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threadedComments/threadedComment2.xml" ContentType="application/vnd.ms-excel.threadedcomments+xml"/>
  <Override PartName="/xl/comments8.xml" ContentType="application/vnd.openxmlformats-officedocument.spreadsheetml.comments+xml"/>
  <Override PartName="/xl/threadedComments/threadedComment3.xml" ContentType="application/vnd.ms-excel.threadedcomments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omments9.xml" ContentType="application/vnd.openxmlformats-officedocument.spreadsheetml.comments+xml"/>
  <Override PartName="/xl/threadedComments/threadedComment4.xml" ContentType="application/vnd.ms-excel.threadedcomments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omments10.xml" ContentType="application/vnd.openxmlformats-officedocument.spreadsheetml.comments+xml"/>
  <Override PartName="/xl/threadedComments/threadedComment5.xml" ContentType="application/vnd.ms-excel.threadedcomments+xml"/>
  <Override PartName="/xl/drawings/drawing12.xml" ContentType="application/vnd.openxmlformats-officedocument.drawing+xml"/>
  <Override PartName="/xl/comments11.xml" ContentType="application/vnd.openxmlformats-officedocument.spreadsheetml.comments+xml"/>
  <Override PartName="/xl/drawings/drawing13.xml" ContentType="application/vnd.openxmlformats-officedocument.drawing+xml"/>
  <Override PartName="/xl/comments12.xml" ContentType="application/vnd.openxmlformats-officedocument.spreadsheetml.comments+xml"/>
  <Override PartName="/xl/threadedComments/threadedComment6.xml" ContentType="application/vnd.ms-excel.threadedcomments+xml"/>
  <Override PartName="/xl/tables/table1.xml" ContentType="application/vnd.openxmlformats-officedocument.spreadsheetml.table+xml"/>
  <Override PartName="/xl/comments13.xml" ContentType="application/vnd.openxmlformats-officedocument.spreadsheetml.comments+xml"/>
  <Override PartName="/xl/threadedComments/threadedComment7.xml" ContentType="application/vnd.ms-excel.threadedcomments+xml"/>
  <Override PartName="/xl/drawings/drawing14.xml" ContentType="application/vnd.openxmlformats-officedocument.drawing+xml"/>
  <Override PartName="/xl/comments14.xml" ContentType="application/vnd.openxmlformats-officedocument.spreadsheetml.comments+xml"/>
  <Override PartName="/xl/drawings/drawing15.xml" ContentType="application/vnd.openxmlformats-officedocument.drawing+xml"/>
  <Override PartName="/xl/comments15.xml" ContentType="application/vnd.openxmlformats-officedocument.spreadsheetml.comments+xml"/>
  <Override PartName="/xl/drawings/drawing16.xml" ContentType="application/vnd.openxmlformats-officedocument.drawing+xml"/>
  <Override PartName="/xl/comments16.xml" ContentType="application/vnd.openxmlformats-officedocument.spreadsheetml.comments+xml"/>
  <Override PartName="/xl/drawings/drawing17.xml" ContentType="application/vnd.openxmlformats-officedocument.drawing+xml"/>
  <Override PartName="/xl/comments17.xml" ContentType="application/vnd.openxmlformats-officedocument.spreadsheetml.comments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asisysteminc.sharepoint.com/sites/NorthwellHealthSupport/Shared Documents/Project Task Master/"/>
    </mc:Choice>
  </mc:AlternateContent>
  <xr:revisionPtr revIDLastSave="0" documentId="8_{A9A90EA6-20E4-43D9-A088-6AECCD353AA4}" xr6:coauthVersionLast="47" xr6:coauthVersionMax="47" xr10:uidLastSave="{00000000-0000-0000-0000-000000000000}"/>
  <bookViews>
    <workbookView minimized="1" xWindow="-315" yWindow="0" windowWidth="15195" windowHeight="15480" tabRatio="421" firstSheet="23" activeTab="23" xr2:uid="{00000000-000D-0000-FFFF-FFFF00000000}"/>
  </bookViews>
  <sheets>
    <sheet name="EPIC Wave2" sheetId="11" state="hidden" r:id="rId1"/>
    <sheet name="Epic Wave 1" sheetId="2" state="hidden" r:id="rId2"/>
    <sheet name="Epic Survey (2)" sheetId="10" state="hidden" r:id="rId3"/>
    <sheet name="CMD Center" sheetId="8" state="hidden" r:id="rId4"/>
    <sheet name="_56F9DC9755BA473782653E2940F9" sheetId="6" state="veryHidden" r:id="rId5"/>
    <sheet name="HP24 Reimage" sheetId="3" state="hidden" r:id="rId6"/>
    <sheet name="Paycom Res" sheetId="17" state="hidden" r:id="rId7"/>
    <sheet name="EPIC Wave3" sheetId="14" state="hidden" r:id="rId8"/>
    <sheet name="EPIC Monitor W1" sheetId="15" state="hidden" r:id="rId9"/>
    <sheet name="EPIC TECHS OTHER PROJECTS" sheetId="18" state="hidden" r:id="rId10"/>
    <sheet name="NW Projects 2023" sheetId="4" state="hidden" r:id="rId11"/>
    <sheet name="NW Projects 2024" sheetId="13" state="hidden" r:id="rId12"/>
    <sheet name="PCI INVENTORY SURVEY" sheetId="9" state="hidden" r:id="rId13"/>
    <sheet name="EPIC Keep It Current" sheetId="20" r:id="rId14"/>
    <sheet name="EPIC Monitor W2" sheetId="19" state="hidden" r:id="rId15"/>
    <sheet name="Epic Training Room Support W1" sheetId="21" state="hidden" r:id="rId16"/>
    <sheet name="EPIC Monitor W3" sheetId="23" r:id="rId17"/>
    <sheet name="Monitor Delivery" sheetId="16" r:id="rId18"/>
    <sheet name="DSE Training Support" sheetId="30" state="hidden" r:id="rId19"/>
    <sheet name="EPCS Enrollments" sheetId="26" state="hidden" r:id="rId20"/>
    <sheet name="W2 DSE-EPCS Support" sheetId="31" r:id="rId21"/>
    <sheet name="DSE-EPCS PTOs" sheetId="28" r:id="rId22"/>
    <sheet name="Sheet2" sheetId="29" state="hidden" r:id="rId23"/>
    <sheet name="Project Team" sheetId="36" r:id="rId24"/>
    <sheet name="Project-Shared Techs" sheetId="32" r:id="rId25"/>
    <sheet name="Sheet1" sheetId="27" state="hidden" r:id="rId26"/>
  </sheets>
  <definedNames>
    <definedName name="_56F9DC9755BA473782653E2940F9FormId">"KU7rj969BUWSwarXt2n-gnAEQU9kF8hJjAmpMFD-xx5UOUFMWjVSVVEwUFFRU1o3TjU1NUJUOVlHVyQlQCN0PWcu"</definedName>
    <definedName name="_56F9DC9755BA473782653E2940F9ResponseSheet">"Form1"</definedName>
    <definedName name="_56F9DC9755BA473782653E2940F9SourceDocId">"{b7e0cc63-57d2-4a14-bfb0-7613aa9a010f}"</definedName>
    <definedName name="_xlnm._FilterDatabase" localSheetId="10" hidden="1">'NW Projects 2023'!$A$230:$F$540</definedName>
    <definedName name="_xlnm._FilterDatabase" localSheetId="11" hidden="1">'NW Projects 2024'!$A$2:$F$178</definedName>
  </definedName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508" i="31" l="1"/>
  <c r="C2243" i="23" l="1"/>
  <c r="AG2241" i="23"/>
  <c r="AG2242" i="23" s="1"/>
  <c r="AL2217" i="23" s="1"/>
  <c r="AN2217" i="23" s="1"/>
  <c r="AB2241" i="23"/>
  <c r="AB2242" i="23" s="1"/>
  <c r="AL2216" i="23" s="1"/>
  <c r="AN2216" i="23" s="1"/>
  <c r="AA2241" i="23"/>
  <c r="AG2240" i="23"/>
  <c r="AB2240" i="23"/>
  <c r="AA2240" i="23"/>
  <c r="AF2239" i="23"/>
  <c r="Y2239" i="23"/>
  <c r="T2239" i="23"/>
  <c r="O2239" i="23"/>
  <c r="J2239" i="23"/>
  <c r="E2239" i="23"/>
  <c r="AG2238" i="23"/>
  <c r="AB2238" i="23"/>
  <c r="AA2238" i="23"/>
  <c r="AG2237" i="23"/>
  <c r="AB2237" i="23"/>
  <c r="AA2237" i="23"/>
  <c r="AG2236" i="23"/>
  <c r="AB2236" i="23"/>
  <c r="AA2236" i="23"/>
  <c r="AG2235" i="23"/>
  <c r="AB2235" i="23"/>
  <c r="AA2235" i="23"/>
  <c r="AG2234" i="23"/>
  <c r="AB2234" i="23"/>
  <c r="AA2234" i="23"/>
  <c r="AG2233" i="23"/>
  <c r="AB2233" i="23"/>
  <c r="AA2233" i="23"/>
  <c r="AG2232" i="23"/>
  <c r="AB2232" i="23"/>
  <c r="AA2232" i="23"/>
  <c r="AG2231" i="23"/>
  <c r="AB2231" i="23"/>
  <c r="AA2231" i="23"/>
  <c r="AG2230" i="23"/>
  <c r="AB2230" i="23"/>
  <c r="AA2230" i="23"/>
  <c r="AG2229" i="23"/>
  <c r="AB2229" i="23"/>
  <c r="AA2229" i="23"/>
  <c r="AG2228" i="23"/>
  <c r="AB2228" i="23"/>
  <c r="AA2228" i="23"/>
  <c r="AG2227" i="23"/>
  <c r="AB2227" i="23"/>
  <c r="AA2227" i="23"/>
  <c r="AG2226" i="23"/>
  <c r="AB2226" i="23"/>
  <c r="AA2226" i="23"/>
  <c r="AG2225" i="23"/>
  <c r="AB2225" i="23"/>
  <c r="AA2225" i="23"/>
  <c r="AG2224" i="23"/>
  <c r="AB2224" i="23"/>
  <c r="AA2224" i="23"/>
  <c r="AG2223" i="23"/>
  <c r="AB2223" i="23"/>
  <c r="AA2223" i="23"/>
  <c r="AG2222" i="23"/>
  <c r="AB2222" i="23"/>
  <c r="AA2222" i="23"/>
  <c r="AG2221" i="23"/>
  <c r="AB2221" i="23"/>
  <c r="AA2221" i="23"/>
  <c r="AL2220" i="23"/>
  <c r="AN2220" i="23" s="1"/>
  <c r="AG2220" i="23"/>
  <c r="AB2220" i="23"/>
  <c r="AA2220" i="23"/>
  <c r="AG2219" i="23"/>
  <c r="AB2219" i="23"/>
  <c r="AA2219" i="23"/>
  <c r="AG2218" i="23"/>
  <c r="AB2218" i="23"/>
  <c r="AA2218" i="23"/>
  <c r="AG2217" i="23"/>
  <c r="AB2217" i="23"/>
  <c r="AA2217" i="23"/>
  <c r="AG2216" i="23"/>
  <c r="AB2216" i="23"/>
  <c r="AA2216" i="23"/>
  <c r="AG2215" i="23"/>
  <c r="AB2215" i="23"/>
  <c r="AA2215" i="23"/>
  <c r="AG2214" i="23"/>
  <c r="AB2214" i="23"/>
  <c r="AA2214" i="23"/>
  <c r="AG2213" i="23"/>
  <c r="AG2239" i="23" s="1"/>
  <c r="AL2214" i="23" s="1"/>
  <c r="AN2214" i="23" s="1"/>
  <c r="AB2213" i="23"/>
  <c r="AB2239" i="23" s="1"/>
  <c r="AL2213" i="23" s="1"/>
  <c r="AN2213" i="23" s="1"/>
  <c r="AA2213" i="23"/>
  <c r="D509" i="31"/>
  <c r="D508" i="31"/>
  <c r="Z505" i="31"/>
  <c r="AC111" i="36"/>
  <c r="Y111" i="36"/>
  <c r="U111" i="36"/>
  <c r="Q111" i="36"/>
  <c r="M111" i="36"/>
  <c r="I111" i="36"/>
  <c r="E111" i="36"/>
  <c r="AC110" i="36"/>
  <c r="Y110" i="36"/>
  <c r="U110" i="36"/>
  <c r="Q110" i="36"/>
  <c r="M110" i="36"/>
  <c r="I110" i="36"/>
  <c r="E110" i="36"/>
  <c r="AC109" i="36"/>
  <c r="Y109" i="36"/>
  <c r="U109" i="36"/>
  <c r="Q109" i="36"/>
  <c r="M109" i="36"/>
  <c r="I109" i="36"/>
  <c r="E109" i="36"/>
  <c r="AC108" i="36"/>
  <c r="Y108" i="36"/>
  <c r="U108" i="36"/>
  <c r="Q108" i="36"/>
  <c r="M108" i="36"/>
  <c r="I108" i="36"/>
  <c r="E108" i="36"/>
  <c r="AC107" i="36"/>
  <c r="Y107" i="36"/>
  <c r="U107" i="36"/>
  <c r="Q107" i="36"/>
  <c r="M107" i="36"/>
  <c r="I107" i="36"/>
  <c r="E107" i="36"/>
  <c r="AC106" i="36"/>
  <c r="Y106" i="36"/>
  <c r="U106" i="36"/>
  <c r="Q106" i="36"/>
  <c r="M106" i="36"/>
  <c r="I106" i="36"/>
  <c r="E106" i="36"/>
  <c r="AC105" i="36"/>
  <c r="Y105" i="36"/>
  <c r="U105" i="36"/>
  <c r="Q105" i="36"/>
  <c r="M105" i="36"/>
  <c r="I105" i="36"/>
  <c r="E105" i="36"/>
  <c r="AC104" i="36"/>
  <c r="Y104" i="36"/>
  <c r="U104" i="36"/>
  <c r="Q104" i="36"/>
  <c r="M104" i="36"/>
  <c r="I104" i="36"/>
  <c r="E104" i="36"/>
  <c r="AC103" i="36"/>
  <c r="Y103" i="36"/>
  <c r="U103" i="36"/>
  <c r="Q103" i="36"/>
  <c r="M103" i="36"/>
  <c r="I103" i="36"/>
  <c r="E103" i="36"/>
  <c r="AC102" i="36"/>
  <c r="Y102" i="36"/>
  <c r="U102" i="36"/>
  <c r="Q102" i="36"/>
  <c r="M102" i="36"/>
  <c r="I102" i="36"/>
  <c r="E102" i="36"/>
  <c r="AC101" i="36"/>
  <c r="Y101" i="36"/>
  <c r="U101" i="36"/>
  <c r="Q101" i="36"/>
  <c r="M101" i="36"/>
  <c r="I101" i="36"/>
  <c r="E101" i="36"/>
  <c r="AC100" i="36"/>
  <c r="Y100" i="36"/>
  <c r="U100" i="36"/>
  <c r="Q100" i="36"/>
  <c r="M100" i="36"/>
  <c r="I100" i="36"/>
  <c r="E100" i="36"/>
  <c r="AC99" i="36"/>
  <c r="Y99" i="36"/>
  <c r="U99" i="36"/>
  <c r="Q99" i="36"/>
  <c r="M99" i="36"/>
  <c r="I99" i="36"/>
  <c r="E99" i="36"/>
  <c r="AC98" i="36"/>
  <c r="Y98" i="36"/>
  <c r="U98" i="36"/>
  <c r="Q98" i="36"/>
  <c r="M98" i="36"/>
  <c r="I98" i="36"/>
  <c r="E98" i="36"/>
  <c r="AC97" i="36"/>
  <c r="Y97" i="36"/>
  <c r="U97" i="36"/>
  <c r="Q97" i="36"/>
  <c r="M97" i="36"/>
  <c r="I97" i="36"/>
  <c r="E97" i="36"/>
  <c r="AC96" i="36"/>
  <c r="Y96" i="36"/>
  <c r="U96" i="36"/>
  <c r="Q96" i="36"/>
  <c r="M96" i="36"/>
  <c r="I96" i="36"/>
  <c r="E96" i="36"/>
  <c r="AC95" i="36"/>
  <c r="Y95" i="36"/>
  <c r="U95" i="36"/>
  <c r="Q95" i="36"/>
  <c r="M95" i="36"/>
  <c r="I95" i="36"/>
  <c r="E95" i="36"/>
  <c r="AC94" i="36"/>
  <c r="Y94" i="36"/>
  <c r="U94" i="36"/>
  <c r="Q94" i="36"/>
  <c r="M94" i="36"/>
  <c r="I94" i="36"/>
  <c r="E94" i="36"/>
  <c r="AC93" i="36"/>
  <c r="Y93" i="36"/>
  <c r="U93" i="36"/>
  <c r="Q93" i="36"/>
  <c r="M93" i="36"/>
  <c r="I93" i="36"/>
  <c r="E93" i="36"/>
  <c r="AC92" i="36"/>
  <c r="AC112" i="36" s="1"/>
  <c r="Y92" i="36"/>
  <c r="Y112" i="36" s="1"/>
  <c r="U92" i="36"/>
  <c r="Q92" i="36"/>
  <c r="Q112" i="36" s="1"/>
  <c r="M92" i="36"/>
  <c r="I92" i="36"/>
  <c r="E92" i="36"/>
  <c r="G90" i="36"/>
  <c r="K90" i="36" s="1"/>
  <c r="O90" i="36" s="1"/>
  <c r="S90" i="36" s="1"/>
  <c r="W90" i="36" s="1"/>
  <c r="AA90" i="36" s="1"/>
  <c r="AI479" i="31"/>
  <c r="AJ510" i="31"/>
  <c r="AA510" i="31"/>
  <c r="Z510" i="31"/>
  <c r="AO489" i="31" s="1"/>
  <c r="AQ489" i="31" s="1"/>
  <c r="AI509" i="31"/>
  <c r="AE509" i="31"/>
  <c r="AJ509" i="31" s="1"/>
  <c r="X509" i="31"/>
  <c r="S509" i="31"/>
  <c r="N509" i="31"/>
  <c r="I509" i="31"/>
  <c r="AI508" i="31"/>
  <c r="AE508" i="31"/>
  <c r="Y508" i="31"/>
  <c r="X508" i="31"/>
  <c r="T508" i="31"/>
  <c r="O508" i="31"/>
  <c r="N508" i="31"/>
  <c r="J508" i="31"/>
  <c r="I508" i="31"/>
  <c r="E508" i="31"/>
  <c r="AJ507" i="31"/>
  <c r="AA507" i="31"/>
  <c r="Z507" i="31"/>
  <c r="AJ506" i="31"/>
  <c r="AA506" i="31"/>
  <c r="AA509" i="31" s="1"/>
  <c r="Z506" i="31"/>
  <c r="AJ504" i="31"/>
  <c r="AA504" i="31"/>
  <c r="Z504" i="31"/>
  <c r="AJ503" i="31"/>
  <c r="AA503" i="31"/>
  <c r="Z503" i="31"/>
  <c r="AJ502" i="31"/>
  <c r="AA502" i="31"/>
  <c r="Z502" i="31"/>
  <c r="AJ501" i="31"/>
  <c r="AA501" i="31"/>
  <c r="Z501" i="31"/>
  <c r="AJ500" i="31"/>
  <c r="AA500" i="31"/>
  <c r="Z500" i="31"/>
  <c r="AJ499" i="31"/>
  <c r="AA499" i="31"/>
  <c r="Z499" i="31"/>
  <c r="AJ498" i="31"/>
  <c r="AA498" i="31"/>
  <c r="Z498" i="31"/>
  <c r="AJ497" i="31"/>
  <c r="AA497" i="31"/>
  <c r="Z497" i="31"/>
  <c r="AJ496" i="31"/>
  <c r="AA496" i="31"/>
  <c r="Z496" i="31"/>
  <c r="AJ495" i="31"/>
  <c r="AA495" i="31"/>
  <c r="Z495" i="31"/>
  <c r="AJ494" i="31"/>
  <c r="AA494" i="31"/>
  <c r="Z494" i="31"/>
  <c r="AJ493" i="31"/>
  <c r="AA493" i="31"/>
  <c r="Z493" i="31"/>
  <c r="AJ492" i="31"/>
  <c r="AA492" i="31"/>
  <c r="Z492" i="31"/>
  <c r="AJ491" i="31"/>
  <c r="AA491" i="31"/>
  <c r="Z491" i="31"/>
  <c r="AP490" i="31"/>
  <c r="AJ490" i="31"/>
  <c r="AA490" i="31"/>
  <c r="Z490" i="31"/>
  <c r="AJ489" i="31"/>
  <c r="AA489" i="31"/>
  <c r="Z489" i="31"/>
  <c r="AP488" i="31"/>
  <c r="AJ488" i="31"/>
  <c r="AA488" i="31"/>
  <c r="Z488" i="31"/>
  <c r="AJ487" i="31"/>
  <c r="AA487" i="31"/>
  <c r="Z487" i="31"/>
  <c r="AJ486" i="31"/>
  <c r="AA486" i="31"/>
  <c r="Z486" i="31"/>
  <c r="AJ485" i="31"/>
  <c r="AA485" i="31"/>
  <c r="Z485" i="31"/>
  <c r="AA2242" i="23" l="1"/>
  <c r="AL2215" i="23" s="1"/>
  <c r="AN2215" i="23" s="1"/>
  <c r="AN2218" i="23" s="1"/>
  <c r="AA2239" i="23"/>
  <c r="AL2212" i="23" s="1"/>
  <c r="AN2212" i="23" s="1"/>
  <c r="Z509" i="31"/>
  <c r="AO485" i="31" s="1"/>
  <c r="AQ485" i="31" s="1"/>
  <c r="E112" i="36"/>
  <c r="U112" i="36"/>
  <c r="M112" i="36"/>
  <c r="I112" i="36"/>
  <c r="AJ508" i="31"/>
  <c r="AO487" i="31" s="1"/>
  <c r="AQ487" i="31" s="1"/>
  <c r="AO490" i="31"/>
  <c r="AQ490" i="31" s="1"/>
  <c r="Z508" i="31"/>
  <c r="AO484" i="31" s="1"/>
  <c r="AQ484" i="31" s="1"/>
  <c r="AA508" i="31"/>
  <c r="AO486" i="31" s="1"/>
  <c r="AQ486" i="31" s="1"/>
  <c r="AO488" i="31"/>
  <c r="AQ488" i="31" s="1"/>
  <c r="AE479" i="31"/>
  <c r="AA732" i="20"/>
  <c r="AB732" i="20"/>
  <c r="AB734" i="20" s="1"/>
  <c r="AL732" i="20" s="1"/>
  <c r="AN732" i="20" s="1"/>
  <c r="AG732" i="20"/>
  <c r="AG734" i="20" s="1"/>
  <c r="AL733" i="20" s="1"/>
  <c r="AN733" i="20" s="1"/>
  <c r="AM732" i="20"/>
  <c r="AA733" i="20"/>
  <c r="AB733" i="20"/>
  <c r="AG733" i="20"/>
  <c r="E734" i="20"/>
  <c r="F734" i="20"/>
  <c r="J734" i="20"/>
  <c r="K734" i="20"/>
  <c r="O734" i="20"/>
  <c r="P734" i="20"/>
  <c r="T734" i="20"/>
  <c r="U734" i="20"/>
  <c r="Y734" i="20"/>
  <c r="Z734" i="20"/>
  <c r="AA734" i="20"/>
  <c r="AL731" i="20" s="1"/>
  <c r="AN731" i="20" s="1"/>
  <c r="AN734" i="20" s="1"/>
  <c r="AF734" i="20"/>
  <c r="AA724" i="20"/>
  <c r="AA726" i="20" s="1"/>
  <c r="AL723" i="20" s="1"/>
  <c r="AN723" i="20" s="1"/>
  <c r="AB724" i="20"/>
  <c r="AB726" i="20" s="1"/>
  <c r="AL724" i="20" s="1"/>
  <c r="AN724" i="20" s="1"/>
  <c r="AG724" i="20"/>
  <c r="AM724" i="20"/>
  <c r="AA725" i="20"/>
  <c r="AB725" i="20"/>
  <c r="AG725" i="20"/>
  <c r="E726" i="20"/>
  <c r="F726" i="20"/>
  <c r="J726" i="20"/>
  <c r="K726" i="20"/>
  <c r="O726" i="20"/>
  <c r="P726" i="20"/>
  <c r="T726" i="20"/>
  <c r="U726" i="20"/>
  <c r="Y726" i="20"/>
  <c r="Z726" i="20"/>
  <c r="AF726" i="20"/>
  <c r="AA716" i="20"/>
  <c r="AB716" i="20"/>
  <c r="AG716" i="20"/>
  <c r="AM716" i="20"/>
  <c r="AA717" i="20"/>
  <c r="AB717" i="20"/>
  <c r="AG717" i="20"/>
  <c r="AG718" i="20" s="1"/>
  <c r="AL717" i="20" s="1"/>
  <c r="AN717" i="20" s="1"/>
  <c r="E718" i="20"/>
  <c r="F718" i="20"/>
  <c r="J718" i="20"/>
  <c r="K718" i="20"/>
  <c r="O718" i="20"/>
  <c r="P718" i="20"/>
  <c r="T718" i="20"/>
  <c r="U718" i="20"/>
  <c r="Y718" i="20"/>
  <c r="Z718" i="20"/>
  <c r="AF718" i="20"/>
  <c r="AA708" i="20"/>
  <c r="AB708" i="20"/>
  <c r="AG708" i="20"/>
  <c r="AM708" i="20"/>
  <c r="AA709" i="20"/>
  <c r="AB709" i="20"/>
  <c r="AG709" i="20"/>
  <c r="E710" i="20"/>
  <c r="F710" i="20"/>
  <c r="J710" i="20"/>
  <c r="K710" i="20"/>
  <c r="O710" i="20"/>
  <c r="P710" i="20"/>
  <c r="T710" i="20"/>
  <c r="U710" i="20"/>
  <c r="Y710" i="20"/>
  <c r="Z710" i="20"/>
  <c r="AA710" i="20"/>
  <c r="AL707" i="20" s="1"/>
  <c r="AN707" i="20" s="1"/>
  <c r="AF710" i="20"/>
  <c r="AB718" i="20" l="1"/>
  <c r="AL716" i="20" s="1"/>
  <c r="AN716" i="20" s="1"/>
  <c r="AA718" i="20"/>
  <c r="AL715" i="20" s="1"/>
  <c r="AN715" i="20" s="1"/>
  <c r="AG710" i="20"/>
  <c r="AL709" i="20" s="1"/>
  <c r="AN709" i="20" s="1"/>
  <c r="AB710" i="20"/>
  <c r="AL708" i="20" s="1"/>
  <c r="AN708" i="20" s="1"/>
  <c r="AN710" i="20" s="1"/>
  <c r="AG726" i="20"/>
  <c r="AL725" i="20" s="1"/>
  <c r="AN725" i="20" s="1"/>
  <c r="AQ491" i="31"/>
  <c r="AN726" i="20"/>
  <c r="AN718" i="20"/>
  <c r="C2207" i="23" l="1"/>
  <c r="AG2205" i="23"/>
  <c r="AG2206" i="23" s="1"/>
  <c r="AL2181" i="23" s="1"/>
  <c r="AN2181" i="23" s="1"/>
  <c r="AB2205" i="23"/>
  <c r="AB2206" i="23" s="1"/>
  <c r="AL2180" i="23" s="1"/>
  <c r="AN2180" i="23" s="1"/>
  <c r="AA2205" i="23"/>
  <c r="AG2204" i="23"/>
  <c r="AB2204" i="23"/>
  <c r="AA2204" i="23"/>
  <c r="AF2203" i="23"/>
  <c r="Y2203" i="23"/>
  <c r="T2203" i="23"/>
  <c r="O2203" i="23"/>
  <c r="J2203" i="23"/>
  <c r="E2203" i="23"/>
  <c r="AG2202" i="23"/>
  <c r="AB2202" i="23"/>
  <c r="AA2202" i="23"/>
  <c r="AG2201" i="23"/>
  <c r="AB2201" i="23"/>
  <c r="AA2201" i="23"/>
  <c r="AG2200" i="23"/>
  <c r="AB2200" i="23"/>
  <c r="AA2200" i="23"/>
  <c r="AG2199" i="23"/>
  <c r="AB2199" i="23"/>
  <c r="AA2199" i="23"/>
  <c r="AG2198" i="23"/>
  <c r="AB2198" i="23"/>
  <c r="AA2198" i="23"/>
  <c r="AG2197" i="23"/>
  <c r="AB2197" i="23"/>
  <c r="AA2197" i="23"/>
  <c r="AG2196" i="23"/>
  <c r="AB2196" i="23"/>
  <c r="AA2196" i="23"/>
  <c r="AG2195" i="23"/>
  <c r="AB2195" i="23"/>
  <c r="AA2195" i="23"/>
  <c r="AG2194" i="23"/>
  <c r="AB2194" i="23"/>
  <c r="AA2194" i="23"/>
  <c r="AG2193" i="23"/>
  <c r="AB2193" i="23"/>
  <c r="AA2193" i="23"/>
  <c r="AG2192" i="23"/>
  <c r="AB2192" i="23"/>
  <c r="AA2192" i="23"/>
  <c r="AG2191" i="23"/>
  <c r="AB2191" i="23"/>
  <c r="AA2191" i="23"/>
  <c r="AG2190" i="23"/>
  <c r="AB2190" i="23"/>
  <c r="AA2190" i="23"/>
  <c r="AG2189" i="23"/>
  <c r="AB2189" i="23"/>
  <c r="AA2189" i="23"/>
  <c r="AG2188" i="23"/>
  <c r="AB2188" i="23"/>
  <c r="AA2188" i="23"/>
  <c r="AG2187" i="23"/>
  <c r="AB2187" i="23"/>
  <c r="AA2187" i="23"/>
  <c r="AG2186" i="23"/>
  <c r="AB2186" i="23"/>
  <c r="AA2186" i="23"/>
  <c r="AG2185" i="23"/>
  <c r="AB2185" i="23"/>
  <c r="AA2185" i="23"/>
  <c r="AL2184" i="23"/>
  <c r="AN2184" i="23" s="1"/>
  <c r="AG2184" i="23"/>
  <c r="AB2184" i="23"/>
  <c r="AA2184" i="23"/>
  <c r="AG2183" i="23"/>
  <c r="AB2183" i="23"/>
  <c r="AA2183" i="23"/>
  <c r="AG2182" i="23"/>
  <c r="AB2182" i="23"/>
  <c r="AA2182" i="23"/>
  <c r="AG2181" i="23"/>
  <c r="AB2181" i="23"/>
  <c r="AA2181" i="23"/>
  <c r="AG2180" i="23"/>
  <c r="AB2180" i="23"/>
  <c r="AA2180" i="23"/>
  <c r="AG2179" i="23"/>
  <c r="AB2179" i="23"/>
  <c r="AA2179" i="23"/>
  <c r="AG2178" i="23"/>
  <c r="AB2178" i="23"/>
  <c r="AA2178" i="23"/>
  <c r="AG2177" i="23"/>
  <c r="AG2203" i="23" s="1"/>
  <c r="AL2178" i="23" s="1"/>
  <c r="AN2178" i="23" s="1"/>
  <c r="AB2177" i="23"/>
  <c r="AB2203" i="23" s="1"/>
  <c r="AL2177" i="23" s="1"/>
  <c r="AN2177" i="23" s="1"/>
  <c r="AA2177" i="23"/>
  <c r="AA2206" i="23" l="1"/>
  <c r="AL2179" i="23" s="1"/>
  <c r="AN2179" i="23" s="1"/>
  <c r="AA2203" i="23"/>
  <c r="AL2176" i="23" s="1"/>
  <c r="AN2176" i="23" s="1"/>
  <c r="AN2182" i="23" s="1"/>
  <c r="I477" i="31"/>
  <c r="D477" i="31"/>
  <c r="Z471" i="31"/>
  <c r="AA471" i="31"/>
  <c r="AJ471" i="31"/>
  <c r="Z472" i="31"/>
  <c r="AA472" i="31"/>
  <c r="AJ472" i="31"/>
  <c r="G63" i="36"/>
  <c r="K63" i="36" s="1"/>
  <c r="O63" i="36" s="1"/>
  <c r="S63" i="36" s="1"/>
  <c r="W63" i="36" s="1"/>
  <c r="AA63" i="36" s="1"/>
  <c r="E65" i="36"/>
  <c r="I65" i="36"/>
  <c r="M65" i="36"/>
  <c r="Q65" i="36"/>
  <c r="U65" i="36"/>
  <c r="Y65" i="36"/>
  <c r="AC65" i="36"/>
  <c r="E66" i="36"/>
  <c r="I66" i="36"/>
  <c r="M66" i="36"/>
  <c r="Q66" i="36"/>
  <c r="U66" i="36"/>
  <c r="Y66" i="36"/>
  <c r="AC66" i="36"/>
  <c r="E67" i="36"/>
  <c r="I67" i="36"/>
  <c r="M67" i="36"/>
  <c r="Q67" i="36"/>
  <c r="U67" i="36"/>
  <c r="Y67" i="36"/>
  <c r="AC67" i="36"/>
  <c r="E68" i="36"/>
  <c r="I68" i="36"/>
  <c r="M68" i="36"/>
  <c r="Q68" i="36"/>
  <c r="U68" i="36"/>
  <c r="Y68" i="36"/>
  <c r="AC68" i="36"/>
  <c r="E69" i="36"/>
  <c r="I69" i="36"/>
  <c r="M69" i="36"/>
  <c r="Q69" i="36"/>
  <c r="U69" i="36"/>
  <c r="Y69" i="36"/>
  <c r="AC69" i="36"/>
  <c r="E70" i="36"/>
  <c r="I70" i="36"/>
  <c r="M70" i="36"/>
  <c r="Q70" i="36"/>
  <c r="U70" i="36"/>
  <c r="Y70" i="36"/>
  <c r="AC70" i="36"/>
  <c r="E71" i="36"/>
  <c r="I71" i="36"/>
  <c r="M71" i="36"/>
  <c r="Q71" i="36"/>
  <c r="U71" i="36"/>
  <c r="Y71" i="36"/>
  <c r="AC71" i="36"/>
  <c r="E72" i="36"/>
  <c r="I72" i="36"/>
  <c r="M72" i="36"/>
  <c r="Q72" i="36"/>
  <c r="U72" i="36"/>
  <c r="Y72" i="36"/>
  <c r="AC72" i="36"/>
  <c r="E73" i="36"/>
  <c r="I73" i="36"/>
  <c r="M73" i="36"/>
  <c r="Q73" i="36"/>
  <c r="U73" i="36"/>
  <c r="Y73" i="36"/>
  <c r="AC73" i="36"/>
  <c r="E74" i="36"/>
  <c r="I74" i="36"/>
  <c r="M74" i="36"/>
  <c r="Q74" i="36"/>
  <c r="U74" i="36"/>
  <c r="Y74" i="36"/>
  <c r="AC74" i="36"/>
  <c r="E75" i="36"/>
  <c r="I75" i="36"/>
  <c r="M75" i="36"/>
  <c r="Q75" i="36"/>
  <c r="U75" i="36"/>
  <c r="Y75" i="36"/>
  <c r="AC75" i="36"/>
  <c r="E76" i="36"/>
  <c r="I76" i="36"/>
  <c r="M76" i="36"/>
  <c r="Q76" i="36"/>
  <c r="U76" i="36"/>
  <c r="Y76" i="36"/>
  <c r="AC76" i="36"/>
  <c r="E77" i="36"/>
  <c r="I77" i="36"/>
  <c r="M77" i="36"/>
  <c r="Q77" i="36"/>
  <c r="U77" i="36"/>
  <c r="Y77" i="36"/>
  <c r="AC77" i="36"/>
  <c r="E78" i="36"/>
  <c r="I78" i="36"/>
  <c r="M78" i="36"/>
  <c r="Q78" i="36"/>
  <c r="U78" i="36"/>
  <c r="Y78" i="36"/>
  <c r="AC78" i="36"/>
  <c r="E79" i="36"/>
  <c r="I79" i="36"/>
  <c r="M79" i="36"/>
  <c r="Q79" i="36"/>
  <c r="U79" i="36"/>
  <c r="Y79" i="36"/>
  <c r="AC79" i="36"/>
  <c r="E80" i="36"/>
  <c r="I80" i="36"/>
  <c r="M80" i="36"/>
  <c r="Q80" i="36"/>
  <c r="U80" i="36"/>
  <c r="Y80" i="36"/>
  <c r="AC80" i="36"/>
  <c r="E81" i="36"/>
  <c r="I81" i="36"/>
  <c r="M81" i="36"/>
  <c r="Q81" i="36"/>
  <c r="U81" i="36"/>
  <c r="Y81" i="36"/>
  <c r="AC81" i="36"/>
  <c r="E82" i="36"/>
  <c r="I82" i="36"/>
  <c r="M82" i="36"/>
  <c r="Q82" i="36"/>
  <c r="U82" i="36"/>
  <c r="Y82" i="36"/>
  <c r="AC82" i="36"/>
  <c r="E83" i="36"/>
  <c r="I83" i="36"/>
  <c r="M83" i="36"/>
  <c r="Q83" i="36"/>
  <c r="U83" i="36"/>
  <c r="Y83" i="36"/>
  <c r="AC83" i="36"/>
  <c r="E84" i="36"/>
  <c r="I84" i="36"/>
  <c r="M84" i="36"/>
  <c r="Q84" i="36"/>
  <c r="U84" i="36"/>
  <c r="Y84" i="36"/>
  <c r="AC84" i="36"/>
  <c r="AI448" i="31"/>
  <c r="AJ479" i="31"/>
  <c r="AA479" i="31"/>
  <c r="Z479" i="31"/>
  <c r="AO458" i="31" s="1"/>
  <c r="AQ458" i="31" s="1"/>
  <c r="AI478" i="31"/>
  <c r="AE478" i="31"/>
  <c r="AJ478" i="31" s="1"/>
  <c r="X478" i="31"/>
  <c r="S478" i="31"/>
  <c r="N478" i="31"/>
  <c r="I478" i="31"/>
  <c r="D478" i="31"/>
  <c r="AI477" i="31"/>
  <c r="AE477" i="31"/>
  <c r="Y477" i="31"/>
  <c r="X477" i="31"/>
  <c r="T477" i="31"/>
  <c r="S477" i="31"/>
  <c r="O477" i="31"/>
  <c r="N477" i="31"/>
  <c r="J477" i="31"/>
  <c r="E477" i="31"/>
  <c r="AJ476" i="31"/>
  <c r="AA476" i="31"/>
  <c r="Z476" i="31"/>
  <c r="AJ475" i="31"/>
  <c r="AA475" i="31"/>
  <c r="Z475" i="31"/>
  <c r="AJ473" i="31"/>
  <c r="AA473" i="31"/>
  <c r="Z473" i="31"/>
  <c r="AJ470" i="31"/>
  <c r="AA470" i="31"/>
  <c r="Z470" i="31"/>
  <c r="AJ469" i="31"/>
  <c r="AA469" i="31"/>
  <c r="Z469" i="31"/>
  <c r="AJ468" i="31"/>
  <c r="AA468" i="31"/>
  <c r="Z468" i="31"/>
  <c r="AJ467" i="31"/>
  <c r="AA467" i="31"/>
  <c r="Z467" i="31"/>
  <c r="AJ466" i="31"/>
  <c r="AA466" i="31"/>
  <c r="Z466" i="31"/>
  <c r="AJ465" i="31"/>
  <c r="AA465" i="31"/>
  <c r="Z465" i="31"/>
  <c r="AJ464" i="31"/>
  <c r="AA464" i="31"/>
  <c r="Z464" i="31"/>
  <c r="AJ463" i="31"/>
  <c r="AA463" i="31"/>
  <c r="Z463" i="31"/>
  <c r="AJ462" i="31"/>
  <c r="AA462" i="31"/>
  <c r="Z462" i="31"/>
  <c r="AJ461" i="31"/>
  <c r="AA461" i="31"/>
  <c r="Z461" i="31"/>
  <c r="AJ460" i="31"/>
  <c r="AA460" i="31"/>
  <c r="Z460" i="31"/>
  <c r="AP459" i="31"/>
  <c r="AJ459" i="31"/>
  <c r="AA459" i="31"/>
  <c r="Z459" i="31"/>
  <c r="AJ458" i="31"/>
  <c r="AA458" i="31"/>
  <c r="Z458" i="31"/>
  <c r="AP457" i="31"/>
  <c r="AJ457" i="31"/>
  <c r="AA457" i="31"/>
  <c r="Z457" i="31"/>
  <c r="AJ456" i="31"/>
  <c r="AA456" i="31"/>
  <c r="Z456" i="31"/>
  <c r="AJ455" i="31"/>
  <c r="AA455" i="31"/>
  <c r="Z455" i="31"/>
  <c r="AJ454" i="31"/>
  <c r="AA454" i="31"/>
  <c r="Z454" i="31"/>
  <c r="AE448" i="31"/>
  <c r="AC85" i="36" l="1"/>
  <c r="Y85" i="36"/>
  <c r="U85" i="36"/>
  <c r="Q85" i="36"/>
  <c r="M85" i="36"/>
  <c r="I85" i="36"/>
  <c r="E85" i="36"/>
  <c r="AO459" i="31"/>
  <c r="AQ459" i="31" s="1"/>
  <c r="AJ477" i="31"/>
  <c r="AO456" i="31" s="1"/>
  <c r="AQ456" i="31" s="1"/>
  <c r="Z478" i="31"/>
  <c r="AO454" i="31" s="1"/>
  <c r="AQ454" i="31" s="1"/>
  <c r="AA478" i="31"/>
  <c r="AO457" i="31" s="1"/>
  <c r="AQ457" i="31" s="1"/>
  <c r="Z477" i="31"/>
  <c r="AA477" i="31"/>
  <c r="AO455" i="31" s="1"/>
  <c r="AQ455" i="31" s="1"/>
  <c r="AC46" i="36"/>
  <c r="Y46" i="36"/>
  <c r="U46" i="36"/>
  <c r="Q46" i="36"/>
  <c r="M46" i="36"/>
  <c r="I46" i="36"/>
  <c r="E46" i="36"/>
  <c r="AC20" i="36"/>
  <c r="Y20" i="36"/>
  <c r="U20" i="36"/>
  <c r="Q20" i="36"/>
  <c r="M20" i="36"/>
  <c r="I20" i="36"/>
  <c r="E20" i="36"/>
  <c r="E21" i="36"/>
  <c r="I21" i="36"/>
  <c r="M21" i="36"/>
  <c r="Q21" i="36"/>
  <c r="U21" i="36"/>
  <c r="Y21" i="36"/>
  <c r="AC21" i="36"/>
  <c r="AC45" i="36"/>
  <c r="Y45" i="36"/>
  <c r="U45" i="36"/>
  <c r="Q45" i="36"/>
  <c r="M45" i="36"/>
  <c r="I45" i="36"/>
  <c r="E45" i="36"/>
  <c r="I39" i="36"/>
  <c r="M39" i="36"/>
  <c r="AC56" i="36"/>
  <c r="AC55" i="36"/>
  <c r="AC54" i="36"/>
  <c r="AC53" i="36"/>
  <c r="AC52" i="36"/>
  <c r="AC51" i="36"/>
  <c r="AC50" i="36"/>
  <c r="AC49" i="36"/>
  <c r="AC48" i="36"/>
  <c r="AC47" i="36"/>
  <c r="AC44" i="36"/>
  <c r="AC43" i="36"/>
  <c r="AC42" i="36"/>
  <c r="AC41" i="36"/>
  <c r="AC40" i="36"/>
  <c r="AC39" i="36"/>
  <c r="AC38" i="36"/>
  <c r="AC37" i="36"/>
  <c r="Y56" i="36"/>
  <c r="Y55" i="36"/>
  <c r="Y54" i="36"/>
  <c r="Y53" i="36"/>
  <c r="Y52" i="36"/>
  <c r="Y51" i="36"/>
  <c r="Y50" i="36"/>
  <c r="Y49" i="36"/>
  <c r="Y48" i="36"/>
  <c r="Y47" i="36"/>
  <c r="Y44" i="36"/>
  <c r="Y43" i="36"/>
  <c r="Y42" i="36"/>
  <c r="Y41" i="36"/>
  <c r="Y40" i="36"/>
  <c r="Y39" i="36"/>
  <c r="Y38" i="36"/>
  <c r="Y37" i="36"/>
  <c r="U56" i="36"/>
  <c r="U55" i="36"/>
  <c r="U54" i="36"/>
  <c r="U53" i="36"/>
  <c r="U52" i="36"/>
  <c r="U51" i="36"/>
  <c r="U50" i="36"/>
  <c r="U49" i="36"/>
  <c r="U48" i="36"/>
  <c r="U47" i="36"/>
  <c r="U44" i="36"/>
  <c r="U43" i="36"/>
  <c r="U42" i="36"/>
  <c r="U41" i="36"/>
  <c r="U40" i="36"/>
  <c r="U39" i="36"/>
  <c r="U38" i="36"/>
  <c r="U37" i="36"/>
  <c r="Q56" i="36"/>
  <c r="Q55" i="36"/>
  <c r="Q54" i="36"/>
  <c r="Q53" i="36"/>
  <c r="Q52" i="36"/>
  <c r="Q51" i="36"/>
  <c r="Q50" i="36"/>
  <c r="Q49" i="36"/>
  <c r="Q48" i="36"/>
  <c r="Q47" i="36"/>
  <c r="Q44" i="36"/>
  <c r="Q43" i="36"/>
  <c r="Q42" i="36"/>
  <c r="Q41" i="36"/>
  <c r="Q40" i="36"/>
  <c r="Q39" i="36"/>
  <c r="Q38" i="36"/>
  <c r="Q37" i="36"/>
  <c r="M56" i="36"/>
  <c r="M55" i="36"/>
  <c r="M54" i="36"/>
  <c r="M53" i="36"/>
  <c r="M52" i="36"/>
  <c r="M51" i="36"/>
  <c r="M50" i="36"/>
  <c r="M49" i="36"/>
  <c r="M48" i="36"/>
  <c r="M47" i="36"/>
  <c r="M44" i="36"/>
  <c r="M43" i="36"/>
  <c r="M42" i="36"/>
  <c r="M41" i="36"/>
  <c r="M40" i="36"/>
  <c r="M38" i="36"/>
  <c r="M37" i="36"/>
  <c r="I56" i="36"/>
  <c r="I55" i="36"/>
  <c r="I54" i="36"/>
  <c r="I53" i="36"/>
  <c r="I52" i="36"/>
  <c r="I51" i="36"/>
  <c r="I50" i="36"/>
  <c r="I49" i="36"/>
  <c r="I48" i="36"/>
  <c r="I47" i="36"/>
  <c r="I44" i="36"/>
  <c r="I43" i="36"/>
  <c r="I42" i="36"/>
  <c r="I41" i="36"/>
  <c r="I40" i="36"/>
  <c r="I38" i="36"/>
  <c r="I37" i="36"/>
  <c r="E56" i="36"/>
  <c r="E55" i="36"/>
  <c r="E54" i="36"/>
  <c r="E53" i="36"/>
  <c r="E52" i="36"/>
  <c r="E51" i="36"/>
  <c r="E50" i="36"/>
  <c r="E49" i="36"/>
  <c r="E48" i="36"/>
  <c r="E47" i="36"/>
  <c r="E44" i="36"/>
  <c r="E43" i="36"/>
  <c r="E42" i="36"/>
  <c r="E41" i="36"/>
  <c r="E40" i="36"/>
  <c r="E39" i="36"/>
  <c r="E38" i="36"/>
  <c r="E37" i="36"/>
  <c r="AC30" i="36"/>
  <c r="AC29" i="36"/>
  <c r="AC28" i="36"/>
  <c r="AC27" i="36"/>
  <c r="AC26" i="36"/>
  <c r="AC25" i="36"/>
  <c r="AC24" i="36"/>
  <c r="AC23" i="36"/>
  <c r="AC22" i="36"/>
  <c r="AC19" i="36"/>
  <c r="AC18" i="36"/>
  <c r="AC17" i="36"/>
  <c r="AC16" i="36"/>
  <c r="AC15" i="36"/>
  <c r="AC14" i="36"/>
  <c r="AC13" i="36"/>
  <c r="AC12" i="36"/>
  <c r="Y30" i="36"/>
  <c r="Y29" i="36"/>
  <c r="Y28" i="36"/>
  <c r="Y27" i="36"/>
  <c r="Y26" i="36"/>
  <c r="Y25" i="36"/>
  <c r="Y24" i="36"/>
  <c r="Y23" i="36"/>
  <c r="Y22" i="36"/>
  <c r="Y19" i="36"/>
  <c r="Y18" i="36"/>
  <c r="Y17" i="36"/>
  <c r="Y16" i="36"/>
  <c r="Y15" i="36"/>
  <c r="Y14" i="36"/>
  <c r="Y13" i="36"/>
  <c r="Y12" i="36"/>
  <c r="U30" i="36"/>
  <c r="U29" i="36"/>
  <c r="U28" i="36"/>
  <c r="U27" i="36"/>
  <c r="U26" i="36"/>
  <c r="U25" i="36"/>
  <c r="U24" i="36"/>
  <c r="U23" i="36"/>
  <c r="U22" i="36"/>
  <c r="U19" i="36"/>
  <c r="U18" i="36"/>
  <c r="U17" i="36"/>
  <c r="U16" i="36"/>
  <c r="U15" i="36"/>
  <c r="U14" i="36"/>
  <c r="U13" i="36"/>
  <c r="U12" i="36"/>
  <c r="Q30" i="36"/>
  <c r="Q29" i="36"/>
  <c r="Q28" i="36"/>
  <c r="Q27" i="36"/>
  <c r="Q26" i="36"/>
  <c r="Q25" i="36"/>
  <c r="Q24" i="36"/>
  <c r="Q23" i="36"/>
  <c r="Q22" i="36"/>
  <c r="Q19" i="36"/>
  <c r="Q18" i="36"/>
  <c r="Q17" i="36"/>
  <c r="Q16" i="36"/>
  <c r="Q15" i="36"/>
  <c r="Q14" i="36"/>
  <c r="Q13" i="36"/>
  <c r="Q12" i="36"/>
  <c r="M30" i="36"/>
  <c r="M29" i="36"/>
  <c r="M28" i="36"/>
  <c r="M27" i="36"/>
  <c r="M26" i="36"/>
  <c r="M25" i="36"/>
  <c r="M24" i="36"/>
  <c r="M23" i="36"/>
  <c r="M22" i="36"/>
  <c r="M19" i="36"/>
  <c r="M18" i="36"/>
  <c r="M17" i="36"/>
  <c r="M16" i="36"/>
  <c r="M15" i="36"/>
  <c r="M14" i="36"/>
  <c r="M13" i="36"/>
  <c r="M12" i="36"/>
  <c r="I30" i="36"/>
  <c r="I29" i="36"/>
  <c r="I28" i="36"/>
  <c r="I27" i="36"/>
  <c r="I26" i="36"/>
  <c r="I25" i="36"/>
  <c r="I24" i="36"/>
  <c r="I23" i="36"/>
  <c r="I22" i="36"/>
  <c r="I19" i="36"/>
  <c r="I18" i="36"/>
  <c r="I17" i="36"/>
  <c r="I16" i="36"/>
  <c r="I15" i="36"/>
  <c r="I14" i="36"/>
  <c r="I13" i="36"/>
  <c r="I12" i="36"/>
  <c r="E30" i="36"/>
  <c r="E29" i="36"/>
  <c r="E28" i="36"/>
  <c r="E27" i="36"/>
  <c r="E26" i="36"/>
  <c r="E25" i="36"/>
  <c r="E24" i="36"/>
  <c r="E23" i="36"/>
  <c r="E22" i="36"/>
  <c r="E19" i="36"/>
  <c r="E18" i="36"/>
  <c r="E17" i="36"/>
  <c r="E16" i="36"/>
  <c r="E15" i="36"/>
  <c r="E14" i="36"/>
  <c r="E13" i="36"/>
  <c r="E12" i="36"/>
  <c r="G10" i="36"/>
  <c r="K10" i="36" s="1"/>
  <c r="O10" i="36" s="1"/>
  <c r="S10" i="36" s="1"/>
  <c r="W10" i="36" s="1"/>
  <c r="AA10" i="36" s="1"/>
  <c r="G35" i="36"/>
  <c r="K35" i="36" s="1"/>
  <c r="O35" i="36" s="1"/>
  <c r="S35" i="36" s="1"/>
  <c r="W35" i="36" s="1"/>
  <c r="AA35" i="36" s="1"/>
  <c r="F844" i="16"/>
  <c r="F843" i="16"/>
  <c r="F842" i="16"/>
  <c r="F841" i="16"/>
  <c r="F840" i="16"/>
  <c r="F839" i="16"/>
  <c r="F838" i="16"/>
  <c r="F837" i="16"/>
  <c r="F836" i="16"/>
  <c r="F835" i="16"/>
  <c r="F834" i="16"/>
  <c r="F833" i="16"/>
  <c r="F832" i="16"/>
  <c r="F831" i="16"/>
  <c r="F830" i="16"/>
  <c r="F829" i="16"/>
  <c r="F828" i="16"/>
  <c r="F827" i="16"/>
  <c r="F826" i="16"/>
  <c r="F825" i="16"/>
  <c r="F824" i="16"/>
  <c r="F823" i="16"/>
  <c r="F822" i="16"/>
  <c r="F821" i="16"/>
  <c r="F820" i="16"/>
  <c r="F819" i="16"/>
  <c r="F818" i="16"/>
  <c r="F817" i="16"/>
  <c r="F816" i="16"/>
  <c r="F815" i="16"/>
  <c r="F814" i="16"/>
  <c r="F813" i="16"/>
  <c r="F812" i="16"/>
  <c r="F811" i="16"/>
  <c r="F810" i="16"/>
  <c r="F809" i="16"/>
  <c r="F808" i="16"/>
  <c r="F807" i="16"/>
  <c r="F806" i="16"/>
  <c r="F805" i="16"/>
  <c r="F804" i="16"/>
  <c r="F803" i="16"/>
  <c r="F802" i="16"/>
  <c r="F801" i="16"/>
  <c r="F800" i="16"/>
  <c r="F799" i="16"/>
  <c r="F798" i="16"/>
  <c r="F797" i="16"/>
  <c r="F796" i="16"/>
  <c r="F795" i="16"/>
  <c r="F794" i="16"/>
  <c r="F793" i="16"/>
  <c r="F792" i="16"/>
  <c r="F791" i="16"/>
  <c r="F790" i="16"/>
  <c r="F789" i="16"/>
  <c r="F788" i="16"/>
  <c r="F787" i="16"/>
  <c r="F786" i="16"/>
  <c r="F785" i="16"/>
  <c r="F784" i="16"/>
  <c r="F783" i="16"/>
  <c r="F782" i="16"/>
  <c r="F781" i="16"/>
  <c r="F780" i="16"/>
  <c r="F779" i="16"/>
  <c r="F778" i="16"/>
  <c r="F777" i="16"/>
  <c r="F776" i="16"/>
  <c r="F775" i="16"/>
  <c r="F774" i="16"/>
  <c r="F773" i="16"/>
  <c r="F772" i="16"/>
  <c r="F771" i="16"/>
  <c r="F770" i="16"/>
  <c r="F769" i="16"/>
  <c r="F768" i="16"/>
  <c r="F767" i="16"/>
  <c r="F766" i="16"/>
  <c r="F765" i="16"/>
  <c r="F764" i="16"/>
  <c r="F763" i="16"/>
  <c r="F762" i="16"/>
  <c r="F761" i="16"/>
  <c r="F760" i="16"/>
  <c r="F759" i="16"/>
  <c r="F758" i="16"/>
  <c r="F757" i="16"/>
  <c r="F756" i="16"/>
  <c r="F755" i="16"/>
  <c r="F754" i="16"/>
  <c r="F753" i="16"/>
  <c r="F752" i="16"/>
  <c r="F751" i="16"/>
  <c r="F750" i="16"/>
  <c r="F749" i="16"/>
  <c r="F748" i="16"/>
  <c r="F747" i="16"/>
  <c r="F746" i="16"/>
  <c r="F745" i="16"/>
  <c r="F744" i="16"/>
  <c r="F743" i="16"/>
  <c r="F742" i="16"/>
  <c r="F741" i="16"/>
  <c r="F740" i="16"/>
  <c r="F739" i="16"/>
  <c r="F738" i="16"/>
  <c r="F737" i="16"/>
  <c r="F736" i="16"/>
  <c r="F735" i="16"/>
  <c r="F734" i="16"/>
  <c r="F733" i="16"/>
  <c r="F732" i="16"/>
  <c r="F731" i="16"/>
  <c r="F730" i="16"/>
  <c r="F729" i="16"/>
  <c r="F728" i="16"/>
  <c r="F727" i="16"/>
  <c r="F726" i="16"/>
  <c r="F725" i="16"/>
  <c r="F724" i="16"/>
  <c r="F723" i="16"/>
  <c r="F722" i="16"/>
  <c r="F721" i="16"/>
  <c r="F720" i="16"/>
  <c r="F719" i="16"/>
  <c r="F718" i="16"/>
  <c r="F717" i="16"/>
  <c r="F716" i="16"/>
  <c r="F715" i="16"/>
  <c r="F714" i="16"/>
  <c r="F713" i="16"/>
  <c r="F712" i="16"/>
  <c r="F711" i="16"/>
  <c r="F710" i="16"/>
  <c r="F709" i="16"/>
  <c r="F708" i="16"/>
  <c r="F707" i="16"/>
  <c r="F706" i="16"/>
  <c r="F705" i="16"/>
  <c r="F704" i="16"/>
  <c r="F703" i="16"/>
  <c r="F702" i="16"/>
  <c r="F701" i="16"/>
  <c r="F700" i="16"/>
  <c r="F699" i="16"/>
  <c r="F698" i="16"/>
  <c r="F697" i="16"/>
  <c r="F696" i="16"/>
  <c r="F695" i="16"/>
  <c r="F694" i="16"/>
  <c r="F693" i="16"/>
  <c r="F692" i="16"/>
  <c r="F691" i="16"/>
  <c r="F690" i="16"/>
  <c r="F689" i="16"/>
  <c r="F688" i="16"/>
  <c r="F687" i="16"/>
  <c r="F686" i="16"/>
  <c r="F685" i="16"/>
  <c r="F684" i="16"/>
  <c r="F683" i="16"/>
  <c r="F682" i="16"/>
  <c r="F681" i="16"/>
  <c r="F680" i="16"/>
  <c r="F679" i="16"/>
  <c r="F678" i="16"/>
  <c r="F677" i="16"/>
  <c r="F676" i="16"/>
  <c r="F675" i="16"/>
  <c r="F674" i="16"/>
  <c r="F673" i="16"/>
  <c r="F672" i="16"/>
  <c r="F671" i="16"/>
  <c r="F670" i="16"/>
  <c r="F669" i="16"/>
  <c r="F668" i="16"/>
  <c r="F667" i="16"/>
  <c r="F666" i="16"/>
  <c r="F665" i="16"/>
  <c r="F664" i="16"/>
  <c r="F663" i="16"/>
  <c r="F662" i="16"/>
  <c r="F661" i="16"/>
  <c r="F660" i="16"/>
  <c r="F659" i="16"/>
  <c r="F658" i="16"/>
  <c r="F657" i="16"/>
  <c r="F656" i="16"/>
  <c r="F655" i="16"/>
  <c r="F654" i="16"/>
  <c r="F653" i="16"/>
  <c r="F652" i="16"/>
  <c r="F651" i="16"/>
  <c r="F650" i="16"/>
  <c r="F649" i="16"/>
  <c r="F648" i="16"/>
  <c r="F647" i="16"/>
  <c r="F646" i="16"/>
  <c r="F645" i="16"/>
  <c r="F644" i="16"/>
  <c r="F643" i="16"/>
  <c r="F642" i="16"/>
  <c r="F641" i="16"/>
  <c r="F640" i="16"/>
  <c r="F639" i="16"/>
  <c r="F638" i="16"/>
  <c r="F637" i="16"/>
  <c r="F636" i="16"/>
  <c r="F635" i="16"/>
  <c r="F634" i="16"/>
  <c r="F633" i="16"/>
  <c r="F632" i="16"/>
  <c r="F631" i="16"/>
  <c r="F630" i="16"/>
  <c r="F629" i="16"/>
  <c r="F628" i="16"/>
  <c r="F627" i="16"/>
  <c r="F626" i="16"/>
  <c r="F625" i="16"/>
  <c r="F624" i="16"/>
  <c r="F623" i="16"/>
  <c r="F622" i="16"/>
  <c r="F621" i="16"/>
  <c r="F620" i="16"/>
  <c r="F619" i="16"/>
  <c r="F618" i="16"/>
  <c r="F617" i="16"/>
  <c r="F616" i="16"/>
  <c r="F615" i="16"/>
  <c r="F614" i="16"/>
  <c r="F613" i="16"/>
  <c r="F612" i="16"/>
  <c r="F611" i="16"/>
  <c r="F610" i="16"/>
  <c r="F609" i="16"/>
  <c r="F608" i="16"/>
  <c r="F607" i="16"/>
  <c r="F606" i="16"/>
  <c r="F605" i="16"/>
  <c r="F604" i="16"/>
  <c r="I446" i="31"/>
  <c r="E446" i="31"/>
  <c r="D447" i="31"/>
  <c r="D446" i="31"/>
  <c r="AI446" i="31"/>
  <c r="AE447" i="31"/>
  <c r="AE446" i="31"/>
  <c r="Y446" i="31"/>
  <c r="X446" i="31"/>
  <c r="T446" i="31"/>
  <c r="S446" i="31"/>
  <c r="O446" i="31"/>
  <c r="N446" i="31"/>
  <c r="J446" i="31"/>
  <c r="AE417" i="31"/>
  <c r="Y417" i="31"/>
  <c r="X417" i="31"/>
  <c r="S417" i="31"/>
  <c r="N417" i="31"/>
  <c r="J417" i="31"/>
  <c r="I417" i="31"/>
  <c r="E417" i="31"/>
  <c r="D418" i="31"/>
  <c r="D417" i="31"/>
  <c r="AA2141" i="23"/>
  <c r="AB2141" i="23"/>
  <c r="AG2141" i="23"/>
  <c r="AA2142" i="23"/>
  <c r="AB2142" i="23"/>
  <c r="AG2142" i="23"/>
  <c r="AA2143" i="23"/>
  <c r="AB2143" i="23"/>
  <c r="AG2143" i="23"/>
  <c r="AA2144" i="23"/>
  <c r="AB2144" i="23"/>
  <c r="AG2144" i="23"/>
  <c r="AA2145" i="23"/>
  <c r="AB2145" i="23"/>
  <c r="AG2145" i="23"/>
  <c r="AA2146" i="23"/>
  <c r="AB2146" i="23"/>
  <c r="AG2146" i="23"/>
  <c r="AA2147" i="23"/>
  <c r="AB2147" i="23"/>
  <c r="AG2147" i="23"/>
  <c r="AA2148" i="23"/>
  <c r="AB2148" i="23"/>
  <c r="AG2148" i="23"/>
  <c r="AG2167" i="23" s="1"/>
  <c r="AL2142" i="23" s="1"/>
  <c r="AN2142" i="23" s="1"/>
  <c r="AA2149" i="23"/>
  <c r="AB2149" i="23"/>
  <c r="AG2149" i="23"/>
  <c r="AA2150" i="23"/>
  <c r="AB2150" i="23"/>
  <c r="AG2150" i="23"/>
  <c r="AA2151" i="23"/>
  <c r="AB2151" i="23"/>
  <c r="AG2151" i="23"/>
  <c r="AA2152" i="23"/>
  <c r="AB2152" i="23"/>
  <c r="AG2152" i="23"/>
  <c r="AA2153" i="23"/>
  <c r="AA2167" i="23" s="1"/>
  <c r="AL2140" i="23" s="1"/>
  <c r="AN2140" i="23" s="1"/>
  <c r="AB2153" i="23"/>
  <c r="AG2153" i="23"/>
  <c r="AA2154" i="23"/>
  <c r="AB2154" i="23"/>
  <c r="AG2154" i="23"/>
  <c r="AA2155" i="23"/>
  <c r="AB2155" i="23"/>
  <c r="AG2155" i="23"/>
  <c r="AA2156" i="23"/>
  <c r="AB2156" i="23"/>
  <c r="AG2156" i="23"/>
  <c r="AA2157" i="23"/>
  <c r="AB2157" i="23"/>
  <c r="AG2157" i="23"/>
  <c r="AA2158" i="23"/>
  <c r="AB2158" i="23"/>
  <c r="AG2158" i="23"/>
  <c r="AA2159" i="23"/>
  <c r="AB2159" i="23"/>
  <c r="AG2159" i="23"/>
  <c r="AA2160" i="23"/>
  <c r="AB2160" i="23"/>
  <c r="AG2160" i="23"/>
  <c r="AA2161" i="23"/>
  <c r="AB2161" i="23"/>
  <c r="AG2161" i="23"/>
  <c r="AA2162" i="23"/>
  <c r="AB2162" i="23"/>
  <c r="AG2162" i="23"/>
  <c r="AA2163" i="23"/>
  <c r="AB2163" i="23"/>
  <c r="AG2163" i="23"/>
  <c r="AA2164" i="23"/>
  <c r="AB2164" i="23"/>
  <c r="AG2164" i="23"/>
  <c r="AA2165" i="23"/>
  <c r="AB2165" i="23"/>
  <c r="AG2165" i="23"/>
  <c r="AA2166" i="23"/>
  <c r="AB2166" i="23"/>
  <c r="AG2166" i="23"/>
  <c r="E2167" i="23"/>
  <c r="J2167" i="23"/>
  <c r="O2167" i="23"/>
  <c r="T2167" i="23"/>
  <c r="Y2167" i="23"/>
  <c r="AB2167" i="23"/>
  <c r="AL2141" i="23" s="1"/>
  <c r="AN2141" i="23" s="1"/>
  <c r="AF2167" i="23"/>
  <c r="AA2168" i="23"/>
  <c r="AA2170" i="23" s="1"/>
  <c r="AL2143" i="23" s="1"/>
  <c r="AN2143" i="23" s="1"/>
  <c r="AB2168" i="23"/>
  <c r="AG2168" i="23"/>
  <c r="AA2169" i="23"/>
  <c r="AB2169" i="23"/>
  <c r="AG2169" i="23"/>
  <c r="AB2170" i="23"/>
  <c r="AL2144" i="23" s="1"/>
  <c r="AN2144" i="23" s="1"/>
  <c r="AG2170" i="23"/>
  <c r="AL2145" i="23" s="1"/>
  <c r="AN2145" i="23" s="1"/>
  <c r="C2171" i="23"/>
  <c r="AL2148" i="23" s="1"/>
  <c r="AN2148" i="23" s="1"/>
  <c r="AI419" i="31"/>
  <c r="AE419" i="31"/>
  <c r="Z425" i="31"/>
  <c r="AA425" i="31"/>
  <c r="AJ425" i="31"/>
  <c r="Z426" i="31"/>
  <c r="AA426" i="31"/>
  <c r="AJ426" i="31"/>
  <c r="Z427" i="31"/>
  <c r="AA427" i="31"/>
  <c r="AJ427" i="31"/>
  <c r="Z428" i="31"/>
  <c r="AA428" i="31"/>
  <c r="AJ428" i="31"/>
  <c r="AP428" i="31"/>
  <c r="Z429" i="31"/>
  <c r="AA429" i="31"/>
  <c r="AJ429" i="31"/>
  <c r="Z430" i="31"/>
  <c r="AA430" i="31"/>
  <c r="AJ430" i="31"/>
  <c r="AP430" i="31"/>
  <c r="Z431" i="31"/>
  <c r="AA431" i="31"/>
  <c r="AJ431" i="31"/>
  <c r="Z432" i="31"/>
  <c r="AA432" i="31"/>
  <c r="AJ432" i="31"/>
  <c r="Z433" i="31"/>
  <c r="AA433" i="31"/>
  <c r="AJ433" i="31"/>
  <c r="Z434" i="31"/>
  <c r="AA434" i="31"/>
  <c r="AJ434" i="31"/>
  <c r="Z435" i="31"/>
  <c r="AA435" i="31"/>
  <c r="AJ435" i="31"/>
  <c r="Z436" i="31"/>
  <c r="AA436" i="31"/>
  <c r="AJ436" i="31"/>
  <c r="Z437" i="31"/>
  <c r="AA437" i="31"/>
  <c r="AJ437" i="31"/>
  <c r="Z438" i="31"/>
  <c r="AA438" i="31"/>
  <c r="AJ438" i="31"/>
  <c r="Z439" i="31"/>
  <c r="AA439" i="31"/>
  <c r="AJ439" i="31"/>
  <c r="Z440" i="31"/>
  <c r="AA440" i="31"/>
  <c r="AJ440" i="31"/>
  <c r="Z441" i="31"/>
  <c r="AA441" i="31"/>
  <c r="AJ441" i="31"/>
  <c r="Z442" i="31"/>
  <c r="AA442" i="31"/>
  <c r="AJ442" i="31"/>
  <c r="Z443" i="31"/>
  <c r="AA443" i="31"/>
  <c r="AJ443" i="31"/>
  <c r="Z444" i="31"/>
  <c r="AA444" i="31"/>
  <c r="AJ444" i="31"/>
  <c r="Z445" i="31"/>
  <c r="AA445" i="31"/>
  <c r="AJ445" i="31"/>
  <c r="I447" i="31"/>
  <c r="N447" i="31"/>
  <c r="S447" i="31"/>
  <c r="X447" i="31"/>
  <c r="AI447" i="31"/>
  <c r="Z448" i="31"/>
  <c r="AO429" i="31" s="1"/>
  <c r="AQ429" i="31" s="1"/>
  <c r="AA448" i="31"/>
  <c r="AJ448" i="31"/>
  <c r="AK2086" i="23"/>
  <c r="I57" i="36" l="1"/>
  <c r="AC57" i="36"/>
  <c r="AO453" i="31"/>
  <c r="AQ453" i="31" s="1"/>
  <c r="AQ460" i="31" s="1"/>
  <c r="AJ447" i="31"/>
  <c r="Z446" i="31"/>
  <c r="Z447" i="31"/>
  <c r="AJ446" i="31"/>
  <c r="AO427" i="31" s="1"/>
  <c r="AQ427" i="31" s="1"/>
  <c r="AO430" i="31"/>
  <c r="AQ430" i="31" s="1"/>
  <c r="Y31" i="36"/>
  <c r="AC31" i="36"/>
  <c r="Y57" i="36"/>
  <c r="M57" i="36"/>
  <c r="Q57" i="36"/>
  <c r="E57" i="36"/>
  <c r="U57" i="36"/>
  <c r="AN2146" i="23"/>
  <c r="AA446" i="31"/>
  <c r="AO426" i="31" s="1"/>
  <c r="AQ426" i="31" s="1"/>
  <c r="AA447" i="31"/>
  <c r="AO428" i="31" s="1"/>
  <c r="AQ428" i="31" s="1"/>
  <c r="AO425" i="31"/>
  <c r="AQ425" i="31" s="1"/>
  <c r="AO424" i="31" l="1"/>
  <c r="AQ424" i="31" s="1"/>
  <c r="AQ431" i="31" s="1"/>
  <c r="U2019" i="23"/>
  <c r="P2019" i="23"/>
  <c r="K2019" i="23"/>
  <c r="F2019" i="23"/>
  <c r="AA2008" i="23"/>
  <c r="AB1993" i="23"/>
  <c r="AA1993" i="23"/>
  <c r="AA1967" i="23"/>
  <c r="Y1978" i="23"/>
  <c r="T1978" i="23"/>
  <c r="O1978" i="23"/>
  <c r="J1978" i="23"/>
  <c r="E1978" i="23"/>
  <c r="AA1937" i="23"/>
  <c r="F598" i="16"/>
  <c r="F594" i="16"/>
  <c r="F590" i="16"/>
  <c r="H2" i="16"/>
  <c r="Y1937" i="23"/>
  <c r="T1937" i="23"/>
  <c r="O1937" i="23"/>
  <c r="AA1894" i="23"/>
  <c r="AA339" i="31" l="1"/>
  <c r="Z349" i="31"/>
  <c r="AB2116" i="23"/>
  <c r="AB2104" i="23"/>
  <c r="AA2116" i="23"/>
  <c r="AA2104" i="23"/>
  <c r="AG2104" i="23"/>
  <c r="AA2105" i="23"/>
  <c r="AB2105" i="23"/>
  <c r="AG2105" i="23"/>
  <c r="AA2106" i="23"/>
  <c r="AB2106" i="23"/>
  <c r="AG2106" i="23"/>
  <c r="AA2107" i="23"/>
  <c r="AB2107" i="23"/>
  <c r="AG2107" i="23"/>
  <c r="AA2108" i="23"/>
  <c r="AB2108" i="23"/>
  <c r="AG2108" i="23"/>
  <c r="AA2109" i="23"/>
  <c r="AB2109" i="23"/>
  <c r="AG2109" i="23"/>
  <c r="AA2110" i="23"/>
  <c r="AB2110" i="23"/>
  <c r="AG2110" i="23"/>
  <c r="AA2111" i="23"/>
  <c r="AB2111" i="23"/>
  <c r="AG2111" i="23"/>
  <c r="AA2112" i="23"/>
  <c r="AB2112" i="23"/>
  <c r="AG2112" i="23"/>
  <c r="AA2113" i="23"/>
  <c r="AB2113" i="23"/>
  <c r="AG2113" i="23"/>
  <c r="AA2114" i="23"/>
  <c r="AB2114" i="23"/>
  <c r="AG2114" i="23"/>
  <c r="AA2115" i="23"/>
  <c r="AB2115" i="23"/>
  <c r="AG2115" i="23"/>
  <c r="AG2116" i="23"/>
  <c r="AA2117" i="23"/>
  <c r="AB2117" i="23"/>
  <c r="AG2117" i="23"/>
  <c r="AA2118" i="23"/>
  <c r="AB2118" i="23"/>
  <c r="AG2118" i="23"/>
  <c r="AA2119" i="23"/>
  <c r="AB2119" i="23"/>
  <c r="AG2119" i="23"/>
  <c r="AA2120" i="23"/>
  <c r="AB2120" i="23"/>
  <c r="AG2120" i="23"/>
  <c r="AA2121" i="23"/>
  <c r="AB2121" i="23"/>
  <c r="AG2121" i="23"/>
  <c r="AA2122" i="23"/>
  <c r="AB2122" i="23"/>
  <c r="AG2122" i="23"/>
  <c r="AA2123" i="23"/>
  <c r="AB2123" i="23"/>
  <c r="AG2123" i="23"/>
  <c r="AA2124" i="23"/>
  <c r="AB2124" i="23"/>
  <c r="AG2124" i="23"/>
  <c r="AA2125" i="23"/>
  <c r="AB2125" i="23"/>
  <c r="AG2125" i="23"/>
  <c r="AA2126" i="23"/>
  <c r="AB2126" i="23"/>
  <c r="AG2126" i="23"/>
  <c r="AA2127" i="23"/>
  <c r="AB2127" i="23"/>
  <c r="AG2127" i="23"/>
  <c r="AA2128" i="23"/>
  <c r="AB2128" i="23"/>
  <c r="AG2128" i="23"/>
  <c r="AA2129" i="23"/>
  <c r="AB2129" i="23"/>
  <c r="AG2129" i="23"/>
  <c r="E2130" i="23"/>
  <c r="J2130" i="23"/>
  <c r="O2130" i="23"/>
  <c r="T2130" i="23"/>
  <c r="Y2130" i="23"/>
  <c r="AF2130" i="23"/>
  <c r="AA2131" i="23"/>
  <c r="AB2131" i="23"/>
  <c r="AG2131" i="23"/>
  <c r="AA2132" i="23"/>
  <c r="AB2132" i="23"/>
  <c r="AG2132" i="23"/>
  <c r="AG2133" i="23" s="1"/>
  <c r="AL2108" i="23" s="1"/>
  <c r="AN2108" i="23" s="1"/>
  <c r="AA2133" i="23"/>
  <c r="AL2106" i="23" s="1"/>
  <c r="AN2106" i="23" s="1"/>
  <c r="AB2133" i="23"/>
  <c r="AL2107" i="23" s="1"/>
  <c r="AN2107" i="23" s="1"/>
  <c r="C2134" i="23"/>
  <c r="AL2111" i="23" s="1"/>
  <c r="AN2111" i="23" s="1"/>
  <c r="AP401" i="31"/>
  <c r="AP399" i="31"/>
  <c r="Y388" i="31"/>
  <c r="X388" i="31"/>
  <c r="X389" i="31"/>
  <c r="AP371" i="31"/>
  <c r="AP369" i="31"/>
  <c r="AJ378" i="31"/>
  <c r="AA378" i="31"/>
  <c r="Z378" i="31"/>
  <c r="AE418" i="31"/>
  <c r="AI417" i="31"/>
  <c r="F591" i="16"/>
  <c r="F592" i="16"/>
  <c r="F593" i="16"/>
  <c r="F595" i="16"/>
  <c r="F596" i="16"/>
  <c r="F597" i="16"/>
  <c r="AG2130" i="23" l="1"/>
  <c r="AL2105" i="23" s="1"/>
  <c r="AN2105" i="23" s="1"/>
  <c r="AB2130" i="23"/>
  <c r="AL2104" i="23" s="1"/>
  <c r="AN2104" i="23" s="1"/>
  <c r="AA2130" i="23"/>
  <c r="AL2103" i="23" s="1"/>
  <c r="AN2103" i="23" s="1"/>
  <c r="AA1898" i="23"/>
  <c r="AN2109" i="23" l="1"/>
  <c r="Z356" i="31"/>
  <c r="AJ379" i="31"/>
  <c r="AJ408" i="31"/>
  <c r="Z396" i="31"/>
  <c r="AA396" i="31"/>
  <c r="AJ396" i="31"/>
  <c r="Z407" i="31"/>
  <c r="AA407" i="31"/>
  <c r="AJ407" i="31"/>
  <c r="Z397" i="31"/>
  <c r="AA397" i="31"/>
  <c r="AJ397" i="31"/>
  <c r="Z398" i="31"/>
  <c r="AA398" i="31"/>
  <c r="AJ398" i="31"/>
  <c r="Z399" i="31"/>
  <c r="AA399" i="31"/>
  <c r="AJ399" i="31"/>
  <c r="Z408" i="31"/>
  <c r="AA408" i="31"/>
  <c r="Z409" i="31"/>
  <c r="AA409" i="31"/>
  <c r="AJ409" i="31"/>
  <c r="Z400" i="31"/>
  <c r="AA400" i="31"/>
  <c r="AJ400" i="31"/>
  <c r="Z401" i="31"/>
  <c r="AA401" i="31"/>
  <c r="AJ401" i="31"/>
  <c r="Z402" i="31"/>
  <c r="AA402" i="31"/>
  <c r="AJ402" i="31"/>
  <c r="Z410" i="31"/>
  <c r="AA410" i="31"/>
  <c r="AJ410" i="31"/>
  <c r="Z411" i="31"/>
  <c r="AA411" i="31"/>
  <c r="AJ411" i="31"/>
  <c r="Z412" i="31"/>
  <c r="AA412" i="31"/>
  <c r="AJ412" i="31"/>
  <c r="Z403" i="31"/>
  <c r="AA403" i="31"/>
  <c r="AJ403" i="31"/>
  <c r="Z413" i="31"/>
  <c r="AA413" i="31"/>
  <c r="AJ413" i="31"/>
  <c r="Z404" i="31"/>
  <c r="AA404" i="31"/>
  <c r="AJ404" i="31"/>
  <c r="Z405" i="31"/>
  <c r="AA405" i="31"/>
  <c r="AJ405" i="31"/>
  <c r="Z406" i="31"/>
  <c r="AA406" i="31"/>
  <c r="AJ406" i="31"/>
  <c r="Z414" i="31"/>
  <c r="AA414" i="31"/>
  <c r="AJ414" i="31"/>
  <c r="Z415" i="31"/>
  <c r="AA415" i="31"/>
  <c r="AJ415" i="31"/>
  <c r="Z416" i="31"/>
  <c r="AA416" i="31"/>
  <c r="AJ416" i="31"/>
  <c r="O417" i="31"/>
  <c r="T417" i="31"/>
  <c r="I418" i="31"/>
  <c r="N418" i="31"/>
  <c r="S418" i="31"/>
  <c r="X418" i="31"/>
  <c r="AI418" i="31"/>
  <c r="AJ418" i="31" s="1"/>
  <c r="Z419" i="31"/>
  <c r="AO400" i="31" s="1"/>
  <c r="AQ400" i="31" s="1"/>
  <c r="AA419" i="31"/>
  <c r="AJ419" i="31"/>
  <c r="Z379" i="31"/>
  <c r="AA379" i="31"/>
  <c r="Z386" i="31"/>
  <c r="X359" i="31"/>
  <c r="X358" i="31"/>
  <c r="X327" i="31"/>
  <c r="X326" i="31"/>
  <c r="AJ259" i="31"/>
  <c r="Z259" i="31"/>
  <c r="Z292" i="31"/>
  <c r="Z324" i="31"/>
  <c r="N389" i="31"/>
  <c r="N388" i="31"/>
  <c r="AA2067" i="23"/>
  <c r="AB2067" i="23"/>
  <c r="AG2067" i="23"/>
  <c r="AA2068" i="23"/>
  <c r="AB2068" i="23"/>
  <c r="AG2068" i="23"/>
  <c r="AA2069" i="23"/>
  <c r="AB2069" i="23"/>
  <c r="AG2069" i="23"/>
  <c r="AA2070" i="23"/>
  <c r="AB2070" i="23"/>
  <c r="AG2070" i="23"/>
  <c r="AA2071" i="23"/>
  <c r="AB2071" i="23"/>
  <c r="AG2071" i="23"/>
  <c r="AA2072" i="23"/>
  <c r="AB2072" i="23"/>
  <c r="AG2072" i="23"/>
  <c r="AA2073" i="23"/>
  <c r="AB2073" i="23"/>
  <c r="AG2073" i="23"/>
  <c r="AA2074" i="23"/>
  <c r="AB2074" i="23"/>
  <c r="AG2074" i="23"/>
  <c r="AA2075" i="23"/>
  <c r="AB2075" i="23"/>
  <c r="AG2075" i="23"/>
  <c r="AA2076" i="23"/>
  <c r="AB2076" i="23"/>
  <c r="AG2076" i="23"/>
  <c r="AA2077" i="23"/>
  <c r="AB2077" i="23"/>
  <c r="AG2077" i="23"/>
  <c r="AA2078" i="23"/>
  <c r="AB2078" i="23"/>
  <c r="AG2078" i="23"/>
  <c r="AA2079" i="23"/>
  <c r="AB2079" i="23"/>
  <c r="AG2079" i="23"/>
  <c r="AA2080" i="23"/>
  <c r="AB2080" i="23"/>
  <c r="AG2080" i="23"/>
  <c r="AA2081" i="23"/>
  <c r="AB2081" i="23"/>
  <c r="AG2081" i="23"/>
  <c r="AA2082" i="23"/>
  <c r="AB2082" i="23"/>
  <c r="AG2082" i="23"/>
  <c r="AA2083" i="23"/>
  <c r="AB2083" i="23"/>
  <c r="AG2083" i="23"/>
  <c r="AA2084" i="23"/>
  <c r="AB2084" i="23"/>
  <c r="AG2084" i="23"/>
  <c r="AA2085" i="23"/>
  <c r="AB2085" i="23"/>
  <c r="AG2085" i="23"/>
  <c r="AA2086" i="23"/>
  <c r="AB2086" i="23"/>
  <c r="AG2086" i="23"/>
  <c r="AA2087" i="23"/>
  <c r="AB2087" i="23"/>
  <c r="AG2087" i="23"/>
  <c r="AA2088" i="23"/>
  <c r="AB2088" i="23"/>
  <c r="AG2088" i="23"/>
  <c r="AA2089" i="23"/>
  <c r="AB2089" i="23"/>
  <c r="AG2089" i="23"/>
  <c r="AA2090" i="23"/>
  <c r="AB2090" i="23"/>
  <c r="AG2090" i="23"/>
  <c r="AA2091" i="23"/>
  <c r="AB2091" i="23"/>
  <c r="AG2091" i="23"/>
  <c r="AA2092" i="23"/>
  <c r="AB2092" i="23"/>
  <c r="AG2092" i="23"/>
  <c r="E2093" i="23"/>
  <c r="J2093" i="23"/>
  <c r="O2093" i="23"/>
  <c r="T2093" i="23"/>
  <c r="Y2093" i="23"/>
  <c r="AF2093" i="23"/>
  <c r="AA2094" i="23"/>
  <c r="AB2094" i="23"/>
  <c r="AG2094" i="23"/>
  <c r="AA2095" i="23"/>
  <c r="AB2095" i="23"/>
  <c r="AB2096" i="23" s="1"/>
  <c r="AL2070" i="23" s="1"/>
  <c r="AN2070" i="23" s="1"/>
  <c r="AG2095" i="23"/>
  <c r="AG2096" i="23" s="1"/>
  <c r="AL2071" i="23" s="1"/>
  <c r="AN2071" i="23" s="1"/>
  <c r="AN2074" i="23"/>
  <c r="D388" i="31"/>
  <c r="AK2085" i="23" l="1"/>
  <c r="AO401" i="31"/>
  <c r="AQ401" i="31" s="1"/>
  <c r="Z417" i="31"/>
  <c r="AA2096" i="23"/>
  <c r="AL2069" i="23" s="1"/>
  <c r="AN2069" i="23" s="1"/>
  <c r="AG2093" i="23"/>
  <c r="AL2068" i="23" s="1"/>
  <c r="AN2068" i="23" s="1"/>
  <c r="AB2093" i="23"/>
  <c r="AL2067" i="23" s="1"/>
  <c r="AN2067" i="23" s="1"/>
  <c r="AA417" i="31"/>
  <c r="AO397" i="31" s="1"/>
  <c r="AQ397" i="31" s="1"/>
  <c r="Z418" i="31"/>
  <c r="AO396" i="31" s="1"/>
  <c r="AQ396" i="31" s="1"/>
  <c r="AA418" i="31"/>
  <c r="AO399" i="31" s="1"/>
  <c r="AQ399" i="31" s="1"/>
  <c r="AJ417" i="31"/>
  <c r="AA2093" i="23"/>
  <c r="N326" i="31"/>
  <c r="Z205" i="31"/>
  <c r="AA205" i="31"/>
  <c r="Z206" i="31"/>
  <c r="AA206" i="31"/>
  <c r="Z207" i="31"/>
  <c r="AA207" i="31"/>
  <c r="Z208" i="31"/>
  <c r="AA208" i="31"/>
  <c r="Z209" i="31"/>
  <c r="AA209" i="31"/>
  <c r="Z210" i="31"/>
  <c r="AA210" i="31"/>
  <c r="Z211" i="31"/>
  <c r="AA211" i="31"/>
  <c r="Z212" i="31"/>
  <c r="AA212" i="31"/>
  <c r="Z213" i="31"/>
  <c r="AA213" i="31"/>
  <c r="Z214" i="31"/>
  <c r="AA214" i="31"/>
  <c r="Z215" i="31"/>
  <c r="AA215" i="31"/>
  <c r="Z216" i="31"/>
  <c r="AA216" i="31"/>
  <c r="Z217" i="31"/>
  <c r="AA217" i="31"/>
  <c r="Z218" i="31"/>
  <c r="AA218" i="31"/>
  <c r="Z219" i="31"/>
  <c r="AA219" i="31"/>
  <c r="Z220" i="31"/>
  <c r="AA220" i="31"/>
  <c r="Z221" i="31"/>
  <c r="AA221" i="31"/>
  <c r="Z222" i="31"/>
  <c r="AA222" i="31"/>
  <c r="Z223" i="31"/>
  <c r="AA223" i="31"/>
  <c r="Z224" i="31"/>
  <c r="AA224" i="31"/>
  <c r="Z225" i="31"/>
  <c r="AA225" i="31"/>
  <c r="Z226" i="31"/>
  <c r="AA226" i="31"/>
  <c r="Z227" i="31"/>
  <c r="AA227" i="31"/>
  <c r="Z228" i="31"/>
  <c r="AA228" i="31"/>
  <c r="D229" i="31"/>
  <c r="E229" i="31"/>
  <c r="I229" i="31"/>
  <c r="J229" i="31"/>
  <c r="N229" i="31"/>
  <c r="O229" i="31"/>
  <c r="S229" i="31"/>
  <c r="T229" i="31"/>
  <c r="X229" i="31"/>
  <c r="Y229" i="31"/>
  <c r="AE229" i="31"/>
  <c r="D230" i="31"/>
  <c r="I230" i="31"/>
  <c r="N230" i="31"/>
  <c r="S230" i="31"/>
  <c r="X230" i="31"/>
  <c r="AE230" i="31"/>
  <c r="Z231" i="31"/>
  <c r="AA231" i="31"/>
  <c r="AE231" i="31"/>
  <c r="N327" i="31"/>
  <c r="I327" i="31"/>
  <c r="I326" i="31"/>
  <c r="D327" i="31"/>
  <c r="D326" i="31"/>
  <c r="AI360" i="31"/>
  <c r="AJ390" i="31"/>
  <c r="AA390" i="31"/>
  <c r="AO371" i="31" s="1"/>
  <c r="AQ371" i="31" s="1"/>
  <c r="Z390" i="31"/>
  <c r="AO370" i="31" s="1"/>
  <c r="AQ370" i="31" s="1"/>
  <c r="AI389" i="31"/>
  <c r="AE389" i="31"/>
  <c r="S389" i="31"/>
  <c r="I389" i="31"/>
  <c r="D389" i="31"/>
  <c r="AI388" i="31"/>
  <c r="AE388" i="31"/>
  <c r="T388" i="31"/>
  <c r="S388" i="31"/>
  <c r="O388" i="31"/>
  <c r="J388" i="31"/>
  <c r="I388" i="31"/>
  <c r="E388" i="31"/>
  <c r="AJ386" i="31"/>
  <c r="AA386" i="31"/>
  <c r="AJ385" i="31"/>
  <c r="AA385" i="31"/>
  <c r="AA389" i="31" s="1"/>
  <c r="Z385" i="31"/>
  <c r="Z389" i="31" s="1"/>
  <c r="AO366" i="31" s="1"/>
  <c r="AQ366" i="31" s="1"/>
  <c r="AJ387" i="31"/>
  <c r="AA387" i="31"/>
  <c r="Z387" i="31"/>
  <c r="AJ377" i="31"/>
  <c r="AA377" i="31"/>
  <c r="Z377" i="31"/>
  <c r="AJ376" i="31"/>
  <c r="AA376" i="31"/>
  <c r="Z376" i="31"/>
  <c r="AJ375" i="31"/>
  <c r="AA375" i="31"/>
  <c r="Z375" i="31"/>
  <c r="AJ384" i="31"/>
  <c r="AA384" i="31"/>
  <c r="Z384" i="31"/>
  <c r="AJ374" i="31"/>
  <c r="AA374" i="31"/>
  <c r="Z374" i="31"/>
  <c r="AJ383" i="31"/>
  <c r="AA383" i="31"/>
  <c r="Z383" i="31"/>
  <c r="AJ382" i="31"/>
  <c r="AA382" i="31"/>
  <c r="Z382" i="31"/>
  <c r="AJ381" i="31"/>
  <c r="AA381" i="31"/>
  <c r="Z381" i="31"/>
  <c r="AJ373" i="31"/>
  <c r="AA373" i="31"/>
  <c r="Z373" i="31"/>
  <c r="AJ372" i="31"/>
  <c r="AA372" i="31"/>
  <c r="Z372" i="31"/>
  <c r="AJ371" i="31"/>
  <c r="AA371" i="31"/>
  <c r="Z371" i="31"/>
  <c r="AJ380" i="31"/>
  <c r="AA380" i="31"/>
  <c r="Z380" i="31"/>
  <c r="AJ370" i="31"/>
  <c r="AA370" i="31"/>
  <c r="Z370" i="31"/>
  <c r="AJ369" i="31"/>
  <c r="AA369" i="31"/>
  <c r="Z369" i="31"/>
  <c r="AJ368" i="31"/>
  <c r="AA368" i="31"/>
  <c r="Z368" i="31"/>
  <c r="AJ367" i="31"/>
  <c r="AA367" i="31"/>
  <c r="Z367" i="31"/>
  <c r="AJ366" i="31"/>
  <c r="AA366" i="31"/>
  <c r="Z366" i="31"/>
  <c r="AE360" i="31"/>
  <c r="AA700" i="20"/>
  <c r="AB700" i="20"/>
  <c r="AB702" i="20" s="1"/>
  <c r="AL700" i="20" s="1"/>
  <c r="AG700" i="20"/>
  <c r="AG702" i="20" s="1"/>
  <c r="AL701" i="20" s="1"/>
  <c r="AN701" i="20" s="1"/>
  <c r="AM700" i="20"/>
  <c r="AA701" i="20"/>
  <c r="AB701" i="20"/>
  <c r="AG701" i="20"/>
  <c r="E702" i="20"/>
  <c r="F702" i="20"/>
  <c r="J702" i="20"/>
  <c r="K702" i="20"/>
  <c r="O702" i="20"/>
  <c r="P702" i="20"/>
  <c r="T702" i="20"/>
  <c r="U702" i="20"/>
  <c r="Y702" i="20"/>
  <c r="Z702" i="20"/>
  <c r="AA702" i="20"/>
  <c r="AL699" i="20" s="1"/>
  <c r="AN699" i="20" s="1"/>
  <c r="AF702" i="20"/>
  <c r="AA691" i="20"/>
  <c r="AB691" i="20"/>
  <c r="AG691" i="20"/>
  <c r="AM691" i="20"/>
  <c r="AA692" i="20"/>
  <c r="AB692" i="20"/>
  <c r="AG692" i="20"/>
  <c r="E693" i="20"/>
  <c r="F693" i="20"/>
  <c r="J693" i="20"/>
  <c r="K693" i="20"/>
  <c r="O693" i="20"/>
  <c r="P693" i="20"/>
  <c r="T693" i="20"/>
  <c r="U693" i="20"/>
  <c r="Y693" i="20"/>
  <c r="Z693" i="20"/>
  <c r="AB693" i="20"/>
  <c r="AL691" i="20" s="1"/>
  <c r="AF693" i="20"/>
  <c r="AG693" i="20"/>
  <c r="AL692" i="20" s="1"/>
  <c r="AN692" i="20" s="1"/>
  <c r="AA683" i="20"/>
  <c r="AA685" i="20" s="1"/>
  <c r="AL682" i="20" s="1"/>
  <c r="AN682" i="20" s="1"/>
  <c r="AB683" i="20"/>
  <c r="AG683" i="20"/>
  <c r="AM683" i="20"/>
  <c r="AA684" i="20"/>
  <c r="AB684" i="20"/>
  <c r="AG684" i="20"/>
  <c r="E685" i="20"/>
  <c r="F685" i="20"/>
  <c r="J685" i="20"/>
  <c r="K685" i="20"/>
  <c r="O685" i="20"/>
  <c r="P685" i="20"/>
  <c r="T685" i="20"/>
  <c r="U685" i="20"/>
  <c r="Y685" i="20"/>
  <c r="Z685" i="20"/>
  <c r="AB685" i="20"/>
  <c r="AL683" i="20" s="1"/>
  <c r="AN683" i="20" s="1"/>
  <c r="AF685" i="20"/>
  <c r="AG685" i="20"/>
  <c r="AL684" i="20" s="1"/>
  <c r="AN684" i="20" s="1"/>
  <c r="AA675" i="20"/>
  <c r="AB675" i="20"/>
  <c r="AG675" i="20"/>
  <c r="AM675" i="20"/>
  <c r="AA676" i="20"/>
  <c r="AB676" i="20"/>
  <c r="AG676" i="20"/>
  <c r="E677" i="20"/>
  <c r="F677" i="20"/>
  <c r="J677" i="20"/>
  <c r="K677" i="20"/>
  <c r="O677" i="20"/>
  <c r="P677" i="20"/>
  <c r="T677" i="20"/>
  <c r="U677" i="20"/>
  <c r="Y677" i="20"/>
  <c r="Z677" i="20"/>
  <c r="AB677" i="20"/>
  <c r="AL675" i="20" s="1"/>
  <c r="AF677" i="20"/>
  <c r="AG677" i="20"/>
  <c r="AL676" i="20" s="1"/>
  <c r="AN676" i="20" s="1"/>
  <c r="I359" i="31"/>
  <c r="I358" i="31"/>
  <c r="D359" i="31"/>
  <c r="D358" i="31"/>
  <c r="C2060" i="23"/>
  <c r="AG2058" i="23"/>
  <c r="AG2059" i="23" s="1"/>
  <c r="AB2058" i="23"/>
  <c r="AB2059" i="23" s="1"/>
  <c r="AA2058" i="23"/>
  <c r="AG2057" i="23"/>
  <c r="AB2057" i="23"/>
  <c r="AA2057" i="23"/>
  <c r="AA2059" i="23" s="1"/>
  <c r="AL2032" i="23" s="1"/>
  <c r="AN2032" i="23" s="1"/>
  <c r="AF2056" i="23"/>
  <c r="Y2056" i="23"/>
  <c r="T2056" i="23"/>
  <c r="O2056" i="23"/>
  <c r="J2056" i="23"/>
  <c r="E2056" i="23"/>
  <c r="AG2055" i="23"/>
  <c r="AB2055" i="23"/>
  <c r="AA2055" i="23"/>
  <c r="AG2054" i="23"/>
  <c r="AB2054" i="23"/>
  <c r="AA2054" i="23"/>
  <c r="AG2053" i="23"/>
  <c r="AB2053" i="23"/>
  <c r="AA2053" i="23"/>
  <c r="AG2052" i="23"/>
  <c r="AB2052" i="23"/>
  <c r="AA2052" i="23"/>
  <c r="AG2051" i="23"/>
  <c r="AB2051" i="23"/>
  <c r="AA2051" i="23"/>
  <c r="AG2050" i="23"/>
  <c r="AB2050" i="23"/>
  <c r="AA2050" i="23"/>
  <c r="AG2049" i="23"/>
  <c r="AB2049" i="23"/>
  <c r="AA2049" i="23"/>
  <c r="AG2048" i="23"/>
  <c r="AB2048" i="23"/>
  <c r="AA2048" i="23"/>
  <c r="AG2047" i="23"/>
  <c r="AB2047" i="23"/>
  <c r="AA2047" i="23"/>
  <c r="AG2046" i="23"/>
  <c r="AB2046" i="23"/>
  <c r="AA2046" i="23"/>
  <c r="AG2045" i="23"/>
  <c r="AB2045" i="23"/>
  <c r="AA2045" i="23"/>
  <c r="AG2044" i="23"/>
  <c r="AB2044" i="23"/>
  <c r="AA2044" i="23"/>
  <c r="AG2043" i="23"/>
  <c r="AB2043" i="23"/>
  <c r="AA2043" i="23"/>
  <c r="AG2042" i="23"/>
  <c r="AB2042" i="23"/>
  <c r="AA2042" i="23"/>
  <c r="AG2041" i="23"/>
  <c r="AB2041" i="23"/>
  <c r="AA2041" i="23"/>
  <c r="AG2040" i="23"/>
  <c r="AB2040" i="23"/>
  <c r="AA2040" i="23"/>
  <c r="AG2039" i="23"/>
  <c r="AB2039" i="23"/>
  <c r="AA2039" i="23"/>
  <c r="AG2038" i="23"/>
  <c r="AB2038" i="23"/>
  <c r="AA2038" i="23"/>
  <c r="AN2037" i="23"/>
  <c r="AG2037" i="23"/>
  <c r="AB2037" i="23"/>
  <c r="AA2037" i="23"/>
  <c r="AG2036" i="23"/>
  <c r="AB2036" i="23"/>
  <c r="AA2036" i="23"/>
  <c r="AG2035" i="23"/>
  <c r="AB2035" i="23"/>
  <c r="AA2035" i="23"/>
  <c r="AL2034" i="23"/>
  <c r="AN2034" i="23" s="1"/>
  <c r="AG2034" i="23"/>
  <c r="AB2034" i="23"/>
  <c r="AA2034" i="23"/>
  <c r="AL2033" i="23"/>
  <c r="AN2033" i="23" s="1"/>
  <c r="AG2033" i="23"/>
  <c r="AB2033" i="23"/>
  <c r="AA2033" i="23"/>
  <c r="AG2032" i="23"/>
  <c r="AB2032" i="23"/>
  <c r="AA2032" i="23"/>
  <c r="AG2031" i="23"/>
  <c r="AB2031" i="23"/>
  <c r="AA2031" i="23"/>
  <c r="AG2030" i="23"/>
  <c r="AB2030" i="23"/>
  <c r="AA2030" i="23"/>
  <c r="AI328" i="31"/>
  <c r="AA360" i="31"/>
  <c r="Z360" i="31"/>
  <c r="AO338" i="31" s="1"/>
  <c r="AQ338" i="31" s="1"/>
  <c r="AI359" i="31"/>
  <c r="AE359" i="31"/>
  <c r="S359" i="31"/>
  <c r="N359" i="31"/>
  <c r="AI358" i="31"/>
  <c r="AE358" i="31"/>
  <c r="Y358" i="31"/>
  <c r="T358" i="31"/>
  <c r="S358" i="31"/>
  <c r="O358" i="31"/>
  <c r="N358" i="31"/>
  <c r="J358" i="31"/>
  <c r="E358" i="31"/>
  <c r="AJ357" i="31"/>
  <c r="AA357" i="31"/>
  <c r="Z357" i="31"/>
  <c r="AJ356" i="31"/>
  <c r="AA356" i="31"/>
  <c r="AJ355" i="31"/>
  <c r="AA355" i="31"/>
  <c r="Z355" i="31"/>
  <c r="AJ354" i="31"/>
  <c r="AA354" i="31"/>
  <c r="Z354" i="31"/>
  <c r="AJ353" i="31"/>
  <c r="AA353" i="31"/>
  <c r="Z353" i="31"/>
  <c r="AJ352" i="31"/>
  <c r="AA352" i="31"/>
  <c r="Z352" i="31"/>
  <c r="AJ351" i="31"/>
  <c r="AA351" i="31"/>
  <c r="Z351" i="31"/>
  <c r="AJ350" i="31"/>
  <c r="AA350" i="31"/>
  <c r="Z350" i="31"/>
  <c r="AJ349" i="31"/>
  <c r="AA349" i="31"/>
  <c r="AJ348" i="31"/>
  <c r="AA348" i="31"/>
  <c r="Z348" i="31"/>
  <c r="AJ347" i="31"/>
  <c r="AA347" i="31"/>
  <c r="Z347" i="31"/>
  <c r="AJ346" i="31"/>
  <c r="AA346" i="31"/>
  <c r="Z346" i="31"/>
  <c r="AJ345" i="31"/>
  <c r="AA345" i="31"/>
  <c r="Z345" i="31"/>
  <c r="AJ344" i="31"/>
  <c r="AA344" i="31"/>
  <c r="Z344" i="31"/>
  <c r="AJ343" i="31"/>
  <c r="AA343" i="31"/>
  <c r="Z343" i="31"/>
  <c r="AJ342" i="31"/>
  <c r="AA342" i="31"/>
  <c r="Z342" i="31"/>
  <c r="AJ341" i="31"/>
  <c r="AA341" i="31"/>
  <c r="Z341" i="31"/>
  <c r="AJ340" i="31"/>
  <c r="AA340" i="31"/>
  <c r="Z340" i="31"/>
  <c r="AP339" i="31"/>
  <c r="AJ339" i="31"/>
  <c r="Z339" i="31"/>
  <c r="AJ338" i="31"/>
  <c r="AA338" i="31"/>
  <c r="Z338" i="31"/>
  <c r="AP337" i="31"/>
  <c r="AJ337" i="31"/>
  <c r="AA337" i="31"/>
  <c r="Z337" i="31"/>
  <c r="AJ336" i="31"/>
  <c r="AA336" i="31"/>
  <c r="Z336" i="31"/>
  <c r="AJ335" i="31"/>
  <c r="AA335" i="31"/>
  <c r="Z335" i="31"/>
  <c r="AJ334" i="31"/>
  <c r="AA334" i="31"/>
  <c r="Z334" i="31"/>
  <c r="AE328" i="31"/>
  <c r="C1544" i="23"/>
  <c r="AL1526" i="23" s="1"/>
  <c r="AJ271" i="31"/>
  <c r="AG1989" i="23"/>
  <c r="AA1990" i="23"/>
  <c r="AB1990" i="23"/>
  <c r="AG1990" i="23"/>
  <c r="AA1991" i="23"/>
  <c r="AB1991" i="23"/>
  <c r="AG1991" i="23"/>
  <c r="AA1992" i="23"/>
  <c r="AB1992" i="23"/>
  <c r="AG1992" i="23"/>
  <c r="AB2019" i="23"/>
  <c r="AG1993" i="23"/>
  <c r="AA1994" i="23"/>
  <c r="AB1994" i="23"/>
  <c r="AG1994" i="23"/>
  <c r="AA1995" i="23"/>
  <c r="AB1995" i="23"/>
  <c r="AG1995" i="23"/>
  <c r="AA1996" i="23"/>
  <c r="AB1996" i="23"/>
  <c r="AG1996" i="23"/>
  <c r="AA1997" i="23"/>
  <c r="AB1997" i="23"/>
  <c r="AG1997" i="23"/>
  <c r="AA1998" i="23"/>
  <c r="AB1998" i="23"/>
  <c r="AG1998" i="23"/>
  <c r="AA1999" i="23"/>
  <c r="AB1999" i="23"/>
  <c r="AG1999" i="23"/>
  <c r="AA2000" i="23"/>
  <c r="AB2000" i="23"/>
  <c r="AG2000" i="23"/>
  <c r="AA2001" i="23"/>
  <c r="AB2001" i="23"/>
  <c r="AG2001" i="23"/>
  <c r="AA2002" i="23"/>
  <c r="AB2002" i="23"/>
  <c r="AG2002" i="23"/>
  <c r="AA2003" i="23"/>
  <c r="AB2003" i="23"/>
  <c r="AG2003" i="23"/>
  <c r="AA2004" i="23"/>
  <c r="AB2004" i="23"/>
  <c r="AG2004" i="23"/>
  <c r="AG2005" i="23"/>
  <c r="AA2006" i="23"/>
  <c r="AB2006" i="23"/>
  <c r="AG2006" i="23"/>
  <c r="AA2007" i="23"/>
  <c r="AB2007" i="23"/>
  <c r="AG2007" i="23"/>
  <c r="AB2008" i="23"/>
  <c r="AG2008" i="23"/>
  <c r="AA2009" i="23"/>
  <c r="AB2009" i="23"/>
  <c r="AG2009" i="23"/>
  <c r="AA2010" i="23"/>
  <c r="AB2010" i="23"/>
  <c r="AG2010" i="23"/>
  <c r="AA2011" i="23"/>
  <c r="AB2011" i="23"/>
  <c r="AG2011" i="23"/>
  <c r="AA2012" i="23"/>
  <c r="AB2012" i="23"/>
  <c r="AG2012" i="23"/>
  <c r="AA2013" i="23"/>
  <c r="AB2013" i="23"/>
  <c r="AG2013" i="23"/>
  <c r="AA2014" i="23"/>
  <c r="AB2014" i="23"/>
  <c r="AG2014" i="23"/>
  <c r="AA2015" i="23"/>
  <c r="AB2015" i="23"/>
  <c r="AG2015" i="23"/>
  <c r="AA2016" i="23"/>
  <c r="AB2016" i="23"/>
  <c r="AG2016" i="23"/>
  <c r="AA2017" i="23"/>
  <c r="AB2017" i="23"/>
  <c r="AG2017" i="23"/>
  <c r="AA2018" i="23"/>
  <c r="AB2018" i="23"/>
  <c r="AG2018" i="23"/>
  <c r="E2019" i="23"/>
  <c r="J2019" i="23"/>
  <c r="O2019" i="23"/>
  <c r="T2019" i="23"/>
  <c r="Y2019" i="23"/>
  <c r="AF2019" i="23"/>
  <c r="AG2019" i="23"/>
  <c r="AL1990" i="23" s="1"/>
  <c r="AN1990" i="23" s="1"/>
  <c r="AA2020" i="23"/>
  <c r="AB2020" i="23"/>
  <c r="AG2020" i="23"/>
  <c r="AA2021" i="23"/>
  <c r="AA2022" i="23" s="1"/>
  <c r="AL1991" i="23" s="1"/>
  <c r="AN1991" i="23" s="1"/>
  <c r="AB2021" i="23"/>
  <c r="AB2022" i="23" s="1"/>
  <c r="AL1992" i="23" s="1"/>
  <c r="AN1992" i="23" s="1"/>
  <c r="AG2021" i="23"/>
  <c r="AG2022" i="23" s="1"/>
  <c r="AL1993" i="23" s="1"/>
  <c r="AN1993" i="23" s="1"/>
  <c r="C2023" i="23"/>
  <c r="AL1996" i="23" s="1"/>
  <c r="AN1996" i="23" s="1"/>
  <c r="AJ282" i="31"/>
  <c r="AI296" i="31"/>
  <c r="AE296" i="31"/>
  <c r="S295" i="31"/>
  <c r="S294" i="31"/>
  <c r="Z271" i="31"/>
  <c r="AA271" i="31"/>
  <c r="I294" i="31"/>
  <c r="I295" i="31"/>
  <c r="D295" i="31"/>
  <c r="D294" i="31"/>
  <c r="Z100" i="31"/>
  <c r="Z283" i="31"/>
  <c r="Z247" i="31"/>
  <c r="AN691" i="20" l="1"/>
  <c r="AA677" i="20"/>
  <c r="AL674" i="20" s="1"/>
  <c r="AN674" i="20" s="1"/>
  <c r="AA693" i="20"/>
  <c r="AL690" i="20" s="1"/>
  <c r="AN690" i="20" s="1"/>
  <c r="AN675" i="20"/>
  <c r="AN677" i="20" s="1"/>
  <c r="AA359" i="31"/>
  <c r="AJ389" i="31"/>
  <c r="Z358" i="31"/>
  <c r="AO333" i="31" s="1"/>
  <c r="AQ333" i="31" s="1"/>
  <c r="Z388" i="31"/>
  <c r="AO365" i="31" s="1"/>
  <c r="AQ365" i="31" s="1"/>
  <c r="AO395" i="31"/>
  <c r="AQ395" i="31" s="1"/>
  <c r="AO398" i="31"/>
  <c r="AQ398" i="31" s="1"/>
  <c r="AL1989" i="23"/>
  <c r="AN1989" i="23" s="1"/>
  <c r="Z230" i="31"/>
  <c r="AA230" i="31"/>
  <c r="AA229" i="31"/>
  <c r="AO369" i="31"/>
  <c r="AQ369" i="31" s="1"/>
  <c r="Z229" i="31"/>
  <c r="AN700" i="20"/>
  <c r="AN702" i="20" s="1"/>
  <c r="AL2066" i="23"/>
  <c r="AN2066" i="23" s="1"/>
  <c r="AN2072" i="23" s="1"/>
  <c r="AJ359" i="31"/>
  <c r="AJ360" i="31"/>
  <c r="AO339" i="31" s="1"/>
  <c r="AQ339" i="31" s="1"/>
  <c r="AJ388" i="31"/>
  <c r="AO368" i="31" s="1"/>
  <c r="AQ368" i="31" s="1"/>
  <c r="AA388" i="31"/>
  <c r="AO367" i="31" s="1"/>
  <c r="AQ367" i="31" s="1"/>
  <c r="AJ358" i="31"/>
  <c r="AO336" i="31" s="1"/>
  <c r="AQ336" i="31" s="1"/>
  <c r="AN693" i="20"/>
  <c r="AN685" i="20"/>
  <c r="AG2056" i="23"/>
  <c r="AL2031" i="23" s="1"/>
  <c r="AN2031" i="23" s="1"/>
  <c r="AB2056" i="23"/>
  <c r="AL2030" i="23" s="1"/>
  <c r="AN2030" i="23" s="1"/>
  <c r="AA2056" i="23"/>
  <c r="Z359" i="31"/>
  <c r="AO334" i="31" s="1"/>
  <c r="AQ334" i="31" s="1"/>
  <c r="AA358" i="31"/>
  <c r="AO335" i="31" s="1"/>
  <c r="AQ335" i="31" s="1"/>
  <c r="AA2019" i="23"/>
  <c r="AL1988" i="23" s="1"/>
  <c r="AN1988" i="23" s="1"/>
  <c r="AF1978" i="23"/>
  <c r="AA1948" i="23"/>
  <c r="AB1948" i="23"/>
  <c r="AG1948" i="23"/>
  <c r="AA1949" i="23"/>
  <c r="AB1949" i="23"/>
  <c r="AG1949" i="23"/>
  <c r="AA1950" i="23"/>
  <c r="AB1950" i="23"/>
  <c r="AG1950" i="23"/>
  <c r="AA1951" i="23"/>
  <c r="AB1951" i="23"/>
  <c r="AG1951" i="23"/>
  <c r="AA1952" i="23"/>
  <c r="AB1952" i="23"/>
  <c r="AG1952" i="23"/>
  <c r="AA1953" i="23"/>
  <c r="AB1953" i="23"/>
  <c r="AG1953" i="23"/>
  <c r="AA1954" i="23"/>
  <c r="AB1954" i="23"/>
  <c r="AG1954" i="23"/>
  <c r="AA1955" i="23"/>
  <c r="AB1955" i="23"/>
  <c r="AG1955" i="23"/>
  <c r="AA1956" i="23"/>
  <c r="AB1956" i="23"/>
  <c r="AG1956" i="23"/>
  <c r="AA1957" i="23"/>
  <c r="AB1957" i="23"/>
  <c r="AG1957" i="23"/>
  <c r="AA1958" i="23"/>
  <c r="AB1958" i="23"/>
  <c r="AG1958" i="23"/>
  <c r="AA1959" i="23"/>
  <c r="AB1959" i="23"/>
  <c r="AG1959" i="23"/>
  <c r="AA1960" i="23"/>
  <c r="AB1960" i="23"/>
  <c r="AG1960" i="23"/>
  <c r="AA1961" i="23"/>
  <c r="AB1961" i="23"/>
  <c r="AG1961" i="23"/>
  <c r="AA1962" i="23"/>
  <c r="AB1962" i="23"/>
  <c r="AG1962" i="23"/>
  <c r="AA1963" i="23"/>
  <c r="AB1963" i="23"/>
  <c r="AG1963" i="23"/>
  <c r="AA1964" i="23"/>
  <c r="AB1964" i="23"/>
  <c r="AG1964" i="23"/>
  <c r="AA1965" i="23"/>
  <c r="AB1965" i="23"/>
  <c r="AG1965" i="23"/>
  <c r="AA1966" i="23"/>
  <c r="AB1966" i="23"/>
  <c r="AG1966" i="23"/>
  <c r="AB1967" i="23"/>
  <c r="AG1967" i="23"/>
  <c r="AA1968" i="23"/>
  <c r="AB1968" i="23"/>
  <c r="AG1968" i="23"/>
  <c r="AA1969" i="23"/>
  <c r="AB1969" i="23"/>
  <c r="AG1969" i="23"/>
  <c r="AA1970" i="23"/>
  <c r="AB1970" i="23"/>
  <c r="AG1970" i="23"/>
  <c r="AA1971" i="23"/>
  <c r="AB1971" i="23"/>
  <c r="AG1971" i="23"/>
  <c r="AA1972" i="23"/>
  <c r="AB1972" i="23"/>
  <c r="AG1972" i="23"/>
  <c r="AA1973" i="23"/>
  <c r="AB1973" i="23"/>
  <c r="AG1973" i="23"/>
  <c r="AA1974" i="23"/>
  <c r="AB1974" i="23"/>
  <c r="AG1974" i="23"/>
  <c r="AA1975" i="23"/>
  <c r="AB1975" i="23"/>
  <c r="AG1975" i="23"/>
  <c r="AA1976" i="23"/>
  <c r="AB1976" i="23"/>
  <c r="AG1976" i="23"/>
  <c r="AA1977" i="23"/>
  <c r="AB1977" i="23"/>
  <c r="AG1977" i="23"/>
  <c r="AA1979" i="23"/>
  <c r="AB1979" i="23"/>
  <c r="AG1979" i="23"/>
  <c r="AA1980" i="23"/>
  <c r="AB1980" i="23"/>
  <c r="AB1981" i="23" s="1"/>
  <c r="AL1951" i="23" s="1"/>
  <c r="AN1951" i="23" s="1"/>
  <c r="AG1980" i="23"/>
  <c r="AG1981" i="23" s="1"/>
  <c r="AL1952" i="23" s="1"/>
  <c r="AN1952" i="23" s="1"/>
  <c r="C1982" i="23"/>
  <c r="AL1955" i="23" s="1"/>
  <c r="AN1955" i="23" s="1"/>
  <c r="AF1937" i="23"/>
  <c r="J1937" i="23"/>
  <c r="E1937" i="23"/>
  <c r="AB1894" i="23"/>
  <c r="AG1894" i="23"/>
  <c r="AI263" i="31"/>
  <c r="AE263" i="31"/>
  <c r="N261" i="31"/>
  <c r="S262" i="31"/>
  <c r="S261" i="31"/>
  <c r="X262" i="31"/>
  <c r="X261" i="31"/>
  <c r="Z302" i="31"/>
  <c r="AA302" i="31"/>
  <c r="AJ302" i="31"/>
  <c r="Z303" i="31"/>
  <c r="AA303" i="31"/>
  <c r="AJ303" i="31"/>
  <c r="Z304" i="31"/>
  <c r="AA304" i="31"/>
  <c r="AJ304" i="31"/>
  <c r="Z305" i="31"/>
  <c r="AA305" i="31"/>
  <c r="AJ305" i="31"/>
  <c r="AP305" i="31"/>
  <c r="Z306" i="31"/>
  <c r="AA306" i="31"/>
  <c r="AJ306" i="31"/>
  <c r="Z307" i="31"/>
  <c r="AA307" i="31"/>
  <c r="AJ307" i="31"/>
  <c r="AP307" i="31"/>
  <c r="Z308" i="31"/>
  <c r="AA308" i="31"/>
  <c r="AJ308" i="31"/>
  <c r="Z309" i="31"/>
  <c r="AA309" i="31"/>
  <c r="AJ309" i="31"/>
  <c r="Z310" i="31"/>
  <c r="AA310" i="31"/>
  <c r="AJ310" i="31"/>
  <c r="Z311" i="31"/>
  <c r="AA311" i="31"/>
  <c r="AJ311" i="31"/>
  <c r="Z312" i="31"/>
  <c r="AA312" i="31"/>
  <c r="AJ312" i="31"/>
  <c r="Z313" i="31"/>
  <c r="AA313" i="31"/>
  <c r="AJ313" i="31"/>
  <c r="Z314" i="31"/>
  <c r="AA314" i="31"/>
  <c r="AJ314" i="31"/>
  <c r="Z315" i="31"/>
  <c r="AA315" i="31"/>
  <c r="AJ315" i="31"/>
  <c r="Z316" i="31"/>
  <c r="AA316" i="31"/>
  <c r="AJ316" i="31"/>
  <c r="Z317" i="31"/>
  <c r="AA317" i="31"/>
  <c r="AJ317" i="31"/>
  <c r="Z318" i="31"/>
  <c r="AA318" i="31"/>
  <c r="AJ318" i="31"/>
  <c r="Z319" i="31"/>
  <c r="AA319" i="31"/>
  <c r="AJ319" i="31"/>
  <c r="Z320" i="31"/>
  <c r="AA320" i="31"/>
  <c r="AJ320" i="31"/>
  <c r="Z321" i="31"/>
  <c r="AA321" i="31"/>
  <c r="AJ321" i="31"/>
  <c r="Z322" i="31"/>
  <c r="AA322" i="31"/>
  <c r="AJ322" i="31"/>
  <c r="Z323" i="31"/>
  <c r="AA323" i="31"/>
  <c r="AJ323" i="31"/>
  <c r="AA324" i="31"/>
  <c r="AJ324" i="31"/>
  <c r="Z325" i="31"/>
  <c r="AA325" i="31"/>
  <c r="AJ325" i="31"/>
  <c r="E326" i="31"/>
  <c r="J326" i="31"/>
  <c r="O326" i="31"/>
  <c r="S326" i="31"/>
  <c r="T326" i="31"/>
  <c r="Y326" i="31"/>
  <c r="AE326" i="31"/>
  <c r="AI326" i="31"/>
  <c r="S327" i="31"/>
  <c r="AE327" i="31"/>
  <c r="AI327" i="31"/>
  <c r="Z328" i="31"/>
  <c r="AO306" i="31" s="1"/>
  <c r="AQ306" i="31" s="1"/>
  <c r="AA328" i="31"/>
  <c r="AJ328" i="31"/>
  <c r="AQ402" i="31" l="1"/>
  <c r="AO337" i="31"/>
  <c r="AQ337" i="31" s="1"/>
  <c r="AQ372" i="31"/>
  <c r="AN1994" i="23"/>
  <c r="AL2029" i="23"/>
  <c r="AN2029" i="23" s="1"/>
  <c r="AN2035" i="23" s="1"/>
  <c r="AQ340" i="31"/>
  <c r="AJ326" i="31"/>
  <c r="AO304" i="31" s="1"/>
  <c r="AQ304" i="31" s="1"/>
  <c r="AO307" i="31"/>
  <c r="AQ307" i="31" s="1"/>
  <c r="Z326" i="31"/>
  <c r="AO301" i="31" s="1"/>
  <c r="AQ301" i="31" s="1"/>
  <c r="Z327" i="31"/>
  <c r="AO302" i="31" s="1"/>
  <c r="AQ302" i="31" s="1"/>
  <c r="AA326" i="31"/>
  <c r="AO303" i="31" s="1"/>
  <c r="AQ303" i="31" s="1"/>
  <c r="AA327" i="31"/>
  <c r="AJ327" i="31"/>
  <c r="AG1978" i="23"/>
  <c r="AL1949" i="23" s="1"/>
  <c r="AN1949" i="23" s="1"/>
  <c r="AB1978" i="23"/>
  <c r="AL1948" i="23" s="1"/>
  <c r="AN1948" i="23" s="1"/>
  <c r="AA1978" i="23"/>
  <c r="AL1947" i="23" s="1"/>
  <c r="AN1947" i="23" s="1"/>
  <c r="AA1981" i="23"/>
  <c r="AL1950" i="23" s="1"/>
  <c r="AN1950" i="23" s="1"/>
  <c r="AO305" i="31" l="1"/>
  <c r="AQ305" i="31" s="1"/>
  <c r="AQ308" i="31" s="1"/>
  <c r="AN1953" i="23"/>
  <c r="AJ296" i="31"/>
  <c r="AA296" i="31"/>
  <c r="Z296" i="31"/>
  <c r="AO273" i="31" s="1"/>
  <c r="AQ273" i="31" s="1"/>
  <c r="AI295" i="31"/>
  <c r="AE295" i="31"/>
  <c r="AJ295" i="31" s="1"/>
  <c r="X295" i="31"/>
  <c r="N295" i="31"/>
  <c r="AI294" i="31"/>
  <c r="AE294" i="31"/>
  <c r="Y294" i="31"/>
  <c r="X294" i="31"/>
  <c r="T294" i="31"/>
  <c r="O294" i="31"/>
  <c r="N294" i="31"/>
  <c r="J294" i="31"/>
  <c r="E294" i="31"/>
  <c r="AJ293" i="31"/>
  <c r="AA293" i="31"/>
  <c r="Z293" i="31"/>
  <c r="AJ292" i="31"/>
  <c r="AA292" i="31"/>
  <c r="AJ291" i="31"/>
  <c r="AA291" i="31"/>
  <c r="Z291" i="31"/>
  <c r="AJ290" i="31"/>
  <c r="AA290" i="31"/>
  <c r="Z290" i="31"/>
  <c r="AJ289" i="31"/>
  <c r="AA289" i="31"/>
  <c r="Z289" i="31"/>
  <c r="AJ288" i="31"/>
  <c r="AA288" i="31"/>
  <c r="Z288" i="31"/>
  <c r="AJ287" i="31"/>
  <c r="AA287" i="31"/>
  <c r="Z287" i="31"/>
  <c r="AJ286" i="31"/>
  <c r="AA286" i="31"/>
  <c r="Z286" i="31"/>
  <c r="AJ285" i="31"/>
  <c r="AA285" i="31"/>
  <c r="Z285" i="31"/>
  <c r="AJ284" i="31"/>
  <c r="AA284" i="31"/>
  <c r="Z284" i="31"/>
  <c r="AJ283" i="31"/>
  <c r="AA283" i="31"/>
  <c r="AA282" i="31"/>
  <c r="Z282" i="31"/>
  <c r="AJ281" i="31"/>
  <c r="AA281" i="31"/>
  <c r="Z281" i="31"/>
  <c r="AJ280" i="31"/>
  <c r="AA280" i="31"/>
  <c r="Z280" i="31"/>
  <c r="AJ279" i="31"/>
  <c r="AA279" i="31"/>
  <c r="Z279" i="31"/>
  <c r="AJ278" i="31"/>
  <c r="AA278" i="31"/>
  <c r="Z278" i="31"/>
  <c r="AJ277" i="31"/>
  <c r="AA277" i="31"/>
  <c r="Z277" i="31"/>
  <c r="AJ276" i="31"/>
  <c r="AA276" i="31"/>
  <c r="Z276" i="31"/>
  <c r="AP274" i="31"/>
  <c r="AJ275" i="31"/>
  <c r="AA275" i="31"/>
  <c r="Z275" i="31"/>
  <c r="AJ274" i="31"/>
  <c r="AA274" i="31"/>
  <c r="Z274" i="31"/>
  <c r="AP272" i="31"/>
  <c r="AJ273" i="31"/>
  <c r="AA273" i="31"/>
  <c r="Z273" i="31"/>
  <c r="AJ272" i="31"/>
  <c r="AA272" i="31"/>
  <c r="Z272" i="31"/>
  <c r="AJ270" i="31"/>
  <c r="AA270" i="31"/>
  <c r="Z270" i="31"/>
  <c r="AJ269" i="31"/>
  <c r="AA269" i="31"/>
  <c r="Z269" i="31"/>
  <c r="D261" i="31"/>
  <c r="D262" i="31"/>
  <c r="AI261" i="31"/>
  <c r="AE261" i="31"/>
  <c r="AI262" i="31"/>
  <c r="AE262" i="31"/>
  <c r="AI134" i="31"/>
  <c r="AE134" i="31"/>
  <c r="AI166" i="31"/>
  <c r="AE166" i="31"/>
  <c r="AI198" i="31"/>
  <c r="AE198" i="31"/>
  <c r="AI230" i="31"/>
  <c r="AJ230" i="31" s="1"/>
  <c r="AA1895" i="23"/>
  <c r="AB1895" i="23"/>
  <c r="AG1895" i="23"/>
  <c r="AA1896" i="23"/>
  <c r="AB1896" i="23"/>
  <c r="AG1896" i="23"/>
  <c r="AA1897" i="23"/>
  <c r="AB1897" i="23"/>
  <c r="AG1897" i="23"/>
  <c r="AB1898" i="23"/>
  <c r="AG1898" i="23"/>
  <c r="AA1899" i="23"/>
  <c r="AB1899" i="23"/>
  <c r="AG1899" i="23"/>
  <c r="AA1900" i="23"/>
  <c r="AB1900" i="23"/>
  <c r="AG1900" i="23"/>
  <c r="AA1901" i="23"/>
  <c r="AB1901" i="23"/>
  <c r="AG1901" i="23"/>
  <c r="AA1902" i="23"/>
  <c r="AB1902" i="23"/>
  <c r="AG1902" i="23"/>
  <c r="AA1903" i="23"/>
  <c r="AB1903" i="23"/>
  <c r="AG1903" i="23"/>
  <c r="AA1904" i="23"/>
  <c r="AB1904" i="23"/>
  <c r="AG1904" i="23"/>
  <c r="AA1905" i="23"/>
  <c r="AB1905" i="23"/>
  <c r="AG1905" i="23"/>
  <c r="AA1906" i="23"/>
  <c r="AB1906" i="23"/>
  <c r="AG1906" i="23"/>
  <c r="AA1907" i="23"/>
  <c r="AB1907" i="23"/>
  <c r="AG1907" i="23"/>
  <c r="AA1908" i="23"/>
  <c r="AB1908" i="23"/>
  <c r="AG1908" i="23"/>
  <c r="AA1909" i="23"/>
  <c r="AB1909" i="23"/>
  <c r="AG1909" i="23"/>
  <c r="AA1910" i="23"/>
  <c r="AB1910" i="23"/>
  <c r="AG1910" i="23"/>
  <c r="AA1911" i="23"/>
  <c r="AB1911" i="23"/>
  <c r="AG1911" i="23"/>
  <c r="AA1912" i="23"/>
  <c r="AB1912" i="23"/>
  <c r="AG1912" i="23"/>
  <c r="AA1913" i="23"/>
  <c r="AB1913" i="23"/>
  <c r="AG1913" i="23"/>
  <c r="AA1914" i="23"/>
  <c r="AB1914" i="23"/>
  <c r="AG1914" i="23"/>
  <c r="AA1915" i="23"/>
  <c r="AB1915" i="23"/>
  <c r="AG1915" i="23"/>
  <c r="AA1916" i="23"/>
  <c r="AB1916" i="23"/>
  <c r="AG1916" i="23"/>
  <c r="AA1917" i="23"/>
  <c r="AB1917" i="23"/>
  <c r="AG1917" i="23"/>
  <c r="AA1918" i="23"/>
  <c r="AB1918" i="23"/>
  <c r="AG1918" i="23"/>
  <c r="AG1919" i="23"/>
  <c r="AA1920" i="23"/>
  <c r="AB1920" i="23"/>
  <c r="AG1920" i="23"/>
  <c r="AA1921" i="23"/>
  <c r="AB1921" i="23"/>
  <c r="AG1921" i="23"/>
  <c r="AA1922" i="23"/>
  <c r="AB1922" i="23"/>
  <c r="AG1922" i="23"/>
  <c r="AA1923" i="23"/>
  <c r="AB1923" i="23"/>
  <c r="AG1923" i="23"/>
  <c r="AA1924" i="23"/>
  <c r="AB1924" i="23"/>
  <c r="AG1924" i="23"/>
  <c r="AA1925" i="23"/>
  <c r="AB1925" i="23"/>
  <c r="AG1925" i="23"/>
  <c r="AA1926" i="23"/>
  <c r="AB1926" i="23"/>
  <c r="AG1926" i="23"/>
  <c r="AA1927" i="23"/>
  <c r="AB1927" i="23"/>
  <c r="AG1927" i="23"/>
  <c r="AA1928" i="23"/>
  <c r="AB1928" i="23"/>
  <c r="AG1928" i="23"/>
  <c r="AA1929" i="23"/>
  <c r="AB1929" i="23"/>
  <c r="AG1929" i="23"/>
  <c r="AA1930" i="23"/>
  <c r="AB1930" i="23"/>
  <c r="AG1930" i="23"/>
  <c r="AA1931" i="23"/>
  <c r="AB1931" i="23"/>
  <c r="AG1931" i="23"/>
  <c r="AA1932" i="23"/>
  <c r="AB1932" i="23"/>
  <c r="AG1932" i="23"/>
  <c r="AA1933" i="23"/>
  <c r="AB1933" i="23"/>
  <c r="AG1933" i="23"/>
  <c r="AA1934" i="23"/>
  <c r="AB1934" i="23"/>
  <c r="AG1934" i="23"/>
  <c r="AA1935" i="23"/>
  <c r="AB1935" i="23"/>
  <c r="AG1935" i="23"/>
  <c r="AA1936" i="23"/>
  <c r="AB1936" i="23"/>
  <c r="AG1936" i="23"/>
  <c r="AA1938" i="23"/>
  <c r="AB1938" i="23"/>
  <c r="AG1938" i="23"/>
  <c r="AA1939" i="23"/>
  <c r="AB1939" i="23"/>
  <c r="AB1940" i="23" s="1"/>
  <c r="AL1897" i="23" s="1"/>
  <c r="AN1897" i="23" s="1"/>
  <c r="AG1939" i="23"/>
  <c r="AG1940" i="23" s="1"/>
  <c r="AL1898" i="23" s="1"/>
  <c r="AN1898" i="23" s="1"/>
  <c r="C1941" i="23"/>
  <c r="AL1901" i="23" s="1"/>
  <c r="AN1901" i="23" s="1"/>
  <c r="AI231" i="31"/>
  <c r="I261" i="31"/>
  <c r="AJ263" i="31"/>
  <c r="AA263" i="31"/>
  <c r="Z263" i="31"/>
  <c r="AO241" i="31" s="1"/>
  <c r="AQ241" i="31" s="1"/>
  <c r="N262" i="31"/>
  <c r="I262" i="31"/>
  <c r="Y261" i="31"/>
  <c r="T261" i="31"/>
  <c r="O261" i="31"/>
  <c r="J261" i="31"/>
  <c r="E261" i="31"/>
  <c r="AJ260" i="31"/>
  <c r="AA260" i="31"/>
  <c r="Z260" i="31"/>
  <c r="AA259" i="31"/>
  <c r="AJ258" i="31"/>
  <c r="AA258" i="31"/>
  <c r="Z258" i="31"/>
  <c r="AJ257" i="31"/>
  <c r="AA257" i="31"/>
  <c r="Z257" i="31"/>
  <c r="AJ256" i="31"/>
  <c r="AA256" i="31"/>
  <c r="Z256" i="31"/>
  <c r="AJ255" i="31"/>
  <c r="AA255" i="31"/>
  <c r="Z255" i="31"/>
  <c r="AJ254" i="31"/>
  <c r="AA254" i="31"/>
  <c r="Z254" i="31"/>
  <c r="AJ253" i="31"/>
  <c r="AA253" i="31"/>
  <c r="Z253" i="31"/>
  <c r="AJ252" i="31"/>
  <c r="AA252" i="31"/>
  <c r="Z252" i="31"/>
  <c r="AJ251" i="31"/>
  <c r="AA251" i="31"/>
  <c r="Z251" i="31"/>
  <c r="AJ250" i="31"/>
  <c r="AA250" i="31"/>
  <c r="Z250" i="31"/>
  <c r="AJ249" i="31"/>
  <c r="AA249" i="31"/>
  <c r="Z249" i="31"/>
  <c r="AJ248" i="31"/>
  <c r="AA248" i="31"/>
  <c r="Z248" i="31"/>
  <c r="AJ247" i="31"/>
  <c r="AA247" i="31"/>
  <c r="AJ246" i="31"/>
  <c r="AA246" i="31"/>
  <c r="Z246" i="31"/>
  <c r="AJ245" i="31"/>
  <c r="AA245" i="31"/>
  <c r="Z245" i="31"/>
  <c r="AJ244" i="31"/>
  <c r="AA244" i="31"/>
  <c r="Z244" i="31"/>
  <c r="AJ243" i="31"/>
  <c r="AA243" i="31"/>
  <c r="Z243" i="31"/>
  <c r="AP242" i="31"/>
  <c r="AJ242" i="31"/>
  <c r="AA242" i="31"/>
  <c r="Z242" i="31"/>
  <c r="AJ241" i="31"/>
  <c r="AA241" i="31"/>
  <c r="Z241" i="31"/>
  <c r="AP240" i="31"/>
  <c r="AJ240" i="31"/>
  <c r="AA240" i="31"/>
  <c r="Z240" i="31"/>
  <c r="AJ239" i="31"/>
  <c r="AA239" i="31"/>
  <c r="Z239" i="31"/>
  <c r="AJ238" i="31"/>
  <c r="AA238" i="31"/>
  <c r="Z238" i="31"/>
  <c r="AJ237" i="31"/>
  <c r="AA237" i="31"/>
  <c r="Z237" i="31"/>
  <c r="AA1839" i="23"/>
  <c r="AB1839" i="23"/>
  <c r="AG1839" i="23"/>
  <c r="AA1840" i="23"/>
  <c r="AB1840" i="23"/>
  <c r="AG1840" i="23"/>
  <c r="AA1841" i="23"/>
  <c r="AB1841" i="23"/>
  <c r="AG1841" i="23"/>
  <c r="AA1842" i="23"/>
  <c r="AB1842" i="23"/>
  <c r="AG1842" i="23"/>
  <c r="AA1843" i="23"/>
  <c r="AB1843" i="23"/>
  <c r="AG1843" i="23"/>
  <c r="AA1844" i="23"/>
  <c r="AB1844" i="23"/>
  <c r="AG1844" i="23"/>
  <c r="AA1845" i="23"/>
  <c r="AB1845" i="23"/>
  <c r="AG1845" i="23"/>
  <c r="AA1846" i="23"/>
  <c r="AB1846" i="23"/>
  <c r="AG1846" i="23"/>
  <c r="AA1847" i="23"/>
  <c r="AB1847" i="23"/>
  <c r="AG1847" i="23"/>
  <c r="AA1848" i="23"/>
  <c r="AB1848" i="23"/>
  <c r="AG1848" i="23"/>
  <c r="AA1849" i="23"/>
  <c r="AB1849" i="23"/>
  <c r="AG1849" i="23"/>
  <c r="AA1850" i="23"/>
  <c r="AB1850" i="23"/>
  <c r="AG1850" i="23"/>
  <c r="AA1851" i="23"/>
  <c r="AB1851" i="23"/>
  <c r="AG1851" i="23"/>
  <c r="AA1852" i="23"/>
  <c r="AB1852" i="23"/>
  <c r="AG1852" i="23"/>
  <c r="AA1853" i="23"/>
  <c r="AB1853" i="23"/>
  <c r="AG1853" i="23"/>
  <c r="AA1854" i="23"/>
  <c r="AB1854" i="23"/>
  <c r="AG1854" i="23"/>
  <c r="AA1855" i="23"/>
  <c r="AB1855" i="23"/>
  <c r="AG1855" i="23"/>
  <c r="AA1856" i="23"/>
  <c r="AB1856" i="23"/>
  <c r="AG1856" i="23"/>
  <c r="AA1857" i="23"/>
  <c r="AB1857" i="23"/>
  <c r="AG1857" i="23"/>
  <c r="AA1858" i="23"/>
  <c r="AB1858" i="23"/>
  <c r="AG1858" i="23"/>
  <c r="AA1859" i="23"/>
  <c r="AB1859" i="23"/>
  <c r="AG1859" i="23"/>
  <c r="AA1860" i="23"/>
  <c r="AB1860" i="23"/>
  <c r="AG1860" i="23"/>
  <c r="AA1861" i="23"/>
  <c r="AB1861" i="23"/>
  <c r="AG1861" i="23"/>
  <c r="AA1862" i="23"/>
  <c r="AB1862" i="23"/>
  <c r="AG1862" i="23"/>
  <c r="AA1863" i="23"/>
  <c r="AB1863" i="23"/>
  <c r="AG1863" i="23"/>
  <c r="AA1864" i="23"/>
  <c r="AB1864" i="23"/>
  <c r="AG1864" i="23"/>
  <c r="AA1865" i="23"/>
  <c r="AB1865" i="23"/>
  <c r="AG1865" i="23"/>
  <c r="AA1866" i="23"/>
  <c r="AB1866" i="23"/>
  <c r="AG1866" i="23"/>
  <c r="AA1867" i="23"/>
  <c r="AB1867" i="23"/>
  <c r="AG1867" i="23"/>
  <c r="AA1868" i="23"/>
  <c r="AB1868" i="23"/>
  <c r="AG1868" i="23"/>
  <c r="AA1869" i="23"/>
  <c r="AB1869" i="23"/>
  <c r="AG1869" i="23"/>
  <c r="AA1870" i="23"/>
  <c r="AB1870" i="23"/>
  <c r="AG1870" i="23"/>
  <c r="AA1871" i="23"/>
  <c r="AB1871" i="23"/>
  <c r="AG1871" i="23"/>
  <c r="AA1872" i="23"/>
  <c r="AB1872" i="23"/>
  <c r="AG1872" i="23"/>
  <c r="AA1873" i="23"/>
  <c r="AB1873" i="23"/>
  <c r="AG1873" i="23"/>
  <c r="AA1874" i="23"/>
  <c r="AB1874" i="23"/>
  <c r="AG1874" i="23"/>
  <c r="AA1875" i="23"/>
  <c r="AB1875" i="23"/>
  <c r="AG1875" i="23"/>
  <c r="AA1876" i="23"/>
  <c r="AB1876" i="23"/>
  <c r="AG1876" i="23"/>
  <c r="AA1877" i="23"/>
  <c r="AB1877" i="23"/>
  <c r="AG1877" i="23"/>
  <c r="AA1878" i="23"/>
  <c r="AB1878" i="23"/>
  <c r="AG1878" i="23"/>
  <c r="AA1879" i="23"/>
  <c r="AB1879" i="23"/>
  <c r="AG1879" i="23"/>
  <c r="AA1880" i="23"/>
  <c r="AB1880" i="23"/>
  <c r="AG1880" i="23"/>
  <c r="AA1881" i="23"/>
  <c r="AB1881" i="23"/>
  <c r="AG1881" i="23"/>
  <c r="AA1882" i="23"/>
  <c r="AB1882" i="23"/>
  <c r="AG1882" i="23"/>
  <c r="E1883" i="23"/>
  <c r="J1883" i="23"/>
  <c r="O1883" i="23"/>
  <c r="T1883" i="23"/>
  <c r="Y1883" i="23"/>
  <c r="AF1883" i="23"/>
  <c r="AA1884" i="23"/>
  <c r="AB1884" i="23"/>
  <c r="AG1884" i="23"/>
  <c r="AA1885" i="23"/>
  <c r="AB1885" i="23"/>
  <c r="AB1886" i="23" s="1"/>
  <c r="AL1842" i="23" s="1"/>
  <c r="AN1842" i="23" s="1"/>
  <c r="AG1885" i="23"/>
  <c r="AG1886" i="23" s="1"/>
  <c r="AL1843" i="23" s="1"/>
  <c r="AN1843" i="23" s="1"/>
  <c r="C1887" i="23"/>
  <c r="AL1846" i="23" s="1"/>
  <c r="AN1846" i="23" s="1"/>
  <c r="AI199" i="31"/>
  <c r="AE199" i="31"/>
  <c r="S197" i="31"/>
  <c r="I197" i="31"/>
  <c r="AO209" i="31"/>
  <c r="AQ209" i="31" s="1"/>
  <c r="AI229" i="31"/>
  <c r="AJ228" i="31"/>
  <c r="AJ227" i="31"/>
  <c r="AJ226" i="31"/>
  <c r="AJ225" i="31"/>
  <c r="AJ224" i="31"/>
  <c r="AJ223" i="31"/>
  <c r="AJ222" i="31"/>
  <c r="AJ221" i="31"/>
  <c r="AJ220" i="31"/>
  <c r="AJ219" i="31"/>
  <c r="AJ218" i="31"/>
  <c r="AJ217" i="31"/>
  <c r="AJ216" i="31"/>
  <c r="AJ215" i="31"/>
  <c r="AJ214" i="31"/>
  <c r="AJ213" i="31"/>
  <c r="AJ212" i="31"/>
  <c r="AJ211" i="31"/>
  <c r="AP210" i="31"/>
  <c r="AJ210" i="31"/>
  <c r="AJ209" i="31"/>
  <c r="AP208" i="31"/>
  <c r="AJ208" i="31"/>
  <c r="AJ207" i="31"/>
  <c r="AJ206" i="31"/>
  <c r="AJ205" i="31"/>
  <c r="C1832" i="23"/>
  <c r="AL1791" i="23" s="1"/>
  <c r="AN1791" i="23" s="1"/>
  <c r="AG1830" i="23"/>
  <c r="AG1831" i="23" s="1"/>
  <c r="AL1788" i="23" s="1"/>
  <c r="AN1788" i="23" s="1"/>
  <c r="AB1830" i="23"/>
  <c r="AB1831" i="23" s="1"/>
  <c r="AL1787" i="23" s="1"/>
  <c r="AN1787" i="23" s="1"/>
  <c r="AA1830" i="23"/>
  <c r="AG1829" i="23"/>
  <c r="AB1829" i="23"/>
  <c r="AA1829" i="23"/>
  <c r="AF1828" i="23"/>
  <c r="Y1828" i="23"/>
  <c r="T1828" i="23"/>
  <c r="O1828" i="23"/>
  <c r="J1828" i="23"/>
  <c r="E1828" i="23"/>
  <c r="AG1827" i="23"/>
  <c r="AB1827" i="23"/>
  <c r="AA1827" i="23"/>
  <c r="AG1826" i="23"/>
  <c r="AB1826" i="23"/>
  <c r="AA1826" i="23"/>
  <c r="AG1825" i="23"/>
  <c r="AB1825" i="23"/>
  <c r="AA1825" i="23"/>
  <c r="AG1824" i="23"/>
  <c r="AB1824" i="23"/>
  <c r="AA1824" i="23"/>
  <c r="AG1823" i="23"/>
  <c r="AB1823" i="23"/>
  <c r="AA1823" i="23"/>
  <c r="AG1822" i="23"/>
  <c r="AB1822" i="23"/>
  <c r="AA1822" i="23"/>
  <c r="AG1821" i="23"/>
  <c r="AB1821" i="23"/>
  <c r="AA1821" i="23"/>
  <c r="AG1820" i="23"/>
  <c r="AB1820" i="23"/>
  <c r="AA1820" i="23"/>
  <c r="AG1819" i="23"/>
  <c r="AB1819" i="23"/>
  <c r="AA1819" i="23"/>
  <c r="AG1818" i="23"/>
  <c r="AB1818" i="23"/>
  <c r="AA1818" i="23"/>
  <c r="AG1817" i="23"/>
  <c r="AB1817" i="23"/>
  <c r="AA1817" i="23"/>
  <c r="AG1816" i="23"/>
  <c r="AB1816" i="23"/>
  <c r="AA1816" i="23"/>
  <c r="AG1815" i="23"/>
  <c r="AB1815" i="23"/>
  <c r="AA1815" i="23"/>
  <c r="AG1814" i="23"/>
  <c r="AB1814" i="23"/>
  <c r="AA1814" i="23"/>
  <c r="AG1813" i="23"/>
  <c r="AB1813" i="23"/>
  <c r="AA1813" i="23"/>
  <c r="AG1812" i="23"/>
  <c r="AB1812" i="23"/>
  <c r="AA1812" i="23"/>
  <c r="AG1811" i="23"/>
  <c r="AB1811" i="23"/>
  <c r="AA1811" i="23"/>
  <c r="AG1810" i="23"/>
  <c r="AB1810" i="23"/>
  <c r="AA1810" i="23"/>
  <c r="AG1809" i="23"/>
  <c r="AB1809" i="23"/>
  <c r="AA1809" i="23"/>
  <c r="AG1808" i="23"/>
  <c r="AB1808" i="23"/>
  <c r="AA1808" i="23"/>
  <c r="AG1807" i="23"/>
  <c r="AB1807" i="23"/>
  <c r="AA1807" i="23"/>
  <c r="AG1806" i="23"/>
  <c r="AB1806" i="23"/>
  <c r="AA1806" i="23"/>
  <c r="AG1805" i="23"/>
  <c r="AB1805" i="23"/>
  <c r="AA1805" i="23"/>
  <c r="AG1804" i="23"/>
  <c r="AB1804" i="23"/>
  <c r="AA1804" i="23"/>
  <c r="AG1803" i="23"/>
  <c r="AB1803" i="23"/>
  <c r="AA1803" i="23"/>
  <c r="AG1802" i="23"/>
  <c r="AB1802" i="23"/>
  <c r="AA1802" i="23"/>
  <c r="AG1801" i="23"/>
  <c r="AB1801" i="23"/>
  <c r="AA1801" i="23"/>
  <c r="AG1800" i="23"/>
  <c r="AB1800" i="23"/>
  <c r="AA1800" i="23"/>
  <c r="AG1799" i="23"/>
  <c r="AB1799" i="23"/>
  <c r="AA1799" i="23"/>
  <c r="AG1798" i="23"/>
  <c r="AB1798" i="23"/>
  <c r="AA1798" i="23"/>
  <c r="AG1797" i="23"/>
  <c r="AB1797" i="23"/>
  <c r="AA1797" i="23"/>
  <c r="AG1796" i="23"/>
  <c r="AB1796" i="23"/>
  <c r="AA1796" i="23"/>
  <c r="AG1795" i="23"/>
  <c r="AB1795" i="23"/>
  <c r="AA1795" i="23"/>
  <c r="AG1794" i="23"/>
  <c r="AB1794" i="23"/>
  <c r="AA1794" i="23"/>
  <c r="AG1793" i="23"/>
  <c r="AB1793" i="23"/>
  <c r="AA1793" i="23"/>
  <c r="AG1792" i="23"/>
  <c r="AB1792" i="23"/>
  <c r="AA1792" i="23"/>
  <c r="AG1791" i="23"/>
  <c r="AB1791" i="23"/>
  <c r="AA1791" i="23"/>
  <c r="AG1790" i="23"/>
  <c r="AB1790" i="23"/>
  <c r="AA1790" i="23"/>
  <c r="AG1789" i="23"/>
  <c r="AB1789" i="23"/>
  <c r="AA1789" i="23"/>
  <c r="AG1788" i="23"/>
  <c r="AB1788" i="23"/>
  <c r="AA1788" i="23"/>
  <c r="AG1787" i="23"/>
  <c r="AB1787" i="23"/>
  <c r="AA1787" i="23"/>
  <c r="AG1786" i="23"/>
  <c r="AB1786" i="23"/>
  <c r="AA1786" i="23"/>
  <c r="AG1785" i="23"/>
  <c r="AB1785" i="23"/>
  <c r="AA1785" i="23"/>
  <c r="AG1784" i="23"/>
  <c r="AB1784" i="23"/>
  <c r="AA1784" i="23"/>
  <c r="AI167" i="31"/>
  <c r="AE167" i="31"/>
  <c r="Y167" i="31"/>
  <c r="AA167" i="31" s="1"/>
  <c r="N197" i="31"/>
  <c r="X133" i="31"/>
  <c r="S133" i="31"/>
  <c r="N133" i="31"/>
  <c r="D165" i="31"/>
  <c r="I165" i="31"/>
  <c r="N166" i="31"/>
  <c r="N165" i="31"/>
  <c r="AA199" i="31"/>
  <c r="Z199" i="31"/>
  <c r="AO177" i="31" s="1"/>
  <c r="AQ177" i="31" s="1"/>
  <c r="X198" i="31"/>
  <c r="S198" i="31"/>
  <c r="N198" i="31"/>
  <c r="I198" i="31"/>
  <c r="D198" i="31"/>
  <c r="AI197" i="31"/>
  <c r="AE197" i="31"/>
  <c r="Y197" i="31"/>
  <c r="X197" i="31"/>
  <c r="T197" i="31"/>
  <c r="O197" i="31"/>
  <c r="J197" i="31"/>
  <c r="E197" i="31"/>
  <c r="D197" i="31"/>
  <c r="AJ196" i="31"/>
  <c r="AA196" i="31"/>
  <c r="Z196" i="31"/>
  <c r="AJ195" i="31"/>
  <c r="AA195" i="31"/>
  <c r="Z195" i="31"/>
  <c r="AJ194" i="31"/>
  <c r="AA194" i="31"/>
  <c r="Z194" i="31"/>
  <c r="AJ193" i="31"/>
  <c r="AA193" i="31"/>
  <c r="Z193" i="31"/>
  <c r="AJ192" i="31"/>
  <c r="AA192" i="31"/>
  <c r="Z192" i="31"/>
  <c r="AJ191" i="31"/>
  <c r="AA191" i="31"/>
  <c r="Z191" i="31"/>
  <c r="AJ190" i="31"/>
  <c r="AA190" i="31"/>
  <c r="Z190" i="31"/>
  <c r="AJ189" i="31"/>
  <c r="AA189" i="31"/>
  <c r="Z189" i="31"/>
  <c r="AJ188" i="31"/>
  <c r="AA188" i="31"/>
  <c r="Z188" i="31"/>
  <c r="AJ187" i="31"/>
  <c r="AA187" i="31"/>
  <c r="Z187" i="31"/>
  <c r="AJ186" i="31"/>
  <c r="AA186" i="31"/>
  <c r="Z186" i="31"/>
  <c r="AJ185" i="31"/>
  <c r="AA185" i="31"/>
  <c r="Z185" i="31"/>
  <c r="AJ184" i="31"/>
  <c r="AA184" i="31"/>
  <c r="Z184" i="31"/>
  <c r="AJ183" i="31"/>
  <c r="AA183" i="31"/>
  <c r="Z183" i="31"/>
  <c r="AJ182" i="31"/>
  <c r="AA182" i="31"/>
  <c r="Z182" i="31"/>
  <c r="AJ181" i="31"/>
  <c r="AA181" i="31"/>
  <c r="Z181" i="31"/>
  <c r="AJ180" i="31"/>
  <c r="AA180" i="31"/>
  <c r="Z180" i="31"/>
  <c r="AJ179" i="31"/>
  <c r="AA179" i="31"/>
  <c r="Z179" i="31"/>
  <c r="AP178" i="31"/>
  <c r="AJ178" i="31"/>
  <c r="AA178" i="31"/>
  <c r="Z178" i="31"/>
  <c r="AJ177" i="31"/>
  <c r="AA177" i="31"/>
  <c r="Z177" i="31"/>
  <c r="AP176" i="31"/>
  <c r="AJ176" i="31"/>
  <c r="AA176" i="31"/>
  <c r="Z176" i="31"/>
  <c r="AJ175" i="31"/>
  <c r="AA175" i="31"/>
  <c r="Z175" i="31"/>
  <c r="AJ174" i="31"/>
  <c r="AA174" i="31"/>
  <c r="Z174" i="31"/>
  <c r="AJ173" i="31"/>
  <c r="AA173" i="31"/>
  <c r="Z173" i="31"/>
  <c r="Z131" i="31"/>
  <c r="AA1729" i="23"/>
  <c r="AB1729" i="23"/>
  <c r="AG1729" i="23"/>
  <c r="AA1730" i="23"/>
  <c r="AB1730" i="23"/>
  <c r="AG1730" i="23"/>
  <c r="AA1731" i="23"/>
  <c r="AB1731" i="23"/>
  <c r="AG1731" i="23"/>
  <c r="AA1732" i="23"/>
  <c r="AB1732" i="23"/>
  <c r="AG1732" i="23"/>
  <c r="AA1733" i="23"/>
  <c r="AB1733" i="23"/>
  <c r="AG1733" i="23"/>
  <c r="AA1734" i="23"/>
  <c r="AB1734" i="23"/>
  <c r="AG1734" i="23"/>
  <c r="AA1735" i="23"/>
  <c r="AB1735" i="23"/>
  <c r="AG1735" i="23"/>
  <c r="AA1736" i="23"/>
  <c r="AB1736" i="23"/>
  <c r="AG1736" i="23"/>
  <c r="AA1737" i="23"/>
  <c r="AB1737" i="23"/>
  <c r="AG1737" i="23"/>
  <c r="AA1738" i="23"/>
  <c r="AB1738" i="23"/>
  <c r="AG1738" i="23"/>
  <c r="AA1739" i="23"/>
  <c r="AB1739" i="23"/>
  <c r="AG1739" i="23"/>
  <c r="AA1740" i="23"/>
  <c r="AB1740" i="23"/>
  <c r="AG1740" i="23"/>
  <c r="AA1741" i="23"/>
  <c r="AB1741" i="23"/>
  <c r="AG1741" i="23"/>
  <c r="AA1742" i="23"/>
  <c r="AB1742" i="23"/>
  <c r="AG1742" i="23"/>
  <c r="AA1743" i="23"/>
  <c r="AB1743" i="23"/>
  <c r="AG1743" i="23"/>
  <c r="AA1744" i="23"/>
  <c r="AB1744" i="23"/>
  <c r="AG1744" i="23"/>
  <c r="AA1745" i="23"/>
  <c r="AB1745" i="23"/>
  <c r="AG1745" i="23"/>
  <c r="AA1746" i="23"/>
  <c r="AB1746" i="23"/>
  <c r="AG1746" i="23"/>
  <c r="AA1747" i="23"/>
  <c r="AB1747" i="23"/>
  <c r="AG1747" i="23"/>
  <c r="AA1748" i="23"/>
  <c r="AB1748" i="23"/>
  <c r="AG1748" i="23"/>
  <c r="AA1749" i="23"/>
  <c r="AB1749" i="23"/>
  <c r="AG1749" i="23"/>
  <c r="AA1750" i="23"/>
  <c r="AB1750" i="23"/>
  <c r="AG1750" i="23"/>
  <c r="AA1751" i="23"/>
  <c r="AB1751" i="23"/>
  <c r="AG1751" i="23"/>
  <c r="AA1752" i="23"/>
  <c r="AB1752" i="23"/>
  <c r="AG1752" i="23"/>
  <c r="AA1753" i="23"/>
  <c r="AB1753" i="23"/>
  <c r="AG1753" i="23"/>
  <c r="AA1754" i="23"/>
  <c r="AB1754" i="23"/>
  <c r="AG1754" i="23"/>
  <c r="AA1755" i="23"/>
  <c r="AB1755" i="23"/>
  <c r="AG1755" i="23"/>
  <c r="AA1756" i="23"/>
  <c r="AB1756" i="23"/>
  <c r="AG1756" i="23"/>
  <c r="AA1757" i="23"/>
  <c r="AB1757" i="23"/>
  <c r="AG1757" i="23"/>
  <c r="AA1758" i="23"/>
  <c r="AB1758" i="23"/>
  <c r="AG1758" i="23"/>
  <c r="AA1759" i="23"/>
  <c r="AB1759" i="23"/>
  <c r="AG1759" i="23"/>
  <c r="AA1760" i="23"/>
  <c r="AB1760" i="23"/>
  <c r="AG1760" i="23"/>
  <c r="AA1761" i="23"/>
  <c r="AB1761" i="23"/>
  <c r="AG1761" i="23"/>
  <c r="AA1762" i="23"/>
  <c r="AB1762" i="23"/>
  <c r="AG1762" i="23"/>
  <c r="AA1763" i="23"/>
  <c r="AB1763" i="23"/>
  <c r="AG1763" i="23"/>
  <c r="AA1764" i="23"/>
  <c r="AB1764" i="23"/>
  <c r="AG1764" i="23"/>
  <c r="AA1765" i="23"/>
  <c r="AB1765" i="23"/>
  <c r="AG1765" i="23"/>
  <c r="AA1766" i="23"/>
  <c r="AB1766" i="23"/>
  <c r="AG1766" i="23"/>
  <c r="AA1767" i="23"/>
  <c r="AB1767" i="23"/>
  <c r="AG1767" i="23"/>
  <c r="AA1768" i="23"/>
  <c r="AB1768" i="23"/>
  <c r="AG1768" i="23"/>
  <c r="AA1769" i="23"/>
  <c r="AB1769" i="23"/>
  <c r="AG1769" i="23"/>
  <c r="AA1770" i="23"/>
  <c r="AB1770" i="23"/>
  <c r="AG1770" i="23"/>
  <c r="AA1771" i="23"/>
  <c r="AB1771" i="23"/>
  <c r="AG1771" i="23"/>
  <c r="AA1772" i="23"/>
  <c r="AB1772" i="23"/>
  <c r="AG1772" i="23"/>
  <c r="E1773" i="23"/>
  <c r="J1773" i="23"/>
  <c r="O1773" i="23"/>
  <c r="T1773" i="23"/>
  <c r="Y1773" i="23"/>
  <c r="AF1773" i="23"/>
  <c r="AA1774" i="23"/>
  <c r="AB1774" i="23"/>
  <c r="AG1774" i="23"/>
  <c r="AA1775" i="23"/>
  <c r="AB1775" i="23"/>
  <c r="AB1776" i="23" s="1"/>
  <c r="AL1732" i="23" s="1"/>
  <c r="AN1732" i="23" s="1"/>
  <c r="AG1775" i="23"/>
  <c r="AG1776" i="23" s="1"/>
  <c r="AL1733" i="23" s="1"/>
  <c r="AN1733" i="23" s="1"/>
  <c r="C1777" i="23"/>
  <c r="AL1736" i="23" s="1"/>
  <c r="AN1736" i="23" s="1"/>
  <c r="AE135" i="31"/>
  <c r="Z167" i="31"/>
  <c r="AO145" i="31" s="1"/>
  <c r="AQ145" i="31" s="1"/>
  <c r="X166" i="31"/>
  <c r="S166" i="31"/>
  <c r="I166" i="31"/>
  <c r="D166" i="31"/>
  <c r="AI165" i="31"/>
  <c r="AE165" i="31"/>
  <c r="Y165" i="31"/>
  <c r="X165" i="31"/>
  <c r="T165" i="31"/>
  <c r="S165" i="31"/>
  <c r="O165" i="31"/>
  <c r="J165" i="31"/>
  <c r="E165" i="31"/>
  <c r="AJ164" i="31"/>
  <c r="AA164" i="31"/>
  <c r="Z164" i="31"/>
  <c r="AJ163" i="31"/>
  <c r="AA163" i="31"/>
  <c r="Z163" i="31"/>
  <c r="AJ162" i="31"/>
  <c r="AA162" i="31"/>
  <c r="Z162" i="31"/>
  <c r="AJ161" i="31"/>
  <c r="AA161" i="31"/>
  <c r="Z161" i="31"/>
  <c r="AJ160" i="31"/>
  <c r="AA160" i="31"/>
  <c r="Z160" i="31"/>
  <c r="AJ159" i="31"/>
  <c r="AA159" i="31"/>
  <c r="Z159" i="31"/>
  <c r="AJ158" i="31"/>
  <c r="AA158" i="31"/>
  <c r="Z158" i="31"/>
  <c r="AJ157" i="31"/>
  <c r="AA157" i="31"/>
  <c r="Z157" i="31"/>
  <c r="AJ156" i="31"/>
  <c r="AA156" i="31"/>
  <c r="Z156" i="31"/>
  <c r="AJ155" i="31"/>
  <c r="AA155" i="31"/>
  <c r="Z155" i="31"/>
  <c r="AJ154" i="31"/>
  <c r="AA154" i="31"/>
  <c r="Z154" i="31"/>
  <c r="AJ153" i="31"/>
  <c r="AA153" i="31"/>
  <c r="Z153" i="31"/>
  <c r="AJ152" i="31"/>
  <c r="AA152" i="31"/>
  <c r="Z152" i="31"/>
  <c r="AJ151" i="31"/>
  <c r="AA151" i="31"/>
  <c r="Z151" i="31"/>
  <c r="AJ150" i="31"/>
  <c r="AA150" i="31"/>
  <c r="Z150" i="31"/>
  <c r="AJ149" i="31"/>
  <c r="AA149" i="31"/>
  <c r="Z149" i="31"/>
  <c r="AJ148" i="31"/>
  <c r="AA148" i="31"/>
  <c r="Z148" i="31"/>
  <c r="AJ147" i="31"/>
  <c r="AA147" i="31"/>
  <c r="Z147" i="31"/>
  <c r="AP146" i="31"/>
  <c r="AJ146" i="31"/>
  <c r="AA146" i="31"/>
  <c r="Z146" i="31"/>
  <c r="AJ145" i="31"/>
  <c r="AA145" i="31"/>
  <c r="Z145" i="31"/>
  <c r="AP144" i="31"/>
  <c r="AJ144" i="31"/>
  <c r="AA144" i="31"/>
  <c r="Z144" i="31"/>
  <c r="AJ143" i="31"/>
  <c r="AA143" i="31"/>
  <c r="Z143" i="31"/>
  <c r="AJ142" i="31"/>
  <c r="AA142" i="31"/>
  <c r="Z142" i="31"/>
  <c r="AJ141" i="31"/>
  <c r="AA141" i="31"/>
  <c r="Z141" i="31"/>
  <c r="AJ262" i="31" l="1"/>
  <c r="Z198" i="31"/>
  <c r="AA295" i="31"/>
  <c r="AO272" i="31" s="1"/>
  <c r="Z261" i="31"/>
  <c r="Z166" i="31"/>
  <c r="AO141" i="31" s="1"/>
  <c r="AQ141" i="31" s="1"/>
  <c r="AA262" i="31"/>
  <c r="AO240" i="31" s="1"/>
  <c r="AQ240" i="31" s="1"/>
  <c r="Z262" i="31"/>
  <c r="AO237" i="31" s="1"/>
  <c r="AQ237" i="31" s="1"/>
  <c r="Z197" i="31"/>
  <c r="AO172" i="31" s="1"/>
  <c r="AQ172" i="31" s="1"/>
  <c r="Z165" i="31"/>
  <c r="AO140" i="31" s="1"/>
  <c r="AQ140" i="31" s="1"/>
  <c r="AJ165" i="31"/>
  <c r="AO143" i="31" s="1"/>
  <c r="AQ143" i="31" s="1"/>
  <c r="AO274" i="31"/>
  <c r="AQ274" i="31" s="1"/>
  <c r="Z295" i="31"/>
  <c r="AO269" i="31" s="1"/>
  <c r="AQ269" i="31" s="1"/>
  <c r="AJ294" i="31"/>
  <c r="AO271" i="31" s="1"/>
  <c r="AQ271" i="31" s="1"/>
  <c r="AJ229" i="31"/>
  <c r="AO207" i="31" s="1"/>
  <c r="AQ207" i="31" s="1"/>
  <c r="AJ197" i="31"/>
  <c r="AO175" i="31" s="1"/>
  <c r="AQ175" i="31" s="1"/>
  <c r="Z294" i="31"/>
  <c r="AO268" i="31" s="1"/>
  <c r="AQ268" i="31" s="1"/>
  <c r="AA1886" i="23"/>
  <c r="AL1841" i="23" s="1"/>
  <c r="AN1841" i="23" s="1"/>
  <c r="AG1773" i="23"/>
  <c r="AL1730" i="23" s="1"/>
  <c r="AN1730" i="23" s="1"/>
  <c r="AA1831" i="23"/>
  <c r="AL1786" i="23" s="1"/>
  <c r="AN1786" i="23" s="1"/>
  <c r="AB1937" i="23"/>
  <c r="AL1894" i="23" s="1"/>
  <c r="AN1894" i="23" s="1"/>
  <c r="AG1937" i="23"/>
  <c r="AL1895" i="23" s="1"/>
  <c r="AN1895" i="23" s="1"/>
  <c r="AG1883" i="23"/>
  <c r="AL1840" i="23" s="1"/>
  <c r="AN1840" i="23" s="1"/>
  <c r="AA1883" i="23"/>
  <c r="AL1838" i="23" s="1"/>
  <c r="AN1838" i="23" s="1"/>
  <c r="AB1883" i="23"/>
  <c r="AL1839" i="23" s="1"/>
  <c r="AN1839" i="23" s="1"/>
  <c r="AG1828" i="23"/>
  <c r="AL1785" i="23" s="1"/>
  <c r="AN1785" i="23" s="1"/>
  <c r="AB1828" i="23"/>
  <c r="AL1784" i="23" s="1"/>
  <c r="AN1784" i="23" s="1"/>
  <c r="AA1776" i="23"/>
  <c r="AL1731" i="23" s="1"/>
  <c r="AN1731" i="23" s="1"/>
  <c r="AA1940" i="23"/>
  <c r="AL1896" i="23" s="1"/>
  <c r="AN1896" i="23" s="1"/>
  <c r="AB1773" i="23"/>
  <c r="AL1729" i="23" s="1"/>
  <c r="AN1729" i="23" s="1"/>
  <c r="AJ261" i="31"/>
  <c r="AO239" i="31" s="1"/>
  <c r="AQ239" i="31" s="1"/>
  <c r="AO242" i="31"/>
  <c r="AQ242" i="31" s="1"/>
  <c r="AQ272" i="31"/>
  <c r="AA294" i="31"/>
  <c r="AO270" i="31" s="1"/>
  <c r="AQ270" i="31" s="1"/>
  <c r="AO204" i="31"/>
  <c r="AQ204" i="31" s="1"/>
  <c r="AO236" i="31"/>
  <c r="AQ236" i="31" s="1"/>
  <c r="AJ166" i="31"/>
  <c r="AJ231" i="31"/>
  <c r="AO210" i="31" s="1"/>
  <c r="AQ210" i="31" s="1"/>
  <c r="AA261" i="31"/>
  <c r="AO238" i="31" s="1"/>
  <c r="AQ238" i="31" s="1"/>
  <c r="AO205" i="31"/>
  <c r="AQ205" i="31" s="1"/>
  <c r="AJ198" i="31"/>
  <c r="AJ199" i="31"/>
  <c r="AO178" i="31" s="1"/>
  <c r="AQ178" i="31" s="1"/>
  <c r="AA1828" i="23"/>
  <c r="AO206" i="31"/>
  <c r="AQ206" i="31" s="1"/>
  <c r="AJ167" i="31"/>
  <c r="AO146" i="31" s="1"/>
  <c r="AQ146" i="31" s="1"/>
  <c r="AA197" i="31"/>
  <c r="AO174" i="31" s="1"/>
  <c r="AQ174" i="31" s="1"/>
  <c r="AA198" i="31"/>
  <c r="AO173" i="31"/>
  <c r="AQ173" i="31" s="1"/>
  <c r="AA1773" i="23"/>
  <c r="AA165" i="31"/>
  <c r="AA166" i="31"/>
  <c r="Z135" i="31"/>
  <c r="AO113" i="31" s="1"/>
  <c r="AQ113" i="31" s="1"/>
  <c r="AP114" i="31"/>
  <c r="AP112" i="31"/>
  <c r="AP82" i="31"/>
  <c r="AP80" i="31"/>
  <c r="AP51" i="31"/>
  <c r="AP49" i="31"/>
  <c r="AP21" i="31"/>
  <c r="AI102" i="31"/>
  <c r="AE102" i="31"/>
  <c r="AE70" i="31"/>
  <c r="AE39" i="31"/>
  <c r="AE38" i="31"/>
  <c r="X69" i="31"/>
  <c r="X38" i="31"/>
  <c r="D39" i="31"/>
  <c r="D38" i="31"/>
  <c r="AL1893" i="23" l="1"/>
  <c r="AN1893" i="23" s="1"/>
  <c r="AQ275" i="31"/>
  <c r="AN1844" i="23"/>
  <c r="AN1899" i="23"/>
  <c r="AO176" i="31"/>
  <c r="AQ176" i="31" s="1"/>
  <c r="AQ179" i="31" s="1"/>
  <c r="AQ243" i="31"/>
  <c r="AO144" i="31"/>
  <c r="AQ144" i="31" s="1"/>
  <c r="AO208" i="31"/>
  <c r="AQ208" i="31" s="1"/>
  <c r="AQ211" i="31" s="1"/>
  <c r="AL1783" i="23"/>
  <c r="AN1783" i="23" s="1"/>
  <c r="AN1789" i="23" s="1"/>
  <c r="AO142" i="31"/>
  <c r="AQ142" i="31" s="1"/>
  <c r="AL1728" i="23"/>
  <c r="AN1728" i="23" s="1"/>
  <c r="AN1734" i="23" s="1"/>
  <c r="AA1674" i="23"/>
  <c r="AB1674" i="23"/>
  <c r="AG1674" i="23"/>
  <c r="AA1675" i="23"/>
  <c r="AB1675" i="23"/>
  <c r="AG1675" i="23"/>
  <c r="AA1676" i="23"/>
  <c r="AB1676" i="23"/>
  <c r="AG1676" i="23"/>
  <c r="AA1677" i="23"/>
  <c r="AB1677" i="23"/>
  <c r="AG1677" i="23"/>
  <c r="AA1678" i="23"/>
  <c r="AB1678" i="23"/>
  <c r="AG1678" i="23"/>
  <c r="AA1679" i="23"/>
  <c r="AB1679" i="23"/>
  <c r="AG1679" i="23"/>
  <c r="AA1680" i="23"/>
  <c r="AB1680" i="23"/>
  <c r="AG1680" i="23"/>
  <c r="AA1681" i="23"/>
  <c r="AB1681" i="23"/>
  <c r="AG1681" i="23"/>
  <c r="AA1682" i="23"/>
  <c r="AB1682" i="23"/>
  <c r="AG1682" i="23"/>
  <c r="AA1683" i="23"/>
  <c r="AB1683" i="23"/>
  <c r="AG1683" i="23"/>
  <c r="AA1684" i="23"/>
  <c r="AB1684" i="23"/>
  <c r="AG1684" i="23"/>
  <c r="AA1685" i="23"/>
  <c r="AB1685" i="23"/>
  <c r="AG1685" i="23"/>
  <c r="AA1686" i="23"/>
  <c r="AB1686" i="23"/>
  <c r="AG1686" i="23"/>
  <c r="AA1687" i="23"/>
  <c r="AB1687" i="23"/>
  <c r="AG1687" i="23"/>
  <c r="AA1688" i="23"/>
  <c r="AB1688" i="23"/>
  <c r="AG1688" i="23"/>
  <c r="AA1689" i="23"/>
  <c r="AB1689" i="23"/>
  <c r="AG1689" i="23"/>
  <c r="AA1690" i="23"/>
  <c r="AB1690" i="23"/>
  <c r="AG1690" i="23"/>
  <c r="AA1691" i="23"/>
  <c r="AB1691" i="23"/>
  <c r="AG1691" i="23"/>
  <c r="AA1692" i="23"/>
  <c r="AB1692" i="23"/>
  <c r="AG1692" i="23"/>
  <c r="AA1693" i="23"/>
  <c r="AB1693" i="23"/>
  <c r="AG1693" i="23"/>
  <c r="AA1694" i="23"/>
  <c r="AB1694" i="23"/>
  <c r="AG1694" i="23"/>
  <c r="AA1695" i="23"/>
  <c r="AB1695" i="23"/>
  <c r="AG1695" i="23"/>
  <c r="AA1696" i="23"/>
  <c r="AB1696" i="23"/>
  <c r="AG1696" i="23"/>
  <c r="AA1697" i="23"/>
  <c r="AB1697" i="23"/>
  <c r="AG1697" i="23"/>
  <c r="AA1698" i="23"/>
  <c r="AB1698" i="23"/>
  <c r="AG1698" i="23"/>
  <c r="AA1699" i="23"/>
  <c r="AB1699" i="23"/>
  <c r="AG1699" i="23"/>
  <c r="AA1700" i="23"/>
  <c r="AB1700" i="23"/>
  <c r="AG1700" i="23"/>
  <c r="AA1701" i="23"/>
  <c r="AB1701" i="23"/>
  <c r="AG1701" i="23"/>
  <c r="AA1702" i="23"/>
  <c r="AB1702" i="23"/>
  <c r="AG1702" i="23"/>
  <c r="AA1703" i="23"/>
  <c r="AB1703" i="23"/>
  <c r="AG1703" i="23"/>
  <c r="AA1704" i="23"/>
  <c r="AB1704" i="23"/>
  <c r="AG1704" i="23"/>
  <c r="AA1705" i="23"/>
  <c r="AB1705" i="23"/>
  <c r="AG1705" i="23"/>
  <c r="AA1706" i="23"/>
  <c r="AB1706" i="23"/>
  <c r="AG1706" i="23"/>
  <c r="AA1707" i="23"/>
  <c r="AB1707" i="23"/>
  <c r="AG1707" i="23"/>
  <c r="AA1708" i="23"/>
  <c r="AB1708" i="23"/>
  <c r="AG1708" i="23"/>
  <c r="AA1709" i="23"/>
  <c r="AB1709" i="23"/>
  <c r="AG1709" i="23"/>
  <c r="AA1710" i="23"/>
  <c r="AB1710" i="23"/>
  <c r="AG1710" i="23"/>
  <c r="AA1711" i="23"/>
  <c r="AB1711" i="23"/>
  <c r="AG1711" i="23"/>
  <c r="AA1712" i="23"/>
  <c r="AB1712" i="23"/>
  <c r="AG1712" i="23"/>
  <c r="AA1713" i="23"/>
  <c r="AB1713" i="23"/>
  <c r="AG1713" i="23"/>
  <c r="AA1714" i="23"/>
  <c r="AB1714" i="23"/>
  <c r="AG1714" i="23"/>
  <c r="AA1715" i="23"/>
  <c r="AB1715" i="23"/>
  <c r="AG1715" i="23"/>
  <c r="AA1716" i="23"/>
  <c r="AB1716" i="23"/>
  <c r="AG1716" i="23"/>
  <c r="AA1717" i="23"/>
  <c r="AB1717" i="23"/>
  <c r="AG1717" i="23"/>
  <c r="E1718" i="23"/>
  <c r="J1718" i="23"/>
  <c r="O1718" i="23"/>
  <c r="T1718" i="23"/>
  <c r="Y1718" i="23"/>
  <c r="AF1718" i="23"/>
  <c r="AA1719" i="23"/>
  <c r="AB1719" i="23"/>
  <c r="AG1719" i="23"/>
  <c r="AA1720" i="23"/>
  <c r="AB1720" i="23"/>
  <c r="AB1721" i="23" s="1"/>
  <c r="AL1677" i="23" s="1"/>
  <c r="AN1677" i="23" s="1"/>
  <c r="AG1720" i="23"/>
  <c r="AG1721" i="23" s="1"/>
  <c r="AL1678" i="23" s="1"/>
  <c r="AN1678" i="23" s="1"/>
  <c r="C1722" i="23"/>
  <c r="AL1681" i="23" s="1"/>
  <c r="AN1681" i="23" s="1"/>
  <c r="AJ123" i="31"/>
  <c r="AJ124" i="31"/>
  <c r="AJ125" i="31"/>
  <c r="AJ91" i="31"/>
  <c r="AJ92" i="31"/>
  <c r="Z91" i="31"/>
  <c r="AA91" i="31"/>
  <c r="Z92" i="31"/>
  <c r="AA92" i="31"/>
  <c r="Z93" i="31"/>
  <c r="AA93" i="31"/>
  <c r="Z123" i="31"/>
  <c r="AA123" i="31"/>
  <c r="Z124" i="31"/>
  <c r="AA124" i="31"/>
  <c r="Z125" i="31"/>
  <c r="AA125" i="31"/>
  <c r="AJ135" i="31"/>
  <c r="AA135" i="31"/>
  <c r="X134" i="31"/>
  <c r="S134" i="31"/>
  <c r="N134" i="31"/>
  <c r="I134" i="31"/>
  <c r="D134" i="31"/>
  <c r="AI133" i="31"/>
  <c r="AE133" i="31"/>
  <c r="Y133" i="31"/>
  <c r="T133" i="31"/>
  <c r="O133" i="31"/>
  <c r="J133" i="31"/>
  <c r="I133" i="31"/>
  <c r="E133" i="31"/>
  <c r="D133" i="31"/>
  <c r="AJ132" i="31"/>
  <c r="AA132" i="31"/>
  <c r="Z132" i="31"/>
  <c r="AJ131" i="31"/>
  <c r="AA131" i="31"/>
  <c r="AJ130" i="31"/>
  <c r="AA130" i="31"/>
  <c r="Z130" i="31"/>
  <c r="AJ129" i="31"/>
  <c r="AA129" i="31"/>
  <c r="Z129" i="31"/>
  <c r="AJ128" i="31"/>
  <c r="AA128" i="31"/>
  <c r="Z128" i="31"/>
  <c r="AJ127" i="31"/>
  <c r="AA127" i="31"/>
  <c r="Z127" i="31"/>
  <c r="AJ126" i="31"/>
  <c r="AA126" i="31"/>
  <c r="Z126" i="31"/>
  <c r="AJ122" i="31"/>
  <c r="AA122" i="31"/>
  <c r="Z122" i="31"/>
  <c r="AJ121" i="31"/>
  <c r="AA121" i="31"/>
  <c r="Z121" i="31"/>
  <c r="AJ120" i="31"/>
  <c r="AA120" i="31"/>
  <c r="Z120" i="31"/>
  <c r="AJ119" i="31"/>
  <c r="AA119" i="31"/>
  <c r="Z119" i="31"/>
  <c r="AJ118" i="31"/>
  <c r="AA118" i="31"/>
  <c r="Z118" i="31"/>
  <c r="AJ117" i="31"/>
  <c r="AA117" i="31"/>
  <c r="Z117" i="31"/>
  <c r="AJ116" i="31"/>
  <c r="AA116" i="31"/>
  <c r="Z116" i="31"/>
  <c r="AJ115" i="31"/>
  <c r="AA115" i="31"/>
  <c r="Z115" i="31"/>
  <c r="AJ114" i="31"/>
  <c r="AA114" i="31"/>
  <c r="Z114" i="31"/>
  <c r="AJ113" i="31"/>
  <c r="AA113" i="31"/>
  <c r="Z113" i="31"/>
  <c r="AJ112" i="31"/>
  <c r="AA112" i="31"/>
  <c r="Z112" i="31"/>
  <c r="AJ111" i="31"/>
  <c r="AA111" i="31"/>
  <c r="Z111" i="31"/>
  <c r="AJ110" i="31"/>
  <c r="AA110" i="31"/>
  <c r="Z110" i="31"/>
  <c r="AJ109" i="31"/>
  <c r="AA109" i="31"/>
  <c r="Z109" i="31"/>
  <c r="AE103" i="31"/>
  <c r="S101" i="31"/>
  <c r="Z60" i="31"/>
  <c r="AA60" i="31"/>
  <c r="AJ60" i="31"/>
  <c r="Z134" i="31" l="1"/>
  <c r="AQ147" i="31"/>
  <c r="Z133" i="31"/>
  <c r="AJ133" i="31"/>
  <c r="AO111" i="31" s="1"/>
  <c r="AQ111" i="31" s="1"/>
  <c r="AG1718" i="23"/>
  <c r="AL1675" i="23" s="1"/>
  <c r="AN1675" i="23" s="1"/>
  <c r="AB1718" i="23"/>
  <c r="AL1674" i="23" s="1"/>
  <c r="AN1674" i="23" s="1"/>
  <c r="AA1721" i="23"/>
  <c r="AL1676" i="23" s="1"/>
  <c r="AN1676" i="23" s="1"/>
  <c r="AO109" i="31"/>
  <c r="AQ109" i="31" s="1"/>
  <c r="AO114" i="31"/>
  <c r="AQ114" i="31" s="1"/>
  <c r="AA1718" i="23"/>
  <c r="AL1673" i="23" s="1"/>
  <c r="AN1673" i="23" s="1"/>
  <c r="AJ134" i="31"/>
  <c r="AA133" i="31"/>
  <c r="AA134" i="31"/>
  <c r="AG1630" i="23"/>
  <c r="AG1631" i="23"/>
  <c r="AG1632" i="23"/>
  <c r="AG1633" i="23"/>
  <c r="AG1634" i="23"/>
  <c r="AG1635" i="23"/>
  <c r="AG1636" i="23"/>
  <c r="AG1637" i="23"/>
  <c r="AG1638" i="23"/>
  <c r="AG1639" i="23"/>
  <c r="AG1640" i="23"/>
  <c r="AG1641" i="23"/>
  <c r="AG1642" i="23"/>
  <c r="AG1643" i="23"/>
  <c r="AG1644" i="23"/>
  <c r="AG1645" i="23"/>
  <c r="AG1646" i="23"/>
  <c r="AG1647" i="23"/>
  <c r="AG1648" i="23"/>
  <c r="AG1649" i="23"/>
  <c r="AG1650" i="23"/>
  <c r="AA1630" i="23"/>
  <c r="AB1630" i="23"/>
  <c r="AA1631" i="23"/>
  <c r="AB1631" i="23"/>
  <c r="AA1632" i="23"/>
  <c r="AB1632" i="23"/>
  <c r="AA1633" i="23"/>
  <c r="AB1633" i="23"/>
  <c r="AA1634" i="23"/>
  <c r="AB1634" i="23"/>
  <c r="AA1635" i="23"/>
  <c r="AB1635" i="23"/>
  <c r="AA1636" i="23"/>
  <c r="AB1636" i="23"/>
  <c r="AA1637" i="23"/>
  <c r="AB1637" i="23"/>
  <c r="AA1638" i="23"/>
  <c r="AB1638" i="23"/>
  <c r="AA1639" i="23"/>
  <c r="AB1639" i="23"/>
  <c r="AA1640" i="23"/>
  <c r="AB1640" i="23"/>
  <c r="AA1641" i="23"/>
  <c r="AB1641" i="23"/>
  <c r="AA1642" i="23"/>
  <c r="AB1642" i="23"/>
  <c r="AA1643" i="23"/>
  <c r="AB1643" i="23"/>
  <c r="AA1644" i="23"/>
  <c r="AB1644" i="23"/>
  <c r="AA1645" i="23"/>
  <c r="AB1645" i="23"/>
  <c r="AA1646" i="23"/>
  <c r="AB1646" i="23"/>
  <c r="AA1647" i="23"/>
  <c r="AB1647" i="23"/>
  <c r="AA1648" i="23"/>
  <c r="AB1648" i="23"/>
  <c r="AA1649" i="23"/>
  <c r="AB1649" i="23"/>
  <c r="AA1650" i="23"/>
  <c r="AB1650" i="23"/>
  <c r="AB1620" i="23"/>
  <c r="AB1621" i="23"/>
  <c r="AB1622" i="23"/>
  <c r="AB1623" i="23"/>
  <c r="AB1624" i="23"/>
  <c r="AB1625" i="23"/>
  <c r="AB1626" i="23"/>
  <c r="AB1627" i="23"/>
  <c r="AB1628" i="23"/>
  <c r="AB1629" i="23"/>
  <c r="AB1651" i="23"/>
  <c r="AB1652" i="23"/>
  <c r="AB1653" i="23"/>
  <c r="AB1654" i="23"/>
  <c r="AB1655" i="23"/>
  <c r="AB1656" i="23"/>
  <c r="AB1657" i="23"/>
  <c r="AB1658" i="23"/>
  <c r="AB1659" i="23"/>
  <c r="AB1660" i="23"/>
  <c r="AB1661" i="23"/>
  <c r="AB1662" i="23"/>
  <c r="AG1620" i="23"/>
  <c r="AG1621" i="23"/>
  <c r="AG1622" i="23"/>
  <c r="AG1623" i="23"/>
  <c r="AG1624" i="23"/>
  <c r="AG1625" i="23"/>
  <c r="AG1626" i="23"/>
  <c r="AG1627" i="23"/>
  <c r="AG1628" i="23"/>
  <c r="AG1629" i="23"/>
  <c r="I101" i="31"/>
  <c r="X102" i="31"/>
  <c r="Y101" i="31"/>
  <c r="X101" i="31"/>
  <c r="S102" i="31"/>
  <c r="T101" i="31"/>
  <c r="N102" i="31"/>
  <c r="O101" i="31"/>
  <c r="N101" i="31"/>
  <c r="I102" i="31"/>
  <c r="J101" i="31"/>
  <c r="D101" i="31"/>
  <c r="D102" i="31"/>
  <c r="E101" i="31"/>
  <c r="Z56" i="31"/>
  <c r="AE40" i="31"/>
  <c r="AE71" i="31"/>
  <c r="X70" i="31"/>
  <c r="Y69" i="31"/>
  <c r="S70" i="31"/>
  <c r="T69" i="31"/>
  <c r="S69" i="31"/>
  <c r="N70" i="31"/>
  <c r="O69" i="31"/>
  <c r="N69" i="31"/>
  <c r="I70" i="31"/>
  <c r="J69" i="31"/>
  <c r="I69" i="31"/>
  <c r="AA1619" i="23"/>
  <c r="AB1619" i="23"/>
  <c r="AG1619" i="23"/>
  <c r="AA1620" i="23"/>
  <c r="AA1621" i="23"/>
  <c r="AA1622" i="23"/>
  <c r="AA1623" i="23"/>
  <c r="AA1624" i="23"/>
  <c r="AA1625" i="23"/>
  <c r="AA1626" i="23"/>
  <c r="AA1627" i="23"/>
  <c r="AA1628" i="23"/>
  <c r="AA1629" i="23"/>
  <c r="AA1651" i="23"/>
  <c r="AG1651" i="23"/>
  <c r="AA1652" i="23"/>
  <c r="AG1652" i="23"/>
  <c r="AA1653" i="23"/>
  <c r="AG1653" i="23"/>
  <c r="AA1654" i="23"/>
  <c r="AG1654" i="23"/>
  <c r="AA1655" i="23"/>
  <c r="AG1655" i="23"/>
  <c r="AA1656" i="23"/>
  <c r="AG1656" i="23"/>
  <c r="AA1657" i="23"/>
  <c r="AG1657" i="23"/>
  <c r="AA1658" i="23"/>
  <c r="AG1658" i="23"/>
  <c r="AA1659" i="23"/>
  <c r="AG1659" i="23"/>
  <c r="AA1660" i="23"/>
  <c r="AG1660" i="23"/>
  <c r="AA1661" i="23"/>
  <c r="AG1661" i="23"/>
  <c r="AA1662" i="23"/>
  <c r="AG1662" i="23"/>
  <c r="E1663" i="23"/>
  <c r="J1663" i="23"/>
  <c r="O1663" i="23"/>
  <c r="T1663" i="23"/>
  <c r="Y1663" i="23"/>
  <c r="AF1663" i="23"/>
  <c r="AA1664" i="23"/>
  <c r="AB1664" i="23"/>
  <c r="AG1664" i="23"/>
  <c r="AA1665" i="23"/>
  <c r="AB1665" i="23"/>
  <c r="AB1666" i="23" s="1"/>
  <c r="AL1622" i="23" s="1"/>
  <c r="AN1622" i="23" s="1"/>
  <c r="AG1665" i="23"/>
  <c r="AG1666" i="23" s="1"/>
  <c r="AL1623" i="23" s="1"/>
  <c r="AN1623" i="23" s="1"/>
  <c r="C1667" i="23"/>
  <c r="AL1626" i="23" s="1"/>
  <c r="AN1626" i="23" s="1"/>
  <c r="AA1590" i="23"/>
  <c r="AA1591" i="23"/>
  <c r="AA1582" i="23"/>
  <c r="AB1582" i="23"/>
  <c r="AG1582" i="23"/>
  <c r="AA1583" i="23"/>
  <c r="AB1583" i="23"/>
  <c r="AG1583" i="23"/>
  <c r="AA1584" i="23"/>
  <c r="AB1584" i="23"/>
  <c r="AG1584" i="23"/>
  <c r="AA1585" i="23"/>
  <c r="AB1585" i="23"/>
  <c r="AG1585" i="23"/>
  <c r="AA1586" i="23"/>
  <c r="AB1586" i="23"/>
  <c r="AG1586" i="23"/>
  <c r="AA1587" i="23"/>
  <c r="AB1587" i="23"/>
  <c r="AG1587" i="23"/>
  <c r="AA1588" i="23"/>
  <c r="AB1588" i="23"/>
  <c r="AG1588" i="23"/>
  <c r="AA1589" i="23"/>
  <c r="AB1589" i="23"/>
  <c r="AG1589" i="23"/>
  <c r="AA1592" i="23"/>
  <c r="AB1592" i="23"/>
  <c r="AG1592" i="23"/>
  <c r="AA1593" i="23"/>
  <c r="AB1593" i="23"/>
  <c r="AG1593" i="23"/>
  <c r="AA1594" i="23"/>
  <c r="AB1594" i="23"/>
  <c r="AG1594" i="23"/>
  <c r="AA1595" i="23"/>
  <c r="AB1595" i="23"/>
  <c r="AG1595" i="23"/>
  <c r="AA1596" i="23"/>
  <c r="AB1596" i="23"/>
  <c r="AG1596" i="23"/>
  <c r="AA1597" i="23"/>
  <c r="AB1597" i="23"/>
  <c r="AG1597" i="23"/>
  <c r="AA1598" i="23"/>
  <c r="AB1598" i="23"/>
  <c r="AG1598" i="23"/>
  <c r="AA1599" i="23"/>
  <c r="AB1599" i="23"/>
  <c r="AG1599" i="23"/>
  <c r="AA1600" i="23"/>
  <c r="AB1600" i="23"/>
  <c r="AG1600" i="23"/>
  <c r="AA1601" i="23"/>
  <c r="AB1601" i="23"/>
  <c r="AG1601" i="23"/>
  <c r="AA1602" i="23"/>
  <c r="AB1602" i="23"/>
  <c r="AG1602" i="23"/>
  <c r="AA1603" i="23"/>
  <c r="AB1603" i="23"/>
  <c r="AG1603" i="23"/>
  <c r="AA1604" i="23"/>
  <c r="AB1604" i="23"/>
  <c r="AG1604" i="23"/>
  <c r="E1605" i="23"/>
  <c r="J1605" i="23"/>
  <c r="O1605" i="23"/>
  <c r="T1605" i="23"/>
  <c r="Y1605" i="23"/>
  <c r="AF1605" i="23"/>
  <c r="AA1606" i="23"/>
  <c r="AB1606" i="23"/>
  <c r="AG1606" i="23"/>
  <c r="AA1607" i="23"/>
  <c r="AB1607" i="23"/>
  <c r="AB1608" i="23" s="1"/>
  <c r="AL1585" i="23" s="1"/>
  <c r="AN1585" i="23" s="1"/>
  <c r="AG1607" i="23"/>
  <c r="AG1608" i="23" s="1"/>
  <c r="AL1586" i="23" s="1"/>
  <c r="AN1586" i="23" s="1"/>
  <c r="C1609" i="23"/>
  <c r="AL1589" i="23" s="1"/>
  <c r="AN1589" i="23" s="1"/>
  <c r="AN1679" i="23" l="1"/>
  <c r="AA1666" i="23"/>
  <c r="AL1621" i="23" s="1"/>
  <c r="AN1621" i="23" s="1"/>
  <c r="AO112" i="31"/>
  <c r="AQ112" i="31" s="1"/>
  <c r="AO110" i="31"/>
  <c r="AQ110" i="31" s="1"/>
  <c r="AO108" i="31"/>
  <c r="AQ108" i="31" s="1"/>
  <c r="AG1663" i="23"/>
  <c r="AL1620" i="23" s="1"/>
  <c r="AN1620" i="23" s="1"/>
  <c r="AB1663" i="23"/>
  <c r="AL1619" i="23" s="1"/>
  <c r="AN1619" i="23" s="1"/>
  <c r="AA1663" i="23"/>
  <c r="AA1608" i="23"/>
  <c r="AL1584" i="23" s="1"/>
  <c r="AN1584" i="23" s="1"/>
  <c r="AB1605" i="23"/>
  <c r="AL1582" i="23" s="1"/>
  <c r="AN1582" i="23" s="1"/>
  <c r="AG1605" i="23"/>
  <c r="AL1583" i="23" s="1"/>
  <c r="AN1583" i="23" s="1"/>
  <c r="AA1605" i="23"/>
  <c r="S39" i="31"/>
  <c r="T38" i="31"/>
  <c r="O38" i="31"/>
  <c r="J38" i="31"/>
  <c r="X39" i="31"/>
  <c r="S38" i="31"/>
  <c r="N39" i="31"/>
  <c r="N38" i="31"/>
  <c r="I39" i="31"/>
  <c r="I38" i="31"/>
  <c r="AQ115" i="31" l="1"/>
  <c r="AL1618" i="23"/>
  <c r="AN1618" i="23" s="1"/>
  <c r="AN1624" i="23" s="1"/>
  <c r="AL1581" i="23"/>
  <c r="AN1581" i="23" s="1"/>
  <c r="AN1587" i="23" s="1"/>
  <c r="AJ103" i="31"/>
  <c r="AA103" i="31"/>
  <c r="AO82" i="31" s="1"/>
  <c r="AQ82" i="31" s="1"/>
  <c r="Z103" i="31"/>
  <c r="AO81" i="31" s="1"/>
  <c r="AQ81" i="31" s="1"/>
  <c r="AI101" i="31"/>
  <c r="AE101" i="31"/>
  <c r="AJ100" i="31"/>
  <c r="AA100" i="31"/>
  <c r="AJ99" i="31"/>
  <c r="AA99" i="31"/>
  <c r="Z99" i="31"/>
  <c r="AJ98" i="31"/>
  <c r="AA98" i="31"/>
  <c r="Z98" i="31"/>
  <c r="AJ97" i="31"/>
  <c r="AA97" i="31"/>
  <c r="Z97" i="31"/>
  <c r="AJ96" i="31"/>
  <c r="AA96" i="31"/>
  <c r="Z96" i="31"/>
  <c r="AJ95" i="31"/>
  <c r="AA95" i="31"/>
  <c r="Z95" i="31"/>
  <c r="AJ94" i="31"/>
  <c r="AA94" i="31"/>
  <c r="Z94" i="31"/>
  <c r="AJ93" i="31"/>
  <c r="AJ90" i="31"/>
  <c r="AA90" i="31"/>
  <c r="Z90" i="31"/>
  <c r="AJ89" i="31"/>
  <c r="AA89" i="31"/>
  <c r="Z89" i="31"/>
  <c r="AJ88" i="31"/>
  <c r="AA88" i="31"/>
  <c r="Z88" i="31"/>
  <c r="AJ87" i="31"/>
  <c r="AA87" i="31"/>
  <c r="Z87" i="31"/>
  <c r="AJ86" i="31"/>
  <c r="AA86" i="31"/>
  <c r="Z86" i="31"/>
  <c r="AJ85" i="31"/>
  <c r="AA85" i="31"/>
  <c r="Z85" i="31"/>
  <c r="AJ84" i="31"/>
  <c r="AA84" i="31"/>
  <c r="Z84" i="31"/>
  <c r="AJ83" i="31"/>
  <c r="AA83" i="31"/>
  <c r="Z83" i="31"/>
  <c r="AJ82" i="31"/>
  <c r="AA82" i="31"/>
  <c r="Z82" i="31"/>
  <c r="AJ81" i="31"/>
  <c r="AA81" i="31"/>
  <c r="Z81" i="31"/>
  <c r="AJ80" i="31"/>
  <c r="AA80" i="31"/>
  <c r="Z80" i="31"/>
  <c r="AJ79" i="31"/>
  <c r="AA79" i="31"/>
  <c r="Z79" i="31"/>
  <c r="AJ78" i="31"/>
  <c r="AA78" i="31"/>
  <c r="Z78" i="31"/>
  <c r="AJ77" i="31"/>
  <c r="AA77" i="31"/>
  <c r="Z77" i="31"/>
  <c r="Z68" i="31"/>
  <c r="Z64" i="31"/>
  <c r="AA64" i="31"/>
  <c r="AJ64" i="31"/>
  <c r="Z65" i="31"/>
  <c r="AA65" i="31"/>
  <c r="AJ65" i="31"/>
  <c r="Z66" i="31"/>
  <c r="AA66" i="31"/>
  <c r="AJ66" i="31"/>
  <c r="Z67" i="31"/>
  <c r="AA67" i="31"/>
  <c r="AJ67" i="31"/>
  <c r="AA68" i="31"/>
  <c r="AJ68" i="31"/>
  <c r="Z63" i="31"/>
  <c r="Z101" i="31" l="1"/>
  <c r="AO76" i="31" s="1"/>
  <c r="AQ76" i="31" s="1"/>
  <c r="Z102" i="31"/>
  <c r="AO77" i="31" s="1"/>
  <c r="AQ77" i="31" s="1"/>
  <c r="Z70" i="31"/>
  <c r="AJ102" i="31"/>
  <c r="AJ101" i="31"/>
  <c r="AO79" i="31" s="1"/>
  <c r="AQ79" i="31" s="1"/>
  <c r="AA102" i="31"/>
  <c r="AA101" i="31"/>
  <c r="AO78" i="31" s="1"/>
  <c r="AQ78" i="31" s="1"/>
  <c r="AO80" i="31" l="1"/>
  <c r="AQ80" i="31" s="1"/>
  <c r="AQ83" i="31" s="1"/>
  <c r="AO46" i="31"/>
  <c r="AQ46" i="31" s="1"/>
  <c r="AJ31" i="31"/>
  <c r="AA31" i="31"/>
  <c r="Z31" i="31"/>
  <c r="Z28" i="31"/>
  <c r="AA28" i="31"/>
  <c r="AJ28" i="31"/>
  <c r="Z29" i="31"/>
  <c r="AA29" i="31"/>
  <c r="AJ29" i="31"/>
  <c r="AA1551" i="23"/>
  <c r="AB1551" i="23"/>
  <c r="AG1551" i="23"/>
  <c r="AA1552" i="23"/>
  <c r="AB1552" i="23"/>
  <c r="AG1552" i="23"/>
  <c r="AA1553" i="23"/>
  <c r="AB1553" i="23"/>
  <c r="AG1553" i="23"/>
  <c r="AA1554" i="23"/>
  <c r="AB1554" i="23"/>
  <c r="AG1554" i="23"/>
  <c r="AA1555" i="23"/>
  <c r="AB1555" i="23"/>
  <c r="AG1555" i="23"/>
  <c r="AA1556" i="23"/>
  <c r="AB1556" i="23"/>
  <c r="AG1556" i="23"/>
  <c r="AA1557" i="23"/>
  <c r="AB1557" i="23"/>
  <c r="AG1557" i="23"/>
  <c r="AA1558" i="23"/>
  <c r="AB1558" i="23"/>
  <c r="AG1558" i="23"/>
  <c r="AA1559" i="23"/>
  <c r="AB1559" i="23"/>
  <c r="AG1559" i="23"/>
  <c r="AA1560" i="23"/>
  <c r="AB1560" i="23"/>
  <c r="AG1560" i="23"/>
  <c r="AA1561" i="23"/>
  <c r="AB1561" i="23"/>
  <c r="AG1561" i="23"/>
  <c r="AA1562" i="23"/>
  <c r="AB1562" i="23"/>
  <c r="AG1562" i="23"/>
  <c r="AA1563" i="23"/>
  <c r="AB1563" i="23"/>
  <c r="AG1563" i="23"/>
  <c r="AA1564" i="23"/>
  <c r="AB1564" i="23"/>
  <c r="AG1564" i="23"/>
  <c r="AA1565" i="23"/>
  <c r="AB1565" i="23"/>
  <c r="AG1565" i="23"/>
  <c r="AA1566" i="23"/>
  <c r="AB1566" i="23"/>
  <c r="AG1566" i="23"/>
  <c r="AA1567" i="23"/>
  <c r="AB1567" i="23"/>
  <c r="AG1567" i="23"/>
  <c r="AA1568" i="23"/>
  <c r="AB1568" i="23"/>
  <c r="AG1568" i="23"/>
  <c r="AA1569" i="23"/>
  <c r="AB1569" i="23"/>
  <c r="AG1569" i="23"/>
  <c r="AA1570" i="23"/>
  <c r="AB1570" i="23"/>
  <c r="AG1570" i="23"/>
  <c r="AA1571" i="23"/>
  <c r="AB1571" i="23"/>
  <c r="AG1571" i="23"/>
  <c r="E1572" i="23"/>
  <c r="J1572" i="23"/>
  <c r="O1572" i="23"/>
  <c r="T1572" i="23"/>
  <c r="Y1572" i="23"/>
  <c r="AF1572" i="23"/>
  <c r="AA1573" i="23"/>
  <c r="AB1573" i="23"/>
  <c r="AG1573" i="23"/>
  <c r="AA1574" i="23"/>
  <c r="AB1574" i="23"/>
  <c r="AB1575" i="23" s="1"/>
  <c r="AL1554" i="23" s="1"/>
  <c r="AN1554" i="23" s="1"/>
  <c r="AG1574" i="23"/>
  <c r="AG1575" i="23" s="1"/>
  <c r="AL1555" i="23" s="1"/>
  <c r="AN1555" i="23" s="1"/>
  <c r="C1576" i="23"/>
  <c r="AL1558" i="23" s="1"/>
  <c r="AN1558" i="23" s="1"/>
  <c r="AJ71" i="31"/>
  <c r="AA71" i="31"/>
  <c r="Z71" i="31"/>
  <c r="AI69" i="31"/>
  <c r="AI70" i="31" s="1"/>
  <c r="AE69" i="31"/>
  <c r="AJ63" i="31"/>
  <c r="AA63" i="31"/>
  <c r="AJ62" i="31"/>
  <c r="AA62" i="31"/>
  <c r="Z62" i="31"/>
  <c r="AJ61" i="31"/>
  <c r="AA61" i="31"/>
  <c r="Z61" i="31"/>
  <c r="AJ59" i="31"/>
  <c r="AA59" i="31"/>
  <c r="Z59" i="31"/>
  <c r="AJ58" i="31"/>
  <c r="AA58" i="31"/>
  <c r="Z58" i="31"/>
  <c r="AJ57" i="31"/>
  <c r="AA57" i="31"/>
  <c r="Z57" i="31"/>
  <c r="AJ56" i="31"/>
  <c r="AA56" i="31"/>
  <c r="AJ55" i="31"/>
  <c r="AA55" i="31"/>
  <c r="Z55" i="31"/>
  <c r="AJ54" i="31"/>
  <c r="AA54" i="31"/>
  <c r="Z54" i="31"/>
  <c r="AJ53" i="31"/>
  <c r="AA53" i="31"/>
  <c r="Z53" i="31"/>
  <c r="AJ52" i="31"/>
  <c r="AA52" i="31"/>
  <c r="Z52" i="31"/>
  <c r="AJ51" i="31"/>
  <c r="AA51" i="31"/>
  <c r="Z51" i="31"/>
  <c r="AJ50" i="31"/>
  <c r="AA50" i="31"/>
  <c r="Z50" i="31"/>
  <c r="AJ49" i="31"/>
  <c r="AA49" i="31"/>
  <c r="Z49" i="31"/>
  <c r="AJ48" i="31"/>
  <c r="AA48" i="31"/>
  <c r="Z48" i="31"/>
  <c r="AJ47" i="31"/>
  <c r="AA47" i="31"/>
  <c r="Z47" i="31"/>
  <c r="AJ46" i="31"/>
  <c r="AA46" i="31"/>
  <c r="Z46" i="31"/>
  <c r="Z25" i="31"/>
  <c r="AA25" i="31"/>
  <c r="AJ25" i="31"/>
  <c r="AN1526" i="23"/>
  <c r="AG1542" i="23"/>
  <c r="AG1543" i="23" s="1"/>
  <c r="AL1523" i="23" s="1"/>
  <c r="AN1523" i="23" s="1"/>
  <c r="AB1542" i="23"/>
  <c r="AB1543" i="23" s="1"/>
  <c r="AL1522" i="23" s="1"/>
  <c r="AN1522" i="23" s="1"/>
  <c r="AA1542" i="23"/>
  <c r="AG1541" i="23"/>
  <c r="AB1541" i="23"/>
  <c r="AA1541" i="23"/>
  <c r="AF1540" i="23"/>
  <c r="Y1540" i="23"/>
  <c r="T1540" i="23"/>
  <c r="O1540" i="23"/>
  <c r="J1540" i="23"/>
  <c r="E1540" i="23"/>
  <c r="AG1539" i="23"/>
  <c r="AB1539" i="23"/>
  <c r="AA1539" i="23"/>
  <c r="AG1538" i="23"/>
  <c r="AB1538" i="23"/>
  <c r="AA1538" i="23"/>
  <c r="AG1537" i="23"/>
  <c r="AB1537" i="23"/>
  <c r="AA1537" i="23"/>
  <c r="AG1536" i="23"/>
  <c r="AB1536" i="23"/>
  <c r="AA1536" i="23"/>
  <c r="AG1535" i="23"/>
  <c r="AB1535" i="23"/>
  <c r="AA1535" i="23"/>
  <c r="AG1534" i="23"/>
  <c r="AB1534" i="23"/>
  <c r="AA1534" i="23"/>
  <c r="AG1533" i="23"/>
  <c r="AB1533" i="23"/>
  <c r="AA1533" i="23"/>
  <c r="AG1532" i="23"/>
  <c r="AB1532" i="23"/>
  <c r="AA1532" i="23"/>
  <c r="AG1531" i="23"/>
  <c r="AB1531" i="23"/>
  <c r="AA1531" i="23"/>
  <c r="AG1530" i="23"/>
  <c r="AB1530" i="23"/>
  <c r="AA1530" i="23"/>
  <c r="AG1529" i="23"/>
  <c r="AB1529" i="23"/>
  <c r="AA1529" i="23"/>
  <c r="AG1528" i="23"/>
  <c r="AB1528" i="23"/>
  <c r="AA1528" i="23"/>
  <c r="AG1527" i="23"/>
  <c r="AB1527" i="23"/>
  <c r="AA1527" i="23"/>
  <c r="AG1526" i="23"/>
  <c r="AB1526" i="23"/>
  <c r="AA1526" i="23"/>
  <c r="AG1525" i="23"/>
  <c r="AB1525" i="23"/>
  <c r="AA1525" i="23"/>
  <c r="AG1524" i="23"/>
  <c r="AB1524" i="23"/>
  <c r="AA1524" i="23"/>
  <c r="AG1523" i="23"/>
  <c r="AB1523" i="23"/>
  <c r="AA1523" i="23"/>
  <c r="AG1522" i="23"/>
  <c r="AB1522" i="23"/>
  <c r="AA1522" i="23"/>
  <c r="AG1521" i="23"/>
  <c r="AB1521" i="23"/>
  <c r="AA1521" i="23"/>
  <c r="AG1520" i="23"/>
  <c r="AB1520" i="23"/>
  <c r="AA1520" i="23"/>
  <c r="AG1519" i="23"/>
  <c r="AB1519" i="23"/>
  <c r="AA1519" i="23"/>
  <c r="AF669" i="20"/>
  <c r="Z669" i="20"/>
  <c r="Y669" i="20"/>
  <c r="U669" i="20"/>
  <c r="T669" i="20"/>
  <c r="P669" i="20"/>
  <c r="O669" i="20"/>
  <c r="K669" i="20"/>
  <c r="J669" i="20"/>
  <c r="F669" i="20"/>
  <c r="E669" i="20"/>
  <c r="AG668" i="20"/>
  <c r="AB668" i="20"/>
  <c r="AA668" i="20"/>
  <c r="AM667" i="20"/>
  <c r="AG667" i="20"/>
  <c r="AG669" i="20" s="1"/>
  <c r="AL668" i="20" s="1"/>
  <c r="AN668" i="20" s="1"/>
  <c r="AB667" i="20"/>
  <c r="AB669" i="20" s="1"/>
  <c r="AL667" i="20" s="1"/>
  <c r="AA667" i="20"/>
  <c r="AA669" i="20" s="1"/>
  <c r="AL666" i="20" s="1"/>
  <c r="AN666" i="20" s="1"/>
  <c r="AF661" i="20"/>
  <c r="Z661" i="20"/>
  <c r="Y661" i="20"/>
  <c r="U661" i="20"/>
  <c r="T661" i="20"/>
  <c r="P661" i="20"/>
  <c r="O661" i="20"/>
  <c r="K661" i="20"/>
  <c r="J661" i="20"/>
  <c r="F661" i="20"/>
  <c r="E661" i="20"/>
  <c r="AG660" i="20"/>
  <c r="AB660" i="20"/>
  <c r="AA660" i="20"/>
  <c r="AM659" i="20"/>
  <c r="AG659" i="20"/>
  <c r="AB659" i="20"/>
  <c r="AA659" i="20"/>
  <c r="AF653" i="20"/>
  <c r="Z653" i="20"/>
  <c r="Y653" i="20"/>
  <c r="U653" i="20"/>
  <c r="T653" i="20"/>
  <c r="P653" i="20"/>
  <c r="O653" i="20"/>
  <c r="K653" i="20"/>
  <c r="J653" i="20"/>
  <c r="F653" i="20"/>
  <c r="E653" i="20"/>
  <c r="AG652" i="20"/>
  <c r="AB652" i="20"/>
  <c r="AA652" i="20"/>
  <c r="AM651" i="20"/>
  <c r="AG651" i="20"/>
  <c r="AG653" i="20" s="1"/>
  <c r="AL652" i="20" s="1"/>
  <c r="AN652" i="20" s="1"/>
  <c r="AB651" i="20"/>
  <c r="AB653" i="20" s="1"/>
  <c r="AL651" i="20" s="1"/>
  <c r="AA651" i="20"/>
  <c r="AA653" i="20" s="1"/>
  <c r="AL650" i="20" s="1"/>
  <c r="AN650" i="20" s="1"/>
  <c r="AF645" i="20"/>
  <c r="Z645" i="20"/>
  <c r="Y645" i="20"/>
  <c r="U645" i="20"/>
  <c r="T645" i="20"/>
  <c r="P645" i="20"/>
  <c r="O645" i="20"/>
  <c r="K645" i="20"/>
  <c r="J645" i="20"/>
  <c r="F645" i="20"/>
  <c r="E645" i="20"/>
  <c r="AG644" i="20"/>
  <c r="AB644" i="20"/>
  <c r="AA644" i="20"/>
  <c r="AM643" i="20"/>
  <c r="AG643" i="20"/>
  <c r="AB643" i="20"/>
  <c r="AA643" i="20"/>
  <c r="AF637" i="20"/>
  <c r="Z637" i="20"/>
  <c r="Y637" i="20"/>
  <c r="U637" i="20"/>
  <c r="T637" i="20"/>
  <c r="P637" i="20"/>
  <c r="O637" i="20"/>
  <c r="K637" i="20"/>
  <c r="J637" i="20"/>
  <c r="F637" i="20"/>
  <c r="E637" i="20"/>
  <c r="AG636" i="20"/>
  <c r="AB636" i="20"/>
  <c r="AA636" i="20"/>
  <c r="AM635" i="20"/>
  <c r="AG635" i="20"/>
  <c r="AG637" i="20" s="1"/>
  <c r="AL636" i="20" s="1"/>
  <c r="AN636" i="20" s="1"/>
  <c r="AB635" i="20"/>
  <c r="AB637" i="20" s="1"/>
  <c r="AL635" i="20" s="1"/>
  <c r="AA635" i="20"/>
  <c r="AA637" i="20" s="1"/>
  <c r="AL634" i="20" s="1"/>
  <c r="AN634" i="20" s="1"/>
  <c r="AF629" i="20"/>
  <c r="Z629" i="20"/>
  <c r="Y629" i="20"/>
  <c r="U629" i="20"/>
  <c r="T629" i="20"/>
  <c r="P629" i="20"/>
  <c r="O629" i="20"/>
  <c r="K629" i="20"/>
  <c r="J629" i="20"/>
  <c r="F629" i="20"/>
  <c r="E629" i="20"/>
  <c r="AG628" i="20"/>
  <c r="AB628" i="20"/>
  <c r="AA628" i="20"/>
  <c r="AM627" i="20"/>
  <c r="AG627" i="20"/>
  <c r="AB627" i="20"/>
  <c r="AA627" i="20"/>
  <c r="AF621" i="20"/>
  <c r="Z621" i="20"/>
  <c r="Y621" i="20"/>
  <c r="U621" i="20"/>
  <c r="T621" i="20"/>
  <c r="P621" i="20"/>
  <c r="O621" i="20"/>
  <c r="K621" i="20"/>
  <c r="J621" i="20"/>
  <c r="F621" i="20"/>
  <c r="E621" i="20"/>
  <c r="AG620" i="20"/>
  <c r="AB620" i="20"/>
  <c r="AA620" i="20"/>
  <c r="AM619" i="20"/>
  <c r="AG619" i="20"/>
  <c r="AG621" i="20" s="1"/>
  <c r="AL620" i="20" s="1"/>
  <c r="AN620" i="20" s="1"/>
  <c r="AB619" i="20"/>
  <c r="AA619" i="20"/>
  <c r="AA621" i="20" s="1"/>
  <c r="AL618" i="20" s="1"/>
  <c r="AN618" i="20" s="1"/>
  <c r="AF613" i="20"/>
  <c r="Z613" i="20"/>
  <c r="Y613" i="20"/>
  <c r="U613" i="20"/>
  <c r="T613" i="20"/>
  <c r="P613" i="20"/>
  <c r="O613" i="20"/>
  <c r="K613" i="20"/>
  <c r="J613" i="20"/>
  <c r="F613" i="20"/>
  <c r="E613" i="20"/>
  <c r="AG612" i="20"/>
  <c r="AB612" i="20"/>
  <c r="AA612" i="20"/>
  <c r="AM611" i="20"/>
  <c r="AG611" i="20"/>
  <c r="AB611" i="20"/>
  <c r="AA611" i="20"/>
  <c r="AF605" i="20"/>
  <c r="Z605" i="20"/>
  <c r="Y605" i="20"/>
  <c r="U605" i="20"/>
  <c r="T605" i="20"/>
  <c r="P605" i="20"/>
  <c r="O605" i="20"/>
  <c r="K605" i="20"/>
  <c r="J605" i="20"/>
  <c r="F605" i="20"/>
  <c r="E605" i="20"/>
  <c r="AG604" i="20"/>
  <c r="AB604" i="20"/>
  <c r="AA604" i="20"/>
  <c r="AM603" i="20"/>
  <c r="AG603" i="20"/>
  <c r="AG605" i="20" s="1"/>
  <c r="AL604" i="20" s="1"/>
  <c r="AN604" i="20" s="1"/>
  <c r="AB603" i="20"/>
  <c r="AB605" i="20" s="1"/>
  <c r="AL603" i="20" s="1"/>
  <c r="AN603" i="20" s="1"/>
  <c r="AA603" i="20"/>
  <c r="AA605" i="20" s="1"/>
  <c r="AL602" i="20" s="1"/>
  <c r="AN602" i="20" s="1"/>
  <c r="AF597" i="20"/>
  <c r="Z597" i="20"/>
  <c r="Y597" i="20"/>
  <c r="U597" i="20"/>
  <c r="T597" i="20"/>
  <c r="P597" i="20"/>
  <c r="O597" i="20"/>
  <c r="K597" i="20"/>
  <c r="J597" i="20"/>
  <c r="F597" i="20"/>
  <c r="E597" i="20"/>
  <c r="AG596" i="20"/>
  <c r="AB596" i="20"/>
  <c r="AA596" i="20"/>
  <c r="AM595" i="20"/>
  <c r="AG595" i="20"/>
  <c r="AB595" i="20"/>
  <c r="AA595" i="20"/>
  <c r="AF589" i="20"/>
  <c r="Z589" i="20"/>
  <c r="Y589" i="20"/>
  <c r="U589" i="20"/>
  <c r="T589" i="20"/>
  <c r="P589" i="20"/>
  <c r="O589" i="20"/>
  <c r="K589" i="20"/>
  <c r="J589" i="20"/>
  <c r="F589" i="20"/>
  <c r="E589" i="20"/>
  <c r="AG588" i="20"/>
  <c r="AB588" i="20"/>
  <c r="AA588" i="20"/>
  <c r="AM587" i="20"/>
  <c r="AG587" i="20"/>
  <c r="AG589" i="20" s="1"/>
  <c r="AL588" i="20" s="1"/>
  <c r="AN588" i="20" s="1"/>
  <c r="AB587" i="20"/>
  <c r="AB589" i="20" s="1"/>
  <c r="AL587" i="20" s="1"/>
  <c r="AN587" i="20" s="1"/>
  <c r="AA587" i="20"/>
  <c r="AF581" i="20"/>
  <c r="Z581" i="20"/>
  <c r="Y581" i="20"/>
  <c r="U581" i="20"/>
  <c r="T581" i="20"/>
  <c r="P581" i="20"/>
  <c r="O581" i="20"/>
  <c r="K581" i="20"/>
  <c r="J581" i="20"/>
  <c r="F581" i="20"/>
  <c r="E581" i="20"/>
  <c r="AG580" i="20"/>
  <c r="AB580" i="20"/>
  <c r="AA580" i="20"/>
  <c r="AM579" i="20"/>
  <c r="AG579" i="20"/>
  <c r="AB579" i="20"/>
  <c r="AA579" i="20"/>
  <c r="AF573" i="20"/>
  <c r="Z573" i="20"/>
  <c r="Y573" i="20"/>
  <c r="U573" i="20"/>
  <c r="T573" i="20"/>
  <c r="P573" i="20"/>
  <c r="O573" i="20"/>
  <c r="K573" i="20"/>
  <c r="J573" i="20"/>
  <c r="F573" i="20"/>
  <c r="E573" i="20"/>
  <c r="AG572" i="20"/>
  <c r="AB572" i="20"/>
  <c r="AA572" i="20"/>
  <c r="AM571" i="20"/>
  <c r="AG571" i="20"/>
  <c r="AG573" i="20" s="1"/>
  <c r="AL572" i="20" s="1"/>
  <c r="AN572" i="20" s="1"/>
  <c r="AB571" i="20"/>
  <c r="AB573" i="20" s="1"/>
  <c r="AL571" i="20" s="1"/>
  <c r="AN571" i="20" s="1"/>
  <c r="AA571" i="20"/>
  <c r="AA573" i="20" s="1"/>
  <c r="AL570" i="20"/>
  <c r="AN570" i="20" s="1"/>
  <c r="AN573" i="20" s="1"/>
  <c r="AA555" i="20"/>
  <c r="AA1487" i="23"/>
  <c r="AB1487" i="23"/>
  <c r="AG1487" i="23"/>
  <c r="AA1488" i="23"/>
  <c r="AB1488" i="23"/>
  <c r="AG1488" i="23"/>
  <c r="AA1489" i="23"/>
  <c r="AB1489" i="23"/>
  <c r="AG1489" i="23"/>
  <c r="AA1490" i="23"/>
  <c r="AB1490" i="23"/>
  <c r="AG1490" i="23"/>
  <c r="AA1491" i="23"/>
  <c r="AB1491" i="23"/>
  <c r="AG1491" i="23"/>
  <c r="AA1492" i="23"/>
  <c r="AB1492" i="23"/>
  <c r="AG1492" i="23"/>
  <c r="AA1493" i="23"/>
  <c r="AB1493" i="23"/>
  <c r="AG1493" i="23"/>
  <c r="AA1494" i="23"/>
  <c r="AB1494" i="23"/>
  <c r="AG1494" i="23"/>
  <c r="AA1495" i="23"/>
  <c r="AB1495" i="23"/>
  <c r="AG1495" i="23"/>
  <c r="AA1496" i="23"/>
  <c r="AB1496" i="23"/>
  <c r="AG1496" i="23"/>
  <c r="AA1497" i="23"/>
  <c r="AB1497" i="23"/>
  <c r="AG1497" i="23"/>
  <c r="AA1498" i="23"/>
  <c r="AB1498" i="23"/>
  <c r="AG1498" i="23"/>
  <c r="AA1499" i="23"/>
  <c r="AB1499" i="23"/>
  <c r="AG1499" i="23"/>
  <c r="AA1500" i="23"/>
  <c r="AB1500" i="23"/>
  <c r="AG1500" i="23"/>
  <c r="AA1501" i="23"/>
  <c r="AB1501" i="23"/>
  <c r="AG1501" i="23"/>
  <c r="AA1502" i="23"/>
  <c r="AB1502" i="23"/>
  <c r="AG1502" i="23"/>
  <c r="AA1503" i="23"/>
  <c r="AB1503" i="23"/>
  <c r="AG1503" i="23"/>
  <c r="AA1504" i="23"/>
  <c r="AB1504" i="23"/>
  <c r="AG1504" i="23"/>
  <c r="AA1505" i="23"/>
  <c r="AB1505" i="23"/>
  <c r="AG1505" i="23"/>
  <c r="AA1506" i="23"/>
  <c r="AB1506" i="23"/>
  <c r="AG1506" i="23"/>
  <c r="AA1507" i="23"/>
  <c r="AB1507" i="23"/>
  <c r="AG1507" i="23"/>
  <c r="E1508" i="23"/>
  <c r="J1508" i="23"/>
  <c r="O1508" i="23"/>
  <c r="T1508" i="23"/>
  <c r="Y1508" i="23"/>
  <c r="AF1508" i="23"/>
  <c r="AA1509" i="23"/>
  <c r="AB1509" i="23"/>
  <c r="AG1509" i="23"/>
  <c r="AA1510" i="23"/>
  <c r="AB1510" i="23"/>
  <c r="AB1511" i="23" s="1"/>
  <c r="AL1490" i="23" s="1"/>
  <c r="AN1490" i="23" s="1"/>
  <c r="AG1510" i="23"/>
  <c r="AG1511" i="23" s="1"/>
  <c r="AL1491" i="23" s="1"/>
  <c r="AN1491" i="23" s="1"/>
  <c r="C1512" i="23"/>
  <c r="AL1494" i="23" s="1"/>
  <c r="AN1494" i="23" s="1"/>
  <c r="AA1455" i="23"/>
  <c r="AB1455" i="23"/>
  <c r="AG1455" i="23"/>
  <c r="AA1456" i="23"/>
  <c r="AB1456" i="23"/>
  <c r="AG1456" i="23"/>
  <c r="AA1457" i="23"/>
  <c r="AB1457" i="23"/>
  <c r="AG1457" i="23"/>
  <c r="AA1458" i="23"/>
  <c r="AB1458" i="23"/>
  <c r="AG1458" i="23"/>
  <c r="AA1459" i="23"/>
  <c r="AB1459" i="23"/>
  <c r="AG1459" i="23"/>
  <c r="AA1460" i="23"/>
  <c r="AB1460" i="23"/>
  <c r="AG1460" i="23"/>
  <c r="AA1461" i="23"/>
  <c r="AB1461" i="23"/>
  <c r="AG1461" i="23"/>
  <c r="AA1462" i="23"/>
  <c r="AB1462" i="23"/>
  <c r="AG1462" i="23"/>
  <c r="AA1463" i="23"/>
  <c r="AB1463" i="23"/>
  <c r="AG1463" i="23"/>
  <c r="AA1464" i="23"/>
  <c r="AB1464" i="23"/>
  <c r="AG1464" i="23"/>
  <c r="AA1465" i="23"/>
  <c r="AB1465" i="23"/>
  <c r="AG1465" i="23"/>
  <c r="AA1466" i="23"/>
  <c r="AB1466" i="23"/>
  <c r="AG1466" i="23"/>
  <c r="AA1467" i="23"/>
  <c r="AB1467" i="23"/>
  <c r="AG1467" i="23"/>
  <c r="AA1468" i="23"/>
  <c r="AB1468" i="23"/>
  <c r="AG1468" i="23"/>
  <c r="AA1469" i="23"/>
  <c r="AB1469" i="23"/>
  <c r="AG1469" i="23"/>
  <c r="AA1470" i="23"/>
  <c r="AB1470" i="23"/>
  <c r="AG1470" i="23"/>
  <c r="AA1471" i="23"/>
  <c r="AB1471" i="23"/>
  <c r="AG1471" i="23"/>
  <c r="AA1472" i="23"/>
  <c r="AB1472" i="23"/>
  <c r="AG1472" i="23"/>
  <c r="AA1473" i="23"/>
  <c r="AB1473" i="23"/>
  <c r="AG1473" i="23"/>
  <c r="AA1474" i="23"/>
  <c r="AB1474" i="23"/>
  <c r="AG1474" i="23"/>
  <c r="AA1475" i="23"/>
  <c r="AB1475" i="23"/>
  <c r="AG1475" i="23"/>
  <c r="E1476" i="23"/>
  <c r="J1476" i="23"/>
  <c r="O1476" i="23"/>
  <c r="T1476" i="23"/>
  <c r="Y1476" i="23"/>
  <c r="AF1476" i="23"/>
  <c r="AA1477" i="23"/>
  <c r="AB1477" i="23"/>
  <c r="AG1477" i="23"/>
  <c r="AA1478" i="23"/>
  <c r="AB1478" i="23"/>
  <c r="AB1479" i="23" s="1"/>
  <c r="AL1458" i="23" s="1"/>
  <c r="AN1458" i="23" s="1"/>
  <c r="AG1478" i="23"/>
  <c r="AG1479" i="23" s="1"/>
  <c r="AL1459" i="23" s="1"/>
  <c r="AN1459" i="23" s="1"/>
  <c r="C1480" i="23"/>
  <c r="AL1462" i="23" s="1"/>
  <c r="AN1462" i="23" s="1"/>
  <c r="AA1423" i="23"/>
  <c r="AB1423" i="23"/>
  <c r="AG1423" i="23"/>
  <c r="AA1424" i="23"/>
  <c r="AB1424" i="23"/>
  <c r="AG1424" i="23"/>
  <c r="AA1425" i="23"/>
  <c r="AB1425" i="23"/>
  <c r="AG1425" i="23"/>
  <c r="AA1426" i="23"/>
  <c r="AB1426" i="23"/>
  <c r="AG1426" i="23"/>
  <c r="AA1427" i="23"/>
  <c r="AB1427" i="23"/>
  <c r="AG1427" i="23"/>
  <c r="AA1428" i="23"/>
  <c r="AB1428" i="23"/>
  <c r="AG1428" i="23"/>
  <c r="AA1429" i="23"/>
  <c r="AB1429" i="23"/>
  <c r="AG1429" i="23"/>
  <c r="AA1430" i="23"/>
  <c r="AB1430" i="23"/>
  <c r="AG1430" i="23"/>
  <c r="AA1431" i="23"/>
  <c r="AB1431" i="23"/>
  <c r="AG1431" i="23"/>
  <c r="AA1432" i="23"/>
  <c r="AB1432" i="23"/>
  <c r="AG1432" i="23"/>
  <c r="AA1433" i="23"/>
  <c r="AB1433" i="23"/>
  <c r="AG1433" i="23"/>
  <c r="AA1434" i="23"/>
  <c r="AB1434" i="23"/>
  <c r="AG1434" i="23"/>
  <c r="AA1435" i="23"/>
  <c r="AB1435" i="23"/>
  <c r="AG1435" i="23"/>
  <c r="AA1436" i="23"/>
  <c r="AB1436" i="23"/>
  <c r="AG1436" i="23"/>
  <c r="AA1437" i="23"/>
  <c r="AB1437" i="23"/>
  <c r="AG1437" i="23"/>
  <c r="AA1438" i="23"/>
  <c r="AB1438" i="23"/>
  <c r="AG1438" i="23"/>
  <c r="AA1439" i="23"/>
  <c r="AB1439" i="23"/>
  <c r="AG1439" i="23"/>
  <c r="AA1440" i="23"/>
  <c r="AB1440" i="23"/>
  <c r="AG1440" i="23"/>
  <c r="AA1441" i="23"/>
  <c r="AB1441" i="23"/>
  <c r="AG1441" i="23"/>
  <c r="AA1442" i="23"/>
  <c r="AB1442" i="23"/>
  <c r="AG1442" i="23"/>
  <c r="AA1443" i="23"/>
  <c r="AB1443" i="23"/>
  <c r="AG1443" i="23"/>
  <c r="E1444" i="23"/>
  <c r="J1444" i="23"/>
  <c r="O1444" i="23"/>
  <c r="T1444" i="23"/>
  <c r="Y1444" i="23"/>
  <c r="AF1444" i="23"/>
  <c r="AA1445" i="23"/>
  <c r="AB1445" i="23"/>
  <c r="AG1445" i="23"/>
  <c r="AA1446" i="23"/>
  <c r="AB1446" i="23"/>
  <c r="AB1447" i="23" s="1"/>
  <c r="AL1426" i="23" s="1"/>
  <c r="AN1426" i="23" s="1"/>
  <c r="AG1446" i="23"/>
  <c r="AG1447" i="23" s="1"/>
  <c r="AL1427" i="23" s="1"/>
  <c r="AN1427" i="23" s="1"/>
  <c r="C1448" i="23"/>
  <c r="AL1430" i="23" s="1"/>
  <c r="AN1430" i="23" s="1"/>
  <c r="AA1395" i="23"/>
  <c r="Y533" i="20"/>
  <c r="AN605" i="20" l="1"/>
  <c r="AB621" i="20"/>
  <c r="AL619" i="20" s="1"/>
  <c r="AN619" i="20" s="1"/>
  <c r="AN621" i="20" s="1"/>
  <c r="AA613" i="20"/>
  <c r="AL610" i="20" s="1"/>
  <c r="AN610" i="20" s="1"/>
  <c r="AA629" i="20"/>
  <c r="AL626" i="20" s="1"/>
  <c r="AN626" i="20" s="1"/>
  <c r="AA645" i="20"/>
  <c r="AL642" i="20" s="1"/>
  <c r="AN642" i="20" s="1"/>
  <c r="AA661" i="20"/>
  <c r="AL658" i="20" s="1"/>
  <c r="AN658" i="20" s="1"/>
  <c r="AB581" i="20"/>
  <c r="AL579" i="20" s="1"/>
  <c r="AN579" i="20" s="1"/>
  <c r="AB597" i="20"/>
  <c r="AL595" i="20" s="1"/>
  <c r="AN595" i="20" s="1"/>
  <c r="AB613" i="20"/>
  <c r="AL611" i="20" s="1"/>
  <c r="AN611" i="20" s="1"/>
  <c r="AB629" i="20"/>
  <c r="AL627" i="20" s="1"/>
  <c r="AN627" i="20" s="1"/>
  <c r="AB645" i="20"/>
  <c r="AL643" i="20" s="1"/>
  <c r="AN643" i="20" s="1"/>
  <c r="AN645" i="20" s="1"/>
  <c r="AB661" i="20"/>
  <c r="AL659" i="20" s="1"/>
  <c r="AN659" i="20" s="1"/>
  <c r="AN661" i="20" s="1"/>
  <c r="AG581" i="20"/>
  <c r="AL580" i="20" s="1"/>
  <c r="AN580" i="20" s="1"/>
  <c r="AG597" i="20"/>
  <c r="AL596" i="20" s="1"/>
  <c r="AN596" i="20" s="1"/>
  <c r="AG613" i="20"/>
  <c r="AL612" i="20" s="1"/>
  <c r="AN612" i="20" s="1"/>
  <c r="AG629" i="20"/>
  <c r="AL628" i="20" s="1"/>
  <c r="AN628" i="20" s="1"/>
  <c r="AG645" i="20"/>
  <c r="AL644" i="20" s="1"/>
  <c r="AN644" i="20" s="1"/>
  <c r="AG661" i="20"/>
  <c r="AL660" i="20" s="1"/>
  <c r="AN660" i="20" s="1"/>
  <c r="AN667" i="20"/>
  <c r="AN669" i="20" s="1"/>
  <c r="AN651" i="20"/>
  <c r="AN653" i="20" s="1"/>
  <c r="AN635" i="20"/>
  <c r="AN637" i="20" s="1"/>
  <c r="Z69" i="31"/>
  <c r="AA1543" i="23"/>
  <c r="AL1521" i="23" s="1"/>
  <c r="AN1521" i="23" s="1"/>
  <c r="AO51" i="31"/>
  <c r="AQ51" i="31" s="1"/>
  <c r="AO50" i="31"/>
  <c r="AQ50" i="31" s="1"/>
  <c r="AA597" i="20"/>
  <c r="AL594" i="20" s="1"/>
  <c r="AN594" i="20" s="1"/>
  <c r="AA589" i="20"/>
  <c r="AL586" i="20" s="1"/>
  <c r="AN586" i="20" s="1"/>
  <c r="AN589" i="20" s="1"/>
  <c r="AA1447" i="23"/>
  <c r="AL1425" i="23" s="1"/>
  <c r="AN1425" i="23" s="1"/>
  <c r="AG1476" i="23"/>
  <c r="AL1456" i="23" s="1"/>
  <c r="AN1456" i="23" s="1"/>
  <c r="AA1479" i="23"/>
  <c r="AL1457" i="23" s="1"/>
  <c r="AN1457" i="23" s="1"/>
  <c r="AA1575" i="23"/>
  <c r="AL1553" i="23" s="1"/>
  <c r="AN1553" i="23" s="1"/>
  <c r="AA1508" i="23"/>
  <c r="AL1486" i="23" s="1"/>
  <c r="AN1486" i="23" s="1"/>
  <c r="AA1572" i="23"/>
  <c r="AG1444" i="23"/>
  <c r="AL1424" i="23" s="1"/>
  <c r="AN1424" i="23" s="1"/>
  <c r="AB1540" i="23"/>
  <c r="AL1519" i="23" s="1"/>
  <c r="AN1519" i="23" s="1"/>
  <c r="AB1476" i="23"/>
  <c r="AL1455" i="23" s="1"/>
  <c r="AN1455" i="23" s="1"/>
  <c r="AG1540" i="23"/>
  <c r="AL1520" i="23" s="1"/>
  <c r="AN1520" i="23" s="1"/>
  <c r="AA1511" i="23"/>
  <c r="AL1489" i="23" s="1"/>
  <c r="AN1489" i="23" s="1"/>
  <c r="AG1572" i="23"/>
  <c r="AL1552" i="23" s="1"/>
  <c r="AN1552" i="23" s="1"/>
  <c r="AB1508" i="23"/>
  <c r="AL1487" i="23" s="1"/>
  <c r="AN1487" i="23" s="1"/>
  <c r="AA1476" i="23"/>
  <c r="AL1454" i="23" s="1"/>
  <c r="AN1454" i="23" s="1"/>
  <c r="AB1444" i="23"/>
  <c r="AL1423" i="23" s="1"/>
  <c r="AN1423" i="23" s="1"/>
  <c r="AG1508" i="23"/>
  <c r="AL1488" i="23" s="1"/>
  <c r="AN1488" i="23" s="1"/>
  <c r="AB1572" i="23"/>
  <c r="AL1551" i="23" s="1"/>
  <c r="AN1551" i="23" s="1"/>
  <c r="AA581" i="20"/>
  <c r="AL578" i="20" s="1"/>
  <c r="AN578" i="20" s="1"/>
  <c r="AA1540" i="23"/>
  <c r="AJ69" i="31"/>
  <c r="AO48" i="31" s="1"/>
  <c r="AQ48" i="31" s="1"/>
  <c r="AJ70" i="31"/>
  <c r="AA70" i="31"/>
  <c r="AA69" i="31"/>
  <c r="AA1444" i="23"/>
  <c r="AL1422" i="23" s="1"/>
  <c r="AN1422" i="23" s="1"/>
  <c r="C1416" i="23"/>
  <c r="AL1398" i="23" s="1"/>
  <c r="AN1398" i="23" s="1"/>
  <c r="AG1414" i="23"/>
  <c r="AG1415" i="23" s="1"/>
  <c r="AL1395" i="23" s="1"/>
  <c r="AN1395" i="23" s="1"/>
  <c r="AB1414" i="23"/>
  <c r="AB1415" i="23" s="1"/>
  <c r="AL1394" i="23" s="1"/>
  <c r="AN1394" i="23" s="1"/>
  <c r="AA1414" i="23"/>
  <c r="AG1413" i="23"/>
  <c r="AB1413" i="23"/>
  <c r="AA1413" i="23"/>
  <c r="AF1412" i="23"/>
  <c r="Y1412" i="23"/>
  <c r="T1412" i="23"/>
  <c r="O1412" i="23"/>
  <c r="J1412" i="23"/>
  <c r="E1412" i="23"/>
  <c r="AG1411" i="23"/>
  <c r="AB1411" i="23"/>
  <c r="AA1411" i="23"/>
  <c r="AG1410" i="23"/>
  <c r="AB1410" i="23"/>
  <c r="AA1410" i="23"/>
  <c r="AG1409" i="23"/>
  <c r="AB1409" i="23"/>
  <c r="AA1409" i="23"/>
  <c r="AG1408" i="23"/>
  <c r="AB1408" i="23"/>
  <c r="AA1408" i="23"/>
  <c r="AG1407" i="23"/>
  <c r="AB1407" i="23"/>
  <c r="AA1407" i="23"/>
  <c r="AG1406" i="23"/>
  <c r="AB1406" i="23"/>
  <c r="AA1406" i="23"/>
  <c r="AG1405" i="23"/>
  <c r="AB1405" i="23"/>
  <c r="AA1405" i="23"/>
  <c r="AG1404" i="23"/>
  <c r="AB1404" i="23"/>
  <c r="AA1404" i="23"/>
  <c r="AG1403" i="23"/>
  <c r="AB1403" i="23"/>
  <c r="AA1403" i="23"/>
  <c r="AG1402" i="23"/>
  <c r="AB1402" i="23"/>
  <c r="AA1402" i="23"/>
  <c r="AG1401" i="23"/>
  <c r="AB1401" i="23"/>
  <c r="AA1401" i="23"/>
  <c r="AG1400" i="23"/>
  <c r="AB1400" i="23"/>
  <c r="AA1400" i="23"/>
  <c r="AG1399" i="23"/>
  <c r="AB1399" i="23"/>
  <c r="AA1399" i="23"/>
  <c r="AG1398" i="23"/>
  <c r="AB1398" i="23"/>
  <c r="AA1398" i="23"/>
  <c r="AG1397" i="23"/>
  <c r="AB1397" i="23"/>
  <c r="AA1397" i="23"/>
  <c r="AG1396" i="23"/>
  <c r="AB1396" i="23"/>
  <c r="AA1396" i="23"/>
  <c r="AG1395" i="23"/>
  <c r="AB1395" i="23"/>
  <c r="AG1394" i="23"/>
  <c r="AB1394" i="23"/>
  <c r="AA1394" i="23"/>
  <c r="AG1393" i="23"/>
  <c r="AB1393" i="23"/>
  <c r="AA1393" i="23"/>
  <c r="AG1392" i="23"/>
  <c r="AB1392" i="23"/>
  <c r="AA1392" i="23"/>
  <c r="AG1391" i="23"/>
  <c r="AB1391" i="23"/>
  <c r="AA1391" i="23"/>
  <c r="AJ26" i="31"/>
  <c r="AJ27" i="31"/>
  <c r="AJ30" i="31"/>
  <c r="Z26" i="31"/>
  <c r="AA26" i="31"/>
  <c r="Z27" i="31"/>
  <c r="AA27" i="31"/>
  <c r="Z30" i="31"/>
  <c r="AA30" i="31"/>
  <c r="AP19" i="31"/>
  <c r="AI38" i="31"/>
  <c r="AI39" i="31" s="1"/>
  <c r="AJ17" i="31"/>
  <c r="AJ18" i="31"/>
  <c r="AJ19" i="31"/>
  <c r="AJ20" i="31"/>
  <c r="AJ21" i="31"/>
  <c r="AJ22" i="31"/>
  <c r="AJ23" i="31"/>
  <c r="AJ24" i="31"/>
  <c r="AJ32" i="31"/>
  <c r="AJ33" i="31"/>
  <c r="AJ34" i="31"/>
  <c r="AJ35" i="31"/>
  <c r="AJ36" i="31"/>
  <c r="AJ37" i="31"/>
  <c r="AJ16" i="31"/>
  <c r="AJ40" i="31"/>
  <c r="AA40" i="31"/>
  <c r="Z40" i="31"/>
  <c r="Z33" i="31"/>
  <c r="AA33" i="31"/>
  <c r="Z34" i="31"/>
  <c r="AA34" i="31"/>
  <c r="Z35" i="31"/>
  <c r="AA35" i="31"/>
  <c r="Z36" i="31"/>
  <c r="AA36" i="31"/>
  <c r="Z37" i="31"/>
  <c r="AA37" i="31"/>
  <c r="Z17" i="31"/>
  <c r="AA17" i="31"/>
  <c r="Z18" i="31"/>
  <c r="AA18" i="31"/>
  <c r="Z19" i="31"/>
  <c r="AA19" i="31"/>
  <c r="Z20" i="31"/>
  <c r="AA20" i="31"/>
  <c r="Z21" i="31"/>
  <c r="AA21" i="31"/>
  <c r="Z22" i="31"/>
  <c r="AA22" i="31"/>
  <c r="Z23" i="31"/>
  <c r="AA23" i="31"/>
  <c r="Z24" i="31"/>
  <c r="AA24" i="31"/>
  <c r="Z32" i="31"/>
  <c r="AA32" i="31"/>
  <c r="AA16" i="31"/>
  <c r="Z16" i="31"/>
  <c r="AK505" i="26"/>
  <c r="AK506" i="26" s="1"/>
  <c r="AB505" i="26"/>
  <c r="AB506" i="26" s="1"/>
  <c r="AA505" i="26"/>
  <c r="AA506" i="26" s="1"/>
  <c r="AK503" i="26"/>
  <c r="AB503" i="26"/>
  <c r="AA503" i="26"/>
  <c r="AK502" i="26"/>
  <c r="AB502" i="26"/>
  <c r="AA502" i="26"/>
  <c r="AK501" i="26"/>
  <c r="AB501" i="26"/>
  <c r="AA501" i="26"/>
  <c r="AK500" i="26"/>
  <c r="AB500" i="26"/>
  <c r="AA500" i="26"/>
  <c r="AK499" i="26"/>
  <c r="AB499" i="26"/>
  <c r="AA499" i="26"/>
  <c r="AK498" i="26"/>
  <c r="AB498" i="26"/>
  <c r="AA498" i="26"/>
  <c r="AK497" i="26"/>
  <c r="AB497" i="26"/>
  <c r="AA497" i="26"/>
  <c r="AP496" i="26"/>
  <c r="AK496" i="26"/>
  <c r="AB496" i="26"/>
  <c r="AA496" i="26"/>
  <c r="AK495" i="26"/>
  <c r="AB495" i="26"/>
  <c r="AA495" i="26"/>
  <c r="AK494" i="26"/>
  <c r="AB494" i="26"/>
  <c r="AA494" i="26"/>
  <c r="AP493" i="26"/>
  <c r="AR493" i="26" s="1"/>
  <c r="AK493" i="26"/>
  <c r="AB493" i="26"/>
  <c r="AA493" i="26"/>
  <c r="AP492" i="26"/>
  <c r="AR492" i="26" s="1"/>
  <c r="AK492" i="26"/>
  <c r="AB492" i="26"/>
  <c r="AA492" i="26"/>
  <c r="AK491" i="26"/>
  <c r="AB491" i="26"/>
  <c r="AA491" i="26"/>
  <c r="AK490" i="26"/>
  <c r="AK504" i="26" s="1"/>
  <c r="AP490" i="26" s="1"/>
  <c r="AR490" i="26" s="1"/>
  <c r="AB490" i="26"/>
  <c r="AA490" i="26"/>
  <c r="AK489" i="26"/>
  <c r="AB489" i="26"/>
  <c r="AA489" i="26"/>
  <c r="C1384" i="23"/>
  <c r="AL1366" i="23" s="1"/>
  <c r="AN1366" i="23" s="1"/>
  <c r="AG1382" i="23"/>
  <c r="AG1383" i="23" s="1"/>
  <c r="AL1363" i="23" s="1"/>
  <c r="AN1363" i="23" s="1"/>
  <c r="AB1382" i="23"/>
  <c r="AB1383" i="23" s="1"/>
  <c r="AL1362" i="23" s="1"/>
  <c r="AN1362" i="23" s="1"/>
  <c r="AA1382" i="23"/>
  <c r="AG1381" i="23"/>
  <c r="AB1381" i="23"/>
  <c r="AA1381" i="23"/>
  <c r="AF1380" i="23"/>
  <c r="Y1380" i="23"/>
  <c r="T1380" i="23"/>
  <c r="O1380" i="23"/>
  <c r="J1380" i="23"/>
  <c r="E1380" i="23"/>
  <c r="AG1379" i="23"/>
  <c r="AB1379" i="23"/>
  <c r="AA1379" i="23"/>
  <c r="AG1378" i="23"/>
  <c r="AB1378" i="23"/>
  <c r="AA1378" i="23"/>
  <c r="AG1377" i="23"/>
  <c r="AB1377" i="23"/>
  <c r="AA1377" i="23"/>
  <c r="AG1376" i="23"/>
  <c r="AB1376" i="23"/>
  <c r="AA1376" i="23"/>
  <c r="AG1375" i="23"/>
  <c r="AB1375" i="23"/>
  <c r="AA1375" i="23"/>
  <c r="AG1374" i="23"/>
  <c r="AB1374" i="23"/>
  <c r="AA1374" i="23"/>
  <c r="AG1373" i="23"/>
  <c r="AB1373" i="23"/>
  <c r="AA1373" i="23"/>
  <c r="AG1372" i="23"/>
  <c r="AB1372" i="23"/>
  <c r="AA1372" i="23"/>
  <c r="AG1371" i="23"/>
  <c r="AB1371" i="23"/>
  <c r="AA1371" i="23"/>
  <c r="AG1370" i="23"/>
  <c r="AB1370" i="23"/>
  <c r="AA1370" i="23"/>
  <c r="AG1369" i="23"/>
  <c r="AB1369" i="23"/>
  <c r="AA1369" i="23"/>
  <c r="AG1368" i="23"/>
  <c r="AB1368" i="23"/>
  <c r="AA1368" i="23"/>
  <c r="AG1367" i="23"/>
  <c r="AB1367" i="23"/>
  <c r="AA1367" i="23"/>
  <c r="AG1366" i="23"/>
  <c r="AB1366" i="23"/>
  <c r="AA1366" i="23"/>
  <c r="AG1365" i="23"/>
  <c r="AB1365" i="23"/>
  <c r="AA1365" i="23"/>
  <c r="AG1364" i="23"/>
  <c r="AB1364" i="23"/>
  <c r="AA1364" i="23"/>
  <c r="AG1363" i="23"/>
  <c r="AB1363" i="23"/>
  <c r="AA1363" i="23"/>
  <c r="AG1362" i="23"/>
  <c r="AB1362" i="23"/>
  <c r="AA1362" i="23"/>
  <c r="AG1361" i="23"/>
  <c r="AB1361" i="23"/>
  <c r="AA1361" i="23"/>
  <c r="AG1360" i="23"/>
  <c r="AB1360" i="23"/>
  <c r="AA1360" i="23"/>
  <c r="AG1359" i="23"/>
  <c r="AB1359" i="23"/>
  <c r="AA1359" i="23"/>
  <c r="C1352" i="23"/>
  <c r="AL1334" i="23" s="1"/>
  <c r="AN1334" i="23" s="1"/>
  <c r="AG1350" i="23"/>
  <c r="AG1351" i="23" s="1"/>
  <c r="AL1331" i="23" s="1"/>
  <c r="AN1331" i="23" s="1"/>
  <c r="AB1350" i="23"/>
  <c r="AB1351" i="23" s="1"/>
  <c r="AL1330" i="23" s="1"/>
  <c r="AN1330" i="23" s="1"/>
  <c r="AA1350" i="23"/>
  <c r="AG1349" i="23"/>
  <c r="AB1349" i="23"/>
  <c r="AA1349" i="23"/>
  <c r="AF1348" i="23"/>
  <c r="Y1348" i="23"/>
  <c r="T1348" i="23"/>
  <c r="O1348" i="23"/>
  <c r="J1348" i="23"/>
  <c r="E1348" i="23"/>
  <c r="AG1347" i="23"/>
  <c r="AB1347" i="23"/>
  <c r="AA1347" i="23"/>
  <c r="AG1346" i="23"/>
  <c r="AB1346" i="23"/>
  <c r="AA1346" i="23"/>
  <c r="AG1345" i="23"/>
  <c r="AB1345" i="23"/>
  <c r="AA1345" i="23"/>
  <c r="AG1344" i="23"/>
  <c r="AB1344" i="23"/>
  <c r="AA1344" i="23"/>
  <c r="AG1343" i="23"/>
  <c r="AB1343" i="23"/>
  <c r="AA1343" i="23"/>
  <c r="AG1342" i="23"/>
  <c r="AB1342" i="23"/>
  <c r="AA1342" i="23"/>
  <c r="AG1341" i="23"/>
  <c r="AB1341" i="23"/>
  <c r="AA1341" i="23"/>
  <c r="AG1340" i="23"/>
  <c r="AB1340" i="23"/>
  <c r="AA1340" i="23"/>
  <c r="AG1339" i="23"/>
  <c r="AB1339" i="23"/>
  <c r="AA1339" i="23"/>
  <c r="AG1338" i="23"/>
  <c r="AB1338" i="23"/>
  <c r="AA1338" i="23"/>
  <c r="AG1337" i="23"/>
  <c r="AB1337" i="23"/>
  <c r="AA1337" i="23"/>
  <c r="AG1336" i="23"/>
  <c r="AB1336" i="23"/>
  <c r="AA1336" i="23"/>
  <c r="AG1335" i="23"/>
  <c r="AB1335" i="23"/>
  <c r="AA1335" i="23"/>
  <c r="AG1334" i="23"/>
  <c r="AB1334" i="23"/>
  <c r="AA1334" i="23"/>
  <c r="AG1333" i="23"/>
  <c r="AB1333" i="23"/>
  <c r="AA1333" i="23"/>
  <c r="AG1332" i="23"/>
  <c r="AB1332" i="23"/>
  <c r="AA1332" i="23"/>
  <c r="AG1331" i="23"/>
  <c r="AB1331" i="23"/>
  <c r="AA1331" i="23"/>
  <c r="AG1330" i="23"/>
  <c r="AB1330" i="23"/>
  <c r="AA1330" i="23"/>
  <c r="AG1329" i="23"/>
  <c r="AB1329" i="23"/>
  <c r="AA1329" i="23"/>
  <c r="AG1328" i="23"/>
  <c r="AB1328" i="23"/>
  <c r="AA1328" i="23"/>
  <c r="AG1327" i="23"/>
  <c r="AB1327" i="23"/>
  <c r="AA1327" i="23"/>
  <c r="AO567" i="30"/>
  <c r="AO564" i="30"/>
  <c r="AO562" i="30"/>
  <c r="AO561" i="30"/>
  <c r="AO559" i="30"/>
  <c r="AO558" i="30"/>
  <c r="AQ605" i="30"/>
  <c r="AO602" i="30"/>
  <c r="AQ602" i="30" s="1"/>
  <c r="AO600" i="30"/>
  <c r="AQ600" i="30" s="1"/>
  <c r="AO599" i="30"/>
  <c r="AO598" i="30"/>
  <c r="AO597" i="30"/>
  <c r="AO596" i="30"/>
  <c r="AO605" i="30"/>
  <c r="AO141" i="30"/>
  <c r="AO138" i="30"/>
  <c r="AQ138" i="30" s="1"/>
  <c r="AO137" i="30"/>
  <c r="AQ137" i="30" s="1"/>
  <c r="AO136" i="30"/>
  <c r="AQ136" i="30" s="1"/>
  <c r="AO135" i="30"/>
  <c r="AO134" i="30"/>
  <c r="AO133" i="30"/>
  <c r="AQ133" i="30" s="1"/>
  <c r="AO132" i="30"/>
  <c r="AO110" i="30"/>
  <c r="AO107" i="30"/>
  <c r="AQ107" i="30" s="1"/>
  <c r="AO106" i="30"/>
  <c r="AQ106" i="30" s="1"/>
  <c r="AO105" i="30"/>
  <c r="AQ105" i="30" s="1"/>
  <c r="AO104" i="30"/>
  <c r="AQ104" i="30" s="1"/>
  <c r="AO103" i="30"/>
  <c r="AQ103" i="30" s="1"/>
  <c r="AO102" i="30"/>
  <c r="AQ102" i="30" s="1"/>
  <c r="AO101" i="30"/>
  <c r="AO79" i="30"/>
  <c r="AO76" i="30"/>
  <c r="AQ76" i="30" s="1"/>
  <c r="AO75" i="30"/>
  <c r="AO74" i="30"/>
  <c r="AQ74" i="30" s="1"/>
  <c r="AO73" i="30"/>
  <c r="AQ73" i="30" s="1"/>
  <c r="AO72" i="30"/>
  <c r="AQ72" i="30" s="1"/>
  <c r="AO71" i="30"/>
  <c r="AQ71" i="30" s="1"/>
  <c r="AO70" i="30"/>
  <c r="AQ70" i="30" s="1"/>
  <c r="AO49" i="30"/>
  <c r="AQ49" i="30" s="1"/>
  <c r="AA1295" i="23"/>
  <c r="AB1295" i="23"/>
  <c r="AG1295" i="23"/>
  <c r="AA1296" i="23"/>
  <c r="AB1296" i="23"/>
  <c r="AG1296" i="23"/>
  <c r="AA1297" i="23"/>
  <c r="AB1297" i="23"/>
  <c r="AG1297" i="23"/>
  <c r="AA1298" i="23"/>
  <c r="AB1298" i="23"/>
  <c r="AG1298" i="23"/>
  <c r="AA1299" i="23"/>
  <c r="AB1299" i="23"/>
  <c r="AG1299" i="23"/>
  <c r="AA1300" i="23"/>
  <c r="AB1300" i="23"/>
  <c r="AG1300" i="23"/>
  <c r="AA1301" i="23"/>
  <c r="AB1301" i="23"/>
  <c r="AG1301" i="23"/>
  <c r="AA1302" i="23"/>
  <c r="AB1302" i="23"/>
  <c r="AG1302" i="23"/>
  <c r="AA1303" i="23"/>
  <c r="AB1303" i="23"/>
  <c r="AG1303" i="23"/>
  <c r="AA1304" i="23"/>
  <c r="AB1304" i="23"/>
  <c r="AG1304" i="23"/>
  <c r="AA1305" i="23"/>
  <c r="AB1305" i="23"/>
  <c r="AG1305" i="23"/>
  <c r="AA1306" i="23"/>
  <c r="AB1306" i="23"/>
  <c r="AG1306" i="23"/>
  <c r="AA1307" i="23"/>
  <c r="AB1307" i="23"/>
  <c r="AG1307" i="23"/>
  <c r="AA1308" i="23"/>
  <c r="AB1308" i="23"/>
  <c r="AG1308" i="23"/>
  <c r="AA1309" i="23"/>
  <c r="AB1309" i="23"/>
  <c r="AG1309" i="23"/>
  <c r="AA1310" i="23"/>
  <c r="AB1310" i="23"/>
  <c r="AG1310" i="23"/>
  <c r="AA1311" i="23"/>
  <c r="AB1311" i="23"/>
  <c r="AG1311" i="23"/>
  <c r="AA1312" i="23"/>
  <c r="AB1312" i="23"/>
  <c r="AG1312" i="23"/>
  <c r="AA1313" i="23"/>
  <c r="AB1313" i="23"/>
  <c r="AG1313" i="23"/>
  <c r="AA1314" i="23"/>
  <c r="AB1314" i="23"/>
  <c r="AG1314" i="23"/>
  <c r="AA1315" i="23"/>
  <c r="AB1315" i="23"/>
  <c r="AG1315" i="23"/>
  <c r="E1316" i="23"/>
  <c r="J1316" i="23"/>
  <c r="O1316" i="23"/>
  <c r="T1316" i="23"/>
  <c r="Y1316" i="23"/>
  <c r="AF1316" i="23"/>
  <c r="AA1317" i="23"/>
  <c r="AB1317" i="23"/>
  <c r="AG1317" i="23"/>
  <c r="AA1318" i="23"/>
  <c r="AB1318" i="23"/>
  <c r="AB1319" i="23" s="1"/>
  <c r="AL1298" i="23" s="1"/>
  <c r="AN1298" i="23" s="1"/>
  <c r="AG1318" i="23"/>
  <c r="AG1319" i="23" s="1"/>
  <c r="AL1299" i="23" s="1"/>
  <c r="AN1299" i="23" s="1"/>
  <c r="C1320" i="23"/>
  <c r="AL1302" i="23" s="1"/>
  <c r="AN1302" i="23" s="1"/>
  <c r="AQ601" i="30"/>
  <c r="AQ599" i="30"/>
  <c r="AQ598" i="30"/>
  <c r="AQ597" i="30"/>
  <c r="AQ596" i="30"/>
  <c r="AQ419" i="30"/>
  <c r="AQ418" i="30"/>
  <c r="AQ417" i="30"/>
  <c r="AQ416" i="30"/>
  <c r="AQ415" i="30"/>
  <c r="AQ414" i="30"/>
  <c r="AQ413" i="30"/>
  <c r="AQ384" i="30"/>
  <c r="AQ383" i="30"/>
  <c r="AQ382" i="30"/>
  <c r="AQ381" i="30"/>
  <c r="AQ380" i="30"/>
  <c r="AQ379" i="30"/>
  <c r="AQ378" i="30"/>
  <c r="AQ349" i="30"/>
  <c r="AQ348" i="30"/>
  <c r="AQ347" i="30"/>
  <c r="AQ346" i="30"/>
  <c r="AQ345" i="30"/>
  <c r="AQ344" i="30"/>
  <c r="AQ343" i="30"/>
  <c r="AQ314" i="30"/>
  <c r="AQ313" i="30"/>
  <c r="AQ312" i="30"/>
  <c r="AQ311" i="30"/>
  <c r="AQ310" i="30"/>
  <c r="AQ309" i="30"/>
  <c r="AQ308" i="30"/>
  <c r="AQ279" i="30"/>
  <c r="AQ278" i="30"/>
  <c r="AQ277" i="30"/>
  <c r="AQ276" i="30"/>
  <c r="AQ275" i="30"/>
  <c r="AQ274" i="30"/>
  <c r="AQ273" i="30"/>
  <c r="AQ243" i="30"/>
  <c r="AQ242" i="30"/>
  <c r="AQ241" i="30"/>
  <c r="AQ240" i="30"/>
  <c r="AQ239" i="30"/>
  <c r="AQ238" i="30"/>
  <c r="AQ237" i="30"/>
  <c r="AQ208" i="30"/>
  <c r="AQ207" i="30"/>
  <c r="AQ206" i="30"/>
  <c r="AQ205" i="30"/>
  <c r="AQ204" i="30"/>
  <c r="AQ203" i="30"/>
  <c r="AQ202" i="30"/>
  <c r="AQ201" i="30"/>
  <c r="AQ171" i="30"/>
  <c r="AQ170" i="30"/>
  <c r="AQ169" i="30"/>
  <c r="AQ168" i="30"/>
  <c r="AQ167" i="30"/>
  <c r="AQ166" i="30"/>
  <c r="AQ165" i="30"/>
  <c r="AQ135" i="30"/>
  <c r="AQ134" i="30"/>
  <c r="AQ132" i="30"/>
  <c r="AQ101" i="30"/>
  <c r="AQ79" i="30"/>
  <c r="AQ75" i="30"/>
  <c r="AQ41" i="30"/>
  <c r="AQ42" i="30"/>
  <c r="AQ40" i="30"/>
  <c r="AQ43" i="30"/>
  <c r="AQ44" i="30"/>
  <c r="AQ45" i="30"/>
  <c r="AO44" i="30"/>
  <c r="AO45" i="30"/>
  <c r="AO46" i="30"/>
  <c r="AQ46" i="30" s="1"/>
  <c r="AO43" i="30"/>
  <c r="AO42" i="30"/>
  <c r="AO41" i="30"/>
  <c r="AO40" i="30"/>
  <c r="AN581" i="20" l="1"/>
  <c r="AN597" i="20"/>
  <c r="AN629" i="20"/>
  <c r="AN613" i="20"/>
  <c r="Z7" i="31"/>
  <c r="AJ4" i="31" s="1"/>
  <c r="AO49" i="31"/>
  <c r="AQ49" i="31" s="1"/>
  <c r="Z39" i="31"/>
  <c r="AO20" i="31"/>
  <c r="AQ20" i="31" s="1"/>
  <c r="Z38" i="31"/>
  <c r="AO21" i="31"/>
  <c r="AQ21" i="31" s="1"/>
  <c r="AO47" i="31"/>
  <c r="AQ47" i="31" s="1"/>
  <c r="AO45" i="31"/>
  <c r="AQ45" i="31" s="1"/>
  <c r="AL1550" i="23"/>
  <c r="AN1550" i="23" s="1"/>
  <c r="AN1556" i="23" s="1"/>
  <c r="AA1415" i="23"/>
  <c r="AL1393" i="23" s="1"/>
  <c r="AN1393" i="23" s="1"/>
  <c r="AA1319" i="23"/>
  <c r="AL1297" i="23" s="1"/>
  <c r="AN1297" i="23" s="1"/>
  <c r="AA1383" i="23"/>
  <c r="AL1361" i="23" s="1"/>
  <c r="AN1361" i="23" s="1"/>
  <c r="AN1428" i="23"/>
  <c r="AN1460" i="23"/>
  <c r="AG1316" i="23"/>
  <c r="AL1296" i="23" s="1"/>
  <c r="AN1296" i="23" s="1"/>
  <c r="AB1316" i="23"/>
  <c r="AL1295" i="23" s="1"/>
  <c r="AN1295" i="23" s="1"/>
  <c r="AA1380" i="23"/>
  <c r="AL1358" i="23" s="1"/>
  <c r="AN1358" i="23" s="1"/>
  <c r="AB1412" i="23"/>
  <c r="AL1391" i="23" s="1"/>
  <c r="AN1391" i="23" s="1"/>
  <c r="AB1380" i="23"/>
  <c r="AL1359" i="23" s="1"/>
  <c r="AN1359" i="23" s="1"/>
  <c r="AG1412" i="23"/>
  <c r="AL1392" i="23" s="1"/>
  <c r="AN1392" i="23" s="1"/>
  <c r="AG1380" i="23"/>
  <c r="AL1360" i="23" s="1"/>
  <c r="AN1360" i="23" s="1"/>
  <c r="AA1348" i="23"/>
  <c r="AL1326" i="23" s="1"/>
  <c r="AN1326" i="23" s="1"/>
  <c r="AA1316" i="23"/>
  <c r="AL1294" i="23" s="1"/>
  <c r="AN1294" i="23" s="1"/>
  <c r="AB1348" i="23"/>
  <c r="AL1327" i="23" s="1"/>
  <c r="AN1327" i="23" s="1"/>
  <c r="AA1351" i="23"/>
  <c r="AL1329" i="23" s="1"/>
  <c r="AN1329" i="23" s="1"/>
  <c r="AG1348" i="23"/>
  <c r="AL1328" i="23" s="1"/>
  <c r="AN1328" i="23" s="1"/>
  <c r="AN1492" i="23"/>
  <c r="AA1412" i="23"/>
  <c r="AL1518" i="23"/>
  <c r="AN1518" i="23" s="1"/>
  <c r="AN1524" i="23" s="1"/>
  <c r="AJ38" i="31"/>
  <c r="AO18" i="31" s="1"/>
  <c r="AQ18" i="31" s="1"/>
  <c r="AJ39" i="31"/>
  <c r="AA38" i="31"/>
  <c r="AA39" i="31"/>
  <c r="AO19" i="31" s="1"/>
  <c r="AB504" i="26"/>
  <c r="AP489" i="26" s="1"/>
  <c r="AR489" i="26" s="1"/>
  <c r="AA504" i="26"/>
  <c r="AP488" i="26" s="1"/>
  <c r="AR488" i="26" s="1"/>
  <c r="AP491" i="26"/>
  <c r="AR491" i="26" s="1"/>
  <c r="AQ603" i="30"/>
  <c r="AQ47" i="30"/>
  <c r="AF4" i="31" l="1"/>
  <c r="Z5" i="31"/>
  <c r="AJ2" i="31" s="1"/>
  <c r="Z6" i="31"/>
  <c r="AJ3" i="31" s="1"/>
  <c r="AQ52" i="31"/>
  <c r="AO17" i="31"/>
  <c r="AQ17" i="31" s="1"/>
  <c r="AO16" i="31"/>
  <c r="AQ16" i="31" s="1"/>
  <c r="AO15" i="31"/>
  <c r="AQ15" i="31" s="1"/>
  <c r="AN1300" i="23"/>
  <c r="AN1332" i="23"/>
  <c r="AN1364" i="23"/>
  <c r="AL1390" i="23"/>
  <c r="AN1390" i="23" s="1"/>
  <c r="AN1396" i="23" s="1"/>
  <c r="AQ19" i="31"/>
  <c r="AR494" i="26"/>
  <c r="C522" i="26"/>
  <c r="C521" i="26"/>
  <c r="C520" i="26"/>
  <c r="C519" i="26"/>
  <c r="C518" i="26"/>
  <c r="C517" i="26"/>
  <c r="C516" i="26"/>
  <c r="AA457" i="26"/>
  <c r="AA433" i="26"/>
  <c r="AJ5" i="31" l="1"/>
  <c r="AF2" i="31"/>
  <c r="AG3" i="31"/>
  <c r="AQ22" i="31"/>
  <c r="AK481" i="26"/>
  <c r="AK482" i="26" s="1"/>
  <c r="AB481" i="26"/>
  <c r="AB482" i="26" s="1"/>
  <c r="AA481" i="26"/>
  <c r="AA482" i="26" s="1"/>
  <c r="AK479" i="26"/>
  <c r="AB479" i="26"/>
  <c r="AA479" i="26"/>
  <c r="AK478" i="26"/>
  <c r="AB478" i="26"/>
  <c r="AA478" i="26"/>
  <c r="AK477" i="26"/>
  <c r="AB477" i="26"/>
  <c r="AA477" i="26"/>
  <c r="AK476" i="26"/>
  <c r="AB476" i="26"/>
  <c r="AA476" i="26"/>
  <c r="AK475" i="26"/>
  <c r="AB475" i="26"/>
  <c r="AA475" i="26"/>
  <c r="AK474" i="26"/>
  <c r="AB474" i="26"/>
  <c r="AA474" i="26"/>
  <c r="AK473" i="26"/>
  <c r="AB473" i="26"/>
  <c r="AA473" i="26"/>
  <c r="AP472" i="26"/>
  <c r="AK472" i="26"/>
  <c r="AB472" i="26"/>
  <c r="AA472" i="26"/>
  <c r="AK471" i="26"/>
  <c r="AB471" i="26"/>
  <c r="AA471" i="26"/>
  <c r="AK470" i="26"/>
  <c r="AB470" i="26"/>
  <c r="AA470" i="26"/>
  <c r="AP469" i="26"/>
  <c r="AR469" i="26" s="1"/>
  <c r="AK469" i="26"/>
  <c r="AB469" i="26"/>
  <c r="AA469" i="26"/>
  <c r="AP468" i="26"/>
  <c r="AR468" i="26" s="1"/>
  <c r="AK468" i="26"/>
  <c r="AB468" i="26"/>
  <c r="AA468" i="26"/>
  <c r="AK467" i="26"/>
  <c r="AB467" i="26"/>
  <c r="AA467" i="26"/>
  <c r="AK466" i="26"/>
  <c r="AB466" i="26"/>
  <c r="AB480" i="26" s="1"/>
  <c r="AP465" i="26" s="1"/>
  <c r="AR465" i="26" s="1"/>
  <c r="AA466" i="26"/>
  <c r="AK465" i="26"/>
  <c r="AB465" i="26"/>
  <c r="AA465" i="26"/>
  <c r="AA1263" i="23"/>
  <c r="AB1263" i="23"/>
  <c r="AG1263" i="23"/>
  <c r="AA1264" i="23"/>
  <c r="AB1264" i="23"/>
  <c r="AG1264" i="23"/>
  <c r="AA1265" i="23"/>
  <c r="AB1265" i="23"/>
  <c r="AG1265" i="23"/>
  <c r="AA1266" i="23"/>
  <c r="AB1266" i="23"/>
  <c r="AG1266" i="23"/>
  <c r="AA1267" i="23"/>
  <c r="AB1267" i="23"/>
  <c r="AG1267" i="23"/>
  <c r="AA1268" i="23"/>
  <c r="AB1268" i="23"/>
  <c r="AG1268" i="23"/>
  <c r="AA1269" i="23"/>
  <c r="AB1269" i="23"/>
  <c r="AG1269" i="23"/>
  <c r="AA1270" i="23"/>
  <c r="AB1270" i="23"/>
  <c r="AG1270" i="23"/>
  <c r="AA1271" i="23"/>
  <c r="AB1271" i="23"/>
  <c r="AG1271" i="23"/>
  <c r="AA1272" i="23"/>
  <c r="AB1272" i="23"/>
  <c r="AG1272" i="23"/>
  <c r="AA1273" i="23"/>
  <c r="AB1273" i="23"/>
  <c r="AG1273" i="23"/>
  <c r="AA1274" i="23"/>
  <c r="AB1274" i="23"/>
  <c r="AG1274" i="23"/>
  <c r="AA1275" i="23"/>
  <c r="AB1275" i="23"/>
  <c r="AG1275" i="23"/>
  <c r="AA1276" i="23"/>
  <c r="AB1276" i="23"/>
  <c r="AG1276" i="23"/>
  <c r="AA1277" i="23"/>
  <c r="AB1277" i="23"/>
  <c r="AG1277" i="23"/>
  <c r="AA1278" i="23"/>
  <c r="AB1278" i="23"/>
  <c r="AG1278" i="23"/>
  <c r="AA1279" i="23"/>
  <c r="AB1279" i="23"/>
  <c r="AG1279" i="23"/>
  <c r="AA1280" i="23"/>
  <c r="AB1280" i="23"/>
  <c r="AG1280" i="23"/>
  <c r="AA1281" i="23"/>
  <c r="AB1281" i="23"/>
  <c r="AG1281" i="23"/>
  <c r="AA1282" i="23"/>
  <c r="AB1282" i="23"/>
  <c r="AG1282" i="23"/>
  <c r="AA1283" i="23"/>
  <c r="AB1283" i="23"/>
  <c r="AG1283" i="23"/>
  <c r="E1284" i="23"/>
  <c r="J1284" i="23"/>
  <c r="O1284" i="23"/>
  <c r="T1284" i="23"/>
  <c r="Y1284" i="23"/>
  <c r="AF1284" i="23"/>
  <c r="AA1285" i="23"/>
  <c r="AB1285" i="23"/>
  <c r="AG1285" i="23"/>
  <c r="AA1286" i="23"/>
  <c r="AA1287" i="23" s="1"/>
  <c r="AL1265" i="23" s="1"/>
  <c r="AN1265" i="23" s="1"/>
  <c r="AB1286" i="23"/>
  <c r="AB1287" i="23" s="1"/>
  <c r="AL1266" i="23" s="1"/>
  <c r="AN1266" i="23" s="1"/>
  <c r="AG1286" i="23"/>
  <c r="AG1287" i="23" s="1"/>
  <c r="AL1267" i="23" s="1"/>
  <c r="AN1267" i="23" s="1"/>
  <c r="C1288" i="23"/>
  <c r="AL1270" i="23" s="1"/>
  <c r="AN1270" i="23" s="1"/>
  <c r="AK457" i="26"/>
  <c r="AK458" i="26" s="1"/>
  <c r="AB457" i="26"/>
  <c r="AB458" i="26" s="1"/>
  <c r="AA458" i="26"/>
  <c r="AK455" i="26"/>
  <c r="AB455" i="26"/>
  <c r="AA455" i="26"/>
  <c r="AK454" i="26"/>
  <c r="AB454" i="26"/>
  <c r="AA454" i="26"/>
  <c r="AK453" i="26"/>
  <c r="AB453" i="26"/>
  <c r="AA453" i="26"/>
  <c r="AK452" i="26"/>
  <c r="AB452" i="26"/>
  <c r="AA452" i="26"/>
  <c r="AK451" i="26"/>
  <c r="AB451" i="26"/>
  <c r="AA451" i="26"/>
  <c r="AK450" i="26"/>
  <c r="AB450" i="26"/>
  <c r="AA450" i="26"/>
  <c r="AK449" i="26"/>
  <c r="AB449" i="26"/>
  <c r="AA449" i="26"/>
  <c r="AP448" i="26"/>
  <c r="AK448" i="26"/>
  <c r="AB448" i="26"/>
  <c r="AA448" i="26"/>
  <c r="AK447" i="26"/>
  <c r="AB447" i="26"/>
  <c r="AA447" i="26"/>
  <c r="AK446" i="26"/>
  <c r="AB446" i="26"/>
  <c r="AA446" i="26"/>
  <c r="AK445" i="26"/>
  <c r="AB445" i="26"/>
  <c r="AA445" i="26"/>
  <c r="AK444" i="26"/>
  <c r="AB444" i="26"/>
  <c r="AA444" i="26"/>
  <c r="AK443" i="26"/>
  <c r="AB443" i="26"/>
  <c r="AA443" i="26"/>
  <c r="AK442" i="26"/>
  <c r="AB442" i="26"/>
  <c r="AA442" i="26"/>
  <c r="AK441" i="26"/>
  <c r="AB441" i="26"/>
  <c r="AA441" i="26"/>
  <c r="AA1231" i="23"/>
  <c r="AB1231" i="23"/>
  <c r="AG1231" i="23"/>
  <c r="AA1232" i="23"/>
  <c r="AB1232" i="23"/>
  <c r="AG1232" i="23"/>
  <c r="AA1233" i="23"/>
  <c r="AB1233" i="23"/>
  <c r="AG1233" i="23"/>
  <c r="AA1234" i="23"/>
  <c r="AB1234" i="23"/>
  <c r="AG1234" i="23"/>
  <c r="AA1235" i="23"/>
  <c r="AB1235" i="23"/>
  <c r="AG1235" i="23"/>
  <c r="AA1236" i="23"/>
  <c r="AB1236" i="23"/>
  <c r="AG1236" i="23"/>
  <c r="AA1237" i="23"/>
  <c r="AB1237" i="23"/>
  <c r="AG1237" i="23"/>
  <c r="AA1238" i="23"/>
  <c r="AB1238" i="23"/>
  <c r="AG1238" i="23"/>
  <c r="AA1239" i="23"/>
  <c r="AB1239" i="23"/>
  <c r="AG1239" i="23"/>
  <c r="AA1240" i="23"/>
  <c r="AB1240" i="23"/>
  <c r="AG1240" i="23"/>
  <c r="AA1241" i="23"/>
  <c r="AB1241" i="23"/>
  <c r="AG1241" i="23"/>
  <c r="AA1242" i="23"/>
  <c r="AB1242" i="23"/>
  <c r="AG1242" i="23"/>
  <c r="AA1243" i="23"/>
  <c r="AB1243" i="23"/>
  <c r="AG1243" i="23"/>
  <c r="AA1244" i="23"/>
  <c r="AB1244" i="23"/>
  <c r="AG1244" i="23"/>
  <c r="AA1245" i="23"/>
  <c r="AB1245" i="23"/>
  <c r="AG1245" i="23"/>
  <c r="AA1246" i="23"/>
  <c r="AB1246" i="23"/>
  <c r="AG1246" i="23"/>
  <c r="AA1247" i="23"/>
  <c r="AB1247" i="23"/>
  <c r="AG1247" i="23"/>
  <c r="AA1248" i="23"/>
  <c r="AB1248" i="23"/>
  <c r="AG1248" i="23"/>
  <c r="AA1249" i="23"/>
  <c r="AB1249" i="23"/>
  <c r="AG1249" i="23"/>
  <c r="AA1250" i="23"/>
  <c r="AB1250" i="23"/>
  <c r="AG1250" i="23"/>
  <c r="AA1251" i="23"/>
  <c r="AB1251" i="23"/>
  <c r="AG1251" i="23"/>
  <c r="E1252" i="23"/>
  <c r="J1252" i="23"/>
  <c r="O1252" i="23"/>
  <c r="T1252" i="23"/>
  <c r="Y1252" i="23"/>
  <c r="AF1252" i="23"/>
  <c r="AA1253" i="23"/>
  <c r="AB1253" i="23"/>
  <c r="AG1253" i="23"/>
  <c r="AA1254" i="23"/>
  <c r="AB1254" i="23"/>
  <c r="AB1255" i="23" s="1"/>
  <c r="AL1234" i="23" s="1"/>
  <c r="AN1234" i="23" s="1"/>
  <c r="AG1254" i="23"/>
  <c r="AG1255" i="23" s="1"/>
  <c r="AL1235" i="23" s="1"/>
  <c r="AN1235" i="23" s="1"/>
  <c r="C1256" i="23"/>
  <c r="AL1238" i="23" s="1"/>
  <c r="AN1238" i="23" s="1"/>
  <c r="AK433" i="26"/>
  <c r="AK434" i="26" s="1"/>
  <c r="AB433" i="26"/>
  <c r="AB434" i="26" s="1"/>
  <c r="AA434" i="26"/>
  <c r="AK431" i="26"/>
  <c r="AB431" i="26"/>
  <c r="AA431" i="26"/>
  <c r="AK430" i="26"/>
  <c r="AB430" i="26"/>
  <c r="AA430" i="26"/>
  <c r="AK429" i="26"/>
  <c r="AB429" i="26"/>
  <c r="AA429" i="26"/>
  <c r="AK428" i="26"/>
  <c r="AB428" i="26"/>
  <c r="AA428" i="26"/>
  <c r="AK427" i="26"/>
  <c r="AB427" i="26"/>
  <c r="AA427" i="26"/>
  <c r="AK426" i="26"/>
  <c r="AB426" i="26"/>
  <c r="AA426" i="26"/>
  <c r="AK425" i="26"/>
  <c r="AB425" i="26"/>
  <c r="AA425" i="26"/>
  <c r="AP424" i="26"/>
  <c r="AK424" i="26"/>
  <c r="AB424" i="26"/>
  <c r="AA424" i="26"/>
  <c r="AK423" i="26"/>
  <c r="AB423" i="26"/>
  <c r="AA423" i="26"/>
  <c r="AK422" i="26"/>
  <c r="AB422" i="26"/>
  <c r="AA422" i="26"/>
  <c r="AK421" i="26"/>
  <c r="AB421" i="26"/>
  <c r="AA421" i="26"/>
  <c r="AP420" i="26"/>
  <c r="AR420" i="26" s="1"/>
  <c r="AK420" i="26"/>
  <c r="AB420" i="26"/>
  <c r="AA420" i="26"/>
  <c r="AK419" i="26"/>
  <c r="AB419" i="26"/>
  <c r="AA419" i="26"/>
  <c r="AK418" i="26"/>
  <c r="AB418" i="26"/>
  <c r="AA418" i="26"/>
  <c r="AK417" i="26"/>
  <c r="AB417" i="26"/>
  <c r="AA417" i="26"/>
  <c r="AA1255" i="23" l="1"/>
  <c r="AL1233" i="23" s="1"/>
  <c r="AN1233" i="23" s="1"/>
  <c r="AG1284" i="23"/>
  <c r="AL1264" i="23" s="1"/>
  <c r="AN1264" i="23" s="1"/>
  <c r="AA1252" i="23"/>
  <c r="AL1230" i="23" s="1"/>
  <c r="AN1230" i="23" s="1"/>
  <c r="AG1252" i="23"/>
  <c r="AL1232" i="23" s="1"/>
  <c r="AN1232" i="23" s="1"/>
  <c r="AP421" i="26"/>
  <c r="AR421" i="26" s="1"/>
  <c r="AK480" i="26"/>
  <c r="AP466" i="26" s="1"/>
  <c r="AR466" i="26" s="1"/>
  <c r="AA480" i="26"/>
  <c r="AP464" i="26" s="1"/>
  <c r="AR464" i="26" s="1"/>
  <c r="AB456" i="26"/>
  <c r="AP441" i="26" s="1"/>
  <c r="AR441" i="26" s="1"/>
  <c r="AP445" i="26"/>
  <c r="AR445" i="26" s="1"/>
  <c r="AK456" i="26"/>
  <c r="AP442" i="26" s="1"/>
  <c r="AR442" i="26" s="1"/>
  <c r="AP467" i="26"/>
  <c r="AR467" i="26" s="1"/>
  <c r="AP444" i="26"/>
  <c r="AR444" i="26" s="1"/>
  <c r="AA1284" i="23"/>
  <c r="AL1262" i="23" s="1"/>
  <c r="AN1262" i="23" s="1"/>
  <c r="AB1284" i="23"/>
  <c r="AL1263" i="23" s="1"/>
  <c r="AN1263" i="23" s="1"/>
  <c r="AA456" i="26"/>
  <c r="AP440" i="26" s="1"/>
  <c r="AR440" i="26" s="1"/>
  <c r="AP443" i="26"/>
  <c r="AR443" i="26" s="1"/>
  <c r="AK432" i="26"/>
  <c r="AP418" i="26" s="1"/>
  <c r="AR418" i="26" s="1"/>
  <c r="AB1252" i="23"/>
  <c r="AL1231" i="23" s="1"/>
  <c r="AN1231" i="23" s="1"/>
  <c r="AP419" i="26"/>
  <c r="AR419" i="26" s="1"/>
  <c r="AA432" i="26"/>
  <c r="AP416" i="26" s="1"/>
  <c r="AR416" i="26" s="1"/>
  <c r="AB432" i="26"/>
  <c r="AP417" i="26" s="1"/>
  <c r="AR417" i="26" s="1"/>
  <c r="AA409" i="26"/>
  <c r="AA410" i="26" s="1"/>
  <c r="AN1236" i="23" l="1"/>
  <c r="AR470" i="26"/>
  <c r="AN1268" i="23"/>
  <c r="AR446" i="26"/>
  <c r="AR422" i="26"/>
  <c r="C411" i="26"/>
  <c r="AA1199" i="23" l="1"/>
  <c r="AB1199" i="23"/>
  <c r="AG1199" i="23"/>
  <c r="AA1200" i="23"/>
  <c r="AB1200" i="23"/>
  <c r="AG1200" i="23"/>
  <c r="AA1201" i="23"/>
  <c r="AB1201" i="23"/>
  <c r="AG1201" i="23"/>
  <c r="AA1202" i="23"/>
  <c r="AB1202" i="23"/>
  <c r="AG1202" i="23"/>
  <c r="AA1203" i="23"/>
  <c r="AB1203" i="23"/>
  <c r="AG1203" i="23"/>
  <c r="AA1204" i="23"/>
  <c r="AB1204" i="23"/>
  <c r="AG1204" i="23"/>
  <c r="AA1205" i="23"/>
  <c r="AB1205" i="23"/>
  <c r="AG1205" i="23"/>
  <c r="AA1206" i="23"/>
  <c r="AB1206" i="23"/>
  <c r="AG1206" i="23"/>
  <c r="AA1207" i="23"/>
  <c r="AB1207" i="23"/>
  <c r="AG1207" i="23"/>
  <c r="AA1208" i="23"/>
  <c r="AB1208" i="23"/>
  <c r="AG1208" i="23"/>
  <c r="AA1209" i="23"/>
  <c r="AB1209" i="23"/>
  <c r="AG1209" i="23"/>
  <c r="AA1210" i="23"/>
  <c r="AB1210" i="23"/>
  <c r="AG1210" i="23"/>
  <c r="AA1211" i="23"/>
  <c r="AB1211" i="23"/>
  <c r="AG1211" i="23"/>
  <c r="AA1212" i="23"/>
  <c r="AB1212" i="23"/>
  <c r="AG1212" i="23"/>
  <c r="AA1213" i="23"/>
  <c r="AB1213" i="23"/>
  <c r="AG1213" i="23"/>
  <c r="AA1214" i="23"/>
  <c r="AB1214" i="23"/>
  <c r="AG1214" i="23"/>
  <c r="AA1215" i="23"/>
  <c r="AB1215" i="23"/>
  <c r="AG1215" i="23"/>
  <c r="AA1216" i="23"/>
  <c r="AB1216" i="23"/>
  <c r="AG1216" i="23"/>
  <c r="AA1217" i="23"/>
  <c r="AB1217" i="23"/>
  <c r="AG1217" i="23"/>
  <c r="AA1218" i="23"/>
  <c r="AB1218" i="23"/>
  <c r="AG1218" i="23"/>
  <c r="AA1219" i="23"/>
  <c r="AB1219" i="23"/>
  <c r="AG1219" i="23"/>
  <c r="E1220" i="23"/>
  <c r="J1220" i="23"/>
  <c r="O1220" i="23"/>
  <c r="T1220" i="23"/>
  <c r="Y1220" i="23"/>
  <c r="AF1220" i="23"/>
  <c r="AA1221" i="23"/>
  <c r="AB1221" i="23"/>
  <c r="AG1221" i="23"/>
  <c r="AA1222" i="23"/>
  <c r="AB1222" i="23"/>
  <c r="AB1223" i="23" s="1"/>
  <c r="AL1202" i="23" s="1"/>
  <c r="AN1202" i="23" s="1"/>
  <c r="AG1222" i="23"/>
  <c r="AG1223" i="23"/>
  <c r="AL1203" i="23" s="1"/>
  <c r="AN1203" i="23" s="1"/>
  <c r="C1224" i="23"/>
  <c r="AL1206" i="23" s="1"/>
  <c r="AN1206" i="23" s="1"/>
  <c r="Y408" i="26"/>
  <c r="T408" i="26"/>
  <c r="O408" i="26"/>
  <c r="J408" i="26"/>
  <c r="E408" i="26"/>
  <c r="AK409" i="26"/>
  <c r="AP397" i="26" s="1"/>
  <c r="AR397" i="26" s="1"/>
  <c r="AB409" i="26"/>
  <c r="AB410" i="26" s="1"/>
  <c r="K408" i="26"/>
  <c r="AK407" i="26"/>
  <c r="AB407" i="26"/>
  <c r="AA407" i="26"/>
  <c r="AK406" i="26"/>
  <c r="AB406" i="26"/>
  <c r="AA406" i="26"/>
  <c r="AK405" i="26"/>
  <c r="AB405" i="26"/>
  <c r="AA405" i="26"/>
  <c r="AK404" i="26"/>
  <c r="AB404" i="26"/>
  <c r="AA404" i="26"/>
  <c r="AK403" i="26"/>
  <c r="AB403" i="26"/>
  <c r="AA403" i="26"/>
  <c r="AK402" i="26"/>
  <c r="AB402" i="26"/>
  <c r="AA402" i="26"/>
  <c r="AK401" i="26"/>
  <c r="AB401" i="26"/>
  <c r="AA401" i="26"/>
  <c r="AP400" i="26"/>
  <c r="AK400" i="26"/>
  <c r="AB400" i="26"/>
  <c r="AA400" i="26"/>
  <c r="AK399" i="26"/>
  <c r="AB399" i="26"/>
  <c r="AA399" i="26"/>
  <c r="AK398" i="26"/>
  <c r="AB398" i="26"/>
  <c r="AA398" i="26"/>
  <c r="AK397" i="26"/>
  <c r="AB397" i="26"/>
  <c r="AA397" i="26"/>
  <c r="AK396" i="26"/>
  <c r="AB396" i="26"/>
  <c r="AA396" i="26"/>
  <c r="AK395" i="26"/>
  <c r="AB395" i="26"/>
  <c r="AA395" i="26"/>
  <c r="AK394" i="26"/>
  <c r="AB394" i="26"/>
  <c r="AA394" i="26"/>
  <c r="AK393" i="26"/>
  <c r="AB393" i="26"/>
  <c r="AA393" i="26"/>
  <c r="AA1223" i="23" l="1"/>
  <c r="AL1201" i="23" s="1"/>
  <c r="AN1201" i="23" s="1"/>
  <c r="AG1220" i="23"/>
  <c r="AL1200" i="23" s="1"/>
  <c r="AN1200" i="23" s="1"/>
  <c r="AP396" i="26"/>
  <c r="AR396" i="26" s="1"/>
  <c r="AK408" i="26"/>
  <c r="AA408" i="26"/>
  <c r="AK410" i="26"/>
  <c r="AB1220" i="23"/>
  <c r="AL1199" i="23" s="1"/>
  <c r="AN1199" i="23" s="1"/>
  <c r="AB408" i="26"/>
  <c r="AP393" i="26" s="1"/>
  <c r="AR393" i="26" s="1"/>
  <c r="AA1220" i="23"/>
  <c r="AP395" i="26"/>
  <c r="AR395" i="26" s="1"/>
  <c r="AP394" i="26"/>
  <c r="AR394" i="26" s="1"/>
  <c r="C387" i="26"/>
  <c r="AP392" i="26" l="1"/>
  <c r="AR392" i="26" s="1"/>
  <c r="AR398" i="26" s="1"/>
  <c r="AL1198" i="23"/>
  <c r="AN1198" i="23" s="1"/>
  <c r="AN1204" i="23" s="1"/>
  <c r="AA563" i="20"/>
  <c r="AB563" i="20"/>
  <c r="AG563" i="20"/>
  <c r="AM563" i="20"/>
  <c r="AA564" i="20"/>
  <c r="AB564" i="20"/>
  <c r="AG564" i="20"/>
  <c r="AG565" i="20" s="1"/>
  <c r="AL564" i="20" s="1"/>
  <c r="AN564" i="20" s="1"/>
  <c r="E565" i="20"/>
  <c r="F565" i="20"/>
  <c r="J565" i="20"/>
  <c r="K565" i="20"/>
  <c r="O565" i="20"/>
  <c r="P565" i="20"/>
  <c r="T565" i="20"/>
  <c r="U565" i="20"/>
  <c r="Y565" i="20"/>
  <c r="Z565" i="20"/>
  <c r="AA565" i="20"/>
  <c r="AL562" i="20" s="1"/>
  <c r="AN562" i="20" s="1"/>
  <c r="AF565" i="20"/>
  <c r="AB555" i="20"/>
  <c r="AG555" i="20"/>
  <c r="AM555" i="20"/>
  <c r="AA556" i="20"/>
  <c r="AB556" i="20"/>
  <c r="AG556" i="20"/>
  <c r="E557" i="20"/>
  <c r="F557" i="20"/>
  <c r="J557" i="20"/>
  <c r="K557" i="20"/>
  <c r="O557" i="20"/>
  <c r="P557" i="20"/>
  <c r="T557" i="20"/>
  <c r="U557" i="20"/>
  <c r="Y557" i="20"/>
  <c r="Z557" i="20"/>
  <c r="AA557" i="20"/>
  <c r="AL554" i="20" s="1"/>
  <c r="AN554" i="20" s="1"/>
  <c r="AF557" i="20"/>
  <c r="AA547" i="20"/>
  <c r="AB547" i="20"/>
  <c r="AG547" i="20"/>
  <c r="AM547" i="20"/>
  <c r="AA548" i="20"/>
  <c r="AB548" i="20"/>
  <c r="AG548" i="20"/>
  <c r="AG549" i="20" s="1"/>
  <c r="AL548" i="20" s="1"/>
  <c r="AN548" i="20" s="1"/>
  <c r="E549" i="20"/>
  <c r="F549" i="20"/>
  <c r="J549" i="20"/>
  <c r="K549" i="20"/>
  <c r="O549" i="20"/>
  <c r="P549" i="20"/>
  <c r="T549" i="20"/>
  <c r="U549" i="20"/>
  <c r="Y549" i="20"/>
  <c r="Z549" i="20"/>
  <c r="AF549" i="20"/>
  <c r="AA539" i="20"/>
  <c r="AB539" i="20"/>
  <c r="AG539" i="20"/>
  <c r="AM539" i="20"/>
  <c r="AA540" i="20"/>
  <c r="AB540" i="20"/>
  <c r="AG540" i="20"/>
  <c r="E541" i="20"/>
  <c r="F541" i="20"/>
  <c r="J541" i="20"/>
  <c r="K541" i="20"/>
  <c r="O541" i="20"/>
  <c r="P541" i="20"/>
  <c r="T541" i="20"/>
  <c r="U541" i="20"/>
  <c r="Y541" i="20"/>
  <c r="Z541" i="20"/>
  <c r="AF541" i="20"/>
  <c r="AA531" i="20"/>
  <c r="AB531" i="20"/>
  <c r="AG531" i="20"/>
  <c r="AM531" i="20"/>
  <c r="AA532" i="20"/>
  <c r="AA533" i="20" s="1"/>
  <c r="AL530" i="20" s="1"/>
  <c r="AN530" i="20" s="1"/>
  <c r="AB532" i="20"/>
  <c r="AG532" i="20"/>
  <c r="AG533" i="20" s="1"/>
  <c r="AL532" i="20" s="1"/>
  <c r="AN532" i="20" s="1"/>
  <c r="E533" i="20"/>
  <c r="F533" i="20"/>
  <c r="J533" i="20"/>
  <c r="K533" i="20"/>
  <c r="O533" i="20"/>
  <c r="P533" i="20"/>
  <c r="T533" i="20"/>
  <c r="U533" i="20"/>
  <c r="Z533" i="20"/>
  <c r="AF533" i="20"/>
  <c r="AA523" i="20"/>
  <c r="AB523" i="20"/>
  <c r="AG523" i="20"/>
  <c r="AM523" i="20"/>
  <c r="AA524" i="20"/>
  <c r="AB524" i="20"/>
  <c r="AG524" i="20"/>
  <c r="E525" i="20"/>
  <c r="F525" i="20"/>
  <c r="J525" i="20"/>
  <c r="K525" i="20"/>
  <c r="O525" i="20"/>
  <c r="P525" i="20"/>
  <c r="T525" i="20"/>
  <c r="U525" i="20"/>
  <c r="Y525" i="20"/>
  <c r="Z525" i="20"/>
  <c r="AF525" i="20"/>
  <c r="AA515" i="20"/>
  <c r="AB515" i="20"/>
  <c r="AG515" i="20"/>
  <c r="AM515" i="20"/>
  <c r="AA516" i="20"/>
  <c r="AB516" i="20"/>
  <c r="AG516" i="20"/>
  <c r="E517" i="20"/>
  <c r="F517" i="20"/>
  <c r="J517" i="20"/>
  <c r="K517" i="20"/>
  <c r="O517" i="20"/>
  <c r="P517" i="20"/>
  <c r="T517" i="20"/>
  <c r="U517" i="20"/>
  <c r="Y517" i="20"/>
  <c r="Z517" i="20"/>
  <c r="AF517" i="20"/>
  <c r="AA507" i="20"/>
  <c r="AB507" i="20"/>
  <c r="AG507" i="20"/>
  <c r="AM507" i="20"/>
  <c r="AA508" i="20"/>
  <c r="AB508" i="20"/>
  <c r="AG508" i="20"/>
  <c r="E509" i="20"/>
  <c r="F509" i="20"/>
  <c r="J509" i="20"/>
  <c r="K509" i="20"/>
  <c r="O509" i="20"/>
  <c r="P509" i="20"/>
  <c r="T509" i="20"/>
  <c r="U509" i="20"/>
  <c r="Y509" i="20"/>
  <c r="Z509" i="20"/>
  <c r="AF509" i="20"/>
  <c r="AG509" i="20" l="1"/>
  <c r="AL508" i="20" s="1"/>
  <c r="AN508" i="20" s="1"/>
  <c r="AB509" i="20"/>
  <c r="AL507" i="20" s="1"/>
  <c r="AN507" i="20" s="1"/>
  <c r="AG517" i="20"/>
  <c r="AL516" i="20" s="1"/>
  <c r="AN516" i="20" s="1"/>
  <c r="AB517" i="20"/>
  <c r="AL515" i="20" s="1"/>
  <c r="AN515" i="20" s="1"/>
  <c r="AG525" i="20"/>
  <c r="AL524" i="20" s="1"/>
  <c r="AN524" i="20" s="1"/>
  <c r="AA525" i="20"/>
  <c r="AL522" i="20" s="1"/>
  <c r="AN522" i="20" s="1"/>
  <c r="AB533" i="20"/>
  <c r="AL531" i="20" s="1"/>
  <c r="AN531" i="20" s="1"/>
  <c r="AG541" i="20"/>
  <c r="AL540" i="20" s="1"/>
  <c r="AN540" i="20" s="1"/>
  <c r="AB541" i="20"/>
  <c r="AL539" i="20" s="1"/>
  <c r="AN539" i="20" s="1"/>
  <c r="AN541" i="20" s="1"/>
  <c r="AB549" i="20"/>
  <c r="AL547" i="20" s="1"/>
  <c r="AN547" i="20" s="1"/>
  <c r="AA549" i="20"/>
  <c r="AL546" i="20" s="1"/>
  <c r="AN546" i="20" s="1"/>
  <c r="AG557" i="20"/>
  <c r="AL556" i="20" s="1"/>
  <c r="AN556" i="20" s="1"/>
  <c r="AB557" i="20"/>
  <c r="AL555" i="20" s="1"/>
  <c r="AN555" i="20" s="1"/>
  <c r="AB565" i="20"/>
  <c r="AL563" i="20" s="1"/>
  <c r="AN563" i="20" s="1"/>
  <c r="AA541" i="20"/>
  <c r="AL538" i="20" s="1"/>
  <c r="AN538" i="20" s="1"/>
  <c r="AB525" i="20"/>
  <c r="AL523" i="20" s="1"/>
  <c r="AN523" i="20" s="1"/>
  <c r="AA517" i="20"/>
  <c r="AL514" i="20" s="1"/>
  <c r="AN514" i="20" s="1"/>
  <c r="AN517" i="20" s="1"/>
  <c r="AA509" i="20"/>
  <c r="AL506" i="20" s="1"/>
  <c r="AN506" i="20" s="1"/>
  <c r="AN565" i="20"/>
  <c r="AN533" i="20"/>
  <c r="AN549" i="20" l="1"/>
  <c r="AN509" i="20"/>
  <c r="AN525" i="20"/>
  <c r="AN557" i="20"/>
  <c r="AA1167" i="23"/>
  <c r="AB1167" i="23"/>
  <c r="AG1167" i="23"/>
  <c r="AA1168" i="23"/>
  <c r="AB1168" i="23"/>
  <c r="AG1168" i="23"/>
  <c r="AA1169" i="23"/>
  <c r="AB1169" i="23"/>
  <c r="AG1169" i="23"/>
  <c r="AA1170" i="23"/>
  <c r="AB1170" i="23"/>
  <c r="AG1170" i="23"/>
  <c r="AA1171" i="23"/>
  <c r="AB1171" i="23"/>
  <c r="AG1171" i="23"/>
  <c r="AA1172" i="23"/>
  <c r="AB1172" i="23"/>
  <c r="AG1172" i="23"/>
  <c r="AA1173" i="23"/>
  <c r="AB1173" i="23"/>
  <c r="AG1173" i="23"/>
  <c r="AA1174" i="23"/>
  <c r="AB1174" i="23"/>
  <c r="AG1174" i="23"/>
  <c r="AA1175" i="23"/>
  <c r="AB1175" i="23"/>
  <c r="AG1175" i="23"/>
  <c r="AA1176" i="23"/>
  <c r="AB1176" i="23"/>
  <c r="AG1176" i="23"/>
  <c r="AA1177" i="23"/>
  <c r="AB1177" i="23"/>
  <c r="AG1177" i="23"/>
  <c r="AA1178" i="23"/>
  <c r="AB1178" i="23"/>
  <c r="AG1178" i="23"/>
  <c r="AA1179" i="23"/>
  <c r="AB1179" i="23"/>
  <c r="AG1179" i="23"/>
  <c r="AA1180" i="23"/>
  <c r="AB1180" i="23"/>
  <c r="AG1180" i="23"/>
  <c r="AA1181" i="23"/>
  <c r="AB1181" i="23"/>
  <c r="AG1181" i="23"/>
  <c r="AA1182" i="23"/>
  <c r="AB1182" i="23"/>
  <c r="AG1182" i="23"/>
  <c r="AA1183" i="23"/>
  <c r="AB1183" i="23"/>
  <c r="AG1183" i="23"/>
  <c r="AA1184" i="23"/>
  <c r="AB1184" i="23"/>
  <c r="AG1184" i="23"/>
  <c r="AA1185" i="23"/>
  <c r="AB1185" i="23"/>
  <c r="AG1185" i="23"/>
  <c r="AA1186" i="23"/>
  <c r="AB1186" i="23"/>
  <c r="AG1186" i="23"/>
  <c r="AA1187" i="23"/>
  <c r="AB1187" i="23"/>
  <c r="AG1187" i="23"/>
  <c r="E1188" i="23"/>
  <c r="J1188" i="23"/>
  <c r="O1188" i="23"/>
  <c r="T1188" i="23"/>
  <c r="Y1188" i="23"/>
  <c r="AF1188" i="23"/>
  <c r="AA1189" i="23"/>
  <c r="AB1189" i="23"/>
  <c r="AA1190" i="23"/>
  <c r="AB1190" i="23"/>
  <c r="AB1191" i="23" s="1"/>
  <c r="AL1170" i="23" s="1"/>
  <c r="AN1170" i="23" s="1"/>
  <c r="AG1190" i="23"/>
  <c r="AG1191" i="23" s="1"/>
  <c r="AL1171" i="23" s="1"/>
  <c r="AN1171" i="23" s="1"/>
  <c r="C1192" i="23"/>
  <c r="AL1174" i="23" s="1"/>
  <c r="AN1174" i="23" s="1"/>
  <c r="AK385" i="26"/>
  <c r="AK386" i="26" s="1"/>
  <c r="AB385" i="26"/>
  <c r="AB386" i="26" s="1"/>
  <c r="AA385" i="26"/>
  <c r="AA386" i="26" s="1"/>
  <c r="Y384" i="26"/>
  <c r="T384" i="26"/>
  <c r="O384" i="26"/>
  <c r="K384" i="26"/>
  <c r="J384" i="26"/>
  <c r="E384" i="26"/>
  <c r="AK383" i="26"/>
  <c r="AB383" i="26"/>
  <c r="AA383" i="26"/>
  <c r="AK382" i="26"/>
  <c r="AB382" i="26"/>
  <c r="AA382" i="26"/>
  <c r="AK381" i="26"/>
  <c r="AB381" i="26"/>
  <c r="AA381" i="26"/>
  <c r="AK380" i="26"/>
  <c r="AB380" i="26"/>
  <c r="AA380" i="26"/>
  <c r="AK379" i="26"/>
  <c r="AB379" i="26"/>
  <c r="AA379" i="26"/>
  <c r="AK378" i="26"/>
  <c r="AB378" i="26"/>
  <c r="AA378" i="26"/>
  <c r="AK377" i="26"/>
  <c r="AB377" i="26"/>
  <c r="AA377" i="26"/>
  <c r="AP376" i="26"/>
  <c r="AK376" i="26"/>
  <c r="AB376" i="26"/>
  <c r="AA376" i="26"/>
  <c r="AK375" i="26"/>
  <c r="AB375" i="26"/>
  <c r="AA375" i="26"/>
  <c r="AK374" i="26"/>
  <c r="AB374" i="26"/>
  <c r="AA374" i="26"/>
  <c r="AK373" i="26"/>
  <c r="AB373" i="26"/>
  <c r="AA373" i="26"/>
  <c r="AK372" i="26"/>
  <c r="AB372" i="26"/>
  <c r="AA372" i="26"/>
  <c r="AK371" i="26"/>
  <c r="AB371" i="26"/>
  <c r="AA371" i="26"/>
  <c r="AK370" i="26"/>
  <c r="AB370" i="26"/>
  <c r="AA370" i="26"/>
  <c r="AK369" i="26"/>
  <c r="AB369" i="26"/>
  <c r="AA369" i="26"/>
  <c r="AG1188" i="23" l="1"/>
  <c r="AL1168" i="23" s="1"/>
  <c r="AN1168" i="23" s="1"/>
  <c r="AA1191" i="23"/>
  <c r="AL1169" i="23" s="1"/>
  <c r="AN1169" i="23" s="1"/>
  <c r="AB1188" i="23"/>
  <c r="AL1167" i="23" s="1"/>
  <c r="AN1167" i="23" s="1"/>
  <c r="AA384" i="26"/>
  <c r="AP373" i="26"/>
  <c r="AR373" i="26" s="1"/>
  <c r="AP372" i="26"/>
  <c r="AR372" i="26" s="1"/>
  <c r="AK384" i="26"/>
  <c r="AA1188" i="23"/>
  <c r="AP371" i="26"/>
  <c r="AR371" i="26" s="1"/>
  <c r="AB384" i="26"/>
  <c r="AP369" i="26" s="1"/>
  <c r="AR369" i="26" s="1"/>
  <c r="AP368" i="26"/>
  <c r="AR368" i="26" s="1"/>
  <c r="AL1166" i="23" l="1"/>
  <c r="AN1166" i="23" s="1"/>
  <c r="AN1172" i="23" s="1"/>
  <c r="AP370" i="26"/>
  <c r="AR370" i="26" s="1"/>
  <c r="AR374" i="26"/>
  <c r="C363" i="26"/>
  <c r="K360" i="26"/>
  <c r="AA1135" i="23" l="1"/>
  <c r="AB1135" i="23"/>
  <c r="AG1135" i="23"/>
  <c r="AA1136" i="23"/>
  <c r="AB1136" i="23"/>
  <c r="AG1136" i="23"/>
  <c r="AA1137" i="23"/>
  <c r="AB1137" i="23"/>
  <c r="AG1137" i="23"/>
  <c r="AA1138" i="23"/>
  <c r="AB1138" i="23"/>
  <c r="AG1138" i="23"/>
  <c r="AA1139" i="23"/>
  <c r="AB1139" i="23"/>
  <c r="AG1139" i="23"/>
  <c r="AA1140" i="23"/>
  <c r="AB1140" i="23"/>
  <c r="AG1140" i="23"/>
  <c r="AA1141" i="23"/>
  <c r="AB1141" i="23"/>
  <c r="AG1141" i="23"/>
  <c r="AA1142" i="23"/>
  <c r="AB1142" i="23"/>
  <c r="AG1142" i="23"/>
  <c r="AA1143" i="23"/>
  <c r="AB1143" i="23"/>
  <c r="AG1143" i="23"/>
  <c r="AA1144" i="23"/>
  <c r="AB1144" i="23"/>
  <c r="AG1144" i="23"/>
  <c r="AA1145" i="23"/>
  <c r="AB1145" i="23"/>
  <c r="AG1145" i="23"/>
  <c r="AA1146" i="23"/>
  <c r="AB1146" i="23"/>
  <c r="AG1146" i="23"/>
  <c r="AA1147" i="23"/>
  <c r="AB1147" i="23"/>
  <c r="AG1147" i="23"/>
  <c r="AA1148" i="23"/>
  <c r="AB1148" i="23"/>
  <c r="AG1148" i="23"/>
  <c r="AA1149" i="23"/>
  <c r="AB1149" i="23"/>
  <c r="AG1149" i="23"/>
  <c r="AA1150" i="23"/>
  <c r="AB1150" i="23"/>
  <c r="AG1150" i="23"/>
  <c r="AA1151" i="23"/>
  <c r="AB1151" i="23"/>
  <c r="AG1151" i="23"/>
  <c r="AA1152" i="23"/>
  <c r="AB1152" i="23"/>
  <c r="AG1152" i="23"/>
  <c r="AA1153" i="23"/>
  <c r="AB1153" i="23"/>
  <c r="AG1153" i="23"/>
  <c r="AA1154" i="23"/>
  <c r="AB1154" i="23"/>
  <c r="AG1154" i="23"/>
  <c r="AA1155" i="23"/>
  <c r="AB1155" i="23"/>
  <c r="AG1155" i="23"/>
  <c r="E1156" i="23"/>
  <c r="J1156" i="23"/>
  <c r="O1156" i="23"/>
  <c r="T1156" i="23"/>
  <c r="Y1156" i="23"/>
  <c r="AF1156" i="23"/>
  <c r="AA1157" i="23"/>
  <c r="AB1157" i="23"/>
  <c r="AG1157" i="23"/>
  <c r="AA1158" i="23"/>
  <c r="AB1158" i="23"/>
  <c r="AB1159" i="23" s="1"/>
  <c r="AL1138" i="23" s="1"/>
  <c r="AN1138" i="23" s="1"/>
  <c r="AG1158" i="23"/>
  <c r="AG1159" i="23"/>
  <c r="AL1139" i="23" s="1"/>
  <c r="AN1139" i="23" s="1"/>
  <c r="C1160" i="23"/>
  <c r="AL1142" i="23" s="1"/>
  <c r="AN1142" i="23" s="1"/>
  <c r="AA1159" i="23" l="1"/>
  <c r="AL1137" i="23" s="1"/>
  <c r="AN1137" i="23" s="1"/>
  <c r="AA1156" i="23"/>
  <c r="AL1134" i="23" s="1"/>
  <c r="AN1134" i="23" s="1"/>
  <c r="AB1156" i="23"/>
  <c r="AL1135" i="23" s="1"/>
  <c r="AN1135" i="23" s="1"/>
  <c r="AG1156" i="23"/>
  <c r="AL1136" i="23" s="1"/>
  <c r="AN1136" i="23" s="1"/>
  <c r="AK361" i="26"/>
  <c r="AK362" i="26" s="1"/>
  <c r="AB361" i="26"/>
  <c r="AB362" i="26" s="1"/>
  <c r="AA361" i="26"/>
  <c r="AA362" i="26" s="1"/>
  <c r="Y360" i="26"/>
  <c r="T360" i="26"/>
  <c r="O360" i="26"/>
  <c r="J360" i="26"/>
  <c r="E360" i="26"/>
  <c r="AK359" i="26"/>
  <c r="AB359" i="26"/>
  <c r="AA359" i="26"/>
  <c r="AK358" i="26"/>
  <c r="AB358" i="26"/>
  <c r="AA358" i="26"/>
  <c r="AK357" i="26"/>
  <c r="AB357" i="26"/>
  <c r="AA357" i="26"/>
  <c r="AK356" i="26"/>
  <c r="AB356" i="26"/>
  <c r="AA356" i="26"/>
  <c r="AK355" i="26"/>
  <c r="AB355" i="26"/>
  <c r="AA355" i="26"/>
  <c r="AK354" i="26"/>
  <c r="AB354" i="26"/>
  <c r="AA354" i="26"/>
  <c r="AK353" i="26"/>
  <c r="AB353" i="26"/>
  <c r="AA353" i="26"/>
  <c r="AP352" i="26"/>
  <c r="AK352" i="26"/>
  <c r="AB352" i="26"/>
  <c r="AA352" i="26"/>
  <c r="AK351" i="26"/>
  <c r="AB351" i="26"/>
  <c r="AA351" i="26"/>
  <c r="AK350" i="26"/>
  <c r="AB350" i="26"/>
  <c r="AA350" i="26"/>
  <c r="AK349" i="26"/>
  <c r="AB349" i="26"/>
  <c r="AA349" i="26"/>
  <c r="AK348" i="26"/>
  <c r="AB348" i="26"/>
  <c r="AA348" i="26"/>
  <c r="AK347" i="26"/>
  <c r="AB347" i="26"/>
  <c r="AA347" i="26"/>
  <c r="AK346" i="26"/>
  <c r="AB346" i="26"/>
  <c r="AA346" i="26"/>
  <c r="AK345" i="26"/>
  <c r="AB345" i="26"/>
  <c r="AA345" i="26"/>
  <c r="C339" i="26"/>
  <c r="AN1140" i="23" l="1"/>
  <c r="AA360" i="26"/>
  <c r="AP349" i="26"/>
  <c r="AR349" i="26" s="1"/>
  <c r="AB360" i="26"/>
  <c r="AP345" i="26" s="1"/>
  <c r="AR345" i="26" s="1"/>
  <c r="AP344" i="26"/>
  <c r="AR344" i="26" s="1"/>
  <c r="AP348" i="26"/>
  <c r="AR348" i="26" s="1"/>
  <c r="AK360" i="26"/>
  <c r="AP346" i="26" s="1"/>
  <c r="AR346" i="26" s="1"/>
  <c r="AP347" i="26"/>
  <c r="AR347" i="26" s="1"/>
  <c r="AR350" i="26" l="1"/>
  <c r="AP328" i="26" l="1"/>
  <c r="AK215" i="26" l="1"/>
  <c r="AB215" i="26"/>
  <c r="AA215" i="26"/>
  <c r="AK239" i="26"/>
  <c r="AB239" i="26"/>
  <c r="AA239" i="26"/>
  <c r="AK263" i="26"/>
  <c r="AB263" i="26"/>
  <c r="AA263" i="26"/>
  <c r="AK287" i="26"/>
  <c r="AB287" i="26"/>
  <c r="AA287" i="26"/>
  <c r="AK311" i="26"/>
  <c r="AB311" i="26"/>
  <c r="AA311" i="26"/>
  <c r="AA335" i="26"/>
  <c r="AB335" i="26"/>
  <c r="AK335" i="26"/>
  <c r="AA1103" i="23"/>
  <c r="AB1103" i="23"/>
  <c r="AG1103" i="23"/>
  <c r="AA1104" i="23"/>
  <c r="AB1104" i="23"/>
  <c r="AG1104" i="23"/>
  <c r="AA1105" i="23"/>
  <c r="AB1105" i="23"/>
  <c r="AG1105" i="23"/>
  <c r="AA1106" i="23"/>
  <c r="AB1106" i="23"/>
  <c r="AG1106" i="23"/>
  <c r="AA1107" i="23"/>
  <c r="AB1107" i="23"/>
  <c r="AG1107" i="23"/>
  <c r="AA1108" i="23"/>
  <c r="AB1108" i="23"/>
  <c r="AG1108" i="23"/>
  <c r="AA1109" i="23"/>
  <c r="AB1109" i="23"/>
  <c r="AG1109" i="23"/>
  <c r="AA1110" i="23"/>
  <c r="AB1110" i="23"/>
  <c r="AG1110" i="23"/>
  <c r="AA1111" i="23"/>
  <c r="AB1111" i="23"/>
  <c r="AG1111" i="23"/>
  <c r="AA1112" i="23"/>
  <c r="AB1112" i="23"/>
  <c r="AG1112" i="23"/>
  <c r="AA1113" i="23"/>
  <c r="AB1113" i="23"/>
  <c r="AG1113" i="23"/>
  <c r="AA1114" i="23"/>
  <c r="AB1114" i="23"/>
  <c r="AG1114" i="23"/>
  <c r="AA1115" i="23"/>
  <c r="AB1115" i="23"/>
  <c r="AG1115" i="23"/>
  <c r="AA1116" i="23"/>
  <c r="AB1116" i="23"/>
  <c r="AG1116" i="23"/>
  <c r="AA1117" i="23"/>
  <c r="AB1117" i="23"/>
  <c r="AG1117" i="23"/>
  <c r="AA1118" i="23"/>
  <c r="AB1118" i="23"/>
  <c r="AG1118" i="23"/>
  <c r="AA1119" i="23"/>
  <c r="AB1119" i="23"/>
  <c r="AG1119" i="23"/>
  <c r="AA1120" i="23"/>
  <c r="AB1120" i="23"/>
  <c r="AG1120" i="23"/>
  <c r="AA1121" i="23"/>
  <c r="AB1121" i="23"/>
  <c r="AG1121" i="23"/>
  <c r="AA1122" i="23"/>
  <c r="AB1122" i="23"/>
  <c r="AG1122" i="23"/>
  <c r="AA1123" i="23"/>
  <c r="AB1123" i="23"/>
  <c r="AG1123" i="23"/>
  <c r="E1124" i="23"/>
  <c r="J1124" i="23"/>
  <c r="O1124" i="23"/>
  <c r="T1124" i="23"/>
  <c r="Y1124" i="23"/>
  <c r="AF1124" i="23"/>
  <c r="AA1125" i="23"/>
  <c r="AB1125" i="23"/>
  <c r="AG1125" i="23"/>
  <c r="AA1126" i="23"/>
  <c r="AB1126" i="23"/>
  <c r="AB1127" i="23" s="1"/>
  <c r="AL1106" i="23" s="1"/>
  <c r="AN1106" i="23" s="1"/>
  <c r="AG1126" i="23"/>
  <c r="AG1127" i="23"/>
  <c r="AL1107" i="23" s="1"/>
  <c r="AN1107" i="23" s="1"/>
  <c r="C1128" i="23"/>
  <c r="AL1110" i="23" s="1"/>
  <c r="AN1110" i="23" s="1"/>
  <c r="AK337" i="26"/>
  <c r="AK338" i="26" s="1"/>
  <c r="AB337" i="26"/>
  <c r="AB338" i="26" s="1"/>
  <c r="AA337" i="26"/>
  <c r="AA338" i="26" s="1"/>
  <c r="Y336" i="26"/>
  <c r="T336" i="26"/>
  <c r="O336" i="26"/>
  <c r="J336" i="26"/>
  <c r="E336" i="26"/>
  <c r="AK334" i="26"/>
  <c r="AB334" i="26"/>
  <c r="AA334" i="26"/>
  <c r="AK333" i="26"/>
  <c r="AB333" i="26"/>
  <c r="AA333" i="26"/>
  <c r="AK332" i="26"/>
  <c r="AB332" i="26"/>
  <c r="AA332" i="26"/>
  <c r="AK331" i="26"/>
  <c r="AB331" i="26"/>
  <c r="AA331" i="26"/>
  <c r="AK330" i="26"/>
  <c r="AB330" i="26"/>
  <c r="AA330" i="26"/>
  <c r="AK329" i="26"/>
  <c r="AB329" i="26"/>
  <c r="AA329" i="26"/>
  <c r="AK328" i="26"/>
  <c r="AB328" i="26"/>
  <c r="AA328" i="26"/>
  <c r="AK327" i="26"/>
  <c r="AB327" i="26"/>
  <c r="AA327" i="26"/>
  <c r="AK326" i="26"/>
  <c r="AB326" i="26"/>
  <c r="AA326" i="26"/>
  <c r="AK325" i="26"/>
  <c r="AB325" i="26"/>
  <c r="AA325" i="26"/>
  <c r="AK324" i="26"/>
  <c r="AB324" i="26"/>
  <c r="AA324" i="26"/>
  <c r="AK323" i="26"/>
  <c r="AB323" i="26"/>
  <c r="AA323" i="26"/>
  <c r="AK322" i="26"/>
  <c r="AB322" i="26"/>
  <c r="AA322" i="26"/>
  <c r="AK321" i="26"/>
  <c r="AB321" i="26"/>
  <c r="AA321" i="26"/>
  <c r="C315" i="26"/>
  <c r="AB1124" i="23" l="1"/>
  <c r="AL1103" i="23" s="1"/>
  <c r="AN1103" i="23" s="1"/>
  <c r="AG1124" i="23"/>
  <c r="AL1104" i="23" s="1"/>
  <c r="AN1104" i="23" s="1"/>
  <c r="AA1124" i="23"/>
  <c r="AL1102" i="23" s="1"/>
  <c r="AN1102" i="23" s="1"/>
  <c r="AA336" i="26"/>
  <c r="AA1127" i="23"/>
  <c r="AL1105" i="23" s="1"/>
  <c r="AN1105" i="23" s="1"/>
  <c r="AP324" i="26"/>
  <c r="AR324" i="26" s="1"/>
  <c r="AP323" i="26"/>
  <c r="AR323" i="26" s="1"/>
  <c r="AB336" i="26"/>
  <c r="AP325" i="26"/>
  <c r="AR325" i="26" s="1"/>
  <c r="AK336" i="26"/>
  <c r="AP322" i="26" s="1"/>
  <c r="AR322" i="26" s="1"/>
  <c r="AP320" i="26"/>
  <c r="AR320" i="26" s="1"/>
  <c r="AN1108" i="23" l="1"/>
  <c r="AP321" i="26"/>
  <c r="AR321" i="26" s="1"/>
  <c r="AR326" i="26"/>
  <c r="M4" i="29"/>
  <c r="J4" i="29"/>
  <c r="B5" i="29"/>
  <c r="J12" i="29"/>
  <c r="B10" i="29"/>
  <c r="G10" i="29" s="1"/>
  <c r="B11" i="29"/>
  <c r="B12" i="29"/>
  <c r="J11" i="29" s="1"/>
  <c r="B13" i="29"/>
  <c r="B14" i="29"/>
  <c r="B4" i="29"/>
  <c r="G4" i="29" s="1"/>
  <c r="G15" i="29"/>
  <c r="B6" i="29"/>
  <c r="B15" i="29"/>
  <c r="B3" i="29"/>
  <c r="B2" i="29"/>
  <c r="G2" i="29" s="1"/>
  <c r="AF501" i="20"/>
  <c r="Z501" i="20"/>
  <c r="Y501" i="20"/>
  <c r="U501" i="20"/>
  <c r="T501" i="20"/>
  <c r="P501" i="20"/>
  <c r="O501" i="20"/>
  <c r="K501" i="20"/>
  <c r="J501" i="20"/>
  <c r="F501" i="20"/>
  <c r="E501" i="20"/>
  <c r="AG500" i="20"/>
  <c r="AB500" i="20"/>
  <c r="AA500" i="20"/>
  <c r="AM499" i="20"/>
  <c r="AG499" i="20"/>
  <c r="AG501" i="20" s="1"/>
  <c r="AL500" i="20" s="1"/>
  <c r="AN500" i="20" s="1"/>
  <c r="AB499" i="20"/>
  <c r="AB501" i="20" s="1"/>
  <c r="AL499" i="20" s="1"/>
  <c r="AN499" i="20" s="1"/>
  <c r="AA499" i="20"/>
  <c r="AA501" i="20" s="1"/>
  <c r="AL498" i="20" s="1"/>
  <c r="AN498" i="20" s="1"/>
  <c r="AN501" i="20" s="1"/>
  <c r="AF493" i="20"/>
  <c r="Z493" i="20"/>
  <c r="Y493" i="20"/>
  <c r="U493" i="20"/>
  <c r="T493" i="20"/>
  <c r="P493" i="20"/>
  <c r="O493" i="20"/>
  <c r="K493" i="20"/>
  <c r="J493" i="20"/>
  <c r="F493" i="20"/>
  <c r="E493" i="20"/>
  <c r="AG492" i="20"/>
  <c r="AB492" i="20"/>
  <c r="AA492" i="20"/>
  <c r="AM491" i="20"/>
  <c r="AG491" i="20"/>
  <c r="AB491" i="20"/>
  <c r="AB493" i="20" s="1"/>
  <c r="AL491" i="20" s="1"/>
  <c r="AN491" i="20" s="1"/>
  <c r="AA491" i="20"/>
  <c r="AF485" i="20"/>
  <c r="Z485" i="20"/>
  <c r="Y485" i="20"/>
  <c r="U485" i="20"/>
  <c r="T485" i="20"/>
  <c r="P485" i="20"/>
  <c r="O485" i="20"/>
  <c r="K485" i="20"/>
  <c r="J485" i="20"/>
  <c r="F485" i="20"/>
  <c r="E485" i="20"/>
  <c r="AG484" i="20"/>
  <c r="AB484" i="20"/>
  <c r="AA484" i="20"/>
  <c r="AM483" i="20"/>
  <c r="AG483" i="20"/>
  <c r="AG485" i="20" s="1"/>
  <c r="AL484" i="20" s="1"/>
  <c r="AN484" i="20" s="1"/>
  <c r="AB483" i="20"/>
  <c r="AB485" i="20" s="1"/>
  <c r="AL483" i="20" s="1"/>
  <c r="AN483" i="20" s="1"/>
  <c r="AA483" i="20"/>
  <c r="AF477" i="20"/>
  <c r="Z477" i="20"/>
  <c r="Y477" i="20"/>
  <c r="U477" i="20"/>
  <c r="T477" i="20"/>
  <c r="P477" i="20"/>
  <c r="O477" i="20"/>
  <c r="K477" i="20"/>
  <c r="J477" i="20"/>
  <c r="F477" i="20"/>
  <c r="E477" i="20"/>
  <c r="AG476" i="20"/>
  <c r="AB476" i="20"/>
  <c r="AA476" i="20"/>
  <c r="AM475" i="20"/>
  <c r="AG475" i="20"/>
  <c r="AB475" i="20"/>
  <c r="AB477" i="20" s="1"/>
  <c r="AL475" i="20" s="1"/>
  <c r="AN475" i="20" s="1"/>
  <c r="AA475" i="20"/>
  <c r="AA477" i="20" s="1"/>
  <c r="AL474" i="20" s="1"/>
  <c r="AN474" i="20" s="1"/>
  <c r="AF469" i="20"/>
  <c r="Z469" i="20"/>
  <c r="Y469" i="20"/>
  <c r="U469" i="20"/>
  <c r="T469" i="20"/>
  <c r="P469" i="20"/>
  <c r="O469" i="20"/>
  <c r="K469" i="20"/>
  <c r="J469" i="20"/>
  <c r="F469" i="20"/>
  <c r="E469" i="20"/>
  <c r="AG468" i="20"/>
  <c r="AB468" i="20"/>
  <c r="AA468" i="20"/>
  <c r="AM467" i="20"/>
  <c r="AG467" i="20"/>
  <c r="AG469" i="20" s="1"/>
  <c r="AL468" i="20" s="1"/>
  <c r="AN468" i="20" s="1"/>
  <c r="AB467" i="20"/>
  <c r="AB469" i="20" s="1"/>
  <c r="AL467" i="20" s="1"/>
  <c r="AN467" i="20" s="1"/>
  <c r="AA467" i="20"/>
  <c r="AA469" i="20" s="1"/>
  <c r="AL466" i="20" s="1"/>
  <c r="AN466" i="20" s="1"/>
  <c r="AN469" i="20" s="1"/>
  <c r="AA277" i="26"/>
  <c r="AG493" i="20" l="1"/>
  <c r="AL492" i="20" s="1"/>
  <c r="AN492" i="20" s="1"/>
  <c r="AG477" i="20"/>
  <c r="AL476" i="20" s="1"/>
  <c r="AN476" i="20" s="1"/>
  <c r="AN477" i="20"/>
  <c r="AA493" i="20"/>
  <c r="AL490" i="20" s="1"/>
  <c r="AN490" i="20" s="1"/>
  <c r="AN493" i="20" s="1"/>
  <c r="AA485" i="20"/>
  <c r="AL482" i="20" s="1"/>
  <c r="AN482" i="20" s="1"/>
  <c r="AN485" i="20" s="1"/>
  <c r="G14" i="29"/>
  <c r="J10" i="29"/>
  <c r="G12" i="29"/>
  <c r="G6" i="29"/>
  <c r="AA1071" i="23"/>
  <c r="AB1071" i="23"/>
  <c r="AG1071" i="23"/>
  <c r="AA1072" i="23"/>
  <c r="AB1072" i="23"/>
  <c r="AG1072" i="23"/>
  <c r="AA1073" i="23"/>
  <c r="AB1073" i="23"/>
  <c r="AG1073" i="23"/>
  <c r="AA1074" i="23"/>
  <c r="AB1074" i="23"/>
  <c r="AG1074" i="23"/>
  <c r="AA1075" i="23"/>
  <c r="AB1075" i="23"/>
  <c r="AG1075" i="23"/>
  <c r="AA1076" i="23"/>
  <c r="AB1076" i="23"/>
  <c r="AG1076" i="23"/>
  <c r="AA1077" i="23"/>
  <c r="AB1077" i="23"/>
  <c r="AG1077" i="23"/>
  <c r="AA1078" i="23"/>
  <c r="AB1078" i="23"/>
  <c r="AG1078" i="23"/>
  <c r="AA1079" i="23"/>
  <c r="AB1079" i="23"/>
  <c r="AG1079" i="23"/>
  <c r="AA1080" i="23"/>
  <c r="AB1080" i="23"/>
  <c r="AG1080" i="23"/>
  <c r="AA1081" i="23"/>
  <c r="AB1081" i="23"/>
  <c r="AG1081" i="23"/>
  <c r="AA1082" i="23"/>
  <c r="AB1082" i="23"/>
  <c r="AG1082" i="23"/>
  <c r="AA1083" i="23"/>
  <c r="AB1083" i="23"/>
  <c r="AG1083" i="23"/>
  <c r="AA1084" i="23"/>
  <c r="AB1084" i="23"/>
  <c r="AG1084" i="23"/>
  <c r="AA1085" i="23"/>
  <c r="AB1085" i="23"/>
  <c r="AG1085" i="23"/>
  <c r="AA1086" i="23"/>
  <c r="AB1086" i="23"/>
  <c r="AG1086" i="23"/>
  <c r="AA1087" i="23"/>
  <c r="AB1087" i="23"/>
  <c r="AG1087" i="23"/>
  <c r="AA1088" i="23"/>
  <c r="AB1088" i="23"/>
  <c r="AG1088" i="23"/>
  <c r="AA1089" i="23"/>
  <c r="AB1089" i="23"/>
  <c r="AG1089" i="23"/>
  <c r="AA1090" i="23"/>
  <c r="AB1090" i="23"/>
  <c r="AG1090" i="23"/>
  <c r="AA1091" i="23"/>
  <c r="AB1091" i="23"/>
  <c r="AG1091" i="23"/>
  <c r="E1092" i="23"/>
  <c r="J1092" i="23"/>
  <c r="O1092" i="23"/>
  <c r="T1092" i="23"/>
  <c r="Y1092" i="23"/>
  <c r="AF1092" i="23"/>
  <c r="AA1093" i="23"/>
  <c r="AB1093" i="23"/>
  <c r="AG1093" i="23"/>
  <c r="AA1094" i="23"/>
  <c r="AB1094" i="23"/>
  <c r="AB1095" i="23" s="1"/>
  <c r="AL1074" i="23" s="1"/>
  <c r="AN1074" i="23" s="1"/>
  <c r="AG1094" i="23"/>
  <c r="AG1095" i="23"/>
  <c r="AL1075" i="23" s="1"/>
  <c r="AN1075" i="23" s="1"/>
  <c r="C1096" i="23"/>
  <c r="AL1078" i="23" s="1"/>
  <c r="AN1078" i="23" s="1"/>
  <c r="AK313" i="26"/>
  <c r="AK314" i="26" s="1"/>
  <c r="AB313" i="26"/>
  <c r="AB314" i="26" s="1"/>
  <c r="AA313" i="26"/>
  <c r="AA314" i="26" s="1"/>
  <c r="Y312" i="26"/>
  <c r="T312" i="26"/>
  <c r="O312" i="26"/>
  <c r="J312" i="26"/>
  <c r="E312" i="26"/>
  <c r="AK310" i="26"/>
  <c r="AB310" i="26"/>
  <c r="AA310" i="26"/>
  <c r="AK309" i="26"/>
  <c r="AB309" i="26"/>
  <c r="AA309" i="26"/>
  <c r="AK308" i="26"/>
  <c r="AB308" i="26"/>
  <c r="AA308" i="26"/>
  <c r="AK307" i="26"/>
  <c r="AB307" i="26"/>
  <c r="AA307" i="26"/>
  <c r="AK306" i="26"/>
  <c r="AB306" i="26"/>
  <c r="AA306" i="26"/>
  <c r="AK305" i="26"/>
  <c r="AB305" i="26"/>
  <c r="AA305" i="26"/>
  <c r="AP304" i="26"/>
  <c r="AK304" i="26"/>
  <c r="AB304" i="26"/>
  <c r="AA304" i="26"/>
  <c r="AK303" i="26"/>
  <c r="AB303" i="26"/>
  <c r="AA303" i="26"/>
  <c r="AK302" i="26"/>
  <c r="AB302" i="26"/>
  <c r="AA302" i="26"/>
  <c r="AK301" i="26"/>
  <c r="AB301" i="26"/>
  <c r="AA301" i="26"/>
  <c r="AK300" i="26"/>
  <c r="AB300" i="26"/>
  <c r="AA300" i="26"/>
  <c r="AK299" i="26"/>
  <c r="AB299" i="26"/>
  <c r="AA299" i="26"/>
  <c r="AK298" i="26"/>
  <c r="AB298" i="26"/>
  <c r="AA298" i="26"/>
  <c r="AK297" i="26"/>
  <c r="AB297" i="26"/>
  <c r="AA297" i="26"/>
  <c r="C291" i="26"/>
  <c r="AG1092" i="23" l="1"/>
  <c r="AL1072" i="23" s="1"/>
  <c r="AN1072" i="23" s="1"/>
  <c r="AA1095" i="23"/>
  <c r="AL1073" i="23" s="1"/>
  <c r="AN1073" i="23" s="1"/>
  <c r="AB1092" i="23"/>
  <c r="AL1071" i="23" s="1"/>
  <c r="AN1071" i="23" s="1"/>
  <c r="AA1092" i="23"/>
  <c r="AL1070" i="23" s="1"/>
  <c r="AN1070" i="23" s="1"/>
  <c r="AA312" i="26"/>
  <c r="AB312" i="26"/>
  <c r="AP297" i="26" s="1"/>
  <c r="AR297" i="26" s="1"/>
  <c r="AP299" i="26"/>
  <c r="AR299" i="26" s="1"/>
  <c r="AP301" i="26"/>
  <c r="AR301" i="26" s="1"/>
  <c r="AK312" i="26"/>
  <c r="AP298" i="26" s="1"/>
  <c r="AR298" i="26" s="1"/>
  <c r="AP296" i="26"/>
  <c r="AR296" i="26" s="1"/>
  <c r="AP300" i="26"/>
  <c r="AR300" i="26" s="1"/>
  <c r="AK289" i="26"/>
  <c r="AP277" i="26" s="1"/>
  <c r="AR277" i="26" s="1"/>
  <c r="AB289" i="26"/>
  <c r="AP276" i="26" s="1"/>
  <c r="AR276" i="26" s="1"/>
  <c r="AA289" i="26"/>
  <c r="AA290" i="26" s="1"/>
  <c r="Y288" i="26"/>
  <c r="T288" i="26"/>
  <c r="O288" i="26"/>
  <c r="J288" i="26"/>
  <c r="E288" i="26"/>
  <c r="AK286" i="26"/>
  <c r="AB286" i="26"/>
  <c r="AA286" i="26"/>
  <c r="AK285" i="26"/>
  <c r="AB285" i="26"/>
  <c r="AA285" i="26"/>
  <c r="AK284" i="26"/>
  <c r="AB284" i="26"/>
  <c r="AA284" i="26"/>
  <c r="AK283" i="26"/>
  <c r="AB283" i="26"/>
  <c r="AA283" i="26"/>
  <c r="AK282" i="26"/>
  <c r="AB282" i="26"/>
  <c r="AA282" i="26"/>
  <c r="AK281" i="26"/>
  <c r="AB281" i="26"/>
  <c r="AA281" i="26"/>
  <c r="AP280" i="26"/>
  <c r="AK280" i="26"/>
  <c r="AB280" i="26"/>
  <c r="AA280" i="26"/>
  <c r="AK279" i="26"/>
  <c r="AB279" i="26"/>
  <c r="AA279" i="26"/>
  <c r="AK278" i="26"/>
  <c r="AB278" i="26"/>
  <c r="AA278" i="26"/>
  <c r="AK277" i="26"/>
  <c r="AB277" i="26"/>
  <c r="AK276" i="26"/>
  <c r="AB276" i="26"/>
  <c r="AA276" i="26"/>
  <c r="AK275" i="26"/>
  <c r="AB275" i="26"/>
  <c r="AA275" i="26"/>
  <c r="AK274" i="26"/>
  <c r="AB274" i="26"/>
  <c r="AA274" i="26"/>
  <c r="AK273" i="26"/>
  <c r="AB273" i="26"/>
  <c r="AA273" i="26"/>
  <c r="AA1039" i="23"/>
  <c r="AB1039" i="23"/>
  <c r="AG1039" i="23"/>
  <c r="AA1040" i="23"/>
  <c r="AB1040" i="23"/>
  <c r="AG1040" i="23"/>
  <c r="AA1041" i="23"/>
  <c r="AB1041" i="23"/>
  <c r="AG1041" i="23"/>
  <c r="AA1042" i="23"/>
  <c r="AB1042" i="23"/>
  <c r="AG1042" i="23"/>
  <c r="AA1043" i="23"/>
  <c r="AB1043" i="23"/>
  <c r="AG1043" i="23"/>
  <c r="AA1044" i="23"/>
  <c r="AB1044" i="23"/>
  <c r="AG1044" i="23"/>
  <c r="AA1045" i="23"/>
  <c r="AB1045" i="23"/>
  <c r="AG1045" i="23"/>
  <c r="AA1046" i="23"/>
  <c r="AB1046" i="23"/>
  <c r="AG1046" i="23"/>
  <c r="AA1047" i="23"/>
  <c r="AB1047" i="23"/>
  <c r="AG1047" i="23"/>
  <c r="AA1048" i="23"/>
  <c r="AB1048" i="23"/>
  <c r="AG1048" i="23"/>
  <c r="AA1049" i="23"/>
  <c r="AB1049" i="23"/>
  <c r="AG1049" i="23"/>
  <c r="AA1050" i="23"/>
  <c r="AB1050" i="23"/>
  <c r="AG1050" i="23"/>
  <c r="AA1051" i="23"/>
  <c r="AB1051" i="23"/>
  <c r="AG1051" i="23"/>
  <c r="AA1052" i="23"/>
  <c r="AB1052" i="23"/>
  <c r="AG1052" i="23"/>
  <c r="AA1053" i="23"/>
  <c r="AB1053" i="23"/>
  <c r="AG1053" i="23"/>
  <c r="AA1054" i="23"/>
  <c r="AB1054" i="23"/>
  <c r="AG1054" i="23"/>
  <c r="AA1055" i="23"/>
  <c r="AB1055" i="23"/>
  <c r="AG1055" i="23"/>
  <c r="AA1056" i="23"/>
  <c r="AB1056" i="23"/>
  <c r="AG1056" i="23"/>
  <c r="AA1057" i="23"/>
  <c r="AB1057" i="23"/>
  <c r="AG1057" i="23"/>
  <c r="AA1058" i="23"/>
  <c r="AB1058" i="23"/>
  <c r="AG1058" i="23"/>
  <c r="AA1059" i="23"/>
  <c r="AB1059" i="23"/>
  <c r="AG1059" i="23"/>
  <c r="E1060" i="23"/>
  <c r="J1060" i="23"/>
  <c r="O1060" i="23"/>
  <c r="T1060" i="23"/>
  <c r="Y1060" i="23"/>
  <c r="AF1060" i="23"/>
  <c r="AA1061" i="23"/>
  <c r="AB1061" i="23"/>
  <c r="AG1061" i="23"/>
  <c r="AA1062" i="23"/>
  <c r="AB1062" i="23"/>
  <c r="AB1063" i="23" s="1"/>
  <c r="AL1042" i="23" s="1"/>
  <c r="AN1042" i="23" s="1"/>
  <c r="AG1062" i="23"/>
  <c r="AG1063" i="23" s="1"/>
  <c r="AL1043" i="23" s="1"/>
  <c r="AN1043" i="23" s="1"/>
  <c r="C1064" i="23"/>
  <c r="AL1046" i="23" s="1"/>
  <c r="AN1046" i="23" s="1"/>
  <c r="C267" i="26"/>
  <c r="AP256" i="26" s="1"/>
  <c r="J264" i="26"/>
  <c r="E264" i="26"/>
  <c r="F599" i="16"/>
  <c r="F600" i="16"/>
  <c r="F601" i="16"/>
  <c r="F602" i="16"/>
  <c r="F603" i="16"/>
  <c r="F583" i="16"/>
  <c r="F584" i="16"/>
  <c r="F585" i="16"/>
  <c r="F586" i="16"/>
  <c r="F587" i="16"/>
  <c r="F588" i="16"/>
  <c r="F589" i="16"/>
  <c r="F569" i="16"/>
  <c r="F570" i="16"/>
  <c r="F571" i="16"/>
  <c r="F572" i="16"/>
  <c r="F573" i="16"/>
  <c r="F574" i="16"/>
  <c r="F575" i="16"/>
  <c r="F576" i="16"/>
  <c r="F577" i="16"/>
  <c r="F578" i="16"/>
  <c r="F579" i="16"/>
  <c r="F580" i="16"/>
  <c r="F581" i="16"/>
  <c r="F582" i="16"/>
  <c r="F552" i="16"/>
  <c r="F553" i="16"/>
  <c r="F554" i="16"/>
  <c r="F555" i="16"/>
  <c r="F556" i="16"/>
  <c r="F557" i="16"/>
  <c r="F558" i="16"/>
  <c r="F559" i="16"/>
  <c r="F560" i="16"/>
  <c r="F561" i="16"/>
  <c r="F562" i="16"/>
  <c r="F563" i="16"/>
  <c r="F564" i="16"/>
  <c r="F565" i="16"/>
  <c r="F567" i="16"/>
  <c r="F568" i="16"/>
  <c r="F548" i="16"/>
  <c r="F549" i="16"/>
  <c r="F550" i="16"/>
  <c r="F551" i="16"/>
  <c r="F544" i="16"/>
  <c r="F545" i="16"/>
  <c r="F546" i="16"/>
  <c r="F547" i="16"/>
  <c r="F540" i="16"/>
  <c r="F541" i="16"/>
  <c r="F542" i="16"/>
  <c r="F543" i="16"/>
  <c r="AA1007" i="23"/>
  <c r="AB1007" i="23"/>
  <c r="AG1007" i="23"/>
  <c r="AA1008" i="23"/>
  <c r="AB1008" i="23"/>
  <c r="AG1008" i="23"/>
  <c r="AA1009" i="23"/>
  <c r="AB1009" i="23"/>
  <c r="AG1009" i="23"/>
  <c r="AA1010" i="23"/>
  <c r="AB1010" i="23"/>
  <c r="AG1010" i="23"/>
  <c r="AA1011" i="23"/>
  <c r="AB1011" i="23"/>
  <c r="AG1011" i="23"/>
  <c r="AA1012" i="23"/>
  <c r="AB1012" i="23"/>
  <c r="AG1012" i="23"/>
  <c r="AA1013" i="23"/>
  <c r="AB1013" i="23"/>
  <c r="AG1013" i="23"/>
  <c r="AA1014" i="23"/>
  <c r="AB1014" i="23"/>
  <c r="AG1014" i="23"/>
  <c r="AA1015" i="23"/>
  <c r="AB1015" i="23"/>
  <c r="AG1015" i="23"/>
  <c r="AA1016" i="23"/>
  <c r="AB1016" i="23"/>
  <c r="AG1016" i="23"/>
  <c r="AA1017" i="23"/>
  <c r="AB1017" i="23"/>
  <c r="AG1017" i="23"/>
  <c r="AA1018" i="23"/>
  <c r="AB1018" i="23"/>
  <c r="AG1018" i="23"/>
  <c r="AA1019" i="23"/>
  <c r="AB1019" i="23"/>
  <c r="AG1019" i="23"/>
  <c r="AA1020" i="23"/>
  <c r="AB1020" i="23"/>
  <c r="AG1020" i="23"/>
  <c r="AA1021" i="23"/>
  <c r="AB1021" i="23"/>
  <c r="AG1021" i="23"/>
  <c r="AA1022" i="23"/>
  <c r="AB1022" i="23"/>
  <c r="AG1022" i="23"/>
  <c r="AA1023" i="23"/>
  <c r="AB1023" i="23"/>
  <c r="AG1023" i="23"/>
  <c r="AA1024" i="23"/>
  <c r="AB1024" i="23"/>
  <c r="AG1024" i="23"/>
  <c r="AA1025" i="23"/>
  <c r="AB1025" i="23"/>
  <c r="AG1025" i="23"/>
  <c r="AA1026" i="23"/>
  <c r="AB1026" i="23"/>
  <c r="AG1026" i="23"/>
  <c r="AA1027" i="23"/>
  <c r="AB1027" i="23"/>
  <c r="AG1027" i="23"/>
  <c r="E1028" i="23"/>
  <c r="J1028" i="23"/>
  <c r="O1028" i="23"/>
  <c r="T1028" i="23"/>
  <c r="Y1028" i="23"/>
  <c r="AF1028" i="23"/>
  <c r="AA1029" i="23"/>
  <c r="AB1029" i="23"/>
  <c r="AG1029" i="23"/>
  <c r="AA1030" i="23"/>
  <c r="AB1030" i="23"/>
  <c r="AB1031" i="23" s="1"/>
  <c r="AL1010" i="23" s="1"/>
  <c r="AN1010" i="23" s="1"/>
  <c r="AG1030" i="23"/>
  <c r="AG1031" i="23" s="1"/>
  <c r="AL1011" i="23" s="1"/>
  <c r="AN1011" i="23" s="1"/>
  <c r="C1032" i="23"/>
  <c r="AL1014" i="23" s="1"/>
  <c r="AN1014" i="23" s="1"/>
  <c r="AA228" i="26"/>
  <c r="AK104" i="26"/>
  <c r="AA104" i="26"/>
  <c r="AB104" i="26"/>
  <c r="AK265" i="26"/>
  <c r="AB265" i="26"/>
  <c r="AP252" i="26" s="1"/>
  <c r="AR252" i="26" s="1"/>
  <c r="AA265" i="26"/>
  <c r="AA266" i="26" s="1"/>
  <c r="Y264" i="26"/>
  <c r="T264" i="26"/>
  <c r="O264" i="26"/>
  <c r="AK262" i="26"/>
  <c r="AB262" i="26"/>
  <c r="AA262" i="26"/>
  <c r="AK261" i="26"/>
  <c r="AB261" i="26"/>
  <c r="AA261" i="26"/>
  <c r="AK260" i="26"/>
  <c r="AB260" i="26"/>
  <c r="AA260" i="26"/>
  <c r="AK259" i="26"/>
  <c r="AB259" i="26"/>
  <c r="AA259" i="26"/>
  <c r="AK258" i="26"/>
  <c r="AB258" i="26"/>
  <c r="AA258" i="26"/>
  <c r="AK257" i="26"/>
  <c r="AB257" i="26"/>
  <c r="AA257" i="26"/>
  <c r="AK256" i="26"/>
  <c r="AB256" i="26"/>
  <c r="AA256" i="26"/>
  <c r="AK255" i="26"/>
  <c r="AB255" i="26"/>
  <c r="AA255" i="26"/>
  <c r="AK254" i="26"/>
  <c r="AB254" i="26"/>
  <c r="AA254" i="26"/>
  <c r="AK253" i="26"/>
  <c r="AB253" i="26"/>
  <c r="AA253" i="26"/>
  <c r="AK252" i="26"/>
  <c r="AB252" i="26"/>
  <c r="AA252" i="26"/>
  <c r="AK251" i="26"/>
  <c r="AB251" i="26"/>
  <c r="AA251" i="26"/>
  <c r="AK250" i="26"/>
  <c r="AB250" i="26"/>
  <c r="AA250" i="26"/>
  <c r="AK249" i="26"/>
  <c r="AB249" i="26"/>
  <c r="AA249" i="26"/>
  <c r="C243" i="26"/>
  <c r="AP232" i="26" s="1"/>
  <c r="Y240" i="26"/>
  <c r="T240" i="26"/>
  <c r="O240" i="26"/>
  <c r="J240" i="26"/>
  <c r="E240" i="26"/>
  <c r="AK241" i="26"/>
  <c r="AK242" i="26" s="1"/>
  <c r="AB241" i="26"/>
  <c r="AB242" i="26" s="1"/>
  <c r="AA241" i="26"/>
  <c r="AA242" i="26" s="1"/>
  <c r="AK238" i="26"/>
  <c r="AB238" i="26"/>
  <c r="AA238" i="26"/>
  <c r="AK237" i="26"/>
  <c r="AB237" i="26"/>
  <c r="AA237" i="26"/>
  <c r="AK236" i="26"/>
  <c r="AB236" i="26"/>
  <c r="AA236" i="26"/>
  <c r="AK235" i="26"/>
  <c r="AB235" i="26"/>
  <c r="AA235" i="26"/>
  <c r="AK234" i="26"/>
  <c r="AB234" i="26"/>
  <c r="AA234" i="26"/>
  <c r="AK233" i="26"/>
  <c r="AB233" i="26"/>
  <c r="AA233" i="26"/>
  <c r="AK232" i="26"/>
  <c r="AB232" i="26"/>
  <c r="AA232" i="26"/>
  <c r="AK231" i="26"/>
  <c r="AB231" i="26"/>
  <c r="AA231" i="26"/>
  <c r="AK230" i="26"/>
  <c r="AB230" i="26"/>
  <c r="AA230" i="26"/>
  <c r="AK229" i="26"/>
  <c r="AB229" i="26"/>
  <c r="AA229" i="26"/>
  <c r="AK228" i="26"/>
  <c r="AB228" i="26"/>
  <c r="AK227" i="26"/>
  <c r="AB227" i="26"/>
  <c r="AA227" i="26"/>
  <c r="AK226" i="26"/>
  <c r="AB226" i="26"/>
  <c r="AA226" i="26"/>
  <c r="AK225" i="26"/>
  <c r="AB225" i="26"/>
  <c r="AA225" i="26"/>
  <c r="C219" i="26"/>
  <c r="AP208" i="26" s="1"/>
  <c r="AA201" i="26"/>
  <c r="AA975" i="23"/>
  <c r="AB975" i="23"/>
  <c r="AG975" i="23"/>
  <c r="AA976" i="23"/>
  <c r="AB976" i="23"/>
  <c r="AG976" i="23"/>
  <c r="AA977" i="23"/>
  <c r="AB977" i="23"/>
  <c r="AG977" i="23"/>
  <c r="AA978" i="23"/>
  <c r="AB978" i="23"/>
  <c r="AG978" i="23"/>
  <c r="AA979" i="23"/>
  <c r="AB979" i="23"/>
  <c r="AG979" i="23"/>
  <c r="AA980" i="23"/>
  <c r="AB980" i="23"/>
  <c r="AG980" i="23"/>
  <c r="AA981" i="23"/>
  <c r="AB981" i="23"/>
  <c r="AG981" i="23"/>
  <c r="AA982" i="23"/>
  <c r="AB982" i="23"/>
  <c r="AG982" i="23"/>
  <c r="AA983" i="23"/>
  <c r="AB983" i="23"/>
  <c r="AG983" i="23"/>
  <c r="AA984" i="23"/>
  <c r="AB984" i="23"/>
  <c r="AG984" i="23"/>
  <c r="AA985" i="23"/>
  <c r="AB985" i="23"/>
  <c r="AG985" i="23"/>
  <c r="AA986" i="23"/>
  <c r="AB986" i="23"/>
  <c r="AG986" i="23"/>
  <c r="AA987" i="23"/>
  <c r="AB987" i="23"/>
  <c r="AG987" i="23"/>
  <c r="AA988" i="23"/>
  <c r="AB988" i="23"/>
  <c r="AG988" i="23"/>
  <c r="AA989" i="23"/>
  <c r="AB989" i="23"/>
  <c r="AG989" i="23"/>
  <c r="AA990" i="23"/>
  <c r="AB990" i="23"/>
  <c r="AG990" i="23"/>
  <c r="AA991" i="23"/>
  <c r="AB991" i="23"/>
  <c r="AG991" i="23"/>
  <c r="AA992" i="23"/>
  <c r="AB992" i="23"/>
  <c r="AG992" i="23"/>
  <c r="AA993" i="23"/>
  <c r="AB993" i="23"/>
  <c r="AG993" i="23"/>
  <c r="AA994" i="23"/>
  <c r="AB994" i="23"/>
  <c r="AG994" i="23"/>
  <c r="AA995" i="23"/>
  <c r="AB995" i="23"/>
  <c r="AG995" i="23"/>
  <c r="E996" i="23"/>
  <c r="J996" i="23"/>
  <c r="O996" i="23"/>
  <c r="T996" i="23"/>
  <c r="Y996" i="23"/>
  <c r="AF996" i="23"/>
  <c r="AA997" i="23"/>
  <c r="AB997" i="23"/>
  <c r="AG997" i="23"/>
  <c r="AA998" i="23"/>
  <c r="AB998" i="23"/>
  <c r="AB999" i="23" s="1"/>
  <c r="AL978" i="23" s="1"/>
  <c r="AN978" i="23" s="1"/>
  <c r="AG998" i="23"/>
  <c r="AG999" i="23" s="1"/>
  <c r="AL979" i="23" s="1"/>
  <c r="AN979" i="23" s="1"/>
  <c r="C1000" i="23"/>
  <c r="AL982" i="23" s="1"/>
  <c r="AN982" i="23" s="1"/>
  <c r="AA212" i="26"/>
  <c r="AB212" i="26"/>
  <c r="AA213" i="26"/>
  <c r="AB213" i="26"/>
  <c r="AK212" i="26"/>
  <c r="AK213" i="26"/>
  <c r="C968" i="23"/>
  <c r="AL950" i="23" s="1"/>
  <c r="AN950" i="23" s="1"/>
  <c r="AG966" i="23"/>
  <c r="AG967" i="23" s="1"/>
  <c r="AL947" i="23" s="1"/>
  <c r="AN947" i="23" s="1"/>
  <c r="AB966" i="23"/>
  <c r="AB967" i="23" s="1"/>
  <c r="AL946" i="23" s="1"/>
  <c r="AN946" i="23" s="1"/>
  <c r="AA966" i="23"/>
  <c r="AG965" i="23"/>
  <c r="AB965" i="23"/>
  <c r="AA965" i="23"/>
  <c r="AF964" i="23"/>
  <c r="Y964" i="23"/>
  <c r="T964" i="23"/>
  <c r="O964" i="23"/>
  <c r="J964" i="23"/>
  <c r="E964" i="23"/>
  <c r="AG963" i="23"/>
  <c r="AB963" i="23"/>
  <c r="AA963" i="23"/>
  <c r="AG962" i="23"/>
  <c r="AB962" i="23"/>
  <c r="AA962" i="23"/>
  <c r="AG961" i="23"/>
  <c r="AB961" i="23"/>
  <c r="AA961" i="23"/>
  <c r="AG960" i="23"/>
  <c r="AB960" i="23"/>
  <c r="AA960" i="23"/>
  <c r="AG959" i="23"/>
  <c r="AB959" i="23"/>
  <c r="AA959" i="23"/>
  <c r="AG958" i="23"/>
  <c r="AB958" i="23"/>
  <c r="AA958" i="23"/>
  <c r="AG957" i="23"/>
  <c r="AB957" i="23"/>
  <c r="AA957" i="23"/>
  <c r="AG956" i="23"/>
  <c r="AB956" i="23"/>
  <c r="AA956" i="23"/>
  <c r="AG955" i="23"/>
  <c r="AB955" i="23"/>
  <c r="AA955" i="23"/>
  <c r="AG954" i="23"/>
  <c r="AB954" i="23"/>
  <c r="AA954" i="23"/>
  <c r="AG953" i="23"/>
  <c r="AB953" i="23"/>
  <c r="AA953" i="23"/>
  <c r="AG952" i="23"/>
  <c r="AB952" i="23"/>
  <c r="AA952" i="23"/>
  <c r="AG951" i="23"/>
  <c r="AB951" i="23"/>
  <c r="AA951" i="23"/>
  <c r="AG950" i="23"/>
  <c r="AB950" i="23"/>
  <c r="AA950" i="23"/>
  <c r="AG949" i="23"/>
  <c r="AB949" i="23"/>
  <c r="AA949" i="23"/>
  <c r="AG948" i="23"/>
  <c r="AB948" i="23"/>
  <c r="AA948" i="23"/>
  <c r="AG947" i="23"/>
  <c r="AB947" i="23"/>
  <c r="AA947" i="23"/>
  <c r="AG946" i="23"/>
  <c r="AB946" i="23"/>
  <c r="AA946" i="23"/>
  <c r="AG945" i="23"/>
  <c r="AB945" i="23"/>
  <c r="AA945" i="23"/>
  <c r="AG944" i="23"/>
  <c r="AB944" i="23"/>
  <c r="AA944" i="23"/>
  <c r="AG943" i="23"/>
  <c r="AB943" i="23"/>
  <c r="AA943" i="23"/>
  <c r="C195" i="26"/>
  <c r="AP187" i="26" s="1"/>
  <c r="AP227" i="26"/>
  <c r="AR227" i="26" s="1"/>
  <c r="AA184" i="26"/>
  <c r="AA180" i="26"/>
  <c r="AK217" i="26"/>
  <c r="AP205" i="26" s="1"/>
  <c r="AR205" i="26" s="1"/>
  <c r="AB217" i="26"/>
  <c r="AP204" i="26" s="1"/>
  <c r="AR204" i="26" s="1"/>
  <c r="AA217" i="26"/>
  <c r="AA218" i="26" s="1"/>
  <c r="AK214" i="26"/>
  <c r="AB214" i="26"/>
  <c r="AA214" i="26"/>
  <c r="AK211" i="26"/>
  <c r="AB211" i="26"/>
  <c r="AA211" i="26"/>
  <c r="AK210" i="26"/>
  <c r="AB210" i="26"/>
  <c r="AA210" i="26"/>
  <c r="AK209" i="26"/>
  <c r="AB209" i="26"/>
  <c r="AA209" i="26"/>
  <c r="AK208" i="26"/>
  <c r="AB208" i="26"/>
  <c r="AA208" i="26"/>
  <c r="AK207" i="26"/>
  <c r="AB207" i="26"/>
  <c r="AA207" i="26"/>
  <c r="AK206" i="26"/>
  <c r="AB206" i="26"/>
  <c r="AA206" i="26"/>
  <c r="AK205" i="26"/>
  <c r="AB205" i="26"/>
  <c r="AA205" i="26"/>
  <c r="AK204" i="26"/>
  <c r="AB204" i="26"/>
  <c r="AA204" i="26"/>
  <c r="AK203" i="26"/>
  <c r="AB203" i="26"/>
  <c r="AA203" i="26"/>
  <c r="AK202" i="26"/>
  <c r="AB202" i="26"/>
  <c r="AA202" i="26"/>
  <c r="AK201" i="26"/>
  <c r="AB201" i="26"/>
  <c r="C33" i="26"/>
  <c r="AK193" i="26"/>
  <c r="AK194" i="26" s="1"/>
  <c r="AB193" i="26"/>
  <c r="AP183" i="26" s="1"/>
  <c r="AR183" i="26" s="1"/>
  <c r="AA193" i="26"/>
  <c r="AA194" i="26" s="1"/>
  <c r="AK191" i="26"/>
  <c r="AB191" i="26"/>
  <c r="AA191" i="26"/>
  <c r="AK190" i="26"/>
  <c r="AB190" i="26"/>
  <c r="AA190" i="26"/>
  <c r="AK189" i="26"/>
  <c r="AB189" i="26"/>
  <c r="AA189" i="26"/>
  <c r="AK188" i="26"/>
  <c r="AB188" i="26"/>
  <c r="AA188" i="26"/>
  <c r="AK187" i="26"/>
  <c r="AB187" i="26"/>
  <c r="AA187" i="26"/>
  <c r="AK186" i="26"/>
  <c r="AB186" i="26"/>
  <c r="AA186" i="26"/>
  <c r="AK185" i="26"/>
  <c r="AB185" i="26"/>
  <c r="AA185" i="26"/>
  <c r="AK184" i="26"/>
  <c r="AB184" i="26"/>
  <c r="AK183" i="26"/>
  <c r="AB183" i="26"/>
  <c r="AA183" i="26"/>
  <c r="AK182" i="26"/>
  <c r="AB182" i="26"/>
  <c r="AA182" i="26"/>
  <c r="AK181" i="26"/>
  <c r="AB181" i="26"/>
  <c r="AA181" i="26"/>
  <c r="AK180" i="26"/>
  <c r="AB180" i="26"/>
  <c r="C936" i="23"/>
  <c r="AG934" i="23"/>
  <c r="AG935" i="23" s="1"/>
  <c r="AL915" i="23" s="1"/>
  <c r="AN915" i="23" s="1"/>
  <c r="AB934" i="23"/>
  <c r="AB935" i="23" s="1"/>
  <c r="AL914" i="23" s="1"/>
  <c r="AN914" i="23" s="1"/>
  <c r="AA934" i="23"/>
  <c r="AG933" i="23"/>
  <c r="AB933" i="23"/>
  <c r="AA933" i="23"/>
  <c r="AF932" i="23"/>
  <c r="Y932" i="23"/>
  <c r="T932" i="23"/>
  <c r="O932" i="23"/>
  <c r="J932" i="23"/>
  <c r="E932" i="23"/>
  <c r="AG931" i="23"/>
  <c r="AB931" i="23"/>
  <c r="AA931" i="23"/>
  <c r="AG930" i="23"/>
  <c r="AB930" i="23"/>
  <c r="AA930" i="23"/>
  <c r="AG929" i="23"/>
  <c r="AB929" i="23"/>
  <c r="AA929" i="23"/>
  <c r="AG928" i="23"/>
  <c r="AB928" i="23"/>
  <c r="AA928" i="23"/>
  <c r="AG927" i="23"/>
  <c r="AB927" i="23"/>
  <c r="AA927" i="23"/>
  <c r="AG926" i="23"/>
  <c r="AB926" i="23"/>
  <c r="AA926" i="23"/>
  <c r="AG925" i="23"/>
  <c r="AB925" i="23"/>
  <c r="AA925" i="23"/>
  <c r="AG924" i="23"/>
  <c r="AB924" i="23"/>
  <c r="AA924" i="23"/>
  <c r="AG923" i="23"/>
  <c r="AB923" i="23"/>
  <c r="AA923" i="23"/>
  <c r="AG922" i="23"/>
  <c r="AB922" i="23"/>
  <c r="AA922" i="23"/>
  <c r="AG921" i="23"/>
  <c r="AB921" i="23"/>
  <c r="AA921" i="23"/>
  <c r="AG920" i="23"/>
  <c r="AB920" i="23"/>
  <c r="AA920" i="23"/>
  <c r="AG919" i="23"/>
  <c r="AB919" i="23"/>
  <c r="AA919" i="23"/>
  <c r="AL918" i="23"/>
  <c r="AN918" i="23" s="1"/>
  <c r="AG918" i="23"/>
  <c r="AB918" i="23"/>
  <c r="AA918" i="23"/>
  <c r="AG917" i="23"/>
  <c r="AB917" i="23"/>
  <c r="AA917" i="23"/>
  <c r="AG916" i="23"/>
  <c r="AB916" i="23"/>
  <c r="AA916" i="23"/>
  <c r="AG915" i="23"/>
  <c r="AB915" i="23"/>
  <c r="AA915" i="23"/>
  <c r="AG914" i="23"/>
  <c r="AB914" i="23"/>
  <c r="AA914" i="23"/>
  <c r="AG913" i="23"/>
  <c r="AB913" i="23"/>
  <c r="AA913" i="23"/>
  <c r="AG912" i="23"/>
  <c r="AB912" i="23"/>
  <c r="AA912" i="23"/>
  <c r="AG911" i="23"/>
  <c r="AB911" i="23"/>
  <c r="AA911" i="23"/>
  <c r="C174" i="26"/>
  <c r="AP166" i="26" s="1"/>
  <c r="AB159" i="26"/>
  <c r="AA879" i="23"/>
  <c r="AB879" i="23"/>
  <c r="AG879" i="23"/>
  <c r="AA880" i="23"/>
  <c r="AB880" i="23"/>
  <c r="AG880" i="23"/>
  <c r="AA881" i="23"/>
  <c r="AB881" i="23"/>
  <c r="AG881" i="23"/>
  <c r="AA882" i="23"/>
  <c r="AB882" i="23"/>
  <c r="AG882" i="23"/>
  <c r="AA883" i="23"/>
  <c r="AB883" i="23"/>
  <c r="AG883" i="23"/>
  <c r="AA884" i="23"/>
  <c r="AB884" i="23"/>
  <c r="AG884" i="23"/>
  <c r="AA885" i="23"/>
  <c r="AB885" i="23"/>
  <c r="AG885" i="23"/>
  <c r="AA886" i="23"/>
  <c r="AB886" i="23"/>
  <c r="AG886" i="23"/>
  <c r="AA887" i="23"/>
  <c r="AB887" i="23"/>
  <c r="AG887" i="23"/>
  <c r="AA888" i="23"/>
  <c r="AB888" i="23"/>
  <c r="AG888" i="23"/>
  <c r="AA889" i="23"/>
  <c r="AB889" i="23"/>
  <c r="AG889" i="23"/>
  <c r="AA890" i="23"/>
  <c r="AB890" i="23"/>
  <c r="AG890" i="23"/>
  <c r="AA891" i="23"/>
  <c r="AB891" i="23"/>
  <c r="AG891" i="23"/>
  <c r="AA892" i="23"/>
  <c r="AB892" i="23"/>
  <c r="AG892" i="23"/>
  <c r="AA893" i="23"/>
  <c r="AB893" i="23"/>
  <c r="AG893" i="23"/>
  <c r="AA894" i="23"/>
  <c r="AB894" i="23"/>
  <c r="AG894" i="23"/>
  <c r="AA895" i="23"/>
  <c r="AB895" i="23"/>
  <c r="AG895" i="23"/>
  <c r="AA896" i="23"/>
  <c r="AB896" i="23"/>
  <c r="AG896" i="23"/>
  <c r="AA897" i="23"/>
  <c r="AB897" i="23"/>
  <c r="AG897" i="23"/>
  <c r="AA898" i="23"/>
  <c r="AB898" i="23"/>
  <c r="AG898" i="23"/>
  <c r="AA899" i="23"/>
  <c r="AB899" i="23"/>
  <c r="AG899" i="23"/>
  <c r="E900" i="23"/>
  <c r="J900" i="23"/>
  <c r="O900" i="23"/>
  <c r="T900" i="23"/>
  <c r="Y900" i="23"/>
  <c r="AF900" i="23"/>
  <c r="AA901" i="23"/>
  <c r="AB901" i="23"/>
  <c r="AG901" i="23"/>
  <c r="AA902" i="23"/>
  <c r="AB902" i="23"/>
  <c r="AB903" i="23" s="1"/>
  <c r="AL882" i="23" s="1"/>
  <c r="AN882" i="23" s="1"/>
  <c r="AG902" i="23"/>
  <c r="AG903" i="23" s="1"/>
  <c r="AL883" i="23" s="1"/>
  <c r="AN883" i="23" s="1"/>
  <c r="C904" i="23"/>
  <c r="AL886" i="23" s="1"/>
  <c r="AN886" i="23" s="1"/>
  <c r="AK172" i="26"/>
  <c r="AK173" i="26" s="1"/>
  <c r="AB172" i="26"/>
  <c r="AB173" i="26" s="1"/>
  <c r="AA172" i="26"/>
  <c r="AA173" i="26" s="1"/>
  <c r="AK170" i="26"/>
  <c r="AB170" i="26"/>
  <c r="AA170" i="26"/>
  <c r="AK169" i="26"/>
  <c r="AB169" i="26"/>
  <c r="AA169" i="26"/>
  <c r="AK168" i="26"/>
  <c r="AB168" i="26"/>
  <c r="AA168" i="26"/>
  <c r="AK167" i="26"/>
  <c r="AB167" i="26"/>
  <c r="AA167" i="26"/>
  <c r="AK166" i="26"/>
  <c r="AB166" i="26"/>
  <c r="AA166" i="26"/>
  <c r="AK165" i="26"/>
  <c r="AB165" i="26"/>
  <c r="AA165" i="26"/>
  <c r="AK164" i="26"/>
  <c r="AB164" i="26"/>
  <c r="AA164" i="26"/>
  <c r="AK163" i="26"/>
  <c r="AB163" i="26"/>
  <c r="AA163" i="26"/>
  <c r="AK162" i="26"/>
  <c r="AB162" i="26"/>
  <c r="AA162" i="26"/>
  <c r="AK161" i="26"/>
  <c r="AB161" i="26"/>
  <c r="AA161" i="26"/>
  <c r="AK160" i="26"/>
  <c r="AB160" i="26"/>
  <c r="AA160" i="26"/>
  <c r="AK159" i="26"/>
  <c r="AA159" i="26"/>
  <c r="C153" i="26"/>
  <c r="AP145" i="26" s="1"/>
  <c r="Y150" i="26"/>
  <c r="T150" i="26"/>
  <c r="O150" i="26"/>
  <c r="J150" i="26"/>
  <c r="E150" i="26"/>
  <c r="C872" i="23"/>
  <c r="AL854" i="23" s="1"/>
  <c r="AN854" i="23" s="1"/>
  <c r="AG870" i="23"/>
  <c r="AG871" i="23" s="1"/>
  <c r="AL851" i="23" s="1"/>
  <c r="AN851" i="23" s="1"/>
  <c r="AB870" i="23"/>
  <c r="AB871" i="23" s="1"/>
  <c r="AL850" i="23" s="1"/>
  <c r="AN850" i="23" s="1"/>
  <c r="AA870" i="23"/>
  <c r="AG869" i="23"/>
  <c r="AB869" i="23"/>
  <c r="AA869" i="23"/>
  <c r="AF868" i="23"/>
  <c r="Y868" i="23"/>
  <c r="T868" i="23"/>
  <c r="O868" i="23"/>
  <c r="J868" i="23"/>
  <c r="E868" i="23"/>
  <c r="AG867" i="23"/>
  <c r="AB867" i="23"/>
  <c r="AA867" i="23"/>
  <c r="AG866" i="23"/>
  <c r="AB866" i="23"/>
  <c r="AA866" i="23"/>
  <c r="AG865" i="23"/>
  <c r="AB865" i="23"/>
  <c r="AA865" i="23"/>
  <c r="AG864" i="23"/>
  <c r="AB864" i="23"/>
  <c r="AA864" i="23"/>
  <c r="AG863" i="23"/>
  <c r="AB863" i="23"/>
  <c r="AA863" i="23"/>
  <c r="AG862" i="23"/>
  <c r="AB862" i="23"/>
  <c r="AA862" i="23"/>
  <c r="AG861" i="23"/>
  <c r="AB861" i="23"/>
  <c r="AA861" i="23"/>
  <c r="AG860" i="23"/>
  <c r="AB860" i="23"/>
  <c r="AA860" i="23"/>
  <c r="AG859" i="23"/>
  <c r="AB859" i="23"/>
  <c r="AA859" i="23"/>
  <c r="AG858" i="23"/>
  <c r="AB858" i="23"/>
  <c r="AA858" i="23"/>
  <c r="AG857" i="23"/>
  <c r="AB857" i="23"/>
  <c r="AA857" i="23"/>
  <c r="AG856" i="23"/>
  <c r="AB856" i="23"/>
  <c r="AA856" i="23"/>
  <c r="AG855" i="23"/>
  <c r="AB855" i="23"/>
  <c r="AA855" i="23"/>
  <c r="AG854" i="23"/>
  <c r="AB854" i="23"/>
  <c r="AA854" i="23"/>
  <c r="AG853" i="23"/>
  <c r="AB853" i="23"/>
  <c r="AA853" i="23"/>
  <c r="AG852" i="23"/>
  <c r="AB852" i="23"/>
  <c r="AA852" i="23"/>
  <c r="AG851" i="23"/>
  <c r="AB851" i="23"/>
  <c r="AA851" i="23"/>
  <c r="AG850" i="23"/>
  <c r="AB850" i="23"/>
  <c r="AA850" i="23"/>
  <c r="AG849" i="23"/>
  <c r="AB849" i="23"/>
  <c r="AA849" i="23"/>
  <c r="AG848" i="23"/>
  <c r="AB848" i="23"/>
  <c r="AA848" i="23"/>
  <c r="AG847" i="23"/>
  <c r="AB847" i="23"/>
  <c r="AA847" i="23"/>
  <c r="F528" i="16"/>
  <c r="AA138" i="26"/>
  <c r="AB138" i="26"/>
  <c r="AK138" i="26"/>
  <c r="AA139" i="26"/>
  <c r="AB139" i="26"/>
  <c r="AK139" i="26"/>
  <c r="AA140" i="26"/>
  <c r="AB140" i="26"/>
  <c r="AK140" i="26"/>
  <c r="AA141" i="26"/>
  <c r="AB141" i="26"/>
  <c r="AK141" i="26"/>
  <c r="AA142" i="26"/>
  <c r="AB142" i="26"/>
  <c r="AK142" i="26"/>
  <c r="AA143" i="26"/>
  <c r="AB143" i="26"/>
  <c r="AK143" i="26"/>
  <c r="AA144" i="26"/>
  <c r="AB144" i="26"/>
  <c r="AK144" i="26"/>
  <c r="AA145" i="26"/>
  <c r="AB145" i="26"/>
  <c r="AK145" i="26"/>
  <c r="AA146" i="26"/>
  <c r="AB146" i="26"/>
  <c r="AK146" i="26"/>
  <c r="AA147" i="26"/>
  <c r="AB147" i="26"/>
  <c r="AK147" i="26"/>
  <c r="AA148" i="26"/>
  <c r="AB148" i="26"/>
  <c r="AK148" i="26"/>
  <c r="AA149" i="26"/>
  <c r="AB149" i="26"/>
  <c r="AK149" i="26"/>
  <c r="AA151" i="26"/>
  <c r="AP140" i="26" s="1"/>
  <c r="AR140" i="26" s="1"/>
  <c r="AB151" i="26"/>
  <c r="AP141" i="26" s="1"/>
  <c r="AR141" i="26" s="1"/>
  <c r="AK151" i="26"/>
  <c r="AP142" i="26" s="1"/>
  <c r="AR142" i="26" s="1"/>
  <c r="C132" i="26"/>
  <c r="AP124" i="26" s="1"/>
  <c r="Y805" i="23"/>
  <c r="Y740" i="23"/>
  <c r="AA838" i="23"/>
  <c r="AA807" i="23"/>
  <c r="AA774" i="23"/>
  <c r="AA742" i="23"/>
  <c r="AA743" i="23" s="1"/>
  <c r="AL721" i="23" s="1"/>
  <c r="AN721" i="23" s="1"/>
  <c r="AB742" i="23"/>
  <c r="AG742" i="23"/>
  <c r="AG743" i="23" s="1"/>
  <c r="AL723" i="23" s="1"/>
  <c r="AN723" i="23" s="1"/>
  <c r="Y836" i="23"/>
  <c r="T836" i="23"/>
  <c r="O836" i="23"/>
  <c r="J836" i="23"/>
  <c r="T805" i="23"/>
  <c r="O805" i="23"/>
  <c r="J805" i="23"/>
  <c r="E805" i="23"/>
  <c r="Y772" i="23"/>
  <c r="T772" i="23"/>
  <c r="O772" i="23"/>
  <c r="J772" i="23"/>
  <c r="E772" i="23"/>
  <c r="T740" i="23"/>
  <c r="O740" i="23"/>
  <c r="J740" i="23"/>
  <c r="E740" i="23"/>
  <c r="E836" i="23"/>
  <c r="K709" i="23"/>
  <c r="C111" i="26"/>
  <c r="AP103" i="26" s="1"/>
  <c r="AA816" i="23"/>
  <c r="AA817" i="23"/>
  <c r="AA818" i="23"/>
  <c r="AA819" i="23"/>
  <c r="AA820" i="23"/>
  <c r="AA821" i="23"/>
  <c r="AA822" i="23"/>
  <c r="AA823" i="23"/>
  <c r="AA824" i="23"/>
  <c r="AA825" i="23"/>
  <c r="AA826" i="23"/>
  <c r="AA827" i="23"/>
  <c r="AA828" i="23"/>
  <c r="AA837" i="23"/>
  <c r="AA829" i="23"/>
  <c r="AA830" i="23"/>
  <c r="AA831" i="23"/>
  <c r="AA832" i="23"/>
  <c r="AA833" i="23"/>
  <c r="AA834" i="23"/>
  <c r="AA835" i="23"/>
  <c r="AA815" i="23"/>
  <c r="AB815" i="23"/>
  <c r="AG815" i="23"/>
  <c r="AB816" i="23"/>
  <c r="AG816" i="23"/>
  <c r="AB817" i="23"/>
  <c r="AG817" i="23"/>
  <c r="AB818" i="23"/>
  <c r="AG818" i="23"/>
  <c r="AB819" i="23"/>
  <c r="AG819" i="23"/>
  <c r="AB820" i="23"/>
  <c r="AG820" i="23"/>
  <c r="AB821" i="23"/>
  <c r="AG821" i="23"/>
  <c r="AB822" i="23"/>
  <c r="AG822" i="23"/>
  <c r="AB823" i="23"/>
  <c r="AG823" i="23"/>
  <c r="AB824" i="23"/>
  <c r="AG824" i="23"/>
  <c r="AB825" i="23"/>
  <c r="AG825" i="23"/>
  <c r="AB826" i="23"/>
  <c r="AG826" i="23"/>
  <c r="AB827" i="23"/>
  <c r="AG827" i="23"/>
  <c r="AB828" i="23"/>
  <c r="AG828" i="23"/>
  <c r="AB837" i="23"/>
  <c r="AG837" i="23"/>
  <c r="AB829" i="23"/>
  <c r="AG829" i="23"/>
  <c r="AB830" i="23"/>
  <c r="AG830" i="23"/>
  <c r="AB831" i="23"/>
  <c r="AG831" i="23"/>
  <c r="AB832" i="23"/>
  <c r="AG832" i="23"/>
  <c r="AB833" i="23"/>
  <c r="AG833" i="23"/>
  <c r="AB834" i="23"/>
  <c r="AG834" i="23"/>
  <c r="AB835" i="23"/>
  <c r="AG835" i="23"/>
  <c r="AF836" i="23"/>
  <c r="AB838" i="23"/>
  <c r="AB839" i="23" s="1"/>
  <c r="AL818" i="23" s="1"/>
  <c r="AN818" i="23" s="1"/>
  <c r="AG838" i="23"/>
  <c r="AG839" i="23" s="1"/>
  <c r="AL819" i="23" s="1"/>
  <c r="AN819" i="23" s="1"/>
  <c r="C840" i="23"/>
  <c r="AL822" i="23" s="1"/>
  <c r="AN822" i="23" s="1"/>
  <c r="AK125" i="26"/>
  <c r="AA125" i="26"/>
  <c r="AB125" i="26"/>
  <c r="AK130" i="26"/>
  <c r="AK131" i="26" s="1"/>
  <c r="AB130" i="26"/>
  <c r="AB131" i="26" s="1"/>
  <c r="AA130" i="26"/>
  <c r="AA131" i="26" s="1"/>
  <c r="AK128" i="26"/>
  <c r="AB128" i="26"/>
  <c r="AA128" i="26"/>
  <c r="AK127" i="26"/>
  <c r="AB127" i="26"/>
  <c r="AA127" i="26"/>
  <c r="AK126" i="26"/>
  <c r="AB126" i="26"/>
  <c r="AA126" i="26"/>
  <c r="AK124" i="26"/>
  <c r="AB124" i="26"/>
  <c r="AA124" i="26"/>
  <c r="AK123" i="26"/>
  <c r="AB123" i="26"/>
  <c r="AA123" i="26"/>
  <c r="AK122" i="26"/>
  <c r="AB122" i="26"/>
  <c r="AA122" i="26"/>
  <c r="AK121" i="26"/>
  <c r="AB121" i="26"/>
  <c r="AA121" i="26"/>
  <c r="AK120" i="26"/>
  <c r="AB120" i="26"/>
  <c r="AA120" i="26"/>
  <c r="AK119" i="26"/>
  <c r="AB119" i="26"/>
  <c r="AA119" i="26"/>
  <c r="AK118" i="26"/>
  <c r="AB118" i="26"/>
  <c r="AA118" i="26"/>
  <c r="AK117" i="26"/>
  <c r="AB117" i="26"/>
  <c r="AA117" i="26"/>
  <c r="AK88" i="26"/>
  <c r="AK89" i="26" s="1"/>
  <c r="AA96" i="26"/>
  <c r="Y709" i="23"/>
  <c r="O709" i="23"/>
  <c r="T709" i="23"/>
  <c r="J709" i="23"/>
  <c r="E709" i="23"/>
  <c r="T676" i="23"/>
  <c r="O676" i="23"/>
  <c r="J676" i="23"/>
  <c r="E676" i="23"/>
  <c r="AA80" i="26"/>
  <c r="AK109" i="26"/>
  <c r="AK110" i="26" s="1"/>
  <c r="AB88" i="26"/>
  <c r="AP79" i="26" s="1"/>
  <c r="AR79" i="26" s="1"/>
  <c r="AF87" i="26"/>
  <c r="C681" i="23"/>
  <c r="AB109" i="26"/>
  <c r="AB110" i="26" s="1"/>
  <c r="AA109" i="26"/>
  <c r="AA110" i="26" s="1"/>
  <c r="AK107" i="26"/>
  <c r="AB107" i="26"/>
  <c r="AA107" i="26"/>
  <c r="AK106" i="26"/>
  <c r="AB106" i="26"/>
  <c r="AA106" i="26"/>
  <c r="AK105" i="26"/>
  <c r="AB105" i="26"/>
  <c r="AA105" i="26"/>
  <c r="AK103" i="26"/>
  <c r="AB103" i="26"/>
  <c r="AA103" i="26"/>
  <c r="AK102" i="26"/>
  <c r="AB102" i="26"/>
  <c r="AA102" i="26"/>
  <c r="AK101" i="26"/>
  <c r="AB101" i="26"/>
  <c r="AA101" i="26"/>
  <c r="AK100" i="26"/>
  <c r="AB100" i="26"/>
  <c r="AA100" i="26"/>
  <c r="AK99" i="26"/>
  <c r="AB99" i="26"/>
  <c r="AA99" i="26"/>
  <c r="AK98" i="26"/>
  <c r="AB98" i="26"/>
  <c r="AA98" i="26"/>
  <c r="AK97" i="26"/>
  <c r="AB97" i="26"/>
  <c r="AA97" i="26"/>
  <c r="AK96" i="26"/>
  <c r="AB96" i="26"/>
  <c r="AK85" i="26"/>
  <c r="AK86" i="26"/>
  <c r="AA85" i="26"/>
  <c r="AB85" i="26"/>
  <c r="AA86" i="26"/>
  <c r="AB86" i="26"/>
  <c r="AA784" i="23"/>
  <c r="AB784" i="23"/>
  <c r="AG784" i="23"/>
  <c r="AA785" i="23"/>
  <c r="AB785" i="23"/>
  <c r="AG785" i="23"/>
  <c r="AA786" i="23"/>
  <c r="AB786" i="23"/>
  <c r="AG786" i="23"/>
  <c r="AA787" i="23"/>
  <c r="AB787" i="23"/>
  <c r="AG787" i="23"/>
  <c r="AA788" i="23"/>
  <c r="AB788" i="23"/>
  <c r="AG788" i="23"/>
  <c r="AA789" i="23"/>
  <c r="AB789" i="23"/>
  <c r="AG789" i="23"/>
  <c r="AA790" i="23"/>
  <c r="AB790" i="23"/>
  <c r="AG790" i="23"/>
  <c r="AA791" i="23"/>
  <c r="AB791" i="23"/>
  <c r="AG791" i="23"/>
  <c r="AA792" i="23"/>
  <c r="AB792" i="23"/>
  <c r="AG792" i="23"/>
  <c r="AA793" i="23"/>
  <c r="AB793" i="23"/>
  <c r="AG793" i="23"/>
  <c r="AA794" i="23"/>
  <c r="AB794" i="23"/>
  <c r="AG794" i="23"/>
  <c r="AA795" i="23"/>
  <c r="AB795" i="23"/>
  <c r="AG795" i="23"/>
  <c r="AA796" i="23"/>
  <c r="AB796" i="23"/>
  <c r="AG796" i="23"/>
  <c r="AA797" i="23"/>
  <c r="AB797" i="23"/>
  <c r="AG797" i="23"/>
  <c r="AA806" i="23"/>
  <c r="AB806" i="23"/>
  <c r="AG806" i="23"/>
  <c r="AA798" i="23"/>
  <c r="AB798" i="23"/>
  <c r="AG798" i="23"/>
  <c r="AA799" i="23"/>
  <c r="AB799" i="23"/>
  <c r="AG799" i="23"/>
  <c r="AA800" i="23"/>
  <c r="AB800" i="23"/>
  <c r="AG800" i="23"/>
  <c r="AA801" i="23"/>
  <c r="AB801" i="23"/>
  <c r="AG801" i="23"/>
  <c r="AA802" i="23"/>
  <c r="AB802" i="23"/>
  <c r="AG802" i="23"/>
  <c r="AA803" i="23"/>
  <c r="AB803" i="23"/>
  <c r="AG803" i="23"/>
  <c r="AA804" i="23"/>
  <c r="AB804" i="23"/>
  <c r="AG804" i="23"/>
  <c r="AF805" i="23"/>
  <c r="AB807" i="23"/>
  <c r="AB808" i="23" s="1"/>
  <c r="AL787" i="23" s="1"/>
  <c r="AN787" i="23" s="1"/>
  <c r="AG807" i="23"/>
  <c r="AG808" i="23" s="1"/>
  <c r="AL788" i="23" s="1"/>
  <c r="AN788" i="23" s="1"/>
  <c r="C809" i="23"/>
  <c r="AL791" i="23" s="1"/>
  <c r="AN791" i="23" s="1"/>
  <c r="C90" i="26"/>
  <c r="AP83" i="26" s="1"/>
  <c r="AB80" i="26"/>
  <c r="AA61" i="26"/>
  <c r="AF67" i="26"/>
  <c r="AA66" i="26"/>
  <c r="AB66" i="26"/>
  <c r="AK66" i="26"/>
  <c r="C70" i="26"/>
  <c r="AP64" i="26" s="1"/>
  <c r="AA751" i="23"/>
  <c r="AB751" i="23"/>
  <c r="AG751" i="23"/>
  <c r="AN751" i="23"/>
  <c r="AA752" i="23"/>
  <c r="AB752" i="23"/>
  <c r="AG752" i="23"/>
  <c r="AA753" i="23"/>
  <c r="AB753" i="23"/>
  <c r="AG753" i="23"/>
  <c r="AA754" i="23"/>
  <c r="AB754" i="23"/>
  <c r="AG754" i="23"/>
  <c r="AA755" i="23"/>
  <c r="AB755" i="23"/>
  <c r="AG755" i="23"/>
  <c r="AA756" i="23"/>
  <c r="AB756" i="23"/>
  <c r="AG756" i="23"/>
  <c r="AA757" i="23"/>
  <c r="AB757" i="23"/>
  <c r="AG757" i="23"/>
  <c r="AA758" i="23"/>
  <c r="AB758" i="23"/>
  <c r="AG758" i="23"/>
  <c r="AA759" i="23"/>
  <c r="AB759" i="23"/>
  <c r="AG759" i="23"/>
  <c r="AA760" i="23"/>
  <c r="AB760" i="23"/>
  <c r="AG760" i="23"/>
  <c r="AA761" i="23"/>
  <c r="AB761" i="23"/>
  <c r="AG761" i="23"/>
  <c r="AA762" i="23"/>
  <c r="AB762" i="23"/>
  <c r="AG762" i="23"/>
  <c r="AA763" i="23"/>
  <c r="AB763" i="23"/>
  <c r="AG763" i="23"/>
  <c r="AA764" i="23"/>
  <c r="AB764" i="23"/>
  <c r="AG764" i="23"/>
  <c r="AA773" i="23"/>
  <c r="AA775" i="23" s="1"/>
  <c r="AL753" i="23" s="1"/>
  <c r="AN753" i="23" s="1"/>
  <c r="AB773" i="23"/>
  <c r="AG773" i="23"/>
  <c r="AA765" i="23"/>
  <c r="AB765" i="23"/>
  <c r="AG765" i="23"/>
  <c r="AA766" i="23"/>
  <c r="AB766" i="23"/>
  <c r="AG766" i="23"/>
  <c r="AA767" i="23"/>
  <c r="AB767" i="23"/>
  <c r="AG767" i="23"/>
  <c r="AA768" i="23"/>
  <c r="AB768" i="23"/>
  <c r="AG768" i="23"/>
  <c r="AA769" i="23"/>
  <c r="AB769" i="23"/>
  <c r="AG769" i="23"/>
  <c r="AA770" i="23"/>
  <c r="AB770" i="23"/>
  <c r="AG770" i="23"/>
  <c r="AA771" i="23"/>
  <c r="AB771" i="23"/>
  <c r="AG771" i="23"/>
  <c r="AF772" i="23"/>
  <c r="AB774" i="23"/>
  <c r="AB775" i="23" s="1"/>
  <c r="AL754" i="23" s="1"/>
  <c r="AN754" i="23" s="1"/>
  <c r="AG774" i="23"/>
  <c r="AG775" i="23" s="1"/>
  <c r="AL755" i="23" s="1"/>
  <c r="AN755" i="23" s="1"/>
  <c r="C776" i="23"/>
  <c r="AL758" i="23" s="1"/>
  <c r="AA88" i="26"/>
  <c r="AP78" i="26" s="1"/>
  <c r="AR78" i="26" s="1"/>
  <c r="AJ87" i="26"/>
  <c r="AK84" i="26"/>
  <c r="AB84" i="26"/>
  <c r="AA84" i="26"/>
  <c r="AK83" i="26"/>
  <c r="AB83" i="26"/>
  <c r="AA83" i="26"/>
  <c r="AK82" i="26"/>
  <c r="AB82" i="26"/>
  <c r="AA82" i="26"/>
  <c r="AK81" i="26"/>
  <c r="AB81" i="26"/>
  <c r="AA81" i="26"/>
  <c r="AK80" i="26"/>
  <c r="AK79" i="26"/>
  <c r="AB79" i="26"/>
  <c r="AA79" i="26"/>
  <c r="AK78" i="26"/>
  <c r="AB78" i="26"/>
  <c r="AA78" i="26"/>
  <c r="AK77" i="26"/>
  <c r="AB77" i="26"/>
  <c r="AA77" i="26"/>
  <c r="AK76" i="26"/>
  <c r="AB76" i="26"/>
  <c r="AA76" i="26"/>
  <c r="C744" i="23"/>
  <c r="AL726" i="23" s="1"/>
  <c r="AB743" i="23"/>
  <c r="AL722" i="23" s="1"/>
  <c r="AN722" i="23" s="1"/>
  <c r="AF740" i="23"/>
  <c r="AG739" i="23"/>
  <c r="AB739" i="23"/>
  <c r="AA739" i="23"/>
  <c r="AG738" i="23"/>
  <c r="AB738" i="23"/>
  <c r="AA738" i="23"/>
  <c r="AG737" i="23"/>
  <c r="AB737" i="23"/>
  <c r="AA737" i="23"/>
  <c r="AG736" i="23"/>
  <c r="AB736" i="23"/>
  <c r="AA736" i="23"/>
  <c r="AG735" i="23"/>
  <c r="AB735" i="23"/>
  <c r="AA735" i="23"/>
  <c r="AG734" i="23"/>
  <c r="AB734" i="23"/>
  <c r="AA734" i="23"/>
  <c r="AG733" i="23"/>
  <c r="AB733" i="23"/>
  <c r="AA733" i="23"/>
  <c r="AG741" i="23"/>
  <c r="AB741" i="23"/>
  <c r="AA741" i="23"/>
  <c r="AG732" i="23"/>
  <c r="AB732" i="23"/>
  <c r="AA732" i="23"/>
  <c r="AG731" i="23"/>
  <c r="AB731" i="23"/>
  <c r="AA731" i="23"/>
  <c r="AG730" i="23"/>
  <c r="AB730" i="23"/>
  <c r="AA730" i="23"/>
  <c r="AG729" i="23"/>
  <c r="AB729" i="23"/>
  <c r="AA729" i="23"/>
  <c r="AG728" i="23"/>
  <c r="AB728" i="23"/>
  <c r="AA728" i="23"/>
  <c r="AG727" i="23"/>
  <c r="AB727" i="23"/>
  <c r="AA727" i="23"/>
  <c r="AG726" i="23"/>
  <c r="AB726" i="23"/>
  <c r="AA726" i="23"/>
  <c r="AG725" i="23"/>
  <c r="AB725" i="23"/>
  <c r="AA725" i="23"/>
  <c r="AG724" i="23"/>
  <c r="AB724" i="23"/>
  <c r="AA724" i="23"/>
  <c r="AG723" i="23"/>
  <c r="AB723" i="23"/>
  <c r="AA723" i="23"/>
  <c r="AG722" i="23"/>
  <c r="AB722" i="23"/>
  <c r="AA722" i="23"/>
  <c r="AG721" i="23"/>
  <c r="AB721" i="23"/>
  <c r="AA721" i="23"/>
  <c r="AG720" i="23"/>
  <c r="AB720" i="23"/>
  <c r="AA720" i="23"/>
  <c r="AN719" i="23"/>
  <c r="AG719" i="23"/>
  <c r="AB719" i="23"/>
  <c r="AA719" i="23"/>
  <c r="AK68" i="26"/>
  <c r="AK69" i="26" s="1"/>
  <c r="AA68" i="26"/>
  <c r="AA69" i="26" s="1"/>
  <c r="AB68" i="26"/>
  <c r="AP60" i="26" s="1"/>
  <c r="AR60" i="26" s="1"/>
  <c r="AJ67" i="26"/>
  <c r="AK65" i="26"/>
  <c r="AB65" i="26"/>
  <c r="AA65" i="26"/>
  <c r="AK64" i="26"/>
  <c r="AB64" i="26"/>
  <c r="AA64" i="26"/>
  <c r="AK63" i="26"/>
  <c r="AB63" i="26"/>
  <c r="AA63" i="26"/>
  <c r="AK62" i="26"/>
  <c r="AB62" i="26"/>
  <c r="AA62" i="26"/>
  <c r="AK61" i="26"/>
  <c r="AB61" i="26"/>
  <c r="AK60" i="26"/>
  <c r="AB60" i="26"/>
  <c r="AA60" i="26"/>
  <c r="AK59" i="26"/>
  <c r="AB59" i="26"/>
  <c r="AA59" i="26"/>
  <c r="AK58" i="26"/>
  <c r="AB58" i="26"/>
  <c r="AA58" i="26"/>
  <c r="AK57" i="26"/>
  <c r="AB57" i="26"/>
  <c r="AA57" i="26"/>
  <c r="AA47" i="26"/>
  <c r="AB47" i="26"/>
  <c r="C51" i="26"/>
  <c r="AP46" i="26" s="1"/>
  <c r="AK40" i="26"/>
  <c r="AK41" i="26"/>
  <c r="AK42" i="26"/>
  <c r="AK43" i="26"/>
  <c r="AK44" i="26"/>
  <c r="AK45" i="26"/>
  <c r="AK46" i="26"/>
  <c r="AK47" i="26"/>
  <c r="AK39" i="26"/>
  <c r="AJ48" i="26"/>
  <c r="AK31" i="26"/>
  <c r="AK32" i="26" s="1"/>
  <c r="AJ30" i="26"/>
  <c r="AK29" i="26"/>
  <c r="AK28" i="26"/>
  <c r="AK27" i="26"/>
  <c r="AK26" i="26"/>
  <c r="AK25" i="26"/>
  <c r="AK24" i="26"/>
  <c r="AK23" i="26"/>
  <c r="AK22" i="26"/>
  <c r="AK21" i="26"/>
  <c r="AK20" i="26"/>
  <c r="AK19" i="26"/>
  <c r="AK18" i="26"/>
  <c r="AK17" i="26"/>
  <c r="AK16" i="26"/>
  <c r="AF49" i="26"/>
  <c r="AK49" i="26" s="1"/>
  <c r="Z49" i="26"/>
  <c r="AB49" i="26" s="1"/>
  <c r="AA16" i="26"/>
  <c r="AA17" i="26"/>
  <c r="AA18" i="26"/>
  <c r="AA19" i="26"/>
  <c r="AA20" i="26"/>
  <c r="AA21" i="26"/>
  <c r="AA22" i="26"/>
  <c r="AA23" i="26"/>
  <c r="AA24" i="26"/>
  <c r="AA25" i="26"/>
  <c r="AA26" i="26"/>
  <c r="AA27" i="26"/>
  <c r="AA28" i="26"/>
  <c r="AA29" i="26"/>
  <c r="AA39" i="26"/>
  <c r="AA40" i="26"/>
  <c r="AA41" i="26"/>
  <c r="AA42" i="26"/>
  <c r="AA43" i="26"/>
  <c r="AA44" i="26"/>
  <c r="AA45" i="26"/>
  <c r="AA46" i="26"/>
  <c r="AN687" i="23"/>
  <c r="AA687" i="23"/>
  <c r="AB687" i="23"/>
  <c r="AG687" i="23"/>
  <c r="AA688" i="23"/>
  <c r="AB688" i="23"/>
  <c r="AG688" i="23"/>
  <c r="AA689" i="23"/>
  <c r="AB689" i="23"/>
  <c r="AG689" i="23"/>
  <c r="AA690" i="23"/>
  <c r="AB690" i="23"/>
  <c r="AG690" i="23"/>
  <c r="AA691" i="23"/>
  <c r="AB691" i="23"/>
  <c r="AG691" i="23"/>
  <c r="AA692" i="23"/>
  <c r="AB692" i="23"/>
  <c r="AG692" i="23"/>
  <c r="AA693" i="23"/>
  <c r="AB693" i="23"/>
  <c r="AG693" i="23"/>
  <c r="AA694" i="23"/>
  <c r="AB694" i="23"/>
  <c r="AG694" i="23"/>
  <c r="AA695" i="23"/>
  <c r="AB695" i="23"/>
  <c r="AG695" i="23"/>
  <c r="AA696" i="23"/>
  <c r="AB696" i="23"/>
  <c r="AG696" i="23"/>
  <c r="AA697" i="23"/>
  <c r="AB697" i="23"/>
  <c r="AG697" i="23"/>
  <c r="AA698" i="23"/>
  <c r="AB698" i="23"/>
  <c r="AG698" i="23"/>
  <c r="AA699" i="23"/>
  <c r="AB699" i="23"/>
  <c r="AG699" i="23"/>
  <c r="AA700" i="23"/>
  <c r="AB700" i="23"/>
  <c r="AG700" i="23"/>
  <c r="AA701" i="23"/>
  <c r="AB701" i="23"/>
  <c r="AG701" i="23"/>
  <c r="AA702" i="23"/>
  <c r="AB702" i="23"/>
  <c r="AG702" i="23"/>
  <c r="AA703" i="23"/>
  <c r="AB703" i="23"/>
  <c r="AG703" i="23"/>
  <c r="AA704" i="23"/>
  <c r="AB704" i="23"/>
  <c r="AG704" i="23"/>
  <c r="AA705" i="23"/>
  <c r="AB705" i="23"/>
  <c r="AG705" i="23"/>
  <c r="AA706" i="23"/>
  <c r="AB706" i="23"/>
  <c r="AG706" i="23"/>
  <c r="AA707" i="23"/>
  <c r="AB707" i="23"/>
  <c r="AG707" i="23"/>
  <c r="AA708" i="23"/>
  <c r="AB708" i="23"/>
  <c r="AG708" i="23"/>
  <c r="AF709" i="23"/>
  <c r="AA710" i="23"/>
  <c r="AA711" i="23" s="1"/>
  <c r="AL689" i="23" s="1"/>
  <c r="AN689" i="23" s="1"/>
  <c r="AB710" i="23"/>
  <c r="AB711" i="23" s="1"/>
  <c r="AL690" i="23" s="1"/>
  <c r="AN690" i="23" s="1"/>
  <c r="AG710" i="23"/>
  <c r="AG711" i="23" s="1"/>
  <c r="AL691" i="23" s="1"/>
  <c r="AN691" i="23" s="1"/>
  <c r="C712" i="23"/>
  <c r="AL694" i="23" s="1"/>
  <c r="E30" i="26"/>
  <c r="AA459" i="20"/>
  <c r="AA461" i="20" s="1"/>
  <c r="AL458" i="20" s="1"/>
  <c r="AN458" i="20" s="1"/>
  <c r="AB459" i="20"/>
  <c r="AG459" i="20"/>
  <c r="AM459" i="20"/>
  <c r="AA460" i="20"/>
  <c r="AB460" i="20"/>
  <c r="AB461" i="20" s="1"/>
  <c r="AL459" i="20" s="1"/>
  <c r="AN459" i="20" s="1"/>
  <c r="AG460" i="20"/>
  <c r="E461" i="20"/>
  <c r="F461" i="20"/>
  <c r="J461" i="20"/>
  <c r="K461" i="20"/>
  <c r="O461" i="20"/>
  <c r="P461" i="20"/>
  <c r="T461" i="20"/>
  <c r="U461" i="20"/>
  <c r="Y461" i="20"/>
  <c r="Z461" i="20"/>
  <c r="AF461" i="20"/>
  <c r="AA451" i="20"/>
  <c r="AA453" i="20" s="1"/>
  <c r="AL450" i="20" s="1"/>
  <c r="AN450" i="20" s="1"/>
  <c r="AA452" i="20"/>
  <c r="AB451" i="20"/>
  <c r="AG451" i="20"/>
  <c r="AM451" i="20"/>
  <c r="AB452" i="20"/>
  <c r="AB453" i="20" s="1"/>
  <c r="AL451" i="20" s="1"/>
  <c r="AN451" i="20" s="1"/>
  <c r="AG452" i="20"/>
  <c r="AG453" i="20"/>
  <c r="AL452" i="20" s="1"/>
  <c r="AN452" i="20" s="1"/>
  <c r="E453" i="20"/>
  <c r="F453" i="20"/>
  <c r="J453" i="20"/>
  <c r="K453" i="20"/>
  <c r="O453" i="20"/>
  <c r="P453" i="20"/>
  <c r="T453" i="20"/>
  <c r="U453" i="20"/>
  <c r="Y453" i="20"/>
  <c r="Z453" i="20"/>
  <c r="AF453" i="20"/>
  <c r="AA443" i="20"/>
  <c r="AB443" i="20"/>
  <c r="AB445" i="20" s="1"/>
  <c r="AL443" i="20" s="1"/>
  <c r="AN443" i="20" s="1"/>
  <c r="AG443" i="20"/>
  <c r="AG445" i="20" s="1"/>
  <c r="AL444" i="20" s="1"/>
  <c r="AN444" i="20" s="1"/>
  <c r="AM443" i="20"/>
  <c r="AA444" i="20"/>
  <c r="AB444" i="20"/>
  <c r="AG444" i="20"/>
  <c r="E445" i="20"/>
  <c r="F445" i="20"/>
  <c r="J445" i="20"/>
  <c r="K445" i="20"/>
  <c r="O445" i="20"/>
  <c r="P445" i="20"/>
  <c r="T445" i="20"/>
  <c r="U445" i="20"/>
  <c r="Y445" i="20"/>
  <c r="Z445" i="20"/>
  <c r="AF445" i="20"/>
  <c r="AA435" i="20"/>
  <c r="AB435" i="20"/>
  <c r="AB437" i="20" s="1"/>
  <c r="AL435" i="20" s="1"/>
  <c r="AN435" i="20" s="1"/>
  <c r="AG435" i="20"/>
  <c r="AM435" i="20"/>
  <c r="AA436" i="20"/>
  <c r="AB436" i="20"/>
  <c r="AG436" i="20"/>
  <c r="AG437" i="20" s="1"/>
  <c r="AL436" i="20" s="1"/>
  <c r="AN436" i="20" s="1"/>
  <c r="E437" i="20"/>
  <c r="F437" i="20"/>
  <c r="J437" i="20"/>
  <c r="K437" i="20"/>
  <c r="O437" i="20"/>
  <c r="P437" i="20"/>
  <c r="T437" i="20"/>
  <c r="U437" i="20"/>
  <c r="Y437" i="20"/>
  <c r="Z437" i="20"/>
  <c r="AF437" i="20"/>
  <c r="AA427" i="20"/>
  <c r="AB427" i="20"/>
  <c r="AB429" i="20" s="1"/>
  <c r="AL427" i="20" s="1"/>
  <c r="AN427" i="20" s="1"/>
  <c r="AG427" i="20"/>
  <c r="AM427" i="20"/>
  <c r="AA428" i="20"/>
  <c r="AB428" i="20"/>
  <c r="AG428" i="20"/>
  <c r="E429" i="20"/>
  <c r="F429" i="20"/>
  <c r="J429" i="20"/>
  <c r="K429" i="20"/>
  <c r="O429" i="20"/>
  <c r="P429" i="20"/>
  <c r="T429" i="20"/>
  <c r="U429" i="20"/>
  <c r="Y429" i="20"/>
  <c r="Z429" i="20"/>
  <c r="AF429" i="20"/>
  <c r="AA419" i="20"/>
  <c r="AB419" i="20"/>
  <c r="AB421" i="20" s="1"/>
  <c r="AL419" i="20" s="1"/>
  <c r="AN419" i="20" s="1"/>
  <c r="AG419" i="20"/>
  <c r="AM419" i="20"/>
  <c r="AA420" i="20"/>
  <c r="AB420" i="20"/>
  <c r="AG420" i="20"/>
  <c r="AG421" i="20" s="1"/>
  <c r="AL420" i="20" s="1"/>
  <c r="AN420" i="20" s="1"/>
  <c r="E421" i="20"/>
  <c r="F421" i="20"/>
  <c r="J421" i="20"/>
  <c r="K421" i="20"/>
  <c r="O421" i="20"/>
  <c r="P421" i="20"/>
  <c r="T421" i="20"/>
  <c r="U421" i="20"/>
  <c r="Y421" i="20"/>
  <c r="Z421" i="20"/>
  <c r="AF421" i="20"/>
  <c r="AA411" i="20"/>
  <c r="AB411" i="20"/>
  <c r="AB413" i="20" s="1"/>
  <c r="AL411" i="20" s="1"/>
  <c r="AN411" i="20" s="1"/>
  <c r="AG411" i="20"/>
  <c r="AM411" i="20"/>
  <c r="AA412" i="20"/>
  <c r="AB412" i="20"/>
  <c r="AG412" i="20"/>
  <c r="AG413" i="20" s="1"/>
  <c r="AL412" i="20" s="1"/>
  <c r="AN412" i="20" s="1"/>
  <c r="E413" i="20"/>
  <c r="F413" i="20"/>
  <c r="J413" i="20"/>
  <c r="K413" i="20"/>
  <c r="O413" i="20"/>
  <c r="P413" i="20"/>
  <c r="T413" i="20"/>
  <c r="U413" i="20"/>
  <c r="Y413" i="20"/>
  <c r="Z413" i="20"/>
  <c r="AF413" i="20"/>
  <c r="AA403" i="20"/>
  <c r="AA405" i="20" s="1"/>
  <c r="AL402" i="20" s="1"/>
  <c r="AN402" i="20" s="1"/>
  <c r="AB403" i="20"/>
  <c r="AG403" i="20"/>
  <c r="AM403" i="20"/>
  <c r="AA404" i="20"/>
  <c r="AB404" i="20"/>
  <c r="AG404" i="20"/>
  <c r="E405" i="20"/>
  <c r="F405" i="20"/>
  <c r="J405" i="20"/>
  <c r="K405" i="20"/>
  <c r="O405" i="20"/>
  <c r="P405" i="20"/>
  <c r="T405" i="20"/>
  <c r="U405" i="20"/>
  <c r="Y405" i="20"/>
  <c r="Z405" i="20"/>
  <c r="AF405" i="20"/>
  <c r="AA395" i="20"/>
  <c r="AB395" i="20"/>
  <c r="AG395" i="20"/>
  <c r="AM395" i="20"/>
  <c r="AA396" i="20"/>
  <c r="AB396" i="20"/>
  <c r="AB397" i="20" s="1"/>
  <c r="AL395" i="20" s="1"/>
  <c r="AN395" i="20" s="1"/>
  <c r="AG396" i="20"/>
  <c r="AG397" i="20" s="1"/>
  <c r="AL396" i="20" s="1"/>
  <c r="AN396" i="20" s="1"/>
  <c r="E397" i="20"/>
  <c r="F397" i="20"/>
  <c r="J397" i="20"/>
  <c r="K397" i="20"/>
  <c r="O397" i="20"/>
  <c r="P397" i="20"/>
  <c r="T397" i="20"/>
  <c r="U397" i="20"/>
  <c r="Y397" i="20"/>
  <c r="Z397" i="20"/>
  <c r="AF397" i="20"/>
  <c r="AA387" i="20"/>
  <c r="AB387" i="20"/>
  <c r="AG387" i="20"/>
  <c r="AM387" i="20"/>
  <c r="AA388" i="20"/>
  <c r="AB388" i="20"/>
  <c r="AG388" i="20"/>
  <c r="AG389" i="20"/>
  <c r="AL388" i="20" s="1"/>
  <c r="AN388" i="20" s="1"/>
  <c r="E389" i="20"/>
  <c r="F389" i="20"/>
  <c r="J389" i="20"/>
  <c r="K389" i="20"/>
  <c r="O389" i="20"/>
  <c r="P389" i="20"/>
  <c r="T389" i="20"/>
  <c r="U389" i="20"/>
  <c r="Y389" i="20"/>
  <c r="Z389" i="20"/>
  <c r="AF389" i="20"/>
  <c r="AA379" i="20"/>
  <c r="AB379" i="20"/>
  <c r="AG379" i="20"/>
  <c r="AG381" i="20" s="1"/>
  <c r="AL380" i="20" s="1"/>
  <c r="AN380" i="20" s="1"/>
  <c r="AM379" i="20"/>
  <c r="AA380" i="20"/>
  <c r="AB380" i="20"/>
  <c r="AG380" i="20"/>
  <c r="E381" i="20"/>
  <c r="F381" i="20"/>
  <c r="J381" i="20"/>
  <c r="K381" i="20"/>
  <c r="O381" i="20"/>
  <c r="P381" i="20"/>
  <c r="T381" i="20"/>
  <c r="U381" i="20"/>
  <c r="Y381" i="20"/>
  <c r="Z381" i="20"/>
  <c r="AF381" i="20"/>
  <c r="AA371" i="20"/>
  <c r="AB371" i="20"/>
  <c r="AG371" i="20"/>
  <c r="AM371" i="20"/>
  <c r="AA372" i="20"/>
  <c r="AB372" i="20"/>
  <c r="AB373" i="20" s="1"/>
  <c r="AL371" i="20" s="1"/>
  <c r="AG372" i="20"/>
  <c r="AG373" i="20" s="1"/>
  <c r="AL372" i="20" s="1"/>
  <c r="AN372" i="20" s="1"/>
  <c r="E373" i="20"/>
  <c r="F373" i="20"/>
  <c r="J373" i="20"/>
  <c r="K373" i="20"/>
  <c r="O373" i="20"/>
  <c r="P373" i="20"/>
  <c r="T373" i="20"/>
  <c r="U373" i="20"/>
  <c r="Y373" i="20"/>
  <c r="Z373" i="20"/>
  <c r="AF373" i="20"/>
  <c r="AA363" i="20"/>
  <c r="AB363" i="20"/>
  <c r="AB365" i="20" s="1"/>
  <c r="AL363" i="20" s="1"/>
  <c r="AG363" i="20"/>
  <c r="AG365" i="20" s="1"/>
  <c r="AL364" i="20" s="1"/>
  <c r="AN364" i="20" s="1"/>
  <c r="AM363" i="20"/>
  <c r="AA364" i="20"/>
  <c r="AA365" i="20" s="1"/>
  <c r="AL362" i="20" s="1"/>
  <c r="AN362" i="20" s="1"/>
  <c r="AB364" i="20"/>
  <c r="AG364" i="20"/>
  <c r="E365" i="20"/>
  <c r="F365" i="20"/>
  <c r="J365" i="20"/>
  <c r="K365" i="20"/>
  <c r="O365" i="20"/>
  <c r="P365" i="20"/>
  <c r="T365" i="20"/>
  <c r="U365" i="20"/>
  <c r="Y365" i="20"/>
  <c r="Z365" i="20"/>
  <c r="AF365" i="20"/>
  <c r="AA49" i="26"/>
  <c r="AA50" i="26" s="1"/>
  <c r="AF48" i="26"/>
  <c r="AB46" i="26"/>
  <c r="AB45" i="26"/>
  <c r="AB44" i="26"/>
  <c r="AB43" i="26"/>
  <c r="AB42" i="26"/>
  <c r="AB41" i="26"/>
  <c r="AB40" i="26"/>
  <c r="AB39" i="26"/>
  <c r="AB31" i="26"/>
  <c r="AB32" i="26" s="1"/>
  <c r="AA31" i="26"/>
  <c r="AA32" i="26" s="1"/>
  <c r="AF30" i="26"/>
  <c r="AB29" i="26"/>
  <c r="AB28" i="26"/>
  <c r="AB27" i="26"/>
  <c r="AB26" i="26"/>
  <c r="AB25" i="26"/>
  <c r="AB24" i="26"/>
  <c r="AP23" i="26"/>
  <c r="AB23" i="26"/>
  <c r="AB22" i="26"/>
  <c r="AB21" i="26"/>
  <c r="AB20" i="26"/>
  <c r="AB19" i="26"/>
  <c r="AB18" i="26"/>
  <c r="AB17" i="26"/>
  <c r="AB16" i="26"/>
  <c r="C679" i="23"/>
  <c r="AL659" i="23" s="1"/>
  <c r="AG677" i="23"/>
  <c r="AG678" i="23" s="1"/>
  <c r="AL656" i="23" s="1"/>
  <c r="AN656" i="23" s="1"/>
  <c r="AA677" i="23"/>
  <c r="AA678" i="23" s="1"/>
  <c r="AL654" i="23" s="1"/>
  <c r="AN654" i="23" s="1"/>
  <c r="AB677" i="23"/>
  <c r="AB678" i="23" s="1"/>
  <c r="AL655" i="23" s="1"/>
  <c r="AN655" i="23" s="1"/>
  <c r="AF676" i="23"/>
  <c r="AG675" i="23"/>
  <c r="AB675" i="23"/>
  <c r="AA675" i="23"/>
  <c r="AG674" i="23"/>
  <c r="AB674" i="23"/>
  <c r="AA674" i="23"/>
  <c r="AG673" i="23"/>
  <c r="AB673" i="23"/>
  <c r="AA673" i="23"/>
  <c r="AG672" i="23"/>
  <c r="AB672" i="23"/>
  <c r="AA672" i="23"/>
  <c r="AG671" i="23"/>
  <c r="AB671" i="23"/>
  <c r="AA671" i="23"/>
  <c r="AG670" i="23"/>
  <c r="AB670" i="23"/>
  <c r="AA670" i="23"/>
  <c r="AG669" i="23"/>
  <c r="AB669" i="23"/>
  <c r="AA669" i="23"/>
  <c r="AG668" i="23"/>
  <c r="AB668" i="23"/>
  <c r="AA668" i="23"/>
  <c r="AG667" i="23"/>
  <c r="AB667" i="23"/>
  <c r="AA667" i="23"/>
  <c r="AG666" i="23"/>
  <c r="AB666" i="23"/>
  <c r="AA666" i="23"/>
  <c r="AG665" i="23"/>
  <c r="AB665" i="23"/>
  <c r="AA665" i="23"/>
  <c r="AG664" i="23"/>
  <c r="AB664" i="23"/>
  <c r="AA664" i="23"/>
  <c r="AG663" i="23"/>
  <c r="AB663" i="23"/>
  <c r="AA663" i="23"/>
  <c r="AG662" i="23"/>
  <c r="AB662" i="23"/>
  <c r="AA662" i="23"/>
  <c r="AG661" i="23"/>
  <c r="AB661" i="23"/>
  <c r="AA661" i="23"/>
  <c r="AG660" i="23"/>
  <c r="AB660" i="23"/>
  <c r="AA660" i="23"/>
  <c r="AG659" i="23"/>
  <c r="AB659" i="23"/>
  <c r="AA659" i="23"/>
  <c r="AG658" i="23"/>
  <c r="AB658" i="23"/>
  <c r="AA658" i="23"/>
  <c r="AG657" i="23"/>
  <c r="AB657" i="23"/>
  <c r="AA657" i="23"/>
  <c r="AG656" i="23"/>
  <c r="AB656" i="23"/>
  <c r="AA656" i="23"/>
  <c r="AG655" i="23"/>
  <c r="AB655" i="23"/>
  <c r="AA655" i="23"/>
  <c r="AG654" i="23"/>
  <c r="AB654" i="23"/>
  <c r="AA654" i="23"/>
  <c r="AG653" i="23"/>
  <c r="AB653" i="23"/>
  <c r="AA653" i="23"/>
  <c r="AN652" i="23"/>
  <c r="AG652" i="23"/>
  <c r="AB652" i="23"/>
  <c r="AA652" i="23"/>
  <c r="Z642" i="23"/>
  <c r="F519" i="16"/>
  <c r="F518" i="16"/>
  <c r="U642" i="23"/>
  <c r="C644" i="23"/>
  <c r="AL624" i="23" s="1"/>
  <c r="AG642" i="23"/>
  <c r="AG643" i="23" s="1"/>
  <c r="AL621" i="23" s="1"/>
  <c r="AN621" i="23" s="1"/>
  <c r="AA642" i="23"/>
  <c r="AA643" i="23" s="1"/>
  <c r="AL619" i="23" s="1"/>
  <c r="AN619" i="23" s="1"/>
  <c r="AF641" i="23"/>
  <c r="AG640" i="23"/>
  <c r="AB640" i="23"/>
  <c r="AA640" i="23"/>
  <c r="AG639" i="23"/>
  <c r="AB639" i="23"/>
  <c r="AA639" i="23"/>
  <c r="AG638" i="23"/>
  <c r="AB638" i="23"/>
  <c r="AA638" i="23"/>
  <c r="AG637" i="23"/>
  <c r="AB637" i="23"/>
  <c r="AA637" i="23"/>
  <c r="AG636" i="23"/>
  <c r="AB636" i="23"/>
  <c r="AA636" i="23"/>
  <c r="AG635" i="23"/>
  <c r="AB635" i="23"/>
  <c r="AA635" i="23"/>
  <c r="AG634" i="23"/>
  <c r="AB634" i="23"/>
  <c r="AA634" i="23"/>
  <c r="AG633" i="23"/>
  <c r="AB633" i="23"/>
  <c r="AA633" i="23"/>
  <c r="AG632" i="23"/>
  <c r="AB632" i="23"/>
  <c r="AA632" i="23"/>
  <c r="AG631" i="23"/>
  <c r="AB631" i="23"/>
  <c r="AA631" i="23"/>
  <c r="AG630" i="23"/>
  <c r="AB630" i="23"/>
  <c r="AA630" i="23"/>
  <c r="AG629" i="23"/>
  <c r="AB629" i="23"/>
  <c r="AA629" i="23"/>
  <c r="AG628" i="23"/>
  <c r="AB628" i="23"/>
  <c r="AA628" i="23"/>
  <c r="AG627" i="23"/>
  <c r="AB627" i="23"/>
  <c r="AA627" i="23"/>
  <c r="AG626" i="23"/>
  <c r="AB626" i="23"/>
  <c r="AA626" i="23"/>
  <c r="AG625" i="23"/>
  <c r="AB625" i="23"/>
  <c r="AA625" i="23"/>
  <c r="AG624" i="23"/>
  <c r="AB624" i="23"/>
  <c r="AA624" i="23"/>
  <c r="AG623" i="23"/>
  <c r="AB623" i="23"/>
  <c r="AA623" i="23"/>
  <c r="AG622" i="23"/>
  <c r="AB622" i="23"/>
  <c r="AA622" i="23"/>
  <c r="AG621" i="23"/>
  <c r="AB621" i="23"/>
  <c r="AA621" i="23"/>
  <c r="AG620" i="23"/>
  <c r="AB620" i="23"/>
  <c r="AA620" i="23"/>
  <c r="AG619" i="23"/>
  <c r="AB619" i="23"/>
  <c r="AA619" i="23"/>
  <c r="AG618" i="23"/>
  <c r="AB618" i="23"/>
  <c r="AA618" i="23"/>
  <c r="AG617" i="23"/>
  <c r="AB617" i="23"/>
  <c r="AA617" i="23"/>
  <c r="AA517" i="23"/>
  <c r="C609" i="23"/>
  <c r="AL589" i="23" s="1"/>
  <c r="AG607" i="23"/>
  <c r="AG608" i="23" s="1"/>
  <c r="AL586" i="23" s="1"/>
  <c r="AN586" i="23" s="1"/>
  <c r="AB607" i="23"/>
  <c r="AB608" i="23" s="1"/>
  <c r="AL585" i="23" s="1"/>
  <c r="AN585" i="23" s="1"/>
  <c r="AA607" i="23"/>
  <c r="AA608" i="23" s="1"/>
  <c r="AL584" i="23" s="1"/>
  <c r="AN584" i="23" s="1"/>
  <c r="AF606" i="23"/>
  <c r="AG605" i="23"/>
  <c r="AB605" i="23"/>
  <c r="AA605" i="23"/>
  <c r="AG604" i="23"/>
  <c r="AB604" i="23"/>
  <c r="AA604" i="23"/>
  <c r="AG603" i="23"/>
  <c r="AB603" i="23"/>
  <c r="AA603" i="23"/>
  <c r="AG602" i="23"/>
  <c r="AB602" i="23"/>
  <c r="AA602" i="23"/>
  <c r="AG601" i="23"/>
  <c r="AB601" i="23"/>
  <c r="AA601" i="23"/>
  <c r="AG600" i="23"/>
  <c r="AB600" i="23"/>
  <c r="AA600" i="23"/>
  <c r="AG599" i="23"/>
  <c r="AB599" i="23"/>
  <c r="AA599" i="23"/>
  <c r="AG598" i="23"/>
  <c r="AB598" i="23"/>
  <c r="AA598" i="23"/>
  <c r="AG597" i="23"/>
  <c r="AB597" i="23"/>
  <c r="AA597" i="23"/>
  <c r="AG596" i="23"/>
  <c r="AB596" i="23"/>
  <c r="AA596" i="23"/>
  <c r="AG595" i="23"/>
  <c r="AB595" i="23"/>
  <c r="AA595" i="23"/>
  <c r="AG594" i="23"/>
  <c r="AB594" i="23"/>
  <c r="AA594" i="23"/>
  <c r="AG593" i="23"/>
  <c r="AB593" i="23"/>
  <c r="AA593" i="23"/>
  <c r="AG592" i="23"/>
  <c r="AB592" i="23"/>
  <c r="AA592" i="23"/>
  <c r="AG591" i="23"/>
  <c r="AB591" i="23"/>
  <c r="AA591" i="23"/>
  <c r="AG590" i="23"/>
  <c r="AB590" i="23"/>
  <c r="AA590" i="23"/>
  <c r="AG589" i="23"/>
  <c r="AB589" i="23"/>
  <c r="AA589" i="23"/>
  <c r="AG588" i="23"/>
  <c r="AB588" i="23"/>
  <c r="AA588" i="23"/>
  <c r="AG587" i="23"/>
  <c r="AB587" i="23"/>
  <c r="AA587" i="23"/>
  <c r="AG586" i="23"/>
  <c r="AB586" i="23"/>
  <c r="AA586" i="23"/>
  <c r="AG585" i="23"/>
  <c r="AB585" i="23"/>
  <c r="AA585" i="23"/>
  <c r="AG584" i="23"/>
  <c r="AB584" i="23"/>
  <c r="AA584" i="23"/>
  <c r="AG583" i="23"/>
  <c r="AB583" i="23"/>
  <c r="AA583" i="23"/>
  <c r="AG582" i="23"/>
  <c r="AB582" i="23"/>
  <c r="AA582" i="23"/>
  <c r="C574" i="23"/>
  <c r="AL554" i="23" s="1"/>
  <c r="AG572" i="23"/>
  <c r="AG573" i="23" s="1"/>
  <c r="AL551" i="23" s="1"/>
  <c r="AN551" i="23" s="1"/>
  <c r="AB572" i="23"/>
  <c r="AB573" i="23" s="1"/>
  <c r="AL550" i="23" s="1"/>
  <c r="AN550" i="23" s="1"/>
  <c r="AA572" i="23"/>
  <c r="AA573" i="23" s="1"/>
  <c r="AL549" i="23" s="1"/>
  <c r="AN549" i="23" s="1"/>
  <c r="AF571" i="23"/>
  <c r="AG570" i="23"/>
  <c r="AB570" i="23"/>
  <c r="AA570" i="23"/>
  <c r="AG569" i="23"/>
  <c r="AB569" i="23"/>
  <c r="AA569" i="23"/>
  <c r="AG568" i="23"/>
  <c r="AB568" i="23"/>
  <c r="AA568" i="23"/>
  <c r="AG567" i="23"/>
  <c r="AB567" i="23"/>
  <c r="AA567" i="23"/>
  <c r="AG566" i="23"/>
  <c r="AB566" i="23"/>
  <c r="AA566" i="23"/>
  <c r="AG565" i="23"/>
  <c r="AB565" i="23"/>
  <c r="AA565" i="23"/>
  <c r="AG564" i="23"/>
  <c r="AB564" i="23"/>
  <c r="AA564" i="23"/>
  <c r="AG563" i="23"/>
  <c r="AB563" i="23"/>
  <c r="AA563" i="23"/>
  <c r="AG562" i="23"/>
  <c r="AB562" i="23"/>
  <c r="AA562" i="23"/>
  <c r="AG561" i="23"/>
  <c r="AB561" i="23"/>
  <c r="AA561" i="23"/>
  <c r="AG560" i="23"/>
  <c r="AB560" i="23"/>
  <c r="AA560" i="23"/>
  <c r="AG559" i="23"/>
  <c r="AB559" i="23"/>
  <c r="AA559" i="23"/>
  <c r="AG558" i="23"/>
  <c r="AB558" i="23"/>
  <c r="AA558" i="23"/>
  <c r="AG557" i="23"/>
  <c r="AB557" i="23"/>
  <c r="AA557" i="23"/>
  <c r="AG556" i="23"/>
  <c r="AB556" i="23"/>
  <c r="AA556" i="23"/>
  <c r="AG555" i="23"/>
  <c r="AB555" i="23"/>
  <c r="AA555" i="23"/>
  <c r="AG554" i="23"/>
  <c r="AB554" i="23"/>
  <c r="AA554" i="23"/>
  <c r="AG553" i="23"/>
  <c r="AB553" i="23"/>
  <c r="AA553" i="23"/>
  <c r="AG552" i="23"/>
  <c r="AB552" i="23"/>
  <c r="AA552" i="23"/>
  <c r="AG551" i="23"/>
  <c r="AB551" i="23"/>
  <c r="AA551" i="23"/>
  <c r="AG550" i="23"/>
  <c r="AB550" i="23"/>
  <c r="AA550" i="23"/>
  <c r="AG549" i="23"/>
  <c r="AB549" i="23"/>
  <c r="AA549" i="23"/>
  <c r="AG548" i="23"/>
  <c r="AB548" i="23"/>
  <c r="AA548" i="23"/>
  <c r="AG547" i="23"/>
  <c r="AB547" i="23"/>
  <c r="AA547" i="23"/>
  <c r="E424" i="23"/>
  <c r="AA424" i="23" s="1"/>
  <c r="AA528" i="23"/>
  <c r="Y502" i="23"/>
  <c r="AA502" i="23" s="1"/>
  <c r="AA503" i="23" s="1"/>
  <c r="AL479" i="23" s="1"/>
  <c r="AN479" i="23" s="1"/>
  <c r="C539" i="23"/>
  <c r="AL519" i="23" s="1"/>
  <c r="AG537" i="23"/>
  <c r="AG538" i="23" s="1"/>
  <c r="AL516" i="23" s="1"/>
  <c r="AN516" i="23" s="1"/>
  <c r="AA537" i="23"/>
  <c r="AA538" i="23" s="1"/>
  <c r="AL514" i="23" s="1"/>
  <c r="AN514" i="23" s="1"/>
  <c r="AB537" i="23"/>
  <c r="AB538" i="23" s="1"/>
  <c r="AL515" i="23" s="1"/>
  <c r="AN515" i="23" s="1"/>
  <c r="AF536" i="23"/>
  <c r="AG535" i="23"/>
  <c r="AB535" i="23"/>
  <c r="AA535" i="23"/>
  <c r="AG534" i="23"/>
  <c r="AB534" i="23"/>
  <c r="AA534" i="23"/>
  <c r="AG533" i="23"/>
  <c r="AB533" i="23"/>
  <c r="AA533" i="23"/>
  <c r="AG532" i="23"/>
  <c r="AB532" i="23"/>
  <c r="AA532" i="23"/>
  <c r="AG531" i="23"/>
  <c r="AB531" i="23"/>
  <c r="AA531" i="23"/>
  <c r="AG530" i="23"/>
  <c r="AB530" i="23"/>
  <c r="AA530" i="23"/>
  <c r="AG529" i="23"/>
  <c r="AB529" i="23"/>
  <c r="AA529" i="23"/>
  <c r="AG528" i="23"/>
  <c r="AB528" i="23"/>
  <c r="AG527" i="23"/>
  <c r="AB527" i="23"/>
  <c r="AA527" i="23"/>
  <c r="AG526" i="23"/>
  <c r="AB526" i="23"/>
  <c r="AA526" i="23"/>
  <c r="AG525" i="23"/>
  <c r="AB525" i="23"/>
  <c r="AA525" i="23"/>
  <c r="AG524" i="23"/>
  <c r="AB524" i="23"/>
  <c r="AA524" i="23"/>
  <c r="AG523" i="23"/>
  <c r="AB523" i="23"/>
  <c r="AA523" i="23"/>
  <c r="AG522" i="23"/>
  <c r="AB522" i="23"/>
  <c r="AA522" i="23"/>
  <c r="AG521" i="23"/>
  <c r="AB521" i="23"/>
  <c r="AA521" i="23"/>
  <c r="AG520" i="23"/>
  <c r="AB520" i="23"/>
  <c r="AA520" i="23"/>
  <c r="AG519" i="23"/>
  <c r="AB519" i="23"/>
  <c r="AA519" i="23"/>
  <c r="AG518" i="23"/>
  <c r="AB518" i="23"/>
  <c r="AA518" i="23"/>
  <c r="AG517" i="23"/>
  <c r="AB517" i="23"/>
  <c r="AG516" i="23"/>
  <c r="AB516" i="23"/>
  <c r="AA516" i="23"/>
  <c r="AG515" i="23"/>
  <c r="AB515" i="23"/>
  <c r="AA515" i="23"/>
  <c r="AG514" i="23"/>
  <c r="AB514" i="23"/>
  <c r="AA514" i="23"/>
  <c r="AG513" i="23"/>
  <c r="AB513" i="23"/>
  <c r="AA513" i="23"/>
  <c r="AG512" i="23"/>
  <c r="AB512" i="23"/>
  <c r="AA512" i="23"/>
  <c r="Z467" i="23"/>
  <c r="AB467" i="23" s="1"/>
  <c r="AB468" i="23" s="1"/>
  <c r="AL445" i="23" s="1"/>
  <c r="AN445" i="23" s="1"/>
  <c r="AA477" i="23"/>
  <c r="AB477" i="23"/>
  <c r="AG477" i="23"/>
  <c r="AN477" i="23"/>
  <c r="AA478" i="23"/>
  <c r="AB478" i="23"/>
  <c r="AG478" i="23"/>
  <c r="AA479" i="23"/>
  <c r="AB479" i="23"/>
  <c r="AG479" i="23"/>
  <c r="AA480" i="23"/>
  <c r="AB480" i="23"/>
  <c r="AG480" i="23"/>
  <c r="AA481" i="23"/>
  <c r="AB481" i="23"/>
  <c r="AG481" i="23"/>
  <c r="AA482" i="23"/>
  <c r="AB482" i="23"/>
  <c r="AG482" i="23"/>
  <c r="AA483" i="23"/>
  <c r="AB483" i="23"/>
  <c r="AG483" i="23"/>
  <c r="AA484" i="23"/>
  <c r="AB484" i="23"/>
  <c r="AG484" i="23"/>
  <c r="AA485" i="23"/>
  <c r="AB485" i="23"/>
  <c r="AG485" i="23"/>
  <c r="AA486" i="23"/>
  <c r="AB486" i="23"/>
  <c r="AG486" i="23"/>
  <c r="AA487" i="23"/>
  <c r="AB487" i="23"/>
  <c r="AG487" i="23"/>
  <c r="AA488" i="23"/>
  <c r="AB488" i="23"/>
  <c r="AG488" i="23"/>
  <c r="AA489" i="23"/>
  <c r="AB489" i="23"/>
  <c r="AG489" i="23"/>
  <c r="AA490" i="23"/>
  <c r="AB490" i="23"/>
  <c r="AG490" i="23"/>
  <c r="AA491" i="23"/>
  <c r="AB491" i="23"/>
  <c r="AG491" i="23"/>
  <c r="AA492" i="23"/>
  <c r="AB492" i="23"/>
  <c r="AG492" i="23"/>
  <c r="AA493" i="23"/>
  <c r="AB493" i="23"/>
  <c r="AG493" i="23"/>
  <c r="AA494" i="23"/>
  <c r="AB494" i="23"/>
  <c r="AG494" i="23"/>
  <c r="AA495" i="23"/>
  <c r="AB495" i="23"/>
  <c r="AG495" i="23"/>
  <c r="AA496" i="23"/>
  <c r="AB496" i="23"/>
  <c r="AG496" i="23"/>
  <c r="AA497" i="23"/>
  <c r="AB497" i="23"/>
  <c r="AG497" i="23"/>
  <c r="AA498" i="23"/>
  <c r="AB498" i="23"/>
  <c r="AG498" i="23"/>
  <c r="AA499" i="23"/>
  <c r="AB499" i="23"/>
  <c r="AG499" i="23"/>
  <c r="AA500" i="23"/>
  <c r="AB500" i="23"/>
  <c r="AG500" i="23"/>
  <c r="AF501" i="23"/>
  <c r="AB502" i="23"/>
  <c r="AB503" i="23" s="1"/>
  <c r="AL480" i="23" s="1"/>
  <c r="AN480" i="23" s="1"/>
  <c r="AG502" i="23"/>
  <c r="AG503" i="23" s="1"/>
  <c r="AL481" i="23" s="1"/>
  <c r="AN481" i="23" s="1"/>
  <c r="C504" i="23"/>
  <c r="AL484" i="23" s="1"/>
  <c r="AB414" i="23"/>
  <c r="C469" i="23"/>
  <c r="AL449" i="23" s="1"/>
  <c r="AG467" i="23"/>
  <c r="AG468" i="23" s="1"/>
  <c r="AL446" i="23" s="1"/>
  <c r="AN446" i="23" s="1"/>
  <c r="AA467" i="23"/>
  <c r="AA468" i="23" s="1"/>
  <c r="AL444" i="23" s="1"/>
  <c r="AN444" i="23" s="1"/>
  <c r="AF466" i="23"/>
  <c r="AG465" i="23"/>
  <c r="AB465" i="23"/>
  <c r="AA465" i="23"/>
  <c r="AG464" i="23"/>
  <c r="AB464" i="23"/>
  <c r="AA464" i="23"/>
  <c r="AG463" i="23"/>
  <c r="AB463" i="23"/>
  <c r="AA463" i="23"/>
  <c r="AG462" i="23"/>
  <c r="AB462" i="23"/>
  <c r="AA462" i="23"/>
  <c r="AG461" i="23"/>
  <c r="AB461" i="23"/>
  <c r="AA461" i="23"/>
  <c r="AG460" i="23"/>
  <c r="AB460" i="23"/>
  <c r="AA460" i="23"/>
  <c r="AG459" i="23"/>
  <c r="AB459" i="23"/>
  <c r="AA459" i="23"/>
  <c r="AG458" i="23"/>
  <c r="AB458" i="23"/>
  <c r="AA458" i="23"/>
  <c r="AG457" i="23"/>
  <c r="AB457" i="23"/>
  <c r="AA457" i="23"/>
  <c r="AG456" i="23"/>
  <c r="AB456" i="23"/>
  <c r="AA456" i="23"/>
  <c r="AG455" i="23"/>
  <c r="AB455" i="23"/>
  <c r="AA455" i="23"/>
  <c r="AG454" i="23"/>
  <c r="AB454" i="23"/>
  <c r="AA454" i="23"/>
  <c r="AG453" i="23"/>
  <c r="AB453" i="23"/>
  <c r="AA453" i="23"/>
  <c r="AG452" i="23"/>
  <c r="AB452" i="23"/>
  <c r="AA452" i="23"/>
  <c r="AG451" i="23"/>
  <c r="AB451" i="23"/>
  <c r="AA451" i="23"/>
  <c r="AG450" i="23"/>
  <c r="AB450" i="23"/>
  <c r="AA450" i="23"/>
  <c r="AG449" i="23"/>
  <c r="AB449" i="23"/>
  <c r="AA449" i="23"/>
  <c r="AG448" i="23"/>
  <c r="AB448" i="23"/>
  <c r="AA448" i="23"/>
  <c r="AG447" i="23"/>
  <c r="AB447" i="23"/>
  <c r="AA447" i="23"/>
  <c r="AG446" i="23"/>
  <c r="AB446" i="23"/>
  <c r="AA446" i="23"/>
  <c r="AG445" i="23"/>
  <c r="AB445" i="23"/>
  <c r="AA445" i="23"/>
  <c r="AG444" i="23"/>
  <c r="AB444" i="23"/>
  <c r="AA444" i="23"/>
  <c r="AG443" i="23"/>
  <c r="AB443" i="23"/>
  <c r="AA443" i="23"/>
  <c r="AN442" i="23"/>
  <c r="AG442" i="23"/>
  <c r="AB442" i="23"/>
  <c r="AA442" i="23"/>
  <c r="Z432" i="23"/>
  <c r="K432" i="23"/>
  <c r="C434" i="23"/>
  <c r="AL414" i="23" s="1"/>
  <c r="AG432" i="23"/>
  <c r="AG433" i="23" s="1"/>
  <c r="AL411" i="23" s="1"/>
  <c r="AN411" i="23" s="1"/>
  <c r="AA432" i="23"/>
  <c r="AA433" i="23" s="1"/>
  <c r="AL409" i="23" s="1"/>
  <c r="AN409" i="23" s="1"/>
  <c r="AF431" i="23"/>
  <c r="AG430" i="23"/>
  <c r="AB430" i="23"/>
  <c r="AA430" i="23"/>
  <c r="AG429" i="23"/>
  <c r="AB429" i="23"/>
  <c r="AA429" i="23"/>
  <c r="AG428" i="23"/>
  <c r="AB428" i="23"/>
  <c r="AA428" i="23"/>
  <c r="AG427" i="23"/>
  <c r="AB427" i="23"/>
  <c r="AA427" i="23"/>
  <c r="AG426" i="23"/>
  <c r="AB426" i="23"/>
  <c r="AA426" i="23"/>
  <c r="AG425" i="23"/>
  <c r="AB425" i="23"/>
  <c r="AA425" i="23"/>
  <c r="AG424" i="23"/>
  <c r="AB424" i="23"/>
  <c r="AG423" i="23"/>
  <c r="AB423" i="23"/>
  <c r="AA423" i="23"/>
  <c r="AG422" i="23"/>
  <c r="AB422" i="23"/>
  <c r="AA422" i="23"/>
  <c r="AG421" i="23"/>
  <c r="AB421" i="23"/>
  <c r="AA421" i="23"/>
  <c r="AG420" i="23"/>
  <c r="AB420" i="23"/>
  <c r="AA420" i="23"/>
  <c r="AG419" i="23"/>
  <c r="AB419" i="23"/>
  <c r="AA419" i="23"/>
  <c r="AG418" i="23"/>
  <c r="AB418" i="23"/>
  <c r="AA418" i="23"/>
  <c r="AG417" i="23"/>
  <c r="AB417" i="23"/>
  <c r="AA417" i="23"/>
  <c r="AG416" i="23"/>
  <c r="AB416" i="23"/>
  <c r="AA416" i="23"/>
  <c r="AG415" i="23"/>
  <c r="AB415" i="23"/>
  <c r="AA415" i="23"/>
  <c r="AG414" i="23"/>
  <c r="AA414" i="23"/>
  <c r="AG413" i="23"/>
  <c r="AB413" i="23"/>
  <c r="AA413" i="23"/>
  <c r="AG412" i="23"/>
  <c r="AB412" i="23"/>
  <c r="AA412" i="23"/>
  <c r="AG411" i="23"/>
  <c r="AB411" i="23"/>
  <c r="AA411" i="23"/>
  <c r="AG410" i="23"/>
  <c r="AB410" i="23"/>
  <c r="AA410" i="23"/>
  <c r="AG409" i="23"/>
  <c r="AB409" i="23"/>
  <c r="AA409" i="23"/>
  <c r="AG408" i="23"/>
  <c r="AB408" i="23"/>
  <c r="AA408" i="23"/>
  <c r="AN407" i="23"/>
  <c r="AG407" i="23"/>
  <c r="AB407" i="23"/>
  <c r="AA407" i="23"/>
  <c r="C260" i="23"/>
  <c r="C261" i="23"/>
  <c r="C296" i="23"/>
  <c r="C294" i="23"/>
  <c r="AM274" i="23" s="1"/>
  <c r="AA372" i="23"/>
  <c r="AB372" i="23"/>
  <c r="AG372" i="23"/>
  <c r="AN372" i="23"/>
  <c r="AA373" i="23"/>
  <c r="AB373" i="23"/>
  <c r="AG373" i="23"/>
  <c r="AA374" i="23"/>
  <c r="AB374" i="23"/>
  <c r="AG374" i="23"/>
  <c r="AA375" i="23"/>
  <c r="AB375" i="23"/>
  <c r="AG375" i="23"/>
  <c r="AA376" i="23"/>
  <c r="AB376" i="23"/>
  <c r="AG376" i="23"/>
  <c r="AA377" i="23"/>
  <c r="AB377" i="23"/>
  <c r="AG377" i="23"/>
  <c r="AA378" i="23"/>
  <c r="AB378" i="23"/>
  <c r="AG378" i="23"/>
  <c r="AA379" i="23"/>
  <c r="AB379" i="23"/>
  <c r="AG379" i="23"/>
  <c r="AA380" i="23"/>
  <c r="AB380" i="23"/>
  <c r="AG380" i="23"/>
  <c r="AA381" i="23"/>
  <c r="AB381" i="23"/>
  <c r="AG381" i="23"/>
  <c r="AA382" i="23"/>
  <c r="AB382" i="23"/>
  <c r="AG382" i="23"/>
  <c r="AA383" i="23"/>
  <c r="AB383" i="23"/>
  <c r="AG383" i="23"/>
  <c r="AA384" i="23"/>
  <c r="AB384" i="23"/>
  <c r="AG384" i="23"/>
  <c r="AA385" i="23"/>
  <c r="AB385" i="23"/>
  <c r="AG385" i="23"/>
  <c r="AA386" i="23"/>
  <c r="AB386" i="23"/>
  <c r="AG386" i="23"/>
  <c r="AA387" i="23"/>
  <c r="AB387" i="23"/>
  <c r="AG387" i="23"/>
  <c r="AA388" i="23"/>
  <c r="AB388" i="23"/>
  <c r="AG388" i="23"/>
  <c r="AA389" i="23"/>
  <c r="AB389" i="23"/>
  <c r="AG389" i="23"/>
  <c r="AA390" i="23"/>
  <c r="AB390" i="23"/>
  <c r="AG390" i="23"/>
  <c r="AA391" i="23"/>
  <c r="AB391" i="23"/>
  <c r="AG391" i="23"/>
  <c r="AA392" i="23"/>
  <c r="AB392" i="23"/>
  <c r="AG392" i="23"/>
  <c r="AA393" i="23"/>
  <c r="AB393" i="23"/>
  <c r="AG393" i="23"/>
  <c r="AA394" i="23"/>
  <c r="AB394" i="23"/>
  <c r="AG394" i="23"/>
  <c r="AA395" i="23"/>
  <c r="AB395" i="23"/>
  <c r="AG395" i="23"/>
  <c r="AF396" i="23"/>
  <c r="AA397" i="23"/>
  <c r="AA398" i="23" s="1"/>
  <c r="AL374" i="23" s="1"/>
  <c r="AN374" i="23" s="1"/>
  <c r="AB397" i="23"/>
  <c r="AB398" i="23" s="1"/>
  <c r="AL375" i="23" s="1"/>
  <c r="AN375" i="23" s="1"/>
  <c r="AG397" i="23"/>
  <c r="AG398" i="23" s="1"/>
  <c r="AL376" i="23" s="1"/>
  <c r="AN376" i="23" s="1"/>
  <c r="C399" i="23"/>
  <c r="AL379" i="23" s="1"/>
  <c r="F456" i="16"/>
  <c r="AF357" i="20"/>
  <c r="Z357" i="20"/>
  <c r="Y357" i="20"/>
  <c r="U357" i="20"/>
  <c r="T357" i="20"/>
  <c r="P357" i="20"/>
  <c r="O357" i="20"/>
  <c r="K357" i="20"/>
  <c r="J357" i="20"/>
  <c r="F357" i="20"/>
  <c r="E357" i="20"/>
  <c r="AG356" i="20"/>
  <c r="AB356" i="20"/>
  <c r="AA356" i="20"/>
  <c r="AM355" i="20"/>
  <c r="AG355" i="20"/>
  <c r="AG357" i="20"/>
  <c r="AL356" i="20" s="1"/>
  <c r="AN356" i="20" s="1"/>
  <c r="AB355" i="20"/>
  <c r="AB357" i="20" s="1"/>
  <c r="AL355" i="20" s="1"/>
  <c r="AN355" i="20" s="1"/>
  <c r="AA355" i="20"/>
  <c r="AA357" i="20" s="1"/>
  <c r="AL354" i="20" s="1"/>
  <c r="AN354" i="20" s="1"/>
  <c r="AN357" i="20" s="1"/>
  <c r="AF349" i="20"/>
  <c r="Z349" i="20"/>
  <c r="Y349" i="20"/>
  <c r="U349" i="20"/>
  <c r="T349" i="20"/>
  <c r="P349" i="20"/>
  <c r="O349" i="20"/>
  <c r="K349" i="20"/>
  <c r="J349" i="20"/>
  <c r="F349" i="20"/>
  <c r="E349" i="20"/>
  <c r="AG348" i="20"/>
  <c r="AB348" i="20"/>
  <c r="AA348" i="20"/>
  <c r="AM347" i="20"/>
  <c r="AG347" i="20"/>
  <c r="AG349" i="20" s="1"/>
  <c r="AL348" i="20" s="1"/>
  <c r="AN348" i="20" s="1"/>
  <c r="AB347" i="20"/>
  <c r="AB349" i="20" s="1"/>
  <c r="AL347" i="20" s="1"/>
  <c r="AN347" i="20" s="1"/>
  <c r="AA347" i="20"/>
  <c r="AF341" i="20"/>
  <c r="Z341" i="20"/>
  <c r="Y341" i="20"/>
  <c r="U341" i="20"/>
  <c r="T341" i="20"/>
  <c r="P341" i="20"/>
  <c r="O341" i="20"/>
  <c r="K341" i="20"/>
  <c r="J341" i="20"/>
  <c r="F341" i="20"/>
  <c r="E341" i="20"/>
  <c r="AG340" i="20"/>
  <c r="AB340" i="20"/>
  <c r="AA340" i="20"/>
  <c r="AM339" i="20"/>
  <c r="AG339" i="20"/>
  <c r="AG341" i="20" s="1"/>
  <c r="AL340" i="20" s="1"/>
  <c r="AN340" i="20" s="1"/>
  <c r="AB339" i="20"/>
  <c r="AB341" i="20" s="1"/>
  <c r="AL339" i="20" s="1"/>
  <c r="AN339" i="20" s="1"/>
  <c r="AA339" i="20"/>
  <c r="AF333" i="20"/>
  <c r="Z333" i="20"/>
  <c r="Y333" i="20"/>
  <c r="U333" i="20"/>
  <c r="T333" i="20"/>
  <c r="P333" i="20"/>
  <c r="O333" i="20"/>
  <c r="K333" i="20"/>
  <c r="J333" i="20"/>
  <c r="F333" i="20"/>
  <c r="E333" i="20"/>
  <c r="AG332" i="20"/>
  <c r="AB332" i="20"/>
  <c r="AA332" i="20"/>
  <c r="AM331" i="20"/>
  <c r="AG331" i="20"/>
  <c r="AG333" i="20" s="1"/>
  <c r="AL332" i="20" s="1"/>
  <c r="AN332" i="20" s="1"/>
  <c r="AB331" i="20"/>
  <c r="AB333" i="20" s="1"/>
  <c r="AL331" i="20" s="1"/>
  <c r="AN331" i="20" s="1"/>
  <c r="AA331" i="20"/>
  <c r="AF325" i="20"/>
  <c r="Z325" i="20"/>
  <c r="Y325" i="20"/>
  <c r="U325" i="20"/>
  <c r="T325" i="20"/>
  <c r="P325" i="20"/>
  <c r="O325" i="20"/>
  <c r="K325" i="20"/>
  <c r="J325" i="20"/>
  <c r="F325" i="20"/>
  <c r="E325" i="20"/>
  <c r="AG324" i="20"/>
  <c r="AB324" i="20"/>
  <c r="AA324" i="20"/>
  <c r="AM323" i="20"/>
  <c r="AG323" i="20"/>
  <c r="AG325" i="20" s="1"/>
  <c r="AL324" i="20" s="1"/>
  <c r="AN324" i="20" s="1"/>
  <c r="AB323" i="20"/>
  <c r="AB325" i="20" s="1"/>
  <c r="AL323" i="20" s="1"/>
  <c r="AN323" i="20" s="1"/>
  <c r="AA323" i="20"/>
  <c r="AF317" i="20"/>
  <c r="Z317" i="20"/>
  <c r="Y317" i="20"/>
  <c r="U317" i="20"/>
  <c r="T317" i="20"/>
  <c r="P317" i="20"/>
  <c r="O317" i="20"/>
  <c r="K317" i="20"/>
  <c r="J317" i="20"/>
  <c r="F317" i="20"/>
  <c r="E317" i="20"/>
  <c r="AG316" i="20"/>
  <c r="AB316" i="20"/>
  <c r="AA316" i="20"/>
  <c r="AM315" i="20"/>
  <c r="AG315" i="20"/>
  <c r="AG317" i="20" s="1"/>
  <c r="AL316" i="20" s="1"/>
  <c r="AN316" i="20" s="1"/>
  <c r="AB315" i="20"/>
  <c r="AB317" i="20" s="1"/>
  <c r="AL315" i="20" s="1"/>
  <c r="AN315" i="20" s="1"/>
  <c r="AA315" i="20"/>
  <c r="AF309" i="20"/>
  <c r="Z309" i="20"/>
  <c r="Y309" i="20"/>
  <c r="U309" i="20"/>
  <c r="T309" i="20"/>
  <c r="P309" i="20"/>
  <c r="O309" i="20"/>
  <c r="K309" i="20"/>
  <c r="J309" i="20"/>
  <c r="F309" i="20"/>
  <c r="E309" i="20"/>
  <c r="AG308" i="20"/>
  <c r="AB308" i="20"/>
  <c r="AA308" i="20"/>
  <c r="AM307" i="20"/>
  <c r="AG307" i="20"/>
  <c r="AG309" i="20"/>
  <c r="AL308" i="20" s="1"/>
  <c r="AN308" i="20" s="1"/>
  <c r="AB307" i="20"/>
  <c r="AB309" i="20" s="1"/>
  <c r="AL307" i="20" s="1"/>
  <c r="AN307" i="20" s="1"/>
  <c r="AA307" i="20"/>
  <c r="AA309" i="20"/>
  <c r="AL306" i="20" s="1"/>
  <c r="AN306" i="20" s="1"/>
  <c r="AF301" i="20"/>
  <c r="Z301" i="20"/>
  <c r="Y301" i="20"/>
  <c r="U301" i="20"/>
  <c r="T301" i="20"/>
  <c r="P301" i="20"/>
  <c r="O301" i="20"/>
  <c r="K301" i="20"/>
  <c r="J301" i="20"/>
  <c r="F301" i="20"/>
  <c r="E301" i="20"/>
  <c r="AG300" i="20"/>
  <c r="AB300" i="20"/>
  <c r="AA300" i="20"/>
  <c r="AM299" i="20"/>
  <c r="AG299" i="20"/>
  <c r="AB299" i="20"/>
  <c r="AB301" i="20" s="1"/>
  <c r="AL299" i="20" s="1"/>
  <c r="AN299" i="20" s="1"/>
  <c r="AA299" i="20"/>
  <c r="AA301" i="20"/>
  <c r="AL298" i="20" s="1"/>
  <c r="AN298" i="20" s="1"/>
  <c r="AF293" i="20"/>
  <c r="Z293" i="20"/>
  <c r="Y293" i="20"/>
  <c r="U293" i="20"/>
  <c r="T293" i="20"/>
  <c r="P293" i="20"/>
  <c r="O293" i="20"/>
  <c r="K293" i="20"/>
  <c r="J293" i="20"/>
  <c r="F293" i="20"/>
  <c r="E293" i="20"/>
  <c r="AG292" i="20"/>
  <c r="AG293" i="20" s="1"/>
  <c r="AL292" i="20" s="1"/>
  <c r="AN292" i="20" s="1"/>
  <c r="AB292" i="20"/>
  <c r="AA292" i="20"/>
  <c r="AM291" i="20"/>
  <c r="AG291" i="20"/>
  <c r="AB291" i="20"/>
  <c r="AB293" i="20" s="1"/>
  <c r="AL291" i="20" s="1"/>
  <c r="AN291" i="20" s="1"/>
  <c r="AA291" i="20"/>
  <c r="AA293" i="20" s="1"/>
  <c r="AL290" i="20" s="1"/>
  <c r="AN290" i="20" s="1"/>
  <c r="C364" i="23"/>
  <c r="AM344" i="23" s="1"/>
  <c r="AG362" i="23"/>
  <c r="AG363" i="23" s="1"/>
  <c r="AL341" i="23" s="1"/>
  <c r="AN341" i="23" s="1"/>
  <c r="AB362" i="23"/>
  <c r="AB363" i="23" s="1"/>
  <c r="AL340" i="23" s="1"/>
  <c r="AN340" i="23" s="1"/>
  <c r="AA362" i="23"/>
  <c r="AA363" i="23" s="1"/>
  <c r="AL339" i="23" s="1"/>
  <c r="AN339" i="23" s="1"/>
  <c r="AF361" i="23"/>
  <c r="AG360" i="23"/>
  <c r="AB360" i="23"/>
  <c r="AA360" i="23"/>
  <c r="AG359" i="23"/>
  <c r="AB359" i="23"/>
  <c r="AA359" i="23"/>
  <c r="AG358" i="23"/>
  <c r="AB358" i="23"/>
  <c r="AA358" i="23"/>
  <c r="AG357" i="23"/>
  <c r="AB357" i="23"/>
  <c r="AA357" i="23"/>
  <c r="AG356" i="23"/>
  <c r="AB356" i="23"/>
  <c r="AA356" i="23"/>
  <c r="AG355" i="23"/>
  <c r="AB355" i="23"/>
  <c r="AA355" i="23"/>
  <c r="AG354" i="23"/>
  <c r="AB354" i="23"/>
  <c r="AA354" i="23"/>
  <c r="AG353" i="23"/>
  <c r="AB353" i="23"/>
  <c r="AA353" i="23"/>
  <c r="AG352" i="23"/>
  <c r="AB352" i="23"/>
  <c r="AA352" i="23"/>
  <c r="AG351" i="23"/>
  <c r="AB351" i="23"/>
  <c r="AA351" i="23"/>
  <c r="AG350" i="23"/>
  <c r="AB350" i="23"/>
  <c r="AA350" i="23"/>
  <c r="AG349" i="23"/>
  <c r="AB349" i="23"/>
  <c r="AA349" i="23"/>
  <c r="AG348" i="23"/>
  <c r="AB348" i="23"/>
  <c r="AA348" i="23"/>
  <c r="AG347" i="23"/>
  <c r="AB347" i="23"/>
  <c r="AA347" i="23"/>
  <c r="AG346" i="23"/>
  <c r="AB346" i="23"/>
  <c r="AA346" i="23"/>
  <c r="AG345" i="23"/>
  <c r="AB345" i="23"/>
  <c r="AA345" i="23"/>
  <c r="AG344" i="23"/>
  <c r="AB344" i="23"/>
  <c r="AA344" i="23"/>
  <c r="AG343" i="23"/>
  <c r="AB343" i="23"/>
  <c r="AA343" i="23"/>
  <c r="AG342" i="23"/>
  <c r="AB342" i="23"/>
  <c r="AA342" i="23"/>
  <c r="AG341" i="23"/>
  <c r="AB341" i="23"/>
  <c r="AA341" i="23"/>
  <c r="AG340" i="23"/>
  <c r="AB340" i="23"/>
  <c r="AA340" i="23"/>
  <c r="AG339" i="23"/>
  <c r="AB339" i="23"/>
  <c r="AA339" i="23"/>
  <c r="AG338" i="23"/>
  <c r="AB338" i="23"/>
  <c r="AA338" i="23"/>
  <c r="AN337" i="23"/>
  <c r="AG337" i="23"/>
  <c r="AB337" i="23"/>
  <c r="AA337" i="23"/>
  <c r="AA361" i="23" s="1"/>
  <c r="AL336" i="23" s="1"/>
  <c r="AN336" i="23" s="1"/>
  <c r="C329" i="23"/>
  <c r="AM309" i="23" s="1"/>
  <c r="AG327" i="23"/>
  <c r="AG328" i="23" s="1"/>
  <c r="AL306" i="23" s="1"/>
  <c r="AN306" i="23" s="1"/>
  <c r="AB327" i="23"/>
  <c r="AB328" i="23" s="1"/>
  <c r="AL305" i="23" s="1"/>
  <c r="AN305" i="23" s="1"/>
  <c r="AA327" i="23"/>
  <c r="AA328" i="23" s="1"/>
  <c r="AL304" i="23" s="1"/>
  <c r="AN304" i="23" s="1"/>
  <c r="AF326" i="23"/>
  <c r="AG325" i="23"/>
  <c r="AB325" i="23"/>
  <c r="AA325" i="23"/>
  <c r="AG324" i="23"/>
  <c r="AB324" i="23"/>
  <c r="AA324" i="23"/>
  <c r="AG323" i="23"/>
  <c r="AB323" i="23"/>
  <c r="AA323" i="23"/>
  <c r="AG322" i="23"/>
  <c r="AB322" i="23"/>
  <c r="AA322" i="23"/>
  <c r="AG321" i="23"/>
  <c r="AB321" i="23"/>
  <c r="AA321" i="23"/>
  <c r="AG320" i="23"/>
  <c r="AB320" i="23"/>
  <c r="AA320" i="23"/>
  <c r="AG319" i="23"/>
  <c r="AB319" i="23"/>
  <c r="AA319" i="23"/>
  <c r="AG318" i="23"/>
  <c r="AB318" i="23"/>
  <c r="AA318" i="23"/>
  <c r="AG317" i="23"/>
  <c r="AB317" i="23"/>
  <c r="AA317" i="23"/>
  <c r="AG316" i="23"/>
  <c r="AB316" i="23"/>
  <c r="AA316" i="23"/>
  <c r="AG315" i="23"/>
  <c r="AB315" i="23"/>
  <c r="AA315" i="23"/>
  <c r="AG314" i="23"/>
  <c r="AB314" i="23"/>
  <c r="AA314" i="23"/>
  <c r="AG313" i="23"/>
  <c r="AB313" i="23"/>
  <c r="AA313" i="23"/>
  <c r="AG312" i="23"/>
  <c r="AB312" i="23"/>
  <c r="AA312" i="23"/>
  <c r="AG311" i="23"/>
  <c r="AB311" i="23"/>
  <c r="AA311" i="23"/>
  <c r="AG310" i="23"/>
  <c r="AB310" i="23"/>
  <c r="AA310" i="23"/>
  <c r="AG309" i="23"/>
  <c r="AB309" i="23"/>
  <c r="AA309" i="23"/>
  <c r="AG308" i="23"/>
  <c r="AB308" i="23"/>
  <c r="AA308" i="23"/>
  <c r="AG307" i="23"/>
  <c r="AB307" i="23"/>
  <c r="AA307" i="23"/>
  <c r="AG306" i="23"/>
  <c r="AB306" i="23"/>
  <c r="AA306" i="23"/>
  <c r="AG305" i="23"/>
  <c r="AB305" i="23"/>
  <c r="AA305" i="23"/>
  <c r="AG304" i="23"/>
  <c r="AB304" i="23"/>
  <c r="AA304" i="23"/>
  <c r="AG303" i="23"/>
  <c r="AB303" i="23"/>
  <c r="AA303" i="23"/>
  <c r="AG302" i="23"/>
  <c r="AB302" i="23"/>
  <c r="AA302" i="23"/>
  <c r="AB257" i="23"/>
  <c r="AB258" i="23" s="1"/>
  <c r="AL235" i="23" s="1"/>
  <c r="AN235" i="23" s="1"/>
  <c r="AN302" i="23"/>
  <c r="AB292" i="23"/>
  <c r="AB293" i="23" s="1"/>
  <c r="AL270" i="23" s="1"/>
  <c r="AN270" i="23" s="1"/>
  <c r="AG28" i="23"/>
  <c r="C119" i="23"/>
  <c r="C118" i="23" s="1"/>
  <c r="AM97" i="23" s="1"/>
  <c r="C83" i="23"/>
  <c r="C82" i="23" s="1"/>
  <c r="AM61" i="23" s="1"/>
  <c r="AA244" i="20"/>
  <c r="AA245" i="20" s="1"/>
  <c r="AL242" i="20" s="1"/>
  <c r="AN242" i="20" s="1"/>
  <c r="AA267" i="23"/>
  <c r="AB267" i="23"/>
  <c r="AG267" i="23"/>
  <c r="AA268" i="23"/>
  <c r="AB268" i="23"/>
  <c r="AG268" i="23"/>
  <c r="AA269" i="23"/>
  <c r="AB269" i="23"/>
  <c r="AG269" i="23"/>
  <c r="AA270" i="23"/>
  <c r="AB270" i="23"/>
  <c r="AG270" i="23"/>
  <c r="AA271" i="23"/>
  <c r="AB271" i="23"/>
  <c r="AG271" i="23"/>
  <c r="AA272" i="23"/>
  <c r="AB272" i="23"/>
  <c r="AG272" i="23"/>
  <c r="AA273" i="23"/>
  <c r="AB273" i="23"/>
  <c r="AG273" i="23"/>
  <c r="AA274" i="23"/>
  <c r="AB274" i="23"/>
  <c r="AG274" i="23"/>
  <c r="AA275" i="23"/>
  <c r="AB275" i="23"/>
  <c r="AG275" i="23"/>
  <c r="AA276" i="23"/>
  <c r="AB276" i="23"/>
  <c r="AG276" i="23"/>
  <c r="AA277" i="23"/>
  <c r="AB277" i="23"/>
  <c r="AG277" i="23"/>
  <c r="AA278" i="23"/>
  <c r="AB278" i="23"/>
  <c r="AG278" i="23"/>
  <c r="AA279" i="23"/>
  <c r="AB279" i="23"/>
  <c r="AG279" i="23"/>
  <c r="AA280" i="23"/>
  <c r="AB280" i="23"/>
  <c r="AG280" i="23"/>
  <c r="AA281" i="23"/>
  <c r="AB281" i="23"/>
  <c r="AG281" i="23"/>
  <c r="AA282" i="23"/>
  <c r="AB282" i="23"/>
  <c r="AG282" i="23"/>
  <c r="AA283" i="23"/>
  <c r="AB283" i="23"/>
  <c r="AG283" i="23"/>
  <c r="AA284" i="23"/>
  <c r="AB284" i="23"/>
  <c r="AG284" i="23"/>
  <c r="AA285" i="23"/>
  <c r="AB285" i="23"/>
  <c r="AG285" i="23"/>
  <c r="AA286" i="23"/>
  <c r="AB286" i="23"/>
  <c r="AG286" i="23"/>
  <c r="AA287" i="23"/>
  <c r="AB287" i="23"/>
  <c r="AG287" i="23"/>
  <c r="AA288" i="23"/>
  <c r="AB288" i="23"/>
  <c r="AG288" i="23"/>
  <c r="AA289" i="23"/>
  <c r="AB289" i="23"/>
  <c r="AG289" i="23"/>
  <c r="AA290" i="23"/>
  <c r="AB290" i="23"/>
  <c r="AG290" i="23"/>
  <c r="AF291" i="23"/>
  <c r="AA292" i="23"/>
  <c r="AA293" i="23" s="1"/>
  <c r="AL269" i="23" s="1"/>
  <c r="AN269" i="23" s="1"/>
  <c r="AG292" i="23"/>
  <c r="AG293" i="23" s="1"/>
  <c r="AL271" i="23" s="1"/>
  <c r="AN271" i="23" s="1"/>
  <c r="C259" i="23"/>
  <c r="AM239" i="23" s="1"/>
  <c r="AG257" i="23"/>
  <c r="AG258" i="23" s="1"/>
  <c r="AL236" i="23" s="1"/>
  <c r="AN236" i="23" s="1"/>
  <c r="AA257" i="23"/>
  <c r="AA258" i="23" s="1"/>
  <c r="AL234" i="23" s="1"/>
  <c r="AN234" i="23" s="1"/>
  <c r="AF256" i="23"/>
  <c r="AG255" i="23"/>
  <c r="AB255" i="23"/>
  <c r="AA255" i="23"/>
  <c r="AG254" i="23"/>
  <c r="AB254" i="23"/>
  <c r="AA254" i="23"/>
  <c r="AG253" i="23"/>
  <c r="AB253" i="23"/>
  <c r="AA253" i="23"/>
  <c r="AG252" i="23"/>
  <c r="AB252" i="23"/>
  <c r="AA252" i="23"/>
  <c r="AG251" i="23"/>
  <c r="AB251" i="23"/>
  <c r="AA251" i="23"/>
  <c r="AG250" i="23"/>
  <c r="AB250" i="23"/>
  <c r="AA250" i="23"/>
  <c r="AG249" i="23"/>
  <c r="AB249" i="23"/>
  <c r="AA249" i="23"/>
  <c r="AG248" i="23"/>
  <c r="AB248" i="23"/>
  <c r="AA248" i="23"/>
  <c r="AG247" i="23"/>
  <c r="AB247" i="23"/>
  <c r="AA247" i="23"/>
  <c r="AG246" i="23"/>
  <c r="AB246" i="23"/>
  <c r="AA246" i="23"/>
  <c r="AG245" i="23"/>
  <c r="AB245" i="23"/>
  <c r="AA245" i="23"/>
  <c r="AG244" i="23"/>
  <c r="AB244" i="23"/>
  <c r="AA244" i="23"/>
  <c r="AG243" i="23"/>
  <c r="AB243" i="23"/>
  <c r="AA243" i="23"/>
  <c r="AG242" i="23"/>
  <c r="AB242" i="23"/>
  <c r="AA242" i="23"/>
  <c r="AG241" i="23"/>
  <c r="AB241" i="23"/>
  <c r="AA241" i="23"/>
  <c r="AG240" i="23"/>
  <c r="AB240" i="23"/>
  <c r="AA240" i="23"/>
  <c r="AG239" i="23"/>
  <c r="AB239" i="23"/>
  <c r="AA239" i="23"/>
  <c r="AG238" i="23"/>
  <c r="AB238" i="23"/>
  <c r="AA238" i="23"/>
  <c r="AG237" i="23"/>
  <c r="AB237" i="23"/>
  <c r="AA237" i="23"/>
  <c r="AG236" i="23"/>
  <c r="AB236" i="23"/>
  <c r="AA236" i="23"/>
  <c r="AG235" i="23"/>
  <c r="AB235" i="23"/>
  <c r="AA235" i="23"/>
  <c r="AG234" i="23"/>
  <c r="AB234" i="23"/>
  <c r="AA234" i="23"/>
  <c r="AG233" i="23"/>
  <c r="AB233" i="23"/>
  <c r="AA233" i="23"/>
  <c r="AG232" i="23"/>
  <c r="AB232" i="23"/>
  <c r="AA232" i="23"/>
  <c r="C224" i="23"/>
  <c r="AM204" i="23" s="1"/>
  <c r="AG222" i="23"/>
  <c r="AG223" i="23" s="1"/>
  <c r="AL201" i="23" s="1"/>
  <c r="AN201" i="23" s="1"/>
  <c r="AB222" i="23"/>
  <c r="AB223" i="23" s="1"/>
  <c r="AL200" i="23" s="1"/>
  <c r="AN200" i="23" s="1"/>
  <c r="AA222" i="23"/>
  <c r="AA223" i="23" s="1"/>
  <c r="AL199" i="23" s="1"/>
  <c r="AN199" i="23" s="1"/>
  <c r="AF221" i="23"/>
  <c r="AG220" i="23"/>
  <c r="AB220" i="23"/>
  <c r="AA220" i="23"/>
  <c r="AG219" i="23"/>
  <c r="AB219" i="23"/>
  <c r="AA219" i="23"/>
  <c r="AG218" i="23"/>
  <c r="AB218" i="23"/>
  <c r="AA218" i="23"/>
  <c r="AG217" i="23"/>
  <c r="AB217" i="23"/>
  <c r="AA217" i="23"/>
  <c r="AG216" i="23"/>
  <c r="AB216" i="23"/>
  <c r="AA216" i="23"/>
  <c r="AG215" i="23"/>
  <c r="AB215" i="23"/>
  <c r="AA215" i="23"/>
  <c r="AG214" i="23"/>
  <c r="AB214" i="23"/>
  <c r="AA214" i="23"/>
  <c r="AG213" i="23"/>
  <c r="AB213" i="23"/>
  <c r="AA213" i="23"/>
  <c r="AG212" i="23"/>
  <c r="AB212" i="23"/>
  <c r="AA212" i="23"/>
  <c r="AG211" i="23"/>
  <c r="AB211" i="23"/>
  <c r="AA211" i="23"/>
  <c r="AG210" i="23"/>
  <c r="AB210" i="23"/>
  <c r="AA210" i="23"/>
  <c r="AG209" i="23"/>
  <c r="AB209" i="23"/>
  <c r="AA209" i="23"/>
  <c r="AG208" i="23"/>
  <c r="AB208" i="23"/>
  <c r="AA208" i="23"/>
  <c r="AG207" i="23"/>
  <c r="AB207" i="23"/>
  <c r="AA207" i="23"/>
  <c r="AG206" i="23"/>
  <c r="AB206" i="23"/>
  <c r="AA206" i="23"/>
  <c r="AG205" i="23"/>
  <c r="AB205" i="23"/>
  <c r="AA205" i="23"/>
  <c r="AG204" i="23"/>
  <c r="AB204" i="23"/>
  <c r="AA204" i="23"/>
  <c r="AG203" i="23"/>
  <c r="AB203" i="23"/>
  <c r="AA203" i="23"/>
  <c r="AG202" i="23"/>
  <c r="AB202" i="23"/>
  <c r="AA202" i="23"/>
  <c r="AG201" i="23"/>
  <c r="AB201" i="23"/>
  <c r="AA201" i="23"/>
  <c r="AG200" i="23"/>
  <c r="AB200" i="23"/>
  <c r="AA200" i="23"/>
  <c r="AG199" i="23"/>
  <c r="AB199" i="23"/>
  <c r="AA199" i="23"/>
  <c r="AG198" i="23"/>
  <c r="AB198" i="23"/>
  <c r="AA198" i="23"/>
  <c r="AG197" i="23"/>
  <c r="AB197" i="23"/>
  <c r="AA197" i="23"/>
  <c r="F152" i="23"/>
  <c r="AB152" i="23" s="1"/>
  <c r="AB153" i="23" s="1"/>
  <c r="AL129" i="23" s="1"/>
  <c r="AN129" i="23" s="1"/>
  <c r="C48" i="23"/>
  <c r="U80" i="23"/>
  <c r="AB80" i="23" s="1"/>
  <c r="AB81" i="23" s="1"/>
  <c r="AL57" i="23" s="1"/>
  <c r="AN57" i="23" s="1"/>
  <c r="AG178" i="23"/>
  <c r="AB178" i="23"/>
  <c r="AA178" i="23"/>
  <c r="AA142" i="23"/>
  <c r="AB142" i="23"/>
  <c r="AG142" i="23"/>
  <c r="AA106" i="23"/>
  <c r="AB106" i="23"/>
  <c r="AG106" i="23"/>
  <c r="AA70" i="23"/>
  <c r="AB70" i="23"/>
  <c r="AG70" i="23"/>
  <c r="AE2" i="19"/>
  <c r="F539" i="16"/>
  <c r="F538" i="16"/>
  <c r="F537" i="16"/>
  <c r="F536" i="16"/>
  <c r="F535" i="16"/>
  <c r="F534" i="16"/>
  <c r="F533" i="16"/>
  <c r="F532" i="16"/>
  <c r="F531" i="16"/>
  <c r="F530" i="16"/>
  <c r="F526" i="16"/>
  <c r="F525" i="16"/>
  <c r="F524" i="16"/>
  <c r="F523" i="16"/>
  <c r="F522" i="16"/>
  <c r="F521" i="16"/>
  <c r="F520" i="16"/>
  <c r="F517" i="16"/>
  <c r="F516" i="16"/>
  <c r="F515" i="16"/>
  <c r="F514" i="16"/>
  <c r="F513" i="16"/>
  <c r="F512" i="16"/>
  <c r="F511" i="16"/>
  <c r="F510" i="16"/>
  <c r="F509" i="16"/>
  <c r="F508" i="16"/>
  <c r="F507" i="16"/>
  <c r="F506" i="16"/>
  <c r="F505" i="16"/>
  <c r="F504" i="16"/>
  <c r="F503" i="16"/>
  <c r="F502" i="16"/>
  <c r="F501" i="16"/>
  <c r="F500" i="16"/>
  <c r="F499" i="16"/>
  <c r="F498" i="16"/>
  <c r="F497" i="16"/>
  <c r="F496" i="16"/>
  <c r="F495" i="16"/>
  <c r="F494" i="16"/>
  <c r="F493" i="16"/>
  <c r="F492" i="16"/>
  <c r="F491" i="16"/>
  <c r="F490" i="16"/>
  <c r="F489" i="16"/>
  <c r="F488" i="16"/>
  <c r="F487" i="16"/>
  <c r="F486" i="16"/>
  <c r="F485" i="16"/>
  <c r="F484" i="16"/>
  <c r="F483" i="16"/>
  <c r="F482" i="16"/>
  <c r="F481" i="16"/>
  <c r="F480" i="16"/>
  <c r="F479" i="16"/>
  <c r="F478" i="16"/>
  <c r="F477" i="16"/>
  <c r="F476" i="16"/>
  <c r="F475" i="16"/>
  <c r="F474" i="16"/>
  <c r="F473" i="16"/>
  <c r="F472" i="16"/>
  <c r="F471" i="16"/>
  <c r="F470" i="16"/>
  <c r="F448" i="16"/>
  <c r="F447" i="16"/>
  <c r="F446" i="16"/>
  <c r="F469" i="16"/>
  <c r="F468" i="16"/>
  <c r="F467" i="16"/>
  <c r="F466" i="16"/>
  <c r="F465" i="16"/>
  <c r="F464" i="16"/>
  <c r="F463" i="16"/>
  <c r="F462" i="16"/>
  <c r="F461" i="16"/>
  <c r="F460" i="16"/>
  <c r="F459" i="16"/>
  <c r="F458" i="16"/>
  <c r="F457" i="16"/>
  <c r="F455" i="16"/>
  <c r="F454" i="16"/>
  <c r="F453" i="16"/>
  <c r="F452" i="16"/>
  <c r="F451" i="16"/>
  <c r="F450" i="16"/>
  <c r="F449" i="16"/>
  <c r="F445" i="16"/>
  <c r="F444" i="16"/>
  <c r="F443" i="16"/>
  <c r="F442" i="16"/>
  <c r="F441" i="16"/>
  <c r="F440" i="16"/>
  <c r="F439" i="16"/>
  <c r="F438" i="16"/>
  <c r="F437" i="16"/>
  <c r="F436" i="16"/>
  <c r="F435" i="16"/>
  <c r="F434" i="16"/>
  <c r="F433" i="16"/>
  <c r="F432" i="16"/>
  <c r="F431" i="16"/>
  <c r="F430" i="16"/>
  <c r="C189" i="23"/>
  <c r="AM169" i="23" s="1"/>
  <c r="AG187" i="23"/>
  <c r="AG188" i="23" s="1"/>
  <c r="AL166" i="23" s="1"/>
  <c r="AN166" i="23" s="1"/>
  <c r="AB187" i="23"/>
  <c r="AB188" i="23" s="1"/>
  <c r="AL165" i="23" s="1"/>
  <c r="AN165" i="23" s="1"/>
  <c r="AA187" i="23"/>
  <c r="AA188" i="23" s="1"/>
  <c r="AL164" i="23" s="1"/>
  <c r="AN164" i="23" s="1"/>
  <c r="AF186" i="23"/>
  <c r="AG185" i="23"/>
  <c r="AB185" i="23"/>
  <c r="AA185" i="23"/>
  <c r="AG184" i="23"/>
  <c r="AB184" i="23"/>
  <c r="AA184" i="23"/>
  <c r="AG183" i="23"/>
  <c r="AB183" i="23"/>
  <c r="AA183" i="23"/>
  <c r="AG182" i="23"/>
  <c r="AB182" i="23"/>
  <c r="AA182" i="23"/>
  <c r="AG181" i="23"/>
  <c r="AB181" i="23"/>
  <c r="AA181" i="23"/>
  <c r="AG180" i="23"/>
  <c r="AB180" i="23"/>
  <c r="AA180" i="23"/>
  <c r="AG179" i="23"/>
  <c r="AB179" i="23"/>
  <c r="AA179" i="23"/>
  <c r="AG177" i="23"/>
  <c r="AB177" i="23"/>
  <c r="AA177" i="23"/>
  <c r="AG176" i="23"/>
  <c r="AB176" i="23"/>
  <c r="AA176" i="23"/>
  <c r="AG175" i="23"/>
  <c r="AB175" i="23"/>
  <c r="AA175" i="23"/>
  <c r="AG174" i="23"/>
  <c r="AB174" i="23"/>
  <c r="AA174" i="23"/>
  <c r="AG173" i="23"/>
  <c r="AB173" i="23"/>
  <c r="AA173" i="23"/>
  <c r="AG172" i="23"/>
  <c r="AB172" i="23"/>
  <c r="AA172" i="23"/>
  <c r="AG171" i="23"/>
  <c r="AB171" i="23"/>
  <c r="AA171" i="23"/>
  <c r="AG170" i="23"/>
  <c r="AB170" i="23"/>
  <c r="AA170" i="23"/>
  <c r="AG169" i="23"/>
  <c r="AB169" i="23"/>
  <c r="AA169" i="23"/>
  <c r="AG168" i="23"/>
  <c r="AB168" i="23"/>
  <c r="AA168" i="23"/>
  <c r="AG167" i="23"/>
  <c r="AB167" i="23"/>
  <c r="AA167" i="23"/>
  <c r="AG166" i="23"/>
  <c r="AB166" i="23"/>
  <c r="AA166" i="23"/>
  <c r="AG165" i="23"/>
  <c r="AB165" i="23"/>
  <c r="AA165" i="23"/>
  <c r="AG164" i="23"/>
  <c r="AB164" i="23"/>
  <c r="AA164" i="23"/>
  <c r="AG163" i="23"/>
  <c r="AB163" i="23"/>
  <c r="AA163" i="23"/>
  <c r="AG162" i="23"/>
  <c r="AB162" i="23"/>
  <c r="AA162" i="23"/>
  <c r="C154" i="23"/>
  <c r="AM133" i="23" s="1"/>
  <c r="AG152" i="23"/>
  <c r="AG153" i="23" s="1"/>
  <c r="AL130" i="23" s="1"/>
  <c r="AN130" i="23" s="1"/>
  <c r="AA152" i="23"/>
  <c r="AA153" i="23" s="1"/>
  <c r="AL128" i="23" s="1"/>
  <c r="AN128" i="23" s="1"/>
  <c r="AF151" i="23"/>
  <c r="AG150" i="23"/>
  <c r="AB150" i="23"/>
  <c r="AA150" i="23"/>
  <c r="AG149" i="23"/>
  <c r="AB149" i="23"/>
  <c r="AA149" i="23"/>
  <c r="AG148" i="23"/>
  <c r="AB148" i="23"/>
  <c r="AA148" i="23"/>
  <c r="AG147" i="23"/>
  <c r="AB147" i="23"/>
  <c r="AA147" i="23"/>
  <c r="AG146" i="23"/>
  <c r="AB146" i="23"/>
  <c r="AA146" i="23"/>
  <c r="AG145" i="23"/>
  <c r="AB145" i="23"/>
  <c r="AA145" i="23"/>
  <c r="AG144" i="23"/>
  <c r="AB144" i="23"/>
  <c r="AA144" i="23"/>
  <c r="AG143" i="23"/>
  <c r="AB143" i="23"/>
  <c r="AA143" i="23"/>
  <c r="AG141" i="23"/>
  <c r="AB141" i="23"/>
  <c r="AA141" i="23"/>
  <c r="AG140" i="23"/>
  <c r="AB140" i="23"/>
  <c r="AA140" i="23"/>
  <c r="AG139" i="23"/>
  <c r="AB139" i="23"/>
  <c r="AA139" i="23"/>
  <c r="AG138" i="23"/>
  <c r="AB138" i="23"/>
  <c r="AA138" i="23"/>
  <c r="AG137" i="23"/>
  <c r="AB137" i="23"/>
  <c r="AA137" i="23"/>
  <c r="AG136" i="23"/>
  <c r="AB136" i="23"/>
  <c r="AA136" i="23"/>
  <c r="AG135" i="23"/>
  <c r="AB135" i="23"/>
  <c r="AA135" i="23"/>
  <c r="AG134" i="23"/>
  <c r="AB134" i="23"/>
  <c r="AA134" i="23"/>
  <c r="AG133" i="23"/>
  <c r="AB133" i="23"/>
  <c r="AA133" i="23"/>
  <c r="AG132" i="23"/>
  <c r="AB132" i="23"/>
  <c r="AA132" i="23"/>
  <c r="AG131" i="23"/>
  <c r="AB131" i="23"/>
  <c r="AA131" i="23"/>
  <c r="AG130" i="23"/>
  <c r="AB130" i="23"/>
  <c r="AA130" i="23"/>
  <c r="AG129" i="23"/>
  <c r="AB129" i="23"/>
  <c r="AA129" i="23"/>
  <c r="AG128" i="23"/>
  <c r="AB128" i="23"/>
  <c r="AA128" i="23"/>
  <c r="AG127" i="23"/>
  <c r="AB127" i="23"/>
  <c r="AA127" i="23"/>
  <c r="AG126" i="23"/>
  <c r="AB126" i="23"/>
  <c r="AA126" i="23"/>
  <c r="AG116" i="23"/>
  <c r="AG117" i="23" s="1"/>
  <c r="AL94" i="23" s="1"/>
  <c r="AN94" i="23" s="1"/>
  <c r="AB116" i="23"/>
  <c r="AB117" i="23" s="1"/>
  <c r="AL93" i="23" s="1"/>
  <c r="AN93" i="23" s="1"/>
  <c r="AA116" i="23"/>
  <c r="AA117" i="23" s="1"/>
  <c r="AL92" i="23" s="1"/>
  <c r="AN92" i="23" s="1"/>
  <c r="AF115" i="23"/>
  <c r="AG114" i="23"/>
  <c r="AB114" i="23"/>
  <c r="AA114" i="23"/>
  <c r="AG113" i="23"/>
  <c r="AB113" i="23"/>
  <c r="AA113" i="23"/>
  <c r="AG112" i="23"/>
  <c r="AB112" i="23"/>
  <c r="AA112" i="23"/>
  <c r="AG111" i="23"/>
  <c r="AB111" i="23"/>
  <c r="AA111" i="23"/>
  <c r="AG110" i="23"/>
  <c r="AB110" i="23"/>
  <c r="AA110" i="23"/>
  <c r="AG109" i="23"/>
  <c r="AB109" i="23"/>
  <c r="AA109" i="23"/>
  <c r="AG108" i="23"/>
  <c r="AB108" i="23"/>
  <c r="AA108" i="23"/>
  <c r="AG107" i="23"/>
  <c r="AB107" i="23"/>
  <c r="AA107" i="23"/>
  <c r="AG105" i="23"/>
  <c r="AB105" i="23"/>
  <c r="AA105" i="23"/>
  <c r="AG104" i="23"/>
  <c r="AB104" i="23"/>
  <c r="AA104" i="23"/>
  <c r="AG103" i="23"/>
  <c r="AB103" i="23"/>
  <c r="AA103" i="23"/>
  <c r="AG102" i="23"/>
  <c r="AB102" i="23"/>
  <c r="AA102" i="23"/>
  <c r="AG101" i="23"/>
  <c r="AB101" i="23"/>
  <c r="AA101" i="23"/>
  <c r="AG100" i="23"/>
  <c r="AB100" i="23"/>
  <c r="AA100" i="23"/>
  <c r="AG99" i="23"/>
  <c r="AB99" i="23"/>
  <c r="AA99" i="23"/>
  <c r="AG98" i="23"/>
  <c r="AB98" i="23"/>
  <c r="AA98" i="23"/>
  <c r="AG97" i="23"/>
  <c r="AB97" i="23"/>
  <c r="AA97" i="23"/>
  <c r="AG96" i="23"/>
  <c r="AB96" i="23"/>
  <c r="AA96" i="23"/>
  <c r="AG95" i="23"/>
  <c r="AB95" i="23"/>
  <c r="AA95" i="23"/>
  <c r="AG94" i="23"/>
  <c r="AB94" i="23"/>
  <c r="AA94" i="23"/>
  <c r="AG93" i="23"/>
  <c r="AB93" i="23"/>
  <c r="AA93" i="23"/>
  <c r="AG92" i="23"/>
  <c r="AB92" i="23"/>
  <c r="AA92" i="23"/>
  <c r="AG91" i="23"/>
  <c r="AB91" i="23"/>
  <c r="AA91" i="23"/>
  <c r="AG90" i="23"/>
  <c r="AB90" i="23"/>
  <c r="AA90" i="23"/>
  <c r="C47" i="23"/>
  <c r="C46" i="23" s="1"/>
  <c r="Z44" i="23"/>
  <c r="AB44" i="23" s="1"/>
  <c r="AB45" i="23" s="1"/>
  <c r="AE4" i="19"/>
  <c r="AA7" i="19"/>
  <c r="AA283" i="20"/>
  <c r="AB283" i="20"/>
  <c r="AG283" i="20"/>
  <c r="AM283" i="20"/>
  <c r="AA284" i="20"/>
  <c r="AB284" i="20"/>
  <c r="AG284" i="20"/>
  <c r="E285" i="20"/>
  <c r="F285" i="20"/>
  <c r="J285" i="20"/>
  <c r="K285" i="20"/>
  <c r="O285" i="20"/>
  <c r="P285" i="20"/>
  <c r="T285" i="20"/>
  <c r="U285" i="20"/>
  <c r="Y285" i="20"/>
  <c r="Z285" i="20"/>
  <c r="AF285" i="20"/>
  <c r="AA275" i="20"/>
  <c r="AB275" i="20"/>
  <c r="AG275" i="20"/>
  <c r="AG277" i="20" s="1"/>
  <c r="AL276" i="20" s="1"/>
  <c r="AN276" i="20" s="1"/>
  <c r="AM275" i="20"/>
  <c r="AA276" i="20"/>
  <c r="AB276" i="20"/>
  <c r="AB277" i="20" s="1"/>
  <c r="AL275" i="20" s="1"/>
  <c r="AG276" i="20"/>
  <c r="E277" i="20"/>
  <c r="F277" i="20"/>
  <c r="J277" i="20"/>
  <c r="K277" i="20"/>
  <c r="O277" i="20"/>
  <c r="P277" i="20"/>
  <c r="T277" i="20"/>
  <c r="U277" i="20"/>
  <c r="Y277" i="20"/>
  <c r="Z277" i="20"/>
  <c r="AF277" i="20"/>
  <c r="AA267" i="20"/>
  <c r="AB267" i="20"/>
  <c r="AG267" i="20"/>
  <c r="AM267" i="20"/>
  <c r="AA268" i="20"/>
  <c r="AB268" i="20"/>
  <c r="AG268" i="20"/>
  <c r="E269" i="20"/>
  <c r="F269" i="20"/>
  <c r="J269" i="20"/>
  <c r="K269" i="20"/>
  <c r="O269" i="20"/>
  <c r="P269" i="20"/>
  <c r="T269" i="20"/>
  <c r="U269" i="20"/>
  <c r="Y269" i="20"/>
  <c r="Z269" i="20"/>
  <c r="AB269" i="20"/>
  <c r="AL267" i="20" s="1"/>
  <c r="AN267" i="20" s="1"/>
  <c r="AF269" i="20"/>
  <c r="AA259" i="20"/>
  <c r="AB259" i="20"/>
  <c r="AB261" i="20" s="1"/>
  <c r="AL259" i="20" s="1"/>
  <c r="AN259" i="20" s="1"/>
  <c r="AG259" i="20"/>
  <c r="AG261" i="20" s="1"/>
  <c r="AL260" i="20" s="1"/>
  <c r="AN260" i="20" s="1"/>
  <c r="AM259" i="20"/>
  <c r="AA260" i="20"/>
  <c r="AA261" i="20" s="1"/>
  <c r="AL258" i="20" s="1"/>
  <c r="AN258" i="20" s="1"/>
  <c r="AB260" i="20"/>
  <c r="AG260" i="20"/>
  <c r="E261" i="20"/>
  <c r="F261" i="20"/>
  <c r="J261" i="20"/>
  <c r="K261" i="20"/>
  <c r="O261" i="20"/>
  <c r="P261" i="20"/>
  <c r="T261" i="20"/>
  <c r="U261" i="20"/>
  <c r="Y261" i="20"/>
  <c r="Z261" i="20"/>
  <c r="AF261" i="20"/>
  <c r="AA251" i="20"/>
  <c r="AB251" i="20"/>
  <c r="AG251" i="20"/>
  <c r="AM251" i="20"/>
  <c r="AA252" i="20"/>
  <c r="AB252" i="20"/>
  <c r="AB253" i="20" s="1"/>
  <c r="AL251" i="20" s="1"/>
  <c r="AN251" i="20" s="1"/>
  <c r="AG252" i="20"/>
  <c r="E253" i="20"/>
  <c r="F253" i="20"/>
  <c r="J253" i="20"/>
  <c r="K253" i="20"/>
  <c r="O253" i="20"/>
  <c r="P253" i="20"/>
  <c r="T253" i="20"/>
  <c r="U253" i="20"/>
  <c r="Y253" i="20"/>
  <c r="Z253" i="20"/>
  <c r="AF253" i="20"/>
  <c r="AA243" i="20"/>
  <c r="AB243" i="20"/>
  <c r="AB245" i="20" s="1"/>
  <c r="AL243" i="20" s="1"/>
  <c r="AN243" i="20" s="1"/>
  <c r="AG243" i="20"/>
  <c r="AG245" i="20" s="1"/>
  <c r="AL244" i="20" s="1"/>
  <c r="AN244" i="20" s="1"/>
  <c r="AM243" i="20"/>
  <c r="AB244" i="20"/>
  <c r="AG244" i="20"/>
  <c r="E245" i="20"/>
  <c r="F245" i="20"/>
  <c r="J245" i="20"/>
  <c r="K245" i="20"/>
  <c r="O245" i="20"/>
  <c r="P245" i="20"/>
  <c r="T245" i="20"/>
  <c r="U245" i="20"/>
  <c r="Y245" i="20"/>
  <c r="Z245" i="20"/>
  <c r="AF245" i="20"/>
  <c r="AA235" i="20"/>
  <c r="AB235" i="20"/>
  <c r="AB237" i="20" s="1"/>
  <c r="AL235" i="20" s="1"/>
  <c r="AN235" i="20" s="1"/>
  <c r="AG235" i="20"/>
  <c r="AM235" i="20"/>
  <c r="AA236" i="20"/>
  <c r="AB236" i="20"/>
  <c r="AG236" i="20"/>
  <c r="AG237" i="20" s="1"/>
  <c r="AL236" i="20" s="1"/>
  <c r="AN236" i="20" s="1"/>
  <c r="E237" i="20"/>
  <c r="F237" i="20"/>
  <c r="J237" i="20"/>
  <c r="K237" i="20"/>
  <c r="O237" i="20"/>
  <c r="P237" i="20"/>
  <c r="T237" i="20"/>
  <c r="U237" i="20"/>
  <c r="Y237" i="20"/>
  <c r="Z237" i="20"/>
  <c r="AF237" i="20"/>
  <c r="AA253" i="20"/>
  <c r="AL250" i="20" s="1"/>
  <c r="AN250" i="20" s="1"/>
  <c r="AG253" i="20"/>
  <c r="AL252" i="20"/>
  <c r="AN252" i="20" s="1"/>
  <c r="AG269" i="20"/>
  <c r="AL268" i="20" s="1"/>
  <c r="AN268" i="20" s="1"/>
  <c r="AA269" i="20"/>
  <c r="AL266" i="20"/>
  <c r="AN266" i="20" s="1"/>
  <c r="AA277" i="20"/>
  <c r="AL274" i="20" s="1"/>
  <c r="AN274" i="20" s="1"/>
  <c r="AG285" i="20"/>
  <c r="AL284" i="20" s="1"/>
  <c r="AN284" i="20" s="1"/>
  <c r="AB285" i="20"/>
  <c r="AL283" i="20"/>
  <c r="AN283" i="20" s="1"/>
  <c r="AA285" i="20"/>
  <c r="AL282" i="20" s="1"/>
  <c r="AN282" i="20" s="1"/>
  <c r="AA237" i="20"/>
  <c r="AL234" i="20" s="1"/>
  <c r="AN234" i="20" s="1"/>
  <c r="AE6" i="19"/>
  <c r="AA6" i="19"/>
  <c r="AA28" i="23"/>
  <c r="AB28" i="23"/>
  <c r="C900" i="19"/>
  <c r="C901" i="19"/>
  <c r="C939" i="19"/>
  <c r="C1013" i="19"/>
  <c r="C1012" i="19"/>
  <c r="C975" i="19"/>
  <c r="C976" i="19"/>
  <c r="AA1019" i="19"/>
  <c r="AB1019" i="19"/>
  <c r="AB1046" i="19"/>
  <c r="AL1019" i="19"/>
  <c r="AN1019" i="19"/>
  <c r="AG1019" i="19"/>
  <c r="AM1019" i="19"/>
  <c r="AA1020" i="19"/>
  <c r="AB1020" i="19"/>
  <c r="AG1020" i="19"/>
  <c r="AA1021" i="19"/>
  <c r="AA1046" i="19"/>
  <c r="AL1018" i="19"/>
  <c r="AN1018" i="19"/>
  <c r="AB1021" i="19"/>
  <c r="AG1021" i="19"/>
  <c r="AA1022" i="19"/>
  <c r="AB1022" i="19"/>
  <c r="AG1022" i="19"/>
  <c r="AM1022" i="19"/>
  <c r="AA1023" i="19"/>
  <c r="AB1023" i="19"/>
  <c r="AG1023" i="19"/>
  <c r="AA1024" i="19"/>
  <c r="AB1024" i="19"/>
  <c r="AG1024" i="19"/>
  <c r="AA1025" i="19"/>
  <c r="AB1025" i="19"/>
  <c r="AG1025" i="19"/>
  <c r="AA1026" i="19"/>
  <c r="AB1026" i="19"/>
  <c r="AG1026" i="19"/>
  <c r="AA1027" i="19"/>
  <c r="AB1027" i="19"/>
  <c r="AG1027" i="19"/>
  <c r="AA1028" i="19"/>
  <c r="AB1028" i="19"/>
  <c r="AG1028" i="19"/>
  <c r="AA1029" i="19"/>
  <c r="AB1029" i="19"/>
  <c r="AG1029" i="19"/>
  <c r="AA1030" i="19"/>
  <c r="AB1030" i="19"/>
  <c r="AG1030" i="19"/>
  <c r="AA1031" i="19"/>
  <c r="AB1031" i="19"/>
  <c r="AG1031" i="19"/>
  <c r="AA1032" i="19"/>
  <c r="AB1032" i="19"/>
  <c r="AG1032" i="19"/>
  <c r="AA1033" i="19"/>
  <c r="AB1033" i="19"/>
  <c r="AG1033" i="19"/>
  <c r="AA1034" i="19"/>
  <c r="AB1034" i="19"/>
  <c r="AG1034" i="19"/>
  <c r="AA1035" i="19"/>
  <c r="AB1035" i="19"/>
  <c r="AG1035" i="19"/>
  <c r="AA1036" i="19"/>
  <c r="AB1036" i="19"/>
  <c r="AG1036" i="19"/>
  <c r="AA1037" i="19"/>
  <c r="AB1037" i="19"/>
  <c r="AG1037" i="19"/>
  <c r="AA1038" i="19"/>
  <c r="AB1038" i="19"/>
  <c r="AG1038" i="19"/>
  <c r="AA1039" i="19"/>
  <c r="AB1039" i="19"/>
  <c r="AG1039" i="19"/>
  <c r="AA1040" i="19"/>
  <c r="AB1040" i="19"/>
  <c r="AG1040" i="19"/>
  <c r="AA1041" i="19"/>
  <c r="AB1041" i="19"/>
  <c r="AG1041" i="19"/>
  <c r="AA1042" i="19"/>
  <c r="AB1042" i="19"/>
  <c r="AG1042" i="19"/>
  <c r="AA1043" i="19"/>
  <c r="AB1043" i="19"/>
  <c r="AG1043" i="19"/>
  <c r="AA1044" i="19"/>
  <c r="AB1044" i="19"/>
  <c r="AG1044" i="19"/>
  <c r="AA1045" i="19"/>
  <c r="AB1045" i="19"/>
  <c r="AG1045" i="19"/>
  <c r="AF1046" i="19"/>
  <c r="AA1047" i="19"/>
  <c r="AA1048" i="19"/>
  <c r="AL1021" i="19"/>
  <c r="AN1021" i="19"/>
  <c r="AB1047" i="19"/>
  <c r="AG1047" i="19"/>
  <c r="AG1048" i="19"/>
  <c r="AL1023" i="19"/>
  <c r="AN1023" i="19"/>
  <c r="AB1048" i="19"/>
  <c r="AL1022" i="19"/>
  <c r="AN1022" i="19"/>
  <c r="C1049" i="19"/>
  <c r="AF1009" i="19"/>
  <c r="AA19" i="23"/>
  <c r="AB19" i="23"/>
  <c r="AG19" i="23"/>
  <c r="AM19" i="23"/>
  <c r="AA20" i="23"/>
  <c r="AB20" i="23"/>
  <c r="AG20" i="23"/>
  <c r="AA21" i="23"/>
  <c r="AB21" i="23"/>
  <c r="AG21" i="23"/>
  <c r="AA22" i="23"/>
  <c r="AB22" i="23"/>
  <c r="AG22" i="23"/>
  <c r="AM22" i="23"/>
  <c r="AA23" i="23"/>
  <c r="AB23" i="23"/>
  <c r="AG23" i="23"/>
  <c r="AA24" i="23"/>
  <c r="AB24" i="23"/>
  <c r="AG24" i="23"/>
  <c r="AA25" i="23"/>
  <c r="AB25" i="23"/>
  <c r="AG25" i="23"/>
  <c r="AA26" i="23"/>
  <c r="AB26" i="23"/>
  <c r="AG26" i="23"/>
  <c r="AA27" i="23"/>
  <c r="AB27" i="23"/>
  <c r="AG27" i="23"/>
  <c r="AA29" i="23"/>
  <c r="AB29" i="23"/>
  <c r="AG29" i="23"/>
  <c r="AA30" i="23"/>
  <c r="AB30" i="23"/>
  <c r="AG30" i="23"/>
  <c r="AA31" i="23"/>
  <c r="AB31" i="23"/>
  <c r="AG31" i="23"/>
  <c r="AA32" i="23"/>
  <c r="AB32" i="23"/>
  <c r="AG32" i="23"/>
  <c r="AA33" i="23"/>
  <c r="AB33" i="23"/>
  <c r="AG33" i="23"/>
  <c r="AA34" i="23"/>
  <c r="AB34" i="23"/>
  <c r="AG34" i="23"/>
  <c r="AA35" i="23"/>
  <c r="AB35" i="23"/>
  <c r="AG35" i="23"/>
  <c r="AA36" i="23"/>
  <c r="AB36" i="23"/>
  <c r="AG36" i="23"/>
  <c r="AA37" i="23"/>
  <c r="AB37" i="23"/>
  <c r="AG37" i="23"/>
  <c r="AA38" i="23"/>
  <c r="AB38" i="23"/>
  <c r="AG38" i="23"/>
  <c r="AA39" i="23"/>
  <c r="AB39" i="23"/>
  <c r="AG39" i="23"/>
  <c r="AA40" i="23"/>
  <c r="AB40" i="23"/>
  <c r="AG40" i="23"/>
  <c r="AA41" i="23"/>
  <c r="AB41" i="23"/>
  <c r="AG41" i="23"/>
  <c r="AA42" i="23"/>
  <c r="AB42" i="23"/>
  <c r="AG42" i="23"/>
  <c r="AF43" i="23"/>
  <c r="AA44" i="23"/>
  <c r="AA45" i="23" s="1"/>
  <c r="AG44" i="23"/>
  <c r="AG45" i="23" s="1"/>
  <c r="AL23" i="23" s="1"/>
  <c r="AN23" i="23" s="1"/>
  <c r="AA54" i="23"/>
  <c r="AB54" i="23"/>
  <c r="AG54" i="23"/>
  <c r="AA55" i="23"/>
  <c r="AB55" i="23"/>
  <c r="AG55" i="23"/>
  <c r="AA56" i="23"/>
  <c r="AB56" i="23"/>
  <c r="AG56" i="23"/>
  <c r="AA57" i="23"/>
  <c r="AB57" i="23"/>
  <c r="AG57" i="23"/>
  <c r="AA58" i="23"/>
  <c r="AB58" i="23"/>
  <c r="AG58" i="23"/>
  <c r="AA59" i="23"/>
  <c r="AB59" i="23"/>
  <c r="AG59" i="23"/>
  <c r="AA60" i="23"/>
  <c r="AB60" i="23"/>
  <c r="AG60" i="23"/>
  <c r="AA61" i="23"/>
  <c r="AB61" i="23"/>
  <c r="AG61" i="23"/>
  <c r="AA62" i="23"/>
  <c r="AB62" i="23"/>
  <c r="AG62" i="23"/>
  <c r="AA63" i="23"/>
  <c r="AB63" i="23"/>
  <c r="AG63" i="23"/>
  <c r="AA64" i="23"/>
  <c r="AB64" i="23"/>
  <c r="AG64" i="23"/>
  <c r="AA65" i="23"/>
  <c r="AB65" i="23"/>
  <c r="AG65" i="23"/>
  <c r="AA66" i="23"/>
  <c r="AB66" i="23"/>
  <c r="AG66" i="23"/>
  <c r="AA67" i="23"/>
  <c r="AB67" i="23"/>
  <c r="AG67" i="23"/>
  <c r="AA68" i="23"/>
  <c r="AB68" i="23"/>
  <c r="AG68" i="23"/>
  <c r="AA69" i="23"/>
  <c r="AB69" i="23"/>
  <c r="AG69" i="23"/>
  <c r="AA71" i="23"/>
  <c r="AB71" i="23"/>
  <c r="AG71" i="23"/>
  <c r="AA72" i="23"/>
  <c r="AB72" i="23"/>
  <c r="AG72" i="23"/>
  <c r="AA73" i="23"/>
  <c r="AB73" i="23"/>
  <c r="AG73" i="23"/>
  <c r="AA74" i="23"/>
  <c r="AB74" i="23"/>
  <c r="AG74" i="23"/>
  <c r="AA75" i="23"/>
  <c r="AB75" i="23"/>
  <c r="AG75" i="23"/>
  <c r="AA76" i="23"/>
  <c r="AB76" i="23"/>
  <c r="AG76" i="23"/>
  <c r="AA77" i="23"/>
  <c r="AB77" i="23"/>
  <c r="AG77" i="23"/>
  <c r="AA78" i="23"/>
  <c r="AB78" i="23"/>
  <c r="AG78" i="23"/>
  <c r="AF79" i="23"/>
  <c r="AA80" i="23"/>
  <c r="AA81" i="23" s="1"/>
  <c r="AL56" i="23" s="1"/>
  <c r="AN56" i="23" s="1"/>
  <c r="AG80" i="23"/>
  <c r="AG81" i="23" s="1"/>
  <c r="AL58" i="23" s="1"/>
  <c r="AN58" i="23" s="1"/>
  <c r="AG1046" i="19"/>
  <c r="AL1020" i="19"/>
  <c r="AN1020" i="19"/>
  <c r="AN1024" i="19"/>
  <c r="C1011" i="19"/>
  <c r="U972" i="19"/>
  <c r="K972" i="19"/>
  <c r="F972" i="19"/>
  <c r="AG1009" i="19"/>
  <c r="AG1010" i="19"/>
  <c r="AL986" i="19"/>
  <c r="AN986" i="19"/>
  <c r="AB1009" i="19"/>
  <c r="AB1010" i="19"/>
  <c r="AL985" i="19"/>
  <c r="AA1009" i="19"/>
  <c r="AA1010" i="19"/>
  <c r="AL984" i="19"/>
  <c r="AN984" i="19"/>
  <c r="AF1008" i="19"/>
  <c r="AG1007" i="19"/>
  <c r="AB1007" i="19"/>
  <c r="AA1007" i="19"/>
  <c r="AG1006" i="19"/>
  <c r="AB1006" i="19"/>
  <c r="AA1006" i="19"/>
  <c r="AG1005" i="19"/>
  <c r="AB1005" i="19"/>
  <c r="AA1005" i="19"/>
  <c r="AG1004" i="19"/>
  <c r="AB1004" i="19"/>
  <c r="AA1004" i="19"/>
  <c r="AG1003" i="19"/>
  <c r="AB1003" i="19"/>
  <c r="AA1003" i="19"/>
  <c r="AG1002" i="19"/>
  <c r="AB1002" i="19"/>
  <c r="AA1002" i="19"/>
  <c r="AG1001" i="19"/>
  <c r="AB1001" i="19"/>
  <c r="AA1001" i="19"/>
  <c r="AG1000" i="19"/>
  <c r="AB1000" i="19"/>
  <c r="AA1000" i="19"/>
  <c r="AG999" i="19"/>
  <c r="AB999" i="19"/>
  <c r="AA999" i="19"/>
  <c r="AG998" i="19"/>
  <c r="AB998" i="19"/>
  <c r="AA998" i="19"/>
  <c r="AG997" i="19"/>
  <c r="AB997" i="19"/>
  <c r="AA997" i="19"/>
  <c r="AG996" i="19"/>
  <c r="AB996" i="19"/>
  <c r="AA996" i="19"/>
  <c r="AG995" i="19"/>
  <c r="AB995" i="19"/>
  <c r="AA995" i="19"/>
  <c r="AG994" i="19"/>
  <c r="AB994" i="19"/>
  <c r="AA994" i="19"/>
  <c r="AG993" i="19"/>
  <c r="AB993" i="19"/>
  <c r="AA993" i="19"/>
  <c r="AG992" i="19"/>
  <c r="AB992" i="19"/>
  <c r="AA992" i="19"/>
  <c r="AG991" i="19"/>
  <c r="AB991" i="19"/>
  <c r="AA991" i="19"/>
  <c r="AG990" i="19"/>
  <c r="AB990" i="19"/>
  <c r="AA990" i="19"/>
  <c r="AG989" i="19"/>
  <c r="AB989" i="19"/>
  <c r="AA989" i="19"/>
  <c r="AG988" i="19"/>
  <c r="AB988" i="19"/>
  <c r="AA988" i="19"/>
  <c r="AG987" i="19"/>
  <c r="AB987" i="19"/>
  <c r="AA987" i="19"/>
  <c r="AG986" i="19"/>
  <c r="AB986" i="19"/>
  <c r="AA986" i="19"/>
  <c r="AM985" i="19"/>
  <c r="AG985" i="19"/>
  <c r="AB985" i="19"/>
  <c r="AA985" i="19"/>
  <c r="AG984" i="19"/>
  <c r="AB984" i="19"/>
  <c r="AA984" i="19"/>
  <c r="AG983" i="19"/>
  <c r="AB983" i="19"/>
  <c r="AA983" i="19"/>
  <c r="AM982" i="19"/>
  <c r="AG982" i="19"/>
  <c r="AB982" i="19"/>
  <c r="AA982" i="19"/>
  <c r="AA945" i="19"/>
  <c r="AB945" i="19"/>
  <c r="AG945" i="19"/>
  <c r="AM945" i="19"/>
  <c r="AA946" i="19"/>
  <c r="AB946" i="19"/>
  <c r="AG946" i="19"/>
  <c r="AA947" i="19"/>
  <c r="AB947" i="19"/>
  <c r="AG947" i="19"/>
  <c r="AA948" i="19"/>
  <c r="AB948" i="19"/>
  <c r="AG948" i="19"/>
  <c r="AM948" i="19"/>
  <c r="AA949" i="19"/>
  <c r="AB949" i="19"/>
  <c r="AG949" i="19"/>
  <c r="AA950" i="19"/>
  <c r="AB950" i="19"/>
  <c r="AG950" i="19"/>
  <c r="AA951" i="19"/>
  <c r="AB951" i="19"/>
  <c r="AG951" i="19"/>
  <c r="AA952" i="19"/>
  <c r="AB952" i="19"/>
  <c r="AG952" i="19"/>
  <c r="AA953" i="19"/>
  <c r="AB953" i="19"/>
  <c r="AG953" i="19"/>
  <c r="AA954" i="19"/>
  <c r="AB954" i="19"/>
  <c r="AG954" i="19"/>
  <c r="AA955" i="19"/>
  <c r="AB955" i="19"/>
  <c r="AG955" i="19"/>
  <c r="AA956" i="19"/>
  <c r="AB956" i="19"/>
  <c r="AG956" i="19"/>
  <c r="AA957" i="19"/>
  <c r="AB957" i="19"/>
  <c r="AG957" i="19"/>
  <c r="AA958" i="19"/>
  <c r="AB958" i="19"/>
  <c r="AG958" i="19"/>
  <c r="AA959" i="19"/>
  <c r="AB959" i="19"/>
  <c r="AG959" i="19"/>
  <c r="AA960" i="19"/>
  <c r="AB960" i="19"/>
  <c r="AG960" i="19"/>
  <c r="AA961" i="19"/>
  <c r="AB961" i="19"/>
  <c r="AG961" i="19"/>
  <c r="AA962" i="19"/>
  <c r="AB962" i="19"/>
  <c r="AG962" i="19"/>
  <c r="AA963" i="19"/>
  <c r="AB963" i="19"/>
  <c r="AG963" i="19"/>
  <c r="AA964" i="19"/>
  <c r="AB964" i="19"/>
  <c r="AG964" i="19"/>
  <c r="AA965" i="19"/>
  <c r="AB965" i="19"/>
  <c r="AG965" i="19"/>
  <c r="AA966" i="19"/>
  <c r="AB966" i="19"/>
  <c r="AG966" i="19"/>
  <c r="AA967" i="19"/>
  <c r="AB967" i="19"/>
  <c r="AG967" i="19"/>
  <c r="AA968" i="19"/>
  <c r="AB968" i="19"/>
  <c r="AG968" i="19"/>
  <c r="AA969" i="19"/>
  <c r="AB969" i="19"/>
  <c r="AG969" i="19"/>
  <c r="AA970" i="19"/>
  <c r="AB970" i="19"/>
  <c r="AG970" i="19"/>
  <c r="AF971" i="19"/>
  <c r="AA972" i="19"/>
  <c r="AA973" i="19"/>
  <c r="AL947" i="19"/>
  <c r="AN947" i="19"/>
  <c r="AB972" i="19"/>
  <c r="AB973" i="19"/>
  <c r="AL948" i="19"/>
  <c r="AG972" i="19"/>
  <c r="AG973" i="19"/>
  <c r="AL949" i="19"/>
  <c r="AN949" i="19"/>
  <c r="C974" i="19"/>
  <c r="U935" i="19"/>
  <c r="AG971" i="19"/>
  <c r="AL946" i="19"/>
  <c r="AN946" i="19"/>
  <c r="AB971" i="19"/>
  <c r="AL945" i="19"/>
  <c r="AN945" i="19"/>
  <c r="AN948" i="19"/>
  <c r="AA1008" i="19"/>
  <c r="AG1008" i="19"/>
  <c r="AL983" i="19"/>
  <c r="AN983" i="19"/>
  <c r="AB1008" i="19"/>
  <c r="AL982" i="19"/>
  <c r="AN982" i="19"/>
  <c r="AN985" i="19"/>
  <c r="AA971" i="19"/>
  <c r="AL944" i="19"/>
  <c r="AN944" i="19"/>
  <c r="K935" i="19"/>
  <c r="AL981" i="19"/>
  <c r="AN981" i="19"/>
  <c r="AN987" i="19"/>
  <c r="AN950" i="19"/>
  <c r="C937" i="19"/>
  <c r="AG935" i="19"/>
  <c r="AG936" i="19"/>
  <c r="AL911" i="19"/>
  <c r="AN911" i="19"/>
  <c r="AB935" i="19"/>
  <c r="AB936" i="19"/>
  <c r="AL910" i="19"/>
  <c r="AA935" i="19"/>
  <c r="AA936" i="19"/>
  <c r="AL909" i="19"/>
  <c r="AN909" i="19"/>
  <c r="AF934" i="19"/>
  <c r="Z934" i="19"/>
  <c r="Y934" i="19"/>
  <c r="U934" i="19"/>
  <c r="T934" i="19"/>
  <c r="P934" i="19"/>
  <c r="O934" i="19"/>
  <c r="K934" i="19"/>
  <c r="J934" i="19"/>
  <c r="F934" i="19"/>
  <c r="E934" i="19"/>
  <c r="AG933" i="19"/>
  <c r="AB933" i="19"/>
  <c r="AA933" i="19"/>
  <c r="AG932" i="19"/>
  <c r="AB932" i="19"/>
  <c r="AA932" i="19"/>
  <c r="AG931" i="19"/>
  <c r="AB931" i="19"/>
  <c r="AA931" i="19"/>
  <c r="AG930" i="19"/>
  <c r="AB930" i="19"/>
  <c r="AA930" i="19"/>
  <c r="AG929" i="19"/>
  <c r="AB929" i="19"/>
  <c r="AA929" i="19"/>
  <c r="AG928" i="19"/>
  <c r="AB928" i="19"/>
  <c r="AA928" i="19"/>
  <c r="AG927" i="19"/>
  <c r="AB927" i="19"/>
  <c r="AA927" i="19"/>
  <c r="AG926" i="19"/>
  <c r="AB926" i="19"/>
  <c r="AA926" i="19"/>
  <c r="AG925" i="19"/>
  <c r="AB925" i="19"/>
  <c r="AA925" i="19"/>
  <c r="AG924" i="19"/>
  <c r="AB924" i="19"/>
  <c r="AA924" i="19"/>
  <c r="AG923" i="19"/>
  <c r="AB923" i="19"/>
  <c r="AA923" i="19"/>
  <c r="AG922" i="19"/>
  <c r="AB922" i="19"/>
  <c r="AA922" i="19"/>
  <c r="AG921" i="19"/>
  <c r="AB921" i="19"/>
  <c r="AA921" i="19"/>
  <c r="AG920" i="19"/>
  <c r="AB920" i="19"/>
  <c r="AA920" i="19"/>
  <c r="AG919" i="19"/>
  <c r="AB919" i="19"/>
  <c r="AA919" i="19"/>
  <c r="AG918" i="19"/>
  <c r="AB918" i="19"/>
  <c r="AA918" i="19"/>
  <c r="AG917" i="19"/>
  <c r="AB917" i="19"/>
  <c r="AA917" i="19"/>
  <c r="AG916" i="19"/>
  <c r="AB916" i="19"/>
  <c r="AA916" i="19"/>
  <c r="AG915" i="19"/>
  <c r="AB915" i="19"/>
  <c r="AA915" i="19"/>
  <c r="AG914" i="19"/>
  <c r="AB914" i="19"/>
  <c r="AA914" i="19"/>
  <c r="AG913" i="19"/>
  <c r="AB913" i="19"/>
  <c r="AA913" i="19"/>
  <c r="AG912" i="19"/>
  <c r="AB912" i="19"/>
  <c r="AA912" i="19"/>
  <c r="AG911" i="19"/>
  <c r="AB911" i="19"/>
  <c r="AA911" i="19"/>
  <c r="AM910" i="19"/>
  <c r="AG910" i="19"/>
  <c r="AB910" i="19"/>
  <c r="AA910" i="19"/>
  <c r="AG909" i="19"/>
  <c r="AB909" i="19"/>
  <c r="AA909" i="19"/>
  <c r="AG908" i="19"/>
  <c r="AB908" i="19"/>
  <c r="AA908" i="19"/>
  <c r="AM907" i="19"/>
  <c r="AG907" i="19"/>
  <c r="AB907" i="19"/>
  <c r="AA907" i="19"/>
  <c r="AG883" i="19"/>
  <c r="AB883" i="19"/>
  <c r="AA883" i="19"/>
  <c r="AG882" i="19"/>
  <c r="AB882" i="19"/>
  <c r="AA882" i="19"/>
  <c r="AG881" i="19"/>
  <c r="AB881" i="19"/>
  <c r="AA881" i="19"/>
  <c r="C865" i="19"/>
  <c r="C866" i="19"/>
  <c r="C824" i="19"/>
  <c r="C825" i="19"/>
  <c r="AN910" i="19"/>
  <c r="AB934" i="19"/>
  <c r="AA934" i="19"/>
  <c r="AG934" i="19"/>
  <c r="AL908" i="19"/>
  <c r="AN908" i="19"/>
  <c r="Z862" i="19"/>
  <c r="AA845" i="19"/>
  <c r="AB845" i="19"/>
  <c r="AG845" i="19"/>
  <c r="AA846" i="19"/>
  <c r="AB846" i="19"/>
  <c r="AG846" i="19"/>
  <c r="AA847" i="19"/>
  <c r="AB847" i="19"/>
  <c r="AG847" i="19"/>
  <c r="AG842" i="19"/>
  <c r="AB842" i="19"/>
  <c r="AA842" i="19"/>
  <c r="AL907" i="19"/>
  <c r="AN907" i="19"/>
  <c r="AE5" i="19"/>
  <c r="AL906" i="19"/>
  <c r="AN906" i="19"/>
  <c r="AA5" i="19"/>
  <c r="AN912" i="19"/>
  <c r="AA162" i="21"/>
  <c r="AA161" i="21"/>
  <c r="C786" i="19"/>
  <c r="C787" i="19"/>
  <c r="C748" i="19"/>
  <c r="J71" i="21"/>
  <c r="AA216" i="21"/>
  <c r="AA239" i="21"/>
  <c r="AO215" i="21"/>
  <c r="AQ215" i="21"/>
  <c r="AB216" i="21"/>
  <c r="AB239" i="21"/>
  <c r="AO216" i="21"/>
  <c r="AQ216" i="21"/>
  <c r="AJ216" i="21"/>
  <c r="AJ239" i="21"/>
  <c r="AO217" i="21"/>
  <c r="AQ217" i="21"/>
  <c r="AP216" i="21"/>
  <c r="AA217" i="21"/>
  <c r="AB217" i="21"/>
  <c r="AJ217" i="21"/>
  <c r="AA218" i="21"/>
  <c r="AB218" i="21"/>
  <c r="AJ218" i="21"/>
  <c r="AA219" i="21"/>
  <c r="AB219" i="21"/>
  <c r="AJ219" i="21"/>
  <c r="AO219" i="21"/>
  <c r="AQ219" i="21"/>
  <c r="AP219" i="21"/>
  <c r="AA220" i="21"/>
  <c r="AB220" i="21"/>
  <c r="AJ220" i="21"/>
  <c r="AO220" i="21"/>
  <c r="AQ220" i="21"/>
  <c r="AA221" i="21"/>
  <c r="AB221" i="21"/>
  <c r="AJ221" i="21"/>
  <c r="AO221" i="21"/>
  <c r="AQ221" i="21"/>
  <c r="AA222" i="21"/>
  <c r="AB222" i="21"/>
  <c r="AJ222" i="21"/>
  <c r="AA223" i="21"/>
  <c r="AB223" i="21"/>
  <c r="AJ223" i="21"/>
  <c r="AA224" i="21"/>
  <c r="AB224" i="21"/>
  <c r="AJ224" i="21"/>
  <c r="AA225" i="21"/>
  <c r="AB225" i="21"/>
  <c r="AJ225" i="21"/>
  <c r="AA226" i="21"/>
  <c r="AB226" i="21"/>
  <c r="AJ226" i="21"/>
  <c r="AA227" i="21"/>
  <c r="AB227" i="21"/>
  <c r="AJ227" i="21"/>
  <c r="AA228" i="21"/>
  <c r="AB228" i="21"/>
  <c r="AJ228" i="21"/>
  <c r="AA229" i="21"/>
  <c r="AB229" i="21"/>
  <c r="AJ229" i="21"/>
  <c r="AA230" i="21"/>
  <c r="AB230" i="21"/>
  <c r="AJ230" i="21"/>
  <c r="AA231" i="21"/>
  <c r="AB231" i="21"/>
  <c r="AJ231" i="21"/>
  <c r="AA232" i="21"/>
  <c r="AB232" i="21"/>
  <c r="AJ232" i="21"/>
  <c r="AA233" i="21"/>
  <c r="AB233" i="21"/>
  <c r="AJ233" i="21"/>
  <c r="AA234" i="21"/>
  <c r="AB234" i="21"/>
  <c r="AJ234" i="21"/>
  <c r="AA235" i="21"/>
  <c r="AB235" i="21"/>
  <c r="AJ235" i="21"/>
  <c r="AA236" i="21"/>
  <c r="AB236" i="21"/>
  <c r="AJ236" i="21"/>
  <c r="AA237" i="21"/>
  <c r="AB237" i="21"/>
  <c r="AJ237" i="21"/>
  <c r="AA238" i="21"/>
  <c r="AB238" i="21"/>
  <c r="AJ238" i="21"/>
  <c r="E239" i="21"/>
  <c r="F239" i="21"/>
  <c r="J239" i="21"/>
  <c r="K239" i="21"/>
  <c r="O239" i="21"/>
  <c r="P239" i="21"/>
  <c r="T239" i="21"/>
  <c r="U239" i="21"/>
  <c r="Y239" i="21"/>
  <c r="Z239" i="21"/>
  <c r="AF239" i="21"/>
  <c r="AI239" i="21"/>
  <c r="AA240" i="21"/>
  <c r="AA241" i="21"/>
  <c r="AO218" i="21"/>
  <c r="AQ218" i="21"/>
  <c r="AB240" i="21"/>
  <c r="AJ240" i="21"/>
  <c r="AB241" i="21"/>
  <c r="AJ241" i="21"/>
  <c r="AA183" i="21"/>
  <c r="AA206" i="21"/>
  <c r="AO182" i="21"/>
  <c r="AQ182" i="21"/>
  <c r="AB183" i="21"/>
  <c r="AB206" i="21"/>
  <c r="AO183" i="21"/>
  <c r="AQ183" i="21"/>
  <c r="AJ183" i="21"/>
  <c r="AP183" i="21"/>
  <c r="AA184" i="21"/>
  <c r="AB184" i="21"/>
  <c r="AJ184" i="21"/>
  <c r="AA185" i="21"/>
  <c r="AB185" i="21"/>
  <c r="AJ185" i="21"/>
  <c r="AA186" i="21"/>
  <c r="AB186" i="21"/>
  <c r="AJ186" i="21"/>
  <c r="AO186" i="21"/>
  <c r="AQ186" i="21"/>
  <c r="AP186" i="21"/>
  <c r="AA187" i="21"/>
  <c r="AB187" i="21"/>
  <c r="AJ187" i="21"/>
  <c r="AO187" i="21"/>
  <c r="AQ187" i="21"/>
  <c r="AA188" i="21"/>
  <c r="AB188" i="21"/>
  <c r="AJ188" i="21"/>
  <c r="AO188" i="21"/>
  <c r="AQ188" i="21"/>
  <c r="AA189" i="21"/>
  <c r="AB189" i="21"/>
  <c r="AJ189" i="21"/>
  <c r="AA190" i="21"/>
  <c r="AB190" i="21"/>
  <c r="AJ190" i="21"/>
  <c r="AA191" i="21"/>
  <c r="AB191" i="21"/>
  <c r="AJ191" i="21"/>
  <c r="AA192" i="21"/>
  <c r="AB192" i="21"/>
  <c r="AJ192" i="21"/>
  <c r="AA193" i="21"/>
  <c r="AB193" i="21"/>
  <c r="AJ193" i="21"/>
  <c r="AA194" i="21"/>
  <c r="AB194" i="21"/>
  <c r="AJ194" i="21"/>
  <c r="AA195" i="21"/>
  <c r="AB195" i="21"/>
  <c r="AJ195" i="21"/>
  <c r="AA196" i="21"/>
  <c r="AB196" i="21"/>
  <c r="AJ196" i="21"/>
  <c r="AA197" i="21"/>
  <c r="AB197" i="21"/>
  <c r="AJ197" i="21"/>
  <c r="AJ206" i="21"/>
  <c r="AO184" i="21"/>
  <c r="AQ184" i="21"/>
  <c r="AA198" i="21"/>
  <c r="AB198" i="21"/>
  <c r="AJ198" i="21"/>
  <c r="AA199" i="21"/>
  <c r="AB199" i="21"/>
  <c r="AJ199" i="21"/>
  <c r="AA200" i="21"/>
  <c r="AB200" i="21"/>
  <c r="AJ200" i="21"/>
  <c r="AA201" i="21"/>
  <c r="AB201" i="21"/>
  <c r="AJ201" i="21"/>
  <c r="AA202" i="21"/>
  <c r="AB202" i="21"/>
  <c r="AJ202" i="21"/>
  <c r="AA203" i="21"/>
  <c r="AB203" i="21"/>
  <c r="AJ203" i="21"/>
  <c r="AA204" i="21"/>
  <c r="AB204" i="21"/>
  <c r="AJ204" i="21"/>
  <c r="AA205" i="21"/>
  <c r="AB205" i="21"/>
  <c r="AJ205" i="21"/>
  <c r="E206" i="21"/>
  <c r="F206" i="21"/>
  <c r="J206" i="21"/>
  <c r="K206" i="21"/>
  <c r="O206" i="21"/>
  <c r="P206" i="21"/>
  <c r="T206" i="21"/>
  <c r="U206" i="21"/>
  <c r="Y206" i="21"/>
  <c r="Z206" i="21"/>
  <c r="AF206" i="21"/>
  <c r="AI206" i="21"/>
  <c r="AA207" i="21"/>
  <c r="AA208" i="21"/>
  <c r="AO185" i="21"/>
  <c r="AQ185" i="21"/>
  <c r="AB207" i="21"/>
  <c r="AJ207" i="21"/>
  <c r="AB208" i="21"/>
  <c r="AJ208" i="21"/>
  <c r="AJ48" i="21"/>
  <c r="AJ49" i="21"/>
  <c r="AJ50" i="21"/>
  <c r="AJ51" i="21"/>
  <c r="AJ52" i="21"/>
  <c r="AJ53" i="21"/>
  <c r="AJ54" i="21"/>
  <c r="AJ69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70" i="21"/>
  <c r="AJ71" i="21"/>
  <c r="AJ38" i="21"/>
  <c r="AJ17" i="21"/>
  <c r="AJ18" i="21"/>
  <c r="AJ19" i="21"/>
  <c r="AJ20" i="21"/>
  <c r="AJ21" i="21"/>
  <c r="AJ22" i="21"/>
  <c r="AJ23" i="21"/>
  <c r="AJ24" i="21"/>
  <c r="AJ25" i="21"/>
  <c r="AJ26" i="21"/>
  <c r="AJ27" i="21"/>
  <c r="AJ28" i="21"/>
  <c r="AJ29" i="21"/>
  <c r="AJ30" i="21"/>
  <c r="AJ31" i="21"/>
  <c r="AJ32" i="21"/>
  <c r="AJ33" i="21"/>
  <c r="AJ34" i="21"/>
  <c r="AJ35" i="21"/>
  <c r="AJ36" i="21"/>
  <c r="AJ16" i="21"/>
  <c r="AF139" i="21"/>
  <c r="AF173" i="21"/>
  <c r="AF105" i="21"/>
  <c r="AF71" i="21"/>
  <c r="AF37" i="21"/>
  <c r="AF6" i="21"/>
  <c r="AF8" i="21"/>
  <c r="AE4" i="21"/>
  <c r="AA227" i="20"/>
  <c r="AB227" i="20"/>
  <c r="AG227" i="20"/>
  <c r="AM227" i="20"/>
  <c r="AA228" i="20"/>
  <c r="AB228" i="20"/>
  <c r="AG228" i="20"/>
  <c r="AG229" i="20" s="1"/>
  <c r="AL228" i="20" s="1"/>
  <c r="AN228" i="20" s="1"/>
  <c r="E229" i="20"/>
  <c r="F229" i="20"/>
  <c r="J229" i="20"/>
  <c r="K229" i="20"/>
  <c r="O229" i="20"/>
  <c r="P229" i="20"/>
  <c r="T229" i="20"/>
  <c r="U229" i="20"/>
  <c r="Y229" i="20"/>
  <c r="Z229" i="20"/>
  <c r="AF229" i="20"/>
  <c r="AA219" i="20"/>
  <c r="AA221" i="20" s="1"/>
  <c r="AL218" i="20" s="1"/>
  <c r="AN218" i="20" s="1"/>
  <c r="AB219" i="20"/>
  <c r="AG219" i="20"/>
  <c r="AM219" i="20"/>
  <c r="AA220" i="20"/>
  <c r="AB220" i="20"/>
  <c r="AG220" i="20"/>
  <c r="E221" i="20"/>
  <c r="F221" i="20"/>
  <c r="J221" i="20"/>
  <c r="K221" i="20"/>
  <c r="O221" i="20"/>
  <c r="P221" i="20"/>
  <c r="T221" i="20"/>
  <c r="U221" i="20"/>
  <c r="Y221" i="20"/>
  <c r="Z221" i="20"/>
  <c r="AF221" i="20"/>
  <c r="AA211" i="20"/>
  <c r="AB211" i="20"/>
  <c r="AG211" i="20"/>
  <c r="AM211" i="20"/>
  <c r="AA212" i="20"/>
  <c r="AA213" i="20" s="1"/>
  <c r="AL210" i="20" s="1"/>
  <c r="AN210" i="20" s="1"/>
  <c r="AB212" i="20"/>
  <c r="AG212" i="20"/>
  <c r="E213" i="20"/>
  <c r="F213" i="20"/>
  <c r="J213" i="20"/>
  <c r="K213" i="20"/>
  <c r="O213" i="20"/>
  <c r="P213" i="20"/>
  <c r="T213" i="20"/>
  <c r="U213" i="20"/>
  <c r="Y213" i="20"/>
  <c r="Z213" i="20"/>
  <c r="AB213" i="20"/>
  <c r="AL211" i="20"/>
  <c r="AN211" i="20" s="1"/>
  <c r="AF213" i="20"/>
  <c r="AA203" i="20"/>
  <c r="AB203" i="20"/>
  <c r="AG203" i="20"/>
  <c r="AM203" i="20"/>
  <c r="AA204" i="20"/>
  <c r="AB204" i="20"/>
  <c r="AG204" i="20"/>
  <c r="AG205" i="20" s="1"/>
  <c r="AL204" i="20" s="1"/>
  <c r="AN204" i="20" s="1"/>
  <c r="E205" i="20"/>
  <c r="F205" i="20"/>
  <c r="J205" i="20"/>
  <c r="K205" i="20"/>
  <c r="O205" i="20"/>
  <c r="P205" i="20"/>
  <c r="T205" i="20"/>
  <c r="U205" i="20"/>
  <c r="Y205" i="20"/>
  <c r="Z205" i="20"/>
  <c r="AB205" i="20"/>
  <c r="AL203" i="20" s="1"/>
  <c r="AN203" i="20" s="1"/>
  <c r="AF205" i="20"/>
  <c r="AA195" i="20"/>
  <c r="AA197" i="20" s="1"/>
  <c r="AL194" i="20" s="1"/>
  <c r="AN194" i="20" s="1"/>
  <c r="AB195" i="20"/>
  <c r="AG195" i="20"/>
  <c r="AM195" i="20"/>
  <c r="AA196" i="20"/>
  <c r="AB196" i="20"/>
  <c r="AG196" i="20"/>
  <c r="E197" i="20"/>
  <c r="F197" i="20"/>
  <c r="J197" i="20"/>
  <c r="K197" i="20"/>
  <c r="O197" i="20"/>
  <c r="P197" i="20"/>
  <c r="T197" i="20"/>
  <c r="U197" i="20"/>
  <c r="Y197" i="20"/>
  <c r="Z197" i="20"/>
  <c r="AF197" i="20"/>
  <c r="AG197" i="20"/>
  <c r="AL196" i="20" s="1"/>
  <c r="AN196" i="20" s="1"/>
  <c r="AA179" i="20"/>
  <c r="AB179" i="20"/>
  <c r="AG179" i="20"/>
  <c r="AM179" i="20"/>
  <c r="AA180" i="20"/>
  <c r="AA181" i="20" s="1"/>
  <c r="AL178" i="20" s="1"/>
  <c r="AN178" i="20" s="1"/>
  <c r="AB180" i="20"/>
  <c r="AG180" i="20"/>
  <c r="E181" i="20"/>
  <c r="F181" i="20"/>
  <c r="J181" i="20"/>
  <c r="K181" i="20"/>
  <c r="O181" i="20"/>
  <c r="P181" i="20"/>
  <c r="T181" i="20"/>
  <c r="U181" i="20"/>
  <c r="Y181" i="20"/>
  <c r="Z181" i="20"/>
  <c r="AF181" i="20"/>
  <c r="AA187" i="20"/>
  <c r="AB187" i="20"/>
  <c r="AB189" i="20" s="1"/>
  <c r="AL187" i="20" s="1"/>
  <c r="AN187" i="20" s="1"/>
  <c r="AG187" i="20"/>
  <c r="AM187" i="20"/>
  <c r="AA188" i="20"/>
  <c r="AB188" i="20"/>
  <c r="AG188" i="20"/>
  <c r="AG189" i="20"/>
  <c r="AL188" i="20" s="1"/>
  <c r="AN188" i="20" s="1"/>
  <c r="E189" i="20"/>
  <c r="F189" i="20"/>
  <c r="J189" i="20"/>
  <c r="K189" i="20"/>
  <c r="O189" i="20"/>
  <c r="P189" i="20"/>
  <c r="T189" i="20"/>
  <c r="U189" i="20"/>
  <c r="Y189" i="20"/>
  <c r="Z189" i="20"/>
  <c r="AF189" i="20"/>
  <c r="AA171" i="20"/>
  <c r="AB171" i="20"/>
  <c r="AG171" i="20"/>
  <c r="AG173" i="20" s="1"/>
  <c r="AL172" i="20" s="1"/>
  <c r="AN172" i="20" s="1"/>
  <c r="AM171" i="20"/>
  <c r="AA172" i="20"/>
  <c r="AB172" i="20"/>
  <c r="AG172" i="20"/>
  <c r="E173" i="20"/>
  <c r="F173" i="20"/>
  <c r="J173" i="20"/>
  <c r="K173" i="20"/>
  <c r="O173" i="20"/>
  <c r="P173" i="20"/>
  <c r="T173" i="20"/>
  <c r="U173" i="20"/>
  <c r="Y173" i="20"/>
  <c r="Z173" i="20"/>
  <c r="AF173" i="20"/>
  <c r="AA163" i="20"/>
  <c r="AB163" i="20"/>
  <c r="AG163" i="20"/>
  <c r="AM163" i="20"/>
  <c r="AA164" i="20"/>
  <c r="AB164" i="20"/>
  <c r="AG164" i="20"/>
  <c r="AG165" i="20" s="1"/>
  <c r="AL164" i="20" s="1"/>
  <c r="AN164" i="20" s="1"/>
  <c r="E165" i="20"/>
  <c r="F165" i="20"/>
  <c r="J165" i="20"/>
  <c r="K165" i="20"/>
  <c r="O165" i="20"/>
  <c r="P165" i="20"/>
  <c r="T165" i="20"/>
  <c r="U165" i="20"/>
  <c r="Y165" i="20"/>
  <c r="Z165" i="20"/>
  <c r="AF165" i="20"/>
  <c r="AA155" i="20"/>
  <c r="AB155" i="20"/>
  <c r="AB157" i="20" s="1"/>
  <c r="AL155" i="20" s="1"/>
  <c r="AN155" i="20" s="1"/>
  <c r="AG155" i="20"/>
  <c r="AM155" i="20"/>
  <c r="AA156" i="20"/>
  <c r="AB156" i="20"/>
  <c r="AG156" i="20"/>
  <c r="E157" i="20"/>
  <c r="F157" i="20"/>
  <c r="J157" i="20"/>
  <c r="K157" i="20"/>
  <c r="O157" i="20"/>
  <c r="P157" i="20"/>
  <c r="T157" i="20"/>
  <c r="U157" i="20"/>
  <c r="Y157" i="20"/>
  <c r="Z157" i="20"/>
  <c r="AF157" i="20"/>
  <c r="AG157" i="20"/>
  <c r="AL156" i="20" s="1"/>
  <c r="AN156" i="20" s="1"/>
  <c r="AB173" i="20"/>
  <c r="AL171" i="20"/>
  <c r="AG181" i="20"/>
  <c r="AL180" i="20" s="1"/>
  <c r="AN180" i="20" s="1"/>
  <c r="AG213" i="20"/>
  <c r="AL212" i="20" s="1"/>
  <c r="AN212" i="20" s="1"/>
  <c r="AG221" i="20"/>
  <c r="AL220" i="20" s="1"/>
  <c r="AN220" i="20" s="1"/>
  <c r="AB221" i="20"/>
  <c r="AL219" i="20" s="1"/>
  <c r="AN219" i="20" s="1"/>
  <c r="AA229" i="20"/>
  <c r="AL226" i="20" s="1"/>
  <c r="AN226" i="20" s="1"/>
  <c r="AA205" i="20"/>
  <c r="AL202" i="20" s="1"/>
  <c r="AN202" i="20" s="1"/>
  <c r="AA189" i="20"/>
  <c r="AL186" i="20" s="1"/>
  <c r="AN186" i="20" s="1"/>
  <c r="AN189" i="20" s="1"/>
  <c r="AA173" i="20"/>
  <c r="AL170" i="20" s="1"/>
  <c r="AN170" i="20" s="1"/>
  <c r="AA165" i="20"/>
  <c r="AL162" i="20" s="1"/>
  <c r="AN162" i="20" s="1"/>
  <c r="AQ222" i="21"/>
  <c r="AQ189" i="21"/>
  <c r="AE5" i="21"/>
  <c r="C899" i="19"/>
  <c r="AG897" i="19"/>
  <c r="AG898" i="19"/>
  <c r="AL876" i="19"/>
  <c r="AN876" i="19"/>
  <c r="AB897" i="19"/>
  <c r="AB898" i="19"/>
  <c r="AL875" i="19"/>
  <c r="AA897" i="19"/>
  <c r="AA898" i="19"/>
  <c r="AL874" i="19"/>
  <c r="AN874" i="19"/>
  <c r="AF896" i="19"/>
  <c r="Z896" i="19"/>
  <c r="Y896" i="19"/>
  <c r="U896" i="19"/>
  <c r="T896" i="19"/>
  <c r="P896" i="19"/>
  <c r="O896" i="19"/>
  <c r="K896" i="19"/>
  <c r="J896" i="19"/>
  <c r="F896" i="19"/>
  <c r="E896" i="19"/>
  <c r="AG895" i="19"/>
  <c r="AB895" i="19"/>
  <c r="AA895" i="19"/>
  <c r="AG894" i="19"/>
  <c r="AB894" i="19"/>
  <c r="AA894" i="19"/>
  <c r="AG893" i="19"/>
  <c r="AB893" i="19"/>
  <c r="AA893" i="19"/>
  <c r="AG892" i="19"/>
  <c r="AB892" i="19"/>
  <c r="AA892" i="19"/>
  <c r="AG891" i="19"/>
  <c r="AB891" i="19"/>
  <c r="AA891" i="19"/>
  <c r="AG890" i="19"/>
  <c r="AB890" i="19"/>
  <c r="AA890" i="19"/>
  <c r="AG889" i="19"/>
  <c r="AB889" i="19"/>
  <c r="AA889" i="19"/>
  <c r="AG888" i="19"/>
  <c r="AB888" i="19"/>
  <c r="AA888" i="19"/>
  <c r="AG887" i="19"/>
  <c r="AB887" i="19"/>
  <c r="AA887" i="19"/>
  <c r="AG886" i="19"/>
  <c r="AB886" i="19"/>
  <c r="AA886" i="19"/>
  <c r="AG885" i="19"/>
  <c r="AB885" i="19"/>
  <c r="AA885" i="19"/>
  <c r="AG880" i="19"/>
  <c r="AB880" i="19"/>
  <c r="AA880" i="19"/>
  <c r="AG879" i="19"/>
  <c r="AB879" i="19"/>
  <c r="AA879" i="19"/>
  <c r="AG878" i="19"/>
  <c r="AB878" i="19"/>
  <c r="AA878" i="19"/>
  <c r="AG877" i="19"/>
  <c r="AB877" i="19"/>
  <c r="AA877" i="19"/>
  <c r="AG884" i="19"/>
  <c r="AB884" i="19"/>
  <c r="AA884" i="19"/>
  <c r="AG876" i="19"/>
  <c r="AB876" i="19"/>
  <c r="AA876" i="19"/>
  <c r="AG875" i="19"/>
  <c r="AB875" i="19"/>
  <c r="AA875" i="19"/>
  <c r="AM875" i="19"/>
  <c r="AG874" i="19"/>
  <c r="AB874" i="19"/>
  <c r="AA874" i="19"/>
  <c r="AG873" i="19"/>
  <c r="AB873" i="19"/>
  <c r="AA873" i="19"/>
  <c r="AM872" i="19"/>
  <c r="AG872" i="19"/>
  <c r="AB872" i="19"/>
  <c r="AA872" i="19"/>
  <c r="AB896" i="19"/>
  <c r="AL872" i="19"/>
  <c r="AN872" i="19"/>
  <c r="AA896" i="19"/>
  <c r="AL871" i="19"/>
  <c r="AN871" i="19"/>
  <c r="AN875" i="19"/>
  <c r="AG896" i="19"/>
  <c r="AL873" i="19"/>
  <c r="AN873" i="19"/>
  <c r="AA82" i="21"/>
  <c r="C864" i="19"/>
  <c r="AG862" i="19"/>
  <c r="AG863" i="19"/>
  <c r="AL835" i="19"/>
  <c r="AN835" i="19"/>
  <c r="AB862" i="19"/>
  <c r="AB863" i="19"/>
  <c r="AL834" i="19"/>
  <c r="AA862" i="19"/>
  <c r="AA863" i="19"/>
  <c r="AL833" i="19"/>
  <c r="AN833" i="19"/>
  <c r="AF861" i="19"/>
  <c r="Z861" i="19"/>
  <c r="Y861" i="19"/>
  <c r="U861" i="19"/>
  <c r="T861" i="19"/>
  <c r="P861" i="19"/>
  <c r="O861" i="19"/>
  <c r="K861" i="19"/>
  <c r="J861" i="19"/>
  <c r="F861" i="19"/>
  <c r="AG860" i="19"/>
  <c r="AB860" i="19"/>
  <c r="AA860" i="19"/>
  <c r="AG859" i="19"/>
  <c r="AB859" i="19"/>
  <c r="AA859" i="19"/>
  <c r="AG858" i="19"/>
  <c r="AB858" i="19"/>
  <c r="AA858" i="19"/>
  <c r="AG857" i="19"/>
  <c r="AB857" i="19"/>
  <c r="AA857" i="19"/>
  <c r="AG856" i="19"/>
  <c r="AB856" i="19"/>
  <c r="AA856" i="19"/>
  <c r="AG855" i="19"/>
  <c r="AB855" i="19"/>
  <c r="AA855" i="19"/>
  <c r="AG854" i="19"/>
  <c r="AB854" i="19"/>
  <c r="AA854" i="19"/>
  <c r="AG853" i="19"/>
  <c r="AB853" i="19"/>
  <c r="AA853" i="19"/>
  <c r="AG852" i="19"/>
  <c r="AB852" i="19"/>
  <c r="AA852" i="19"/>
  <c r="AG851" i="19"/>
  <c r="AB851" i="19"/>
  <c r="AA851" i="19"/>
  <c r="AG850" i="19"/>
  <c r="AB850" i="19"/>
  <c r="AA850" i="19"/>
  <c r="AG849" i="19"/>
  <c r="AB849" i="19"/>
  <c r="AA849" i="19"/>
  <c r="AG848" i="19"/>
  <c r="AB848" i="19"/>
  <c r="AA848" i="19"/>
  <c r="AG844" i="19"/>
  <c r="AB844" i="19"/>
  <c r="AA844" i="19"/>
  <c r="AG843" i="19"/>
  <c r="AB843" i="19"/>
  <c r="AA843" i="19"/>
  <c r="AG841" i="19"/>
  <c r="AB841" i="19"/>
  <c r="AA841" i="19"/>
  <c r="AG840" i="19"/>
  <c r="AB840" i="19"/>
  <c r="AA840" i="19"/>
  <c r="AG839" i="19"/>
  <c r="AB839" i="19"/>
  <c r="AA839" i="19"/>
  <c r="AG838" i="19"/>
  <c r="AB838" i="19"/>
  <c r="AA838" i="19"/>
  <c r="AG837" i="19"/>
  <c r="AB837" i="19"/>
  <c r="AA837" i="19"/>
  <c r="AG836" i="19"/>
  <c r="AB836" i="19"/>
  <c r="AA836" i="19"/>
  <c r="AG835" i="19"/>
  <c r="AB835" i="19"/>
  <c r="AA835" i="19"/>
  <c r="AM834" i="19"/>
  <c r="AG834" i="19"/>
  <c r="AB834" i="19"/>
  <c r="AA834" i="19"/>
  <c r="AG833" i="19"/>
  <c r="AB833" i="19"/>
  <c r="AA833" i="19"/>
  <c r="AG832" i="19"/>
  <c r="AB832" i="19"/>
  <c r="AA832" i="19"/>
  <c r="AM831" i="19"/>
  <c r="AG831" i="19"/>
  <c r="AB831" i="19"/>
  <c r="AA831" i="19"/>
  <c r="C823" i="19"/>
  <c r="AG821" i="19"/>
  <c r="AG822" i="19"/>
  <c r="AL797" i="19"/>
  <c r="AN797" i="19"/>
  <c r="AB821" i="19"/>
  <c r="AB822" i="19"/>
  <c r="AL796" i="19"/>
  <c r="AA821" i="19"/>
  <c r="AA822" i="19"/>
  <c r="AL795" i="19"/>
  <c r="AN795" i="19"/>
  <c r="AF820" i="19"/>
  <c r="Z820" i="19"/>
  <c r="Y820" i="19"/>
  <c r="U820" i="19"/>
  <c r="T820" i="19"/>
  <c r="P820" i="19"/>
  <c r="O820" i="19"/>
  <c r="K820" i="19"/>
  <c r="J820" i="19"/>
  <c r="F820" i="19"/>
  <c r="E820" i="19"/>
  <c r="AG819" i="19"/>
  <c r="AB819" i="19"/>
  <c r="AA819" i="19"/>
  <c r="AG818" i="19"/>
  <c r="AB818" i="19"/>
  <c r="AA818" i="19"/>
  <c r="AG817" i="19"/>
  <c r="AB817" i="19"/>
  <c r="AA817" i="19"/>
  <c r="AG816" i="19"/>
  <c r="AB816" i="19"/>
  <c r="AA816" i="19"/>
  <c r="AG815" i="19"/>
  <c r="AB815" i="19"/>
  <c r="AA815" i="19"/>
  <c r="AG814" i="19"/>
  <c r="AB814" i="19"/>
  <c r="AA814" i="19"/>
  <c r="AG813" i="19"/>
  <c r="AB813" i="19"/>
  <c r="AA813" i="19"/>
  <c r="AG812" i="19"/>
  <c r="AB812" i="19"/>
  <c r="AA812" i="19"/>
  <c r="AG811" i="19"/>
  <c r="AB811" i="19"/>
  <c r="AA811" i="19"/>
  <c r="AG810" i="19"/>
  <c r="AB810" i="19"/>
  <c r="AA810" i="19"/>
  <c r="AG809" i="19"/>
  <c r="AB809" i="19"/>
  <c r="AA809" i="19"/>
  <c r="AG808" i="19"/>
  <c r="AB808" i="19"/>
  <c r="AA808" i="19"/>
  <c r="AG806" i="19"/>
  <c r="AB806" i="19"/>
  <c r="AA806" i="19"/>
  <c r="AG805" i="19"/>
  <c r="AB805" i="19"/>
  <c r="AA805" i="19"/>
  <c r="AG804" i="19"/>
  <c r="AB804" i="19"/>
  <c r="AA804" i="19"/>
  <c r="AG803" i="19"/>
  <c r="AB803" i="19"/>
  <c r="AA803" i="19"/>
  <c r="AG802" i="19"/>
  <c r="AB802" i="19"/>
  <c r="AA802" i="19"/>
  <c r="AG801" i="19"/>
  <c r="AB801" i="19"/>
  <c r="AA801" i="19"/>
  <c r="AG800" i="19"/>
  <c r="AB800" i="19"/>
  <c r="AA800" i="19"/>
  <c r="AG799" i="19"/>
  <c r="AB799" i="19"/>
  <c r="AA799" i="19"/>
  <c r="AG798" i="19"/>
  <c r="AB798" i="19"/>
  <c r="AA798" i="19"/>
  <c r="AG797" i="19"/>
  <c r="AB797" i="19"/>
  <c r="AA797" i="19"/>
  <c r="AM796" i="19"/>
  <c r="AG796" i="19"/>
  <c r="AB796" i="19"/>
  <c r="AA796" i="19"/>
  <c r="AG795" i="19"/>
  <c r="AB795" i="19"/>
  <c r="AA795" i="19"/>
  <c r="AG794" i="19"/>
  <c r="AB794" i="19"/>
  <c r="AA794" i="19"/>
  <c r="AM793" i="19"/>
  <c r="AG793" i="19"/>
  <c r="AB793" i="19"/>
  <c r="AA793" i="19"/>
  <c r="AB18" i="21"/>
  <c r="AB19" i="21"/>
  <c r="AB20" i="21"/>
  <c r="AB21" i="21"/>
  <c r="AB22" i="21"/>
  <c r="AB23" i="21"/>
  <c r="AB17" i="21"/>
  <c r="AO121" i="21"/>
  <c r="AQ121" i="21"/>
  <c r="T37" i="21"/>
  <c r="AA23" i="21"/>
  <c r="AA22" i="21"/>
  <c r="AA21" i="21"/>
  <c r="AA20" i="21"/>
  <c r="AA19" i="21"/>
  <c r="AA18" i="21"/>
  <c r="AA17" i="21"/>
  <c r="AA16" i="21"/>
  <c r="AA691" i="19"/>
  <c r="AB691" i="19"/>
  <c r="AG691" i="19"/>
  <c r="AA692" i="19"/>
  <c r="AB692" i="19"/>
  <c r="AG692" i="19"/>
  <c r="AA693" i="19"/>
  <c r="AB693" i="19"/>
  <c r="AG693" i="19"/>
  <c r="AA694" i="19"/>
  <c r="AB694" i="19"/>
  <c r="AG694" i="19"/>
  <c r="AA695" i="19"/>
  <c r="AB695" i="19"/>
  <c r="AG695" i="19"/>
  <c r="F334" i="16"/>
  <c r="AA150" i="21"/>
  <c r="AB150" i="21"/>
  <c r="AJ150" i="21"/>
  <c r="AP150" i="21"/>
  <c r="AA151" i="21"/>
  <c r="AB151" i="21"/>
  <c r="AJ151" i="21"/>
  <c r="AA152" i="21"/>
  <c r="AB152" i="21"/>
  <c r="AJ152" i="21"/>
  <c r="AA153" i="21"/>
  <c r="AB153" i="21"/>
  <c r="AJ153" i="21"/>
  <c r="AP153" i="21"/>
  <c r="AA154" i="21"/>
  <c r="AB154" i="21"/>
  <c r="AJ154" i="21"/>
  <c r="AA155" i="21"/>
  <c r="AB155" i="21"/>
  <c r="AJ155" i="21"/>
  <c r="AA156" i="21"/>
  <c r="AB156" i="21"/>
  <c r="AJ156" i="21"/>
  <c r="AA157" i="21"/>
  <c r="AB157" i="21"/>
  <c r="AJ157" i="21"/>
  <c r="AA158" i="21"/>
  <c r="AB158" i="21"/>
  <c r="AJ158" i="21"/>
  <c r="AA159" i="21"/>
  <c r="AB159" i="21"/>
  <c r="AJ159" i="21"/>
  <c r="AA160" i="21"/>
  <c r="AB160" i="21"/>
  <c r="AJ160" i="21"/>
  <c r="AB161" i="21"/>
  <c r="AJ161" i="21"/>
  <c r="AB162" i="21"/>
  <c r="AJ162" i="21"/>
  <c r="AA163" i="21"/>
  <c r="AB163" i="21"/>
  <c r="AJ163" i="21"/>
  <c r="AA164" i="21"/>
  <c r="AB164" i="21"/>
  <c r="AJ164" i="21"/>
  <c r="AA165" i="21"/>
  <c r="AB165" i="21"/>
  <c r="AJ165" i="21"/>
  <c r="AA166" i="21"/>
  <c r="AB166" i="21"/>
  <c r="AJ166" i="21"/>
  <c r="AA167" i="21"/>
  <c r="AB167" i="21"/>
  <c r="AJ167" i="21"/>
  <c r="AA168" i="21"/>
  <c r="AB168" i="21"/>
  <c r="AJ168" i="21"/>
  <c r="AA169" i="21"/>
  <c r="AB169" i="21"/>
  <c r="AJ169" i="21"/>
  <c r="AA170" i="21"/>
  <c r="AB170" i="21"/>
  <c r="AJ170" i="21"/>
  <c r="AA171" i="21"/>
  <c r="AB171" i="21"/>
  <c r="AJ171" i="21"/>
  <c r="AA172" i="21"/>
  <c r="AB172" i="21"/>
  <c r="AJ172" i="21"/>
  <c r="E173" i="21"/>
  <c r="F173" i="21"/>
  <c r="J173" i="21"/>
  <c r="K173" i="21"/>
  <c r="O173" i="21"/>
  <c r="P173" i="21"/>
  <c r="T173" i="21"/>
  <c r="U173" i="21"/>
  <c r="Y173" i="21"/>
  <c r="Z173" i="21"/>
  <c r="AI173" i="21"/>
  <c r="AA174" i="21"/>
  <c r="AA175" i="21"/>
  <c r="AO152" i="21"/>
  <c r="AQ152" i="21"/>
  <c r="AB174" i="21"/>
  <c r="AB175" i="21"/>
  <c r="AO153" i="21"/>
  <c r="AJ174" i="21"/>
  <c r="AJ175" i="21"/>
  <c r="AO154" i="21"/>
  <c r="AQ154" i="21"/>
  <c r="AO155" i="21"/>
  <c r="AQ155" i="21"/>
  <c r="AA116" i="21"/>
  <c r="AB116" i="21"/>
  <c r="AJ116" i="21"/>
  <c r="AP116" i="21"/>
  <c r="AA117" i="21"/>
  <c r="AB117" i="21"/>
  <c r="AJ117" i="21"/>
  <c r="AA118" i="21"/>
  <c r="AB118" i="21"/>
  <c r="AJ118" i="21"/>
  <c r="AA119" i="21"/>
  <c r="AB119" i="21"/>
  <c r="AJ119" i="21"/>
  <c r="AP119" i="21"/>
  <c r="AA120" i="21"/>
  <c r="AB120" i="21"/>
  <c r="AJ120" i="21"/>
  <c r="AA121" i="21"/>
  <c r="AB121" i="21"/>
  <c r="AJ121" i="21"/>
  <c r="AA122" i="21"/>
  <c r="AB122" i="21"/>
  <c r="AJ122" i="21"/>
  <c r="AA123" i="21"/>
  <c r="AB123" i="21"/>
  <c r="AJ123" i="21"/>
  <c r="AA124" i="21"/>
  <c r="AB124" i="21"/>
  <c r="AJ124" i="21"/>
  <c r="AA125" i="21"/>
  <c r="AB125" i="21"/>
  <c r="AJ125" i="21"/>
  <c r="AA126" i="21"/>
  <c r="AB126" i="21"/>
  <c r="AJ126" i="21"/>
  <c r="AA127" i="21"/>
  <c r="AB127" i="21"/>
  <c r="AJ127" i="21"/>
  <c r="AA128" i="21"/>
  <c r="AB128" i="21"/>
  <c r="AJ128" i="21"/>
  <c r="AA129" i="21"/>
  <c r="AB129" i="21"/>
  <c r="AJ129" i="21"/>
  <c r="AA130" i="21"/>
  <c r="AB130" i="21"/>
  <c r="AJ130" i="21"/>
  <c r="AA131" i="21"/>
  <c r="AB131" i="21"/>
  <c r="AJ131" i="21"/>
  <c r="AA132" i="21"/>
  <c r="AB132" i="21"/>
  <c r="AJ132" i="21"/>
  <c r="AA133" i="21"/>
  <c r="AB133" i="21"/>
  <c r="AJ133" i="21"/>
  <c r="AA134" i="21"/>
  <c r="AB134" i="21"/>
  <c r="AJ134" i="21"/>
  <c r="AA135" i="21"/>
  <c r="AB135" i="21"/>
  <c r="AJ135" i="21"/>
  <c r="AA136" i="21"/>
  <c r="AB136" i="21"/>
  <c r="AJ136" i="21"/>
  <c r="AA137" i="21"/>
  <c r="AB137" i="21"/>
  <c r="AJ137" i="21"/>
  <c r="AA138" i="21"/>
  <c r="AB138" i="21"/>
  <c r="AJ138" i="21"/>
  <c r="E139" i="21"/>
  <c r="F139" i="21"/>
  <c r="J139" i="21"/>
  <c r="K139" i="21"/>
  <c r="O139" i="21"/>
  <c r="P139" i="21"/>
  <c r="T139" i="21"/>
  <c r="U139" i="21"/>
  <c r="Y139" i="21"/>
  <c r="Z139" i="21"/>
  <c r="AI139" i="21"/>
  <c r="AA140" i="21"/>
  <c r="AA141" i="21"/>
  <c r="AO118" i="21"/>
  <c r="AQ118" i="21"/>
  <c r="AB140" i="21"/>
  <c r="AB141" i="21"/>
  <c r="AO119" i="21"/>
  <c r="AJ140" i="21"/>
  <c r="AJ141" i="21"/>
  <c r="AO120" i="21"/>
  <c r="AQ120" i="21"/>
  <c r="AB82" i="21"/>
  <c r="AJ82" i="21"/>
  <c r="AP82" i="21"/>
  <c r="AA83" i="21"/>
  <c r="AB83" i="21"/>
  <c r="AJ83" i="21"/>
  <c r="AA84" i="21"/>
  <c r="AB84" i="21"/>
  <c r="AJ84" i="21"/>
  <c r="AA85" i="21"/>
  <c r="AB85" i="21"/>
  <c r="AJ85" i="21"/>
  <c r="AP85" i="21"/>
  <c r="AA86" i="21"/>
  <c r="AB86" i="21"/>
  <c r="AJ86" i="21"/>
  <c r="AA87" i="21"/>
  <c r="AB87" i="21"/>
  <c r="AJ87" i="21"/>
  <c r="AA88" i="21"/>
  <c r="AB88" i="21"/>
  <c r="AJ88" i="21"/>
  <c r="AA89" i="21"/>
  <c r="AB89" i="21"/>
  <c r="AJ89" i="21"/>
  <c r="AA90" i="21"/>
  <c r="AB90" i="21"/>
  <c r="AJ90" i="21"/>
  <c r="AA91" i="21"/>
  <c r="AB91" i="21"/>
  <c r="AJ91" i="21"/>
  <c r="AA92" i="21"/>
  <c r="AB92" i="21"/>
  <c r="AJ92" i="21"/>
  <c r="AA93" i="21"/>
  <c r="AB93" i="21"/>
  <c r="AJ93" i="21"/>
  <c r="AA94" i="21"/>
  <c r="AB94" i="21"/>
  <c r="AJ94" i="21"/>
  <c r="AA95" i="21"/>
  <c r="AB95" i="21"/>
  <c r="AJ95" i="21"/>
  <c r="AA96" i="21"/>
  <c r="AB96" i="21"/>
  <c r="AJ96" i="21"/>
  <c r="AA97" i="21"/>
  <c r="AB97" i="21"/>
  <c r="AJ97" i="21"/>
  <c r="AA98" i="21"/>
  <c r="AB98" i="21"/>
  <c r="AJ98" i="21"/>
  <c r="AA99" i="21"/>
  <c r="AB99" i="21"/>
  <c r="AJ99" i="21"/>
  <c r="AA100" i="21"/>
  <c r="AB100" i="21"/>
  <c r="AJ100" i="21"/>
  <c r="AA101" i="21"/>
  <c r="AB101" i="21"/>
  <c r="AJ101" i="21"/>
  <c r="AA102" i="21"/>
  <c r="AB102" i="21"/>
  <c r="AJ102" i="21"/>
  <c r="AA103" i="21"/>
  <c r="AB103" i="21"/>
  <c r="AJ103" i="21"/>
  <c r="AA104" i="21"/>
  <c r="AB104" i="21"/>
  <c r="AJ104" i="21"/>
  <c r="F105" i="21"/>
  <c r="K105" i="21"/>
  <c r="O105" i="21"/>
  <c r="P105" i="21"/>
  <c r="T105" i="21"/>
  <c r="U105" i="21"/>
  <c r="Y105" i="21"/>
  <c r="Z105" i="21"/>
  <c r="AI105" i="21"/>
  <c r="AA106" i="21"/>
  <c r="AA107" i="21"/>
  <c r="AO84" i="21"/>
  <c r="AQ84" i="21"/>
  <c r="AB106" i="21"/>
  <c r="AB107" i="21"/>
  <c r="AO85" i="21"/>
  <c r="AJ106" i="21"/>
  <c r="AJ107" i="21"/>
  <c r="AO86" i="21"/>
  <c r="AQ86" i="21"/>
  <c r="AO87" i="21"/>
  <c r="AQ87" i="21"/>
  <c r="AA48" i="21"/>
  <c r="AB48" i="21"/>
  <c r="AP48" i="21"/>
  <c r="AA49" i="21"/>
  <c r="AB49" i="21"/>
  <c r="AA50" i="21"/>
  <c r="AB50" i="21"/>
  <c r="AA51" i="21"/>
  <c r="AB51" i="21"/>
  <c r="AP51" i="21"/>
  <c r="AA52" i="21"/>
  <c r="AB52" i="21"/>
  <c r="AA53" i="21"/>
  <c r="AB53" i="21"/>
  <c r="AA54" i="21"/>
  <c r="AB54" i="21"/>
  <c r="AA55" i="21"/>
  <c r="AB55" i="21"/>
  <c r="AA56" i="21"/>
  <c r="AB56" i="21"/>
  <c r="AA57" i="21"/>
  <c r="AB57" i="21"/>
  <c r="AA58" i="21"/>
  <c r="AB58" i="21"/>
  <c r="AA59" i="21"/>
  <c r="AB59" i="21"/>
  <c r="AA60" i="21"/>
  <c r="AB60" i="21"/>
  <c r="AA61" i="21"/>
  <c r="AB61" i="21"/>
  <c r="AA62" i="21"/>
  <c r="AB62" i="21"/>
  <c r="AA63" i="21"/>
  <c r="AB63" i="21"/>
  <c r="AA64" i="21"/>
  <c r="AB64" i="21"/>
  <c r="AA65" i="21"/>
  <c r="AB65" i="21"/>
  <c r="AA66" i="21"/>
  <c r="AB66" i="21"/>
  <c r="AA67" i="21"/>
  <c r="AB67" i="21"/>
  <c r="AA68" i="21"/>
  <c r="AB68" i="21"/>
  <c r="AA69" i="21"/>
  <c r="AB69" i="21"/>
  <c r="AA70" i="21"/>
  <c r="AB70" i="21"/>
  <c r="E71" i="21"/>
  <c r="F71" i="21"/>
  <c r="K71" i="21"/>
  <c r="O71" i="21"/>
  <c r="P71" i="21"/>
  <c r="T71" i="21"/>
  <c r="U71" i="21"/>
  <c r="Y71" i="21"/>
  <c r="Z71" i="21"/>
  <c r="AI71" i="21"/>
  <c r="AA72" i="21"/>
  <c r="AA73" i="21"/>
  <c r="AO50" i="21"/>
  <c r="AQ50" i="21"/>
  <c r="AB72" i="21"/>
  <c r="AB73" i="21"/>
  <c r="AO51" i="21"/>
  <c r="AJ72" i="21"/>
  <c r="AJ73" i="21"/>
  <c r="AO52" i="21"/>
  <c r="AQ52" i="21"/>
  <c r="AO53" i="21"/>
  <c r="AQ53" i="21"/>
  <c r="AB16" i="21"/>
  <c r="AP16" i="21"/>
  <c r="AP19" i="21"/>
  <c r="AA24" i="21"/>
  <c r="AB24" i="21"/>
  <c r="AA25" i="21"/>
  <c r="AB25" i="21"/>
  <c r="AA26" i="21"/>
  <c r="AB26" i="21"/>
  <c r="AA27" i="21"/>
  <c r="AB27" i="21"/>
  <c r="AA28" i="21"/>
  <c r="AB28" i="21"/>
  <c r="AA29" i="21"/>
  <c r="AB29" i="21"/>
  <c r="AA30" i="21"/>
  <c r="AB30" i="21"/>
  <c r="AA31" i="21"/>
  <c r="AB31" i="21"/>
  <c r="AA32" i="21"/>
  <c r="AB32" i="21"/>
  <c r="AA33" i="21"/>
  <c r="AB33" i="21"/>
  <c r="AA36" i="21"/>
  <c r="AB36" i="21"/>
  <c r="E37" i="21"/>
  <c r="F37" i="21"/>
  <c r="J37" i="21"/>
  <c r="K37" i="21"/>
  <c r="O37" i="21"/>
  <c r="P37" i="21"/>
  <c r="U37" i="21"/>
  <c r="Y37" i="21"/>
  <c r="Z37" i="21"/>
  <c r="AI37" i="21"/>
  <c r="AA38" i="21"/>
  <c r="AA39" i="21"/>
  <c r="AB38" i="21"/>
  <c r="AB39" i="21"/>
  <c r="AO19" i="21"/>
  <c r="AJ39" i="21"/>
  <c r="C40" i="21"/>
  <c r="AO21" i="21"/>
  <c r="AQ21" i="21"/>
  <c r="H894" i="13"/>
  <c r="L894" i="13"/>
  <c r="P894" i="13"/>
  <c r="T894" i="13"/>
  <c r="X894" i="13"/>
  <c r="AB894" i="13"/>
  <c r="F896" i="13"/>
  <c r="J896" i="13"/>
  <c r="N896" i="13"/>
  <c r="R896" i="13"/>
  <c r="V896" i="13"/>
  <c r="AF896" i="13"/>
  <c r="Z896" i="13"/>
  <c r="AD896" i="13"/>
  <c r="F897" i="13"/>
  <c r="J897" i="13"/>
  <c r="N897" i="13"/>
  <c r="R897" i="13"/>
  <c r="V897" i="13"/>
  <c r="AF897" i="13"/>
  <c r="Z897" i="13"/>
  <c r="AD897" i="13"/>
  <c r="F898" i="13"/>
  <c r="J898" i="13"/>
  <c r="N898" i="13"/>
  <c r="R898" i="13"/>
  <c r="V898" i="13"/>
  <c r="AF898" i="13"/>
  <c r="Z898" i="13"/>
  <c r="AD898" i="13"/>
  <c r="F899" i="13"/>
  <c r="J899" i="13"/>
  <c r="N899" i="13"/>
  <c r="R899" i="13"/>
  <c r="V899" i="13"/>
  <c r="AF899" i="13"/>
  <c r="Z899" i="13"/>
  <c r="AD899" i="13"/>
  <c r="F900" i="13"/>
  <c r="J900" i="13"/>
  <c r="N900" i="13"/>
  <c r="R900" i="13"/>
  <c r="V900" i="13"/>
  <c r="Z900" i="13"/>
  <c r="AD900" i="13"/>
  <c r="F901" i="13"/>
  <c r="J901" i="13"/>
  <c r="N901" i="13"/>
  <c r="R901" i="13"/>
  <c r="V901" i="13"/>
  <c r="Z901" i="13"/>
  <c r="AD901" i="13"/>
  <c r="F902" i="13"/>
  <c r="AF902" i="13"/>
  <c r="J902" i="13"/>
  <c r="N902" i="13"/>
  <c r="R902" i="13"/>
  <c r="V902" i="13"/>
  <c r="Z902" i="13"/>
  <c r="AD902" i="13"/>
  <c r="F903" i="13"/>
  <c r="AF903" i="13"/>
  <c r="J903" i="13"/>
  <c r="N903" i="13"/>
  <c r="R903" i="13"/>
  <c r="V903" i="13"/>
  <c r="Z903" i="13"/>
  <c r="AD903" i="13"/>
  <c r="F904" i="13"/>
  <c r="J904" i="13"/>
  <c r="N904" i="13"/>
  <c r="R904" i="13"/>
  <c r="V904" i="13"/>
  <c r="Z904" i="13"/>
  <c r="AD904" i="13"/>
  <c r="F905" i="13"/>
  <c r="J905" i="13"/>
  <c r="N905" i="13"/>
  <c r="R905" i="13"/>
  <c r="V905" i="13"/>
  <c r="Z905" i="13"/>
  <c r="AD905" i="13"/>
  <c r="F906" i="13"/>
  <c r="J906" i="13"/>
  <c r="AF906" i="13"/>
  <c r="N906" i="13"/>
  <c r="R906" i="13"/>
  <c r="V906" i="13"/>
  <c r="Z906" i="13"/>
  <c r="AD906" i="13"/>
  <c r="F907" i="13"/>
  <c r="J907" i="13"/>
  <c r="AF907" i="13"/>
  <c r="N907" i="13"/>
  <c r="R907" i="13"/>
  <c r="V907" i="13"/>
  <c r="Z907" i="13"/>
  <c r="AD907" i="13"/>
  <c r="AF909" i="13"/>
  <c r="AF910" i="13"/>
  <c r="AN834" i="19"/>
  <c r="AG861" i="19"/>
  <c r="AL832" i="19"/>
  <c r="AN832" i="19"/>
  <c r="AF7" i="21"/>
  <c r="AE3" i="21"/>
  <c r="AA9" i="21"/>
  <c r="AA8" i="21"/>
  <c r="AB861" i="19"/>
  <c r="AL831" i="19"/>
  <c r="AN831" i="19"/>
  <c r="AA820" i="19"/>
  <c r="AL792" i="19"/>
  <c r="AN792" i="19"/>
  <c r="AB820" i="19"/>
  <c r="AL793" i="19"/>
  <c r="AN793" i="19"/>
  <c r="AN796" i="19"/>
  <c r="AN877" i="19"/>
  <c r="AG820" i="19"/>
  <c r="AL794" i="19"/>
  <c r="AN794" i="19"/>
  <c r="AA861" i="19"/>
  <c r="AL830" i="19"/>
  <c r="AN830" i="19"/>
  <c r="AQ51" i="21"/>
  <c r="AQ19" i="21"/>
  <c r="AQ153" i="21"/>
  <c r="AQ85" i="21"/>
  <c r="AJ105" i="21"/>
  <c r="AO83" i="21"/>
  <c r="AQ83" i="21"/>
  <c r="AB71" i="21"/>
  <c r="AJ139" i="21"/>
  <c r="AO117" i="21"/>
  <c r="AQ117" i="21"/>
  <c r="AJ37" i="21"/>
  <c r="AO17" i="21"/>
  <c r="AQ17" i="21"/>
  <c r="AQ119" i="21"/>
  <c r="AJ173" i="21"/>
  <c r="AO151" i="21"/>
  <c r="AQ151" i="21"/>
  <c r="AB105" i="21"/>
  <c r="AO82" i="21"/>
  <c r="AQ82" i="21"/>
  <c r="AA71" i="21"/>
  <c r="AO47" i="21"/>
  <c r="AQ47" i="21"/>
  <c r="AB173" i="21"/>
  <c r="AO150" i="21"/>
  <c r="AQ150" i="21"/>
  <c r="AA173" i="21"/>
  <c r="AO149" i="21"/>
  <c r="AQ149" i="21"/>
  <c r="AB139" i="21"/>
  <c r="AO116" i="21"/>
  <c r="AQ116" i="21"/>
  <c r="AA139" i="21"/>
  <c r="AO115" i="21"/>
  <c r="AQ115" i="21"/>
  <c r="AA105" i="21"/>
  <c r="AO81" i="21"/>
  <c r="AQ81" i="21"/>
  <c r="AO49" i="21"/>
  <c r="AQ49" i="21"/>
  <c r="AB37" i="21"/>
  <c r="AA37" i="21"/>
  <c r="AO20" i="21"/>
  <c r="AQ20" i="21"/>
  <c r="AO18" i="21"/>
  <c r="AQ18" i="21"/>
  <c r="AA648" i="19"/>
  <c r="AB648" i="19"/>
  <c r="AG648" i="19"/>
  <c r="AA649" i="19"/>
  <c r="AB649" i="19"/>
  <c r="AG649" i="19"/>
  <c r="AA650" i="19"/>
  <c r="AB650" i="19"/>
  <c r="AG650" i="19"/>
  <c r="AA651" i="19"/>
  <c r="AB651" i="19"/>
  <c r="AG651" i="19"/>
  <c r="AN837" i="19"/>
  <c r="AN799" i="19"/>
  <c r="AO48" i="21"/>
  <c r="AQ48" i="21"/>
  <c r="AQ54" i="21"/>
  <c r="AA7" i="21"/>
  <c r="AE2" i="21"/>
  <c r="AO16" i="21"/>
  <c r="AQ16" i="21"/>
  <c r="AQ88" i="21"/>
  <c r="AQ122" i="21"/>
  <c r="AQ156" i="21"/>
  <c r="AO15" i="21"/>
  <c r="AQ15" i="21"/>
  <c r="AD786" i="13"/>
  <c r="Z786" i="13"/>
  <c r="V786" i="13"/>
  <c r="R786" i="13"/>
  <c r="N786" i="13"/>
  <c r="J786" i="13"/>
  <c r="AF786" i="13"/>
  <c r="F786" i="13"/>
  <c r="F781" i="13"/>
  <c r="J781" i="13"/>
  <c r="N781" i="13"/>
  <c r="R781" i="13"/>
  <c r="V781" i="13"/>
  <c r="Z781" i="13"/>
  <c r="AD781" i="13"/>
  <c r="F782" i="13"/>
  <c r="J782" i="13"/>
  <c r="N782" i="13"/>
  <c r="R782" i="13"/>
  <c r="V782" i="13"/>
  <c r="Z782" i="13"/>
  <c r="AD782" i="13"/>
  <c r="F779" i="13"/>
  <c r="J779" i="13"/>
  <c r="N779" i="13"/>
  <c r="R779" i="13"/>
  <c r="V779" i="13"/>
  <c r="Z779" i="13"/>
  <c r="AD779" i="13"/>
  <c r="F780" i="13"/>
  <c r="J780" i="13"/>
  <c r="N780" i="13"/>
  <c r="R780" i="13"/>
  <c r="V780" i="13"/>
  <c r="Z780" i="13"/>
  <c r="AD780" i="13"/>
  <c r="F777" i="13"/>
  <c r="J777" i="13"/>
  <c r="N777" i="13"/>
  <c r="R777" i="13"/>
  <c r="V777" i="13"/>
  <c r="Z777" i="13"/>
  <c r="AD777" i="13"/>
  <c r="F778" i="13"/>
  <c r="J778" i="13"/>
  <c r="N778" i="13"/>
  <c r="R778" i="13"/>
  <c r="V778" i="13"/>
  <c r="Z778" i="13"/>
  <c r="AD778" i="13"/>
  <c r="F773" i="13"/>
  <c r="J773" i="13"/>
  <c r="N773" i="13"/>
  <c r="R773" i="13"/>
  <c r="V773" i="13"/>
  <c r="Z773" i="13"/>
  <c r="AD773" i="13"/>
  <c r="F774" i="13"/>
  <c r="J774" i="13"/>
  <c r="N774" i="13"/>
  <c r="R774" i="13"/>
  <c r="V774" i="13"/>
  <c r="Z774" i="13"/>
  <c r="AD774" i="13"/>
  <c r="F775" i="13"/>
  <c r="J775" i="13"/>
  <c r="N775" i="13"/>
  <c r="R775" i="13"/>
  <c r="V775" i="13"/>
  <c r="Z775" i="13"/>
  <c r="AD775" i="13"/>
  <c r="F776" i="13"/>
  <c r="J776" i="13"/>
  <c r="N776" i="13"/>
  <c r="R776" i="13"/>
  <c r="V776" i="13"/>
  <c r="Z776" i="13"/>
  <c r="AD776" i="13"/>
  <c r="AQ22" i="21"/>
  <c r="AF778" i="13"/>
  <c r="AF782" i="13"/>
  <c r="AF780" i="13"/>
  <c r="AF773" i="13"/>
  <c r="AF774" i="13"/>
  <c r="C582" i="19"/>
  <c r="C785" i="19"/>
  <c r="AG783" i="19"/>
  <c r="AG784" i="19"/>
  <c r="AL758" i="19"/>
  <c r="AN758" i="19"/>
  <c r="AB783" i="19"/>
  <c r="AB784" i="19"/>
  <c r="AL757" i="19"/>
  <c r="AA783" i="19"/>
  <c r="AA784" i="19"/>
  <c r="AL756" i="19"/>
  <c r="AN756" i="19"/>
  <c r="AF782" i="19"/>
  <c r="Z782" i="19"/>
  <c r="Y782" i="19"/>
  <c r="U782" i="19"/>
  <c r="T782" i="19"/>
  <c r="P782" i="19"/>
  <c r="O782" i="19"/>
  <c r="K782" i="19"/>
  <c r="J782" i="19"/>
  <c r="F782" i="19"/>
  <c r="E782" i="19"/>
  <c r="AG781" i="19"/>
  <c r="AB781" i="19"/>
  <c r="AA781" i="19"/>
  <c r="AG780" i="19"/>
  <c r="AB780" i="19"/>
  <c r="AA780" i="19"/>
  <c r="AG779" i="19"/>
  <c r="AB779" i="19"/>
  <c r="AA779" i="19"/>
  <c r="AG778" i="19"/>
  <c r="AB778" i="19"/>
  <c r="AA778" i="19"/>
  <c r="AG777" i="19"/>
  <c r="AB777" i="19"/>
  <c r="AA777" i="19"/>
  <c r="AG776" i="19"/>
  <c r="AB776" i="19"/>
  <c r="AA776" i="19"/>
  <c r="AG775" i="19"/>
  <c r="AB775" i="19"/>
  <c r="AA775" i="19"/>
  <c r="AG774" i="19"/>
  <c r="AB774" i="19"/>
  <c r="AA774" i="19"/>
  <c r="AG773" i="19"/>
  <c r="AB773" i="19"/>
  <c r="AA773" i="19"/>
  <c r="AG772" i="19"/>
  <c r="AB772" i="19"/>
  <c r="AA772" i="19"/>
  <c r="AG771" i="19"/>
  <c r="AB771" i="19"/>
  <c r="AA771" i="19"/>
  <c r="AG770" i="19"/>
  <c r="AB770" i="19"/>
  <c r="AA770" i="19"/>
  <c r="AG769" i="19"/>
  <c r="AB769" i="19"/>
  <c r="AA769" i="19"/>
  <c r="AG768" i="19"/>
  <c r="AB768" i="19"/>
  <c r="AA768" i="19"/>
  <c r="AG767" i="19"/>
  <c r="AB767" i="19"/>
  <c r="AA767" i="19"/>
  <c r="AG766" i="19"/>
  <c r="AB766" i="19"/>
  <c r="AA766" i="19"/>
  <c r="AG765" i="19"/>
  <c r="AB765" i="19"/>
  <c r="AA765" i="19"/>
  <c r="AG764" i="19"/>
  <c r="AB764" i="19"/>
  <c r="AA764" i="19"/>
  <c r="AG763" i="19"/>
  <c r="AB763" i="19"/>
  <c r="AA763" i="19"/>
  <c r="AG762" i="19"/>
  <c r="AB762" i="19"/>
  <c r="AA762" i="19"/>
  <c r="AG761" i="19"/>
  <c r="AB761" i="19"/>
  <c r="AA761" i="19"/>
  <c r="AG760" i="19"/>
  <c r="AB760" i="19"/>
  <c r="AA760" i="19"/>
  <c r="AG759" i="19"/>
  <c r="AB759" i="19"/>
  <c r="AA759" i="19"/>
  <c r="AG758" i="19"/>
  <c r="AB758" i="19"/>
  <c r="AA758" i="19"/>
  <c r="AG757" i="19"/>
  <c r="AB757" i="19"/>
  <c r="AA757" i="19"/>
  <c r="AM757" i="19"/>
  <c r="AG756" i="19"/>
  <c r="AB756" i="19"/>
  <c r="AA756" i="19"/>
  <c r="AG755" i="19"/>
  <c r="AB755" i="19"/>
  <c r="AA755" i="19"/>
  <c r="AM754" i="19"/>
  <c r="AG754" i="19"/>
  <c r="AB754" i="19"/>
  <c r="AA754" i="19"/>
  <c r="C746" i="19"/>
  <c r="AG744" i="19"/>
  <c r="AG745" i="19"/>
  <c r="AL719" i="19"/>
  <c r="AN719" i="19"/>
  <c r="AB744" i="19"/>
  <c r="AB745" i="19"/>
  <c r="AL718" i="19"/>
  <c r="AA744" i="19"/>
  <c r="AA745" i="19"/>
  <c r="AL717" i="19"/>
  <c r="AN717" i="19"/>
  <c r="AF743" i="19"/>
  <c r="Z743" i="19"/>
  <c r="Y743" i="19"/>
  <c r="U743" i="19"/>
  <c r="T743" i="19"/>
  <c r="P743" i="19"/>
  <c r="K743" i="19"/>
  <c r="J743" i="19"/>
  <c r="F743" i="19"/>
  <c r="E743" i="19"/>
  <c r="AG742" i="19"/>
  <c r="AB742" i="19"/>
  <c r="AA742" i="19"/>
  <c r="AG741" i="19"/>
  <c r="AB741" i="19"/>
  <c r="AA741" i="19"/>
  <c r="AG740" i="19"/>
  <c r="AB740" i="19"/>
  <c r="AA740" i="19"/>
  <c r="AG739" i="19"/>
  <c r="AB739" i="19"/>
  <c r="AA739" i="19"/>
  <c r="AG738" i="19"/>
  <c r="AB738" i="19"/>
  <c r="AA738" i="19"/>
  <c r="AG737" i="19"/>
  <c r="AB737" i="19"/>
  <c r="AA737" i="19"/>
  <c r="AG736" i="19"/>
  <c r="AB736" i="19"/>
  <c r="AA736" i="19"/>
  <c r="AG735" i="19"/>
  <c r="AB735" i="19"/>
  <c r="AA735" i="19"/>
  <c r="AG734" i="19"/>
  <c r="AB734" i="19"/>
  <c r="AA734" i="19"/>
  <c r="AG733" i="19"/>
  <c r="AB733" i="19"/>
  <c r="AA733" i="19"/>
  <c r="AG732" i="19"/>
  <c r="AB732" i="19"/>
  <c r="AA732" i="19"/>
  <c r="AG731" i="19"/>
  <c r="AB731" i="19"/>
  <c r="AA731" i="19"/>
  <c r="AG730" i="19"/>
  <c r="AB730" i="19"/>
  <c r="AA730" i="19"/>
  <c r="AG729" i="19"/>
  <c r="AB729" i="19"/>
  <c r="AA729" i="19"/>
  <c r="AG728" i="19"/>
  <c r="AB728" i="19"/>
  <c r="AA728" i="19"/>
  <c r="AG727" i="19"/>
  <c r="AB727" i="19"/>
  <c r="AA727" i="19"/>
  <c r="AG726" i="19"/>
  <c r="AB726" i="19"/>
  <c r="AA726" i="19"/>
  <c r="AG725" i="19"/>
  <c r="AB725" i="19"/>
  <c r="AA725" i="19"/>
  <c r="AG724" i="19"/>
  <c r="AB724" i="19"/>
  <c r="AA724" i="19"/>
  <c r="AG723" i="19"/>
  <c r="AB723" i="19"/>
  <c r="AA723" i="19"/>
  <c r="AG722" i="19"/>
  <c r="AB722" i="19"/>
  <c r="AA722" i="19"/>
  <c r="AG721" i="19"/>
  <c r="AB721" i="19"/>
  <c r="AA721" i="19"/>
  <c r="AG720" i="19"/>
  <c r="AB720" i="19"/>
  <c r="AA720" i="19"/>
  <c r="AG719" i="19"/>
  <c r="AB719" i="19"/>
  <c r="AA719" i="19"/>
  <c r="AG718" i="19"/>
  <c r="AB718" i="19"/>
  <c r="AA718" i="19"/>
  <c r="AM718" i="19"/>
  <c r="AG717" i="19"/>
  <c r="AB717" i="19"/>
  <c r="AA717" i="19"/>
  <c r="AG716" i="19"/>
  <c r="AB716" i="19"/>
  <c r="AA716" i="19"/>
  <c r="AM715" i="19"/>
  <c r="AG715" i="19"/>
  <c r="AB715" i="19"/>
  <c r="AA715" i="19"/>
  <c r="H877" i="13"/>
  <c r="L877" i="13"/>
  <c r="P877" i="13"/>
  <c r="T877" i="13"/>
  <c r="X877" i="13"/>
  <c r="AB877" i="13"/>
  <c r="F879" i="13"/>
  <c r="J879" i="13"/>
  <c r="N879" i="13"/>
  <c r="R879" i="13"/>
  <c r="V879" i="13"/>
  <c r="Z879" i="13"/>
  <c r="AD879" i="13"/>
  <c r="F880" i="13"/>
  <c r="J880" i="13"/>
  <c r="N880" i="13"/>
  <c r="R880" i="13"/>
  <c r="V880" i="13"/>
  <c r="Z880" i="13"/>
  <c r="AD880" i="13"/>
  <c r="F881" i="13"/>
  <c r="J881" i="13"/>
  <c r="N881" i="13"/>
  <c r="R881" i="13"/>
  <c r="V881" i="13"/>
  <c r="Z881" i="13"/>
  <c r="AD881" i="13"/>
  <c r="F882" i="13"/>
  <c r="J882" i="13"/>
  <c r="N882" i="13"/>
  <c r="R882" i="13"/>
  <c r="V882" i="13"/>
  <c r="Z882" i="13"/>
  <c r="AD882" i="13"/>
  <c r="F883" i="13"/>
  <c r="J883" i="13"/>
  <c r="N883" i="13"/>
  <c r="R883" i="13"/>
  <c r="V883" i="13"/>
  <c r="Z883" i="13"/>
  <c r="AD883" i="13"/>
  <c r="F884" i="13"/>
  <c r="J884" i="13"/>
  <c r="N884" i="13"/>
  <c r="R884" i="13"/>
  <c r="V884" i="13"/>
  <c r="Z884" i="13"/>
  <c r="AD884" i="13"/>
  <c r="F885" i="13"/>
  <c r="J885" i="13"/>
  <c r="N885" i="13"/>
  <c r="R885" i="13"/>
  <c r="V885" i="13"/>
  <c r="Z885" i="13"/>
  <c r="AD885" i="13"/>
  <c r="F886" i="13"/>
  <c r="J886" i="13"/>
  <c r="N886" i="13"/>
  <c r="R886" i="13"/>
  <c r="V886" i="13"/>
  <c r="Z886" i="13"/>
  <c r="AD886" i="13"/>
  <c r="F887" i="13"/>
  <c r="J887" i="13"/>
  <c r="N887" i="13"/>
  <c r="R887" i="13"/>
  <c r="V887" i="13"/>
  <c r="Z887" i="13"/>
  <c r="AD887" i="13"/>
  <c r="F888" i="13"/>
  <c r="J888" i="13"/>
  <c r="N888" i="13"/>
  <c r="R888" i="13"/>
  <c r="V888" i="13"/>
  <c r="Z888" i="13"/>
  <c r="AD888" i="13"/>
  <c r="F889" i="13"/>
  <c r="J889" i="13"/>
  <c r="N889" i="13"/>
  <c r="R889" i="13"/>
  <c r="V889" i="13"/>
  <c r="Z889" i="13"/>
  <c r="AD889" i="13"/>
  <c r="F890" i="13"/>
  <c r="J890" i="13"/>
  <c r="N890" i="13"/>
  <c r="R890" i="13"/>
  <c r="V890" i="13"/>
  <c r="Z890" i="13"/>
  <c r="AD890" i="13"/>
  <c r="AF892" i="13"/>
  <c r="AF893" i="13"/>
  <c r="H860" i="13"/>
  <c r="L860" i="13"/>
  <c r="P860" i="13"/>
  <c r="T860" i="13"/>
  <c r="X860" i="13"/>
  <c r="AB860" i="13"/>
  <c r="F862" i="13"/>
  <c r="J862" i="13"/>
  <c r="N862" i="13"/>
  <c r="R862" i="13"/>
  <c r="V862" i="13"/>
  <c r="Z862" i="13"/>
  <c r="AD862" i="13"/>
  <c r="F863" i="13"/>
  <c r="J863" i="13"/>
  <c r="N863" i="13"/>
  <c r="R863" i="13"/>
  <c r="V863" i="13"/>
  <c r="Z863" i="13"/>
  <c r="AD863" i="13"/>
  <c r="F864" i="13"/>
  <c r="J864" i="13"/>
  <c r="N864" i="13"/>
  <c r="R864" i="13"/>
  <c r="V864" i="13"/>
  <c r="Z864" i="13"/>
  <c r="AD864" i="13"/>
  <c r="F865" i="13"/>
  <c r="J865" i="13"/>
  <c r="N865" i="13"/>
  <c r="R865" i="13"/>
  <c r="V865" i="13"/>
  <c r="Z865" i="13"/>
  <c r="AD865" i="13"/>
  <c r="F866" i="13"/>
  <c r="J866" i="13"/>
  <c r="N866" i="13"/>
  <c r="R866" i="13"/>
  <c r="V866" i="13"/>
  <c r="Z866" i="13"/>
  <c r="AD866" i="13"/>
  <c r="F867" i="13"/>
  <c r="J867" i="13"/>
  <c r="N867" i="13"/>
  <c r="R867" i="13"/>
  <c r="V867" i="13"/>
  <c r="Z867" i="13"/>
  <c r="AD867" i="13"/>
  <c r="F868" i="13"/>
  <c r="J868" i="13"/>
  <c r="N868" i="13"/>
  <c r="R868" i="13"/>
  <c r="V868" i="13"/>
  <c r="Z868" i="13"/>
  <c r="AD868" i="13"/>
  <c r="F869" i="13"/>
  <c r="J869" i="13"/>
  <c r="N869" i="13"/>
  <c r="R869" i="13"/>
  <c r="V869" i="13"/>
  <c r="Z869" i="13"/>
  <c r="AD869" i="13"/>
  <c r="F870" i="13"/>
  <c r="J870" i="13"/>
  <c r="N870" i="13"/>
  <c r="R870" i="13"/>
  <c r="V870" i="13"/>
  <c r="Z870" i="13"/>
  <c r="AD870" i="13"/>
  <c r="F871" i="13"/>
  <c r="J871" i="13"/>
  <c r="N871" i="13"/>
  <c r="R871" i="13"/>
  <c r="V871" i="13"/>
  <c r="Z871" i="13"/>
  <c r="AD871" i="13"/>
  <c r="F872" i="13"/>
  <c r="J872" i="13"/>
  <c r="N872" i="13"/>
  <c r="R872" i="13"/>
  <c r="V872" i="13"/>
  <c r="Z872" i="13"/>
  <c r="AD872" i="13"/>
  <c r="F873" i="13"/>
  <c r="J873" i="13"/>
  <c r="N873" i="13"/>
  <c r="R873" i="13"/>
  <c r="V873" i="13"/>
  <c r="Z873" i="13"/>
  <c r="AD873" i="13"/>
  <c r="AF875" i="13"/>
  <c r="AF876" i="13"/>
  <c r="U623" i="19"/>
  <c r="C626" i="19"/>
  <c r="C627" i="19"/>
  <c r="AB743" i="19"/>
  <c r="AL715" i="19"/>
  <c r="AN715" i="19"/>
  <c r="AN718" i="19"/>
  <c r="AN757" i="19"/>
  <c r="AG782" i="19"/>
  <c r="AL755" i="19"/>
  <c r="AN755" i="19"/>
  <c r="AB782" i="19"/>
  <c r="AL754" i="19"/>
  <c r="AN754" i="19"/>
  <c r="AA782" i="19"/>
  <c r="AG743" i="19"/>
  <c r="AL716" i="19"/>
  <c r="AN716" i="19"/>
  <c r="AF862" i="13"/>
  <c r="AF889" i="13"/>
  <c r="AF879" i="13"/>
  <c r="AF863" i="13"/>
  <c r="AF872" i="13"/>
  <c r="AF864" i="13"/>
  <c r="AF865" i="13"/>
  <c r="AF880" i="13"/>
  <c r="AF868" i="13"/>
  <c r="AF881" i="13"/>
  <c r="AF885" i="13"/>
  <c r="AF886" i="13"/>
  <c r="AF873" i="13"/>
  <c r="AF890" i="13"/>
  <c r="AF869" i="13"/>
  <c r="AF882" i="13"/>
  <c r="AA743" i="19"/>
  <c r="AL714" i="19"/>
  <c r="AN714" i="19"/>
  <c r="F317" i="16"/>
  <c r="AL753" i="19"/>
  <c r="AN753" i="19"/>
  <c r="AN760" i="19"/>
  <c r="AN721" i="19"/>
  <c r="AG619" i="19"/>
  <c r="AB619" i="19"/>
  <c r="AA619" i="19"/>
  <c r="AB552" i="19"/>
  <c r="C707" i="19"/>
  <c r="AG705" i="19"/>
  <c r="AG706" i="19"/>
  <c r="AL680" i="19"/>
  <c r="AN680" i="19"/>
  <c r="AB705" i="19"/>
  <c r="AB706" i="19"/>
  <c r="AL679" i="19"/>
  <c r="AA705" i="19"/>
  <c r="AA706" i="19"/>
  <c r="AL678" i="19"/>
  <c r="AN678" i="19"/>
  <c r="AF704" i="19"/>
  <c r="Z704" i="19"/>
  <c r="Y704" i="19"/>
  <c r="U704" i="19"/>
  <c r="T704" i="19"/>
  <c r="P704" i="19"/>
  <c r="K704" i="19"/>
  <c r="J704" i="19"/>
  <c r="F704" i="19"/>
  <c r="E704" i="19"/>
  <c r="AG703" i="19"/>
  <c r="AB703" i="19"/>
  <c r="AA703" i="19"/>
  <c r="AG702" i="19"/>
  <c r="AB702" i="19"/>
  <c r="AA702" i="19"/>
  <c r="AG701" i="19"/>
  <c r="AB701" i="19"/>
  <c r="AA701" i="19"/>
  <c r="AG700" i="19"/>
  <c r="AB700" i="19"/>
  <c r="AA700" i="19"/>
  <c r="AG699" i="19"/>
  <c r="AB699" i="19"/>
  <c r="AA699" i="19"/>
  <c r="AG698" i="19"/>
  <c r="AB698" i="19"/>
  <c r="AA698" i="19"/>
  <c r="AG697" i="19"/>
  <c r="AB697" i="19"/>
  <c r="AA697" i="19"/>
  <c r="AG696" i="19"/>
  <c r="AB696" i="19"/>
  <c r="AA696" i="19"/>
  <c r="AG690" i="19"/>
  <c r="AB690" i="19"/>
  <c r="AA690" i="19"/>
  <c r="AG689" i="19"/>
  <c r="AB689" i="19"/>
  <c r="AA689" i="19"/>
  <c r="AG688" i="19"/>
  <c r="AB688" i="19"/>
  <c r="AA688" i="19"/>
  <c r="AG687" i="19"/>
  <c r="AB687" i="19"/>
  <c r="AA687" i="19"/>
  <c r="AG686" i="19"/>
  <c r="AB686" i="19"/>
  <c r="AA686" i="19"/>
  <c r="AG685" i="19"/>
  <c r="AB685" i="19"/>
  <c r="AA685" i="19"/>
  <c r="AG684" i="19"/>
  <c r="AB684" i="19"/>
  <c r="AA684" i="19"/>
  <c r="AG683" i="19"/>
  <c r="AB683" i="19"/>
  <c r="AA683" i="19"/>
  <c r="AG682" i="19"/>
  <c r="AB682" i="19"/>
  <c r="AA682" i="19"/>
  <c r="AG681" i="19"/>
  <c r="AB681" i="19"/>
  <c r="AA681" i="19"/>
  <c r="AG680" i="19"/>
  <c r="AB680" i="19"/>
  <c r="AA680" i="19"/>
  <c r="AG679" i="19"/>
  <c r="AB679" i="19"/>
  <c r="AA679" i="19"/>
  <c r="AM679" i="19"/>
  <c r="AG678" i="19"/>
  <c r="AB678" i="19"/>
  <c r="AA678" i="19"/>
  <c r="AG677" i="19"/>
  <c r="AB677" i="19"/>
  <c r="AA677" i="19"/>
  <c r="AM676" i="19"/>
  <c r="AG676" i="19"/>
  <c r="AB676" i="19"/>
  <c r="AA676" i="19"/>
  <c r="AG666" i="19"/>
  <c r="AG667" i="19"/>
  <c r="AL637" i="19"/>
  <c r="AN637" i="19"/>
  <c r="AB666" i="19"/>
  <c r="AB667" i="19"/>
  <c r="AL636" i="19"/>
  <c r="AA666" i="19"/>
  <c r="AA667" i="19"/>
  <c r="AL635" i="19"/>
  <c r="AN635" i="19"/>
  <c r="AF665" i="19"/>
  <c r="Z665" i="19"/>
  <c r="Y665" i="19"/>
  <c r="U665" i="19"/>
  <c r="T665" i="19"/>
  <c r="P665" i="19"/>
  <c r="O665" i="19"/>
  <c r="K665" i="19"/>
  <c r="J665" i="19"/>
  <c r="F665" i="19"/>
  <c r="E665" i="19"/>
  <c r="AG664" i="19"/>
  <c r="AB664" i="19"/>
  <c r="AA664" i="19"/>
  <c r="AG663" i="19"/>
  <c r="AB663" i="19"/>
  <c r="AA663" i="19"/>
  <c r="AG662" i="19"/>
  <c r="AB662" i="19"/>
  <c r="AA662" i="19"/>
  <c r="AG661" i="19"/>
  <c r="AB661" i="19"/>
  <c r="AA661" i="19"/>
  <c r="AG660" i="19"/>
  <c r="AB660" i="19"/>
  <c r="AA660" i="19"/>
  <c r="AG659" i="19"/>
  <c r="AB659" i="19"/>
  <c r="AA659" i="19"/>
  <c r="AG658" i="19"/>
  <c r="AB658" i="19"/>
  <c r="AA658" i="19"/>
  <c r="AG657" i="19"/>
  <c r="AB657" i="19"/>
  <c r="AA657" i="19"/>
  <c r="AG656" i="19"/>
  <c r="AB656" i="19"/>
  <c r="AA656" i="19"/>
  <c r="AG655" i="19"/>
  <c r="AB655" i="19"/>
  <c r="AA655" i="19"/>
  <c r="AG654" i="19"/>
  <c r="AB654" i="19"/>
  <c r="AA654" i="19"/>
  <c r="AG653" i="19"/>
  <c r="AB653" i="19"/>
  <c r="AA653" i="19"/>
  <c r="AG652" i="19"/>
  <c r="AB652" i="19"/>
  <c r="AA652" i="19"/>
  <c r="AG647" i="19"/>
  <c r="AB647" i="19"/>
  <c r="AA647" i="19"/>
  <c r="AG646" i="19"/>
  <c r="AB646" i="19"/>
  <c r="AA646" i="19"/>
  <c r="AG645" i="19"/>
  <c r="AB645" i="19"/>
  <c r="AA645" i="19"/>
  <c r="AG644" i="19"/>
  <c r="AB644" i="19"/>
  <c r="AA644" i="19"/>
  <c r="AG643" i="19"/>
  <c r="AB643" i="19"/>
  <c r="AA643" i="19"/>
  <c r="AG642" i="19"/>
  <c r="AB642" i="19"/>
  <c r="AA642" i="19"/>
  <c r="AG641" i="19"/>
  <c r="AB641" i="19"/>
  <c r="AA641" i="19"/>
  <c r="AG640" i="19"/>
  <c r="AB640" i="19"/>
  <c r="AA640" i="19"/>
  <c r="AG639" i="19"/>
  <c r="AB639" i="19"/>
  <c r="AA639" i="19"/>
  <c r="AG638" i="19"/>
  <c r="AB638" i="19"/>
  <c r="AA638" i="19"/>
  <c r="AG637" i="19"/>
  <c r="AB637" i="19"/>
  <c r="AA637" i="19"/>
  <c r="AG636" i="19"/>
  <c r="AB636" i="19"/>
  <c r="AA636" i="19"/>
  <c r="AM636" i="19"/>
  <c r="AG635" i="19"/>
  <c r="AB635" i="19"/>
  <c r="AA635" i="19"/>
  <c r="AG634" i="19"/>
  <c r="AB634" i="19"/>
  <c r="AA634" i="19"/>
  <c r="AM633" i="19"/>
  <c r="AG633" i="19"/>
  <c r="AB633" i="19"/>
  <c r="AA633" i="19"/>
  <c r="AA147" i="20"/>
  <c r="AA149" i="20" s="1"/>
  <c r="AL146" i="20" s="1"/>
  <c r="AN146" i="20" s="1"/>
  <c r="AB147" i="20"/>
  <c r="AG147" i="20"/>
  <c r="AM147" i="20"/>
  <c r="AA148" i="20"/>
  <c r="AB148" i="20"/>
  <c r="AG148" i="20"/>
  <c r="AG149" i="20" s="1"/>
  <c r="AL148" i="20" s="1"/>
  <c r="AN148" i="20" s="1"/>
  <c r="E149" i="20"/>
  <c r="F149" i="20"/>
  <c r="J149" i="20"/>
  <c r="K149" i="20"/>
  <c r="O149" i="20"/>
  <c r="P149" i="20"/>
  <c r="T149" i="20"/>
  <c r="U149" i="20"/>
  <c r="Y149" i="20"/>
  <c r="Z149" i="20"/>
  <c r="AF149" i="20"/>
  <c r="AA139" i="20"/>
  <c r="AB139" i="20"/>
  <c r="AG139" i="20"/>
  <c r="AM139" i="20"/>
  <c r="AA140" i="20"/>
  <c r="AB140" i="20"/>
  <c r="AG140" i="20"/>
  <c r="AG141" i="20" s="1"/>
  <c r="AL140" i="20" s="1"/>
  <c r="AN140" i="20" s="1"/>
  <c r="E141" i="20"/>
  <c r="F141" i="20"/>
  <c r="J141" i="20"/>
  <c r="K141" i="20"/>
  <c r="O141" i="20"/>
  <c r="P141" i="20"/>
  <c r="T141" i="20"/>
  <c r="U141" i="20"/>
  <c r="Y141" i="20"/>
  <c r="Z141" i="20"/>
  <c r="AF141" i="20"/>
  <c r="AA131" i="20"/>
  <c r="AB131" i="20"/>
  <c r="AG131" i="20"/>
  <c r="AM131" i="20"/>
  <c r="AA132" i="20"/>
  <c r="AA133" i="20" s="1"/>
  <c r="AL130" i="20" s="1"/>
  <c r="AN130" i="20" s="1"/>
  <c r="AB132" i="20"/>
  <c r="AB133" i="20" s="1"/>
  <c r="AL131" i="20" s="1"/>
  <c r="AG132" i="20"/>
  <c r="AG133" i="20"/>
  <c r="AL132" i="20" s="1"/>
  <c r="AN132" i="20" s="1"/>
  <c r="E133" i="20"/>
  <c r="F133" i="20"/>
  <c r="J133" i="20"/>
  <c r="K133" i="20"/>
  <c r="O133" i="20"/>
  <c r="P133" i="20"/>
  <c r="T133" i="20"/>
  <c r="U133" i="20"/>
  <c r="Y133" i="20"/>
  <c r="Z133" i="20"/>
  <c r="AF133" i="20"/>
  <c r="AA123" i="20"/>
  <c r="AB123" i="20"/>
  <c r="AB125" i="20" s="1"/>
  <c r="AL123" i="20" s="1"/>
  <c r="AN123" i="20" s="1"/>
  <c r="AG123" i="20"/>
  <c r="AM123" i="20"/>
  <c r="AA124" i="20"/>
  <c r="AA125" i="20" s="1"/>
  <c r="AL122" i="20" s="1"/>
  <c r="AN122" i="20" s="1"/>
  <c r="AB124" i="20"/>
  <c r="AG124" i="20"/>
  <c r="E125" i="20"/>
  <c r="F125" i="20"/>
  <c r="J125" i="20"/>
  <c r="K125" i="20"/>
  <c r="O125" i="20"/>
  <c r="P125" i="20"/>
  <c r="T125" i="20"/>
  <c r="U125" i="20"/>
  <c r="Y125" i="20"/>
  <c r="Z125" i="20"/>
  <c r="AF125" i="20"/>
  <c r="AG125" i="20"/>
  <c r="AL124" i="20" s="1"/>
  <c r="AN124" i="20" s="1"/>
  <c r="AB149" i="20"/>
  <c r="AL147" i="20" s="1"/>
  <c r="AN147" i="20" s="1"/>
  <c r="AA141" i="20"/>
  <c r="AL138" i="20" s="1"/>
  <c r="AN138" i="20" s="1"/>
  <c r="AG704" i="19"/>
  <c r="AL677" i="19"/>
  <c r="AN677" i="19"/>
  <c r="AA704" i="19"/>
  <c r="AL675" i="19"/>
  <c r="AN675" i="19"/>
  <c r="AB704" i="19"/>
  <c r="AL676" i="19"/>
  <c r="AN676" i="19"/>
  <c r="AA665" i="19"/>
  <c r="AG665" i="19"/>
  <c r="AL634" i="19"/>
  <c r="AN634" i="19"/>
  <c r="AN636" i="19"/>
  <c r="AN679" i="19"/>
  <c r="AB665" i="19"/>
  <c r="AN682" i="19"/>
  <c r="AL632" i="19"/>
  <c r="AN632" i="19"/>
  <c r="AL633" i="19"/>
  <c r="AN633" i="19"/>
  <c r="C539" i="19"/>
  <c r="C540" i="19"/>
  <c r="C495" i="19"/>
  <c r="C494" i="19"/>
  <c r="AN639" i="19"/>
  <c r="C625" i="19"/>
  <c r="AG623" i="19"/>
  <c r="AG624" i="19"/>
  <c r="AL593" i="19"/>
  <c r="AN593" i="19"/>
  <c r="AB623" i="19"/>
  <c r="AB624" i="19"/>
  <c r="AL592" i="19"/>
  <c r="AA623" i="19"/>
  <c r="AA624" i="19"/>
  <c r="AF622" i="19"/>
  <c r="Z622" i="19"/>
  <c r="Y622" i="19"/>
  <c r="U622" i="19"/>
  <c r="T622" i="19"/>
  <c r="P622" i="19"/>
  <c r="O622" i="19"/>
  <c r="K622" i="19"/>
  <c r="J622" i="19"/>
  <c r="F622" i="19"/>
  <c r="E622" i="19"/>
  <c r="AG621" i="19"/>
  <c r="AB621" i="19"/>
  <c r="AA621" i="19"/>
  <c r="AG620" i="19"/>
  <c r="AB620" i="19"/>
  <c r="AA620" i="19"/>
  <c r="AG618" i="19"/>
  <c r="AB618" i="19"/>
  <c r="AA618" i="19"/>
  <c r="AG617" i="19"/>
  <c r="AB617" i="19"/>
  <c r="AA617" i="19"/>
  <c r="AG616" i="19"/>
  <c r="AB616" i="19"/>
  <c r="AA616" i="19"/>
  <c r="AG615" i="19"/>
  <c r="AB615" i="19"/>
  <c r="AA615" i="19"/>
  <c r="AG614" i="19"/>
  <c r="AB614" i="19"/>
  <c r="AA614" i="19"/>
  <c r="AG613" i="19"/>
  <c r="AB613" i="19"/>
  <c r="AA613" i="19"/>
  <c r="AG612" i="19"/>
  <c r="AB612" i="19"/>
  <c r="AA612" i="19"/>
  <c r="AG611" i="19"/>
  <c r="AB611" i="19"/>
  <c r="AA611" i="19"/>
  <c r="AG610" i="19"/>
  <c r="AB610" i="19"/>
  <c r="AA610" i="19"/>
  <c r="AG609" i="19"/>
  <c r="AB609" i="19"/>
  <c r="AA609" i="19"/>
  <c r="AG608" i="19"/>
  <c r="AB608" i="19"/>
  <c r="AA608" i="19"/>
  <c r="AG607" i="19"/>
  <c r="AB607" i="19"/>
  <c r="AA607" i="19"/>
  <c r="AG606" i="19"/>
  <c r="AB606" i="19"/>
  <c r="AA606" i="19"/>
  <c r="AG605" i="19"/>
  <c r="AB605" i="19"/>
  <c r="AA605" i="19"/>
  <c r="AG604" i="19"/>
  <c r="AB604" i="19"/>
  <c r="AA604" i="19"/>
  <c r="AG603" i="19"/>
  <c r="AB603" i="19"/>
  <c r="AA603" i="19"/>
  <c r="AG602" i="19"/>
  <c r="AB602" i="19"/>
  <c r="AA602" i="19"/>
  <c r="AG601" i="19"/>
  <c r="AB601" i="19"/>
  <c r="AA601" i="19"/>
  <c r="AG600" i="19"/>
  <c r="AB600" i="19"/>
  <c r="AA600" i="19"/>
  <c r="AG599" i="19"/>
  <c r="AB599" i="19"/>
  <c r="AA599" i="19"/>
  <c r="AG598" i="19"/>
  <c r="AB598" i="19"/>
  <c r="AA598" i="19"/>
  <c r="AG597" i="19"/>
  <c r="AB597" i="19"/>
  <c r="AA597" i="19"/>
  <c r="AG596" i="19"/>
  <c r="AB596" i="19"/>
  <c r="AA596" i="19"/>
  <c r="AG595" i="19"/>
  <c r="AB595" i="19"/>
  <c r="AA595" i="19"/>
  <c r="AG594" i="19"/>
  <c r="AB594" i="19"/>
  <c r="AA594" i="19"/>
  <c r="AG593" i="19"/>
  <c r="AB593" i="19"/>
  <c r="AA593" i="19"/>
  <c r="AM592" i="19"/>
  <c r="AG592" i="19"/>
  <c r="AB592" i="19"/>
  <c r="AA592" i="19"/>
  <c r="AG591" i="19"/>
  <c r="AB591" i="19"/>
  <c r="AA591" i="19"/>
  <c r="AG590" i="19"/>
  <c r="AB590" i="19"/>
  <c r="AA590" i="19"/>
  <c r="AM589" i="19"/>
  <c r="AG589" i="19"/>
  <c r="AB589" i="19"/>
  <c r="AA589" i="19"/>
  <c r="AL591" i="19"/>
  <c r="AN591" i="19"/>
  <c r="AG622" i="19"/>
  <c r="AL590" i="19"/>
  <c r="AN590" i="19"/>
  <c r="AB622" i="19"/>
  <c r="AL589" i="19"/>
  <c r="AN589" i="19"/>
  <c r="AN592" i="19"/>
  <c r="AA622" i="19"/>
  <c r="AL588" i="19"/>
  <c r="AN588" i="19"/>
  <c r="AA423" i="19"/>
  <c r="AA424" i="19"/>
  <c r="AA425" i="19"/>
  <c r="AA115" i="20"/>
  <c r="AA116" i="20"/>
  <c r="AB115" i="20"/>
  <c r="AG115" i="20"/>
  <c r="AB116" i="20"/>
  <c r="AM115" i="20"/>
  <c r="AG116" i="20"/>
  <c r="E117" i="20"/>
  <c r="F117" i="20"/>
  <c r="J117" i="20"/>
  <c r="K117" i="20"/>
  <c r="O117" i="20"/>
  <c r="P117" i="20"/>
  <c r="T117" i="20"/>
  <c r="U117" i="20"/>
  <c r="Y117" i="20"/>
  <c r="Z117" i="20"/>
  <c r="AF117" i="20"/>
  <c r="AA107" i="20"/>
  <c r="AA108" i="20"/>
  <c r="AB107" i="20"/>
  <c r="AB109" i="20" s="1"/>
  <c r="AL107" i="20" s="1"/>
  <c r="AN107" i="20" s="1"/>
  <c r="AG107" i="20"/>
  <c r="AB108" i="20"/>
  <c r="AM107" i="20"/>
  <c r="AG108" i="20"/>
  <c r="AG109" i="20"/>
  <c r="AL108" i="20" s="1"/>
  <c r="AN108" i="20" s="1"/>
  <c r="E109" i="20"/>
  <c r="F109" i="20"/>
  <c r="J109" i="20"/>
  <c r="K109" i="20"/>
  <c r="O109" i="20"/>
  <c r="P109" i="20"/>
  <c r="T109" i="20"/>
  <c r="U109" i="20"/>
  <c r="Y109" i="20"/>
  <c r="Z109" i="20"/>
  <c r="AF109" i="20"/>
  <c r="AA99" i="20"/>
  <c r="AA100" i="20"/>
  <c r="AB99" i="20"/>
  <c r="AG99" i="20"/>
  <c r="AB100" i="20"/>
  <c r="AM99" i="20"/>
  <c r="AG100" i="20"/>
  <c r="E101" i="20"/>
  <c r="F101" i="20"/>
  <c r="J101" i="20"/>
  <c r="K101" i="20"/>
  <c r="O101" i="20"/>
  <c r="P101" i="20"/>
  <c r="T101" i="20"/>
  <c r="U101" i="20"/>
  <c r="Y101" i="20"/>
  <c r="Z101" i="20"/>
  <c r="AF101" i="20"/>
  <c r="C450" i="19"/>
  <c r="C449" i="19"/>
  <c r="AG60" i="19"/>
  <c r="AG61" i="19"/>
  <c r="AB60" i="19"/>
  <c r="AB61" i="19"/>
  <c r="AL21" i="19"/>
  <c r="AB106" i="19"/>
  <c r="AB107" i="19"/>
  <c r="AL73" i="19"/>
  <c r="AF106" i="19"/>
  <c r="AG106" i="19"/>
  <c r="AG107" i="19"/>
  <c r="AL74" i="19"/>
  <c r="AN74" i="19"/>
  <c r="AB147" i="19"/>
  <c r="AB148" i="19"/>
  <c r="AL119" i="19"/>
  <c r="AG147" i="19"/>
  <c r="AG148" i="19"/>
  <c r="AL120" i="19"/>
  <c r="AN120" i="19"/>
  <c r="AB188" i="19"/>
  <c r="AB189" i="19"/>
  <c r="AL160" i="19"/>
  <c r="AG188" i="19"/>
  <c r="AG189" i="19"/>
  <c r="AL161" i="19"/>
  <c r="AN161" i="19"/>
  <c r="AB229" i="19"/>
  <c r="AB230" i="19"/>
  <c r="AL201" i="19"/>
  <c r="AF229" i="19"/>
  <c r="AG229" i="19"/>
  <c r="AG230" i="19"/>
  <c r="AL202" i="19"/>
  <c r="AN202" i="19"/>
  <c r="AB270" i="19"/>
  <c r="AB271" i="19"/>
  <c r="AL242" i="19"/>
  <c r="AG270" i="19"/>
  <c r="AG271" i="19"/>
  <c r="AL243" i="19"/>
  <c r="AN243" i="19"/>
  <c r="AB311" i="19"/>
  <c r="AB312" i="19"/>
  <c r="AL283" i="19"/>
  <c r="AG311" i="19"/>
  <c r="AG312" i="19"/>
  <c r="AL284" i="19"/>
  <c r="AN284" i="19"/>
  <c r="AB356" i="19"/>
  <c r="AB357" i="19"/>
  <c r="AL324" i="19"/>
  <c r="AG356" i="19"/>
  <c r="AG357" i="19"/>
  <c r="AL325" i="19"/>
  <c r="AN325" i="19"/>
  <c r="AB401" i="19"/>
  <c r="AB402" i="19"/>
  <c r="AL369" i="19"/>
  <c r="AG401" i="19"/>
  <c r="AG402" i="19"/>
  <c r="AL370" i="19"/>
  <c r="AN370" i="19"/>
  <c r="AB446" i="19"/>
  <c r="AB447" i="19"/>
  <c r="AL414" i="19"/>
  <c r="AG446" i="19"/>
  <c r="AG447" i="19"/>
  <c r="AL415" i="19"/>
  <c r="AN415" i="19"/>
  <c r="AB491" i="19"/>
  <c r="AB492" i="19"/>
  <c r="AG491" i="19"/>
  <c r="AG492" i="19"/>
  <c r="AL460" i="19"/>
  <c r="AN460" i="19"/>
  <c r="AB536" i="19"/>
  <c r="AB537" i="19"/>
  <c r="AL504" i="19"/>
  <c r="AG536" i="19"/>
  <c r="AG537" i="19"/>
  <c r="AL505" i="19"/>
  <c r="AN505" i="19"/>
  <c r="AB579" i="19"/>
  <c r="AB580" i="19"/>
  <c r="AL549" i="19"/>
  <c r="AG579" i="19"/>
  <c r="AG580" i="19"/>
  <c r="AL550" i="19"/>
  <c r="AN550" i="19"/>
  <c r="AG18" i="19"/>
  <c r="AG19" i="19"/>
  <c r="AG20" i="19"/>
  <c r="AG21" i="19"/>
  <c r="AG22" i="19"/>
  <c r="AG23" i="19"/>
  <c r="AG24" i="19"/>
  <c r="AG25" i="19"/>
  <c r="AG26" i="19"/>
  <c r="AG27" i="19"/>
  <c r="AG28" i="19"/>
  <c r="AG29" i="19"/>
  <c r="AG30" i="19"/>
  <c r="AG31" i="19"/>
  <c r="AG32" i="19"/>
  <c r="AG33" i="19"/>
  <c r="AG34" i="19"/>
  <c r="AG35" i="19"/>
  <c r="AG36" i="19"/>
  <c r="AG37" i="19"/>
  <c r="AG38" i="19"/>
  <c r="AG39" i="19"/>
  <c r="AG40" i="19"/>
  <c r="AG41" i="19"/>
  <c r="AG42" i="19"/>
  <c r="AG43" i="19"/>
  <c r="AG44" i="19"/>
  <c r="AG45" i="19"/>
  <c r="AG46" i="19"/>
  <c r="AG47" i="19"/>
  <c r="AG48" i="19"/>
  <c r="AG49" i="19"/>
  <c r="AG50" i="19"/>
  <c r="AG51" i="19"/>
  <c r="AG52" i="19"/>
  <c r="AG53" i="19"/>
  <c r="AG54" i="19"/>
  <c r="AG55" i="19"/>
  <c r="AG56" i="19"/>
  <c r="AG57" i="19"/>
  <c r="AG58" i="19"/>
  <c r="AB18" i="19"/>
  <c r="AB19" i="19"/>
  <c r="AB20" i="19"/>
  <c r="AB21" i="19"/>
  <c r="AB22" i="19"/>
  <c r="AB23" i="19"/>
  <c r="AB24" i="19"/>
  <c r="AB25" i="19"/>
  <c r="AB26" i="19"/>
  <c r="AB27" i="19"/>
  <c r="AB28" i="19"/>
  <c r="AB29" i="19"/>
  <c r="AB30" i="19"/>
  <c r="AB31" i="19"/>
  <c r="AB32" i="19"/>
  <c r="AB33" i="19"/>
  <c r="AB34" i="19"/>
  <c r="AB35" i="19"/>
  <c r="AB36" i="19"/>
  <c r="AB37" i="19"/>
  <c r="AB38" i="19"/>
  <c r="AB39" i="19"/>
  <c r="AB40" i="19"/>
  <c r="AB41" i="19"/>
  <c r="AB42" i="19"/>
  <c r="AB43" i="19"/>
  <c r="AB44" i="19"/>
  <c r="AB45" i="19"/>
  <c r="AB46" i="19"/>
  <c r="AB47" i="19"/>
  <c r="AB48" i="19"/>
  <c r="AB49" i="19"/>
  <c r="AB50" i="19"/>
  <c r="AB51" i="19"/>
  <c r="AB52" i="19"/>
  <c r="AB53" i="19"/>
  <c r="AB54" i="19"/>
  <c r="AB55" i="19"/>
  <c r="AB56" i="19"/>
  <c r="AB57" i="19"/>
  <c r="AB58" i="19"/>
  <c r="AB70" i="19"/>
  <c r="AB71" i="19"/>
  <c r="AB72" i="19"/>
  <c r="AB73" i="19"/>
  <c r="AB74" i="19"/>
  <c r="AB75" i="19"/>
  <c r="AB76" i="19"/>
  <c r="AB77" i="19"/>
  <c r="AB78" i="19"/>
  <c r="AB79" i="19"/>
  <c r="AB80" i="19"/>
  <c r="AB81" i="19"/>
  <c r="AB82" i="19"/>
  <c r="AB83" i="19"/>
  <c r="AB84" i="19"/>
  <c r="AB85" i="19"/>
  <c r="AB86" i="19"/>
  <c r="AB87" i="19"/>
  <c r="AB88" i="19"/>
  <c r="AB89" i="19"/>
  <c r="AB90" i="19"/>
  <c r="AB91" i="19"/>
  <c r="AB92" i="19"/>
  <c r="AB93" i="19"/>
  <c r="AB94" i="19"/>
  <c r="AB95" i="19"/>
  <c r="AB96" i="19"/>
  <c r="AB97" i="19"/>
  <c r="AB98" i="19"/>
  <c r="AB99" i="19"/>
  <c r="AB100" i="19"/>
  <c r="AB101" i="19"/>
  <c r="AB102" i="19"/>
  <c r="AB103" i="19"/>
  <c r="AB104" i="19"/>
  <c r="AG70" i="19"/>
  <c r="AG71" i="19"/>
  <c r="AG72" i="19"/>
  <c r="AG73" i="19"/>
  <c r="AG74" i="19"/>
  <c r="AG75" i="19"/>
  <c r="AG76" i="19"/>
  <c r="AG77" i="19"/>
  <c r="AG78" i="19"/>
  <c r="AG79" i="19"/>
  <c r="AG80" i="19"/>
  <c r="AG81" i="19"/>
  <c r="AG82" i="19"/>
  <c r="AG83" i="19"/>
  <c r="AG84" i="19"/>
  <c r="AG85" i="19"/>
  <c r="AG86" i="19"/>
  <c r="AG87" i="19"/>
  <c r="AG88" i="19"/>
  <c r="AG89" i="19"/>
  <c r="AG90" i="19"/>
  <c r="AG91" i="19"/>
  <c r="AG92" i="19"/>
  <c r="AG93" i="19"/>
  <c r="AG94" i="19"/>
  <c r="AG95" i="19"/>
  <c r="AG96" i="19"/>
  <c r="AG97" i="19"/>
  <c r="AG98" i="19"/>
  <c r="AG99" i="19"/>
  <c r="AG100" i="19"/>
  <c r="AG101" i="19"/>
  <c r="AG102" i="19"/>
  <c r="AG103" i="19"/>
  <c r="AG104" i="19"/>
  <c r="AB116" i="19"/>
  <c r="AB117" i="19"/>
  <c r="AB118" i="19"/>
  <c r="AB119" i="19"/>
  <c r="AB120" i="19"/>
  <c r="AB121" i="19"/>
  <c r="AB122" i="19"/>
  <c r="AB123" i="19"/>
  <c r="AB124" i="19"/>
  <c r="AB125" i="19"/>
  <c r="AB126" i="19"/>
  <c r="AB127" i="19"/>
  <c r="AB128" i="19"/>
  <c r="AB129" i="19"/>
  <c r="AB130" i="19"/>
  <c r="AB131" i="19"/>
  <c r="AB132" i="19"/>
  <c r="AB133" i="19"/>
  <c r="AB134" i="19"/>
  <c r="AB135" i="19"/>
  <c r="AB136" i="19"/>
  <c r="AB137" i="19"/>
  <c r="AB138" i="19"/>
  <c r="AB139" i="19"/>
  <c r="AB140" i="19"/>
  <c r="AB141" i="19"/>
  <c r="AB142" i="19"/>
  <c r="AB143" i="19"/>
  <c r="AB144" i="19"/>
  <c r="AB145" i="19"/>
  <c r="AG116" i="19"/>
  <c r="AG117" i="19"/>
  <c r="AG118" i="19"/>
  <c r="AG119" i="19"/>
  <c r="AG120" i="19"/>
  <c r="AG121" i="19"/>
  <c r="AG122" i="19"/>
  <c r="AG123" i="19"/>
  <c r="AG124" i="19"/>
  <c r="AG125" i="19"/>
  <c r="AG126" i="19"/>
  <c r="AG127" i="19"/>
  <c r="AG128" i="19"/>
  <c r="AG129" i="19"/>
  <c r="AG130" i="19"/>
  <c r="AG131" i="19"/>
  <c r="AG132" i="19"/>
  <c r="AG133" i="19"/>
  <c r="AG134" i="19"/>
  <c r="AG135" i="19"/>
  <c r="AG136" i="19"/>
  <c r="AG137" i="19"/>
  <c r="AG138" i="19"/>
  <c r="AG139" i="19"/>
  <c r="AG140" i="19"/>
  <c r="AG141" i="19"/>
  <c r="AG142" i="19"/>
  <c r="AG143" i="19"/>
  <c r="AG144" i="19"/>
  <c r="AG145" i="19"/>
  <c r="AB157" i="19"/>
  <c r="AB158" i="19"/>
  <c r="AB159" i="19"/>
  <c r="AB160" i="19"/>
  <c r="AB161" i="19"/>
  <c r="AB162" i="19"/>
  <c r="AB163" i="19"/>
  <c r="AB164" i="19"/>
  <c r="AB165" i="19"/>
  <c r="AB166" i="19"/>
  <c r="AB167" i="19"/>
  <c r="AB168" i="19"/>
  <c r="AB169" i="19"/>
  <c r="AB170" i="19"/>
  <c r="AB171" i="19"/>
  <c r="AB172" i="19"/>
  <c r="AB173" i="19"/>
  <c r="AB174" i="19"/>
  <c r="AB175" i="19"/>
  <c r="AB176" i="19"/>
  <c r="AB177" i="19"/>
  <c r="AB178" i="19"/>
  <c r="AB179" i="19"/>
  <c r="AB180" i="19"/>
  <c r="AB181" i="19"/>
  <c r="AB182" i="19"/>
  <c r="AB183" i="19"/>
  <c r="AB184" i="19"/>
  <c r="AB185" i="19"/>
  <c r="AB186" i="19"/>
  <c r="AG157" i="19"/>
  <c r="AG158" i="19"/>
  <c r="AG159" i="19"/>
  <c r="AG160" i="19"/>
  <c r="AG161" i="19"/>
  <c r="AG162" i="19"/>
  <c r="AG163" i="19"/>
  <c r="AG164" i="19"/>
  <c r="AG165" i="19"/>
  <c r="AG166" i="19"/>
  <c r="AG167" i="19"/>
  <c r="AG168" i="19"/>
  <c r="AG169" i="19"/>
  <c r="AG170" i="19"/>
  <c r="AG171" i="19"/>
  <c r="AG172" i="19"/>
  <c r="AG173" i="19"/>
  <c r="AG174" i="19"/>
  <c r="AG175" i="19"/>
  <c r="AG176" i="19"/>
  <c r="AG177" i="19"/>
  <c r="AG178" i="19"/>
  <c r="AG179" i="19"/>
  <c r="AG180" i="19"/>
  <c r="AG181" i="19"/>
  <c r="AG182" i="19"/>
  <c r="AG183" i="19"/>
  <c r="AG184" i="19"/>
  <c r="AG185" i="19"/>
  <c r="AG186" i="19"/>
  <c r="AB198" i="19"/>
  <c r="AB199" i="19"/>
  <c r="AB200" i="19"/>
  <c r="AB201" i="19"/>
  <c r="AB202" i="19"/>
  <c r="AB203" i="19"/>
  <c r="AB204" i="19"/>
  <c r="AB205" i="19"/>
  <c r="AB206" i="19"/>
  <c r="AB207" i="19"/>
  <c r="AB208" i="19"/>
  <c r="AB209" i="19"/>
  <c r="AB210" i="19"/>
  <c r="AB211" i="19"/>
  <c r="AB212" i="19"/>
  <c r="AB213" i="19"/>
  <c r="AB214" i="19"/>
  <c r="AB215" i="19"/>
  <c r="AB216" i="19"/>
  <c r="AB217" i="19"/>
  <c r="AB218" i="19"/>
  <c r="AB219" i="19"/>
  <c r="AB220" i="19"/>
  <c r="AB221" i="19"/>
  <c r="AB222" i="19"/>
  <c r="AB223" i="19"/>
  <c r="AB224" i="19"/>
  <c r="AB225" i="19"/>
  <c r="AB226" i="19"/>
  <c r="AB227" i="19"/>
  <c r="AG198" i="19"/>
  <c r="AG199" i="19"/>
  <c r="AG200" i="19"/>
  <c r="AG201" i="19"/>
  <c r="AG202" i="19"/>
  <c r="AG203" i="19"/>
  <c r="AG204" i="19"/>
  <c r="AG205" i="19"/>
  <c r="AG206" i="19"/>
  <c r="AG207" i="19"/>
  <c r="AG208" i="19"/>
  <c r="AG209" i="19"/>
  <c r="AG210" i="19"/>
  <c r="AG211" i="19"/>
  <c r="AG212" i="19"/>
  <c r="AG213" i="19"/>
  <c r="AG214" i="19"/>
  <c r="AG215" i="19"/>
  <c r="AG216" i="19"/>
  <c r="AG217" i="19"/>
  <c r="AG218" i="19"/>
  <c r="AG219" i="19"/>
  <c r="AG220" i="19"/>
  <c r="AG221" i="19"/>
  <c r="AG222" i="19"/>
  <c r="AG223" i="19"/>
  <c r="AG224" i="19"/>
  <c r="AG225" i="19"/>
  <c r="AG226" i="19"/>
  <c r="AG227" i="19"/>
  <c r="AB239" i="19"/>
  <c r="AB240" i="19"/>
  <c r="AB241" i="19"/>
  <c r="AB242" i="19"/>
  <c r="AB243" i="19"/>
  <c r="AB244" i="19"/>
  <c r="AB245" i="19"/>
  <c r="AB246" i="19"/>
  <c r="AB247" i="19"/>
  <c r="AB248" i="19"/>
  <c r="AB249" i="19"/>
  <c r="AB250" i="19"/>
  <c r="AB251" i="19"/>
  <c r="AB252" i="19"/>
  <c r="AB253" i="19"/>
  <c r="AB254" i="19"/>
  <c r="AB255" i="19"/>
  <c r="AB256" i="19"/>
  <c r="AB257" i="19"/>
  <c r="AB258" i="19"/>
  <c r="AB259" i="19"/>
  <c r="AB260" i="19"/>
  <c r="AB261" i="19"/>
  <c r="AB262" i="19"/>
  <c r="AB263" i="19"/>
  <c r="AB264" i="19"/>
  <c r="AB265" i="19"/>
  <c r="AB266" i="19"/>
  <c r="AB267" i="19"/>
  <c r="AB268" i="19"/>
  <c r="AG239" i="19"/>
  <c r="AG240" i="19"/>
  <c r="AG241" i="19"/>
  <c r="AG242" i="19"/>
  <c r="AG243" i="19"/>
  <c r="AG244" i="19"/>
  <c r="AG245" i="19"/>
  <c r="AG246" i="19"/>
  <c r="AG247" i="19"/>
  <c r="AG248" i="19"/>
  <c r="AG249" i="19"/>
  <c r="AG250" i="19"/>
  <c r="AG251" i="19"/>
  <c r="AG252" i="19"/>
  <c r="AG253" i="19"/>
  <c r="AG254" i="19"/>
  <c r="AG255" i="19"/>
  <c r="AG256" i="19"/>
  <c r="AG257" i="19"/>
  <c r="AG258" i="19"/>
  <c r="AG259" i="19"/>
  <c r="AG260" i="19"/>
  <c r="AG261" i="19"/>
  <c r="AG262" i="19"/>
  <c r="AG263" i="19"/>
  <c r="AG264" i="19"/>
  <c r="AG265" i="19"/>
  <c r="AG266" i="19"/>
  <c r="AG267" i="19"/>
  <c r="AG268" i="19"/>
  <c r="AB280" i="19"/>
  <c r="AB281" i="19"/>
  <c r="AB282" i="19"/>
  <c r="AB283" i="19"/>
  <c r="AB284" i="19"/>
  <c r="AB285" i="19"/>
  <c r="AB286" i="19"/>
  <c r="AB287" i="19"/>
  <c r="AB288" i="19"/>
  <c r="AB289" i="19"/>
  <c r="AB290" i="19"/>
  <c r="AB291" i="19"/>
  <c r="AB292" i="19"/>
  <c r="AB293" i="19"/>
  <c r="AB294" i="19"/>
  <c r="AB295" i="19"/>
  <c r="AB296" i="19"/>
  <c r="AB297" i="19"/>
  <c r="AB298" i="19"/>
  <c r="AB299" i="19"/>
  <c r="AB300" i="19"/>
  <c r="AB301" i="19"/>
  <c r="AB302" i="19"/>
  <c r="AB303" i="19"/>
  <c r="AB304" i="19"/>
  <c r="AB305" i="19"/>
  <c r="AB306" i="19"/>
  <c r="AB307" i="19"/>
  <c r="AB308" i="19"/>
  <c r="AB309" i="19"/>
  <c r="AG280" i="19"/>
  <c r="AG281" i="19"/>
  <c r="AG282" i="19"/>
  <c r="AG283" i="19"/>
  <c r="AG284" i="19"/>
  <c r="AG285" i="19"/>
  <c r="AG286" i="19"/>
  <c r="AG287" i="19"/>
  <c r="AG288" i="19"/>
  <c r="AG289" i="19"/>
  <c r="AG290" i="19"/>
  <c r="AG291" i="19"/>
  <c r="AG292" i="19"/>
  <c r="AG293" i="19"/>
  <c r="AG294" i="19"/>
  <c r="AG295" i="19"/>
  <c r="AG296" i="19"/>
  <c r="AG297" i="19"/>
  <c r="AG298" i="19"/>
  <c r="AG299" i="19"/>
  <c r="AG300" i="19"/>
  <c r="AG301" i="19"/>
  <c r="AG302" i="19"/>
  <c r="AG303" i="19"/>
  <c r="AG304" i="19"/>
  <c r="AG305" i="19"/>
  <c r="AG306" i="19"/>
  <c r="AG307" i="19"/>
  <c r="AG308" i="19"/>
  <c r="AG309" i="19"/>
  <c r="AB321" i="19"/>
  <c r="AB322" i="19"/>
  <c r="AB323" i="19"/>
  <c r="AB324" i="19"/>
  <c r="AB325" i="19"/>
  <c r="AB326" i="19"/>
  <c r="AB327" i="19"/>
  <c r="AB328" i="19"/>
  <c r="AB329" i="19"/>
  <c r="AB330" i="19"/>
  <c r="AB331" i="19"/>
  <c r="AB332" i="19"/>
  <c r="AB333" i="19"/>
  <c r="AB334" i="19"/>
  <c r="AB335" i="19"/>
  <c r="AB336" i="19"/>
  <c r="AB337" i="19"/>
  <c r="AB338" i="19"/>
  <c r="AB339" i="19"/>
  <c r="AB340" i="19"/>
  <c r="AB341" i="19"/>
  <c r="AB342" i="19"/>
  <c r="AB343" i="19"/>
  <c r="AB344" i="19"/>
  <c r="AB345" i="19"/>
  <c r="AB346" i="19"/>
  <c r="AB347" i="19"/>
  <c r="AB348" i="19"/>
  <c r="AB349" i="19"/>
  <c r="AB350" i="19"/>
  <c r="AB351" i="19"/>
  <c r="AB352" i="19"/>
  <c r="AB353" i="19"/>
  <c r="AB354" i="19"/>
  <c r="AG321" i="19"/>
  <c r="AG322" i="19"/>
  <c r="AG323" i="19"/>
  <c r="AG324" i="19"/>
  <c r="AG325" i="19"/>
  <c r="AG326" i="19"/>
  <c r="AG327" i="19"/>
  <c r="AG328" i="19"/>
  <c r="AG329" i="19"/>
  <c r="AG330" i="19"/>
  <c r="AG331" i="19"/>
  <c r="AG332" i="19"/>
  <c r="AG333" i="19"/>
  <c r="AG334" i="19"/>
  <c r="AG335" i="19"/>
  <c r="AG336" i="19"/>
  <c r="AG337" i="19"/>
  <c r="AG338" i="19"/>
  <c r="AG339" i="19"/>
  <c r="AG340" i="19"/>
  <c r="AG341" i="19"/>
  <c r="AG342" i="19"/>
  <c r="AG343" i="19"/>
  <c r="AG344" i="19"/>
  <c r="AG345" i="19"/>
  <c r="AG346" i="19"/>
  <c r="AG347" i="19"/>
  <c r="AG348" i="19"/>
  <c r="AG349" i="19"/>
  <c r="AG350" i="19"/>
  <c r="AG351" i="19"/>
  <c r="AG352" i="19"/>
  <c r="AG353" i="19"/>
  <c r="AG354" i="19"/>
  <c r="AB366" i="19"/>
  <c r="AB367" i="19"/>
  <c r="AB368" i="19"/>
  <c r="AB369" i="19"/>
  <c r="AB370" i="19"/>
  <c r="AB371" i="19"/>
  <c r="AB372" i="19"/>
  <c r="AB373" i="19"/>
  <c r="AB374" i="19"/>
  <c r="AB375" i="19"/>
  <c r="AB376" i="19"/>
  <c r="AB377" i="19"/>
  <c r="AB378" i="19"/>
  <c r="AB379" i="19"/>
  <c r="AB380" i="19"/>
  <c r="AB381" i="19"/>
  <c r="AB382" i="19"/>
  <c r="AB383" i="19"/>
  <c r="AB384" i="19"/>
  <c r="AB385" i="19"/>
  <c r="AB386" i="19"/>
  <c r="AB387" i="19"/>
  <c r="AB388" i="19"/>
  <c r="AB389" i="19"/>
  <c r="AB390" i="19"/>
  <c r="AB391" i="19"/>
  <c r="AB392" i="19"/>
  <c r="AB393" i="19"/>
  <c r="AB394" i="19"/>
  <c r="AB395" i="19"/>
  <c r="AB396" i="19"/>
  <c r="AB397" i="19"/>
  <c r="AB398" i="19"/>
  <c r="AB399" i="19"/>
  <c r="AG366" i="19"/>
  <c r="AG367" i="19"/>
  <c r="AG368" i="19"/>
  <c r="AG369" i="19"/>
  <c r="AG370" i="19"/>
  <c r="AG371" i="19"/>
  <c r="AG372" i="19"/>
  <c r="AG373" i="19"/>
  <c r="AG374" i="19"/>
  <c r="AG375" i="19"/>
  <c r="AG376" i="19"/>
  <c r="AG377" i="19"/>
  <c r="AG378" i="19"/>
  <c r="AG379" i="19"/>
  <c r="AG380" i="19"/>
  <c r="AG381" i="19"/>
  <c r="AG382" i="19"/>
  <c r="AG383" i="19"/>
  <c r="AG384" i="19"/>
  <c r="AG385" i="19"/>
  <c r="AG386" i="19"/>
  <c r="AG387" i="19"/>
  <c r="AG388" i="19"/>
  <c r="AG389" i="19"/>
  <c r="AG390" i="19"/>
  <c r="AG391" i="19"/>
  <c r="AG392" i="19"/>
  <c r="AG393" i="19"/>
  <c r="AG394" i="19"/>
  <c r="AG395" i="19"/>
  <c r="AG396" i="19"/>
  <c r="AG397" i="19"/>
  <c r="AG398" i="19"/>
  <c r="AG399" i="19"/>
  <c r="AB411" i="19"/>
  <c r="AB412" i="19"/>
  <c r="AB413" i="19"/>
  <c r="AB414" i="19"/>
  <c r="AB415" i="19"/>
  <c r="AB416" i="19"/>
  <c r="AB417" i="19"/>
  <c r="AB418" i="19"/>
  <c r="AB419" i="19"/>
  <c r="AB420" i="19"/>
  <c r="AB421" i="19"/>
  <c r="AB422" i="19"/>
  <c r="AB423" i="19"/>
  <c r="AB424" i="19"/>
  <c r="AB425" i="19"/>
  <c r="AB426" i="19"/>
  <c r="AB427" i="19"/>
  <c r="AB428" i="19"/>
  <c r="AB429" i="19"/>
  <c r="AB430" i="19"/>
  <c r="AB431" i="19"/>
  <c r="AB432" i="19"/>
  <c r="AB433" i="19"/>
  <c r="AB434" i="19"/>
  <c r="AB435" i="19"/>
  <c r="AB436" i="19"/>
  <c r="AB437" i="19"/>
  <c r="AB438" i="19"/>
  <c r="AB439" i="19"/>
  <c r="AB440" i="19"/>
  <c r="AB441" i="19"/>
  <c r="AB442" i="19"/>
  <c r="AB443" i="19"/>
  <c r="AB444" i="19"/>
  <c r="AG411" i="19"/>
  <c r="AG412" i="19"/>
  <c r="AG413" i="19"/>
  <c r="AG414" i="19"/>
  <c r="AG415" i="19"/>
  <c r="AG416" i="19"/>
  <c r="AG417" i="19"/>
  <c r="AG418" i="19"/>
  <c r="AG419" i="19"/>
  <c r="AG420" i="19"/>
  <c r="AG421" i="19"/>
  <c r="AG422" i="19"/>
  <c r="AG423" i="19"/>
  <c r="AG424" i="19"/>
  <c r="AG425" i="19"/>
  <c r="AG426" i="19"/>
  <c r="AG427" i="19"/>
  <c r="AG428" i="19"/>
  <c r="AG429" i="19"/>
  <c r="AG430" i="19"/>
  <c r="AG431" i="19"/>
  <c r="AG432" i="19"/>
  <c r="AG433" i="19"/>
  <c r="AG434" i="19"/>
  <c r="AG435" i="19"/>
  <c r="AG436" i="19"/>
  <c r="AG437" i="19"/>
  <c r="AG438" i="19"/>
  <c r="AG439" i="19"/>
  <c r="AG440" i="19"/>
  <c r="AG441" i="19"/>
  <c r="AG442" i="19"/>
  <c r="AG443" i="19"/>
  <c r="AG444" i="19"/>
  <c r="AB456" i="19"/>
  <c r="AB457" i="19"/>
  <c r="AB458" i="19"/>
  <c r="AB459" i="19"/>
  <c r="AB460" i="19"/>
  <c r="AB461" i="19"/>
  <c r="AB462" i="19"/>
  <c r="AB463" i="19"/>
  <c r="AB464" i="19"/>
  <c r="AB465" i="19"/>
  <c r="AB466" i="19"/>
  <c r="AB467" i="19"/>
  <c r="AB468" i="19"/>
  <c r="AB469" i="19"/>
  <c r="AB470" i="19"/>
  <c r="AB471" i="19"/>
  <c r="AB472" i="19"/>
  <c r="AB473" i="19"/>
  <c r="AB474" i="19"/>
  <c r="AB475" i="19"/>
  <c r="AB476" i="19"/>
  <c r="AB477" i="19"/>
  <c r="AB478" i="19"/>
  <c r="AB479" i="19"/>
  <c r="AB480" i="19"/>
  <c r="AB481" i="19"/>
  <c r="AB482" i="19"/>
  <c r="AB483" i="19"/>
  <c r="AB484" i="19"/>
  <c r="AB485" i="19"/>
  <c r="AB486" i="19"/>
  <c r="AB487" i="19"/>
  <c r="AB488" i="19"/>
  <c r="AB489" i="19"/>
  <c r="AG456" i="19"/>
  <c r="AG457" i="19"/>
  <c r="AG458" i="19"/>
  <c r="AG459" i="19"/>
  <c r="AG460" i="19"/>
  <c r="AG461" i="19"/>
  <c r="AG462" i="19"/>
  <c r="AG463" i="19"/>
  <c r="AG464" i="19"/>
  <c r="AG465" i="19"/>
  <c r="AG466" i="19"/>
  <c r="AG467" i="19"/>
  <c r="AG468" i="19"/>
  <c r="AG469" i="19"/>
  <c r="AG470" i="19"/>
  <c r="AG471" i="19"/>
  <c r="AG472" i="19"/>
  <c r="AG473" i="19"/>
  <c r="AG474" i="19"/>
  <c r="AG475" i="19"/>
  <c r="AG476" i="19"/>
  <c r="AG477" i="19"/>
  <c r="AG478" i="19"/>
  <c r="AG479" i="19"/>
  <c r="AG480" i="19"/>
  <c r="AG481" i="19"/>
  <c r="AG482" i="19"/>
  <c r="AG483" i="19"/>
  <c r="AG484" i="19"/>
  <c r="AG485" i="19"/>
  <c r="AG486" i="19"/>
  <c r="AG487" i="19"/>
  <c r="AG488" i="19"/>
  <c r="AG489" i="19"/>
  <c r="AB501" i="19"/>
  <c r="AB502" i="19"/>
  <c r="AB503" i="19"/>
  <c r="AB504" i="19"/>
  <c r="AB505" i="19"/>
  <c r="AB506" i="19"/>
  <c r="AB507" i="19"/>
  <c r="AB508" i="19"/>
  <c r="AB509" i="19"/>
  <c r="AB510" i="19"/>
  <c r="AB511" i="19"/>
  <c r="AB512" i="19"/>
  <c r="AB513" i="19"/>
  <c r="AB514" i="19"/>
  <c r="AB515" i="19"/>
  <c r="AB516" i="19"/>
  <c r="AB517" i="19"/>
  <c r="AB518" i="19"/>
  <c r="AB519" i="19"/>
  <c r="AB520" i="19"/>
  <c r="AB521" i="19"/>
  <c r="AB522" i="19"/>
  <c r="AB523" i="19"/>
  <c r="AB524" i="19"/>
  <c r="AB525" i="19"/>
  <c r="AB526" i="19"/>
  <c r="AB527" i="19"/>
  <c r="AB528" i="19"/>
  <c r="AB529" i="19"/>
  <c r="AB530" i="19"/>
  <c r="AB531" i="19"/>
  <c r="AB532" i="19"/>
  <c r="AB533" i="19"/>
  <c r="AB534" i="19"/>
  <c r="AG501" i="19"/>
  <c r="AG502" i="19"/>
  <c r="AG503" i="19"/>
  <c r="AG504" i="19"/>
  <c r="AG505" i="19"/>
  <c r="AG506" i="19"/>
  <c r="AG507" i="19"/>
  <c r="AG508" i="19"/>
  <c r="AG509" i="19"/>
  <c r="AG510" i="19"/>
  <c r="AG511" i="19"/>
  <c r="AG512" i="19"/>
  <c r="AG513" i="19"/>
  <c r="AG514" i="19"/>
  <c r="AG515" i="19"/>
  <c r="AG516" i="19"/>
  <c r="AG517" i="19"/>
  <c r="AG518" i="19"/>
  <c r="AG519" i="19"/>
  <c r="AG520" i="19"/>
  <c r="AG521" i="19"/>
  <c r="AG522" i="19"/>
  <c r="AG523" i="19"/>
  <c r="AG524" i="19"/>
  <c r="AG525" i="19"/>
  <c r="AG526" i="19"/>
  <c r="AG527" i="19"/>
  <c r="AG528" i="19"/>
  <c r="AG529" i="19"/>
  <c r="AG530" i="19"/>
  <c r="AG531" i="19"/>
  <c r="AG532" i="19"/>
  <c r="AG533" i="19"/>
  <c r="AG534" i="19"/>
  <c r="AB546" i="19"/>
  <c r="AB547" i="19"/>
  <c r="AB548" i="19"/>
  <c r="AB549" i="19"/>
  <c r="AB550" i="19"/>
  <c r="AB551" i="19"/>
  <c r="AB553" i="19"/>
  <c r="AB554" i="19"/>
  <c r="AB555" i="19"/>
  <c r="AB556" i="19"/>
  <c r="AB557" i="19"/>
  <c r="AB558" i="19"/>
  <c r="AB559" i="19"/>
  <c r="AB560" i="19"/>
  <c r="AB561" i="19"/>
  <c r="AB562" i="19"/>
  <c r="AB563" i="19"/>
  <c r="AB564" i="19"/>
  <c r="AB565" i="19"/>
  <c r="AB566" i="19"/>
  <c r="AB567" i="19"/>
  <c r="AB568" i="19"/>
  <c r="AB569" i="19"/>
  <c r="AB570" i="19"/>
  <c r="AB571" i="19"/>
  <c r="AB572" i="19"/>
  <c r="AB573" i="19"/>
  <c r="AB574" i="19"/>
  <c r="AB575" i="19"/>
  <c r="AB576" i="19"/>
  <c r="AB577" i="19"/>
  <c r="AG546" i="19"/>
  <c r="AG547" i="19"/>
  <c r="AG548" i="19"/>
  <c r="AG549" i="19"/>
  <c r="AG550" i="19"/>
  <c r="AG551" i="19"/>
  <c r="AG552" i="19"/>
  <c r="AG553" i="19"/>
  <c r="AG554" i="19"/>
  <c r="AG555" i="19"/>
  <c r="AG556" i="19"/>
  <c r="AG557" i="19"/>
  <c r="AG558" i="19"/>
  <c r="AG559" i="19"/>
  <c r="AG560" i="19"/>
  <c r="AG561" i="19"/>
  <c r="AG562" i="19"/>
  <c r="AG563" i="19"/>
  <c r="AG564" i="19"/>
  <c r="AG565" i="19"/>
  <c r="AG566" i="19"/>
  <c r="AG567" i="19"/>
  <c r="AG568" i="19"/>
  <c r="AG569" i="19"/>
  <c r="AG570" i="19"/>
  <c r="AG571" i="19"/>
  <c r="AG572" i="19"/>
  <c r="AG573" i="19"/>
  <c r="AG574" i="19"/>
  <c r="AG575" i="19"/>
  <c r="AG576" i="19"/>
  <c r="AG577" i="19"/>
  <c r="C63" i="19"/>
  <c r="C62" i="19"/>
  <c r="AL23" i="19"/>
  <c r="AN23" i="19"/>
  <c r="C109" i="19"/>
  <c r="C108" i="19"/>
  <c r="AL75" i="19"/>
  <c r="AN75" i="19"/>
  <c r="C150" i="19"/>
  <c r="C149" i="19"/>
  <c r="AL121" i="19"/>
  <c r="AN121" i="19"/>
  <c r="C191" i="19"/>
  <c r="C190" i="19"/>
  <c r="AL162" i="19"/>
  <c r="AN162" i="19"/>
  <c r="C232" i="19"/>
  <c r="C231" i="19"/>
  <c r="AL203" i="19"/>
  <c r="AN203" i="19"/>
  <c r="C273" i="19"/>
  <c r="C274" i="19"/>
  <c r="C315" i="19"/>
  <c r="C313" i="19"/>
  <c r="AL285" i="19"/>
  <c r="AN285" i="19"/>
  <c r="C360" i="19"/>
  <c r="C358" i="19"/>
  <c r="AL326" i="19"/>
  <c r="AN326" i="19"/>
  <c r="C404" i="19"/>
  <c r="C405" i="19"/>
  <c r="C493" i="19"/>
  <c r="AL461" i="19"/>
  <c r="AN461" i="19"/>
  <c r="C538" i="19"/>
  <c r="C581" i="19"/>
  <c r="AA60" i="19"/>
  <c r="AA61" i="19"/>
  <c r="AA106" i="19"/>
  <c r="AA107" i="19"/>
  <c r="AL72" i="19"/>
  <c r="AN72" i="19"/>
  <c r="AA147" i="19"/>
  <c r="AA148" i="19"/>
  <c r="AL118" i="19"/>
  <c r="AN118" i="19"/>
  <c r="AA188" i="19"/>
  <c r="AA189" i="19"/>
  <c r="AL159" i="19"/>
  <c r="AN159" i="19"/>
  <c r="AA229" i="19"/>
  <c r="AA230" i="19"/>
  <c r="AL200" i="19"/>
  <c r="AN200" i="19"/>
  <c r="AA270" i="19"/>
  <c r="AA271" i="19"/>
  <c r="AL241" i="19"/>
  <c r="AN241" i="19"/>
  <c r="AA311" i="19"/>
  <c r="AA312" i="19"/>
  <c r="AL282" i="19"/>
  <c r="AN282" i="19"/>
  <c r="AA356" i="19"/>
  <c r="AA357" i="19"/>
  <c r="AL323" i="19"/>
  <c r="AN323" i="19"/>
  <c r="AA401" i="19"/>
  <c r="AA402" i="19"/>
  <c r="AL368" i="19"/>
  <c r="AN368" i="19"/>
  <c r="AA446" i="19"/>
  <c r="AA447" i="19"/>
  <c r="AL413" i="19"/>
  <c r="AN413" i="19"/>
  <c r="AA491" i="19"/>
  <c r="AA492" i="19"/>
  <c r="AA536" i="19"/>
  <c r="AA537" i="19"/>
  <c r="AL503" i="19"/>
  <c r="AN503" i="19"/>
  <c r="AA579" i="19"/>
  <c r="AA580" i="19"/>
  <c r="AL548" i="19"/>
  <c r="AN548" i="19"/>
  <c r="AA18" i="19"/>
  <c r="AA19" i="19"/>
  <c r="AA20" i="19"/>
  <c r="AA21" i="19"/>
  <c r="AA22" i="19"/>
  <c r="AA23" i="19"/>
  <c r="AA24" i="19"/>
  <c r="AA25" i="19"/>
  <c r="AA26" i="19"/>
  <c r="AA27" i="19"/>
  <c r="AA28" i="19"/>
  <c r="AA29" i="19"/>
  <c r="AA30" i="19"/>
  <c r="AA31" i="19"/>
  <c r="AA32" i="19"/>
  <c r="AA33" i="19"/>
  <c r="AA34" i="19"/>
  <c r="AA35" i="19"/>
  <c r="AA36" i="19"/>
  <c r="AA37" i="19"/>
  <c r="AA38" i="19"/>
  <c r="AA39" i="19"/>
  <c r="AA40" i="19"/>
  <c r="AA41" i="19"/>
  <c r="AA42" i="19"/>
  <c r="AA43" i="19"/>
  <c r="AA44" i="19"/>
  <c r="AA45" i="19"/>
  <c r="AA46" i="19"/>
  <c r="AA47" i="19"/>
  <c r="AA48" i="19"/>
  <c r="AA49" i="19"/>
  <c r="AA50" i="19"/>
  <c r="AA51" i="19"/>
  <c r="AA52" i="19"/>
  <c r="AA53" i="19"/>
  <c r="AA54" i="19"/>
  <c r="AA55" i="19"/>
  <c r="AA56" i="19"/>
  <c r="AA57" i="19"/>
  <c r="AA58" i="19"/>
  <c r="AA70" i="19"/>
  <c r="AA71" i="19"/>
  <c r="AA72" i="19"/>
  <c r="AA73" i="19"/>
  <c r="AA74" i="19"/>
  <c r="AA75" i="19"/>
  <c r="AA76" i="19"/>
  <c r="AA77" i="19"/>
  <c r="AA78" i="19"/>
  <c r="AA79" i="19"/>
  <c r="AA80" i="19"/>
  <c r="AA81" i="19"/>
  <c r="AA82" i="19"/>
  <c r="AA83" i="19"/>
  <c r="AA84" i="19"/>
  <c r="AA85" i="19"/>
  <c r="AA86" i="19"/>
  <c r="AA87" i="19"/>
  <c r="AA88" i="19"/>
  <c r="AA89" i="19"/>
  <c r="AA90" i="19"/>
  <c r="AA91" i="19"/>
  <c r="AA92" i="19"/>
  <c r="AA93" i="19"/>
  <c r="AA94" i="19"/>
  <c r="AA95" i="19"/>
  <c r="AA96" i="19"/>
  <c r="AA97" i="19"/>
  <c r="AA98" i="19"/>
  <c r="AA99" i="19"/>
  <c r="AA100" i="19"/>
  <c r="AA101" i="19"/>
  <c r="AA102" i="19"/>
  <c r="AA103" i="19"/>
  <c r="AA104" i="19"/>
  <c r="AA116" i="19"/>
  <c r="AA117" i="19"/>
  <c r="AA118" i="19"/>
  <c r="AA119" i="19"/>
  <c r="AA120" i="19"/>
  <c r="AA121" i="19"/>
  <c r="AA122" i="19"/>
  <c r="AA123" i="19"/>
  <c r="AA124" i="19"/>
  <c r="AA125" i="19"/>
  <c r="AA126" i="19"/>
  <c r="AA127" i="19"/>
  <c r="AA128" i="19"/>
  <c r="AA129" i="19"/>
  <c r="AA130" i="19"/>
  <c r="AA131" i="19"/>
  <c r="AA132" i="19"/>
  <c r="AA133" i="19"/>
  <c r="AA134" i="19"/>
  <c r="AA135" i="19"/>
  <c r="AA136" i="19"/>
  <c r="AA137" i="19"/>
  <c r="AA138" i="19"/>
  <c r="AA139" i="19"/>
  <c r="AA140" i="19"/>
  <c r="AA141" i="19"/>
  <c r="AA142" i="19"/>
  <c r="AA143" i="19"/>
  <c r="AA144" i="19"/>
  <c r="AA145" i="19"/>
  <c r="AA157" i="19"/>
  <c r="AA158" i="19"/>
  <c r="AA159" i="19"/>
  <c r="AA160" i="19"/>
  <c r="AA161" i="19"/>
  <c r="AA162" i="19"/>
  <c r="AA163" i="19"/>
  <c r="AA164" i="19"/>
  <c r="AA165" i="19"/>
  <c r="AA166" i="19"/>
  <c r="AA167" i="19"/>
  <c r="AA168" i="19"/>
  <c r="AA169" i="19"/>
  <c r="AA170" i="19"/>
  <c r="AA171" i="19"/>
  <c r="AA172" i="19"/>
  <c r="AA173" i="19"/>
  <c r="AA174" i="19"/>
  <c r="AA175" i="19"/>
  <c r="AA176" i="19"/>
  <c r="AA177" i="19"/>
  <c r="AA178" i="19"/>
  <c r="AA179" i="19"/>
  <c r="AA180" i="19"/>
  <c r="AA181" i="19"/>
  <c r="AA182" i="19"/>
  <c r="AA183" i="19"/>
  <c r="AA184" i="19"/>
  <c r="AA185" i="19"/>
  <c r="AA186" i="19"/>
  <c r="AA198" i="19"/>
  <c r="AA199" i="19"/>
  <c r="AA200" i="19"/>
  <c r="AA201" i="19"/>
  <c r="AA202" i="19"/>
  <c r="AA203" i="19"/>
  <c r="AA204" i="19"/>
  <c r="AA205" i="19"/>
  <c r="AA206" i="19"/>
  <c r="AA207" i="19"/>
  <c r="AA208" i="19"/>
  <c r="AA209" i="19"/>
  <c r="AA210" i="19"/>
  <c r="AA211" i="19"/>
  <c r="AA212" i="19"/>
  <c r="AA213" i="19"/>
  <c r="AA214" i="19"/>
  <c r="AA215" i="19"/>
  <c r="AA216" i="19"/>
  <c r="AA217" i="19"/>
  <c r="AA218" i="19"/>
  <c r="AA219" i="19"/>
  <c r="AA220" i="19"/>
  <c r="AA221" i="19"/>
  <c r="AA222" i="19"/>
  <c r="AA223" i="19"/>
  <c r="AA224" i="19"/>
  <c r="AA225" i="19"/>
  <c r="AA226" i="19"/>
  <c r="AA227" i="19"/>
  <c r="AA239" i="19"/>
  <c r="AA240" i="19"/>
  <c r="AA241" i="19"/>
  <c r="AA242" i="19"/>
  <c r="AA243" i="19"/>
  <c r="AA244" i="19"/>
  <c r="AA245" i="19"/>
  <c r="AA246" i="19"/>
  <c r="AA247" i="19"/>
  <c r="AA248" i="19"/>
  <c r="AA249" i="19"/>
  <c r="AA250" i="19"/>
  <c r="AA251" i="19"/>
  <c r="AA252" i="19"/>
  <c r="AA253" i="19"/>
  <c r="AA254" i="19"/>
  <c r="AA255" i="19"/>
  <c r="AA256" i="19"/>
  <c r="AA257" i="19"/>
  <c r="AA258" i="19"/>
  <c r="AA259" i="19"/>
  <c r="AA260" i="19"/>
  <c r="AA261" i="19"/>
  <c r="AA262" i="19"/>
  <c r="AA263" i="19"/>
  <c r="AA264" i="19"/>
  <c r="AA265" i="19"/>
  <c r="AA266" i="19"/>
  <c r="AA267" i="19"/>
  <c r="AA268" i="19"/>
  <c r="AA280" i="19"/>
  <c r="AA281" i="19"/>
  <c r="AA282" i="19"/>
  <c r="AA283" i="19"/>
  <c r="AA284" i="19"/>
  <c r="AA285" i="19"/>
  <c r="AA286" i="19"/>
  <c r="AA287" i="19"/>
  <c r="AA288" i="19"/>
  <c r="AA289" i="19"/>
  <c r="AA290" i="19"/>
  <c r="AA291" i="19"/>
  <c r="AA292" i="19"/>
  <c r="AA293" i="19"/>
  <c r="AA294" i="19"/>
  <c r="AA295" i="19"/>
  <c r="AA296" i="19"/>
  <c r="AA297" i="19"/>
  <c r="AA298" i="19"/>
  <c r="AA299" i="19"/>
  <c r="AA300" i="19"/>
  <c r="AA301" i="19"/>
  <c r="AA302" i="19"/>
  <c r="AA303" i="19"/>
  <c r="AA304" i="19"/>
  <c r="AA305" i="19"/>
  <c r="AA306" i="19"/>
  <c r="AA307" i="19"/>
  <c r="AA308" i="19"/>
  <c r="AA309" i="19"/>
  <c r="AA321" i="19"/>
  <c r="AA322" i="19"/>
  <c r="AA323" i="19"/>
  <c r="AA324" i="19"/>
  <c r="AA325" i="19"/>
  <c r="AA326" i="19"/>
  <c r="AA327" i="19"/>
  <c r="AA328" i="19"/>
  <c r="AA329" i="19"/>
  <c r="AA330" i="19"/>
  <c r="AA331" i="19"/>
  <c r="AA332" i="19"/>
  <c r="AA333" i="19"/>
  <c r="AA334" i="19"/>
  <c r="AA335" i="19"/>
  <c r="AA336" i="19"/>
  <c r="AA337" i="19"/>
  <c r="AA338" i="19"/>
  <c r="AA339" i="19"/>
  <c r="AA340" i="19"/>
  <c r="AA341" i="19"/>
  <c r="AA342" i="19"/>
  <c r="AA343" i="19"/>
  <c r="AA344" i="19"/>
  <c r="AA345" i="19"/>
  <c r="AA346" i="19"/>
  <c r="AA347" i="19"/>
  <c r="AA348" i="19"/>
  <c r="AA349" i="19"/>
  <c r="AA350" i="19"/>
  <c r="AA351" i="19"/>
  <c r="AA352" i="19"/>
  <c r="AA353" i="19"/>
  <c r="AA354" i="19"/>
  <c r="AA366" i="19"/>
  <c r="AA367" i="19"/>
  <c r="AA368" i="19"/>
  <c r="AA369" i="19"/>
  <c r="AA370" i="19"/>
  <c r="AA371" i="19"/>
  <c r="AA372" i="19"/>
  <c r="AA373" i="19"/>
  <c r="AA374" i="19"/>
  <c r="AA375" i="19"/>
  <c r="AA376" i="19"/>
  <c r="AA377" i="19"/>
  <c r="AA378" i="19"/>
  <c r="AA379" i="19"/>
  <c r="AA380" i="19"/>
  <c r="AA381" i="19"/>
  <c r="AA382" i="19"/>
  <c r="AA383" i="19"/>
  <c r="AA384" i="19"/>
  <c r="AA385" i="19"/>
  <c r="AA386" i="19"/>
  <c r="AA387" i="19"/>
  <c r="AA388" i="19"/>
  <c r="AA389" i="19"/>
  <c r="AA390" i="19"/>
  <c r="AA391" i="19"/>
  <c r="AA392" i="19"/>
  <c r="AA393" i="19"/>
  <c r="AA394" i="19"/>
  <c r="AA395" i="19"/>
  <c r="AA396" i="19"/>
  <c r="AA397" i="19"/>
  <c r="AA398" i="19"/>
  <c r="AA399" i="19"/>
  <c r="AA411" i="19"/>
  <c r="AA412" i="19"/>
  <c r="AA413" i="19"/>
  <c r="AA414" i="19"/>
  <c r="AA415" i="19"/>
  <c r="AA416" i="19"/>
  <c r="AA417" i="19"/>
  <c r="AA418" i="19"/>
  <c r="AA419" i="19"/>
  <c r="AA420" i="19"/>
  <c r="AA421" i="19"/>
  <c r="AA422" i="19"/>
  <c r="AA426" i="19"/>
  <c r="AA427" i="19"/>
  <c r="AA428" i="19"/>
  <c r="AA429" i="19"/>
  <c r="AA430" i="19"/>
  <c r="AA431" i="19"/>
  <c r="AA432" i="19"/>
  <c r="AA433" i="19"/>
  <c r="AA434" i="19"/>
  <c r="AA435" i="19"/>
  <c r="AA436" i="19"/>
  <c r="AA437" i="19"/>
  <c r="AA438" i="19"/>
  <c r="AA439" i="19"/>
  <c r="AA440" i="19"/>
  <c r="AA441" i="19"/>
  <c r="AA442" i="19"/>
  <c r="AA443" i="19"/>
  <c r="AA444" i="19"/>
  <c r="AA456" i="19"/>
  <c r="AA457" i="19"/>
  <c r="AA458" i="19"/>
  <c r="AA459" i="19"/>
  <c r="AA460" i="19"/>
  <c r="AA461" i="19"/>
  <c r="AA462" i="19"/>
  <c r="AA463" i="19"/>
  <c r="AA464" i="19"/>
  <c r="AA465" i="19"/>
  <c r="AA466" i="19"/>
  <c r="AA467" i="19"/>
  <c r="AA468" i="19"/>
  <c r="AA469" i="19"/>
  <c r="AA470" i="19"/>
  <c r="AA471" i="19"/>
  <c r="AA472" i="19"/>
  <c r="AA473" i="19"/>
  <c r="AA474" i="19"/>
  <c r="AA475" i="19"/>
  <c r="AA476" i="19"/>
  <c r="AA477" i="19"/>
  <c r="AA478" i="19"/>
  <c r="AA479" i="19"/>
  <c r="AA480" i="19"/>
  <c r="AA481" i="19"/>
  <c r="AA482" i="19"/>
  <c r="AA483" i="19"/>
  <c r="AA484" i="19"/>
  <c r="AA485" i="19"/>
  <c r="AA486" i="19"/>
  <c r="AA487" i="19"/>
  <c r="AA488" i="19"/>
  <c r="AA489" i="19"/>
  <c r="AA501" i="19"/>
  <c r="AA502" i="19"/>
  <c r="AA503" i="19"/>
  <c r="AA504" i="19"/>
  <c r="AA505" i="19"/>
  <c r="AA506" i="19"/>
  <c r="AA507" i="19"/>
  <c r="AA508" i="19"/>
  <c r="AA509" i="19"/>
  <c r="AA510" i="19"/>
  <c r="AA511" i="19"/>
  <c r="AA512" i="19"/>
  <c r="AA513" i="19"/>
  <c r="AA514" i="19"/>
  <c r="AA515" i="19"/>
  <c r="AA516" i="19"/>
  <c r="AA517" i="19"/>
  <c r="AA518" i="19"/>
  <c r="AA519" i="19"/>
  <c r="AA520" i="19"/>
  <c r="AA521" i="19"/>
  <c r="AA522" i="19"/>
  <c r="AA523" i="19"/>
  <c r="AA524" i="19"/>
  <c r="AA525" i="19"/>
  <c r="AA526" i="19"/>
  <c r="AA527" i="19"/>
  <c r="AA528" i="19"/>
  <c r="AA529" i="19"/>
  <c r="AA530" i="19"/>
  <c r="AA531" i="19"/>
  <c r="AA532" i="19"/>
  <c r="AA533" i="19"/>
  <c r="AA534" i="19"/>
  <c r="AA546" i="19"/>
  <c r="AA547" i="19"/>
  <c r="AA548" i="19"/>
  <c r="AA549" i="19"/>
  <c r="AA550" i="19"/>
  <c r="AA551" i="19"/>
  <c r="AA552" i="19"/>
  <c r="AA553" i="19"/>
  <c r="AA554" i="19"/>
  <c r="AA555" i="19"/>
  <c r="AA556" i="19"/>
  <c r="AA557" i="19"/>
  <c r="AA558" i="19"/>
  <c r="AA559" i="19"/>
  <c r="AA560" i="19"/>
  <c r="AA561" i="19"/>
  <c r="AA562" i="19"/>
  <c r="AA563" i="19"/>
  <c r="AA564" i="19"/>
  <c r="AA565" i="19"/>
  <c r="AA566" i="19"/>
  <c r="AA567" i="19"/>
  <c r="AA568" i="19"/>
  <c r="AA569" i="19"/>
  <c r="AA570" i="19"/>
  <c r="AA571" i="19"/>
  <c r="AA572" i="19"/>
  <c r="AA573" i="19"/>
  <c r="AA574" i="19"/>
  <c r="AA575" i="19"/>
  <c r="AA576" i="19"/>
  <c r="AA577" i="19"/>
  <c r="AM546" i="19"/>
  <c r="AM549" i="19"/>
  <c r="E578" i="19"/>
  <c r="F578" i="19"/>
  <c r="J578" i="19"/>
  <c r="K578" i="19"/>
  <c r="O578" i="19"/>
  <c r="P578" i="19"/>
  <c r="T578" i="19"/>
  <c r="U578" i="19"/>
  <c r="Y578" i="19"/>
  <c r="Z578" i="19"/>
  <c r="AF578" i="19"/>
  <c r="AM501" i="19"/>
  <c r="AM504" i="19"/>
  <c r="E535" i="19"/>
  <c r="F535" i="19"/>
  <c r="J535" i="19"/>
  <c r="K535" i="19"/>
  <c r="O535" i="19"/>
  <c r="P535" i="19"/>
  <c r="T535" i="19"/>
  <c r="U535" i="19"/>
  <c r="Y535" i="19"/>
  <c r="Z535" i="19"/>
  <c r="AF535" i="19"/>
  <c r="E1" i="16"/>
  <c r="F1" i="16" s="1"/>
  <c r="F259" i="16"/>
  <c r="F260" i="16"/>
  <c r="F261" i="16"/>
  <c r="F262" i="16"/>
  <c r="F263" i="16"/>
  <c r="F264" i="16"/>
  <c r="F265" i="16"/>
  <c r="F266" i="16"/>
  <c r="F267" i="16"/>
  <c r="F268" i="16"/>
  <c r="F269" i="16"/>
  <c r="F270" i="16"/>
  <c r="F271" i="16"/>
  <c r="F272" i="16"/>
  <c r="F273" i="16"/>
  <c r="F274" i="16"/>
  <c r="F275" i="16"/>
  <c r="F276" i="16"/>
  <c r="H843" i="13"/>
  <c r="L843" i="13"/>
  <c r="P843" i="13"/>
  <c r="T843" i="13"/>
  <c r="X843" i="13"/>
  <c r="AB843" i="13"/>
  <c r="F845" i="13"/>
  <c r="J845" i="13"/>
  <c r="N845" i="13"/>
  <c r="R845" i="13"/>
  <c r="V845" i="13"/>
  <c r="Z845" i="13"/>
  <c r="AD845" i="13"/>
  <c r="F846" i="13"/>
  <c r="J846" i="13"/>
  <c r="N846" i="13"/>
  <c r="R846" i="13"/>
  <c r="V846" i="13"/>
  <c r="Z846" i="13"/>
  <c r="AD846" i="13"/>
  <c r="F847" i="13"/>
  <c r="J847" i="13"/>
  <c r="N847" i="13"/>
  <c r="R847" i="13"/>
  <c r="V847" i="13"/>
  <c r="Z847" i="13"/>
  <c r="AD847" i="13"/>
  <c r="F848" i="13"/>
  <c r="J848" i="13"/>
  <c r="N848" i="13"/>
  <c r="R848" i="13"/>
  <c r="V848" i="13"/>
  <c r="Z848" i="13"/>
  <c r="AD848" i="13"/>
  <c r="F849" i="13"/>
  <c r="J849" i="13"/>
  <c r="N849" i="13"/>
  <c r="R849" i="13"/>
  <c r="V849" i="13"/>
  <c r="Z849" i="13"/>
  <c r="AD849" i="13"/>
  <c r="F850" i="13"/>
  <c r="J850" i="13"/>
  <c r="N850" i="13"/>
  <c r="R850" i="13"/>
  <c r="V850" i="13"/>
  <c r="Z850" i="13"/>
  <c r="AD850" i="13"/>
  <c r="F851" i="13"/>
  <c r="J851" i="13"/>
  <c r="N851" i="13"/>
  <c r="R851" i="13"/>
  <c r="V851" i="13"/>
  <c r="Z851" i="13"/>
  <c r="AD851" i="13"/>
  <c r="F852" i="13"/>
  <c r="J852" i="13"/>
  <c r="N852" i="13"/>
  <c r="R852" i="13"/>
  <c r="V852" i="13"/>
  <c r="Z852" i="13"/>
  <c r="AD852" i="13"/>
  <c r="F853" i="13"/>
  <c r="J853" i="13"/>
  <c r="N853" i="13"/>
  <c r="R853" i="13"/>
  <c r="V853" i="13"/>
  <c r="Z853" i="13"/>
  <c r="AD853" i="13"/>
  <c r="F854" i="13"/>
  <c r="J854" i="13"/>
  <c r="N854" i="13"/>
  <c r="R854" i="13"/>
  <c r="V854" i="13"/>
  <c r="Z854" i="13"/>
  <c r="AD854" i="13"/>
  <c r="F855" i="13"/>
  <c r="J855" i="13"/>
  <c r="N855" i="13"/>
  <c r="R855" i="13"/>
  <c r="V855" i="13"/>
  <c r="Z855" i="13"/>
  <c r="AD855" i="13"/>
  <c r="F856" i="13"/>
  <c r="J856" i="13"/>
  <c r="N856" i="13"/>
  <c r="R856" i="13"/>
  <c r="V856" i="13"/>
  <c r="Z856" i="13"/>
  <c r="AD856" i="13"/>
  <c r="AF858" i="13"/>
  <c r="AF859" i="13"/>
  <c r="H826" i="13"/>
  <c r="L826" i="13"/>
  <c r="P826" i="13"/>
  <c r="T826" i="13"/>
  <c r="X826" i="13"/>
  <c r="AB826" i="13"/>
  <c r="F828" i="13"/>
  <c r="J828" i="13"/>
  <c r="N828" i="13"/>
  <c r="R828" i="13"/>
  <c r="V828" i="13"/>
  <c r="Z828" i="13"/>
  <c r="AD828" i="13"/>
  <c r="F829" i="13"/>
  <c r="J829" i="13"/>
  <c r="N829" i="13"/>
  <c r="R829" i="13"/>
  <c r="V829" i="13"/>
  <c r="Z829" i="13"/>
  <c r="AD829" i="13"/>
  <c r="F830" i="13"/>
  <c r="J830" i="13"/>
  <c r="N830" i="13"/>
  <c r="R830" i="13"/>
  <c r="V830" i="13"/>
  <c r="Z830" i="13"/>
  <c r="AD830" i="13"/>
  <c r="F831" i="13"/>
  <c r="J831" i="13"/>
  <c r="N831" i="13"/>
  <c r="R831" i="13"/>
  <c r="V831" i="13"/>
  <c r="Z831" i="13"/>
  <c r="AD831" i="13"/>
  <c r="F832" i="13"/>
  <c r="J832" i="13"/>
  <c r="N832" i="13"/>
  <c r="R832" i="13"/>
  <c r="V832" i="13"/>
  <c r="Z832" i="13"/>
  <c r="AD832" i="13"/>
  <c r="F833" i="13"/>
  <c r="J833" i="13"/>
  <c r="N833" i="13"/>
  <c r="R833" i="13"/>
  <c r="V833" i="13"/>
  <c r="Z833" i="13"/>
  <c r="AD833" i="13"/>
  <c r="F834" i="13"/>
  <c r="J834" i="13"/>
  <c r="N834" i="13"/>
  <c r="R834" i="13"/>
  <c r="V834" i="13"/>
  <c r="Z834" i="13"/>
  <c r="AD834" i="13"/>
  <c r="F835" i="13"/>
  <c r="J835" i="13"/>
  <c r="AF835" i="13"/>
  <c r="N835" i="13"/>
  <c r="R835" i="13"/>
  <c r="V835" i="13"/>
  <c r="Z835" i="13"/>
  <c r="AD835" i="13"/>
  <c r="F836" i="13"/>
  <c r="J836" i="13"/>
  <c r="N836" i="13"/>
  <c r="R836" i="13"/>
  <c r="V836" i="13"/>
  <c r="Z836" i="13"/>
  <c r="AD836" i="13"/>
  <c r="F837" i="13"/>
  <c r="J837" i="13"/>
  <c r="N837" i="13"/>
  <c r="R837" i="13"/>
  <c r="V837" i="13"/>
  <c r="Z837" i="13"/>
  <c r="AD837" i="13"/>
  <c r="F838" i="13"/>
  <c r="J838" i="13"/>
  <c r="N838" i="13"/>
  <c r="R838" i="13"/>
  <c r="AF838" i="13"/>
  <c r="V838" i="13"/>
  <c r="Z838" i="13"/>
  <c r="AD838" i="13"/>
  <c r="F839" i="13"/>
  <c r="J839" i="13"/>
  <c r="N839" i="13"/>
  <c r="R839" i="13"/>
  <c r="AF839" i="13"/>
  <c r="V839" i="13"/>
  <c r="Z839" i="13"/>
  <c r="AD839" i="13"/>
  <c r="AF841" i="13"/>
  <c r="AF842" i="13"/>
  <c r="H809" i="13"/>
  <c r="L809" i="13"/>
  <c r="P809" i="13"/>
  <c r="T809" i="13"/>
  <c r="X809" i="13"/>
  <c r="AB809" i="13"/>
  <c r="F811" i="13"/>
  <c r="J811" i="13"/>
  <c r="N811" i="13"/>
  <c r="R811" i="13"/>
  <c r="V811" i="13"/>
  <c r="Z811" i="13"/>
  <c r="AD811" i="13"/>
  <c r="F812" i="13"/>
  <c r="J812" i="13"/>
  <c r="N812" i="13"/>
  <c r="R812" i="13"/>
  <c r="V812" i="13"/>
  <c r="Z812" i="13"/>
  <c r="AD812" i="13"/>
  <c r="F813" i="13"/>
  <c r="J813" i="13"/>
  <c r="N813" i="13"/>
  <c r="R813" i="13"/>
  <c r="V813" i="13"/>
  <c r="Z813" i="13"/>
  <c r="AD813" i="13"/>
  <c r="F814" i="13"/>
  <c r="J814" i="13"/>
  <c r="N814" i="13"/>
  <c r="R814" i="13"/>
  <c r="V814" i="13"/>
  <c r="Z814" i="13"/>
  <c r="AD814" i="13"/>
  <c r="F815" i="13"/>
  <c r="J815" i="13"/>
  <c r="N815" i="13"/>
  <c r="R815" i="13"/>
  <c r="V815" i="13"/>
  <c r="Z815" i="13"/>
  <c r="AD815" i="13"/>
  <c r="F816" i="13"/>
  <c r="J816" i="13"/>
  <c r="N816" i="13"/>
  <c r="R816" i="13"/>
  <c r="V816" i="13"/>
  <c r="Z816" i="13"/>
  <c r="AD816" i="13"/>
  <c r="F817" i="13"/>
  <c r="J817" i="13"/>
  <c r="N817" i="13"/>
  <c r="R817" i="13"/>
  <c r="V817" i="13"/>
  <c r="Z817" i="13"/>
  <c r="AD817" i="13"/>
  <c r="F818" i="13"/>
  <c r="J818" i="13"/>
  <c r="N818" i="13"/>
  <c r="R818" i="13"/>
  <c r="V818" i="13"/>
  <c r="Z818" i="13"/>
  <c r="AD818" i="13"/>
  <c r="F819" i="13"/>
  <c r="J819" i="13"/>
  <c r="N819" i="13"/>
  <c r="R819" i="13"/>
  <c r="V819" i="13"/>
  <c r="Z819" i="13"/>
  <c r="AD819" i="13"/>
  <c r="F820" i="13"/>
  <c r="J820" i="13"/>
  <c r="N820" i="13"/>
  <c r="R820" i="13"/>
  <c r="V820" i="13"/>
  <c r="Z820" i="13"/>
  <c r="AD820" i="13"/>
  <c r="F821" i="13"/>
  <c r="J821" i="13"/>
  <c r="N821" i="13"/>
  <c r="R821" i="13"/>
  <c r="V821" i="13"/>
  <c r="Z821" i="13"/>
  <c r="AD821" i="13"/>
  <c r="F822" i="13"/>
  <c r="J822" i="13"/>
  <c r="N822" i="13"/>
  <c r="R822" i="13"/>
  <c r="V822" i="13"/>
  <c r="Z822" i="13"/>
  <c r="AD822" i="13"/>
  <c r="AF824" i="13"/>
  <c r="AF825" i="13"/>
  <c r="H792" i="13"/>
  <c r="L792" i="13"/>
  <c r="P792" i="13"/>
  <c r="T792" i="13"/>
  <c r="X792" i="13"/>
  <c r="AB792" i="13"/>
  <c r="F794" i="13"/>
  <c r="AD794" i="13"/>
  <c r="J794" i="13"/>
  <c r="N794" i="13"/>
  <c r="R794" i="13"/>
  <c r="V794" i="13"/>
  <c r="Z794" i="13"/>
  <c r="F795" i="13"/>
  <c r="Z795" i="13"/>
  <c r="J795" i="13"/>
  <c r="AF795" i="13"/>
  <c r="N795" i="13"/>
  <c r="R795" i="13"/>
  <c r="V795" i="13"/>
  <c r="AD795" i="13"/>
  <c r="F796" i="13"/>
  <c r="J796" i="13"/>
  <c r="N796" i="13"/>
  <c r="R796" i="13"/>
  <c r="V796" i="13"/>
  <c r="Z796" i="13"/>
  <c r="AD796" i="13"/>
  <c r="F797" i="13"/>
  <c r="J797" i="13"/>
  <c r="N797" i="13"/>
  <c r="R797" i="13"/>
  <c r="V797" i="13"/>
  <c r="Z797" i="13"/>
  <c r="AD797" i="13"/>
  <c r="F798" i="13"/>
  <c r="J798" i="13"/>
  <c r="N798" i="13"/>
  <c r="R798" i="13"/>
  <c r="V798" i="13"/>
  <c r="Z798" i="13"/>
  <c r="AD798" i="13"/>
  <c r="F799" i="13"/>
  <c r="J799" i="13"/>
  <c r="N799" i="13"/>
  <c r="R799" i="13"/>
  <c r="V799" i="13"/>
  <c r="Z799" i="13"/>
  <c r="AD799" i="13"/>
  <c r="F800" i="13"/>
  <c r="J800" i="13"/>
  <c r="N800" i="13"/>
  <c r="R800" i="13"/>
  <c r="V800" i="13"/>
  <c r="Z800" i="13"/>
  <c r="AD800" i="13"/>
  <c r="F801" i="13"/>
  <c r="J801" i="13"/>
  <c r="N801" i="13"/>
  <c r="R801" i="13"/>
  <c r="V801" i="13"/>
  <c r="Z801" i="13"/>
  <c r="AD801" i="13"/>
  <c r="F802" i="13"/>
  <c r="J802" i="13"/>
  <c r="N802" i="13"/>
  <c r="R802" i="13"/>
  <c r="V802" i="13"/>
  <c r="Z802" i="13"/>
  <c r="AD802" i="13"/>
  <c r="F803" i="13"/>
  <c r="J803" i="13"/>
  <c r="N803" i="13"/>
  <c r="R803" i="13"/>
  <c r="V803" i="13"/>
  <c r="Z803" i="13"/>
  <c r="AD803" i="13"/>
  <c r="F804" i="13"/>
  <c r="J804" i="13"/>
  <c r="N804" i="13"/>
  <c r="AF804" i="13"/>
  <c r="R804" i="13"/>
  <c r="V804" i="13"/>
  <c r="Z804" i="13"/>
  <c r="AD804" i="13"/>
  <c r="F805" i="13"/>
  <c r="J805" i="13"/>
  <c r="N805" i="13"/>
  <c r="R805" i="13"/>
  <c r="V805" i="13"/>
  <c r="Z805" i="13"/>
  <c r="AD805" i="13"/>
  <c r="AF807" i="13"/>
  <c r="AF808" i="13"/>
  <c r="H764" i="13"/>
  <c r="L764" i="13"/>
  <c r="P764" i="13"/>
  <c r="T764" i="13"/>
  <c r="X764" i="13"/>
  <c r="AB764" i="13"/>
  <c r="F766" i="13"/>
  <c r="J766" i="13"/>
  <c r="N766" i="13"/>
  <c r="R766" i="13"/>
  <c r="V766" i="13"/>
  <c r="Z766" i="13"/>
  <c r="AD766" i="13"/>
  <c r="F767" i="13"/>
  <c r="J767" i="13"/>
  <c r="N767" i="13"/>
  <c r="R767" i="13"/>
  <c r="V767" i="13"/>
  <c r="Z767" i="13"/>
  <c r="AD767" i="13"/>
  <c r="F768" i="13"/>
  <c r="J768" i="13"/>
  <c r="N768" i="13"/>
  <c r="R768" i="13"/>
  <c r="V768" i="13"/>
  <c r="Z768" i="13"/>
  <c r="AD768" i="13"/>
  <c r="F769" i="13"/>
  <c r="J769" i="13"/>
  <c r="N769" i="13"/>
  <c r="R769" i="13"/>
  <c r="V769" i="13"/>
  <c r="Z769" i="13"/>
  <c r="AD769" i="13"/>
  <c r="F770" i="13"/>
  <c r="J770" i="13"/>
  <c r="N770" i="13"/>
  <c r="R770" i="13"/>
  <c r="V770" i="13"/>
  <c r="Z770" i="13"/>
  <c r="AD770" i="13"/>
  <c r="F771" i="13"/>
  <c r="J771" i="13"/>
  <c r="N771" i="13"/>
  <c r="R771" i="13"/>
  <c r="V771" i="13"/>
  <c r="Z771" i="13"/>
  <c r="AD771" i="13"/>
  <c r="F772" i="13"/>
  <c r="J772" i="13"/>
  <c r="N772" i="13"/>
  <c r="R772" i="13"/>
  <c r="V772" i="13"/>
  <c r="Z772" i="13"/>
  <c r="AD772" i="13"/>
  <c r="F783" i="13"/>
  <c r="J783" i="13"/>
  <c r="AD783" i="13"/>
  <c r="N783" i="13"/>
  <c r="R783" i="13"/>
  <c r="V783" i="13"/>
  <c r="Z783" i="13"/>
  <c r="F784" i="13"/>
  <c r="J784" i="13"/>
  <c r="N784" i="13"/>
  <c r="R784" i="13"/>
  <c r="V784" i="13"/>
  <c r="Z784" i="13"/>
  <c r="AD784" i="13"/>
  <c r="F785" i="13"/>
  <c r="J785" i="13"/>
  <c r="N785" i="13"/>
  <c r="R785" i="13"/>
  <c r="V785" i="13"/>
  <c r="Z785" i="13"/>
  <c r="AD785" i="13"/>
  <c r="F787" i="13"/>
  <c r="J787" i="13"/>
  <c r="N787" i="13"/>
  <c r="R787" i="13"/>
  <c r="V787" i="13"/>
  <c r="Z787" i="13"/>
  <c r="AD787" i="13"/>
  <c r="F788" i="13"/>
  <c r="J788" i="13"/>
  <c r="N788" i="13"/>
  <c r="R788" i="13"/>
  <c r="V788" i="13"/>
  <c r="Z788" i="13"/>
  <c r="AD788" i="13"/>
  <c r="AF790" i="13"/>
  <c r="AF791" i="13"/>
  <c r="AG76" i="20"/>
  <c r="AF93" i="20"/>
  <c r="Z93" i="20"/>
  <c r="Y93" i="20"/>
  <c r="U93" i="20"/>
  <c r="T93" i="20"/>
  <c r="P93" i="20"/>
  <c r="O93" i="20"/>
  <c r="K93" i="20"/>
  <c r="J93" i="20"/>
  <c r="F93" i="20"/>
  <c r="E93" i="20"/>
  <c r="AG92" i="20"/>
  <c r="AB92" i="20"/>
  <c r="AA92" i="20"/>
  <c r="AM91" i="20"/>
  <c r="AG91" i="20"/>
  <c r="AG93" i="20"/>
  <c r="AL92" i="20" s="1"/>
  <c r="AN92" i="20" s="1"/>
  <c r="AB91" i="20"/>
  <c r="AA91" i="20"/>
  <c r="AA93" i="20" s="1"/>
  <c r="AL90" i="20" s="1"/>
  <c r="AN90" i="20" s="1"/>
  <c r="AA83" i="20"/>
  <c r="AB83" i="20"/>
  <c r="AB85" i="20" s="1"/>
  <c r="AL83" i="20" s="1"/>
  <c r="AN83" i="20" s="1"/>
  <c r="AG83" i="20"/>
  <c r="AG85" i="20" s="1"/>
  <c r="AL84" i="20" s="1"/>
  <c r="AN84" i="20" s="1"/>
  <c r="AM83" i="20"/>
  <c r="AA84" i="20"/>
  <c r="AB84" i="20"/>
  <c r="AG84" i="20"/>
  <c r="E85" i="20"/>
  <c r="F85" i="20"/>
  <c r="J85" i="20"/>
  <c r="K85" i="20"/>
  <c r="O85" i="20"/>
  <c r="P85" i="20"/>
  <c r="T85" i="20"/>
  <c r="U85" i="20"/>
  <c r="Y85" i="20"/>
  <c r="Z85" i="20"/>
  <c r="AF85" i="20"/>
  <c r="AM459" i="19"/>
  <c r="AF490" i="19"/>
  <c r="Z490" i="19"/>
  <c r="Y490" i="19"/>
  <c r="U490" i="19"/>
  <c r="T490" i="19"/>
  <c r="P490" i="19"/>
  <c r="O490" i="19"/>
  <c r="K490" i="19"/>
  <c r="J490" i="19"/>
  <c r="F490" i="19"/>
  <c r="E490" i="19"/>
  <c r="AM456" i="19"/>
  <c r="AM414" i="19"/>
  <c r="AF445" i="19"/>
  <c r="Z445" i="19"/>
  <c r="Y445" i="19"/>
  <c r="U445" i="19"/>
  <c r="T445" i="19"/>
  <c r="P445" i="19"/>
  <c r="O445" i="19"/>
  <c r="K445" i="19"/>
  <c r="J445" i="19"/>
  <c r="F445" i="19"/>
  <c r="E445" i="19"/>
  <c r="AM411" i="19"/>
  <c r="AM369" i="19"/>
  <c r="AF400" i="19"/>
  <c r="Z400" i="19"/>
  <c r="Y400" i="19"/>
  <c r="U400" i="19"/>
  <c r="T400" i="19"/>
  <c r="P400" i="19"/>
  <c r="O400" i="19"/>
  <c r="K400" i="19"/>
  <c r="J400" i="19"/>
  <c r="F400" i="19"/>
  <c r="E400" i="19"/>
  <c r="AM366" i="19"/>
  <c r="Y45" i="20"/>
  <c r="T45" i="20"/>
  <c r="O45" i="20"/>
  <c r="J45" i="20"/>
  <c r="AA85" i="20"/>
  <c r="AL82" i="20" s="1"/>
  <c r="AN82" i="20" s="1"/>
  <c r="AF355" i="19"/>
  <c r="Z355" i="19"/>
  <c r="Y355" i="19"/>
  <c r="U355" i="19"/>
  <c r="T355" i="19"/>
  <c r="P355" i="19"/>
  <c r="O355" i="19"/>
  <c r="K355" i="19"/>
  <c r="J355" i="19"/>
  <c r="F355" i="19"/>
  <c r="E355" i="19"/>
  <c r="AM324" i="19"/>
  <c r="AM321" i="19"/>
  <c r="AF77" i="20"/>
  <c r="Z77" i="20"/>
  <c r="Y77" i="20"/>
  <c r="U77" i="20"/>
  <c r="T77" i="20"/>
  <c r="P77" i="20"/>
  <c r="O77" i="20"/>
  <c r="K77" i="20"/>
  <c r="J77" i="20"/>
  <c r="F77" i="20"/>
  <c r="E77" i="20"/>
  <c r="AA76" i="20"/>
  <c r="AA77" i="20" s="1"/>
  <c r="AL74" i="20" s="1"/>
  <c r="AN74" i="20" s="1"/>
  <c r="AN77" i="20" s="1"/>
  <c r="AM75" i="20"/>
  <c r="AG75" i="20"/>
  <c r="AG77" i="20" s="1"/>
  <c r="AL76" i="20" s="1"/>
  <c r="AN76" i="20" s="1"/>
  <c r="AB75" i="20"/>
  <c r="AB77" i="20" s="1"/>
  <c r="AL75" i="20" s="1"/>
  <c r="AN75" i="20" s="1"/>
  <c r="AA75" i="20"/>
  <c r="AF69" i="20"/>
  <c r="Z69" i="20"/>
  <c r="Y69" i="20"/>
  <c r="U69" i="20"/>
  <c r="T69" i="20"/>
  <c r="P69" i="20"/>
  <c r="O69" i="20"/>
  <c r="K69" i="20"/>
  <c r="J69" i="20"/>
  <c r="F69" i="20"/>
  <c r="E69" i="20"/>
  <c r="AG68" i="20"/>
  <c r="AB68" i="20"/>
  <c r="AA68" i="20"/>
  <c r="AM67" i="20"/>
  <c r="AG67" i="20"/>
  <c r="AG69" i="20" s="1"/>
  <c r="AL68" i="20" s="1"/>
  <c r="AN68" i="20" s="1"/>
  <c r="AB67" i="20"/>
  <c r="AA67" i="20"/>
  <c r="AA69" i="20" s="1"/>
  <c r="AL66" i="20" s="1"/>
  <c r="AN66" i="20" s="1"/>
  <c r="AF61" i="20"/>
  <c r="Z61" i="20"/>
  <c r="Y61" i="20"/>
  <c r="U61" i="20"/>
  <c r="T61" i="20"/>
  <c r="P61" i="20"/>
  <c r="O61" i="20"/>
  <c r="K61" i="20"/>
  <c r="J61" i="20"/>
  <c r="F61" i="20"/>
  <c r="E61" i="20"/>
  <c r="AG60" i="20"/>
  <c r="AG61" i="20" s="1"/>
  <c r="AL60" i="20" s="1"/>
  <c r="AN60" i="20" s="1"/>
  <c r="AB60" i="20"/>
  <c r="AA60" i="20"/>
  <c r="AM59" i="20"/>
  <c r="AG59" i="20"/>
  <c r="AB59" i="20"/>
  <c r="AA59" i="20"/>
  <c r="AA61" i="20"/>
  <c r="AL58" i="20" s="1"/>
  <c r="AN58" i="20" s="1"/>
  <c r="AF310" i="19"/>
  <c r="Z310" i="19"/>
  <c r="Y310" i="19"/>
  <c r="U310" i="19"/>
  <c r="T310" i="19"/>
  <c r="P310" i="19"/>
  <c r="O310" i="19"/>
  <c r="K310" i="19"/>
  <c r="J310" i="19"/>
  <c r="F310" i="19"/>
  <c r="E310" i="19"/>
  <c r="AM283" i="19"/>
  <c r="AM280" i="19"/>
  <c r="AA51" i="20"/>
  <c r="AA53" i="20" s="1"/>
  <c r="AL50" i="20" s="1"/>
  <c r="AN50" i="20" s="1"/>
  <c r="AB51" i="20"/>
  <c r="AG51" i="20"/>
  <c r="AG53" i="20" s="1"/>
  <c r="AL52" i="20" s="1"/>
  <c r="AN52" i="20" s="1"/>
  <c r="AM51" i="20"/>
  <c r="AA52" i="20"/>
  <c r="AB52" i="20"/>
  <c r="AG52" i="20"/>
  <c r="E53" i="20"/>
  <c r="F53" i="20"/>
  <c r="J53" i="20"/>
  <c r="K53" i="20"/>
  <c r="O53" i="20"/>
  <c r="P53" i="20"/>
  <c r="T53" i="20"/>
  <c r="U53" i="20"/>
  <c r="Y53" i="20"/>
  <c r="Z53" i="20"/>
  <c r="AB53" i="20"/>
  <c r="AL51" i="20"/>
  <c r="AF53" i="20"/>
  <c r="AM239" i="19"/>
  <c r="AM242" i="19"/>
  <c r="E269" i="19"/>
  <c r="F269" i="19"/>
  <c r="J269" i="19"/>
  <c r="K269" i="19"/>
  <c r="O269" i="19"/>
  <c r="P269" i="19"/>
  <c r="T269" i="19"/>
  <c r="U269" i="19"/>
  <c r="Y269" i="19"/>
  <c r="Z269" i="19"/>
  <c r="AF269" i="19"/>
  <c r="H747" i="13"/>
  <c r="L747" i="13"/>
  <c r="P747" i="13"/>
  <c r="T747" i="13"/>
  <c r="X747" i="13"/>
  <c r="AB747" i="13"/>
  <c r="F749" i="13"/>
  <c r="J749" i="13"/>
  <c r="N749" i="13"/>
  <c r="R749" i="13"/>
  <c r="V749" i="13"/>
  <c r="Z749" i="13"/>
  <c r="AD749" i="13"/>
  <c r="F750" i="13"/>
  <c r="J750" i="13"/>
  <c r="N750" i="13"/>
  <c r="R750" i="13"/>
  <c r="V750" i="13"/>
  <c r="Z750" i="13"/>
  <c r="AD750" i="13"/>
  <c r="F751" i="13"/>
  <c r="J751" i="13"/>
  <c r="N751" i="13"/>
  <c r="R751" i="13"/>
  <c r="V751" i="13"/>
  <c r="Z751" i="13"/>
  <c r="AD751" i="13"/>
  <c r="F752" i="13"/>
  <c r="J752" i="13"/>
  <c r="N752" i="13"/>
  <c r="R752" i="13"/>
  <c r="V752" i="13"/>
  <c r="Z752" i="13"/>
  <c r="AD752" i="13"/>
  <c r="F753" i="13"/>
  <c r="J753" i="13"/>
  <c r="N753" i="13"/>
  <c r="R753" i="13"/>
  <c r="V753" i="13"/>
  <c r="Z753" i="13"/>
  <c r="AD753" i="13"/>
  <c r="F754" i="13"/>
  <c r="J754" i="13"/>
  <c r="N754" i="13"/>
  <c r="R754" i="13"/>
  <c r="V754" i="13"/>
  <c r="Z754" i="13"/>
  <c r="AD754" i="13"/>
  <c r="F755" i="13"/>
  <c r="J755" i="13"/>
  <c r="N755" i="13"/>
  <c r="R755" i="13"/>
  <c r="V755" i="13"/>
  <c r="Z755" i="13"/>
  <c r="AD755" i="13"/>
  <c r="F756" i="13"/>
  <c r="J756" i="13"/>
  <c r="N756" i="13"/>
  <c r="R756" i="13"/>
  <c r="V756" i="13"/>
  <c r="Z756" i="13"/>
  <c r="AD756" i="13"/>
  <c r="F757" i="13"/>
  <c r="J757" i="13"/>
  <c r="N757" i="13"/>
  <c r="R757" i="13"/>
  <c r="V757" i="13"/>
  <c r="Z757" i="13"/>
  <c r="AD757" i="13"/>
  <c r="F758" i="13"/>
  <c r="J758" i="13"/>
  <c r="N758" i="13"/>
  <c r="R758" i="13"/>
  <c r="V758" i="13"/>
  <c r="Z758" i="13"/>
  <c r="AD758" i="13"/>
  <c r="F759" i="13"/>
  <c r="J759" i="13"/>
  <c r="N759" i="13"/>
  <c r="R759" i="13"/>
  <c r="V759" i="13"/>
  <c r="Z759" i="13"/>
  <c r="AD759" i="13"/>
  <c r="F760" i="13"/>
  <c r="J760" i="13"/>
  <c r="N760" i="13"/>
  <c r="R760" i="13"/>
  <c r="V760" i="13"/>
  <c r="Z760" i="13"/>
  <c r="AD760" i="13"/>
  <c r="AF762" i="13"/>
  <c r="AF763" i="13"/>
  <c r="H730" i="13"/>
  <c r="L730" i="13"/>
  <c r="P730" i="13"/>
  <c r="T730" i="13"/>
  <c r="X730" i="13"/>
  <c r="AB730" i="13"/>
  <c r="F732" i="13"/>
  <c r="J732" i="13"/>
  <c r="N732" i="13"/>
  <c r="R732" i="13"/>
  <c r="V732" i="13"/>
  <c r="Z732" i="13"/>
  <c r="AD732" i="13"/>
  <c r="F733" i="13"/>
  <c r="J733" i="13"/>
  <c r="N733" i="13"/>
  <c r="R733" i="13"/>
  <c r="V733" i="13"/>
  <c r="Z733" i="13"/>
  <c r="AD733" i="13"/>
  <c r="F734" i="13"/>
  <c r="J734" i="13"/>
  <c r="N734" i="13"/>
  <c r="R734" i="13"/>
  <c r="V734" i="13"/>
  <c r="Z734" i="13"/>
  <c r="AD734" i="13"/>
  <c r="F735" i="13"/>
  <c r="J735" i="13"/>
  <c r="N735" i="13"/>
  <c r="R735" i="13"/>
  <c r="V735" i="13"/>
  <c r="Z735" i="13"/>
  <c r="AD735" i="13"/>
  <c r="F736" i="13"/>
  <c r="J736" i="13"/>
  <c r="N736" i="13"/>
  <c r="R736" i="13"/>
  <c r="V736" i="13"/>
  <c r="Z736" i="13"/>
  <c r="AD736" i="13"/>
  <c r="F737" i="13"/>
  <c r="J737" i="13"/>
  <c r="N737" i="13"/>
  <c r="R737" i="13"/>
  <c r="V737" i="13"/>
  <c r="Z737" i="13"/>
  <c r="AD737" i="13"/>
  <c r="F738" i="13"/>
  <c r="J738" i="13"/>
  <c r="N738" i="13"/>
  <c r="R738" i="13"/>
  <c r="V738" i="13"/>
  <c r="Z738" i="13"/>
  <c r="AD738" i="13"/>
  <c r="F739" i="13"/>
  <c r="J739" i="13"/>
  <c r="N739" i="13"/>
  <c r="R739" i="13"/>
  <c r="V739" i="13"/>
  <c r="Z739" i="13"/>
  <c r="AD739" i="13"/>
  <c r="F740" i="13"/>
  <c r="J740" i="13"/>
  <c r="N740" i="13"/>
  <c r="R740" i="13"/>
  <c r="V740" i="13"/>
  <c r="Z740" i="13"/>
  <c r="AD740" i="13"/>
  <c r="F741" i="13"/>
  <c r="J741" i="13"/>
  <c r="N741" i="13"/>
  <c r="R741" i="13"/>
  <c r="V741" i="13"/>
  <c r="Z741" i="13"/>
  <c r="AD741" i="13"/>
  <c r="F742" i="13"/>
  <c r="J742" i="13"/>
  <c r="N742" i="13"/>
  <c r="R742" i="13"/>
  <c r="V742" i="13"/>
  <c r="Z742" i="13"/>
  <c r="AD742" i="13"/>
  <c r="F743" i="13"/>
  <c r="J743" i="13"/>
  <c r="N743" i="13"/>
  <c r="R743" i="13"/>
  <c r="V743" i="13"/>
  <c r="Z743" i="13"/>
  <c r="AD743" i="13"/>
  <c r="AF745" i="13"/>
  <c r="AF746" i="13"/>
  <c r="H713" i="13"/>
  <c r="L713" i="13"/>
  <c r="P713" i="13"/>
  <c r="T713" i="13"/>
  <c r="X713" i="13"/>
  <c r="AB713" i="13"/>
  <c r="F715" i="13"/>
  <c r="J715" i="13"/>
  <c r="N715" i="13"/>
  <c r="R715" i="13"/>
  <c r="V715" i="13"/>
  <c r="Z715" i="13"/>
  <c r="AD715" i="13"/>
  <c r="F716" i="13"/>
  <c r="J716" i="13"/>
  <c r="N716" i="13"/>
  <c r="R716" i="13"/>
  <c r="V716" i="13"/>
  <c r="Z716" i="13"/>
  <c r="AD716" i="13"/>
  <c r="F717" i="13"/>
  <c r="J717" i="13"/>
  <c r="N717" i="13"/>
  <c r="R717" i="13"/>
  <c r="V717" i="13"/>
  <c r="Z717" i="13"/>
  <c r="AD717" i="13"/>
  <c r="F718" i="13"/>
  <c r="J718" i="13"/>
  <c r="N718" i="13"/>
  <c r="R718" i="13"/>
  <c r="V718" i="13"/>
  <c r="Z718" i="13"/>
  <c r="AD718" i="13"/>
  <c r="F719" i="13"/>
  <c r="J719" i="13"/>
  <c r="N719" i="13"/>
  <c r="R719" i="13"/>
  <c r="V719" i="13"/>
  <c r="Z719" i="13"/>
  <c r="AD719" i="13"/>
  <c r="F720" i="13"/>
  <c r="J720" i="13"/>
  <c r="N720" i="13"/>
  <c r="R720" i="13"/>
  <c r="V720" i="13"/>
  <c r="Z720" i="13"/>
  <c r="AD720" i="13"/>
  <c r="F721" i="13"/>
  <c r="J721" i="13"/>
  <c r="N721" i="13"/>
  <c r="R721" i="13"/>
  <c r="V721" i="13"/>
  <c r="Z721" i="13"/>
  <c r="AD721" i="13"/>
  <c r="F722" i="13"/>
  <c r="J722" i="13"/>
  <c r="N722" i="13"/>
  <c r="R722" i="13"/>
  <c r="V722" i="13"/>
  <c r="Z722" i="13"/>
  <c r="AD722" i="13"/>
  <c r="F723" i="13"/>
  <c r="J723" i="13"/>
  <c r="N723" i="13"/>
  <c r="R723" i="13"/>
  <c r="V723" i="13"/>
  <c r="Z723" i="13"/>
  <c r="AD723" i="13"/>
  <c r="F724" i="13"/>
  <c r="J724" i="13"/>
  <c r="N724" i="13"/>
  <c r="R724" i="13"/>
  <c r="V724" i="13"/>
  <c r="Z724" i="13"/>
  <c r="AD724" i="13"/>
  <c r="F725" i="13"/>
  <c r="J725" i="13"/>
  <c r="N725" i="13"/>
  <c r="R725" i="13"/>
  <c r="V725" i="13"/>
  <c r="Z725" i="13"/>
  <c r="AD725" i="13"/>
  <c r="F726" i="13"/>
  <c r="J726" i="13"/>
  <c r="N726" i="13"/>
  <c r="R726" i="13"/>
  <c r="V726" i="13"/>
  <c r="Z726" i="13"/>
  <c r="AD726" i="13"/>
  <c r="AF728" i="13"/>
  <c r="AF729" i="13"/>
  <c r="H696" i="13"/>
  <c r="L696" i="13"/>
  <c r="P696" i="13"/>
  <c r="T696" i="13"/>
  <c r="X696" i="13"/>
  <c r="AB696" i="13"/>
  <c r="F698" i="13"/>
  <c r="J698" i="13"/>
  <c r="N698" i="13"/>
  <c r="R698" i="13"/>
  <c r="V698" i="13"/>
  <c r="Z698" i="13"/>
  <c r="AD698" i="13"/>
  <c r="F699" i="13"/>
  <c r="J699" i="13"/>
  <c r="N699" i="13"/>
  <c r="R699" i="13"/>
  <c r="V699" i="13"/>
  <c r="Z699" i="13"/>
  <c r="AD699" i="13"/>
  <c r="F700" i="13"/>
  <c r="J700" i="13"/>
  <c r="N700" i="13"/>
  <c r="R700" i="13"/>
  <c r="V700" i="13"/>
  <c r="Z700" i="13"/>
  <c r="AD700" i="13"/>
  <c r="F701" i="13"/>
  <c r="J701" i="13"/>
  <c r="N701" i="13"/>
  <c r="R701" i="13"/>
  <c r="V701" i="13"/>
  <c r="Z701" i="13"/>
  <c r="AD701" i="13"/>
  <c r="F702" i="13"/>
  <c r="J702" i="13"/>
  <c r="N702" i="13"/>
  <c r="R702" i="13"/>
  <c r="V702" i="13"/>
  <c r="Z702" i="13"/>
  <c r="AD702" i="13"/>
  <c r="F703" i="13"/>
  <c r="J703" i="13"/>
  <c r="N703" i="13"/>
  <c r="R703" i="13"/>
  <c r="V703" i="13"/>
  <c r="Z703" i="13"/>
  <c r="AD703" i="13"/>
  <c r="F704" i="13"/>
  <c r="J704" i="13"/>
  <c r="N704" i="13"/>
  <c r="R704" i="13"/>
  <c r="V704" i="13"/>
  <c r="Z704" i="13"/>
  <c r="AD704" i="13"/>
  <c r="F705" i="13"/>
  <c r="J705" i="13"/>
  <c r="N705" i="13"/>
  <c r="R705" i="13"/>
  <c r="V705" i="13"/>
  <c r="Z705" i="13"/>
  <c r="AD705" i="13"/>
  <c r="F706" i="13"/>
  <c r="J706" i="13"/>
  <c r="N706" i="13"/>
  <c r="R706" i="13"/>
  <c r="V706" i="13"/>
  <c r="Z706" i="13"/>
  <c r="AD706" i="13"/>
  <c r="F707" i="13"/>
  <c r="J707" i="13"/>
  <c r="N707" i="13"/>
  <c r="R707" i="13"/>
  <c r="V707" i="13"/>
  <c r="Z707" i="13"/>
  <c r="AD707" i="13"/>
  <c r="F708" i="13"/>
  <c r="J708" i="13"/>
  <c r="N708" i="13"/>
  <c r="R708" i="13"/>
  <c r="V708" i="13"/>
  <c r="Z708" i="13"/>
  <c r="AD708" i="13"/>
  <c r="F709" i="13"/>
  <c r="J709" i="13"/>
  <c r="N709" i="13"/>
  <c r="R709" i="13"/>
  <c r="V709" i="13"/>
  <c r="Z709" i="13"/>
  <c r="AD709" i="13"/>
  <c r="AF711" i="13"/>
  <c r="AF712" i="13"/>
  <c r="AA44" i="20"/>
  <c r="AG44" i="20"/>
  <c r="AB44" i="20"/>
  <c r="AM43" i="20"/>
  <c r="AG43" i="20"/>
  <c r="AB43" i="20"/>
  <c r="AA43" i="20"/>
  <c r="AB69" i="20"/>
  <c r="AL67" i="20" s="1"/>
  <c r="AN67" i="20" s="1"/>
  <c r="AD674" i="13"/>
  <c r="AE674" i="13"/>
  <c r="AD673" i="13"/>
  <c r="AE673" i="13"/>
  <c r="Z673" i="13"/>
  <c r="Z674" i="13"/>
  <c r="V673" i="13"/>
  <c r="V674" i="13"/>
  <c r="R673" i="13"/>
  <c r="R674" i="13"/>
  <c r="N673" i="13"/>
  <c r="N674" i="13"/>
  <c r="J673" i="13"/>
  <c r="J674" i="13"/>
  <c r="F673" i="13"/>
  <c r="F674" i="13"/>
  <c r="N663" i="13"/>
  <c r="AD671" i="13"/>
  <c r="AD672" i="13"/>
  <c r="AE672" i="13"/>
  <c r="Z671" i="13"/>
  <c r="Z672" i="13"/>
  <c r="V671" i="13"/>
  <c r="V672" i="13"/>
  <c r="R671" i="13"/>
  <c r="R672" i="13"/>
  <c r="N671" i="13"/>
  <c r="N672" i="13"/>
  <c r="J671" i="13"/>
  <c r="J672" i="13"/>
  <c r="F671" i="13"/>
  <c r="F672" i="13"/>
  <c r="F302" i="16"/>
  <c r="F303" i="16"/>
  <c r="F304" i="16"/>
  <c r="F305" i="16"/>
  <c r="F306" i="16"/>
  <c r="F307" i="16"/>
  <c r="F308" i="16"/>
  <c r="F309" i="16"/>
  <c r="F310" i="16"/>
  <c r="F311" i="16"/>
  <c r="F312" i="16"/>
  <c r="F313" i="16"/>
  <c r="F314" i="16"/>
  <c r="F315" i="16"/>
  <c r="F316" i="16"/>
  <c r="F318" i="16"/>
  <c r="F319" i="16"/>
  <c r="F320" i="16"/>
  <c r="F321" i="16"/>
  <c r="F322" i="16"/>
  <c r="F323" i="16"/>
  <c r="F324" i="16"/>
  <c r="F325" i="16"/>
  <c r="F326" i="16"/>
  <c r="F327" i="16"/>
  <c r="F328" i="16"/>
  <c r="F329" i="16"/>
  <c r="F330" i="16"/>
  <c r="F331" i="16"/>
  <c r="F332" i="16"/>
  <c r="F333" i="16"/>
  <c r="F335" i="16"/>
  <c r="F336" i="16"/>
  <c r="F337" i="16"/>
  <c r="F338" i="16"/>
  <c r="F339" i="16"/>
  <c r="F340" i="16"/>
  <c r="F341" i="16"/>
  <c r="F342" i="16"/>
  <c r="F343" i="16"/>
  <c r="F344" i="16"/>
  <c r="F345" i="16"/>
  <c r="F346" i="16"/>
  <c r="F347" i="16"/>
  <c r="F348" i="16"/>
  <c r="F349" i="16"/>
  <c r="F350" i="16"/>
  <c r="F351" i="16"/>
  <c r="F352" i="16"/>
  <c r="F353" i="16"/>
  <c r="F354" i="16"/>
  <c r="F355" i="16"/>
  <c r="F356" i="16"/>
  <c r="F357" i="16"/>
  <c r="F358" i="16"/>
  <c r="F359" i="16"/>
  <c r="F360" i="16"/>
  <c r="F361" i="16"/>
  <c r="F362" i="16"/>
  <c r="F363" i="16"/>
  <c r="F364" i="16"/>
  <c r="F365" i="16"/>
  <c r="F366" i="16"/>
  <c r="F367" i="16"/>
  <c r="F368" i="16"/>
  <c r="F369" i="16"/>
  <c r="F370" i="16"/>
  <c r="F371" i="16"/>
  <c r="F372" i="16"/>
  <c r="F373" i="16"/>
  <c r="F374" i="16"/>
  <c r="F375" i="16"/>
  <c r="F376" i="16"/>
  <c r="F377" i="16"/>
  <c r="F378" i="16"/>
  <c r="F379" i="16"/>
  <c r="F380" i="16"/>
  <c r="F381" i="16"/>
  <c r="F382" i="16"/>
  <c r="F383" i="16"/>
  <c r="F384" i="16"/>
  <c r="F385" i="16"/>
  <c r="F386" i="16"/>
  <c r="F387" i="16"/>
  <c r="F388" i="16"/>
  <c r="F389" i="16"/>
  <c r="F390" i="16"/>
  <c r="F391" i="16"/>
  <c r="F392" i="16"/>
  <c r="F393" i="16"/>
  <c r="F394" i="16"/>
  <c r="F395" i="16"/>
  <c r="F396" i="16"/>
  <c r="F397" i="16"/>
  <c r="F398" i="16"/>
  <c r="F399" i="16"/>
  <c r="F400" i="16"/>
  <c r="F401" i="16"/>
  <c r="F402" i="16"/>
  <c r="F403" i="16"/>
  <c r="F404" i="16"/>
  <c r="F405" i="16"/>
  <c r="F406" i="16"/>
  <c r="F407" i="16"/>
  <c r="F408" i="16"/>
  <c r="F409" i="16"/>
  <c r="F410" i="16"/>
  <c r="F411" i="16"/>
  <c r="F412" i="16"/>
  <c r="F413" i="16"/>
  <c r="F414" i="16"/>
  <c r="F415" i="16"/>
  <c r="F416" i="16"/>
  <c r="F417" i="16"/>
  <c r="F418" i="16"/>
  <c r="F419" i="16"/>
  <c r="F420" i="16"/>
  <c r="F421" i="16"/>
  <c r="F422" i="16"/>
  <c r="F423" i="16"/>
  <c r="F424" i="16"/>
  <c r="F425" i="16"/>
  <c r="F426" i="16"/>
  <c r="F427" i="16"/>
  <c r="F428" i="16"/>
  <c r="F429" i="16"/>
  <c r="F238" i="16"/>
  <c r="F239" i="16"/>
  <c r="F240" i="16"/>
  <c r="F241" i="16"/>
  <c r="F242" i="16"/>
  <c r="F243" i="16"/>
  <c r="F244" i="16"/>
  <c r="F245" i="16"/>
  <c r="F246" i="16"/>
  <c r="F247" i="16"/>
  <c r="F248" i="16"/>
  <c r="F249" i="16"/>
  <c r="F250" i="16"/>
  <c r="F251" i="16"/>
  <c r="F252" i="16"/>
  <c r="F253" i="16"/>
  <c r="F254" i="16"/>
  <c r="F255" i="16"/>
  <c r="F256" i="16"/>
  <c r="F257" i="16"/>
  <c r="F258" i="16"/>
  <c r="F277" i="16"/>
  <c r="F278" i="16"/>
  <c r="F279" i="16"/>
  <c r="F280" i="16"/>
  <c r="F281" i="16"/>
  <c r="F282" i="16"/>
  <c r="F283" i="16"/>
  <c r="F284" i="16"/>
  <c r="F285" i="16"/>
  <c r="F286" i="16"/>
  <c r="F287" i="16"/>
  <c r="F288" i="16"/>
  <c r="F289" i="16"/>
  <c r="F290" i="16"/>
  <c r="F291" i="16"/>
  <c r="F292" i="16"/>
  <c r="F293" i="16"/>
  <c r="F294" i="16"/>
  <c r="F295" i="16"/>
  <c r="F296" i="16"/>
  <c r="F297" i="16"/>
  <c r="F298" i="16"/>
  <c r="F299" i="16"/>
  <c r="F300" i="16"/>
  <c r="F301" i="16"/>
  <c r="F206" i="16"/>
  <c r="F207" i="16"/>
  <c r="F208" i="16"/>
  <c r="F209" i="16"/>
  <c r="F210" i="16"/>
  <c r="F211" i="16"/>
  <c r="F212" i="16"/>
  <c r="F213" i="16"/>
  <c r="F214" i="16"/>
  <c r="F215" i="16"/>
  <c r="F216" i="16"/>
  <c r="F217" i="16"/>
  <c r="F218" i="16"/>
  <c r="F219" i="16"/>
  <c r="F220" i="16"/>
  <c r="F221" i="16"/>
  <c r="F222" i="16"/>
  <c r="F223" i="16"/>
  <c r="F224" i="16"/>
  <c r="F225" i="16"/>
  <c r="F226" i="16"/>
  <c r="F227" i="16"/>
  <c r="F228" i="16"/>
  <c r="F229" i="16"/>
  <c r="F230" i="16"/>
  <c r="F231" i="16"/>
  <c r="F232" i="16"/>
  <c r="F233" i="16"/>
  <c r="F234" i="16"/>
  <c r="F235" i="16"/>
  <c r="F236" i="16"/>
  <c r="F237" i="16"/>
  <c r="F190" i="16"/>
  <c r="F191" i="16"/>
  <c r="F192" i="16"/>
  <c r="F193" i="16"/>
  <c r="F194" i="16"/>
  <c r="F195" i="16"/>
  <c r="F196" i="16"/>
  <c r="F197" i="16"/>
  <c r="F198" i="16"/>
  <c r="F199" i="16"/>
  <c r="F200" i="16"/>
  <c r="F201" i="16"/>
  <c r="F202" i="16"/>
  <c r="F203" i="16"/>
  <c r="F204" i="16"/>
  <c r="F205" i="16"/>
  <c r="F182" i="16"/>
  <c r="F183" i="16"/>
  <c r="F184" i="16"/>
  <c r="F185" i="16"/>
  <c r="F186" i="16"/>
  <c r="F187" i="16"/>
  <c r="F188" i="16"/>
  <c r="F189" i="16"/>
  <c r="AF228" i="19"/>
  <c r="Z228" i="19"/>
  <c r="Y228" i="19"/>
  <c r="U228" i="19"/>
  <c r="T228" i="19"/>
  <c r="P228" i="19"/>
  <c r="O228" i="19"/>
  <c r="K228" i="19"/>
  <c r="J228" i="19"/>
  <c r="F228" i="19"/>
  <c r="E228" i="19"/>
  <c r="AM201" i="19"/>
  <c r="AM198" i="19"/>
  <c r="AD650" i="13"/>
  <c r="AD651" i="13"/>
  <c r="AD652" i="13"/>
  <c r="AD653" i="13"/>
  <c r="Z650" i="13"/>
  <c r="Z651" i="13"/>
  <c r="Z652" i="13"/>
  <c r="Z653" i="13"/>
  <c r="V650" i="13"/>
  <c r="V651" i="13"/>
  <c r="V652" i="13"/>
  <c r="V653" i="13"/>
  <c r="R650" i="13"/>
  <c r="R651" i="13"/>
  <c r="R652" i="13"/>
  <c r="R653" i="13"/>
  <c r="N650" i="13"/>
  <c r="N651" i="13"/>
  <c r="N652" i="13"/>
  <c r="N653" i="13"/>
  <c r="J650" i="13"/>
  <c r="J651" i="13"/>
  <c r="J652" i="13"/>
  <c r="J653" i="13"/>
  <c r="F650" i="13"/>
  <c r="F651" i="13"/>
  <c r="F652" i="13"/>
  <c r="F653" i="13"/>
  <c r="AD647" i="13"/>
  <c r="AD648" i="13"/>
  <c r="AD649" i="13"/>
  <c r="Z647" i="13"/>
  <c r="Z648" i="13"/>
  <c r="Z649" i="13"/>
  <c r="V649" i="13"/>
  <c r="R649" i="13"/>
  <c r="N649" i="13"/>
  <c r="J649" i="13"/>
  <c r="F649" i="13"/>
  <c r="F647" i="13"/>
  <c r="J647" i="13"/>
  <c r="N647" i="13"/>
  <c r="R647" i="13"/>
  <c r="V647" i="13"/>
  <c r="AF187" i="19"/>
  <c r="Z187" i="19"/>
  <c r="Y187" i="19"/>
  <c r="U187" i="19"/>
  <c r="T187" i="19"/>
  <c r="P187" i="19"/>
  <c r="O187" i="19"/>
  <c r="K187" i="19"/>
  <c r="J187" i="19"/>
  <c r="F187" i="19"/>
  <c r="E187" i="19"/>
  <c r="AM160" i="19"/>
  <c r="AM157" i="19"/>
  <c r="AF146" i="19"/>
  <c r="Z146" i="19"/>
  <c r="Y146" i="19"/>
  <c r="U146" i="19"/>
  <c r="T146" i="19"/>
  <c r="P146" i="19"/>
  <c r="O146" i="19"/>
  <c r="K146" i="19"/>
  <c r="J146" i="19"/>
  <c r="F146" i="19"/>
  <c r="E146" i="19"/>
  <c r="AM119" i="19"/>
  <c r="AM116" i="19"/>
  <c r="AA36" i="20"/>
  <c r="AA35" i="20"/>
  <c r="AA34" i="20"/>
  <c r="AA25" i="20"/>
  <c r="AA26" i="20"/>
  <c r="AA24" i="20"/>
  <c r="AA27" i="20" s="1"/>
  <c r="AL23" i="20" s="1"/>
  <c r="AN23" i="20" s="1"/>
  <c r="AA16" i="20"/>
  <c r="AA17" i="20"/>
  <c r="AA15" i="20"/>
  <c r="AF37" i="20"/>
  <c r="Z37" i="20"/>
  <c r="Y37" i="20"/>
  <c r="U37" i="20"/>
  <c r="T37" i="20"/>
  <c r="P37" i="20"/>
  <c r="O37" i="20"/>
  <c r="K37" i="20"/>
  <c r="J37" i="20"/>
  <c r="F37" i="20"/>
  <c r="E37" i="20"/>
  <c r="AG35" i="20"/>
  <c r="AG37" i="20" s="1"/>
  <c r="AL35" i="20" s="1"/>
  <c r="AN35" i="20" s="1"/>
  <c r="AB35" i="20"/>
  <c r="AM34" i="20"/>
  <c r="AG34" i="20"/>
  <c r="AB34" i="20"/>
  <c r="AA37" i="20"/>
  <c r="AL33" i="20" s="1"/>
  <c r="AN33" i="20" s="1"/>
  <c r="AB17" i="20"/>
  <c r="E59" i="19"/>
  <c r="AD629" i="13"/>
  <c r="AD630" i="13"/>
  <c r="Z629" i="13"/>
  <c r="Z630" i="13"/>
  <c r="V629" i="13"/>
  <c r="V630" i="13"/>
  <c r="R629" i="13"/>
  <c r="R630" i="13"/>
  <c r="N629" i="13"/>
  <c r="N630" i="13"/>
  <c r="J629" i="13"/>
  <c r="J630" i="13"/>
  <c r="F629" i="13"/>
  <c r="F630" i="13"/>
  <c r="AD627" i="13"/>
  <c r="AD628" i="13"/>
  <c r="Z627" i="13"/>
  <c r="Z628" i="13"/>
  <c r="V627" i="13"/>
  <c r="V628" i="13"/>
  <c r="R627" i="13"/>
  <c r="R628" i="13"/>
  <c r="N627" i="13"/>
  <c r="N628" i="13"/>
  <c r="J627" i="13"/>
  <c r="J628" i="13"/>
  <c r="F627" i="13"/>
  <c r="F628" i="13"/>
  <c r="AD616" i="13"/>
  <c r="AD617" i="13"/>
  <c r="Z616" i="13"/>
  <c r="Z617" i="13"/>
  <c r="V616" i="13"/>
  <c r="V617" i="13"/>
  <c r="R616" i="13"/>
  <c r="R617" i="13"/>
  <c r="N616" i="13"/>
  <c r="N617" i="13"/>
  <c r="J616" i="13"/>
  <c r="J617" i="13"/>
  <c r="F616" i="13"/>
  <c r="F617" i="13"/>
  <c r="AB24" i="20"/>
  <c r="AG24" i="20"/>
  <c r="AM24" i="20"/>
  <c r="AB25" i="20"/>
  <c r="AG25" i="20"/>
  <c r="E27" i="20"/>
  <c r="F27" i="20"/>
  <c r="J27" i="20"/>
  <c r="K27" i="20"/>
  <c r="O27" i="20"/>
  <c r="P27" i="20"/>
  <c r="T27" i="20"/>
  <c r="U27" i="20"/>
  <c r="Y27" i="20"/>
  <c r="Z27" i="20"/>
  <c r="AF27" i="20"/>
  <c r="AB15" i="20"/>
  <c r="AB18" i="20" s="1"/>
  <c r="AL15" i="20" s="1"/>
  <c r="AG15" i="20"/>
  <c r="AM15" i="20"/>
  <c r="AB16" i="20"/>
  <c r="AG16" i="20"/>
  <c r="E18" i="20"/>
  <c r="F18" i="20"/>
  <c r="J18" i="20"/>
  <c r="K18" i="20"/>
  <c r="O18" i="20"/>
  <c r="P18" i="20"/>
  <c r="T18" i="20"/>
  <c r="U18" i="20"/>
  <c r="Y18" i="20"/>
  <c r="Z18" i="20"/>
  <c r="AF18" i="20"/>
  <c r="AE4" i="20"/>
  <c r="AE3" i="20"/>
  <c r="J604" i="13"/>
  <c r="N604" i="13"/>
  <c r="R596" i="13"/>
  <c r="R597" i="13"/>
  <c r="R598" i="13"/>
  <c r="R599" i="13"/>
  <c r="R600" i="13"/>
  <c r="R601" i="13"/>
  <c r="R602" i="13"/>
  <c r="R603" i="13"/>
  <c r="N596" i="13"/>
  <c r="N597" i="13"/>
  <c r="N598" i="13"/>
  <c r="N599" i="13"/>
  <c r="N600" i="13"/>
  <c r="N601" i="13"/>
  <c r="N602" i="13"/>
  <c r="N603" i="13"/>
  <c r="J596" i="13"/>
  <c r="J597" i="13"/>
  <c r="J598" i="13"/>
  <c r="J599" i="13"/>
  <c r="J600" i="13"/>
  <c r="J601" i="13"/>
  <c r="J602" i="13"/>
  <c r="J603" i="13"/>
  <c r="F596" i="13"/>
  <c r="F597" i="13"/>
  <c r="F598" i="13"/>
  <c r="F599" i="13"/>
  <c r="F600" i="13"/>
  <c r="F601" i="13"/>
  <c r="F602" i="13"/>
  <c r="F603" i="13"/>
  <c r="F604" i="13"/>
  <c r="AD624" i="13"/>
  <c r="AD625" i="13"/>
  <c r="AD626" i="13"/>
  <c r="Z624" i="13"/>
  <c r="Z625" i="13"/>
  <c r="Z626" i="13"/>
  <c r="V624" i="13"/>
  <c r="V625" i="13"/>
  <c r="V626" i="13"/>
  <c r="R624" i="13"/>
  <c r="R625" i="13"/>
  <c r="R626" i="13"/>
  <c r="N624" i="13"/>
  <c r="N625" i="13"/>
  <c r="N626" i="13"/>
  <c r="J626" i="13"/>
  <c r="J624" i="13"/>
  <c r="J625" i="13"/>
  <c r="F624" i="13"/>
  <c r="F625" i="13"/>
  <c r="F626" i="13"/>
  <c r="AA1079" i="15"/>
  <c r="F618" i="13"/>
  <c r="Z604" i="13"/>
  <c r="AD596" i="13"/>
  <c r="AD597" i="13"/>
  <c r="AD598" i="13"/>
  <c r="AD599" i="13"/>
  <c r="AD600" i="13"/>
  <c r="AD601" i="13"/>
  <c r="AD602" i="13"/>
  <c r="AD603" i="13"/>
  <c r="Z596" i="13"/>
  <c r="Z597" i="13"/>
  <c r="Z598" i="13"/>
  <c r="Z599" i="13"/>
  <c r="Z600" i="13"/>
  <c r="Z601" i="13"/>
  <c r="Z602" i="13"/>
  <c r="Z603" i="13"/>
  <c r="V596" i="13"/>
  <c r="V597" i="13"/>
  <c r="V598" i="13"/>
  <c r="V599" i="13"/>
  <c r="V600" i="13"/>
  <c r="V601" i="13"/>
  <c r="V602" i="13"/>
  <c r="V603" i="13"/>
  <c r="V604" i="13"/>
  <c r="AF105" i="19"/>
  <c r="Z105" i="19"/>
  <c r="Y105" i="19"/>
  <c r="U105" i="19"/>
  <c r="T105" i="19"/>
  <c r="P105" i="19"/>
  <c r="O105" i="19"/>
  <c r="K105" i="19"/>
  <c r="J105" i="19"/>
  <c r="F105" i="19"/>
  <c r="E105" i="19"/>
  <c r="AM73" i="19"/>
  <c r="AM70" i="19"/>
  <c r="N594" i="13"/>
  <c r="AG1075" i="15"/>
  <c r="AB1075" i="15"/>
  <c r="AA1075" i="15"/>
  <c r="AA1093" i="15"/>
  <c r="AB1093" i="15"/>
  <c r="AG1093" i="15"/>
  <c r="AA1094" i="15"/>
  <c r="AB1094" i="15"/>
  <c r="AG1094" i="15"/>
  <c r="AG1092" i="15"/>
  <c r="AB1092" i="15"/>
  <c r="AA1092" i="15"/>
  <c r="AA1095" i="15"/>
  <c r="AB1095" i="15"/>
  <c r="AG1095" i="15"/>
  <c r="AD593" i="13"/>
  <c r="AD594" i="13"/>
  <c r="Z593" i="13"/>
  <c r="Z594" i="13"/>
  <c r="V593" i="13"/>
  <c r="V594" i="13"/>
  <c r="R593" i="13"/>
  <c r="R594" i="13"/>
  <c r="N593" i="13"/>
  <c r="J593" i="13"/>
  <c r="J594" i="13"/>
  <c r="F593" i="13"/>
  <c r="F594" i="13"/>
  <c r="H679" i="13"/>
  <c r="L679" i="13"/>
  <c r="P679" i="13"/>
  <c r="T679" i="13"/>
  <c r="X679" i="13"/>
  <c r="AB679" i="13"/>
  <c r="F681" i="13"/>
  <c r="J681" i="13"/>
  <c r="N681" i="13"/>
  <c r="R681" i="13"/>
  <c r="V681" i="13"/>
  <c r="Z681" i="13"/>
  <c r="AD681" i="13"/>
  <c r="F682" i="13"/>
  <c r="J682" i="13"/>
  <c r="N682" i="13"/>
  <c r="R682" i="13"/>
  <c r="V682" i="13"/>
  <c r="Z682" i="13"/>
  <c r="AD682" i="13"/>
  <c r="F683" i="13"/>
  <c r="J683" i="13"/>
  <c r="N683" i="13"/>
  <c r="R683" i="13"/>
  <c r="V683" i="13"/>
  <c r="Z683" i="13"/>
  <c r="AD683" i="13"/>
  <c r="F684" i="13"/>
  <c r="J684" i="13"/>
  <c r="N684" i="13"/>
  <c r="R684" i="13"/>
  <c r="V684" i="13"/>
  <c r="Z684" i="13"/>
  <c r="AD684" i="13"/>
  <c r="F685" i="13"/>
  <c r="J685" i="13"/>
  <c r="N685" i="13"/>
  <c r="R685" i="13"/>
  <c r="V685" i="13"/>
  <c r="Z685" i="13"/>
  <c r="AD685" i="13"/>
  <c r="F686" i="13"/>
  <c r="J686" i="13"/>
  <c r="N686" i="13"/>
  <c r="R686" i="13"/>
  <c r="V686" i="13"/>
  <c r="Z686" i="13"/>
  <c r="AD686" i="13"/>
  <c r="F687" i="13"/>
  <c r="J687" i="13"/>
  <c r="N687" i="13"/>
  <c r="R687" i="13"/>
  <c r="V687" i="13"/>
  <c r="Z687" i="13"/>
  <c r="AD687" i="13"/>
  <c r="F688" i="13"/>
  <c r="J688" i="13"/>
  <c r="N688" i="13"/>
  <c r="R688" i="13"/>
  <c r="V688" i="13"/>
  <c r="Z688" i="13"/>
  <c r="AD688" i="13"/>
  <c r="F689" i="13"/>
  <c r="J689" i="13"/>
  <c r="N689" i="13"/>
  <c r="R689" i="13"/>
  <c r="V689" i="13"/>
  <c r="Z689" i="13"/>
  <c r="AD689" i="13"/>
  <c r="F690" i="13"/>
  <c r="J690" i="13"/>
  <c r="N690" i="13"/>
  <c r="R690" i="13"/>
  <c r="V690" i="13"/>
  <c r="Z690" i="13"/>
  <c r="AD690" i="13"/>
  <c r="F691" i="13"/>
  <c r="J691" i="13"/>
  <c r="N691" i="13"/>
  <c r="R691" i="13"/>
  <c r="V691" i="13"/>
  <c r="Z691" i="13"/>
  <c r="AD691" i="13"/>
  <c r="F692" i="13"/>
  <c r="J692" i="13"/>
  <c r="N692" i="13"/>
  <c r="R692" i="13"/>
  <c r="V692" i="13"/>
  <c r="Z692" i="13"/>
  <c r="AD692" i="13"/>
  <c r="AF694" i="13"/>
  <c r="AF695" i="13"/>
  <c r="H658" i="13"/>
  <c r="L658" i="13"/>
  <c r="P658" i="13"/>
  <c r="T658" i="13"/>
  <c r="X658" i="13"/>
  <c r="AB658" i="13"/>
  <c r="F660" i="13"/>
  <c r="J660" i="13"/>
  <c r="N660" i="13"/>
  <c r="R660" i="13"/>
  <c r="V660" i="13"/>
  <c r="Z660" i="13"/>
  <c r="AD660" i="13"/>
  <c r="F661" i="13"/>
  <c r="J661" i="13"/>
  <c r="N661" i="13"/>
  <c r="R661" i="13"/>
  <c r="V661" i="13"/>
  <c r="Z661" i="13"/>
  <c r="AD661" i="13"/>
  <c r="F662" i="13"/>
  <c r="J662" i="13"/>
  <c r="N662" i="13"/>
  <c r="R662" i="13"/>
  <c r="V662" i="13"/>
  <c r="Z662" i="13"/>
  <c r="AD662" i="13"/>
  <c r="F663" i="13"/>
  <c r="J663" i="13"/>
  <c r="R663" i="13"/>
  <c r="V663" i="13"/>
  <c r="Z663" i="13"/>
  <c r="AD663" i="13"/>
  <c r="F664" i="13"/>
  <c r="J664" i="13"/>
  <c r="N664" i="13"/>
  <c r="R664" i="13"/>
  <c r="V664" i="13"/>
  <c r="Z664" i="13"/>
  <c r="AD664" i="13"/>
  <c r="F665" i="13"/>
  <c r="J665" i="13"/>
  <c r="N665" i="13"/>
  <c r="R665" i="13"/>
  <c r="V665" i="13"/>
  <c r="Z665" i="13"/>
  <c r="AD665" i="13"/>
  <c r="F666" i="13"/>
  <c r="J666" i="13"/>
  <c r="N666" i="13"/>
  <c r="R666" i="13"/>
  <c r="V666" i="13"/>
  <c r="Z666" i="13"/>
  <c r="AD666" i="13"/>
  <c r="F667" i="13"/>
  <c r="J667" i="13"/>
  <c r="N667" i="13"/>
  <c r="R667" i="13"/>
  <c r="V667" i="13"/>
  <c r="Z667" i="13"/>
  <c r="AD667" i="13"/>
  <c r="F668" i="13"/>
  <c r="J668" i="13"/>
  <c r="N668" i="13"/>
  <c r="R668" i="13"/>
  <c r="V668" i="13"/>
  <c r="Z668" i="13"/>
  <c r="AD668" i="13"/>
  <c r="F669" i="13"/>
  <c r="J669" i="13"/>
  <c r="N669" i="13"/>
  <c r="R669" i="13"/>
  <c r="V669" i="13"/>
  <c r="Z669" i="13"/>
  <c r="AD669" i="13"/>
  <c r="F670" i="13"/>
  <c r="J670" i="13"/>
  <c r="N670" i="13"/>
  <c r="R670" i="13"/>
  <c r="V670" i="13"/>
  <c r="Z670" i="13"/>
  <c r="AD670" i="13"/>
  <c r="F675" i="13"/>
  <c r="J675" i="13"/>
  <c r="N675" i="13"/>
  <c r="R675" i="13"/>
  <c r="V675" i="13"/>
  <c r="Z675" i="13"/>
  <c r="AD675" i="13"/>
  <c r="AF677" i="13"/>
  <c r="AF678" i="13"/>
  <c r="H635" i="13"/>
  <c r="L635" i="13"/>
  <c r="P635" i="13"/>
  <c r="T635" i="13"/>
  <c r="X635" i="13"/>
  <c r="AB635" i="13"/>
  <c r="F637" i="13"/>
  <c r="J637" i="13"/>
  <c r="N637" i="13"/>
  <c r="R637" i="13"/>
  <c r="V637" i="13"/>
  <c r="Z637" i="13"/>
  <c r="AD637" i="13"/>
  <c r="F638" i="13"/>
  <c r="J638" i="13"/>
  <c r="N638" i="13"/>
  <c r="R638" i="13"/>
  <c r="V638" i="13"/>
  <c r="Z638" i="13"/>
  <c r="AD638" i="13"/>
  <c r="F639" i="13"/>
  <c r="J639" i="13"/>
  <c r="N639" i="13"/>
  <c r="R639" i="13"/>
  <c r="V639" i="13"/>
  <c r="Z639" i="13"/>
  <c r="AD639" i="13"/>
  <c r="F640" i="13"/>
  <c r="J640" i="13"/>
  <c r="N640" i="13"/>
  <c r="R640" i="13"/>
  <c r="V640" i="13"/>
  <c r="Z640" i="13"/>
  <c r="AD640" i="13"/>
  <c r="F641" i="13"/>
  <c r="J641" i="13"/>
  <c r="N641" i="13"/>
  <c r="R641" i="13"/>
  <c r="V641" i="13"/>
  <c r="Z641" i="13"/>
  <c r="AD641" i="13"/>
  <c r="F642" i="13"/>
  <c r="J642" i="13"/>
  <c r="N642" i="13"/>
  <c r="R642" i="13"/>
  <c r="V642" i="13"/>
  <c r="Z642" i="13"/>
  <c r="AD642" i="13"/>
  <c r="F643" i="13"/>
  <c r="J643" i="13"/>
  <c r="N643" i="13"/>
  <c r="R643" i="13"/>
  <c r="V643" i="13"/>
  <c r="Z643" i="13"/>
  <c r="AD643" i="13"/>
  <c r="F644" i="13"/>
  <c r="J644" i="13"/>
  <c r="N644" i="13"/>
  <c r="R644" i="13"/>
  <c r="V644" i="13"/>
  <c r="Z644" i="13"/>
  <c r="AD644" i="13"/>
  <c r="F645" i="13"/>
  <c r="J645" i="13"/>
  <c r="N645" i="13"/>
  <c r="R645" i="13"/>
  <c r="V645" i="13"/>
  <c r="Z645" i="13"/>
  <c r="AD645" i="13"/>
  <c r="F646" i="13"/>
  <c r="J646" i="13"/>
  <c r="N646" i="13"/>
  <c r="R646" i="13"/>
  <c r="V646" i="13"/>
  <c r="W646" i="13"/>
  <c r="Z646" i="13"/>
  <c r="AD646" i="13"/>
  <c r="F648" i="13"/>
  <c r="J648" i="13"/>
  <c r="N648" i="13"/>
  <c r="R648" i="13"/>
  <c r="V648" i="13"/>
  <c r="F654" i="13"/>
  <c r="J654" i="13"/>
  <c r="N654" i="13"/>
  <c r="R654" i="13"/>
  <c r="V654" i="13"/>
  <c r="Z654" i="13"/>
  <c r="AD654" i="13"/>
  <c r="AF656" i="13"/>
  <c r="AF657" i="13"/>
  <c r="AD621" i="13"/>
  <c r="AD622" i="13"/>
  <c r="Z621" i="13"/>
  <c r="Z622" i="13"/>
  <c r="V621" i="13"/>
  <c r="V622" i="13"/>
  <c r="R621" i="13"/>
  <c r="R622" i="13"/>
  <c r="N621" i="13"/>
  <c r="N622" i="13"/>
  <c r="J621" i="13"/>
  <c r="J622" i="13"/>
  <c r="F621" i="13"/>
  <c r="F622" i="13"/>
  <c r="F623" i="13"/>
  <c r="J623" i="13"/>
  <c r="N623" i="13"/>
  <c r="R623" i="13"/>
  <c r="V623" i="13"/>
  <c r="Z623" i="13"/>
  <c r="AD623" i="13"/>
  <c r="F631" i="13"/>
  <c r="J631" i="13"/>
  <c r="N631" i="13"/>
  <c r="R631" i="13"/>
  <c r="V631" i="13"/>
  <c r="Z631" i="13"/>
  <c r="AD631" i="13"/>
  <c r="AF633" i="13"/>
  <c r="AF634" i="13"/>
  <c r="H609" i="13"/>
  <c r="L609" i="13"/>
  <c r="P609" i="13"/>
  <c r="T609" i="13"/>
  <c r="X609" i="13"/>
  <c r="AB609" i="13"/>
  <c r="F611" i="13"/>
  <c r="J611" i="13"/>
  <c r="N611" i="13"/>
  <c r="R611" i="13"/>
  <c r="V611" i="13"/>
  <c r="Z611" i="13"/>
  <c r="AD611" i="13"/>
  <c r="F612" i="13"/>
  <c r="J612" i="13"/>
  <c r="N612" i="13"/>
  <c r="R612" i="13"/>
  <c r="V612" i="13"/>
  <c r="Z612" i="13"/>
  <c r="AD612" i="13"/>
  <c r="F613" i="13"/>
  <c r="J613" i="13"/>
  <c r="N613" i="13"/>
  <c r="R613" i="13"/>
  <c r="V613" i="13"/>
  <c r="Z613" i="13"/>
  <c r="AD613" i="13"/>
  <c r="F614" i="13"/>
  <c r="J614" i="13"/>
  <c r="N614" i="13"/>
  <c r="R614" i="13"/>
  <c r="V614" i="13"/>
  <c r="Z614" i="13"/>
  <c r="AD614" i="13"/>
  <c r="F615" i="13"/>
  <c r="J615" i="13"/>
  <c r="N615" i="13"/>
  <c r="R615" i="13"/>
  <c r="V615" i="13"/>
  <c r="Z615" i="13"/>
  <c r="AD615" i="13"/>
  <c r="J618" i="13"/>
  <c r="N618" i="13"/>
  <c r="R618" i="13"/>
  <c r="V618" i="13"/>
  <c r="Z618" i="13"/>
  <c r="AD618" i="13"/>
  <c r="F619" i="13"/>
  <c r="J619" i="13"/>
  <c r="N619" i="13"/>
  <c r="R619" i="13"/>
  <c r="V619" i="13"/>
  <c r="Z619" i="13"/>
  <c r="AD619" i="13"/>
  <c r="F620" i="13"/>
  <c r="J620" i="13"/>
  <c r="N620" i="13"/>
  <c r="R620" i="13"/>
  <c r="V620" i="13"/>
  <c r="Z620" i="13"/>
  <c r="AD620" i="13"/>
  <c r="AD589" i="13"/>
  <c r="AD590" i="13"/>
  <c r="Z589" i="13"/>
  <c r="Z590" i="13"/>
  <c r="V589" i="13"/>
  <c r="V590" i="13"/>
  <c r="R589" i="13"/>
  <c r="R590" i="13"/>
  <c r="N589" i="13"/>
  <c r="N590" i="13"/>
  <c r="J589" i="13"/>
  <c r="J590" i="13"/>
  <c r="F589" i="13"/>
  <c r="F590" i="13"/>
  <c r="J473" i="13"/>
  <c r="Z75" i="18"/>
  <c r="Z74" i="18"/>
  <c r="Z73" i="18"/>
  <c r="Z69" i="18"/>
  <c r="Z68" i="18"/>
  <c r="Z67" i="18"/>
  <c r="AB37" i="20"/>
  <c r="AL34" i="20" s="1"/>
  <c r="AN34" i="20" s="1"/>
  <c r="AG27" i="20"/>
  <c r="AL25" i="20"/>
  <c r="AN25" i="20" s="1"/>
  <c r="AB27" i="20"/>
  <c r="AL24" i="20"/>
  <c r="AN24" i="20" s="1"/>
  <c r="AA18" i="20"/>
  <c r="AL14" i="20" s="1"/>
  <c r="AN14" i="20" s="1"/>
  <c r="AF640" i="13"/>
  <c r="AF687" i="13"/>
  <c r="AD576" i="13"/>
  <c r="AD577" i="13"/>
  <c r="AD578" i="13"/>
  <c r="Z576" i="13"/>
  <c r="Z577" i="13"/>
  <c r="Z578" i="13"/>
  <c r="V576" i="13"/>
  <c r="V577" i="13"/>
  <c r="V578" i="13"/>
  <c r="R576" i="13"/>
  <c r="R577" i="13"/>
  <c r="R578" i="13"/>
  <c r="N576" i="13"/>
  <c r="N577" i="13"/>
  <c r="N578" i="13"/>
  <c r="J576" i="13"/>
  <c r="J577" i="13"/>
  <c r="J578" i="13"/>
  <c r="F576" i="13"/>
  <c r="F577" i="13"/>
  <c r="F578" i="13"/>
  <c r="AM21" i="19"/>
  <c r="AM18" i="19"/>
  <c r="AF59" i="19"/>
  <c r="Z59" i="19"/>
  <c r="Y59" i="19"/>
  <c r="U59" i="19"/>
  <c r="T59" i="19"/>
  <c r="P59" i="19"/>
  <c r="O59" i="19"/>
  <c r="K59" i="19"/>
  <c r="J59" i="19"/>
  <c r="F59" i="19"/>
  <c r="AD560" i="13"/>
  <c r="AD561" i="13"/>
  <c r="Z560" i="13"/>
  <c r="Z561" i="13"/>
  <c r="V560" i="13"/>
  <c r="V561" i="13"/>
  <c r="R560" i="13"/>
  <c r="R561" i="13"/>
  <c r="N560" i="13"/>
  <c r="N561" i="13"/>
  <c r="J560" i="13"/>
  <c r="J561" i="13"/>
  <c r="F560" i="13"/>
  <c r="F561" i="13"/>
  <c r="C1159" i="15"/>
  <c r="AL1125" i="15"/>
  <c r="AN1125" i="15"/>
  <c r="AG1157" i="15"/>
  <c r="AG1158" i="15"/>
  <c r="AL1124" i="15"/>
  <c r="AN1124" i="15"/>
  <c r="AB1157" i="15"/>
  <c r="AB1158" i="15"/>
  <c r="AL1123" i="15"/>
  <c r="AN1123" i="15"/>
  <c r="AA1157" i="15"/>
  <c r="AA1158" i="15"/>
  <c r="AL1122" i="15"/>
  <c r="AN1122" i="15"/>
  <c r="AF1156" i="15"/>
  <c r="Z1156" i="15"/>
  <c r="Y1156" i="15"/>
  <c r="U1156" i="15"/>
  <c r="T1156" i="15"/>
  <c r="P1156" i="15"/>
  <c r="O1156" i="15"/>
  <c r="K1156" i="15"/>
  <c r="J1156" i="15"/>
  <c r="F1156" i="15"/>
  <c r="E1156" i="15"/>
  <c r="AG1155" i="15"/>
  <c r="AB1155" i="15"/>
  <c r="AA1155" i="15"/>
  <c r="AG1154" i="15"/>
  <c r="AB1154" i="15"/>
  <c r="AA1154" i="15"/>
  <c r="AG1153" i="15"/>
  <c r="AB1153" i="15"/>
  <c r="AA1153" i="15"/>
  <c r="AG1152" i="15"/>
  <c r="AB1152" i="15"/>
  <c r="AA1152" i="15"/>
  <c r="AG1151" i="15"/>
  <c r="AB1151" i="15"/>
  <c r="AA1151" i="15"/>
  <c r="AG1150" i="15"/>
  <c r="AB1150" i="15"/>
  <c r="AA1150" i="15"/>
  <c r="AG1149" i="15"/>
  <c r="AB1149" i="15"/>
  <c r="AA1149" i="15"/>
  <c r="AG1148" i="15"/>
  <c r="AB1148" i="15"/>
  <c r="AA1148" i="15"/>
  <c r="AG1147" i="15"/>
  <c r="AB1147" i="15"/>
  <c r="AA1147" i="15"/>
  <c r="AG1146" i="15"/>
  <c r="AB1146" i="15"/>
  <c r="AA1146" i="15"/>
  <c r="AG1145" i="15"/>
  <c r="AB1145" i="15"/>
  <c r="AA1145" i="15"/>
  <c r="AG1144" i="15"/>
  <c r="AB1144" i="15"/>
  <c r="AA1144" i="15"/>
  <c r="AG1143" i="15"/>
  <c r="AB1143" i="15"/>
  <c r="AA1143" i="15"/>
  <c r="AG1142" i="15"/>
  <c r="AB1142" i="15"/>
  <c r="AA1142" i="15"/>
  <c r="AG1141" i="15"/>
  <c r="AB1141" i="15"/>
  <c r="AA1141" i="15"/>
  <c r="AG1140" i="15"/>
  <c r="AB1140" i="15"/>
  <c r="AA1140" i="15"/>
  <c r="AG1139" i="15"/>
  <c r="AB1139" i="15"/>
  <c r="AA1139" i="15"/>
  <c r="AG1138" i="15"/>
  <c r="AB1138" i="15"/>
  <c r="AA1138" i="15"/>
  <c r="AG1137" i="15"/>
  <c r="AB1137" i="15"/>
  <c r="AA1137" i="15"/>
  <c r="AG1136" i="15"/>
  <c r="AB1136" i="15"/>
  <c r="AA1136" i="15"/>
  <c r="AG1135" i="15"/>
  <c r="AB1135" i="15"/>
  <c r="AA1135" i="15"/>
  <c r="AG1134" i="15"/>
  <c r="AB1134" i="15"/>
  <c r="AA1134" i="15"/>
  <c r="AG1133" i="15"/>
  <c r="AB1133" i="15"/>
  <c r="AA1133" i="15"/>
  <c r="AG1132" i="15"/>
  <c r="AB1132" i="15"/>
  <c r="AA1132" i="15"/>
  <c r="AG1131" i="15"/>
  <c r="AB1131" i="15"/>
  <c r="AA1131" i="15"/>
  <c r="AG1130" i="15"/>
  <c r="AB1130" i="15"/>
  <c r="AA1130" i="15"/>
  <c r="AG1129" i="15"/>
  <c r="AB1129" i="15"/>
  <c r="AA1129" i="15"/>
  <c r="AG1128" i="15"/>
  <c r="AB1128" i="15"/>
  <c r="AA1128" i="15"/>
  <c r="AG1127" i="15"/>
  <c r="AB1127" i="15"/>
  <c r="AA1127" i="15"/>
  <c r="AG1126" i="15"/>
  <c r="AB1126" i="15"/>
  <c r="AA1126" i="15"/>
  <c r="AG1125" i="15"/>
  <c r="AB1125" i="15"/>
  <c r="AA1125" i="15"/>
  <c r="AG1124" i="15"/>
  <c r="AB1124" i="15"/>
  <c r="AA1124" i="15"/>
  <c r="AG1123" i="15"/>
  <c r="AB1123" i="15"/>
  <c r="AA1123" i="15"/>
  <c r="AG1122" i="15"/>
  <c r="AB1122" i="15"/>
  <c r="AA1122" i="15"/>
  <c r="AB1121" i="15"/>
  <c r="AA1121" i="15"/>
  <c r="AG1120" i="15"/>
  <c r="AB1120" i="15"/>
  <c r="AA1120" i="15"/>
  <c r="AG1119" i="15"/>
  <c r="AB1119" i="15"/>
  <c r="AA1119" i="15"/>
  <c r="C1111" i="15"/>
  <c r="AL1072" i="15"/>
  <c r="AN1072" i="15"/>
  <c r="AG1109" i="15"/>
  <c r="AG1110" i="15"/>
  <c r="AL1071" i="15"/>
  <c r="AN1071" i="15"/>
  <c r="AB1109" i="15"/>
  <c r="AB1110" i="15"/>
  <c r="AL1070" i="15"/>
  <c r="AN1070" i="15"/>
  <c r="AA1109" i="15"/>
  <c r="AA1110" i="15"/>
  <c r="AL1069" i="15"/>
  <c r="AN1069" i="15"/>
  <c r="AF1108" i="15"/>
  <c r="Z1108" i="15"/>
  <c r="Y1108" i="15"/>
  <c r="U1108" i="15"/>
  <c r="T1108" i="15"/>
  <c r="P1108" i="15"/>
  <c r="O1108" i="15"/>
  <c r="K1108" i="15"/>
  <c r="J1108" i="15"/>
  <c r="F1108" i="15"/>
  <c r="E1108" i="15"/>
  <c r="AG1107" i="15"/>
  <c r="AB1107" i="15"/>
  <c r="AA1107" i="15"/>
  <c r="AG1106" i="15"/>
  <c r="AB1106" i="15"/>
  <c r="AA1106" i="15"/>
  <c r="AG1105" i="15"/>
  <c r="AB1105" i="15"/>
  <c r="AA1105" i="15"/>
  <c r="AG1104" i="15"/>
  <c r="AB1104" i="15"/>
  <c r="AA1104" i="15"/>
  <c r="AG1103" i="15"/>
  <c r="AB1103" i="15"/>
  <c r="AA1103" i="15"/>
  <c r="AG1102" i="15"/>
  <c r="AB1102" i="15"/>
  <c r="AA1102" i="15"/>
  <c r="AG1101" i="15"/>
  <c r="AB1101" i="15"/>
  <c r="AA1101" i="15"/>
  <c r="AG1100" i="15"/>
  <c r="AB1100" i="15"/>
  <c r="AA1100" i="15"/>
  <c r="AG1099" i="15"/>
  <c r="AB1099" i="15"/>
  <c r="AA1099" i="15"/>
  <c r="AG1098" i="15"/>
  <c r="AB1098" i="15"/>
  <c r="AA1098" i="15"/>
  <c r="AG1097" i="15"/>
  <c r="AB1097" i="15"/>
  <c r="AA1097" i="15"/>
  <c r="AG1096" i="15"/>
  <c r="AB1096" i="15"/>
  <c r="AA1096" i="15"/>
  <c r="AG1091" i="15"/>
  <c r="AB1091" i="15"/>
  <c r="AA1091" i="15"/>
  <c r="AG1090" i="15"/>
  <c r="AB1090" i="15"/>
  <c r="AA1090" i="15"/>
  <c r="AG1089" i="15"/>
  <c r="AB1089" i="15"/>
  <c r="AA1089" i="15"/>
  <c r="AG1088" i="15"/>
  <c r="AB1088" i="15"/>
  <c r="AA1088" i="15"/>
  <c r="AG1087" i="15"/>
  <c r="AB1087" i="15"/>
  <c r="AA1087" i="15"/>
  <c r="AG1086" i="15"/>
  <c r="AB1086" i="15"/>
  <c r="AA1086" i="15"/>
  <c r="AG1085" i="15"/>
  <c r="AB1085" i="15"/>
  <c r="AA1085" i="15"/>
  <c r="AG1084" i="15"/>
  <c r="AB1084" i="15"/>
  <c r="AA1084" i="15"/>
  <c r="AG1083" i="15"/>
  <c r="AB1083" i="15"/>
  <c r="AA1083" i="15"/>
  <c r="AG1082" i="15"/>
  <c r="AB1082" i="15"/>
  <c r="AA1082" i="15"/>
  <c r="AG1081" i="15"/>
  <c r="AB1081" i="15"/>
  <c r="AA1081" i="15"/>
  <c r="AG1080" i="15"/>
  <c r="AB1080" i="15"/>
  <c r="AA1080" i="15"/>
  <c r="AG1079" i="15"/>
  <c r="AB1079" i="15"/>
  <c r="AG1078" i="15"/>
  <c r="AB1078" i="15"/>
  <c r="AA1078" i="15"/>
  <c r="AG1077" i="15"/>
  <c r="AB1077" i="15"/>
  <c r="AA1077" i="15"/>
  <c r="AG1076" i="15"/>
  <c r="AB1076" i="15"/>
  <c r="AA1076" i="15"/>
  <c r="AG1074" i="15"/>
  <c r="AB1074" i="15"/>
  <c r="AA1074" i="15"/>
  <c r="AG1073" i="15"/>
  <c r="AB1073" i="15"/>
  <c r="AA1073" i="15"/>
  <c r="AG1072" i="15"/>
  <c r="AB1072" i="15"/>
  <c r="AA1072" i="15"/>
  <c r="AG1071" i="15"/>
  <c r="AB1071" i="15"/>
  <c r="AA1071" i="15"/>
  <c r="AG1070" i="15"/>
  <c r="AB1070" i="15"/>
  <c r="AA1070" i="15"/>
  <c r="AG1069" i="15"/>
  <c r="AB1069" i="15"/>
  <c r="AA1069" i="15"/>
  <c r="AB1068" i="15"/>
  <c r="AA1068" i="15"/>
  <c r="AG1067" i="15"/>
  <c r="AB1067" i="15"/>
  <c r="AA1067" i="15"/>
  <c r="AG1066" i="15"/>
  <c r="AB1066" i="15"/>
  <c r="AA1066" i="15"/>
  <c r="AA1024" i="15"/>
  <c r="AB1024" i="15"/>
  <c r="AG1024" i="15"/>
  <c r="AA1025" i="15"/>
  <c r="AB1025" i="15"/>
  <c r="AG1025" i="15"/>
  <c r="AA1027" i="15"/>
  <c r="AB1027" i="15"/>
  <c r="AG1027" i="15"/>
  <c r="AA1028" i="15"/>
  <c r="AB1028" i="15"/>
  <c r="AG1028" i="15"/>
  <c r="AA1029" i="15"/>
  <c r="AB1029" i="15"/>
  <c r="AG1029" i="15"/>
  <c r="AA1030" i="15"/>
  <c r="AB1030" i="15"/>
  <c r="AG1030" i="15"/>
  <c r="AA1031" i="15"/>
  <c r="AB1031" i="15"/>
  <c r="AG1031" i="15"/>
  <c r="AA1032" i="15"/>
  <c r="AB1032" i="15"/>
  <c r="AG1032" i="15"/>
  <c r="F161" i="16"/>
  <c r="F162" i="16"/>
  <c r="F154" i="16"/>
  <c r="AB1156" i="15"/>
  <c r="AL1119" i="15"/>
  <c r="AN1119" i="15"/>
  <c r="AG1108" i="15"/>
  <c r="AL1067" i="15"/>
  <c r="AN1067" i="15"/>
  <c r="AB1108" i="15"/>
  <c r="AL1066" i="15"/>
  <c r="AN1066" i="15"/>
  <c r="AA1156" i="15"/>
  <c r="AL1118" i="15"/>
  <c r="AN1118" i="15"/>
  <c r="AA1108" i="15"/>
  <c r="AG1156" i="15"/>
  <c r="AL1120" i="15"/>
  <c r="AN1120" i="15"/>
  <c r="AN1126" i="15"/>
  <c r="AL1065" i="15"/>
  <c r="AN1065" i="15"/>
  <c r="AN1073" i="15"/>
  <c r="AG988" i="15"/>
  <c r="AB988" i="15"/>
  <c r="AA988" i="15"/>
  <c r="C1058" i="15"/>
  <c r="AG1056" i="15"/>
  <c r="AG1057" i="15"/>
  <c r="AL1022" i="15"/>
  <c r="AN1022" i="15"/>
  <c r="AB1056" i="15"/>
  <c r="AB1057" i="15"/>
  <c r="AL1021" i="15"/>
  <c r="AN1021" i="15"/>
  <c r="AA1056" i="15"/>
  <c r="AA1057" i="15"/>
  <c r="AL1020" i="15"/>
  <c r="AN1020" i="15"/>
  <c r="AF1055" i="15"/>
  <c r="Z1055" i="15"/>
  <c r="Y1055" i="15"/>
  <c r="U1055" i="15"/>
  <c r="T1055" i="15"/>
  <c r="P1055" i="15"/>
  <c r="O1055" i="15"/>
  <c r="K1055" i="15"/>
  <c r="J1055" i="15"/>
  <c r="F1055" i="15"/>
  <c r="E1055" i="15"/>
  <c r="AG1054" i="15"/>
  <c r="AB1054" i="15"/>
  <c r="AA1054" i="15"/>
  <c r="AG1053" i="15"/>
  <c r="AB1053" i="15"/>
  <c r="AA1053" i="15"/>
  <c r="AG1052" i="15"/>
  <c r="AB1052" i="15"/>
  <c r="AA1052" i="15"/>
  <c r="AG1051" i="15"/>
  <c r="AB1051" i="15"/>
  <c r="AA1051" i="15"/>
  <c r="AG1050" i="15"/>
  <c r="AB1050" i="15"/>
  <c r="AA1050" i="15"/>
  <c r="AG1049" i="15"/>
  <c r="AB1049" i="15"/>
  <c r="AA1049" i="15"/>
  <c r="AG1048" i="15"/>
  <c r="AB1048" i="15"/>
  <c r="AA1048" i="15"/>
  <c r="AG1047" i="15"/>
  <c r="AB1047" i="15"/>
  <c r="AA1047" i="15"/>
  <c r="AG1046" i="15"/>
  <c r="AB1046" i="15"/>
  <c r="AA1046" i="15"/>
  <c r="AG1045" i="15"/>
  <c r="AB1045" i="15"/>
  <c r="AA1045" i="15"/>
  <c r="AG1044" i="15"/>
  <c r="AB1044" i="15"/>
  <c r="AA1044" i="15"/>
  <c r="AG1043" i="15"/>
  <c r="AB1043" i="15"/>
  <c r="AA1043" i="15"/>
  <c r="AG1036" i="15"/>
  <c r="AB1036" i="15"/>
  <c r="AA1036" i="15"/>
  <c r="AG1042" i="15"/>
  <c r="AB1042" i="15"/>
  <c r="AA1042" i="15"/>
  <c r="AG1041" i="15"/>
  <c r="AB1041" i="15"/>
  <c r="AA1041" i="15"/>
  <c r="AG1040" i="15"/>
  <c r="AB1040" i="15"/>
  <c r="AA1040" i="15"/>
  <c r="AG1039" i="15"/>
  <c r="AB1039" i="15"/>
  <c r="AA1039" i="15"/>
  <c r="AG1038" i="15"/>
  <c r="AB1038" i="15"/>
  <c r="AA1038" i="15"/>
  <c r="AG1037" i="15"/>
  <c r="AB1037" i="15"/>
  <c r="AA1037" i="15"/>
  <c r="AG1035" i="15"/>
  <c r="AB1035" i="15"/>
  <c r="AA1035" i="15"/>
  <c r="AG1034" i="15"/>
  <c r="AB1034" i="15"/>
  <c r="AA1034" i="15"/>
  <c r="AG1033" i="15"/>
  <c r="AB1033" i="15"/>
  <c r="AA1033" i="15"/>
  <c r="AG1023" i="15"/>
  <c r="AB1023" i="15"/>
  <c r="AA1023" i="15"/>
  <c r="AG1022" i="15"/>
  <c r="AB1022" i="15"/>
  <c r="AA1022" i="15"/>
  <c r="AG1021" i="15"/>
  <c r="AB1021" i="15"/>
  <c r="AA1021" i="15"/>
  <c r="AG1020" i="15"/>
  <c r="AB1020" i="15"/>
  <c r="AA1020" i="15"/>
  <c r="AB1019" i="15"/>
  <c r="AA1019" i="15"/>
  <c r="AG1018" i="15"/>
  <c r="AB1018" i="15"/>
  <c r="AA1018" i="15"/>
  <c r="AG1017" i="15"/>
  <c r="AB1017" i="15"/>
  <c r="AA1017" i="15"/>
  <c r="Z53" i="18"/>
  <c r="Z54" i="18"/>
  <c r="Z61" i="18"/>
  <c r="Z62" i="18"/>
  <c r="Z63" i="18"/>
  <c r="Z55" i="18"/>
  <c r="Z56" i="18"/>
  <c r="AG932" i="15"/>
  <c r="AG933" i="15"/>
  <c r="AG934" i="15"/>
  <c r="AD543" i="13"/>
  <c r="AD544" i="13"/>
  <c r="Z543" i="13"/>
  <c r="Z544" i="13"/>
  <c r="V543" i="13"/>
  <c r="V544" i="13"/>
  <c r="R543" i="13"/>
  <c r="R544" i="13"/>
  <c r="N543" i="13"/>
  <c r="N544" i="13"/>
  <c r="J543" i="13"/>
  <c r="J544" i="13"/>
  <c r="F543" i="13"/>
  <c r="F544" i="13"/>
  <c r="AA970" i="15"/>
  <c r="AB970" i="15"/>
  <c r="AG970" i="15"/>
  <c r="AA971" i="15"/>
  <c r="AB971" i="15"/>
  <c r="AG971" i="15"/>
  <c r="AA972" i="15"/>
  <c r="AB972" i="15"/>
  <c r="AA973" i="15"/>
  <c r="AB973" i="15"/>
  <c r="AG973" i="15"/>
  <c r="AA974" i="15"/>
  <c r="AB974" i="15"/>
  <c r="AG974" i="15"/>
  <c r="AA975" i="15"/>
  <c r="AB975" i="15"/>
  <c r="AG975" i="15"/>
  <c r="AA976" i="15"/>
  <c r="AB976" i="15"/>
  <c r="AG976" i="15"/>
  <c r="AA977" i="15"/>
  <c r="AB977" i="15"/>
  <c r="AG977" i="15"/>
  <c r="AA978" i="15"/>
  <c r="AB978" i="15"/>
  <c r="AG978" i="15"/>
  <c r="AA979" i="15"/>
  <c r="AB979" i="15"/>
  <c r="AA980" i="15"/>
  <c r="AB980" i="15"/>
  <c r="AA981" i="15"/>
  <c r="AB981" i="15"/>
  <c r="AG981" i="15"/>
  <c r="AA982" i="15"/>
  <c r="AB982" i="15"/>
  <c r="AG982" i="15"/>
  <c r="AA983" i="15"/>
  <c r="AB983" i="15"/>
  <c r="AA984" i="15"/>
  <c r="AB984" i="15"/>
  <c r="AG984" i="15"/>
  <c r="AA985" i="15"/>
  <c r="AB985" i="15"/>
  <c r="AG985" i="15"/>
  <c r="AA986" i="15"/>
  <c r="AB986" i="15"/>
  <c r="AG986" i="15"/>
  <c r="AA987" i="15"/>
  <c r="AB987" i="15"/>
  <c r="AG987" i="15"/>
  <c r="AA989" i="15"/>
  <c r="AB989" i="15"/>
  <c r="AG989" i="15"/>
  <c r="AA990" i="15"/>
  <c r="AB990" i="15"/>
  <c r="AG990" i="15"/>
  <c r="AA991" i="15"/>
  <c r="AB991" i="15"/>
  <c r="AG991" i="15"/>
  <c r="AA992" i="15"/>
  <c r="AB992" i="15"/>
  <c r="AG992" i="15"/>
  <c r="AA993" i="15"/>
  <c r="AB993" i="15"/>
  <c r="AG993" i="15"/>
  <c r="AA994" i="15"/>
  <c r="AB994" i="15"/>
  <c r="AG994" i="15"/>
  <c r="AA995" i="15"/>
  <c r="AB995" i="15"/>
  <c r="AG995" i="15"/>
  <c r="AA996" i="15"/>
  <c r="AB996" i="15"/>
  <c r="AG996" i="15"/>
  <c r="AA997" i="15"/>
  <c r="AB997" i="15"/>
  <c r="AG997" i="15"/>
  <c r="AA998" i="15"/>
  <c r="AB998" i="15"/>
  <c r="AG998" i="15"/>
  <c r="AA999" i="15"/>
  <c r="AB999" i="15"/>
  <c r="AG999" i="15"/>
  <c r="AA1000" i="15"/>
  <c r="AB1000" i="15"/>
  <c r="AG1000" i="15"/>
  <c r="AA1001" i="15"/>
  <c r="AB1001" i="15"/>
  <c r="AG1001" i="15"/>
  <c r="AA1002" i="15"/>
  <c r="AB1002" i="15"/>
  <c r="AG1002" i="15"/>
  <c r="AA1003" i="15"/>
  <c r="AB1003" i="15"/>
  <c r="AG1003" i="15"/>
  <c r="AA1004" i="15"/>
  <c r="AB1004" i="15"/>
  <c r="AG1004" i="15"/>
  <c r="AA1005" i="15"/>
  <c r="AB1005" i="15"/>
  <c r="AG1005" i="15"/>
  <c r="E1006" i="15"/>
  <c r="F1006" i="15"/>
  <c r="J1006" i="15"/>
  <c r="K1006" i="15"/>
  <c r="O1006" i="15"/>
  <c r="P1006" i="15"/>
  <c r="T1006" i="15"/>
  <c r="U1006" i="15"/>
  <c r="Y1006" i="15"/>
  <c r="Z1006" i="15"/>
  <c r="AF1006" i="15"/>
  <c r="AA1007" i="15"/>
  <c r="AA1008" i="15"/>
  <c r="AL973" i="15"/>
  <c r="AN973" i="15"/>
  <c r="AB1007" i="15"/>
  <c r="AB1008" i="15"/>
  <c r="AL974" i="15"/>
  <c r="AN974" i="15"/>
  <c r="AG1007" i="15"/>
  <c r="AG1008" i="15"/>
  <c r="AL975" i="15"/>
  <c r="AN975" i="15"/>
  <c r="C1009" i="15"/>
  <c r="AL976" i="15"/>
  <c r="AN976" i="15"/>
  <c r="AB932" i="15"/>
  <c r="AB933" i="15"/>
  <c r="AA932" i="15"/>
  <c r="AA933" i="15"/>
  <c r="AD527" i="13"/>
  <c r="AD528" i="13"/>
  <c r="AD529" i="13"/>
  <c r="Z527" i="13"/>
  <c r="Z528" i="13"/>
  <c r="Z529" i="13"/>
  <c r="V527" i="13"/>
  <c r="V528" i="13"/>
  <c r="V529" i="13"/>
  <c r="R527" i="13"/>
  <c r="R528" i="13"/>
  <c r="R529" i="13"/>
  <c r="N527" i="13"/>
  <c r="N528" i="13"/>
  <c r="N529" i="13"/>
  <c r="J527" i="13"/>
  <c r="J528" i="13"/>
  <c r="J529" i="13"/>
  <c r="F527" i="13"/>
  <c r="F528" i="13"/>
  <c r="F529" i="13"/>
  <c r="F525" i="13"/>
  <c r="J525" i="13"/>
  <c r="N525" i="13"/>
  <c r="R525" i="13"/>
  <c r="V525" i="13"/>
  <c r="Z525" i="13"/>
  <c r="AD525" i="13"/>
  <c r="F526" i="13"/>
  <c r="J526" i="13"/>
  <c r="N526" i="13"/>
  <c r="R526" i="13"/>
  <c r="V526" i="13"/>
  <c r="Z526" i="13"/>
  <c r="AD526" i="13"/>
  <c r="C964" i="15"/>
  <c r="C917" i="15"/>
  <c r="AL1023" i="15"/>
  <c r="AN1023" i="15"/>
  <c r="AB1055" i="15"/>
  <c r="AL1017" i="15"/>
  <c r="AN1017" i="15"/>
  <c r="AG1006" i="15"/>
  <c r="AL971" i="15"/>
  <c r="AN971" i="15"/>
  <c r="AG1055" i="15"/>
  <c r="AL1018" i="15"/>
  <c r="AN1018" i="15"/>
  <c r="AA1055" i="15"/>
  <c r="AL1016" i="15"/>
  <c r="AN1016" i="15"/>
  <c r="AA1006" i="15"/>
  <c r="AB1006" i="15"/>
  <c r="AL970" i="15"/>
  <c r="AN970" i="15"/>
  <c r="AL969" i="15"/>
  <c r="AN969" i="15"/>
  <c r="AN977" i="15"/>
  <c r="AN1024" i="15"/>
  <c r="AD524" i="13"/>
  <c r="Z524" i="13"/>
  <c r="V524" i="13"/>
  <c r="N524" i="13"/>
  <c r="J524" i="13"/>
  <c r="F524" i="13"/>
  <c r="AD523" i="13"/>
  <c r="Z523" i="13"/>
  <c r="V523" i="13"/>
  <c r="R523" i="13"/>
  <c r="N523" i="13"/>
  <c r="J523" i="13"/>
  <c r="F523" i="13"/>
  <c r="C998" i="14"/>
  <c r="AF959" i="15"/>
  <c r="Z959" i="15"/>
  <c r="Y959" i="15"/>
  <c r="U959" i="15"/>
  <c r="T959" i="15"/>
  <c r="P959" i="15"/>
  <c r="O959" i="15"/>
  <c r="K959" i="15"/>
  <c r="J959" i="15"/>
  <c r="F959" i="15"/>
  <c r="E959" i="15"/>
  <c r="AG958" i="15"/>
  <c r="AA958" i="15"/>
  <c r="AB958" i="15"/>
  <c r="AA923" i="15"/>
  <c r="AB923" i="15"/>
  <c r="AG923" i="15"/>
  <c r="AA924" i="15"/>
  <c r="AB924" i="15"/>
  <c r="AG924" i="15"/>
  <c r="AA925" i="15"/>
  <c r="AB925" i="15"/>
  <c r="AA926" i="15"/>
  <c r="AB926" i="15"/>
  <c r="AG926" i="15"/>
  <c r="AA927" i="15"/>
  <c r="AB927" i="15"/>
  <c r="AG927" i="15"/>
  <c r="AA928" i="15"/>
  <c r="AB928" i="15"/>
  <c r="AG928" i="15"/>
  <c r="AA929" i="15"/>
  <c r="AB929" i="15"/>
  <c r="AG929" i="15"/>
  <c r="AA930" i="15"/>
  <c r="AB930" i="15"/>
  <c r="AG930" i="15"/>
  <c r="AA931" i="15"/>
  <c r="AB931" i="15"/>
  <c r="AG931" i="15"/>
  <c r="AA934" i="15"/>
  <c r="AB934" i="15"/>
  <c r="AA935" i="15"/>
  <c r="AB935" i="15"/>
  <c r="AG935" i="15"/>
  <c r="AA936" i="15"/>
  <c r="AB936" i="15"/>
  <c r="AA937" i="15"/>
  <c r="AB937" i="15"/>
  <c r="AG937" i="15"/>
  <c r="AA938" i="15"/>
  <c r="AB938" i="15"/>
  <c r="AG938" i="15"/>
  <c r="AA939" i="15"/>
  <c r="AB939" i="15"/>
  <c r="AG939" i="15"/>
  <c r="AA940" i="15"/>
  <c r="AB940" i="15"/>
  <c r="AG940" i="15"/>
  <c r="AA941" i="15"/>
  <c r="AB941" i="15"/>
  <c r="AG941" i="15"/>
  <c r="AA942" i="15"/>
  <c r="AB942" i="15"/>
  <c r="AG942" i="15"/>
  <c r="AA943" i="15"/>
  <c r="AB943" i="15"/>
  <c r="AG943" i="15"/>
  <c r="AA944" i="15"/>
  <c r="AB944" i="15"/>
  <c r="AG944" i="15"/>
  <c r="AA945" i="15"/>
  <c r="AB945" i="15"/>
  <c r="AG945" i="15"/>
  <c r="AA946" i="15"/>
  <c r="AB946" i="15"/>
  <c r="AG946" i="15"/>
  <c r="AA947" i="15"/>
  <c r="AB947" i="15"/>
  <c r="AG947" i="15"/>
  <c r="AA948" i="15"/>
  <c r="AB948" i="15"/>
  <c r="AG948" i="15"/>
  <c r="AA949" i="15"/>
  <c r="AB949" i="15"/>
  <c r="AG949" i="15"/>
  <c r="AA950" i="15"/>
  <c r="AB950" i="15"/>
  <c r="AG950" i="15"/>
  <c r="AA951" i="15"/>
  <c r="AB951" i="15"/>
  <c r="AG951" i="15"/>
  <c r="AA952" i="15"/>
  <c r="AB952" i="15"/>
  <c r="AG952" i="15"/>
  <c r="AA953" i="15"/>
  <c r="AB953" i="15"/>
  <c r="AG953" i="15"/>
  <c r="AA954" i="15"/>
  <c r="AB954" i="15"/>
  <c r="AG954" i="15"/>
  <c r="AA955" i="15"/>
  <c r="AB955" i="15"/>
  <c r="AG955" i="15"/>
  <c r="AA956" i="15"/>
  <c r="AB956" i="15"/>
  <c r="AG956" i="15"/>
  <c r="AA957" i="15"/>
  <c r="AB957" i="15"/>
  <c r="AG957" i="15"/>
  <c r="AA960" i="15"/>
  <c r="AA961" i="15"/>
  <c r="AL926" i="15"/>
  <c r="AN926" i="15"/>
  <c r="AB960" i="15"/>
  <c r="AB961" i="15"/>
  <c r="AL927" i="15"/>
  <c r="AN927" i="15"/>
  <c r="AG960" i="15"/>
  <c r="AG961" i="15"/>
  <c r="AL928" i="15"/>
  <c r="AN928" i="15"/>
  <c r="C962" i="15"/>
  <c r="AL929" i="15"/>
  <c r="AN929" i="15"/>
  <c r="AG959" i="15"/>
  <c r="AL924" i="15"/>
  <c r="AN924" i="15"/>
  <c r="AA959" i="15"/>
  <c r="AL922" i="15"/>
  <c r="AN922" i="15"/>
  <c r="AB959" i="15"/>
  <c r="AL923" i="15"/>
  <c r="AN923" i="15"/>
  <c r="AN930" i="15"/>
  <c r="F173" i="16"/>
  <c r="F174" i="16"/>
  <c r="F175" i="16"/>
  <c r="F176" i="16"/>
  <c r="F177" i="16"/>
  <c r="F178" i="16"/>
  <c r="F179" i="16"/>
  <c r="F180" i="16"/>
  <c r="F181" i="16"/>
  <c r="F164" i="16"/>
  <c r="F165" i="16"/>
  <c r="F166" i="16"/>
  <c r="F167" i="16"/>
  <c r="F168" i="16"/>
  <c r="F169" i="16"/>
  <c r="F170" i="16"/>
  <c r="F171" i="16"/>
  <c r="F172" i="16"/>
  <c r="F155" i="16"/>
  <c r="F156" i="16"/>
  <c r="F157" i="16"/>
  <c r="F158" i="16"/>
  <c r="F159" i="16"/>
  <c r="F160" i="16"/>
  <c r="F163" i="16"/>
  <c r="F122" i="16"/>
  <c r="J293" i="15"/>
  <c r="E293" i="15"/>
  <c r="Y244" i="15"/>
  <c r="AD511" i="13"/>
  <c r="AD512" i="13"/>
  <c r="Z511" i="13"/>
  <c r="Z512" i="13"/>
  <c r="V511" i="13"/>
  <c r="V512" i="13"/>
  <c r="R511" i="13"/>
  <c r="R512" i="13"/>
  <c r="N511" i="13"/>
  <c r="N512" i="13"/>
  <c r="J511" i="13"/>
  <c r="J512" i="13"/>
  <c r="F511" i="13"/>
  <c r="F512" i="13"/>
  <c r="C1022" i="14"/>
  <c r="Z1021" i="14"/>
  <c r="Y1021" i="14"/>
  <c r="X1021" i="14"/>
  <c r="W1021" i="14"/>
  <c r="V1021" i="14"/>
  <c r="U1021" i="14"/>
  <c r="T1021" i="14"/>
  <c r="S1021" i="14"/>
  <c r="R1021" i="14"/>
  <c r="Q1021" i="14"/>
  <c r="P1021" i="14"/>
  <c r="O1021" i="14"/>
  <c r="N1021" i="14"/>
  <c r="M1021" i="14"/>
  <c r="L1021" i="14"/>
  <c r="K1021" i="14"/>
  <c r="J1021" i="14"/>
  <c r="I1021" i="14"/>
  <c r="H1021" i="14"/>
  <c r="G1021" i="14"/>
  <c r="F1021" i="14"/>
  <c r="E1021" i="14"/>
  <c r="AG1020" i="14"/>
  <c r="AB1020" i="14"/>
  <c r="AA1020" i="14"/>
  <c r="AG1019" i="14"/>
  <c r="AB1019" i="14"/>
  <c r="AA1019" i="14"/>
  <c r="AF1018" i="14"/>
  <c r="Z1018" i="14"/>
  <c r="Y1018" i="14"/>
  <c r="U1018" i="14"/>
  <c r="T1018" i="14"/>
  <c r="P1018" i="14"/>
  <c r="O1018" i="14"/>
  <c r="K1018" i="14"/>
  <c r="J1018" i="14"/>
  <c r="F1018" i="14"/>
  <c r="E1018" i="14"/>
  <c r="AG1017" i="14"/>
  <c r="AB1017" i="14"/>
  <c r="AA1017" i="14"/>
  <c r="AG1016" i="14"/>
  <c r="AB1016" i="14"/>
  <c r="AA1016" i="14"/>
  <c r="AG1015" i="14"/>
  <c r="AB1015" i="14"/>
  <c r="AA1015" i="14"/>
  <c r="AG1014" i="14"/>
  <c r="AB1014" i="14"/>
  <c r="AA1014" i="14"/>
  <c r="AG1013" i="14"/>
  <c r="AB1013" i="14"/>
  <c r="AA1013" i="14"/>
  <c r="AG1012" i="14"/>
  <c r="AB1012" i="14"/>
  <c r="AA1012" i="14"/>
  <c r="AG1011" i="14"/>
  <c r="AB1011" i="14"/>
  <c r="AA1011" i="14"/>
  <c r="AG1010" i="14"/>
  <c r="AB1010" i="14"/>
  <c r="AA1010" i="14"/>
  <c r="AL1009" i="14"/>
  <c r="AN1009" i="14"/>
  <c r="AG1009" i="14"/>
  <c r="AB1009" i="14"/>
  <c r="AA1009" i="14"/>
  <c r="AG1008" i="14"/>
  <c r="AB1008" i="14"/>
  <c r="AA1008" i="14"/>
  <c r="AG1007" i="14"/>
  <c r="AB1007" i="14"/>
  <c r="AA1007" i="14"/>
  <c r="AG1006" i="14"/>
  <c r="AB1006" i="14"/>
  <c r="AA1006" i="14"/>
  <c r="AG1005" i="14"/>
  <c r="AB1005" i="14"/>
  <c r="AA1005" i="14"/>
  <c r="AG1004" i="14"/>
  <c r="AB1004" i="14"/>
  <c r="AA1004" i="14"/>
  <c r="Z49" i="18"/>
  <c r="Z42" i="18"/>
  <c r="Z47" i="18"/>
  <c r="Z48" i="18"/>
  <c r="Z40" i="18"/>
  <c r="Z41" i="18"/>
  <c r="Z46" i="18"/>
  <c r="Z39" i="18"/>
  <c r="AB878" i="15"/>
  <c r="AB879" i="15"/>
  <c r="AB880" i="15"/>
  <c r="AB881" i="15"/>
  <c r="AB882" i="15"/>
  <c r="AB883" i="15"/>
  <c r="AB884" i="15"/>
  <c r="AB886" i="15"/>
  <c r="AB887" i="15"/>
  <c r="AB888" i="15"/>
  <c r="AB889" i="15"/>
  <c r="AB890" i="15"/>
  <c r="AB891" i="15"/>
  <c r="AB892" i="15"/>
  <c r="AB885" i="15"/>
  <c r="AB893" i="15"/>
  <c r="AB894" i="15"/>
  <c r="AB895" i="15"/>
  <c r="AB896" i="15"/>
  <c r="AB897" i="15"/>
  <c r="AB898" i="15"/>
  <c r="AB899" i="15"/>
  <c r="AB900" i="15"/>
  <c r="AB901" i="15"/>
  <c r="AB902" i="15"/>
  <c r="AB903" i="15"/>
  <c r="AB904" i="15"/>
  <c r="AB905" i="15"/>
  <c r="AB906" i="15"/>
  <c r="AB907" i="15"/>
  <c r="AB908" i="15"/>
  <c r="AB909" i="15"/>
  <c r="AB910" i="15"/>
  <c r="AB911" i="15"/>
  <c r="AB793" i="15"/>
  <c r="AB831" i="15"/>
  <c r="AB832" i="15"/>
  <c r="AB833" i="15"/>
  <c r="AB834" i="15"/>
  <c r="AB865" i="15"/>
  <c r="AL830" i="15"/>
  <c r="AN830" i="15"/>
  <c r="AB835" i="15"/>
  <c r="AB836" i="15"/>
  <c r="AB837" i="15"/>
  <c r="AB838" i="15"/>
  <c r="AB839" i="15"/>
  <c r="AB840" i="15"/>
  <c r="AB841" i="15"/>
  <c r="AB842" i="15"/>
  <c r="AB843" i="15"/>
  <c r="AB844" i="15"/>
  <c r="AB845" i="15"/>
  <c r="AB846" i="15"/>
  <c r="AB847" i="15"/>
  <c r="AB848" i="15"/>
  <c r="AB849" i="15"/>
  <c r="AB850" i="15"/>
  <c r="AB851" i="15"/>
  <c r="AB852" i="15"/>
  <c r="AB853" i="15"/>
  <c r="AB854" i="15"/>
  <c r="AB855" i="15"/>
  <c r="AB856" i="15"/>
  <c r="AB857" i="15"/>
  <c r="AB858" i="15"/>
  <c r="AB859" i="15"/>
  <c r="AB860" i="15"/>
  <c r="AB861" i="15"/>
  <c r="AB862" i="15"/>
  <c r="AB863" i="15"/>
  <c r="AB864" i="15"/>
  <c r="AB784" i="15"/>
  <c r="AB785" i="15"/>
  <c r="AB786" i="15"/>
  <c r="AB787" i="15"/>
  <c r="AB788" i="15"/>
  <c r="AB789" i="15"/>
  <c r="AB790" i="15"/>
  <c r="AB791" i="15"/>
  <c r="AB792" i="15"/>
  <c r="AB794" i="15"/>
  <c r="AB795" i="15"/>
  <c r="AB796" i="15"/>
  <c r="AB797" i="15"/>
  <c r="AB798" i="15"/>
  <c r="AB799" i="15"/>
  <c r="AB800" i="15"/>
  <c r="AB801" i="15"/>
  <c r="AB802" i="15"/>
  <c r="AB803" i="15"/>
  <c r="AB804" i="15"/>
  <c r="AB805" i="15"/>
  <c r="AB806" i="15"/>
  <c r="AB807" i="15"/>
  <c r="AB808" i="15"/>
  <c r="AB809" i="15"/>
  <c r="AB810" i="15"/>
  <c r="AB811" i="15"/>
  <c r="AB812" i="15"/>
  <c r="AB813" i="15"/>
  <c r="AB814" i="15"/>
  <c r="AB815" i="15"/>
  <c r="AB816" i="15"/>
  <c r="AB817" i="15"/>
  <c r="AA978" i="14"/>
  <c r="AB978" i="14"/>
  <c r="AG978" i="14"/>
  <c r="AA979" i="14"/>
  <c r="AB979" i="14"/>
  <c r="AG979" i="14"/>
  <c r="AA980" i="14"/>
  <c r="AB980" i="14"/>
  <c r="AG980" i="14"/>
  <c r="AA981" i="14"/>
  <c r="AB981" i="14"/>
  <c r="AG981" i="14"/>
  <c r="AA982" i="14"/>
  <c r="AB982" i="14"/>
  <c r="AG982" i="14"/>
  <c r="AA983" i="14"/>
  <c r="AB983" i="14"/>
  <c r="AG983" i="14"/>
  <c r="AA984" i="14"/>
  <c r="AB984" i="14"/>
  <c r="AG984" i="14"/>
  <c r="AA985" i="14"/>
  <c r="AB985" i="14"/>
  <c r="AG985" i="14"/>
  <c r="AA986" i="14"/>
  <c r="AB986" i="14"/>
  <c r="AG986" i="14"/>
  <c r="AA987" i="14"/>
  <c r="AB987" i="14"/>
  <c r="AG987" i="14"/>
  <c r="AA988" i="14"/>
  <c r="AB988" i="14"/>
  <c r="AG988" i="14"/>
  <c r="AA989" i="14"/>
  <c r="AB989" i="14"/>
  <c r="AG989" i="14"/>
  <c r="AA990" i="14"/>
  <c r="AB990" i="14"/>
  <c r="AG990" i="14"/>
  <c r="AA991" i="14"/>
  <c r="AB991" i="14"/>
  <c r="AG991" i="14"/>
  <c r="E992" i="14"/>
  <c r="F992" i="14"/>
  <c r="J992" i="14"/>
  <c r="K992" i="14"/>
  <c r="O992" i="14"/>
  <c r="P992" i="14"/>
  <c r="T992" i="14"/>
  <c r="U992" i="14"/>
  <c r="Y992" i="14"/>
  <c r="Z992" i="14"/>
  <c r="AF992" i="14"/>
  <c r="AA993" i="14"/>
  <c r="AB993" i="14"/>
  <c r="AG993" i="14"/>
  <c r="AA994" i="14"/>
  <c r="AB994" i="14"/>
  <c r="AG994" i="14"/>
  <c r="E995" i="14"/>
  <c r="F995" i="14"/>
  <c r="G995" i="14"/>
  <c r="H995" i="14"/>
  <c r="I995" i="14"/>
  <c r="J995" i="14"/>
  <c r="K995" i="14"/>
  <c r="L995" i="14"/>
  <c r="M995" i="14"/>
  <c r="N995" i="14"/>
  <c r="O995" i="14"/>
  <c r="P995" i="14"/>
  <c r="Q995" i="14"/>
  <c r="R995" i="14"/>
  <c r="S995" i="14"/>
  <c r="T995" i="14"/>
  <c r="U995" i="14"/>
  <c r="V995" i="14"/>
  <c r="W995" i="14"/>
  <c r="X995" i="14"/>
  <c r="Y995" i="14"/>
  <c r="Z995" i="14"/>
  <c r="C996" i="14"/>
  <c r="AL983" i="14"/>
  <c r="AN983" i="14"/>
  <c r="AB890" i="14"/>
  <c r="AA926" i="14"/>
  <c r="AB926" i="14"/>
  <c r="AG926" i="14"/>
  <c r="AA927" i="14"/>
  <c r="AB927" i="14"/>
  <c r="AG927" i="14"/>
  <c r="AA928" i="14"/>
  <c r="AB928" i="14"/>
  <c r="AG928" i="14"/>
  <c r="AA929" i="14"/>
  <c r="AB929" i="14"/>
  <c r="AG929" i="14"/>
  <c r="AA930" i="14"/>
  <c r="AB930" i="14"/>
  <c r="AG930" i="14"/>
  <c r="AA931" i="14"/>
  <c r="AB931" i="14"/>
  <c r="AG931" i="14"/>
  <c r="AA932" i="14"/>
  <c r="AB932" i="14"/>
  <c r="AG932" i="14"/>
  <c r="AA933" i="14"/>
  <c r="AB933" i="14"/>
  <c r="AG933" i="14"/>
  <c r="AA934" i="14"/>
  <c r="AB934" i="14"/>
  <c r="AG934" i="14"/>
  <c r="E940" i="14"/>
  <c r="T940" i="14"/>
  <c r="AG935" i="14"/>
  <c r="AA936" i="14"/>
  <c r="AG936" i="14"/>
  <c r="AA937" i="14"/>
  <c r="AG937" i="14"/>
  <c r="AA938" i="14"/>
  <c r="AG938" i="14"/>
  <c r="AG939" i="14"/>
  <c r="F940" i="14"/>
  <c r="J940" i="14"/>
  <c r="K940" i="14"/>
  <c r="O940" i="14"/>
  <c r="P940" i="14"/>
  <c r="U940" i="14"/>
  <c r="Y940" i="14"/>
  <c r="Z940" i="14"/>
  <c r="AF940" i="14"/>
  <c r="AA941" i="14"/>
  <c r="AB941" i="14"/>
  <c r="AG941" i="14"/>
  <c r="AA942" i="14"/>
  <c r="AB942" i="14"/>
  <c r="AG942" i="14"/>
  <c r="AG943" i="14"/>
  <c r="AL930" i="14"/>
  <c r="AN930" i="14"/>
  <c r="E943" i="14"/>
  <c r="F943" i="14"/>
  <c r="G943" i="14"/>
  <c r="H943" i="14"/>
  <c r="I943" i="14"/>
  <c r="J943" i="14"/>
  <c r="K943" i="14"/>
  <c r="L943" i="14"/>
  <c r="M943" i="14"/>
  <c r="N943" i="14"/>
  <c r="O943" i="14"/>
  <c r="P943" i="14"/>
  <c r="Q943" i="14"/>
  <c r="R943" i="14"/>
  <c r="S943" i="14"/>
  <c r="T943" i="14"/>
  <c r="U943" i="14"/>
  <c r="V943" i="14"/>
  <c r="W943" i="14"/>
  <c r="X943" i="14"/>
  <c r="Y943" i="14"/>
  <c r="Z943" i="14"/>
  <c r="C944" i="14"/>
  <c r="AL931" i="14"/>
  <c r="AN931" i="14"/>
  <c r="AA952" i="14"/>
  <c r="AB952" i="14"/>
  <c r="AG952" i="14"/>
  <c r="AA953" i="14"/>
  <c r="AB953" i="14"/>
  <c r="AG953" i="14"/>
  <c r="AA954" i="14"/>
  <c r="AB954" i="14"/>
  <c r="AG954" i="14"/>
  <c r="AA955" i="14"/>
  <c r="AB955" i="14"/>
  <c r="AG955" i="14"/>
  <c r="AA956" i="14"/>
  <c r="AB956" i="14"/>
  <c r="AG956" i="14"/>
  <c r="AA957" i="14"/>
  <c r="AB957" i="14"/>
  <c r="AG957" i="14"/>
  <c r="AA958" i="14"/>
  <c r="AB958" i="14"/>
  <c r="AG958" i="14"/>
  <c r="AA959" i="14"/>
  <c r="AB959" i="14"/>
  <c r="AG959" i="14"/>
  <c r="AA960" i="14"/>
  <c r="AB960" i="14"/>
  <c r="AG960" i="14"/>
  <c r="AA961" i="14"/>
  <c r="AB961" i="14"/>
  <c r="AG961" i="14"/>
  <c r="AA962" i="14"/>
  <c r="AB962" i="14"/>
  <c r="AG962" i="14"/>
  <c r="AA963" i="14"/>
  <c r="AB963" i="14"/>
  <c r="AG963" i="14"/>
  <c r="AA964" i="14"/>
  <c r="AB964" i="14"/>
  <c r="AG964" i="14"/>
  <c r="AA965" i="14"/>
  <c r="AB965" i="14"/>
  <c r="AG965" i="14"/>
  <c r="E966" i="14"/>
  <c r="F966" i="14"/>
  <c r="J966" i="14"/>
  <c r="K966" i="14"/>
  <c r="O966" i="14"/>
  <c r="P966" i="14"/>
  <c r="T966" i="14"/>
  <c r="U966" i="14"/>
  <c r="Y966" i="14"/>
  <c r="Z966" i="14"/>
  <c r="AF966" i="14"/>
  <c r="AA967" i="14"/>
  <c r="AB967" i="14"/>
  <c r="AG967" i="14"/>
  <c r="AA968" i="14"/>
  <c r="AB968" i="14"/>
  <c r="AG968" i="14"/>
  <c r="E969" i="14"/>
  <c r="F969" i="14"/>
  <c r="G969" i="14"/>
  <c r="H969" i="14"/>
  <c r="I969" i="14"/>
  <c r="J969" i="14"/>
  <c r="K969" i="14"/>
  <c r="L969" i="14"/>
  <c r="M969" i="14"/>
  <c r="N969" i="14"/>
  <c r="O969" i="14"/>
  <c r="P969" i="14"/>
  <c r="Q969" i="14"/>
  <c r="R969" i="14"/>
  <c r="S969" i="14"/>
  <c r="T969" i="14"/>
  <c r="U969" i="14"/>
  <c r="V969" i="14"/>
  <c r="W969" i="14"/>
  <c r="X969" i="14"/>
  <c r="Y969" i="14"/>
  <c r="Z969" i="14"/>
  <c r="C970" i="14"/>
  <c r="AL957" i="14"/>
  <c r="AN957" i="14"/>
  <c r="F499" i="13"/>
  <c r="F500" i="13"/>
  <c r="C824" i="15"/>
  <c r="C870" i="15"/>
  <c r="AG832" i="15"/>
  <c r="AG691" i="15"/>
  <c r="AG692" i="15"/>
  <c r="AG653" i="15"/>
  <c r="AG654" i="15"/>
  <c r="AG655" i="15"/>
  <c r="AG656" i="15"/>
  <c r="AG657" i="15"/>
  <c r="AG658" i="15"/>
  <c r="AG659" i="15"/>
  <c r="AG660" i="15"/>
  <c r="AG661" i="15"/>
  <c r="AG662" i="15"/>
  <c r="AG663" i="15"/>
  <c r="AG664" i="15"/>
  <c r="AB653" i="15"/>
  <c r="AB654" i="15"/>
  <c r="AB655" i="15"/>
  <c r="AB656" i="15"/>
  <c r="AB657" i="15"/>
  <c r="AB658" i="15"/>
  <c r="AB659" i="15"/>
  <c r="AB660" i="15"/>
  <c r="AB661" i="15"/>
  <c r="AB662" i="15"/>
  <c r="AB663" i="15"/>
  <c r="AB664" i="15"/>
  <c r="AG619" i="15"/>
  <c r="AG620" i="15"/>
  <c r="AG621" i="15"/>
  <c r="AG622" i="15"/>
  <c r="AG623" i="15"/>
  <c r="AG624" i="15"/>
  <c r="AG625" i="15"/>
  <c r="AB617" i="15"/>
  <c r="AB618" i="15"/>
  <c r="AB619" i="15"/>
  <c r="AB620" i="15"/>
  <c r="AB621" i="15"/>
  <c r="AB622" i="15"/>
  <c r="AB623" i="15"/>
  <c r="AB624" i="15"/>
  <c r="AB625" i="15"/>
  <c r="AB595" i="15"/>
  <c r="AB596" i="15"/>
  <c r="AB597" i="15"/>
  <c r="AB598" i="15"/>
  <c r="AB599" i="15"/>
  <c r="AB600" i="15"/>
  <c r="AB601" i="15"/>
  <c r="AB602" i="15"/>
  <c r="AB603" i="15"/>
  <c r="AB604" i="15"/>
  <c r="AG969" i="14"/>
  <c r="AL956" i="14"/>
  <c r="AN956" i="14"/>
  <c r="AB995" i="14"/>
  <c r="AL981" i="14"/>
  <c r="AN981" i="14"/>
  <c r="AA969" i="14"/>
  <c r="AL954" i="14"/>
  <c r="AN954" i="14"/>
  <c r="AA1021" i="14"/>
  <c r="AL1006" i="14"/>
  <c r="AN1006" i="14"/>
  <c r="AB1021" i="14"/>
  <c r="AL1007" i="14"/>
  <c r="AN1007" i="14"/>
  <c r="AG1018" i="14"/>
  <c r="AL1005" i="14"/>
  <c r="AN1005" i="14"/>
  <c r="AG1021" i="14"/>
  <c r="AL1008" i="14"/>
  <c r="AN1008" i="14"/>
  <c r="AG966" i="14"/>
  <c r="AL953" i="14"/>
  <c r="AN953" i="14"/>
  <c r="AA943" i="14"/>
  <c r="AL928" i="14"/>
  <c r="AN928" i="14"/>
  <c r="AG995" i="14"/>
  <c r="AL982" i="14"/>
  <c r="AN982" i="14"/>
  <c r="AG992" i="14"/>
  <c r="AL979" i="14"/>
  <c r="AN979" i="14"/>
  <c r="AB992" i="14"/>
  <c r="AL978" i="14"/>
  <c r="AN978" i="14"/>
  <c r="AB943" i="14"/>
  <c r="AL929" i="14"/>
  <c r="AN929" i="14"/>
  <c r="AB969" i="14"/>
  <c r="AL955" i="14"/>
  <c r="AN955" i="14"/>
  <c r="AG940" i="14"/>
  <c r="AL927" i="14"/>
  <c r="AN927" i="14"/>
  <c r="AA1018" i="14"/>
  <c r="AL1003" i="14"/>
  <c r="AN1003" i="14"/>
  <c r="AB1018" i="14"/>
  <c r="AL1004" i="14"/>
  <c r="AN1004" i="14"/>
  <c r="AA995" i="14"/>
  <c r="AL980" i="14"/>
  <c r="AN980" i="14"/>
  <c r="AA992" i="14"/>
  <c r="AL977" i="14"/>
  <c r="AN977" i="14"/>
  <c r="AB966" i="14"/>
  <c r="AL952" i="14"/>
  <c r="AN952" i="14"/>
  <c r="AA966" i="14"/>
  <c r="AL951" i="14"/>
  <c r="AN951" i="14"/>
  <c r="AB940" i="14"/>
  <c r="AL926" i="14"/>
  <c r="AN926" i="14"/>
  <c r="AA935" i="14"/>
  <c r="AA940" i="14"/>
  <c r="AL925" i="14"/>
  <c r="AN925" i="14"/>
  <c r="AN958" i="14"/>
  <c r="AN932" i="14"/>
  <c r="AN1010" i="14"/>
  <c r="AN984" i="14"/>
  <c r="F142" i="16"/>
  <c r="F143" i="16"/>
  <c r="F144" i="16"/>
  <c r="F145" i="16"/>
  <c r="F146" i="16"/>
  <c r="F147" i="16"/>
  <c r="F148" i="16"/>
  <c r="F149" i="16"/>
  <c r="F150" i="16"/>
  <c r="F151" i="16"/>
  <c r="F152" i="16"/>
  <c r="F153" i="16"/>
  <c r="F130" i="16"/>
  <c r="F131" i="16"/>
  <c r="F132" i="16"/>
  <c r="F133" i="16"/>
  <c r="F134" i="16"/>
  <c r="F135" i="16"/>
  <c r="F136" i="16"/>
  <c r="F137" i="16"/>
  <c r="F138" i="16"/>
  <c r="F139" i="16"/>
  <c r="F140" i="16"/>
  <c r="F141" i="16"/>
  <c r="F118" i="16"/>
  <c r="F119" i="16"/>
  <c r="F120" i="16"/>
  <c r="F121" i="16"/>
  <c r="F123" i="16"/>
  <c r="F124" i="16"/>
  <c r="F125" i="16"/>
  <c r="F126" i="16"/>
  <c r="F127" i="16"/>
  <c r="F128" i="16"/>
  <c r="F129" i="16"/>
  <c r="F108" i="16"/>
  <c r="F109" i="16"/>
  <c r="F110" i="16"/>
  <c r="F111" i="16"/>
  <c r="F112" i="16"/>
  <c r="F113" i="16"/>
  <c r="F114" i="16"/>
  <c r="F115" i="16"/>
  <c r="F116" i="16"/>
  <c r="F117" i="16"/>
  <c r="C915" i="15"/>
  <c r="AL883" i="15"/>
  <c r="AN883" i="15"/>
  <c r="AG913" i="15"/>
  <c r="AG914" i="15"/>
  <c r="AL882" i="15"/>
  <c r="AN882" i="15"/>
  <c r="AB913" i="15"/>
  <c r="AB914" i="15"/>
  <c r="AL881" i="15"/>
  <c r="AN881" i="15"/>
  <c r="AA913" i="15"/>
  <c r="AA914" i="15"/>
  <c r="AL880" i="15"/>
  <c r="AN880" i="15"/>
  <c r="AF912" i="15"/>
  <c r="Z912" i="15"/>
  <c r="Y912" i="15"/>
  <c r="U912" i="15"/>
  <c r="T912" i="15"/>
  <c r="P912" i="15"/>
  <c r="O912" i="15"/>
  <c r="K912" i="15"/>
  <c r="J912" i="15"/>
  <c r="F912" i="15"/>
  <c r="E912" i="15"/>
  <c r="AG911" i="15"/>
  <c r="AA911" i="15"/>
  <c r="AG910" i="15"/>
  <c r="AA910" i="15"/>
  <c r="AG909" i="15"/>
  <c r="AA909" i="15"/>
  <c r="AG908" i="15"/>
  <c r="AA908" i="15"/>
  <c r="AG907" i="15"/>
  <c r="AA907" i="15"/>
  <c r="AG906" i="15"/>
  <c r="AA906" i="15"/>
  <c r="AG905" i="15"/>
  <c r="AA905" i="15"/>
  <c r="AG904" i="15"/>
  <c r="AA904" i="15"/>
  <c r="AG903" i="15"/>
  <c r="AA903" i="15"/>
  <c r="AG902" i="15"/>
  <c r="AA902" i="15"/>
  <c r="AG901" i="15"/>
  <c r="AA901" i="15"/>
  <c r="AG900" i="15"/>
  <c r="AA900" i="15"/>
  <c r="AG899" i="15"/>
  <c r="AA899" i="15"/>
  <c r="AG898" i="15"/>
  <c r="AA898" i="15"/>
  <c r="AG897" i="15"/>
  <c r="AA897" i="15"/>
  <c r="AG896" i="15"/>
  <c r="AA896" i="15"/>
  <c r="AG895" i="15"/>
  <c r="AA895" i="15"/>
  <c r="AG894" i="15"/>
  <c r="AA894" i="15"/>
  <c r="AG893" i="15"/>
  <c r="AA893" i="15"/>
  <c r="AG885" i="15"/>
  <c r="AA885" i="15"/>
  <c r="AG892" i="15"/>
  <c r="AA892" i="15"/>
  <c r="AG891" i="15"/>
  <c r="AA891" i="15"/>
  <c r="AG890" i="15"/>
  <c r="AA890" i="15"/>
  <c r="AG889" i="15"/>
  <c r="AA889" i="15"/>
  <c r="AA888" i="15"/>
  <c r="AG887" i="15"/>
  <c r="AA887" i="15"/>
  <c r="AG886" i="15"/>
  <c r="AA886" i="15"/>
  <c r="AG884" i="15"/>
  <c r="AA884" i="15"/>
  <c r="AG883" i="15"/>
  <c r="AA883" i="15"/>
  <c r="AG882" i="15"/>
  <c r="AA882" i="15"/>
  <c r="AG881" i="15"/>
  <c r="AA881" i="15"/>
  <c r="AG880" i="15"/>
  <c r="AA880" i="15"/>
  <c r="AA879" i="15"/>
  <c r="AG878" i="15"/>
  <c r="AA878" i="15"/>
  <c r="AG877" i="15"/>
  <c r="AB877" i="15"/>
  <c r="AB912" i="15"/>
  <c r="AL877" i="15"/>
  <c r="AN877" i="15"/>
  <c r="AA877" i="15"/>
  <c r="AG912" i="15"/>
  <c r="AL878" i="15"/>
  <c r="AN878" i="15"/>
  <c r="AA912" i="15"/>
  <c r="AL876" i="15"/>
  <c r="AN876" i="15"/>
  <c r="AN884" i="15"/>
  <c r="AG785" i="15"/>
  <c r="AA785" i="15"/>
  <c r="J482" i="13"/>
  <c r="AA738" i="15"/>
  <c r="G489" i="13"/>
  <c r="K489" i="13"/>
  <c r="O489" i="13"/>
  <c r="S489" i="13"/>
  <c r="W489" i="13"/>
  <c r="AA489" i="13"/>
  <c r="G475" i="13"/>
  <c r="K475" i="13"/>
  <c r="O475" i="13"/>
  <c r="S475" i="13"/>
  <c r="W475" i="13"/>
  <c r="AA475" i="13"/>
  <c r="Z486" i="13"/>
  <c r="Z487" i="13"/>
  <c r="Z488" i="13"/>
  <c r="V486" i="13"/>
  <c r="V487" i="13"/>
  <c r="V488" i="13"/>
  <c r="R486" i="13"/>
  <c r="R487" i="13"/>
  <c r="R488" i="13"/>
  <c r="N486" i="13"/>
  <c r="N487" i="13"/>
  <c r="N488" i="13"/>
  <c r="J486" i="13"/>
  <c r="J487" i="13"/>
  <c r="J488" i="13"/>
  <c r="F486" i="13"/>
  <c r="F487" i="13"/>
  <c r="F488" i="13"/>
  <c r="AG819" i="15"/>
  <c r="AB819" i="15"/>
  <c r="AA819" i="15"/>
  <c r="C868" i="15"/>
  <c r="AG866" i="15"/>
  <c r="AG867" i="15"/>
  <c r="AL835" i="15"/>
  <c r="AN835" i="15"/>
  <c r="AB866" i="15"/>
  <c r="AB867" i="15"/>
  <c r="AL834" i="15"/>
  <c r="AN834" i="15"/>
  <c r="AA866" i="15"/>
  <c r="AA867" i="15"/>
  <c r="AL833" i="15"/>
  <c r="AN833" i="15"/>
  <c r="AF865" i="15"/>
  <c r="Z865" i="15"/>
  <c r="Y865" i="15"/>
  <c r="U865" i="15"/>
  <c r="T865" i="15"/>
  <c r="P865" i="15"/>
  <c r="O865" i="15"/>
  <c r="K865" i="15"/>
  <c r="J865" i="15"/>
  <c r="F865" i="15"/>
  <c r="E865" i="15"/>
  <c r="AG864" i="15"/>
  <c r="AA864" i="15"/>
  <c r="AG863" i="15"/>
  <c r="AA863" i="15"/>
  <c r="AG862" i="15"/>
  <c r="AA862" i="15"/>
  <c r="AG861" i="15"/>
  <c r="AA861" i="15"/>
  <c r="AG860" i="15"/>
  <c r="AA860" i="15"/>
  <c r="AG859" i="15"/>
  <c r="AA859" i="15"/>
  <c r="AG858" i="15"/>
  <c r="AA858" i="15"/>
  <c r="AG857" i="15"/>
  <c r="AA857" i="15"/>
  <c r="AG856" i="15"/>
  <c r="AA856" i="15"/>
  <c r="AG855" i="15"/>
  <c r="AA855" i="15"/>
  <c r="AG854" i="15"/>
  <c r="AA854" i="15"/>
  <c r="AG853" i="15"/>
  <c r="AA853" i="15"/>
  <c r="AG852" i="15"/>
  <c r="AA852" i="15"/>
  <c r="AG851" i="15"/>
  <c r="AA851" i="15"/>
  <c r="AG850" i="15"/>
  <c r="AA850" i="15"/>
  <c r="AG849" i="15"/>
  <c r="AA849" i="15"/>
  <c r="AG848" i="15"/>
  <c r="AA848" i="15"/>
  <c r="AG847" i="15"/>
  <c r="AA847" i="15"/>
  <c r="AG846" i="15"/>
  <c r="AA846" i="15"/>
  <c r="AG845" i="15"/>
  <c r="AA845" i="15"/>
  <c r="AG844" i="15"/>
  <c r="AA844" i="15"/>
  <c r="AG843" i="15"/>
  <c r="AA843" i="15"/>
  <c r="AG842" i="15"/>
  <c r="AA842" i="15"/>
  <c r="AG841" i="15"/>
  <c r="AA841" i="15"/>
  <c r="AG840" i="15"/>
  <c r="AA840" i="15"/>
  <c r="AG839" i="15"/>
  <c r="AA839" i="15"/>
  <c r="AG838" i="15"/>
  <c r="AA838" i="15"/>
  <c r="AG837" i="15"/>
  <c r="AA837" i="15"/>
  <c r="AG836" i="15"/>
  <c r="AA836" i="15"/>
  <c r="AG835" i="15"/>
  <c r="AA835" i="15"/>
  <c r="AG834" i="15"/>
  <c r="AA834" i="15"/>
  <c r="AG833" i="15"/>
  <c r="AG865" i="15"/>
  <c r="AL831" i="15"/>
  <c r="AN831" i="15"/>
  <c r="AA833" i="15"/>
  <c r="AA832" i="15"/>
  <c r="AG831" i="15"/>
  <c r="AA831" i="15"/>
  <c r="AG830" i="15"/>
  <c r="AB830" i="15"/>
  <c r="AA830" i="15"/>
  <c r="AA865" i="15"/>
  <c r="AL829" i="15"/>
  <c r="AN829" i="15"/>
  <c r="C822" i="15"/>
  <c r="AL789" i="15"/>
  <c r="AN789" i="15"/>
  <c r="AG820" i="15"/>
  <c r="AG821" i="15"/>
  <c r="AL788" i="15"/>
  <c r="AN788" i="15"/>
  <c r="AB820" i="15"/>
  <c r="AB821" i="15"/>
  <c r="AL787" i="15"/>
  <c r="AN787" i="15"/>
  <c r="AA820" i="15"/>
  <c r="AF818" i="15"/>
  <c r="Z818" i="15"/>
  <c r="Y818" i="15"/>
  <c r="U818" i="15"/>
  <c r="T818" i="15"/>
  <c r="P818" i="15"/>
  <c r="O818" i="15"/>
  <c r="K818" i="15"/>
  <c r="J818" i="15"/>
  <c r="F818" i="15"/>
  <c r="E818" i="15"/>
  <c r="AG817" i="15"/>
  <c r="AA817" i="15"/>
  <c r="AG816" i="15"/>
  <c r="AA816" i="15"/>
  <c r="AG815" i="15"/>
  <c r="AA815" i="15"/>
  <c r="AG814" i="15"/>
  <c r="AA814" i="15"/>
  <c r="AG813" i="15"/>
  <c r="AA813" i="15"/>
  <c r="AG812" i="15"/>
  <c r="AA812" i="15"/>
  <c r="AG811" i="15"/>
  <c r="AA811" i="15"/>
  <c r="AG810" i="15"/>
  <c r="AA810" i="15"/>
  <c r="AG809" i="15"/>
  <c r="AA809" i="15"/>
  <c r="AG808" i="15"/>
  <c r="AA808" i="15"/>
  <c r="AG807" i="15"/>
  <c r="AA807" i="15"/>
  <c r="AG806" i="15"/>
  <c r="AA806" i="15"/>
  <c r="AG805" i="15"/>
  <c r="AA805" i="15"/>
  <c r="AG804" i="15"/>
  <c r="AA804" i="15"/>
  <c r="AG803" i="15"/>
  <c r="AA803" i="15"/>
  <c r="AG802" i="15"/>
  <c r="AA802" i="15"/>
  <c r="AG801" i="15"/>
  <c r="AA801" i="15"/>
  <c r="AG800" i="15"/>
  <c r="AA800" i="15"/>
  <c r="AG799" i="15"/>
  <c r="AA799" i="15"/>
  <c r="AG798" i="15"/>
  <c r="AA798" i="15"/>
  <c r="AG797" i="15"/>
  <c r="AA797" i="15"/>
  <c r="AG796" i="15"/>
  <c r="AA796" i="15"/>
  <c r="AG795" i="15"/>
  <c r="AA795" i="15"/>
  <c r="AG794" i="15"/>
  <c r="AA794" i="15"/>
  <c r="AG793" i="15"/>
  <c r="AA793" i="15"/>
  <c r="AG792" i="15"/>
  <c r="AA792" i="15"/>
  <c r="AG791" i="15"/>
  <c r="AA791" i="15"/>
  <c r="AG790" i="15"/>
  <c r="AA790" i="15"/>
  <c r="AG789" i="15"/>
  <c r="AA789" i="15"/>
  <c r="AG788" i="15"/>
  <c r="AA788" i="15"/>
  <c r="AA818" i="15"/>
  <c r="AL782" i="15"/>
  <c r="AN782" i="15"/>
  <c r="AG787" i="15"/>
  <c r="AG818" i="15"/>
  <c r="AL784" i="15"/>
  <c r="AN784" i="15"/>
  <c r="AA787" i="15"/>
  <c r="AG786" i="15"/>
  <c r="AA786" i="15"/>
  <c r="AG784" i="15"/>
  <c r="AA784" i="15"/>
  <c r="AG783" i="15"/>
  <c r="AB783" i="15"/>
  <c r="AB818" i="15"/>
  <c r="AL783" i="15"/>
  <c r="AN783" i="15"/>
  <c r="AA783" i="15"/>
  <c r="C777" i="15"/>
  <c r="C920" i="14"/>
  <c r="AG709" i="15"/>
  <c r="AA709" i="15"/>
  <c r="AB709" i="15"/>
  <c r="AA821" i="15"/>
  <c r="AL786" i="15"/>
  <c r="AN786" i="15"/>
  <c r="AL836" i="15"/>
  <c r="AN836" i="15"/>
  <c r="AA727" i="15"/>
  <c r="V467" i="13"/>
  <c r="V468" i="13"/>
  <c r="V469" i="13"/>
  <c r="V470" i="13"/>
  <c r="V471" i="13"/>
  <c r="V472" i="13"/>
  <c r="R467" i="13"/>
  <c r="R468" i="13"/>
  <c r="R469" i="13"/>
  <c r="R470" i="13"/>
  <c r="R471" i="13"/>
  <c r="R472" i="13"/>
  <c r="N467" i="13"/>
  <c r="N468" i="13"/>
  <c r="N469" i="13"/>
  <c r="N470" i="13"/>
  <c r="N471" i="13"/>
  <c r="N472" i="13"/>
  <c r="J467" i="13"/>
  <c r="J468" i="13"/>
  <c r="J469" i="13"/>
  <c r="J470" i="13"/>
  <c r="J471" i="13"/>
  <c r="J472" i="13"/>
  <c r="F467" i="13"/>
  <c r="F468" i="13"/>
  <c r="F469" i="13"/>
  <c r="F470" i="13"/>
  <c r="F471" i="13"/>
  <c r="F472" i="13"/>
  <c r="Z31" i="18"/>
  <c r="Z33" i="18"/>
  <c r="Z34" i="18"/>
  <c r="Z30" i="18"/>
  <c r="Z22" i="18"/>
  <c r="Z23" i="18"/>
  <c r="Z24" i="18"/>
  <c r="Z25" i="18"/>
  <c r="Z26" i="18"/>
  <c r="Z21" i="18"/>
  <c r="C868" i="14"/>
  <c r="G455" i="13"/>
  <c r="K455" i="13"/>
  <c r="O455" i="13"/>
  <c r="S455" i="13"/>
  <c r="W455" i="13"/>
  <c r="AA455" i="13"/>
  <c r="G439" i="13"/>
  <c r="K439" i="13"/>
  <c r="O439" i="13"/>
  <c r="S439" i="13"/>
  <c r="W439" i="13"/>
  <c r="AA439" i="13"/>
  <c r="E726" i="15"/>
  <c r="AA724" i="15"/>
  <c r="AA717" i="15"/>
  <c r="Z18" i="18"/>
  <c r="C775" i="15"/>
  <c r="AL743" i="15"/>
  <c r="AN743" i="15"/>
  <c r="AG773" i="15"/>
  <c r="AG774" i="15"/>
  <c r="AL742" i="15"/>
  <c r="AN742" i="15"/>
  <c r="AB773" i="15"/>
  <c r="AB774" i="15"/>
  <c r="AL741" i="15"/>
  <c r="AN741" i="15"/>
  <c r="AA773" i="15"/>
  <c r="AA774" i="15"/>
  <c r="AL740" i="15"/>
  <c r="AN740" i="15"/>
  <c r="AF772" i="15"/>
  <c r="Z772" i="15"/>
  <c r="Y772" i="15"/>
  <c r="U772" i="15"/>
  <c r="T772" i="15"/>
  <c r="P772" i="15"/>
  <c r="O772" i="15"/>
  <c r="K772" i="15"/>
  <c r="J772" i="15"/>
  <c r="F772" i="15"/>
  <c r="E772" i="15"/>
  <c r="AG771" i="15"/>
  <c r="AB771" i="15"/>
  <c r="AA771" i="15"/>
  <c r="AG770" i="15"/>
  <c r="AB770" i="15"/>
  <c r="AA770" i="15"/>
  <c r="AG769" i="15"/>
  <c r="AB769" i="15"/>
  <c r="AA769" i="15"/>
  <c r="AG768" i="15"/>
  <c r="AB768" i="15"/>
  <c r="AA768" i="15"/>
  <c r="AG767" i="15"/>
  <c r="AB767" i="15"/>
  <c r="AA767" i="15"/>
  <c r="AG766" i="15"/>
  <c r="AB766" i="15"/>
  <c r="AA766" i="15"/>
  <c r="AG765" i="15"/>
  <c r="AB765" i="15"/>
  <c r="AA765" i="15"/>
  <c r="AG764" i="15"/>
  <c r="AB764" i="15"/>
  <c r="AA764" i="15"/>
  <c r="AG763" i="15"/>
  <c r="AB763" i="15"/>
  <c r="AA763" i="15"/>
  <c r="AG762" i="15"/>
  <c r="AB762" i="15"/>
  <c r="AA762" i="15"/>
  <c r="AG761" i="15"/>
  <c r="AB761" i="15"/>
  <c r="AA761" i="15"/>
  <c r="AG760" i="15"/>
  <c r="AB760" i="15"/>
  <c r="AA760" i="15"/>
  <c r="AG759" i="15"/>
  <c r="AB759" i="15"/>
  <c r="AA759" i="15"/>
  <c r="AG758" i="15"/>
  <c r="AB758" i="15"/>
  <c r="AA758" i="15"/>
  <c r="AG757" i="15"/>
  <c r="AB757" i="15"/>
  <c r="AA757" i="15"/>
  <c r="AG756" i="15"/>
  <c r="AB756" i="15"/>
  <c r="AA756" i="15"/>
  <c r="AG755" i="15"/>
  <c r="AB755" i="15"/>
  <c r="AA755" i="15"/>
  <c r="AG754" i="15"/>
  <c r="AB754" i="15"/>
  <c r="AA754" i="15"/>
  <c r="AG753" i="15"/>
  <c r="AB753" i="15"/>
  <c r="AA753" i="15"/>
  <c r="AG752" i="15"/>
  <c r="AB752" i="15"/>
  <c r="AA752" i="15"/>
  <c r="AG751" i="15"/>
  <c r="AB751" i="15"/>
  <c r="AA751" i="15"/>
  <c r="AG750" i="15"/>
  <c r="AB750" i="15"/>
  <c r="AA750" i="15"/>
  <c r="AG749" i="15"/>
  <c r="AB749" i="15"/>
  <c r="AA749" i="15"/>
  <c r="AG748" i="15"/>
  <c r="AB748" i="15"/>
  <c r="AA748" i="15"/>
  <c r="AG747" i="15"/>
  <c r="AB747" i="15"/>
  <c r="AA747" i="15"/>
  <c r="AG746" i="15"/>
  <c r="AB746" i="15"/>
  <c r="AA746" i="15"/>
  <c r="AG745" i="15"/>
  <c r="AB745" i="15"/>
  <c r="AA745" i="15"/>
  <c r="AG744" i="15"/>
  <c r="AB744" i="15"/>
  <c r="AA744" i="15"/>
  <c r="AG743" i="15"/>
  <c r="AB743" i="15"/>
  <c r="AA743" i="15"/>
  <c r="AG742" i="15"/>
  <c r="AB742" i="15"/>
  <c r="AA742" i="15"/>
  <c r="AG741" i="15"/>
  <c r="AB741" i="15"/>
  <c r="AA741" i="15"/>
  <c r="AG740" i="15"/>
  <c r="AG772" i="15"/>
  <c r="AL738" i="15"/>
  <c r="AN738" i="15"/>
  <c r="AB740" i="15"/>
  <c r="AA740" i="15"/>
  <c r="AB739" i="15"/>
  <c r="AA739" i="15"/>
  <c r="AG738" i="15"/>
  <c r="AB738" i="15"/>
  <c r="AG737" i="15"/>
  <c r="AB737" i="15"/>
  <c r="AA737" i="15"/>
  <c r="AA772" i="15"/>
  <c r="AL736" i="15"/>
  <c r="AN736" i="15"/>
  <c r="C918" i="14"/>
  <c r="AL905" i="14"/>
  <c r="AN905" i="14"/>
  <c r="Z917" i="14"/>
  <c r="Y917" i="14"/>
  <c r="X917" i="14"/>
  <c r="W917" i="14"/>
  <c r="V917" i="14"/>
  <c r="U917" i="14"/>
  <c r="T917" i="14"/>
  <c r="S917" i="14"/>
  <c r="R917" i="14"/>
  <c r="Q917" i="14"/>
  <c r="P917" i="14"/>
  <c r="O917" i="14"/>
  <c r="N917" i="14"/>
  <c r="M917" i="14"/>
  <c r="L917" i="14"/>
  <c r="K917" i="14"/>
  <c r="J917" i="14"/>
  <c r="I917" i="14"/>
  <c r="H917" i="14"/>
  <c r="G917" i="14"/>
  <c r="F917" i="14"/>
  <c r="E917" i="14"/>
  <c r="AG916" i="14"/>
  <c r="AA916" i="14"/>
  <c r="AG915" i="14"/>
  <c r="AB915" i="14"/>
  <c r="AA915" i="14"/>
  <c r="AF914" i="14"/>
  <c r="Z914" i="14"/>
  <c r="Y914" i="14"/>
  <c r="U914" i="14"/>
  <c r="T914" i="14"/>
  <c r="P914" i="14"/>
  <c r="O914" i="14"/>
  <c r="K914" i="14"/>
  <c r="J914" i="14"/>
  <c r="F914" i="14"/>
  <c r="E914" i="14"/>
  <c r="AG913" i="14"/>
  <c r="AB913" i="14"/>
  <c r="AA913" i="14"/>
  <c r="AG912" i="14"/>
  <c r="AB912" i="14"/>
  <c r="AA912" i="14"/>
  <c r="AG911" i="14"/>
  <c r="AB911" i="14"/>
  <c r="AA911" i="14"/>
  <c r="AG910" i="14"/>
  <c r="AB910" i="14"/>
  <c r="AA910" i="14"/>
  <c r="AG909" i="14"/>
  <c r="AB909" i="14"/>
  <c r="AA909" i="14"/>
  <c r="AG908" i="14"/>
  <c r="AB908" i="14"/>
  <c r="AA908" i="14"/>
  <c r="AG907" i="14"/>
  <c r="AB907" i="14"/>
  <c r="AA907" i="14"/>
  <c r="AG906" i="14"/>
  <c r="AB906" i="14"/>
  <c r="AA906" i="14"/>
  <c r="AG905" i="14"/>
  <c r="AB905" i="14"/>
  <c r="AA905" i="14"/>
  <c r="AG904" i="14"/>
  <c r="AB904" i="14"/>
  <c r="AA904" i="14"/>
  <c r="AG903" i="14"/>
  <c r="AB903" i="14"/>
  <c r="AA903" i="14"/>
  <c r="AG902" i="14"/>
  <c r="AB902" i="14"/>
  <c r="AA902" i="14"/>
  <c r="AG901" i="14"/>
  <c r="AB901" i="14"/>
  <c r="AA901" i="14"/>
  <c r="AG900" i="14"/>
  <c r="AB900" i="14"/>
  <c r="AA900" i="14"/>
  <c r="AD449" i="13"/>
  <c r="AD450" i="13"/>
  <c r="AD451" i="13"/>
  <c r="AD452" i="13"/>
  <c r="AD453" i="13"/>
  <c r="AD454" i="13"/>
  <c r="Z449" i="13"/>
  <c r="Z450" i="13"/>
  <c r="Z451" i="13"/>
  <c r="Z452" i="13"/>
  <c r="Z453" i="13"/>
  <c r="Z454" i="13"/>
  <c r="V449" i="13"/>
  <c r="V450" i="13"/>
  <c r="V451" i="13"/>
  <c r="V452" i="13"/>
  <c r="V453" i="13"/>
  <c r="V454" i="13"/>
  <c r="R449" i="13"/>
  <c r="R450" i="13"/>
  <c r="R451" i="13"/>
  <c r="R452" i="13"/>
  <c r="R453" i="13"/>
  <c r="R454" i="13"/>
  <c r="N449" i="13"/>
  <c r="N450" i="13"/>
  <c r="N451" i="13"/>
  <c r="N452" i="13"/>
  <c r="N453" i="13"/>
  <c r="N454" i="13"/>
  <c r="J449" i="13"/>
  <c r="J450" i="13"/>
  <c r="J451" i="13"/>
  <c r="J452" i="13"/>
  <c r="J453" i="13"/>
  <c r="J454" i="13"/>
  <c r="F449" i="13"/>
  <c r="F450" i="13"/>
  <c r="F451" i="13"/>
  <c r="F452" i="13"/>
  <c r="F453" i="13"/>
  <c r="F454" i="13"/>
  <c r="C892" i="14"/>
  <c r="Z891" i="14"/>
  <c r="Y891" i="14"/>
  <c r="X891" i="14"/>
  <c r="W891" i="14"/>
  <c r="V891" i="14"/>
  <c r="U891" i="14"/>
  <c r="T891" i="14"/>
  <c r="S891" i="14"/>
  <c r="R891" i="14"/>
  <c r="Q891" i="14"/>
  <c r="P891" i="14"/>
  <c r="O891" i="14"/>
  <c r="N891" i="14"/>
  <c r="M891" i="14"/>
  <c r="L891" i="14"/>
  <c r="K891" i="14"/>
  <c r="J891" i="14"/>
  <c r="I891" i="14"/>
  <c r="H891" i="14"/>
  <c r="G891" i="14"/>
  <c r="F891" i="14"/>
  <c r="E891" i="14"/>
  <c r="AG890" i="14"/>
  <c r="AA890" i="14"/>
  <c r="AG889" i="14"/>
  <c r="AB889" i="14"/>
  <c r="AB891" i="14"/>
  <c r="AL877" i="14"/>
  <c r="AN877" i="14"/>
  <c r="AA889" i="14"/>
  <c r="AF888" i="14"/>
  <c r="Z888" i="14"/>
  <c r="Y888" i="14"/>
  <c r="U888" i="14"/>
  <c r="T888" i="14"/>
  <c r="P888" i="14"/>
  <c r="O888" i="14"/>
  <c r="K888" i="14"/>
  <c r="J888" i="14"/>
  <c r="F888" i="14"/>
  <c r="E888" i="14"/>
  <c r="AG887" i="14"/>
  <c r="AB887" i="14"/>
  <c r="AA887" i="14"/>
  <c r="AG886" i="14"/>
  <c r="AB886" i="14"/>
  <c r="AA886" i="14"/>
  <c r="AG885" i="14"/>
  <c r="AB885" i="14"/>
  <c r="AA885" i="14"/>
  <c r="AG884" i="14"/>
  <c r="AB884" i="14"/>
  <c r="AA884" i="14"/>
  <c r="AG883" i="14"/>
  <c r="AB883" i="14"/>
  <c r="AA883" i="14"/>
  <c r="AG882" i="14"/>
  <c r="AB882" i="14"/>
  <c r="AA882" i="14"/>
  <c r="AG881" i="14"/>
  <c r="AB881" i="14"/>
  <c r="AA881" i="14"/>
  <c r="AG880" i="14"/>
  <c r="AB880" i="14"/>
  <c r="AA880" i="14"/>
  <c r="AG879" i="14"/>
  <c r="AB879" i="14"/>
  <c r="AA879" i="14"/>
  <c r="AG878" i="14"/>
  <c r="AB878" i="14"/>
  <c r="AA878" i="14"/>
  <c r="AG877" i="14"/>
  <c r="AB877" i="14"/>
  <c r="AA877" i="14"/>
  <c r="AG876" i="14"/>
  <c r="AB876" i="14"/>
  <c r="AA876" i="14"/>
  <c r="AG875" i="14"/>
  <c r="AB875" i="14"/>
  <c r="AA875" i="14"/>
  <c r="AG874" i="14"/>
  <c r="AB874" i="14"/>
  <c r="AA874" i="14"/>
  <c r="C683" i="15"/>
  <c r="Z15" i="18"/>
  <c r="Z13" i="18"/>
  <c r="Z14" i="18"/>
  <c r="Z16" i="18"/>
  <c r="Z17" i="18"/>
  <c r="Z12" i="18"/>
  <c r="N438" i="13"/>
  <c r="J438" i="13"/>
  <c r="F438" i="13"/>
  <c r="V431" i="13"/>
  <c r="V432" i="13"/>
  <c r="V433" i="13"/>
  <c r="V434" i="13"/>
  <c r="V435" i="13"/>
  <c r="V436" i="13"/>
  <c r="V437" i="13"/>
  <c r="V438" i="13"/>
  <c r="R431" i="13"/>
  <c r="R432" i="13"/>
  <c r="R433" i="13"/>
  <c r="R434" i="13"/>
  <c r="R435" i="13"/>
  <c r="R436" i="13"/>
  <c r="R437" i="13"/>
  <c r="R438" i="13"/>
  <c r="AA664" i="15"/>
  <c r="Z4" i="18"/>
  <c r="Z5" i="18"/>
  <c r="Z6" i="18"/>
  <c r="Z7" i="18"/>
  <c r="Z8" i="18"/>
  <c r="Z3" i="18"/>
  <c r="F104" i="16"/>
  <c r="F105" i="16"/>
  <c r="F106" i="16"/>
  <c r="F107" i="16"/>
  <c r="F100" i="16"/>
  <c r="F101" i="16"/>
  <c r="F102" i="16"/>
  <c r="F103" i="16"/>
  <c r="F96" i="16"/>
  <c r="F97" i="16"/>
  <c r="F98" i="16"/>
  <c r="F99" i="16"/>
  <c r="F92" i="16"/>
  <c r="F93" i="16"/>
  <c r="F94" i="16"/>
  <c r="F95" i="16"/>
  <c r="F88" i="16"/>
  <c r="F89" i="16"/>
  <c r="F90" i="16"/>
  <c r="F91" i="16"/>
  <c r="F84" i="16"/>
  <c r="F85" i="16"/>
  <c r="F86" i="16"/>
  <c r="F87" i="16"/>
  <c r="F80" i="16"/>
  <c r="F81" i="16"/>
  <c r="F82" i="16"/>
  <c r="F83" i="16"/>
  <c r="AA2" i="14"/>
  <c r="AA3" i="14"/>
  <c r="AA4" i="14"/>
  <c r="N431" i="13"/>
  <c r="N432" i="13"/>
  <c r="N433" i="13"/>
  <c r="N434" i="13"/>
  <c r="N435" i="13"/>
  <c r="N436" i="13"/>
  <c r="N437" i="13"/>
  <c r="F437" i="13"/>
  <c r="J431" i="13"/>
  <c r="J432" i="13"/>
  <c r="J433" i="13"/>
  <c r="J434" i="13"/>
  <c r="J435" i="13"/>
  <c r="J436" i="13"/>
  <c r="J437" i="13"/>
  <c r="F431" i="13"/>
  <c r="F432" i="13"/>
  <c r="F433" i="13"/>
  <c r="F434" i="13"/>
  <c r="F435" i="13"/>
  <c r="F436" i="13"/>
  <c r="AA820" i="14"/>
  <c r="C636" i="15"/>
  <c r="AG617" i="15"/>
  <c r="AA617" i="15"/>
  <c r="V420" i="13"/>
  <c r="R420" i="13"/>
  <c r="C729" i="15"/>
  <c r="AL695" i="15"/>
  <c r="AN695" i="15"/>
  <c r="AG727" i="15"/>
  <c r="AG728" i="15"/>
  <c r="AL694" i="15"/>
  <c r="AN694" i="15"/>
  <c r="AB727" i="15"/>
  <c r="AB728" i="15"/>
  <c r="AL693" i="15"/>
  <c r="AN693" i="15"/>
  <c r="AA728" i="15"/>
  <c r="AL692" i="15"/>
  <c r="AN692" i="15"/>
  <c r="AF726" i="15"/>
  <c r="Z726" i="15"/>
  <c r="Y726" i="15"/>
  <c r="U726" i="15"/>
  <c r="T726" i="15"/>
  <c r="P726" i="15"/>
  <c r="O726" i="15"/>
  <c r="K726" i="15"/>
  <c r="J726" i="15"/>
  <c r="F726" i="15"/>
  <c r="AG725" i="15"/>
  <c r="AB725" i="15"/>
  <c r="AA725" i="15"/>
  <c r="AG724" i="15"/>
  <c r="AB724" i="15"/>
  <c r="AG723" i="15"/>
  <c r="AB723" i="15"/>
  <c r="AA723" i="15"/>
  <c r="AG722" i="15"/>
  <c r="AB722" i="15"/>
  <c r="AA722" i="15"/>
  <c r="AG721" i="15"/>
  <c r="AB721" i="15"/>
  <c r="AA721" i="15"/>
  <c r="AG720" i="15"/>
  <c r="AB720" i="15"/>
  <c r="AA720" i="15"/>
  <c r="AG719" i="15"/>
  <c r="AB719" i="15"/>
  <c r="AA719" i="15"/>
  <c r="AG718" i="15"/>
  <c r="AB718" i="15"/>
  <c r="AA718" i="15"/>
  <c r="AG716" i="15"/>
  <c r="AB716" i="15"/>
  <c r="AA716" i="15"/>
  <c r="AG715" i="15"/>
  <c r="AB715" i="15"/>
  <c r="AA715" i="15"/>
  <c r="AG714" i="15"/>
  <c r="AB714" i="15"/>
  <c r="AA714" i="15"/>
  <c r="AG713" i="15"/>
  <c r="AB713" i="15"/>
  <c r="AA713" i="15"/>
  <c r="AG712" i="15"/>
  <c r="AB712" i="15"/>
  <c r="AA712" i="15"/>
  <c r="AG711" i="15"/>
  <c r="AB711" i="15"/>
  <c r="AA711" i="15"/>
  <c r="AG710" i="15"/>
  <c r="AB710" i="15"/>
  <c r="AA710" i="15"/>
  <c r="AG708" i="15"/>
  <c r="AB708" i="15"/>
  <c r="AA708" i="15"/>
  <c r="AG707" i="15"/>
  <c r="AB707" i="15"/>
  <c r="AA707" i="15"/>
  <c r="AG706" i="15"/>
  <c r="AB706" i="15"/>
  <c r="AA706" i="15"/>
  <c r="AG705" i="15"/>
  <c r="AB705" i="15"/>
  <c r="AA705" i="15"/>
  <c r="AG704" i="15"/>
  <c r="AB704" i="15"/>
  <c r="AA704" i="15"/>
  <c r="AG703" i="15"/>
  <c r="AB703" i="15"/>
  <c r="AA703" i="15"/>
  <c r="AG702" i="15"/>
  <c r="AB702" i="15"/>
  <c r="AA702" i="15"/>
  <c r="AG701" i="15"/>
  <c r="AB701" i="15"/>
  <c r="AA701" i="15"/>
  <c r="AG700" i="15"/>
  <c r="AB700" i="15"/>
  <c r="AA700" i="15"/>
  <c r="AG699" i="15"/>
  <c r="AB699" i="15"/>
  <c r="AA699" i="15"/>
  <c r="AG698" i="15"/>
  <c r="AB698" i="15"/>
  <c r="AA698" i="15"/>
  <c r="AG697" i="15"/>
  <c r="AB697" i="15"/>
  <c r="AA697" i="15"/>
  <c r="AG696" i="15"/>
  <c r="AB696" i="15"/>
  <c r="AA696" i="15"/>
  <c r="AG695" i="15"/>
  <c r="AB695" i="15"/>
  <c r="AA695" i="15"/>
  <c r="AG694" i="15"/>
  <c r="AB694" i="15"/>
  <c r="AA694" i="15"/>
  <c r="AG693" i="15"/>
  <c r="AB693" i="15"/>
  <c r="AB726" i="15"/>
  <c r="AL689" i="15"/>
  <c r="AN689" i="15"/>
  <c r="AA693" i="15"/>
  <c r="AB692" i="15"/>
  <c r="AA692" i="15"/>
  <c r="AB691" i="15"/>
  <c r="AA691" i="15"/>
  <c r="AG690" i="15"/>
  <c r="AB690" i="15"/>
  <c r="AA690" i="15"/>
  <c r="AA726" i="15"/>
  <c r="AL688" i="15"/>
  <c r="AN688" i="15"/>
  <c r="AG689" i="15"/>
  <c r="AB689" i="15"/>
  <c r="AA689" i="15"/>
  <c r="R407" i="13"/>
  <c r="R408" i="13"/>
  <c r="R409" i="13"/>
  <c r="R410" i="13"/>
  <c r="R411" i="13"/>
  <c r="R412" i="13"/>
  <c r="R413" i="13"/>
  <c r="R414" i="13"/>
  <c r="R415" i="13"/>
  <c r="AG596" i="15"/>
  <c r="AD416" i="13"/>
  <c r="AD417" i="13"/>
  <c r="AD418" i="13"/>
  <c r="AD419" i="13"/>
  <c r="Z416" i="13"/>
  <c r="Z417" i="13"/>
  <c r="Z418" i="13"/>
  <c r="Z419" i="13"/>
  <c r="V416" i="13"/>
  <c r="V417" i="13"/>
  <c r="V418" i="13"/>
  <c r="V419" i="13"/>
  <c r="R416" i="13"/>
  <c r="R417" i="13"/>
  <c r="R418" i="13"/>
  <c r="R419" i="13"/>
  <c r="N416" i="13"/>
  <c r="N417" i="13"/>
  <c r="N419" i="13"/>
  <c r="J416" i="13"/>
  <c r="J417" i="13"/>
  <c r="J418" i="13"/>
  <c r="J419" i="13"/>
  <c r="F416" i="13"/>
  <c r="F417" i="13"/>
  <c r="F418" i="13"/>
  <c r="F419" i="13"/>
  <c r="AA621" i="15"/>
  <c r="AA622" i="15"/>
  <c r="AA623" i="15"/>
  <c r="AA624" i="15"/>
  <c r="AA625" i="15"/>
  <c r="AB614" i="15"/>
  <c r="AG891" i="14"/>
  <c r="AL878" i="14"/>
  <c r="AN878" i="14"/>
  <c r="AG914" i="14"/>
  <c r="AL901" i="14"/>
  <c r="AN901" i="14"/>
  <c r="AL879" i="14"/>
  <c r="AN879" i="14"/>
  <c r="AG917" i="14"/>
  <c r="AL904" i="14"/>
  <c r="AN904" i="14"/>
  <c r="AB917" i="14"/>
  <c r="AL903" i="14"/>
  <c r="AN903" i="14"/>
  <c r="AA917" i="14"/>
  <c r="AB914" i="14"/>
  <c r="AL900" i="14"/>
  <c r="AN900" i="14"/>
  <c r="AA914" i="14"/>
  <c r="AA888" i="14"/>
  <c r="AL873" i="14"/>
  <c r="AN873" i="14"/>
  <c r="AB772" i="15"/>
  <c r="AL737" i="15"/>
  <c r="AN737" i="15"/>
  <c r="AG888" i="14"/>
  <c r="AL875" i="14"/>
  <c r="AN875" i="14"/>
  <c r="AA891" i="14"/>
  <c r="AL876" i="14"/>
  <c r="AN876" i="14"/>
  <c r="AB888" i="14"/>
  <c r="AG726" i="15"/>
  <c r="AL690" i="15"/>
  <c r="AN690" i="15"/>
  <c r="F411" i="13"/>
  <c r="AB558" i="15"/>
  <c r="AB547" i="15"/>
  <c r="AD405" i="13"/>
  <c r="AD406" i="13"/>
  <c r="AD407" i="13"/>
  <c r="AD408" i="13"/>
  <c r="AD409" i="13"/>
  <c r="AD410" i="13"/>
  <c r="AD411" i="13"/>
  <c r="AD412" i="13"/>
  <c r="AD413" i="13"/>
  <c r="AD414" i="13"/>
  <c r="AD415" i="13"/>
  <c r="Z405" i="13"/>
  <c r="Z406" i="13"/>
  <c r="Z407" i="13"/>
  <c r="Z408" i="13"/>
  <c r="Z409" i="13"/>
  <c r="Z410" i="13"/>
  <c r="Z411" i="13"/>
  <c r="Z412" i="13"/>
  <c r="Z413" i="13"/>
  <c r="Z414" i="13"/>
  <c r="Z415" i="13"/>
  <c r="V412" i="13"/>
  <c r="V413" i="13"/>
  <c r="V414" i="13"/>
  <c r="V415" i="13"/>
  <c r="N412" i="13"/>
  <c r="N413" i="13"/>
  <c r="N414" i="13"/>
  <c r="N415" i="13"/>
  <c r="J412" i="13"/>
  <c r="J413" i="13"/>
  <c r="J414" i="13"/>
  <c r="J415" i="13"/>
  <c r="AG536" i="15"/>
  <c r="F412" i="13"/>
  <c r="F413" i="13"/>
  <c r="F414" i="13"/>
  <c r="F415" i="13"/>
  <c r="V404" i="13"/>
  <c r="V405" i="13"/>
  <c r="V406" i="13"/>
  <c r="V407" i="13"/>
  <c r="V408" i="13"/>
  <c r="V409" i="13"/>
  <c r="V410" i="13"/>
  <c r="R404" i="13"/>
  <c r="R405" i="13"/>
  <c r="R406" i="13"/>
  <c r="N404" i="13"/>
  <c r="N405" i="13"/>
  <c r="N406" i="13"/>
  <c r="N407" i="13"/>
  <c r="N408" i="13"/>
  <c r="N409" i="13"/>
  <c r="N410" i="13"/>
  <c r="J404" i="13"/>
  <c r="J405" i="13"/>
  <c r="J406" i="13"/>
  <c r="J407" i="13"/>
  <c r="J408" i="13"/>
  <c r="J409" i="13"/>
  <c r="J410" i="13"/>
  <c r="G421" i="13"/>
  <c r="K421" i="13"/>
  <c r="O421" i="13"/>
  <c r="S421" i="13"/>
  <c r="AA421" i="13"/>
  <c r="G397" i="13"/>
  <c r="K397" i="13"/>
  <c r="O397" i="13"/>
  <c r="S397" i="13"/>
  <c r="W397" i="13"/>
  <c r="AA397" i="13"/>
  <c r="K380" i="13"/>
  <c r="O380" i="13"/>
  <c r="S380" i="13"/>
  <c r="W380" i="13"/>
  <c r="AA380" i="13"/>
  <c r="G380" i="13"/>
  <c r="F377" i="13"/>
  <c r="F378" i="13"/>
  <c r="N336" i="13"/>
  <c r="N337" i="13"/>
  <c r="N338" i="13"/>
  <c r="J336" i="13"/>
  <c r="J337" i="13"/>
  <c r="J338" i="13"/>
  <c r="C866" i="14"/>
  <c r="AL852" i="14"/>
  <c r="AN852" i="14"/>
  <c r="Z865" i="14"/>
  <c r="Y865" i="14"/>
  <c r="X865" i="14"/>
  <c r="W865" i="14"/>
  <c r="V865" i="14"/>
  <c r="U865" i="14"/>
  <c r="T865" i="14"/>
  <c r="S865" i="14"/>
  <c r="R865" i="14"/>
  <c r="Q865" i="14"/>
  <c r="P865" i="14"/>
  <c r="O865" i="14"/>
  <c r="N865" i="14"/>
  <c r="M865" i="14"/>
  <c r="L865" i="14"/>
  <c r="K865" i="14"/>
  <c r="J865" i="14"/>
  <c r="I865" i="14"/>
  <c r="H865" i="14"/>
  <c r="G865" i="14"/>
  <c r="F865" i="14"/>
  <c r="E865" i="14"/>
  <c r="AG864" i="14"/>
  <c r="AB864" i="14"/>
  <c r="AA864" i="14"/>
  <c r="AG863" i="14"/>
  <c r="AB863" i="14"/>
  <c r="AA863" i="14"/>
  <c r="AF862" i="14"/>
  <c r="Z862" i="14"/>
  <c r="Y862" i="14"/>
  <c r="U862" i="14"/>
  <c r="T862" i="14"/>
  <c r="P862" i="14"/>
  <c r="O862" i="14"/>
  <c r="K862" i="14"/>
  <c r="J862" i="14"/>
  <c r="F862" i="14"/>
  <c r="E862" i="14"/>
  <c r="AG861" i="14"/>
  <c r="AB861" i="14"/>
  <c r="AA861" i="14"/>
  <c r="AG860" i="14"/>
  <c r="AB860" i="14"/>
  <c r="AA860" i="14"/>
  <c r="AG859" i="14"/>
  <c r="AB859" i="14"/>
  <c r="AA859" i="14"/>
  <c r="AG858" i="14"/>
  <c r="AB858" i="14"/>
  <c r="AA858" i="14"/>
  <c r="AG857" i="14"/>
  <c r="AB857" i="14"/>
  <c r="AA857" i="14"/>
  <c r="AG856" i="14"/>
  <c r="AB856" i="14"/>
  <c r="AA856" i="14"/>
  <c r="AG855" i="14"/>
  <c r="AB855" i="14"/>
  <c r="AA855" i="14"/>
  <c r="AG854" i="14"/>
  <c r="AB854" i="14"/>
  <c r="AA854" i="14"/>
  <c r="AG853" i="14"/>
  <c r="AB853" i="14"/>
  <c r="AA853" i="14"/>
  <c r="AG852" i="14"/>
  <c r="AB852" i="14"/>
  <c r="AA852" i="14"/>
  <c r="AG851" i="14"/>
  <c r="AB851" i="14"/>
  <c r="AA851" i="14"/>
  <c r="AG850" i="14"/>
  <c r="AB850" i="14"/>
  <c r="AA850" i="14"/>
  <c r="AG849" i="14"/>
  <c r="AB849" i="14"/>
  <c r="AA849" i="14"/>
  <c r="AG848" i="14"/>
  <c r="AB848" i="14"/>
  <c r="AA848" i="14"/>
  <c r="AG847" i="14"/>
  <c r="AB847" i="14"/>
  <c r="AA847" i="14"/>
  <c r="C839" i="14"/>
  <c r="AL825" i="14"/>
  <c r="AN825" i="14"/>
  <c r="Z838" i="14"/>
  <c r="Y838" i="14"/>
  <c r="X838" i="14"/>
  <c r="W838" i="14"/>
  <c r="V838" i="14"/>
  <c r="U838" i="14"/>
  <c r="T838" i="14"/>
  <c r="S838" i="14"/>
  <c r="R838" i="14"/>
  <c r="Q838" i="14"/>
  <c r="P838" i="14"/>
  <c r="O838" i="14"/>
  <c r="N838" i="14"/>
  <c r="M838" i="14"/>
  <c r="L838" i="14"/>
  <c r="K838" i="14"/>
  <c r="J838" i="14"/>
  <c r="I838" i="14"/>
  <c r="H838" i="14"/>
  <c r="G838" i="14"/>
  <c r="F838" i="14"/>
  <c r="E838" i="14"/>
  <c r="AG837" i="14"/>
  <c r="AB837" i="14"/>
  <c r="AA837" i="14"/>
  <c r="AG836" i="14"/>
  <c r="AB836" i="14"/>
  <c r="AA836" i="14"/>
  <c r="AF835" i="14"/>
  <c r="Z835" i="14"/>
  <c r="Y835" i="14"/>
  <c r="U835" i="14"/>
  <c r="T835" i="14"/>
  <c r="P835" i="14"/>
  <c r="O835" i="14"/>
  <c r="K835" i="14"/>
  <c r="J835" i="14"/>
  <c r="F835" i="14"/>
  <c r="E835" i="14"/>
  <c r="AG834" i="14"/>
  <c r="AB834" i="14"/>
  <c r="AA834" i="14"/>
  <c r="AG833" i="14"/>
  <c r="AB833" i="14"/>
  <c r="AA833" i="14"/>
  <c r="AG832" i="14"/>
  <c r="AB832" i="14"/>
  <c r="AA832" i="14"/>
  <c r="AG831" i="14"/>
  <c r="AB831" i="14"/>
  <c r="AA831" i="14"/>
  <c r="AG830" i="14"/>
  <c r="AB830" i="14"/>
  <c r="AA830" i="14"/>
  <c r="AG829" i="14"/>
  <c r="AB829" i="14"/>
  <c r="AA829" i="14"/>
  <c r="AG828" i="14"/>
  <c r="AB828" i="14"/>
  <c r="AA828" i="14"/>
  <c r="AG827" i="14"/>
  <c r="AB827" i="14"/>
  <c r="AA827" i="14"/>
  <c r="AG826" i="14"/>
  <c r="AB826" i="14"/>
  <c r="AA826" i="14"/>
  <c r="AG825" i="14"/>
  <c r="AB825" i="14"/>
  <c r="AA825" i="14"/>
  <c r="AG824" i="14"/>
  <c r="AB824" i="14"/>
  <c r="AA824" i="14"/>
  <c r="AG823" i="14"/>
  <c r="AB823" i="14"/>
  <c r="AA823" i="14"/>
  <c r="AG822" i="14"/>
  <c r="AB822" i="14"/>
  <c r="AA822" i="14"/>
  <c r="AG821" i="14"/>
  <c r="AB821" i="14"/>
  <c r="AA821" i="14"/>
  <c r="AG820" i="14"/>
  <c r="AB820" i="14"/>
  <c r="C588" i="15"/>
  <c r="F66" i="16"/>
  <c r="F67" i="16"/>
  <c r="F68" i="16"/>
  <c r="F69" i="16"/>
  <c r="F70" i="16"/>
  <c r="F71" i="16"/>
  <c r="F72" i="16"/>
  <c r="F73" i="16"/>
  <c r="F74" i="16"/>
  <c r="F75" i="16"/>
  <c r="F76" i="16"/>
  <c r="F77" i="16"/>
  <c r="F78" i="16"/>
  <c r="F79" i="16"/>
  <c r="AG865" i="14"/>
  <c r="AL851" i="14"/>
  <c r="AN851" i="14"/>
  <c r="AL874" i="14"/>
  <c r="AN874" i="14"/>
  <c r="AL899" i="14"/>
  <c r="AN899" i="14"/>
  <c r="AL902" i="14"/>
  <c r="AN902" i="14"/>
  <c r="AN880" i="14"/>
  <c r="AB865" i="14"/>
  <c r="AL850" i="14"/>
  <c r="AN850" i="14"/>
  <c r="AA865" i="14"/>
  <c r="AL849" i="14"/>
  <c r="AN849" i="14"/>
  <c r="AA838" i="14"/>
  <c r="AL822" i="14"/>
  <c r="AN822" i="14"/>
  <c r="AB838" i="14"/>
  <c r="AL823" i="14"/>
  <c r="AN823" i="14"/>
  <c r="AG835" i="14"/>
  <c r="AL821" i="14"/>
  <c r="AN821" i="14"/>
  <c r="AB835" i="14"/>
  <c r="AL820" i="14"/>
  <c r="AN820" i="14"/>
  <c r="AB862" i="14"/>
  <c r="AL847" i="14"/>
  <c r="AN847" i="14"/>
  <c r="AG838" i="14"/>
  <c r="AL824" i="14"/>
  <c r="AN824" i="14"/>
  <c r="AG862" i="14"/>
  <c r="AL848" i="14"/>
  <c r="AN848" i="14"/>
  <c r="AA862" i="14"/>
  <c r="AL846" i="14"/>
  <c r="AN846" i="14"/>
  <c r="AA835" i="14"/>
  <c r="V393" i="13"/>
  <c r="V394" i="13"/>
  <c r="V395" i="13"/>
  <c r="V396" i="13"/>
  <c r="R394" i="13"/>
  <c r="R395" i="13"/>
  <c r="R396" i="13"/>
  <c r="N393" i="13"/>
  <c r="N394" i="13"/>
  <c r="N395" i="13"/>
  <c r="N396" i="13"/>
  <c r="J392" i="13"/>
  <c r="J393" i="13"/>
  <c r="J394" i="13"/>
  <c r="J395" i="13"/>
  <c r="J396" i="13"/>
  <c r="F396" i="13"/>
  <c r="F392" i="13"/>
  <c r="F393" i="13"/>
  <c r="F394" i="13"/>
  <c r="F408" i="13"/>
  <c r="F409" i="13"/>
  <c r="F410" i="13"/>
  <c r="F406" i="13"/>
  <c r="F405" i="13"/>
  <c r="N392" i="13"/>
  <c r="R393" i="13"/>
  <c r="R392" i="13"/>
  <c r="V392" i="13"/>
  <c r="AN906" i="14"/>
  <c r="AN853" i="14"/>
  <c r="AL819" i="14"/>
  <c r="AN819" i="14"/>
  <c r="AN826" i="14"/>
  <c r="P584" i="15"/>
  <c r="F395" i="13"/>
  <c r="C681" i="15"/>
  <c r="AL648" i="15"/>
  <c r="AN648" i="15"/>
  <c r="AG679" i="15"/>
  <c r="AG680" i="15"/>
  <c r="AL647" i="15"/>
  <c r="AN647" i="15"/>
  <c r="AB679" i="15"/>
  <c r="AB680" i="15"/>
  <c r="AL646" i="15"/>
  <c r="AN646" i="15"/>
  <c r="AA679" i="15"/>
  <c r="AA680" i="15"/>
  <c r="AL645" i="15"/>
  <c r="AN645" i="15"/>
  <c r="AF678" i="15"/>
  <c r="Z678" i="15"/>
  <c r="Y678" i="15"/>
  <c r="U678" i="15"/>
  <c r="T678" i="15"/>
  <c r="P678" i="15"/>
  <c r="O678" i="15"/>
  <c r="K678" i="15"/>
  <c r="J678" i="15"/>
  <c r="F678" i="15"/>
  <c r="E678" i="15"/>
  <c r="AG677" i="15"/>
  <c r="AB677" i="15"/>
  <c r="AA677" i="15"/>
  <c r="AG676" i="15"/>
  <c r="AB676" i="15"/>
  <c r="AA676" i="15"/>
  <c r="AG675" i="15"/>
  <c r="AB675" i="15"/>
  <c r="AA675" i="15"/>
  <c r="AG674" i="15"/>
  <c r="AB674" i="15"/>
  <c r="AA674" i="15"/>
  <c r="AG673" i="15"/>
  <c r="AB673" i="15"/>
  <c r="AA673" i="15"/>
  <c r="AG672" i="15"/>
  <c r="AB672" i="15"/>
  <c r="AA672" i="15"/>
  <c r="AG671" i="15"/>
  <c r="AB671" i="15"/>
  <c r="AA671" i="15"/>
  <c r="AG670" i="15"/>
  <c r="AB670" i="15"/>
  <c r="AA670" i="15"/>
  <c r="AG669" i="15"/>
  <c r="AB669" i="15"/>
  <c r="AA669" i="15"/>
  <c r="AG668" i="15"/>
  <c r="AB668" i="15"/>
  <c r="AA668" i="15"/>
  <c r="AG667" i="15"/>
  <c r="AB667" i="15"/>
  <c r="AA667" i="15"/>
  <c r="AG666" i="15"/>
  <c r="AB666" i="15"/>
  <c r="AA666" i="15"/>
  <c r="AG665" i="15"/>
  <c r="AB665" i="15"/>
  <c r="AA665" i="15"/>
  <c r="AA663" i="15"/>
  <c r="AA662" i="15"/>
  <c r="AA661" i="15"/>
  <c r="AA660" i="15"/>
  <c r="AA659" i="15"/>
  <c r="AA658" i="15"/>
  <c r="AA657" i="15"/>
  <c r="AA656" i="15"/>
  <c r="AA655" i="15"/>
  <c r="AA654" i="15"/>
  <c r="AA653" i="15"/>
  <c r="AG652" i="15"/>
  <c r="AB652" i="15"/>
  <c r="AA652" i="15"/>
  <c r="AG651" i="15"/>
  <c r="AB651" i="15"/>
  <c r="AA651" i="15"/>
  <c r="AG650" i="15"/>
  <c r="AB650" i="15"/>
  <c r="AA650" i="15"/>
  <c r="AG649" i="15"/>
  <c r="AB649" i="15"/>
  <c r="AA649" i="15"/>
  <c r="AG648" i="15"/>
  <c r="AB648" i="15"/>
  <c r="AA648" i="15"/>
  <c r="AG647" i="15"/>
  <c r="AG678" i="15"/>
  <c r="AL643" i="15"/>
  <c r="AN643" i="15"/>
  <c r="AB647" i="15"/>
  <c r="AA647" i="15"/>
  <c r="AG646" i="15"/>
  <c r="AB646" i="15"/>
  <c r="AA646" i="15"/>
  <c r="AG645" i="15"/>
  <c r="AB645" i="15"/>
  <c r="AA645" i="15"/>
  <c r="AB644" i="15"/>
  <c r="AA644" i="15"/>
  <c r="AG643" i="15"/>
  <c r="AB643" i="15"/>
  <c r="AA643" i="15"/>
  <c r="AG642" i="15"/>
  <c r="AB642" i="15"/>
  <c r="AA642" i="15"/>
  <c r="AA678" i="15"/>
  <c r="AL641" i="15"/>
  <c r="AN641" i="15"/>
  <c r="AN649" i="15"/>
  <c r="AG521" i="15"/>
  <c r="AA521" i="15"/>
  <c r="AB521" i="15"/>
  <c r="AG503" i="15"/>
  <c r="AG616" i="15"/>
  <c r="AG613" i="15"/>
  <c r="AG614" i="15"/>
  <c r="AG615" i="15"/>
  <c r="AA613" i="15"/>
  <c r="AB613" i="15"/>
  <c r="AA614" i="15"/>
  <c r="AA615" i="15"/>
  <c r="AB615" i="15"/>
  <c r="AA616" i="15"/>
  <c r="AB616" i="15"/>
  <c r="F58" i="16"/>
  <c r="F59" i="16"/>
  <c r="F60" i="16"/>
  <c r="F61" i="16"/>
  <c r="F62" i="16"/>
  <c r="F63" i="16"/>
  <c r="F64" i="16"/>
  <c r="F65" i="16"/>
  <c r="C784" i="14"/>
  <c r="V378" i="13"/>
  <c r="V377" i="13"/>
  <c r="Z536" i="15"/>
  <c r="AB536" i="15"/>
  <c r="AA564" i="15"/>
  <c r="AB564" i="15"/>
  <c r="AG564" i="15"/>
  <c r="AA565" i="15"/>
  <c r="AB565" i="15"/>
  <c r="AG565" i="15"/>
  <c r="AA566" i="15"/>
  <c r="AB566" i="15"/>
  <c r="AG566" i="15"/>
  <c r="AA567" i="15"/>
  <c r="AB567" i="15"/>
  <c r="AG567" i="15"/>
  <c r="AA568" i="15"/>
  <c r="AB568" i="15"/>
  <c r="AG568" i="15"/>
  <c r="AA569" i="15"/>
  <c r="AB569" i="15"/>
  <c r="AG569" i="15"/>
  <c r="AA570" i="15"/>
  <c r="AB570" i="15"/>
  <c r="AG570" i="15"/>
  <c r="AA571" i="15"/>
  <c r="AB571" i="15"/>
  <c r="AG571" i="15"/>
  <c r="AA572" i="15"/>
  <c r="AB572" i="15"/>
  <c r="AG572" i="15"/>
  <c r="AA573" i="15"/>
  <c r="AB573" i="15"/>
  <c r="AG573" i="15"/>
  <c r="AA574" i="15"/>
  <c r="AB574" i="15"/>
  <c r="AG574" i="15"/>
  <c r="J378" i="13"/>
  <c r="J377" i="13"/>
  <c r="J376" i="13"/>
  <c r="J375" i="13"/>
  <c r="AA594" i="15"/>
  <c r="AB594" i="15"/>
  <c r="AG594" i="15"/>
  <c r="AA595" i="15"/>
  <c r="AG595" i="15"/>
  <c r="AA596" i="15"/>
  <c r="AA597" i="15"/>
  <c r="AA631" i="15"/>
  <c r="AL593" i="15"/>
  <c r="AN593" i="15"/>
  <c r="AG597" i="15"/>
  <c r="AA598" i="15"/>
  <c r="AG598" i="15"/>
  <c r="AA599" i="15"/>
  <c r="AG599" i="15"/>
  <c r="AA600" i="15"/>
  <c r="AG600" i="15"/>
  <c r="AA601" i="15"/>
  <c r="AG601" i="15"/>
  <c r="AA602" i="15"/>
  <c r="AG602" i="15"/>
  <c r="AA603" i="15"/>
  <c r="AG603" i="15"/>
  <c r="AA604" i="15"/>
  <c r="AG604" i="15"/>
  <c r="AA605" i="15"/>
  <c r="AB605" i="15"/>
  <c r="AB631" i="15"/>
  <c r="AL594" i="15"/>
  <c r="AN594" i="15"/>
  <c r="AG605" i="15"/>
  <c r="AA606" i="15"/>
  <c r="AB606" i="15"/>
  <c r="AG606" i="15"/>
  <c r="AA607" i="15"/>
  <c r="AB607" i="15"/>
  <c r="AG607" i="15"/>
  <c r="AA608" i="15"/>
  <c r="AB608" i="15"/>
  <c r="AG608" i="15"/>
  <c r="AA609" i="15"/>
  <c r="AB609" i="15"/>
  <c r="AG609" i="15"/>
  <c r="AA610" i="15"/>
  <c r="AB610" i="15"/>
  <c r="AG610" i="15"/>
  <c r="AA611" i="15"/>
  <c r="AB611" i="15"/>
  <c r="AG611" i="15"/>
  <c r="AA612" i="15"/>
  <c r="AB612" i="15"/>
  <c r="AG612" i="15"/>
  <c r="AA618" i="15"/>
  <c r="AG618" i="15"/>
  <c r="AA619" i="15"/>
  <c r="AA620" i="15"/>
  <c r="AA626" i="15"/>
  <c r="AB626" i="15"/>
  <c r="AG626" i="15"/>
  <c r="AA627" i="15"/>
  <c r="AB627" i="15"/>
  <c r="AG627" i="15"/>
  <c r="AA628" i="15"/>
  <c r="AB628" i="15"/>
  <c r="AG628" i="15"/>
  <c r="AA629" i="15"/>
  <c r="AB629" i="15"/>
  <c r="AG629" i="15"/>
  <c r="AA630" i="15"/>
  <c r="AB630" i="15"/>
  <c r="AG630" i="15"/>
  <c r="E631" i="15"/>
  <c r="F631" i="15"/>
  <c r="J631" i="15"/>
  <c r="K631" i="15"/>
  <c r="O631" i="15"/>
  <c r="P631" i="15"/>
  <c r="T631" i="15"/>
  <c r="U631" i="15"/>
  <c r="Y631" i="15"/>
  <c r="Z631" i="15"/>
  <c r="AF631" i="15"/>
  <c r="AA632" i="15"/>
  <c r="AA633" i="15"/>
  <c r="AL597" i="15"/>
  <c r="AN597" i="15"/>
  <c r="AB632" i="15"/>
  <c r="AB633" i="15"/>
  <c r="AL598" i="15"/>
  <c r="AN598" i="15"/>
  <c r="AG632" i="15"/>
  <c r="AG633" i="15"/>
  <c r="AL599" i="15"/>
  <c r="AN599" i="15"/>
  <c r="C634" i="15"/>
  <c r="AL600" i="15"/>
  <c r="AN600" i="15"/>
  <c r="AD361" i="13"/>
  <c r="Z361" i="13"/>
  <c r="V361" i="13"/>
  <c r="R361" i="13"/>
  <c r="N361" i="13"/>
  <c r="J361" i="13"/>
  <c r="F361" i="13"/>
  <c r="F373" i="13"/>
  <c r="J373" i="13"/>
  <c r="N373" i="13"/>
  <c r="R373" i="13"/>
  <c r="V373" i="13"/>
  <c r="Z373" i="13"/>
  <c r="AD373" i="13"/>
  <c r="F374" i="13"/>
  <c r="J374" i="13"/>
  <c r="N374" i="13"/>
  <c r="R374" i="13"/>
  <c r="V374" i="13"/>
  <c r="Z374" i="13"/>
  <c r="AD374" i="13"/>
  <c r="F375" i="13"/>
  <c r="N375" i="13"/>
  <c r="R375" i="13"/>
  <c r="V375" i="13"/>
  <c r="Z375" i="13"/>
  <c r="AD375" i="13"/>
  <c r="F376" i="13"/>
  <c r="N376" i="13"/>
  <c r="R376" i="13"/>
  <c r="V376" i="13"/>
  <c r="Z376" i="13"/>
  <c r="AD376" i="13"/>
  <c r="AD371" i="13"/>
  <c r="Z371" i="13"/>
  <c r="V371" i="13"/>
  <c r="R371" i="13"/>
  <c r="N371" i="13"/>
  <c r="J371" i="13"/>
  <c r="F371" i="13"/>
  <c r="AB678" i="15"/>
  <c r="AL642" i="15"/>
  <c r="AN642" i="15"/>
  <c r="AG631" i="15"/>
  <c r="AL595" i="15"/>
  <c r="AN595" i="15"/>
  <c r="AG475" i="15"/>
  <c r="AG454" i="15"/>
  <c r="AA475" i="15"/>
  <c r="AB475" i="15"/>
  <c r="AA454" i="15"/>
  <c r="AB454" i="15"/>
  <c r="Y459" i="15"/>
  <c r="AA792" i="14"/>
  <c r="AB792" i="14"/>
  <c r="AG792" i="14"/>
  <c r="AA793" i="14"/>
  <c r="AB793" i="14"/>
  <c r="AG793" i="14"/>
  <c r="AA794" i="14"/>
  <c r="AB794" i="14"/>
  <c r="AG794" i="14"/>
  <c r="AA795" i="14"/>
  <c r="AB795" i="14"/>
  <c r="AG795" i="14"/>
  <c r="AA796" i="14"/>
  <c r="AB796" i="14"/>
  <c r="AG796" i="14"/>
  <c r="AA797" i="14"/>
  <c r="AB797" i="14"/>
  <c r="AG797" i="14"/>
  <c r="AA798" i="14"/>
  <c r="AB798" i="14"/>
  <c r="AG798" i="14"/>
  <c r="AA799" i="14"/>
  <c r="AB799" i="14"/>
  <c r="AG799" i="14"/>
  <c r="AA800" i="14"/>
  <c r="AB800" i="14"/>
  <c r="AG800" i="14"/>
  <c r="AA801" i="14"/>
  <c r="AB801" i="14"/>
  <c r="AG801" i="14"/>
  <c r="AA802" i="14"/>
  <c r="AB802" i="14"/>
  <c r="AG802" i="14"/>
  <c r="AA803" i="14"/>
  <c r="AB803" i="14"/>
  <c r="AG803" i="14"/>
  <c r="AA804" i="14"/>
  <c r="AB804" i="14"/>
  <c r="AG804" i="14"/>
  <c r="AA805" i="14"/>
  <c r="AB805" i="14"/>
  <c r="AG805" i="14"/>
  <c r="AA806" i="14"/>
  <c r="AB806" i="14"/>
  <c r="AG806" i="14"/>
  <c r="AA807" i="14"/>
  <c r="AB807" i="14"/>
  <c r="AG807" i="14"/>
  <c r="E808" i="14"/>
  <c r="F808" i="14"/>
  <c r="J808" i="14"/>
  <c r="K808" i="14"/>
  <c r="O808" i="14"/>
  <c r="P808" i="14"/>
  <c r="T808" i="14"/>
  <c r="U808" i="14"/>
  <c r="Y808" i="14"/>
  <c r="Z808" i="14"/>
  <c r="AF808" i="14"/>
  <c r="AA809" i="14"/>
  <c r="AB809" i="14"/>
  <c r="AG809" i="14"/>
  <c r="AA810" i="14"/>
  <c r="AB810" i="14"/>
  <c r="AB811" i="14"/>
  <c r="AL795" i="14"/>
  <c r="AN795" i="14"/>
  <c r="AG810" i="14"/>
  <c r="E811" i="14"/>
  <c r="F811" i="14"/>
  <c r="G811" i="14"/>
  <c r="H811" i="14"/>
  <c r="I811" i="14"/>
  <c r="J811" i="14"/>
  <c r="K811" i="14"/>
  <c r="L811" i="14"/>
  <c r="M811" i="14"/>
  <c r="N811" i="14"/>
  <c r="O811" i="14"/>
  <c r="P811" i="14"/>
  <c r="Q811" i="14"/>
  <c r="R811" i="14"/>
  <c r="S811" i="14"/>
  <c r="T811" i="14"/>
  <c r="U811" i="14"/>
  <c r="V811" i="14"/>
  <c r="W811" i="14"/>
  <c r="X811" i="14"/>
  <c r="Y811" i="14"/>
  <c r="Z811" i="14"/>
  <c r="C812" i="14"/>
  <c r="AG811" i="14"/>
  <c r="AL796" i="14"/>
  <c r="AN796" i="14"/>
  <c r="AB808" i="14"/>
  <c r="AL792" i="14"/>
  <c r="AN792" i="14"/>
  <c r="AG808" i="14"/>
  <c r="AL793" i="14"/>
  <c r="AN793" i="14"/>
  <c r="AL797" i="14"/>
  <c r="AN797" i="14"/>
  <c r="AA811" i="14"/>
  <c r="AL794" i="14"/>
  <c r="AN794" i="14"/>
  <c r="AA808" i="14"/>
  <c r="AL791" i="14"/>
  <c r="AN791" i="14"/>
  <c r="AN798" i="14"/>
  <c r="AA546" i="15"/>
  <c r="AA583" i="15"/>
  <c r="AL545" i="15"/>
  <c r="AN545" i="15"/>
  <c r="AB546" i="15"/>
  <c r="AG546" i="15"/>
  <c r="AA547" i="15"/>
  <c r="AG547" i="15"/>
  <c r="AA548" i="15"/>
  <c r="AB548" i="15"/>
  <c r="AA549" i="15"/>
  <c r="AB549" i="15"/>
  <c r="AB583" i="15"/>
  <c r="AL546" i="15"/>
  <c r="AN546" i="15"/>
  <c r="AG549" i="15"/>
  <c r="AA550" i="15"/>
  <c r="AB550" i="15"/>
  <c r="AG550" i="15"/>
  <c r="AA551" i="15"/>
  <c r="AB551" i="15"/>
  <c r="AG551" i="15"/>
  <c r="AG583" i="15"/>
  <c r="AL547" i="15"/>
  <c r="AN547" i="15"/>
  <c r="AA552" i="15"/>
  <c r="AB552" i="15"/>
  <c r="AG552" i="15"/>
  <c r="AA553" i="15"/>
  <c r="AB553" i="15"/>
  <c r="AG553" i="15"/>
  <c r="AA554" i="15"/>
  <c r="AB554" i="15"/>
  <c r="AG554" i="15"/>
  <c r="AA555" i="15"/>
  <c r="AB555" i="15"/>
  <c r="AG555" i="15"/>
  <c r="AA556" i="15"/>
  <c r="AB556" i="15"/>
  <c r="AG556" i="15"/>
  <c r="AA557" i="15"/>
  <c r="AB557" i="15"/>
  <c r="AG557" i="15"/>
  <c r="AA558" i="15"/>
  <c r="AG558" i="15"/>
  <c r="AA559" i="15"/>
  <c r="AB559" i="15"/>
  <c r="AG559" i="15"/>
  <c r="AA560" i="15"/>
  <c r="AB560" i="15"/>
  <c r="AG560" i="15"/>
  <c r="AA561" i="15"/>
  <c r="AB561" i="15"/>
  <c r="AG561" i="15"/>
  <c r="AA562" i="15"/>
  <c r="AB562" i="15"/>
  <c r="AG562" i="15"/>
  <c r="AA563" i="15"/>
  <c r="AB563" i="15"/>
  <c r="AG563" i="15"/>
  <c r="AA575" i="15"/>
  <c r="AB575" i="15"/>
  <c r="AG575" i="15"/>
  <c r="AA576" i="15"/>
  <c r="AB576" i="15"/>
  <c r="AG576" i="15"/>
  <c r="AA577" i="15"/>
  <c r="AB577" i="15"/>
  <c r="AG577" i="15"/>
  <c r="AA578" i="15"/>
  <c r="AB578" i="15"/>
  <c r="AG578" i="15"/>
  <c r="AA579" i="15"/>
  <c r="AB579" i="15"/>
  <c r="AG579" i="15"/>
  <c r="AA580" i="15"/>
  <c r="AB580" i="15"/>
  <c r="AG580" i="15"/>
  <c r="AA581" i="15"/>
  <c r="AB581" i="15"/>
  <c r="AG581" i="15"/>
  <c r="AA582" i="15"/>
  <c r="AB582" i="15"/>
  <c r="AG582" i="15"/>
  <c r="E583" i="15"/>
  <c r="F583" i="15"/>
  <c r="J583" i="15"/>
  <c r="K583" i="15"/>
  <c r="O583" i="15"/>
  <c r="P583" i="15"/>
  <c r="T583" i="15"/>
  <c r="U583" i="15"/>
  <c r="Y583" i="15"/>
  <c r="Z583" i="15"/>
  <c r="AF583" i="15"/>
  <c r="AA584" i="15"/>
  <c r="AA585" i="15"/>
  <c r="AL549" i="15"/>
  <c r="AN549" i="15"/>
  <c r="AB584" i="15"/>
  <c r="AB585" i="15"/>
  <c r="AL550" i="15"/>
  <c r="AN550" i="15"/>
  <c r="AG584" i="15"/>
  <c r="AG585" i="15"/>
  <c r="AL551" i="15"/>
  <c r="AN551" i="15"/>
  <c r="C586" i="15"/>
  <c r="AL552" i="15"/>
  <c r="AN552" i="15"/>
  <c r="AA503" i="15"/>
  <c r="AB503" i="15"/>
  <c r="AA504" i="15"/>
  <c r="AB504" i="15"/>
  <c r="AA505" i="15"/>
  <c r="AA535" i="15"/>
  <c r="AL500" i="15"/>
  <c r="AN500" i="15"/>
  <c r="AB505" i="15"/>
  <c r="AA506" i="15"/>
  <c r="AB506" i="15"/>
  <c r="AA507" i="15"/>
  <c r="AB507" i="15"/>
  <c r="AA508" i="15"/>
  <c r="AB508" i="15"/>
  <c r="AA509" i="15"/>
  <c r="AB509" i="15"/>
  <c r="AA510" i="15"/>
  <c r="AB510" i="15"/>
  <c r="AA511" i="15"/>
  <c r="AB511" i="15"/>
  <c r="AA512" i="15"/>
  <c r="AB512" i="15"/>
  <c r="AA513" i="15"/>
  <c r="AB513" i="15"/>
  <c r="AA514" i="15"/>
  <c r="AB514" i="15"/>
  <c r="AA515" i="15"/>
  <c r="AB515" i="15"/>
  <c r="AA516" i="15"/>
  <c r="AB516" i="15"/>
  <c r="AA517" i="15"/>
  <c r="AB517" i="15"/>
  <c r="C495" i="15"/>
  <c r="C493" i="15"/>
  <c r="AL458" i="15"/>
  <c r="AN458" i="15"/>
  <c r="U752" i="14"/>
  <c r="K752" i="14"/>
  <c r="AB465" i="15"/>
  <c r="AB466" i="15"/>
  <c r="AB467" i="15"/>
  <c r="AB468" i="15"/>
  <c r="AB469" i="15"/>
  <c r="AB470" i="15"/>
  <c r="AB471" i="15"/>
  <c r="C758" i="14"/>
  <c r="C756" i="14"/>
  <c r="AL769" i="14"/>
  <c r="AN769" i="14"/>
  <c r="Z783" i="14"/>
  <c r="Y783" i="14"/>
  <c r="X783" i="14"/>
  <c r="W783" i="14"/>
  <c r="V783" i="14"/>
  <c r="U783" i="14"/>
  <c r="T783" i="14"/>
  <c r="S783" i="14"/>
  <c r="R783" i="14"/>
  <c r="Q783" i="14"/>
  <c r="P783" i="14"/>
  <c r="O783" i="14"/>
  <c r="N783" i="14"/>
  <c r="M783" i="14"/>
  <c r="L783" i="14"/>
  <c r="K783" i="14"/>
  <c r="J783" i="14"/>
  <c r="I783" i="14"/>
  <c r="H783" i="14"/>
  <c r="G783" i="14"/>
  <c r="F783" i="14"/>
  <c r="E783" i="14"/>
  <c r="AG782" i="14"/>
  <c r="AG783" i="14"/>
  <c r="AL768" i="14"/>
  <c r="AN768" i="14"/>
  <c r="AB782" i="14"/>
  <c r="AB783" i="14"/>
  <c r="AA782" i="14"/>
  <c r="AG781" i="14"/>
  <c r="AB781" i="14"/>
  <c r="AA781" i="14"/>
  <c r="AF780" i="14"/>
  <c r="Z780" i="14"/>
  <c r="Y780" i="14"/>
  <c r="U780" i="14"/>
  <c r="T780" i="14"/>
  <c r="P780" i="14"/>
  <c r="O780" i="14"/>
  <c r="K780" i="14"/>
  <c r="J780" i="14"/>
  <c r="F780" i="14"/>
  <c r="E780" i="14"/>
  <c r="AG779" i="14"/>
  <c r="AB779" i="14"/>
  <c r="AA779" i="14"/>
  <c r="AG778" i="14"/>
  <c r="AB778" i="14"/>
  <c r="AA778" i="14"/>
  <c r="AG777" i="14"/>
  <c r="AB777" i="14"/>
  <c r="AA777" i="14"/>
  <c r="AG776" i="14"/>
  <c r="AB776" i="14"/>
  <c r="AA776" i="14"/>
  <c r="AG775" i="14"/>
  <c r="AB775" i="14"/>
  <c r="AA775" i="14"/>
  <c r="AG774" i="14"/>
  <c r="AB774" i="14"/>
  <c r="AA774" i="14"/>
  <c r="AG773" i="14"/>
  <c r="AB773" i="14"/>
  <c r="AA773" i="14"/>
  <c r="AG772" i="14"/>
  <c r="AB772" i="14"/>
  <c r="AA772" i="14"/>
  <c r="AG771" i="14"/>
  <c r="AB771" i="14"/>
  <c r="AA771" i="14"/>
  <c r="AG770" i="14"/>
  <c r="AB770" i="14"/>
  <c r="AA770" i="14"/>
  <c r="AG769" i="14"/>
  <c r="AB769" i="14"/>
  <c r="AA769" i="14"/>
  <c r="AG768" i="14"/>
  <c r="AB768" i="14"/>
  <c r="AA768" i="14"/>
  <c r="AG767" i="14"/>
  <c r="AB767" i="14"/>
  <c r="AA767" i="14"/>
  <c r="AG766" i="14"/>
  <c r="AB766" i="14"/>
  <c r="AA766" i="14"/>
  <c r="AG765" i="14"/>
  <c r="AB765" i="14"/>
  <c r="AA765" i="14"/>
  <c r="AG764" i="14"/>
  <c r="AB764" i="14"/>
  <c r="AA764" i="14"/>
  <c r="Z755" i="14"/>
  <c r="Y755" i="14"/>
  <c r="X755" i="14"/>
  <c r="W755" i="14"/>
  <c r="V755" i="14"/>
  <c r="U755" i="14"/>
  <c r="T755" i="14"/>
  <c r="S755" i="14"/>
  <c r="R755" i="14"/>
  <c r="Q755" i="14"/>
  <c r="P755" i="14"/>
  <c r="O755" i="14"/>
  <c r="N755" i="14"/>
  <c r="M755" i="14"/>
  <c r="L755" i="14"/>
  <c r="K755" i="14"/>
  <c r="J755" i="14"/>
  <c r="I755" i="14"/>
  <c r="H755" i="14"/>
  <c r="G755" i="14"/>
  <c r="F755" i="14"/>
  <c r="E755" i="14"/>
  <c r="AG754" i="14"/>
  <c r="AB754" i="14"/>
  <c r="AA754" i="14"/>
  <c r="AG753" i="14"/>
  <c r="AB753" i="14"/>
  <c r="AA753" i="14"/>
  <c r="AF752" i="14"/>
  <c r="Z752" i="14"/>
  <c r="Y752" i="14"/>
  <c r="T752" i="14"/>
  <c r="P752" i="14"/>
  <c r="O752" i="14"/>
  <c r="J752" i="14"/>
  <c r="F752" i="14"/>
  <c r="E752" i="14"/>
  <c r="AG751" i="14"/>
  <c r="AB751" i="14"/>
  <c r="AA751" i="14"/>
  <c r="AG750" i="14"/>
  <c r="AB750" i="14"/>
  <c r="AA750" i="14"/>
  <c r="AG749" i="14"/>
  <c r="AB749" i="14"/>
  <c r="AA749" i="14"/>
  <c r="AG748" i="14"/>
  <c r="AB748" i="14"/>
  <c r="AA748" i="14"/>
  <c r="AG747" i="14"/>
  <c r="AB747" i="14"/>
  <c r="AA747" i="14"/>
  <c r="AG746" i="14"/>
  <c r="AB746" i="14"/>
  <c r="AA746" i="14"/>
  <c r="AG745" i="14"/>
  <c r="AB745" i="14"/>
  <c r="AA745" i="14"/>
  <c r="AG744" i="14"/>
  <c r="AB744" i="14"/>
  <c r="AA744" i="14"/>
  <c r="AG743" i="14"/>
  <c r="AB743" i="14"/>
  <c r="AA743" i="14"/>
  <c r="AG742" i="14"/>
  <c r="AB742" i="14"/>
  <c r="AA742" i="14"/>
  <c r="AG741" i="14"/>
  <c r="AB741" i="14"/>
  <c r="AA741" i="14"/>
  <c r="AG740" i="14"/>
  <c r="AB740" i="14"/>
  <c r="AA740" i="14"/>
  <c r="AG739" i="14"/>
  <c r="AB739" i="14"/>
  <c r="AA739" i="14"/>
  <c r="AG738" i="14"/>
  <c r="AB738" i="14"/>
  <c r="AA738" i="14"/>
  <c r="AG737" i="14"/>
  <c r="AB737" i="14"/>
  <c r="AA737" i="14"/>
  <c r="AG736" i="14"/>
  <c r="AB736" i="14"/>
  <c r="AA736" i="14"/>
  <c r="AD136" i="13"/>
  <c r="Z136" i="13"/>
  <c r="V136" i="13"/>
  <c r="R136" i="13"/>
  <c r="N136" i="13"/>
  <c r="J136" i="13"/>
  <c r="F136" i="13"/>
  <c r="F123" i="13"/>
  <c r="J123" i="13"/>
  <c r="N123" i="13"/>
  <c r="R123" i="13"/>
  <c r="V123" i="13"/>
  <c r="Z123" i="13"/>
  <c r="AD123" i="13"/>
  <c r="AA432" i="15"/>
  <c r="AA433" i="15"/>
  <c r="AA434" i="15"/>
  <c r="AA435" i="15"/>
  <c r="AA436" i="15"/>
  <c r="AA437" i="15"/>
  <c r="AA438" i="15"/>
  <c r="AA439" i="15"/>
  <c r="AA440" i="15"/>
  <c r="AA404" i="15"/>
  <c r="AA405" i="15"/>
  <c r="AA406" i="15"/>
  <c r="AA407" i="15"/>
  <c r="AA408" i="15"/>
  <c r="AA409" i="15"/>
  <c r="AA410" i="15"/>
  <c r="AA411" i="15"/>
  <c r="AA412" i="15"/>
  <c r="AA413" i="15"/>
  <c r="AA414" i="15"/>
  <c r="AA415" i="15"/>
  <c r="AA416" i="15"/>
  <c r="AA417" i="15"/>
  <c r="AA418" i="15"/>
  <c r="AA419" i="15"/>
  <c r="AA420" i="15"/>
  <c r="AA421" i="15"/>
  <c r="AA422" i="15"/>
  <c r="AA423" i="15"/>
  <c r="AA424" i="15"/>
  <c r="AA425" i="15"/>
  <c r="AA426" i="15"/>
  <c r="AA427" i="15"/>
  <c r="AA428" i="15"/>
  <c r="AA429" i="15"/>
  <c r="AA430" i="15"/>
  <c r="AA431" i="15"/>
  <c r="AA709" i="14"/>
  <c r="AA710" i="14"/>
  <c r="AA711" i="14"/>
  <c r="AA712" i="14"/>
  <c r="AA713" i="14"/>
  <c r="AA714" i="14"/>
  <c r="AA715" i="14"/>
  <c r="AA716" i="14"/>
  <c r="AA717" i="14"/>
  <c r="AA718" i="14"/>
  <c r="AA719" i="14"/>
  <c r="AA720" i="14"/>
  <c r="AA721" i="14"/>
  <c r="AA722" i="14"/>
  <c r="AA723" i="14"/>
  <c r="AB416" i="15"/>
  <c r="C730" i="14"/>
  <c r="AA501" i="15"/>
  <c r="AB501" i="15"/>
  <c r="AB535" i="15"/>
  <c r="AG501" i="15"/>
  <c r="AG535" i="15"/>
  <c r="AA502" i="15"/>
  <c r="AB502" i="15"/>
  <c r="AG502" i="15"/>
  <c r="AG504" i="15"/>
  <c r="AG505" i="15"/>
  <c r="AG506" i="15"/>
  <c r="AG507" i="15"/>
  <c r="AG508" i="15"/>
  <c r="AG509" i="15"/>
  <c r="AG510" i="15"/>
  <c r="AG511" i="15"/>
  <c r="AG512" i="15"/>
  <c r="AG513" i="15"/>
  <c r="AG514" i="15"/>
  <c r="AG515" i="15"/>
  <c r="AG516" i="15"/>
  <c r="AG517" i="15"/>
  <c r="AA518" i="15"/>
  <c r="AB518" i="15"/>
  <c r="AG518" i="15"/>
  <c r="AA519" i="15"/>
  <c r="AB519" i="15"/>
  <c r="AG519" i="15"/>
  <c r="AA520" i="15"/>
  <c r="AB520" i="15"/>
  <c r="AG520" i="15"/>
  <c r="AA522" i="15"/>
  <c r="AB522" i="15"/>
  <c r="AG522" i="15"/>
  <c r="AA523" i="15"/>
  <c r="AB523" i="15"/>
  <c r="AG523" i="15"/>
  <c r="AA524" i="15"/>
  <c r="AB524" i="15"/>
  <c r="AG524" i="15"/>
  <c r="AA525" i="15"/>
  <c r="AB525" i="15"/>
  <c r="AG525" i="15"/>
  <c r="AA526" i="15"/>
  <c r="AB526" i="15"/>
  <c r="AG526" i="15"/>
  <c r="AA527" i="15"/>
  <c r="AB527" i="15"/>
  <c r="AG527" i="15"/>
  <c r="AA528" i="15"/>
  <c r="AB528" i="15"/>
  <c r="AG528" i="15"/>
  <c r="AA529" i="15"/>
  <c r="AB529" i="15"/>
  <c r="AG529" i="15"/>
  <c r="AA530" i="15"/>
  <c r="AB530" i="15"/>
  <c r="AG530" i="15"/>
  <c r="AA531" i="15"/>
  <c r="AB531" i="15"/>
  <c r="AG531" i="15"/>
  <c r="AA532" i="15"/>
  <c r="AB532" i="15"/>
  <c r="AG532" i="15"/>
  <c r="AA533" i="15"/>
  <c r="AB533" i="15"/>
  <c r="AG533" i="15"/>
  <c r="AA534" i="15"/>
  <c r="AB534" i="15"/>
  <c r="AG534" i="15"/>
  <c r="E535" i="15"/>
  <c r="F535" i="15"/>
  <c r="J535" i="15"/>
  <c r="K535" i="15"/>
  <c r="O535" i="15"/>
  <c r="P535" i="15"/>
  <c r="T535" i="15"/>
  <c r="U535" i="15"/>
  <c r="Y535" i="15"/>
  <c r="Z535" i="15"/>
  <c r="AF535" i="15"/>
  <c r="AA536" i="15"/>
  <c r="AA537" i="15"/>
  <c r="AL504" i="15"/>
  <c r="AN504" i="15"/>
  <c r="AB537" i="15"/>
  <c r="AL505" i="15"/>
  <c r="AN505" i="15"/>
  <c r="AG537" i="15"/>
  <c r="AL506" i="15"/>
  <c r="AN506" i="15"/>
  <c r="C538" i="15"/>
  <c r="AL507" i="15"/>
  <c r="AN507" i="15"/>
  <c r="AA452" i="15"/>
  <c r="AB452" i="15"/>
  <c r="AG452" i="15"/>
  <c r="AA453" i="15"/>
  <c r="AB453" i="15"/>
  <c r="AG453" i="15"/>
  <c r="AA455" i="15"/>
  <c r="AB455" i="15"/>
  <c r="AG455" i="15"/>
  <c r="AA456" i="15"/>
  <c r="AB456" i="15"/>
  <c r="AG456" i="15"/>
  <c r="AA457" i="15"/>
  <c r="AB457" i="15"/>
  <c r="AG457" i="15"/>
  <c r="AA458" i="15"/>
  <c r="AB458" i="15"/>
  <c r="AG458" i="15"/>
  <c r="AA459" i="15"/>
  <c r="AB459" i="15"/>
  <c r="AG459" i="15"/>
  <c r="AA460" i="15"/>
  <c r="AB460" i="15"/>
  <c r="AG460" i="15"/>
  <c r="AA461" i="15"/>
  <c r="AB461" i="15"/>
  <c r="AG461" i="15"/>
  <c r="AA462" i="15"/>
  <c r="AB462" i="15"/>
  <c r="AG462" i="15"/>
  <c r="AA463" i="15"/>
  <c r="AB463" i="15"/>
  <c r="AG463" i="15"/>
  <c r="AA464" i="15"/>
  <c r="AB464" i="15"/>
  <c r="AG464" i="15"/>
  <c r="AA465" i="15"/>
  <c r="AG465" i="15"/>
  <c r="AA466" i="15"/>
  <c r="AG466" i="15"/>
  <c r="AA467" i="15"/>
  <c r="AG467" i="15"/>
  <c r="AA468" i="15"/>
  <c r="AG468" i="15"/>
  <c r="AA469" i="15"/>
  <c r="AG469" i="15"/>
  <c r="AA470" i="15"/>
  <c r="AG470" i="15"/>
  <c r="AA471" i="15"/>
  <c r="AG471" i="15"/>
  <c r="AA472" i="15"/>
  <c r="AB472" i="15"/>
  <c r="AG472" i="15"/>
  <c r="AA473" i="15"/>
  <c r="AB473" i="15"/>
  <c r="AG473" i="15"/>
  <c r="AA474" i="15"/>
  <c r="AB474" i="15"/>
  <c r="AG474" i="15"/>
  <c r="AA476" i="15"/>
  <c r="AB476" i="15"/>
  <c r="AG476" i="15"/>
  <c r="AA477" i="15"/>
  <c r="AB477" i="15"/>
  <c r="AG477" i="15"/>
  <c r="AA478" i="15"/>
  <c r="AB478" i="15"/>
  <c r="AG478" i="15"/>
  <c r="AA479" i="15"/>
  <c r="AB479" i="15"/>
  <c r="AG479" i="15"/>
  <c r="AA480" i="15"/>
  <c r="AB480" i="15"/>
  <c r="AG480" i="15"/>
  <c r="AA481" i="15"/>
  <c r="AB481" i="15"/>
  <c r="AG481" i="15"/>
  <c r="AA482" i="15"/>
  <c r="AB482" i="15"/>
  <c r="AG482" i="15"/>
  <c r="AA483" i="15"/>
  <c r="AB483" i="15"/>
  <c r="AG483" i="15"/>
  <c r="AA484" i="15"/>
  <c r="AB484" i="15"/>
  <c r="AG484" i="15"/>
  <c r="AA485" i="15"/>
  <c r="AB485" i="15"/>
  <c r="AG485" i="15"/>
  <c r="AA486" i="15"/>
  <c r="AB486" i="15"/>
  <c r="AG486" i="15"/>
  <c r="AA487" i="15"/>
  <c r="AB487" i="15"/>
  <c r="AG487" i="15"/>
  <c r="AA488" i="15"/>
  <c r="AB488" i="15"/>
  <c r="AG488" i="15"/>
  <c r="AA489" i="15"/>
  <c r="AB489" i="15"/>
  <c r="AG489" i="15"/>
  <c r="E490" i="15"/>
  <c r="F490" i="15"/>
  <c r="J490" i="15"/>
  <c r="K490" i="15"/>
  <c r="O490" i="15"/>
  <c r="P490" i="15"/>
  <c r="T490" i="15"/>
  <c r="U490" i="15"/>
  <c r="Y490" i="15"/>
  <c r="Z490" i="15"/>
  <c r="AF490" i="15"/>
  <c r="AA491" i="15"/>
  <c r="AA492" i="15"/>
  <c r="AL455" i="15"/>
  <c r="AN455" i="15"/>
  <c r="AB491" i="15"/>
  <c r="AB492" i="15"/>
  <c r="AL456" i="15"/>
  <c r="AN456" i="15"/>
  <c r="AG491" i="15"/>
  <c r="AG492" i="15"/>
  <c r="AL457" i="15"/>
  <c r="AN457" i="15"/>
  <c r="AL741" i="14"/>
  <c r="AN741" i="14"/>
  <c r="AL767" i="14"/>
  <c r="AN767" i="14"/>
  <c r="AG755" i="14"/>
  <c r="AL740" i="14"/>
  <c r="AN740" i="14"/>
  <c r="AG780" i="14"/>
  <c r="AL765" i="14"/>
  <c r="AN765" i="14"/>
  <c r="AA755" i="14"/>
  <c r="AL738" i="14"/>
  <c r="AN738" i="14"/>
  <c r="AG752" i="14"/>
  <c r="AL737" i="14"/>
  <c r="AN737" i="14"/>
  <c r="AA783" i="14"/>
  <c r="AB780" i="14"/>
  <c r="AA780" i="14"/>
  <c r="AB755" i="14"/>
  <c r="AL739" i="14"/>
  <c r="AN739" i="14"/>
  <c r="AB752" i="14"/>
  <c r="AA752" i="14"/>
  <c r="AG490" i="15"/>
  <c r="AL453" i="15"/>
  <c r="AA490" i="15"/>
  <c r="AL451" i="15"/>
  <c r="AN451" i="15"/>
  <c r="AB490" i="15"/>
  <c r="AL766" i="14"/>
  <c r="AN766" i="14"/>
  <c r="AL764" i="14"/>
  <c r="AN764" i="14"/>
  <c r="AN453" i="15"/>
  <c r="AL452" i="15"/>
  <c r="AL763" i="14"/>
  <c r="AN763" i="14"/>
  <c r="AL736" i="14"/>
  <c r="AN736" i="14"/>
  <c r="AL735" i="14"/>
  <c r="AN735" i="14"/>
  <c r="AN742" i="14"/>
  <c r="AN770" i="14"/>
  <c r="AB355" i="15"/>
  <c r="AB356" i="15"/>
  <c r="AB357" i="15"/>
  <c r="AB358" i="15"/>
  <c r="AB359" i="15"/>
  <c r="AB360" i="15"/>
  <c r="AB361" i="15"/>
  <c r="AB362" i="15"/>
  <c r="AB363" i="15"/>
  <c r="AB364" i="15"/>
  <c r="AB365" i="15"/>
  <c r="AB366" i="15"/>
  <c r="AB367" i="15"/>
  <c r="AB368" i="15"/>
  <c r="AB369" i="15"/>
  <c r="AB370" i="15"/>
  <c r="AB371" i="15"/>
  <c r="AB372" i="15"/>
  <c r="AB373" i="15"/>
  <c r="AB374" i="15"/>
  <c r="AB375" i="15"/>
  <c r="AB376" i="15"/>
  <c r="AB377" i="15"/>
  <c r="AB378" i="15"/>
  <c r="AB379" i="15"/>
  <c r="AB380" i="15"/>
  <c r="AB381" i="15"/>
  <c r="AB382" i="15"/>
  <c r="AB383" i="15"/>
  <c r="AB384" i="15"/>
  <c r="AB385" i="15"/>
  <c r="AB386" i="15"/>
  <c r="AB387" i="15"/>
  <c r="AB388" i="15"/>
  <c r="AB389" i="15"/>
  <c r="AB390" i="15"/>
  <c r="Z696" i="14"/>
  <c r="K696" i="14"/>
  <c r="F696" i="14"/>
  <c r="C702" i="14"/>
  <c r="C701" i="14"/>
  <c r="C700" i="14"/>
  <c r="AF393" i="15"/>
  <c r="AG393" i="15"/>
  <c r="AG394" i="15"/>
  <c r="AL359" i="15"/>
  <c r="AN359" i="15"/>
  <c r="Z316" i="13"/>
  <c r="V316" i="13"/>
  <c r="R316" i="13"/>
  <c r="N316" i="13"/>
  <c r="J316" i="13"/>
  <c r="F316" i="13"/>
  <c r="AD297" i="13"/>
  <c r="AD298" i="13"/>
  <c r="Z297" i="13"/>
  <c r="Z298" i="13"/>
  <c r="V297" i="13"/>
  <c r="V298" i="13"/>
  <c r="R297" i="13"/>
  <c r="R298" i="13"/>
  <c r="N297" i="13"/>
  <c r="N298" i="13"/>
  <c r="J297" i="13"/>
  <c r="J298" i="13"/>
  <c r="F297" i="13"/>
  <c r="F298" i="13"/>
  <c r="J315" i="13"/>
  <c r="Z313" i="13"/>
  <c r="Z314" i="13"/>
  <c r="Z315" i="13"/>
  <c r="Z317" i="13"/>
  <c r="Z318" i="13"/>
  <c r="Z319" i="13"/>
  <c r="Z320" i="13"/>
  <c r="Z321" i="13"/>
  <c r="Z322" i="13"/>
  <c r="V313" i="13"/>
  <c r="V314" i="13"/>
  <c r="V315" i="13"/>
  <c r="V317" i="13"/>
  <c r="V318" i="13"/>
  <c r="V319" i="13"/>
  <c r="V320" i="13"/>
  <c r="V321" i="13"/>
  <c r="V322" i="13"/>
  <c r="R313" i="13"/>
  <c r="R314" i="13"/>
  <c r="R315" i="13"/>
  <c r="R317" i="13"/>
  <c r="R318" i="13"/>
  <c r="R319" i="13"/>
  <c r="R320" i="13"/>
  <c r="R321" i="13"/>
  <c r="R322" i="13"/>
  <c r="N313" i="13"/>
  <c r="N314" i="13"/>
  <c r="N315" i="13"/>
  <c r="N317" i="13"/>
  <c r="N318" i="13"/>
  <c r="N319" i="13"/>
  <c r="N320" i="13"/>
  <c r="N321" i="13"/>
  <c r="N322" i="13"/>
  <c r="J322" i="13"/>
  <c r="J321" i="13"/>
  <c r="J320" i="13"/>
  <c r="J319" i="13"/>
  <c r="J318" i="13"/>
  <c r="J317" i="13"/>
  <c r="F314" i="13"/>
  <c r="F315" i="13"/>
  <c r="F317" i="13"/>
  <c r="F318" i="13"/>
  <c r="F319" i="13"/>
  <c r="F320" i="13"/>
  <c r="F321" i="13"/>
  <c r="F322" i="13"/>
  <c r="AA679" i="14"/>
  <c r="AB679" i="14"/>
  <c r="AG356" i="15"/>
  <c r="AA356" i="15"/>
  <c r="Z664" i="14"/>
  <c r="U664" i="14"/>
  <c r="P664" i="14"/>
  <c r="K664" i="14"/>
  <c r="F664" i="14"/>
  <c r="C670" i="14"/>
  <c r="C669" i="14"/>
  <c r="AA322" i="15"/>
  <c r="AB322" i="15"/>
  <c r="AB324" i="15"/>
  <c r="AA306" i="15"/>
  <c r="AB306" i="15"/>
  <c r="AA317" i="15"/>
  <c r="AA318" i="15"/>
  <c r="AA403" i="15"/>
  <c r="AB403" i="15"/>
  <c r="AG403" i="15"/>
  <c r="AB404" i="15"/>
  <c r="AG404" i="15"/>
  <c r="AB406" i="15"/>
  <c r="AG406" i="15"/>
  <c r="AB407" i="15"/>
  <c r="AG407" i="15"/>
  <c r="AB408" i="15"/>
  <c r="AG408" i="15"/>
  <c r="AB409" i="15"/>
  <c r="AG409" i="15"/>
  <c r="AB410" i="15"/>
  <c r="AG410" i="15"/>
  <c r="AB411" i="15"/>
  <c r="AG411" i="15"/>
  <c r="AB412" i="15"/>
  <c r="AG412" i="15"/>
  <c r="AB413" i="15"/>
  <c r="AG413" i="15"/>
  <c r="AB414" i="15"/>
  <c r="AG414" i="15"/>
  <c r="AB415" i="15"/>
  <c r="AG415" i="15"/>
  <c r="AG416" i="15"/>
  <c r="AB417" i="15"/>
  <c r="AG417" i="15"/>
  <c r="AB418" i="15"/>
  <c r="AG418" i="15"/>
  <c r="AB419" i="15"/>
  <c r="AG419" i="15"/>
  <c r="AB420" i="15"/>
  <c r="AG420" i="15"/>
  <c r="AB421" i="15"/>
  <c r="AG421" i="15"/>
  <c r="AB422" i="15"/>
  <c r="AG422" i="15"/>
  <c r="AB423" i="15"/>
  <c r="AG423" i="15"/>
  <c r="AB424" i="15"/>
  <c r="AG424" i="15"/>
  <c r="AB425" i="15"/>
  <c r="AG425" i="15"/>
  <c r="AB426" i="15"/>
  <c r="AG426" i="15"/>
  <c r="AB427" i="15"/>
  <c r="AG427" i="15"/>
  <c r="AB428" i="15"/>
  <c r="AG428" i="15"/>
  <c r="AB429" i="15"/>
  <c r="AG429" i="15"/>
  <c r="AB430" i="15"/>
  <c r="AG430" i="15"/>
  <c r="AB431" i="15"/>
  <c r="AG431" i="15"/>
  <c r="AB432" i="15"/>
  <c r="AG432" i="15"/>
  <c r="AB433" i="15"/>
  <c r="AG433" i="15"/>
  <c r="AB434" i="15"/>
  <c r="AG434" i="15"/>
  <c r="AB435" i="15"/>
  <c r="AG435" i="15"/>
  <c r="AB436" i="15"/>
  <c r="AG436" i="15"/>
  <c r="AB437" i="15"/>
  <c r="AG437" i="15"/>
  <c r="AB438" i="15"/>
  <c r="AG438" i="15"/>
  <c r="AB439" i="15"/>
  <c r="AG439" i="15"/>
  <c r="AB440" i="15"/>
  <c r="AG440" i="15"/>
  <c r="E441" i="15"/>
  <c r="F441" i="15"/>
  <c r="J441" i="15"/>
  <c r="K441" i="15"/>
  <c r="O441" i="15"/>
  <c r="P441" i="15"/>
  <c r="T441" i="15"/>
  <c r="U441" i="15"/>
  <c r="Y441" i="15"/>
  <c r="Z441" i="15"/>
  <c r="AF441" i="15"/>
  <c r="AA442" i="15"/>
  <c r="AA443" i="15"/>
  <c r="AL406" i="15"/>
  <c r="AN406" i="15"/>
  <c r="AB442" i="15"/>
  <c r="AB443" i="15"/>
  <c r="AL407" i="15"/>
  <c r="AN407" i="15"/>
  <c r="AG442" i="15"/>
  <c r="AG443" i="15"/>
  <c r="AL408" i="15"/>
  <c r="AN408" i="15"/>
  <c r="C444" i="15"/>
  <c r="AL409" i="15"/>
  <c r="AN409" i="15"/>
  <c r="AA708" i="14"/>
  <c r="AB708" i="14"/>
  <c r="AG708" i="14"/>
  <c r="AB709" i="14"/>
  <c r="AG709" i="14"/>
  <c r="AB710" i="14"/>
  <c r="AG710" i="14"/>
  <c r="AB711" i="14"/>
  <c r="AG711" i="14"/>
  <c r="AB712" i="14"/>
  <c r="AG712" i="14"/>
  <c r="AB713" i="14"/>
  <c r="AG713" i="14"/>
  <c r="AB714" i="14"/>
  <c r="AG714" i="14"/>
  <c r="AB715" i="14"/>
  <c r="AG715" i="14"/>
  <c r="AB716" i="14"/>
  <c r="AG716" i="14"/>
  <c r="AB717" i="14"/>
  <c r="AG717" i="14"/>
  <c r="AB718" i="14"/>
  <c r="AG718" i="14"/>
  <c r="AB719" i="14"/>
  <c r="AG719" i="14"/>
  <c r="AB720" i="14"/>
  <c r="AG720" i="14"/>
  <c r="AB721" i="14"/>
  <c r="AG721" i="14"/>
  <c r="AB722" i="14"/>
  <c r="AG722" i="14"/>
  <c r="AB723" i="14"/>
  <c r="AG723" i="14"/>
  <c r="E724" i="14"/>
  <c r="F724" i="14"/>
  <c r="J724" i="14"/>
  <c r="K724" i="14"/>
  <c r="O724" i="14"/>
  <c r="P724" i="14"/>
  <c r="T724" i="14"/>
  <c r="U724" i="14"/>
  <c r="Y724" i="14"/>
  <c r="Z724" i="14"/>
  <c r="AF724" i="14"/>
  <c r="AA725" i="14"/>
  <c r="AB725" i="14"/>
  <c r="AG725" i="14"/>
  <c r="AA726" i="14"/>
  <c r="AB726" i="14"/>
  <c r="AG726" i="14"/>
  <c r="E727" i="14"/>
  <c r="F727" i="14"/>
  <c r="G727" i="14"/>
  <c r="H727" i="14"/>
  <c r="I727" i="14"/>
  <c r="J727" i="14"/>
  <c r="K727" i="14"/>
  <c r="L727" i="14"/>
  <c r="M727" i="14"/>
  <c r="N727" i="14"/>
  <c r="O727" i="14"/>
  <c r="P727" i="14"/>
  <c r="Q727" i="14"/>
  <c r="R727" i="14"/>
  <c r="S727" i="14"/>
  <c r="T727" i="14"/>
  <c r="U727" i="14"/>
  <c r="V727" i="14"/>
  <c r="W727" i="14"/>
  <c r="X727" i="14"/>
  <c r="Y727" i="14"/>
  <c r="Z727" i="14"/>
  <c r="C728" i="14"/>
  <c r="AL713" i="14"/>
  <c r="AN713" i="14"/>
  <c r="AA676" i="14"/>
  <c r="AB676" i="14"/>
  <c r="AG676" i="14"/>
  <c r="AA677" i="14"/>
  <c r="AB677" i="14"/>
  <c r="AG677" i="14"/>
  <c r="AA678" i="14"/>
  <c r="AB678" i="14"/>
  <c r="AG678" i="14"/>
  <c r="AG679" i="14"/>
  <c r="AA680" i="14"/>
  <c r="AB680" i="14"/>
  <c r="AG680" i="14"/>
  <c r="AA681" i="14"/>
  <c r="AB681" i="14"/>
  <c r="AG681" i="14"/>
  <c r="AA682" i="14"/>
  <c r="AB682" i="14"/>
  <c r="AG682" i="14"/>
  <c r="AA683" i="14"/>
  <c r="AB683" i="14"/>
  <c r="AG683" i="14"/>
  <c r="AA684" i="14"/>
  <c r="AB684" i="14"/>
  <c r="AG684" i="14"/>
  <c r="AA685" i="14"/>
  <c r="AB685" i="14"/>
  <c r="AG685" i="14"/>
  <c r="AA686" i="14"/>
  <c r="AB686" i="14"/>
  <c r="AG686" i="14"/>
  <c r="AA687" i="14"/>
  <c r="AB687" i="14"/>
  <c r="AG687" i="14"/>
  <c r="AA688" i="14"/>
  <c r="AB688" i="14"/>
  <c r="AG688" i="14"/>
  <c r="AA689" i="14"/>
  <c r="AB689" i="14"/>
  <c r="AG689" i="14"/>
  <c r="AA690" i="14"/>
  <c r="AB690" i="14"/>
  <c r="AG690" i="14"/>
  <c r="AA691" i="14"/>
  <c r="AB691" i="14"/>
  <c r="AG691" i="14"/>
  <c r="AA692" i="14"/>
  <c r="AB692" i="14"/>
  <c r="AG692" i="14"/>
  <c r="AA693" i="14"/>
  <c r="AB693" i="14"/>
  <c r="AG693" i="14"/>
  <c r="AA694" i="14"/>
  <c r="AB694" i="14"/>
  <c r="AG694" i="14"/>
  <c r="AA695" i="14"/>
  <c r="AB695" i="14"/>
  <c r="AG695" i="14"/>
  <c r="E696" i="14"/>
  <c r="J696" i="14"/>
  <c r="O696" i="14"/>
  <c r="P696" i="14"/>
  <c r="T696" i="14"/>
  <c r="U696" i="14"/>
  <c r="Y696" i="14"/>
  <c r="AF696" i="14"/>
  <c r="AA697" i="14"/>
  <c r="AB697" i="14"/>
  <c r="AG697" i="14"/>
  <c r="AA698" i="14"/>
  <c r="AB698" i="14"/>
  <c r="AG698" i="14"/>
  <c r="E699" i="14"/>
  <c r="F699" i="14"/>
  <c r="G699" i="14"/>
  <c r="H699" i="14"/>
  <c r="I699" i="14"/>
  <c r="J699" i="14"/>
  <c r="K699" i="14"/>
  <c r="L699" i="14"/>
  <c r="M699" i="14"/>
  <c r="N699" i="14"/>
  <c r="O699" i="14"/>
  <c r="P699" i="14"/>
  <c r="Q699" i="14"/>
  <c r="R699" i="14"/>
  <c r="S699" i="14"/>
  <c r="T699" i="14"/>
  <c r="U699" i="14"/>
  <c r="V699" i="14"/>
  <c r="W699" i="14"/>
  <c r="X699" i="14"/>
  <c r="Y699" i="14"/>
  <c r="Z699" i="14"/>
  <c r="AL681" i="14"/>
  <c r="AN680" i="14"/>
  <c r="AA354" i="15"/>
  <c r="AB354" i="15"/>
  <c r="AG354" i="15"/>
  <c r="AA355" i="15"/>
  <c r="AG355" i="15"/>
  <c r="AA357" i="15"/>
  <c r="AG357" i="15"/>
  <c r="AA358" i="15"/>
  <c r="AG358" i="15"/>
  <c r="AA359" i="15"/>
  <c r="AG359" i="15"/>
  <c r="AA360" i="15"/>
  <c r="AG360" i="15"/>
  <c r="AA361" i="15"/>
  <c r="AG361" i="15"/>
  <c r="AA362" i="15"/>
  <c r="AG362" i="15"/>
  <c r="AA363" i="15"/>
  <c r="AG363" i="15"/>
  <c r="AA364" i="15"/>
  <c r="AG364" i="15"/>
  <c r="AA365" i="15"/>
  <c r="AG365" i="15"/>
  <c r="AA366" i="15"/>
  <c r="AG366" i="15"/>
  <c r="AA367" i="15"/>
  <c r="AG367" i="15"/>
  <c r="AA368" i="15"/>
  <c r="AG368" i="15"/>
  <c r="AA369" i="15"/>
  <c r="AG369" i="15"/>
  <c r="AA370" i="15"/>
  <c r="AG370" i="15"/>
  <c r="AA371" i="15"/>
  <c r="AG371" i="15"/>
  <c r="AA372" i="15"/>
  <c r="AG372" i="15"/>
  <c r="AA373" i="15"/>
  <c r="AG373" i="15"/>
  <c r="AA374" i="15"/>
  <c r="AG374" i="15"/>
  <c r="AA375" i="15"/>
  <c r="AG375" i="15"/>
  <c r="AA376" i="15"/>
  <c r="AG376" i="15"/>
  <c r="AA377" i="15"/>
  <c r="AG377" i="15"/>
  <c r="AA378" i="15"/>
  <c r="AG378" i="15"/>
  <c r="AA379" i="15"/>
  <c r="AG379" i="15"/>
  <c r="AA380" i="15"/>
  <c r="AG380" i="15"/>
  <c r="AA381" i="15"/>
  <c r="AG381" i="15"/>
  <c r="AA382" i="15"/>
  <c r="AG382" i="15"/>
  <c r="AA383" i="15"/>
  <c r="AG383" i="15"/>
  <c r="AA384" i="15"/>
  <c r="AG384" i="15"/>
  <c r="AA385" i="15"/>
  <c r="AG385" i="15"/>
  <c r="AA386" i="15"/>
  <c r="AG386" i="15"/>
  <c r="AA387" i="15"/>
  <c r="AG387" i="15"/>
  <c r="AA388" i="15"/>
  <c r="AG388" i="15"/>
  <c r="AA389" i="15"/>
  <c r="AG389" i="15"/>
  <c r="AA390" i="15"/>
  <c r="AG390" i="15"/>
  <c r="AA391" i="15"/>
  <c r="AB391" i="15"/>
  <c r="AG391" i="15"/>
  <c r="E392" i="15"/>
  <c r="F392" i="15"/>
  <c r="J392" i="15"/>
  <c r="K392" i="15"/>
  <c r="O392" i="15"/>
  <c r="P392" i="15"/>
  <c r="T392" i="15"/>
  <c r="U392" i="15"/>
  <c r="Y392" i="15"/>
  <c r="Z392" i="15"/>
  <c r="AF392" i="15"/>
  <c r="AA393" i="15"/>
  <c r="AA394" i="15"/>
  <c r="AB393" i="15"/>
  <c r="AB394" i="15"/>
  <c r="C395" i="15"/>
  <c r="AL360" i="15"/>
  <c r="AN360" i="15"/>
  <c r="AA608" i="14"/>
  <c r="AA589" i="14"/>
  <c r="AA574" i="14"/>
  <c r="AA579" i="14"/>
  <c r="AA585" i="14"/>
  <c r="C347" i="15"/>
  <c r="C348" i="15"/>
  <c r="Z630" i="14"/>
  <c r="C636" i="14"/>
  <c r="C635" i="14"/>
  <c r="AA614" i="14"/>
  <c r="AA612" i="14"/>
  <c r="AA613" i="14"/>
  <c r="AA257" i="15"/>
  <c r="AA648" i="14"/>
  <c r="Z245" i="15"/>
  <c r="AB245" i="15"/>
  <c r="AB246" i="15"/>
  <c r="AL199" i="15"/>
  <c r="AN199" i="15"/>
  <c r="V300" i="13"/>
  <c r="C298" i="15"/>
  <c r="AA304" i="15"/>
  <c r="AB304" i="15"/>
  <c r="AG304" i="15"/>
  <c r="AA305" i="15"/>
  <c r="AB305" i="15"/>
  <c r="AG305" i="15"/>
  <c r="AA307" i="15"/>
  <c r="AB307" i="15"/>
  <c r="AG307" i="15"/>
  <c r="AA308" i="15"/>
  <c r="AB308" i="15"/>
  <c r="AG308" i="15"/>
  <c r="AA309" i="15"/>
  <c r="AB309" i="15"/>
  <c r="AG309" i="15"/>
  <c r="AA310" i="15"/>
  <c r="AB310" i="15"/>
  <c r="AG310" i="15"/>
  <c r="AA311" i="15"/>
  <c r="AB311" i="15"/>
  <c r="AG311" i="15"/>
  <c r="AA312" i="15"/>
  <c r="AB312" i="15"/>
  <c r="AG312" i="15"/>
  <c r="AA313" i="15"/>
  <c r="AB313" i="15"/>
  <c r="AG313" i="15"/>
  <c r="AA314" i="15"/>
  <c r="AB314" i="15"/>
  <c r="AG314" i="15"/>
  <c r="AA315" i="15"/>
  <c r="AB315" i="15"/>
  <c r="AG315" i="15"/>
  <c r="AA316" i="15"/>
  <c r="AB316" i="15"/>
  <c r="AG316" i="15"/>
  <c r="AB317" i="15"/>
  <c r="AG317" i="15"/>
  <c r="AB318" i="15"/>
  <c r="AG318" i="15"/>
  <c r="AA319" i="15"/>
  <c r="AB319" i="15"/>
  <c r="AG319" i="15"/>
  <c r="AA320" i="15"/>
  <c r="AB320" i="15"/>
  <c r="AG320" i="15"/>
  <c r="AA321" i="15"/>
  <c r="AB321" i="15"/>
  <c r="AG321" i="15"/>
  <c r="AG322" i="15"/>
  <c r="AA323" i="15"/>
  <c r="AB323" i="15"/>
  <c r="AG323" i="15"/>
  <c r="AA324" i="15"/>
  <c r="AG324" i="15"/>
  <c r="AA325" i="15"/>
  <c r="AB325" i="15"/>
  <c r="AG325" i="15"/>
  <c r="AA326" i="15"/>
  <c r="AB326" i="15"/>
  <c r="AG326" i="15"/>
  <c r="AA327" i="15"/>
  <c r="AB327" i="15"/>
  <c r="AG327" i="15"/>
  <c r="AA328" i="15"/>
  <c r="AB328" i="15"/>
  <c r="AG328" i="15"/>
  <c r="AA329" i="15"/>
  <c r="AB329" i="15"/>
  <c r="AG329" i="15"/>
  <c r="AA330" i="15"/>
  <c r="AB330" i="15"/>
  <c r="AG330" i="15"/>
  <c r="AA331" i="15"/>
  <c r="AB331" i="15"/>
  <c r="AG331" i="15"/>
  <c r="AA332" i="15"/>
  <c r="AB332" i="15"/>
  <c r="AG332" i="15"/>
  <c r="AA333" i="15"/>
  <c r="AB333" i="15"/>
  <c r="AG333" i="15"/>
  <c r="AA334" i="15"/>
  <c r="AB334" i="15"/>
  <c r="AG334" i="15"/>
  <c r="AA335" i="15"/>
  <c r="AB335" i="15"/>
  <c r="AG335" i="15"/>
  <c r="AA336" i="15"/>
  <c r="AB336" i="15"/>
  <c r="AG336" i="15"/>
  <c r="AA337" i="15"/>
  <c r="AB337" i="15"/>
  <c r="AG337" i="15"/>
  <c r="AA338" i="15"/>
  <c r="AB338" i="15"/>
  <c r="AG338" i="15"/>
  <c r="AA339" i="15"/>
  <c r="AB339" i="15"/>
  <c r="AG339" i="15"/>
  <c r="AA340" i="15"/>
  <c r="AB340" i="15"/>
  <c r="AG340" i="15"/>
  <c r="AA341" i="15"/>
  <c r="AB341" i="15"/>
  <c r="AG341" i="15"/>
  <c r="AA342" i="15"/>
  <c r="AB342" i="15"/>
  <c r="AG342" i="15"/>
  <c r="E343" i="15"/>
  <c r="F343" i="15"/>
  <c r="J343" i="15"/>
  <c r="K343" i="15"/>
  <c r="O343" i="15"/>
  <c r="P343" i="15"/>
  <c r="T343" i="15"/>
  <c r="U343" i="15"/>
  <c r="Y343" i="15"/>
  <c r="Z343" i="15"/>
  <c r="AF343" i="15"/>
  <c r="AA344" i="15"/>
  <c r="AA345" i="15"/>
  <c r="AL306" i="15"/>
  <c r="AN306" i="15"/>
  <c r="AB344" i="15"/>
  <c r="AB345" i="15"/>
  <c r="AL307" i="15"/>
  <c r="AN307" i="15"/>
  <c r="AG344" i="15"/>
  <c r="AG345" i="15"/>
  <c r="AL308" i="15"/>
  <c r="AN308" i="15"/>
  <c r="U630" i="14"/>
  <c r="P630" i="14"/>
  <c r="K630" i="14"/>
  <c r="F630" i="14"/>
  <c r="AA642" i="14"/>
  <c r="AB642" i="14"/>
  <c r="AG642" i="14"/>
  <c r="AA643" i="14"/>
  <c r="AB643" i="14"/>
  <c r="AG643" i="14"/>
  <c r="AA644" i="14"/>
  <c r="AB644" i="14"/>
  <c r="AG644" i="14"/>
  <c r="AA645" i="14"/>
  <c r="AB645" i="14"/>
  <c r="AG645" i="14"/>
  <c r="AA646" i="14"/>
  <c r="AB646" i="14"/>
  <c r="AG646" i="14"/>
  <c r="AA647" i="14"/>
  <c r="AB647" i="14"/>
  <c r="AG647" i="14"/>
  <c r="AB648" i="14"/>
  <c r="AG648" i="14"/>
  <c r="AA649" i="14"/>
  <c r="AB649" i="14"/>
  <c r="AG649" i="14"/>
  <c r="AA650" i="14"/>
  <c r="AB650" i="14"/>
  <c r="AG650" i="14"/>
  <c r="AA651" i="14"/>
  <c r="AB651" i="14"/>
  <c r="AG651" i="14"/>
  <c r="AA652" i="14"/>
  <c r="AB652" i="14"/>
  <c r="AG652" i="14"/>
  <c r="AA653" i="14"/>
  <c r="AB653" i="14"/>
  <c r="AG653" i="14"/>
  <c r="AA654" i="14"/>
  <c r="AB654" i="14"/>
  <c r="AG654" i="14"/>
  <c r="AA655" i="14"/>
  <c r="AB655" i="14"/>
  <c r="AG655" i="14"/>
  <c r="AA656" i="14"/>
  <c r="AB656" i="14"/>
  <c r="AG656" i="14"/>
  <c r="AA657" i="14"/>
  <c r="AB657" i="14"/>
  <c r="AG657" i="14"/>
  <c r="AA658" i="14"/>
  <c r="AB658" i="14"/>
  <c r="AG658" i="14"/>
  <c r="AA659" i="14"/>
  <c r="AB659" i="14"/>
  <c r="AG659" i="14"/>
  <c r="AA660" i="14"/>
  <c r="AB660" i="14"/>
  <c r="AG660" i="14"/>
  <c r="AA661" i="14"/>
  <c r="AB661" i="14"/>
  <c r="AG661" i="14"/>
  <c r="AA662" i="14"/>
  <c r="AB662" i="14"/>
  <c r="AG662" i="14"/>
  <c r="AA663" i="14"/>
  <c r="AB663" i="14"/>
  <c r="AG663" i="14"/>
  <c r="E664" i="14"/>
  <c r="J664" i="14"/>
  <c r="O664" i="14"/>
  <c r="T664" i="14"/>
  <c r="Y664" i="14"/>
  <c r="AF664" i="14"/>
  <c r="AA665" i="14"/>
  <c r="AB665" i="14"/>
  <c r="AG665" i="14"/>
  <c r="AA666" i="14"/>
  <c r="AB666" i="14"/>
  <c r="AG666" i="14"/>
  <c r="E667" i="14"/>
  <c r="F667" i="14"/>
  <c r="G667" i="14"/>
  <c r="H667" i="14"/>
  <c r="I667" i="14"/>
  <c r="J667" i="14"/>
  <c r="K667" i="14"/>
  <c r="L667" i="14"/>
  <c r="M667" i="14"/>
  <c r="N667" i="14"/>
  <c r="O667" i="14"/>
  <c r="P667" i="14"/>
  <c r="Q667" i="14"/>
  <c r="R667" i="14"/>
  <c r="S667" i="14"/>
  <c r="T667" i="14"/>
  <c r="U667" i="14"/>
  <c r="V667" i="14"/>
  <c r="W667" i="14"/>
  <c r="X667" i="14"/>
  <c r="Y667" i="14"/>
  <c r="Z667" i="14"/>
  <c r="C297" i="15"/>
  <c r="AA277" i="15"/>
  <c r="AB277" i="15"/>
  <c r="AG277" i="15"/>
  <c r="AA278" i="15"/>
  <c r="AB278" i="15"/>
  <c r="AG278" i="15"/>
  <c r="AB232" i="15"/>
  <c r="AB233" i="15"/>
  <c r="AB234" i="15"/>
  <c r="AB235" i="15"/>
  <c r="AB236" i="15"/>
  <c r="AB237" i="15"/>
  <c r="AB238" i="15"/>
  <c r="AB239" i="15"/>
  <c r="AB240" i="15"/>
  <c r="AB241" i="15"/>
  <c r="AB242" i="15"/>
  <c r="AB243" i="15"/>
  <c r="AB197" i="15"/>
  <c r="AB198" i="15"/>
  <c r="AB199" i="15"/>
  <c r="AB200" i="15"/>
  <c r="AB201" i="15"/>
  <c r="AB202" i="15"/>
  <c r="AB203" i="15"/>
  <c r="AB204" i="15"/>
  <c r="AB205" i="15"/>
  <c r="AB206" i="15"/>
  <c r="AB207" i="15"/>
  <c r="AB208" i="15"/>
  <c r="AB209" i="15"/>
  <c r="AB210" i="15"/>
  <c r="AB211" i="15"/>
  <c r="AB212" i="15"/>
  <c r="AB213" i="15"/>
  <c r="AB214" i="15"/>
  <c r="AB215" i="15"/>
  <c r="AB216" i="15"/>
  <c r="AB217" i="15"/>
  <c r="AB218" i="15"/>
  <c r="AB219" i="15"/>
  <c r="AB220" i="15"/>
  <c r="AB221" i="15"/>
  <c r="AB222" i="15"/>
  <c r="AB223" i="15"/>
  <c r="AB224" i="15"/>
  <c r="AB225" i="15"/>
  <c r="AB226" i="15"/>
  <c r="AB227" i="15"/>
  <c r="AB228" i="15"/>
  <c r="AB229" i="15"/>
  <c r="AB230" i="15"/>
  <c r="AB231" i="15"/>
  <c r="AA575" i="14"/>
  <c r="AA576" i="14"/>
  <c r="AA577" i="14"/>
  <c r="AA578" i="14"/>
  <c r="AA580" i="14"/>
  <c r="AA581" i="14"/>
  <c r="AA582" i="14"/>
  <c r="AA583" i="14"/>
  <c r="AA584" i="14"/>
  <c r="AA586" i="14"/>
  <c r="AA587" i="14"/>
  <c r="AA588" i="14"/>
  <c r="AA590" i="14"/>
  <c r="AA591" i="14"/>
  <c r="AA592" i="14"/>
  <c r="AA593" i="14"/>
  <c r="AA594" i="14"/>
  <c r="AA595" i="14"/>
  <c r="U596" i="14"/>
  <c r="P596" i="14"/>
  <c r="F596" i="14"/>
  <c r="K596" i="14"/>
  <c r="Z596" i="14"/>
  <c r="Z244" i="15"/>
  <c r="U244" i="15"/>
  <c r="P244" i="15"/>
  <c r="K244" i="15"/>
  <c r="F244" i="15"/>
  <c r="E244" i="15"/>
  <c r="J244" i="15"/>
  <c r="O244" i="15"/>
  <c r="T244" i="15"/>
  <c r="AA279" i="15"/>
  <c r="AB279" i="15"/>
  <c r="AG279" i="15"/>
  <c r="AA280" i="15"/>
  <c r="AB280" i="15"/>
  <c r="AG280" i="15"/>
  <c r="AA281" i="15"/>
  <c r="AB281" i="15"/>
  <c r="AG281" i="15"/>
  <c r="AG228" i="15"/>
  <c r="AA228" i="15"/>
  <c r="C568" i="14"/>
  <c r="C248" i="15"/>
  <c r="C249" i="15"/>
  <c r="AA229" i="15"/>
  <c r="AG229" i="15"/>
  <c r="AA230" i="15"/>
  <c r="AG230" i="15"/>
  <c r="AA231" i="15"/>
  <c r="AG231" i="15"/>
  <c r="AA232" i="15"/>
  <c r="AG232" i="15"/>
  <c r="AA233" i="15"/>
  <c r="AG233" i="15"/>
  <c r="AA234" i="15"/>
  <c r="AG234" i="15"/>
  <c r="AA235" i="15"/>
  <c r="AG235" i="15"/>
  <c r="AA236" i="15"/>
  <c r="AG236" i="15"/>
  <c r="AA237" i="15"/>
  <c r="AG237" i="15"/>
  <c r="AA238" i="15"/>
  <c r="AG238" i="15"/>
  <c r="AA239" i="15"/>
  <c r="AG239" i="15"/>
  <c r="AA240" i="15"/>
  <c r="AG240" i="15"/>
  <c r="AA241" i="15"/>
  <c r="AG241" i="15"/>
  <c r="AA242" i="15"/>
  <c r="AG242" i="15"/>
  <c r="AA243" i="15"/>
  <c r="AG243" i="15"/>
  <c r="AA216" i="15"/>
  <c r="AG216" i="15"/>
  <c r="AA217" i="15"/>
  <c r="AG217" i="15"/>
  <c r="AA275" i="15"/>
  <c r="AB275" i="15"/>
  <c r="AG275" i="15"/>
  <c r="AA276" i="15"/>
  <c r="AB276" i="15"/>
  <c r="AG276" i="15"/>
  <c r="AA155" i="15"/>
  <c r="AA156" i="15"/>
  <c r="AA157" i="15"/>
  <c r="AA158" i="15"/>
  <c r="AA159" i="15"/>
  <c r="AA160" i="15"/>
  <c r="AA161" i="15"/>
  <c r="AA162" i="15"/>
  <c r="AA163" i="15"/>
  <c r="AA164" i="15"/>
  <c r="AA165" i="15"/>
  <c r="AA166" i="15"/>
  <c r="AA167" i="15"/>
  <c r="AA168" i="15"/>
  <c r="AA169" i="15"/>
  <c r="AA170" i="15"/>
  <c r="AA171" i="15"/>
  <c r="AA172" i="15"/>
  <c r="AA173" i="15"/>
  <c r="AA174" i="15"/>
  <c r="AA175" i="15"/>
  <c r="AA176" i="15"/>
  <c r="AA177" i="15"/>
  <c r="AA178" i="15"/>
  <c r="AA179" i="15"/>
  <c r="AA180" i="15"/>
  <c r="AA181" i="15"/>
  <c r="AA182" i="15"/>
  <c r="AA183" i="15"/>
  <c r="AA184" i="15"/>
  <c r="AA540" i="14"/>
  <c r="AA541" i="14"/>
  <c r="AA542" i="14"/>
  <c r="AA543" i="14"/>
  <c r="AA544" i="14"/>
  <c r="AA545" i="14"/>
  <c r="AA546" i="14"/>
  <c r="AA547" i="14"/>
  <c r="AA548" i="14"/>
  <c r="AA549" i="14"/>
  <c r="AA550" i="14"/>
  <c r="AA551" i="14"/>
  <c r="AA552" i="14"/>
  <c r="AA553" i="14"/>
  <c r="AA554" i="14"/>
  <c r="AA555" i="14"/>
  <c r="AA556" i="14"/>
  <c r="AA557" i="14"/>
  <c r="AA558" i="14"/>
  <c r="AA559" i="14"/>
  <c r="AA560" i="14"/>
  <c r="AA561" i="14"/>
  <c r="AA255" i="15"/>
  <c r="AB255" i="15"/>
  <c r="AG255" i="15"/>
  <c r="AA256" i="15"/>
  <c r="AB256" i="15"/>
  <c r="AG256" i="15"/>
  <c r="AB257" i="15"/>
  <c r="AG257" i="15"/>
  <c r="AA258" i="15"/>
  <c r="AB258" i="15"/>
  <c r="AG258" i="15"/>
  <c r="AA259" i="15"/>
  <c r="AB259" i="15"/>
  <c r="AG259" i="15"/>
  <c r="AA260" i="15"/>
  <c r="AB260" i="15"/>
  <c r="AG260" i="15"/>
  <c r="AA261" i="15"/>
  <c r="AB261" i="15"/>
  <c r="AG261" i="15"/>
  <c r="AA262" i="15"/>
  <c r="AB262" i="15"/>
  <c r="AG262" i="15"/>
  <c r="AA263" i="15"/>
  <c r="AB263" i="15"/>
  <c r="AG263" i="15"/>
  <c r="AA264" i="15"/>
  <c r="AB264" i="15"/>
  <c r="AG264" i="15"/>
  <c r="AA265" i="15"/>
  <c r="AB265" i="15"/>
  <c r="AG265" i="15"/>
  <c r="AA266" i="15"/>
  <c r="AB266" i="15"/>
  <c r="AG266" i="15"/>
  <c r="AA267" i="15"/>
  <c r="AB267" i="15"/>
  <c r="AG267" i="15"/>
  <c r="AA268" i="15"/>
  <c r="AB268" i="15"/>
  <c r="AG268" i="15"/>
  <c r="AA269" i="15"/>
  <c r="AB269" i="15"/>
  <c r="AG269" i="15"/>
  <c r="AA270" i="15"/>
  <c r="AB270" i="15"/>
  <c r="AG270" i="15"/>
  <c r="AA271" i="15"/>
  <c r="AB271" i="15"/>
  <c r="AG271" i="15"/>
  <c r="AA272" i="15"/>
  <c r="AB272" i="15"/>
  <c r="AG272" i="15"/>
  <c r="AA273" i="15"/>
  <c r="AB273" i="15"/>
  <c r="AG273" i="15"/>
  <c r="AA274" i="15"/>
  <c r="AB274" i="15"/>
  <c r="AG274" i="15"/>
  <c r="AA282" i="15"/>
  <c r="AB282" i="15"/>
  <c r="AG282" i="15"/>
  <c r="AA283" i="15"/>
  <c r="AB283" i="15"/>
  <c r="AG283" i="15"/>
  <c r="AA284" i="15"/>
  <c r="AB284" i="15"/>
  <c r="AG284" i="15"/>
  <c r="AA285" i="15"/>
  <c r="AB285" i="15"/>
  <c r="AG285" i="15"/>
  <c r="AA286" i="15"/>
  <c r="AB286" i="15"/>
  <c r="AG286" i="15"/>
  <c r="AA287" i="15"/>
  <c r="AB287" i="15"/>
  <c r="AG287" i="15"/>
  <c r="AA288" i="15"/>
  <c r="AB288" i="15"/>
  <c r="AG288" i="15"/>
  <c r="AA289" i="15"/>
  <c r="AB289" i="15"/>
  <c r="AG289" i="15"/>
  <c r="AA290" i="15"/>
  <c r="AB290" i="15"/>
  <c r="AG290" i="15"/>
  <c r="AA291" i="15"/>
  <c r="AB291" i="15"/>
  <c r="AG291" i="15"/>
  <c r="AA292" i="15"/>
  <c r="AB292" i="15"/>
  <c r="AG292" i="15"/>
  <c r="F293" i="15"/>
  <c r="K293" i="15"/>
  <c r="O293" i="15"/>
  <c r="P293" i="15"/>
  <c r="T293" i="15"/>
  <c r="U293" i="15"/>
  <c r="Y293" i="15"/>
  <c r="Z293" i="15"/>
  <c r="AF293" i="15"/>
  <c r="AA294" i="15"/>
  <c r="AA295" i="15"/>
  <c r="AL257" i="15"/>
  <c r="AN257" i="15"/>
  <c r="AB294" i="15"/>
  <c r="AB295" i="15"/>
  <c r="AL258" i="15"/>
  <c r="AN258" i="15"/>
  <c r="AG294" i="15"/>
  <c r="AG295" i="15"/>
  <c r="AL259" i="15"/>
  <c r="AN259" i="15"/>
  <c r="AG226" i="15"/>
  <c r="AG227" i="15"/>
  <c r="AA226" i="15"/>
  <c r="AA227" i="15"/>
  <c r="AF244" i="15"/>
  <c r="Y185" i="15"/>
  <c r="Z185" i="15"/>
  <c r="T185" i="15"/>
  <c r="U185" i="15"/>
  <c r="O185" i="15"/>
  <c r="P185" i="15"/>
  <c r="J185" i="15"/>
  <c r="K185" i="15"/>
  <c r="F185" i="15"/>
  <c r="AF185" i="15"/>
  <c r="E185" i="15"/>
  <c r="AG183" i="15"/>
  <c r="AG184" i="15"/>
  <c r="AB183" i="15"/>
  <c r="AB184" i="15"/>
  <c r="AB608" i="14"/>
  <c r="AG608" i="14"/>
  <c r="AA609" i="14"/>
  <c r="AB609" i="14"/>
  <c r="AG609" i="14"/>
  <c r="AA610" i="14"/>
  <c r="AB610" i="14"/>
  <c r="AG610" i="14"/>
  <c r="AA611" i="14"/>
  <c r="AB611" i="14"/>
  <c r="AG611" i="14"/>
  <c r="AB612" i="14"/>
  <c r="AG612" i="14"/>
  <c r="AB613" i="14"/>
  <c r="AG613" i="14"/>
  <c r="AB614" i="14"/>
  <c r="AG614" i="14"/>
  <c r="AA615" i="14"/>
  <c r="AB615" i="14"/>
  <c r="AG615" i="14"/>
  <c r="AA616" i="14"/>
  <c r="AB616" i="14"/>
  <c r="AG616" i="14"/>
  <c r="AA617" i="14"/>
  <c r="AB617" i="14"/>
  <c r="AG617" i="14"/>
  <c r="AA618" i="14"/>
  <c r="AB618" i="14"/>
  <c r="AG618" i="14"/>
  <c r="AA619" i="14"/>
  <c r="AB619" i="14"/>
  <c r="AG619" i="14"/>
  <c r="AA620" i="14"/>
  <c r="AB620" i="14"/>
  <c r="AG620" i="14"/>
  <c r="AA621" i="14"/>
  <c r="AB621" i="14"/>
  <c r="AG621" i="14"/>
  <c r="AA622" i="14"/>
  <c r="AB622" i="14"/>
  <c r="AG622" i="14"/>
  <c r="AA623" i="14"/>
  <c r="AB623" i="14"/>
  <c r="AG623" i="14"/>
  <c r="AA624" i="14"/>
  <c r="AB624" i="14"/>
  <c r="AG624" i="14"/>
  <c r="AA625" i="14"/>
  <c r="AB625" i="14"/>
  <c r="AG625" i="14"/>
  <c r="AA626" i="14"/>
  <c r="AB626" i="14"/>
  <c r="AG626" i="14"/>
  <c r="AA627" i="14"/>
  <c r="AB627" i="14"/>
  <c r="AG627" i="14"/>
  <c r="AA628" i="14"/>
  <c r="AB628" i="14"/>
  <c r="AG628" i="14"/>
  <c r="AA629" i="14"/>
  <c r="AB629" i="14"/>
  <c r="AG629" i="14"/>
  <c r="E630" i="14"/>
  <c r="J630" i="14"/>
  <c r="O630" i="14"/>
  <c r="T630" i="14"/>
  <c r="Y630" i="14"/>
  <c r="AF630" i="14"/>
  <c r="AA631" i="14"/>
  <c r="AB631" i="14"/>
  <c r="AG631" i="14"/>
  <c r="AA632" i="14"/>
  <c r="AB632" i="14"/>
  <c r="AG632" i="14"/>
  <c r="E633" i="14"/>
  <c r="F633" i="14"/>
  <c r="G633" i="14"/>
  <c r="H633" i="14"/>
  <c r="I633" i="14"/>
  <c r="J633" i="14"/>
  <c r="K633" i="14"/>
  <c r="L633" i="14"/>
  <c r="M633" i="14"/>
  <c r="N633" i="14"/>
  <c r="O633" i="14"/>
  <c r="P633" i="14"/>
  <c r="Q633" i="14"/>
  <c r="R633" i="14"/>
  <c r="S633" i="14"/>
  <c r="T633" i="14"/>
  <c r="U633" i="14"/>
  <c r="V633" i="14"/>
  <c r="W633" i="14"/>
  <c r="X633" i="14"/>
  <c r="Y633" i="14"/>
  <c r="Z633" i="14"/>
  <c r="C189" i="15"/>
  <c r="C188" i="15"/>
  <c r="AL159" i="15"/>
  <c r="AN159" i="15"/>
  <c r="AA196" i="15"/>
  <c r="AB196" i="15"/>
  <c r="AG196" i="15"/>
  <c r="AA197" i="15"/>
  <c r="AG197" i="15"/>
  <c r="AA198" i="15"/>
  <c r="AG198" i="15"/>
  <c r="AA199" i="15"/>
  <c r="AG199" i="15"/>
  <c r="AA200" i="15"/>
  <c r="AG200" i="15"/>
  <c r="AA201" i="15"/>
  <c r="AG201" i="15"/>
  <c r="AA202" i="15"/>
  <c r="AG202" i="15"/>
  <c r="AA203" i="15"/>
  <c r="AG203" i="15"/>
  <c r="AA204" i="15"/>
  <c r="AG204" i="15"/>
  <c r="AA205" i="15"/>
  <c r="AG205" i="15"/>
  <c r="AA206" i="15"/>
  <c r="AG206" i="15"/>
  <c r="AA207" i="15"/>
  <c r="AG207" i="15"/>
  <c r="AA208" i="15"/>
  <c r="AG208" i="15"/>
  <c r="AA209" i="15"/>
  <c r="AG209" i="15"/>
  <c r="AA210" i="15"/>
  <c r="AG210" i="15"/>
  <c r="AA211" i="15"/>
  <c r="AG211" i="15"/>
  <c r="AA212" i="15"/>
  <c r="AG212" i="15"/>
  <c r="AA213" i="15"/>
  <c r="AG213" i="15"/>
  <c r="AA214" i="15"/>
  <c r="AG214" i="15"/>
  <c r="AA215" i="15"/>
  <c r="AG215" i="15"/>
  <c r="AA218" i="15"/>
  <c r="AG218" i="15"/>
  <c r="AA219" i="15"/>
  <c r="AG219" i="15"/>
  <c r="AA220" i="15"/>
  <c r="AG220" i="15"/>
  <c r="AA221" i="15"/>
  <c r="AG221" i="15"/>
  <c r="AA222" i="15"/>
  <c r="AG222" i="15"/>
  <c r="AA223" i="15"/>
  <c r="AG223" i="15"/>
  <c r="AA224" i="15"/>
  <c r="AG224" i="15"/>
  <c r="AA225" i="15"/>
  <c r="AG225" i="15"/>
  <c r="AA245" i="15"/>
  <c r="AA246" i="15"/>
  <c r="AL198" i="15"/>
  <c r="AN198" i="15"/>
  <c r="AG245" i="15"/>
  <c r="AG246" i="15"/>
  <c r="AL200" i="15"/>
  <c r="AN200" i="15"/>
  <c r="Y596" i="14"/>
  <c r="T596" i="14"/>
  <c r="O596" i="14"/>
  <c r="J596" i="14"/>
  <c r="AB574" i="14"/>
  <c r="AG574" i="14"/>
  <c r="AB575" i="14"/>
  <c r="AG575" i="14"/>
  <c r="AB576" i="14"/>
  <c r="AG576" i="14"/>
  <c r="AB577" i="14"/>
  <c r="AG577" i="14"/>
  <c r="AB578" i="14"/>
  <c r="AG578" i="14"/>
  <c r="AB579" i="14"/>
  <c r="AG579" i="14"/>
  <c r="AB580" i="14"/>
  <c r="AG580" i="14"/>
  <c r="AB581" i="14"/>
  <c r="AG581" i="14"/>
  <c r="AB582" i="14"/>
  <c r="AG582" i="14"/>
  <c r="AB583" i="14"/>
  <c r="AG583" i="14"/>
  <c r="AB584" i="14"/>
  <c r="AG584" i="14"/>
  <c r="AB585" i="14"/>
  <c r="AG585" i="14"/>
  <c r="AB586" i="14"/>
  <c r="AG586" i="14"/>
  <c r="AB587" i="14"/>
  <c r="AG587" i="14"/>
  <c r="AB588" i="14"/>
  <c r="AG588" i="14"/>
  <c r="AB589" i="14"/>
  <c r="AG589" i="14"/>
  <c r="AB590" i="14"/>
  <c r="AG590" i="14"/>
  <c r="AB591" i="14"/>
  <c r="AG591" i="14"/>
  <c r="AB592" i="14"/>
  <c r="AG592" i="14"/>
  <c r="AB593" i="14"/>
  <c r="AG593" i="14"/>
  <c r="AB594" i="14"/>
  <c r="AG594" i="14"/>
  <c r="AB595" i="14"/>
  <c r="AG595" i="14"/>
  <c r="E596" i="14"/>
  <c r="AF596" i="14"/>
  <c r="AA597" i="14"/>
  <c r="AB597" i="14"/>
  <c r="AG597" i="14"/>
  <c r="AA598" i="14"/>
  <c r="AB598" i="14"/>
  <c r="AG598" i="14"/>
  <c r="E599" i="14"/>
  <c r="F599" i="14"/>
  <c r="G599" i="14"/>
  <c r="H599" i="14"/>
  <c r="I599" i="14"/>
  <c r="J599" i="14"/>
  <c r="K599" i="14"/>
  <c r="L599" i="14"/>
  <c r="M599" i="14"/>
  <c r="N599" i="14"/>
  <c r="O599" i="14"/>
  <c r="P599" i="14"/>
  <c r="Q599" i="14"/>
  <c r="R599" i="14"/>
  <c r="S599" i="14"/>
  <c r="T599" i="14"/>
  <c r="U599" i="14"/>
  <c r="V599" i="14"/>
  <c r="W599" i="14"/>
  <c r="X599" i="14"/>
  <c r="Y599" i="14"/>
  <c r="Z599" i="14"/>
  <c r="C600" i="14"/>
  <c r="AL579" i="14"/>
  <c r="AN579" i="14"/>
  <c r="C567" i="14"/>
  <c r="AF186" i="15"/>
  <c r="AG186" i="15"/>
  <c r="AG187" i="15"/>
  <c r="AL158" i="15"/>
  <c r="AN158" i="15"/>
  <c r="J271" i="13"/>
  <c r="J270" i="13"/>
  <c r="J269" i="13"/>
  <c r="AA112" i="15"/>
  <c r="AA113" i="15"/>
  <c r="AA114" i="15"/>
  <c r="AA115" i="15"/>
  <c r="AA116" i="15"/>
  <c r="AA117" i="15"/>
  <c r="AA118" i="15"/>
  <c r="AA119" i="15"/>
  <c r="AA120" i="15"/>
  <c r="AA121" i="15"/>
  <c r="AA122" i="15"/>
  <c r="AA123" i="15"/>
  <c r="AA124" i="15"/>
  <c r="AA125" i="15"/>
  <c r="AA126" i="15"/>
  <c r="AA127" i="15"/>
  <c r="AA128" i="15"/>
  <c r="AA129" i="15"/>
  <c r="AA130" i="15"/>
  <c r="AA131" i="15"/>
  <c r="AA132" i="15"/>
  <c r="AA133" i="15"/>
  <c r="AA134" i="15"/>
  <c r="AA135" i="15"/>
  <c r="AA136" i="15"/>
  <c r="AA137" i="15"/>
  <c r="AA138" i="15"/>
  <c r="AA139" i="15"/>
  <c r="AA140" i="15"/>
  <c r="AA141" i="15"/>
  <c r="AA142" i="15"/>
  <c r="AA506" i="14"/>
  <c r="AA507" i="14"/>
  <c r="AA508" i="14"/>
  <c r="AA509" i="14"/>
  <c r="AA510" i="14"/>
  <c r="AA511" i="14"/>
  <c r="AA512" i="14"/>
  <c r="AA513" i="14"/>
  <c r="AA514" i="14"/>
  <c r="AA515" i="14"/>
  <c r="AA516" i="14"/>
  <c r="AA517" i="14"/>
  <c r="AA518" i="14"/>
  <c r="AA519" i="14"/>
  <c r="AA520" i="14"/>
  <c r="AA521" i="14"/>
  <c r="AA522" i="14"/>
  <c r="AA523" i="14"/>
  <c r="AA524" i="14"/>
  <c r="AA525" i="14"/>
  <c r="AA526" i="14"/>
  <c r="AA437" i="14"/>
  <c r="AF144" i="15"/>
  <c r="AG144" i="15"/>
  <c r="AG145" i="15"/>
  <c r="AL115" i="15"/>
  <c r="AN115" i="15"/>
  <c r="AA154" i="15"/>
  <c r="AB154" i="15"/>
  <c r="AG154" i="15"/>
  <c r="AB155" i="15"/>
  <c r="AG155" i="15"/>
  <c r="AB156" i="15"/>
  <c r="AG156" i="15"/>
  <c r="AB157" i="15"/>
  <c r="AG157" i="15"/>
  <c r="AB158" i="15"/>
  <c r="AG158" i="15"/>
  <c r="AB159" i="15"/>
  <c r="AG159" i="15"/>
  <c r="AB160" i="15"/>
  <c r="AG160" i="15"/>
  <c r="AB161" i="15"/>
  <c r="AG161" i="15"/>
  <c r="AB162" i="15"/>
  <c r="AG162" i="15"/>
  <c r="AB163" i="15"/>
  <c r="AG163" i="15"/>
  <c r="AB164" i="15"/>
  <c r="AG164" i="15"/>
  <c r="AB165" i="15"/>
  <c r="AG165" i="15"/>
  <c r="AB166" i="15"/>
  <c r="AG166" i="15"/>
  <c r="AB167" i="15"/>
  <c r="AG167" i="15"/>
  <c r="AB168" i="15"/>
  <c r="AG168" i="15"/>
  <c r="AB169" i="15"/>
  <c r="AG169" i="15"/>
  <c r="AB170" i="15"/>
  <c r="AG170" i="15"/>
  <c r="AB171" i="15"/>
  <c r="AG171" i="15"/>
  <c r="AB172" i="15"/>
  <c r="AG172" i="15"/>
  <c r="AB173" i="15"/>
  <c r="AG173" i="15"/>
  <c r="AB174" i="15"/>
  <c r="AG174" i="15"/>
  <c r="AB175" i="15"/>
  <c r="AG175" i="15"/>
  <c r="AB176" i="15"/>
  <c r="AG176" i="15"/>
  <c r="AB177" i="15"/>
  <c r="AG177" i="15"/>
  <c r="AB178" i="15"/>
  <c r="AG178" i="15"/>
  <c r="AB179" i="15"/>
  <c r="AG179" i="15"/>
  <c r="AB180" i="15"/>
  <c r="AG180" i="15"/>
  <c r="AB181" i="15"/>
  <c r="AG181" i="15"/>
  <c r="AB182" i="15"/>
  <c r="AG182" i="15"/>
  <c r="AA186" i="15"/>
  <c r="AA187" i="15"/>
  <c r="AL156" i="15"/>
  <c r="AN156" i="15"/>
  <c r="AB186" i="15"/>
  <c r="AB187" i="15"/>
  <c r="AL157" i="15"/>
  <c r="AN157" i="15"/>
  <c r="C533" i="14"/>
  <c r="C147" i="15"/>
  <c r="C146" i="15"/>
  <c r="AL116" i="15"/>
  <c r="AN116" i="15"/>
  <c r="AG134" i="15"/>
  <c r="AB134" i="15"/>
  <c r="AF143" i="15"/>
  <c r="E143" i="15"/>
  <c r="J143" i="15"/>
  <c r="O143" i="15"/>
  <c r="T143" i="15"/>
  <c r="Y143" i="15"/>
  <c r="C532" i="14"/>
  <c r="AG132" i="15"/>
  <c r="AG133" i="15"/>
  <c r="AG135" i="15"/>
  <c r="AG136" i="15"/>
  <c r="AG137" i="15"/>
  <c r="AG138" i="15"/>
  <c r="AG139" i="15"/>
  <c r="AG140" i="15"/>
  <c r="AG141" i="15"/>
  <c r="AG142" i="15"/>
  <c r="AB133" i="15"/>
  <c r="AB132" i="15"/>
  <c r="AB138" i="15"/>
  <c r="AB139" i="15"/>
  <c r="AB140" i="15"/>
  <c r="AB141" i="15"/>
  <c r="AB142" i="15"/>
  <c r="F9" i="16"/>
  <c r="G9" i="16" s="1"/>
  <c r="F10" i="16"/>
  <c r="F11" i="16"/>
  <c r="F12" i="16"/>
  <c r="F13" i="16"/>
  <c r="F14" i="16"/>
  <c r="F15" i="16"/>
  <c r="F16" i="16"/>
  <c r="F17" i="16"/>
  <c r="F18" i="16"/>
  <c r="F19" i="16"/>
  <c r="F20" i="16"/>
  <c r="F21" i="16"/>
  <c r="F22" i="16"/>
  <c r="F23" i="16"/>
  <c r="F24" i="16"/>
  <c r="F25" i="16"/>
  <c r="F26" i="16"/>
  <c r="F27" i="16"/>
  <c r="F28" i="16"/>
  <c r="F29" i="16"/>
  <c r="F30" i="16"/>
  <c r="F31" i="16"/>
  <c r="F32" i="16"/>
  <c r="F33" i="16"/>
  <c r="F34" i="16"/>
  <c r="F35" i="16"/>
  <c r="F36" i="16"/>
  <c r="F37" i="16"/>
  <c r="F38" i="16"/>
  <c r="F39" i="16"/>
  <c r="F40" i="16"/>
  <c r="F41" i="16"/>
  <c r="F42" i="16"/>
  <c r="F43" i="16"/>
  <c r="F44" i="16"/>
  <c r="F45" i="16"/>
  <c r="F46" i="16"/>
  <c r="F47" i="16"/>
  <c r="F48" i="16"/>
  <c r="F49" i="16"/>
  <c r="F50" i="16"/>
  <c r="F51" i="16"/>
  <c r="F52" i="16"/>
  <c r="F53" i="16"/>
  <c r="F54" i="16"/>
  <c r="F55" i="16"/>
  <c r="F56" i="16"/>
  <c r="F57" i="16"/>
  <c r="F4" i="16"/>
  <c r="F5" i="16"/>
  <c r="F6" i="16"/>
  <c r="F7" i="16"/>
  <c r="F8" i="16"/>
  <c r="F3" i="16"/>
  <c r="AB129" i="15"/>
  <c r="AG129" i="15"/>
  <c r="AB130" i="15"/>
  <c r="AG130" i="15"/>
  <c r="AB131" i="15"/>
  <c r="AG131" i="15"/>
  <c r="AG494" i="14"/>
  <c r="AB494" i="14"/>
  <c r="AA494" i="14"/>
  <c r="AG493" i="14"/>
  <c r="AB493" i="14"/>
  <c r="AA493" i="14"/>
  <c r="AA467" i="14"/>
  <c r="AA468" i="14"/>
  <c r="AA469" i="14"/>
  <c r="AA470" i="14"/>
  <c r="AA471" i="14"/>
  <c r="AA472" i="14"/>
  <c r="AA473" i="14"/>
  <c r="AA474" i="14"/>
  <c r="AA475" i="14"/>
  <c r="AA476" i="14"/>
  <c r="AA477" i="14"/>
  <c r="AA478" i="14"/>
  <c r="AA479" i="14"/>
  <c r="AA480" i="14"/>
  <c r="AA481" i="14"/>
  <c r="AA482" i="14"/>
  <c r="AA483" i="14"/>
  <c r="AA484" i="14"/>
  <c r="AA485" i="14"/>
  <c r="AA486" i="14"/>
  <c r="AA487" i="14"/>
  <c r="AA488" i="14"/>
  <c r="AA489" i="14"/>
  <c r="AA490" i="14"/>
  <c r="AA491" i="14"/>
  <c r="AB126" i="15"/>
  <c r="AG126" i="15"/>
  <c r="AB127" i="15"/>
  <c r="AG127" i="15"/>
  <c r="AB128" i="15"/>
  <c r="AG128" i="15"/>
  <c r="AA539" i="14"/>
  <c r="AB539" i="14"/>
  <c r="AG539" i="14"/>
  <c r="AB540" i="14"/>
  <c r="AG540" i="14"/>
  <c r="AB541" i="14"/>
  <c r="AG541" i="14"/>
  <c r="AB542" i="14"/>
  <c r="AG542" i="14"/>
  <c r="AB543" i="14"/>
  <c r="AG543" i="14"/>
  <c r="AB544" i="14"/>
  <c r="AG544" i="14"/>
  <c r="AB545" i="14"/>
  <c r="AG545" i="14"/>
  <c r="AB546" i="14"/>
  <c r="AG546" i="14"/>
  <c r="AB547" i="14"/>
  <c r="AG547" i="14"/>
  <c r="AB548" i="14"/>
  <c r="AG548" i="14"/>
  <c r="AB549" i="14"/>
  <c r="AG549" i="14"/>
  <c r="AB550" i="14"/>
  <c r="AG550" i="14"/>
  <c r="AB551" i="14"/>
  <c r="AG551" i="14"/>
  <c r="AB552" i="14"/>
  <c r="AG552" i="14"/>
  <c r="AB553" i="14"/>
  <c r="AG553" i="14"/>
  <c r="AB554" i="14"/>
  <c r="AG554" i="14"/>
  <c r="AB555" i="14"/>
  <c r="AG555" i="14"/>
  <c r="AB556" i="14"/>
  <c r="AG556" i="14"/>
  <c r="AB557" i="14"/>
  <c r="AG557" i="14"/>
  <c r="AB558" i="14"/>
  <c r="AG558" i="14"/>
  <c r="AB559" i="14"/>
  <c r="AG559" i="14"/>
  <c r="AB560" i="14"/>
  <c r="AG560" i="14"/>
  <c r="AB561" i="14"/>
  <c r="AG561" i="14"/>
  <c r="E562" i="14"/>
  <c r="F562" i="14"/>
  <c r="J562" i="14"/>
  <c r="K562" i="14"/>
  <c r="O562" i="14"/>
  <c r="P562" i="14"/>
  <c r="T562" i="14"/>
  <c r="U562" i="14"/>
  <c r="Y562" i="14"/>
  <c r="Z562" i="14"/>
  <c r="AF562" i="14"/>
  <c r="AA563" i="14"/>
  <c r="AB563" i="14"/>
  <c r="AG563" i="14"/>
  <c r="AA564" i="14"/>
  <c r="AB564" i="14"/>
  <c r="AG564" i="14"/>
  <c r="E565" i="14"/>
  <c r="F565" i="14"/>
  <c r="G565" i="14"/>
  <c r="H565" i="14"/>
  <c r="I565" i="14"/>
  <c r="J565" i="14"/>
  <c r="K565" i="14"/>
  <c r="L565" i="14"/>
  <c r="M565" i="14"/>
  <c r="N565" i="14"/>
  <c r="O565" i="14"/>
  <c r="P565" i="14"/>
  <c r="Q565" i="14"/>
  <c r="R565" i="14"/>
  <c r="S565" i="14"/>
  <c r="T565" i="14"/>
  <c r="U565" i="14"/>
  <c r="V565" i="14"/>
  <c r="W565" i="14"/>
  <c r="X565" i="14"/>
  <c r="Y565" i="14"/>
  <c r="Z565" i="14"/>
  <c r="AB136" i="15"/>
  <c r="AB481" i="14"/>
  <c r="AG480" i="14"/>
  <c r="AG481" i="14"/>
  <c r="AF101" i="15"/>
  <c r="AG101" i="15"/>
  <c r="C104" i="15"/>
  <c r="C103" i="15"/>
  <c r="AL82" i="15"/>
  <c r="AN82" i="15"/>
  <c r="C497" i="14"/>
  <c r="AD248" i="13"/>
  <c r="Z248" i="13"/>
  <c r="V248" i="13"/>
  <c r="R248" i="13"/>
  <c r="N248" i="13"/>
  <c r="J248" i="13"/>
  <c r="F248" i="13"/>
  <c r="AG98" i="15"/>
  <c r="AB98" i="15"/>
  <c r="AA98" i="15"/>
  <c r="U101" i="15"/>
  <c r="P101" i="15"/>
  <c r="C498" i="14"/>
  <c r="C459" i="14"/>
  <c r="AB476" i="14"/>
  <c r="AG476" i="14"/>
  <c r="AB144" i="15"/>
  <c r="AB145" i="15"/>
  <c r="AA144" i="15"/>
  <c r="AA145" i="15"/>
  <c r="AL113" i="15"/>
  <c r="AN113" i="15"/>
  <c r="Z143" i="15"/>
  <c r="U143" i="15"/>
  <c r="P143" i="15"/>
  <c r="K143" i="15"/>
  <c r="F143" i="15"/>
  <c r="AB137" i="15"/>
  <c r="AB135" i="15"/>
  <c r="AG125" i="15"/>
  <c r="AB125" i="15"/>
  <c r="AG124" i="15"/>
  <c r="AB124" i="15"/>
  <c r="AG123" i="15"/>
  <c r="AB123" i="15"/>
  <c r="AG122" i="15"/>
  <c r="AB122" i="15"/>
  <c r="AG121" i="15"/>
  <c r="AB121" i="15"/>
  <c r="AG120" i="15"/>
  <c r="AB120" i="15"/>
  <c r="AG119" i="15"/>
  <c r="AB119" i="15"/>
  <c r="AG118" i="15"/>
  <c r="AB118" i="15"/>
  <c r="AG117" i="15"/>
  <c r="AB117" i="15"/>
  <c r="AG116" i="15"/>
  <c r="AB116" i="15"/>
  <c r="AG115" i="15"/>
  <c r="AB115" i="15"/>
  <c r="AG114" i="15"/>
  <c r="AB114" i="15"/>
  <c r="AG113" i="15"/>
  <c r="AB113" i="15"/>
  <c r="AG112" i="15"/>
  <c r="AB112" i="15"/>
  <c r="AG111" i="15"/>
  <c r="AB111" i="15"/>
  <c r="AA111" i="15"/>
  <c r="Z530" i="14"/>
  <c r="Y530" i="14"/>
  <c r="X530" i="14"/>
  <c r="W530" i="14"/>
  <c r="V530" i="14"/>
  <c r="U530" i="14"/>
  <c r="T530" i="14"/>
  <c r="S530" i="14"/>
  <c r="R530" i="14"/>
  <c r="Q530" i="14"/>
  <c r="P530" i="14"/>
  <c r="O530" i="14"/>
  <c r="N530" i="14"/>
  <c r="M530" i="14"/>
  <c r="L530" i="14"/>
  <c r="K530" i="14"/>
  <c r="J530" i="14"/>
  <c r="I530" i="14"/>
  <c r="H530" i="14"/>
  <c r="G530" i="14"/>
  <c r="F530" i="14"/>
  <c r="E530" i="14"/>
  <c r="AG529" i="14"/>
  <c r="AB529" i="14"/>
  <c r="AA529" i="14"/>
  <c r="AG528" i="14"/>
  <c r="AB528" i="14"/>
  <c r="AA528" i="14"/>
  <c r="AF527" i="14"/>
  <c r="Z527" i="14"/>
  <c r="Y527" i="14"/>
  <c r="U527" i="14"/>
  <c r="T527" i="14"/>
  <c r="P527" i="14"/>
  <c r="O527" i="14"/>
  <c r="K527" i="14"/>
  <c r="J527" i="14"/>
  <c r="F527" i="14"/>
  <c r="E527" i="14"/>
  <c r="AG526" i="14"/>
  <c r="AB526" i="14"/>
  <c r="AG525" i="14"/>
  <c r="AB525" i="14"/>
  <c r="AG524" i="14"/>
  <c r="AB524" i="14"/>
  <c r="AG523" i="14"/>
  <c r="AB523" i="14"/>
  <c r="AG522" i="14"/>
  <c r="AB522" i="14"/>
  <c r="AG521" i="14"/>
  <c r="AB521" i="14"/>
  <c r="AG520" i="14"/>
  <c r="AB520" i="14"/>
  <c r="AG519" i="14"/>
  <c r="AB519" i="14"/>
  <c r="AG518" i="14"/>
  <c r="AB518" i="14"/>
  <c r="AG517" i="14"/>
  <c r="AB517" i="14"/>
  <c r="AG516" i="14"/>
  <c r="AB516" i="14"/>
  <c r="AG515" i="14"/>
  <c r="AB515" i="14"/>
  <c r="AG514" i="14"/>
  <c r="AB514" i="14"/>
  <c r="AG513" i="14"/>
  <c r="AB513" i="14"/>
  <c r="AG512" i="14"/>
  <c r="AB512" i="14"/>
  <c r="AG511" i="14"/>
  <c r="AB511" i="14"/>
  <c r="AG510" i="14"/>
  <c r="AB510" i="14"/>
  <c r="AG509" i="14"/>
  <c r="AB509" i="14"/>
  <c r="AG508" i="14"/>
  <c r="AB508" i="14"/>
  <c r="AG507" i="14"/>
  <c r="AB507" i="14"/>
  <c r="AG506" i="14"/>
  <c r="AB506" i="14"/>
  <c r="AG505" i="14"/>
  <c r="AB505" i="14"/>
  <c r="AA505" i="14"/>
  <c r="AG67" i="15"/>
  <c r="AB67" i="15"/>
  <c r="AB68" i="15"/>
  <c r="AL45" i="15"/>
  <c r="AN45" i="15"/>
  <c r="C70" i="15"/>
  <c r="C69" i="15"/>
  <c r="AL47" i="15"/>
  <c r="AN47" i="15"/>
  <c r="AG456" i="14"/>
  <c r="J66" i="15"/>
  <c r="AA43" i="15"/>
  <c r="AA44" i="15"/>
  <c r="AA45" i="15"/>
  <c r="AA46" i="15"/>
  <c r="AA47" i="15"/>
  <c r="AA48" i="15"/>
  <c r="AA49" i="15"/>
  <c r="AA50" i="15"/>
  <c r="AA51" i="15"/>
  <c r="AA52" i="15"/>
  <c r="AA53" i="15"/>
  <c r="AA54" i="15"/>
  <c r="AA55" i="15"/>
  <c r="AA56" i="15"/>
  <c r="AA57" i="15"/>
  <c r="AA58" i="15"/>
  <c r="AA59" i="15"/>
  <c r="AA60" i="15"/>
  <c r="AA61" i="15"/>
  <c r="AA62" i="15"/>
  <c r="AA63" i="15"/>
  <c r="AA64" i="15"/>
  <c r="AA65" i="15"/>
  <c r="AA438" i="14"/>
  <c r="AA407" i="14"/>
  <c r="AA429" i="14"/>
  <c r="AA430" i="14"/>
  <c r="AA431" i="14"/>
  <c r="AA432" i="14"/>
  <c r="AA433" i="14"/>
  <c r="AA434" i="14"/>
  <c r="AA435" i="14"/>
  <c r="AA436" i="14"/>
  <c r="AA439" i="14"/>
  <c r="AA440" i="14"/>
  <c r="AA441" i="14"/>
  <c r="AA442" i="14"/>
  <c r="AA443" i="14"/>
  <c r="AA444" i="14"/>
  <c r="AA445" i="14"/>
  <c r="AA446" i="14"/>
  <c r="AA447" i="14"/>
  <c r="AA448" i="14"/>
  <c r="AA449" i="14"/>
  <c r="AA450" i="14"/>
  <c r="AA451" i="14"/>
  <c r="AA452" i="14"/>
  <c r="AA453" i="14"/>
  <c r="C460" i="14"/>
  <c r="AA77" i="15"/>
  <c r="AB77" i="15"/>
  <c r="AG77" i="15"/>
  <c r="AA78" i="15"/>
  <c r="AB78" i="15"/>
  <c r="AG78" i="15"/>
  <c r="AA79" i="15"/>
  <c r="AB79" i="15"/>
  <c r="AG79" i="15"/>
  <c r="AA80" i="15"/>
  <c r="AB80" i="15"/>
  <c r="AG80" i="15"/>
  <c r="AA81" i="15"/>
  <c r="AB81" i="15"/>
  <c r="AG81" i="15"/>
  <c r="AA82" i="15"/>
  <c r="AB82" i="15"/>
  <c r="AG82" i="15"/>
  <c r="AA83" i="15"/>
  <c r="AB83" i="15"/>
  <c r="AG83" i="15"/>
  <c r="AA84" i="15"/>
  <c r="AB84" i="15"/>
  <c r="AG84" i="15"/>
  <c r="AA85" i="15"/>
  <c r="AB85" i="15"/>
  <c r="AG85" i="15"/>
  <c r="AA86" i="15"/>
  <c r="AB86" i="15"/>
  <c r="AG86" i="15"/>
  <c r="AA87" i="15"/>
  <c r="AB87" i="15"/>
  <c r="AG87" i="15"/>
  <c r="AA88" i="15"/>
  <c r="AB88" i="15"/>
  <c r="AG88" i="15"/>
  <c r="AA89" i="15"/>
  <c r="AB89" i="15"/>
  <c r="AG89" i="15"/>
  <c r="AA90" i="15"/>
  <c r="AB90" i="15"/>
  <c r="AG90" i="15"/>
  <c r="AA91" i="15"/>
  <c r="AB91" i="15"/>
  <c r="AG91" i="15"/>
  <c r="AA92" i="15"/>
  <c r="AB92" i="15"/>
  <c r="AG92" i="15"/>
  <c r="AA93" i="15"/>
  <c r="AB93" i="15"/>
  <c r="AG93" i="15"/>
  <c r="AA94" i="15"/>
  <c r="AB94" i="15"/>
  <c r="AG94" i="15"/>
  <c r="AA95" i="15"/>
  <c r="AB95" i="15"/>
  <c r="AG95" i="15"/>
  <c r="AA96" i="15"/>
  <c r="AB96" i="15"/>
  <c r="AG96" i="15"/>
  <c r="AA97" i="15"/>
  <c r="AB97" i="15"/>
  <c r="AG97" i="15"/>
  <c r="AA99" i="15"/>
  <c r="AB99" i="15"/>
  <c r="AG99" i="15"/>
  <c r="E100" i="15"/>
  <c r="F100" i="15"/>
  <c r="J100" i="15"/>
  <c r="O100" i="15"/>
  <c r="P100" i="15"/>
  <c r="T100" i="15"/>
  <c r="U100" i="15"/>
  <c r="Y100" i="15"/>
  <c r="Z100" i="15"/>
  <c r="AF100" i="15"/>
  <c r="AA101" i="15"/>
  <c r="AL79" i="15"/>
  <c r="AN79" i="15"/>
  <c r="AL80" i="15"/>
  <c r="AN80" i="15"/>
  <c r="AL81" i="15"/>
  <c r="AN81" i="15"/>
  <c r="AA466" i="14"/>
  <c r="AB466" i="14"/>
  <c r="AG466" i="14"/>
  <c r="AB467" i="14"/>
  <c r="AG467" i="14"/>
  <c r="AB468" i="14"/>
  <c r="AG468" i="14"/>
  <c r="AB469" i="14"/>
  <c r="AG469" i="14"/>
  <c r="AB470" i="14"/>
  <c r="AG470" i="14"/>
  <c r="AB471" i="14"/>
  <c r="AG471" i="14"/>
  <c r="AB472" i="14"/>
  <c r="AG472" i="14"/>
  <c r="AB473" i="14"/>
  <c r="AG473" i="14"/>
  <c r="AB474" i="14"/>
  <c r="AG474" i="14"/>
  <c r="AB475" i="14"/>
  <c r="AG475" i="14"/>
  <c r="AB477" i="14"/>
  <c r="AG477" i="14"/>
  <c r="AB478" i="14"/>
  <c r="AG478" i="14"/>
  <c r="AB479" i="14"/>
  <c r="AG479" i="14"/>
  <c r="AB480" i="14"/>
  <c r="AB482" i="14"/>
  <c r="AG482" i="14"/>
  <c r="AB483" i="14"/>
  <c r="AG483" i="14"/>
  <c r="AB484" i="14"/>
  <c r="AG484" i="14"/>
  <c r="AB485" i="14"/>
  <c r="AG485" i="14"/>
  <c r="AB486" i="14"/>
  <c r="AG486" i="14"/>
  <c r="AB487" i="14"/>
  <c r="AG487" i="14"/>
  <c r="AB488" i="14"/>
  <c r="AG488" i="14"/>
  <c r="AB489" i="14"/>
  <c r="AG489" i="14"/>
  <c r="AB490" i="14"/>
  <c r="AG490" i="14"/>
  <c r="AB491" i="14"/>
  <c r="AG491" i="14"/>
  <c r="E492" i="14"/>
  <c r="F492" i="14"/>
  <c r="J492" i="14"/>
  <c r="K492" i="14"/>
  <c r="O492" i="14"/>
  <c r="P492" i="14"/>
  <c r="T492" i="14"/>
  <c r="U492" i="14"/>
  <c r="Y492" i="14"/>
  <c r="Z492" i="14"/>
  <c r="AF492" i="14"/>
  <c r="E495" i="14"/>
  <c r="F495" i="14"/>
  <c r="G495" i="14"/>
  <c r="H495" i="14"/>
  <c r="I495" i="14"/>
  <c r="J495" i="14"/>
  <c r="K495" i="14"/>
  <c r="L495" i="14"/>
  <c r="M495" i="14"/>
  <c r="N495" i="14"/>
  <c r="O495" i="14"/>
  <c r="P495" i="14"/>
  <c r="Q495" i="14"/>
  <c r="R495" i="14"/>
  <c r="S495" i="14"/>
  <c r="T495" i="14"/>
  <c r="U495" i="14"/>
  <c r="V495" i="14"/>
  <c r="W495" i="14"/>
  <c r="X495" i="14"/>
  <c r="Y495" i="14"/>
  <c r="Z495" i="14"/>
  <c r="AG55" i="15"/>
  <c r="AG56" i="15"/>
  <c r="AG57" i="15"/>
  <c r="AG58" i="15"/>
  <c r="AB55" i="15"/>
  <c r="AB56" i="15"/>
  <c r="AB57" i="15"/>
  <c r="AB58" i="15"/>
  <c r="AG61" i="15"/>
  <c r="AB61" i="15"/>
  <c r="N190" i="13"/>
  <c r="J190" i="13"/>
  <c r="R230" i="13"/>
  <c r="V230" i="13"/>
  <c r="Z230" i="13"/>
  <c r="AD230" i="13"/>
  <c r="R231" i="13"/>
  <c r="V231" i="13"/>
  <c r="Z231" i="13"/>
  <c r="AD231" i="13"/>
  <c r="N230" i="13"/>
  <c r="J230" i="13"/>
  <c r="F230" i="13"/>
  <c r="AG63" i="15"/>
  <c r="AB63" i="15"/>
  <c r="AB408" i="14"/>
  <c r="AB409" i="14"/>
  <c r="AB410" i="14"/>
  <c r="AB411" i="14"/>
  <c r="AB412" i="14"/>
  <c r="AB413" i="14"/>
  <c r="AB414" i="14"/>
  <c r="AB415" i="14"/>
  <c r="AB397" i="14"/>
  <c r="AB398" i="14"/>
  <c r="AB399" i="14"/>
  <c r="AB400" i="14"/>
  <c r="AB401" i="14"/>
  <c r="AB402" i="14"/>
  <c r="AB403" i="14"/>
  <c r="AB404" i="14"/>
  <c r="AB405" i="14"/>
  <c r="AB406" i="14"/>
  <c r="AB407" i="14"/>
  <c r="AB387" i="14"/>
  <c r="AB388" i="14"/>
  <c r="AB389" i="14"/>
  <c r="AB390" i="14"/>
  <c r="AB391" i="14"/>
  <c r="AB392" i="14"/>
  <c r="AB393" i="14"/>
  <c r="AB394" i="14"/>
  <c r="AB395" i="14"/>
  <c r="AB396" i="14"/>
  <c r="AA405" i="14"/>
  <c r="AA406" i="14"/>
  <c r="AA408" i="14"/>
  <c r="AA409" i="14"/>
  <c r="AA410" i="14"/>
  <c r="AA411" i="14"/>
  <c r="AA412" i="14"/>
  <c r="AA413" i="14"/>
  <c r="AA414" i="14"/>
  <c r="AA415" i="14"/>
  <c r="AA397" i="14"/>
  <c r="AA398" i="14"/>
  <c r="AA399" i="14"/>
  <c r="AA400" i="14"/>
  <c r="AA401" i="14"/>
  <c r="AA402" i="14"/>
  <c r="AA403" i="14"/>
  <c r="AA404" i="14"/>
  <c r="AA387" i="14"/>
  <c r="AA388" i="14"/>
  <c r="AA389" i="14"/>
  <c r="AA390" i="14"/>
  <c r="AA391" i="14"/>
  <c r="AA392" i="14"/>
  <c r="AA393" i="14"/>
  <c r="AA394" i="14"/>
  <c r="AA395" i="14"/>
  <c r="AA396" i="14"/>
  <c r="C35" i="15"/>
  <c r="C34" i="15"/>
  <c r="C421" i="14"/>
  <c r="C420" i="14"/>
  <c r="AL391" i="14"/>
  <c r="AN391" i="14"/>
  <c r="AG62" i="15"/>
  <c r="AB62" i="15"/>
  <c r="AD216" i="13"/>
  <c r="Z216" i="13"/>
  <c r="V216" i="13"/>
  <c r="R216" i="13"/>
  <c r="N216" i="13"/>
  <c r="J216" i="13"/>
  <c r="F216" i="13"/>
  <c r="AD229" i="13"/>
  <c r="Z229" i="13"/>
  <c r="V229" i="13"/>
  <c r="R229" i="13"/>
  <c r="N229" i="13"/>
  <c r="J229" i="13"/>
  <c r="F229" i="13"/>
  <c r="AD228" i="13"/>
  <c r="Z228" i="13"/>
  <c r="V228" i="13"/>
  <c r="R228" i="13"/>
  <c r="N228" i="13"/>
  <c r="J228" i="13"/>
  <c r="F228" i="13"/>
  <c r="N231" i="13"/>
  <c r="J231" i="13"/>
  <c r="F231" i="13"/>
  <c r="AD227" i="13"/>
  <c r="Z227" i="13"/>
  <c r="V227" i="13"/>
  <c r="R227" i="13"/>
  <c r="N227" i="13"/>
  <c r="J227" i="13"/>
  <c r="F227" i="13"/>
  <c r="AD232" i="13"/>
  <c r="Z232" i="13"/>
  <c r="V232" i="13"/>
  <c r="R232" i="13"/>
  <c r="N232" i="13"/>
  <c r="J232" i="13"/>
  <c r="F232" i="13"/>
  <c r="AG53" i="15"/>
  <c r="AG45" i="15"/>
  <c r="AG59" i="15"/>
  <c r="AB59" i="15"/>
  <c r="AG60" i="15"/>
  <c r="AB60" i="15"/>
  <c r="AG453" i="14"/>
  <c r="AD212" i="13"/>
  <c r="Z212" i="13"/>
  <c r="V212" i="13"/>
  <c r="R212" i="13"/>
  <c r="N212" i="13"/>
  <c r="J212" i="13"/>
  <c r="F212" i="13"/>
  <c r="AG19" i="15"/>
  <c r="AG20" i="15"/>
  <c r="AG21" i="15"/>
  <c r="AG22" i="15"/>
  <c r="AG23" i="15"/>
  <c r="AG24" i="15"/>
  <c r="AG25" i="15"/>
  <c r="AG26" i="15"/>
  <c r="AG27" i="15"/>
  <c r="AG28" i="15"/>
  <c r="AB434" i="14"/>
  <c r="AB435" i="14"/>
  <c r="AB453" i="14"/>
  <c r="AA428" i="14"/>
  <c r="AB428" i="14"/>
  <c r="AG428" i="14"/>
  <c r="AB429" i="14"/>
  <c r="AG429" i="14"/>
  <c r="AB430" i="14"/>
  <c r="AG430" i="14"/>
  <c r="AB431" i="14"/>
  <c r="AG431" i="14"/>
  <c r="AB432" i="14"/>
  <c r="AG432" i="14"/>
  <c r="AB433" i="14"/>
  <c r="AG433" i="14"/>
  <c r="AG434" i="14"/>
  <c r="AG435" i="14"/>
  <c r="AB436" i="14"/>
  <c r="AG436" i="14"/>
  <c r="AB437" i="14"/>
  <c r="AG437" i="14"/>
  <c r="AB438" i="14"/>
  <c r="AG438" i="14"/>
  <c r="AB439" i="14"/>
  <c r="AG439" i="14"/>
  <c r="AB440" i="14"/>
  <c r="AG440" i="14"/>
  <c r="AB441" i="14"/>
  <c r="AG441" i="14"/>
  <c r="AB442" i="14"/>
  <c r="AG442" i="14"/>
  <c r="AB443" i="14"/>
  <c r="AG443" i="14"/>
  <c r="AB444" i="14"/>
  <c r="AG444" i="14"/>
  <c r="AB445" i="14"/>
  <c r="AG445" i="14"/>
  <c r="AB446" i="14"/>
  <c r="AG446" i="14"/>
  <c r="AB447" i="14"/>
  <c r="AG447" i="14"/>
  <c r="AB448" i="14"/>
  <c r="AG448" i="14"/>
  <c r="AB449" i="14"/>
  <c r="AG449" i="14"/>
  <c r="AB450" i="14"/>
  <c r="AG450" i="14"/>
  <c r="AB451" i="14"/>
  <c r="AG451" i="14"/>
  <c r="AB452" i="14"/>
  <c r="AG452" i="14"/>
  <c r="E454" i="14"/>
  <c r="F454" i="14"/>
  <c r="J454" i="14"/>
  <c r="K454" i="14"/>
  <c r="O454" i="14"/>
  <c r="P454" i="14"/>
  <c r="T454" i="14"/>
  <c r="U454" i="14"/>
  <c r="Y454" i="14"/>
  <c r="Z454" i="14"/>
  <c r="AF454" i="14"/>
  <c r="AA455" i="14"/>
  <c r="AB455" i="14"/>
  <c r="AG455" i="14"/>
  <c r="AA456" i="14"/>
  <c r="AB456" i="14"/>
  <c r="E457" i="14"/>
  <c r="F457" i="14"/>
  <c r="G457" i="14"/>
  <c r="H457" i="14"/>
  <c r="I457" i="14"/>
  <c r="J457" i="14"/>
  <c r="K457" i="14"/>
  <c r="L457" i="14"/>
  <c r="M457" i="14"/>
  <c r="N457" i="14"/>
  <c r="O457" i="14"/>
  <c r="P457" i="14"/>
  <c r="Q457" i="14"/>
  <c r="R457" i="14"/>
  <c r="S457" i="14"/>
  <c r="T457" i="14"/>
  <c r="U457" i="14"/>
  <c r="V457" i="14"/>
  <c r="W457" i="14"/>
  <c r="X457" i="14"/>
  <c r="Y457" i="14"/>
  <c r="Z457" i="14"/>
  <c r="C458" i="14"/>
  <c r="AL46" i="15"/>
  <c r="AN46" i="15"/>
  <c r="AA67" i="15"/>
  <c r="AA68" i="15"/>
  <c r="AL44" i="15"/>
  <c r="AN44" i="15"/>
  <c r="AF66" i="15"/>
  <c r="Z66" i="15"/>
  <c r="Y66" i="15"/>
  <c r="U66" i="15"/>
  <c r="T66" i="15"/>
  <c r="P66" i="15"/>
  <c r="O66" i="15"/>
  <c r="K66" i="15"/>
  <c r="F66" i="15"/>
  <c r="E66" i="15"/>
  <c r="AG65" i="15"/>
  <c r="AB65" i="15"/>
  <c r="AG64" i="15"/>
  <c r="AB64" i="15"/>
  <c r="AG54" i="15"/>
  <c r="AB54" i="15"/>
  <c r="AB53" i="15"/>
  <c r="AG52" i="15"/>
  <c r="AB52" i="15"/>
  <c r="AG51" i="15"/>
  <c r="AB51" i="15"/>
  <c r="AG50" i="15"/>
  <c r="AB50" i="15"/>
  <c r="AG49" i="15"/>
  <c r="AB49" i="15"/>
  <c r="AG48" i="15"/>
  <c r="AB48" i="15"/>
  <c r="AG47" i="15"/>
  <c r="AB47" i="15"/>
  <c r="AG46" i="15"/>
  <c r="AB46" i="15"/>
  <c r="AB45" i="15"/>
  <c r="AG44" i="15"/>
  <c r="AB44" i="15"/>
  <c r="AG43" i="15"/>
  <c r="AB43" i="15"/>
  <c r="AG42" i="15"/>
  <c r="AB42" i="15"/>
  <c r="AA42" i="15"/>
  <c r="AA19" i="15"/>
  <c r="AB19" i="15"/>
  <c r="AA20" i="15"/>
  <c r="AB20" i="15"/>
  <c r="AA21" i="15"/>
  <c r="AB21" i="15"/>
  <c r="AA22" i="15"/>
  <c r="AB22" i="15"/>
  <c r="AA23" i="15"/>
  <c r="AB23" i="15"/>
  <c r="AA24" i="15"/>
  <c r="AB24" i="15"/>
  <c r="AA25" i="15"/>
  <c r="AB25" i="15"/>
  <c r="AA26" i="15"/>
  <c r="AB26" i="15"/>
  <c r="AA27" i="15"/>
  <c r="AB27" i="15"/>
  <c r="AD163" i="13"/>
  <c r="Z163" i="13"/>
  <c r="V163" i="13"/>
  <c r="R163" i="13"/>
  <c r="N163" i="13"/>
  <c r="J163" i="13"/>
  <c r="J374" i="14"/>
  <c r="AA369" i="14"/>
  <c r="AA370" i="14"/>
  <c r="AA371" i="14"/>
  <c r="AA372" i="14"/>
  <c r="AA373" i="14"/>
  <c r="AA360" i="14"/>
  <c r="AA361" i="14"/>
  <c r="AA362" i="14"/>
  <c r="AA363" i="14"/>
  <c r="AA364" i="14"/>
  <c r="AA365" i="14"/>
  <c r="AA366" i="14"/>
  <c r="AA367" i="14"/>
  <c r="AA351" i="14"/>
  <c r="AA352" i="14"/>
  <c r="AA353" i="14"/>
  <c r="AA354" i="14"/>
  <c r="AA355" i="14"/>
  <c r="AA356" i="14"/>
  <c r="AA357" i="14"/>
  <c r="AA358" i="14"/>
  <c r="AA339" i="14"/>
  <c r="AA340" i="14"/>
  <c r="AA341" i="14"/>
  <c r="AA342" i="14"/>
  <c r="AA343" i="14"/>
  <c r="AA344" i="14"/>
  <c r="AA345" i="14"/>
  <c r="AA346" i="14"/>
  <c r="AA347" i="14"/>
  <c r="AA348" i="14"/>
  <c r="AA349" i="14"/>
  <c r="AA368" i="14"/>
  <c r="AA359" i="14"/>
  <c r="AA350" i="14"/>
  <c r="AD215" i="13"/>
  <c r="Z215" i="13"/>
  <c r="V215" i="13"/>
  <c r="R215" i="13"/>
  <c r="N215" i="13"/>
  <c r="J215" i="13"/>
  <c r="F215" i="13"/>
  <c r="Z33" i="15"/>
  <c r="Y33" i="15"/>
  <c r="V33" i="15"/>
  <c r="U33" i="15"/>
  <c r="T33" i="15"/>
  <c r="Q33" i="15"/>
  <c r="P33" i="15"/>
  <c r="O33" i="15"/>
  <c r="L33" i="15"/>
  <c r="K33" i="15"/>
  <c r="J33" i="15"/>
  <c r="G33" i="15"/>
  <c r="F33" i="15"/>
  <c r="E33" i="15"/>
  <c r="AG32" i="15"/>
  <c r="AG33" i="15"/>
  <c r="AL20" i="15"/>
  <c r="AN20" i="15"/>
  <c r="AB32" i="15"/>
  <c r="AB33" i="15"/>
  <c r="AA32" i="15"/>
  <c r="AA33" i="15"/>
  <c r="AF31" i="15"/>
  <c r="Z31" i="15"/>
  <c r="Y31" i="15"/>
  <c r="U31" i="15"/>
  <c r="T31" i="15"/>
  <c r="P31" i="15"/>
  <c r="O31" i="15"/>
  <c r="K31" i="15"/>
  <c r="J31" i="15"/>
  <c r="F31" i="15"/>
  <c r="E31" i="15"/>
  <c r="AG30" i="15"/>
  <c r="AB30" i="15"/>
  <c r="AA30" i="15"/>
  <c r="AG29" i="15"/>
  <c r="AB29" i="15"/>
  <c r="AA29" i="15"/>
  <c r="AB28" i="15"/>
  <c r="AA28" i="15"/>
  <c r="AG18" i="15"/>
  <c r="AB18" i="15"/>
  <c r="AA18" i="15"/>
  <c r="AG17" i="15"/>
  <c r="AB17" i="15"/>
  <c r="AA17" i="15"/>
  <c r="AG16" i="15"/>
  <c r="AB16" i="15"/>
  <c r="AA16" i="15"/>
  <c r="AD207" i="13"/>
  <c r="Z207" i="13"/>
  <c r="V207" i="13"/>
  <c r="F210" i="13"/>
  <c r="F207" i="13"/>
  <c r="J207" i="13"/>
  <c r="N207" i="13"/>
  <c r="R207" i="13"/>
  <c r="J210" i="13"/>
  <c r="AD210" i="13"/>
  <c r="Z210" i="13"/>
  <c r="V210" i="13"/>
  <c r="R210" i="13"/>
  <c r="N210" i="13"/>
  <c r="AD214" i="13"/>
  <c r="Z214" i="13"/>
  <c r="V214" i="13"/>
  <c r="R214" i="13"/>
  <c r="N214" i="13"/>
  <c r="J214" i="13"/>
  <c r="F214" i="13"/>
  <c r="N213" i="13"/>
  <c r="R213" i="13"/>
  <c r="V213" i="13"/>
  <c r="Z213" i="13"/>
  <c r="AD213" i="13"/>
  <c r="J213" i="13"/>
  <c r="F213" i="13"/>
  <c r="N208" i="13"/>
  <c r="R208" i="13"/>
  <c r="V208" i="13"/>
  <c r="Z208" i="13"/>
  <c r="AD208" i="13"/>
  <c r="J208" i="13"/>
  <c r="F208" i="13"/>
  <c r="J204" i="13"/>
  <c r="J205" i="13"/>
  <c r="F205" i="13"/>
  <c r="E416" i="14"/>
  <c r="C380" i="14"/>
  <c r="F193" i="13"/>
  <c r="J193" i="13"/>
  <c r="N193" i="13"/>
  <c r="R193" i="13"/>
  <c r="V193" i="13"/>
  <c r="Z193" i="13"/>
  <c r="AD193" i="13"/>
  <c r="F194" i="13"/>
  <c r="J194" i="13"/>
  <c r="N194" i="13"/>
  <c r="R194" i="13"/>
  <c r="V194" i="13"/>
  <c r="Z194" i="13"/>
  <c r="AD194" i="13"/>
  <c r="AD192" i="13"/>
  <c r="Z192" i="13"/>
  <c r="V192" i="13"/>
  <c r="R192" i="13"/>
  <c r="N192" i="13"/>
  <c r="J192" i="13"/>
  <c r="F192" i="13"/>
  <c r="C379" i="14"/>
  <c r="AD191" i="13"/>
  <c r="Z191" i="13"/>
  <c r="V191" i="13"/>
  <c r="R191" i="13"/>
  <c r="N191" i="13"/>
  <c r="J191" i="13"/>
  <c r="F191" i="13"/>
  <c r="Z419" i="14"/>
  <c r="Y419" i="14"/>
  <c r="X419" i="14"/>
  <c r="W419" i="14"/>
  <c r="V419" i="14"/>
  <c r="U419" i="14"/>
  <c r="T419" i="14"/>
  <c r="S419" i="14"/>
  <c r="R419" i="14"/>
  <c r="Q419" i="14"/>
  <c r="P419" i="14"/>
  <c r="O419" i="14"/>
  <c r="N419" i="14"/>
  <c r="M419" i="14"/>
  <c r="L419" i="14"/>
  <c r="K419" i="14"/>
  <c r="J419" i="14"/>
  <c r="I419" i="14"/>
  <c r="H419" i="14"/>
  <c r="G419" i="14"/>
  <c r="F419" i="14"/>
  <c r="E419" i="14"/>
  <c r="AG418" i="14"/>
  <c r="AB418" i="14"/>
  <c r="AA418" i="14"/>
  <c r="AG417" i="14"/>
  <c r="AB417" i="14"/>
  <c r="AA417" i="14"/>
  <c r="AA419" i="14"/>
  <c r="AL388" i="14"/>
  <c r="AN388" i="14"/>
  <c r="AF416" i="14"/>
  <c r="Z416" i="14"/>
  <c r="Y416" i="14"/>
  <c r="U416" i="14"/>
  <c r="T416" i="14"/>
  <c r="P416" i="14"/>
  <c r="O416" i="14"/>
  <c r="K416" i="14"/>
  <c r="J416" i="14"/>
  <c r="F416" i="14"/>
  <c r="AG413" i="14"/>
  <c r="AG412" i="14"/>
  <c r="AG411" i="14"/>
  <c r="AG410" i="14"/>
  <c r="AG409" i="14"/>
  <c r="AG408" i="14"/>
  <c r="AG407" i="14"/>
  <c r="AG406" i="14"/>
  <c r="AG405" i="14"/>
  <c r="AG404" i="14"/>
  <c r="AG403" i="14"/>
  <c r="AG402" i="14"/>
  <c r="AG401" i="14"/>
  <c r="AG400" i="14"/>
  <c r="AG399" i="14"/>
  <c r="AG398" i="14"/>
  <c r="AG397" i="14"/>
  <c r="AG396" i="14"/>
  <c r="AG395" i="14"/>
  <c r="AG394" i="14"/>
  <c r="AG393" i="14"/>
  <c r="AG392" i="14"/>
  <c r="AG391" i="14"/>
  <c r="AG390" i="14"/>
  <c r="AG389" i="14"/>
  <c r="AG388" i="14"/>
  <c r="AG387" i="14"/>
  <c r="AG386" i="14"/>
  <c r="AB386" i="14"/>
  <c r="AA386" i="14"/>
  <c r="O374" i="14"/>
  <c r="N189" i="13"/>
  <c r="R189" i="13"/>
  <c r="V189" i="13"/>
  <c r="Z189" i="13"/>
  <c r="AD189" i="13"/>
  <c r="R190" i="13"/>
  <c r="V190" i="13"/>
  <c r="Z190" i="13"/>
  <c r="AD190" i="13"/>
  <c r="J189" i="13"/>
  <c r="F189" i="13"/>
  <c r="F190" i="13"/>
  <c r="AA319" i="14"/>
  <c r="AA320" i="14"/>
  <c r="AA321" i="14"/>
  <c r="AA322" i="14"/>
  <c r="AA323" i="14"/>
  <c r="AA324" i="14"/>
  <c r="AA325" i="14"/>
  <c r="AA309" i="14"/>
  <c r="AA310" i="14"/>
  <c r="AA311" i="14"/>
  <c r="AA312" i="14"/>
  <c r="AA313" i="14"/>
  <c r="AA314" i="14"/>
  <c r="AA315" i="14"/>
  <c r="AA316" i="14"/>
  <c r="AA317" i="14"/>
  <c r="AA318" i="14"/>
  <c r="AA299" i="14"/>
  <c r="AA300" i="14"/>
  <c r="AA301" i="14"/>
  <c r="AA302" i="14"/>
  <c r="AA303" i="14"/>
  <c r="AA304" i="14"/>
  <c r="AA305" i="14"/>
  <c r="AA306" i="14"/>
  <c r="AA307" i="14"/>
  <c r="AA308" i="14"/>
  <c r="AA292" i="14"/>
  <c r="AA293" i="14"/>
  <c r="AA294" i="14"/>
  <c r="AA295" i="14"/>
  <c r="AA296" i="14"/>
  <c r="AA297" i="14"/>
  <c r="AA298" i="14"/>
  <c r="AG364" i="14"/>
  <c r="AB364" i="14"/>
  <c r="F172" i="13"/>
  <c r="F173" i="13"/>
  <c r="J172" i="13"/>
  <c r="J173" i="13"/>
  <c r="N172" i="13"/>
  <c r="N173" i="13"/>
  <c r="R172" i="13"/>
  <c r="R173" i="13"/>
  <c r="V173" i="13"/>
  <c r="Z172" i="13"/>
  <c r="Z173" i="13"/>
  <c r="AD172" i="13"/>
  <c r="AD173" i="13"/>
  <c r="V172" i="13"/>
  <c r="AG363" i="14"/>
  <c r="AB363" i="14"/>
  <c r="AG362" i="14"/>
  <c r="AB362" i="14"/>
  <c r="AG361" i="14"/>
  <c r="AB361" i="14"/>
  <c r="AG360" i="14"/>
  <c r="AB360" i="14"/>
  <c r="AG359" i="14"/>
  <c r="AB359" i="14"/>
  <c r="AG358" i="14"/>
  <c r="AB358" i="14"/>
  <c r="AG357" i="14"/>
  <c r="AB357" i="14"/>
  <c r="AG356" i="14"/>
  <c r="AB356" i="14"/>
  <c r="C332" i="14"/>
  <c r="C331" i="14"/>
  <c r="AD170" i="13"/>
  <c r="AD171" i="13"/>
  <c r="Z170" i="13"/>
  <c r="Z171" i="13"/>
  <c r="V170" i="13"/>
  <c r="V171" i="13"/>
  <c r="R170" i="13"/>
  <c r="R171" i="13"/>
  <c r="N170" i="13"/>
  <c r="N171" i="13"/>
  <c r="F170" i="13"/>
  <c r="J170" i="13"/>
  <c r="F171" i="13"/>
  <c r="J171" i="13"/>
  <c r="AD168" i="13"/>
  <c r="Z168" i="13"/>
  <c r="V168" i="13"/>
  <c r="R168" i="13"/>
  <c r="N168" i="13"/>
  <c r="J168" i="13"/>
  <c r="F168" i="13"/>
  <c r="AB309" i="14"/>
  <c r="AG309" i="14"/>
  <c r="AB310" i="14"/>
  <c r="AG310" i="14"/>
  <c r="AB311" i="14"/>
  <c r="AG311" i="14"/>
  <c r="AA261" i="14"/>
  <c r="AA262" i="14"/>
  <c r="AA263" i="14"/>
  <c r="AA264" i="14"/>
  <c r="AA265" i="14"/>
  <c r="AA266" i="14"/>
  <c r="AA267" i="14"/>
  <c r="AA268" i="14"/>
  <c r="AA269" i="14"/>
  <c r="AA270" i="14"/>
  <c r="AA271" i="14"/>
  <c r="AA272" i="14"/>
  <c r="AA273" i="14"/>
  <c r="AA274" i="14"/>
  <c r="AA275" i="14"/>
  <c r="AA276" i="14"/>
  <c r="AA277" i="14"/>
  <c r="AA278" i="14"/>
  <c r="AA247" i="14"/>
  <c r="AA248" i="14"/>
  <c r="AA249" i="14"/>
  <c r="AA250" i="14"/>
  <c r="AA251" i="14"/>
  <c r="AA252" i="14"/>
  <c r="AA253" i="14"/>
  <c r="AA254" i="14"/>
  <c r="AA255" i="14"/>
  <c r="AA256" i="14"/>
  <c r="AA257" i="14"/>
  <c r="AA258" i="14"/>
  <c r="AA259" i="14"/>
  <c r="AA260" i="14"/>
  <c r="F163" i="13"/>
  <c r="J326" i="14"/>
  <c r="AG312" i="14"/>
  <c r="AG313" i="14"/>
  <c r="AG314" i="14"/>
  <c r="AG315" i="14"/>
  <c r="AG316" i="14"/>
  <c r="AB312" i="14"/>
  <c r="AB313" i="14"/>
  <c r="AB314" i="14"/>
  <c r="AB315" i="14"/>
  <c r="AB316" i="14"/>
  <c r="E326" i="14"/>
  <c r="Z377" i="14"/>
  <c r="Y377" i="14"/>
  <c r="X377" i="14"/>
  <c r="W377" i="14"/>
  <c r="V377" i="14"/>
  <c r="U377" i="14"/>
  <c r="T377" i="14"/>
  <c r="S377" i="14"/>
  <c r="R377" i="14"/>
  <c r="Q377" i="14"/>
  <c r="P377" i="14"/>
  <c r="O377" i="14"/>
  <c r="N377" i="14"/>
  <c r="M377" i="14"/>
  <c r="L377" i="14"/>
  <c r="K377" i="14"/>
  <c r="J377" i="14"/>
  <c r="I377" i="14"/>
  <c r="H377" i="14"/>
  <c r="G377" i="14"/>
  <c r="F377" i="14"/>
  <c r="E377" i="14"/>
  <c r="AG376" i="14"/>
  <c r="AB376" i="14"/>
  <c r="AA376" i="14"/>
  <c r="AG375" i="14"/>
  <c r="AB375" i="14"/>
  <c r="AA375" i="14"/>
  <c r="AF374" i="14"/>
  <c r="Z374" i="14"/>
  <c r="Y374" i="14"/>
  <c r="U374" i="14"/>
  <c r="T374" i="14"/>
  <c r="P374" i="14"/>
  <c r="K374" i="14"/>
  <c r="F374" i="14"/>
  <c r="E374" i="14"/>
  <c r="AB373" i="14"/>
  <c r="AG372" i="14"/>
  <c r="AB372" i="14"/>
  <c r="AG371" i="14"/>
  <c r="AB371" i="14"/>
  <c r="AG370" i="14"/>
  <c r="AB370" i="14"/>
  <c r="AG369" i="14"/>
  <c r="AB369" i="14"/>
  <c r="AG368" i="14"/>
  <c r="AB368" i="14"/>
  <c r="AG367" i="14"/>
  <c r="AB367" i="14"/>
  <c r="AG366" i="14"/>
  <c r="AB366" i="14"/>
  <c r="AG365" i="14"/>
  <c r="AB365" i="14"/>
  <c r="AG355" i="14"/>
  <c r="AB355" i="14"/>
  <c r="AG354" i="14"/>
  <c r="AB354" i="14"/>
  <c r="AG353" i="14"/>
  <c r="AB353" i="14"/>
  <c r="AG352" i="14"/>
  <c r="AB352" i="14"/>
  <c r="AG351" i="14"/>
  <c r="AB351" i="14"/>
  <c r="AG350" i="14"/>
  <c r="AB350" i="14"/>
  <c r="AG349" i="14"/>
  <c r="AB349" i="14"/>
  <c r="AG348" i="14"/>
  <c r="AB348" i="14"/>
  <c r="AG347" i="14"/>
  <c r="AB347" i="14"/>
  <c r="AG346" i="14"/>
  <c r="AB346" i="14"/>
  <c r="AG345" i="14"/>
  <c r="AB345" i="14"/>
  <c r="AG344" i="14"/>
  <c r="AB344" i="14"/>
  <c r="AG343" i="14"/>
  <c r="AB343" i="14"/>
  <c r="AG342" i="14"/>
  <c r="AB342" i="14"/>
  <c r="AG341" i="14"/>
  <c r="AB341" i="14"/>
  <c r="AG340" i="14"/>
  <c r="AB340" i="14"/>
  <c r="AG339" i="14"/>
  <c r="AB339" i="14"/>
  <c r="AG338" i="14"/>
  <c r="AB338" i="14"/>
  <c r="AA338" i="14"/>
  <c r="AB294" i="14"/>
  <c r="C284" i="14"/>
  <c r="C285" i="14"/>
  <c r="C283" i="14"/>
  <c r="AL251" i="14"/>
  <c r="AN251" i="14"/>
  <c r="AD148" i="13"/>
  <c r="AE148" i="13"/>
  <c r="Z148" i="13"/>
  <c r="V148" i="13"/>
  <c r="R148" i="13"/>
  <c r="N148" i="13"/>
  <c r="J148" i="13"/>
  <c r="F148" i="13"/>
  <c r="J147" i="13"/>
  <c r="AD149" i="13"/>
  <c r="Z149" i="13"/>
  <c r="V149" i="13"/>
  <c r="R149" i="13"/>
  <c r="N149" i="13"/>
  <c r="J149" i="13"/>
  <c r="F149" i="13"/>
  <c r="AA166" i="14"/>
  <c r="AB165" i="14"/>
  <c r="AB166" i="14"/>
  <c r="J279" i="14"/>
  <c r="K279" i="14"/>
  <c r="H282" i="14"/>
  <c r="I282" i="14"/>
  <c r="J282" i="14"/>
  <c r="K282" i="14"/>
  <c r="L282" i="14"/>
  <c r="K326" i="14"/>
  <c r="H329" i="14"/>
  <c r="I329" i="14"/>
  <c r="J329" i="14"/>
  <c r="K329" i="14"/>
  <c r="L329" i="14"/>
  <c r="E279" i="14"/>
  <c r="AD137" i="13"/>
  <c r="Z137" i="13"/>
  <c r="V137" i="13"/>
  <c r="R137" i="13"/>
  <c r="N137" i="13"/>
  <c r="J137" i="13"/>
  <c r="F137" i="13"/>
  <c r="AD134" i="13"/>
  <c r="Z134" i="13"/>
  <c r="V134" i="13"/>
  <c r="R134" i="13"/>
  <c r="N134" i="13"/>
  <c r="J134" i="13"/>
  <c r="F134" i="13"/>
  <c r="C239" i="14"/>
  <c r="C240" i="14"/>
  <c r="C238" i="14"/>
  <c r="AL204" i="14"/>
  <c r="AN204" i="14"/>
  <c r="N131" i="13"/>
  <c r="AF279" i="14"/>
  <c r="Z329" i="14"/>
  <c r="Y329" i="14"/>
  <c r="X329" i="14"/>
  <c r="W329" i="14"/>
  <c r="V329" i="14"/>
  <c r="U329" i="14"/>
  <c r="T329" i="14"/>
  <c r="S329" i="14"/>
  <c r="R329" i="14"/>
  <c r="Q329" i="14"/>
  <c r="P329" i="14"/>
  <c r="O329" i="14"/>
  <c r="N329" i="14"/>
  <c r="M329" i="14"/>
  <c r="G329" i="14"/>
  <c r="F329" i="14"/>
  <c r="E329" i="14"/>
  <c r="AG328" i="14"/>
  <c r="AB328" i="14"/>
  <c r="AA328" i="14"/>
  <c r="AG327" i="14"/>
  <c r="AB327" i="14"/>
  <c r="AA327" i="14"/>
  <c r="AA329" i="14"/>
  <c r="AL293" i="14"/>
  <c r="AN293" i="14"/>
  <c r="AF326" i="14"/>
  <c r="Z326" i="14"/>
  <c r="Y326" i="14"/>
  <c r="U326" i="14"/>
  <c r="T326" i="14"/>
  <c r="P326" i="14"/>
  <c r="O326" i="14"/>
  <c r="F326" i="14"/>
  <c r="AB325" i="14"/>
  <c r="AG324" i="14"/>
  <c r="AB324" i="14"/>
  <c r="AG323" i="14"/>
  <c r="AB323" i="14"/>
  <c r="AG322" i="14"/>
  <c r="AB322" i="14"/>
  <c r="AG321" i="14"/>
  <c r="AB321" i="14"/>
  <c r="AG320" i="14"/>
  <c r="AB320" i="14"/>
  <c r="AG319" i="14"/>
  <c r="AB319" i="14"/>
  <c r="AG318" i="14"/>
  <c r="AB318" i="14"/>
  <c r="AG317" i="14"/>
  <c r="AB317" i="14"/>
  <c r="AG308" i="14"/>
  <c r="AB308" i="14"/>
  <c r="AG307" i="14"/>
  <c r="AB307" i="14"/>
  <c r="AG306" i="14"/>
  <c r="AB306" i="14"/>
  <c r="AG305" i="14"/>
  <c r="AB305" i="14"/>
  <c r="AG304" i="14"/>
  <c r="AB304" i="14"/>
  <c r="AG303" i="14"/>
  <c r="AB303" i="14"/>
  <c r="AG302" i="14"/>
  <c r="AB302" i="14"/>
  <c r="AG301" i="14"/>
  <c r="AB301" i="14"/>
  <c r="AG300" i="14"/>
  <c r="AB300" i="14"/>
  <c r="AG299" i="14"/>
  <c r="AB299" i="14"/>
  <c r="AG298" i="14"/>
  <c r="AB298" i="14"/>
  <c r="AG297" i="14"/>
  <c r="AB297" i="14"/>
  <c r="AG296" i="14"/>
  <c r="AB296" i="14"/>
  <c r="AG295" i="14"/>
  <c r="AB295" i="14"/>
  <c r="AG294" i="14"/>
  <c r="AG293" i="14"/>
  <c r="AB293" i="14"/>
  <c r="AG292" i="14"/>
  <c r="AB292" i="14"/>
  <c r="AG291" i="14"/>
  <c r="AB291" i="14"/>
  <c r="AA291" i="14"/>
  <c r="Z282" i="14"/>
  <c r="Y282" i="14"/>
  <c r="X282" i="14"/>
  <c r="W282" i="14"/>
  <c r="V282" i="14"/>
  <c r="U282" i="14"/>
  <c r="T282" i="14"/>
  <c r="S282" i="14"/>
  <c r="R282" i="14"/>
  <c r="Q282" i="14"/>
  <c r="P282" i="14"/>
  <c r="O282" i="14"/>
  <c r="N282" i="14"/>
  <c r="M282" i="14"/>
  <c r="G282" i="14"/>
  <c r="F282" i="14"/>
  <c r="E282" i="14"/>
  <c r="AG281" i="14"/>
  <c r="AG282" i="14"/>
  <c r="AL250" i="14"/>
  <c r="AN250" i="14"/>
  <c r="AB281" i="14"/>
  <c r="AA281" i="14"/>
  <c r="AG280" i="14"/>
  <c r="AB280" i="14"/>
  <c r="AA280" i="14"/>
  <c r="Z279" i="14"/>
  <c r="Y279" i="14"/>
  <c r="U279" i="14"/>
  <c r="T279" i="14"/>
  <c r="P279" i="14"/>
  <c r="O279" i="14"/>
  <c r="F279" i="14"/>
  <c r="AB278" i="14"/>
  <c r="AG277" i="14"/>
  <c r="AB277" i="14"/>
  <c r="AG276" i="14"/>
  <c r="AB276" i="14"/>
  <c r="AG275" i="14"/>
  <c r="AB275" i="14"/>
  <c r="AG274" i="14"/>
  <c r="AB274" i="14"/>
  <c r="AG273" i="14"/>
  <c r="AB273" i="14"/>
  <c r="AG272" i="14"/>
  <c r="AB272" i="14"/>
  <c r="AG271" i="14"/>
  <c r="AB271" i="14"/>
  <c r="AG270" i="14"/>
  <c r="AB270" i="14"/>
  <c r="AG269" i="14"/>
  <c r="AB269" i="14"/>
  <c r="AG268" i="14"/>
  <c r="AB268" i="14"/>
  <c r="AG267" i="14"/>
  <c r="AB267" i="14"/>
  <c r="AG266" i="14"/>
  <c r="AB266" i="14"/>
  <c r="AG265" i="14"/>
  <c r="AB265" i="14"/>
  <c r="AG264" i="14"/>
  <c r="AB264" i="14"/>
  <c r="AG263" i="14"/>
  <c r="AB263" i="14"/>
  <c r="AG262" i="14"/>
  <c r="AB262" i="14"/>
  <c r="AG261" i="14"/>
  <c r="AB261" i="14"/>
  <c r="AG260" i="14"/>
  <c r="AB260" i="14"/>
  <c r="AG259" i="14"/>
  <c r="AB259" i="14"/>
  <c r="AG258" i="14"/>
  <c r="AB258" i="14"/>
  <c r="AG257" i="14"/>
  <c r="AB257" i="14"/>
  <c r="AG256" i="14"/>
  <c r="AB256" i="14"/>
  <c r="AG255" i="14"/>
  <c r="AB255" i="14"/>
  <c r="AG254" i="14"/>
  <c r="AB254" i="14"/>
  <c r="AG253" i="14"/>
  <c r="AB253" i="14"/>
  <c r="AG252" i="14"/>
  <c r="AB252" i="14"/>
  <c r="AG251" i="14"/>
  <c r="AB251" i="14"/>
  <c r="AG250" i="14"/>
  <c r="AB250" i="14"/>
  <c r="AG249" i="14"/>
  <c r="AB249" i="14"/>
  <c r="AG248" i="14"/>
  <c r="AB248" i="14"/>
  <c r="AG247" i="14"/>
  <c r="AB247" i="14"/>
  <c r="AG246" i="14"/>
  <c r="AB246" i="14"/>
  <c r="AA246" i="14"/>
  <c r="AA223" i="14"/>
  <c r="AB223" i="14"/>
  <c r="AG223" i="14"/>
  <c r="C193" i="14"/>
  <c r="C192" i="14"/>
  <c r="Z237" i="14"/>
  <c r="Y237" i="14"/>
  <c r="X237" i="14"/>
  <c r="W237" i="14"/>
  <c r="V237" i="14"/>
  <c r="U237" i="14"/>
  <c r="T237" i="14"/>
  <c r="S237" i="14"/>
  <c r="R237" i="14"/>
  <c r="Q237" i="14"/>
  <c r="P237" i="14"/>
  <c r="O237" i="14"/>
  <c r="N237" i="14"/>
  <c r="M237" i="14"/>
  <c r="L237" i="14"/>
  <c r="K237" i="14"/>
  <c r="J237" i="14"/>
  <c r="I237" i="14"/>
  <c r="H237" i="14"/>
  <c r="G237" i="14"/>
  <c r="F237" i="14"/>
  <c r="E237" i="14"/>
  <c r="AG236" i="14"/>
  <c r="AB236" i="14"/>
  <c r="AA236" i="14"/>
  <c r="AG235" i="14"/>
  <c r="AL203" i="14"/>
  <c r="AN203" i="14"/>
  <c r="AB235" i="14"/>
  <c r="AA235" i="14"/>
  <c r="AF234" i="14"/>
  <c r="Z234" i="14"/>
  <c r="Y234" i="14"/>
  <c r="U234" i="14"/>
  <c r="T234" i="14"/>
  <c r="P234" i="14"/>
  <c r="O234" i="14"/>
  <c r="K234" i="14"/>
  <c r="J234" i="14"/>
  <c r="F234" i="14"/>
  <c r="E234" i="14"/>
  <c r="AG233" i="14"/>
  <c r="AB233" i="14"/>
  <c r="AA233" i="14"/>
  <c r="AB232" i="14"/>
  <c r="AA232" i="14"/>
  <c r="AG231" i="14"/>
  <c r="AB231" i="14"/>
  <c r="AA231" i="14"/>
  <c r="AG230" i="14"/>
  <c r="AB230" i="14"/>
  <c r="AA230" i="14"/>
  <c r="AG229" i="14"/>
  <c r="AB229" i="14"/>
  <c r="AA229" i="14"/>
  <c r="AG228" i="14"/>
  <c r="AB228" i="14"/>
  <c r="AA228" i="14"/>
  <c r="AG227" i="14"/>
  <c r="AB227" i="14"/>
  <c r="AA227" i="14"/>
  <c r="AG226" i="14"/>
  <c r="AB226" i="14"/>
  <c r="AA226" i="14"/>
  <c r="AG225" i="14"/>
  <c r="AB225" i="14"/>
  <c r="AA225" i="14"/>
  <c r="AG224" i="14"/>
  <c r="AB224" i="14"/>
  <c r="AA224" i="14"/>
  <c r="AG222" i="14"/>
  <c r="AB222" i="14"/>
  <c r="AA222" i="14"/>
  <c r="AG221" i="14"/>
  <c r="AB221" i="14"/>
  <c r="AA221" i="14"/>
  <c r="AG220" i="14"/>
  <c r="AB220" i="14"/>
  <c r="AA220" i="14"/>
  <c r="AG219" i="14"/>
  <c r="AB219" i="14"/>
  <c r="AA219" i="14"/>
  <c r="AG218" i="14"/>
  <c r="AB218" i="14"/>
  <c r="AA218" i="14"/>
  <c r="AG217" i="14"/>
  <c r="AB217" i="14"/>
  <c r="AA217" i="14"/>
  <c r="AG216" i="14"/>
  <c r="AB216" i="14"/>
  <c r="AA216" i="14"/>
  <c r="AG215" i="14"/>
  <c r="AB215" i="14"/>
  <c r="AA215" i="14"/>
  <c r="AG214" i="14"/>
  <c r="AB214" i="14"/>
  <c r="AA214" i="14"/>
  <c r="AG213" i="14"/>
  <c r="AB213" i="14"/>
  <c r="AA213" i="14"/>
  <c r="AG212" i="14"/>
  <c r="AB212" i="14"/>
  <c r="AA212" i="14"/>
  <c r="AG211" i="14"/>
  <c r="AB211" i="14"/>
  <c r="AA211" i="14"/>
  <c r="AG210" i="14"/>
  <c r="AB210" i="14"/>
  <c r="AA210" i="14"/>
  <c r="AG209" i="14"/>
  <c r="AB209" i="14"/>
  <c r="AA209" i="14"/>
  <c r="AG208" i="14"/>
  <c r="AB208" i="14"/>
  <c r="AA208" i="14"/>
  <c r="AG207" i="14"/>
  <c r="AB207" i="14"/>
  <c r="AA207" i="14"/>
  <c r="AG206" i="14"/>
  <c r="AB206" i="14"/>
  <c r="AA206" i="14"/>
  <c r="AG205" i="14"/>
  <c r="AB205" i="14"/>
  <c r="AA205" i="14"/>
  <c r="AG204" i="14"/>
  <c r="AB204" i="14"/>
  <c r="AA204" i="14"/>
  <c r="AG203" i="14"/>
  <c r="AB203" i="14"/>
  <c r="AA203" i="14"/>
  <c r="AG202" i="14"/>
  <c r="AB202" i="14"/>
  <c r="AA202" i="14"/>
  <c r="AG201" i="14"/>
  <c r="AB201" i="14"/>
  <c r="AA201" i="14"/>
  <c r="AG200" i="14"/>
  <c r="AB200" i="14"/>
  <c r="AA200" i="14"/>
  <c r="AG199" i="14"/>
  <c r="AB199" i="14"/>
  <c r="AA199" i="14"/>
  <c r="AA188" i="14"/>
  <c r="AA109" i="14"/>
  <c r="O139" i="14"/>
  <c r="F117" i="13"/>
  <c r="J117" i="13"/>
  <c r="N117" i="13"/>
  <c r="R117" i="13"/>
  <c r="V117" i="13"/>
  <c r="Z117" i="13"/>
  <c r="AD117" i="13"/>
  <c r="C876" i="11"/>
  <c r="J121" i="13"/>
  <c r="C144" i="14"/>
  <c r="C51" i="14"/>
  <c r="C50" i="14"/>
  <c r="Z190" i="14"/>
  <c r="Y190" i="14"/>
  <c r="X190" i="14"/>
  <c r="W190" i="14"/>
  <c r="V190" i="14"/>
  <c r="U190" i="14"/>
  <c r="T190" i="14"/>
  <c r="S190" i="14"/>
  <c r="R190" i="14"/>
  <c r="Q190" i="14"/>
  <c r="P190" i="14"/>
  <c r="O190" i="14"/>
  <c r="N190" i="14"/>
  <c r="M190" i="14"/>
  <c r="L190" i="14"/>
  <c r="K190" i="14"/>
  <c r="J190" i="14"/>
  <c r="I190" i="14"/>
  <c r="H190" i="14"/>
  <c r="G190" i="14"/>
  <c r="F190" i="14"/>
  <c r="E190" i="14"/>
  <c r="AG189" i="14"/>
  <c r="AB189" i="14"/>
  <c r="AA189" i="14"/>
  <c r="AG188" i="14"/>
  <c r="AL155" i="14"/>
  <c r="AN155" i="14"/>
  <c r="AB188" i="14"/>
  <c r="AL154" i="14"/>
  <c r="AN154" i="14"/>
  <c r="AF187" i="14"/>
  <c r="Z187" i="14"/>
  <c r="Y187" i="14"/>
  <c r="U187" i="14"/>
  <c r="T187" i="14"/>
  <c r="P187" i="14"/>
  <c r="O187" i="14"/>
  <c r="K187" i="14"/>
  <c r="J187" i="14"/>
  <c r="F187" i="14"/>
  <c r="E187" i="14"/>
  <c r="AG186" i="14"/>
  <c r="AB186" i="14"/>
  <c r="AA186" i="14"/>
  <c r="AB185" i="14"/>
  <c r="AA185" i="14"/>
  <c r="AG184" i="14"/>
  <c r="AB184" i="14"/>
  <c r="AA184" i="14"/>
  <c r="AG183" i="14"/>
  <c r="AB183" i="14"/>
  <c r="AA183" i="14"/>
  <c r="AG182" i="14"/>
  <c r="AB182" i="14"/>
  <c r="AA182" i="14"/>
  <c r="AG181" i="14"/>
  <c r="AB181" i="14"/>
  <c r="AA181" i="14"/>
  <c r="AG180" i="14"/>
  <c r="AB180" i="14"/>
  <c r="AA180" i="14"/>
  <c r="AG179" i="14"/>
  <c r="AB179" i="14"/>
  <c r="AA179" i="14"/>
  <c r="AG178" i="14"/>
  <c r="AB178" i="14"/>
  <c r="AA178" i="14"/>
  <c r="AG177" i="14"/>
  <c r="AB177" i="14"/>
  <c r="AA177" i="14"/>
  <c r="AG176" i="14"/>
  <c r="AB176" i="14"/>
  <c r="AA176" i="14"/>
  <c r="AG175" i="14"/>
  <c r="AB175" i="14"/>
  <c r="AA175" i="14"/>
  <c r="AG174" i="14"/>
  <c r="AB174" i="14"/>
  <c r="AA174" i="14"/>
  <c r="AG173" i="14"/>
  <c r="AB173" i="14"/>
  <c r="AA173" i="14"/>
  <c r="AG172" i="14"/>
  <c r="AB172" i="14"/>
  <c r="AA172" i="14"/>
  <c r="AG171" i="14"/>
  <c r="AB171" i="14"/>
  <c r="AA171" i="14"/>
  <c r="AG170" i="14"/>
  <c r="AB170" i="14"/>
  <c r="AA170" i="14"/>
  <c r="AG169" i="14"/>
  <c r="AB169" i="14"/>
  <c r="AA169" i="14"/>
  <c r="AG168" i="14"/>
  <c r="AB168" i="14"/>
  <c r="AA168" i="14"/>
  <c r="AG167" i="14"/>
  <c r="AB167" i="14"/>
  <c r="AA167" i="14"/>
  <c r="AG164" i="14"/>
  <c r="AB164" i="14"/>
  <c r="AA164" i="14"/>
  <c r="AG163" i="14"/>
  <c r="AB163" i="14"/>
  <c r="AA163" i="14"/>
  <c r="AG162" i="14"/>
  <c r="AB162" i="14"/>
  <c r="AA162" i="14"/>
  <c r="AG161" i="14"/>
  <c r="AB161" i="14"/>
  <c r="AA161" i="14"/>
  <c r="AG160" i="14"/>
  <c r="AB160" i="14"/>
  <c r="AA160" i="14"/>
  <c r="AG159" i="14"/>
  <c r="AB159" i="14"/>
  <c r="AA159" i="14"/>
  <c r="AG158" i="14"/>
  <c r="AB158" i="14"/>
  <c r="AA158" i="14"/>
  <c r="AG157" i="14"/>
  <c r="AB157" i="14"/>
  <c r="AA157" i="14"/>
  <c r="AG156" i="14"/>
  <c r="AB156" i="14"/>
  <c r="AA156" i="14"/>
  <c r="AG155" i="14"/>
  <c r="AB155" i="14"/>
  <c r="AA155" i="14"/>
  <c r="AG154" i="14"/>
  <c r="AB154" i="14"/>
  <c r="AA154" i="14"/>
  <c r="AG153" i="14"/>
  <c r="AB153" i="14"/>
  <c r="AA153" i="14"/>
  <c r="AG152" i="14"/>
  <c r="AB152" i="14"/>
  <c r="AA152" i="14"/>
  <c r="AG151" i="14"/>
  <c r="AB151" i="14"/>
  <c r="AA151" i="14"/>
  <c r="C145" i="14"/>
  <c r="Z142" i="14"/>
  <c r="Y142" i="14"/>
  <c r="X142" i="14"/>
  <c r="W142" i="14"/>
  <c r="V142" i="14"/>
  <c r="U142" i="14"/>
  <c r="T142" i="14"/>
  <c r="S142" i="14"/>
  <c r="R142" i="14"/>
  <c r="Q142" i="14"/>
  <c r="P142" i="14"/>
  <c r="O142" i="14"/>
  <c r="N142" i="14"/>
  <c r="M142" i="14"/>
  <c r="L142" i="14"/>
  <c r="K142" i="14"/>
  <c r="J142" i="14"/>
  <c r="I142" i="14"/>
  <c r="H142" i="14"/>
  <c r="G142" i="14"/>
  <c r="F142" i="14"/>
  <c r="E142" i="14"/>
  <c r="AG141" i="14"/>
  <c r="AB141" i="14"/>
  <c r="AA141" i="14"/>
  <c r="AG140" i="14"/>
  <c r="AL108" i="14"/>
  <c r="AN108" i="14"/>
  <c r="AB140" i="14"/>
  <c r="AB142" i="14"/>
  <c r="AA140" i="14"/>
  <c r="AF139" i="14"/>
  <c r="Z139" i="14"/>
  <c r="Y139" i="14"/>
  <c r="U139" i="14"/>
  <c r="T139" i="14"/>
  <c r="P139" i="14"/>
  <c r="K139" i="14"/>
  <c r="J139" i="14"/>
  <c r="F139" i="14"/>
  <c r="E139" i="14"/>
  <c r="AG138" i="14"/>
  <c r="AB138" i="14"/>
  <c r="AA138" i="14"/>
  <c r="AB137" i="14"/>
  <c r="AA137" i="14"/>
  <c r="AG136" i="14"/>
  <c r="AB136" i="14"/>
  <c r="AA136" i="14"/>
  <c r="AG135" i="14"/>
  <c r="AB135" i="14"/>
  <c r="AA135" i="14"/>
  <c r="AG134" i="14"/>
  <c r="AB134" i="14"/>
  <c r="AA134" i="14"/>
  <c r="AG133" i="14"/>
  <c r="AB133" i="14"/>
  <c r="AA133" i="14"/>
  <c r="AG132" i="14"/>
  <c r="AB132" i="14"/>
  <c r="AA132" i="14"/>
  <c r="AG131" i="14"/>
  <c r="AB131" i="14"/>
  <c r="AA131" i="14"/>
  <c r="AG130" i="14"/>
  <c r="AB130" i="14"/>
  <c r="AA130" i="14"/>
  <c r="AG129" i="14"/>
  <c r="AB129" i="14"/>
  <c r="AA129" i="14"/>
  <c r="AG128" i="14"/>
  <c r="AB128" i="14"/>
  <c r="AA128" i="14"/>
  <c r="AG127" i="14"/>
  <c r="AB127" i="14"/>
  <c r="AA127" i="14"/>
  <c r="AG126" i="14"/>
  <c r="AB126" i="14"/>
  <c r="AA126" i="14"/>
  <c r="AG125" i="14"/>
  <c r="AB125" i="14"/>
  <c r="AA125" i="14"/>
  <c r="AG124" i="14"/>
  <c r="AB124" i="14"/>
  <c r="AA124" i="14"/>
  <c r="AG123" i="14"/>
  <c r="AB123" i="14"/>
  <c r="AA123" i="14"/>
  <c r="AG122" i="14"/>
  <c r="AB122" i="14"/>
  <c r="AA122" i="14"/>
  <c r="AG121" i="14"/>
  <c r="AB121" i="14"/>
  <c r="AA121" i="14"/>
  <c r="AG120" i="14"/>
  <c r="AB120" i="14"/>
  <c r="AA120" i="14"/>
  <c r="AG119" i="14"/>
  <c r="AB119" i="14"/>
  <c r="AA119" i="14"/>
  <c r="AG118" i="14"/>
  <c r="AB118" i="14"/>
  <c r="AA118" i="14"/>
  <c r="AG117" i="14"/>
  <c r="AB117" i="14"/>
  <c r="AA117" i="14"/>
  <c r="AG116" i="14"/>
  <c r="AB116" i="14"/>
  <c r="AA116" i="14"/>
  <c r="AG115" i="14"/>
  <c r="AB115" i="14"/>
  <c r="AA115" i="14"/>
  <c r="AG114" i="14"/>
  <c r="AB114" i="14"/>
  <c r="AA114" i="14"/>
  <c r="AG113" i="14"/>
  <c r="AB113" i="14"/>
  <c r="AA113" i="14"/>
  <c r="AG112" i="14"/>
  <c r="AB112" i="14"/>
  <c r="AA112" i="14"/>
  <c r="AG111" i="14"/>
  <c r="AB111" i="14"/>
  <c r="AA111" i="14"/>
  <c r="AG110" i="14"/>
  <c r="AB110" i="14"/>
  <c r="AA110" i="14"/>
  <c r="AG109" i="14"/>
  <c r="AB109" i="14"/>
  <c r="AG108" i="14"/>
  <c r="AB108" i="14"/>
  <c r="AA108" i="14"/>
  <c r="AG107" i="14"/>
  <c r="AB107" i="14"/>
  <c r="AA107" i="14"/>
  <c r="AG106" i="14"/>
  <c r="AB106" i="14"/>
  <c r="AA106" i="14"/>
  <c r="AG105" i="14"/>
  <c r="AB105" i="14"/>
  <c r="AA105" i="14"/>
  <c r="AG104" i="14"/>
  <c r="AB104" i="14"/>
  <c r="AA104" i="14"/>
  <c r="C97" i="14"/>
  <c r="C96" i="14"/>
  <c r="AL65" i="14"/>
  <c r="AN65" i="14"/>
  <c r="Z95" i="14"/>
  <c r="Y95" i="14"/>
  <c r="X95" i="14"/>
  <c r="W95" i="14"/>
  <c r="V95" i="14"/>
  <c r="U95" i="14"/>
  <c r="T95" i="14"/>
  <c r="S95" i="14"/>
  <c r="R95" i="14"/>
  <c r="Q95" i="14"/>
  <c r="P95" i="14"/>
  <c r="O95" i="14"/>
  <c r="N95" i="14"/>
  <c r="M95" i="14"/>
  <c r="L95" i="14"/>
  <c r="K95" i="14"/>
  <c r="J95" i="14"/>
  <c r="I95" i="14"/>
  <c r="H95" i="14"/>
  <c r="G95" i="14"/>
  <c r="F95" i="14"/>
  <c r="E95" i="14"/>
  <c r="AG94" i="14"/>
  <c r="AB94" i="14"/>
  <c r="AA94" i="14"/>
  <c r="AG93" i="14"/>
  <c r="AL64" i="14"/>
  <c r="AN64" i="14"/>
  <c r="AB93" i="14"/>
  <c r="AA93" i="14"/>
  <c r="AF92" i="14"/>
  <c r="Z92" i="14"/>
  <c r="Y92" i="14"/>
  <c r="U92" i="14"/>
  <c r="T92" i="14"/>
  <c r="P92" i="14"/>
  <c r="O92" i="14"/>
  <c r="K92" i="14"/>
  <c r="J92" i="14"/>
  <c r="F92" i="14"/>
  <c r="E92" i="14"/>
  <c r="AG91" i="14"/>
  <c r="AB91" i="14"/>
  <c r="AA91" i="14"/>
  <c r="AB90" i="14"/>
  <c r="AA90" i="14"/>
  <c r="AG89" i="14"/>
  <c r="AB89" i="14"/>
  <c r="AA89" i="14"/>
  <c r="AG88" i="14"/>
  <c r="AB88" i="14"/>
  <c r="AA88" i="14"/>
  <c r="AG87" i="14"/>
  <c r="AB87" i="14"/>
  <c r="AA87" i="14"/>
  <c r="AG86" i="14"/>
  <c r="AB86" i="14"/>
  <c r="AA86" i="14"/>
  <c r="AG85" i="14"/>
  <c r="AB85" i="14"/>
  <c r="AA85" i="14"/>
  <c r="AG84" i="14"/>
  <c r="AB84" i="14"/>
  <c r="AA84" i="14"/>
  <c r="AG83" i="14"/>
  <c r="AB83" i="14"/>
  <c r="AA83" i="14"/>
  <c r="AG82" i="14"/>
  <c r="AB82" i="14"/>
  <c r="AA82" i="14"/>
  <c r="AG81" i="14"/>
  <c r="AB81" i="14"/>
  <c r="AA81" i="14"/>
  <c r="AG80" i="14"/>
  <c r="AB80" i="14"/>
  <c r="AA80" i="14"/>
  <c r="AB79" i="14"/>
  <c r="AA79" i="14"/>
  <c r="AB78" i="14"/>
  <c r="AA78" i="14"/>
  <c r="AG77" i="14"/>
  <c r="AB77" i="14"/>
  <c r="AA77" i="14"/>
  <c r="AG76" i="14"/>
  <c r="AB76" i="14"/>
  <c r="AA76" i="14"/>
  <c r="AG75" i="14"/>
  <c r="AB75" i="14"/>
  <c r="AA75" i="14"/>
  <c r="AG74" i="14"/>
  <c r="AB74" i="14"/>
  <c r="AA74" i="14"/>
  <c r="AG73" i="14"/>
  <c r="AB73" i="14"/>
  <c r="AA73" i="14"/>
  <c r="AG72" i="14"/>
  <c r="AB72" i="14"/>
  <c r="AA72" i="14"/>
  <c r="AG71" i="14"/>
  <c r="AB71" i="14"/>
  <c r="AA71" i="14"/>
  <c r="AG70" i="14"/>
  <c r="AB70" i="14"/>
  <c r="AA70" i="14"/>
  <c r="AG69" i="14"/>
  <c r="AB69" i="14"/>
  <c r="AA69" i="14"/>
  <c r="AG68" i="14"/>
  <c r="AB68" i="14"/>
  <c r="AA68" i="14"/>
  <c r="AG67" i="14"/>
  <c r="AB67" i="14"/>
  <c r="AA67" i="14"/>
  <c r="AG66" i="14"/>
  <c r="AB66" i="14"/>
  <c r="AA66" i="14"/>
  <c r="AG65" i="14"/>
  <c r="AB65" i="14"/>
  <c r="AA65" i="14"/>
  <c r="AG64" i="14"/>
  <c r="AB64" i="14"/>
  <c r="AA64" i="14"/>
  <c r="AG63" i="14"/>
  <c r="AB63" i="14"/>
  <c r="AA63" i="14"/>
  <c r="AL62" i="14"/>
  <c r="AN62" i="14"/>
  <c r="AG62" i="14"/>
  <c r="AB62" i="14"/>
  <c r="AA62" i="14"/>
  <c r="AG61" i="14"/>
  <c r="AB61" i="14"/>
  <c r="AA61" i="14"/>
  <c r="AG60" i="14"/>
  <c r="AB60" i="14"/>
  <c r="AA60" i="14"/>
  <c r="AG59" i="14"/>
  <c r="AB59" i="14"/>
  <c r="AA59" i="14"/>
  <c r="AG58" i="14"/>
  <c r="AB58" i="14"/>
  <c r="AA58" i="14"/>
  <c r="Z49" i="14"/>
  <c r="Y49" i="14"/>
  <c r="X49" i="14"/>
  <c r="W49" i="14"/>
  <c r="V49" i="14"/>
  <c r="U49" i="14"/>
  <c r="T49" i="14"/>
  <c r="S49" i="14"/>
  <c r="R49" i="14"/>
  <c r="Q49" i="14"/>
  <c r="P49" i="14"/>
  <c r="O49" i="14"/>
  <c r="N49" i="14"/>
  <c r="M49" i="14"/>
  <c r="L49" i="14"/>
  <c r="K49" i="14"/>
  <c r="J49" i="14"/>
  <c r="I49" i="14"/>
  <c r="H49" i="14"/>
  <c r="G49" i="14"/>
  <c r="F49" i="14"/>
  <c r="E49" i="14"/>
  <c r="AG48" i="14"/>
  <c r="AB48" i="14"/>
  <c r="AA48" i="14"/>
  <c r="AG47" i="14"/>
  <c r="AL19" i="14"/>
  <c r="AN19" i="14"/>
  <c r="AB47" i="14"/>
  <c r="AL18" i="14"/>
  <c r="AN18" i="14"/>
  <c r="AA47" i="14"/>
  <c r="AL17" i="14"/>
  <c r="AN17" i="14"/>
  <c r="AF46" i="14"/>
  <c r="Z46" i="14"/>
  <c r="Y46" i="14"/>
  <c r="U46" i="14"/>
  <c r="AG45" i="14"/>
  <c r="AB45" i="14"/>
  <c r="AA45" i="14"/>
  <c r="AB44" i="14"/>
  <c r="AA44" i="14"/>
  <c r="AG43" i="14"/>
  <c r="AB43" i="14"/>
  <c r="AA43" i="14"/>
  <c r="AG42" i="14"/>
  <c r="AB42" i="14"/>
  <c r="AA42" i="14"/>
  <c r="AG41" i="14"/>
  <c r="AB41" i="14"/>
  <c r="AA41" i="14"/>
  <c r="AG40" i="14"/>
  <c r="AB40" i="14"/>
  <c r="AA40" i="14"/>
  <c r="AG39" i="14"/>
  <c r="AB39" i="14"/>
  <c r="AA39" i="14"/>
  <c r="AG38" i="14"/>
  <c r="AB38" i="14"/>
  <c r="AA38" i="14"/>
  <c r="AG37" i="14"/>
  <c r="AB37" i="14"/>
  <c r="AA37" i="14"/>
  <c r="AG36" i="14"/>
  <c r="AB36" i="14"/>
  <c r="AA36" i="14"/>
  <c r="AG35" i="14"/>
  <c r="AB35" i="14"/>
  <c r="AA35" i="14"/>
  <c r="AG34" i="14"/>
  <c r="AB34" i="14"/>
  <c r="AA34" i="14"/>
  <c r="AG33" i="14"/>
  <c r="AB33" i="14"/>
  <c r="AA33" i="14"/>
  <c r="AG32" i="14"/>
  <c r="AB32" i="14"/>
  <c r="AA32" i="14"/>
  <c r="AG31" i="14"/>
  <c r="AB31" i="14"/>
  <c r="AA31" i="14"/>
  <c r="AG30" i="14"/>
  <c r="AB30" i="14"/>
  <c r="AA30" i="14"/>
  <c r="AG29" i="14"/>
  <c r="AB29" i="14"/>
  <c r="AA29" i="14"/>
  <c r="AG28" i="14"/>
  <c r="AB28" i="14"/>
  <c r="AA28" i="14"/>
  <c r="AG27" i="14"/>
  <c r="AB27" i="14"/>
  <c r="AA27" i="14"/>
  <c r="AG26" i="14"/>
  <c r="AB26" i="14"/>
  <c r="AA26" i="14"/>
  <c r="AG25" i="14"/>
  <c r="AB25" i="14"/>
  <c r="AA25" i="14"/>
  <c r="AG24" i="14"/>
  <c r="AB24" i="14"/>
  <c r="AA24" i="14"/>
  <c r="AG23" i="14"/>
  <c r="AB23" i="14"/>
  <c r="AA23" i="14"/>
  <c r="AG22" i="14"/>
  <c r="AB22" i="14"/>
  <c r="AA22" i="14"/>
  <c r="AG21" i="14"/>
  <c r="AB21" i="14"/>
  <c r="AA21" i="14"/>
  <c r="AG20" i="14"/>
  <c r="AB20" i="14"/>
  <c r="AA20" i="14"/>
  <c r="AG19" i="14"/>
  <c r="AB19" i="14"/>
  <c r="AA19" i="14"/>
  <c r="AG18" i="14"/>
  <c r="AB18" i="14"/>
  <c r="AA18" i="14"/>
  <c r="AG17" i="14"/>
  <c r="AB17" i="14"/>
  <c r="AA17" i="14"/>
  <c r="AG16" i="14"/>
  <c r="AB16" i="14"/>
  <c r="AA16" i="14"/>
  <c r="AG15" i="14"/>
  <c r="AB15" i="14"/>
  <c r="AA15" i="14"/>
  <c r="F106" i="13"/>
  <c r="J106" i="13"/>
  <c r="N106" i="13"/>
  <c r="R106" i="13"/>
  <c r="V106" i="13"/>
  <c r="Z106" i="13"/>
  <c r="AD106" i="13"/>
  <c r="F107" i="13"/>
  <c r="J107" i="13"/>
  <c r="N107" i="13"/>
  <c r="R107" i="13"/>
  <c r="V107" i="13"/>
  <c r="Z107" i="13"/>
  <c r="AD107" i="13"/>
  <c r="F530" i="4"/>
  <c r="J530" i="4"/>
  <c r="N530" i="4"/>
  <c r="R530" i="4"/>
  <c r="V530" i="4"/>
  <c r="Z530" i="4"/>
  <c r="AD530" i="4"/>
  <c r="Z92" i="13"/>
  <c r="AD93" i="13"/>
  <c r="Z93" i="13"/>
  <c r="V93" i="13"/>
  <c r="R93" i="13"/>
  <c r="N93" i="13"/>
  <c r="J93" i="13"/>
  <c r="F93" i="13"/>
  <c r="R91" i="13"/>
  <c r="N90" i="13"/>
  <c r="AL202" i="14"/>
  <c r="AN202" i="14"/>
  <c r="AL201" i="14"/>
  <c r="AN201" i="14"/>
  <c r="Z444" i="4"/>
  <c r="R88" i="13"/>
  <c r="AD92" i="13"/>
  <c r="V92" i="13"/>
  <c r="R92" i="13"/>
  <c r="N92" i="13"/>
  <c r="J92" i="13"/>
  <c r="F92" i="13"/>
  <c r="F89" i="13"/>
  <c r="J89" i="13"/>
  <c r="N89" i="13"/>
  <c r="R89" i="13"/>
  <c r="V89" i="13"/>
  <c r="Z89" i="13"/>
  <c r="AD89" i="13"/>
  <c r="F90" i="13"/>
  <c r="J90" i="13"/>
  <c r="R90" i="13"/>
  <c r="V90" i="13"/>
  <c r="Z90" i="13"/>
  <c r="AD90" i="13"/>
  <c r="AA847" i="11"/>
  <c r="E871" i="11"/>
  <c r="F91" i="13"/>
  <c r="J91" i="13"/>
  <c r="N91" i="13"/>
  <c r="V91" i="13"/>
  <c r="Z91" i="13"/>
  <c r="AD91" i="13"/>
  <c r="AD522" i="4"/>
  <c r="Z522" i="4"/>
  <c r="V522" i="4"/>
  <c r="R522" i="4"/>
  <c r="N522" i="4"/>
  <c r="J522" i="4"/>
  <c r="F522" i="4"/>
  <c r="AD71" i="13"/>
  <c r="Z71" i="13"/>
  <c r="V71" i="13"/>
  <c r="R71" i="13"/>
  <c r="N71" i="13"/>
  <c r="J71" i="13"/>
  <c r="F71" i="13"/>
  <c r="F72" i="13"/>
  <c r="J72" i="13"/>
  <c r="N72" i="13"/>
  <c r="R72" i="13"/>
  <c r="V72" i="13"/>
  <c r="Z72" i="13"/>
  <c r="AD72" i="13"/>
  <c r="AD76" i="13"/>
  <c r="Z76" i="13"/>
  <c r="V76" i="13"/>
  <c r="R76" i="13"/>
  <c r="N76" i="13"/>
  <c r="J76" i="13"/>
  <c r="F76" i="13"/>
  <c r="F74" i="13"/>
  <c r="J74" i="13"/>
  <c r="N74" i="13"/>
  <c r="R74" i="13"/>
  <c r="V74" i="13"/>
  <c r="Z74" i="13"/>
  <c r="AD74" i="13"/>
  <c r="F75" i="13"/>
  <c r="J75" i="13"/>
  <c r="N75" i="13"/>
  <c r="R75" i="13"/>
  <c r="V75" i="13"/>
  <c r="Z75" i="13"/>
  <c r="AD75" i="13"/>
  <c r="R69" i="13"/>
  <c r="AA844" i="11"/>
  <c r="AB844" i="11"/>
  <c r="C124" i="11"/>
  <c r="J828" i="11"/>
  <c r="J831" i="11"/>
  <c r="AG846" i="11"/>
  <c r="AG847" i="11"/>
  <c r="AG848" i="11"/>
  <c r="AG849" i="11"/>
  <c r="AG850" i="11"/>
  <c r="AG851" i="11"/>
  <c r="AG852" i="11"/>
  <c r="AG853" i="11"/>
  <c r="AG854" i="11"/>
  <c r="AG855" i="11"/>
  <c r="AA846" i="11"/>
  <c r="AB846" i="11"/>
  <c r="AB847" i="11"/>
  <c r="AA848" i="11"/>
  <c r="AB848" i="11"/>
  <c r="AA849" i="11"/>
  <c r="AB849" i="11"/>
  <c r="AA850" i="11"/>
  <c r="AB850" i="11"/>
  <c r="AA851" i="11"/>
  <c r="AB851" i="11"/>
  <c r="AA852" i="11"/>
  <c r="AB852" i="11"/>
  <c r="AA853" i="11"/>
  <c r="AB853" i="11"/>
  <c r="AA854" i="11"/>
  <c r="AB854" i="11"/>
  <c r="AA855" i="11"/>
  <c r="AB855" i="11"/>
  <c r="AA856" i="11"/>
  <c r="AB856" i="11"/>
  <c r="AA857" i="11"/>
  <c r="AB857" i="11"/>
  <c r="AA858" i="11"/>
  <c r="AB858" i="11"/>
  <c r="C833" i="11"/>
  <c r="AB757" i="11"/>
  <c r="AB758" i="11"/>
  <c r="AB759" i="11"/>
  <c r="AB760" i="11"/>
  <c r="AB761" i="11"/>
  <c r="AB762" i="11"/>
  <c r="AG757" i="11"/>
  <c r="AG758" i="11"/>
  <c r="AG759" i="11"/>
  <c r="AG760" i="11"/>
  <c r="AG761" i="11"/>
  <c r="AG803" i="11"/>
  <c r="AG804" i="11"/>
  <c r="AG805" i="11"/>
  <c r="AG806" i="11"/>
  <c r="AG807" i="11"/>
  <c r="AG808" i="11"/>
  <c r="AG809" i="11"/>
  <c r="AG810" i="11"/>
  <c r="AG811" i="11"/>
  <c r="AB803" i="11"/>
  <c r="AB804" i="11"/>
  <c r="AB805" i="11"/>
  <c r="AB806" i="11"/>
  <c r="AB807" i="11"/>
  <c r="AA807" i="11"/>
  <c r="AA803" i="11"/>
  <c r="AA761" i="11"/>
  <c r="AA757" i="11"/>
  <c r="V34" i="13"/>
  <c r="AD58" i="13"/>
  <c r="AD59" i="13"/>
  <c r="Z58" i="13"/>
  <c r="Z59" i="13"/>
  <c r="V58" i="13"/>
  <c r="V59" i="13"/>
  <c r="R58" i="13"/>
  <c r="R59" i="13"/>
  <c r="N58" i="13"/>
  <c r="N59" i="13"/>
  <c r="J58" i="13"/>
  <c r="J59" i="13"/>
  <c r="F58" i="13"/>
  <c r="F59" i="13"/>
  <c r="F56" i="13"/>
  <c r="J56" i="13"/>
  <c r="N56" i="13"/>
  <c r="AD56" i="13"/>
  <c r="Z56" i="13"/>
  <c r="V56" i="13"/>
  <c r="R56" i="13"/>
  <c r="AD57" i="13"/>
  <c r="Z57" i="13"/>
  <c r="V57" i="13"/>
  <c r="R57" i="13"/>
  <c r="N57" i="13"/>
  <c r="J57" i="13"/>
  <c r="F57" i="13"/>
  <c r="AD143" i="13"/>
  <c r="Z143" i="13"/>
  <c r="V143" i="13"/>
  <c r="R143" i="13"/>
  <c r="N143" i="13"/>
  <c r="J143" i="13"/>
  <c r="F143" i="13"/>
  <c r="AF142" i="13"/>
  <c r="AF141" i="13"/>
  <c r="AF140" i="13"/>
  <c r="AD138" i="13"/>
  <c r="Z138" i="13"/>
  <c r="V138" i="13"/>
  <c r="R138" i="13"/>
  <c r="N138" i="13"/>
  <c r="J138" i="13"/>
  <c r="F138" i="13"/>
  <c r="AD135" i="13"/>
  <c r="Z135" i="13"/>
  <c r="V135" i="13"/>
  <c r="R135" i="13"/>
  <c r="N135" i="13"/>
  <c r="J135" i="13"/>
  <c r="F135" i="13"/>
  <c r="AD133" i="13"/>
  <c r="Z133" i="13"/>
  <c r="V133" i="13"/>
  <c r="R133" i="13"/>
  <c r="N133" i="13"/>
  <c r="J133" i="13"/>
  <c r="F133" i="13"/>
  <c r="AD132" i="13"/>
  <c r="Z132" i="13"/>
  <c r="V132" i="13"/>
  <c r="R132" i="13"/>
  <c r="N132" i="13"/>
  <c r="J132" i="13"/>
  <c r="F132" i="13"/>
  <c r="AD131" i="13"/>
  <c r="Z131" i="13"/>
  <c r="V131" i="13"/>
  <c r="R131" i="13"/>
  <c r="J131" i="13"/>
  <c r="F131" i="13"/>
  <c r="H129" i="13"/>
  <c r="L129" i="13"/>
  <c r="P129" i="13"/>
  <c r="T129" i="13"/>
  <c r="X129" i="13"/>
  <c r="AB129" i="13"/>
  <c r="AD128" i="13"/>
  <c r="Z128" i="13"/>
  <c r="V128" i="13"/>
  <c r="R128" i="13"/>
  <c r="N128" i="13"/>
  <c r="J128" i="13"/>
  <c r="F128" i="13"/>
  <c r="AF127" i="13"/>
  <c r="AF126" i="13"/>
  <c r="AF125" i="13"/>
  <c r="AD122" i="13"/>
  <c r="Z122" i="13"/>
  <c r="V122" i="13"/>
  <c r="R122" i="13"/>
  <c r="N122" i="13"/>
  <c r="J122" i="13"/>
  <c r="F122" i="13"/>
  <c r="AD121" i="13"/>
  <c r="Z121" i="13"/>
  <c r="V121" i="13"/>
  <c r="R121" i="13"/>
  <c r="N121" i="13"/>
  <c r="F121" i="13"/>
  <c r="AD120" i="13"/>
  <c r="Z120" i="13"/>
  <c r="V120" i="13"/>
  <c r="R120" i="13"/>
  <c r="N120" i="13"/>
  <c r="J120" i="13"/>
  <c r="F120" i="13"/>
  <c r="AD119" i="13"/>
  <c r="Z119" i="13"/>
  <c r="V119" i="13"/>
  <c r="R119" i="13"/>
  <c r="N119" i="13"/>
  <c r="J119" i="13"/>
  <c r="F119" i="13"/>
  <c r="AD118" i="13"/>
  <c r="Z118" i="13"/>
  <c r="V118" i="13"/>
  <c r="R118" i="13"/>
  <c r="N118" i="13"/>
  <c r="J118" i="13"/>
  <c r="F118" i="13"/>
  <c r="AD116" i="13"/>
  <c r="Z116" i="13"/>
  <c r="V116" i="13"/>
  <c r="R116" i="13"/>
  <c r="N116" i="13"/>
  <c r="J116" i="13"/>
  <c r="F116" i="13"/>
  <c r="H114" i="13"/>
  <c r="L114" i="13"/>
  <c r="P114" i="13"/>
  <c r="T114" i="13"/>
  <c r="X114" i="13"/>
  <c r="AB114" i="13"/>
  <c r="AD113" i="13"/>
  <c r="Z113" i="13"/>
  <c r="V113" i="13"/>
  <c r="R113" i="13"/>
  <c r="N113" i="13"/>
  <c r="J113" i="13"/>
  <c r="F113" i="13"/>
  <c r="AF112" i="13"/>
  <c r="AF111" i="13"/>
  <c r="AF110" i="13"/>
  <c r="AD108" i="13"/>
  <c r="Z108" i="13"/>
  <c r="V108" i="13"/>
  <c r="R108" i="13"/>
  <c r="N108" i="13"/>
  <c r="J108" i="13"/>
  <c r="F108" i="13"/>
  <c r="AD105" i="13"/>
  <c r="Z105" i="13"/>
  <c r="V105" i="13"/>
  <c r="R105" i="13"/>
  <c r="N105" i="13"/>
  <c r="J105" i="13"/>
  <c r="F105" i="13"/>
  <c r="AD104" i="13"/>
  <c r="Z104" i="13"/>
  <c r="V104" i="13"/>
  <c r="R104" i="13"/>
  <c r="N104" i="13"/>
  <c r="J104" i="13"/>
  <c r="F104" i="13"/>
  <c r="AD103" i="13"/>
  <c r="Z103" i="13"/>
  <c r="V103" i="13"/>
  <c r="R103" i="13"/>
  <c r="N103" i="13"/>
  <c r="J103" i="13"/>
  <c r="F103" i="13"/>
  <c r="AD102" i="13"/>
  <c r="Z102" i="13"/>
  <c r="V102" i="13"/>
  <c r="R102" i="13"/>
  <c r="N102" i="13"/>
  <c r="J102" i="13"/>
  <c r="F102" i="13"/>
  <c r="AD101" i="13"/>
  <c r="Z101" i="13"/>
  <c r="V101" i="13"/>
  <c r="R101" i="13"/>
  <c r="N101" i="13"/>
  <c r="J101" i="13"/>
  <c r="F101" i="13"/>
  <c r="H99" i="13"/>
  <c r="L99" i="13"/>
  <c r="P99" i="13"/>
  <c r="T99" i="13"/>
  <c r="X99" i="13"/>
  <c r="AB99" i="13"/>
  <c r="F53" i="13"/>
  <c r="F54" i="13"/>
  <c r="F55" i="13"/>
  <c r="AD54" i="13"/>
  <c r="Z54" i="13"/>
  <c r="V54" i="13"/>
  <c r="R54" i="13"/>
  <c r="N54" i="13"/>
  <c r="J54" i="13"/>
  <c r="C787" i="11"/>
  <c r="C788" i="11"/>
  <c r="F51" i="13"/>
  <c r="F50" i="13"/>
  <c r="V33" i="13"/>
  <c r="H46" i="13"/>
  <c r="L46" i="13"/>
  <c r="P46" i="13"/>
  <c r="T46" i="13"/>
  <c r="X46" i="13"/>
  <c r="AB46" i="13"/>
  <c r="F48" i="13"/>
  <c r="J48" i="13"/>
  <c r="N48" i="13"/>
  <c r="R48" i="13"/>
  <c r="V48" i="13"/>
  <c r="Z48" i="13"/>
  <c r="AD48" i="13"/>
  <c r="F49" i="13"/>
  <c r="J49" i="13"/>
  <c r="N49" i="13"/>
  <c r="R49" i="13"/>
  <c r="V49" i="13"/>
  <c r="Z49" i="13"/>
  <c r="AD49" i="13"/>
  <c r="J50" i="13"/>
  <c r="N50" i="13"/>
  <c r="R50" i="13"/>
  <c r="V50" i="13"/>
  <c r="Z50" i="13"/>
  <c r="AD50" i="13"/>
  <c r="AE50" i="13"/>
  <c r="J51" i="13"/>
  <c r="N51" i="13"/>
  <c r="R51" i="13"/>
  <c r="V51" i="13"/>
  <c r="Z51" i="13"/>
  <c r="AD51" i="13"/>
  <c r="F52" i="13"/>
  <c r="J52" i="13"/>
  <c r="N52" i="13"/>
  <c r="R52" i="13"/>
  <c r="V52" i="13"/>
  <c r="Z52" i="13"/>
  <c r="AD52" i="13"/>
  <c r="J53" i="13"/>
  <c r="N53" i="13"/>
  <c r="R53" i="13"/>
  <c r="V53" i="13"/>
  <c r="Z53" i="13"/>
  <c r="AD53" i="13"/>
  <c r="J55" i="13"/>
  <c r="N55" i="13"/>
  <c r="R55" i="13"/>
  <c r="V55" i="13"/>
  <c r="Z55" i="13"/>
  <c r="AD55" i="13"/>
  <c r="AF61" i="13"/>
  <c r="AF62" i="13"/>
  <c r="AF63" i="13"/>
  <c r="F64" i="13"/>
  <c r="J64" i="13"/>
  <c r="N64" i="13"/>
  <c r="R64" i="13"/>
  <c r="V64" i="13"/>
  <c r="Z64" i="13"/>
  <c r="AD64" i="13"/>
  <c r="AD40" i="13"/>
  <c r="AE40" i="13"/>
  <c r="Z40" i="13"/>
  <c r="V40" i="13"/>
  <c r="R40" i="13"/>
  <c r="N40" i="13"/>
  <c r="J40" i="13"/>
  <c r="F40" i="13"/>
  <c r="AD39" i="13"/>
  <c r="AE39" i="13"/>
  <c r="Z39" i="13"/>
  <c r="V39" i="13"/>
  <c r="R39" i="13"/>
  <c r="N39" i="13"/>
  <c r="J39" i="13"/>
  <c r="F39" i="13"/>
  <c r="AD38" i="13"/>
  <c r="AE38" i="13"/>
  <c r="Z38" i="13"/>
  <c r="V38" i="13"/>
  <c r="R38" i="13"/>
  <c r="N38" i="13"/>
  <c r="J38" i="13"/>
  <c r="F38" i="13"/>
  <c r="AD37" i="13"/>
  <c r="AE37" i="13"/>
  <c r="Z37" i="13"/>
  <c r="V37" i="13"/>
  <c r="R37" i="13"/>
  <c r="N37" i="13"/>
  <c r="J37" i="13"/>
  <c r="F37" i="13"/>
  <c r="AD36" i="13"/>
  <c r="AE36" i="13"/>
  <c r="Z36" i="13"/>
  <c r="V36" i="13"/>
  <c r="R36" i="13"/>
  <c r="N36" i="13"/>
  <c r="J36" i="13"/>
  <c r="F36" i="13"/>
  <c r="AD35" i="13"/>
  <c r="AE35" i="13"/>
  <c r="Z35" i="13"/>
  <c r="V35" i="13"/>
  <c r="R35" i="13"/>
  <c r="N35" i="13"/>
  <c r="J35" i="13"/>
  <c r="F35" i="13"/>
  <c r="AD34" i="13"/>
  <c r="AE34" i="13"/>
  <c r="Z34" i="13"/>
  <c r="R34" i="13"/>
  <c r="N34" i="13"/>
  <c r="J34" i="13"/>
  <c r="F34" i="13"/>
  <c r="AD33" i="13"/>
  <c r="AE33" i="13"/>
  <c r="Z33" i="13"/>
  <c r="R33" i="13"/>
  <c r="N33" i="13"/>
  <c r="J33" i="13"/>
  <c r="F33" i="13"/>
  <c r="AD32" i="13"/>
  <c r="AE32" i="13"/>
  <c r="Z32" i="13"/>
  <c r="V32" i="13"/>
  <c r="R32" i="13"/>
  <c r="N32" i="13"/>
  <c r="J32" i="13"/>
  <c r="F32" i="13"/>
  <c r="AD31" i="13"/>
  <c r="AE31" i="13"/>
  <c r="Z31" i="13"/>
  <c r="V31" i="13"/>
  <c r="R31" i="13"/>
  <c r="N31" i="13"/>
  <c r="J31" i="13"/>
  <c r="F31" i="13"/>
  <c r="AD30" i="13"/>
  <c r="AE30" i="13"/>
  <c r="Z30" i="13"/>
  <c r="V30" i="13"/>
  <c r="R30" i="13"/>
  <c r="N30" i="13"/>
  <c r="J30" i="13"/>
  <c r="F30" i="13"/>
  <c r="AD29" i="13"/>
  <c r="AE29" i="13"/>
  <c r="Z29" i="13"/>
  <c r="V29" i="13"/>
  <c r="R29" i="13"/>
  <c r="N29" i="13"/>
  <c r="J29" i="13"/>
  <c r="F29" i="13"/>
  <c r="AD28" i="13"/>
  <c r="Z28" i="13"/>
  <c r="V28" i="13"/>
  <c r="R28" i="13"/>
  <c r="N28" i="13"/>
  <c r="J28" i="13"/>
  <c r="F28" i="13"/>
  <c r="AD27" i="13"/>
  <c r="AE27" i="13"/>
  <c r="Z27" i="13"/>
  <c r="V27" i="13"/>
  <c r="R27" i="13"/>
  <c r="N27" i="13"/>
  <c r="J27" i="13"/>
  <c r="F27" i="13"/>
  <c r="AD26" i="13"/>
  <c r="AE26" i="13"/>
  <c r="Z26" i="13"/>
  <c r="V26" i="13"/>
  <c r="R26" i="13"/>
  <c r="N26" i="13"/>
  <c r="J26" i="13"/>
  <c r="F26" i="13"/>
  <c r="AD25" i="13"/>
  <c r="AE25" i="13"/>
  <c r="Z25" i="13"/>
  <c r="V25" i="13"/>
  <c r="R25" i="13"/>
  <c r="N25" i="13"/>
  <c r="J25" i="13"/>
  <c r="F25" i="13"/>
  <c r="AD24" i="13"/>
  <c r="AE24" i="13"/>
  <c r="Z24" i="13"/>
  <c r="V24" i="13"/>
  <c r="R24" i="13"/>
  <c r="N24" i="13"/>
  <c r="J24" i="13"/>
  <c r="F24" i="13"/>
  <c r="AD23" i="13"/>
  <c r="Z23" i="13"/>
  <c r="V23" i="13"/>
  <c r="R23" i="13"/>
  <c r="N23" i="13"/>
  <c r="J23" i="13"/>
  <c r="F23" i="13"/>
  <c r="AD22" i="13"/>
  <c r="Z22" i="13"/>
  <c r="V22" i="13"/>
  <c r="R22" i="13"/>
  <c r="N22" i="13"/>
  <c r="J22" i="13"/>
  <c r="F22" i="13"/>
  <c r="AD21" i="13"/>
  <c r="Z21" i="13"/>
  <c r="V21" i="13"/>
  <c r="R21" i="13"/>
  <c r="N21" i="13"/>
  <c r="J21" i="13"/>
  <c r="F21" i="13"/>
  <c r="C743" i="11"/>
  <c r="C875" i="11"/>
  <c r="Z874" i="11"/>
  <c r="Y874" i="11"/>
  <c r="X874" i="11"/>
  <c r="W874" i="11"/>
  <c r="V874" i="11"/>
  <c r="U874" i="11"/>
  <c r="T874" i="11"/>
  <c r="S874" i="11"/>
  <c r="R874" i="11"/>
  <c r="Q874" i="11"/>
  <c r="P874" i="11"/>
  <c r="O874" i="11"/>
  <c r="N874" i="11"/>
  <c r="M874" i="11"/>
  <c r="L874" i="11"/>
  <c r="K874" i="11"/>
  <c r="J874" i="11"/>
  <c r="I874" i="11"/>
  <c r="H874" i="11"/>
  <c r="G874" i="11"/>
  <c r="F874" i="11"/>
  <c r="E874" i="11"/>
  <c r="AG873" i="11"/>
  <c r="AB873" i="11"/>
  <c r="AA873" i="11"/>
  <c r="AG872" i="11"/>
  <c r="AL844" i="11"/>
  <c r="AB872" i="11"/>
  <c r="AL843" i="11"/>
  <c r="AA872" i="11"/>
  <c r="AF871" i="11"/>
  <c r="Z871" i="11"/>
  <c r="U871" i="11"/>
  <c r="T871" i="11"/>
  <c r="P871" i="11"/>
  <c r="O871" i="11"/>
  <c r="K871" i="11"/>
  <c r="J871" i="11"/>
  <c r="F871" i="11"/>
  <c r="AG870" i="11"/>
  <c r="AB870" i="11"/>
  <c r="AA870" i="11"/>
  <c r="AB869" i="11"/>
  <c r="AA869" i="11"/>
  <c r="AG868" i="11"/>
  <c r="AB868" i="11"/>
  <c r="AA868" i="11"/>
  <c r="AG867" i="11"/>
  <c r="AB867" i="11"/>
  <c r="AA867" i="11"/>
  <c r="AG866" i="11"/>
  <c r="AB866" i="11"/>
  <c r="AA866" i="11"/>
  <c r="AG865" i="11"/>
  <c r="AB865" i="11"/>
  <c r="AA865" i="11"/>
  <c r="AG864" i="11"/>
  <c r="AB864" i="11"/>
  <c r="AA864" i="11"/>
  <c r="AG863" i="11"/>
  <c r="AB863" i="11"/>
  <c r="AA863" i="11"/>
  <c r="AG862" i="11"/>
  <c r="AB862" i="11"/>
  <c r="AA862" i="11"/>
  <c r="AG861" i="11"/>
  <c r="AB861" i="11"/>
  <c r="AA861" i="11"/>
  <c r="AG860" i="11"/>
  <c r="AB860" i="11"/>
  <c r="AA860" i="11"/>
  <c r="AG859" i="11"/>
  <c r="AB859" i="11"/>
  <c r="AA859" i="11"/>
  <c r="AG858" i="11"/>
  <c r="AG857" i="11"/>
  <c r="AG856" i="11"/>
  <c r="AG845" i="11"/>
  <c r="AB845" i="11"/>
  <c r="AA845" i="11"/>
  <c r="AG844" i="11"/>
  <c r="AG843" i="11"/>
  <c r="AB843" i="11"/>
  <c r="AA843" i="11"/>
  <c r="AG842" i="11"/>
  <c r="AG871" i="11"/>
  <c r="AL841" i="11"/>
  <c r="AB842" i="11"/>
  <c r="AA842" i="11"/>
  <c r="AG841" i="11"/>
  <c r="AB841" i="11"/>
  <c r="AA841" i="11"/>
  <c r="AG840" i="11"/>
  <c r="AB840" i="11"/>
  <c r="AA840" i="11"/>
  <c r="AA871" i="11"/>
  <c r="C832" i="11"/>
  <c r="AL800" i="11"/>
  <c r="Z831" i="11"/>
  <c r="Y831" i="11"/>
  <c r="X831" i="11"/>
  <c r="W831" i="11"/>
  <c r="V831" i="11"/>
  <c r="U831" i="11"/>
  <c r="T831" i="11"/>
  <c r="S831" i="11"/>
  <c r="R831" i="11"/>
  <c r="Q831" i="11"/>
  <c r="P831" i="11"/>
  <c r="O831" i="11"/>
  <c r="N831" i="11"/>
  <c r="M831" i="11"/>
  <c r="L831" i="11"/>
  <c r="K831" i="11"/>
  <c r="I831" i="11"/>
  <c r="H831" i="11"/>
  <c r="G831" i="11"/>
  <c r="F831" i="11"/>
  <c r="E831" i="11"/>
  <c r="AG830" i="11"/>
  <c r="AG831" i="11"/>
  <c r="AB830" i="11"/>
  <c r="AA830" i="11"/>
  <c r="AG829" i="11"/>
  <c r="AL799" i="11"/>
  <c r="AB829" i="11"/>
  <c r="AA829" i="11"/>
  <c r="AF828" i="11"/>
  <c r="Z828" i="11"/>
  <c r="Y828" i="11"/>
  <c r="U828" i="11"/>
  <c r="T828" i="11"/>
  <c r="P828" i="11"/>
  <c r="O828" i="11"/>
  <c r="K828" i="11"/>
  <c r="F828" i="11"/>
  <c r="E828" i="11"/>
  <c r="AG827" i="11"/>
  <c r="AB827" i="11"/>
  <c r="AA827" i="11"/>
  <c r="AB826" i="11"/>
  <c r="AA826" i="11"/>
  <c r="AG825" i="11"/>
  <c r="AB825" i="11"/>
  <c r="AA825" i="11"/>
  <c r="AG824" i="11"/>
  <c r="AB824" i="11"/>
  <c r="AA824" i="11"/>
  <c r="AG823" i="11"/>
  <c r="AB823" i="11"/>
  <c r="AA823" i="11"/>
  <c r="AG822" i="11"/>
  <c r="AB822" i="11"/>
  <c r="AA822" i="11"/>
  <c r="AG821" i="11"/>
  <c r="AB821" i="11"/>
  <c r="AA821" i="11"/>
  <c r="AG820" i="11"/>
  <c r="AB820" i="11"/>
  <c r="AA820" i="11"/>
  <c r="AG819" i="11"/>
  <c r="AB819" i="11"/>
  <c r="AA819" i="11"/>
  <c r="AG818" i="11"/>
  <c r="AB818" i="11"/>
  <c r="AA818" i="11"/>
  <c r="AG817" i="11"/>
  <c r="AB817" i="11"/>
  <c r="AA817" i="11"/>
  <c r="AG816" i="11"/>
  <c r="AB816" i="11"/>
  <c r="AA816" i="11"/>
  <c r="AG815" i="11"/>
  <c r="AB815" i="11"/>
  <c r="AA815" i="11"/>
  <c r="AG814" i="11"/>
  <c r="AB814" i="11"/>
  <c r="AA814" i="11"/>
  <c r="AG813" i="11"/>
  <c r="AB813" i="11"/>
  <c r="AA813" i="11"/>
  <c r="AG812" i="11"/>
  <c r="AB812" i="11"/>
  <c r="AA812" i="11"/>
  <c r="AB811" i="11"/>
  <c r="AA811" i="11"/>
  <c r="AB810" i="11"/>
  <c r="AA810" i="11"/>
  <c r="AB809" i="11"/>
  <c r="AA809" i="11"/>
  <c r="AB808" i="11"/>
  <c r="AA808" i="11"/>
  <c r="AA806" i="11"/>
  <c r="AA805" i="11"/>
  <c r="AA804" i="11"/>
  <c r="AG802" i="11"/>
  <c r="AB802" i="11"/>
  <c r="AA802" i="11"/>
  <c r="AG801" i="11"/>
  <c r="AB801" i="11"/>
  <c r="AA801" i="11"/>
  <c r="AG800" i="11"/>
  <c r="AB800" i="11"/>
  <c r="AA800" i="11"/>
  <c r="AG799" i="11"/>
  <c r="AB799" i="11"/>
  <c r="AA799" i="11"/>
  <c r="AG798" i="11"/>
  <c r="AB798" i="11"/>
  <c r="AB828" i="11"/>
  <c r="AA798" i="11"/>
  <c r="AG797" i="11"/>
  <c r="AB797" i="11"/>
  <c r="AA797" i="11"/>
  <c r="AG796" i="11"/>
  <c r="AB796" i="11"/>
  <c r="AA796" i="11"/>
  <c r="AG795" i="11"/>
  <c r="AG828" i="11"/>
  <c r="AL796" i="11"/>
  <c r="AB795" i="11"/>
  <c r="AA795" i="11"/>
  <c r="AD7" i="13"/>
  <c r="AD8" i="13"/>
  <c r="AD9" i="13"/>
  <c r="AD10" i="13"/>
  <c r="Z7" i="13"/>
  <c r="Z8" i="13"/>
  <c r="Z9" i="13"/>
  <c r="Z10" i="13"/>
  <c r="V7" i="13"/>
  <c r="V8" i="13"/>
  <c r="V9" i="13"/>
  <c r="V10" i="13"/>
  <c r="AD6" i="13"/>
  <c r="Z6" i="13"/>
  <c r="V6" i="13"/>
  <c r="R6" i="13"/>
  <c r="N6" i="13"/>
  <c r="J6" i="13"/>
  <c r="F6" i="13"/>
  <c r="AD13" i="13"/>
  <c r="Z13" i="13"/>
  <c r="V13" i="13"/>
  <c r="R13" i="13"/>
  <c r="N13" i="13"/>
  <c r="J13" i="13"/>
  <c r="F13" i="13"/>
  <c r="R12" i="13"/>
  <c r="N12" i="13"/>
  <c r="J12" i="13"/>
  <c r="F12" i="13"/>
  <c r="R11" i="13"/>
  <c r="N11" i="13"/>
  <c r="J11" i="13"/>
  <c r="F11" i="13"/>
  <c r="R10" i="13"/>
  <c r="N10" i="13"/>
  <c r="J10" i="13"/>
  <c r="F10" i="13"/>
  <c r="R9" i="13"/>
  <c r="N9" i="13"/>
  <c r="J9" i="13"/>
  <c r="F9" i="13"/>
  <c r="R8" i="13"/>
  <c r="N8" i="13"/>
  <c r="J8" i="13"/>
  <c r="F8" i="13"/>
  <c r="R7" i="13"/>
  <c r="N7" i="13"/>
  <c r="J7" i="13"/>
  <c r="F7" i="13"/>
  <c r="R5" i="13"/>
  <c r="N5" i="13"/>
  <c r="J5" i="13"/>
  <c r="F5" i="13"/>
  <c r="AG726" i="11"/>
  <c r="AA726" i="11"/>
  <c r="AB726" i="11"/>
  <c r="AL845" i="11"/>
  <c r="AB831" i="11"/>
  <c r="AB874" i="11"/>
  <c r="AL839" i="11"/>
  <c r="AA831" i="11"/>
  <c r="AA874" i="11"/>
  <c r="AL795" i="11"/>
  <c r="AG874" i="11"/>
  <c r="AL842" i="11"/>
  <c r="AL798" i="11"/>
  <c r="AL797" i="11"/>
  <c r="AA828" i="11"/>
  <c r="AL794" i="11"/>
  <c r="AD353" i="4"/>
  <c r="V535" i="4"/>
  <c r="Z535" i="4"/>
  <c r="AD535" i="4"/>
  <c r="R535" i="4"/>
  <c r="AA749" i="11"/>
  <c r="AB749" i="11"/>
  <c r="AG749" i="11"/>
  <c r="AA750" i="11"/>
  <c r="AB750" i="11"/>
  <c r="AG750" i="11"/>
  <c r="AA751" i="11"/>
  <c r="AB751" i="11"/>
  <c r="AG751" i="11"/>
  <c r="AA752" i="11"/>
  <c r="AB752" i="11"/>
  <c r="AG752" i="11"/>
  <c r="AA753" i="11"/>
  <c r="AB753" i="11"/>
  <c r="AG753" i="11"/>
  <c r="AA754" i="11"/>
  <c r="AB754" i="11"/>
  <c r="AG754" i="11"/>
  <c r="AA755" i="11"/>
  <c r="AB755" i="11"/>
  <c r="AG755" i="11"/>
  <c r="AA756" i="11"/>
  <c r="AB756" i="11"/>
  <c r="AG756" i="11"/>
  <c r="AA758" i="11"/>
  <c r="AA759" i="11"/>
  <c r="AA760" i="11"/>
  <c r="AA762" i="11"/>
  <c r="AG762" i="11"/>
  <c r="AA763" i="11"/>
  <c r="AB763" i="11"/>
  <c r="AG763" i="11"/>
  <c r="AA764" i="11"/>
  <c r="AB764" i="11"/>
  <c r="AG764" i="11"/>
  <c r="AA765" i="11"/>
  <c r="AB765" i="11"/>
  <c r="AG765" i="11"/>
  <c r="AA766" i="11"/>
  <c r="AB766" i="11"/>
  <c r="AG766" i="11"/>
  <c r="AA767" i="11"/>
  <c r="AB767" i="11"/>
  <c r="AG767" i="11"/>
  <c r="AA768" i="11"/>
  <c r="AB768" i="11"/>
  <c r="AG768" i="11"/>
  <c r="AA769" i="11"/>
  <c r="AB769" i="11"/>
  <c r="AG769" i="11"/>
  <c r="AA770" i="11"/>
  <c r="AB770" i="11"/>
  <c r="AG770" i="11"/>
  <c r="AA771" i="11"/>
  <c r="AB771" i="11"/>
  <c r="AG771" i="11"/>
  <c r="AA772" i="11"/>
  <c r="AB772" i="11"/>
  <c r="AG772" i="11"/>
  <c r="AA773" i="11"/>
  <c r="AB773" i="11"/>
  <c r="AG773" i="11"/>
  <c r="AA774" i="11"/>
  <c r="AB774" i="11"/>
  <c r="AG774" i="11"/>
  <c r="AA775" i="11"/>
  <c r="AB775" i="11"/>
  <c r="AG775" i="11"/>
  <c r="AA776" i="11"/>
  <c r="AB776" i="11"/>
  <c r="AG776" i="11"/>
  <c r="AA777" i="11"/>
  <c r="AB777" i="11"/>
  <c r="AG777" i="11"/>
  <c r="AA778" i="11"/>
  <c r="AB778" i="11"/>
  <c r="AG778" i="11"/>
  <c r="AA779" i="11"/>
  <c r="AB779" i="11"/>
  <c r="AG779" i="11"/>
  <c r="AA780" i="11"/>
  <c r="AB780" i="11"/>
  <c r="AA781" i="11"/>
  <c r="AB781" i="11"/>
  <c r="AG781" i="11"/>
  <c r="E782" i="11"/>
  <c r="F782" i="11"/>
  <c r="J782" i="11"/>
  <c r="K782" i="11"/>
  <c r="O782" i="11"/>
  <c r="P782" i="11"/>
  <c r="T782" i="11"/>
  <c r="U782" i="11"/>
  <c r="Y782" i="11"/>
  <c r="Z782" i="11"/>
  <c r="AF782" i="11"/>
  <c r="AA783" i="11"/>
  <c r="AB783" i="11"/>
  <c r="AG783" i="11"/>
  <c r="AL753" i="11"/>
  <c r="AA784" i="11"/>
  <c r="AB784" i="11"/>
  <c r="AG784" i="11"/>
  <c r="E785" i="11"/>
  <c r="F785" i="11"/>
  <c r="G785" i="11"/>
  <c r="H785" i="11"/>
  <c r="I785" i="11"/>
  <c r="J785" i="11"/>
  <c r="K785" i="11"/>
  <c r="L785" i="11"/>
  <c r="M785" i="11"/>
  <c r="N785" i="11"/>
  <c r="O785" i="11"/>
  <c r="P785" i="11"/>
  <c r="Q785" i="11"/>
  <c r="R785" i="11"/>
  <c r="S785" i="11"/>
  <c r="T785" i="11"/>
  <c r="U785" i="11"/>
  <c r="V785" i="11"/>
  <c r="W785" i="11"/>
  <c r="X785" i="11"/>
  <c r="Y785" i="11"/>
  <c r="Z785" i="11"/>
  <c r="C786" i="11"/>
  <c r="AL754" i="11"/>
  <c r="AA785" i="11"/>
  <c r="AL751" i="11"/>
  <c r="C741" i="11"/>
  <c r="Y740" i="11"/>
  <c r="V740" i="11"/>
  <c r="U740" i="11"/>
  <c r="T740" i="11"/>
  <c r="O740" i="11"/>
  <c r="L740" i="11"/>
  <c r="K740" i="11"/>
  <c r="J740" i="11"/>
  <c r="AG739" i="11"/>
  <c r="AB739" i="11"/>
  <c r="AA739" i="11"/>
  <c r="AG738" i="11"/>
  <c r="AL708" i="11"/>
  <c r="AB738" i="11"/>
  <c r="AL707" i="11"/>
  <c r="AA738" i="11"/>
  <c r="AF737" i="11"/>
  <c r="Z737" i="11"/>
  <c r="Y737" i="11"/>
  <c r="U737" i="11"/>
  <c r="T737" i="11"/>
  <c r="P737" i="11"/>
  <c r="O737" i="11"/>
  <c r="K737" i="11"/>
  <c r="J737" i="11"/>
  <c r="F737" i="11"/>
  <c r="E737" i="11"/>
  <c r="AG736" i="11"/>
  <c r="AB736" i="11"/>
  <c r="AA736" i="11"/>
  <c r="AB735" i="11"/>
  <c r="AA735" i="11"/>
  <c r="AG734" i="11"/>
  <c r="AB734" i="11"/>
  <c r="AA734" i="11"/>
  <c r="AG733" i="11"/>
  <c r="AB733" i="11"/>
  <c r="AA733" i="11"/>
  <c r="AG732" i="11"/>
  <c r="AB732" i="11"/>
  <c r="AA732" i="11"/>
  <c r="AG731" i="11"/>
  <c r="AB731" i="11"/>
  <c r="AA731" i="11"/>
  <c r="AG730" i="11"/>
  <c r="AB730" i="11"/>
  <c r="AA730" i="11"/>
  <c r="AG729" i="11"/>
  <c r="AB729" i="11"/>
  <c r="AA729" i="11"/>
  <c r="AG728" i="11"/>
  <c r="AB728" i="11"/>
  <c r="AA728" i="11"/>
  <c r="AG727" i="11"/>
  <c r="AB727" i="11"/>
  <c r="AA727" i="11"/>
  <c r="AG725" i="11"/>
  <c r="AB725" i="11"/>
  <c r="AA725" i="11"/>
  <c r="AG724" i="11"/>
  <c r="AB724" i="11"/>
  <c r="AA724" i="11"/>
  <c r="AG723" i="11"/>
  <c r="AB723" i="11"/>
  <c r="AA723" i="11"/>
  <c r="AG722" i="11"/>
  <c r="AB722" i="11"/>
  <c r="AA722" i="11"/>
  <c r="AG721" i="11"/>
  <c r="AB721" i="11"/>
  <c r="AA721" i="11"/>
  <c r="AG720" i="11"/>
  <c r="AB720" i="11"/>
  <c r="AA720" i="11"/>
  <c r="AG719" i="11"/>
  <c r="AB719" i="11"/>
  <c r="AA719" i="11"/>
  <c r="AG718" i="11"/>
  <c r="AB718" i="11"/>
  <c r="AA718" i="11"/>
  <c r="AG717" i="11"/>
  <c r="AB717" i="11"/>
  <c r="AA717" i="11"/>
  <c r="AG716" i="11"/>
  <c r="AB716" i="11"/>
  <c r="AA716" i="11"/>
  <c r="AG715" i="11"/>
  <c r="AB715" i="11"/>
  <c r="AA715" i="11"/>
  <c r="AG714" i="11"/>
  <c r="AB714" i="11"/>
  <c r="AA714" i="11"/>
  <c r="AG713" i="11"/>
  <c r="AB713" i="11"/>
  <c r="AA713" i="11"/>
  <c r="AG712" i="11"/>
  <c r="AB712" i="11"/>
  <c r="AA712" i="11"/>
  <c r="AG711" i="11"/>
  <c r="AB711" i="11"/>
  <c r="AA711" i="11"/>
  <c r="AG710" i="11"/>
  <c r="AB710" i="11"/>
  <c r="AB737" i="11"/>
  <c r="AL704" i="11"/>
  <c r="AA710" i="11"/>
  <c r="AG709" i="11"/>
  <c r="AB709" i="11"/>
  <c r="AA709" i="11"/>
  <c r="AG708" i="11"/>
  <c r="AB708" i="11"/>
  <c r="AA708" i="11"/>
  <c r="AG707" i="11"/>
  <c r="AB707" i="11"/>
  <c r="AA707" i="11"/>
  <c r="AG706" i="11"/>
  <c r="AB706" i="11"/>
  <c r="AA706" i="11"/>
  <c r="AG705" i="11"/>
  <c r="AB705" i="11"/>
  <c r="AA705" i="11"/>
  <c r="AA737" i="11"/>
  <c r="AL703" i="11"/>
  <c r="AG704" i="11"/>
  <c r="AB704" i="11"/>
  <c r="AA704" i="11"/>
  <c r="AA672" i="11"/>
  <c r="AB672" i="11"/>
  <c r="AG672" i="11"/>
  <c r="AA673" i="11"/>
  <c r="AB673" i="11"/>
  <c r="AG673" i="11"/>
  <c r="AA674" i="11"/>
  <c r="AB674" i="11"/>
  <c r="AG674" i="11"/>
  <c r="AA675" i="11"/>
  <c r="AB675" i="11"/>
  <c r="AG675" i="11"/>
  <c r="AA676" i="11"/>
  <c r="AB676" i="11"/>
  <c r="AG676" i="11"/>
  <c r="AA677" i="11"/>
  <c r="AB677" i="11"/>
  <c r="AG677" i="11"/>
  <c r="AA678" i="11"/>
  <c r="AB678" i="11"/>
  <c r="AG678" i="11"/>
  <c r="AA665" i="11"/>
  <c r="AB665" i="11"/>
  <c r="AG685" i="11"/>
  <c r="AG686" i="11"/>
  <c r="AA685" i="11"/>
  <c r="AB685" i="11"/>
  <c r="AA686" i="11"/>
  <c r="AB686" i="11"/>
  <c r="AG202" i="11"/>
  <c r="Z648" i="11"/>
  <c r="Y648" i="11"/>
  <c r="U648" i="11"/>
  <c r="T648" i="11"/>
  <c r="P648" i="11"/>
  <c r="O648" i="11"/>
  <c r="K648" i="11"/>
  <c r="J648" i="11"/>
  <c r="F648" i="11"/>
  <c r="T604" i="11"/>
  <c r="Y604" i="11"/>
  <c r="Z604" i="11"/>
  <c r="U604" i="11"/>
  <c r="P604" i="11"/>
  <c r="K604" i="11"/>
  <c r="F604" i="11"/>
  <c r="F559" i="11"/>
  <c r="K559" i="11"/>
  <c r="P559" i="11"/>
  <c r="U559" i="11"/>
  <c r="Z559" i="11"/>
  <c r="AL709" i="11"/>
  <c r="AG737" i="11"/>
  <c r="AL705" i="11"/>
  <c r="AA740" i="11"/>
  <c r="AB740" i="11"/>
  <c r="AG740" i="11"/>
  <c r="AL706" i="11"/>
  <c r="AB637" i="11"/>
  <c r="AA637" i="11"/>
  <c r="C653" i="11"/>
  <c r="AD508" i="4"/>
  <c r="Z508" i="4"/>
  <c r="V508" i="4"/>
  <c r="R508" i="4"/>
  <c r="N508" i="4"/>
  <c r="J508" i="4"/>
  <c r="F508" i="4"/>
  <c r="AD507" i="4"/>
  <c r="Z507" i="4"/>
  <c r="V507" i="4"/>
  <c r="R507" i="4"/>
  <c r="N507" i="4"/>
  <c r="J507" i="4"/>
  <c r="F507" i="4"/>
  <c r="AD506" i="4"/>
  <c r="Z506" i="4"/>
  <c r="V506" i="4"/>
  <c r="R506" i="4"/>
  <c r="N506" i="4"/>
  <c r="J506" i="4"/>
  <c r="F506" i="4"/>
  <c r="AD505" i="4"/>
  <c r="Z505" i="4"/>
  <c r="V505" i="4"/>
  <c r="R505" i="4"/>
  <c r="N505" i="4"/>
  <c r="J505" i="4"/>
  <c r="F505" i="4"/>
  <c r="AF505" i="4"/>
  <c r="C609" i="11"/>
  <c r="C608" i="11"/>
  <c r="AL576" i="11"/>
  <c r="AA594" i="11"/>
  <c r="AB594" i="11"/>
  <c r="AA595" i="11"/>
  <c r="AB595" i="11"/>
  <c r="AA606" i="11"/>
  <c r="AG641" i="11"/>
  <c r="AA641" i="11"/>
  <c r="AB641" i="11"/>
  <c r="C652" i="11"/>
  <c r="AL621" i="11"/>
  <c r="C564" i="11"/>
  <c r="T539" i="11"/>
  <c r="T530" i="11"/>
  <c r="E532" i="11"/>
  <c r="AA532" i="11"/>
  <c r="E528" i="11"/>
  <c r="C696" i="11"/>
  <c r="AL665" i="11"/>
  <c r="Z695" i="11"/>
  <c r="Y695" i="11"/>
  <c r="X695" i="11"/>
  <c r="W695" i="11"/>
  <c r="V695" i="11"/>
  <c r="U695" i="11"/>
  <c r="T695" i="11"/>
  <c r="S695" i="11"/>
  <c r="R695" i="11"/>
  <c r="Q695" i="11"/>
  <c r="P695" i="11"/>
  <c r="O695" i="11"/>
  <c r="N695" i="11"/>
  <c r="M695" i="11"/>
  <c r="L695" i="11"/>
  <c r="K695" i="11"/>
  <c r="J695" i="11"/>
  <c r="I695" i="11"/>
  <c r="H695" i="11"/>
  <c r="G695" i="11"/>
  <c r="F695" i="11"/>
  <c r="E695" i="11"/>
  <c r="AG694" i="11"/>
  <c r="AB694" i="11"/>
  <c r="AA694" i="11"/>
  <c r="AG693" i="11"/>
  <c r="AL664" i="11"/>
  <c r="AB693" i="11"/>
  <c r="AA693" i="11"/>
  <c r="AL662" i="11"/>
  <c r="AF692" i="11"/>
  <c r="Z692" i="11"/>
  <c r="Y692" i="11"/>
  <c r="U692" i="11"/>
  <c r="T692" i="11"/>
  <c r="P692" i="11"/>
  <c r="O692" i="11"/>
  <c r="K692" i="11"/>
  <c r="J692" i="11"/>
  <c r="F692" i="11"/>
  <c r="E692" i="11"/>
  <c r="AG691" i="11"/>
  <c r="AB691" i="11"/>
  <c r="AA691" i="11"/>
  <c r="AB690" i="11"/>
  <c r="AA690" i="11"/>
  <c r="AG689" i="11"/>
  <c r="AB689" i="11"/>
  <c r="AA689" i="11"/>
  <c r="AG688" i="11"/>
  <c r="AB688" i="11"/>
  <c r="AA688" i="11"/>
  <c r="AG687" i="11"/>
  <c r="AB687" i="11"/>
  <c r="AA687" i="11"/>
  <c r="AG684" i="11"/>
  <c r="AB684" i="11"/>
  <c r="AA684" i="11"/>
  <c r="AG683" i="11"/>
  <c r="AB683" i="11"/>
  <c r="AA683" i="11"/>
  <c r="AG682" i="11"/>
  <c r="AB682" i="11"/>
  <c r="AA682" i="11"/>
  <c r="AG681" i="11"/>
  <c r="AB681" i="11"/>
  <c r="AA681" i="11"/>
  <c r="AG680" i="11"/>
  <c r="AB680" i="11"/>
  <c r="AA680" i="11"/>
  <c r="AG679" i="11"/>
  <c r="AB679" i="11"/>
  <c r="AA679" i="11"/>
  <c r="AG671" i="11"/>
  <c r="AB671" i="11"/>
  <c r="AA671" i="11"/>
  <c r="AG670" i="11"/>
  <c r="AB670" i="11"/>
  <c r="AA670" i="11"/>
  <c r="AG669" i="11"/>
  <c r="AB669" i="11"/>
  <c r="AA669" i="11"/>
  <c r="AG668" i="11"/>
  <c r="AB668" i="11"/>
  <c r="AA668" i="11"/>
  <c r="AG667" i="11"/>
  <c r="AB667" i="11"/>
  <c r="AA667" i="11"/>
  <c r="AG666" i="11"/>
  <c r="AB666" i="11"/>
  <c r="AA666" i="11"/>
  <c r="AG665" i="11"/>
  <c r="AG664" i="11"/>
  <c r="AG692" i="11"/>
  <c r="AL661" i="11"/>
  <c r="AB664" i="11"/>
  <c r="AA664" i="11"/>
  <c r="AG663" i="11"/>
  <c r="AB663" i="11"/>
  <c r="AA663" i="11"/>
  <c r="AG662" i="11"/>
  <c r="AB662" i="11"/>
  <c r="AA662" i="11"/>
  <c r="AA692" i="11"/>
  <c r="AL659" i="11"/>
  <c r="AG661" i="11"/>
  <c r="AB661" i="11"/>
  <c r="AA661" i="11"/>
  <c r="AG660" i="11"/>
  <c r="AB660" i="11"/>
  <c r="AA660" i="11"/>
  <c r="Z651" i="11"/>
  <c r="Y651" i="11"/>
  <c r="X651" i="11"/>
  <c r="W651" i="11"/>
  <c r="V651" i="11"/>
  <c r="U651" i="11"/>
  <c r="T651" i="11"/>
  <c r="S651" i="11"/>
  <c r="R651" i="11"/>
  <c r="Q651" i="11"/>
  <c r="P651" i="11"/>
  <c r="O651" i="11"/>
  <c r="N651" i="11"/>
  <c r="M651" i="11"/>
  <c r="L651" i="11"/>
  <c r="K651" i="11"/>
  <c r="J651" i="11"/>
  <c r="I651" i="11"/>
  <c r="H651" i="11"/>
  <c r="G651" i="11"/>
  <c r="F651" i="11"/>
  <c r="E651" i="11"/>
  <c r="AG650" i="11"/>
  <c r="AB650" i="11"/>
  <c r="AA650" i="11"/>
  <c r="AG649" i="11"/>
  <c r="AB649" i="11"/>
  <c r="AA649" i="11"/>
  <c r="AF648" i="11"/>
  <c r="E648" i="11"/>
  <c r="AG647" i="11"/>
  <c r="AB647" i="11"/>
  <c r="AA647" i="11"/>
  <c r="AB646" i="11"/>
  <c r="AA646" i="11"/>
  <c r="AG645" i="11"/>
  <c r="AB645" i="11"/>
  <c r="AA645" i="11"/>
  <c r="AG644" i="11"/>
  <c r="AB644" i="11"/>
  <c r="AA644" i="11"/>
  <c r="AG643" i="11"/>
  <c r="AB643" i="11"/>
  <c r="AA643" i="11"/>
  <c r="AG642" i="11"/>
  <c r="AB642" i="11"/>
  <c r="AA642" i="11"/>
  <c r="AG640" i="11"/>
  <c r="AB640" i="11"/>
  <c r="AA640" i="11"/>
  <c r="AG639" i="11"/>
  <c r="AB639" i="11"/>
  <c r="AA639" i="11"/>
  <c r="AG638" i="11"/>
  <c r="AB638" i="11"/>
  <c r="AA638" i="11"/>
  <c r="AG636" i="11"/>
  <c r="AB636" i="11"/>
  <c r="AA636" i="11"/>
  <c r="AG635" i="11"/>
  <c r="AB635" i="11"/>
  <c r="AA635" i="11"/>
  <c r="AG634" i="11"/>
  <c r="AB634" i="11"/>
  <c r="AA634" i="11"/>
  <c r="AG633" i="11"/>
  <c r="AB633" i="11"/>
  <c r="AA633" i="11"/>
  <c r="AG632" i="11"/>
  <c r="AB632" i="11"/>
  <c r="AA632" i="11"/>
  <c r="AG631" i="11"/>
  <c r="AB631" i="11"/>
  <c r="AA631" i="11"/>
  <c r="AG630" i="11"/>
  <c r="AB630" i="11"/>
  <c r="AA630" i="11"/>
  <c r="AG629" i="11"/>
  <c r="AB629" i="11"/>
  <c r="AA629" i="11"/>
  <c r="AG628" i="11"/>
  <c r="AB628" i="11"/>
  <c r="AA628" i="11"/>
  <c r="AG627" i="11"/>
  <c r="AB627" i="11"/>
  <c r="AA627" i="11"/>
  <c r="AG626" i="11"/>
  <c r="AB626" i="11"/>
  <c r="AA626" i="11"/>
  <c r="AG625" i="11"/>
  <c r="AB625" i="11"/>
  <c r="AA625" i="11"/>
  <c r="AG624" i="11"/>
  <c r="AB624" i="11"/>
  <c r="AA624" i="11"/>
  <c r="AG623" i="11"/>
  <c r="AB623" i="11"/>
  <c r="AA623" i="11"/>
  <c r="AA648" i="11"/>
  <c r="AL615" i="11"/>
  <c r="AG622" i="11"/>
  <c r="AB622" i="11"/>
  <c r="AA622" i="11"/>
  <c r="AG621" i="11"/>
  <c r="AB621" i="11"/>
  <c r="AA621" i="11"/>
  <c r="AG620" i="11"/>
  <c r="AB620" i="11"/>
  <c r="AA620" i="11"/>
  <c r="AG619" i="11"/>
  <c r="AB619" i="11"/>
  <c r="AA619" i="11"/>
  <c r="AG618" i="11"/>
  <c r="AB618" i="11"/>
  <c r="AA618" i="11"/>
  <c r="AG617" i="11"/>
  <c r="AB617" i="11"/>
  <c r="AA617" i="11"/>
  <c r="AG616" i="11"/>
  <c r="AB616" i="11"/>
  <c r="AA616" i="11"/>
  <c r="AG598" i="11"/>
  <c r="AB598" i="11"/>
  <c r="AA598" i="11"/>
  <c r="Z607" i="11"/>
  <c r="Y607" i="11"/>
  <c r="X607" i="11"/>
  <c r="W607" i="11"/>
  <c r="V607" i="11"/>
  <c r="U607" i="11"/>
  <c r="T607" i="11"/>
  <c r="S607" i="11"/>
  <c r="R607" i="11"/>
  <c r="Q607" i="11"/>
  <c r="P607" i="11"/>
  <c r="O607" i="11"/>
  <c r="N607" i="11"/>
  <c r="M607" i="11"/>
  <c r="L607" i="11"/>
  <c r="K607" i="11"/>
  <c r="J607" i="11"/>
  <c r="I607" i="11"/>
  <c r="H607" i="11"/>
  <c r="G607" i="11"/>
  <c r="F607" i="11"/>
  <c r="E607" i="11"/>
  <c r="AG606" i="11"/>
  <c r="AB606" i="11"/>
  <c r="AG605" i="11"/>
  <c r="AB605" i="11"/>
  <c r="AA605" i="11"/>
  <c r="AF604" i="11"/>
  <c r="O604" i="11"/>
  <c r="J604" i="11"/>
  <c r="E604" i="11"/>
  <c r="AG603" i="11"/>
  <c r="AB603" i="11"/>
  <c r="AA603" i="11"/>
  <c r="AB602" i="11"/>
  <c r="AA602" i="11"/>
  <c r="AG601" i="11"/>
  <c r="AB601" i="11"/>
  <c r="AA601" i="11"/>
  <c r="AG600" i="11"/>
  <c r="AB600" i="11"/>
  <c r="AA600" i="11"/>
  <c r="AG599" i="11"/>
  <c r="AB599" i="11"/>
  <c r="AA599" i="11"/>
  <c r="AG597" i="11"/>
  <c r="AB597" i="11"/>
  <c r="AA597" i="11"/>
  <c r="AG596" i="11"/>
  <c r="AB596" i="11"/>
  <c r="AA596" i="11"/>
  <c r="AG593" i="11"/>
  <c r="AB593" i="11"/>
  <c r="AA593" i="11"/>
  <c r="AG592" i="11"/>
  <c r="AB592" i="11"/>
  <c r="AA592" i="11"/>
  <c r="AG591" i="11"/>
  <c r="AB591" i="11"/>
  <c r="AA591" i="11"/>
  <c r="AG590" i="11"/>
  <c r="AB590" i="11"/>
  <c r="AA590" i="11"/>
  <c r="AG589" i="11"/>
  <c r="AB589" i="11"/>
  <c r="AA589" i="11"/>
  <c r="AG588" i="11"/>
  <c r="AB588" i="11"/>
  <c r="AA588" i="11"/>
  <c r="AG587" i="11"/>
  <c r="AB587" i="11"/>
  <c r="AA587" i="11"/>
  <c r="AG586" i="11"/>
  <c r="AB586" i="11"/>
  <c r="AA586" i="11"/>
  <c r="AG585" i="11"/>
  <c r="AB585" i="11"/>
  <c r="AA585" i="11"/>
  <c r="AG584" i="11"/>
  <c r="AB584" i="11"/>
  <c r="AA584" i="11"/>
  <c r="AG583" i="11"/>
  <c r="AB583" i="11"/>
  <c r="AA583" i="11"/>
  <c r="AG582" i="11"/>
  <c r="AB582" i="11"/>
  <c r="AA582" i="11"/>
  <c r="AG581" i="11"/>
  <c r="AB581" i="11"/>
  <c r="AA581" i="11"/>
  <c r="AG580" i="11"/>
  <c r="AB580" i="11"/>
  <c r="AA580" i="11"/>
  <c r="AG579" i="11"/>
  <c r="AB579" i="11"/>
  <c r="AA579" i="11"/>
  <c r="AG578" i="11"/>
  <c r="AB578" i="11"/>
  <c r="AA578" i="11"/>
  <c r="AG577" i="11"/>
  <c r="AB577" i="11"/>
  <c r="AA577" i="11"/>
  <c r="AA604" i="11"/>
  <c r="AL570" i="11"/>
  <c r="AG576" i="11"/>
  <c r="AB576" i="11"/>
  <c r="AA576" i="11"/>
  <c r="AG575" i="11"/>
  <c r="AB575" i="11"/>
  <c r="AA575" i="11"/>
  <c r="AG574" i="11"/>
  <c r="AB574" i="11"/>
  <c r="AB604" i="11"/>
  <c r="AL571" i="11"/>
  <c r="AA574" i="11"/>
  <c r="AG573" i="11"/>
  <c r="AB573" i="11"/>
  <c r="AA573" i="11"/>
  <c r="AG572" i="11"/>
  <c r="AB572" i="11"/>
  <c r="AA572" i="11"/>
  <c r="AG571" i="11"/>
  <c r="AG604" i="11"/>
  <c r="AL572" i="11"/>
  <c r="AB571" i="11"/>
  <c r="AA571" i="11"/>
  <c r="AA561" i="11"/>
  <c r="AA550" i="11"/>
  <c r="AB550" i="11"/>
  <c r="AG550" i="11"/>
  <c r="AB651" i="11"/>
  <c r="AL619" i="11"/>
  <c r="AA651" i="11"/>
  <c r="AL618" i="11"/>
  <c r="AB695" i="11"/>
  <c r="AG695" i="11"/>
  <c r="AA695" i="11"/>
  <c r="AL663" i="11"/>
  <c r="AG607" i="11"/>
  <c r="AL575" i="11"/>
  <c r="AB607" i="11"/>
  <c r="AL574" i="11"/>
  <c r="AA607" i="11"/>
  <c r="AL573" i="11"/>
  <c r="AA549" i="11"/>
  <c r="AB549" i="11"/>
  <c r="AG549" i="11"/>
  <c r="AA551" i="11"/>
  <c r="AB551" i="11"/>
  <c r="AG551" i="11"/>
  <c r="AF505" i="11"/>
  <c r="AG505" i="11"/>
  <c r="AF481" i="11"/>
  <c r="AF608" i="13"/>
  <c r="AF607" i="13"/>
  <c r="AD605" i="13"/>
  <c r="Z605" i="13"/>
  <c r="V605" i="13"/>
  <c r="R605" i="13"/>
  <c r="N605" i="13"/>
  <c r="J605" i="13"/>
  <c r="F605" i="13"/>
  <c r="AD595" i="13"/>
  <c r="Z595" i="13"/>
  <c r="V595" i="13"/>
  <c r="R595" i="13"/>
  <c r="N595" i="13"/>
  <c r="J595" i="13"/>
  <c r="F595" i="13"/>
  <c r="AD592" i="13"/>
  <c r="Z592" i="13"/>
  <c r="V592" i="13"/>
  <c r="R592" i="13"/>
  <c r="N592" i="13"/>
  <c r="J592" i="13"/>
  <c r="F592" i="13"/>
  <c r="AD591" i="13"/>
  <c r="Z591" i="13"/>
  <c r="V591" i="13"/>
  <c r="R591" i="13"/>
  <c r="N591" i="13"/>
  <c r="J591" i="13"/>
  <c r="F591" i="13"/>
  <c r="AD588" i="13"/>
  <c r="Z588" i="13"/>
  <c r="V588" i="13"/>
  <c r="R588" i="13"/>
  <c r="N588" i="13"/>
  <c r="J588" i="13"/>
  <c r="F588" i="13"/>
  <c r="AD587" i="13"/>
  <c r="Z587" i="13"/>
  <c r="V587" i="13"/>
  <c r="R587" i="13"/>
  <c r="N587" i="13"/>
  <c r="J587" i="13"/>
  <c r="F587" i="13"/>
  <c r="AD586" i="13"/>
  <c r="Z586" i="13"/>
  <c r="V586" i="13"/>
  <c r="R586" i="13"/>
  <c r="N586" i="13"/>
  <c r="J586" i="13"/>
  <c r="F586" i="13"/>
  <c r="AD585" i="13"/>
  <c r="Z585" i="13"/>
  <c r="V585" i="13"/>
  <c r="R585" i="13"/>
  <c r="N585" i="13"/>
  <c r="J585" i="13"/>
  <c r="F585" i="13"/>
  <c r="H583" i="13"/>
  <c r="L583" i="13"/>
  <c r="P583" i="13"/>
  <c r="T583" i="13"/>
  <c r="X583" i="13"/>
  <c r="AB583" i="13"/>
  <c r="AF582" i="13"/>
  <c r="AF581" i="13"/>
  <c r="AD579" i="13"/>
  <c r="Z579" i="13"/>
  <c r="V579" i="13"/>
  <c r="R579" i="13"/>
  <c r="N579" i="13"/>
  <c r="J579" i="13"/>
  <c r="F579" i="13"/>
  <c r="AD575" i="13"/>
  <c r="Z575" i="13"/>
  <c r="V575" i="13"/>
  <c r="R575" i="13"/>
  <c r="N575" i="13"/>
  <c r="J575" i="13"/>
  <c r="F575" i="13"/>
  <c r="AD574" i="13"/>
  <c r="Z574" i="13"/>
  <c r="V574" i="13"/>
  <c r="R574" i="13"/>
  <c r="N574" i="13"/>
  <c r="J574" i="13"/>
  <c r="F574" i="13"/>
  <c r="AD573" i="13"/>
  <c r="Z573" i="13"/>
  <c r="V573" i="13"/>
  <c r="R573" i="13"/>
  <c r="N573" i="13"/>
  <c r="J573" i="13"/>
  <c r="F573" i="13"/>
  <c r="AD572" i="13"/>
  <c r="Z572" i="13"/>
  <c r="V572" i="13"/>
  <c r="R572" i="13"/>
  <c r="N572" i="13"/>
  <c r="J572" i="13"/>
  <c r="F572" i="13"/>
  <c r="AD571" i="13"/>
  <c r="Z571" i="13"/>
  <c r="V571" i="13"/>
  <c r="R571" i="13"/>
  <c r="N571" i="13"/>
  <c r="J571" i="13"/>
  <c r="F571" i="13"/>
  <c r="AD570" i="13"/>
  <c r="Z570" i="13"/>
  <c r="V570" i="13"/>
  <c r="R570" i="13"/>
  <c r="N570" i="13"/>
  <c r="J570" i="13"/>
  <c r="F570" i="13"/>
  <c r="AD569" i="13"/>
  <c r="Z569" i="13"/>
  <c r="V569" i="13"/>
  <c r="R569" i="13"/>
  <c r="N569" i="13"/>
  <c r="J569" i="13"/>
  <c r="F569" i="13"/>
  <c r="H567" i="13"/>
  <c r="L567" i="13"/>
  <c r="P567" i="13"/>
  <c r="T567" i="13"/>
  <c r="X567" i="13"/>
  <c r="AB567" i="13"/>
  <c r="AF566" i="13"/>
  <c r="AF565" i="13"/>
  <c r="AD563" i="13"/>
  <c r="Z563" i="13"/>
  <c r="V563" i="13"/>
  <c r="R563" i="13"/>
  <c r="N563" i="13"/>
  <c r="J563" i="13"/>
  <c r="F563" i="13"/>
  <c r="AD559" i="13"/>
  <c r="Z559" i="13"/>
  <c r="V559" i="13"/>
  <c r="R559" i="13"/>
  <c r="N559" i="13"/>
  <c r="J559" i="13"/>
  <c r="F559" i="13"/>
  <c r="AD558" i="13"/>
  <c r="Z558" i="13"/>
  <c r="V558" i="13"/>
  <c r="R558" i="13"/>
  <c r="N558" i="13"/>
  <c r="J558" i="13"/>
  <c r="F558" i="13"/>
  <c r="AD557" i="13"/>
  <c r="Z557" i="13"/>
  <c r="V557" i="13"/>
  <c r="R557" i="13"/>
  <c r="N557" i="13"/>
  <c r="J557" i="13"/>
  <c r="F557" i="13"/>
  <c r="AD556" i="13"/>
  <c r="Z556" i="13"/>
  <c r="V556" i="13"/>
  <c r="R556" i="13"/>
  <c r="N556" i="13"/>
  <c r="J556" i="13"/>
  <c r="F556" i="13"/>
  <c r="AD555" i="13"/>
  <c r="Z555" i="13"/>
  <c r="V555" i="13"/>
  <c r="R555" i="13"/>
  <c r="N555" i="13"/>
  <c r="J555" i="13"/>
  <c r="F555" i="13"/>
  <c r="AD554" i="13"/>
  <c r="Z554" i="13"/>
  <c r="V554" i="13"/>
  <c r="R554" i="13"/>
  <c r="N554" i="13"/>
  <c r="J554" i="13"/>
  <c r="F554" i="13"/>
  <c r="AD553" i="13"/>
  <c r="Z553" i="13"/>
  <c r="V553" i="13"/>
  <c r="R553" i="13"/>
  <c r="N553" i="13"/>
  <c r="J553" i="13"/>
  <c r="F553" i="13"/>
  <c r="H551" i="13"/>
  <c r="L551" i="13"/>
  <c r="P551" i="13"/>
  <c r="T551" i="13"/>
  <c r="X551" i="13"/>
  <c r="AB551" i="13"/>
  <c r="AF550" i="13"/>
  <c r="AF549" i="13"/>
  <c r="AD547" i="13"/>
  <c r="Z547" i="13"/>
  <c r="V547" i="13"/>
  <c r="R547" i="13"/>
  <c r="N547" i="13"/>
  <c r="J547" i="13"/>
  <c r="F547" i="13"/>
  <c r="AD542" i="13"/>
  <c r="Z542" i="13"/>
  <c r="V542" i="13"/>
  <c r="R542" i="13"/>
  <c r="N542" i="13"/>
  <c r="J542" i="13"/>
  <c r="F542" i="13"/>
  <c r="AD541" i="13"/>
  <c r="Z541" i="13"/>
  <c r="V541" i="13"/>
  <c r="R541" i="13"/>
  <c r="N541" i="13"/>
  <c r="J541" i="13"/>
  <c r="F541" i="13"/>
  <c r="AD540" i="13"/>
  <c r="Z540" i="13"/>
  <c r="V540" i="13"/>
  <c r="R540" i="13"/>
  <c r="N540" i="13"/>
  <c r="J540" i="13"/>
  <c r="F540" i="13"/>
  <c r="AD539" i="13"/>
  <c r="Z539" i="13"/>
  <c r="V539" i="13"/>
  <c r="R539" i="13"/>
  <c r="N539" i="13"/>
  <c r="J539" i="13"/>
  <c r="F539" i="13"/>
  <c r="AD538" i="13"/>
  <c r="Z538" i="13"/>
  <c r="V538" i="13"/>
  <c r="R538" i="13"/>
  <c r="N538" i="13"/>
  <c r="J538" i="13"/>
  <c r="F538" i="13"/>
  <c r="AD537" i="13"/>
  <c r="Z537" i="13"/>
  <c r="V537" i="13"/>
  <c r="R537" i="13"/>
  <c r="N537" i="13"/>
  <c r="J537" i="13"/>
  <c r="F537" i="13"/>
  <c r="AD536" i="13"/>
  <c r="Z536" i="13"/>
  <c r="V536" i="13"/>
  <c r="R536" i="13"/>
  <c r="N536" i="13"/>
  <c r="J536" i="13"/>
  <c r="F536" i="13"/>
  <c r="H534" i="13"/>
  <c r="L534" i="13"/>
  <c r="P534" i="13"/>
  <c r="T534" i="13"/>
  <c r="X534" i="13"/>
  <c r="AB534" i="13"/>
  <c r="AF533" i="13"/>
  <c r="AF532" i="13"/>
  <c r="AD530" i="13"/>
  <c r="Z530" i="13"/>
  <c r="V530" i="13"/>
  <c r="R530" i="13"/>
  <c r="N530" i="13"/>
  <c r="J530" i="13"/>
  <c r="F530" i="13"/>
  <c r="AD522" i="13"/>
  <c r="Z522" i="13"/>
  <c r="V522" i="13"/>
  <c r="R522" i="13"/>
  <c r="N522" i="13"/>
  <c r="J522" i="13"/>
  <c r="F522" i="13"/>
  <c r="AD521" i="13"/>
  <c r="Z521" i="13"/>
  <c r="V521" i="13"/>
  <c r="R521" i="13"/>
  <c r="N521" i="13"/>
  <c r="J521" i="13"/>
  <c r="F521" i="13"/>
  <c r="AD520" i="13"/>
  <c r="Z520" i="13"/>
  <c r="V520" i="13"/>
  <c r="R520" i="13"/>
  <c r="N520" i="13"/>
  <c r="J520" i="13"/>
  <c r="F520" i="13"/>
  <c r="AD519" i="13"/>
  <c r="Z519" i="13"/>
  <c r="V519" i="13"/>
  <c r="R519" i="13"/>
  <c r="N519" i="13"/>
  <c r="J519" i="13"/>
  <c r="F519" i="13"/>
  <c r="H517" i="13"/>
  <c r="L517" i="13"/>
  <c r="P517" i="13"/>
  <c r="T517" i="13"/>
  <c r="X517" i="13"/>
  <c r="AB517" i="13"/>
  <c r="AF516" i="13"/>
  <c r="AF515" i="13"/>
  <c r="AD513" i="13"/>
  <c r="Z513" i="13"/>
  <c r="V513" i="13"/>
  <c r="R513" i="13"/>
  <c r="N513" i="13"/>
  <c r="J513" i="13"/>
  <c r="F513" i="13"/>
  <c r="AD510" i="13"/>
  <c r="Z510" i="13"/>
  <c r="V510" i="13"/>
  <c r="R510" i="13"/>
  <c r="N510" i="13"/>
  <c r="J510" i="13"/>
  <c r="F510" i="13"/>
  <c r="AD509" i="13"/>
  <c r="Z509" i="13"/>
  <c r="V509" i="13"/>
  <c r="R509" i="13"/>
  <c r="N509" i="13"/>
  <c r="J509" i="13"/>
  <c r="F509" i="13"/>
  <c r="AD508" i="13"/>
  <c r="Z508" i="13"/>
  <c r="V508" i="13"/>
  <c r="R508" i="13"/>
  <c r="N508" i="13"/>
  <c r="J508" i="13"/>
  <c r="F508" i="13"/>
  <c r="AD507" i="13"/>
  <c r="Z507" i="13"/>
  <c r="V507" i="13"/>
  <c r="R507" i="13"/>
  <c r="N507" i="13"/>
  <c r="J507" i="13"/>
  <c r="F507" i="13"/>
  <c r="H505" i="13"/>
  <c r="L505" i="13"/>
  <c r="P505" i="13"/>
  <c r="T505" i="13"/>
  <c r="X505" i="13"/>
  <c r="AB505" i="13"/>
  <c r="AF504" i="13"/>
  <c r="AF503" i="13"/>
  <c r="AD501" i="13"/>
  <c r="Z501" i="13"/>
  <c r="V501" i="13"/>
  <c r="R501" i="13"/>
  <c r="N501" i="13"/>
  <c r="J501" i="13"/>
  <c r="F501" i="13"/>
  <c r="AD498" i="13"/>
  <c r="Z498" i="13"/>
  <c r="V498" i="13"/>
  <c r="R498" i="13"/>
  <c r="N498" i="13"/>
  <c r="J498" i="13"/>
  <c r="F498" i="13"/>
  <c r="AD497" i="13"/>
  <c r="Z497" i="13"/>
  <c r="V497" i="13"/>
  <c r="R497" i="13"/>
  <c r="N497" i="13"/>
  <c r="J497" i="13"/>
  <c r="F497" i="13"/>
  <c r="AD496" i="13"/>
  <c r="Z496" i="13"/>
  <c r="V496" i="13"/>
  <c r="R496" i="13"/>
  <c r="N496" i="13"/>
  <c r="J496" i="13"/>
  <c r="F496" i="13"/>
  <c r="AD495" i="13"/>
  <c r="Z495" i="13"/>
  <c r="V495" i="13"/>
  <c r="R495" i="13"/>
  <c r="N495" i="13"/>
  <c r="J495" i="13"/>
  <c r="F495" i="13"/>
  <c r="H493" i="13"/>
  <c r="L493" i="13"/>
  <c r="P493" i="13"/>
  <c r="T493" i="13"/>
  <c r="X493" i="13"/>
  <c r="AB493" i="13"/>
  <c r="AF492" i="13"/>
  <c r="AF491" i="13"/>
  <c r="AD485" i="13"/>
  <c r="Z485" i="13"/>
  <c r="V485" i="13"/>
  <c r="R485" i="13"/>
  <c r="N485" i="13"/>
  <c r="J485" i="13"/>
  <c r="F485" i="13"/>
  <c r="AD484" i="13"/>
  <c r="Z484" i="13"/>
  <c r="V484" i="13"/>
  <c r="R484" i="13"/>
  <c r="N484" i="13"/>
  <c r="J484" i="13"/>
  <c r="F484" i="13"/>
  <c r="AD483" i="13"/>
  <c r="Z483" i="13"/>
  <c r="V483" i="13"/>
  <c r="R483" i="13"/>
  <c r="N483" i="13"/>
  <c r="J483" i="13"/>
  <c r="F483" i="13"/>
  <c r="AD482" i="13"/>
  <c r="Z482" i="13"/>
  <c r="V482" i="13"/>
  <c r="R482" i="13"/>
  <c r="N482" i="13"/>
  <c r="F482" i="13"/>
  <c r="AD481" i="13"/>
  <c r="Z481" i="13"/>
  <c r="V481" i="13"/>
  <c r="R481" i="13"/>
  <c r="N481" i="13"/>
  <c r="J481" i="13"/>
  <c r="F481" i="13"/>
  <c r="H479" i="13"/>
  <c r="L479" i="13"/>
  <c r="P479" i="13"/>
  <c r="T479" i="13"/>
  <c r="X479" i="13"/>
  <c r="AB479" i="13"/>
  <c r="AF478" i="13"/>
  <c r="AF477" i="13"/>
  <c r="AD466" i="13"/>
  <c r="Z466" i="13"/>
  <c r="V466" i="13"/>
  <c r="R466" i="13"/>
  <c r="N466" i="13"/>
  <c r="J466" i="13"/>
  <c r="F466" i="13"/>
  <c r="AD465" i="13"/>
  <c r="Z465" i="13"/>
  <c r="V465" i="13"/>
  <c r="R465" i="13"/>
  <c r="N465" i="13"/>
  <c r="J465" i="13"/>
  <c r="F465" i="13"/>
  <c r="AD464" i="13"/>
  <c r="Z464" i="13"/>
  <c r="V464" i="13"/>
  <c r="R464" i="13"/>
  <c r="N464" i="13"/>
  <c r="J464" i="13"/>
  <c r="F464" i="13"/>
  <c r="AD463" i="13"/>
  <c r="Z463" i="13"/>
  <c r="V463" i="13"/>
  <c r="R463" i="13"/>
  <c r="N463" i="13"/>
  <c r="J463" i="13"/>
  <c r="F463" i="13"/>
  <c r="AD462" i="13"/>
  <c r="Z462" i="13"/>
  <c r="V462" i="13"/>
  <c r="R462" i="13"/>
  <c r="N462" i="13"/>
  <c r="J462" i="13"/>
  <c r="F462" i="13"/>
  <c r="AD461" i="13"/>
  <c r="Z461" i="13"/>
  <c r="V461" i="13"/>
  <c r="R461" i="13"/>
  <c r="N461" i="13"/>
  <c r="J461" i="13"/>
  <c r="F461" i="13"/>
  <c r="H459" i="13"/>
  <c r="L459" i="13"/>
  <c r="P459" i="13"/>
  <c r="T459" i="13"/>
  <c r="X459" i="13"/>
  <c r="AB459" i="13"/>
  <c r="AF458" i="13"/>
  <c r="AF457" i="13"/>
  <c r="AD448" i="13"/>
  <c r="Z448" i="13"/>
  <c r="V448" i="13"/>
  <c r="R448" i="13"/>
  <c r="N448" i="13"/>
  <c r="J448" i="13"/>
  <c r="F448" i="13"/>
  <c r="AD447" i="13"/>
  <c r="Z447" i="13"/>
  <c r="V447" i="13"/>
  <c r="R447" i="13"/>
  <c r="N447" i="13"/>
  <c r="J447" i="13"/>
  <c r="F447" i="13"/>
  <c r="AD446" i="13"/>
  <c r="Z446" i="13"/>
  <c r="V446" i="13"/>
  <c r="R446" i="13"/>
  <c r="N446" i="13"/>
  <c r="J446" i="13"/>
  <c r="F446" i="13"/>
  <c r="AD445" i="13"/>
  <c r="Z445" i="13"/>
  <c r="V445" i="13"/>
  <c r="R445" i="13"/>
  <c r="N445" i="13"/>
  <c r="J445" i="13"/>
  <c r="F445" i="13"/>
  <c r="H443" i="13"/>
  <c r="L443" i="13"/>
  <c r="P443" i="13"/>
  <c r="T443" i="13"/>
  <c r="X443" i="13"/>
  <c r="AB443" i="13"/>
  <c r="AF442" i="13"/>
  <c r="AF441" i="13"/>
  <c r="AD430" i="13"/>
  <c r="Z430" i="13"/>
  <c r="V430" i="13"/>
  <c r="R430" i="13"/>
  <c r="N430" i="13"/>
  <c r="J430" i="13"/>
  <c r="F430" i="13"/>
  <c r="AD429" i="13"/>
  <c r="Z429" i="13"/>
  <c r="V429" i="13"/>
  <c r="R429" i="13"/>
  <c r="N429" i="13"/>
  <c r="J429" i="13"/>
  <c r="F429" i="13"/>
  <c r="AD428" i="13"/>
  <c r="Z428" i="13"/>
  <c r="V428" i="13"/>
  <c r="R428" i="13"/>
  <c r="N428" i="13"/>
  <c r="J428" i="13"/>
  <c r="F428" i="13"/>
  <c r="AD427" i="13"/>
  <c r="Z427" i="13"/>
  <c r="V427" i="13"/>
  <c r="R427" i="13"/>
  <c r="N427" i="13"/>
  <c r="J427" i="13"/>
  <c r="F427" i="13"/>
  <c r="H425" i="13"/>
  <c r="L425" i="13"/>
  <c r="P425" i="13"/>
  <c r="T425" i="13"/>
  <c r="X425" i="13"/>
  <c r="AB425" i="13"/>
  <c r="AF424" i="13"/>
  <c r="AF423" i="13"/>
  <c r="V411" i="13"/>
  <c r="N411" i="13"/>
  <c r="J411" i="13"/>
  <c r="F407" i="13"/>
  <c r="AD404" i="13"/>
  <c r="Z404" i="13"/>
  <c r="F404" i="13"/>
  <c r="AD403" i="13"/>
  <c r="Z403" i="13"/>
  <c r="V403" i="13"/>
  <c r="R403" i="13"/>
  <c r="N403" i="13"/>
  <c r="J403" i="13"/>
  <c r="F403" i="13"/>
  <c r="H401" i="13"/>
  <c r="L401" i="13"/>
  <c r="P401" i="13"/>
  <c r="T401" i="13"/>
  <c r="X401" i="13"/>
  <c r="AB401" i="13"/>
  <c r="AF400" i="13"/>
  <c r="AF399" i="13"/>
  <c r="AD391" i="13"/>
  <c r="Z391" i="13"/>
  <c r="V391" i="13"/>
  <c r="R391" i="13"/>
  <c r="N391" i="13"/>
  <c r="J391" i="13"/>
  <c r="F391" i="13"/>
  <c r="AD390" i="13"/>
  <c r="Z390" i="13"/>
  <c r="V390" i="13"/>
  <c r="R390" i="13"/>
  <c r="N390" i="13"/>
  <c r="J390" i="13"/>
  <c r="F390" i="13"/>
  <c r="AD389" i="13"/>
  <c r="Z389" i="13"/>
  <c r="V389" i="13"/>
  <c r="R389" i="13"/>
  <c r="N389" i="13"/>
  <c r="J389" i="13"/>
  <c r="F389" i="13"/>
  <c r="AD388" i="13"/>
  <c r="Z388" i="13"/>
  <c r="V388" i="13"/>
  <c r="R388" i="13"/>
  <c r="N388" i="13"/>
  <c r="J388" i="13"/>
  <c r="F388" i="13"/>
  <c r="AD387" i="13"/>
  <c r="Z387" i="13"/>
  <c r="V387" i="13"/>
  <c r="R387" i="13"/>
  <c r="N387" i="13"/>
  <c r="J387" i="13"/>
  <c r="F387" i="13"/>
  <c r="AD386" i="13"/>
  <c r="Z386" i="13"/>
  <c r="V386" i="13"/>
  <c r="R386" i="13"/>
  <c r="N386" i="13"/>
  <c r="J386" i="13"/>
  <c r="F386" i="13"/>
  <c r="H384" i="13"/>
  <c r="L384" i="13"/>
  <c r="P384" i="13"/>
  <c r="T384" i="13"/>
  <c r="X384" i="13"/>
  <c r="AB384" i="13"/>
  <c r="AF383" i="13"/>
  <c r="AF382" i="13"/>
  <c r="AD372" i="13"/>
  <c r="Z372" i="13"/>
  <c r="V372" i="13"/>
  <c r="R372" i="13"/>
  <c r="N372" i="13"/>
  <c r="J372" i="13"/>
  <c r="F372" i="13"/>
  <c r="AD370" i="13"/>
  <c r="Z370" i="13"/>
  <c r="V370" i="13"/>
  <c r="R370" i="13"/>
  <c r="N370" i="13"/>
  <c r="J370" i="13"/>
  <c r="F370" i="13"/>
  <c r="AD369" i="13"/>
  <c r="Z369" i="13"/>
  <c r="V369" i="13"/>
  <c r="R369" i="13"/>
  <c r="N369" i="13"/>
  <c r="J369" i="13"/>
  <c r="F369" i="13"/>
  <c r="AD368" i="13"/>
  <c r="Z368" i="13"/>
  <c r="V368" i="13"/>
  <c r="R368" i="13"/>
  <c r="N368" i="13"/>
  <c r="J368" i="13"/>
  <c r="F368" i="13"/>
  <c r="H366" i="13"/>
  <c r="L366" i="13"/>
  <c r="P366" i="13"/>
  <c r="T366" i="13"/>
  <c r="X366" i="13"/>
  <c r="AB366" i="13"/>
  <c r="AF365" i="13"/>
  <c r="AF364" i="13"/>
  <c r="AD362" i="13"/>
  <c r="Z362" i="13"/>
  <c r="V362" i="13"/>
  <c r="R362" i="13"/>
  <c r="N362" i="13"/>
  <c r="J362" i="13"/>
  <c r="F362" i="13"/>
  <c r="AD360" i="13"/>
  <c r="Z360" i="13"/>
  <c r="V360" i="13"/>
  <c r="R360" i="13"/>
  <c r="N360" i="13"/>
  <c r="J360" i="13"/>
  <c r="F360" i="13"/>
  <c r="AD359" i="13"/>
  <c r="Z359" i="13"/>
  <c r="V359" i="13"/>
  <c r="R359" i="13"/>
  <c r="N359" i="13"/>
  <c r="J359" i="13"/>
  <c r="F359" i="13"/>
  <c r="AD358" i="13"/>
  <c r="Z358" i="13"/>
  <c r="V358" i="13"/>
  <c r="R358" i="13"/>
  <c r="N358" i="13"/>
  <c r="J358" i="13"/>
  <c r="F358" i="13"/>
  <c r="AD357" i="13"/>
  <c r="Z357" i="13"/>
  <c r="V357" i="13"/>
  <c r="R357" i="13"/>
  <c r="N357" i="13"/>
  <c r="J357" i="13"/>
  <c r="F357" i="13"/>
  <c r="AD356" i="13"/>
  <c r="Z356" i="13"/>
  <c r="V356" i="13"/>
  <c r="R356" i="13"/>
  <c r="N356" i="13"/>
  <c r="J356" i="13"/>
  <c r="F356" i="13"/>
  <c r="H354" i="13"/>
  <c r="L354" i="13"/>
  <c r="P354" i="13"/>
  <c r="T354" i="13"/>
  <c r="X354" i="13"/>
  <c r="AB354" i="13"/>
  <c r="AF353" i="13"/>
  <c r="AF352" i="13"/>
  <c r="AD350" i="13"/>
  <c r="Z350" i="13"/>
  <c r="V350" i="13"/>
  <c r="R350" i="13"/>
  <c r="N350" i="13"/>
  <c r="J350" i="13"/>
  <c r="F350" i="13"/>
  <c r="AD349" i="13"/>
  <c r="Z349" i="13"/>
  <c r="V349" i="13"/>
  <c r="R349" i="13"/>
  <c r="N349" i="13"/>
  <c r="J349" i="13"/>
  <c r="F349" i="13"/>
  <c r="AD348" i="13"/>
  <c r="Z348" i="13"/>
  <c r="V348" i="13"/>
  <c r="R348" i="13"/>
  <c r="N348" i="13"/>
  <c r="J348" i="13"/>
  <c r="F348" i="13"/>
  <c r="AD347" i="13"/>
  <c r="Z347" i="13"/>
  <c r="V347" i="13"/>
  <c r="R347" i="13"/>
  <c r="N347" i="13"/>
  <c r="J347" i="13"/>
  <c r="F347" i="13"/>
  <c r="AD346" i="13"/>
  <c r="Z346" i="13"/>
  <c r="V346" i="13"/>
  <c r="R346" i="13"/>
  <c r="N346" i="13"/>
  <c r="J346" i="13"/>
  <c r="F346" i="13"/>
  <c r="AD345" i="13"/>
  <c r="Z345" i="13"/>
  <c r="V345" i="13"/>
  <c r="R345" i="13"/>
  <c r="N345" i="13"/>
  <c r="J345" i="13"/>
  <c r="F345" i="13"/>
  <c r="H343" i="13"/>
  <c r="L343" i="13"/>
  <c r="P343" i="13"/>
  <c r="T343" i="13"/>
  <c r="X343" i="13"/>
  <c r="AB343" i="13"/>
  <c r="AF342" i="13"/>
  <c r="AF341" i="13"/>
  <c r="AD339" i="13"/>
  <c r="Z339" i="13"/>
  <c r="V339" i="13"/>
  <c r="R339" i="13"/>
  <c r="F339" i="13"/>
  <c r="AD335" i="13"/>
  <c r="Z335" i="13"/>
  <c r="V335" i="13"/>
  <c r="R335" i="13"/>
  <c r="N335" i="13"/>
  <c r="J335" i="13"/>
  <c r="F335" i="13"/>
  <c r="AD334" i="13"/>
  <c r="Z334" i="13"/>
  <c r="V334" i="13"/>
  <c r="R334" i="13"/>
  <c r="N334" i="13"/>
  <c r="J334" i="13"/>
  <c r="F334" i="13"/>
  <c r="AD333" i="13"/>
  <c r="Z333" i="13"/>
  <c r="V333" i="13"/>
  <c r="R333" i="13"/>
  <c r="N333" i="13"/>
  <c r="J333" i="13"/>
  <c r="F333" i="13"/>
  <c r="AD332" i="13"/>
  <c r="Z332" i="13"/>
  <c r="V332" i="13"/>
  <c r="R332" i="13"/>
  <c r="N332" i="13"/>
  <c r="J332" i="13"/>
  <c r="F332" i="13"/>
  <c r="AD331" i="13"/>
  <c r="Z331" i="13"/>
  <c r="V331" i="13"/>
  <c r="R331" i="13"/>
  <c r="N331" i="13"/>
  <c r="J331" i="13"/>
  <c r="F331" i="13"/>
  <c r="AD330" i="13"/>
  <c r="Z330" i="13"/>
  <c r="V330" i="13"/>
  <c r="R330" i="13"/>
  <c r="N330" i="13"/>
  <c r="N339" i="13"/>
  <c r="J330" i="13"/>
  <c r="F330" i="13"/>
  <c r="AD329" i="13"/>
  <c r="Z329" i="13"/>
  <c r="V329" i="13"/>
  <c r="R329" i="13"/>
  <c r="N329" i="13"/>
  <c r="J329" i="13"/>
  <c r="J339" i="13"/>
  <c r="F329" i="13"/>
  <c r="H327" i="13"/>
  <c r="L327" i="13"/>
  <c r="P327" i="13"/>
  <c r="T327" i="13"/>
  <c r="X327" i="13"/>
  <c r="AB327" i="13"/>
  <c r="AF326" i="13"/>
  <c r="AF325" i="13"/>
  <c r="AD314" i="13"/>
  <c r="J314" i="13"/>
  <c r="AD313" i="13"/>
  <c r="J313" i="13"/>
  <c r="AF313" i="13"/>
  <c r="F313" i="13"/>
  <c r="AD312" i="13"/>
  <c r="Z312" i="13"/>
  <c r="V312" i="13"/>
  <c r="R312" i="13"/>
  <c r="N312" i="13"/>
  <c r="J312" i="13"/>
  <c r="F312" i="13"/>
  <c r="AD311" i="13"/>
  <c r="Z311" i="13"/>
  <c r="V311" i="13"/>
  <c r="R311" i="13"/>
  <c r="N311" i="13"/>
  <c r="J311" i="13"/>
  <c r="F311" i="13"/>
  <c r="AD310" i="13"/>
  <c r="Z310" i="13"/>
  <c r="V310" i="13"/>
  <c r="R310" i="13"/>
  <c r="N310" i="13"/>
  <c r="J310" i="13"/>
  <c r="F310" i="13"/>
  <c r="AD309" i="13"/>
  <c r="Z309" i="13"/>
  <c r="V309" i="13"/>
  <c r="R309" i="13"/>
  <c r="N309" i="13"/>
  <c r="J309" i="13"/>
  <c r="F309" i="13"/>
  <c r="H307" i="13"/>
  <c r="L307" i="13"/>
  <c r="P307" i="13"/>
  <c r="T307" i="13"/>
  <c r="X307" i="13"/>
  <c r="AB307" i="13"/>
  <c r="AD306" i="13"/>
  <c r="Z306" i="13"/>
  <c r="V306" i="13"/>
  <c r="R306" i="13"/>
  <c r="N306" i="13"/>
  <c r="J306" i="13"/>
  <c r="F306" i="13"/>
  <c r="AF305" i="13"/>
  <c r="AF304" i="13"/>
  <c r="AD301" i="13"/>
  <c r="Z301" i="13"/>
  <c r="V301" i="13"/>
  <c r="R301" i="13"/>
  <c r="N301" i="13"/>
  <c r="J301" i="13"/>
  <c r="F301" i="13"/>
  <c r="AD300" i="13"/>
  <c r="Z300" i="13"/>
  <c r="R300" i="13"/>
  <c r="N300" i="13"/>
  <c r="J300" i="13"/>
  <c r="F300" i="13"/>
  <c r="AD299" i="13"/>
  <c r="Z299" i="13"/>
  <c r="V299" i="13"/>
  <c r="R299" i="13"/>
  <c r="N299" i="13"/>
  <c r="J299" i="13"/>
  <c r="F299" i="13"/>
  <c r="AD296" i="13"/>
  <c r="Z296" i="13"/>
  <c r="V296" i="13"/>
  <c r="R296" i="13"/>
  <c r="N296" i="13"/>
  <c r="J296" i="13"/>
  <c r="F296" i="13"/>
  <c r="AD295" i="13"/>
  <c r="Z295" i="13"/>
  <c r="V295" i="13"/>
  <c r="R295" i="13"/>
  <c r="N295" i="13"/>
  <c r="J295" i="13"/>
  <c r="F295" i="13"/>
  <c r="AD294" i="13"/>
  <c r="Z294" i="13"/>
  <c r="V294" i="13"/>
  <c r="R294" i="13"/>
  <c r="N294" i="13"/>
  <c r="J294" i="13"/>
  <c r="F294" i="13"/>
  <c r="H292" i="13"/>
  <c r="L292" i="13"/>
  <c r="P292" i="13"/>
  <c r="T292" i="13"/>
  <c r="X292" i="13"/>
  <c r="AB292" i="13"/>
  <c r="AD291" i="13"/>
  <c r="Z291" i="13"/>
  <c r="V291" i="13"/>
  <c r="R291" i="13"/>
  <c r="N291" i="13"/>
  <c r="J291" i="13"/>
  <c r="F291" i="13"/>
  <c r="AF290" i="13"/>
  <c r="AF289" i="13"/>
  <c r="AD286" i="13"/>
  <c r="Z286" i="13"/>
  <c r="V286" i="13"/>
  <c r="R286" i="13"/>
  <c r="N286" i="13"/>
  <c r="J286" i="13"/>
  <c r="F286" i="13"/>
  <c r="AD285" i="13"/>
  <c r="Z285" i="13"/>
  <c r="V285" i="13"/>
  <c r="R285" i="13"/>
  <c r="N285" i="13"/>
  <c r="J285" i="13"/>
  <c r="F285" i="13"/>
  <c r="AD284" i="13"/>
  <c r="Z284" i="13"/>
  <c r="V284" i="13"/>
  <c r="R284" i="13"/>
  <c r="N284" i="13"/>
  <c r="J284" i="13"/>
  <c r="F284" i="13"/>
  <c r="AD283" i="13"/>
  <c r="Z283" i="13"/>
  <c r="V283" i="13"/>
  <c r="R283" i="13"/>
  <c r="N283" i="13"/>
  <c r="J283" i="13"/>
  <c r="F283" i="13"/>
  <c r="F287" i="13"/>
  <c r="H281" i="13"/>
  <c r="L281" i="13"/>
  <c r="P281" i="13"/>
  <c r="T281" i="13"/>
  <c r="X281" i="13"/>
  <c r="AB281" i="13"/>
  <c r="AD280" i="13"/>
  <c r="Z280" i="13"/>
  <c r="V280" i="13"/>
  <c r="R280" i="13"/>
  <c r="N280" i="13"/>
  <c r="J280" i="13"/>
  <c r="F280" i="13"/>
  <c r="AF280" i="13"/>
  <c r="AF279" i="13"/>
  <c r="AF278" i="13"/>
  <c r="AD275" i="13"/>
  <c r="Z275" i="13"/>
  <c r="V275" i="13"/>
  <c r="R275" i="13"/>
  <c r="N275" i="13"/>
  <c r="J275" i="13"/>
  <c r="F275" i="13"/>
  <c r="AD274" i="13"/>
  <c r="Z274" i="13"/>
  <c r="V274" i="13"/>
  <c r="R274" i="13"/>
  <c r="N274" i="13"/>
  <c r="J274" i="13"/>
  <c r="F274" i="13"/>
  <c r="AD273" i="13"/>
  <c r="Z273" i="13"/>
  <c r="V273" i="13"/>
  <c r="R273" i="13"/>
  <c r="N273" i="13"/>
  <c r="J273" i="13"/>
  <c r="F273" i="13"/>
  <c r="AD272" i="13"/>
  <c r="AF272" i="13"/>
  <c r="Z272" i="13"/>
  <c r="V272" i="13"/>
  <c r="R272" i="13"/>
  <c r="N272" i="13"/>
  <c r="J272" i="13"/>
  <c r="F272" i="13"/>
  <c r="AD271" i="13"/>
  <c r="Z271" i="13"/>
  <c r="V271" i="13"/>
  <c r="R271" i="13"/>
  <c r="AF271" i="13"/>
  <c r="N271" i="13"/>
  <c r="F271" i="13"/>
  <c r="AD270" i="13"/>
  <c r="Z270" i="13"/>
  <c r="V270" i="13"/>
  <c r="R270" i="13"/>
  <c r="N270" i="13"/>
  <c r="F270" i="13"/>
  <c r="AD269" i="13"/>
  <c r="Z269" i="13"/>
  <c r="V269" i="13"/>
  <c r="R269" i="13"/>
  <c r="R276" i="13"/>
  <c r="N269" i="13"/>
  <c r="F269" i="13"/>
  <c r="F276" i="13"/>
  <c r="H267" i="13"/>
  <c r="L267" i="13"/>
  <c r="P267" i="13"/>
  <c r="T267" i="13"/>
  <c r="X267" i="13"/>
  <c r="AB267" i="13"/>
  <c r="AD266" i="13"/>
  <c r="Z266" i="13"/>
  <c r="V266" i="13"/>
  <c r="R266" i="13"/>
  <c r="N266" i="13"/>
  <c r="J266" i="13"/>
  <c r="F266" i="13"/>
  <c r="AF265" i="13"/>
  <c r="AF264" i="13"/>
  <c r="AD261" i="13"/>
  <c r="Z261" i="13"/>
  <c r="V261" i="13"/>
  <c r="R261" i="13"/>
  <c r="N261" i="13"/>
  <c r="J261" i="13"/>
  <c r="F261" i="13"/>
  <c r="AD260" i="13"/>
  <c r="Z260" i="13"/>
  <c r="V260" i="13"/>
  <c r="R260" i="13"/>
  <c r="N260" i="13"/>
  <c r="J260" i="13"/>
  <c r="F260" i="13"/>
  <c r="AD259" i="13"/>
  <c r="Z259" i="13"/>
  <c r="V259" i="13"/>
  <c r="R259" i="13"/>
  <c r="N259" i="13"/>
  <c r="J259" i="13"/>
  <c r="F259" i="13"/>
  <c r="AD258" i="13"/>
  <c r="Z258" i="13"/>
  <c r="V258" i="13"/>
  <c r="R258" i="13"/>
  <c r="N258" i="13"/>
  <c r="J258" i="13"/>
  <c r="F258" i="13"/>
  <c r="AD257" i="13"/>
  <c r="Z257" i="13"/>
  <c r="V257" i="13"/>
  <c r="R257" i="13"/>
  <c r="N257" i="13"/>
  <c r="J257" i="13"/>
  <c r="F257" i="13"/>
  <c r="AD256" i="13"/>
  <c r="Z256" i="13"/>
  <c r="V256" i="13"/>
  <c r="R256" i="13"/>
  <c r="N256" i="13"/>
  <c r="J256" i="13"/>
  <c r="F256" i="13"/>
  <c r="H254" i="13"/>
  <c r="L254" i="13"/>
  <c r="P254" i="13"/>
  <c r="T254" i="13"/>
  <c r="X254" i="13"/>
  <c r="AB254" i="13"/>
  <c r="AD253" i="13"/>
  <c r="Z253" i="13"/>
  <c r="V253" i="13"/>
  <c r="R253" i="13"/>
  <c r="N253" i="13"/>
  <c r="J253" i="13"/>
  <c r="F253" i="13"/>
  <c r="AF252" i="13"/>
  <c r="AF251" i="13"/>
  <c r="AD247" i="13"/>
  <c r="Z247" i="13"/>
  <c r="V247" i="13"/>
  <c r="R247" i="13"/>
  <c r="AF247" i="13"/>
  <c r="N247" i="13"/>
  <c r="J247" i="13"/>
  <c r="F247" i="13"/>
  <c r="AD246" i="13"/>
  <c r="Z246" i="13"/>
  <c r="V246" i="13"/>
  <c r="R246" i="13"/>
  <c r="N246" i="13"/>
  <c r="J246" i="13"/>
  <c r="F246" i="13"/>
  <c r="AD245" i="13"/>
  <c r="Z245" i="13"/>
  <c r="V245" i="13"/>
  <c r="R245" i="13"/>
  <c r="N245" i="13"/>
  <c r="J245" i="13"/>
  <c r="F245" i="13"/>
  <c r="AD244" i="13"/>
  <c r="Z244" i="13"/>
  <c r="V244" i="13"/>
  <c r="R244" i="13"/>
  <c r="N244" i="13"/>
  <c r="J244" i="13"/>
  <c r="AF244" i="13"/>
  <c r="F244" i="13"/>
  <c r="AD243" i="13"/>
  <c r="Z243" i="13"/>
  <c r="V243" i="13"/>
  <c r="R243" i="13"/>
  <c r="N243" i="13"/>
  <c r="J243" i="13"/>
  <c r="F243" i="13"/>
  <c r="AD242" i="13"/>
  <c r="Z242" i="13"/>
  <c r="V242" i="13"/>
  <c r="R242" i="13"/>
  <c r="R249" i="13"/>
  <c r="N242" i="13"/>
  <c r="J242" i="13"/>
  <c r="F242" i="13"/>
  <c r="AD241" i="13"/>
  <c r="Z241" i="13"/>
  <c r="Z249" i="13"/>
  <c r="V241" i="13"/>
  <c r="R241" i="13"/>
  <c r="N241" i="13"/>
  <c r="N249" i="13"/>
  <c r="J241" i="13"/>
  <c r="F241" i="13"/>
  <c r="H239" i="13"/>
  <c r="L239" i="13"/>
  <c r="P239" i="13"/>
  <c r="T239" i="13"/>
  <c r="X239" i="13"/>
  <c r="AB239" i="13"/>
  <c r="AD238" i="13"/>
  <c r="Z238" i="13"/>
  <c r="V238" i="13"/>
  <c r="R238" i="13"/>
  <c r="N238" i="13"/>
  <c r="J238" i="13"/>
  <c r="F238" i="13"/>
  <c r="AF237" i="13"/>
  <c r="AF236" i="13"/>
  <c r="AD233" i="13"/>
  <c r="Z233" i="13"/>
  <c r="V233" i="13"/>
  <c r="R233" i="13"/>
  <c r="N233" i="13"/>
  <c r="J233" i="13"/>
  <c r="F233" i="13"/>
  <c r="AD226" i="13"/>
  <c r="Z226" i="13"/>
  <c r="V226" i="13"/>
  <c r="R226" i="13"/>
  <c r="N226" i="13"/>
  <c r="J226" i="13"/>
  <c r="F226" i="13"/>
  <c r="AD225" i="13"/>
  <c r="Z225" i="13"/>
  <c r="V225" i="13"/>
  <c r="R225" i="13"/>
  <c r="N225" i="13"/>
  <c r="J225" i="13"/>
  <c r="J234" i="13"/>
  <c r="F225" i="13"/>
  <c r="AD224" i="13"/>
  <c r="Z224" i="13"/>
  <c r="V224" i="13"/>
  <c r="R224" i="13"/>
  <c r="N224" i="13"/>
  <c r="J224" i="13"/>
  <c r="F224" i="13"/>
  <c r="H222" i="13"/>
  <c r="L222" i="13"/>
  <c r="P222" i="13"/>
  <c r="T222" i="13"/>
  <c r="X222" i="13"/>
  <c r="AB222" i="13"/>
  <c r="AD221" i="13"/>
  <c r="Z221" i="13"/>
  <c r="V221" i="13"/>
  <c r="R221" i="13"/>
  <c r="N221" i="13"/>
  <c r="J221" i="13"/>
  <c r="F221" i="13"/>
  <c r="AF220" i="13"/>
  <c r="AF219" i="13"/>
  <c r="AD211" i="13"/>
  <c r="Z211" i="13"/>
  <c r="V211" i="13"/>
  <c r="R211" i="13"/>
  <c r="N211" i="13"/>
  <c r="J211" i="13"/>
  <c r="F211" i="13"/>
  <c r="AD206" i="13"/>
  <c r="Z206" i="13"/>
  <c r="V206" i="13"/>
  <c r="R206" i="13"/>
  <c r="N206" i="13"/>
  <c r="J206" i="13"/>
  <c r="F206" i="13"/>
  <c r="AF206" i="13"/>
  <c r="AD205" i="13"/>
  <c r="Z205" i="13"/>
  <c r="V205" i="13"/>
  <c r="R205" i="13"/>
  <c r="N205" i="13"/>
  <c r="AD204" i="13"/>
  <c r="Z204" i="13"/>
  <c r="V204" i="13"/>
  <c r="R204" i="13"/>
  <c r="N204" i="13"/>
  <c r="F204" i="13"/>
  <c r="AD203" i="13"/>
  <c r="Z203" i="13"/>
  <c r="V203" i="13"/>
  <c r="R203" i="13"/>
  <c r="N203" i="13"/>
  <c r="N217" i="13"/>
  <c r="J203" i="13"/>
  <c r="J217" i="13"/>
  <c r="F203" i="13"/>
  <c r="AD209" i="13"/>
  <c r="Z209" i="13"/>
  <c r="V209" i="13"/>
  <c r="R209" i="13"/>
  <c r="N209" i="13"/>
  <c r="J209" i="13"/>
  <c r="F209" i="13"/>
  <c r="AD202" i="13"/>
  <c r="Z202" i="13"/>
  <c r="Z217" i="13"/>
  <c r="V202" i="13"/>
  <c r="R202" i="13"/>
  <c r="N202" i="13"/>
  <c r="J202" i="13"/>
  <c r="F202" i="13"/>
  <c r="H200" i="13"/>
  <c r="L200" i="13"/>
  <c r="P200" i="13"/>
  <c r="T200" i="13"/>
  <c r="X200" i="13"/>
  <c r="AB200" i="13"/>
  <c r="AD199" i="13"/>
  <c r="Z199" i="13"/>
  <c r="V199" i="13"/>
  <c r="R199" i="13"/>
  <c r="N199" i="13"/>
  <c r="J199" i="13"/>
  <c r="F199" i="13"/>
  <c r="AF198" i="13"/>
  <c r="AF197" i="13"/>
  <c r="AF196" i="13"/>
  <c r="AD188" i="13"/>
  <c r="Z188" i="13"/>
  <c r="V188" i="13"/>
  <c r="R188" i="13"/>
  <c r="N188" i="13"/>
  <c r="J188" i="13"/>
  <c r="F188" i="13"/>
  <c r="AD187" i="13"/>
  <c r="Z187" i="13"/>
  <c r="V187" i="13"/>
  <c r="R187" i="13"/>
  <c r="N187" i="13"/>
  <c r="J187" i="13"/>
  <c r="F187" i="13"/>
  <c r="AD186" i="13"/>
  <c r="Z186" i="13"/>
  <c r="V186" i="13"/>
  <c r="R186" i="13"/>
  <c r="N186" i="13"/>
  <c r="J186" i="13"/>
  <c r="F186" i="13"/>
  <c r="AD185" i="13"/>
  <c r="Z185" i="13"/>
  <c r="V185" i="13"/>
  <c r="R185" i="13"/>
  <c r="N185" i="13"/>
  <c r="J185" i="13"/>
  <c r="F185" i="13"/>
  <c r="AD184" i="13"/>
  <c r="Z184" i="13"/>
  <c r="V184" i="13"/>
  <c r="R184" i="13"/>
  <c r="N184" i="13"/>
  <c r="F184" i="13"/>
  <c r="AD183" i="13"/>
  <c r="Z183" i="13"/>
  <c r="V183" i="13"/>
  <c r="R183" i="13"/>
  <c r="N183" i="13"/>
  <c r="J183" i="13"/>
  <c r="F183" i="13"/>
  <c r="AD182" i="13"/>
  <c r="Z182" i="13"/>
  <c r="V182" i="13"/>
  <c r="R182" i="13"/>
  <c r="N182" i="13"/>
  <c r="J182" i="13"/>
  <c r="F182" i="13"/>
  <c r="H180" i="13"/>
  <c r="L180" i="13"/>
  <c r="P180" i="13"/>
  <c r="T180" i="13"/>
  <c r="X180" i="13"/>
  <c r="AB180" i="13"/>
  <c r="AD178" i="13"/>
  <c r="Z178" i="13"/>
  <c r="V178" i="13"/>
  <c r="R178" i="13"/>
  <c r="N178" i="13"/>
  <c r="J178" i="13"/>
  <c r="F178" i="13"/>
  <c r="AF177" i="13"/>
  <c r="AF176" i="13"/>
  <c r="AD169" i="13"/>
  <c r="Z169" i="13"/>
  <c r="V169" i="13"/>
  <c r="R169" i="13"/>
  <c r="N169" i="13"/>
  <c r="J169" i="13"/>
  <c r="F169" i="13"/>
  <c r="AD167" i="13"/>
  <c r="Z167" i="13"/>
  <c r="V167" i="13"/>
  <c r="R167" i="13"/>
  <c r="N167" i="13"/>
  <c r="J167" i="13"/>
  <c r="F167" i="13"/>
  <c r="AD166" i="13"/>
  <c r="Z166" i="13"/>
  <c r="V166" i="13"/>
  <c r="R166" i="13"/>
  <c r="N166" i="13"/>
  <c r="J166" i="13"/>
  <c r="F166" i="13"/>
  <c r="AD165" i="13"/>
  <c r="Z165" i="13"/>
  <c r="V165" i="13"/>
  <c r="R165" i="13"/>
  <c r="N165" i="13"/>
  <c r="J165" i="13"/>
  <c r="F165" i="13"/>
  <c r="AD164" i="13"/>
  <c r="Z164" i="13"/>
  <c r="V164" i="13"/>
  <c r="R164" i="13"/>
  <c r="N164" i="13"/>
  <c r="J164" i="13"/>
  <c r="F164" i="13"/>
  <c r="AD162" i="13"/>
  <c r="Z162" i="13"/>
  <c r="V162" i="13"/>
  <c r="R162" i="13"/>
  <c r="N162" i="13"/>
  <c r="J162" i="13"/>
  <c r="F162" i="13"/>
  <c r="AD161" i="13"/>
  <c r="Z161" i="13"/>
  <c r="Z174" i="13"/>
  <c r="V161" i="13"/>
  <c r="V174" i="13"/>
  <c r="R161" i="13"/>
  <c r="N161" i="13"/>
  <c r="J161" i="13"/>
  <c r="F161" i="13"/>
  <c r="H159" i="13"/>
  <c r="L159" i="13"/>
  <c r="P159" i="13"/>
  <c r="T159" i="13"/>
  <c r="X159" i="13"/>
  <c r="AB159" i="13"/>
  <c r="AD158" i="13"/>
  <c r="Z158" i="13"/>
  <c r="V158" i="13"/>
  <c r="R158" i="13"/>
  <c r="N158" i="13"/>
  <c r="J158" i="13"/>
  <c r="F158" i="13"/>
  <c r="AF157" i="13"/>
  <c r="AF156" i="13"/>
  <c r="AF155" i="13"/>
  <c r="AD153" i="13"/>
  <c r="Z153" i="13"/>
  <c r="V153" i="13"/>
  <c r="R153" i="13"/>
  <c r="N153" i="13"/>
  <c r="J153" i="13"/>
  <c r="F153" i="13"/>
  <c r="AF153" i="13"/>
  <c r="AD152" i="13"/>
  <c r="Z152" i="13"/>
  <c r="V152" i="13"/>
  <c r="R152" i="13"/>
  <c r="N152" i="13"/>
  <c r="J152" i="13"/>
  <c r="F152" i="13"/>
  <c r="AD151" i="13"/>
  <c r="Z151" i="13"/>
  <c r="V151" i="13"/>
  <c r="R151" i="13"/>
  <c r="N151" i="13"/>
  <c r="J151" i="13"/>
  <c r="F151" i="13"/>
  <c r="AD150" i="13"/>
  <c r="Z150" i="13"/>
  <c r="V150" i="13"/>
  <c r="R150" i="13"/>
  <c r="N150" i="13"/>
  <c r="J150" i="13"/>
  <c r="F150" i="13"/>
  <c r="AD147" i="13"/>
  <c r="AE147" i="13"/>
  <c r="Z147" i="13"/>
  <c r="V147" i="13"/>
  <c r="R147" i="13"/>
  <c r="R154" i="13"/>
  <c r="N147" i="13"/>
  <c r="F147" i="13"/>
  <c r="AD146" i="13"/>
  <c r="Z146" i="13"/>
  <c r="V146" i="13"/>
  <c r="R146" i="13"/>
  <c r="N146" i="13"/>
  <c r="J146" i="13"/>
  <c r="J154" i="13"/>
  <c r="F146" i="13"/>
  <c r="H144" i="13"/>
  <c r="L144" i="13"/>
  <c r="P144" i="13"/>
  <c r="T144" i="13"/>
  <c r="X144" i="13"/>
  <c r="AB144" i="13"/>
  <c r="AD98" i="13"/>
  <c r="Z98" i="13"/>
  <c r="V98" i="13"/>
  <c r="R98" i="13"/>
  <c r="N98" i="13"/>
  <c r="J98" i="13"/>
  <c r="F98" i="13"/>
  <c r="AF98" i="13"/>
  <c r="AF97" i="13"/>
  <c r="AF96" i="13"/>
  <c r="AF95" i="13"/>
  <c r="AD88" i="13"/>
  <c r="Z88" i="13"/>
  <c r="V88" i="13"/>
  <c r="N88" i="13"/>
  <c r="J88" i="13"/>
  <c r="F88" i="13"/>
  <c r="AD87" i="13"/>
  <c r="Z87" i="13"/>
  <c r="V87" i="13"/>
  <c r="R87" i="13"/>
  <c r="N87" i="13"/>
  <c r="J87" i="13"/>
  <c r="F87" i="13"/>
  <c r="AD86" i="13"/>
  <c r="Z86" i="13"/>
  <c r="V86" i="13"/>
  <c r="R86" i="13"/>
  <c r="N86" i="13"/>
  <c r="J86" i="13"/>
  <c r="AF86" i="13"/>
  <c r="F86" i="13"/>
  <c r="AD85" i="13"/>
  <c r="Z85" i="13"/>
  <c r="V85" i="13"/>
  <c r="R85" i="13"/>
  <c r="N85" i="13"/>
  <c r="J85" i="13"/>
  <c r="F85" i="13"/>
  <c r="AD84" i="13"/>
  <c r="Z84" i="13"/>
  <c r="V84" i="13"/>
  <c r="V94" i="13"/>
  <c r="R84" i="13"/>
  <c r="N84" i="13"/>
  <c r="J84" i="13"/>
  <c r="F84" i="13"/>
  <c r="H82" i="13"/>
  <c r="L82" i="13"/>
  <c r="P82" i="13"/>
  <c r="T82" i="13"/>
  <c r="X82" i="13"/>
  <c r="AB82" i="13"/>
  <c r="AD81" i="13"/>
  <c r="Z81" i="13"/>
  <c r="V81" i="13"/>
  <c r="R81" i="13"/>
  <c r="N81" i="13"/>
  <c r="AF81" i="13"/>
  <c r="J81" i="13"/>
  <c r="F81" i="13"/>
  <c r="AF80" i="13"/>
  <c r="AF79" i="13"/>
  <c r="AF78" i="13"/>
  <c r="AD73" i="13"/>
  <c r="Z73" i="13"/>
  <c r="V73" i="13"/>
  <c r="R73" i="13"/>
  <c r="N73" i="13"/>
  <c r="J73" i="13"/>
  <c r="F73" i="13"/>
  <c r="AD70" i="13"/>
  <c r="Z70" i="13"/>
  <c r="V70" i="13"/>
  <c r="R70" i="13"/>
  <c r="N70" i="13"/>
  <c r="J70" i="13"/>
  <c r="F70" i="13"/>
  <c r="AD69" i="13"/>
  <c r="Z69" i="13"/>
  <c r="V69" i="13"/>
  <c r="N69" i="13"/>
  <c r="J69" i="13"/>
  <c r="AF69" i="13"/>
  <c r="F69" i="13"/>
  <c r="AD68" i="13"/>
  <c r="Z68" i="13"/>
  <c r="Z77" i="13"/>
  <c r="V68" i="13"/>
  <c r="R68" i="13"/>
  <c r="N68" i="13"/>
  <c r="J68" i="13"/>
  <c r="AF68" i="13"/>
  <c r="F68" i="13"/>
  <c r="AD67" i="13"/>
  <c r="Z67" i="13"/>
  <c r="V67" i="13"/>
  <c r="R67" i="13"/>
  <c r="N67" i="13"/>
  <c r="N77" i="13"/>
  <c r="J67" i="13"/>
  <c r="F67" i="13"/>
  <c r="H65" i="13"/>
  <c r="L65" i="13"/>
  <c r="P65" i="13"/>
  <c r="T65" i="13"/>
  <c r="X65" i="13"/>
  <c r="AB65" i="13"/>
  <c r="AD45" i="13"/>
  <c r="Z45" i="13"/>
  <c r="V45" i="13"/>
  <c r="R45" i="13"/>
  <c r="N45" i="13"/>
  <c r="J45" i="13"/>
  <c r="F45" i="13"/>
  <c r="AF45" i="13"/>
  <c r="AF44" i="13"/>
  <c r="AF43" i="13"/>
  <c r="AF42" i="13"/>
  <c r="H19" i="13"/>
  <c r="L19" i="13"/>
  <c r="P19" i="13"/>
  <c r="T19" i="13"/>
  <c r="X19" i="13"/>
  <c r="AB19" i="13"/>
  <c r="AD18" i="13"/>
  <c r="Z18" i="13"/>
  <c r="V18" i="13"/>
  <c r="R18" i="13"/>
  <c r="N18" i="13"/>
  <c r="J18" i="13"/>
  <c r="F18" i="13"/>
  <c r="AF17" i="13"/>
  <c r="AF16" i="13"/>
  <c r="AF15" i="13"/>
  <c r="AD12" i="13"/>
  <c r="Z12" i="13"/>
  <c r="V12" i="13"/>
  <c r="AD11" i="13"/>
  <c r="Z11" i="13"/>
  <c r="V11" i="13"/>
  <c r="AD5" i="13"/>
  <c r="Z5" i="13"/>
  <c r="V5" i="13"/>
  <c r="AF5" i="13"/>
  <c r="H3" i="13"/>
  <c r="L3" i="13"/>
  <c r="P3" i="13"/>
  <c r="T3" i="13"/>
  <c r="X3" i="13"/>
  <c r="AB3" i="13"/>
  <c r="AF540" i="4"/>
  <c r="AF539" i="4"/>
  <c r="AD537" i="4"/>
  <c r="Z537" i="4"/>
  <c r="V537" i="4"/>
  <c r="R537" i="4"/>
  <c r="N537" i="4"/>
  <c r="J537" i="4"/>
  <c r="F537" i="4"/>
  <c r="AD536" i="4"/>
  <c r="Z536" i="4"/>
  <c r="AF536" i="4"/>
  <c r="V536" i="4"/>
  <c r="R536" i="4"/>
  <c r="N536" i="4"/>
  <c r="J536" i="4"/>
  <c r="F536" i="4"/>
  <c r="AD534" i="4"/>
  <c r="Z534" i="4"/>
  <c r="V534" i="4"/>
  <c r="R534" i="4"/>
  <c r="N534" i="4"/>
  <c r="J534" i="4"/>
  <c r="F534" i="4"/>
  <c r="AD533" i="4"/>
  <c r="Z533" i="4"/>
  <c r="V533" i="4"/>
  <c r="R533" i="4"/>
  <c r="N533" i="4"/>
  <c r="J533" i="4"/>
  <c r="F533" i="4"/>
  <c r="AD532" i="4"/>
  <c r="Z532" i="4"/>
  <c r="V532" i="4"/>
  <c r="R532" i="4"/>
  <c r="N532" i="4"/>
  <c r="J532" i="4"/>
  <c r="F532" i="4"/>
  <c r="AD531" i="4"/>
  <c r="Z531" i="4"/>
  <c r="V531" i="4"/>
  <c r="R531" i="4"/>
  <c r="N531" i="4"/>
  <c r="J531" i="4"/>
  <c r="AF531" i="4"/>
  <c r="F531" i="4"/>
  <c r="AD529" i="4"/>
  <c r="Z529" i="4"/>
  <c r="V529" i="4"/>
  <c r="R529" i="4"/>
  <c r="N529" i="4"/>
  <c r="J529" i="4"/>
  <c r="F529" i="4"/>
  <c r="H527" i="4"/>
  <c r="L527" i="4"/>
  <c r="P527" i="4"/>
  <c r="T527" i="4"/>
  <c r="X527" i="4"/>
  <c r="AB527" i="4"/>
  <c r="AF526" i="4"/>
  <c r="AF525" i="4"/>
  <c r="AD523" i="4"/>
  <c r="Z523" i="4"/>
  <c r="V523" i="4"/>
  <c r="R523" i="4"/>
  <c r="N523" i="4"/>
  <c r="J523" i="4"/>
  <c r="F523" i="4"/>
  <c r="AD520" i="4"/>
  <c r="Z520" i="4"/>
  <c r="V520" i="4"/>
  <c r="R520" i="4"/>
  <c r="N520" i="4"/>
  <c r="J520" i="4"/>
  <c r="F520" i="4"/>
  <c r="AD519" i="4"/>
  <c r="Z519" i="4"/>
  <c r="V519" i="4"/>
  <c r="R519" i="4"/>
  <c r="N519" i="4"/>
  <c r="J519" i="4"/>
  <c r="F519" i="4"/>
  <c r="AD517" i="4"/>
  <c r="Z517" i="4"/>
  <c r="AF517" i="4"/>
  <c r="V517" i="4"/>
  <c r="R517" i="4"/>
  <c r="N517" i="4"/>
  <c r="J517" i="4"/>
  <c r="F517" i="4"/>
  <c r="AD516" i="4"/>
  <c r="Z516" i="4"/>
  <c r="V516" i="4"/>
  <c r="R516" i="4"/>
  <c r="N516" i="4"/>
  <c r="J516" i="4"/>
  <c r="F516" i="4"/>
  <c r="AD515" i="4"/>
  <c r="Z515" i="4"/>
  <c r="V515" i="4"/>
  <c r="R515" i="4"/>
  <c r="N515" i="4"/>
  <c r="J515" i="4"/>
  <c r="F515" i="4"/>
  <c r="H513" i="4"/>
  <c r="L513" i="4"/>
  <c r="P513" i="4"/>
  <c r="T513" i="4"/>
  <c r="X513" i="4"/>
  <c r="AB513" i="4"/>
  <c r="AF512" i="4"/>
  <c r="AF511" i="4"/>
  <c r="AD509" i="4"/>
  <c r="Z509" i="4"/>
  <c r="V509" i="4"/>
  <c r="R509" i="4"/>
  <c r="N509" i="4"/>
  <c r="J509" i="4"/>
  <c r="F509" i="4"/>
  <c r="AD504" i="4"/>
  <c r="Z504" i="4"/>
  <c r="V504" i="4"/>
  <c r="R504" i="4"/>
  <c r="N504" i="4"/>
  <c r="J504" i="4"/>
  <c r="F504" i="4"/>
  <c r="AD503" i="4"/>
  <c r="Z503" i="4"/>
  <c r="V503" i="4"/>
  <c r="R503" i="4"/>
  <c r="N503" i="4"/>
  <c r="J503" i="4"/>
  <c r="F503" i="4"/>
  <c r="AD502" i="4"/>
  <c r="Z502" i="4"/>
  <c r="V502" i="4"/>
  <c r="R502" i="4"/>
  <c r="N502" i="4"/>
  <c r="J502" i="4"/>
  <c r="F502" i="4"/>
  <c r="AD498" i="4"/>
  <c r="Z498" i="4"/>
  <c r="V498" i="4"/>
  <c r="R498" i="4"/>
  <c r="N498" i="4"/>
  <c r="J498" i="4"/>
  <c r="F498" i="4"/>
  <c r="AD500" i="4"/>
  <c r="Z500" i="4"/>
  <c r="V500" i="4"/>
  <c r="R500" i="4"/>
  <c r="N500" i="4"/>
  <c r="J500" i="4"/>
  <c r="F500" i="4"/>
  <c r="AD499" i="4"/>
  <c r="Z499" i="4"/>
  <c r="V499" i="4"/>
  <c r="R499" i="4"/>
  <c r="N499" i="4"/>
  <c r="J499" i="4"/>
  <c r="F499" i="4"/>
  <c r="AD501" i="4"/>
  <c r="Z501" i="4"/>
  <c r="V501" i="4"/>
  <c r="AF501" i="4"/>
  <c r="R501" i="4"/>
  <c r="N501" i="4"/>
  <c r="J501" i="4"/>
  <c r="F501" i="4"/>
  <c r="H496" i="4"/>
  <c r="L496" i="4"/>
  <c r="P496" i="4"/>
  <c r="T496" i="4"/>
  <c r="X496" i="4"/>
  <c r="AB496" i="4"/>
  <c r="R476" i="4"/>
  <c r="AF508" i="11"/>
  <c r="AG508" i="11"/>
  <c r="AG491" i="11"/>
  <c r="AG515" i="11"/>
  <c r="AG493" i="11"/>
  <c r="AG496" i="11"/>
  <c r="AF502" i="11"/>
  <c r="AG502" i="11"/>
  <c r="AF499" i="11"/>
  <c r="AG499" i="11"/>
  <c r="AG490" i="11"/>
  <c r="C521" i="11"/>
  <c r="AF485" i="11"/>
  <c r="AD464" i="4"/>
  <c r="Z464" i="4"/>
  <c r="V464" i="4"/>
  <c r="R464" i="4"/>
  <c r="N464" i="4"/>
  <c r="J464" i="4"/>
  <c r="F464" i="4"/>
  <c r="AB518" i="11"/>
  <c r="AA518" i="11"/>
  <c r="AD465" i="4"/>
  <c r="Z465" i="4"/>
  <c r="V465" i="4"/>
  <c r="R465" i="4"/>
  <c r="N465" i="4"/>
  <c r="J465" i="4"/>
  <c r="F465" i="4"/>
  <c r="AF465" i="4"/>
  <c r="AD450" i="4"/>
  <c r="Z450" i="4"/>
  <c r="V450" i="4"/>
  <c r="R450" i="4"/>
  <c r="N450" i="4"/>
  <c r="J450" i="4"/>
  <c r="F450" i="4"/>
  <c r="AD449" i="4"/>
  <c r="Z449" i="4"/>
  <c r="V449" i="4"/>
  <c r="R449" i="4"/>
  <c r="N449" i="4"/>
  <c r="J449" i="4"/>
  <c r="F449" i="4"/>
  <c r="AD448" i="4"/>
  <c r="Z448" i="4"/>
  <c r="V448" i="4"/>
  <c r="R448" i="4"/>
  <c r="N448" i="4"/>
  <c r="J448" i="4"/>
  <c r="F448" i="4"/>
  <c r="AD447" i="4"/>
  <c r="Z447" i="4"/>
  <c r="V447" i="4"/>
  <c r="R447" i="4"/>
  <c r="N447" i="4"/>
  <c r="J447" i="4"/>
  <c r="F447" i="4"/>
  <c r="AD446" i="4"/>
  <c r="Z446" i="4"/>
  <c r="V446" i="4"/>
  <c r="R446" i="4"/>
  <c r="N446" i="4"/>
  <c r="J446" i="4"/>
  <c r="F446" i="4"/>
  <c r="Z442" i="4"/>
  <c r="Z443" i="4"/>
  <c r="AD442" i="4"/>
  <c r="V442" i="4"/>
  <c r="R442" i="4"/>
  <c r="N442" i="4"/>
  <c r="J442" i="4"/>
  <c r="F442" i="4"/>
  <c r="AD441" i="4"/>
  <c r="Z441" i="4"/>
  <c r="V441" i="4"/>
  <c r="R441" i="4"/>
  <c r="N441" i="4"/>
  <c r="J441" i="4"/>
  <c r="F441" i="4"/>
  <c r="AA547" i="11"/>
  <c r="AB547" i="11"/>
  <c r="AG547" i="11"/>
  <c r="AA548" i="11"/>
  <c r="AB548" i="11"/>
  <c r="AG548" i="11"/>
  <c r="AF510" i="11"/>
  <c r="AG510" i="11"/>
  <c r="AG504" i="11"/>
  <c r="AF517" i="11"/>
  <c r="AG517" i="11"/>
  <c r="AB507" i="11"/>
  <c r="AB506" i="11"/>
  <c r="AG518" i="11"/>
  <c r="AG519" i="11"/>
  <c r="AG500" i="11"/>
  <c r="AG501" i="11"/>
  <c r="AG506" i="11"/>
  <c r="AG507" i="11"/>
  <c r="AG509" i="11"/>
  <c r="AG511" i="11"/>
  <c r="AG512" i="11"/>
  <c r="AA506" i="11"/>
  <c r="AA507" i="11"/>
  <c r="AA508" i="11"/>
  <c r="AA509" i="11"/>
  <c r="AA510" i="11"/>
  <c r="AA511" i="11"/>
  <c r="AA512" i="11"/>
  <c r="AA499" i="11"/>
  <c r="AA500" i="11"/>
  <c r="AA501" i="11"/>
  <c r="AB508" i="11"/>
  <c r="AB509" i="11"/>
  <c r="AB510" i="11"/>
  <c r="AB511" i="11"/>
  <c r="AB512" i="11"/>
  <c r="AB499" i="11"/>
  <c r="AB500" i="11"/>
  <c r="AB501" i="11"/>
  <c r="AB502" i="11"/>
  <c r="T516" i="11"/>
  <c r="O516" i="11"/>
  <c r="P516" i="11"/>
  <c r="U516" i="11"/>
  <c r="Y468" i="11"/>
  <c r="Z468" i="11"/>
  <c r="U468" i="11"/>
  <c r="F468" i="11"/>
  <c r="P468" i="11"/>
  <c r="K516" i="11"/>
  <c r="F516" i="11"/>
  <c r="U517" i="11"/>
  <c r="U519" i="11"/>
  <c r="AG561" i="11"/>
  <c r="AG562" i="11"/>
  <c r="AB561" i="11"/>
  <c r="C563" i="11"/>
  <c r="AL533" i="11"/>
  <c r="Z562" i="11"/>
  <c r="Y562" i="11"/>
  <c r="X562" i="11"/>
  <c r="W562" i="11"/>
  <c r="V562" i="11"/>
  <c r="U562" i="11"/>
  <c r="T562" i="11"/>
  <c r="S562" i="11"/>
  <c r="R562" i="11"/>
  <c r="Q562" i="11"/>
  <c r="P562" i="11"/>
  <c r="O562" i="11"/>
  <c r="N562" i="11"/>
  <c r="M562" i="11"/>
  <c r="L562" i="11"/>
  <c r="J562" i="11"/>
  <c r="I562" i="11"/>
  <c r="H562" i="11"/>
  <c r="G562" i="11"/>
  <c r="F562" i="11"/>
  <c r="E562" i="11"/>
  <c r="AG560" i="11"/>
  <c r="AL532" i="11"/>
  <c r="AA560" i="11"/>
  <c r="Y559" i="11"/>
  <c r="T559" i="11"/>
  <c r="O559" i="11"/>
  <c r="J559" i="11"/>
  <c r="E559" i="11"/>
  <c r="AG558" i="11"/>
  <c r="AB558" i="11"/>
  <c r="AA558" i="11"/>
  <c r="AB557" i="11"/>
  <c r="AA557" i="11"/>
  <c r="AG556" i="11"/>
  <c r="AB556" i="11"/>
  <c r="AA556" i="11"/>
  <c r="AG555" i="11"/>
  <c r="AB555" i="11"/>
  <c r="AA555" i="11"/>
  <c r="AG554" i="11"/>
  <c r="AB554" i="11"/>
  <c r="AA554" i="11"/>
  <c r="AG553" i="11"/>
  <c r="AB553" i="11"/>
  <c r="AA553" i="11"/>
  <c r="AG552" i="11"/>
  <c r="AB552" i="11"/>
  <c r="AA552" i="11"/>
  <c r="AG546" i="11"/>
  <c r="AB546" i="11"/>
  <c r="AA546" i="11"/>
  <c r="AG545" i="11"/>
  <c r="AB545" i="11"/>
  <c r="AA545" i="11"/>
  <c r="AG544" i="11"/>
  <c r="AB544" i="11"/>
  <c r="AA544" i="11"/>
  <c r="AG543" i="11"/>
  <c r="AB543" i="11"/>
  <c r="AA543" i="11"/>
  <c r="AG542" i="11"/>
  <c r="AB542" i="11"/>
  <c r="AA542" i="11"/>
  <c r="AG541" i="11"/>
  <c r="AB541" i="11"/>
  <c r="AA541" i="11"/>
  <c r="AG540" i="11"/>
  <c r="AB540" i="11"/>
  <c r="AA540" i="11"/>
  <c r="AG539" i="11"/>
  <c r="AB539" i="11"/>
  <c r="AA539" i="11"/>
  <c r="AG538" i="11"/>
  <c r="AB538" i="11"/>
  <c r="AA538" i="11"/>
  <c r="AG537" i="11"/>
  <c r="AB537" i="11"/>
  <c r="AA537" i="11"/>
  <c r="AG536" i="11"/>
  <c r="AB536" i="11"/>
  <c r="AA536" i="11"/>
  <c r="AG535" i="11"/>
  <c r="AB535" i="11"/>
  <c r="AA535" i="11"/>
  <c r="AG534" i="11"/>
  <c r="AB534" i="11"/>
  <c r="AA534" i="11"/>
  <c r="AG533" i="11"/>
  <c r="AB533" i="11"/>
  <c r="AA533" i="11"/>
  <c r="AG532" i="11"/>
  <c r="AB532" i="11"/>
  <c r="AG531" i="11"/>
  <c r="AB531" i="11"/>
  <c r="AA531" i="11"/>
  <c r="AG530" i="11"/>
  <c r="AB530" i="11"/>
  <c r="AA530" i="11"/>
  <c r="AG529" i="11"/>
  <c r="AG559" i="11"/>
  <c r="AL529" i="11"/>
  <c r="AB529" i="11"/>
  <c r="AA529" i="11"/>
  <c r="AG528" i="11"/>
  <c r="AB528" i="11"/>
  <c r="AA528" i="11"/>
  <c r="F519" i="11"/>
  <c r="G519" i="11"/>
  <c r="H519" i="11"/>
  <c r="I519" i="11"/>
  <c r="J519" i="11"/>
  <c r="L519" i="11"/>
  <c r="M519" i="11"/>
  <c r="N519" i="11"/>
  <c r="O519" i="11"/>
  <c r="P519" i="11"/>
  <c r="Q519" i="11"/>
  <c r="R519" i="11"/>
  <c r="S519" i="11"/>
  <c r="T519" i="11"/>
  <c r="V519" i="11"/>
  <c r="W519" i="11"/>
  <c r="X519" i="11"/>
  <c r="Y519" i="11"/>
  <c r="Z519" i="11"/>
  <c r="E519" i="11"/>
  <c r="AA469" i="11"/>
  <c r="AA517" i="11"/>
  <c r="AG431" i="11"/>
  <c r="AB431" i="11"/>
  <c r="AA431" i="11"/>
  <c r="AA519" i="11"/>
  <c r="AF559" i="11"/>
  <c r="AA562" i="11"/>
  <c r="AL530" i="11"/>
  <c r="AB559" i="11"/>
  <c r="AL528" i="11"/>
  <c r="K562" i="11"/>
  <c r="AB560" i="11"/>
  <c r="AL531" i="11"/>
  <c r="K517" i="11"/>
  <c r="AB517" i="11"/>
  <c r="AG513" i="11"/>
  <c r="AB513" i="11"/>
  <c r="AA513" i="11"/>
  <c r="K519" i="11"/>
  <c r="AB562" i="11"/>
  <c r="C520" i="11"/>
  <c r="AL484" i="11"/>
  <c r="AD417" i="4"/>
  <c r="Z417" i="4"/>
  <c r="V417" i="4"/>
  <c r="R417" i="4"/>
  <c r="N417" i="4"/>
  <c r="J417" i="4"/>
  <c r="F417" i="4"/>
  <c r="O468" i="11"/>
  <c r="AL481" i="11"/>
  <c r="AF468" i="11"/>
  <c r="Y516" i="11"/>
  <c r="AA479" i="11"/>
  <c r="AB479" i="11"/>
  <c r="AG479" i="11"/>
  <c r="AA480" i="11"/>
  <c r="AB480" i="11"/>
  <c r="AG480" i="11"/>
  <c r="AA481" i="11"/>
  <c r="AB481" i="11"/>
  <c r="AG481" i="11"/>
  <c r="AA482" i="11"/>
  <c r="AB482" i="11"/>
  <c r="AG482" i="11"/>
  <c r="AA483" i="11"/>
  <c r="AB483" i="11"/>
  <c r="AG483" i="11"/>
  <c r="AA484" i="11"/>
  <c r="AB484" i="11"/>
  <c r="AG484" i="11"/>
  <c r="AA485" i="11"/>
  <c r="AB485" i="11"/>
  <c r="AA486" i="11"/>
  <c r="AB486" i="11"/>
  <c r="AG486" i="11"/>
  <c r="AA487" i="11"/>
  <c r="AB487" i="11"/>
  <c r="AG487" i="11"/>
  <c r="AA488" i="11"/>
  <c r="AA516" i="11"/>
  <c r="AL478" i="11"/>
  <c r="AB488" i="11"/>
  <c r="AG488" i="11"/>
  <c r="AA489" i="11"/>
  <c r="AB489" i="11"/>
  <c r="AG489" i="11"/>
  <c r="AA490" i="11"/>
  <c r="AB490" i="11"/>
  <c r="AA491" i="11"/>
  <c r="AB491" i="11"/>
  <c r="AA492" i="11"/>
  <c r="AB492" i="11"/>
  <c r="AG492" i="11"/>
  <c r="AA493" i="11"/>
  <c r="AB493" i="11"/>
  <c r="AA494" i="11"/>
  <c r="AB494" i="11"/>
  <c r="AG494" i="11"/>
  <c r="AA495" i="11"/>
  <c r="AB495" i="11"/>
  <c r="AG495" i="11"/>
  <c r="AA496" i="11"/>
  <c r="AB496" i="11"/>
  <c r="AA497" i="11"/>
  <c r="AB497" i="11"/>
  <c r="AG497" i="11"/>
  <c r="AA498" i="11"/>
  <c r="AB498" i="11"/>
  <c r="AG498" i="11"/>
  <c r="AA502" i="11"/>
  <c r="AA503" i="11"/>
  <c r="AB503" i="11"/>
  <c r="AA504" i="11"/>
  <c r="AB504" i="11"/>
  <c r="AA505" i="11"/>
  <c r="AB505" i="11"/>
  <c r="AA514" i="11"/>
  <c r="AB514" i="11"/>
  <c r="AA515" i="11"/>
  <c r="AB515" i="11"/>
  <c r="E516" i="11"/>
  <c r="J516" i="11"/>
  <c r="Z516" i="11"/>
  <c r="AD415" i="4"/>
  <c r="Z415" i="4"/>
  <c r="V415" i="4"/>
  <c r="R415" i="4"/>
  <c r="N415" i="4"/>
  <c r="J415" i="4"/>
  <c r="F415" i="4"/>
  <c r="AD413" i="4"/>
  <c r="Z413" i="4"/>
  <c r="V413" i="4"/>
  <c r="R413" i="4"/>
  <c r="N413" i="4"/>
  <c r="J413" i="4"/>
  <c r="F413" i="4"/>
  <c r="AD412" i="4"/>
  <c r="Z412" i="4"/>
  <c r="V412" i="4"/>
  <c r="R412" i="4"/>
  <c r="N412" i="4"/>
  <c r="J412" i="4"/>
  <c r="F412" i="4"/>
  <c r="AF469" i="11"/>
  <c r="AG469" i="11"/>
  <c r="AG470" i="11"/>
  <c r="AL445" i="11"/>
  <c r="AB469" i="11"/>
  <c r="AB443" i="11"/>
  <c r="AB444" i="11"/>
  <c r="AB445" i="11"/>
  <c r="AB446" i="11"/>
  <c r="AB447" i="11"/>
  <c r="AB448" i="11"/>
  <c r="AB449" i="11"/>
  <c r="AB450" i="11"/>
  <c r="AB451" i="11"/>
  <c r="AB452" i="11"/>
  <c r="AB453" i="11"/>
  <c r="AB454" i="11"/>
  <c r="AB455" i="11"/>
  <c r="AB456" i="11"/>
  <c r="AB457" i="11"/>
  <c r="AB458" i="11"/>
  <c r="AB459" i="11"/>
  <c r="AB460" i="11"/>
  <c r="AB461" i="11"/>
  <c r="AB462" i="11"/>
  <c r="AB463" i="11"/>
  <c r="AB464" i="11"/>
  <c r="AB466" i="11"/>
  <c r="AB467" i="11"/>
  <c r="C472" i="11"/>
  <c r="C471" i="11"/>
  <c r="C434" i="11"/>
  <c r="AL483" i="11"/>
  <c r="AA458" i="11"/>
  <c r="AG458" i="11"/>
  <c r="AA459" i="11"/>
  <c r="AG459" i="11"/>
  <c r="AA460" i="11"/>
  <c r="AG460" i="11"/>
  <c r="AA404" i="11"/>
  <c r="C433" i="11"/>
  <c r="AA423" i="11"/>
  <c r="AB423" i="11"/>
  <c r="AG423" i="11"/>
  <c r="AA424" i="11"/>
  <c r="AB424" i="11"/>
  <c r="AG424" i="11"/>
  <c r="AA425" i="11"/>
  <c r="AB425" i="11"/>
  <c r="AG425" i="11"/>
  <c r="Y430" i="11"/>
  <c r="T430" i="11"/>
  <c r="O430" i="11"/>
  <c r="AA441" i="11"/>
  <c r="AB441" i="11"/>
  <c r="AG441" i="11"/>
  <c r="AA442" i="11"/>
  <c r="AB442" i="11"/>
  <c r="AG442" i="11"/>
  <c r="AA443" i="11"/>
  <c r="AG443" i="11"/>
  <c r="AA444" i="11"/>
  <c r="AG444" i="11"/>
  <c r="AA445" i="11"/>
  <c r="AG445" i="11"/>
  <c r="AA446" i="11"/>
  <c r="AG446" i="11"/>
  <c r="AA447" i="11"/>
  <c r="AG447" i="11"/>
  <c r="AA448" i="11"/>
  <c r="AG448" i="11"/>
  <c r="AA449" i="11"/>
  <c r="AG449" i="11"/>
  <c r="AA450" i="11"/>
  <c r="AG450" i="11"/>
  <c r="AA451" i="11"/>
  <c r="AG451" i="11"/>
  <c r="AA452" i="11"/>
  <c r="AG452" i="11"/>
  <c r="AA453" i="11"/>
  <c r="AG453" i="11"/>
  <c r="AA454" i="11"/>
  <c r="AG454" i="11"/>
  <c r="AA455" i="11"/>
  <c r="AG455" i="11"/>
  <c r="AA456" i="11"/>
  <c r="AG456" i="11"/>
  <c r="AA457" i="11"/>
  <c r="AG457" i="11"/>
  <c r="AA461" i="11"/>
  <c r="AG461" i="11"/>
  <c r="AA462" i="11"/>
  <c r="AG462" i="11"/>
  <c r="AA463" i="11"/>
  <c r="AG463" i="11"/>
  <c r="AA464" i="11"/>
  <c r="AG464" i="11"/>
  <c r="AA466" i="11"/>
  <c r="AA467" i="11"/>
  <c r="AL440" i="11"/>
  <c r="AG467" i="11"/>
  <c r="E468" i="11"/>
  <c r="J468" i="11"/>
  <c r="K468" i="11"/>
  <c r="T468" i="11"/>
  <c r="AA470" i="11"/>
  <c r="AL443" i="11"/>
  <c r="AB470" i="11"/>
  <c r="AL444" i="11"/>
  <c r="E470" i="11"/>
  <c r="J470" i="11"/>
  <c r="O470" i="11"/>
  <c r="T470" i="11"/>
  <c r="Y470" i="11"/>
  <c r="AL446" i="11"/>
  <c r="Y432" i="11"/>
  <c r="T432" i="11"/>
  <c r="O432" i="11"/>
  <c r="J432" i="11"/>
  <c r="E432" i="11"/>
  <c r="J430" i="11"/>
  <c r="E430" i="11"/>
  <c r="Y395" i="11"/>
  <c r="AB352" i="11"/>
  <c r="AA352" i="11"/>
  <c r="T395" i="11"/>
  <c r="O395" i="11"/>
  <c r="J395" i="11"/>
  <c r="E395" i="11"/>
  <c r="Y358" i="11"/>
  <c r="T358" i="11"/>
  <c r="O358" i="11"/>
  <c r="J358" i="11"/>
  <c r="E358" i="11"/>
  <c r="AA355" i="11"/>
  <c r="C360" i="11"/>
  <c r="AA468" i="11"/>
  <c r="C397" i="11"/>
  <c r="C396" i="11"/>
  <c r="AL372" i="11"/>
  <c r="AF393" i="11"/>
  <c r="AG393" i="11"/>
  <c r="AG395" i="11"/>
  <c r="AL371" i="11"/>
  <c r="C361" i="11"/>
  <c r="AG370" i="11"/>
  <c r="AG371" i="11"/>
  <c r="AL409" i="11"/>
  <c r="AG432" i="11"/>
  <c r="AL408" i="11"/>
  <c r="AB432" i="11"/>
  <c r="AL407" i="11"/>
  <c r="AA432" i="11"/>
  <c r="AL406" i="11"/>
  <c r="AG429" i="11"/>
  <c r="AB429" i="11"/>
  <c r="AA429" i="11"/>
  <c r="Z430" i="11"/>
  <c r="U430" i="11"/>
  <c r="P430" i="11"/>
  <c r="K430" i="11"/>
  <c r="F430" i="11"/>
  <c r="AB428" i="11"/>
  <c r="AA428" i="11"/>
  <c r="AG427" i="11"/>
  <c r="AB427" i="11"/>
  <c r="AA427" i="11"/>
  <c r="AG426" i="11"/>
  <c r="AB426" i="11"/>
  <c r="AA426" i="11"/>
  <c r="AG422" i="11"/>
  <c r="AB422" i="11"/>
  <c r="AA422" i="11"/>
  <c r="AG421" i="11"/>
  <c r="AB421" i="11"/>
  <c r="AA421" i="11"/>
  <c r="AG420" i="11"/>
  <c r="AB420" i="11"/>
  <c r="AA420" i="11"/>
  <c r="AG419" i="11"/>
  <c r="AB419" i="11"/>
  <c r="AA419" i="11"/>
  <c r="AG418" i="11"/>
  <c r="AB418" i="11"/>
  <c r="AA418" i="11"/>
  <c r="AG417" i="11"/>
  <c r="AB417" i="11"/>
  <c r="AA417" i="11"/>
  <c r="AG416" i="11"/>
  <c r="AB416" i="11"/>
  <c r="AA416" i="11"/>
  <c r="AG415" i="11"/>
  <c r="AB415" i="11"/>
  <c r="AA415" i="11"/>
  <c r="AG414" i="11"/>
  <c r="AB414" i="11"/>
  <c r="AA414" i="11"/>
  <c r="AG413" i="11"/>
  <c r="AB413" i="11"/>
  <c r="AA413" i="11"/>
  <c r="AG412" i="11"/>
  <c r="AB412" i="11"/>
  <c r="AA412" i="11"/>
  <c r="AG411" i="11"/>
  <c r="AB411" i="11"/>
  <c r="AA411" i="11"/>
  <c r="AG410" i="11"/>
  <c r="AB410" i="11"/>
  <c r="AB430" i="11"/>
  <c r="AA410" i="11"/>
  <c r="AG409" i="11"/>
  <c r="AB409" i="11"/>
  <c r="AA409" i="11"/>
  <c r="AG408" i="11"/>
  <c r="AB408" i="11"/>
  <c r="AA408" i="11"/>
  <c r="AG407" i="11"/>
  <c r="AG430" i="11"/>
  <c r="AL405" i="11"/>
  <c r="AB407" i="11"/>
  <c r="AA407" i="11"/>
  <c r="AG406" i="11"/>
  <c r="AB406" i="11"/>
  <c r="AA406" i="11"/>
  <c r="AG405" i="11"/>
  <c r="AB405" i="11"/>
  <c r="AA405" i="11"/>
  <c r="AA430" i="11"/>
  <c r="AL403" i="11"/>
  <c r="AG404" i="11"/>
  <c r="AB404" i="11"/>
  <c r="AB394" i="11"/>
  <c r="AA394" i="11"/>
  <c r="AB393" i="11"/>
  <c r="AA393" i="11"/>
  <c r="AA390" i="11"/>
  <c r="Z392" i="11"/>
  <c r="Y392" i="11"/>
  <c r="U392" i="11"/>
  <c r="T392" i="11"/>
  <c r="P392" i="11"/>
  <c r="O392" i="11"/>
  <c r="K392" i="11"/>
  <c r="J392" i="11"/>
  <c r="F392" i="11"/>
  <c r="E392" i="11"/>
  <c r="AB391" i="11"/>
  <c r="AA391" i="11"/>
  <c r="AG389" i="11"/>
  <c r="AB389" i="11"/>
  <c r="AA389" i="11"/>
  <c r="AG388" i="11"/>
  <c r="AB388" i="11"/>
  <c r="AA388" i="11"/>
  <c r="AG387" i="11"/>
  <c r="AB387" i="11"/>
  <c r="AA387" i="11"/>
  <c r="AG386" i="11"/>
  <c r="AB386" i="11"/>
  <c r="AA386" i="11"/>
  <c r="AG385" i="11"/>
  <c r="AB385" i="11"/>
  <c r="AA385" i="11"/>
  <c r="AG384" i="11"/>
  <c r="AB384" i="11"/>
  <c r="AA384" i="11"/>
  <c r="AG383" i="11"/>
  <c r="AB383" i="11"/>
  <c r="AA383" i="11"/>
  <c r="AG382" i="11"/>
  <c r="AB382" i="11"/>
  <c r="AA382" i="11"/>
  <c r="AG381" i="11"/>
  <c r="AB381" i="11"/>
  <c r="AA381" i="11"/>
  <c r="AG380" i="11"/>
  <c r="AB380" i="11"/>
  <c r="AA380" i="11"/>
  <c r="AG379" i="11"/>
  <c r="AB379" i="11"/>
  <c r="AA379" i="11"/>
  <c r="AG378" i="11"/>
  <c r="AB378" i="11"/>
  <c r="AA378" i="11"/>
  <c r="AG377" i="11"/>
  <c r="AG392" i="11"/>
  <c r="AL368" i="11"/>
  <c r="AB377" i="11"/>
  <c r="AA377" i="11"/>
  <c r="AG376" i="11"/>
  <c r="AB376" i="11"/>
  <c r="AA376" i="11"/>
  <c r="AG375" i="11"/>
  <c r="AB375" i="11"/>
  <c r="AA375" i="11"/>
  <c r="AG374" i="11"/>
  <c r="AB374" i="11"/>
  <c r="AA374" i="11"/>
  <c r="AG373" i="11"/>
  <c r="AB373" i="11"/>
  <c r="AA373" i="11"/>
  <c r="AG372" i="11"/>
  <c r="AB372" i="11"/>
  <c r="AB392" i="11"/>
  <c r="AL367" i="11"/>
  <c r="AA372" i="11"/>
  <c r="AB371" i="11"/>
  <c r="AA371" i="11"/>
  <c r="AB370" i="11"/>
  <c r="AA370" i="11"/>
  <c r="AG369" i="11"/>
  <c r="AB369" i="11"/>
  <c r="AA369" i="11"/>
  <c r="AA392" i="11"/>
  <c r="AL366" i="11"/>
  <c r="AG368" i="11"/>
  <c r="AB368" i="11"/>
  <c r="AA368" i="11"/>
  <c r="AG367" i="11"/>
  <c r="AB367" i="11"/>
  <c r="AA367" i="11"/>
  <c r="AG356" i="11"/>
  <c r="F408" i="4"/>
  <c r="AF495" i="4"/>
  <c r="AF494" i="4"/>
  <c r="AD492" i="4"/>
  <c r="Z492" i="4"/>
  <c r="V492" i="4"/>
  <c r="R492" i="4"/>
  <c r="N492" i="4"/>
  <c r="J492" i="4"/>
  <c r="F492" i="4"/>
  <c r="AD491" i="4"/>
  <c r="Z491" i="4"/>
  <c r="V491" i="4"/>
  <c r="R491" i="4"/>
  <c r="N491" i="4"/>
  <c r="J491" i="4"/>
  <c r="AF491" i="4"/>
  <c r="F491" i="4"/>
  <c r="AD490" i="4"/>
  <c r="Z490" i="4"/>
  <c r="V490" i="4"/>
  <c r="R490" i="4"/>
  <c r="N490" i="4"/>
  <c r="J490" i="4"/>
  <c r="AF490" i="4"/>
  <c r="F490" i="4"/>
  <c r="AD489" i="4"/>
  <c r="Z489" i="4"/>
  <c r="V489" i="4"/>
  <c r="R489" i="4"/>
  <c r="N489" i="4"/>
  <c r="J489" i="4"/>
  <c r="F489" i="4"/>
  <c r="AD488" i="4"/>
  <c r="Z488" i="4"/>
  <c r="V488" i="4"/>
  <c r="R488" i="4"/>
  <c r="N488" i="4"/>
  <c r="J488" i="4"/>
  <c r="F488" i="4"/>
  <c r="AD487" i="4"/>
  <c r="Z487" i="4"/>
  <c r="V487" i="4"/>
  <c r="R487" i="4"/>
  <c r="N487" i="4"/>
  <c r="J487" i="4"/>
  <c r="AF487" i="4"/>
  <c r="F487" i="4"/>
  <c r="AD486" i="4"/>
  <c r="Z486" i="4"/>
  <c r="V486" i="4"/>
  <c r="R486" i="4"/>
  <c r="N486" i="4"/>
  <c r="J486" i="4"/>
  <c r="F486" i="4"/>
  <c r="AD485" i="4"/>
  <c r="Z485" i="4"/>
  <c r="V485" i="4"/>
  <c r="R485" i="4"/>
  <c r="N485" i="4"/>
  <c r="J485" i="4"/>
  <c r="F485" i="4"/>
  <c r="H483" i="4"/>
  <c r="L483" i="4"/>
  <c r="P483" i="4"/>
  <c r="T483" i="4"/>
  <c r="X483" i="4"/>
  <c r="AB483" i="4"/>
  <c r="AF482" i="4"/>
  <c r="AF481" i="4"/>
  <c r="AD479" i="4"/>
  <c r="Z479" i="4"/>
  <c r="V479" i="4"/>
  <c r="R479" i="4"/>
  <c r="N479" i="4"/>
  <c r="J479" i="4"/>
  <c r="F479" i="4"/>
  <c r="AD478" i="4"/>
  <c r="Z478" i="4"/>
  <c r="V478" i="4"/>
  <c r="R478" i="4"/>
  <c r="N478" i="4"/>
  <c r="J478" i="4"/>
  <c r="F478" i="4"/>
  <c r="AD477" i="4"/>
  <c r="Z477" i="4"/>
  <c r="V477" i="4"/>
  <c r="R477" i="4"/>
  <c r="N477" i="4"/>
  <c r="J477" i="4"/>
  <c r="F477" i="4"/>
  <c r="AF477" i="4"/>
  <c r="AD476" i="4"/>
  <c r="Z476" i="4"/>
  <c r="V476" i="4"/>
  <c r="N476" i="4"/>
  <c r="J476" i="4"/>
  <c r="F476" i="4"/>
  <c r="AD475" i="4"/>
  <c r="Z475" i="4"/>
  <c r="V475" i="4"/>
  <c r="R475" i="4"/>
  <c r="N475" i="4"/>
  <c r="J475" i="4"/>
  <c r="F475" i="4"/>
  <c r="AD474" i="4"/>
  <c r="Z474" i="4"/>
  <c r="V474" i="4"/>
  <c r="R474" i="4"/>
  <c r="N474" i="4"/>
  <c r="J474" i="4"/>
  <c r="F474" i="4"/>
  <c r="AD473" i="4"/>
  <c r="Z473" i="4"/>
  <c r="V473" i="4"/>
  <c r="R473" i="4"/>
  <c r="N473" i="4"/>
  <c r="J473" i="4"/>
  <c r="F473" i="4"/>
  <c r="AD472" i="4"/>
  <c r="Z472" i="4"/>
  <c r="V472" i="4"/>
  <c r="R472" i="4"/>
  <c r="N472" i="4"/>
  <c r="J472" i="4"/>
  <c r="AF472" i="4"/>
  <c r="F472" i="4"/>
  <c r="H470" i="4"/>
  <c r="L470" i="4"/>
  <c r="P470" i="4"/>
  <c r="T470" i="4"/>
  <c r="X470" i="4"/>
  <c r="AB470" i="4"/>
  <c r="AF469" i="4"/>
  <c r="AF468" i="4"/>
  <c r="AD466" i="4"/>
  <c r="Z466" i="4"/>
  <c r="V466" i="4"/>
  <c r="R466" i="4"/>
  <c r="N466" i="4"/>
  <c r="J466" i="4"/>
  <c r="F466" i="4"/>
  <c r="AD463" i="4"/>
  <c r="Z463" i="4"/>
  <c r="V463" i="4"/>
  <c r="R463" i="4"/>
  <c r="N463" i="4"/>
  <c r="J463" i="4"/>
  <c r="F463" i="4"/>
  <c r="AD462" i="4"/>
  <c r="Z462" i="4"/>
  <c r="V462" i="4"/>
  <c r="R462" i="4"/>
  <c r="N462" i="4"/>
  <c r="J462" i="4"/>
  <c r="F462" i="4"/>
  <c r="AD461" i="4"/>
  <c r="Z461" i="4"/>
  <c r="V461" i="4"/>
  <c r="R461" i="4"/>
  <c r="N461" i="4"/>
  <c r="J461" i="4"/>
  <c r="F461" i="4"/>
  <c r="AD460" i="4"/>
  <c r="Z460" i="4"/>
  <c r="V460" i="4"/>
  <c r="R460" i="4"/>
  <c r="N460" i="4"/>
  <c r="J460" i="4"/>
  <c r="F460" i="4"/>
  <c r="AD459" i="4"/>
  <c r="Z459" i="4"/>
  <c r="V459" i="4"/>
  <c r="R459" i="4"/>
  <c r="N459" i="4"/>
  <c r="J459" i="4"/>
  <c r="F459" i="4"/>
  <c r="AD458" i="4"/>
  <c r="Z458" i="4"/>
  <c r="V458" i="4"/>
  <c r="R458" i="4"/>
  <c r="N458" i="4"/>
  <c r="J458" i="4"/>
  <c r="F458" i="4"/>
  <c r="AD457" i="4"/>
  <c r="Z457" i="4"/>
  <c r="V457" i="4"/>
  <c r="R457" i="4"/>
  <c r="N457" i="4"/>
  <c r="J457" i="4"/>
  <c r="F457" i="4"/>
  <c r="H455" i="4"/>
  <c r="L455" i="4"/>
  <c r="P455" i="4"/>
  <c r="T455" i="4"/>
  <c r="X455" i="4"/>
  <c r="AB455" i="4"/>
  <c r="AF454" i="4"/>
  <c r="AF453" i="4"/>
  <c r="AD451" i="4"/>
  <c r="Z451" i="4"/>
  <c r="V451" i="4"/>
  <c r="R451" i="4"/>
  <c r="N451" i="4"/>
  <c r="J451" i="4"/>
  <c r="F451" i="4"/>
  <c r="AD445" i="4"/>
  <c r="Z445" i="4"/>
  <c r="V445" i="4"/>
  <c r="R445" i="4"/>
  <c r="N445" i="4"/>
  <c r="J445" i="4"/>
  <c r="F445" i="4"/>
  <c r="AD444" i="4"/>
  <c r="V444" i="4"/>
  <c r="R444" i="4"/>
  <c r="N444" i="4"/>
  <c r="J444" i="4"/>
  <c r="AF444" i="4"/>
  <c r="F444" i="4"/>
  <c r="AD443" i="4"/>
  <c r="V443" i="4"/>
  <c r="R443" i="4"/>
  <c r="N443" i="4"/>
  <c r="J443" i="4"/>
  <c r="AF443" i="4"/>
  <c r="F443" i="4"/>
  <c r="AD440" i="4"/>
  <c r="Z440" i="4"/>
  <c r="V440" i="4"/>
  <c r="R440" i="4"/>
  <c r="N440" i="4"/>
  <c r="J440" i="4"/>
  <c r="F440" i="4"/>
  <c r="AD439" i="4"/>
  <c r="Z439" i="4"/>
  <c r="V439" i="4"/>
  <c r="R439" i="4"/>
  <c r="N439" i="4"/>
  <c r="J439" i="4"/>
  <c r="F439" i="4"/>
  <c r="AD438" i="4"/>
  <c r="Z438" i="4"/>
  <c r="V438" i="4"/>
  <c r="R438" i="4"/>
  <c r="N438" i="4"/>
  <c r="J438" i="4"/>
  <c r="F438" i="4"/>
  <c r="AD437" i="4"/>
  <c r="Z437" i="4"/>
  <c r="V437" i="4"/>
  <c r="R437" i="4"/>
  <c r="N437" i="4"/>
  <c r="J437" i="4"/>
  <c r="F437" i="4"/>
  <c r="H435" i="4"/>
  <c r="L435" i="4"/>
  <c r="P435" i="4"/>
  <c r="T435" i="4"/>
  <c r="X435" i="4"/>
  <c r="AB435" i="4"/>
  <c r="AF434" i="4"/>
  <c r="AF433" i="4"/>
  <c r="AD431" i="4"/>
  <c r="Z431" i="4"/>
  <c r="V431" i="4"/>
  <c r="R431" i="4"/>
  <c r="N431" i="4"/>
  <c r="J431" i="4"/>
  <c r="F431" i="4"/>
  <c r="AD430" i="4"/>
  <c r="Z430" i="4"/>
  <c r="V430" i="4"/>
  <c r="R430" i="4"/>
  <c r="N430" i="4"/>
  <c r="J430" i="4"/>
  <c r="F430" i="4"/>
  <c r="AD429" i="4"/>
  <c r="Z429" i="4"/>
  <c r="V429" i="4"/>
  <c r="R429" i="4"/>
  <c r="N429" i="4"/>
  <c r="J429" i="4"/>
  <c r="F429" i="4"/>
  <c r="AD428" i="4"/>
  <c r="Z428" i="4"/>
  <c r="V428" i="4"/>
  <c r="R428" i="4"/>
  <c r="N428" i="4"/>
  <c r="J428" i="4"/>
  <c r="F428" i="4"/>
  <c r="AD427" i="4"/>
  <c r="Z427" i="4"/>
  <c r="V427" i="4"/>
  <c r="R427" i="4"/>
  <c r="N427" i="4"/>
  <c r="J427" i="4"/>
  <c r="F427" i="4"/>
  <c r="AD426" i="4"/>
  <c r="Z426" i="4"/>
  <c r="V426" i="4"/>
  <c r="R426" i="4"/>
  <c r="N426" i="4"/>
  <c r="J426" i="4"/>
  <c r="F426" i="4"/>
  <c r="AD425" i="4"/>
  <c r="Z425" i="4"/>
  <c r="V425" i="4"/>
  <c r="R425" i="4"/>
  <c r="N425" i="4"/>
  <c r="J425" i="4"/>
  <c r="F425" i="4"/>
  <c r="AD424" i="4"/>
  <c r="Z424" i="4"/>
  <c r="V424" i="4"/>
  <c r="R424" i="4"/>
  <c r="N424" i="4"/>
  <c r="J424" i="4"/>
  <c r="F424" i="4"/>
  <c r="H422" i="4"/>
  <c r="L422" i="4"/>
  <c r="P422" i="4"/>
  <c r="T422" i="4"/>
  <c r="X422" i="4"/>
  <c r="AB422" i="4"/>
  <c r="AA395" i="11"/>
  <c r="AL369" i="11"/>
  <c r="AL404" i="11"/>
  <c r="AB395" i="11"/>
  <c r="AL370" i="11"/>
  <c r="F295" i="4"/>
  <c r="J295" i="4"/>
  <c r="N295" i="4"/>
  <c r="R295" i="4"/>
  <c r="V295" i="4"/>
  <c r="AF295" i="4"/>
  <c r="Z295" i="4"/>
  <c r="AD295" i="4"/>
  <c r="F296" i="4"/>
  <c r="J296" i="4"/>
  <c r="N296" i="4"/>
  <c r="R296" i="4"/>
  <c r="V296" i="4"/>
  <c r="Z296" i="4"/>
  <c r="AD296" i="4"/>
  <c r="F407" i="4"/>
  <c r="AD374" i="4"/>
  <c r="Z374" i="4"/>
  <c r="V374" i="4"/>
  <c r="R374" i="4"/>
  <c r="N374" i="4"/>
  <c r="J374" i="4"/>
  <c r="F374" i="4"/>
  <c r="AD373" i="4"/>
  <c r="Z373" i="4"/>
  <c r="V373" i="4"/>
  <c r="R373" i="4"/>
  <c r="N373" i="4"/>
  <c r="J373" i="4"/>
  <c r="F373" i="4"/>
  <c r="AD372" i="4"/>
  <c r="Z372" i="4"/>
  <c r="V372" i="4"/>
  <c r="R372" i="4"/>
  <c r="N372" i="4"/>
  <c r="J372" i="4"/>
  <c r="F372" i="4"/>
  <c r="F397" i="4"/>
  <c r="J397" i="4"/>
  <c r="AF397" i="4"/>
  <c r="N397" i="4"/>
  <c r="R397" i="4"/>
  <c r="V397" i="4"/>
  <c r="Z397" i="4"/>
  <c r="AD397" i="4"/>
  <c r="F398" i="4"/>
  <c r="J398" i="4"/>
  <c r="N398" i="4"/>
  <c r="R398" i="4"/>
  <c r="V398" i="4"/>
  <c r="Z398" i="4"/>
  <c r="AF398" i="4"/>
  <c r="AD398" i="4"/>
  <c r="F399" i="4"/>
  <c r="J399" i="4"/>
  <c r="N399" i="4"/>
  <c r="R399" i="4"/>
  <c r="V399" i="4"/>
  <c r="Z399" i="4"/>
  <c r="AD399" i="4"/>
  <c r="F382" i="4"/>
  <c r="O294" i="11"/>
  <c r="C323" i="11"/>
  <c r="C322" i="11"/>
  <c r="AD253" i="4"/>
  <c r="Z253" i="4"/>
  <c r="V253" i="4"/>
  <c r="R253" i="4"/>
  <c r="N253" i="4"/>
  <c r="J253" i="4"/>
  <c r="F253" i="4"/>
  <c r="AG273" i="11"/>
  <c r="AB276" i="11"/>
  <c r="C283" i="11"/>
  <c r="C284" i="11"/>
  <c r="AA329" i="11"/>
  <c r="AB329" i="11"/>
  <c r="AG329" i="11"/>
  <c r="AA330" i="11"/>
  <c r="AB330" i="11"/>
  <c r="AB354" i="11"/>
  <c r="AL329" i="11"/>
  <c r="AG330" i="11"/>
  <c r="AA331" i="11"/>
  <c r="AB331" i="11"/>
  <c r="AG331" i="11"/>
  <c r="AG354" i="11"/>
  <c r="AL330" i="11"/>
  <c r="AA332" i="11"/>
  <c r="AB332" i="11"/>
  <c r="AG332" i="11"/>
  <c r="AA333" i="11"/>
  <c r="AB333" i="11"/>
  <c r="AG333" i="11"/>
  <c r="AA334" i="11"/>
  <c r="AB334" i="11"/>
  <c r="AG334" i="11"/>
  <c r="AA335" i="11"/>
  <c r="AB335" i="11"/>
  <c r="AG335" i="11"/>
  <c r="AA336" i="11"/>
  <c r="AB336" i="11"/>
  <c r="AG336" i="11"/>
  <c r="AA337" i="11"/>
  <c r="AB337" i="11"/>
  <c r="AG337" i="11"/>
  <c r="AA338" i="11"/>
  <c r="AB338" i="11"/>
  <c r="AG338" i="11"/>
  <c r="AA339" i="11"/>
  <c r="AB339" i="11"/>
  <c r="AG339" i="11"/>
  <c r="AA340" i="11"/>
  <c r="AB340" i="11"/>
  <c r="AG340" i="11"/>
  <c r="AA341" i="11"/>
  <c r="AB341" i="11"/>
  <c r="AG341" i="11"/>
  <c r="AA342" i="11"/>
  <c r="AB342" i="11"/>
  <c r="AG342" i="11"/>
  <c r="AA343" i="11"/>
  <c r="AB343" i="11"/>
  <c r="AG343" i="11"/>
  <c r="AA344" i="11"/>
  <c r="AB344" i="11"/>
  <c r="AG344" i="11"/>
  <c r="AA345" i="11"/>
  <c r="AB345" i="11"/>
  <c r="AG345" i="11"/>
  <c r="AA346" i="11"/>
  <c r="AB346" i="11"/>
  <c r="AG346" i="11"/>
  <c r="AA347" i="11"/>
  <c r="AB347" i="11"/>
  <c r="AG347" i="11"/>
  <c r="AA348" i="11"/>
  <c r="AB348" i="11"/>
  <c r="AG348" i="11"/>
  <c r="AA349" i="11"/>
  <c r="AB349" i="11"/>
  <c r="AG349" i="11"/>
  <c r="AA350" i="11"/>
  <c r="AB350" i="11"/>
  <c r="AG350" i="11"/>
  <c r="AA351" i="11"/>
  <c r="AB351" i="11"/>
  <c r="AG351" i="11"/>
  <c r="AA353" i="11"/>
  <c r="AB353" i="11"/>
  <c r="E354" i="11"/>
  <c r="F354" i="11"/>
  <c r="J354" i="11"/>
  <c r="K354" i="11"/>
  <c r="O354" i="11"/>
  <c r="P354" i="11"/>
  <c r="T354" i="11"/>
  <c r="U354" i="11"/>
  <c r="Y354" i="11"/>
  <c r="Z354" i="11"/>
  <c r="AB355" i="11"/>
  <c r="AB358" i="11"/>
  <c r="AL332" i="11"/>
  <c r="AG355" i="11"/>
  <c r="AA356" i="11"/>
  <c r="AB356" i="11"/>
  <c r="AG358" i="11"/>
  <c r="AL333" i="11"/>
  <c r="AA357" i="11"/>
  <c r="AB357" i="11"/>
  <c r="C359" i="11"/>
  <c r="AL334" i="11"/>
  <c r="AA358" i="11"/>
  <c r="AL331" i="11"/>
  <c r="AL328" i="11"/>
  <c r="O277" i="11"/>
  <c r="Z277" i="11"/>
  <c r="U277" i="11"/>
  <c r="P277" i="11"/>
  <c r="K277" i="11"/>
  <c r="F277" i="11"/>
  <c r="C244" i="11"/>
  <c r="C245" i="11"/>
  <c r="AG234" i="11"/>
  <c r="AD369" i="4"/>
  <c r="Z369" i="4"/>
  <c r="V369" i="4"/>
  <c r="AF369" i="4"/>
  <c r="R369" i="4"/>
  <c r="N369" i="4"/>
  <c r="J369" i="4"/>
  <c r="F369" i="4"/>
  <c r="AD368" i="4"/>
  <c r="Z368" i="4"/>
  <c r="V368" i="4"/>
  <c r="R368" i="4"/>
  <c r="N368" i="4"/>
  <c r="J368" i="4"/>
  <c r="F368" i="4"/>
  <c r="AD367" i="4"/>
  <c r="Z367" i="4"/>
  <c r="V367" i="4"/>
  <c r="R367" i="4"/>
  <c r="N367" i="4"/>
  <c r="J367" i="4"/>
  <c r="F367" i="4"/>
  <c r="AD366" i="4"/>
  <c r="Z366" i="4"/>
  <c r="V366" i="4"/>
  <c r="R366" i="4"/>
  <c r="N366" i="4"/>
  <c r="J366" i="4"/>
  <c r="F366" i="4"/>
  <c r="AD370" i="4"/>
  <c r="Z370" i="4"/>
  <c r="V370" i="4"/>
  <c r="R370" i="4"/>
  <c r="N370" i="4"/>
  <c r="J370" i="4"/>
  <c r="F370" i="4"/>
  <c r="J242" i="11"/>
  <c r="F198" i="11"/>
  <c r="K198" i="11"/>
  <c r="P198" i="11"/>
  <c r="U198" i="11"/>
  <c r="Z198" i="11"/>
  <c r="J202" i="11"/>
  <c r="C204" i="11"/>
  <c r="C205" i="11"/>
  <c r="AD349" i="4"/>
  <c r="Z349" i="4"/>
  <c r="V349" i="4"/>
  <c r="R349" i="4"/>
  <c r="AF349" i="4"/>
  <c r="N349" i="4"/>
  <c r="J349" i="4"/>
  <c r="F349" i="4"/>
  <c r="AD348" i="4"/>
  <c r="Z348" i="4"/>
  <c r="V348" i="4"/>
  <c r="R348" i="4"/>
  <c r="N348" i="4"/>
  <c r="J348" i="4"/>
  <c r="F348" i="4"/>
  <c r="AD351" i="4"/>
  <c r="Z351" i="4"/>
  <c r="V351" i="4"/>
  <c r="R351" i="4"/>
  <c r="N351" i="4"/>
  <c r="J351" i="4"/>
  <c r="F351" i="4"/>
  <c r="AD350" i="4"/>
  <c r="Z350" i="4"/>
  <c r="V350" i="4"/>
  <c r="R350" i="4"/>
  <c r="N350" i="4"/>
  <c r="J350" i="4"/>
  <c r="F350" i="4"/>
  <c r="AD345" i="4"/>
  <c r="Z345" i="4"/>
  <c r="V345" i="4"/>
  <c r="R345" i="4"/>
  <c r="N345" i="4"/>
  <c r="J345" i="4"/>
  <c r="F345" i="4"/>
  <c r="AD344" i="4"/>
  <c r="Z344" i="4"/>
  <c r="V344" i="4"/>
  <c r="R344" i="4"/>
  <c r="N344" i="4"/>
  <c r="J344" i="4"/>
  <c r="F344" i="4"/>
  <c r="AD342" i="4"/>
  <c r="Z342" i="4"/>
  <c r="V342" i="4"/>
  <c r="R342" i="4"/>
  <c r="N342" i="4"/>
  <c r="J342" i="4"/>
  <c r="AF342" i="4"/>
  <c r="F342" i="4"/>
  <c r="AD343" i="4"/>
  <c r="Z343" i="4"/>
  <c r="V343" i="4"/>
  <c r="R343" i="4"/>
  <c r="N343" i="4"/>
  <c r="J343" i="4"/>
  <c r="F343" i="4"/>
  <c r="AA290" i="11"/>
  <c r="AB290" i="11"/>
  <c r="AG290" i="11"/>
  <c r="AA291" i="11"/>
  <c r="AB291" i="11"/>
  <c r="AG291" i="11"/>
  <c r="AA292" i="11"/>
  <c r="AB292" i="11"/>
  <c r="AG292" i="11"/>
  <c r="AA293" i="11"/>
  <c r="AB293" i="11"/>
  <c r="AG293" i="11"/>
  <c r="AA294" i="11"/>
  <c r="AB294" i="11"/>
  <c r="AG294" i="11"/>
  <c r="AA295" i="11"/>
  <c r="AB295" i="11"/>
  <c r="AG295" i="11"/>
  <c r="AA296" i="11"/>
  <c r="AB296" i="11"/>
  <c r="AG296" i="11"/>
  <c r="AA297" i="11"/>
  <c r="AB297" i="11"/>
  <c r="AG297" i="11"/>
  <c r="AA298" i="11"/>
  <c r="AB298" i="11"/>
  <c r="AG298" i="11"/>
  <c r="AA299" i="11"/>
  <c r="AB299" i="11"/>
  <c r="AG299" i="11"/>
  <c r="AA300" i="11"/>
  <c r="AB300" i="11"/>
  <c r="AG300" i="11"/>
  <c r="AA301" i="11"/>
  <c r="AB301" i="11"/>
  <c r="AG301" i="11"/>
  <c r="AA302" i="11"/>
  <c r="AB302" i="11"/>
  <c r="AG302" i="11"/>
  <c r="AA303" i="11"/>
  <c r="AB303" i="11"/>
  <c r="AG303" i="11"/>
  <c r="AA304" i="11"/>
  <c r="AB304" i="11"/>
  <c r="AG304" i="11"/>
  <c r="AA305" i="11"/>
  <c r="AB305" i="11"/>
  <c r="AG305" i="11"/>
  <c r="AA306" i="11"/>
  <c r="AB306" i="11"/>
  <c r="AG306" i="11"/>
  <c r="AA307" i="11"/>
  <c r="AB307" i="11"/>
  <c r="AG307" i="11"/>
  <c r="AA308" i="11"/>
  <c r="AB308" i="11"/>
  <c r="AG308" i="11"/>
  <c r="AA309" i="11"/>
  <c r="AB309" i="11"/>
  <c r="AG309" i="11"/>
  <c r="AA310" i="11"/>
  <c r="AB310" i="11"/>
  <c r="AG310" i="11"/>
  <c r="AA311" i="11"/>
  <c r="AB311" i="11"/>
  <c r="AG311" i="11"/>
  <c r="AA312" i="11"/>
  <c r="AB312" i="11"/>
  <c r="AG312" i="11"/>
  <c r="AA313" i="11"/>
  <c r="AB313" i="11"/>
  <c r="AG313" i="11"/>
  <c r="AA314" i="11"/>
  <c r="AB314" i="11"/>
  <c r="AG314" i="11"/>
  <c r="AA315" i="11"/>
  <c r="AB315" i="11"/>
  <c r="E316" i="11"/>
  <c r="F316" i="11"/>
  <c r="J316" i="11"/>
  <c r="K316" i="11"/>
  <c r="O316" i="11"/>
  <c r="P316" i="11"/>
  <c r="T316" i="11"/>
  <c r="U316" i="11"/>
  <c r="Y316" i="11"/>
  <c r="Z316" i="11"/>
  <c r="AA317" i="11"/>
  <c r="AB317" i="11"/>
  <c r="AG317" i="11"/>
  <c r="AA318" i="11"/>
  <c r="AB318" i="11"/>
  <c r="AG318" i="11"/>
  <c r="AG320" i="11"/>
  <c r="AL294" i="11"/>
  <c r="AA319" i="11"/>
  <c r="AB319" i="11"/>
  <c r="E320" i="11"/>
  <c r="O320" i="11"/>
  <c r="T320" i="11"/>
  <c r="Y320" i="11"/>
  <c r="C321" i="11"/>
  <c r="AL295" i="11"/>
  <c r="AA251" i="11"/>
  <c r="AB251" i="11"/>
  <c r="AG251" i="11"/>
  <c r="AA252" i="11"/>
  <c r="AB252" i="11"/>
  <c r="AG252" i="11"/>
  <c r="AA253" i="11"/>
  <c r="AB253" i="11"/>
  <c r="AG253" i="11"/>
  <c r="AA254" i="11"/>
  <c r="AB254" i="11"/>
  <c r="AG254" i="11"/>
  <c r="AA255" i="11"/>
  <c r="AB255" i="11"/>
  <c r="AG255" i="11"/>
  <c r="AA256" i="11"/>
  <c r="AB256" i="11"/>
  <c r="AG256" i="11"/>
  <c r="AA257" i="11"/>
  <c r="AB257" i="11"/>
  <c r="AG257" i="11"/>
  <c r="AA258" i="11"/>
  <c r="AB258" i="11"/>
  <c r="AG258" i="11"/>
  <c r="AA259" i="11"/>
  <c r="AB259" i="11"/>
  <c r="AG259" i="11"/>
  <c r="AA260" i="11"/>
  <c r="AB260" i="11"/>
  <c r="AG260" i="11"/>
  <c r="AA261" i="11"/>
  <c r="AB261" i="11"/>
  <c r="AG261" i="11"/>
  <c r="AA262" i="11"/>
  <c r="AB262" i="11"/>
  <c r="AG262" i="11"/>
  <c r="AA263" i="11"/>
  <c r="AB263" i="11"/>
  <c r="AG263" i="11"/>
  <c r="AA264" i="11"/>
  <c r="AB264" i="11"/>
  <c r="AG264" i="11"/>
  <c r="AA265" i="11"/>
  <c r="AB265" i="11"/>
  <c r="AG265" i="11"/>
  <c r="AA266" i="11"/>
  <c r="AB266" i="11"/>
  <c r="AG266" i="11"/>
  <c r="AA267" i="11"/>
  <c r="AB267" i="11"/>
  <c r="AG267" i="11"/>
  <c r="AA268" i="11"/>
  <c r="AB268" i="11"/>
  <c r="AG268" i="11"/>
  <c r="AA269" i="11"/>
  <c r="AB269" i="11"/>
  <c r="AG269" i="11"/>
  <c r="AA273" i="11"/>
  <c r="AB273" i="11"/>
  <c r="AA270" i="11"/>
  <c r="AB270" i="11"/>
  <c r="AG270" i="11"/>
  <c r="AA271" i="11"/>
  <c r="AB271" i="11"/>
  <c r="AG271" i="11"/>
  <c r="AA272" i="11"/>
  <c r="AB272" i="11"/>
  <c r="AG272" i="11"/>
  <c r="AA274" i="11"/>
  <c r="AB274" i="11"/>
  <c r="AG274" i="11"/>
  <c r="AA275" i="11"/>
  <c r="AB275" i="11"/>
  <c r="AG275" i="11"/>
  <c r="AA276" i="11"/>
  <c r="E277" i="11"/>
  <c r="J277" i="11"/>
  <c r="T277" i="11"/>
  <c r="Y277" i="11"/>
  <c r="AA278" i="11"/>
  <c r="AB278" i="11"/>
  <c r="AG278" i="11"/>
  <c r="AA279" i="11"/>
  <c r="AA281" i="11"/>
  <c r="AL253" i="11"/>
  <c r="AB279" i="11"/>
  <c r="AG279" i="11"/>
  <c r="AG281" i="11"/>
  <c r="AL255" i="11"/>
  <c r="AA280" i="11"/>
  <c r="AB280" i="11"/>
  <c r="E281" i="11"/>
  <c r="O281" i="11"/>
  <c r="T281" i="11"/>
  <c r="Y281" i="11"/>
  <c r="C282" i="11"/>
  <c r="AL256" i="11"/>
  <c r="AA211" i="11"/>
  <c r="AB211" i="11"/>
  <c r="AG211" i="11"/>
  <c r="AA212" i="11"/>
  <c r="AB212" i="11"/>
  <c r="AG212" i="11"/>
  <c r="AA213" i="11"/>
  <c r="AB213" i="11"/>
  <c r="AG213" i="11"/>
  <c r="AA214" i="11"/>
  <c r="AB214" i="11"/>
  <c r="AG214" i="11"/>
  <c r="AG238" i="11"/>
  <c r="AL212" i="11"/>
  <c r="AA215" i="11"/>
  <c r="AB215" i="11"/>
  <c r="AG215" i="11"/>
  <c r="AA216" i="11"/>
  <c r="AB216" i="11"/>
  <c r="AG216" i="11"/>
  <c r="AA217" i="11"/>
  <c r="AB217" i="11"/>
  <c r="AG217" i="11"/>
  <c r="AA218" i="11"/>
  <c r="AB218" i="11"/>
  <c r="AG218" i="11"/>
  <c r="AA219" i="11"/>
  <c r="AB219" i="11"/>
  <c r="AG219" i="11"/>
  <c r="AA220" i="11"/>
  <c r="AB220" i="11"/>
  <c r="AG220" i="11"/>
  <c r="AA221" i="11"/>
  <c r="AB221" i="11"/>
  <c r="AG221" i="11"/>
  <c r="AA222" i="11"/>
  <c r="AB222" i="11"/>
  <c r="AG222" i="11"/>
  <c r="AA223" i="11"/>
  <c r="AB223" i="11"/>
  <c r="AG223" i="11"/>
  <c r="AA224" i="11"/>
  <c r="AB224" i="11"/>
  <c r="AG224" i="11"/>
  <c r="AA225" i="11"/>
  <c r="AB225" i="11"/>
  <c r="AG225" i="11"/>
  <c r="AA226" i="11"/>
  <c r="AB226" i="11"/>
  <c r="AG226" i="11"/>
  <c r="AA227" i="11"/>
  <c r="AB227" i="11"/>
  <c r="AG227" i="11"/>
  <c r="AA228" i="11"/>
  <c r="AB228" i="11"/>
  <c r="AG228" i="11"/>
  <c r="AA229" i="11"/>
  <c r="AB229" i="11"/>
  <c r="AG229" i="11"/>
  <c r="AA230" i="11"/>
  <c r="AB230" i="11"/>
  <c r="AG230" i="11"/>
  <c r="AA231" i="11"/>
  <c r="AB231" i="11"/>
  <c r="AG231" i="11"/>
  <c r="AA232" i="11"/>
  <c r="AB232" i="11"/>
  <c r="AG232" i="11"/>
  <c r="AA233" i="11"/>
  <c r="AB233" i="11"/>
  <c r="AG233" i="11"/>
  <c r="AA234" i="11"/>
  <c r="AB234" i="11"/>
  <c r="AA235" i="11"/>
  <c r="AB235" i="11"/>
  <c r="AG235" i="11"/>
  <c r="AA236" i="11"/>
  <c r="AB236" i="11"/>
  <c r="AG236" i="11"/>
  <c r="AA237" i="11"/>
  <c r="AB237" i="11"/>
  <c r="E238" i="11"/>
  <c r="F238" i="11"/>
  <c r="J238" i="11"/>
  <c r="K238" i="11"/>
  <c r="O238" i="11"/>
  <c r="P238" i="11"/>
  <c r="T238" i="11"/>
  <c r="U238" i="11"/>
  <c r="Y238" i="11"/>
  <c r="Z238" i="11"/>
  <c r="AA239" i="11"/>
  <c r="AB239" i="11"/>
  <c r="AG239" i="11"/>
  <c r="AA240" i="11"/>
  <c r="AB240" i="11"/>
  <c r="AG240" i="11"/>
  <c r="AG242" i="11"/>
  <c r="AA241" i="11"/>
  <c r="AB241" i="11"/>
  <c r="E242" i="11"/>
  <c r="O242" i="11"/>
  <c r="T242" i="11"/>
  <c r="Y242" i="11"/>
  <c r="C243" i="11"/>
  <c r="AF421" i="4"/>
  <c r="AF420" i="4"/>
  <c r="AD418" i="4"/>
  <c r="Z418" i="4"/>
  <c r="V418" i="4"/>
  <c r="R418" i="4"/>
  <c r="N418" i="4"/>
  <c r="J418" i="4"/>
  <c r="F418" i="4"/>
  <c r="AD416" i="4"/>
  <c r="Z416" i="4"/>
  <c r="V416" i="4"/>
  <c r="R416" i="4"/>
  <c r="N416" i="4"/>
  <c r="J416" i="4"/>
  <c r="F416" i="4"/>
  <c r="AD414" i="4"/>
  <c r="Z414" i="4"/>
  <c r="V414" i="4"/>
  <c r="R414" i="4"/>
  <c r="N414" i="4"/>
  <c r="J414" i="4"/>
  <c r="F414" i="4"/>
  <c r="AD411" i="4"/>
  <c r="Z411" i="4"/>
  <c r="V411" i="4"/>
  <c r="R411" i="4"/>
  <c r="N411" i="4"/>
  <c r="J411" i="4"/>
  <c r="F411" i="4"/>
  <c r="AD410" i="4"/>
  <c r="Z410" i="4"/>
  <c r="V410" i="4"/>
  <c r="R410" i="4"/>
  <c r="N410" i="4"/>
  <c r="J410" i="4"/>
  <c r="AF410" i="4"/>
  <c r="F410" i="4"/>
  <c r="AD409" i="4"/>
  <c r="Z409" i="4"/>
  <c r="V409" i="4"/>
  <c r="R409" i="4"/>
  <c r="N409" i="4"/>
  <c r="J409" i="4"/>
  <c r="F409" i="4"/>
  <c r="AF409" i="4"/>
  <c r="AD408" i="4"/>
  <c r="Z408" i="4"/>
  <c r="V408" i="4"/>
  <c r="R408" i="4"/>
  <c r="N408" i="4"/>
  <c r="J408" i="4"/>
  <c r="AD407" i="4"/>
  <c r="Z407" i="4"/>
  <c r="V407" i="4"/>
  <c r="R407" i="4"/>
  <c r="N407" i="4"/>
  <c r="J407" i="4"/>
  <c r="H405" i="4"/>
  <c r="L405" i="4"/>
  <c r="P405" i="4"/>
  <c r="T405" i="4"/>
  <c r="X405" i="4"/>
  <c r="AB405" i="4"/>
  <c r="AF404" i="4"/>
  <c r="AF403" i="4"/>
  <c r="AD401" i="4"/>
  <c r="Z401" i="4"/>
  <c r="V401" i="4"/>
  <c r="R401" i="4"/>
  <c r="N401" i="4"/>
  <c r="J401" i="4"/>
  <c r="F401" i="4"/>
  <c r="AD400" i="4"/>
  <c r="Z400" i="4"/>
  <c r="V400" i="4"/>
  <c r="R400" i="4"/>
  <c r="N400" i="4"/>
  <c r="J400" i="4"/>
  <c r="F400" i="4"/>
  <c r="AD396" i="4"/>
  <c r="Z396" i="4"/>
  <c r="V396" i="4"/>
  <c r="R396" i="4"/>
  <c r="N396" i="4"/>
  <c r="J396" i="4"/>
  <c r="F396" i="4"/>
  <c r="AF396" i="4"/>
  <c r="AD395" i="4"/>
  <c r="Z395" i="4"/>
  <c r="V395" i="4"/>
  <c r="R395" i="4"/>
  <c r="N395" i="4"/>
  <c r="J395" i="4"/>
  <c r="F395" i="4"/>
  <c r="AD394" i="4"/>
  <c r="Z394" i="4"/>
  <c r="V394" i="4"/>
  <c r="R394" i="4"/>
  <c r="N394" i="4"/>
  <c r="J394" i="4"/>
  <c r="F394" i="4"/>
  <c r="AD393" i="4"/>
  <c r="Z393" i="4"/>
  <c r="V393" i="4"/>
  <c r="R393" i="4"/>
  <c r="N393" i="4"/>
  <c r="J393" i="4"/>
  <c r="F393" i="4"/>
  <c r="AD392" i="4"/>
  <c r="Z392" i="4"/>
  <c r="V392" i="4"/>
  <c r="R392" i="4"/>
  <c r="N392" i="4"/>
  <c r="J392" i="4"/>
  <c r="F392" i="4"/>
  <c r="AD391" i="4"/>
  <c r="Z391" i="4"/>
  <c r="V391" i="4"/>
  <c r="R391" i="4"/>
  <c r="N391" i="4"/>
  <c r="J391" i="4"/>
  <c r="F391" i="4"/>
  <c r="H389" i="4"/>
  <c r="L389" i="4"/>
  <c r="P389" i="4"/>
  <c r="T389" i="4"/>
  <c r="X389" i="4"/>
  <c r="AB389" i="4"/>
  <c r="AF388" i="4"/>
  <c r="AF387" i="4"/>
  <c r="AD385" i="4"/>
  <c r="Z385" i="4"/>
  <c r="V385" i="4"/>
  <c r="R385" i="4"/>
  <c r="N385" i="4"/>
  <c r="J385" i="4"/>
  <c r="F385" i="4"/>
  <c r="AD384" i="4"/>
  <c r="Z384" i="4"/>
  <c r="V384" i="4"/>
  <c r="R384" i="4"/>
  <c r="N384" i="4"/>
  <c r="J384" i="4"/>
  <c r="F384" i="4"/>
  <c r="AD383" i="4"/>
  <c r="Z383" i="4"/>
  <c r="V383" i="4"/>
  <c r="R383" i="4"/>
  <c r="N383" i="4"/>
  <c r="J383" i="4"/>
  <c r="F383" i="4"/>
  <c r="AD382" i="4"/>
  <c r="Z382" i="4"/>
  <c r="V382" i="4"/>
  <c r="R382" i="4"/>
  <c r="N382" i="4"/>
  <c r="J382" i="4"/>
  <c r="AD381" i="4"/>
  <c r="Z381" i="4"/>
  <c r="V381" i="4"/>
  <c r="R381" i="4"/>
  <c r="N381" i="4"/>
  <c r="J381" i="4"/>
  <c r="AF381" i="4"/>
  <c r="F381" i="4"/>
  <c r="H379" i="4"/>
  <c r="L379" i="4"/>
  <c r="P379" i="4"/>
  <c r="T379" i="4"/>
  <c r="X379" i="4"/>
  <c r="AB379" i="4"/>
  <c r="AF378" i="4"/>
  <c r="AF377" i="4"/>
  <c r="AD375" i="4"/>
  <c r="Z375" i="4"/>
  <c r="V375" i="4"/>
  <c r="R375" i="4"/>
  <c r="N375" i="4"/>
  <c r="J375" i="4"/>
  <c r="F375" i="4"/>
  <c r="AD371" i="4"/>
  <c r="Z371" i="4"/>
  <c r="V371" i="4"/>
  <c r="R371" i="4"/>
  <c r="N371" i="4"/>
  <c r="J371" i="4"/>
  <c r="F371" i="4"/>
  <c r="AD365" i="4"/>
  <c r="Z365" i="4"/>
  <c r="V365" i="4"/>
  <c r="R365" i="4"/>
  <c r="N365" i="4"/>
  <c r="J365" i="4"/>
  <c r="F365" i="4"/>
  <c r="AD364" i="4"/>
  <c r="Z364" i="4"/>
  <c r="V364" i="4"/>
  <c r="R364" i="4"/>
  <c r="N364" i="4"/>
  <c r="J364" i="4"/>
  <c r="F364" i="4"/>
  <c r="AD363" i="4"/>
  <c r="AF363" i="4"/>
  <c r="Z363" i="4"/>
  <c r="V363" i="4"/>
  <c r="R363" i="4"/>
  <c r="N363" i="4"/>
  <c r="J363" i="4"/>
  <c r="F363" i="4"/>
  <c r="AD362" i="4"/>
  <c r="Z362" i="4"/>
  <c r="V362" i="4"/>
  <c r="R362" i="4"/>
  <c r="N362" i="4"/>
  <c r="J362" i="4"/>
  <c r="F362" i="4"/>
  <c r="AD361" i="4"/>
  <c r="Z361" i="4"/>
  <c r="V361" i="4"/>
  <c r="R361" i="4"/>
  <c r="N361" i="4"/>
  <c r="J361" i="4"/>
  <c r="F361" i="4"/>
  <c r="AD360" i="4"/>
  <c r="Z360" i="4"/>
  <c r="V360" i="4"/>
  <c r="R360" i="4"/>
  <c r="N360" i="4"/>
  <c r="J360" i="4"/>
  <c r="F360" i="4"/>
  <c r="H358" i="4"/>
  <c r="L358" i="4"/>
  <c r="P358" i="4"/>
  <c r="T358" i="4"/>
  <c r="X358" i="4"/>
  <c r="AB358" i="4"/>
  <c r="Y198" i="11"/>
  <c r="T198" i="11"/>
  <c r="O198" i="11"/>
  <c r="J198" i="11"/>
  <c r="E198" i="11"/>
  <c r="AA197" i="11"/>
  <c r="AB197" i="11"/>
  <c r="AG191" i="11"/>
  <c r="AA191" i="11"/>
  <c r="AB191" i="11"/>
  <c r="C165" i="11"/>
  <c r="AB281" i="11"/>
  <c r="AL254" i="11"/>
  <c r="AB320" i="11"/>
  <c r="AL293" i="11"/>
  <c r="AL216" i="11"/>
  <c r="AL215" i="11"/>
  <c r="AF365" i="4"/>
  <c r="AA320" i="11"/>
  <c r="AL292" i="11"/>
  <c r="AB242" i="11"/>
  <c r="AL214" i="11"/>
  <c r="AA242" i="11"/>
  <c r="AL213" i="11"/>
  <c r="C164" i="11"/>
  <c r="J162" i="11"/>
  <c r="O7" i="9"/>
  <c r="G105" i="9"/>
  <c r="G106" i="9"/>
  <c r="G96" i="9"/>
  <c r="G97" i="9"/>
  <c r="L9" i="9"/>
  <c r="AG152" i="11"/>
  <c r="AB152" i="11"/>
  <c r="C86" i="11"/>
  <c r="C84" i="11"/>
  <c r="AL58" i="11"/>
  <c r="C125" i="11"/>
  <c r="C123" i="11"/>
  <c r="G104" i="9"/>
  <c r="G103" i="9"/>
  <c r="G102" i="9"/>
  <c r="G101" i="9"/>
  <c r="G93" i="9"/>
  <c r="G94" i="9"/>
  <c r="G95" i="9"/>
  <c r="G92" i="9"/>
  <c r="G87" i="9"/>
  <c r="G88" i="9"/>
  <c r="G84" i="9"/>
  <c r="G85" i="9"/>
  <c r="G86" i="9"/>
  <c r="G83" i="9"/>
  <c r="AA152" i="11"/>
  <c r="T12" i="9"/>
  <c r="O8" i="9"/>
  <c r="O9" i="9"/>
  <c r="P9" i="9"/>
  <c r="Q9" i="9"/>
  <c r="T16" i="9"/>
  <c r="T14" i="9"/>
  <c r="T13" i="9"/>
  <c r="T7" i="9"/>
  <c r="S7" i="9"/>
  <c r="T15" i="9"/>
  <c r="R9" i="9"/>
  <c r="T9" i="9"/>
  <c r="AD325" i="4"/>
  <c r="Z325" i="4"/>
  <c r="V325" i="4"/>
  <c r="R325" i="4"/>
  <c r="N325" i="4"/>
  <c r="AF325" i="4"/>
  <c r="J325" i="4"/>
  <c r="F325" i="4"/>
  <c r="AD324" i="4"/>
  <c r="Z324" i="4"/>
  <c r="AF324" i="4"/>
  <c r="V324" i="4"/>
  <c r="R324" i="4"/>
  <c r="N324" i="4"/>
  <c r="J324" i="4"/>
  <c r="F324" i="4"/>
  <c r="AD323" i="4"/>
  <c r="Z323" i="4"/>
  <c r="V323" i="4"/>
  <c r="R323" i="4"/>
  <c r="N323" i="4"/>
  <c r="J323" i="4"/>
  <c r="F323" i="4"/>
  <c r="AD321" i="4"/>
  <c r="Z321" i="4"/>
  <c r="V321" i="4"/>
  <c r="R321" i="4"/>
  <c r="N321" i="4"/>
  <c r="J321" i="4"/>
  <c r="AF321" i="4"/>
  <c r="F321" i="4"/>
  <c r="AD328" i="4"/>
  <c r="Z328" i="4"/>
  <c r="V328" i="4"/>
  <c r="AF328" i="4"/>
  <c r="R328" i="4"/>
  <c r="N328" i="4"/>
  <c r="J328" i="4"/>
  <c r="F328" i="4"/>
  <c r="AD322" i="4"/>
  <c r="Z322" i="4"/>
  <c r="V322" i="4"/>
  <c r="R322" i="4"/>
  <c r="N322" i="4"/>
  <c r="J322" i="4"/>
  <c r="F322" i="4"/>
  <c r="AD327" i="4"/>
  <c r="Z327" i="4"/>
  <c r="V327" i="4"/>
  <c r="R327" i="4"/>
  <c r="N327" i="4"/>
  <c r="J327" i="4"/>
  <c r="F327" i="4"/>
  <c r="AD326" i="4"/>
  <c r="Z326" i="4"/>
  <c r="V326" i="4"/>
  <c r="R326" i="4"/>
  <c r="N326" i="4"/>
  <c r="J326" i="4"/>
  <c r="F326" i="4"/>
  <c r="AA171" i="11"/>
  <c r="AB171" i="11"/>
  <c r="AG171" i="11"/>
  <c r="AA172" i="11"/>
  <c r="AB172" i="11"/>
  <c r="AG172" i="11"/>
  <c r="AA173" i="11"/>
  <c r="AB173" i="11"/>
  <c r="AG173" i="11"/>
  <c r="AA174" i="11"/>
  <c r="AB174" i="11"/>
  <c r="AG174" i="11"/>
  <c r="AA175" i="11"/>
  <c r="AB175" i="11"/>
  <c r="AB198" i="11"/>
  <c r="AL171" i="11"/>
  <c r="AG175" i="11"/>
  <c r="AA176" i="11"/>
  <c r="AB176" i="11"/>
  <c r="AG176" i="11"/>
  <c r="AA177" i="11"/>
  <c r="AB177" i="11"/>
  <c r="AG177" i="11"/>
  <c r="AA178" i="11"/>
  <c r="AB178" i="11"/>
  <c r="AG178" i="11"/>
  <c r="AA179" i="11"/>
  <c r="AB179" i="11"/>
  <c r="AG179" i="11"/>
  <c r="AA180" i="11"/>
  <c r="AB180" i="11"/>
  <c r="AG180" i="11"/>
  <c r="AA181" i="11"/>
  <c r="AB181" i="11"/>
  <c r="AG181" i="11"/>
  <c r="AA182" i="11"/>
  <c r="AB182" i="11"/>
  <c r="AG182" i="11"/>
  <c r="AA183" i="11"/>
  <c r="AB183" i="11"/>
  <c r="AG183" i="11"/>
  <c r="AA184" i="11"/>
  <c r="AB184" i="11"/>
  <c r="AG184" i="11"/>
  <c r="AA185" i="11"/>
  <c r="AB185" i="11"/>
  <c r="AG185" i="11"/>
  <c r="AA186" i="11"/>
  <c r="AB186" i="11"/>
  <c r="AG186" i="11"/>
  <c r="AA187" i="11"/>
  <c r="AB187" i="11"/>
  <c r="AG187" i="11"/>
  <c r="AA188" i="11"/>
  <c r="AB188" i="11"/>
  <c r="AG188" i="11"/>
  <c r="AA189" i="11"/>
  <c r="AB189" i="11"/>
  <c r="AG189" i="11"/>
  <c r="AA190" i="11"/>
  <c r="AB190" i="11"/>
  <c r="AG190" i="11"/>
  <c r="AA192" i="11"/>
  <c r="AB192" i="11"/>
  <c r="AG192" i="11"/>
  <c r="AA193" i="11"/>
  <c r="AB193" i="11"/>
  <c r="AG193" i="11"/>
  <c r="AA194" i="11"/>
  <c r="AB194" i="11"/>
  <c r="AG194" i="11"/>
  <c r="AA195" i="11"/>
  <c r="AB195" i="11"/>
  <c r="AG195" i="11"/>
  <c r="AA196" i="11"/>
  <c r="AB196" i="11"/>
  <c r="AG196" i="11"/>
  <c r="AA199" i="11"/>
  <c r="AB199" i="11"/>
  <c r="AG199" i="11"/>
  <c r="AA200" i="11"/>
  <c r="AB200" i="11"/>
  <c r="AL175" i="11"/>
  <c r="AA201" i="11"/>
  <c r="AA202" i="11"/>
  <c r="AL173" i="11"/>
  <c r="AB201" i="11"/>
  <c r="E202" i="11"/>
  <c r="O202" i="11"/>
  <c r="T202" i="11"/>
  <c r="Y202" i="11"/>
  <c r="C203" i="11"/>
  <c r="AL176" i="11"/>
  <c r="G78" i="9"/>
  <c r="G75" i="9"/>
  <c r="G76" i="9"/>
  <c r="G77" i="9"/>
  <c r="G79" i="9"/>
  <c r="G74" i="9"/>
  <c r="AB202" i="11"/>
  <c r="AL174" i="11"/>
  <c r="Y78" i="11"/>
  <c r="C85" i="11"/>
  <c r="AB54" i="11"/>
  <c r="Z78" i="11"/>
  <c r="AA60" i="11"/>
  <c r="AA61" i="11"/>
  <c r="AA62" i="11"/>
  <c r="AA63" i="11"/>
  <c r="AA64" i="11"/>
  <c r="AA65" i="11"/>
  <c r="AA66" i="11"/>
  <c r="AA67" i="11"/>
  <c r="AA68" i="11"/>
  <c r="AA69" i="11"/>
  <c r="AA70" i="11"/>
  <c r="AA71" i="11"/>
  <c r="AA72" i="11"/>
  <c r="AA73" i="11"/>
  <c r="AA74" i="11"/>
  <c r="AA75" i="11"/>
  <c r="AA76" i="11"/>
  <c r="AA77" i="11"/>
  <c r="AA36" i="11"/>
  <c r="AG156" i="11"/>
  <c r="AB156" i="11"/>
  <c r="AA156" i="11"/>
  <c r="AG155" i="11"/>
  <c r="AB155" i="11"/>
  <c r="AA155" i="11"/>
  <c r="AG154" i="11"/>
  <c r="AB154" i="11"/>
  <c r="AA154" i="11"/>
  <c r="AG153" i="11"/>
  <c r="AB153" i="11"/>
  <c r="AA153" i="11"/>
  <c r="AG151" i="11"/>
  <c r="AB151" i="11"/>
  <c r="AA151" i="11"/>
  <c r="AG150" i="11"/>
  <c r="AB150" i="11"/>
  <c r="AA150" i="11"/>
  <c r="AG149" i="11"/>
  <c r="AB149" i="11"/>
  <c r="AA149" i="11"/>
  <c r="AG148" i="11"/>
  <c r="AB148" i="11"/>
  <c r="AA148" i="11"/>
  <c r="AG147" i="11"/>
  <c r="AB147" i="11"/>
  <c r="AA147" i="11"/>
  <c r="AG146" i="11"/>
  <c r="AB146" i="11"/>
  <c r="AA146" i="11"/>
  <c r="AG145" i="11"/>
  <c r="AB145" i="11"/>
  <c r="AA145" i="11"/>
  <c r="AG144" i="11"/>
  <c r="AB144" i="11"/>
  <c r="AA144" i="11"/>
  <c r="AG143" i="11"/>
  <c r="AB143" i="11"/>
  <c r="AA143" i="11"/>
  <c r="AG142" i="11"/>
  <c r="AB142" i="11"/>
  <c r="AA142" i="11"/>
  <c r="AG141" i="11"/>
  <c r="AB141" i="11"/>
  <c r="AA141" i="11"/>
  <c r="AG140" i="11"/>
  <c r="AB140" i="11"/>
  <c r="AA140" i="11"/>
  <c r="AG139" i="11"/>
  <c r="AB139" i="11"/>
  <c r="AA139" i="11"/>
  <c r="AG138" i="11"/>
  <c r="AB138" i="11"/>
  <c r="AA138" i="11"/>
  <c r="AA157" i="11"/>
  <c r="AL130" i="11"/>
  <c r="AG137" i="11"/>
  <c r="AB137" i="11"/>
  <c r="AA137" i="11"/>
  <c r="AG136" i="11"/>
  <c r="AB136" i="11"/>
  <c r="AA136" i="11"/>
  <c r="AG135" i="11"/>
  <c r="AB135" i="11"/>
  <c r="AA135" i="11"/>
  <c r="AG134" i="11"/>
  <c r="AB134" i="11"/>
  <c r="AA134" i="11"/>
  <c r="AG133" i="11"/>
  <c r="AB133" i="11"/>
  <c r="AA133" i="11"/>
  <c r="AG132" i="11"/>
  <c r="AG157" i="11"/>
  <c r="AL132" i="11"/>
  <c r="AB132" i="11"/>
  <c r="AA132" i="11"/>
  <c r="AG131" i="11"/>
  <c r="AB131" i="11"/>
  <c r="AA131" i="11"/>
  <c r="R298" i="4"/>
  <c r="AF298" i="4"/>
  <c r="AA53" i="11"/>
  <c r="C163" i="11"/>
  <c r="AL136" i="11"/>
  <c r="Y162" i="11"/>
  <c r="T162" i="11"/>
  <c r="O162" i="11"/>
  <c r="AB161" i="11"/>
  <c r="AA161" i="11"/>
  <c r="AG160" i="11"/>
  <c r="AG162" i="11"/>
  <c r="AL135" i="11"/>
  <c r="AB160" i="11"/>
  <c r="AA160" i="11"/>
  <c r="AG159" i="11"/>
  <c r="AB159" i="11"/>
  <c r="AA159" i="11"/>
  <c r="AB158" i="11"/>
  <c r="AA158" i="11"/>
  <c r="AA162" i="11"/>
  <c r="AL133" i="11"/>
  <c r="Z157" i="11"/>
  <c r="Y157" i="11"/>
  <c r="U157" i="11"/>
  <c r="T157" i="11"/>
  <c r="P157" i="11"/>
  <c r="O157" i="11"/>
  <c r="K157" i="11"/>
  <c r="J157" i="11"/>
  <c r="F157" i="11"/>
  <c r="E157" i="11"/>
  <c r="AL97" i="11"/>
  <c r="Y122" i="11"/>
  <c r="T122" i="11"/>
  <c r="O122" i="11"/>
  <c r="J122" i="11"/>
  <c r="E122" i="11"/>
  <c r="AB121" i="11"/>
  <c r="AA121" i="11"/>
  <c r="AG120" i="11"/>
  <c r="AG122" i="11"/>
  <c r="AL96" i="11"/>
  <c r="AB120" i="11"/>
  <c r="AA120" i="11"/>
  <c r="AG119" i="11"/>
  <c r="AB119" i="11"/>
  <c r="AA119" i="11"/>
  <c r="AB118" i="11"/>
  <c r="AA118" i="11"/>
  <c r="Z117" i="11"/>
  <c r="Y117" i="11"/>
  <c r="U117" i="11"/>
  <c r="T117" i="11"/>
  <c r="P117" i="11"/>
  <c r="O117" i="11"/>
  <c r="K117" i="11"/>
  <c r="J117" i="11"/>
  <c r="F117" i="11"/>
  <c r="E117" i="11"/>
  <c r="AG96" i="11"/>
  <c r="AB96" i="11"/>
  <c r="AA96" i="11"/>
  <c r="AG97" i="11"/>
  <c r="AB97" i="11"/>
  <c r="AA97" i="11"/>
  <c r="AG116" i="11"/>
  <c r="AB116" i="11"/>
  <c r="AA116" i="11"/>
  <c r="AG115" i="11"/>
  <c r="AB115" i="11"/>
  <c r="AA115" i="11"/>
  <c r="AG95" i="11"/>
  <c r="AB95" i="11"/>
  <c r="AA95" i="11"/>
  <c r="AG114" i="11"/>
  <c r="AB114" i="11"/>
  <c r="AA114" i="11"/>
  <c r="AG113" i="11"/>
  <c r="AB113" i="11"/>
  <c r="AA113" i="11"/>
  <c r="AG112" i="11"/>
  <c r="AB112" i="11"/>
  <c r="AA112" i="11"/>
  <c r="AG111" i="11"/>
  <c r="AB111" i="11"/>
  <c r="AA111" i="11"/>
  <c r="AG110" i="11"/>
  <c r="AB110" i="11"/>
  <c r="AA110" i="11"/>
  <c r="AG109" i="11"/>
  <c r="AB109" i="11"/>
  <c r="AA109" i="11"/>
  <c r="AG108" i="11"/>
  <c r="AB108" i="11"/>
  <c r="AA108" i="11"/>
  <c r="AG107" i="11"/>
  <c r="AB107" i="11"/>
  <c r="AA107" i="11"/>
  <c r="AG106" i="11"/>
  <c r="AB106" i="11"/>
  <c r="AA106" i="11"/>
  <c r="AG105" i="11"/>
  <c r="AB105" i="11"/>
  <c r="AA105" i="11"/>
  <c r="AG104" i="11"/>
  <c r="AB104" i="11"/>
  <c r="AA104" i="11"/>
  <c r="AG103" i="11"/>
  <c r="AB103" i="11"/>
  <c r="AA103" i="11"/>
  <c r="AG102" i="11"/>
  <c r="AB102" i="11"/>
  <c r="AA102" i="11"/>
  <c r="AG101" i="11"/>
  <c r="AG117" i="11"/>
  <c r="AB101" i="11"/>
  <c r="AA101" i="11"/>
  <c r="AG100" i="11"/>
  <c r="AB100" i="11"/>
  <c r="AA100" i="11"/>
  <c r="AG99" i="11"/>
  <c r="AB99" i="11"/>
  <c r="AA99" i="11"/>
  <c r="AG98" i="11"/>
  <c r="AB98" i="11"/>
  <c r="AA98" i="11"/>
  <c r="AG94" i="11"/>
  <c r="AB94" i="11"/>
  <c r="AA94" i="11"/>
  <c r="AG93" i="11"/>
  <c r="AB93" i="11"/>
  <c r="AB117" i="11"/>
  <c r="AL92" i="11"/>
  <c r="AA93" i="11"/>
  <c r="AG92" i="11"/>
  <c r="AB92" i="11"/>
  <c r="AA92" i="11"/>
  <c r="U78" i="11"/>
  <c r="T78" i="11"/>
  <c r="P78" i="11"/>
  <c r="O78" i="11"/>
  <c r="AB162" i="11"/>
  <c r="AL134" i="11"/>
  <c r="AA122" i="11"/>
  <c r="AL94" i="11"/>
  <c r="AB122" i="11"/>
  <c r="AL95" i="11"/>
  <c r="AL93" i="11"/>
  <c r="E78" i="11"/>
  <c r="J78" i="11"/>
  <c r="AD294" i="4"/>
  <c r="AD297" i="4"/>
  <c r="Z294" i="4"/>
  <c r="Z297" i="4"/>
  <c r="N297" i="4"/>
  <c r="R297" i="4"/>
  <c r="V294" i="4"/>
  <c r="V297" i="4"/>
  <c r="J297" i="4"/>
  <c r="F297" i="4"/>
  <c r="R294" i="4"/>
  <c r="N294" i="4"/>
  <c r="J294" i="4"/>
  <c r="J299" i="4"/>
  <c r="F294" i="4"/>
  <c r="AF294" i="4"/>
  <c r="AG36" i="11"/>
  <c r="AB76" i="11"/>
  <c r="AB77" i="11"/>
  <c r="AG76" i="11"/>
  <c r="AG77" i="11"/>
  <c r="AB73" i="11"/>
  <c r="AG73" i="11"/>
  <c r="G70" i="9"/>
  <c r="G66" i="9"/>
  <c r="G67" i="9"/>
  <c r="G68" i="9"/>
  <c r="G69" i="9"/>
  <c r="G65" i="9"/>
  <c r="C46" i="11"/>
  <c r="Y39" i="11"/>
  <c r="H337" i="4"/>
  <c r="L337" i="4"/>
  <c r="P337" i="4"/>
  <c r="T337" i="4"/>
  <c r="X337" i="4"/>
  <c r="AB337" i="4"/>
  <c r="F339" i="4"/>
  <c r="J339" i="4"/>
  <c r="N339" i="4"/>
  <c r="R339" i="4"/>
  <c r="V339" i="4"/>
  <c r="Z339" i="4"/>
  <c r="AD339" i="4"/>
  <c r="F340" i="4"/>
  <c r="J340" i="4"/>
  <c r="N340" i="4"/>
  <c r="R340" i="4"/>
  <c r="V340" i="4"/>
  <c r="Z340" i="4"/>
  <c r="AD340" i="4"/>
  <c r="F341" i="4"/>
  <c r="J341" i="4"/>
  <c r="N341" i="4"/>
  <c r="R341" i="4"/>
  <c r="V341" i="4"/>
  <c r="Z341" i="4"/>
  <c r="AD341" i="4"/>
  <c r="F346" i="4"/>
  <c r="J346" i="4"/>
  <c r="N346" i="4"/>
  <c r="R346" i="4"/>
  <c r="V346" i="4"/>
  <c r="Z346" i="4"/>
  <c r="AD346" i="4"/>
  <c r="F347" i="4"/>
  <c r="J347" i="4"/>
  <c r="N347" i="4"/>
  <c r="R347" i="4"/>
  <c r="V347" i="4"/>
  <c r="Z347" i="4"/>
  <c r="AD347" i="4"/>
  <c r="F352" i="4"/>
  <c r="J352" i="4"/>
  <c r="N352" i="4"/>
  <c r="R352" i="4"/>
  <c r="V352" i="4"/>
  <c r="Z352" i="4"/>
  <c r="AD352" i="4"/>
  <c r="F353" i="4"/>
  <c r="J353" i="4"/>
  <c r="N353" i="4"/>
  <c r="R353" i="4"/>
  <c r="V353" i="4"/>
  <c r="Z353" i="4"/>
  <c r="F354" i="4"/>
  <c r="J354" i="4"/>
  <c r="N354" i="4"/>
  <c r="R354" i="4"/>
  <c r="V354" i="4"/>
  <c r="Z354" i="4"/>
  <c r="AF356" i="4"/>
  <c r="AF357" i="4"/>
  <c r="H316" i="4"/>
  <c r="L316" i="4"/>
  <c r="P316" i="4"/>
  <c r="T316" i="4"/>
  <c r="X316" i="4"/>
  <c r="AB316" i="4"/>
  <c r="F318" i="4"/>
  <c r="J318" i="4"/>
  <c r="N318" i="4"/>
  <c r="R318" i="4"/>
  <c r="V318" i="4"/>
  <c r="Z318" i="4"/>
  <c r="AD318" i="4"/>
  <c r="F319" i="4"/>
  <c r="J319" i="4"/>
  <c r="AF319" i="4"/>
  <c r="N319" i="4"/>
  <c r="R319" i="4"/>
  <c r="V319" i="4"/>
  <c r="Z319" i="4"/>
  <c r="AD319" i="4"/>
  <c r="F320" i="4"/>
  <c r="J320" i="4"/>
  <c r="N320" i="4"/>
  <c r="R320" i="4"/>
  <c r="V320" i="4"/>
  <c r="Z320" i="4"/>
  <c r="AD320" i="4"/>
  <c r="F329" i="4"/>
  <c r="J329" i="4"/>
  <c r="AF329" i="4"/>
  <c r="N329" i="4"/>
  <c r="R329" i="4"/>
  <c r="V329" i="4"/>
  <c r="Z329" i="4"/>
  <c r="AD329" i="4"/>
  <c r="F330" i="4"/>
  <c r="J330" i="4"/>
  <c r="N330" i="4"/>
  <c r="R330" i="4"/>
  <c r="V330" i="4"/>
  <c r="Z330" i="4"/>
  <c r="AD330" i="4"/>
  <c r="F331" i="4"/>
  <c r="J331" i="4"/>
  <c r="N331" i="4"/>
  <c r="R331" i="4"/>
  <c r="V331" i="4"/>
  <c r="Z331" i="4"/>
  <c r="AD331" i="4"/>
  <c r="F332" i="4"/>
  <c r="J332" i="4"/>
  <c r="N332" i="4"/>
  <c r="R332" i="4"/>
  <c r="V332" i="4"/>
  <c r="Z332" i="4"/>
  <c r="AD332" i="4"/>
  <c r="F333" i="4"/>
  <c r="J333" i="4"/>
  <c r="N333" i="4"/>
  <c r="R333" i="4"/>
  <c r="V333" i="4"/>
  <c r="Z333" i="4"/>
  <c r="AD333" i="4"/>
  <c r="AF335" i="4"/>
  <c r="AF336" i="4"/>
  <c r="H303" i="4"/>
  <c r="L303" i="4"/>
  <c r="P303" i="4"/>
  <c r="T303" i="4"/>
  <c r="X303" i="4"/>
  <c r="AB303" i="4"/>
  <c r="F305" i="4"/>
  <c r="J305" i="4"/>
  <c r="AF305" i="4"/>
  <c r="N305" i="4"/>
  <c r="R305" i="4"/>
  <c r="V305" i="4"/>
  <c r="Z305" i="4"/>
  <c r="AD305" i="4"/>
  <c r="F306" i="4"/>
  <c r="J306" i="4"/>
  <c r="N306" i="4"/>
  <c r="R306" i="4"/>
  <c r="V306" i="4"/>
  <c r="Z306" i="4"/>
  <c r="AD306" i="4"/>
  <c r="F307" i="4"/>
  <c r="J307" i="4"/>
  <c r="N307" i="4"/>
  <c r="R307" i="4"/>
  <c r="V307" i="4"/>
  <c r="Z307" i="4"/>
  <c r="AD307" i="4"/>
  <c r="F308" i="4"/>
  <c r="J308" i="4"/>
  <c r="N308" i="4"/>
  <c r="R308" i="4"/>
  <c r="V308" i="4"/>
  <c r="Z308" i="4"/>
  <c r="AD308" i="4"/>
  <c r="F309" i="4"/>
  <c r="J309" i="4"/>
  <c r="N309" i="4"/>
  <c r="R309" i="4"/>
  <c r="V309" i="4"/>
  <c r="Z309" i="4"/>
  <c r="AD309" i="4"/>
  <c r="F310" i="4"/>
  <c r="J310" i="4"/>
  <c r="N310" i="4"/>
  <c r="R310" i="4"/>
  <c r="V310" i="4"/>
  <c r="Z310" i="4"/>
  <c r="AD310" i="4"/>
  <c r="F311" i="4"/>
  <c r="J311" i="4"/>
  <c r="N311" i="4"/>
  <c r="R311" i="4"/>
  <c r="V311" i="4"/>
  <c r="Z311" i="4"/>
  <c r="AD311" i="4"/>
  <c r="F312" i="4"/>
  <c r="J312" i="4"/>
  <c r="N312" i="4"/>
  <c r="R312" i="4"/>
  <c r="V312" i="4"/>
  <c r="Z312" i="4"/>
  <c r="AD312" i="4"/>
  <c r="AF314" i="4"/>
  <c r="AF315" i="4"/>
  <c r="H285" i="4"/>
  <c r="L285" i="4"/>
  <c r="P285" i="4"/>
  <c r="T285" i="4"/>
  <c r="X285" i="4"/>
  <c r="AB285" i="4"/>
  <c r="F287" i="4"/>
  <c r="J287" i="4"/>
  <c r="N287" i="4"/>
  <c r="R287" i="4"/>
  <c r="V287" i="4"/>
  <c r="Z287" i="4"/>
  <c r="AD287" i="4"/>
  <c r="F288" i="4"/>
  <c r="J288" i="4"/>
  <c r="N288" i="4"/>
  <c r="R288" i="4"/>
  <c r="V288" i="4"/>
  <c r="Z288" i="4"/>
  <c r="AD288" i="4"/>
  <c r="F289" i="4"/>
  <c r="J289" i="4"/>
  <c r="AF289" i="4"/>
  <c r="N289" i="4"/>
  <c r="R289" i="4"/>
  <c r="V289" i="4"/>
  <c r="Z289" i="4"/>
  <c r="AD289" i="4"/>
  <c r="F290" i="4"/>
  <c r="J290" i="4"/>
  <c r="N290" i="4"/>
  <c r="R290" i="4"/>
  <c r="V290" i="4"/>
  <c r="Z290" i="4"/>
  <c r="AD290" i="4"/>
  <c r="F291" i="4"/>
  <c r="J291" i="4"/>
  <c r="N291" i="4"/>
  <c r="AF291" i="4"/>
  <c r="R291" i="4"/>
  <c r="V291" i="4"/>
  <c r="Z291" i="4"/>
  <c r="AD291" i="4"/>
  <c r="F292" i="4"/>
  <c r="J292" i="4"/>
  <c r="N292" i="4"/>
  <c r="R292" i="4"/>
  <c r="V292" i="4"/>
  <c r="Z292" i="4"/>
  <c r="AD292" i="4"/>
  <c r="F293" i="4"/>
  <c r="J293" i="4"/>
  <c r="N293" i="4"/>
  <c r="R293" i="4"/>
  <c r="V293" i="4"/>
  <c r="AF293" i="4"/>
  <c r="Z293" i="4"/>
  <c r="AD293" i="4"/>
  <c r="F299" i="4"/>
  <c r="N299" i="4"/>
  <c r="R299" i="4"/>
  <c r="V299" i="4"/>
  <c r="Z299" i="4"/>
  <c r="AD299" i="4"/>
  <c r="AF301" i="4"/>
  <c r="AF302" i="4"/>
  <c r="H272" i="4"/>
  <c r="L272" i="4"/>
  <c r="P272" i="4"/>
  <c r="T272" i="4"/>
  <c r="X272" i="4"/>
  <c r="AB272" i="4"/>
  <c r="F274" i="4"/>
  <c r="J274" i="4"/>
  <c r="N274" i="4"/>
  <c r="R274" i="4"/>
  <c r="V274" i="4"/>
  <c r="Z274" i="4"/>
  <c r="AD274" i="4"/>
  <c r="F275" i="4"/>
  <c r="J275" i="4"/>
  <c r="N275" i="4"/>
  <c r="R275" i="4"/>
  <c r="V275" i="4"/>
  <c r="Z275" i="4"/>
  <c r="AD275" i="4"/>
  <c r="F276" i="4"/>
  <c r="J276" i="4"/>
  <c r="N276" i="4"/>
  <c r="R276" i="4"/>
  <c r="V276" i="4"/>
  <c r="Z276" i="4"/>
  <c r="AD276" i="4"/>
  <c r="F277" i="4"/>
  <c r="J277" i="4"/>
  <c r="N277" i="4"/>
  <c r="R277" i="4"/>
  <c r="V277" i="4"/>
  <c r="Z277" i="4"/>
  <c r="AD277" i="4"/>
  <c r="F278" i="4"/>
  <c r="J278" i="4"/>
  <c r="N278" i="4"/>
  <c r="AF278" i="4"/>
  <c r="R278" i="4"/>
  <c r="V278" i="4"/>
  <c r="Z278" i="4"/>
  <c r="AD278" i="4"/>
  <c r="F279" i="4"/>
  <c r="J279" i="4"/>
  <c r="N279" i="4"/>
  <c r="R279" i="4"/>
  <c r="V279" i="4"/>
  <c r="Z279" i="4"/>
  <c r="AD279" i="4"/>
  <c r="F280" i="4"/>
  <c r="J280" i="4"/>
  <c r="N280" i="4"/>
  <c r="R280" i="4"/>
  <c r="V280" i="4"/>
  <c r="Z280" i="4"/>
  <c r="AD280" i="4"/>
  <c r="F281" i="4"/>
  <c r="J281" i="4"/>
  <c r="N281" i="4"/>
  <c r="R281" i="4"/>
  <c r="V281" i="4"/>
  <c r="Z281" i="4"/>
  <c r="AD281" i="4"/>
  <c r="AF283" i="4"/>
  <c r="AF284" i="4"/>
  <c r="C47" i="11"/>
  <c r="G60" i="9"/>
  <c r="G61" i="9"/>
  <c r="T485" i="2"/>
  <c r="U9" i="9"/>
  <c r="U8" i="9"/>
  <c r="C45" i="11"/>
  <c r="C493" i="2"/>
  <c r="C492" i="2"/>
  <c r="Y83" i="11"/>
  <c r="T83" i="11"/>
  <c r="O83" i="11"/>
  <c r="J83" i="11"/>
  <c r="E83" i="11"/>
  <c r="AB82" i="11"/>
  <c r="AA82" i="11"/>
  <c r="AG81" i="11"/>
  <c r="AG83" i="11"/>
  <c r="AB81" i="11"/>
  <c r="AA81" i="11"/>
  <c r="AG80" i="11"/>
  <c r="AB80" i="11"/>
  <c r="AA80" i="11"/>
  <c r="AB79" i="11"/>
  <c r="AA79" i="11"/>
  <c r="K78" i="11"/>
  <c r="F78" i="11"/>
  <c r="AG75" i="11"/>
  <c r="AB75" i="11"/>
  <c r="AG74" i="11"/>
  <c r="AB74" i="11"/>
  <c r="AG72" i="11"/>
  <c r="AB72" i="11"/>
  <c r="AG71" i="11"/>
  <c r="AB71" i="11"/>
  <c r="AG70" i="11"/>
  <c r="AB70" i="11"/>
  <c r="AG69" i="11"/>
  <c r="AB69" i="11"/>
  <c r="AG68" i="11"/>
  <c r="AB68" i="11"/>
  <c r="AG67" i="11"/>
  <c r="AB67" i="11"/>
  <c r="AG66" i="11"/>
  <c r="AB66" i="11"/>
  <c r="AG65" i="11"/>
  <c r="AB65" i="11"/>
  <c r="AG64" i="11"/>
  <c r="AB64" i="11"/>
  <c r="AG63" i="11"/>
  <c r="AB63" i="11"/>
  <c r="AG62" i="11"/>
  <c r="AB62" i="11"/>
  <c r="AG61" i="11"/>
  <c r="AB61" i="11"/>
  <c r="AG60" i="11"/>
  <c r="AB60" i="11"/>
  <c r="AG59" i="11"/>
  <c r="AB59" i="11"/>
  <c r="AA59" i="11"/>
  <c r="AG58" i="11"/>
  <c r="AB58" i="11"/>
  <c r="AA58" i="11"/>
  <c r="AG57" i="11"/>
  <c r="AB57" i="11"/>
  <c r="AA57" i="11"/>
  <c r="AG56" i="11"/>
  <c r="AB56" i="11"/>
  <c r="AA56" i="11"/>
  <c r="AG55" i="11"/>
  <c r="AB55" i="11"/>
  <c r="AA55" i="11"/>
  <c r="AG54" i="11"/>
  <c r="AA54" i="11"/>
  <c r="AG53" i="11"/>
  <c r="AG78" i="11"/>
  <c r="AB53" i="11"/>
  <c r="AA13" i="11"/>
  <c r="AB13" i="11"/>
  <c r="AG13" i="11"/>
  <c r="AA14" i="11"/>
  <c r="AB14" i="11"/>
  <c r="AG14" i="11"/>
  <c r="AA15" i="11"/>
  <c r="AB15" i="11"/>
  <c r="AG15" i="11"/>
  <c r="AA16" i="11"/>
  <c r="AB16" i="11"/>
  <c r="AG16" i="11"/>
  <c r="AA17" i="11"/>
  <c r="AB17" i="11"/>
  <c r="AG17" i="11"/>
  <c r="AA18" i="11"/>
  <c r="AB18" i="11"/>
  <c r="AG18" i="11"/>
  <c r="AA19" i="11"/>
  <c r="AB19" i="11"/>
  <c r="AG19" i="11"/>
  <c r="AA20" i="11"/>
  <c r="AB20" i="11"/>
  <c r="AG20" i="11"/>
  <c r="AA21" i="11"/>
  <c r="AB21" i="11"/>
  <c r="AG21" i="11"/>
  <c r="AA22" i="11"/>
  <c r="AB22" i="11"/>
  <c r="AG22" i="11"/>
  <c r="AA23" i="11"/>
  <c r="AB23" i="11"/>
  <c r="AG23" i="11"/>
  <c r="AA24" i="11"/>
  <c r="AB24" i="11"/>
  <c r="AG24" i="11"/>
  <c r="AA25" i="11"/>
  <c r="AB25" i="11"/>
  <c r="AG25" i="11"/>
  <c r="AA26" i="11"/>
  <c r="AB26" i="11"/>
  <c r="AG26" i="11"/>
  <c r="AA27" i="11"/>
  <c r="AB27" i="11"/>
  <c r="AG27" i="11"/>
  <c r="AA28" i="11"/>
  <c r="AB28" i="11"/>
  <c r="AG28" i="11"/>
  <c r="AA29" i="11"/>
  <c r="AB29" i="11"/>
  <c r="AG29" i="11"/>
  <c r="AA30" i="11"/>
  <c r="AB30" i="11"/>
  <c r="AG30" i="11"/>
  <c r="AA31" i="11"/>
  <c r="AB31" i="11"/>
  <c r="AG31" i="11"/>
  <c r="AA32" i="11"/>
  <c r="AB32" i="11"/>
  <c r="AG32" i="11"/>
  <c r="AA33" i="11"/>
  <c r="AB33" i="11"/>
  <c r="AG33" i="11"/>
  <c r="AA34" i="11"/>
  <c r="AB34" i="11"/>
  <c r="AG34" i="11"/>
  <c r="AA35" i="11"/>
  <c r="AB35" i="11"/>
  <c r="AG35" i="11"/>
  <c r="AA37" i="11"/>
  <c r="AB37" i="11"/>
  <c r="AG37" i="11"/>
  <c r="AA38" i="11"/>
  <c r="AB38" i="11"/>
  <c r="AG38" i="11"/>
  <c r="E39" i="11"/>
  <c r="F39" i="11"/>
  <c r="J39" i="11"/>
  <c r="K39" i="11"/>
  <c r="O39" i="11"/>
  <c r="P39" i="11"/>
  <c r="T39" i="11"/>
  <c r="U39" i="11"/>
  <c r="Z39" i="11"/>
  <c r="AA40" i="11"/>
  <c r="AB40" i="11"/>
  <c r="AA41" i="11"/>
  <c r="AB41" i="11"/>
  <c r="AG41" i="11"/>
  <c r="AA42" i="11"/>
  <c r="AB42" i="11"/>
  <c r="AG42" i="11"/>
  <c r="AG44" i="11"/>
  <c r="AL17" i="11"/>
  <c r="AA43" i="11"/>
  <c r="AB43" i="11"/>
  <c r="E44" i="11"/>
  <c r="J44" i="11"/>
  <c r="O44" i="11"/>
  <c r="T44" i="11"/>
  <c r="Y44" i="11"/>
  <c r="E485" i="2"/>
  <c r="AG482" i="2"/>
  <c r="AB482" i="2"/>
  <c r="AA482" i="2"/>
  <c r="AA483" i="2"/>
  <c r="AB483" i="2"/>
  <c r="AA484" i="2"/>
  <c r="AB484" i="2"/>
  <c r="AG483" i="2"/>
  <c r="AG472" i="2"/>
  <c r="AG473" i="2"/>
  <c r="AG474" i="2"/>
  <c r="AG475" i="2"/>
  <c r="AG476" i="2"/>
  <c r="AG477" i="2"/>
  <c r="AG478" i="2"/>
  <c r="AG479" i="2"/>
  <c r="AG480" i="2"/>
  <c r="AG481" i="2"/>
  <c r="AG484" i="2"/>
  <c r="U7" i="9"/>
  <c r="S8" i="9"/>
  <c r="Y449" i="2"/>
  <c r="T449" i="2"/>
  <c r="O449" i="2"/>
  <c r="J449" i="2"/>
  <c r="AD268" i="4"/>
  <c r="Z268" i="4"/>
  <c r="V268" i="4"/>
  <c r="R268" i="4"/>
  <c r="N268" i="4"/>
  <c r="J268" i="4"/>
  <c r="F268" i="4"/>
  <c r="AD267" i="4"/>
  <c r="Z267" i="4"/>
  <c r="V267" i="4"/>
  <c r="R267" i="4"/>
  <c r="N267" i="4"/>
  <c r="J267" i="4"/>
  <c r="F267" i="4"/>
  <c r="AD266" i="4"/>
  <c r="Z266" i="4"/>
  <c r="V266" i="4"/>
  <c r="R266" i="4"/>
  <c r="N266" i="4"/>
  <c r="J266" i="4"/>
  <c r="F266" i="4"/>
  <c r="AD265" i="4"/>
  <c r="Z265" i="4"/>
  <c r="V265" i="4"/>
  <c r="R265" i="4"/>
  <c r="N265" i="4"/>
  <c r="J265" i="4"/>
  <c r="AF265" i="4"/>
  <c r="F265" i="4"/>
  <c r="AD264" i="4"/>
  <c r="Z264" i="4"/>
  <c r="V264" i="4"/>
  <c r="R264" i="4"/>
  <c r="N264" i="4"/>
  <c r="J264" i="4"/>
  <c r="F264" i="4"/>
  <c r="AD263" i="4"/>
  <c r="Z263" i="4"/>
  <c r="V263" i="4"/>
  <c r="R263" i="4"/>
  <c r="N263" i="4"/>
  <c r="J263" i="4"/>
  <c r="F263" i="4"/>
  <c r="AD262" i="4"/>
  <c r="Z262" i="4"/>
  <c r="V262" i="4"/>
  <c r="R262" i="4"/>
  <c r="N262" i="4"/>
  <c r="J262" i="4"/>
  <c r="F262" i="4"/>
  <c r="AD261" i="4"/>
  <c r="Z261" i="4"/>
  <c r="V261" i="4"/>
  <c r="R261" i="4"/>
  <c r="N261" i="4"/>
  <c r="J261" i="4"/>
  <c r="F261" i="4"/>
  <c r="AF271" i="4"/>
  <c r="AF270" i="4"/>
  <c r="H259" i="4"/>
  <c r="L259" i="4"/>
  <c r="P259" i="4"/>
  <c r="T259" i="4"/>
  <c r="X259" i="4"/>
  <c r="AB259" i="4"/>
  <c r="G52" i="9"/>
  <c r="C490" i="10"/>
  <c r="Y489" i="10"/>
  <c r="T489" i="10"/>
  <c r="O489" i="10"/>
  <c r="J489" i="10"/>
  <c r="E489" i="10"/>
  <c r="AB488" i="10"/>
  <c r="AA488" i="10"/>
  <c r="AG487" i="10"/>
  <c r="AG489" i="10"/>
  <c r="AL462" i="10"/>
  <c r="AB487" i="10"/>
  <c r="AA487" i="10"/>
  <c r="AG486" i="10"/>
  <c r="AB486" i="10"/>
  <c r="AA486" i="10"/>
  <c r="AB485" i="10"/>
  <c r="AB489" i="10"/>
  <c r="AL461" i="10"/>
  <c r="AA485" i="10"/>
  <c r="AA489" i="10"/>
  <c r="AL460" i="10"/>
  <c r="Z484" i="10"/>
  <c r="Y484" i="10"/>
  <c r="U484" i="10"/>
  <c r="T484" i="10"/>
  <c r="P484" i="10"/>
  <c r="O484" i="10"/>
  <c r="K484" i="10"/>
  <c r="J484" i="10"/>
  <c r="F484" i="10"/>
  <c r="E484" i="10"/>
  <c r="AG482" i="10"/>
  <c r="AB482" i="10"/>
  <c r="AA482" i="10"/>
  <c r="AG481" i="10"/>
  <c r="AB481" i="10"/>
  <c r="AA481" i="10"/>
  <c r="AG480" i="10"/>
  <c r="AB480" i="10"/>
  <c r="AA480" i="10"/>
  <c r="AG479" i="10"/>
  <c r="AB479" i="10"/>
  <c r="AA479" i="10"/>
  <c r="AG478" i="10"/>
  <c r="AB478" i="10"/>
  <c r="AA478" i="10"/>
  <c r="AG477" i="10"/>
  <c r="AB477" i="10"/>
  <c r="AA477" i="10"/>
  <c r="AB476" i="10"/>
  <c r="AA476" i="10"/>
  <c r="AG475" i="10"/>
  <c r="AB475" i="10"/>
  <c r="AA475" i="10"/>
  <c r="AG474" i="10"/>
  <c r="AB474" i="10"/>
  <c r="AA474" i="10"/>
  <c r="AG473" i="10"/>
  <c r="AB473" i="10"/>
  <c r="AA473" i="10"/>
  <c r="AG472" i="10"/>
  <c r="AB472" i="10"/>
  <c r="AA472" i="10"/>
  <c r="AG471" i="10"/>
  <c r="AB471" i="10"/>
  <c r="AA471" i="10"/>
  <c r="AG470" i="10"/>
  <c r="AB470" i="10"/>
  <c r="AA470" i="10"/>
  <c r="AG469" i="10"/>
  <c r="AB469" i="10"/>
  <c r="AA469" i="10"/>
  <c r="AG468" i="10"/>
  <c r="AB468" i="10"/>
  <c r="AA468" i="10"/>
  <c r="AG467" i="10"/>
  <c r="AB467" i="10"/>
  <c r="AA467" i="10"/>
  <c r="AG466" i="10"/>
  <c r="AB466" i="10"/>
  <c r="AA466" i="10"/>
  <c r="AG465" i="10"/>
  <c r="AB465" i="10"/>
  <c r="AA465" i="10"/>
  <c r="AL464" i="10"/>
  <c r="AG464" i="10"/>
  <c r="AB464" i="10"/>
  <c r="AA464" i="10"/>
  <c r="AG463" i="10"/>
  <c r="AB463" i="10"/>
  <c r="AA463" i="10"/>
  <c r="AG462" i="10"/>
  <c r="AB462" i="10"/>
  <c r="AA462" i="10"/>
  <c r="AG461" i="10"/>
  <c r="AB461" i="10"/>
  <c r="AA461" i="10"/>
  <c r="AG460" i="10"/>
  <c r="AB460" i="10"/>
  <c r="AA460" i="10"/>
  <c r="AG459" i="10"/>
  <c r="AB459" i="10"/>
  <c r="AA459" i="10"/>
  <c r="AG458" i="10"/>
  <c r="AB458" i="10"/>
  <c r="AB484" i="10"/>
  <c r="AL458" i="10"/>
  <c r="AA458" i="10"/>
  <c r="C452" i="10"/>
  <c r="C450" i="10"/>
  <c r="Y449" i="10"/>
  <c r="T449" i="10"/>
  <c r="O449" i="10"/>
  <c r="J449" i="10"/>
  <c r="E449" i="10"/>
  <c r="AB448" i="10"/>
  <c r="AA448" i="10"/>
  <c r="AG447" i="10"/>
  <c r="AG449" i="10"/>
  <c r="AL421" i="10"/>
  <c r="AN368" i="10"/>
  <c r="AB447" i="10"/>
  <c r="AA447" i="10"/>
  <c r="AG446" i="10"/>
  <c r="AB446" i="10"/>
  <c r="AB449" i="10"/>
  <c r="AL420" i="10"/>
  <c r="AA446" i="10"/>
  <c r="AB445" i="10"/>
  <c r="AA445" i="10"/>
  <c r="Z444" i="10"/>
  <c r="Y444" i="10"/>
  <c r="U444" i="10"/>
  <c r="T444" i="10"/>
  <c r="P444" i="10"/>
  <c r="O444" i="10"/>
  <c r="K444" i="10"/>
  <c r="J444" i="10"/>
  <c r="F444" i="10"/>
  <c r="E444" i="10"/>
  <c r="AG443" i="10"/>
  <c r="AB443" i="10"/>
  <c r="AA443" i="10"/>
  <c r="AG442" i="10"/>
  <c r="AB442" i="10"/>
  <c r="AA442" i="10"/>
  <c r="AG441" i="10"/>
  <c r="AB441" i="10"/>
  <c r="AA441" i="10"/>
  <c r="AG440" i="10"/>
  <c r="AB440" i="10"/>
  <c r="AA440" i="10"/>
  <c r="AG439" i="10"/>
  <c r="AB439" i="10"/>
  <c r="AA439" i="10"/>
  <c r="AG438" i="10"/>
  <c r="AB438" i="10"/>
  <c r="AA438" i="10"/>
  <c r="AG437" i="10"/>
  <c r="AB437" i="10"/>
  <c r="AA437" i="10"/>
  <c r="AG436" i="10"/>
  <c r="AB436" i="10"/>
  <c r="AA436" i="10"/>
  <c r="AG435" i="10"/>
  <c r="AB435" i="10"/>
  <c r="AA435" i="10"/>
  <c r="AG434" i="10"/>
  <c r="AB434" i="10"/>
  <c r="AA434" i="10"/>
  <c r="AG433" i="10"/>
  <c r="AB433" i="10"/>
  <c r="AA433" i="10"/>
  <c r="AG432" i="10"/>
  <c r="AB432" i="10"/>
  <c r="AA432" i="10"/>
  <c r="AG431" i="10"/>
  <c r="AB431" i="10"/>
  <c r="AA431" i="10"/>
  <c r="AG430" i="10"/>
  <c r="AB430" i="10"/>
  <c r="AA430" i="10"/>
  <c r="AG429" i="10"/>
  <c r="AG444" i="10"/>
  <c r="AB429" i="10"/>
  <c r="AA429" i="10"/>
  <c r="AG428" i="10"/>
  <c r="AB428" i="10"/>
  <c r="AA428" i="10"/>
  <c r="AG427" i="10"/>
  <c r="AB427" i="10"/>
  <c r="AA427" i="10"/>
  <c r="AG426" i="10"/>
  <c r="AB426" i="10"/>
  <c r="AA426" i="10"/>
  <c r="AG425" i="10"/>
  <c r="AB425" i="10"/>
  <c r="AA425" i="10"/>
  <c r="AG424" i="10"/>
  <c r="AB424" i="10"/>
  <c r="AA424" i="10"/>
  <c r="AL423" i="10"/>
  <c r="AG423" i="10"/>
  <c r="AB423" i="10"/>
  <c r="AA423" i="10"/>
  <c r="AG422" i="10"/>
  <c r="AB422" i="10"/>
  <c r="AA422" i="10"/>
  <c r="AG421" i="10"/>
  <c r="AB421" i="10"/>
  <c r="AA421" i="10"/>
  <c r="AG420" i="10"/>
  <c r="AB420" i="10"/>
  <c r="AA420" i="10"/>
  <c r="AG419" i="10"/>
  <c r="AB419" i="10"/>
  <c r="AA419" i="10"/>
  <c r="AG418" i="10"/>
  <c r="AB418" i="10"/>
  <c r="AA418" i="10"/>
  <c r="AG417" i="10"/>
  <c r="AB417" i="10"/>
  <c r="AA417" i="10"/>
  <c r="C411" i="10"/>
  <c r="C410" i="10"/>
  <c r="C409" i="10"/>
  <c r="AL383" i="10"/>
  <c r="AL369" i="10"/>
  <c r="Y408" i="10"/>
  <c r="T408" i="10"/>
  <c r="O408" i="10"/>
  <c r="J408" i="10"/>
  <c r="E408" i="10"/>
  <c r="AB407" i="10"/>
  <c r="AA407" i="10"/>
  <c r="AB406" i="10"/>
  <c r="AA406" i="10"/>
  <c r="AG405" i="10"/>
  <c r="AB405" i="10"/>
  <c r="AA405" i="10"/>
  <c r="AB404" i="10"/>
  <c r="AA404" i="10"/>
  <c r="AA408" i="10"/>
  <c r="AL379" i="10"/>
  <c r="AL368" i="10"/>
  <c r="Z403" i="10"/>
  <c r="Y403" i="10"/>
  <c r="U403" i="10"/>
  <c r="T403" i="10"/>
  <c r="P403" i="10"/>
  <c r="O403" i="10"/>
  <c r="K403" i="10"/>
  <c r="J403" i="10"/>
  <c r="F403" i="10"/>
  <c r="E403" i="10"/>
  <c r="AG402" i="10"/>
  <c r="AB402" i="10"/>
  <c r="AA402" i="10"/>
  <c r="AG401" i="10"/>
  <c r="AB401" i="10"/>
  <c r="AA401" i="10"/>
  <c r="AG400" i="10"/>
  <c r="AB400" i="10"/>
  <c r="AA400" i="10"/>
  <c r="AG399" i="10"/>
  <c r="AB399" i="10"/>
  <c r="AA399" i="10"/>
  <c r="AG398" i="10"/>
  <c r="AB398" i="10"/>
  <c r="AA398" i="10"/>
  <c r="AG397" i="10"/>
  <c r="AB397" i="10"/>
  <c r="AA397" i="10"/>
  <c r="AG396" i="10"/>
  <c r="AB396" i="10"/>
  <c r="AA396" i="10"/>
  <c r="AG395" i="10"/>
  <c r="AB395" i="10"/>
  <c r="AA395" i="10"/>
  <c r="AG394" i="10"/>
  <c r="AB394" i="10"/>
  <c r="AA394" i="10"/>
  <c r="AG393" i="10"/>
  <c r="AB393" i="10"/>
  <c r="AA393" i="10"/>
  <c r="AG392" i="10"/>
  <c r="AB392" i="10"/>
  <c r="AA392" i="10"/>
  <c r="AG391" i="10"/>
  <c r="AB391" i="10"/>
  <c r="AA391" i="10"/>
  <c r="AG390" i="10"/>
  <c r="AB390" i="10"/>
  <c r="AA390" i="10"/>
  <c r="AG389" i="10"/>
  <c r="AB389" i="10"/>
  <c r="AA389" i="10"/>
  <c r="AG388" i="10"/>
  <c r="AB388" i="10"/>
  <c r="AA388" i="10"/>
  <c r="AG387" i="10"/>
  <c r="AB387" i="10"/>
  <c r="AA387" i="10"/>
  <c r="AG386" i="10"/>
  <c r="AB386" i="10"/>
  <c r="AA386" i="10"/>
  <c r="AG385" i="10"/>
  <c r="AB385" i="10"/>
  <c r="AA385" i="10"/>
  <c r="AG384" i="10"/>
  <c r="AB384" i="10"/>
  <c r="AA384" i="10"/>
  <c r="AG383" i="10"/>
  <c r="AB383" i="10"/>
  <c r="AA383" i="10"/>
  <c r="AL382" i="10"/>
  <c r="AG382" i="10"/>
  <c r="AB382" i="10"/>
  <c r="AA382" i="10"/>
  <c r="AL381" i="10"/>
  <c r="AG381" i="10"/>
  <c r="AB381" i="10"/>
  <c r="AA381" i="10"/>
  <c r="AG380" i="10"/>
  <c r="AB380" i="10"/>
  <c r="AA380" i="10"/>
  <c r="AG379" i="10"/>
  <c r="AB379" i="10"/>
  <c r="AA379" i="10"/>
  <c r="AG378" i="10"/>
  <c r="AB378" i="10"/>
  <c r="AA378" i="10"/>
  <c r="AG377" i="10"/>
  <c r="AB377" i="10"/>
  <c r="AB403" i="10"/>
  <c r="AL377" i="10"/>
  <c r="AA377" i="10"/>
  <c r="AA403" i="10"/>
  <c r="AL376" i="10"/>
  <c r="C371" i="10"/>
  <c r="C369" i="10"/>
  <c r="AL342" i="10"/>
  <c r="C370" i="10"/>
  <c r="Y368" i="10"/>
  <c r="T368" i="10"/>
  <c r="O368" i="10"/>
  <c r="J368" i="10"/>
  <c r="E368" i="10"/>
  <c r="AB367" i="10"/>
  <c r="AA367" i="10"/>
  <c r="AG366" i="10"/>
  <c r="AG368" i="10"/>
  <c r="AL341" i="10"/>
  <c r="AB366" i="10"/>
  <c r="AA366" i="10"/>
  <c r="AG365" i="10"/>
  <c r="AB365" i="10"/>
  <c r="AA365" i="10"/>
  <c r="AM364" i="10"/>
  <c r="AL364" i="10"/>
  <c r="AB364" i="10"/>
  <c r="AA364" i="10"/>
  <c r="AA368" i="10"/>
  <c r="AL340" i="10"/>
  <c r="Z363" i="10"/>
  <c r="Y363" i="10"/>
  <c r="U363" i="10"/>
  <c r="T363" i="10"/>
  <c r="P363" i="10"/>
  <c r="O363" i="10"/>
  <c r="K363" i="10"/>
  <c r="AM363" i="10"/>
  <c r="AM367" i="10"/>
  <c r="J363" i="10"/>
  <c r="AL363" i="10"/>
  <c r="F363" i="10"/>
  <c r="E363" i="10"/>
  <c r="AG362" i="10"/>
  <c r="AB362" i="10"/>
  <c r="AA362" i="10"/>
  <c r="AG361" i="10"/>
  <c r="AB361" i="10"/>
  <c r="AA361" i="10"/>
  <c r="AG360" i="10"/>
  <c r="AB360" i="10"/>
  <c r="AA360" i="10"/>
  <c r="AG359" i="10"/>
  <c r="AB359" i="10"/>
  <c r="AA359" i="10"/>
  <c r="AG358" i="10"/>
  <c r="AB358" i="10"/>
  <c r="AA358" i="10"/>
  <c r="AG357" i="10"/>
  <c r="AB357" i="10"/>
  <c r="AA357" i="10"/>
  <c r="AG356" i="10"/>
  <c r="AB356" i="10"/>
  <c r="AA356" i="10"/>
  <c r="AG355" i="10"/>
  <c r="AB355" i="10"/>
  <c r="AA355" i="10"/>
  <c r="AG354" i="10"/>
  <c r="AB354" i="10"/>
  <c r="AA354" i="10"/>
  <c r="AG353" i="10"/>
  <c r="AB353" i="10"/>
  <c r="AA353" i="10"/>
  <c r="AG352" i="10"/>
  <c r="AB352" i="10"/>
  <c r="AA352" i="10"/>
  <c r="AG351" i="10"/>
  <c r="AB351" i="10"/>
  <c r="AA351" i="10"/>
  <c r="AG350" i="10"/>
  <c r="AB350" i="10"/>
  <c r="AA350" i="10"/>
  <c r="AG349" i="10"/>
  <c r="AB349" i="10"/>
  <c r="AA349" i="10"/>
  <c r="AG348" i="10"/>
  <c r="AB348" i="10"/>
  <c r="AA348" i="10"/>
  <c r="AG347" i="10"/>
  <c r="AB347" i="10"/>
  <c r="AA347" i="10"/>
  <c r="AG346" i="10"/>
  <c r="AB346" i="10"/>
  <c r="AA346" i="10"/>
  <c r="AG345" i="10"/>
  <c r="AB345" i="10"/>
  <c r="AA345" i="10"/>
  <c r="AG344" i="10"/>
  <c r="AB344" i="10"/>
  <c r="AA344" i="10"/>
  <c r="AG343" i="10"/>
  <c r="AB343" i="10"/>
  <c r="AA343" i="10"/>
  <c r="AG342" i="10"/>
  <c r="AB342" i="10"/>
  <c r="AA342" i="10"/>
  <c r="AG341" i="10"/>
  <c r="AB341" i="10"/>
  <c r="AA341" i="10"/>
  <c r="AG340" i="10"/>
  <c r="AB340" i="10"/>
  <c r="AA340" i="10"/>
  <c r="AG339" i="10"/>
  <c r="AB339" i="10"/>
  <c r="AA339" i="10"/>
  <c r="AG338" i="10"/>
  <c r="AB338" i="10"/>
  <c r="AA338" i="10"/>
  <c r="AG337" i="10"/>
  <c r="AB337" i="10"/>
  <c r="AA337" i="10"/>
  <c r="AA363" i="10"/>
  <c r="AL336" i="10"/>
  <c r="C331" i="10"/>
  <c r="C330" i="10"/>
  <c r="Y328" i="10"/>
  <c r="T328" i="10"/>
  <c r="O328" i="10"/>
  <c r="J328" i="10"/>
  <c r="E328" i="10"/>
  <c r="AB327" i="10"/>
  <c r="AB328" i="10"/>
  <c r="AL300" i="10"/>
  <c r="AA327" i="10"/>
  <c r="AG326" i="10"/>
  <c r="AG328" i="10"/>
  <c r="AL301" i="10"/>
  <c r="AB326" i="10"/>
  <c r="AA326" i="10"/>
  <c r="AG325" i="10"/>
  <c r="AB325" i="10"/>
  <c r="AA325" i="10"/>
  <c r="AB324" i="10"/>
  <c r="AA324" i="10"/>
  <c r="AA328" i="10"/>
  <c r="AL299" i="10"/>
  <c r="Z323" i="10"/>
  <c r="Y323" i="10"/>
  <c r="U323" i="10"/>
  <c r="T323" i="10"/>
  <c r="P323" i="10"/>
  <c r="O323" i="10"/>
  <c r="K323" i="10"/>
  <c r="J323" i="10"/>
  <c r="F323" i="10"/>
  <c r="AG322" i="10"/>
  <c r="AB322" i="10"/>
  <c r="AA322" i="10"/>
  <c r="AG321" i="10"/>
  <c r="AB321" i="10"/>
  <c r="AA321" i="10"/>
  <c r="AG320" i="10"/>
  <c r="AB320" i="10"/>
  <c r="AA320" i="10"/>
  <c r="AG319" i="10"/>
  <c r="AB319" i="10"/>
  <c r="AA319" i="10"/>
  <c r="AG318" i="10"/>
  <c r="AB318" i="10"/>
  <c r="AA318" i="10"/>
  <c r="AG317" i="10"/>
  <c r="AB317" i="10"/>
  <c r="AA317" i="10"/>
  <c r="AG316" i="10"/>
  <c r="AB316" i="10"/>
  <c r="AA316" i="10"/>
  <c r="AG315" i="10"/>
  <c r="AB315" i="10"/>
  <c r="AA315" i="10"/>
  <c r="AG314" i="10"/>
  <c r="AB314" i="10"/>
  <c r="AA314" i="10"/>
  <c r="AG313" i="10"/>
  <c r="AB313" i="10"/>
  <c r="AA313" i="10"/>
  <c r="AG312" i="10"/>
  <c r="AB312" i="10"/>
  <c r="AA312" i="10"/>
  <c r="AG311" i="10"/>
  <c r="AB311" i="10"/>
  <c r="AA311" i="10"/>
  <c r="AG310" i="10"/>
  <c r="AB310" i="10"/>
  <c r="AA310" i="10"/>
  <c r="AA323" i="10"/>
  <c r="AL296" i="10"/>
  <c r="AG309" i="10"/>
  <c r="AB309" i="10"/>
  <c r="E309" i="10"/>
  <c r="AA309" i="10"/>
  <c r="AG308" i="10"/>
  <c r="AB308" i="10"/>
  <c r="AA308" i="10"/>
  <c r="AG307" i="10"/>
  <c r="AB307" i="10"/>
  <c r="AA307" i="10"/>
  <c r="AG306" i="10"/>
  <c r="AB306" i="10"/>
  <c r="AA306" i="10"/>
  <c r="AG305" i="10"/>
  <c r="AB305" i="10"/>
  <c r="AA305" i="10"/>
  <c r="AG304" i="10"/>
  <c r="AB304" i="10"/>
  <c r="AA304" i="10"/>
  <c r="AG303" i="10"/>
  <c r="AB303" i="10"/>
  <c r="AA303" i="10"/>
  <c r="AG302" i="10"/>
  <c r="AB302" i="10"/>
  <c r="AA302" i="10"/>
  <c r="AG301" i="10"/>
  <c r="AB301" i="10"/>
  <c r="AA301" i="10"/>
  <c r="AG300" i="10"/>
  <c r="AB300" i="10"/>
  <c r="E300" i="10"/>
  <c r="AA300" i="10"/>
  <c r="AG299" i="10"/>
  <c r="AB299" i="10"/>
  <c r="AA299" i="10"/>
  <c r="AG298" i="10"/>
  <c r="AB298" i="10"/>
  <c r="AA298" i="10"/>
  <c r="AG297" i="10"/>
  <c r="AB297" i="10"/>
  <c r="E297" i="10"/>
  <c r="C291" i="10"/>
  <c r="C290" i="10"/>
  <c r="C289" i="10"/>
  <c r="AL269" i="10"/>
  <c r="T288" i="10"/>
  <c r="O288" i="10"/>
  <c r="J288" i="10"/>
  <c r="E288" i="10"/>
  <c r="AG287" i="10"/>
  <c r="AB287" i="10"/>
  <c r="AA287" i="10"/>
  <c r="AF286" i="10"/>
  <c r="AG286" i="10"/>
  <c r="AG288" i="10"/>
  <c r="AL268" i="10"/>
  <c r="AB286" i="10"/>
  <c r="AA286" i="10"/>
  <c r="AG285" i="10"/>
  <c r="AB285" i="10"/>
  <c r="AA285" i="10"/>
  <c r="AG284" i="10"/>
  <c r="AB284" i="10"/>
  <c r="Y284" i="10"/>
  <c r="AA284" i="10"/>
  <c r="Z283" i="10"/>
  <c r="U283" i="10"/>
  <c r="P283" i="10"/>
  <c r="K283" i="10"/>
  <c r="F283" i="10"/>
  <c r="AF282" i="10"/>
  <c r="AG282" i="10"/>
  <c r="AB282" i="10"/>
  <c r="AA282" i="10"/>
  <c r="AF281" i="10"/>
  <c r="AG281" i="10"/>
  <c r="AB281" i="10"/>
  <c r="AA281" i="10"/>
  <c r="AF280" i="10"/>
  <c r="AG280" i="10"/>
  <c r="AB280" i="10"/>
  <c r="Y280" i="10"/>
  <c r="T280" i="10"/>
  <c r="O280" i="10"/>
  <c r="O283" i="10"/>
  <c r="J280" i="10"/>
  <c r="AA280" i="10"/>
  <c r="E280" i="10"/>
  <c r="AF279" i="10"/>
  <c r="AG279" i="10"/>
  <c r="AB279" i="10"/>
  <c r="Y279" i="10"/>
  <c r="Y283" i="10"/>
  <c r="T279" i="10"/>
  <c r="T283" i="10"/>
  <c r="O279" i="10"/>
  <c r="J279" i="10"/>
  <c r="J283" i="10"/>
  <c r="E279" i="10"/>
  <c r="AG278" i="10"/>
  <c r="AB278" i="10"/>
  <c r="AA278" i="10"/>
  <c r="AG277" i="10"/>
  <c r="AB277" i="10"/>
  <c r="AA277" i="10"/>
  <c r="AF276" i="10"/>
  <c r="AG276" i="10"/>
  <c r="AB276" i="10"/>
  <c r="AA276" i="10"/>
  <c r="AF275" i="10"/>
  <c r="AG275" i="10"/>
  <c r="AB275" i="10"/>
  <c r="AA275" i="10"/>
  <c r="AF274" i="10"/>
  <c r="AG274" i="10"/>
  <c r="AB274" i="10"/>
  <c r="AA274" i="10"/>
  <c r="AF273" i="10"/>
  <c r="AG273" i="10"/>
  <c r="AB273" i="10"/>
  <c r="AA273" i="10"/>
  <c r="AF272" i="10"/>
  <c r="AG272" i="10"/>
  <c r="AB272" i="10"/>
  <c r="AA272" i="10"/>
  <c r="AF271" i="10"/>
  <c r="AG271" i="10"/>
  <c r="AB271" i="10"/>
  <c r="AA271" i="10"/>
  <c r="AF270" i="10"/>
  <c r="AG270" i="10"/>
  <c r="AB270" i="10"/>
  <c r="AA270" i="10"/>
  <c r="AF269" i="10"/>
  <c r="AG269" i="10"/>
  <c r="AB269" i="10"/>
  <c r="AA269" i="10"/>
  <c r="AA283" i="10"/>
  <c r="AL263" i="10"/>
  <c r="AF268" i="10"/>
  <c r="AG268" i="10"/>
  <c r="AB268" i="10"/>
  <c r="AA268" i="10"/>
  <c r="AF267" i="10"/>
  <c r="AG267" i="10"/>
  <c r="AB267" i="10"/>
  <c r="AA267" i="10"/>
  <c r="AF266" i="10"/>
  <c r="AG266" i="10"/>
  <c r="AB266" i="10"/>
  <c r="AA266" i="10"/>
  <c r="AF265" i="10"/>
  <c r="AG265" i="10"/>
  <c r="AB265" i="10"/>
  <c r="AA265" i="10"/>
  <c r="AF264" i="10"/>
  <c r="AG264" i="10"/>
  <c r="AG283" i="10"/>
  <c r="AL265" i="10"/>
  <c r="AB264" i="10"/>
  <c r="AA264" i="10"/>
  <c r="C258" i="10"/>
  <c r="C257" i="10"/>
  <c r="C256" i="10"/>
  <c r="AL236" i="10"/>
  <c r="Y255" i="10"/>
  <c r="AB254" i="10"/>
  <c r="AA254" i="10"/>
  <c r="AG253" i="10"/>
  <c r="AB253" i="10"/>
  <c r="T253" i="10"/>
  <c r="T255" i="10"/>
  <c r="O253" i="10"/>
  <c r="J253" i="10"/>
  <c r="J255" i="10"/>
  <c r="E253" i="10"/>
  <c r="AG252" i="10"/>
  <c r="AB252" i="10"/>
  <c r="AA252" i="10"/>
  <c r="AG251" i="10"/>
  <c r="AB251" i="10"/>
  <c r="AB255" i="10"/>
  <c r="AL234" i="10"/>
  <c r="AA251" i="10"/>
  <c r="Z250" i="10"/>
  <c r="Y250" i="10"/>
  <c r="U250" i="10"/>
  <c r="T250" i="10"/>
  <c r="P250" i="10"/>
  <c r="K250" i="10"/>
  <c r="F250" i="10"/>
  <c r="AF249" i="10"/>
  <c r="AG249" i="10"/>
  <c r="AB249" i="10"/>
  <c r="AA249" i="10"/>
  <c r="AG248" i="10"/>
  <c r="AB248" i="10"/>
  <c r="O248" i="10"/>
  <c r="J248" i="10"/>
  <c r="E248" i="10"/>
  <c r="AA248" i="10"/>
  <c r="AF247" i="10"/>
  <c r="AG247" i="10"/>
  <c r="AB247" i="10"/>
  <c r="AA247" i="10"/>
  <c r="AF246" i="10"/>
  <c r="AG246" i="10"/>
  <c r="AB246" i="10"/>
  <c r="O246" i="10"/>
  <c r="O250" i="10"/>
  <c r="J246" i="10"/>
  <c r="E246" i="10"/>
  <c r="AG245" i="10"/>
  <c r="AB245" i="10"/>
  <c r="AA245" i="10"/>
  <c r="AG244" i="10"/>
  <c r="AB244" i="10"/>
  <c r="E244" i="10"/>
  <c r="AF243" i="10"/>
  <c r="AG243" i="10"/>
  <c r="AB243" i="10"/>
  <c r="AA243" i="10"/>
  <c r="AF242" i="10"/>
  <c r="AG242" i="10"/>
  <c r="AB242" i="10"/>
  <c r="AA242" i="10"/>
  <c r="AF241" i="10"/>
  <c r="AG241" i="10"/>
  <c r="AB241" i="10"/>
  <c r="AA241" i="10"/>
  <c r="AF240" i="10"/>
  <c r="AG240" i="10"/>
  <c r="AB240" i="10"/>
  <c r="AA240" i="10"/>
  <c r="AF239" i="10"/>
  <c r="AG239" i="10"/>
  <c r="AB239" i="10"/>
  <c r="AA239" i="10"/>
  <c r="AF238" i="10"/>
  <c r="AG238" i="10"/>
  <c r="AB238" i="10"/>
  <c r="AA238" i="10"/>
  <c r="AG237" i="10"/>
  <c r="AB237" i="10"/>
  <c r="AA237" i="10"/>
  <c r="AF236" i="10"/>
  <c r="AB236" i="10"/>
  <c r="AA236" i="10"/>
  <c r="AF235" i="10"/>
  <c r="AG235" i="10"/>
  <c r="AB235" i="10"/>
  <c r="AA235" i="10"/>
  <c r="AF234" i="10"/>
  <c r="AG234" i="10"/>
  <c r="AG250" i="10"/>
  <c r="AL232" i="10"/>
  <c r="AB234" i="10"/>
  <c r="AA234" i="10"/>
  <c r="AF233" i="10"/>
  <c r="AG233" i="10"/>
  <c r="AB233" i="10"/>
  <c r="AA233" i="10"/>
  <c r="AF232" i="10"/>
  <c r="AG232" i="10"/>
  <c r="AB232" i="10"/>
  <c r="AA232" i="10"/>
  <c r="AF231" i="10"/>
  <c r="AG231" i="10"/>
  <c r="AB231" i="10"/>
  <c r="AA231" i="10"/>
  <c r="C223" i="10"/>
  <c r="Y222" i="10"/>
  <c r="T222" i="10"/>
  <c r="AB221" i="10"/>
  <c r="AA221" i="10"/>
  <c r="AG220" i="10"/>
  <c r="AG222" i="10"/>
  <c r="AB220" i="10"/>
  <c r="AA220" i="10"/>
  <c r="AG219" i="10"/>
  <c r="AB219" i="10"/>
  <c r="O219" i="10"/>
  <c r="O222" i="10"/>
  <c r="J219" i="10"/>
  <c r="J222" i="10"/>
  <c r="E219" i="10"/>
  <c r="E222" i="10"/>
  <c r="AB218" i="10"/>
  <c r="AB222" i="10"/>
  <c r="AL201" i="10"/>
  <c r="AA218" i="10"/>
  <c r="AA222" i="10"/>
  <c r="AL200" i="10"/>
  <c r="Z217" i="10"/>
  <c r="U217" i="10"/>
  <c r="P217" i="10"/>
  <c r="K217" i="10"/>
  <c r="F217" i="10"/>
  <c r="AF216" i="10"/>
  <c r="AG216" i="10"/>
  <c r="AA216" i="10"/>
  <c r="AF215" i="10"/>
  <c r="AG215" i="10"/>
  <c r="AA215" i="10"/>
  <c r="AG214" i="10"/>
  <c r="AA214" i="10"/>
  <c r="AF213" i="10"/>
  <c r="AG213" i="10"/>
  <c r="AA213" i="10"/>
  <c r="AG212" i="10"/>
  <c r="AA212" i="10"/>
  <c r="AG211" i="10"/>
  <c r="AB211" i="10"/>
  <c r="AA211" i="10"/>
  <c r="AF210" i="10"/>
  <c r="AG210" i="10"/>
  <c r="AA210" i="10"/>
  <c r="AF209" i="10"/>
  <c r="AG209" i="10"/>
  <c r="AB209" i="10"/>
  <c r="AA209" i="10"/>
  <c r="AF208" i="10"/>
  <c r="AG208" i="10"/>
  <c r="AA208" i="10"/>
  <c r="AG207" i="10"/>
  <c r="AA207" i="10"/>
  <c r="AF206" i="10"/>
  <c r="AG206" i="10"/>
  <c r="AA206" i="10"/>
  <c r="AF205" i="10"/>
  <c r="AG205" i="10"/>
  <c r="AB205" i="10"/>
  <c r="AA205" i="10"/>
  <c r="AG204" i="10"/>
  <c r="Y204" i="10"/>
  <c r="T204" i="10"/>
  <c r="O204" i="10"/>
  <c r="J204" i="10"/>
  <c r="J217" i="10"/>
  <c r="E204" i="10"/>
  <c r="AL203" i="10"/>
  <c r="AF203" i="10"/>
  <c r="AG203" i="10"/>
  <c r="AB203" i="10"/>
  <c r="AA203" i="10"/>
  <c r="AL202" i="10"/>
  <c r="AF202" i="10"/>
  <c r="AG202" i="10"/>
  <c r="AB202" i="10"/>
  <c r="AB217" i="10"/>
  <c r="AL198" i="10"/>
  <c r="Y202" i="10"/>
  <c r="T202" i="10"/>
  <c r="AA202" i="10"/>
  <c r="AF201" i="10"/>
  <c r="AG201" i="10"/>
  <c r="AA201" i="10"/>
  <c r="AF200" i="10"/>
  <c r="AG200" i="10"/>
  <c r="T200" i="10"/>
  <c r="AA200" i="10"/>
  <c r="AA217" i="10"/>
  <c r="AL197" i="10"/>
  <c r="AF199" i="10"/>
  <c r="AG199" i="10"/>
  <c r="Y199" i="10"/>
  <c r="Y217" i="10"/>
  <c r="T199" i="10"/>
  <c r="O199" i="10"/>
  <c r="O217" i="10"/>
  <c r="AF198" i="10"/>
  <c r="AG198" i="10"/>
  <c r="AG217" i="10"/>
  <c r="AL199" i="10"/>
  <c r="AA198" i="10"/>
  <c r="C190" i="10"/>
  <c r="Y189" i="10"/>
  <c r="T189" i="10"/>
  <c r="O189" i="10"/>
  <c r="E189" i="10"/>
  <c r="AG188" i="10"/>
  <c r="AB188" i="10"/>
  <c r="AA188" i="10"/>
  <c r="AG187" i="10"/>
  <c r="AG189" i="10"/>
  <c r="AL167" i="10"/>
  <c r="AB187" i="10"/>
  <c r="J187" i="10"/>
  <c r="J189" i="10"/>
  <c r="AG186" i="10"/>
  <c r="AA186" i="10"/>
  <c r="AG185" i="10"/>
  <c r="AB185" i="10"/>
  <c r="AB189" i="10"/>
  <c r="AL166" i="10"/>
  <c r="AA185" i="10"/>
  <c r="Y184" i="10"/>
  <c r="AF182" i="10"/>
  <c r="AG182" i="10"/>
  <c r="J182" i="10"/>
  <c r="AA182" i="10"/>
  <c r="AF181" i="10"/>
  <c r="AG181" i="10"/>
  <c r="J181" i="10"/>
  <c r="AA181" i="10"/>
  <c r="AF180" i="10"/>
  <c r="AG180" i="10"/>
  <c r="J180" i="10"/>
  <c r="AA180" i="10"/>
  <c r="AF179" i="10"/>
  <c r="AG179" i="10"/>
  <c r="J179" i="10"/>
  <c r="AA179" i="10"/>
  <c r="AF178" i="10"/>
  <c r="AG178" i="10"/>
  <c r="J178" i="10"/>
  <c r="AA178" i="10"/>
  <c r="AF177" i="10"/>
  <c r="AG177" i="10"/>
  <c r="J177" i="10"/>
  <c r="AA177" i="10"/>
  <c r="AF176" i="10"/>
  <c r="AG176" i="10"/>
  <c r="J176" i="10"/>
  <c r="AA176" i="10"/>
  <c r="AG175" i="10"/>
  <c r="AA175" i="10"/>
  <c r="AF174" i="10"/>
  <c r="AG174" i="10"/>
  <c r="Y174" i="10"/>
  <c r="J174" i="10"/>
  <c r="AA174" i="10"/>
  <c r="AF173" i="10"/>
  <c r="AG173" i="10"/>
  <c r="J173" i="10"/>
  <c r="AA173" i="10"/>
  <c r="AF172" i="10"/>
  <c r="AG172" i="10"/>
  <c r="J172" i="10"/>
  <c r="AA172" i="10"/>
  <c r="AF171" i="10"/>
  <c r="AG171" i="10"/>
  <c r="Y171" i="10"/>
  <c r="T171" i="10"/>
  <c r="J171" i="10"/>
  <c r="AF170" i="10"/>
  <c r="AG170" i="10"/>
  <c r="J170" i="10"/>
  <c r="AA170" i="10"/>
  <c r="AG169" i="10"/>
  <c r="J169" i="10"/>
  <c r="AA169" i="10"/>
  <c r="AL168" i="10"/>
  <c r="AF168" i="10"/>
  <c r="AG168" i="10"/>
  <c r="Y168" i="10"/>
  <c r="O168" i="10"/>
  <c r="J168" i="10"/>
  <c r="AF167" i="10"/>
  <c r="AG167" i="10"/>
  <c r="J167" i="10"/>
  <c r="AA167" i="10"/>
  <c r="AF166" i="10"/>
  <c r="AG166" i="10"/>
  <c r="J166" i="10"/>
  <c r="AA166" i="10"/>
  <c r="AG165" i="10"/>
  <c r="J165" i="10"/>
  <c r="AA165" i="10"/>
  <c r="AG164" i="10"/>
  <c r="T164" i="10"/>
  <c r="O164" i="10"/>
  <c r="AA164" i="10"/>
  <c r="J164" i="10"/>
  <c r="AL163" i="10"/>
  <c r="AF163" i="10"/>
  <c r="AG163" i="10"/>
  <c r="AG183" i="10"/>
  <c r="AL164" i="10"/>
  <c r="J163" i="10"/>
  <c r="AA163" i="10"/>
  <c r="AL162" i="10"/>
  <c r="C155" i="10"/>
  <c r="AL142" i="10"/>
  <c r="E154" i="10"/>
  <c r="AB153" i="10"/>
  <c r="AA153" i="10"/>
  <c r="AG152" i="10"/>
  <c r="AG154" i="10"/>
  <c r="AB152" i="10"/>
  <c r="Y152" i="10"/>
  <c r="Y154" i="10"/>
  <c r="T152" i="10"/>
  <c r="T154" i="10"/>
  <c r="O152" i="10"/>
  <c r="O154" i="10"/>
  <c r="J152" i="10"/>
  <c r="AG151" i="10"/>
  <c r="AB151" i="10"/>
  <c r="AA151" i="10"/>
  <c r="AB150" i="10"/>
  <c r="AB154" i="10"/>
  <c r="AL141" i="10"/>
  <c r="AA150" i="10"/>
  <c r="Z149" i="10"/>
  <c r="Y149" i="10"/>
  <c r="U149" i="10"/>
  <c r="T149" i="10"/>
  <c r="P149" i="10"/>
  <c r="O149" i="10"/>
  <c r="K149" i="10"/>
  <c r="J149" i="10"/>
  <c r="F149" i="10"/>
  <c r="AG148" i="10"/>
  <c r="AA148" i="10"/>
  <c r="AG147" i="10"/>
  <c r="AA147" i="10"/>
  <c r="AG146" i="10"/>
  <c r="AB146" i="10"/>
  <c r="AA146" i="10"/>
  <c r="AG145" i="10"/>
  <c r="AA145" i="10"/>
  <c r="AG144" i="10"/>
  <c r="AA144" i="10"/>
  <c r="AG143" i="10"/>
  <c r="AB143" i="10"/>
  <c r="AA143" i="10"/>
  <c r="AG142" i="10"/>
  <c r="AG149" i="10"/>
  <c r="AL139" i="10"/>
  <c r="AB142" i="10"/>
  <c r="AA142" i="10"/>
  <c r="AG141" i="10"/>
  <c r="AB141" i="10"/>
  <c r="AA141" i="10"/>
  <c r="AG140" i="10"/>
  <c r="AB140" i="10"/>
  <c r="AA140" i="10"/>
  <c r="AG139" i="10"/>
  <c r="AB139" i="10"/>
  <c r="AB149" i="10"/>
  <c r="AL138" i="10"/>
  <c r="AA139" i="10"/>
  <c r="AG138" i="10"/>
  <c r="AB138" i="10"/>
  <c r="AA138" i="10"/>
  <c r="AA149" i="10"/>
  <c r="AL137" i="10"/>
  <c r="C130" i="10"/>
  <c r="AL117" i="10"/>
  <c r="T127" i="10"/>
  <c r="O127" i="10"/>
  <c r="E127" i="10"/>
  <c r="AG126" i="10"/>
  <c r="AA126" i="10"/>
  <c r="AG125" i="10"/>
  <c r="AG127" i="10"/>
  <c r="AL116" i="10"/>
  <c r="AB125" i="10"/>
  <c r="AB127" i="10"/>
  <c r="AL115" i="10"/>
  <c r="Y125" i="10"/>
  <c r="Y127" i="10"/>
  <c r="J125" i="10"/>
  <c r="J127" i="10"/>
  <c r="Y124" i="10"/>
  <c r="U124" i="10"/>
  <c r="T124" i="10"/>
  <c r="P124" i="10"/>
  <c r="O124" i="10"/>
  <c r="K124" i="10"/>
  <c r="J124" i="10"/>
  <c r="F124" i="10"/>
  <c r="E124" i="10"/>
  <c r="AG123" i="10"/>
  <c r="AB123" i="10"/>
  <c r="AA123" i="10"/>
  <c r="AG122" i="10"/>
  <c r="AB122" i="10"/>
  <c r="AA122" i="10"/>
  <c r="AG121" i="10"/>
  <c r="AB121" i="10"/>
  <c r="AA121" i="10"/>
  <c r="AG120" i="10"/>
  <c r="AB120" i="10"/>
  <c r="AA120" i="10"/>
  <c r="AG119" i="10"/>
  <c r="AB119" i="10"/>
  <c r="AA119" i="10"/>
  <c r="AG118" i="10"/>
  <c r="AB118" i="10"/>
  <c r="AA118" i="10"/>
  <c r="AG117" i="10"/>
  <c r="AB117" i="10"/>
  <c r="AA117" i="10"/>
  <c r="AG116" i="10"/>
  <c r="AB116" i="10"/>
  <c r="AA116" i="10"/>
  <c r="AG115" i="10"/>
  <c r="AB115" i="10"/>
  <c r="AA115" i="10"/>
  <c r="AG114" i="10"/>
  <c r="AB114" i="10"/>
  <c r="AA114" i="10"/>
  <c r="AG113" i="10"/>
  <c r="AG124" i="10"/>
  <c r="AL113" i="10"/>
  <c r="AB113" i="10"/>
  <c r="AA113" i="10"/>
  <c r="AA124" i="10"/>
  <c r="AL111" i="10"/>
  <c r="AG112" i="10"/>
  <c r="AB112" i="10"/>
  <c r="AA112" i="10"/>
  <c r="C104" i="10"/>
  <c r="AL93" i="10"/>
  <c r="O103" i="10"/>
  <c r="J103" i="10"/>
  <c r="AA102" i="10"/>
  <c r="AG101" i="10"/>
  <c r="AG103" i="10"/>
  <c r="AL92" i="10"/>
  <c r="AB101" i="10"/>
  <c r="AB103" i="10"/>
  <c r="AL91" i="10"/>
  <c r="Y101" i="10"/>
  <c r="Y103" i="10"/>
  <c r="T101" i="10"/>
  <c r="T103" i="10"/>
  <c r="E101" i="10"/>
  <c r="E103" i="10"/>
  <c r="Z100" i="10"/>
  <c r="Y100" i="10"/>
  <c r="U100" i="10"/>
  <c r="T100" i="10"/>
  <c r="P100" i="10"/>
  <c r="O100" i="10"/>
  <c r="K100" i="10"/>
  <c r="J100" i="10"/>
  <c r="F100" i="10"/>
  <c r="E100" i="10"/>
  <c r="AG99" i="10"/>
  <c r="AB99" i="10"/>
  <c r="AA99" i="10"/>
  <c r="AG98" i="10"/>
  <c r="AB98" i="10"/>
  <c r="AA98" i="10"/>
  <c r="AG97" i="10"/>
  <c r="AB97" i="10"/>
  <c r="AA97" i="10"/>
  <c r="AG96" i="10"/>
  <c r="AB96" i="10"/>
  <c r="AA96" i="10"/>
  <c r="AG95" i="10"/>
  <c r="AB95" i="10"/>
  <c r="AA95" i="10"/>
  <c r="AA100" i="10"/>
  <c r="AL87" i="10"/>
  <c r="AG94" i="10"/>
  <c r="AB94" i="10"/>
  <c r="AA94" i="10"/>
  <c r="AG93" i="10"/>
  <c r="AB93" i="10"/>
  <c r="AA93" i="10"/>
  <c r="AG92" i="10"/>
  <c r="AB92" i="10"/>
  <c r="AA92" i="10"/>
  <c r="AG91" i="10"/>
  <c r="AB91" i="10"/>
  <c r="AA91" i="10"/>
  <c r="AG90" i="10"/>
  <c r="AB90" i="10"/>
  <c r="AA90" i="10"/>
  <c r="AG89" i="10"/>
  <c r="AG100" i="10"/>
  <c r="AB89" i="10"/>
  <c r="AA89" i="10"/>
  <c r="AG88" i="10"/>
  <c r="AB88" i="10"/>
  <c r="AB100" i="10"/>
  <c r="AL88" i="10"/>
  <c r="AA88" i="10"/>
  <c r="C80" i="10"/>
  <c r="AB79" i="10"/>
  <c r="Y79" i="10"/>
  <c r="T79" i="10"/>
  <c r="O79" i="10"/>
  <c r="J79" i="10"/>
  <c r="AA78" i="10"/>
  <c r="E77" i="10"/>
  <c r="Z76" i="10"/>
  <c r="Y76" i="10"/>
  <c r="U76" i="10"/>
  <c r="T76" i="10"/>
  <c r="P76" i="10"/>
  <c r="O76" i="10"/>
  <c r="K76" i="10"/>
  <c r="J76" i="10"/>
  <c r="F76" i="10"/>
  <c r="E76" i="10"/>
  <c r="AB75" i="10"/>
  <c r="AA75" i="10"/>
  <c r="AB74" i="10"/>
  <c r="AA74" i="10"/>
  <c r="AB73" i="10"/>
  <c r="AA73" i="10"/>
  <c r="AB72" i="10"/>
  <c r="AA72" i="10"/>
  <c r="AB71" i="10"/>
  <c r="AA71" i="10"/>
  <c r="AB70" i="10"/>
  <c r="AA70" i="10"/>
  <c r="AB69" i="10"/>
  <c r="AA69" i="10"/>
  <c r="AB68" i="10"/>
  <c r="AA68" i="10"/>
  <c r="C60" i="10"/>
  <c r="Y57" i="10"/>
  <c r="T57" i="10"/>
  <c r="O57" i="10"/>
  <c r="J57" i="10"/>
  <c r="E57" i="10"/>
  <c r="AA56" i="10"/>
  <c r="AA55" i="10"/>
  <c r="AA57" i="10"/>
  <c r="AL50" i="10"/>
  <c r="Y54" i="10"/>
  <c r="T54" i="10"/>
  <c r="O54" i="10"/>
  <c r="J54" i="10"/>
  <c r="E54" i="10"/>
  <c r="AA53" i="10"/>
  <c r="AA52" i="10"/>
  <c r="AL51" i="10"/>
  <c r="AA51" i="10"/>
  <c r="AA50" i="10"/>
  <c r="AL49" i="10"/>
  <c r="AA49" i="10"/>
  <c r="AL48" i="10"/>
  <c r="AA48" i="10"/>
  <c r="AA54" i="10"/>
  <c r="AL47" i="10"/>
  <c r="C40" i="10"/>
  <c r="AL33" i="10"/>
  <c r="Y37" i="10"/>
  <c r="T37" i="10"/>
  <c r="O37" i="10"/>
  <c r="J37" i="10"/>
  <c r="E37" i="10"/>
  <c r="AA37" i="10"/>
  <c r="AL32" i="10"/>
  <c r="AA36" i="10"/>
  <c r="AA35" i="10"/>
  <c r="Y34" i="10"/>
  <c r="T34" i="10"/>
  <c r="O34" i="10"/>
  <c r="J34" i="10"/>
  <c r="E34" i="10"/>
  <c r="AA33" i="10"/>
  <c r="AA32" i="10"/>
  <c r="AL31" i="10"/>
  <c r="AA31" i="10"/>
  <c r="AL30" i="10"/>
  <c r="AA30" i="10"/>
  <c r="C22" i="10"/>
  <c r="AL15" i="10"/>
  <c r="J19" i="10"/>
  <c r="E19" i="10"/>
  <c r="AA18" i="10"/>
  <c r="AA17" i="10"/>
  <c r="AA19" i="10"/>
  <c r="J16" i="10"/>
  <c r="E16" i="10"/>
  <c r="AA15" i="10"/>
  <c r="AA14" i="10"/>
  <c r="AL13" i="10"/>
  <c r="AA13" i="10"/>
  <c r="AL12" i="10"/>
  <c r="AA12" i="10"/>
  <c r="AM364" i="2"/>
  <c r="Y490" i="2"/>
  <c r="T490" i="2"/>
  <c r="O490" i="2"/>
  <c r="J490" i="2"/>
  <c r="C452" i="2"/>
  <c r="G49" i="9"/>
  <c r="G50" i="9"/>
  <c r="G51" i="9"/>
  <c r="G53" i="9"/>
  <c r="G48" i="9"/>
  <c r="Y444" i="2"/>
  <c r="AA441" i="2"/>
  <c r="AB441" i="2"/>
  <c r="AG441" i="2"/>
  <c r="AA442" i="2"/>
  <c r="AB442" i="2"/>
  <c r="AG442" i="2"/>
  <c r="AA443" i="2"/>
  <c r="AB443" i="2"/>
  <c r="AG443" i="2"/>
  <c r="AA76" i="10"/>
  <c r="AL67" i="10"/>
  <c r="AA77" i="10"/>
  <c r="AA79" i="10"/>
  <c r="AL70" i="10"/>
  <c r="E79" i="10"/>
  <c r="J154" i="10"/>
  <c r="AA152" i="10"/>
  <c r="AA171" i="10"/>
  <c r="AA199" i="10"/>
  <c r="AA204" i="10"/>
  <c r="E217" i="10"/>
  <c r="AF250" i="10"/>
  <c r="AG236" i="10"/>
  <c r="J250" i="10"/>
  <c r="E255" i="10"/>
  <c r="AG255" i="10"/>
  <c r="AL235" i="10"/>
  <c r="E283" i="10"/>
  <c r="AA279" i="10"/>
  <c r="AA297" i="10"/>
  <c r="C329" i="10"/>
  <c r="AL302" i="10"/>
  <c r="AB363" i="10"/>
  <c r="AL337" i="10"/>
  <c r="AB368" i="10"/>
  <c r="AL339" i="10"/>
  <c r="AB408" i="10"/>
  <c r="AL380" i="10"/>
  <c r="AM368" i="10"/>
  <c r="AB444" i="10"/>
  <c r="AL417" i="10"/>
  <c r="AA449" i="10"/>
  <c r="AL419" i="10"/>
  <c r="AA484" i="10"/>
  <c r="AL457" i="10"/>
  <c r="AL19" i="11"/>
  <c r="AL54" i="11"/>
  <c r="AA78" i="11"/>
  <c r="AL52" i="11"/>
  <c r="AB78" i="11"/>
  <c r="AL53" i="11"/>
  <c r="AL57" i="11"/>
  <c r="AB83" i="11"/>
  <c r="AL56" i="11"/>
  <c r="AA83" i="11"/>
  <c r="AL55" i="11"/>
  <c r="AB44" i="11"/>
  <c r="AA44" i="11"/>
  <c r="AA6" i="11"/>
  <c r="AG39" i="11"/>
  <c r="AL18" i="11"/>
  <c r="AL14" i="11"/>
  <c r="AB39" i="11"/>
  <c r="AA39" i="11"/>
  <c r="AL12" i="11"/>
  <c r="AF263" i="4"/>
  <c r="AA154" i="10"/>
  <c r="AL140" i="10"/>
  <c r="AL14" i="10"/>
  <c r="AL89" i="10"/>
  <c r="AA187" i="10"/>
  <c r="AA189" i="10"/>
  <c r="AL165" i="10"/>
  <c r="T217" i="10"/>
  <c r="AA219" i="10"/>
  <c r="AA246" i="10"/>
  <c r="Y288" i="10"/>
  <c r="AA288" i="10"/>
  <c r="AL266" i="10"/>
  <c r="AA101" i="10"/>
  <c r="AA103" i="10"/>
  <c r="AL90" i="10"/>
  <c r="J183" i="10"/>
  <c r="AL463" i="10"/>
  <c r="AL72" i="10"/>
  <c r="T444" i="2"/>
  <c r="AL15" i="11"/>
  <c r="O444" i="2"/>
  <c r="G45" i="9"/>
  <c r="G41" i="9"/>
  <c r="G42" i="9"/>
  <c r="G43" i="9"/>
  <c r="G44" i="9"/>
  <c r="G40" i="9"/>
  <c r="AB447" i="2"/>
  <c r="AA433" i="2"/>
  <c r="J485" i="2"/>
  <c r="U444" i="2"/>
  <c r="J444" i="2"/>
  <c r="AB481" i="2"/>
  <c r="AA481" i="2"/>
  <c r="AB480" i="2"/>
  <c r="AA480" i="2"/>
  <c r="AB479" i="2"/>
  <c r="AA479" i="2"/>
  <c r="AB478" i="2"/>
  <c r="AA478" i="2"/>
  <c r="E444" i="2"/>
  <c r="Y368" i="2"/>
  <c r="AA445" i="2"/>
  <c r="AG435" i="2"/>
  <c r="Y403" i="2"/>
  <c r="T403" i="2"/>
  <c r="O403" i="2"/>
  <c r="J403" i="2"/>
  <c r="E403" i="2"/>
  <c r="Y363" i="2"/>
  <c r="T363" i="2"/>
  <c r="AL363" i="2"/>
  <c r="O363" i="2"/>
  <c r="J363" i="2"/>
  <c r="E363" i="2"/>
  <c r="AA322" i="2"/>
  <c r="AG321" i="2"/>
  <c r="AG322" i="2"/>
  <c r="Y323" i="2"/>
  <c r="T323" i="2"/>
  <c r="J323" i="2"/>
  <c r="AG438" i="2"/>
  <c r="AB438" i="2"/>
  <c r="AA438" i="2"/>
  <c r="AG439" i="2"/>
  <c r="AB439" i="2"/>
  <c r="AA439" i="2"/>
  <c r="AG401" i="2"/>
  <c r="AB401" i="2"/>
  <c r="AA401" i="2"/>
  <c r="AG361" i="2"/>
  <c r="AB361" i="2"/>
  <c r="AA361" i="2"/>
  <c r="AB321" i="2"/>
  <c r="AA321" i="2"/>
  <c r="AB322" i="2"/>
  <c r="O323" i="2"/>
  <c r="AG398" i="2"/>
  <c r="C411" i="2"/>
  <c r="AB378" i="2"/>
  <c r="Y408" i="2"/>
  <c r="AG402" i="2"/>
  <c r="AB402" i="2"/>
  <c r="AA402" i="2"/>
  <c r="AG362" i="2"/>
  <c r="AB362" i="2"/>
  <c r="AA362" i="2"/>
  <c r="AA384" i="2"/>
  <c r="AG395" i="2"/>
  <c r="AG396" i="2"/>
  <c r="C410" i="2"/>
  <c r="C409" i="2"/>
  <c r="G36" i="9"/>
  <c r="V228" i="4"/>
  <c r="T408" i="2"/>
  <c r="O408" i="2"/>
  <c r="J408" i="2"/>
  <c r="C371" i="2"/>
  <c r="AG356" i="2"/>
  <c r="AG355" i="2"/>
  <c r="C370" i="2"/>
  <c r="G37" i="9"/>
  <c r="G35" i="9"/>
  <c r="G34" i="9"/>
  <c r="G33" i="9"/>
  <c r="G32" i="9"/>
  <c r="T328" i="2"/>
  <c r="T368" i="2"/>
  <c r="AL364" i="2"/>
  <c r="O368" i="2"/>
  <c r="J368" i="2"/>
  <c r="AA458" i="2"/>
  <c r="AB458" i="2"/>
  <c r="AG458" i="2"/>
  <c r="AA459" i="2"/>
  <c r="AB459" i="2"/>
  <c r="AG459" i="2"/>
  <c r="AA460" i="2"/>
  <c r="AB460" i="2"/>
  <c r="AG460" i="2"/>
  <c r="AA461" i="2"/>
  <c r="AB461" i="2"/>
  <c r="AG461" i="2"/>
  <c r="AA462" i="2"/>
  <c r="AB462" i="2"/>
  <c r="AG462" i="2"/>
  <c r="AA463" i="2"/>
  <c r="AB463" i="2"/>
  <c r="AG463" i="2"/>
  <c r="AA464" i="2"/>
  <c r="AB464" i="2"/>
  <c r="AG464" i="2"/>
  <c r="AA465" i="2"/>
  <c r="AB465" i="2"/>
  <c r="AG465" i="2"/>
  <c r="AA466" i="2"/>
  <c r="AB466" i="2"/>
  <c r="AG466" i="2"/>
  <c r="AA467" i="2"/>
  <c r="AB467" i="2"/>
  <c r="AG467" i="2"/>
  <c r="AA468" i="2"/>
  <c r="AB468" i="2"/>
  <c r="AG468" i="2"/>
  <c r="AA469" i="2"/>
  <c r="AB469" i="2"/>
  <c r="AG469" i="2"/>
  <c r="AA470" i="2"/>
  <c r="AB470" i="2"/>
  <c r="AG470" i="2"/>
  <c r="AA471" i="2"/>
  <c r="AB471" i="2"/>
  <c r="AG471" i="2"/>
  <c r="AA472" i="2"/>
  <c r="AB472" i="2"/>
  <c r="AA473" i="2"/>
  <c r="AB473" i="2"/>
  <c r="AA474" i="2"/>
  <c r="AB474" i="2"/>
  <c r="AA475" i="2"/>
  <c r="AB475" i="2"/>
  <c r="AA476" i="2"/>
  <c r="AB476" i="2"/>
  <c r="AA477" i="2"/>
  <c r="AB477" i="2"/>
  <c r="F485" i="2"/>
  <c r="K485" i="2"/>
  <c r="O485" i="2"/>
  <c r="P485" i="2"/>
  <c r="U485" i="2"/>
  <c r="Y485" i="2"/>
  <c r="Z485" i="2"/>
  <c r="AA486" i="2"/>
  <c r="AA490" i="2"/>
  <c r="AL460" i="2"/>
  <c r="AB486" i="2"/>
  <c r="AA487" i="2"/>
  <c r="AB487" i="2"/>
  <c r="AB490" i="2"/>
  <c r="AL461" i="2"/>
  <c r="AG487" i="2"/>
  <c r="AA488" i="2"/>
  <c r="AB488" i="2"/>
  <c r="AG488" i="2"/>
  <c r="AG490" i="2"/>
  <c r="AL462" i="2"/>
  <c r="AA489" i="2"/>
  <c r="AB489" i="2"/>
  <c r="E490" i="2"/>
  <c r="C491" i="2"/>
  <c r="AA417" i="2"/>
  <c r="AB417" i="2"/>
  <c r="AB444" i="2"/>
  <c r="AL417" i="2"/>
  <c r="AG417" i="2"/>
  <c r="AA418" i="2"/>
  <c r="AB418" i="2"/>
  <c r="AG418" i="2"/>
  <c r="AA419" i="2"/>
  <c r="AB419" i="2"/>
  <c r="AG419" i="2"/>
  <c r="AA420" i="2"/>
  <c r="AB420" i="2"/>
  <c r="AG420" i="2"/>
  <c r="AA421" i="2"/>
  <c r="AB421" i="2"/>
  <c r="AG421" i="2"/>
  <c r="AA422" i="2"/>
  <c r="AB422" i="2"/>
  <c r="AG422" i="2"/>
  <c r="AA423" i="2"/>
  <c r="AB423" i="2"/>
  <c r="AG423" i="2"/>
  <c r="AA424" i="2"/>
  <c r="AB424" i="2"/>
  <c r="AG424" i="2"/>
  <c r="AA425" i="2"/>
  <c r="AB425" i="2"/>
  <c r="AG425" i="2"/>
  <c r="AA426" i="2"/>
  <c r="AB426" i="2"/>
  <c r="AG426" i="2"/>
  <c r="AA427" i="2"/>
  <c r="AB427" i="2"/>
  <c r="AG427" i="2"/>
  <c r="AA428" i="2"/>
  <c r="AB428" i="2"/>
  <c r="AG428" i="2"/>
  <c r="AA429" i="2"/>
  <c r="AB429" i="2"/>
  <c r="AG429" i="2"/>
  <c r="AA430" i="2"/>
  <c r="AB430" i="2"/>
  <c r="AG430" i="2"/>
  <c r="AA431" i="2"/>
  <c r="AB431" i="2"/>
  <c r="AG431" i="2"/>
  <c r="AA432" i="2"/>
  <c r="AB432" i="2"/>
  <c r="AG432" i="2"/>
  <c r="AB433" i="2"/>
  <c r="AG433" i="2"/>
  <c r="AA434" i="2"/>
  <c r="AB434" i="2"/>
  <c r="AG434" i="2"/>
  <c r="AA435" i="2"/>
  <c r="AB435" i="2"/>
  <c r="AA436" i="2"/>
  <c r="AB436" i="2"/>
  <c r="AG436" i="2"/>
  <c r="AA437" i="2"/>
  <c r="AB437" i="2"/>
  <c r="AG437" i="2"/>
  <c r="AA440" i="2"/>
  <c r="AB440" i="2"/>
  <c r="AG440" i="2"/>
  <c r="F444" i="2"/>
  <c r="K444" i="2"/>
  <c r="P444" i="2"/>
  <c r="Z444" i="2"/>
  <c r="AB445" i="2"/>
  <c r="AA446" i="2"/>
  <c r="AB446" i="2"/>
  <c r="AB449" i="2"/>
  <c r="AG446" i="2"/>
  <c r="AA447" i="2"/>
  <c r="AG447" i="2"/>
  <c r="AG449" i="2"/>
  <c r="AL421" i="2"/>
  <c r="AA448" i="2"/>
  <c r="AB448" i="2"/>
  <c r="E449" i="2"/>
  <c r="C450" i="2"/>
  <c r="AL423" i="2"/>
  <c r="AL464" i="2"/>
  <c r="AL420" i="2"/>
  <c r="AA449" i="2"/>
  <c r="AL419" i="2"/>
  <c r="AG381" i="2"/>
  <c r="AA381" i="2"/>
  <c r="AB381" i="2"/>
  <c r="AA377" i="2"/>
  <c r="AB377" i="2"/>
  <c r="AG377" i="2"/>
  <c r="AG403" i="2"/>
  <c r="AL378" i="2"/>
  <c r="AA378" i="2"/>
  <c r="AG378" i="2"/>
  <c r="AA379" i="2"/>
  <c r="AB379" i="2"/>
  <c r="AG379" i="2"/>
  <c r="AA380" i="2"/>
  <c r="AB380" i="2"/>
  <c r="AG380" i="2"/>
  <c r="AA382" i="2"/>
  <c r="AB382" i="2"/>
  <c r="AG382" i="2"/>
  <c r="AA383" i="2"/>
  <c r="AB383" i="2"/>
  <c r="AG383" i="2"/>
  <c r="AB384" i="2"/>
  <c r="AG384" i="2"/>
  <c r="AA385" i="2"/>
  <c r="AB385" i="2"/>
  <c r="AG385" i="2"/>
  <c r="AA386" i="2"/>
  <c r="AB386" i="2"/>
  <c r="AG386" i="2"/>
  <c r="AA387" i="2"/>
  <c r="AB387" i="2"/>
  <c r="AG387" i="2"/>
  <c r="AA388" i="2"/>
  <c r="AB388" i="2"/>
  <c r="AG388" i="2"/>
  <c r="AA389" i="2"/>
  <c r="AA403" i="2"/>
  <c r="AL376" i="2"/>
  <c r="AB389" i="2"/>
  <c r="AG389" i="2"/>
  <c r="AA390" i="2"/>
  <c r="AB390" i="2"/>
  <c r="AG390" i="2"/>
  <c r="AA391" i="2"/>
  <c r="AB391" i="2"/>
  <c r="AG391" i="2"/>
  <c r="AA392" i="2"/>
  <c r="AB392" i="2"/>
  <c r="AG392" i="2"/>
  <c r="AA393" i="2"/>
  <c r="AB393" i="2"/>
  <c r="AG393" i="2"/>
  <c r="AA394" i="2"/>
  <c r="AB394" i="2"/>
  <c r="AG394" i="2"/>
  <c r="AA395" i="2"/>
  <c r="AB395" i="2"/>
  <c r="AA396" i="2"/>
  <c r="AB396" i="2"/>
  <c r="AA397" i="2"/>
  <c r="AB397" i="2"/>
  <c r="AG397" i="2"/>
  <c r="AA398" i="2"/>
  <c r="AB398" i="2"/>
  <c r="AA399" i="2"/>
  <c r="AB399" i="2"/>
  <c r="AG399" i="2"/>
  <c r="AA400" i="2"/>
  <c r="AB400" i="2"/>
  <c r="AG400" i="2"/>
  <c r="F403" i="2"/>
  <c r="K403" i="2"/>
  <c r="P403" i="2"/>
  <c r="U403" i="2"/>
  <c r="Z403" i="2"/>
  <c r="AA404" i="2"/>
  <c r="AB404" i="2"/>
  <c r="AB408" i="2"/>
  <c r="AL380" i="2"/>
  <c r="AA405" i="2"/>
  <c r="AB405" i="2"/>
  <c r="AG405" i="2"/>
  <c r="AA406" i="2"/>
  <c r="AB406" i="2"/>
  <c r="AL381" i="2"/>
  <c r="AA407" i="2"/>
  <c r="AB407" i="2"/>
  <c r="E408" i="2"/>
  <c r="AB366" i="2"/>
  <c r="AL382" i="2"/>
  <c r="AL383" i="2"/>
  <c r="G29" i="9"/>
  <c r="G28" i="9"/>
  <c r="AA355" i="2"/>
  <c r="AB355" i="2"/>
  <c r="AA356" i="2"/>
  <c r="AB356" i="2"/>
  <c r="E368" i="2"/>
  <c r="E328" i="2"/>
  <c r="AB364" i="2"/>
  <c r="AA365" i="2"/>
  <c r="AA366" i="2"/>
  <c r="AA367" i="2"/>
  <c r="AA364" i="2"/>
  <c r="AA368" i="2"/>
  <c r="AL340" i="2"/>
  <c r="AA251" i="2"/>
  <c r="AB251" i="2"/>
  <c r="AB253" i="2"/>
  <c r="AA325" i="2"/>
  <c r="AA326" i="2"/>
  <c r="AA327" i="2"/>
  <c r="AA324" i="2"/>
  <c r="AG326" i="2"/>
  <c r="AG328" i="2"/>
  <c r="AL301" i="2"/>
  <c r="Y328" i="2"/>
  <c r="J328" i="2"/>
  <c r="O328" i="2"/>
  <c r="C369" i="2"/>
  <c r="AL342" i="2"/>
  <c r="AB367" i="2"/>
  <c r="AG366" i="2"/>
  <c r="AN364" i="2"/>
  <c r="AG365" i="2"/>
  <c r="AB365" i="2"/>
  <c r="Z363" i="2"/>
  <c r="U363" i="2"/>
  <c r="AM363" i="2"/>
  <c r="P363" i="2"/>
  <c r="K363" i="2"/>
  <c r="F363" i="2"/>
  <c r="AG360" i="2"/>
  <c r="AB360" i="2"/>
  <c r="AA360" i="2"/>
  <c r="AG359" i="2"/>
  <c r="AB359" i="2"/>
  <c r="AA359" i="2"/>
  <c r="AG358" i="2"/>
  <c r="AB358" i="2"/>
  <c r="AA358" i="2"/>
  <c r="AG357" i="2"/>
  <c r="AB357" i="2"/>
  <c r="AA357" i="2"/>
  <c r="AG354" i="2"/>
  <c r="AB354" i="2"/>
  <c r="AA354" i="2"/>
  <c r="AG353" i="2"/>
  <c r="AB353" i="2"/>
  <c r="AA353" i="2"/>
  <c r="AG352" i="2"/>
  <c r="AB352" i="2"/>
  <c r="AA352" i="2"/>
  <c r="AG351" i="2"/>
  <c r="AB351" i="2"/>
  <c r="AA351" i="2"/>
  <c r="AG350" i="2"/>
  <c r="AB350" i="2"/>
  <c r="AA350" i="2"/>
  <c r="AG349" i="2"/>
  <c r="AB349" i="2"/>
  <c r="AA349" i="2"/>
  <c r="AG348" i="2"/>
  <c r="AB348" i="2"/>
  <c r="AA348" i="2"/>
  <c r="AG347" i="2"/>
  <c r="AB347" i="2"/>
  <c r="AA347" i="2"/>
  <c r="AG346" i="2"/>
  <c r="AB346" i="2"/>
  <c r="AA346" i="2"/>
  <c r="AG345" i="2"/>
  <c r="AB345" i="2"/>
  <c r="AA345" i="2"/>
  <c r="AG344" i="2"/>
  <c r="AB344" i="2"/>
  <c r="AA344" i="2"/>
  <c r="AG343" i="2"/>
  <c r="AB343" i="2"/>
  <c r="AA343" i="2"/>
  <c r="AG342" i="2"/>
  <c r="AB342" i="2"/>
  <c r="AA342" i="2"/>
  <c r="AG341" i="2"/>
  <c r="AB341" i="2"/>
  <c r="AB363" i="2"/>
  <c r="AL337" i="2"/>
  <c r="AA341" i="2"/>
  <c r="AG340" i="2"/>
  <c r="AB340" i="2"/>
  <c r="AA340" i="2"/>
  <c r="AG339" i="2"/>
  <c r="AB339" i="2"/>
  <c r="AA339" i="2"/>
  <c r="AG338" i="2"/>
  <c r="AB338" i="2"/>
  <c r="AA338" i="2"/>
  <c r="AG337" i="2"/>
  <c r="AB337" i="2"/>
  <c r="AA337" i="2"/>
  <c r="AA363" i="2"/>
  <c r="AL336" i="2"/>
  <c r="G25" i="9"/>
  <c r="G26" i="9"/>
  <c r="G27" i="9"/>
  <c r="G24" i="9"/>
  <c r="C331" i="2"/>
  <c r="C330" i="2"/>
  <c r="C329" i="2"/>
  <c r="AL302" i="2"/>
  <c r="AG368" i="2"/>
  <c r="AL341" i="2"/>
  <c r="AB368" i="2"/>
  <c r="AL339" i="2"/>
  <c r="AG315" i="2"/>
  <c r="AG316" i="2"/>
  <c r="AG317" i="2"/>
  <c r="AA315" i="2"/>
  <c r="AB315" i="2"/>
  <c r="AA316" i="2"/>
  <c r="AB316" i="2"/>
  <c r="AA317" i="2"/>
  <c r="AB317" i="2"/>
  <c r="AB326" i="2"/>
  <c r="AD210" i="4"/>
  <c r="AD211" i="4"/>
  <c r="Z210" i="4"/>
  <c r="Z211" i="4"/>
  <c r="V210" i="4"/>
  <c r="V211" i="4"/>
  <c r="R210" i="4"/>
  <c r="R211" i="4"/>
  <c r="N210" i="4"/>
  <c r="N211" i="4"/>
  <c r="J210" i="4"/>
  <c r="AF210" i="4"/>
  <c r="J211" i="4"/>
  <c r="F210" i="4"/>
  <c r="F211" i="4"/>
  <c r="F212" i="4"/>
  <c r="AG312" i="2"/>
  <c r="AG313" i="2"/>
  <c r="AG314" i="2"/>
  <c r="AA312" i="2"/>
  <c r="AB312" i="2"/>
  <c r="AA313" i="2"/>
  <c r="AB313" i="2"/>
  <c r="AA314" i="2"/>
  <c r="AB314" i="2"/>
  <c r="AF211" i="4"/>
  <c r="AB327" i="2"/>
  <c r="AB325" i="2"/>
  <c r="AB324" i="2"/>
  <c r="AB320" i="2"/>
  <c r="AB319" i="2"/>
  <c r="AB318" i="2"/>
  <c r="AB311" i="2"/>
  <c r="AB310" i="2"/>
  <c r="AB309" i="2"/>
  <c r="AB308" i="2"/>
  <c r="AB307" i="2"/>
  <c r="AB306" i="2"/>
  <c r="AB305" i="2"/>
  <c r="AB304" i="2"/>
  <c r="AB303" i="2"/>
  <c r="AB302" i="2"/>
  <c r="AB301" i="2"/>
  <c r="AB300" i="2"/>
  <c r="AB299" i="2"/>
  <c r="AB298" i="2"/>
  <c r="AB297" i="2"/>
  <c r="AB323" i="2"/>
  <c r="AL297" i="2"/>
  <c r="Z323" i="2"/>
  <c r="U323" i="2"/>
  <c r="P323" i="2"/>
  <c r="K323" i="2"/>
  <c r="F323" i="2"/>
  <c r="E297" i="2"/>
  <c r="E309" i="2"/>
  <c r="E300" i="2"/>
  <c r="E323" i="2"/>
  <c r="AB328" i="2"/>
  <c r="AL300" i="2"/>
  <c r="C290" i="2"/>
  <c r="C291" i="2"/>
  <c r="Z196" i="4"/>
  <c r="Z195" i="4"/>
  <c r="Z194" i="4"/>
  <c r="V195" i="4"/>
  <c r="V194" i="4"/>
  <c r="AF194" i="4"/>
  <c r="AF286" i="2"/>
  <c r="V196" i="4"/>
  <c r="G17" i="9"/>
  <c r="G18" i="9"/>
  <c r="G19" i="9"/>
  <c r="G16" i="9"/>
  <c r="D21" i="9"/>
  <c r="G21" i="9"/>
  <c r="D20" i="9"/>
  <c r="G20" i="9"/>
  <c r="L8" i="9"/>
  <c r="AF196" i="4"/>
  <c r="AF195" i="4"/>
  <c r="J192" i="4"/>
  <c r="AF192" i="4"/>
  <c r="F192" i="4"/>
  <c r="AD192" i="4"/>
  <c r="Z192" i="4"/>
  <c r="V192" i="4"/>
  <c r="R192" i="4"/>
  <c r="N192" i="4"/>
  <c r="AD258" i="4"/>
  <c r="Z258" i="4"/>
  <c r="V258" i="4"/>
  <c r="R258" i="4"/>
  <c r="N258" i="4"/>
  <c r="AF258" i="4"/>
  <c r="J258" i="4"/>
  <c r="F258" i="4"/>
  <c r="AF257" i="4"/>
  <c r="AF256" i="4"/>
  <c r="AD252" i="4"/>
  <c r="Z252" i="4"/>
  <c r="V252" i="4"/>
  <c r="R252" i="4"/>
  <c r="N252" i="4"/>
  <c r="J252" i="4"/>
  <c r="F252" i="4"/>
  <c r="AD251" i="4"/>
  <c r="Z251" i="4"/>
  <c r="V251" i="4"/>
  <c r="R251" i="4"/>
  <c r="R254" i="4"/>
  <c r="N251" i="4"/>
  <c r="J251" i="4"/>
  <c r="F251" i="4"/>
  <c r="AF251" i="4"/>
  <c r="AD250" i="4"/>
  <c r="Z250" i="4"/>
  <c r="V250" i="4"/>
  <c r="R250" i="4"/>
  <c r="N250" i="4"/>
  <c r="J250" i="4"/>
  <c r="F250" i="4"/>
  <c r="AD249" i="4"/>
  <c r="Z249" i="4"/>
  <c r="V249" i="4"/>
  <c r="R249" i="4"/>
  <c r="N249" i="4"/>
  <c r="J249" i="4"/>
  <c r="F249" i="4"/>
  <c r="AD248" i="4"/>
  <c r="Z248" i="4"/>
  <c r="V248" i="4"/>
  <c r="AF248" i="4"/>
  <c r="R248" i="4"/>
  <c r="N248" i="4"/>
  <c r="J248" i="4"/>
  <c r="F248" i="4"/>
  <c r="H246" i="4"/>
  <c r="L246" i="4"/>
  <c r="P246" i="4"/>
  <c r="T246" i="4"/>
  <c r="X246" i="4"/>
  <c r="AB246" i="4"/>
  <c r="AD245" i="4"/>
  <c r="Z245" i="4"/>
  <c r="V245" i="4"/>
  <c r="R245" i="4"/>
  <c r="N245" i="4"/>
  <c r="J245" i="4"/>
  <c r="F245" i="4"/>
  <c r="AF244" i="4"/>
  <c r="AF243" i="4"/>
  <c r="AD240" i="4"/>
  <c r="Z240" i="4"/>
  <c r="V240" i="4"/>
  <c r="R240" i="4"/>
  <c r="N240" i="4"/>
  <c r="J240" i="4"/>
  <c r="F240" i="4"/>
  <c r="AD239" i="4"/>
  <c r="Z239" i="4"/>
  <c r="V239" i="4"/>
  <c r="R239" i="4"/>
  <c r="N239" i="4"/>
  <c r="J239" i="4"/>
  <c r="F239" i="4"/>
  <c r="AD238" i="4"/>
  <c r="Z238" i="4"/>
  <c r="V238" i="4"/>
  <c r="R238" i="4"/>
  <c r="N238" i="4"/>
  <c r="J238" i="4"/>
  <c r="F238" i="4"/>
  <c r="AD237" i="4"/>
  <c r="Z237" i="4"/>
  <c r="Z241" i="4"/>
  <c r="V237" i="4"/>
  <c r="V241" i="4"/>
  <c r="R237" i="4"/>
  <c r="R241" i="4"/>
  <c r="N237" i="4"/>
  <c r="J237" i="4"/>
  <c r="F237" i="4"/>
  <c r="F241" i="4"/>
  <c r="H235" i="4"/>
  <c r="L235" i="4"/>
  <c r="P235" i="4"/>
  <c r="T235" i="4"/>
  <c r="X235" i="4"/>
  <c r="AB235" i="4"/>
  <c r="AD234" i="4"/>
  <c r="Z234" i="4"/>
  <c r="V234" i="4"/>
  <c r="R234" i="4"/>
  <c r="N234" i="4"/>
  <c r="J234" i="4"/>
  <c r="F234" i="4"/>
  <c r="AF233" i="4"/>
  <c r="AF232" i="4"/>
  <c r="AD228" i="4"/>
  <c r="Z228" i="4"/>
  <c r="R228" i="4"/>
  <c r="N228" i="4"/>
  <c r="J228" i="4"/>
  <c r="F228" i="4"/>
  <c r="AD227" i="4"/>
  <c r="Z227" i="4"/>
  <c r="V227" i="4"/>
  <c r="R227" i="4"/>
  <c r="N227" i="4"/>
  <c r="J227" i="4"/>
  <c r="F227" i="4"/>
  <c r="AF227" i="4"/>
  <c r="AD226" i="4"/>
  <c r="Z226" i="4"/>
  <c r="V226" i="4"/>
  <c r="AF226" i="4"/>
  <c r="R226" i="4"/>
  <c r="N226" i="4"/>
  <c r="J226" i="4"/>
  <c r="F226" i="4"/>
  <c r="AD225" i="4"/>
  <c r="Z225" i="4"/>
  <c r="V225" i="4"/>
  <c r="R225" i="4"/>
  <c r="N225" i="4"/>
  <c r="J225" i="4"/>
  <c r="F225" i="4"/>
  <c r="AF225" i="4"/>
  <c r="AD224" i="4"/>
  <c r="Z224" i="4"/>
  <c r="Z230" i="4"/>
  <c r="V224" i="4"/>
  <c r="R224" i="4"/>
  <c r="N224" i="4"/>
  <c r="J224" i="4"/>
  <c r="F224" i="4"/>
  <c r="AD223" i="4"/>
  <c r="Z223" i="4"/>
  <c r="V223" i="4"/>
  <c r="V230" i="4"/>
  <c r="R223" i="4"/>
  <c r="N223" i="4"/>
  <c r="J223" i="4"/>
  <c r="F223" i="4"/>
  <c r="AD222" i="4"/>
  <c r="Z222" i="4"/>
  <c r="V222" i="4"/>
  <c r="R222" i="4"/>
  <c r="R230" i="4"/>
  <c r="N222" i="4"/>
  <c r="J222" i="4"/>
  <c r="F222" i="4"/>
  <c r="AD221" i="4"/>
  <c r="Z221" i="4"/>
  <c r="V221" i="4"/>
  <c r="R221" i="4"/>
  <c r="N221" i="4"/>
  <c r="J221" i="4"/>
  <c r="F221" i="4"/>
  <c r="H219" i="4"/>
  <c r="L219" i="4"/>
  <c r="P219" i="4"/>
  <c r="T219" i="4"/>
  <c r="X219" i="4"/>
  <c r="AB219" i="4"/>
  <c r="AD212" i="4"/>
  <c r="Z212" i="4"/>
  <c r="V212" i="4"/>
  <c r="R212" i="4"/>
  <c r="N212" i="4"/>
  <c r="J212" i="4"/>
  <c r="AF212" i="4"/>
  <c r="AD218" i="4"/>
  <c r="Z218" i="4"/>
  <c r="V218" i="4"/>
  <c r="R218" i="4"/>
  <c r="N218" i="4"/>
  <c r="J218" i="4"/>
  <c r="AF218" i="4"/>
  <c r="F218" i="4"/>
  <c r="AF217" i="4"/>
  <c r="AF216" i="4"/>
  <c r="AD213" i="4"/>
  <c r="Z213" i="4"/>
  <c r="V213" i="4"/>
  <c r="R213" i="4"/>
  <c r="N213" i="4"/>
  <c r="J213" i="4"/>
  <c r="F213" i="4"/>
  <c r="AD209" i="4"/>
  <c r="Z209" i="4"/>
  <c r="V209" i="4"/>
  <c r="R209" i="4"/>
  <c r="N209" i="4"/>
  <c r="AF209" i="4"/>
  <c r="J209" i="4"/>
  <c r="F209" i="4"/>
  <c r="AD208" i="4"/>
  <c r="Z208" i="4"/>
  <c r="V208" i="4"/>
  <c r="R208" i="4"/>
  <c r="N208" i="4"/>
  <c r="J208" i="4"/>
  <c r="AF208" i="4"/>
  <c r="F208" i="4"/>
  <c r="AD207" i="4"/>
  <c r="Z207" i="4"/>
  <c r="V207" i="4"/>
  <c r="R207" i="4"/>
  <c r="N207" i="4"/>
  <c r="J207" i="4"/>
  <c r="F207" i="4"/>
  <c r="AD206" i="4"/>
  <c r="Z206" i="4"/>
  <c r="V206" i="4"/>
  <c r="R206" i="4"/>
  <c r="N206" i="4"/>
  <c r="J206" i="4"/>
  <c r="F206" i="4"/>
  <c r="AF206" i="4"/>
  <c r="AD205" i="4"/>
  <c r="Z205" i="4"/>
  <c r="V205" i="4"/>
  <c r="R205" i="4"/>
  <c r="N205" i="4"/>
  <c r="J205" i="4"/>
  <c r="AF205" i="4"/>
  <c r="F205" i="4"/>
  <c r="AD204" i="4"/>
  <c r="Z204" i="4"/>
  <c r="V204" i="4"/>
  <c r="V214" i="4"/>
  <c r="R204" i="4"/>
  <c r="N204" i="4"/>
  <c r="J204" i="4"/>
  <c r="J214" i="4"/>
  <c r="F204" i="4"/>
  <c r="AF204" i="4"/>
  <c r="H202" i="4"/>
  <c r="L202" i="4"/>
  <c r="P202" i="4"/>
  <c r="T202" i="4"/>
  <c r="X202" i="4"/>
  <c r="AB202" i="4"/>
  <c r="AB285" i="2"/>
  <c r="AB288" i="2"/>
  <c r="AL267" i="2"/>
  <c r="AB286" i="2"/>
  <c r="AB287" i="2"/>
  <c r="AB284" i="2"/>
  <c r="O76" i="2"/>
  <c r="Z214" i="4"/>
  <c r="F214" i="4"/>
  <c r="J187" i="4"/>
  <c r="AB264" i="2"/>
  <c r="Z283" i="2"/>
  <c r="U283" i="2"/>
  <c r="P283" i="2"/>
  <c r="K283" i="2"/>
  <c r="F283" i="2"/>
  <c r="E288" i="2"/>
  <c r="Y279" i="2"/>
  <c r="Y283" i="2"/>
  <c r="T279" i="2"/>
  <c r="O279" i="2"/>
  <c r="J279" i="2"/>
  <c r="E279" i="2"/>
  <c r="E283" i="2"/>
  <c r="Y280" i="2"/>
  <c r="T280" i="2"/>
  <c r="O280" i="2"/>
  <c r="J280" i="2"/>
  <c r="AA280" i="2"/>
  <c r="E280" i="2"/>
  <c r="J76" i="2"/>
  <c r="AA254" i="2"/>
  <c r="AA252" i="2"/>
  <c r="AA221" i="2"/>
  <c r="AA220" i="2"/>
  <c r="AA218" i="2"/>
  <c r="AA150" i="2"/>
  <c r="AA151" i="2"/>
  <c r="AA153" i="2"/>
  <c r="Z250" i="2"/>
  <c r="U250" i="2"/>
  <c r="P250" i="2"/>
  <c r="K250" i="2"/>
  <c r="F250" i="2"/>
  <c r="Z217" i="2"/>
  <c r="U217" i="2"/>
  <c r="P217" i="2"/>
  <c r="K217" i="2"/>
  <c r="F217" i="2"/>
  <c r="O283" i="2"/>
  <c r="T283" i="2"/>
  <c r="AF238" i="2"/>
  <c r="AB79" i="2"/>
  <c r="AB265" i="2"/>
  <c r="AB283" i="2"/>
  <c r="AL264" i="2"/>
  <c r="AB266" i="2"/>
  <c r="AB267" i="2"/>
  <c r="AB268" i="2"/>
  <c r="AB269" i="2"/>
  <c r="AB270" i="2"/>
  <c r="AB271" i="2"/>
  <c r="AB272" i="2"/>
  <c r="AB273" i="2"/>
  <c r="AB274" i="2"/>
  <c r="AB275" i="2"/>
  <c r="AB276" i="2"/>
  <c r="AB277" i="2"/>
  <c r="AB278" i="2"/>
  <c r="AB279" i="2"/>
  <c r="AB280" i="2"/>
  <c r="AB281" i="2"/>
  <c r="AB282" i="2"/>
  <c r="AB252" i="2"/>
  <c r="AB255" i="2"/>
  <c r="AL234" i="2"/>
  <c r="AB254" i="2"/>
  <c r="T253" i="2"/>
  <c r="O253" i="2"/>
  <c r="J253" i="2"/>
  <c r="AB231" i="2"/>
  <c r="AB232" i="2"/>
  <c r="AB233" i="2"/>
  <c r="AB234" i="2"/>
  <c r="AB237" i="2"/>
  <c r="AB235" i="2"/>
  <c r="AB236" i="2"/>
  <c r="AB238" i="2"/>
  <c r="AB239" i="2"/>
  <c r="AB240" i="2"/>
  <c r="AB241" i="2"/>
  <c r="AB242" i="2"/>
  <c r="AB243" i="2"/>
  <c r="AB244" i="2"/>
  <c r="AB245" i="2"/>
  <c r="AB246" i="2"/>
  <c r="AB247" i="2"/>
  <c r="AB248" i="2"/>
  <c r="AB249" i="2"/>
  <c r="AB219" i="2"/>
  <c r="AB220" i="2"/>
  <c r="AB221" i="2"/>
  <c r="AB218" i="2"/>
  <c r="AB222" i="2"/>
  <c r="AL201" i="2"/>
  <c r="AB202" i="2"/>
  <c r="AB217" i="2"/>
  <c r="AL198" i="2"/>
  <c r="AB203" i="2"/>
  <c r="AB205" i="2"/>
  <c r="AB209" i="2"/>
  <c r="AB211" i="2"/>
  <c r="AB187" i="2"/>
  <c r="AB188" i="2"/>
  <c r="AB185" i="2"/>
  <c r="AB189" i="2"/>
  <c r="AL166" i="2"/>
  <c r="AL163" i="2"/>
  <c r="AB151" i="2"/>
  <c r="AB152" i="2"/>
  <c r="AB153" i="2"/>
  <c r="AB150" i="2"/>
  <c r="AB154" i="2"/>
  <c r="AB138" i="2"/>
  <c r="Y152" i="2"/>
  <c r="O152" i="2"/>
  <c r="AB125" i="2"/>
  <c r="AB127" i="2"/>
  <c r="AL115" i="2"/>
  <c r="Y125" i="2"/>
  <c r="AB139" i="2"/>
  <c r="AB149" i="2"/>
  <c r="AL138" i="2"/>
  <c r="AB140" i="2"/>
  <c r="AB141" i="2"/>
  <c r="AB142" i="2"/>
  <c r="AB143" i="2"/>
  <c r="AB146" i="2"/>
  <c r="AB113" i="2"/>
  <c r="AB114" i="2"/>
  <c r="AB115" i="2"/>
  <c r="AB116" i="2"/>
  <c r="AB117" i="2"/>
  <c r="AB118" i="2"/>
  <c r="AB119" i="2"/>
  <c r="AB120" i="2"/>
  <c r="AB121" i="2"/>
  <c r="AB122" i="2"/>
  <c r="AB123" i="2"/>
  <c r="AB112" i="2"/>
  <c r="U124" i="2"/>
  <c r="P124" i="2"/>
  <c r="K124" i="2"/>
  <c r="F124" i="2"/>
  <c r="AB101" i="2"/>
  <c r="AB103" i="2"/>
  <c r="AL91" i="2"/>
  <c r="Y101" i="2"/>
  <c r="AA88" i="2"/>
  <c r="AB89" i="2"/>
  <c r="AB90" i="2"/>
  <c r="AB91" i="2"/>
  <c r="AB92" i="2"/>
  <c r="AB93" i="2"/>
  <c r="AB94" i="2"/>
  <c r="AB95" i="2"/>
  <c r="AB96" i="2"/>
  <c r="AB97" i="2"/>
  <c r="AB98" i="2"/>
  <c r="AB99" i="2"/>
  <c r="AB88" i="2"/>
  <c r="Z100" i="2"/>
  <c r="U100" i="2"/>
  <c r="P100" i="2"/>
  <c r="C258" i="2"/>
  <c r="K100" i="2"/>
  <c r="F100" i="2"/>
  <c r="AB69" i="2"/>
  <c r="AB70" i="2"/>
  <c r="AB71" i="2"/>
  <c r="AB72" i="2"/>
  <c r="AB76" i="2"/>
  <c r="AL68" i="2"/>
  <c r="AB73" i="2"/>
  <c r="AB74" i="2"/>
  <c r="AB75" i="2"/>
  <c r="AB68" i="2"/>
  <c r="AA68" i="2"/>
  <c r="Y76" i="2"/>
  <c r="Z149" i="2"/>
  <c r="Z76" i="2"/>
  <c r="U149" i="2"/>
  <c r="U76" i="2"/>
  <c r="P149" i="2"/>
  <c r="P76" i="2"/>
  <c r="K149" i="2"/>
  <c r="K76" i="2"/>
  <c r="F76" i="2"/>
  <c r="F149" i="2"/>
  <c r="AG251" i="2"/>
  <c r="AG287" i="2"/>
  <c r="AG284" i="2"/>
  <c r="C257" i="2"/>
  <c r="C256" i="2"/>
  <c r="AL236" i="2"/>
  <c r="AL141" i="2"/>
  <c r="AF273" i="2"/>
  <c r="AG273" i="2"/>
  <c r="AF274" i="2"/>
  <c r="AF275" i="2"/>
  <c r="AF276" i="2"/>
  <c r="AG276" i="2"/>
  <c r="AG277" i="2"/>
  <c r="AG278" i="2"/>
  <c r="AF279" i="2"/>
  <c r="AG279" i="2"/>
  <c r="AF280" i="2"/>
  <c r="AF281" i="2"/>
  <c r="AG281" i="2"/>
  <c r="AF282" i="2"/>
  <c r="AG282" i="2"/>
  <c r="AF268" i="2"/>
  <c r="AG268" i="2"/>
  <c r="AG306" i="2"/>
  <c r="AG310" i="2"/>
  <c r="C289" i="2"/>
  <c r="AL269" i="2"/>
  <c r="AG204" i="2"/>
  <c r="AG207" i="2"/>
  <c r="AG211" i="2"/>
  <c r="AG212" i="2"/>
  <c r="C223" i="2"/>
  <c r="AL203" i="2"/>
  <c r="O189" i="2"/>
  <c r="AG126" i="2"/>
  <c r="AL162" i="2"/>
  <c r="AG188" i="2"/>
  <c r="C190" i="2"/>
  <c r="AL168" i="2"/>
  <c r="C155" i="2"/>
  <c r="AL142" i="2"/>
  <c r="C130" i="2"/>
  <c r="AL117" i="2"/>
  <c r="C104" i="2"/>
  <c r="AL93" i="2"/>
  <c r="C80" i="2"/>
  <c r="AL72" i="2"/>
  <c r="AL49" i="2"/>
  <c r="AL48" i="2"/>
  <c r="C60" i="2"/>
  <c r="AL51" i="2"/>
  <c r="AA69" i="2"/>
  <c r="AA70" i="2"/>
  <c r="AA71" i="2"/>
  <c r="AA72" i="2"/>
  <c r="Y37" i="2"/>
  <c r="AL31" i="2"/>
  <c r="AL30" i="2"/>
  <c r="AL13" i="2"/>
  <c r="AL12" i="2"/>
  <c r="C40" i="2"/>
  <c r="AL33" i="2"/>
  <c r="C22" i="2"/>
  <c r="AF240" i="2"/>
  <c r="AG240" i="2"/>
  <c r="AF241" i="2"/>
  <c r="AG241" i="2"/>
  <c r="AF242" i="2"/>
  <c r="AF243" i="2"/>
  <c r="AG243" i="2"/>
  <c r="AG244" i="2"/>
  <c r="AG245" i="2"/>
  <c r="AF246" i="2"/>
  <c r="AG246" i="2"/>
  <c r="AF247" i="2"/>
  <c r="AG247" i="2"/>
  <c r="AF249" i="2"/>
  <c r="AG249" i="2"/>
  <c r="AF235" i="2"/>
  <c r="AG235" i="2"/>
  <c r="G4" i="9"/>
  <c r="G3" i="9"/>
  <c r="G9" i="9"/>
  <c r="G10" i="9"/>
  <c r="G11" i="9"/>
  <c r="G12" i="9"/>
  <c r="G13" i="9"/>
  <c r="G8" i="9"/>
  <c r="Y184" i="2"/>
  <c r="AG186" i="2"/>
  <c r="AA186" i="2"/>
  <c r="AA142" i="2"/>
  <c r="AA148" i="2"/>
  <c r="AA99" i="2"/>
  <c r="AG101" i="2"/>
  <c r="AA97" i="2"/>
  <c r="AA96" i="2"/>
  <c r="AA95" i="2"/>
  <c r="AA94" i="2"/>
  <c r="AA93" i="2"/>
  <c r="AA91" i="2"/>
  <c r="AA90" i="2"/>
  <c r="AA89" i="2"/>
  <c r="AA56" i="2"/>
  <c r="AA55" i="2"/>
  <c r="AA48" i="2"/>
  <c r="AA30" i="2"/>
  <c r="AA18" i="2"/>
  <c r="AA17" i="2"/>
  <c r="AA198" i="2"/>
  <c r="AA201" i="2"/>
  <c r="AA203" i="2"/>
  <c r="AA205" i="2"/>
  <c r="AA206" i="2"/>
  <c r="AA207" i="2"/>
  <c r="AA208" i="2"/>
  <c r="AA209" i="2"/>
  <c r="AA210" i="2"/>
  <c r="AA211" i="2"/>
  <c r="AA213" i="2"/>
  <c r="AA214" i="2"/>
  <c r="AA215" i="2"/>
  <c r="AA216" i="2"/>
  <c r="AF176" i="2"/>
  <c r="AG176" i="2"/>
  <c r="AF177" i="2"/>
  <c r="AG177" i="2"/>
  <c r="AF178" i="2"/>
  <c r="AG178" i="2"/>
  <c r="AF179" i="2"/>
  <c r="AG179" i="2"/>
  <c r="AF180" i="2"/>
  <c r="AG180" i="2"/>
  <c r="AF181" i="2"/>
  <c r="AG181" i="2"/>
  <c r="AF182" i="2"/>
  <c r="E244" i="2"/>
  <c r="AG274" i="2"/>
  <c r="AA311" i="2"/>
  <c r="AG307" i="2"/>
  <c r="AG309" i="2"/>
  <c r="AG311" i="2"/>
  <c r="AG301" i="2"/>
  <c r="AA301" i="2"/>
  <c r="AA278" i="2"/>
  <c r="AA282" i="2"/>
  <c r="AA235" i="2"/>
  <c r="AA245" i="2"/>
  <c r="AA247" i="2"/>
  <c r="J125" i="2"/>
  <c r="AL15" i="2"/>
  <c r="AA268" i="2"/>
  <c r="AA281" i="2"/>
  <c r="O255" i="2"/>
  <c r="O248" i="2"/>
  <c r="O250" i="2"/>
  <c r="O246" i="2"/>
  <c r="J248" i="2"/>
  <c r="J246" i="2"/>
  <c r="E246" i="2"/>
  <c r="Y222" i="2"/>
  <c r="T222" i="2"/>
  <c r="AF115" i="4"/>
  <c r="AA246" i="2"/>
  <c r="J255" i="2"/>
  <c r="AA188" i="2"/>
  <c r="AA185" i="2"/>
  <c r="AA141" i="2"/>
  <c r="AA140" i="2"/>
  <c r="AA138" i="2"/>
  <c r="AA147" i="2"/>
  <c r="AA146" i="2"/>
  <c r="AA145" i="2"/>
  <c r="AA144" i="2"/>
  <c r="AA143" i="2"/>
  <c r="Y149" i="2"/>
  <c r="T149" i="2"/>
  <c r="O149" i="2"/>
  <c r="J149" i="2"/>
  <c r="F175" i="4"/>
  <c r="F176" i="4"/>
  <c r="J176" i="4"/>
  <c r="J175" i="4"/>
  <c r="E253" i="2"/>
  <c r="E255" i="2"/>
  <c r="AA253" i="2"/>
  <c r="E154" i="2"/>
  <c r="AG318" i="2"/>
  <c r="AG297" i="2"/>
  <c r="AG298" i="2"/>
  <c r="AG299" i="2"/>
  <c r="AG323" i="2"/>
  <c r="AG300" i="2"/>
  <c r="AG302" i="2"/>
  <c r="AG303" i="2"/>
  <c r="AG304" i="2"/>
  <c r="AG305" i="2"/>
  <c r="AG308" i="2"/>
  <c r="AF264" i="2"/>
  <c r="AG264" i="2"/>
  <c r="AF265" i="2"/>
  <c r="AG265" i="2"/>
  <c r="AF266" i="2"/>
  <c r="AG266" i="2"/>
  <c r="AF267" i="2"/>
  <c r="AG267" i="2"/>
  <c r="AF269" i="2"/>
  <c r="AG269" i="2"/>
  <c r="AF270" i="2"/>
  <c r="AG270" i="2"/>
  <c r="AF271" i="2"/>
  <c r="AG271" i="2"/>
  <c r="AF272" i="2"/>
  <c r="AG272" i="2"/>
  <c r="AG275" i="2"/>
  <c r="AG280" i="2"/>
  <c r="AA175" i="2"/>
  <c r="AA273" i="2"/>
  <c r="AA318" i="2"/>
  <c r="AA299" i="2"/>
  <c r="AA267" i="2"/>
  <c r="AA265" i="2"/>
  <c r="AA298" i="2"/>
  <c r="AA275" i="2"/>
  <c r="AA276" i="2"/>
  <c r="AA308" i="2"/>
  <c r="AA300" i="2"/>
  <c r="AA266" i="2"/>
  <c r="AA269" i="2"/>
  <c r="AA309" i="2"/>
  <c r="AA302" i="2"/>
  <c r="AA272" i="2"/>
  <c r="AA306" i="2"/>
  <c r="AA310" i="2"/>
  <c r="AA277" i="2"/>
  <c r="AA303" i="2"/>
  <c r="AA297" i="2"/>
  <c r="AA270" i="2"/>
  <c r="AA264" i="2"/>
  <c r="AA304" i="2"/>
  <c r="AA271" i="2"/>
  <c r="AA307" i="2"/>
  <c r="AA274" i="2"/>
  <c r="AA305" i="2"/>
  <c r="AF234" i="2"/>
  <c r="AG234" i="2"/>
  <c r="AF233" i="2"/>
  <c r="AG233" i="2"/>
  <c r="AF231" i="2"/>
  <c r="AG231" i="2"/>
  <c r="AF232" i="2"/>
  <c r="AG232" i="2"/>
  <c r="AF236" i="2"/>
  <c r="AG236" i="2"/>
  <c r="AA234" i="2"/>
  <c r="AA232" i="2"/>
  <c r="AA231" i="2"/>
  <c r="AA233" i="2"/>
  <c r="AA236" i="2"/>
  <c r="AG214" i="2"/>
  <c r="AF210" i="2"/>
  <c r="AG210" i="2"/>
  <c r="AF213" i="2"/>
  <c r="AG213" i="2"/>
  <c r="AF216" i="2"/>
  <c r="AG216" i="2"/>
  <c r="AF215" i="2"/>
  <c r="AG215" i="2"/>
  <c r="AF208" i="2"/>
  <c r="AG208" i="2"/>
  <c r="T200" i="2"/>
  <c r="AA200" i="2"/>
  <c r="Y202" i="2"/>
  <c r="T202" i="2"/>
  <c r="AA202" i="2"/>
  <c r="O199" i="2"/>
  <c r="Y204" i="2"/>
  <c r="T204" i="2"/>
  <c r="O204" i="2"/>
  <c r="AA212" i="2"/>
  <c r="J204" i="2"/>
  <c r="J217" i="2"/>
  <c r="AG242" i="2"/>
  <c r="Y284" i="2"/>
  <c r="AA284" i="2"/>
  <c r="E204" i="2"/>
  <c r="AG175" i="2"/>
  <c r="AF173" i="2"/>
  <c r="AG173" i="2"/>
  <c r="AF174" i="2"/>
  <c r="AG174" i="2"/>
  <c r="Y174" i="2"/>
  <c r="AA174" i="2"/>
  <c r="J173" i="2"/>
  <c r="J174" i="2"/>
  <c r="J176" i="2"/>
  <c r="AA176" i="2"/>
  <c r="J177" i="2"/>
  <c r="AA177" i="2"/>
  <c r="J178" i="2"/>
  <c r="AA178" i="2"/>
  <c r="J179" i="2"/>
  <c r="AA179" i="2"/>
  <c r="J180" i="2"/>
  <c r="AA180" i="2"/>
  <c r="J181" i="2"/>
  <c r="AA181" i="2"/>
  <c r="J182" i="2"/>
  <c r="AF209" i="2"/>
  <c r="AG209" i="2"/>
  <c r="AF155" i="4"/>
  <c r="AA204" i="2"/>
  <c r="AA173" i="2"/>
  <c r="E217" i="2"/>
  <c r="AA243" i="2"/>
  <c r="AA241" i="2"/>
  <c r="AA240" i="2"/>
  <c r="AA249" i="2"/>
  <c r="AA242" i="2"/>
  <c r="AD153" i="4"/>
  <c r="Z153" i="4"/>
  <c r="V153" i="4"/>
  <c r="R153" i="4"/>
  <c r="N153" i="4"/>
  <c r="J153" i="4"/>
  <c r="F153" i="4"/>
  <c r="AA19" i="3"/>
  <c r="W57" i="3"/>
  <c r="W64" i="3"/>
  <c r="V71" i="3"/>
  <c r="V72" i="3"/>
  <c r="V73" i="3"/>
  <c r="AA17" i="3"/>
  <c r="AF153" i="4"/>
  <c r="AD201" i="4"/>
  <c r="Z201" i="4"/>
  <c r="V201" i="4"/>
  <c r="R201" i="4"/>
  <c r="N201" i="4"/>
  <c r="J201" i="4"/>
  <c r="F201" i="4"/>
  <c r="AF200" i="4"/>
  <c r="AF199" i="4"/>
  <c r="AD193" i="4"/>
  <c r="Z193" i="4"/>
  <c r="V193" i="4"/>
  <c r="R193" i="4"/>
  <c r="N193" i="4"/>
  <c r="J193" i="4"/>
  <c r="F193" i="4"/>
  <c r="F197" i="4"/>
  <c r="AD191" i="4"/>
  <c r="Z191" i="4"/>
  <c r="V191" i="4"/>
  <c r="R191" i="4"/>
  <c r="N191" i="4"/>
  <c r="J191" i="4"/>
  <c r="F191" i="4"/>
  <c r="AD190" i="4"/>
  <c r="Z190" i="4"/>
  <c r="V190" i="4"/>
  <c r="R190" i="4"/>
  <c r="N190" i="4"/>
  <c r="J190" i="4"/>
  <c r="F190" i="4"/>
  <c r="AD189" i="4"/>
  <c r="Z189" i="4"/>
  <c r="V189" i="4"/>
  <c r="R189" i="4"/>
  <c r="N189" i="4"/>
  <c r="J189" i="4"/>
  <c r="F189" i="4"/>
  <c r="AD188" i="4"/>
  <c r="Z188" i="4"/>
  <c r="V188" i="4"/>
  <c r="R188" i="4"/>
  <c r="N188" i="4"/>
  <c r="J188" i="4"/>
  <c r="F188" i="4"/>
  <c r="AD187" i="4"/>
  <c r="Z187" i="4"/>
  <c r="V187" i="4"/>
  <c r="R187" i="4"/>
  <c r="N187" i="4"/>
  <c r="F187" i="4"/>
  <c r="AD186" i="4"/>
  <c r="Z186" i="4"/>
  <c r="V186" i="4"/>
  <c r="R186" i="4"/>
  <c r="N186" i="4"/>
  <c r="J186" i="4"/>
  <c r="F186" i="4"/>
  <c r="H184" i="4"/>
  <c r="L184" i="4"/>
  <c r="P184" i="4"/>
  <c r="T184" i="4"/>
  <c r="X184" i="4"/>
  <c r="AB184" i="4"/>
  <c r="AD183" i="4"/>
  <c r="AF183" i="4"/>
  <c r="Z183" i="4"/>
  <c r="V183" i="4"/>
  <c r="R183" i="4"/>
  <c r="N183" i="4"/>
  <c r="J183" i="4"/>
  <c r="F183" i="4"/>
  <c r="AF182" i="4"/>
  <c r="AF181" i="4"/>
  <c r="AD178" i="4"/>
  <c r="Z178" i="4"/>
  <c r="V178" i="4"/>
  <c r="R178" i="4"/>
  <c r="N178" i="4"/>
  <c r="J178" i="4"/>
  <c r="F178" i="4"/>
  <c r="AD177" i="4"/>
  <c r="Z177" i="4"/>
  <c r="V177" i="4"/>
  <c r="R177" i="4"/>
  <c r="N177" i="4"/>
  <c r="J177" i="4"/>
  <c r="F177" i="4"/>
  <c r="AD176" i="4"/>
  <c r="Z176" i="4"/>
  <c r="V176" i="4"/>
  <c r="R176" i="4"/>
  <c r="N176" i="4"/>
  <c r="AD175" i="4"/>
  <c r="Z175" i="4"/>
  <c r="V175" i="4"/>
  <c r="R175" i="4"/>
  <c r="N175" i="4"/>
  <c r="H173" i="4"/>
  <c r="L173" i="4"/>
  <c r="P173" i="4"/>
  <c r="T173" i="4"/>
  <c r="X173" i="4"/>
  <c r="AB173" i="4"/>
  <c r="AD172" i="4"/>
  <c r="Z172" i="4"/>
  <c r="AF172" i="4"/>
  <c r="V172" i="4"/>
  <c r="R172" i="4"/>
  <c r="N172" i="4"/>
  <c r="J172" i="4"/>
  <c r="F172" i="4"/>
  <c r="AF171" i="4"/>
  <c r="AF170" i="4"/>
  <c r="AD167" i="4"/>
  <c r="AD168" i="4"/>
  <c r="Z167" i="4"/>
  <c r="V167" i="4"/>
  <c r="R167" i="4"/>
  <c r="N167" i="4"/>
  <c r="J167" i="4"/>
  <c r="F167" i="4"/>
  <c r="AD166" i="4"/>
  <c r="Z166" i="4"/>
  <c r="AF166" i="4"/>
  <c r="V166" i="4"/>
  <c r="R166" i="4"/>
  <c r="N166" i="4"/>
  <c r="J166" i="4"/>
  <c r="F166" i="4"/>
  <c r="AD165" i="4"/>
  <c r="Z165" i="4"/>
  <c r="V165" i="4"/>
  <c r="V168" i="4"/>
  <c r="R165" i="4"/>
  <c r="N165" i="4"/>
  <c r="J165" i="4"/>
  <c r="F165" i="4"/>
  <c r="AD164" i="4"/>
  <c r="Z164" i="4"/>
  <c r="V164" i="4"/>
  <c r="R164" i="4"/>
  <c r="N164" i="4"/>
  <c r="J164" i="4"/>
  <c r="F164" i="4"/>
  <c r="AD163" i="4"/>
  <c r="Z163" i="4"/>
  <c r="V163" i="4"/>
  <c r="R163" i="4"/>
  <c r="N163" i="4"/>
  <c r="J163" i="4"/>
  <c r="F163" i="4"/>
  <c r="AD162" i="4"/>
  <c r="Z162" i="4"/>
  <c r="V162" i="4"/>
  <c r="R162" i="4"/>
  <c r="N162" i="4"/>
  <c r="J162" i="4"/>
  <c r="AF162" i="4"/>
  <c r="F162" i="4"/>
  <c r="AD161" i="4"/>
  <c r="Z161" i="4"/>
  <c r="V161" i="4"/>
  <c r="R161" i="4"/>
  <c r="N161" i="4"/>
  <c r="J161" i="4"/>
  <c r="F161" i="4"/>
  <c r="H159" i="4"/>
  <c r="L159" i="4"/>
  <c r="P159" i="4"/>
  <c r="T159" i="4"/>
  <c r="X159" i="4"/>
  <c r="AB159" i="4"/>
  <c r="AD144" i="4"/>
  <c r="AD145" i="4"/>
  <c r="AD146" i="4"/>
  <c r="AD147" i="4"/>
  <c r="Z144" i="4"/>
  <c r="Z145" i="4"/>
  <c r="Z146" i="4"/>
  <c r="Z147" i="4"/>
  <c r="AD124" i="4"/>
  <c r="AD125" i="4"/>
  <c r="AD126" i="4"/>
  <c r="AD127" i="4"/>
  <c r="Z124" i="4"/>
  <c r="Z125" i="4"/>
  <c r="Z126" i="4"/>
  <c r="Z127" i="4"/>
  <c r="AD158" i="4"/>
  <c r="Z158" i="4"/>
  <c r="V158" i="4"/>
  <c r="R158" i="4"/>
  <c r="N158" i="4"/>
  <c r="J158" i="4"/>
  <c r="F158" i="4"/>
  <c r="AF157" i="4"/>
  <c r="AF156" i="4"/>
  <c r="AD152" i="4"/>
  <c r="Z152" i="4"/>
  <c r="V152" i="4"/>
  <c r="R152" i="4"/>
  <c r="N152" i="4"/>
  <c r="J152" i="4"/>
  <c r="F152" i="4"/>
  <c r="AD151" i="4"/>
  <c r="Z151" i="4"/>
  <c r="V151" i="4"/>
  <c r="R151" i="4"/>
  <c r="N151" i="4"/>
  <c r="J151" i="4"/>
  <c r="F151" i="4"/>
  <c r="AD150" i="4"/>
  <c r="Z150" i="4"/>
  <c r="V150" i="4"/>
  <c r="AF150" i="4"/>
  <c r="R150" i="4"/>
  <c r="N150" i="4"/>
  <c r="J150" i="4"/>
  <c r="F150" i="4"/>
  <c r="AD149" i="4"/>
  <c r="Z149" i="4"/>
  <c r="V149" i="4"/>
  <c r="R149" i="4"/>
  <c r="N149" i="4"/>
  <c r="J149" i="4"/>
  <c r="F149" i="4"/>
  <c r="AD148" i="4"/>
  <c r="Z148" i="4"/>
  <c r="V148" i="4"/>
  <c r="R148" i="4"/>
  <c r="N148" i="4"/>
  <c r="N154" i="4"/>
  <c r="J148" i="4"/>
  <c r="F148" i="4"/>
  <c r="V147" i="4"/>
  <c r="AF147" i="4"/>
  <c r="R147" i="4"/>
  <c r="N147" i="4"/>
  <c r="J147" i="4"/>
  <c r="F147" i="4"/>
  <c r="V146" i="4"/>
  <c r="R146" i="4"/>
  <c r="N146" i="4"/>
  <c r="J146" i="4"/>
  <c r="F146" i="4"/>
  <c r="V145" i="4"/>
  <c r="R145" i="4"/>
  <c r="N145" i="4"/>
  <c r="J145" i="4"/>
  <c r="F145" i="4"/>
  <c r="V144" i="4"/>
  <c r="R144" i="4"/>
  <c r="AF144" i="4"/>
  <c r="N144" i="4"/>
  <c r="J144" i="4"/>
  <c r="F144" i="4"/>
  <c r="AD143" i="4"/>
  <c r="Z143" i="4"/>
  <c r="Z154" i="4"/>
  <c r="V143" i="4"/>
  <c r="R143" i="4"/>
  <c r="N143" i="4"/>
  <c r="J143" i="4"/>
  <c r="F143" i="4"/>
  <c r="AD142" i="4"/>
  <c r="Z142" i="4"/>
  <c r="V142" i="4"/>
  <c r="R142" i="4"/>
  <c r="N142" i="4"/>
  <c r="J142" i="4"/>
  <c r="F142" i="4"/>
  <c r="AD141" i="4"/>
  <c r="Z141" i="4"/>
  <c r="V141" i="4"/>
  <c r="R141" i="4"/>
  <c r="AF141" i="4"/>
  <c r="N141" i="4"/>
  <c r="J141" i="4"/>
  <c r="F141" i="4"/>
  <c r="H139" i="4"/>
  <c r="L139" i="4"/>
  <c r="P139" i="4"/>
  <c r="T139" i="4"/>
  <c r="X139" i="4"/>
  <c r="AB139" i="4"/>
  <c r="N124" i="4"/>
  <c r="N125" i="4"/>
  <c r="N126" i="4"/>
  <c r="N127" i="4"/>
  <c r="J124" i="4"/>
  <c r="J125" i="4"/>
  <c r="J126" i="4"/>
  <c r="AF126" i="4"/>
  <c r="J127" i="4"/>
  <c r="F124" i="4"/>
  <c r="F125" i="4"/>
  <c r="F126" i="4"/>
  <c r="F127" i="4"/>
  <c r="R126" i="4"/>
  <c r="R127" i="4"/>
  <c r="V124" i="4"/>
  <c r="AF124" i="4"/>
  <c r="V125" i="4"/>
  <c r="V126" i="4"/>
  <c r="V127" i="4"/>
  <c r="AF127" i="4"/>
  <c r="R125" i="4"/>
  <c r="R124" i="4"/>
  <c r="AF172" i="2"/>
  <c r="AG172" i="2"/>
  <c r="J172" i="2"/>
  <c r="AG325" i="2"/>
  <c r="AG320" i="2"/>
  <c r="AG319" i="2"/>
  <c r="AG286" i="2"/>
  <c r="AG288" i="2"/>
  <c r="AL268" i="2"/>
  <c r="AG285" i="2"/>
  <c r="AG253" i="2"/>
  <c r="AG252" i="2"/>
  <c r="AG255" i="2"/>
  <c r="AF239" i="2"/>
  <c r="AG239" i="2"/>
  <c r="AG248" i="2"/>
  <c r="J250" i="2"/>
  <c r="E248" i="2"/>
  <c r="AG238" i="2"/>
  <c r="AG237" i="2"/>
  <c r="AG220" i="2"/>
  <c r="AG222" i="2"/>
  <c r="AL202" i="2"/>
  <c r="AG219" i="2"/>
  <c r="O219" i="2"/>
  <c r="J219" i="2"/>
  <c r="J222" i="2"/>
  <c r="E219" i="2"/>
  <c r="AF206" i="2"/>
  <c r="AG206" i="2"/>
  <c r="AF205" i="2"/>
  <c r="AG205" i="2"/>
  <c r="AF203" i="2"/>
  <c r="AG203" i="2"/>
  <c r="AF202" i="2"/>
  <c r="AG202" i="2"/>
  <c r="AF201" i="2"/>
  <c r="AG201" i="2"/>
  <c r="AF200" i="2"/>
  <c r="AG200" i="2"/>
  <c r="AF199" i="2"/>
  <c r="AG199" i="2"/>
  <c r="Y199" i="2"/>
  <c r="Y217" i="2"/>
  <c r="T199" i="2"/>
  <c r="AF198" i="2"/>
  <c r="Y189" i="2"/>
  <c r="T189" i="2"/>
  <c r="J187" i="2"/>
  <c r="AA187" i="2"/>
  <c r="AA189" i="2"/>
  <c r="E189" i="2"/>
  <c r="AG165" i="2"/>
  <c r="AF166" i="2"/>
  <c r="AG166" i="2"/>
  <c r="AF167" i="2"/>
  <c r="AG167" i="2"/>
  <c r="AF168" i="2"/>
  <c r="AG168" i="2"/>
  <c r="AG169" i="2"/>
  <c r="AF170" i="2"/>
  <c r="AG170" i="2"/>
  <c r="AF171" i="2"/>
  <c r="AG171" i="2"/>
  <c r="AG182" i="2"/>
  <c r="Y168" i="2"/>
  <c r="Y171" i="2"/>
  <c r="T164" i="2"/>
  <c r="T171" i="2"/>
  <c r="O164" i="2"/>
  <c r="O168" i="2"/>
  <c r="J164" i="2"/>
  <c r="J165" i="2"/>
  <c r="J166" i="2"/>
  <c r="J167" i="2"/>
  <c r="J168" i="2"/>
  <c r="J169" i="2"/>
  <c r="J170" i="2"/>
  <c r="AA170" i="2"/>
  <c r="J171" i="2"/>
  <c r="AF163" i="2"/>
  <c r="J163" i="2"/>
  <c r="AA287" i="2"/>
  <c r="AG187" i="2"/>
  <c r="AG189" i="2"/>
  <c r="AL167" i="2"/>
  <c r="AG185" i="2"/>
  <c r="T152" i="2"/>
  <c r="T154" i="2"/>
  <c r="AA154" i="2"/>
  <c r="Y127" i="2"/>
  <c r="J127" i="2"/>
  <c r="Y154" i="2"/>
  <c r="O154" i="2"/>
  <c r="J152" i="2"/>
  <c r="Y100" i="2"/>
  <c r="T100" i="2"/>
  <c r="O100" i="2"/>
  <c r="J100" i="2"/>
  <c r="E100" i="2"/>
  <c r="E124" i="2"/>
  <c r="J124" i="2"/>
  <c r="O124" i="2"/>
  <c r="T124" i="2"/>
  <c r="Y124" i="2"/>
  <c r="I70" i="8"/>
  <c r="E86" i="8"/>
  <c r="I86" i="8"/>
  <c r="I111" i="8"/>
  <c r="M86" i="8"/>
  <c r="Q86" i="8"/>
  <c r="U86" i="8"/>
  <c r="U105" i="8"/>
  <c r="Q105" i="8"/>
  <c r="M105" i="8"/>
  <c r="I105" i="8"/>
  <c r="E105" i="8"/>
  <c r="E70" i="8"/>
  <c r="U70" i="8"/>
  <c r="Q70" i="8"/>
  <c r="M70" i="8"/>
  <c r="U55" i="8"/>
  <c r="Q55" i="8"/>
  <c r="M55" i="8"/>
  <c r="I55" i="8"/>
  <c r="V55" i="8"/>
  <c r="V12" i="8"/>
  <c r="V13" i="8"/>
  <c r="V14" i="8"/>
  <c r="V16" i="8"/>
  <c r="V15" i="8"/>
  <c r="I16" i="8"/>
  <c r="V17" i="8"/>
  <c r="V18" i="8"/>
  <c r="E19" i="8"/>
  <c r="I19" i="8"/>
  <c r="U19" i="8"/>
  <c r="V23" i="8"/>
  <c r="V24" i="8"/>
  <c r="V25" i="8"/>
  <c r="V27" i="8"/>
  <c r="V26" i="8"/>
  <c r="E27" i="8"/>
  <c r="I27" i="8"/>
  <c r="M27" i="8"/>
  <c r="Q27" i="8"/>
  <c r="U27" i="8"/>
  <c r="V28" i="8"/>
  <c r="V29" i="8"/>
  <c r="E30" i="8"/>
  <c r="I30" i="8"/>
  <c r="M30" i="8"/>
  <c r="V30" i="8"/>
  <c r="Q30" i="8"/>
  <c r="U30" i="8"/>
  <c r="AD128" i="4"/>
  <c r="Z128" i="4"/>
  <c r="V128" i="4"/>
  <c r="R128" i="4"/>
  <c r="N128" i="4"/>
  <c r="J128" i="4"/>
  <c r="F128" i="4"/>
  <c r="AD131" i="4"/>
  <c r="Z131" i="4"/>
  <c r="V131" i="4"/>
  <c r="R131" i="4"/>
  <c r="N131" i="4"/>
  <c r="J131" i="4"/>
  <c r="F131" i="4"/>
  <c r="J129" i="4"/>
  <c r="AD129" i="4"/>
  <c r="Z129" i="4"/>
  <c r="V129" i="4"/>
  <c r="R129" i="4"/>
  <c r="N129" i="4"/>
  <c r="F129" i="4"/>
  <c r="AD130" i="4"/>
  <c r="Z130" i="4"/>
  <c r="V130" i="4"/>
  <c r="R130" i="4"/>
  <c r="N130" i="4"/>
  <c r="J130" i="4"/>
  <c r="F130" i="4"/>
  <c r="AG151" i="2"/>
  <c r="AG99" i="2"/>
  <c r="AG98" i="2"/>
  <c r="AA98" i="2"/>
  <c r="AG97" i="2"/>
  <c r="AG96" i="2"/>
  <c r="AG123" i="2"/>
  <c r="AA123" i="2"/>
  <c r="AG122" i="2"/>
  <c r="AA122" i="2"/>
  <c r="AG121" i="2"/>
  <c r="AA121" i="2"/>
  <c r="AG148" i="2"/>
  <c r="U108" i="8"/>
  <c r="Q108" i="8"/>
  <c r="M108" i="8"/>
  <c r="I108" i="8"/>
  <c r="E108" i="8"/>
  <c r="V107" i="8"/>
  <c r="AA106" i="8"/>
  <c r="AA108" i="8"/>
  <c r="V106" i="8"/>
  <c r="V108" i="8"/>
  <c r="Z105" i="8"/>
  <c r="AA104" i="8"/>
  <c r="V104" i="8"/>
  <c r="AA103" i="8"/>
  <c r="V103" i="8"/>
  <c r="AA102" i="8"/>
  <c r="V102" i="8"/>
  <c r="AA101" i="8"/>
  <c r="V101" i="8"/>
  <c r="AA100" i="8"/>
  <c r="V100" i="8"/>
  <c r="AA97" i="8"/>
  <c r="V97" i="8"/>
  <c r="AA96" i="8"/>
  <c r="V96" i="8"/>
  <c r="AA95" i="8"/>
  <c r="V95" i="8"/>
  <c r="AA94" i="8"/>
  <c r="V94" i="8"/>
  <c r="AA93" i="8"/>
  <c r="V93" i="8"/>
  <c r="U89" i="8"/>
  <c r="Q89" i="8"/>
  <c r="M89" i="8"/>
  <c r="I89" i="8"/>
  <c r="E89" i="8"/>
  <c r="V88" i="8"/>
  <c r="AA87" i="8"/>
  <c r="AA89" i="8"/>
  <c r="V87" i="8"/>
  <c r="V89" i="8"/>
  <c r="Z86" i="8"/>
  <c r="AA85" i="8"/>
  <c r="V85" i="8"/>
  <c r="AA84" i="8"/>
  <c r="V84" i="8"/>
  <c r="AA83" i="8"/>
  <c r="V83" i="8"/>
  <c r="AA82" i="8"/>
  <c r="V82" i="8"/>
  <c r="AA81" i="8"/>
  <c r="V81" i="8"/>
  <c r="AA80" i="8"/>
  <c r="V80" i="8"/>
  <c r="AA79" i="8"/>
  <c r="V79" i="8"/>
  <c r="AA78" i="8"/>
  <c r="V78" i="8"/>
  <c r="AA77" i="8"/>
  <c r="AA86" i="8"/>
  <c r="V77" i="8"/>
  <c r="M73" i="8"/>
  <c r="I73" i="8"/>
  <c r="AA71" i="8"/>
  <c r="AA73" i="8"/>
  <c r="U73" i="8"/>
  <c r="Q73" i="8"/>
  <c r="Z70" i="8"/>
  <c r="AA69" i="8"/>
  <c r="V69" i="8"/>
  <c r="AA68" i="8"/>
  <c r="V68" i="8"/>
  <c r="AA67" i="8"/>
  <c r="V67" i="8"/>
  <c r="AA66" i="8"/>
  <c r="V66" i="8"/>
  <c r="AA65" i="8"/>
  <c r="V65" i="8"/>
  <c r="AA64" i="8"/>
  <c r="V64" i="8"/>
  <c r="AA63" i="8"/>
  <c r="V63" i="8"/>
  <c r="AA62" i="8"/>
  <c r="AA70" i="8"/>
  <c r="AA6" i="8"/>
  <c r="V62" i="8"/>
  <c r="U58" i="8"/>
  <c r="Q58" i="8"/>
  <c r="M58" i="8"/>
  <c r="I58" i="8"/>
  <c r="Q43" i="8"/>
  <c r="M43" i="8"/>
  <c r="I43" i="8"/>
  <c r="E43" i="8"/>
  <c r="U40" i="8"/>
  <c r="Q40" i="8"/>
  <c r="M40" i="8"/>
  <c r="I40" i="8"/>
  <c r="E40" i="8"/>
  <c r="V8" i="8"/>
  <c r="Y4" i="8"/>
  <c r="AG147" i="2"/>
  <c r="AD112" i="4"/>
  <c r="AD113" i="4"/>
  <c r="Z112" i="4"/>
  <c r="Z113" i="4"/>
  <c r="V113" i="4"/>
  <c r="R113" i="4"/>
  <c r="N113" i="4"/>
  <c r="J113" i="4"/>
  <c r="F113" i="4"/>
  <c r="J110" i="4"/>
  <c r="V64" i="3"/>
  <c r="V65" i="3"/>
  <c r="V66" i="3"/>
  <c r="AG138" i="2"/>
  <c r="AG139" i="2"/>
  <c r="AG140" i="2"/>
  <c r="AG141" i="2"/>
  <c r="AG142" i="2"/>
  <c r="AG143" i="2"/>
  <c r="AG144" i="2"/>
  <c r="AG145" i="2"/>
  <c r="AG146" i="2"/>
  <c r="AG152" i="2"/>
  <c r="AG154" i="2"/>
  <c r="T76" i="2"/>
  <c r="T79" i="2"/>
  <c r="O79" i="2"/>
  <c r="J79" i="2"/>
  <c r="E76" i="2"/>
  <c r="J37" i="2"/>
  <c r="Y54" i="2"/>
  <c r="T54" i="2"/>
  <c r="O54" i="2"/>
  <c r="J54" i="2"/>
  <c r="E54" i="2"/>
  <c r="T57" i="2"/>
  <c r="O57" i="2"/>
  <c r="J57" i="2"/>
  <c r="E57" i="2"/>
  <c r="T37" i="2"/>
  <c r="O37" i="2"/>
  <c r="Y34" i="2"/>
  <c r="T34" i="2"/>
  <c r="O34" i="2"/>
  <c r="J34" i="2"/>
  <c r="AG120" i="2"/>
  <c r="AA120" i="2"/>
  <c r="E34" i="2"/>
  <c r="AD107" i="4"/>
  <c r="AD108" i="4"/>
  <c r="AD109" i="4"/>
  <c r="AD110" i="4"/>
  <c r="AD111" i="4"/>
  <c r="Z107" i="4"/>
  <c r="Z108" i="4"/>
  <c r="Z109" i="4"/>
  <c r="Z110" i="4"/>
  <c r="Z111" i="4"/>
  <c r="V107" i="4"/>
  <c r="V108" i="4"/>
  <c r="V109" i="4"/>
  <c r="V110" i="4"/>
  <c r="V111" i="4"/>
  <c r="R107" i="4"/>
  <c r="R108" i="4"/>
  <c r="R109" i="4"/>
  <c r="R110" i="4"/>
  <c r="R111" i="4"/>
  <c r="N107" i="4"/>
  <c r="N108" i="4"/>
  <c r="N109" i="4"/>
  <c r="N110" i="4"/>
  <c r="N111" i="4"/>
  <c r="J109" i="4"/>
  <c r="F109" i="4"/>
  <c r="F110" i="4"/>
  <c r="J107" i="4"/>
  <c r="J108" i="4"/>
  <c r="J111" i="4"/>
  <c r="F111" i="4"/>
  <c r="F107" i="4"/>
  <c r="F108" i="4"/>
  <c r="AF46" i="4"/>
  <c r="AF35" i="4"/>
  <c r="AF98" i="4"/>
  <c r="AF81" i="4"/>
  <c r="AF68" i="4"/>
  <c r="AF57" i="4"/>
  <c r="AF135" i="4"/>
  <c r="AF136" i="4"/>
  <c r="AF116" i="4"/>
  <c r="AF117" i="4"/>
  <c r="AF99" i="4"/>
  <c r="AF100" i="4"/>
  <c r="AF82" i="4"/>
  <c r="AF83" i="4"/>
  <c r="AF58" i="4"/>
  <c r="AF59" i="4"/>
  <c r="AF69" i="4"/>
  <c r="AF70" i="4"/>
  <c r="AF47" i="4"/>
  <c r="AF48" i="4"/>
  <c r="AF36" i="4"/>
  <c r="AF37" i="4"/>
  <c r="AF23" i="4"/>
  <c r="AF13" i="4"/>
  <c r="AF12" i="4"/>
  <c r="F137" i="4"/>
  <c r="J137" i="4"/>
  <c r="N137" i="4"/>
  <c r="R137" i="4"/>
  <c r="V137" i="4"/>
  <c r="Z137" i="4"/>
  <c r="AD137" i="4"/>
  <c r="F118" i="4"/>
  <c r="J118" i="4"/>
  <c r="N118" i="4"/>
  <c r="R118" i="4"/>
  <c r="V118" i="4"/>
  <c r="Z118" i="4"/>
  <c r="AD118" i="4"/>
  <c r="F101" i="4"/>
  <c r="J101" i="4"/>
  <c r="N101" i="4"/>
  <c r="R101" i="4"/>
  <c r="V101" i="4"/>
  <c r="Z101" i="4"/>
  <c r="AD101" i="4"/>
  <c r="F84" i="4"/>
  <c r="J84" i="4"/>
  <c r="N84" i="4"/>
  <c r="R84" i="4"/>
  <c r="V84" i="4"/>
  <c r="Z84" i="4"/>
  <c r="AD84" i="4"/>
  <c r="F71" i="4"/>
  <c r="J71" i="4"/>
  <c r="N71" i="4"/>
  <c r="R71" i="4"/>
  <c r="V71" i="4"/>
  <c r="Z71" i="4"/>
  <c r="AD71" i="4"/>
  <c r="F60" i="4"/>
  <c r="J60" i="4"/>
  <c r="N60" i="4"/>
  <c r="R60" i="4"/>
  <c r="V60" i="4"/>
  <c r="Z60" i="4"/>
  <c r="AD60" i="4"/>
  <c r="F49" i="4"/>
  <c r="J49" i="4"/>
  <c r="N49" i="4"/>
  <c r="R49" i="4"/>
  <c r="V49" i="4"/>
  <c r="Z49" i="4"/>
  <c r="AD49" i="4"/>
  <c r="F38" i="4"/>
  <c r="J38" i="4"/>
  <c r="N38" i="4"/>
  <c r="R38" i="4"/>
  <c r="V38" i="4"/>
  <c r="Z38" i="4"/>
  <c r="AD38" i="4"/>
  <c r="AF24" i="4"/>
  <c r="AF11" i="4"/>
  <c r="AF22" i="4"/>
  <c r="F25" i="4"/>
  <c r="J25" i="4"/>
  <c r="N25" i="4"/>
  <c r="R25" i="4"/>
  <c r="V25" i="4"/>
  <c r="Z25" i="4"/>
  <c r="AD25" i="4"/>
  <c r="AD14" i="4"/>
  <c r="Z14" i="4"/>
  <c r="V14" i="4"/>
  <c r="R14" i="4"/>
  <c r="N14" i="4"/>
  <c r="J14" i="4"/>
  <c r="F14" i="4"/>
  <c r="AG112" i="2"/>
  <c r="AG113" i="2"/>
  <c r="AG114" i="2"/>
  <c r="AG115" i="2"/>
  <c r="AG116" i="2"/>
  <c r="AG117" i="2"/>
  <c r="AG118" i="2"/>
  <c r="AG119" i="2"/>
  <c r="AG125" i="2"/>
  <c r="AG127" i="2"/>
  <c r="AL116" i="2"/>
  <c r="AG103" i="2"/>
  <c r="AG89" i="2"/>
  <c r="AG90" i="2"/>
  <c r="AG91" i="2"/>
  <c r="AG92" i="2"/>
  <c r="AG93" i="2"/>
  <c r="AG94" i="2"/>
  <c r="AG95" i="2"/>
  <c r="AG88" i="2"/>
  <c r="AG100" i="2"/>
  <c r="T127" i="2"/>
  <c r="O127" i="2"/>
  <c r="E127" i="2"/>
  <c r="E37" i="2"/>
  <c r="Y79" i="2"/>
  <c r="Y57" i="2"/>
  <c r="O103" i="2"/>
  <c r="J103" i="2"/>
  <c r="J16" i="2"/>
  <c r="J19" i="2"/>
  <c r="E19" i="2"/>
  <c r="E16" i="2"/>
  <c r="AA126" i="2"/>
  <c r="AA102" i="2"/>
  <c r="AA78" i="2"/>
  <c r="AA36" i="2"/>
  <c r="AD95" i="4"/>
  <c r="AD96" i="4"/>
  <c r="Z95" i="4"/>
  <c r="Z96" i="4"/>
  <c r="V95" i="4"/>
  <c r="V96" i="4"/>
  <c r="R95" i="4"/>
  <c r="R96" i="4"/>
  <c r="N95" i="4"/>
  <c r="AF95" i="4"/>
  <c r="N96" i="4"/>
  <c r="J95" i="4"/>
  <c r="J96" i="4"/>
  <c r="F95" i="4"/>
  <c r="F96" i="4"/>
  <c r="AD91" i="4"/>
  <c r="AD93" i="4"/>
  <c r="N91" i="4"/>
  <c r="N93" i="4"/>
  <c r="R91" i="4"/>
  <c r="R93" i="4"/>
  <c r="V91" i="4"/>
  <c r="V93" i="4"/>
  <c r="Z91" i="4"/>
  <c r="Z93" i="4"/>
  <c r="J91" i="4"/>
  <c r="J93" i="4"/>
  <c r="F91" i="4"/>
  <c r="F93" i="4"/>
  <c r="F94" i="4"/>
  <c r="M111" i="8"/>
  <c r="Q111" i="8"/>
  <c r="U111" i="8"/>
  <c r="AF167" i="4"/>
  <c r="AF193" i="4"/>
  <c r="O288" i="2"/>
  <c r="AA152" i="2"/>
  <c r="E222" i="2"/>
  <c r="J288" i="2"/>
  <c r="T288" i="2"/>
  <c r="Y288" i="2"/>
  <c r="AL298" i="2"/>
  <c r="AA164" i="2"/>
  <c r="AA163" i="2"/>
  <c r="AA165" i="2"/>
  <c r="AA199" i="2"/>
  <c r="AA217" i="2"/>
  <c r="AL197" i="2"/>
  <c r="J154" i="2"/>
  <c r="Y255" i="2"/>
  <c r="T255" i="2"/>
  <c r="Y250" i="2"/>
  <c r="T250" i="2"/>
  <c r="J189" i="2"/>
  <c r="AL165" i="2"/>
  <c r="AA139" i="2"/>
  <c r="AA149" i="2"/>
  <c r="AL137" i="2"/>
  <c r="J184" i="2"/>
  <c r="AG164" i="2"/>
  <c r="R179" i="4"/>
  <c r="V179" i="4"/>
  <c r="J197" i="4"/>
  <c r="AF125" i="4"/>
  <c r="R168" i="4"/>
  <c r="AF145" i="4"/>
  <c r="Z179" i="4"/>
  <c r="N197" i="4"/>
  <c r="AF201" i="4"/>
  <c r="AF146" i="4"/>
  <c r="AF178" i="4"/>
  <c r="V197" i="4"/>
  <c r="AF191" i="4"/>
  <c r="J179" i="4"/>
  <c r="AF188" i="4"/>
  <c r="AA238" i="2"/>
  <c r="T217" i="2"/>
  <c r="AG163" i="2"/>
  <c r="J183" i="2"/>
  <c r="AA285" i="2"/>
  <c r="AA319" i="2"/>
  <c r="F154" i="4"/>
  <c r="AF186" i="4"/>
  <c r="N179" i="4"/>
  <c r="AF164" i="4"/>
  <c r="R154" i="4"/>
  <c r="Z168" i="4"/>
  <c r="AF165" i="4"/>
  <c r="AF158" i="4"/>
  <c r="F168" i="4"/>
  <c r="AF161" i="4"/>
  <c r="J168" i="4"/>
  <c r="AD154" i="4"/>
  <c r="AA172" i="2"/>
  <c r="J154" i="4"/>
  <c r="AF143" i="4"/>
  <c r="AF148" i="4"/>
  <c r="AF149" i="4"/>
  <c r="AF151" i="4"/>
  <c r="AF152" i="4"/>
  <c r="AA166" i="2"/>
  <c r="AA171" i="2"/>
  <c r="AA167" i="2"/>
  <c r="AA168" i="2"/>
  <c r="AA182" i="2"/>
  <c r="AA169" i="2"/>
  <c r="AA125" i="2"/>
  <c r="AA127" i="2"/>
  <c r="AL114" i="2"/>
  <c r="O217" i="2"/>
  <c r="AA237" i="2"/>
  <c r="AA248" i="2"/>
  <c r="AA239" i="2"/>
  <c r="AA286" i="2"/>
  <c r="AA320" i="2"/>
  <c r="AA323" i="2"/>
  <c r="AL296" i="2"/>
  <c r="AF250" i="2"/>
  <c r="AG198" i="2"/>
  <c r="AG217" i="2"/>
  <c r="AL199" i="2"/>
  <c r="V105" i="8"/>
  <c r="E111" i="8"/>
  <c r="AF128" i="4"/>
  <c r="V70" i="8"/>
  <c r="V86" i="8"/>
  <c r="AF129" i="4"/>
  <c r="AF131" i="4"/>
  <c r="AF130" i="4"/>
  <c r="AF113" i="4"/>
  <c r="AF111" i="4"/>
  <c r="E58" i="8"/>
  <c r="V58" i="8"/>
  <c r="E73" i="8"/>
  <c r="V71" i="8"/>
  <c r="V73" i="8"/>
  <c r="AA37" i="2"/>
  <c r="AL32" i="2"/>
  <c r="AG149" i="2"/>
  <c r="AL139" i="2"/>
  <c r="AF108" i="4"/>
  <c r="AF107" i="4"/>
  <c r="AF110" i="4"/>
  <c r="AF109" i="4"/>
  <c r="AF84" i="4"/>
  <c r="AF118" i="4"/>
  <c r="AF137" i="4"/>
  <c r="AF71" i="4"/>
  <c r="AF60" i="4"/>
  <c r="AF49" i="4"/>
  <c r="AF14" i="4"/>
  <c r="AF38" i="4"/>
  <c r="AF25" i="4"/>
  <c r="AF101" i="4"/>
  <c r="AF96" i="4"/>
  <c r="AF93" i="4"/>
  <c r="AF91" i="4"/>
  <c r="AG183" i="2"/>
  <c r="AL235" i="2"/>
  <c r="AA288" i="2"/>
  <c r="AL266" i="2"/>
  <c r="AL140" i="2"/>
  <c r="AA328" i="2"/>
  <c r="AL299" i="2"/>
  <c r="AA255" i="2"/>
  <c r="AL233" i="2"/>
  <c r="V6" i="8"/>
  <c r="Y2" i="8"/>
  <c r="T101" i="2"/>
  <c r="T103" i="2"/>
  <c r="Y103" i="2"/>
  <c r="AA112" i="2"/>
  <c r="AA124" i="2"/>
  <c r="AL111" i="2"/>
  <c r="AA113" i="2"/>
  <c r="AA114" i="2"/>
  <c r="AA115" i="2"/>
  <c r="AA116" i="2"/>
  <c r="AA117" i="2"/>
  <c r="AA118" i="2"/>
  <c r="AA119" i="2"/>
  <c r="V57" i="3"/>
  <c r="V58" i="3"/>
  <c r="V59" i="3"/>
  <c r="W50" i="3"/>
  <c r="W49" i="3"/>
  <c r="W51" i="3"/>
  <c r="AA15" i="3"/>
  <c r="V49" i="3"/>
  <c r="AD90" i="4"/>
  <c r="AD92" i="4"/>
  <c r="Z90" i="4"/>
  <c r="Z92" i="4"/>
  <c r="V90" i="4"/>
  <c r="V92" i="4"/>
  <c r="R90" i="4"/>
  <c r="R92" i="4"/>
  <c r="N90" i="4"/>
  <c r="N92" i="4"/>
  <c r="J90" i="4"/>
  <c r="J92" i="4"/>
  <c r="F90" i="4"/>
  <c r="AF90" i="4"/>
  <c r="F92" i="4"/>
  <c r="AL164" i="2"/>
  <c r="AF92" i="4"/>
  <c r="W33" i="3"/>
  <c r="W35" i="3"/>
  <c r="V50" i="3"/>
  <c r="W41" i="3"/>
  <c r="V51" i="3"/>
  <c r="V52" i="3"/>
  <c r="E101" i="2"/>
  <c r="AA92" i="2"/>
  <c r="AA100" i="2"/>
  <c r="AL87" i="2"/>
  <c r="AD77" i="4"/>
  <c r="Z77" i="4"/>
  <c r="V77" i="4"/>
  <c r="R77" i="4"/>
  <c r="N77" i="4"/>
  <c r="J77" i="4"/>
  <c r="F77" i="4"/>
  <c r="AF77" i="4"/>
  <c r="AA74" i="2"/>
  <c r="AA75" i="2"/>
  <c r="V44" i="3"/>
  <c r="AA13" i="3"/>
  <c r="V36" i="3"/>
  <c r="V28" i="3"/>
  <c r="V20" i="3"/>
  <c r="V12" i="3"/>
  <c r="AA73" i="2"/>
  <c r="AA76" i="2"/>
  <c r="E77" i="2"/>
  <c r="AA19" i="2"/>
  <c r="AA35" i="2"/>
  <c r="V42" i="3"/>
  <c r="W43" i="3"/>
  <c r="V41" i="3"/>
  <c r="W18" i="3"/>
  <c r="W19" i="3"/>
  <c r="AA11" i="3"/>
  <c r="AA24" i="3"/>
  <c r="W26" i="3"/>
  <c r="W34" i="3"/>
  <c r="W17" i="3"/>
  <c r="W25" i="3"/>
  <c r="AA9" i="3"/>
  <c r="AA22" i="3"/>
  <c r="AD132" i="4"/>
  <c r="Z132" i="4"/>
  <c r="V132" i="4"/>
  <c r="R132" i="4"/>
  <c r="N132" i="4"/>
  <c r="J132" i="4"/>
  <c r="F132" i="4"/>
  <c r="F133" i="4"/>
  <c r="AD123" i="4"/>
  <c r="Z123" i="4"/>
  <c r="V123" i="4"/>
  <c r="R123" i="4"/>
  <c r="N123" i="4"/>
  <c r="J123" i="4"/>
  <c r="F123" i="4"/>
  <c r="AD122" i="4"/>
  <c r="AD133" i="4"/>
  <c r="Z122" i="4"/>
  <c r="V122" i="4"/>
  <c r="R122" i="4"/>
  <c r="N122" i="4"/>
  <c r="J122" i="4"/>
  <c r="J133" i="4"/>
  <c r="F122" i="4"/>
  <c r="AF122" i="4"/>
  <c r="AD121" i="4"/>
  <c r="Z121" i="4"/>
  <c r="AF121" i="4"/>
  <c r="V121" i="4"/>
  <c r="R121" i="4"/>
  <c r="R133" i="4"/>
  <c r="N121" i="4"/>
  <c r="J121" i="4"/>
  <c r="F121" i="4"/>
  <c r="H119" i="4"/>
  <c r="L119" i="4"/>
  <c r="P119" i="4"/>
  <c r="T119" i="4"/>
  <c r="X119" i="4"/>
  <c r="AB119" i="4"/>
  <c r="AD78" i="4"/>
  <c r="AD79" i="4"/>
  <c r="Z78" i="4"/>
  <c r="Z79" i="4"/>
  <c r="V78" i="4"/>
  <c r="V80" i="4"/>
  <c r="V79" i="4"/>
  <c r="R78" i="4"/>
  <c r="R79" i="4"/>
  <c r="N78" i="4"/>
  <c r="J78" i="4"/>
  <c r="F78" i="4"/>
  <c r="V112" i="4"/>
  <c r="R112" i="4"/>
  <c r="AF112" i="4"/>
  <c r="N112" i="4"/>
  <c r="J112" i="4"/>
  <c r="F112" i="4"/>
  <c r="AD106" i="4"/>
  <c r="Z106" i="4"/>
  <c r="V106" i="4"/>
  <c r="R106" i="4"/>
  <c r="N106" i="4"/>
  <c r="AF106" i="4"/>
  <c r="J106" i="4"/>
  <c r="F106" i="4"/>
  <c r="AD105" i="4"/>
  <c r="Z105" i="4"/>
  <c r="V105" i="4"/>
  <c r="R105" i="4"/>
  <c r="N105" i="4"/>
  <c r="J105" i="4"/>
  <c r="J114" i="4"/>
  <c r="F105" i="4"/>
  <c r="AD104" i="4"/>
  <c r="Z104" i="4"/>
  <c r="V104" i="4"/>
  <c r="R104" i="4"/>
  <c r="N104" i="4"/>
  <c r="N114" i="4"/>
  <c r="J104" i="4"/>
  <c r="AF104" i="4"/>
  <c r="F104" i="4"/>
  <c r="F114" i="4"/>
  <c r="H102" i="4"/>
  <c r="L102" i="4"/>
  <c r="P102" i="4"/>
  <c r="T102" i="4"/>
  <c r="X102" i="4"/>
  <c r="AB102" i="4"/>
  <c r="AD94" i="4"/>
  <c r="Z94" i="4"/>
  <c r="AF94" i="4"/>
  <c r="V94" i="4"/>
  <c r="R94" i="4"/>
  <c r="N94" i="4"/>
  <c r="J94" i="4"/>
  <c r="AD89" i="4"/>
  <c r="Z89" i="4"/>
  <c r="V89" i="4"/>
  <c r="R89" i="4"/>
  <c r="AF89" i="4"/>
  <c r="N89" i="4"/>
  <c r="J89" i="4"/>
  <c r="F89" i="4"/>
  <c r="AD88" i="4"/>
  <c r="Z88" i="4"/>
  <c r="V88" i="4"/>
  <c r="R88" i="4"/>
  <c r="N88" i="4"/>
  <c r="AF88" i="4"/>
  <c r="J88" i="4"/>
  <c r="F88" i="4"/>
  <c r="AD87" i="4"/>
  <c r="Z87" i="4"/>
  <c r="V87" i="4"/>
  <c r="R87" i="4"/>
  <c r="N87" i="4"/>
  <c r="J87" i="4"/>
  <c r="J97" i="4"/>
  <c r="F87" i="4"/>
  <c r="H85" i="4"/>
  <c r="L85" i="4"/>
  <c r="P85" i="4"/>
  <c r="T85" i="4"/>
  <c r="X85" i="4"/>
  <c r="AB85" i="4"/>
  <c r="N79" i="4"/>
  <c r="N80" i="4"/>
  <c r="J79" i="4"/>
  <c r="F79" i="4"/>
  <c r="AD76" i="4"/>
  <c r="Z76" i="4"/>
  <c r="V76" i="4"/>
  <c r="R76" i="4"/>
  <c r="N76" i="4"/>
  <c r="J76" i="4"/>
  <c r="J80" i="4"/>
  <c r="F76" i="4"/>
  <c r="AD75" i="4"/>
  <c r="Z75" i="4"/>
  <c r="V75" i="4"/>
  <c r="R75" i="4"/>
  <c r="R80" i="4"/>
  <c r="N75" i="4"/>
  <c r="J75" i="4"/>
  <c r="F75" i="4"/>
  <c r="AF75" i="4"/>
  <c r="AD74" i="4"/>
  <c r="Z74" i="4"/>
  <c r="V74" i="4"/>
  <c r="R74" i="4"/>
  <c r="N74" i="4"/>
  <c r="J74" i="4"/>
  <c r="F74" i="4"/>
  <c r="H72" i="4"/>
  <c r="L72" i="4"/>
  <c r="P72" i="4"/>
  <c r="T72" i="4"/>
  <c r="X72" i="4"/>
  <c r="AB72" i="4"/>
  <c r="AD66" i="4"/>
  <c r="Z66" i="4"/>
  <c r="V66" i="4"/>
  <c r="V67" i="4"/>
  <c r="R66" i="4"/>
  <c r="N66" i="4"/>
  <c r="J66" i="4"/>
  <c r="F66" i="4"/>
  <c r="AD65" i="4"/>
  <c r="Z65" i="4"/>
  <c r="V65" i="4"/>
  <c r="R65" i="4"/>
  <c r="AF65" i="4"/>
  <c r="N65" i="4"/>
  <c r="J65" i="4"/>
  <c r="F65" i="4"/>
  <c r="AD64" i="4"/>
  <c r="Z64" i="4"/>
  <c r="V64" i="4"/>
  <c r="R64" i="4"/>
  <c r="N64" i="4"/>
  <c r="N67" i="4"/>
  <c r="J64" i="4"/>
  <c r="F64" i="4"/>
  <c r="AD63" i="4"/>
  <c r="Z63" i="4"/>
  <c r="V63" i="4"/>
  <c r="R63" i="4"/>
  <c r="N63" i="4"/>
  <c r="J63" i="4"/>
  <c r="J67" i="4"/>
  <c r="F63" i="4"/>
  <c r="H61" i="4"/>
  <c r="L61" i="4"/>
  <c r="P61" i="4"/>
  <c r="T61" i="4"/>
  <c r="X61" i="4"/>
  <c r="AB61" i="4"/>
  <c r="AD55" i="4"/>
  <c r="AD56" i="4"/>
  <c r="AD54" i="4"/>
  <c r="AD53" i="4"/>
  <c r="AD52" i="4"/>
  <c r="Z55" i="4"/>
  <c r="Z54" i="4"/>
  <c r="Z53" i="4"/>
  <c r="Z52" i="4"/>
  <c r="V55" i="4"/>
  <c r="V54" i="4"/>
  <c r="V53" i="4"/>
  <c r="V52" i="4"/>
  <c r="V56" i="4"/>
  <c r="R55" i="4"/>
  <c r="R54" i="4"/>
  <c r="R53" i="4"/>
  <c r="R52" i="4"/>
  <c r="N55" i="4"/>
  <c r="AF55" i="4"/>
  <c r="N54" i="4"/>
  <c r="N53" i="4"/>
  <c r="N52" i="4"/>
  <c r="J55" i="4"/>
  <c r="J54" i="4"/>
  <c r="J53" i="4"/>
  <c r="AF53" i="4"/>
  <c r="AF56" i="4"/>
  <c r="J52" i="4"/>
  <c r="J56" i="4"/>
  <c r="F53" i="4"/>
  <c r="F56" i="4"/>
  <c r="F54" i="4"/>
  <c r="F55" i="4"/>
  <c r="F52" i="4"/>
  <c r="AD44" i="4"/>
  <c r="AD43" i="4"/>
  <c r="AD42" i="4"/>
  <c r="AD41" i="4"/>
  <c r="V44" i="4"/>
  <c r="V45" i="4"/>
  <c r="V43" i="4"/>
  <c r="V42" i="4"/>
  <c r="V41" i="4"/>
  <c r="Z44" i="4"/>
  <c r="Z43" i="4"/>
  <c r="Z42" i="4"/>
  <c r="Z41" i="4"/>
  <c r="R44" i="4"/>
  <c r="R45" i="4"/>
  <c r="R43" i="4"/>
  <c r="R42" i="4"/>
  <c r="R41" i="4"/>
  <c r="N44" i="4"/>
  <c r="N43" i="4"/>
  <c r="N42" i="4"/>
  <c r="N41" i="4"/>
  <c r="J44" i="4"/>
  <c r="AF44" i="4"/>
  <c r="J43" i="4"/>
  <c r="J42" i="4"/>
  <c r="J45" i="4"/>
  <c r="J41" i="4"/>
  <c r="F42" i="4"/>
  <c r="F43" i="4"/>
  <c r="F44" i="4"/>
  <c r="F41" i="4"/>
  <c r="AD33" i="4"/>
  <c r="AD34" i="4"/>
  <c r="AD32" i="4"/>
  <c r="AD31" i="4"/>
  <c r="AD30" i="4"/>
  <c r="AD29" i="4"/>
  <c r="AD28" i="4"/>
  <c r="Z33" i="4"/>
  <c r="Z32" i="4"/>
  <c r="Z31" i="4"/>
  <c r="Z34" i="4"/>
  <c r="Z30" i="4"/>
  <c r="Z29" i="4"/>
  <c r="Z28" i="4"/>
  <c r="V33" i="4"/>
  <c r="V32" i="4"/>
  <c r="V31" i="4"/>
  <c r="V30" i="4"/>
  <c r="V29" i="4"/>
  <c r="V34" i="4"/>
  <c r="V28" i="4"/>
  <c r="R33" i="4"/>
  <c r="R32" i="4"/>
  <c r="R31" i="4"/>
  <c r="R30" i="4"/>
  <c r="R29" i="4"/>
  <c r="R28" i="4"/>
  <c r="R34" i="4"/>
  <c r="N29" i="4"/>
  <c r="AF29" i="4"/>
  <c r="N30" i="4"/>
  <c r="N31" i="4"/>
  <c r="N32" i="4"/>
  <c r="N33" i="4"/>
  <c r="N28" i="4"/>
  <c r="N34" i="4"/>
  <c r="J29" i="4"/>
  <c r="J30" i="4"/>
  <c r="AF30" i="4"/>
  <c r="J31" i="4"/>
  <c r="J34" i="4"/>
  <c r="J32" i="4"/>
  <c r="J33" i="4"/>
  <c r="J28" i="4"/>
  <c r="F29" i="4"/>
  <c r="F30" i="4"/>
  <c r="F31" i="4"/>
  <c r="F32" i="4"/>
  <c r="F33" i="4"/>
  <c r="AF33" i="4"/>
  <c r="F28" i="4"/>
  <c r="AD20" i="4"/>
  <c r="AD19" i="4"/>
  <c r="AD18" i="4"/>
  <c r="AD17" i="4"/>
  <c r="Z20" i="4"/>
  <c r="Z19" i="4"/>
  <c r="Z18" i="4"/>
  <c r="Z21" i="4"/>
  <c r="Z17" i="4"/>
  <c r="V20" i="4"/>
  <c r="V19" i="4"/>
  <c r="V18" i="4"/>
  <c r="V17" i="4"/>
  <c r="R20" i="4"/>
  <c r="R19" i="4"/>
  <c r="R18" i="4"/>
  <c r="R21" i="4"/>
  <c r="R17" i="4"/>
  <c r="N20" i="4"/>
  <c r="N19" i="4"/>
  <c r="N18" i="4"/>
  <c r="N17" i="4"/>
  <c r="J20" i="4"/>
  <c r="J19" i="4"/>
  <c r="J18" i="4"/>
  <c r="J21" i="4"/>
  <c r="J17" i="4"/>
  <c r="F18" i="4"/>
  <c r="F21" i="4"/>
  <c r="F19" i="4"/>
  <c r="F20" i="4"/>
  <c r="F17" i="4"/>
  <c r="AD9" i="4"/>
  <c r="AD8" i="4"/>
  <c r="AD7" i="4"/>
  <c r="AF7" i="4"/>
  <c r="AD6" i="4"/>
  <c r="AD5" i="4"/>
  <c r="Z9" i="4"/>
  <c r="Z8" i="4"/>
  <c r="Z7" i="4"/>
  <c r="Z6" i="4"/>
  <c r="Z5" i="4"/>
  <c r="V9" i="4"/>
  <c r="V8" i="4"/>
  <c r="V7" i="4"/>
  <c r="V10" i="4"/>
  <c r="V6" i="4"/>
  <c r="V5" i="4"/>
  <c r="R9" i="4"/>
  <c r="R8" i="4"/>
  <c r="R7" i="4"/>
  <c r="R6" i="4"/>
  <c r="AF6" i="4"/>
  <c r="R5" i="4"/>
  <c r="N9" i="4"/>
  <c r="N8" i="4"/>
  <c r="N7" i="4"/>
  <c r="N6" i="4"/>
  <c r="N5" i="4"/>
  <c r="N10" i="4"/>
  <c r="J9" i="4"/>
  <c r="AF9" i="4"/>
  <c r="J8" i="4"/>
  <c r="J7" i="4"/>
  <c r="J6" i="4"/>
  <c r="J10" i="4"/>
  <c r="J5" i="4"/>
  <c r="F6" i="4"/>
  <c r="F7" i="4"/>
  <c r="F8" i="4"/>
  <c r="F9" i="4"/>
  <c r="F5" i="4"/>
  <c r="AF5" i="4"/>
  <c r="AF10" i="4"/>
  <c r="AL14" i="2"/>
  <c r="E103" i="2"/>
  <c r="AA101" i="2"/>
  <c r="AA103" i="2"/>
  <c r="AL90" i="2"/>
  <c r="AL67" i="2"/>
  <c r="AA57" i="2"/>
  <c r="W27" i="3"/>
  <c r="F97" i="4"/>
  <c r="F67" i="4"/>
  <c r="AD114" i="4"/>
  <c r="N21" i="4"/>
  <c r="V21" i="4"/>
  <c r="AD21" i="4"/>
  <c r="N56" i="4"/>
  <c r="AD80" i="4"/>
  <c r="AD97" i="4"/>
  <c r="Z67" i="4"/>
  <c r="F80" i="4"/>
  <c r="Z80" i="4"/>
  <c r="V97" i="4"/>
  <c r="R10" i="4"/>
  <c r="AD67" i="4"/>
  <c r="V114" i="4"/>
  <c r="V133" i="4"/>
  <c r="Z97" i="4"/>
  <c r="N133" i="4"/>
  <c r="Z10" i="4"/>
  <c r="F45" i="4"/>
  <c r="N45" i="4"/>
  <c r="Z45" i="4"/>
  <c r="AD45" i="4"/>
  <c r="R56" i="4"/>
  <c r="Z56" i="4"/>
  <c r="Z114" i="4"/>
  <c r="AA77" i="2"/>
  <c r="AA79" i="2"/>
  <c r="E79" i="2"/>
  <c r="V43" i="3"/>
  <c r="AA12" i="3"/>
  <c r="AF123" i="4"/>
  <c r="AF87" i="4"/>
  <c r="AF97" i="4"/>
  <c r="AF74" i="4"/>
  <c r="AF64" i="4"/>
  <c r="AF8" i="4"/>
  <c r="AF52" i="4"/>
  <c r="H50" i="4"/>
  <c r="L50" i="4"/>
  <c r="P50" i="4"/>
  <c r="T50" i="4"/>
  <c r="X50" i="4"/>
  <c r="AB50" i="4"/>
  <c r="H39" i="4"/>
  <c r="L39" i="4"/>
  <c r="P39" i="4"/>
  <c r="T39" i="4"/>
  <c r="X39" i="4"/>
  <c r="AB39" i="4"/>
  <c r="H26" i="4"/>
  <c r="L26" i="4"/>
  <c r="P26" i="4"/>
  <c r="T26" i="4"/>
  <c r="X26" i="4"/>
  <c r="AB26" i="4"/>
  <c r="H15" i="4"/>
  <c r="L15" i="4"/>
  <c r="P15" i="4"/>
  <c r="T15" i="4"/>
  <c r="X15" i="4"/>
  <c r="AB15" i="4"/>
  <c r="H3" i="4"/>
  <c r="L3" i="4"/>
  <c r="P3" i="4"/>
  <c r="T3" i="4"/>
  <c r="X3" i="4"/>
  <c r="AB3" i="4"/>
  <c r="AA50" i="2"/>
  <c r="AL50" i="2"/>
  <c r="AF43" i="4"/>
  <c r="AF32" i="4"/>
  <c r="AF42" i="4"/>
  <c r="AF45" i="4"/>
  <c r="AF28" i="4"/>
  <c r="AF41" i="4"/>
  <c r="AF54" i="4"/>
  <c r="AF17" i="4"/>
  <c r="AF21" i="4"/>
  <c r="AF20" i="4"/>
  <c r="AF19" i="4"/>
  <c r="AF18" i="4"/>
  <c r="V34" i="3"/>
  <c r="V33" i="3"/>
  <c r="V35" i="3"/>
  <c r="V26" i="3"/>
  <c r="V25" i="3"/>
  <c r="V27" i="3"/>
  <c r="V18" i="3"/>
  <c r="V10" i="3"/>
  <c r="V11" i="3"/>
  <c r="V9" i="3"/>
  <c r="V17" i="3"/>
  <c r="V19" i="3"/>
  <c r="AA8" i="3"/>
  <c r="AA32" i="2"/>
  <c r="AA33" i="2"/>
  <c r="AA31" i="2"/>
  <c r="AA49" i="2"/>
  <c r="AA51" i="2"/>
  <c r="AA54" i="2"/>
  <c r="AL47" i="2"/>
  <c r="AA52" i="2"/>
  <c r="AA53" i="2"/>
  <c r="AA13" i="2"/>
  <c r="AA16" i="2"/>
  <c r="AA12" i="2"/>
  <c r="AA14" i="2"/>
  <c r="AA15" i="2"/>
  <c r="E5" i="3"/>
  <c r="D5" i="3"/>
  <c r="E4" i="3"/>
  <c r="D4" i="3"/>
  <c r="AA34" i="2"/>
  <c r="AL29" i="2"/>
  <c r="AF176" i="4"/>
  <c r="AF175" i="4"/>
  <c r="F179" i="4"/>
  <c r="AL482" i="11"/>
  <c r="AB419" i="14"/>
  <c r="AL389" i="14"/>
  <c r="AN389" i="14"/>
  <c r="Z254" i="4"/>
  <c r="AD254" i="4"/>
  <c r="F254" i="4"/>
  <c r="AF252" i="4"/>
  <c r="AF264" i="4"/>
  <c r="AF352" i="4"/>
  <c r="AF347" i="4"/>
  <c r="AF341" i="4"/>
  <c r="AF340" i="4"/>
  <c r="AF407" i="4"/>
  <c r="AF345" i="4"/>
  <c r="AF350" i="4"/>
  <c r="AF457" i="4"/>
  <c r="AF458" i="4"/>
  <c r="AF462" i="4"/>
  <c r="AF463" i="4"/>
  <c r="AF535" i="4"/>
  <c r="AF522" i="4"/>
  <c r="AD241" i="4"/>
  <c r="AF245" i="4"/>
  <c r="AF250" i="4"/>
  <c r="J254" i="4"/>
  <c r="AF280" i="4"/>
  <c r="AF275" i="4"/>
  <c r="AF309" i="4"/>
  <c r="AF306" i="4"/>
  <c r="AF323" i="4"/>
  <c r="AF364" i="4"/>
  <c r="AF392" i="4"/>
  <c r="AF393" i="4"/>
  <c r="AF408" i="4"/>
  <c r="AF425" i="4"/>
  <c r="AF473" i="4"/>
  <c r="AF474" i="4"/>
  <c r="AF488" i="4"/>
  <c r="AF516" i="4"/>
  <c r="AF519" i="4"/>
  <c r="AF520" i="4"/>
  <c r="AF506" i="4"/>
  <c r="AF507" i="4"/>
  <c r="AF234" i="4"/>
  <c r="AF261" i="4"/>
  <c r="AF268" i="4"/>
  <c r="AF274" i="4"/>
  <c r="AF292" i="4"/>
  <c r="AF332" i="4"/>
  <c r="AF297" i="4"/>
  <c r="AF327" i="4"/>
  <c r="AF322" i="4"/>
  <c r="AF460" i="4"/>
  <c r="AF466" i="4"/>
  <c r="AF461" i="4"/>
  <c r="AF238" i="4"/>
  <c r="AF239" i="4"/>
  <c r="AF240" i="4"/>
  <c r="N254" i="4"/>
  <c r="AF308" i="4"/>
  <c r="AF307" i="4"/>
  <c r="AF312" i="4"/>
  <c r="AF353" i="4"/>
  <c r="AF362" i="4"/>
  <c r="AF371" i="4"/>
  <c r="AF394" i="4"/>
  <c r="AF395" i="4"/>
  <c r="AF343" i="4"/>
  <c r="AF253" i="4"/>
  <c r="AF399" i="4"/>
  <c r="AF424" i="4"/>
  <c r="AF412" i="4"/>
  <c r="AF417" i="4"/>
  <c r="AF441" i="4"/>
  <c r="AF448" i="4"/>
  <c r="AF449" i="4"/>
  <c r="AF450" i="4"/>
  <c r="AF464" i="4"/>
  <c r="AF515" i="4"/>
  <c r="AF508" i="4"/>
  <c r="N241" i="4"/>
  <c r="AF276" i="4"/>
  <c r="AF290" i="4"/>
  <c r="AF287" i="4"/>
  <c r="AF318" i="4"/>
  <c r="AF326" i="4"/>
  <c r="AF360" i="4"/>
  <c r="AF361" i="4"/>
  <c r="AF383" i="4"/>
  <c r="AF385" i="4"/>
  <c r="AF384" i="4"/>
  <c r="AF370" i="4"/>
  <c r="AF366" i="4"/>
  <c r="AF367" i="4"/>
  <c r="AF372" i="4"/>
  <c r="AF373" i="4"/>
  <c r="AF430" i="4"/>
  <c r="AF437" i="4"/>
  <c r="AF438" i="4"/>
  <c r="AF439" i="4"/>
  <c r="AF445" i="4"/>
  <c r="AF451" i="4"/>
  <c r="AF529" i="4"/>
  <c r="AF533" i="4"/>
  <c r="AF534" i="4"/>
  <c r="AF262" i="4"/>
  <c r="AF266" i="4"/>
  <c r="AF267" i="4"/>
  <c r="AF277" i="4"/>
  <c r="AF288" i="4"/>
  <c r="AF320" i="4"/>
  <c r="AF351" i="4"/>
  <c r="AF348" i="4"/>
  <c r="AF354" i="4"/>
  <c r="AF428" i="4"/>
  <c r="AF429" i="4"/>
  <c r="AF475" i="4"/>
  <c r="AF476" i="4"/>
  <c r="AF413" i="4"/>
  <c r="AF415" i="4"/>
  <c r="AF446" i="4"/>
  <c r="AF447" i="4"/>
  <c r="V254" i="4"/>
  <c r="AF311" i="4"/>
  <c r="AF310" i="4"/>
  <c r="AF339" i="4"/>
  <c r="AF382" i="4"/>
  <c r="AF391" i="4"/>
  <c r="AF411" i="4"/>
  <c r="AF414" i="4"/>
  <c r="AF418" i="4"/>
  <c r="AF416" i="4"/>
  <c r="AF427" i="4"/>
  <c r="AF440" i="4"/>
  <c r="AF459" i="4"/>
  <c r="AF499" i="4"/>
  <c r="AF500" i="4"/>
  <c r="AF498" i="4"/>
  <c r="AF502" i="4"/>
  <c r="AF509" i="4"/>
  <c r="AF503" i="4"/>
  <c r="AF504" i="4"/>
  <c r="AF532" i="4"/>
  <c r="AF523" i="4"/>
  <c r="AF237" i="4"/>
  <c r="AF241" i="4"/>
  <c r="AF442" i="4"/>
  <c r="AF249" i="4"/>
  <c r="AA457" i="14"/>
  <c r="AL430" i="14"/>
  <c r="AN430" i="14"/>
  <c r="AL433" i="14"/>
  <c r="AN433" i="14"/>
  <c r="AA49" i="14"/>
  <c r="AA377" i="14"/>
  <c r="AL340" i="14"/>
  <c r="AN340" i="14"/>
  <c r="AG95" i="14"/>
  <c r="AF254" i="4"/>
  <c r="AL11" i="2"/>
  <c r="AL89" i="2"/>
  <c r="AL70" i="2"/>
  <c r="R97" i="4"/>
  <c r="N97" i="4"/>
  <c r="R114" i="4"/>
  <c r="AB124" i="2"/>
  <c r="AL112" i="2"/>
  <c r="AF222" i="4"/>
  <c r="AF223" i="4"/>
  <c r="AD214" i="4"/>
  <c r="AA408" i="2"/>
  <c r="AL379" i="2"/>
  <c r="AF63" i="4"/>
  <c r="AF66" i="4"/>
  <c r="F10" i="4"/>
  <c r="AF163" i="4"/>
  <c r="AF168" i="4"/>
  <c r="N168" i="4"/>
  <c r="N214" i="4"/>
  <c r="AF213" i="4"/>
  <c r="AG444" i="2"/>
  <c r="AF187" i="4"/>
  <c r="R197" i="4"/>
  <c r="Z197" i="4"/>
  <c r="AF189" i="4"/>
  <c r="AF190" i="4"/>
  <c r="AD197" i="4"/>
  <c r="AG283" i="2"/>
  <c r="AL265" i="2"/>
  <c r="AB100" i="2"/>
  <c r="AL88" i="2"/>
  <c r="R8" i="9"/>
  <c r="T8" i="9"/>
  <c r="P8" i="9"/>
  <c r="Q8" i="9"/>
  <c r="AB403" i="2"/>
  <c r="AL377" i="2"/>
  <c r="AL422" i="10"/>
  <c r="AL418" i="10"/>
  <c r="AF105" i="4"/>
  <c r="AF114" i="4"/>
  <c r="AF31" i="4"/>
  <c r="AF34" i="4"/>
  <c r="AF132" i="4"/>
  <c r="AF133" i="4"/>
  <c r="Z133" i="4"/>
  <c r="R67" i="4"/>
  <c r="AF221" i="4"/>
  <c r="N230" i="4"/>
  <c r="J230" i="4"/>
  <c r="AF228" i="4"/>
  <c r="AA485" i="2"/>
  <c r="AL457" i="2"/>
  <c r="AB485" i="2"/>
  <c r="AL458" i="2"/>
  <c r="AF76" i="4"/>
  <c r="AF80" i="4"/>
  <c r="AD10" i="4"/>
  <c r="AL92" i="2"/>
  <c r="AE6" i="2"/>
  <c r="AG124" i="2"/>
  <c r="AE5" i="2"/>
  <c r="V154" i="4"/>
  <c r="AF142" i="4"/>
  <c r="AF154" i="4"/>
  <c r="J241" i="4"/>
  <c r="AG485" i="2"/>
  <c r="AL459" i="2"/>
  <c r="AF78" i="4"/>
  <c r="F34" i="4"/>
  <c r="AA7" i="8"/>
  <c r="L7" i="9"/>
  <c r="AA444" i="2"/>
  <c r="AL416" i="2"/>
  <c r="AF79" i="4"/>
  <c r="O222" i="2"/>
  <c r="AA219" i="2"/>
  <c r="AA222" i="2"/>
  <c r="AL200" i="2"/>
  <c r="AD179" i="4"/>
  <c r="AF177" i="4"/>
  <c r="AF179" i="4"/>
  <c r="AG250" i="2"/>
  <c r="AL232" i="2"/>
  <c r="E250" i="2"/>
  <c r="AB250" i="2"/>
  <c r="AL231" i="2"/>
  <c r="AA279" i="2"/>
  <c r="AA283" i="2"/>
  <c r="AL263" i="2"/>
  <c r="AA105" i="8"/>
  <c r="V19" i="8"/>
  <c r="V7" i="8"/>
  <c r="Y3" i="8"/>
  <c r="AF207" i="4"/>
  <c r="AF214" i="4"/>
  <c r="R214" i="4"/>
  <c r="AD230" i="4"/>
  <c r="AF224" i="4"/>
  <c r="AG363" i="2"/>
  <c r="AB238" i="11"/>
  <c r="AL211" i="11"/>
  <c r="AA238" i="11"/>
  <c r="AL210" i="11"/>
  <c r="AA16" i="3"/>
  <c r="AA21" i="3"/>
  <c r="AA7" i="2"/>
  <c r="AE4" i="2"/>
  <c r="AA7" i="10"/>
  <c r="AE4" i="10"/>
  <c r="AA125" i="10"/>
  <c r="AA127" i="10"/>
  <c r="AL114" i="10"/>
  <c r="AA198" i="11"/>
  <c r="AL170" i="11"/>
  <c r="AG198" i="11"/>
  <c r="AL172" i="11"/>
  <c r="AB468" i="11"/>
  <c r="AL441" i="11"/>
  <c r="AB785" i="11"/>
  <c r="AL752" i="11"/>
  <c r="AG782" i="11"/>
  <c r="AL750" i="11"/>
  <c r="AA782" i="11"/>
  <c r="AL748" i="11"/>
  <c r="AB782" i="11"/>
  <c r="AL749" i="11"/>
  <c r="AA244" i="2"/>
  <c r="AA250" i="2"/>
  <c r="AL230" i="2"/>
  <c r="J283" i="2"/>
  <c r="F230" i="4"/>
  <c r="AB323" i="10"/>
  <c r="AL297" i="10"/>
  <c r="AL367" i="10"/>
  <c r="AG403" i="10"/>
  <c r="AL378" i="10"/>
  <c r="AF516" i="11"/>
  <c r="AG485" i="11"/>
  <c r="AG516" i="11"/>
  <c r="AL480" i="11"/>
  <c r="AA559" i="11"/>
  <c r="AL527" i="11"/>
  <c r="AA34" i="10"/>
  <c r="AL29" i="10"/>
  <c r="AG323" i="10"/>
  <c r="AL298" i="10"/>
  <c r="AA444" i="10"/>
  <c r="AL416" i="10"/>
  <c r="AG484" i="10"/>
  <c r="AL459" i="10"/>
  <c r="AF279" i="4"/>
  <c r="AF281" i="4"/>
  <c r="AF400" i="4"/>
  <c r="AF401" i="4"/>
  <c r="AF374" i="4"/>
  <c r="AF489" i="4"/>
  <c r="AG648" i="11"/>
  <c r="AL617" i="11"/>
  <c r="AB648" i="11"/>
  <c r="AL616" i="11"/>
  <c r="AG651" i="11"/>
  <c r="AL620" i="11"/>
  <c r="AB692" i="11"/>
  <c r="AL660" i="11"/>
  <c r="AL463" i="2"/>
  <c r="E323" i="10"/>
  <c r="AB124" i="10"/>
  <c r="AL112" i="10"/>
  <c r="AA244" i="10"/>
  <c r="AA250" i="10"/>
  <c r="AL230" i="10"/>
  <c r="E250" i="10"/>
  <c r="O255" i="10"/>
  <c r="AA253" i="10"/>
  <c r="AA255" i="10"/>
  <c r="AL233" i="10"/>
  <c r="AA117" i="11"/>
  <c r="AL91" i="11"/>
  <c r="AG316" i="11"/>
  <c r="AL291" i="11"/>
  <c r="AA316" i="11"/>
  <c r="AL289" i="11"/>
  <c r="AB316" i="11"/>
  <c r="AL290" i="11"/>
  <c r="AF426" i="4"/>
  <c r="AF431" i="4"/>
  <c r="AF330" i="4"/>
  <c r="AF333" i="4"/>
  <c r="AB157" i="11"/>
  <c r="AL131" i="11"/>
  <c r="AF344" i="4"/>
  <c r="AF368" i="4"/>
  <c r="AF375" i="4"/>
  <c r="AF478" i="4"/>
  <c r="AF479" i="4"/>
  <c r="AB519" i="11"/>
  <c r="AE6" i="11"/>
  <c r="AE3" i="11"/>
  <c r="AL13" i="11"/>
  <c r="C129" i="10"/>
  <c r="AA16" i="10"/>
  <c r="AB250" i="10"/>
  <c r="AL231" i="10"/>
  <c r="AB288" i="10"/>
  <c r="AF331" i="4"/>
  <c r="AA277" i="11"/>
  <c r="AL250" i="11"/>
  <c r="AB277" i="11"/>
  <c r="AL251" i="11"/>
  <c r="AG277" i="11"/>
  <c r="AL252" i="11"/>
  <c r="AA354" i="11"/>
  <c r="AF486" i="4"/>
  <c r="AB871" i="11"/>
  <c r="AL840" i="11"/>
  <c r="AF530" i="4"/>
  <c r="AF537" i="4"/>
  <c r="AL16" i="11"/>
  <c r="J184" i="10"/>
  <c r="AA5" i="11"/>
  <c r="AB76" i="10"/>
  <c r="AL68" i="10"/>
  <c r="AA168" i="10"/>
  <c r="AB283" i="10"/>
  <c r="AL264" i="10"/>
  <c r="AG363" i="10"/>
  <c r="AA7" i="11"/>
  <c r="AE4" i="11"/>
  <c r="AF346" i="4"/>
  <c r="AF296" i="4"/>
  <c r="AF299" i="4"/>
  <c r="AF485" i="4"/>
  <c r="AF492" i="4"/>
  <c r="AG468" i="11"/>
  <c r="AL442" i="11"/>
  <c r="AB516" i="11"/>
  <c r="AL479" i="11"/>
  <c r="AA699" i="14"/>
  <c r="AL678" i="14"/>
  <c r="AN678" i="14"/>
  <c r="AG785" i="11"/>
  <c r="AB329" i="14"/>
  <c r="AL294" i="14"/>
  <c r="AN294" i="14"/>
  <c r="AG565" i="14"/>
  <c r="AL543" i="14"/>
  <c r="AN543" i="14"/>
  <c r="AB495" i="14"/>
  <c r="AL469" i="14"/>
  <c r="AN469" i="14"/>
  <c r="AB49" i="14"/>
  <c r="AB95" i="14"/>
  <c r="N475" i="13"/>
  <c r="N489" i="13"/>
  <c r="V475" i="13"/>
  <c r="Z475" i="13"/>
  <c r="R489" i="13"/>
  <c r="F475" i="13"/>
  <c r="J475" i="13"/>
  <c r="V489" i="13"/>
  <c r="Z489" i="13"/>
  <c r="R475" i="13"/>
  <c r="AD489" i="13"/>
  <c r="F489" i="13"/>
  <c r="N455" i="13"/>
  <c r="R455" i="13"/>
  <c r="J455" i="13"/>
  <c r="J439" i="13"/>
  <c r="N439" i="13"/>
  <c r="R439" i="13"/>
  <c r="V439" i="13"/>
  <c r="Z455" i="13"/>
  <c r="Z439" i="13"/>
  <c r="AD455" i="13"/>
  <c r="AD439" i="13"/>
  <c r="F455" i="13"/>
  <c r="AG49" i="14"/>
  <c r="AG329" i="14"/>
  <c r="AL295" i="14"/>
  <c r="AN295" i="14"/>
  <c r="AB190" i="14"/>
  <c r="AA667" i="14"/>
  <c r="C143" i="14"/>
  <c r="AL109" i="14"/>
  <c r="AN109" i="14"/>
  <c r="AA530" i="14"/>
  <c r="AL507" i="14"/>
  <c r="AN507" i="14"/>
  <c r="AB699" i="14"/>
  <c r="AL679" i="14"/>
  <c r="AF350" i="13"/>
  <c r="V421" i="13"/>
  <c r="C378" i="14"/>
  <c r="AL343" i="14"/>
  <c r="AN343" i="14"/>
  <c r="AG699" i="14"/>
  <c r="AL680" i="14"/>
  <c r="AN679" i="14"/>
  <c r="AD380" i="13"/>
  <c r="AD41" i="13"/>
  <c r="V380" i="13"/>
  <c r="AF7" i="13"/>
  <c r="Z41" i="13"/>
  <c r="N421" i="13"/>
  <c r="R421" i="13"/>
  <c r="C634" i="14"/>
  <c r="AL613" i="14"/>
  <c r="AN613" i="14"/>
  <c r="AA190" i="14"/>
  <c r="AL153" i="14"/>
  <c r="AN153" i="14"/>
  <c r="AA237" i="14"/>
  <c r="AG667" i="14"/>
  <c r="AL646" i="14"/>
  <c r="AN646" i="14"/>
  <c r="C668" i="14"/>
  <c r="AL647" i="14"/>
  <c r="AN647" i="14"/>
  <c r="AL20" i="14"/>
  <c r="AN20" i="14"/>
  <c r="AB667" i="14"/>
  <c r="AL645" i="14"/>
  <c r="AN645" i="14"/>
  <c r="C566" i="14"/>
  <c r="AL544" i="14"/>
  <c r="AN544" i="14"/>
  <c r="AG190" i="14"/>
  <c r="AG237" i="14"/>
  <c r="AA282" i="14"/>
  <c r="AL248" i="14"/>
  <c r="AN248" i="14"/>
  <c r="AB374" i="14"/>
  <c r="AL338" i="14"/>
  <c r="AN338" i="14"/>
  <c r="C330" i="14"/>
  <c r="AL296" i="14"/>
  <c r="AN296" i="14"/>
  <c r="C496" i="14"/>
  <c r="AL471" i="14"/>
  <c r="AN471" i="14"/>
  <c r="AA565" i="14"/>
  <c r="AL541" i="14"/>
  <c r="AN541" i="14"/>
  <c r="AG599" i="14"/>
  <c r="AL578" i="14"/>
  <c r="AN578" i="14"/>
  <c r="AB596" i="14"/>
  <c r="AL574" i="14"/>
  <c r="AN574" i="14"/>
  <c r="J421" i="13"/>
  <c r="F397" i="13"/>
  <c r="J380" i="13"/>
  <c r="N397" i="13"/>
  <c r="Z421" i="13"/>
  <c r="F41" i="13"/>
  <c r="N380" i="13"/>
  <c r="R397" i="13"/>
  <c r="AD421" i="13"/>
  <c r="AF38" i="13"/>
  <c r="Z60" i="13"/>
  <c r="R60" i="13"/>
  <c r="N323" i="13"/>
  <c r="R380" i="13"/>
  <c r="V397" i="13"/>
  <c r="F380" i="13"/>
  <c r="Z397" i="13"/>
  <c r="F421" i="13"/>
  <c r="J397" i="13"/>
  <c r="AD397" i="13"/>
  <c r="AG724" i="14"/>
  <c r="AL709" i="14"/>
  <c r="AN709" i="14"/>
  <c r="AB664" i="14"/>
  <c r="AB696" i="14"/>
  <c r="AL676" i="14"/>
  <c r="AN676" i="14"/>
  <c r="AL644" i="14"/>
  <c r="AN644" i="14"/>
  <c r="AG727" i="14"/>
  <c r="AL712" i="14"/>
  <c r="AN712" i="14"/>
  <c r="J14" i="13"/>
  <c r="J60" i="13"/>
  <c r="AF118" i="13"/>
  <c r="Z124" i="13"/>
  <c r="AF138" i="13"/>
  <c r="AF56" i="13"/>
  <c r="AF58" i="13"/>
  <c r="AF191" i="13"/>
  <c r="AF192" i="13"/>
  <c r="AF214" i="13"/>
  <c r="AL19" i="15"/>
  <c r="AN19" i="15"/>
  <c r="J302" i="13"/>
  <c r="R41" i="13"/>
  <c r="AF107" i="13"/>
  <c r="AF24" i="13"/>
  <c r="AF559" i="13"/>
  <c r="R14" i="13"/>
  <c r="F14" i="13"/>
  <c r="AF21" i="13"/>
  <c r="J41" i="13"/>
  <c r="AF53" i="13"/>
  <c r="N60" i="13"/>
  <c r="AF54" i="13"/>
  <c r="AF101" i="13"/>
  <c r="AF102" i="13"/>
  <c r="Z109" i="13"/>
  <c r="AF104" i="13"/>
  <c r="F109" i="13"/>
  <c r="AF113" i="13"/>
  <c r="AD124" i="13"/>
  <c r="F124" i="13"/>
  <c r="AF120" i="13"/>
  <c r="AF121" i="13"/>
  <c r="V124" i="13"/>
  <c r="AF128" i="13"/>
  <c r="AF132" i="13"/>
  <c r="AF170" i="13"/>
  <c r="AF207" i="13"/>
  <c r="J109" i="13"/>
  <c r="N109" i="13"/>
  <c r="AD60" i="13"/>
  <c r="AF587" i="13"/>
  <c r="AF33" i="13"/>
  <c r="AF39" i="13"/>
  <c r="V139" i="13"/>
  <c r="AF103" i="13"/>
  <c r="AF557" i="13"/>
  <c r="AF55" i="13"/>
  <c r="AF105" i="13"/>
  <c r="N124" i="13"/>
  <c r="AF193" i="13"/>
  <c r="AF429" i="13"/>
  <c r="AF495" i="13"/>
  <c r="AF569" i="13"/>
  <c r="AF579" i="13"/>
  <c r="AF586" i="13"/>
  <c r="AF9" i="13"/>
  <c r="AF6" i="13"/>
  <c r="AD14" i="13"/>
  <c r="AF25" i="13"/>
  <c r="N41" i="13"/>
  <c r="AF360" i="13"/>
  <c r="F60" i="13"/>
  <c r="AF50" i="13"/>
  <c r="N14" i="13"/>
  <c r="AF163" i="13"/>
  <c r="AF131" i="13"/>
  <c r="Z139" i="13"/>
  <c r="AD139" i="13"/>
  <c r="AF143" i="13"/>
  <c r="AF59" i="13"/>
  <c r="AF75" i="13"/>
  <c r="AF74" i="13"/>
  <c r="AF76" i="13"/>
  <c r="AF72" i="13"/>
  <c r="AF71" i="13"/>
  <c r="AF91" i="13"/>
  <c r="AF89" i="13"/>
  <c r="AF92" i="13"/>
  <c r="AF106" i="13"/>
  <c r="AF134" i="13"/>
  <c r="AF149" i="13"/>
  <c r="AF148" i="13"/>
  <c r="AF168" i="13"/>
  <c r="AF172" i="13"/>
  <c r="AF190" i="13"/>
  <c r="AF194" i="13"/>
  <c r="AF208" i="13"/>
  <c r="AF213" i="13"/>
  <c r="AF210" i="13"/>
  <c r="AF212" i="13"/>
  <c r="AF35" i="13"/>
  <c r="AF461" i="13"/>
  <c r="AF485" i="13"/>
  <c r="AF496" i="13"/>
  <c r="AF570" i="13"/>
  <c r="AF591" i="13"/>
  <c r="AF8" i="13"/>
  <c r="AF10" i="13"/>
  <c r="AF22" i="13"/>
  <c r="AF23" i="13"/>
  <c r="AF27" i="13"/>
  <c r="AF29" i="13"/>
  <c r="AF34" i="13"/>
  <c r="AF370" i="13"/>
  <c r="AF387" i="13"/>
  <c r="AF388" i="13"/>
  <c r="AF389" i="13"/>
  <c r="AF93" i="13"/>
  <c r="AF40" i="13"/>
  <c r="AF37" i="13"/>
  <c r="AF36" i="13"/>
  <c r="AD94" i="13"/>
  <c r="AD217" i="13"/>
  <c r="AF245" i="13"/>
  <c r="R302" i="13"/>
  <c r="V302" i="13"/>
  <c r="AF299" i="13"/>
  <c r="AF329" i="13"/>
  <c r="AF330" i="13"/>
  <c r="AF345" i="13"/>
  <c r="AF391" i="13"/>
  <c r="AF403" i="13"/>
  <c r="AF404" i="13"/>
  <c r="AF411" i="13"/>
  <c r="AF427" i="13"/>
  <c r="AF428" i="13"/>
  <c r="AF430" i="13"/>
  <c r="AF446" i="13"/>
  <c r="AF448" i="13"/>
  <c r="AF462" i="13"/>
  <c r="AF463" i="13"/>
  <c r="AF464" i="13"/>
  <c r="AF466" i="13"/>
  <c r="AF482" i="13"/>
  <c r="AF484" i="13"/>
  <c r="AF497" i="13"/>
  <c r="AF507" i="13"/>
  <c r="AF513" i="13"/>
  <c r="AF519" i="13"/>
  <c r="AF521" i="13"/>
  <c r="AF530" i="13"/>
  <c r="AF541" i="13"/>
  <c r="AF542" i="13"/>
  <c r="AF563" i="13"/>
  <c r="AF571" i="13"/>
  <c r="AF572" i="13"/>
  <c r="AF573" i="13"/>
  <c r="AF574" i="13"/>
  <c r="AF575" i="13"/>
  <c r="AF585" i="13"/>
  <c r="AF588" i="13"/>
  <c r="AF592" i="13"/>
  <c r="AF595" i="13"/>
  <c r="AF12" i="13"/>
  <c r="AF13" i="13"/>
  <c r="AF57" i="13"/>
  <c r="AF90" i="13"/>
  <c r="R124" i="13"/>
  <c r="J139" i="13"/>
  <c r="AF171" i="13"/>
  <c r="AF173" i="13"/>
  <c r="AF189" i="13"/>
  <c r="AF205" i="13"/>
  <c r="AF215" i="13"/>
  <c r="Z234" i="13"/>
  <c r="V234" i="13"/>
  <c r="AF314" i="13"/>
  <c r="AD262" i="13"/>
  <c r="F262" i="13"/>
  <c r="J262" i="13"/>
  <c r="AF260" i="13"/>
  <c r="Z302" i="13"/>
  <c r="AF296" i="13"/>
  <c r="AF306" i="13"/>
  <c r="AF67" i="13"/>
  <c r="AD77" i="13"/>
  <c r="J124" i="13"/>
  <c r="AF150" i="13"/>
  <c r="V109" i="13"/>
  <c r="AF117" i="13"/>
  <c r="V41" i="13"/>
  <c r="AD109" i="13"/>
  <c r="F139" i="13"/>
  <c r="AF135" i="13"/>
  <c r="AF137" i="13"/>
  <c r="F77" i="13"/>
  <c r="AF70" i="13"/>
  <c r="AF73" i="13"/>
  <c r="V154" i="13"/>
  <c r="N154" i="13"/>
  <c r="J174" i="13"/>
  <c r="AF166" i="13"/>
  <c r="AF178" i="13"/>
  <c r="AF188" i="13"/>
  <c r="R217" i="13"/>
  <c r="AF204" i="13"/>
  <c r="AF211" i="13"/>
  <c r="AF233" i="13"/>
  <c r="AF238" i="13"/>
  <c r="V249" i="13"/>
  <c r="J249" i="13"/>
  <c r="N262" i="13"/>
  <c r="AF259" i="13"/>
  <c r="V262" i="13"/>
  <c r="AF261" i="13"/>
  <c r="AF269" i="13"/>
  <c r="AF283" i="13"/>
  <c r="Z287" i="13"/>
  <c r="AF285" i="13"/>
  <c r="AF294" i="13"/>
  <c r="F302" i="13"/>
  <c r="AF309" i="13"/>
  <c r="AF332" i="13"/>
  <c r="AF333" i="13"/>
  <c r="AF334" i="13"/>
  <c r="AF359" i="13"/>
  <c r="AD302" i="13"/>
  <c r="AF133" i="13"/>
  <c r="AF122" i="13"/>
  <c r="R139" i="13"/>
  <c r="AF119" i="13"/>
  <c r="AF52" i="13"/>
  <c r="V60" i="13"/>
  <c r="AF358" i="13"/>
  <c r="AF108" i="13"/>
  <c r="AF481" i="13"/>
  <c r="AF509" i="13"/>
  <c r="AF522" i="13"/>
  <c r="AF539" i="13"/>
  <c r="AF540" i="13"/>
  <c r="AF553" i="13"/>
  <c r="AF555" i="13"/>
  <c r="AF556" i="13"/>
  <c r="AL107" i="14"/>
  <c r="AN107" i="14"/>
  <c r="AA234" i="14"/>
  <c r="AL198" i="14"/>
  <c r="AN198" i="14"/>
  <c r="AG234" i="14"/>
  <c r="AL200" i="14"/>
  <c r="AN200" i="14"/>
  <c r="AA187" i="14"/>
  <c r="AL150" i="14"/>
  <c r="AN150" i="14"/>
  <c r="AA142" i="14"/>
  <c r="AL106" i="14"/>
  <c r="AN106" i="14"/>
  <c r="AB530" i="14"/>
  <c r="AL508" i="14"/>
  <c r="AN508" i="14"/>
  <c r="AA527" i="14"/>
  <c r="AL504" i="14"/>
  <c r="AN504" i="14"/>
  <c r="AB187" i="14"/>
  <c r="AL151" i="14"/>
  <c r="AN151" i="14"/>
  <c r="AA95" i="14"/>
  <c r="AA6" i="14"/>
  <c r="AG416" i="14"/>
  <c r="AL387" i="14"/>
  <c r="AN387" i="14"/>
  <c r="AG419" i="14"/>
  <c r="AL390" i="14"/>
  <c r="AN390" i="14"/>
  <c r="AG530" i="14"/>
  <c r="AL509" i="14"/>
  <c r="AN509" i="14"/>
  <c r="AA599" i="14"/>
  <c r="AL576" i="14"/>
  <c r="AN576" i="14"/>
  <c r="AG633" i="14"/>
  <c r="AL612" i="14"/>
  <c r="AN612" i="14"/>
  <c r="AB279" i="14"/>
  <c r="AL246" i="14"/>
  <c r="AN246" i="14"/>
  <c r="AB492" i="14"/>
  <c r="AL466" i="14"/>
  <c r="AN466" i="14"/>
  <c r="AL63" i="14"/>
  <c r="AN63" i="14"/>
  <c r="AA279" i="14"/>
  <c r="AL245" i="14"/>
  <c r="AN245" i="14"/>
  <c r="AG457" i="14"/>
  <c r="AL432" i="14"/>
  <c r="AN432" i="14"/>
  <c r="AB139" i="14"/>
  <c r="AL104" i="14"/>
  <c r="AN104" i="14"/>
  <c r="AG630" i="14"/>
  <c r="AL609" i="14"/>
  <c r="AN609" i="14"/>
  <c r="AB377" i="14"/>
  <c r="AL341" i="14"/>
  <c r="AN341" i="14"/>
  <c r="AB416" i="14"/>
  <c r="AL386" i="14"/>
  <c r="AN386" i="14"/>
  <c r="AG495" i="14"/>
  <c r="AL470" i="14"/>
  <c r="AN470" i="14"/>
  <c r="AG377" i="14"/>
  <c r="AL342" i="14"/>
  <c r="AN342" i="14"/>
  <c r="F154" i="13"/>
  <c r="AF152" i="13"/>
  <c r="R94" i="13"/>
  <c r="R262" i="13"/>
  <c r="AF300" i="13"/>
  <c r="AF203" i="13"/>
  <c r="AF146" i="13"/>
  <c r="AF151" i="13"/>
  <c r="N94" i="13"/>
  <c r="AF88" i="13"/>
  <c r="AF241" i="13"/>
  <c r="AF483" i="13"/>
  <c r="Z276" i="13"/>
  <c r="AD154" i="13"/>
  <c r="AF447" i="13"/>
  <c r="AF230" i="13"/>
  <c r="AF202" i="13"/>
  <c r="AF147" i="13"/>
  <c r="AF49" i="13"/>
  <c r="AF48" i="13"/>
  <c r="AF266" i="13"/>
  <c r="AF310" i="13"/>
  <c r="AF311" i="13"/>
  <c r="AF347" i="13"/>
  <c r="AF349" i="13"/>
  <c r="AF51" i="13"/>
  <c r="AF227" i="13"/>
  <c r="AF605" i="13"/>
  <c r="AF165" i="13"/>
  <c r="F195" i="13"/>
  <c r="J195" i="13"/>
  <c r="N234" i="13"/>
  <c r="AF537" i="13"/>
  <c r="N139" i="13"/>
  <c r="AF229" i="13"/>
  <c r="AF248" i="13"/>
  <c r="V14" i="13"/>
  <c r="AF226" i="13"/>
  <c r="N287" i="13"/>
  <c r="AF501" i="13"/>
  <c r="AF26" i="13"/>
  <c r="R109" i="13"/>
  <c r="AF232" i="13"/>
  <c r="AF228" i="13"/>
  <c r="R287" i="13"/>
  <c r="AF357" i="13"/>
  <c r="AF362" i="13"/>
  <c r="AF465" i="13"/>
  <c r="AF536" i="13"/>
  <c r="AF538" i="13"/>
  <c r="AF547" i="13"/>
  <c r="AF231" i="13"/>
  <c r="F174" i="13"/>
  <c r="AF162" i="13"/>
  <c r="Z14" i="13"/>
  <c r="AF18" i="13"/>
  <c r="AF161" i="13"/>
  <c r="N174" i="13"/>
  <c r="V323" i="13"/>
  <c r="AF508" i="13"/>
  <c r="AF510" i="13"/>
  <c r="AF64" i="13"/>
  <c r="AF116" i="13"/>
  <c r="AF209" i="13"/>
  <c r="AF368" i="13"/>
  <c r="AF369" i="13"/>
  <c r="AF372" i="13"/>
  <c r="AF445" i="13"/>
  <c r="AF520" i="13"/>
  <c r="AF554" i="13"/>
  <c r="AF558" i="13"/>
  <c r="AF31" i="13"/>
  <c r="AF32" i="13"/>
  <c r="V77" i="13"/>
  <c r="F249" i="13"/>
  <c r="AF242" i="13"/>
  <c r="AF253" i="13"/>
  <c r="AD276" i="13"/>
  <c r="AF286" i="13"/>
  <c r="AF291" i="13"/>
  <c r="AF30" i="13"/>
  <c r="AF407" i="13"/>
  <c r="AF498" i="13"/>
  <c r="AF28" i="13"/>
  <c r="AF216" i="13"/>
  <c r="J77" i="13"/>
  <c r="AF164" i="13"/>
  <c r="AF246" i="13"/>
  <c r="Z94" i="13"/>
  <c r="AF187" i="13"/>
  <c r="Z195" i="13"/>
  <c r="AF185" i="13"/>
  <c r="AF186" i="13"/>
  <c r="AF331" i="13"/>
  <c r="AD195" i="13"/>
  <c r="AF312" i="13"/>
  <c r="AD174" i="13"/>
  <c r="AF182" i="13"/>
  <c r="V217" i="13"/>
  <c r="AE51" i="13"/>
  <c r="V287" i="13"/>
  <c r="F323" i="13"/>
  <c r="J276" i="13"/>
  <c r="R323" i="13"/>
  <c r="Z323" i="13"/>
  <c r="C296" i="15"/>
  <c r="AL260" i="15"/>
  <c r="AN260" i="15"/>
  <c r="C346" i="15"/>
  <c r="AL309" i="15"/>
  <c r="AN309" i="15"/>
  <c r="AB101" i="15"/>
  <c r="AG92" i="14"/>
  <c r="AL61" i="14"/>
  <c r="AN61" i="14"/>
  <c r="AB92" i="14"/>
  <c r="AL60" i="14"/>
  <c r="AN60" i="14"/>
  <c r="AA92" i="14"/>
  <c r="AL59" i="14"/>
  <c r="AN59" i="14"/>
  <c r="AB234" i="14"/>
  <c r="AL199" i="14"/>
  <c r="AN199" i="14"/>
  <c r="AB565" i="14"/>
  <c r="AL542" i="14"/>
  <c r="AN542" i="14"/>
  <c r="AB562" i="14"/>
  <c r="AL539" i="14"/>
  <c r="AN539" i="14"/>
  <c r="AG596" i="14"/>
  <c r="AL575" i="14"/>
  <c r="AN575" i="14"/>
  <c r="AG696" i="14"/>
  <c r="AL677" i="14"/>
  <c r="AN677" i="14"/>
  <c r="AG187" i="14"/>
  <c r="AL152" i="14"/>
  <c r="AN152" i="14"/>
  <c r="AB237" i="14"/>
  <c r="C191" i="14"/>
  <c r="AL156" i="14"/>
  <c r="AN156" i="14"/>
  <c r="AA374" i="14"/>
  <c r="AL337" i="14"/>
  <c r="AN337" i="14"/>
  <c r="AB457" i="14"/>
  <c r="AL431" i="14"/>
  <c r="AN431" i="14"/>
  <c r="AA492" i="14"/>
  <c r="AL465" i="14"/>
  <c r="AN465" i="14"/>
  <c r="AB599" i="14"/>
  <c r="AL577" i="14"/>
  <c r="AN577" i="14"/>
  <c r="AA633" i="14"/>
  <c r="AL610" i="14"/>
  <c r="AN610" i="14"/>
  <c r="AB454" i="14"/>
  <c r="AL428" i="14"/>
  <c r="AN428" i="14"/>
  <c r="AB630" i="14"/>
  <c r="AL608" i="14"/>
  <c r="AN608" i="14"/>
  <c r="AB724" i="14"/>
  <c r="AL708" i="14"/>
  <c r="AN708" i="14"/>
  <c r="AB46" i="14"/>
  <c r="AA46" i="14"/>
  <c r="AG46" i="14"/>
  <c r="AL16" i="14"/>
  <c r="AN16" i="14"/>
  <c r="AB282" i="14"/>
  <c r="AL249" i="14"/>
  <c r="AN249" i="14"/>
  <c r="AB326" i="14"/>
  <c r="AL291" i="14"/>
  <c r="AN291" i="14"/>
  <c r="AG326" i="14"/>
  <c r="AL292" i="14"/>
  <c r="AN292" i="14"/>
  <c r="AG454" i="14"/>
  <c r="AL429" i="14"/>
  <c r="AN429" i="14"/>
  <c r="AA416" i="14"/>
  <c r="AL385" i="14"/>
  <c r="AN385" i="14"/>
  <c r="AA454" i="14"/>
  <c r="AL427" i="14"/>
  <c r="AN427" i="14"/>
  <c r="AG527" i="14"/>
  <c r="AL506" i="14"/>
  <c r="AN506" i="14"/>
  <c r="AB633" i="14"/>
  <c r="AL611" i="14"/>
  <c r="AN611" i="14"/>
  <c r="AA630" i="14"/>
  <c r="AL607" i="14"/>
  <c r="AN607" i="14"/>
  <c r="AA562" i="14"/>
  <c r="AL538" i="14"/>
  <c r="AN538" i="14"/>
  <c r="AA596" i="14"/>
  <c r="AL573" i="14"/>
  <c r="AN573" i="14"/>
  <c r="AA664" i="14"/>
  <c r="AA139" i="14"/>
  <c r="AL103" i="14"/>
  <c r="AN103" i="14"/>
  <c r="AG139" i="14"/>
  <c r="AL105" i="14"/>
  <c r="AN105" i="14"/>
  <c r="AG562" i="14"/>
  <c r="AL540" i="14"/>
  <c r="AN540" i="14"/>
  <c r="AG664" i="14"/>
  <c r="AL643" i="14"/>
  <c r="AN643" i="14"/>
  <c r="AG492" i="14"/>
  <c r="AL467" i="14"/>
  <c r="AN467" i="14"/>
  <c r="AA495" i="14"/>
  <c r="AL468" i="14"/>
  <c r="AN468" i="14"/>
  <c r="C531" i="14"/>
  <c r="AL510" i="14"/>
  <c r="AN510" i="14"/>
  <c r="AB727" i="14"/>
  <c r="AL711" i="14"/>
  <c r="AN711" i="14"/>
  <c r="AG142" i="14"/>
  <c r="AG279" i="14"/>
  <c r="AL247" i="14"/>
  <c r="AN247" i="14"/>
  <c r="AA326" i="14"/>
  <c r="AL290" i="14"/>
  <c r="AN290" i="14"/>
  <c r="AG374" i="14"/>
  <c r="AL339" i="14"/>
  <c r="AN339" i="14"/>
  <c r="AB527" i="14"/>
  <c r="AL505" i="14"/>
  <c r="AN505" i="14"/>
  <c r="AA727" i="14"/>
  <c r="AL710" i="14"/>
  <c r="AN710" i="14"/>
  <c r="AB441" i="15"/>
  <c r="AL404" i="15"/>
  <c r="AN404" i="15"/>
  <c r="AA724" i="14"/>
  <c r="AL707" i="14"/>
  <c r="AN707" i="14"/>
  <c r="AF284" i="13"/>
  <c r="AA696" i="14"/>
  <c r="AL675" i="14"/>
  <c r="AN675" i="14"/>
  <c r="AB293" i="15"/>
  <c r="AL256" i="15"/>
  <c r="AN256" i="15"/>
  <c r="AN261" i="15"/>
  <c r="AG66" i="15"/>
  <c r="AG185" i="15"/>
  <c r="AL155" i="15"/>
  <c r="AN155" i="15"/>
  <c r="AA343" i="15"/>
  <c r="AL303" i="15"/>
  <c r="AN303" i="15"/>
  <c r="AG441" i="15"/>
  <c r="AB143" i="15"/>
  <c r="AB185" i="15"/>
  <c r="AL154" i="15"/>
  <c r="AN154" i="15"/>
  <c r="AG293" i="15"/>
  <c r="AG343" i="15"/>
  <c r="AA185" i="15"/>
  <c r="AL153" i="15"/>
  <c r="AN153" i="15"/>
  <c r="AB31" i="15"/>
  <c r="AA293" i="15"/>
  <c r="AL254" i="15"/>
  <c r="AN254" i="15"/>
  <c r="C247" i="15"/>
  <c r="AL201" i="15"/>
  <c r="AN201" i="15"/>
  <c r="AA441" i="15"/>
  <c r="AL402" i="15"/>
  <c r="AN402" i="15"/>
  <c r="AG31" i="15"/>
  <c r="AL17" i="15"/>
  <c r="AN17" i="15"/>
  <c r="AA100" i="15"/>
  <c r="AL76" i="15"/>
  <c r="AN76" i="15"/>
  <c r="AN83" i="15"/>
  <c r="AG392" i="15"/>
  <c r="AG100" i="15"/>
  <c r="AG143" i="15"/>
  <c r="AL112" i="15"/>
  <c r="AN112" i="15"/>
  <c r="AB343" i="15"/>
  <c r="AL305" i="15"/>
  <c r="AN305" i="15"/>
  <c r="AB100" i="15"/>
  <c r="AL78" i="15"/>
  <c r="AN78" i="15"/>
  <c r="AA66" i="15"/>
  <c r="AL41" i="15"/>
  <c r="AN41" i="15"/>
  <c r="AN48" i="15"/>
  <c r="AA244" i="15"/>
  <c r="AL195" i="15"/>
  <c r="AN195" i="15"/>
  <c r="AG244" i="15"/>
  <c r="AL197" i="15"/>
  <c r="AN197" i="15"/>
  <c r="AL21" i="15"/>
  <c r="AN21" i="15"/>
  <c r="AB244" i="15"/>
  <c r="AL196" i="15"/>
  <c r="AN196" i="15"/>
  <c r="AA31" i="15"/>
  <c r="AB66" i="15"/>
  <c r="AL43" i="15"/>
  <c r="AN43" i="15"/>
  <c r="AA143" i="15"/>
  <c r="AL110" i="15"/>
  <c r="AN110" i="15"/>
  <c r="AB392" i="15"/>
  <c r="AL355" i="15"/>
  <c r="AN355" i="15"/>
  <c r="AA392" i="15"/>
  <c r="AL353" i="15"/>
  <c r="AN353" i="15"/>
  <c r="AF298" i="13"/>
  <c r="AF297" i="13"/>
  <c r="AL358" i="15"/>
  <c r="AN358" i="15"/>
  <c r="AL357" i="15"/>
  <c r="AN357" i="15"/>
  <c r="AE6" i="14"/>
  <c r="AE5" i="10"/>
  <c r="AA6" i="2"/>
  <c r="AE3" i="2"/>
  <c r="AE5" i="11"/>
  <c r="AE2" i="11"/>
  <c r="AF230" i="4"/>
  <c r="AA6" i="10"/>
  <c r="AA5" i="14"/>
  <c r="AL338" i="2"/>
  <c r="AN363" i="2"/>
  <c r="AN205" i="14"/>
  <c r="AA7" i="14"/>
  <c r="AE4" i="14"/>
  <c r="AL267" i="10"/>
  <c r="AE6" i="10"/>
  <c r="AF197" i="4"/>
  <c r="AF67" i="4"/>
  <c r="AE5" i="14"/>
  <c r="AN363" i="10"/>
  <c r="AN367" i="10"/>
  <c r="AO367" i="10"/>
  <c r="AL338" i="10"/>
  <c r="AL418" i="2"/>
  <c r="AL422" i="2"/>
  <c r="AN580" i="14"/>
  <c r="AL11" i="10"/>
  <c r="AA5" i="10"/>
  <c r="AE2" i="10"/>
  <c r="P7" i="9"/>
  <c r="Q7" i="9"/>
  <c r="Q10" i="9"/>
  <c r="R7" i="9"/>
  <c r="C129" i="2"/>
  <c r="AL113" i="2"/>
  <c r="AA5" i="2"/>
  <c r="AE2" i="2"/>
  <c r="AA7" i="15"/>
  <c r="AE4" i="15"/>
  <c r="AN157" i="14"/>
  <c r="AN681" i="14"/>
  <c r="AN66" i="14"/>
  <c r="AN297" i="14"/>
  <c r="AL14" i="14"/>
  <c r="AN14" i="14"/>
  <c r="AN110" i="14"/>
  <c r="AN434" i="14"/>
  <c r="AL15" i="14"/>
  <c r="AN15" i="14"/>
  <c r="AN344" i="14"/>
  <c r="AN392" i="14"/>
  <c r="AL642" i="14"/>
  <c r="AN642" i="14"/>
  <c r="AL641" i="14"/>
  <c r="AN641" i="14"/>
  <c r="AN648" i="14"/>
  <c r="AL15" i="15"/>
  <c r="AN15" i="15"/>
  <c r="AN252" i="14"/>
  <c r="AN545" i="14"/>
  <c r="AN511" i="14"/>
  <c r="AN614" i="14"/>
  <c r="AL16" i="15"/>
  <c r="AN16" i="15"/>
  <c r="AN452" i="15"/>
  <c r="AN459" i="15"/>
  <c r="AN472" i="14"/>
  <c r="AN714" i="14"/>
  <c r="AL304" i="15"/>
  <c r="AN304" i="15"/>
  <c r="AN310" i="15"/>
  <c r="AL42" i="15"/>
  <c r="AN42" i="15"/>
  <c r="AL403" i="15"/>
  <c r="AN403" i="15"/>
  <c r="AN410" i="15"/>
  <c r="AL111" i="15"/>
  <c r="AN111" i="15"/>
  <c r="AL255" i="15"/>
  <c r="AN255" i="15"/>
  <c r="AL77" i="15"/>
  <c r="AN77" i="15"/>
  <c r="AL354" i="15"/>
  <c r="AN354" i="15"/>
  <c r="AN361" i="15"/>
  <c r="AE2" i="14"/>
  <c r="AE3" i="10"/>
  <c r="AE3" i="14"/>
  <c r="AN21" i="14"/>
  <c r="C272" i="19"/>
  <c r="AL244" i="19"/>
  <c r="AN244" i="19"/>
  <c r="C448" i="19"/>
  <c r="AL416" i="19"/>
  <c r="AN416" i="19"/>
  <c r="AL20" i="19"/>
  <c r="AN20" i="19"/>
  <c r="AL22" i="19"/>
  <c r="AN22" i="19"/>
  <c r="C403" i="19"/>
  <c r="AL371" i="19"/>
  <c r="AN371" i="19"/>
  <c r="AF524" i="13"/>
  <c r="AF620" i="13"/>
  <c r="AF639" i="13"/>
  <c r="AF834" i="13"/>
  <c r="AF692" i="13"/>
  <c r="AF684" i="13"/>
  <c r="AF794" i="13"/>
  <c r="R77" i="13"/>
  <c r="AF124" i="13"/>
  <c r="AF287" i="13"/>
  <c r="AF77" i="13"/>
  <c r="AF688" i="13"/>
  <c r="F234" i="13"/>
  <c r="AF335" i="13"/>
  <c r="AF348" i="13"/>
  <c r="AF356" i="13"/>
  <c r="Z380" i="13"/>
  <c r="AF380" i="13"/>
  <c r="F439" i="13"/>
  <c r="AF439" i="13"/>
  <c r="V455" i="13"/>
  <c r="AD475" i="13"/>
  <c r="AF475" i="13"/>
  <c r="J489" i="13"/>
  <c r="AF489" i="13"/>
  <c r="AF750" i="13"/>
  <c r="AF749" i="13"/>
  <c r="AD287" i="13"/>
  <c r="AF295" i="13"/>
  <c r="AF302" i="13"/>
  <c r="AD323" i="13"/>
  <c r="AF270" i="13"/>
  <c r="AF275" i="13"/>
  <c r="AF346" i="13"/>
  <c r="AF87" i="13"/>
  <c r="AF167" i="13"/>
  <c r="AF169" i="13"/>
  <c r="N195" i="13"/>
  <c r="AF183" i="13"/>
  <c r="AF184" i="13"/>
  <c r="AD234" i="13"/>
  <c r="AF243" i="13"/>
  <c r="AF249" i="13"/>
  <c r="Z262" i="13"/>
  <c r="N276" i="13"/>
  <c r="AF274" i="13"/>
  <c r="N302" i="13"/>
  <c r="AF301" i="13"/>
  <c r="J323" i="13"/>
  <c r="AF523" i="13"/>
  <c r="AF560" i="13"/>
  <c r="AF578" i="13"/>
  <c r="AF576" i="13"/>
  <c r="AF708" i="13"/>
  <c r="AF699" i="13"/>
  <c r="AF725" i="13"/>
  <c r="AF718" i="13"/>
  <c r="AF735" i="13"/>
  <c r="AF752" i="13"/>
  <c r="AF11" i="13"/>
  <c r="AF14" i="13"/>
  <c r="R195" i="13"/>
  <c r="AF199" i="13"/>
  <c r="F217" i="13"/>
  <c r="AF221" i="13"/>
  <c r="AF273" i="13"/>
  <c r="J287" i="13"/>
  <c r="AF417" i="13"/>
  <c r="F94" i="13"/>
  <c r="AF85" i="13"/>
  <c r="Z154" i="13"/>
  <c r="V195" i="13"/>
  <c r="AF225" i="13"/>
  <c r="AF258" i="13"/>
  <c r="V276" i="13"/>
  <c r="AF373" i="13"/>
  <c r="AF613" i="13"/>
  <c r="AF643" i="13"/>
  <c r="AF661" i="13"/>
  <c r="AF691" i="13"/>
  <c r="AF41" i="13"/>
  <c r="J94" i="13"/>
  <c r="AF158" i="13"/>
  <c r="R174" i="13"/>
  <c r="AF224" i="13"/>
  <c r="R234" i="13"/>
  <c r="AD249" i="13"/>
  <c r="AF256" i="13"/>
  <c r="AF257" i="13"/>
  <c r="AF374" i="13"/>
  <c r="AF631" i="13"/>
  <c r="AF644" i="13"/>
  <c r="AF638" i="13"/>
  <c r="AF662" i="13"/>
  <c r="AF670" i="13"/>
  <c r="AF593" i="13"/>
  <c r="AF386" i="13"/>
  <c r="AF390" i="13"/>
  <c r="AF217" i="13"/>
  <c r="AF339" i="13"/>
  <c r="AF421" i="13"/>
  <c r="AF323" i="13"/>
  <c r="AF455" i="13"/>
  <c r="AF84" i="13"/>
  <c r="AF94" i="13"/>
  <c r="AF375" i="13"/>
  <c r="AF590" i="13"/>
  <c r="AF612" i="13"/>
  <c r="AF667" i="13"/>
  <c r="AF666" i="13"/>
  <c r="AF660" i="13"/>
  <c r="AF683" i="13"/>
  <c r="AF682" i="13"/>
  <c r="AF698" i="13"/>
  <c r="AF717" i="13"/>
  <c r="AF743" i="13"/>
  <c r="AF734" i="13"/>
  <c r="AF760" i="13"/>
  <c r="AF751" i="13"/>
  <c r="AF783" i="13"/>
  <c r="AF801" i="13"/>
  <c r="AF818" i="13"/>
  <c r="AF577" i="13"/>
  <c r="AF397" i="13"/>
  <c r="AF637" i="13"/>
  <c r="AF594" i="13"/>
  <c r="AF709" i="13"/>
  <c r="AF700" i="13"/>
  <c r="AF726" i="13"/>
  <c r="AF796" i="13"/>
  <c r="AF821" i="13"/>
  <c r="AF136" i="13"/>
  <c r="AF139" i="13"/>
  <c r="AF614" i="13"/>
  <c r="AF654" i="13"/>
  <c r="AF648" i="13"/>
  <c r="AF701" i="13"/>
  <c r="AF755" i="13"/>
  <c r="AF787" i="13"/>
  <c r="AF805" i="13"/>
  <c r="AF797" i="13"/>
  <c r="AF822" i="13"/>
  <c r="AF813" i="13"/>
  <c r="AF561" i="13"/>
  <c r="AF663" i="13"/>
  <c r="AF738" i="13"/>
  <c r="AF788" i="13"/>
  <c r="AF768" i="13"/>
  <c r="AF814" i="13"/>
  <c r="AF828" i="13"/>
  <c r="AF675" i="13"/>
  <c r="AF739" i="13"/>
  <c r="AF756" i="13"/>
  <c r="AF766" i="13"/>
  <c r="AF829" i="13"/>
  <c r="AF855" i="13"/>
  <c r="AF851" i="13"/>
  <c r="AF371" i="13"/>
  <c r="AF361" i="13"/>
  <c r="AF704" i="13"/>
  <c r="AF721" i="13"/>
  <c r="AF715" i="13"/>
  <c r="AF732" i="13"/>
  <c r="AF830" i="13"/>
  <c r="AF856" i="13"/>
  <c r="AF852" i="13"/>
  <c r="AF109" i="13"/>
  <c r="AF60" i="13"/>
  <c r="AF154" i="13"/>
  <c r="AF123" i="13"/>
  <c r="AF376" i="13"/>
  <c r="AF589" i="13"/>
  <c r="AF619" i="13"/>
  <c r="AF611" i="13"/>
  <c r="AF623" i="13"/>
  <c r="AF681" i="13"/>
  <c r="AF705" i="13"/>
  <c r="AF722" i="13"/>
  <c r="AF716" i="13"/>
  <c r="AF742" i="13"/>
  <c r="AF733" i="13"/>
  <c r="AF759" i="13"/>
  <c r="AF800" i="13"/>
  <c r="AF817" i="13"/>
  <c r="AF831" i="13"/>
  <c r="AF848" i="13"/>
  <c r="AF772" i="13"/>
  <c r="AF845" i="13"/>
  <c r="AF846" i="13"/>
  <c r="AF767" i="13"/>
  <c r="AF847" i="13"/>
  <c r="AF769" i="13"/>
  <c r="AL551" i="19"/>
  <c r="AN551" i="19"/>
  <c r="AN553" i="15"/>
  <c r="AN601" i="15"/>
  <c r="AN744" i="15"/>
  <c r="AN790" i="15"/>
  <c r="AL502" i="15"/>
  <c r="AN502" i="15"/>
  <c r="AL501" i="15"/>
  <c r="AN501" i="15"/>
  <c r="AN508" i="15"/>
  <c r="AN696" i="15"/>
  <c r="AN837" i="15"/>
  <c r="AA5" i="15"/>
  <c r="AE2" i="15"/>
  <c r="AE6" i="15"/>
  <c r="AL114" i="15"/>
  <c r="AN114" i="15"/>
  <c r="AN117" i="15"/>
  <c r="AN160" i="15"/>
  <c r="AN22" i="15"/>
  <c r="AN202" i="15"/>
  <c r="AA6" i="15"/>
  <c r="AL18" i="15"/>
  <c r="AN18" i="15"/>
  <c r="AE5" i="15"/>
  <c r="AN242" i="19"/>
  <c r="AN595" i="19"/>
  <c r="AN160" i="19"/>
  <c r="AN21" i="19"/>
  <c r="AN201" i="19"/>
  <c r="AN369" i="19"/>
  <c r="AG445" i="19"/>
  <c r="AL412" i="19"/>
  <c r="AN412" i="19"/>
  <c r="AB355" i="19"/>
  <c r="AL321" i="19"/>
  <c r="AN321" i="19"/>
  <c r="AB310" i="19"/>
  <c r="AL280" i="19"/>
  <c r="AN280" i="19"/>
  <c r="AN283" i="19"/>
  <c r="AN119" i="19"/>
  <c r="AB490" i="19"/>
  <c r="AL456" i="19"/>
  <c r="AN456" i="19"/>
  <c r="AA146" i="19"/>
  <c r="AL115" i="19"/>
  <c r="AN115" i="19"/>
  <c r="AG59" i="19"/>
  <c r="AA310" i="19"/>
  <c r="AL279" i="19"/>
  <c r="AN279" i="19"/>
  <c r="AG400" i="19"/>
  <c r="AL367" i="19"/>
  <c r="AN367" i="19"/>
  <c r="AG146" i="19"/>
  <c r="AL117" i="19"/>
  <c r="AN117" i="19"/>
  <c r="AB146" i="19"/>
  <c r="AL116" i="19"/>
  <c r="AN116" i="19"/>
  <c r="AA269" i="19"/>
  <c r="AL238" i="19"/>
  <c r="AN238" i="19"/>
  <c r="AB105" i="19"/>
  <c r="AL70" i="19"/>
  <c r="AN70" i="19"/>
  <c r="AB400" i="19"/>
  <c r="AL366" i="19"/>
  <c r="AN366" i="19"/>
  <c r="AB269" i="19"/>
  <c r="AL239" i="19"/>
  <c r="AN239" i="19"/>
  <c r="AN324" i="19"/>
  <c r="AA355" i="19"/>
  <c r="AL320" i="19"/>
  <c r="AN320" i="19"/>
  <c r="AB228" i="19"/>
  <c r="AL198" i="19"/>
  <c r="AN198" i="19"/>
  <c r="AB187" i="19"/>
  <c r="AL157" i="19"/>
  <c r="AN157" i="19"/>
  <c r="AB59" i="19"/>
  <c r="AL18" i="19"/>
  <c r="AN18" i="19"/>
  <c r="AG490" i="19"/>
  <c r="AL457" i="19"/>
  <c r="AN457" i="19"/>
  <c r="AG355" i="19"/>
  <c r="AL322" i="19"/>
  <c r="AN322" i="19"/>
  <c r="AG105" i="19"/>
  <c r="AL71" i="19"/>
  <c r="AN71" i="19"/>
  <c r="AA187" i="19"/>
  <c r="AL156" i="19"/>
  <c r="AN156" i="19"/>
  <c r="AB445" i="19"/>
  <c r="AL411" i="19"/>
  <c r="AN411" i="19"/>
  <c r="AA59" i="19"/>
  <c r="AG535" i="19"/>
  <c r="AL502" i="19"/>
  <c r="AN502" i="19"/>
  <c r="AG228" i="19"/>
  <c r="AL199" i="19"/>
  <c r="AN199" i="19"/>
  <c r="AN414" i="19"/>
  <c r="AG310" i="19"/>
  <c r="AL281" i="19"/>
  <c r="AN281" i="19"/>
  <c r="AG187" i="19"/>
  <c r="AL158" i="19"/>
  <c r="AN158" i="19"/>
  <c r="AA228" i="19"/>
  <c r="AL197" i="19"/>
  <c r="AN197" i="19"/>
  <c r="AG578" i="19"/>
  <c r="AL547" i="19"/>
  <c r="AN547" i="19"/>
  <c r="AA105" i="19"/>
  <c r="AL69" i="19"/>
  <c r="AN69" i="19"/>
  <c r="AG269" i="19"/>
  <c r="AL240" i="19"/>
  <c r="AN240" i="19"/>
  <c r="AN73" i="19"/>
  <c r="AN549" i="19"/>
  <c r="AN504" i="19"/>
  <c r="AA400" i="19"/>
  <c r="AL365" i="19"/>
  <c r="AN365" i="19"/>
  <c r="AB578" i="19"/>
  <c r="AL546" i="19"/>
  <c r="AN546" i="19"/>
  <c r="AA117" i="20"/>
  <c r="AL114" i="20" s="1"/>
  <c r="AN114" i="20" s="1"/>
  <c r="AA445" i="19"/>
  <c r="AL410" i="19"/>
  <c r="AN410" i="19"/>
  <c r="AA578" i="19"/>
  <c r="AA109" i="20"/>
  <c r="AL106" i="20" s="1"/>
  <c r="AN106" i="20" s="1"/>
  <c r="AN109" i="20" s="1"/>
  <c r="AL506" i="19"/>
  <c r="AN506" i="19"/>
  <c r="AB535" i="19"/>
  <c r="AA535" i="19"/>
  <c r="AL500" i="19"/>
  <c r="AN500" i="19"/>
  <c r="AA101" i="20"/>
  <c r="AL98" i="20" s="1"/>
  <c r="AN98" i="20" s="1"/>
  <c r="AA490" i="19"/>
  <c r="AL455" i="19"/>
  <c r="AN455" i="19"/>
  <c r="AF811" i="13"/>
  <c r="AF812" i="13"/>
  <c r="AL458" i="19"/>
  <c r="AN458" i="19"/>
  <c r="AL459" i="19"/>
  <c r="AN459" i="19"/>
  <c r="AL17" i="19"/>
  <c r="AN17" i="19"/>
  <c r="AL19" i="19"/>
  <c r="AN19" i="19"/>
  <c r="AF195" i="13"/>
  <c r="AF174" i="13"/>
  <c r="AF276" i="13"/>
  <c r="AF262" i="13"/>
  <c r="AF234" i="13"/>
  <c r="AE3" i="15"/>
  <c r="AN286" i="19"/>
  <c r="AL545" i="19"/>
  <c r="AN545" i="19"/>
  <c r="AN553" i="19"/>
  <c r="AN204" i="19"/>
  <c r="AN328" i="19"/>
  <c r="AN245" i="19"/>
  <c r="AN163" i="19"/>
  <c r="AN418" i="19"/>
  <c r="AN76" i="19"/>
  <c r="AN373" i="19"/>
  <c r="AN122" i="19"/>
  <c r="AL501" i="19"/>
  <c r="AN501" i="19"/>
  <c r="AN508" i="19"/>
  <c r="AE3" i="19"/>
  <c r="AN463" i="19"/>
  <c r="AN24" i="19"/>
  <c r="AA349" i="20"/>
  <c r="AL346" i="20" s="1"/>
  <c r="AN346" i="20" s="1"/>
  <c r="AA341" i="20"/>
  <c r="AL338" i="20" s="1"/>
  <c r="AN338" i="20" s="1"/>
  <c r="AA333" i="20"/>
  <c r="AL330" i="20"/>
  <c r="AN330" i="20" s="1"/>
  <c r="AN333" i="20" s="1"/>
  <c r="AA325" i="20"/>
  <c r="AL322" i="20" s="1"/>
  <c r="AN322" i="20" s="1"/>
  <c r="AA317" i="20"/>
  <c r="AL314" i="20"/>
  <c r="AN314" i="20" s="1"/>
  <c r="AN317" i="20" s="1"/>
  <c r="AA445" i="20"/>
  <c r="AL442" i="20" s="1"/>
  <c r="AN442" i="20" s="1"/>
  <c r="AN445" i="20" s="1"/>
  <c r="AA437" i="20"/>
  <c r="AL434" i="20" s="1"/>
  <c r="AN434" i="20" s="1"/>
  <c r="AA421" i="20"/>
  <c r="AL418" i="20"/>
  <c r="AN418" i="20" s="1"/>
  <c r="AA413" i="20"/>
  <c r="AL410" i="20" s="1"/>
  <c r="AN410" i="20" s="1"/>
  <c r="AN413" i="20" s="1"/>
  <c r="AA397" i="20"/>
  <c r="AL394" i="20" s="1"/>
  <c r="AN394" i="20" s="1"/>
  <c r="AA381" i="20"/>
  <c r="AL378" i="20" s="1"/>
  <c r="AN378" i="20" s="1"/>
  <c r="AA373" i="20"/>
  <c r="AL370" i="20" s="1"/>
  <c r="AN370" i="20" s="1"/>
  <c r="AN26" i="20" l="1"/>
  <c r="AN365" i="20"/>
  <c r="AN213" i="20"/>
  <c r="AN461" i="20"/>
  <c r="AN349" i="20"/>
  <c r="AN171" i="20"/>
  <c r="AN173" i="20" s="1"/>
  <c r="AN15" i="20"/>
  <c r="AN17" i="20" s="1"/>
  <c r="AB117" i="20"/>
  <c r="AL115" i="20" s="1"/>
  <c r="AN115" i="20" s="1"/>
  <c r="AN117" i="20" s="1"/>
  <c r="AN131" i="20"/>
  <c r="AB181" i="20"/>
  <c r="AL179" i="20" s="1"/>
  <c r="AN179" i="20" s="1"/>
  <c r="AN181" i="20" s="1"/>
  <c r="AN269" i="20"/>
  <c r="AN363" i="20"/>
  <c r="AB93" i="20"/>
  <c r="AL91" i="20" s="1"/>
  <c r="AN91" i="20" s="1"/>
  <c r="AB381" i="20"/>
  <c r="AL379" i="20" s="1"/>
  <c r="AN379" i="20" s="1"/>
  <c r="AN381" i="20" s="1"/>
  <c r="AN61" i="20"/>
  <c r="AB229" i="20"/>
  <c r="AL227" i="20" s="1"/>
  <c r="AN227" i="20" s="1"/>
  <c r="AN229" i="20" s="1"/>
  <c r="AN237" i="20"/>
  <c r="AG301" i="20"/>
  <c r="AL300" i="20" s="1"/>
  <c r="AN300" i="20" s="1"/>
  <c r="AN301" i="20" s="1"/>
  <c r="AB165" i="20"/>
  <c r="AL163" i="20" s="1"/>
  <c r="AN163" i="20" s="1"/>
  <c r="AN165" i="20" s="1"/>
  <c r="AN371" i="20"/>
  <c r="AN373" i="20" s="1"/>
  <c r="AB61" i="20"/>
  <c r="AL59" i="20" s="1"/>
  <c r="AN59" i="20" s="1"/>
  <c r="AN51" i="20"/>
  <c r="AA389" i="20"/>
  <c r="AL386" i="20" s="1"/>
  <c r="AN386" i="20" s="1"/>
  <c r="AB405" i="20"/>
  <c r="AL403" i="20" s="1"/>
  <c r="AN403" i="20" s="1"/>
  <c r="AG101" i="20"/>
  <c r="AL100" i="20" s="1"/>
  <c r="AN100" i="20" s="1"/>
  <c r="AN101" i="20" s="1"/>
  <c r="AA157" i="20"/>
  <c r="AL154" i="20" s="1"/>
  <c r="AN154" i="20" s="1"/>
  <c r="AN157" i="20" s="1"/>
  <c r="AN397" i="20"/>
  <c r="AG18" i="20"/>
  <c r="AL16" i="20" s="1"/>
  <c r="AN16" i="20" s="1"/>
  <c r="AG117" i="20"/>
  <c r="AL116" i="20" s="1"/>
  <c r="AN116" i="20" s="1"/>
  <c r="AB141" i="20"/>
  <c r="AL139" i="20" s="1"/>
  <c r="AN139" i="20" s="1"/>
  <c r="AN141" i="20" s="1"/>
  <c r="AN275" i="20"/>
  <c r="AG461" i="20"/>
  <c r="AL460" i="20" s="1"/>
  <c r="AN460" i="20" s="1"/>
  <c r="AB101" i="20"/>
  <c r="AL99" i="20" s="1"/>
  <c r="AN99" i="20" s="1"/>
  <c r="AB197" i="20"/>
  <c r="AL195" i="20" s="1"/>
  <c r="AN195" i="20" s="1"/>
  <c r="AN69" i="20"/>
  <c r="AN85" i="20"/>
  <c r="AN261" i="20"/>
  <c r="AN36" i="20"/>
  <c r="AN53" i="20"/>
  <c r="AN93" i="20"/>
  <c r="AN125" i="20"/>
  <c r="AN253" i="20"/>
  <c r="AN437" i="20"/>
  <c r="AN149" i="20"/>
  <c r="AN285" i="20"/>
  <c r="AN293" i="20"/>
  <c r="AN421" i="20"/>
  <c r="AN325" i="20"/>
  <c r="AN133" i="20"/>
  <c r="AN309" i="20"/>
  <c r="AN197" i="20"/>
  <c r="AN221" i="20"/>
  <c r="AN245" i="20"/>
  <c r="AN341" i="20"/>
  <c r="AN205" i="20"/>
  <c r="AN277" i="20"/>
  <c r="AG405" i="20"/>
  <c r="AL404" i="20" s="1"/>
  <c r="AN404" i="20" s="1"/>
  <c r="AN405" i="20" s="1"/>
  <c r="AG429" i="20"/>
  <c r="AL428" i="20" s="1"/>
  <c r="AN428" i="20" s="1"/>
  <c r="AA429" i="20"/>
  <c r="AL426" i="20" s="1"/>
  <c r="AN426" i="20" s="1"/>
  <c r="AN429" i="20" s="1"/>
  <c r="AB389" i="20"/>
  <c r="AL387" i="20" s="1"/>
  <c r="AN387" i="20" s="1"/>
  <c r="G18" i="16"/>
  <c r="G14" i="16"/>
  <c r="AN1076" i="23"/>
  <c r="AA256" i="23"/>
  <c r="AL231" i="23" s="1"/>
  <c r="AN231" i="23" s="1"/>
  <c r="AA186" i="23"/>
  <c r="AL161" i="23" s="1"/>
  <c r="AN161" i="23" s="1"/>
  <c r="AB256" i="23"/>
  <c r="AL232" i="23" s="1"/>
  <c r="AN232" i="23" s="1"/>
  <c r="AB115" i="23"/>
  <c r="AL90" i="23" s="1"/>
  <c r="AN90" i="23" s="1"/>
  <c r="AB432" i="23"/>
  <c r="AB433" i="23" s="1"/>
  <c r="AL410" i="23" s="1"/>
  <c r="AN410" i="23" s="1"/>
  <c r="AA1063" i="23"/>
  <c r="AL1041" i="23" s="1"/>
  <c r="AN1041" i="23" s="1"/>
  <c r="G24" i="16"/>
  <c r="AA903" i="23"/>
  <c r="AL881" i="23" s="1"/>
  <c r="AN881" i="23" s="1"/>
  <c r="AB221" i="23"/>
  <c r="AL197" i="23" s="1"/>
  <c r="AN197" i="23" s="1"/>
  <c r="AG396" i="23"/>
  <c r="AL373" i="23" s="1"/>
  <c r="AN373" i="23" s="1"/>
  <c r="AB43" i="23"/>
  <c r="AA772" i="23"/>
  <c r="AL750" i="23" s="1"/>
  <c r="AN750" i="23" s="1"/>
  <c r="AA967" i="23"/>
  <c r="AL945" i="23" s="1"/>
  <c r="AN945" i="23" s="1"/>
  <c r="AA871" i="23"/>
  <c r="AL849" i="23" s="1"/>
  <c r="AN849" i="23" s="1"/>
  <c r="AG151" i="23"/>
  <c r="AL127" i="23" s="1"/>
  <c r="AN127" i="23" s="1"/>
  <c r="AB186" i="23"/>
  <c r="AL162" i="23" s="1"/>
  <c r="AN162" i="23" s="1"/>
  <c r="AG641" i="23"/>
  <c r="AL618" i="23" s="1"/>
  <c r="AN618" i="23" s="1"/>
  <c r="AG571" i="23"/>
  <c r="AL548" i="23" s="1"/>
  <c r="AN548" i="23" s="1"/>
  <c r="AG466" i="23"/>
  <c r="AL443" i="23" s="1"/>
  <c r="AN443" i="23" s="1"/>
  <c r="AB291" i="23"/>
  <c r="AL267" i="23" s="1"/>
  <c r="AN267" i="23" s="1"/>
  <c r="AB642" i="23"/>
  <c r="AB643" i="23" s="1"/>
  <c r="AL620" i="23" s="1"/>
  <c r="AN620" i="23" s="1"/>
  <c r="AG501" i="23"/>
  <c r="AL478" i="23" s="1"/>
  <c r="AN478" i="23" s="1"/>
  <c r="AA221" i="23"/>
  <c r="AL196" i="23" s="1"/>
  <c r="AN196" i="23" s="1"/>
  <c r="AG1028" i="23"/>
  <c r="AL1008" i="23" s="1"/>
  <c r="AN1008" i="23" s="1"/>
  <c r="AG186" i="23"/>
  <c r="AL163" i="23" s="1"/>
  <c r="AN163" i="23" s="1"/>
  <c r="AG326" i="23"/>
  <c r="AL303" i="23" s="1"/>
  <c r="AN303" i="23" s="1"/>
  <c r="AG361" i="23"/>
  <c r="AL338" i="23" s="1"/>
  <c r="AN338" i="23" s="1"/>
  <c r="AN342" i="23" s="1"/>
  <c r="AG431" i="23"/>
  <c r="AL408" i="23" s="1"/>
  <c r="AN408" i="23" s="1"/>
  <c r="AG709" i="23"/>
  <c r="AL688" i="23" s="1"/>
  <c r="AN688" i="23" s="1"/>
  <c r="AB964" i="23"/>
  <c r="AL943" i="23" s="1"/>
  <c r="AN943" i="23" s="1"/>
  <c r="AA326" i="23"/>
  <c r="AL301" i="23" s="1"/>
  <c r="AN301" i="23" s="1"/>
  <c r="AA396" i="23"/>
  <c r="AL371" i="23" s="1"/>
  <c r="AN371" i="23" s="1"/>
  <c r="AG868" i="23"/>
  <c r="AL848" i="23" s="1"/>
  <c r="AN848" i="23" s="1"/>
  <c r="AB326" i="23"/>
  <c r="AB641" i="23"/>
  <c r="AL617" i="23" s="1"/>
  <c r="AN617" i="23" s="1"/>
  <c r="AB676" i="23"/>
  <c r="AA709" i="23"/>
  <c r="AL686" i="23" s="1"/>
  <c r="AN686" i="23" s="1"/>
  <c r="AG836" i="23"/>
  <c r="AL816" i="23" s="1"/>
  <c r="AN816" i="23" s="1"/>
  <c r="AG79" i="23"/>
  <c r="AL55" i="23" s="1"/>
  <c r="AN55" i="23" s="1"/>
  <c r="AB151" i="23"/>
  <c r="AL126" i="23" s="1"/>
  <c r="AN126" i="23" s="1"/>
  <c r="AA606" i="23"/>
  <c r="AL581" i="23" s="1"/>
  <c r="AN581" i="23" s="1"/>
  <c r="AA291" i="23"/>
  <c r="AL266" i="23" s="1"/>
  <c r="AN266" i="23" s="1"/>
  <c r="AA79" i="23"/>
  <c r="AL53" i="23" s="1"/>
  <c r="AN53" i="23" s="1"/>
  <c r="AG115" i="23"/>
  <c r="AL91" i="23" s="1"/>
  <c r="AN91" i="23" s="1"/>
  <c r="AG606" i="23"/>
  <c r="AL583" i="23" s="1"/>
  <c r="AN583" i="23" s="1"/>
  <c r="AB805" i="23"/>
  <c r="AL784" i="23" s="1"/>
  <c r="AN784" i="23" s="1"/>
  <c r="AB536" i="23"/>
  <c r="AL512" i="23" s="1"/>
  <c r="AN512" i="23" s="1"/>
  <c r="AB772" i="23"/>
  <c r="AG772" i="23"/>
  <c r="AL752" i="23" s="1"/>
  <c r="AN752" i="23" s="1"/>
  <c r="AG805" i="23"/>
  <c r="AL785" i="23" s="1"/>
  <c r="AN785" i="23" s="1"/>
  <c r="AA501" i="23"/>
  <c r="AL476" i="23" s="1"/>
  <c r="AN476" i="23" s="1"/>
  <c r="AA7" i="23"/>
  <c r="AE4" i="23" s="1"/>
  <c r="AG221" i="23"/>
  <c r="AL198" i="23" s="1"/>
  <c r="AN198" i="23" s="1"/>
  <c r="AB571" i="23"/>
  <c r="AL547" i="23" s="1"/>
  <c r="AN547" i="23" s="1"/>
  <c r="AA571" i="23"/>
  <c r="AL546" i="23" s="1"/>
  <c r="AN546" i="23" s="1"/>
  <c r="AB709" i="23"/>
  <c r="AB836" i="23"/>
  <c r="AL815" i="23" s="1"/>
  <c r="AN815" i="23" s="1"/>
  <c r="AG536" i="23"/>
  <c r="AL513" i="23" s="1"/>
  <c r="AN513" i="23" s="1"/>
  <c r="AA115" i="23"/>
  <c r="AL89" i="23" s="1"/>
  <c r="AN89" i="23" s="1"/>
  <c r="AB361" i="23"/>
  <c r="AG964" i="23"/>
  <c r="AL944" i="23" s="1"/>
  <c r="AN944" i="23" s="1"/>
  <c r="AA900" i="23"/>
  <c r="AL878" i="23" s="1"/>
  <c r="AN878" i="23" s="1"/>
  <c r="AG43" i="23"/>
  <c r="AL20" i="23" s="1"/>
  <c r="AN20" i="23" s="1"/>
  <c r="AA43" i="23"/>
  <c r="AG256" i="23"/>
  <c r="AL233" i="23" s="1"/>
  <c r="AN233" i="23" s="1"/>
  <c r="AB466" i="23"/>
  <c r="AA466" i="23"/>
  <c r="AL441" i="23" s="1"/>
  <c r="AN441" i="23" s="1"/>
  <c r="AA808" i="23"/>
  <c r="AL786" i="23" s="1"/>
  <c r="AN786" i="23" s="1"/>
  <c r="AA805" i="23"/>
  <c r="AL783" i="23" s="1"/>
  <c r="AN783" i="23" s="1"/>
  <c r="AB932" i="23"/>
  <c r="AL911" i="23" s="1"/>
  <c r="AN911" i="23" s="1"/>
  <c r="AA536" i="23"/>
  <c r="AL511" i="23" s="1"/>
  <c r="AN511" i="23" s="1"/>
  <c r="AA676" i="23"/>
  <c r="AL651" i="23" s="1"/>
  <c r="AN651" i="23" s="1"/>
  <c r="AG676" i="23"/>
  <c r="AL653" i="23" s="1"/>
  <c r="AN653" i="23" s="1"/>
  <c r="AB740" i="23"/>
  <c r="AG740" i="23"/>
  <c r="AL720" i="23" s="1"/>
  <c r="AN720" i="23" s="1"/>
  <c r="AG291" i="23"/>
  <c r="AL268" i="23" s="1"/>
  <c r="AN268" i="23" s="1"/>
  <c r="AB501" i="23"/>
  <c r="AG996" i="23"/>
  <c r="AL976" i="23" s="1"/>
  <c r="AN976" i="23" s="1"/>
  <c r="AB79" i="23"/>
  <c r="AL54" i="23" s="1"/>
  <c r="AN54" i="23" s="1"/>
  <c r="AA151" i="23"/>
  <c r="AL125" i="23" s="1"/>
  <c r="AN125" i="23" s="1"/>
  <c r="AB606" i="23"/>
  <c r="AL582" i="23" s="1"/>
  <c r="AN582" i="23" s="1"/>
  <c r="AA740" i="23"/>
  <c r="AL718" i="23" s="1"/>
  <c r="AN718" i="23" s="1"/>
  <c r="AA964" i="23"/>
  <c r="AL942" i="23" s="1"/>
  <c r="AN942" i="23" s="1"/>
  <c r="AB996" i="23"/>
  <c r="AL975" i="23" s="1"/>
  <c r="AN975" i="23" s="1"/>
  <c r="AG1060" i="23"/>
  <c r="AL1040" i="23" s="1"/>
  <c r="AN1040" i="23" s="1"/>
  <c r="AB431" i="23"/>
  <c r="AA431" i="23"/>
  <c r="AL406" i="23" s="1"/>
  <c r="AN406" i="23" s="1"/>
  <c r="AN412" i="23" s="1"/>
  <c r="AA999" i="23"/>
  <c r="AL977" i="23" s="1"/>
  <c r="AN977" i="23" s="1"/>
  <c r="AA996" i="23"/>
  <c r="AL974" i="23" s="1"/>
  <c r="AN974" i="23" s="1"/>
  <c r="AB1028" i="23"/>
  <c r="AL1007" i="23" s="1"/>
  <c r="AN1007" i="23" s="1"/>
  <c r="AB396" i="23"/>
  <c r="AA935" i="23"/>
  <c r="AL913" i="23" s="1"/>
  <c r="AN913" i="23" s="1"/>
  <c r="AA1031" i="23"/>
  <c r="AL1009" i="23" s="1"/>
  <c r="AN1009" i="23" s="1"/>
  <c r="AA1028" i="23"/>
  <c r="AL1006" i="23" s="1"/>
  <c r="AN1006" i="23" s="1"/>
  <c r="AA839" i="23"/>
  <c r="AL817" i="23" s="1"/>
  <c r="AN817" i="23" s="1"/>
  <c r="AA836" i="23"/>
  <c r="AL814" i="23" s="1"/>
  <c r="AN814" i="23" s="1"/>
  <c r="AA868" i="23"/>
  <c r="AL846" i="23" s="1"/>
  <c r="AN846" i="23" s="1"/>
  <c r="AG900" i="23"/>
  <c r="AL880" i="23" s="1"/>
  <c r="AN880" i="23" s="1"/>
  <c r="AL19" i="23"/>
  <c r="AN19" i="23" s="1"/>
  <c r="AA641" i="23"/>
  <c r="AL616" i="23" s="1"/>
  <c r="AN616" i="23" s="1"/>
  <c r="AB868" i="23"/>
  <c r="AL847" i="23" s="1"/>
  <c r="AN847" i="23" s="1"/>
  <c r="AB900" i="23"/>
  <c r="AL879" i="23" s="1"/>
  <c r="AN879" i="23" s="1"/>
  <c r="AG932" i="23"/>
  <c r="AL912" i="23" s="1"/>
  <c r="AN912" i="23" s="1"/>
  <c r="AB1060" i="23"/>
  <c r="AL1039" i="23" s="1"/>
  <c r="AN1039" i="23" s="1"/>
  <c r="AL21" i="23"/>
  <c r="AN21" i="23" s="1"/>
  <c r="AL22" i="23"/>
  <c r="AN22" i="23" s="1"/>
  <c r="AA932" i="23"/>
  <c r="AL910" i="23" s="1"/>
  <c r="AN910" i="23" s="1"/>
  <c r="AN453" i="20"/>
  <c r="AP42" i="26"/>
  <c r="AR42" i="26" s="1"/>
  <c r="AB50" i="26"/>
  <c r="AP203" i="26"/>
  <c r="AR203" i="26" s="1"/>
  <c r="AB290" i="26"/>
  <c r="Z9" i="26"/>
  <c r="AA1060" i="23"/>
  <c r="AL1038" i="23" s="1"/>
  <c r="AN1038" i="23" s="1"/>
  <c r="AP184" i="26"/>
  <c r="AR184" i="26" s="1"/>
  <c r="AP162" i="26"/>
  <c r="AR162" i="26" s="1"/>
  <c r="AK266" i="26"/>
  <c r="AP253" i="26"/>
  <c r="AR253" i="26" s="1"/>
  <c r="AE5" i="26"/>
  <c r="AP20" i="26"/>
  <c r="AR20" i="26" s="1"/>
  <c r="AP80" i="26"/>
  <c r="AR80" i="26" s="1"/>
  <c r="AP18" i="26"/>
  <c r="AR18" i="26" s="1"/>
  <c r="AB89" i="26"/>
  <c r="AP41" i="26"/>
  <c r="AR41" i="26" s="1"/>
  <c r="AB69" i="26"/>
  <c r="AP163" i="26"/>
  <c r="AR163" i="26" s="1"/>
  <c r="AP119" i="26"/>
  <c r="AR119" i="26" s="1"/>
  <c r="AP100" i="26"/>
  <c r="AR100" i="26" s="1"/>
  <c r="AP182" i="26"/>
  <c r="AR182" i="26" s="1"/>
  <c r="AB150" i="26"/>
  <c r="AP138" i="26" s="1"/>
  <c r="AR138" i="26" s="1"/>
  <c r="AP59" i="26"/>
  <c r="AR59" i="26" s="1"/>
  <c r="AP61" i="26"/>
  <c r="AR61" i="26" s="1"/>
  <c r="AP99" i="26"/>
  <c r="AR99" i="26" s="1"/>
  <c r="AB152" i="26"/>
  <c r="AK216" i="26"/>
  <c r="AP202" i="26" s="1"/>
  <c r="AR202" i="26" s="1"/>
  <c r="AK108" i="26"/>
  <c r="AP97" i="26" s="1"/>
  <c r="AR97" i="26" s="1"/>
  <c r="AK152" i="26"/>
  <c r="AP98" i="26"/>
  <c r="AR98" i="26" s="1"/>
  <c r="AP121" i="26"/>
  <c r="AR121" i="26" s="1"/>
  <c r="AB288" i="26"/>
  <c r="AP273" i="26" s="1"/>
  <c r="AR273" i="26" s="1"/>
  <c r="AB108" i="26"/>
  <c r="AP96" i="26" s="1"/>
  <c r="AR96" i="26" s="1"/>
  <c r="AP120" i="26"/>
  <c r="AR120" i="26" s="1"/>
  <c r="AK129" i="26"/>
  <c r="AP118" i="26" s="1"/>
  <c r="AR118" i="26" s="1"/>
  <c r="AB264" i="26"/>
  <c r="AP249" i="26" s="1"/>
  <c r="AR249" i="26" s="1"/>
  <c r="AA67" i="26"/>
  <c r="AP56" i="26" s="1"/>
  <c r="AR56" i="26" s="1"/>
  <c r="AB87" i="26"/>
  <c r="AP76" i="26" s="1"/>
  <c r="AR76" i="26" s="1"/>
  <c r="AP251" i="26"/>
  <c r="AR251" i="26" s="1"/>
  <c r="AB67" i="26"/>
  <c r="AP57" i="26" s="1"/>
  <c r="AR57" i="26" s="1"/>
  <c r="AA152" i="26"/>
  <c r="AB266" i="26"/>
  <c r="AR302" i="26"/>
  <c r="AP43" i="26"/>
  <c r="AR43" i="26" s="1"/>
  <c r="AK50" i="26"/>
  <c r="AB129" i="26"/>
  <c r="AP117" i="26" s="1"/>
  <c r="AR117" i="26" s="1"/>
  <c r="AB171" i="26"/>
  <c r="AP159" i="26" s="1"/>
  <c r="AR159" i="26" s="1"/>
  <c r="AA216" i="26"/>
  <c r="AP200" i="26" s="1"/>
  <c r="AR200" i="26" s="1"/>
  <c r="AA264" i="26"/>
  <c r="AP248" i="26" s="1"/>
  <c r="AR248" i="26" s="1"/>
  <c r="AK67" i="26"/>
  <c r="AP58" i="26" s="1"/>
  <c r="AR58" i="26" s="1"/>
  <c r="AA108" i="26"/>
  <c r="AP95" i="26" s="1"/>
  <c r="AR95" i="26" s="1"/>
  <c r="AA240" i="26"/>
  <c r="AP224" i="26" s="1"/>
  <c r="AR224" i="26" s="1"/>
  <c r="AK150" i="26"/>
  <c r="AP139" i="26" s="1"/>
  <c r="AR139" i="26" s="1"/>
  <c r="AB216" i="26"/>
  <c r="AP201" i="26" s="1"/>
  <c r="AR201" i="26" s="1"/>
  <c r="AK264" i="26"/>
  <c r="AP250" i="26" s="1"/>
  <c r="AR250" i="26" s="1"/>
  <c r="AB48" i="26"/>
  <c r="AA48" i="26"/>
  <c r="AP38" i="26" s="1"/>
  <c r="AR38" i="26" s="1"/>
  <c r="AK30" i="26"/>
  <c r="AP17" i="26" s="1"/>
  <c r="AR17" i="26" s="1"/>
  <c r="AK87" i="26"/>
  <c r="AP77" i="26" s="1"/>
  <c r="AR77" i="26" s="1"/>
  <c r="AA171" i="26"/>
  <c r="AP158" i="26" s="1"/>
  <c r="AR158" i="26" s="1"/>
  <c r="AB192" i="26"/>
  <c r="AP180" i="26" s="1"/>
  <c r="AR180" i="26" s="1"/>
  <c r="AK240" i="26"/>
  <c r="AP226" i="26" s="1"/>
  <c r="AR226" i="26" s="1"/>
  <c r="AA150" i="26"/>
  <c r="AP137" i="26" s="1"/>
  <c r="AR137" i="26" s="1"/>
  <c r="AK171" i="26"/>
  <c r="AP160" i="26" s="1"/>
  <c r="AR160" i="26" s="1"/>
  <c r="AK192" i="26"/>
  <c r="AP181" i="26" s="1"/>
  <c r="AR181" i="26" s="1"/>
  <c r="AP229" i="26"/>
  <c r="AR229" i="26" s="1"/>
  <c r="AA192" i="26"/>
  <c r="AP179" i="26" s="1"/>
  <c r="AR179" i="26" s="1"/>
  <c r="AB240" i="26"/>
  <c r="AP225" i="26" s="1"/>
  <c r="AR225" i="26" s="1"/>
  <c r="AK218" i="26"/>
  <c r="AA87" i="26"/>
  <c r="AP75" i="26" s="1"/>
  <c r="AR75" i="26" s="1"/>
  <c r="AA129" i="26"/>
  <c r="AP116" i="26" s="1"/>
  <c r="AR116" i="26" s="1"/>
  <c r="AP275" i="26"/>
  <c r="AR275" i="26" s="1"/>
  <c r="AK48" i="26"/>
  <c r="AP40" i="26" s="1"/>
  <c r="AR40" i="26" s="1"/>
  <c r="AB30" i="26"/>
  <c r="AP16" i="26" s="1"/>
  <c r="AR16" i="26" s="1"/>
  <c r="AA30" i="26"/>
  <c r="AP228" i="26"/>
  <c r="AR228" i="26" s="1"/>
  <c r="AB194" i="26"/>
  <c r="AB218" i="26"/>
  <c r="AP19" i="26"/>
  <c r="AR19" i="26" s="1"/>
  <c r="AP161" i="26"/>
  <c r="AR161" i="26" s="1"/>
  <c r="AA89" i="26"/>
  <c r="Z8" i="26" s="1"/>
  <c r="AK288" i="26"/>
  <c r="AP274" i="26" s="1"/>
  <c r="AR274" i="26" s="1"/>
  <c r="AA288" i="26"/>
  <c r="AP272" i="26" s="1"/>
  <c r="AR272" i="26" s="1"/>
  <c r="AK290" i="26"/>
  <c r="AE5" i="20" l="1"/>
  <c r="AE2" i="20" s="1"/>
  <c r="AN389" i="20"/>
  <c r="AA5" i="23"/>
  <c r="AN517" i="23"/>
  <c r="AN307" i="23"/>
  <c r="AN237" i="23"/>
  <c r="AN167" i="23"/>
  <c r="AN756" i="23"/>
  <c r="AN482" i="23"/>
  <c r="AN202" i="23"/>
  <c r="AN724" i="23"/>
  <c r="AN692" i="23"/>
  <c r="AL18" i="23"/>
  <c r="AN18" i="23" s="1"/>
  <c r="AN24" i="23" s="1"/>
  <c r="AN552" i="23"/>
  <c r="AN377" i="23"/>
  <c r="AN59" i="23"/>
  <c r="AN447" i="23"/>
  <c r="AN131" i="23"/>
  <c r="AN789" i="23"/>
  <c r="AN587" i="23"/>
  <c r="AN622" i="23"/>
  <c r="AN272" i="23"/>
  <c r="AE6" i="23"/>
  <c r="AN852" i="23"/>
  <c r="AN820" i="23"/>
  <c r="AN823" i="23" s="1"/>
  <c r="AN980" i="23"/>
  <c r="AN1044" i="23"/>
  <c r="AA6" i="23"/>
  <c r="AN95" i="23"/>
  <c r="Z5" i="23"/>
  <c r="AN948" i="23"/>
  <c r="AN1012" i="23"/>
  <c r="AN657" i="23"/>
  <c r="AE5" i="23"/>
  <c r="AN916" i="23"/>
  <c r="AN884" i="23"/>
  <c r="Z6" i="26"/>
  <c r="Z7" i="26"/>
  <c r="AE3" i="26" s="1"/>
  <c r="AE2" i="26"/>
  <c r="AE4" i="26"/>
  <c r="AP15" i="26"/>
  <c r="AR15" i="26" s="1"/>
  <c r="AP39" i="26"/>
  <c r="AR39" i="26" s="1"/>
  <c r="AR81" i="26"/>
  <c r="AR62" i="26"/>
  <c r="AR206" i="26"/>
  <c r="AR230" i="26"/>
  <c r="AR44" i="26"/>
  <c r="AR101" i="26"/>
  <c r="AR143" i="26"/>
  <c r="AR122" i="26"/>
  <c r="AR254" i="26"/>
  <c r="AR185" i="26"/>
  <c r="AR164" i="26"/>
  <c r="AR21" i="26"/>
  <c r="AR278" i="26"/>
  <c r="AE3" i="23" l="1"/>
  <c r="AE2" i="23"/>
  <c r="Z5" i="20"/>
  <c r="AA45" i="20"/>
  <c r="AL42" i="20"/>
  <c r="AN42" i="20"/>
  <c r="AN45" i="20"/>
  <c r="Z45" i="20"/>
  <c r="P45" i="20"/>
  <c r="U45" i="20"/>
  <c r="E45" i="20"/>
  <c r="AN43" i="20"/>
  <c r="AL43" i="20"/>
  <c r="AB45" i="20"/>
  <c r="F45" i="20"/>
  <c r="AF45" i="20"/>
  <c r="K45" i="20"/>
  <c r="AG45" i="20"/>
  <c r="AL44" i="20"/>
  <c r="AN44" i="2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Agilant</author>
    <author>tc={B6B30B14-CF12-4489-B321-B77F5567A07B}</author>
    <author>tc={054456C1-5055-43BC-8C32-2C3DDF174501}</author>
    <author>tc={61E3DB14-85BD-4111-BE68-6C6B8C9B9CB3}</author>
    <author>tc={10B6E2B8-7118-4156-9356-EC925A7B6106}</author>
    <author>tc={42EC9C44-1B17-4164-933A-50E9E8C6DA3F}</author>
    <author>tc={096BA8DA-91E6-4E05-AE54-61E1FB987EF6}</author>
    <author>tc={D1531B14-6344-4FA7-AE8B-1C5929A39205}</author>
    <author>Kaye Orencia</author>
    <author>tc={6998B7BB-519E-41DA-99B3-4E22672566D7}</author>
    <author>tc={069F4990-4BBC-42CE-ABC1-2122AAFAFB75}</author>
    <author>tc={E9A4ADB0-9EF7-452E-8B06-E04C73F5C202}</author>
    <author>tc={E21FD7B9-715D-4C1D-82CA-659F331BB143}</author>
    <author>tc={0AB39A26-DE37-4DED-ACC4-8388A8DF147B}</author>
    <author>tc={17A92512-B87E-4DE2-B9B6-F06F9FF8F9AE}</author>
    <author>tc={32A33FC2-9517-4C12-A0CC-4C0E4DC656BB}</author>
    <author>tc={6DD0BBEC-C0EB-4016-99EB-3A1F0188AEDC}</author>
    <author>tc={C9326474-2294-45BA-84F2-E65DA4D79D53}</author>
    <author>tc={EA2CA1A7-7041-4754-8F0D-6D169E4E062E}</author>
    <author>tc={8EE58457-A9D6-44EF-B80D-1FBD0A11A448}</author>
    <author>tc={BBC550AA-7FD9-4172-B736-3B6909A3DDA6}</author>
    <author>tc={0F1A9779-B755-427E-BE92-8930087D2AD2}</author>
    <author>tc={5F72570A-BE0E-4401-A635-AD0111461C55}</author>
    <author>tc={217B77AA-573B-4FA0-BE83-B683E0A5831F}</author>
    <author>tc={6C9D24AA-4BFC-48AB-80F1-E7EF34C7F618}</author>
    <author>tc={9A3E2BFC-D676-4382-B651-B3D594E1D047}</author>
    <author>tc={9829D427-9F3F-4860-92EB-FA9335C915E3}</author>
    <author>tc={9A41B001-12F7-47A0-9F05-E5FE977AA458}</author>
    <author>tc={CDDCDEDC-6252-4C57-8D41-FF4413F5D166}</author>
    <author>tc={B3078959-414C-4E3E-BDEB-DCBBC1142CB2}</author>
    <author>tc={E005C5E5-5DBA-4BCF-AAF8-F7CF792970E7}</author>
    <author>tc={B5797F8D-453D-4B4F-ADA6-6F946DBCC878}</author>
    <author>tc={D0FD97A3-33CD-43C5-84BC-92E2FF2D9F05}</author>
    <author>tc={EED96964-4077-48C0-BD9B-F20E9D4A5BD5}</author>
    <author>tc={0B2D89BB-0518-484A-850E-AB9129208229}</author>
    <author>tc={A17C8509-2D67-4663-A4E6-5B23E6785824}</author>
    <author>tc={CA2837B3-7132-4AA1-84AA-5926CB55E060}</author>
    <author>tc={3786F8E6-6EB4-429B-BB3E-DE3A3B9BD7BC}</author>
  </authors>
  <commentList>
    <comment ref="C165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Added 15 travel to account for 15 Wave 1 Saturday visits that were not billed</t>
        </r>
      </text>
    </comment>
    <comment ref="AF19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Sat: 6.75
Sun: 3.75</t>
        </r>
      </text>
    </comment>
    <comment ref="H291" authorId="1" shapeId="0" xr:uid="{00000000-0006-0000-0000-00000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resigned</t>
      </text>
    </comment>
    <comment ref="M291" authorId="2" shapeId="0" xr:uid="{00000000-0006-0000-0000-000004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resigned</t>
      </text>
    </comment>
    <comment ref="R291" authorId="3" shapeId="0" xr:uid="{00000000-0006-0000-0000-000005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resigned</t>
      </text>
    </comment>
    <comment ref="W291" authorId="4" shapeId="0" xr:uid="{00000000-0006-0000-0000-000006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resigned</t>
      </text>
    </comment>
    <comment ref="C298" authorId="5" shapeId="0" xr:uid="{00000000-0006-0000-0000-000007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assigned at PW</t>
      </text>
    </comment>
    <comment ref="H298" authorId="6" shapeId="0" xr:uid="{00000000-0006-0000-0000-000008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assigned at PW</t>
      </text>
    </comment>
    <comment ref="M298" authorId="7" shapeId="0" xr:uid="{00000000-0006-0000-0000-000009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assigned at PW</t>
      </text>
    </comment>
    <comment ref="H450" authorId="8" shapeId="0" xr:uid="{00000000-0006-0000-0000-00000A000000}">
      <text>
        <r>
          <rPr>
            <sz val="10"/>
            <color theme="1"/>
            <rFont val="Century Gothic"/>
            <family val="2"/>
          </rPr>
          <t xml:space="preserve">Kaye Orencia:
PW
</t>
        </r>
      </text>
    </comment>
    <comment ref="R479" authorId="8" shapeId="0" xr:uid="{00000000-0006-0000-0000-00000B000000}">
      <text>
        <r>
          <rPr>
            <sz val="10"/>
            <color theme="1"/>
            <rFont val="Century Gothic"/>
            <family val="2"/>
          </rPr>
          <t>Kaye Orencia:
early access</t>
        </r>
      </text>
    </comment>
    <comment ref="R490" authorId="8" shapeId="0" xr:uid="{00000000-0006-0000-0000-00000C000000}">
      <text>
        <r>
          <rPr>
            <sz val="10"/>
            <color theme="1"/>
            <rFont val="Century Gothic"/>
            <family val="2"/>
          </rPr>
          <t>Kaye Orencia:
early access</t>
        </r>
      </text>
    </comment>
    <comment ref="T513" authorId="9" shapeId="0" xr:uid="{00000000-0006-0000-0000-00000D00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break </t>
      </text>
    </comment>
    <comment ref="I749" authorId="10" shapeId="0" xr:uid="{00000000-0006-0000-0000-00000E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early release due to flood warning</t>
      </text>
    </comment>
    <comment ref="I750" authorId="11" shapeId="0" xr:uid="{00000000-0006-0000-0000-00000F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early release due to flood warning</t>
      </text>
    </comment>
    <comment ref="I751" authorId="12" shapeId="0" xr:uid="{00000000-0006-0000-0000-000010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early release due to flood warning</t>
      </text>
    </comment>
    <comment ref="I752" authorId="13" shapeId="0" xr:uid="{00000000-0006-0000-0000-00001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early release due to flood warning</t>
      </text>
    </comment>
    <comment ref="I753" authorId="14" shapeId="0" xr:uid="{00000000-0006-0000-0000-00001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early release due to flood warning</t>
      </text>
    </comment>
    <comment ref="I754" authorId="15" shapeId="0" xr:uid="{00000000-0006-0000-0000-00001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early release due to flood warning</t>
      </text>
    </comment>
    <comment ref="I755" authorId="16" shapeId="0" xr:uid="{00000000-0006-0000-0000-000014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early release due to flood warning</t>
      </text>
    </comment>
    <comment ref="I756" authorId="17" shapeId="0" xr:uid="{00000000-0006-0000-0000-000015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early release due to flood warning</t>
      </text>
    </comment>
    <comment ref="K756" authorId="18" shapeId="0" xr:uid="{00000000-0006-0000-0000-000016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Team was asked to come in before 8am. 5:30 -8 =2.5 hrs</t>
      </text>
    </comment>
    <comment ref="I757" authorId="19" shapeId="0" xr:uid="{00000000-0006-0000-0000-000017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early release due to flood warning</t>
      </text>
    </comment>
    <comment ref="I758" authorId="20" shapeId="0" xr:uid="{00000000-0006-0000-0000-000018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early release due to flood warning</t>
      </text>
    </comment>
    <comment ref="K758" authorId="21" shapeId="0" xr:uid="{00000000-0006-0000-0000-000019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Team was asked to come in before 8am. 5:30 -8 =2.5 hrs</t>
      </text>
    </comment>
    <comment ref="I759" authorId="22" shapeId="0" xr:uid="{00000000-0006-0000-0000-00001A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early release due to flood warning</t>
      </text>
    </comment>
    <comment ref="I760" authorId="23" shapeId="0" xr:uid="{00000000-0006-0000-0000-00001B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early release due to flood warning</t>
      </text>
    </comment>
    <comment ref="I761" authorId="24" shapeId="0" xr:uid="{00000000-0006-0000-0000-00001C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early release due to flood warning</t>
      </text>
    </comment>
    <comment ref="I762" authorId="25" shapeId="0" xr:uid="{00000000-0006-0000-0000-00001D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early release due to flood warning</t>
      </text>
    </comment>
    <comment ref="I763" authorId="26" shapeId="0" xr:uid="{00000000-0006-0000-0000-00001E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early release due to flood warning</t>
      </text>
    </comment>
    <comment ref="K763" authorId="27" shapeId="0" xr:uid="{00000000-0006-0000-0000-00001F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Team was asked to come in before 8am. 5:30 -8 =2.5 hrs</t>
      </text>
    </comment>
    <comment ref="I764" authorId="28" shapeId="0" xr:uid="{00000000-0006-0000-0000-000020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early release due to flood warning</t>
      </text>
    </comment>
    <comment ref="I765" authorId="29" shapeId="0" xr:uid="{00000000-0006-0000-0000-00002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early release due to flood warning</t>
      </text>
    </comment>
    <comment ref="I766" authorId="30" shapeId="0" xr:uid="{00000000-0006-0000-0000-00002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early release due to flood warning</t>
      </text>
    </comment>
    <comment ref="I767" authorId="31" shapeId="0" xr:uid="{00000000-0006-0000-0000-00002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early release due to flood warning</t>
      </text>
    </comment>
    <comment ref="I768" authorId="32" shapeId="0" xr:uid="{00000000-0006-0000-0000-000024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early release due to flood warning</t>
      </text>
    </comment>
    <comment ref="K768" authorId="33" shapeId="0" xr:uid="{00000000-0006-0000-0000-000025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Team was asked to come in before 8am. 5:30 -8 =2.5 hrs</t>
      </text>
    </comment>
    <comment ref="I769" authorId="34" shapeId="0" xr:uid="{00000000-0006-0000-0000-000026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early release due to flood warning</t>
      </text>
    </comment>
    <comment ref="I770" authorId="35" shapeId="0" xr:uid="{00000000-0006-0000-0000-000027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early release due to flood warning</t>
      </text>
    </comment>
    <comment ref="I771" authorId="36" shapeId="0" xr:uid="{00000000-0006-0000-0000-000028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early release due to flood warning</t>
      </text>
    </comment>
    <comment ref="K771" authorId="37" shapeId="0" xr:uid="{00000000-0006-0000-0000-000029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Team was asked to come in before 8am. 5:30 -8 =2.5 hrs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Clarissa Beatty</author>
    <author>Agilant</author>
    <author>Kaye Orencia</author>
  </authors>
  <commentList>
    <comment ref="R46" authorId="0" shapeId="0" xr:uid="{00000000-0006-0000-0100-000001000000}">
      <text>
        <r>
          <rPr>
            <sz val="10"/>
            <color theme="1"/>
            <rFont val="Century Gothic"/>
            <family val="2"/>
          </rPr>
          <t>Clarissa Beatty:
.5 lunch break</t>
        </r>
      </text>
    </comment>
    <comment ref="N69" authorId="0" shapeId="0" xr:uid="{00000000-0006-0000-0100-000002000000}">
      <text>
        <r>
          <rPr>
            <sz val="10"/>
            <color theme="1"/>
            <rFont val="Century Gothic"/>
            <family val="2"/>
          </rPr>
          <t>Clarissa Beatty:
1 hr lunch</t>
        </r>
      </text>
    </comment>
    <comment ref="S69" authorId="0" shapeId="0" xr:uid="{00000000-0006-0000-0100-000003000000}">
      <text>
        <r>
          <rPr>
            <sz val="10"/>
            <color theme="1"/>
            <rFont val="Century Gothic"/>
            <family val="2"/>
          </rPr>
          <t>Clarissa Beatty:
1 hr lunch</t>
        </r>
      </text>
    </comment>
    <comment ref="N74" authorId="0" shapeId="0" xr:uid="{00000000-0006-0000-0100-000004000000}">
      <text>
        <r>
          <rPr>
            <sz val="10"/>
            <color theme="1"/>
            <rFont val="Century Gothic"/>
            <family val="2"/>
          </rPr>
          <t>Clarissa Beatty:
Lunch</t>
        </r>
      </text>
    </comment>
    <comment ref="S74" authorId="0" shapeId="0" xr:uid="{00000000-0006-0000-0100-000005000000}">
      <text>
        <r>
          <rPr>
            <sz val="10"/>
            <color theme="1"/>
            <rFont val="Century Gothic"/>
            <family val="2"/>
          </rPr>
          <t>Clarissa Beatty:
1 hr lunch</t>
        </r>
      </text>
    </comment>
    <comment ref="E149" authorId="1" shapeId="0" xr:uid="{00000000-0006-0000-0100-000006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72.25 hrs was billed</t>
        </r>
      </text>
    </comment>
    <comment ref="J149" authorId="1" shapeId="0" xr:uid="{00000000-0006-0000-0100-000007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113 tech billed
</t>
        </r>
      </text>
    </comment>
    <comment ref="O149" authorId="1" shapeId="0" xr:uid="{00000000-0006-0000-0100-000008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64 billed</t>
        </r>
      </text>
    </comment>
    <comment ref="T149" authorId="1" shapeId="0" xr:uid="{00000000-0006-0000-0100-000009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96 billed</t>
        </r>
      </text>
    </comment>
    <comment ref="Y149" authorId="1" shapeId="0" xr:uid="{00000000-0006-0000-0100-00000A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96.25
</t>
        </r>
      </text>
    </comment>
    <comment ref="E154" authorId="1" shapeId="0" xr:uid="{00000000-0006-0000-0100-00000B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39 hrs were billed
</t>
        </r>
      </text>
    </comment>
    <comment ref="J154" authorId="1" shapeId="0" xr:uid="{00000000-0006-0000-0100-00000C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50.88 coord billed
</t>
        </r>
      </text>
    </comment>
    <comment ref="O154" authorId="1" shapeId="0" xr:uid="{00000000-0006-0000-0100-00000D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47 billed</t>
        </r>
      </text>
    </comment>
    <comment ref="T154" authorId="1" shapeId="0" xr:uid="{00000000-0006-0000-0100-00000E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53 billed</t>
        </r>
      </text>
    </comment>
    <comment ref="Y154" authorId="1" shapeId="0" xr:uid="{00000000-0006-0000-0100-00000F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58.25</t>
        </r>
      </text>
    </comment>
    <comment ref="AF230" authorId="1" shapeId="0" xr:uid="{00000000-0006-0000-0100-000010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Lunch not deducted
</t>
        </r>
      </text>
    </comment>
    <comment ref="R232" authorId="2" shapeId="0" xr:uid="{00000000-0006-0000-0100-000011000000}">
      <text>
        <r>
          <rPr>
            <sz val="10"/>
            <color theme="1"/>
            <rFont val="Century Gothic"/>
            <family val="2"/>
          </rPr>
          <t>Called in sick</t>
        </r>
      </text>
    </comment>
    <comment ref="W238" authorId="1" shapeId="0" xr:uid="{00000000-0006-0000-0100-000012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PTO</t>
        </r>
      </text>
    </comment>
    <comment ref="C244" authorId="1" shapeId="0" xr:uid="{00000000-0006-0000-0100-000013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Called in sick</t>
        </r>
      </text>
    </comment>
    <comment ref="M269" authorId="2" shapeId="0" xr:uid="{00000000-0006-0000-0100-000014000000}">
      <text>
        <r>
          <rPr>
            <sz val="10"/>
            <color theme="1"/>
            <rFont val="Century Gothic"/>
            <family val="2"/>
          </rPr>
          <t xml:space="preserve">called out
</t>
        </r>
      </text>
    </comment>
    <comment ref="M276" authorId="2" shapeId="0" xr:uid="{00000000-0006-0000-0100-000015000000}">
      <text>
        <r>
          <rPr>
            <sz val="10"/>
            <color theme="1"/>
            <rFont val="Century Gothic"/>
            <family val="2"/>
          </rPr>
          <t xml:space="preserve">called out
</t>
        </r>
      </text>
    </comment>
    <comment ref="C278" authorId="2" shapeId="0" xr:uid="{00000000-0006-0000-0100-000016000000}">
      <text>
        <r>
          <rPr>
            <sz val="10"/>
            <color theme="1"/>
            <rFont val="Century Gothic"/>
            <family val="2"/>
          </rPr>
          <t>PTO</t>
        </r>
      </text>
    </comment>
    <comment ref="W297" authorId="2" shapeId="0" xr:uid="{00000000-0006-0000-0100-000017000000}">
      <text>
        <r>
          <rPr>
            <sz val="10"/>
            <color theme="1"/>
            <rFont val="Century Gothic"/>
            <family val="2"/>
          </rPr>
          <t xml:space="preserve">Kaye Orencia:
Called in Sick
</t>
        </r>
      </text>
    </comment>
    <comment ref="R298" authorId="2" shapeId="0" xr:uid="{00000000-0006-0000-0100-000018000000}">
      <text>
        <r>
          <rPr>
            <sz val="10"/>
            <color theme="1"/>
            <rFont val="Century Gothic"/>
            <family val="2"/>
          </rPr>
          <t>Kaye Orencia:
Mapping due to Covid Policy</t>
        </r>
      </text>
    </comment>
    <comment ref="W298" authorId="2" shapeId="0" xr:uid="{00000000-0006-0000-0100-000019000000}">
      <text>
        <r>
          <rPr>
            <sz val="10"/>
            <color theme="1"/>
            <rFont val="Century Gothic"/>
            <family val="2"/>
          </rPr>
          <t xml:space="preserve">Kaye Orencia:
PTO
</t>
        </r>
      </text>
    </comment>
    <comment ref="W299" authorId="2" shapeId="0" xr:uid="{00000000-0006-0000-0100-00001A000000}">
      <text>
        <r>
          <rPr>
            <sz val="10"/>
            <color theme="1"/>
            <rFont val="Century Gothic"/>
            <family val="2"/>
          </rPr>
          <t xml:space="preserve">Kaye Orencia:
PTO
</t>
        </r>
      </text>
    </comment>
    <comment ref="W302" authorId="2" shapeId="0" xr:uid="{00000000-0006-0000-0100-00001B000000}">
      <text>
        <r>
          <rPr>
            <sz val="10"/>
            <color theme="1"/>
            <rFont val="Century Gothic"/>
            <family val="2"/>
          </rPr>
          <t>Kaye Orencia:
called in sick</t>
        </r>
      </text>
    </comment>
    <comment ref="W304" authorId="2" shapeId="0" xr:uid="{00000000-0006-0000-0100-00001C000000}">
      <text>
        <r>
          <rPr>
            <sz val="10"/>
            <color theme="1"/>
            <rFont val="Century Gothic"/>
            <family val="2"/>
          </rPr>
          <t xml:space="preserve">Kaye Orencia:
called in Sick
</t>
        </r>
      </text>
    </comment>
    <comment ref="M306" authorId="2" shapeId="0" xr:uid="{00000000-0006-0000-0100-00001D000000}">
      <text>
        <r>
          <rPr>
            <sz val="10"/>
            <color theme="1"/>
            <rFont val="Century Gothic"/>
            <family val="2"/>
          </rPr>
          <t>Kaye Orencia:
Covid</t>
        </r>
      </text>
    </comment>
    <comment ref="R306" authorId="2" shapeId="0" xr:uid="{00000000-0006-0000-0100-00001E000000}">
      <text>
        <r>
          <rPr>
            <sz val="10"/>
            <color theme="1"/>
            <rFont val="Century Gothic"/>
            <family val="2"/>
          </rPr>
          <t>Kaye Orencia:
Covid</t>
        </r>
      </text>
    </comment>
    <comment ref="W306" authorId="2" shapeId="0" xr:uid="{00000000-0006-0000-0100-00001F000000}">
      <text>
        <r>
          <rPr>
            <sz val="10"/>
            <color theme="1"/>
            <rFont val="Century Gothic"/>
            <family val="2"/>
          </rPr>
          <t>Kaye Orencia:
Covid</t>
        </r>
      </text>
    </comment>
    <comment ref="W307" authorId="2" shapeId="0" xr:uid="{00000000-0006-0000-0100-000020000000}">
      <text>
        <r>
          <rPr>
            <sz val="10"/>
            <color theme="1"/>
            <rFont val="Century Gothic"/>
            <family val="2"/>
          </rPr>
          <t>Kaye Orencia:
Called in sick</t>
        </r>
      </text>
    </comment>
    <comment ref="W343" authorId="2" shapeId="0" xr:uid="{00000000-0006-0000-0100-000021000000}">
      <text>
        <r>
          <rPr>
            <sz val="10"/>
            <color theme="1"/>
            <rFont val="Century Gothic"/>
            <family val="2"/>
          </rPr>
          <t>Kaye Orencia:
Time off</t>
        </r>
      </text>
    </comment>
    <comment ref="M344" authorId="2" shapeId="0" xr:uid="{00000000-0006-0000-0100-000022000000}">
      <text>
        <r>
          <rPr>
            <sz val="10"/>
            <color theme="1"/>
            <rFont val="Century Gothic"/>
            <family val="2"/>
          </rPr>
          <t>Kaye Orencia:
Time off</t>
        </r>
      </text>
    </comment>
    <comment ref="C346" authorId="2" shapeId="0" xr:uid="{00000000-0006-0000-0100-000023000000}">
      <text>
        <r>
          <rPr>
            <sz val="10"/>
            <color theme="1"/>
            <rFont val="Century Gothic"/>
            <family val="2"/>
          </rPr>
          <t xml:space="preserve">Kaye Orencia:
Called in sick
</t>
        </r>
      </text>
    </comment>
    <comment ref="H346" authorId="2" shapeId="0" xr:uid="{00000000-0006-0000-0100-000024000000}">
      <text>
        <r>
          <rPr>
            <sz val="10"/>
            <color theme="1"/>
            <rFont val="Century Gothic"/>
            <family val="2"/>
          </rPr>
          <t xml:space="preserve">Kaye Orencia:
Called in Sick
</t>
        </r>
      </text>
    </comment>
    <comment ref="M346" authorId="2" shapeId="0" xr:uid="{00000000-0006-0000-0100-000025000000}">
      <text>
        <r>
          <rPr>
            <sz val="10"/>
            <color theme="1"/>
            <rFont val="Century Gothic"/>
            <family val="2"/>
          </rPr>
          <t>Kaye Orencia:
Sick</t>
        </r>
      </text>
    </comment>
    <comment ref="R346" authorId="2" shapeId="0" xr:uid="{00000000-0006-0000-0100-000026000000}">
      <text>
        <r>
          <rPr>
            <sz val="10"/>
            <color theme="1"/>
            <rFont val="Century Gothic"/>
            <family val="2"/>
          </rPr>
          <t>Kaye Orencia:
Sick</t>
        </r>
      </text>
    </comment>
    <comment ref="W346" authorId="2" shapeId="0" xr:uid="{00000000-0006-0000-0100-000027000000}">
      <text>
        <r>
          <rPr>
            <sz val="10"/>
            <color theme="1"/>
            <rFont val="Century Gothic"/>
            <family val="2"/>
          </rPr>
          <t>Kaye Orencia:
Sick</t>
        </r>
      </text>
    </comment>
    <comment ref="C347" authorId="2" shapeId="0" xr:uid="{00000000-0006-0000-0100-000028000000}">
      <text>
        <r>
          <rPr>
            <sz val="10"/>
            <color theme="1"/>
            <rFont val="Century Gothic"/>
            <family val="2"/>
          </rPr>
          <t>Kaye Orencia:
called in sick</t>
        </r>
      </text>
    </comment>
    <comment ref="H347" authorId="2" shapeId="0" xr:uid="{00000000-0006-0000-0100-000029000000}">
      <text>
        <r>
          <rPr>
            <sz val="10"/>
            <color theme="1"/>
            <rFont val="Century Gothic"/>
            <family val="2"/>
          </rPr>
          <t>Kaye Orencia:
PTO</t>
        </r>
      </text>
    </comment>
    <comment ref="R347" authorId="2" shapeId="0" xr:uid="{00000000-0006-0000-0100-00002A000000}">
      <text>
        <r>
          <rPr>
            <sz val="10"/>
            <color theme="1"/>
            <rFont val="Century Gothic"/>
            <family val="2"/>
          </rPr>
          <t>Kaye Orencia:
Time Off</t>
        </r>
      </text>
    </comment>
    <comment ref="M354" authorId="2" shapeId="0" xr:uid="{00000000-0006-0000-0100-00002B000000}">
      <text>
        <r>
          <rPr>
            <sz val="10"/>
            <color theme="1"/>
            <rFont val="Century Gothic"/>
            <family val="2"/>
          </rPr>
          <t>Kaye Orencia:
Time off</t>
        </r>
      </text>
    </comment>
    <comment ref="W354" authorId="2" shapeId="0" xr:uid="{00000000-0006-0000-0100-00002C000000}">
      <text>
        <r>
          <rPr>
            <sz val="10"/>
            <color theme="1"/>
            <rFont val="Century Gothic"/>
            <family val="2"/>
          </rPr>
          <t xml:space="preserve">Kaye Orencia:
Time off
</t>
        </r>
      </text>
    </comment>
    <comment ref="M381" authorId="2" shapeId="0" xr:uid="{00000000-0006-0000-0100-00002D000000}">
      <text>
        <r>
          <rPr>
            <sz val="10"/>
            <color theme="1"/>
            <rFont val="Century Gothic"/>
            <family val="2"/>
          </rPr>
          <t>Kaye Orencia:
off</t>
        </r>
      </text>
    </comment>
    <comment ref="R382" authorId="1" shapeId="0" xr:uid="{00000000-0006-0000-0100-00002E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Car trouble</t>
        </r>
      </text>
    </comment>
    <comment ref="C387" authorId="2" shapeId="0" xr:uid="{00000000-0006-0000-0100-00002F000000}">
      <text>
        <r>
          <rPr>
            <sz val="10"/>
            <color theme="1"/>
            <rFont val="Century Gothic"/>
            <family val="2"/>
          </rPr>
          <t>Kaye Orencia:
off</t>
        </r>
      </text>
    </comment>
    <comment ref="H387" authorId="2" shapeId="0" xr:uid="{00000000-0006-0000-0100-000030000000}">
      <text>
        <r>
          <rPr>
            <sz val="10"/>
            <color theme="1"/>
            <rFont val="Century Gothic"/>
            <family val="2"/>
          </rPr>
          <t xml:space="preserve">Kaye Orencia:
off
</t>
        </r>
      </text>
    </comment>
    <comment ref="M387" authorId="2" shapeId="0" xr:uid="{00000000-0006-0000-0100-000031000000}">
      <text>
        <r>
          <rPr>
            <sz val="10"/>
            <color theme="1"/>
            <rFont val="Century Gothic"/>
            <family val="2"/>
          </rPr>
          <t xml:space="preserve">Kaye Orencia:
off
</t>
        </r>
      </text>
    </comment>
    <comment ref="R387" authorId="2" shapeId="0" xr:uid="{00000000-0006-0000-0100-000032000000}">
      <text>
        <r>
          <rPr>
            <sz val="10"/>
            <color theme="1"/>
            <rFont val="Century Gothic"/>
            <family val="2"/>
          </rPr>
          <t xml:space="preserve">Kaye Orencia:
off
</t>
        </r>
      </text>
    </comment>
    <comment ref="W387" authorId="2" shapeId="0" xr:uid="{00000000-0006-0000-0100-000033000000}">
      <text>
        <r>
          <rPr>
            <sz val="10"/>
            <color theme="1"/>
            <rFont val="Century Gothic"/>
            <family val="2"/>
          </rPr>
          <t xml:space="preserve">Kaye Orencia:
off
</t>
        </r>
      </text>
    </comment>
    <comment ref="H434" authorId="2" shapeId="0" xr:uid="{00000000-0006-0000-0100-000034000000}">
      <text>
        <r>
          <rPr>
            <sz val="10"/>
            <color theme="1"/>
            <rFont val="Century Gothic"/>
            <family val="2"/>
          </rPr>
          <t>Kaye Orencia:
called in sick</t>
        </r>
      </text>
    </comment>
    <comment ref="M434" authorId="2" shapeId="0" xr:uid="{00000000-0006-0000-0100-000035000000}">
      <text>
        <r>
          <rPr>
            <sz val="10"/>
            <color theme="1"/>
            <rFont val="Century Gothic"/>
            <family val="2"/>
          </rPr>
          <t>Kaye Orencia:
called in sick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Clarissa Beatty</author>
    <author>Agilant</author>
    <author>Kaye Orencia</author>
  </authors>
  <commentList>
    <comment ref="R46" authorId="0" shapeId="0" xr:uid="{00000000-0006-0000-0200-000001000000}">
      <text>
        <r>
          <rPr>
            <sz val="10"/>
            <color theme="1"/>
            <rFont val="Century Gothic"/>
            <family val="2"/>
          </rPr>
          <t>Clarissa Beatty:
.5 lunch break</t>
        </r>
      </text>
    </comment>
    <comment ref="N69" authorId="0" shapeId="0" xr:uid="{00000000-0006-0000-0200-000002000000}">
      <text>
        <r>
          <rPr>
            <sz val="10"/>
            <color theme="1"/>
            <rFont val="Century Gothic"/>
            <family val="2"/>
          </rPr>
          <t>Clarissa Beatty:
1 hr lunch</t>
        </r>
      </text>
    </comment>
    <comment ref="S69" authorId="0" shapeId="0" xr:uid="{00000000-0006-0000-0200-000003000000}">
      <text>
        <r>
          <rPr>
            <sz val="10"/>
            <color theme="1"/>
            <rFont val="Century Gothic"/>
            <family val="2"/>
          </rPr>
          <t>Clarissa Beatty:
1 hr lunch</t>
        </r>
      </text>
    </comment>
    <comment ref="N74" authorId="0" shapeId="0" xr:uid="{00000000-0006-0000-0200-000004000000}">
      <text>
        <r>
          <rPr>
            <sz val="10"/>
            <color theme="1"/>
            <rFont val="Century Gothic"/>
            <family val="2"/>
          </rPr>
          <t>Clarissa Beatty:
Lunch</t>
        </r>
      </text>
    </comment>
    <comment ref="S74" authorId="0" shapeId="0" xr:uid="{00000000-0006-0000-0200-000005000000}">
      <text>
        <r>
          <rPr>
            <sz val="10"/>
            <color theme="1"/>
            <rFont val="Century Gothic"/>
            <family val="2"/>
          </rPr>
          <t>Clarissa Beatty:
1 hr lunch</t>
        </r>
      </text>
    </comment>
    <comment ref="E149" authorId="1" shapeId="0" xr:uid="{00000000-0006-0000-0200-000006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72.25 hrs was billed</t>
        </r>
      </text>
    </comment>
    <comment ref="J149" authorId="1" shapeId="0" xr:uid="{00000000-0006-0000-0200-000007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113 tech billed
</t>
        </r>
      </text>
    </comment>
    <comment ref="O149" authorId="1" shapeId="0" xr:uid="{00000000-0006-0000-0200-000008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64 billed</t>
        </r>
      </text>
    </comment>
    <comment ref="T149" authorId="1" shapeId="0" xr:uid="{00000000-0006-0000-0200-000009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96 billed</t>
        </r>
      </text>
    </comment>
    <comment ref="Y149" authorId="1" shapeId="0" xr:uid="{00000000-0006-0000-0200-00000A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96.25
</t>
        </r>
      </text>
    </comment>
    <comment ref="E154" authorId="1" shapeId="0" xr:uid="{00000000-0006-0000-0200-00000B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39 hrs were billed
</t>
        </r>
      </text>
    </comment>
    <comment ref="J154" authorId="1" shapeId="0" xr:uid="{00000000-0006-0000-0200-00000C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50.88 coord billed
</t>
        </r>
      </text>
    </comment>
    <comment ref="O154" authorId="1" shapeId="0" xr:uid="{00000000-0006-0000-0200-00000D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47 billed</t>
        </r>
      </text>
    </comment>
    <comment ref="T154" authorId="1" shapeId="0" xr:uid="{00000000-0006-0000-0200-00000E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53 billed</t>
        </r>
      </text>
    </comment>
    <comment ref="Y154" authorId="1" shapeId="0" xr:uid="{00000000-0006-0000-0200-00000F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58.25</t>
        </r>
      </text>
    </comment>
    <comment ref="AF230" authorId="1" shapeId="0" xr:uid="{00000000-0006-0000-0200-000010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Lunch not deducted
</t>
        </r>
      </text>
    </comment>
    <comment ref="R232" authorId="2" shapeId="0" xr:uid="{00000000-0006-0000-0200-000011000000}">
      <text>
        <r>
          <rPr>
            <sz val="10"/>
            <color theme="1"/>
            <rFont val="Century Gothic"/>
            <family val="2"/>
          </rPr>
          <t>Called in sick</t>
        </r>
      </text>
    </comment>
    <comment ref="W238" authorId="1" shapeId="0" xr:uid="{00000000-0006-0000-0200-000012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PTO</t>
        </r>
      </text>
    </comment>
    <comment ref="C244" authorId="1" shapeId="0" xr:uid="{00000000-0006-0000-0200-000013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Called in sick</t>
        </r>
      </text>
    </comment>
    <comment ref="M269" authorId="2" shapeId="0" xr:uid="{00000000-0006-0000-0200-000014000000}">
      <text>
        <r>
          <rPr>
            <sz val="10"/>
            <color theme="1"/>
            <rFont val="Century Gothic"/>
            <family val="2"/>
          </rPr>
          <t xml:space="preserve">called out
</t>
        </r>
      </text>
    </comment>
    <comment ref="M276" authorId="2" shapeId="0" xr:uid="{00000000-0006-0000-0200-000015000000}">
      <text>
        <r>
          <rPr>
            <sz val="10"/>
            <color theme="1"/>
            <rFont val="Century Gothic"/>
            <family val="2"/>
          </rPr>
          <t xml:space="preserve">called out
</t>
        </r>
      </text>
    </comment>
    <comment ref="C278" authorId="2" shapeId="0" xr:uid="{00000000-0006-0000-0200-000016000000}">
      <text>
        <r>
          <rPr>
            <sz val="10"/>
            <color theme="1"/>
            <rFont val="Century Gothic"/>
            <family val="2"/>
          </rPr>
          <t>PTO</t>
        </r>
      </text>
    </comment>
    <comment ref="W297" authorId="2" shapeId="0" xr:uid="{00000000-0006-0000-0200-000017000000}">
      <text>
        <r>
          <rPr>
            <sz val="10"/>
            <color theme="1"/>
            <rFont val="Century Gothic"/>
            <family val="2"/>
          </rPr>
          <t xml:space="preserve">Kaye Orencia:
Called in Sick
</t>
        </r>
      </text>
    </comment>
    <comment ref="R298" authorId="2" shapeId="0" xr:uid="{00000000-0006-0000-0200-000018000000}">
      <text>
        <r>
          <rPr>
            <sz val="10"/>
            <color theme="1"/>
            <rFont val="Century Gothic"/>
            <family val="2"/>
          </rPr>
          <t>Kaye Orencia:
Mapping due to Covid Policy</t>
        </r>
      </text>
    </comment>
    <comment ref="W298" authorId="2" shapeId="0" xr:uid="{00000000-0006-0000-0200-000019000000}">
      <text>
        <r>
          <rPr>
            <sz val="10"/>
            <color theme="1"/>
            <rFont val="Century Gothic"/>
            <family val="2"/>
          </rPr>
          <t xml:space="preserve">Kaye Orencia:
PTO
</t>
        </r>
      </text>
    </comment>
    <comment ref="W299" authorId="2" shapeId="0" xr:uid="{00000000-0006-0000-0200-00001A000000}">
      <text>
        <r>
          <rPr>
            <sz val="10"/>
            <color theme="1"/>
            <rFont val="Century Gothic"/>
            <family val="2"/>
          </rPr>
          <t xml:space="preserve">Kaye Orencia:
PTO
</t>
        </r>
      </text>
    </comment>
    <comment ref="W302" authorId="2" shapeId="0" xr:uid="{00000000-0006-0000-0200-00001B000000}">
      <text>
        <r>
          <rPr>
            <sz val="10"/>
            <color theme="1"/>
            <rFont val="Century Gothic"/>
            <family val="2"/>
          </rPr>
          <t>Kaye Orencia:
called in sick</t>
        </r>
      </text>
    </comment>
    <comment ref="W304" authorId="2" shapeId="0" xr:uid="{00000000-0006-0000-0200-00001C000000}">
      <text>
        <r>
          <rPr>
            <sz val="10"/>
            <color theme="1"/>
            <rFont val="Century Gothic"/>
            <family val="2"/>
          </rPr>
          <t xml:space="preserve">Kaye Orencia:
called in Sick
</t>
        </r>
      </text>
    </comment>
    <comment ref="M306" authorId="2" shapeId="0" xr:uid="{00000000-0006-0000-0200-00001D000000}">
      <text>
        <r>
          <rPr>
            <sz val="10"/>
            <color theme="1"/>
            <rFont val="Century Gothic"/>
            <family val="2"/>
          </rPr>
          <t>Kaye Orencia:
Covid</t>
        </r>
      </text>
    </comment>
    <comment ref="R306" authorId="2" shapeId="0" xr:uid="{00000000-0006-0000-0200-00001E000000}">
      <text>
        <r>
          <rPr>
            <sz val="10"/>
            <color theme="1"/>
            <rFont val="Century Gothic"/>
            <family val="2"/>
          </rPr>
          <t>Kaye Orencia:
Covid</t>
        </r>
      </text>
    </comment>
    <comment ref="W306" authorId="2" shapeId="0" xr:uid="{00000000-0006-0000-0200-00001F000000}">
      <text>
        <r>
          <rPr>
            <sz val="10"/>
            <color theme="1"/>
            <rFont val="Century Gothic"/>
            <family val="2"/>
          </rPr>
          <t>Kaye Orencia:
Covid</t>
        </r>
      </text>
    </comment>
    <comment ref="W307" authorId="2" shapeId="0" xr:uid="{00000000-0006-0000-0200-000020000000}">
      <text>
        <r>
          <rPr>
            <sz val="10"/>
            <color theme="1"/>
            <rFont val="Century Gothic"/>
            <family val="2"/>
          </rPr>
          <t>Kaye Orencia:
Called in sick</t>
        </r>
      </text>
    </comment>
    <comment ref="W343" authorId="2" shapeId="0" xr:uid="{00000000-0006-0000-0200-000021000000}">
      <text>
        <r>
          <rPr>
            <sz val="10"/>
            <color theme="1"/>
            <rFont val="Century Gothic"/>
            <family val="2"/>
          </rPr>
          <t>Kaye Orencia:
Time off</t>
        </r>
      </text>
    </comment>
    <comment ref="M344" authorId="2" shapeId="0" xr:uid="{00000000-0006-0000-0200-000022000000}">
      <text>
        <r>
          <rPr>
            <sz val="10"/>
            <color theme="1"/>
            <rFont val="Century Gothic"/>
            <family val="2"/>
          </rPr>
          <t>Kaye Orencia:
Time off</t>
        </r>
      </text>
    </comment>
    <comment ref="C346" authorId="2" shapeId="0" xr:uid="{00000000-0006-0000-0200-000023000000}">
      <text>
        <r>
          <rPr>
            <sz val="10"/>
            <color theme="1"/>
            <rFont val="Century Gothic"/>
            <family val="2"/>
          </rPr>
          <t xml:space="preserve">Kaye Orencia:
Called in sick
</t>
        </r>
      </text>
    </comment>
    <comment ref="H346" authorId="2" shapeId="0" xr:uid="{00000000-0006-0000-0200-000024000000}">
      <text>
        <r>
          <rPr>
            <sz val="10"/>
            <color theme="1"/>
            <rFont val="Century Gothic"/>
            <family val="2"/>
          </rPr>
          <t xml:space="preserve">Kaye Orencia:
Called in Sick
</t>
        </r>
      </text>
    </comment>
    <comment ref="M346" authorId="2" shapeId="0" xr:uid="{00000000-0006-0000-0200-000025000000}">
      <text>
        <r>
          <rPr>
            <sz val="10"/>
            <color theme="1"/>
            <rFont val="Century Gothic"/>
            <family val="2"/>
          </rPr>
          <t>Kaye Orencia:
Sick</t>
        </r>
      </text>
    </comment>
    <comment ref="R346" authorId="2" shapeId="0" xr:uid="{00000000-0006-0000-0200-000026000000}">
      <text>
        <r>
          <rPr>
            <sz val="10"/>
            <color theme="1"/>
            <rFont val="Century Gothic"/>
            <family val="2"/>
          </rPr>
          <t>Kaye Orencia:
Sick</t>
        </r>
      </text>
    </comment>
    <comment ref="W346" authorId="2" shapeId="0" xr:uid="{00000000-0006-0000-0200-000027000000}">
      <text>
        <r>
          <rPr>
            <sz val="10"/>
            <color theme="1"/>
            <rFont val="Century Gothic"/>
            <family val="2"/>
          </rPr>
          <t>Kaye Orencia:
Sick</t>
        </r>
      </text>
    </comment>
    <comment ref="C347" authorId="2" shapeId="0" xr:uid="{00000000-0006-0000-0200-000028000000}">
      <text>
        <r>
          <rPr>
            <sz val="10"/>
            <color theme="1"/>
            <rFont val="Century Gothic"/>
            <family val="2"/>
          </rPr>
          <t>Kaye Orencia:
called in sick</t>
        </r>
      </text>
    </comment>
    <comment ref="H347" authorId="2" shapeId="0" xr:uid="{00000000-0006-0000-0200-000029000000}">
      <text>
        <r>
          <rPr>
            <sz val="10"/>
            <color theme="1"/>
            <rFont val="Century Gothic"/>
            <family val="2"/>
          </rPr>
          <t>Kaye Orencia:
PTO</t>
        </r>
      </text>
    </comment>
    <comment ref="R347" authorId="2" shapeId="0" xr:uid="{00000000-0006-0000-0200-00002A000000}">
      <text>
        <r>
          <rPr>
            <sz val="10"/>
            <color theme="1"/>
            <rFont val="Century Gothic"/>
            <family val="2"/>
          </rPr>
          <t>Kaye Orencia:
Time Off</t>
        </r>
      </text>
    </comment>
    <comment ref="M354" authorId="2" shapeId="0" xr:uid="{00000000-0006-0000-0200-00002B000000}">
      <text>
        <r>
          <rPr>
            <sz val="10"/>
            <color theme="1"/>
            <rFont val="Century Gothic"/>
            <family val="2"/>
          </rPr>
          <t>Kaye Orencia:
Time off</t>
        </r>
      </text>
    </comment>
    <comment ref="W354" authorId="2" shapeId="0" xr:uid="{00000000-0006-0000-0200-00002C000000}">
      <text>
        <r>
          <rPr>
            <sz val="10"/>
            <color theme="1"/>
            <rFont val="Century Gothic"/>
            <family val="2"/>
          </rPr>
          <t xml:space="preserve">Kaye Orencia:
Time off
</t>
        </r>
      </text>
    </comment>
    <comment ref="M381" authorId="2" shapeId="0" xr:uid="{00000000-0006-0000-0200-00002D000000}">
      <text>
        <r>
          <rPr>
            <sz val="10"/>
            <color theme="1"/>
            <rFont val="Century Gothic"/>
            <family val="2"/>
          </rPr>
          <t>Kaye Orencia:
off</t>
        </r>
      </text>
    </comment>
    <comment ref="R382" authorId="1" shapeId="0" xr:uid="{00000000-0006-0000-0200-00002E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Car trouble</t>
        </r>
      </text>
    </comment>
    <comment ref="C387" authorId="2" shapeId="0" xr:uid="{00000000-0006-0000-0200-00002F000000}">
      <text>
        <r>
          <rPr>
            <sz val="10"/>
            <color theme="1"/>
            <rFont val="Century Gothic"/>
            <family val="2"/>
          </rPr>
          <t>Kaye Orencia:
off</t>
        </r>
      </text>
    </comment>
    <comment ref="H387" authorId="2" shapeId="0" xr:uid="{00000000-0006-0000-0200-000030000000}">
      <text>
        <r>
          <rPr>
            <sz val="10"/>
            <color theme="1"/>
            <rFont val="Century Gothic"/>
            <family val="2"/>
          </rPr>
          <t xml:space="preserve">Kaye Orencia:
off
</t>
        </r>
      </text>
    </comment>
    <comment ref="M387" authorId="2" shapeId="0" xr:uid="{00000000-0006-0000-0200-000031000000}">
      <text>
        <r>
          <rPr>
            <sz val="10"/>
            <color theme="1"/>
            <rFont val="Century Gothic"/>
            <family val="2"/>
          </rPr>
          <t xml:space="preserve">Kaye Orencia:
off
</t>
        </r>
      </text>
    </comment>
    <comment ref="R387" authorId="2" shapeId="0" xr:uid="{00000000-0006-0000-0200-000032000000}">
      <text>
        <r>
          <rPr>
            <sz val="10"/>
            <color theme="1"/>
            <rFont val="Century Gothic"/>
            <family val="2"/>
          </rPr>
          <t xml:space="preserve">Kaye Orencia:
off
</t>
        </r>
      </text>
    </comment>
    <comment ref="W387" authorId="2" shapeId="0" xr:uid="{00000000-0006-0000-0200-000033000000}">
      <text>
        <r>
          <rPr>
            <sz val="10"/>
            <color theme="1"/>
            <rFont val="Century Gothic"/>
            <family val="2"/>
          </rPr>
          <t xml:space="preserve">Kaye Orencia:
off
</t>
        </r>
      </text>
    </comment>
    <comment ref="H434" authorId="2" shapeId="0" xr:uid="{00000000-0006-0000-0200-000034000000}">
      <text>
        <r>
          <rPr>
            <sz val="10"/>
            <color theme="1"/>
            <rFont val="Century Gothic"/>
            <family val="2"/>
          </rPr>
          <t>Kaye Orencia:
called in sick</t>
        </r>
      </text>
    </comment>
    <comment ref="M434" authorId="2" shapeId="0" xr:uid="{00000000-0006-0000-0200-000035000000}">
      <text>
        <r>
          <rPr>
            <sz val="10"/>
            <color theme="1"/>
            <rFont val="Century Gothic"/>
            <family val="2"/>
          </rPr>
          <t>Kaye Orencia:
called in sick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Clarissa Beatty</author>
  </authors>
  <commentList>
    <comment ref="O32" authorId="0" shapeId="0" xr:uid="{00000000-0006-0000-0300-000001000000}">
      <text>
        <r>
          <rPr>
            <sz val="10"/>
            <color theme="1"/>
            <rFont val="Century Gothic"/>
            <family val="2"/>
          </rPr>
          <t>Clarissa Beatty:
.5 lunch break</t>
        </r>
      </text>
    </comment>
    <comment ref="L48" authorId="0" shapeId="0" xr:uid="{00000000-0006-0000-0300-000002000000}">
      <text>
        <r>
          <rPr>
            <sz val="10"/>
            <color theme="1"/>
            <rFont val="Century Gothic"/>
            <family val="2"/>
          </rPr>
          <t>Clarissa Beatty:
1 hr lunch</t>
        </r>
      </text>
    </comment>
    <comment ref="P48" authorId="0" shapeId="0" xr:uid="{00000000-0006-0000-0300-000003000000}">
      <text>
        <r>
          <rPr>
            <sz val="10"/>
            <color theme="1"/>
            <rFont val="Century Gothic"/>
            <family val="2"/>
          </rPr>
          <t>Clarissa Beatty:
1 hr lunch</t>
        </r>
      </text>
    </comment>
    <comment ref="T48" authorId="0" shapeId="0" xr:uid="{00000000-0006-0000-0300-000004000000}">
      <text>
        <r>
          <rPr>
            <sz val="10"/>
            <color theme="1"/>
            <rFont val="Century Gothic"/>
            <family val="2"/>
          </rPr>
          <t>Clarissa Beatty:
1 hr lunch</t>
        </r>
      </text>
    </comment>
    <comment ref="L53" authorId="0" shapeId="0" xr:uid="{00000000-0006-0000-0300-000005000000}">
      <text>
        <r>
          <rPr>
            <sz val="10"/>
            <color theme="1"/>
            <rFont val="Century Gothic"/>
            <family val="2"/>
          </rPr>
          <t>Clarissa Beatty:
Lunch</t>
        </r>
      </text>
    </comment>
    <comment ref="P53" authorId="0" shapeId="0" xr:uid="{00000000-0006-0000-0300-000006000000}">
      <text>
        <r>
          <rPr>
            <sz val="10"/>
            <color theme="1"/>
            <rFont val="Century Gothic"/>
            <family val="2"/>
          </rPr>
          <t>Clarissa Beatty:
1 hr lunch</t>
        </r>
      </text>
    </comment>
    <comment ref="D63" authorId="0" shapeId="0" xr:uid="{00000000-0006-0000-0300-000007000000}">
      <text>
        <r>
          <rPr>
            <sz val="10"/>
            <color theme="1"/>
            <rFont val="Century Gothic"/>
            <family val="2"/>
          </rPr>
          <t>Clarissa Beatty:
1 hr lunch</t>
        </r>
      </text>
    </comment>
    <comment ref="H63" authorId="0" shapeId="0" xr:uid="{00000000-0006-0000-0300-000008000000}">
      <text>
        <r>
          <rPr>
            <sz val="10"/>
            <color theme="1"/>
            <rFont val="Century Gothic"/>
            <family val="2"/>
          </rPr>
          <t>Clarissa Beatty:
1 hr lunch</t>
        </r>
      </text>
    </comment>
    <comment ref="L63" authorId="0" shapeId="0" xr:uid="{00000000-0006-0000-0300-000009000000}">
      <text>
        <r>
          <rPr>
            <sz val="10"/>
            <color theme="1"/>
            <rFont val="Century Gothic"/>
            <family val="2"/>
          </rPr>
          <t>Clarissa Beatty:
1 hr lunch</t>
        </r>
      </text>
    </comment>
    <comment ref="P63" authorId="0" shapeId="0" xr:uid="{00000000-0006-0000-0300-00000A000000}">
      <text>
        <r>
          <rPr>
            <sz val="10"/>
            <color theme="1"/>
            <rFont val="Century Gothic"/>
            <family val="2"/>
          </rPr>
          <t>Clarissa Beatty:
1 hr lunch</t>
        </r>
      </text>
    </comment>
    <comment ref="T63" authorId="0" shapeId="0" xr:uid="{00000000-0006-0000-0300-00000B000000}">
      <text>
        <r>
          <rPr>
            <sz val="10"/>
            <color theme="1"/>
            <rFont val="Century Gothic"/>
            <family val="2"/>
          </rPr>
          <t>Clarissa Beatty:
1 hr lunch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Clarissa</author>
    <author>Clarissa Beatty</author>
  </authors>
  <commentList>
    <comment ref="F3" authorId="0" shapeId="0" xr:uid="{00000000-0006-0000-0500-000001000000}">
      <text>
        <r>
          <rPr>
            <sz val="10"/>
            <color theme="1"/>
            <rFont val="Century Gothic"/>
            <family val="2"/>
          </rPr>
          <t>Clarissa:
9A-5P (+overage)</t>
        </r>
      </text>
    </comment>
    <comment ref="G3" authorId="0" shapeId="0" xr:uid="{00000000-0006-0000-0500-000002000000}">
      <text>
        <r>
          <rPr>
            <sz val="10"/>
            <color theme="1"/>
            <rFont val="Century Gothic"/>
            <family val="2"/>
          </rPr>
          <t>Clarissa:
9:15A-12:30P</t>
        </r>
      </text>
    </comment>
    <comment ref="H4" authorId="1" shapeId="0" xr:uid="{00000000-0006-0000-0500-000003000000}">
      <text>
        <r>
          <rPr>
            <sz val="10"/>
            <color theme="1"/>
            <rFont val="Century Gothic"/>
            <family val="2"/>
          </rPr>
          <t>Clarissa Beatty:
9 - 2:45P</t>
        </r>
      </text>
    </comment>
    <comment ref="I4" authorId="1" shapeId="0" xr:uid="{00000000-0006-0000-0500-000004000000}">
      <text>
        <r>
          <rPr>
            <sz val="10"/>
            <color theme="1"/>
            <rFont val="Century Gothic"/>
            <family val="2"/>
          </rPr>
          <t>Clarissa Beatty:
9:15A - 4:30P</t>
        </r>
      </text>
    </comment>
    <comment ref="J4" authorId="1" shapeId="0" xr:uid="{00000000-0006-0000-0500-000005000000}">
      <text>
        <r>
          <rPr>
            <sz val="10"/>
            <color theme="1"/>
            <rFont val="Century Gothic"/>
            <family val="2"/>
          </rPr>
          <t>Clarissa Beatty:
9A-6:15P</t>
        </r>
      </text>
    </comment>
    <comment ref="K4" authorId="1" shapeId="0" xr:uid="{00000000-0006-0000-0500-000006000000}">
      <text>
        <r>
          <rPr>
            <sz val="10"/>
            <color theme="1"/>
            <rFont val="Century Gothic"/>
            <family val="2"/>
          </rPr>
          <t>Clarissa Beatty:
9-5</t>
        </r>
      </text>
    </comment>
    <comment ref="M4" authorId="1" shapeId="0" xr:uid="{00000000-0006-0000-0500-000007000000}">
      <text>
        <r>
          <rPr>
            <sz val="10"/>
            <color theme="1"/>
            <rFont val="Century Gothic"/>
            <family val="2"/>
          </rPr>
          <t>Clarissa Beatty:
9-4P</t>
        </r>
      </text>
    </comment>
    <comment ref="N4" authorId="1" shapeId="0" xr:uid="{00000000-0006-0000-0500-000008000000}">
      <text>
        <r>
          <rPr>
            <sz val="10"/>
            <color theme="1"/>
            <rFont val="Century Gothic"/>
            <family val="2"/>
          </rPr>
          <t>Clarissa Beatty:
9-4P</t>
        </r>
      </text>
    </comment>
    <comment ref="O4" authorId="1" shapeId="0" xr:uid="{00000000-0006-0000-0500-000009000000}">
      <text>
        <r>
          <rPr>
            <sz val="10"/>
            <color theme="1"/>
            <rFont val="Century Gothic"/>
            <family val="2"/>
          </rPr>
          <t>Clarissa Beatty:
9-5:30P</t>
        </r>
      </text>
    </comment>
    <comment ref="P4" authorId="1" shapeId="0" xr:uid="{00000000-0006-0000-0500-00000A000000}">
      <text>
        <r>
          <rPr>
            <sz val="10"/>
            <color theme="1"/>
            <rFont val="Century Gothic"/>
            <family val="2"/>
          </rPr>
          <t>Clarissa Beatty:
9-4</t>
        </r>
      </text>
    </comment>
    <comment ref="I5" authorId="1" shapeId="0" xr:uid="{00000000-0006-0000-0500-00000B000000}">
      <text>
        <r>
          <rPr>
            <sz val="10"/>
            <color theme="1"/>
            <rFont val="Century Gothic"/>
            <family val="2"/>
          </rPr>
          <t>Clarissa Beatty:
9-3:30P</t>
        </r>
      </text>
    </comment>
    <comment ref="J5" authorId="1" shapeId="0" xr:uid="{00000000-0006-0000-0500-00000C000000}">
      <text>
        <r>
          <rPr>
            <sz val="10"/>
            <color theme="1"/>
            <rFont val="Century Gothic"/>
            <family val="2"/>
          </rPr>
          <t>Clarissa Beatty:
9-4:15P</t>
        </r>
      </text>
    </comment>
    <comment ref="K5" authorId="1" shapeId="0" xr:uid="{00000000-0006-0000-0500-00000D000000}">
      <text>
        <r>
          <rPr>
            <sz val="10"/>
            <color theme="1"/>
            <rFont val="Century Gothic"/>
            <family val="2"/>
          </rPr>
          <t>Clarissa Beatty:
9-4:15P</t>
        </r>
      </text>
    </comment>
    <comment ref="L5" authorId="1" shapeId="0" xr:uid="{00000000-0006-0000-0500-00000E000000}">
      <text>
        <r>
          <rPr>
            <sz val="10"/>
            <color theme="1"/>
            <rFont val="Century Gothic"/>
            <family val="2"/>
          </rPr>
          <t>Clarissa Beatty:
8-3:30P</t>
        </r>
      </text>
    </comment>
    <comment ref="N5" authorId="1" shapeId="0" xr:uid="{00000000-0006-0000-0500-00000F000000}">
      <text>
        <r>
          <rPr>
            <sz val="10"/>
            <color theme="1"/>
            <rFont val="Century Gothic"/>
            <family val="2"/>
          </rPr>
          <t>Clarissa Beatty:
9-5P</t>
        </r>
      </text>
    </comment>
    <comment ref="O5" authorId="1" shapeId="0" xr:uid="{00000000-0006-0000-0500-000010000000}">
      <text>
        <r>
          <rPr>
            <sz val="10"/>
            <color theme="1"/>
            <rFont val="Century Gothic"/>
            <family val="2"/>
          </rPr>
          <t>Clarissa Beatty:
9-4:15P</t>
        </r>
      </text>
    </comment>
    <comment ref="P5" authorId="1" shapeId="0" xr:uid="{00000000-0006-0000-0500-000011000000}">
      <text>
        <r>
          <rPr>
            <sz val="10"/>
            <color theme="1"/>
            <rFont val="Century Gothic"/>
            <family val="2"/>
          </rPr>
          <t>Clarissa Beatty:
9-4P</t>
        </r>
      </text>
    </comment>
    <comment ref="Q5" authorId="1" shapeId="0" xr:uid="{00000000-0006-0000-0500-000012000000}">
      <text>
        <r>
          <rPr>
            <sz val="10"/>
            <color theme="1"/>
            <rFont val="Century Gothic"/>
            <family val="2"/>
          </rPr>
          <t>Clarissa Beatty:
8-2:45P</t>
        </r>
      </text>
    </comment>
    <comment ref="M25" authorId="1" shapeId="0" xr:uid="{00000000-0006-0000-0500-000013000000}">
      <text>
        <r>
          <rPr>
            <sz val="10"/>
            <color theme="1"/>
            <rFont val="Century Gothic"/>
            <family val="2"/>
          </rPr>
          <t xml:space="preserve">Clarissa Beatty:
.5 lunch break
</t>
        </r>
      </text>
    </comment>
    <comment ref="I34" authorId="1" shapeId="0" xr:uid="{00000000-0006-0000-0500-000014000000}">
      <text>
        <r>
          <rPr>
            <sz val="10"/>
            <color theme="1"/>
            <rFont val="Century Gothic"/>
            <family val="2"/>
          </rPr>
          <t>Clarissa Beatty:
.75 lunch</t>
        </r>
      </text>
    </comment>
    <comment ref="I49" authorId="0" shapeId="0" xr:uid="{00000000-0006-0000-0500-000015000000}">
      <text>
        <r>
          <rPr>
            <b/>
            <sz val="9"/>
            <color indexed="81"/>
            <rFont val="Tahoma"/>
            <family val="2"/>
          </rPr>
          <t>Clarissa:</t>
        </r>
        <r>
          <rPr>
            <sz val="9"/>
            <color indexed="81"/>
            <rFont val="Tahoma"/>
            <family val="2"/>
          </rPr>
          <t xml:space="preserve">
.5 lunch</t>
        </r>
      </text>
    </comment>
    <comment ref="M49" authorId="0" shapeId="0" xr:uid="{00000000-0006-0000-0500-000016000000}">
      <text>
        <r>
          <rPr>
            <b/>
            <sz val="9"/>
            <color indexed="81"/>
            <rFont val="Tahoma"/>
            <family val="2"/>
          </rPr>
          <t>Clarissa:</t>
        </r>
        <r>
          <rPr>
            <sz val="9"/>
            <color indexed="81"/>
            <rFont val="Tahoma"/>
            <family val="2"/>
          </rPr>
          <t xml:space="preserve">
.5 lunch
</t>
        </r>
      </text>
    </comment>
    <comment ref="I50" authorId="0" shapeId="0" xr:uid="{00000000-0006-0000-0500-000017000000}">
      <text>
        <r>
          <rPr>
            <b/>
            <sz val="9"/>
            <color indexed="81"/>
            <rFont val="Tahoma"/>
            <family val="2"/>
          </rPr>
          <t>Clarissa:</t>
        </r>
        <r>
          <rPr>
            <sz val="9"/>
            <color indexed="81"/>
            <rFont val="Tahoma"/>
            <family val="2"/>
          </rPr>
          <t xml:space="preserve">
1h lunch</t>
        </r>
      </text>
    </comment>
    <comment ref="I57" authorId="0" shapeId="0" xr:uid="{00000000-0006-0000-0500-000018000000}">
      <text>
        <r>
          <rPr>
            <b/>
            <sz val="9"/>
            <color indexed="81"/>
            <rFont val="Tahoma"/>
            <family val="2"/>
          </rPr>
          <t>Clarissa:</t>
        </r>
        <r>
          <rPr>
            <sz val="9"/>
            <color indexed="81"/>
            <rFont val="Tahoma"/>
            <family val="2"/>
          </rPr>
          <t xml:space="preserve">
.5 lunch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Agilant</author>
  </authors>
  <commentList>
    <comment ref="E574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break time was less than 1 hr</t>
        </r>
      </text>
    </comment>
    <comment ref="O574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less than 1 hr break time</t>
        </r>
      </text>
    </comment>
    <comment ref="T574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less than 1 hr break time</t>
        </r>
      </text>
    </comment>
    <comment ref="O575" authorId="0" shapeId="0" xr:uid="{00000000-0006-0000-0700-000004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less than 1 hr break time</t>
        </r>
      </text>
    </comment>
    <comment ref="T575" authorId="0" shapeId="0" xr:uid="{00000000-0006-0000-0700-000005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less than 1 hr break time</t>
        </r>
      </text>
    </comment>
    <comment ref="O576" authorId="0" shapeId="0" xr:uid="{00000000-0006-0000-0700-000006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less than 1 hr break time</t>
        </r>
      </text>
    </comment>
    <comment ref="T576" authorId="0" shapeId="0" xr:uid="{00000000-0006-0000-0700-000007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less than 1 hr break time</t>
        </r>
      </text>
    </comment>
    <comment ref="O577" authorId="0" shapeId="0" xr:uid="{00000000-0006-0000-0700-000008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less than 1 hr break time</t>
        </r>
      </text>
    </comment>
    <comment ref="T577" authorId="0" shapeId="0" xr:uid="{00000000-0006-0000-0700-000009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less than 1 hr break time</t>
        </r>
      </text>
    </comment>
    <comment ref="E578" authorId="0" shapeId="0" xr:uid="{00000000-0006-0000-0700-00000A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break time was less than 1 hr</t>
        </r>
      </text>
    </comment>
    <comment ref="O578" authorId="0" shapeId="0" xr:uid="{00000000-0006-0000-0700-00000B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less than 1 hr break time</t>
        </r>
      </text>
    </comment>
    <comment ref="T578" authorId="0" shapeId="0" xr:uid="{00000000-0006-0000-0700-00000C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less than 1 hr break time</t>
        </r>
      </text>
    </comment>
    <comment ref="D579" authorId="0" shapeId="0" xr:uid="{00000000-0006-0000-0700-00000D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no break</t>
        </r>
      </text>
    </comment>
    <comment ref="I579" authorId="0" shapeId="0" xr:uid="{00000000-0006-0000-0700-00000E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no time out </t>
        </r>
      </text>
    </comment>
    <comment ref="O579" authorId="0" shapeId="0" xr:uid="{00000000-0006-0000-0700-00000F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less than 1 hr break time</t>
        </r>
      </text>
    </comment>
    <comment ref="T579" authorId="0" shapeId="0" xr:uid="{00000000-0006-0000-0700-000010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less than 1 hr break time</t>
        </r>
      </text>
    </comment>
    <comment ref="Y579" authorId="0" shapeId="0" xr:uid="{00000000-0006-0000-0700-000011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less than 1 hr break time</t>
        </r>
      </text>
    </comment>
    <comment ref="O580" authorId="0" shapeId="0" xr:uid="{00000000-0006-0000-0700-000012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less than 1 hr break time</t>
        </r>
      </text>
    </comment>
    <comment ref="T580" authorId="0" shapeId="0" xr:uid="{00000000-0006-0000-0700-000013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less than 1 hr break time</t>
        </r>
      </text>
    </comment>
    <comment ref="E581" authorId="0" shapeId="0" xr:uid="{00000000-0006-0000-0700-000014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need to adjust break time </t>
        </r>
      </text>
    </comment>
    <comment ref="J581" authorId="0" shapeId="0" xr:uid="{00000000-0006-0000-0700-000015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need to adjust break time </t>
        </r>
      </text>
    </comment>
    <comment ref="O581" authorId="0" shapeId="0" xr:uid="{00000000-0006-0000-0700-000016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less than 1 hr break time</t>
        </r>
      </text>
    </comment>
    <comment ref="T581" authorId="0" shapeId="0" xr:uid="{00000000-0006-0000-0700-000017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less than 1 hr break time</t>
        </r>
      </text>
    </comment>
    <comment ref="E582" authorId="0" shapeId="0" xr:uid="{00000000-0006-0000-0700-000018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no break time?</t>
        </r>
      </text>
    </comment>
    <comment ref="O582" authorId="0" shapeId="0" xr:uid="{00000000-0006-0000-0700-000019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less than 1 hr break time</t>
        </r>
      </text>
    </comment>
    <comment ref="T582" authorId="0" shapeId="0" xr:uid="{00000000-0006-0000-0700-00001A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less than 1 hr break time</t>
        </r>
      </text>
    </comment>
    <comment ref="D583" authorId="0" shapeId="0" xr:uid="{00000000-0006-0000-0700-00001B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no break</t>
        </r>
      </text>
    </comment>
    <comment ref="O583" authorId="0" shapeId="0" xr:uid="{00000000-0006-0000-0700-00001C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less than 1 hr break time</t>
        </r>
      </text>
    </comment>
    <comment ref="T583" authorId="0" shapeId="0" xr:uid="{00000000-0006-0000-0700-00001D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less than 1 hr break time</t>
        </r>
      </text>
    </comment>
    <comment ref="O584" authorId="0" shapeId="0" xr:uid="{00000000-0006-0000-0700-00001E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less than 1 hr break time</t>
        </r>
      </text>
    </comment>
    <comment ref="T584" authorId="0" shapeId="0" xr:uid="{00000000-0006-0000-0700-00001F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less than 1 hr break time</t>
        </r>
      </text>
    </comment>
    <comment ref="Y584" authorId="0" shapeId="0" xr:uid="{00000000-0006-0000-0700-000020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less than 1 hr break time</t>
        </r>
      </text>
    </comment>
    <comment ref="O585" authorId="0" shapeId="0" xr:uid="{00000000-0006-0000-0700-000021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less than 1 hr break time</t>
        </r>
      </text>
    </comment>
    <comment ref="T585" authorId="0" shapeId="0" xr:uid="{00000000-0006-0000-0700-000022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less than 1 hr break time</t>
        </r>
      </text>
    </comment>
    <comment ref="Y585" authorId="0" shapeId="0" xr:uid="{00000000-0006-0000-0700-000023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less than 1 hr break time</t>
        </r>
      </text>
    </comment>
    <comment ref="D586" authorId="0" shapeId="0" xr:uid="{00000000-0006-0000-0700-000024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no clock out time</t>
        </r>
      </text>
    </comment>
    <comment ref="J586" authorId="0" shapeId="0" xr:uid="{00000000-0006-0000-0700-000025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need to adjust break time </t>
        </r>
      </text>
    </comment>
    <comment ref="O586" authorId="0" shapeId="0" xr:uid="{00000000-0006-0000-0700-000026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less than 1 hr break time</t>
        </r>
      </text>
    </comment>
    <comment ref="T586" authorId="0" shapeId="0" xr:uid="{00000000-0006-0000-0700-000027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less than 1 hr break time</t>
        </r>
      </text>
    </comment>
    <comment ref="O587" authorId="0" shapeId="0" xr:uid="{00000000-0006-0000-0700-000028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less than 1 hr break time</t>
        </r>
      </text>
    </comment>
    <comment ref="T587" authorId="0" shapeId="0" xr:uid="{00000000-0006-0000-0700-000029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less than 1 hr break time</t>
        </r>
      </text>
    </comment>
    <comment ref="O588" authorId="0" shapeId="0" xr:uid="{00000000-0006-0000-0700-00002A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less than 1 hr break time</t>
        </r>
      </text>
    </comment>
    <comment ref="T588" authorId="0" shapeId="0" xr:uid="{00000000-0006-0000-0700-00002B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less than 1 hr break time</t>
        </r>
      </text>
    </comment>
    <comment ref="O589" authorId="0" shapeId="0" xr:uid="{00000000-0006-0000-0700-00002C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less than 1 hr break time</t>
        </r>
      </text>
    </comment>
    <comment ref="T589" authorId="0" shapeId="0" xr:uid="{00000000-0006-0000-0700-00002D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less than 1 hr break time</t>
        </r>
      </text>
    </comment>
    <comment ref="T613" authorId="0" shapeId="0" xr:uid="{00000000-0006-0000-0700-00002E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Paycom should be adjusted break was not 1 hr</t>
        </r>
      </text>
    </comment>
    <comment ref="O617" authorId="0" shapeId="0" xr:uid="{00000000-0006-0000-0700-00002F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Paycom should be adjusted to 6pm - no OT was notified</t>
        </r>
      </text>
    </comment>
    <comment ref="E660" authorId="0" shapeId="0" xr:uid="{00000000-0006-0000-0700-000030000000}">
      <text>
        <r>
          <rPr>
            <b/>
            <sz val="9"/>
            <color indexed="81"/>
            <rFont val="Tahoma"/>
            <family val="2"/>
          </rPr>
          <t>cover for missed hours week of  04/22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660" authorId="0" shapeId="0" xr:uid="{00000000-0006-0000-0700-000031000000}">
      <text>
        <r>
          <rPr>
            <b/>
            <sz val="9"/>
            <color indexed="81"/>
            <rFont val="Tahoma"/>
            <family val="2"/>
          </rPr>
          <t>cover for missed hours week of  04/22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660" authorId="0" shapeId="0" xr:uid="{00000000-0006-0000-0700-000032000000}">
      <text>
        <r>
          <rPr>
            <b/>
            <sz val="9"/>
            <color indexed="81"/>
            <rFont val="Tahoma"/>
            <family val="2"/>
          </rPr>
          <t>cover for missed hours week of  04/22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Z725" authorId="0" shapeId="0" xr:uid="{00000000-0006-0000-0700-000033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Added to cover the AMB travel (we are out of AMB travel units)</t>
        </r>
      </text>
    </comment>
    <comment ref="Z753" authorId="0" shapeId="0" xr:uid="{00000000-0006-0000-0700-000034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Added to cover the AMB travel (we are out of AMB travel units)</t>
        </r>
      </text>
    </comment>
    <comment ref="Z781" authorId="0" shapeId="0" xr:uid="{00000000-0006-0000-0700-000035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Added to cover the AMB travel (we are out of AMB travel units)</t>
        </r>
      </text>
    </comment>
    <comment ref="C786" authorId="0" shapeId="0" xr:uid="{00000000-0006-0000-0700-000036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Since travel is in negative, I added more PM hours to make up for -169 travel charges</t>
        </r>
      </text>
    </comment>
    <comment ref="Z809" authorId="0" shapeId="0" xr:uid="{00000000-0006-0000-0700-000037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Added to cover the AMB travel (we are out of AMB travel units)</t>
        </r>
      </text>
    </comment>
    <comment ref="C814" authorId="0" shapeId="0" xr:uid="{00000000-0006-0000-0700-000038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Since travel is in negative, I added more PM hours to make up for -169 travel charges</t>
        </r>
      </text>
    </comment>
    <comment ref="Z836" authorId="0" shapeId="0" xr:uid="{00000000-0006-0000-0700-000039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Added to cover the AMB travel (we are out of AMB travel units)</t>
        </r>
      </text>
    </comment>
    <comment ref="Z863" authorId="0" shapeId="0" xr:uid="{00000000-0006-0000-0700-00003A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Added to cover the AMB travel (we are out of AMB travel units)</t>
        </r>
      </text>
    </comment>
    <comment ref="Z889" authorId="0" shapeId="0" xr:uid="{00000000-0006-0000-0700-00003B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Added to cover the AMB travel (we are out of AMB travel units)</t>
        </r>
      </text>
    </comment>
    <comment ref="Z915" authorId="0" shapeId="0" xr:uid="{00000000-0006-0000-0700-00003C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Added to cover the AMB travel (we are out of AMB travel units)</t>
        </r>
      </text>
    </comment>
    <comment ref="Z941" authorId="0" shapeId="0" xr:uid="{00000000-0006-0000-0700-00003D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Added to cover the AMB travel (we are out of AMB travel units)</t>
        </r>
      </text>
    </comment>
    <comment ref="Z967" authorId="0" shapeId="0" xr:uid="{00000000-0006-0000-0700-00003E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Added to cover the AMB travel (we are out of AMB travel units)</t>
        </r>
      </text>
    </comment>
    <comment ref="Z993" authorId="0" shapeId="0" xr:uid="{00000000-0006-0000-0700-00003F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Added to cover the AMB travel (we are out of AMB travel units)</t>
        </r>
      </text>
    </comment>
    <comment ref="Z1019" authorId="0" shapeId="0" xr:uid="{00000000-0006-0000-0700-000040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Added to cover the AMB travel (we are out of AMB travel units)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tc={1144ED18-05E2-4215-9393-985ACD68C7AC}</author>
    <author>Agilant</author>
    <author>tc={3C8D626B-EB00-4037-937C-EDBBD4E0B5BB}</author>
    <author>tc={9F1B3979-71AD-4BC8-8501-0436D7A179B0}</author>
    <author>tc={598E4B75-B73F-4723-9F7C-137FA4FF5CAB}</author>
    <author>tc={1EB12C62-C354-4E53-A53A-9A9AB7A0EDDC}</author>
    <author>tc={299EF475-275D-4B4A-878E-C7DB4843C5AD}</author>
    <author>tc={4639D1ED-CAB7-471B-ADE1-E1913CE14B09}</author>
    <author>tc={233A13D0-6B83-46DA-8F14-72B8F08DE19B}</author>
    <author>tc={A8C85F2B-38E6-49D2-AB23-10E5B095B5F3}</author>
    <author>tc={B9ED323C-4D63-47CD-8CBC-26BF7B1C4A2D}</author>
    <author>tc={877F0308-C92D-44EE-B84A-7FC9D53A10B9}</author>
    <author>tc={239B0601-38AB-40D4-A472-392D94110E25}</author>
    <author>tc={BE66FB82-59B8-498A-8715-F3D6FFA04295}</author>
    <author>tc={756A50D0-F399-46C1-8F65-CCF07375FDDA}</author>
    <author>tc={5DB1863C-6EAD-430C-A57F-BD930ED6E29C}</author>
    <author>tc={A1798268-4C7F-4F78-9028-112B20BD7195}</author>
    <author>tc={6B6BFD4B-1221-4EEF-9A4E-C6C922E38209}</author>
    <author>tc={6A009903-66B7-4FBD-85A5-02F2E4036858}</author>
    <author>tc={2C959013-991A-44AB-8FF6-27D247A9B8F8}</author>
    <author>tc={1535EDF9-0B47-41B1-A550-D720E6994EB3}</author>
    <author>tc={55F8BFC5-A731-4936-BFC5-5036A4242722}</author>
    <author>tc={B9381ADD-12C5-439C-A673-D4EDB0259F58}</author>
    <author>tc={2EFABCFF-2CD7-42C8-BD25-867308696188}</author>
    <author>tc={AD021114-2094-4E6E-97C1-F379658DDEBF}</author>
    <author>tc={C6830A0A-C744-4D69-9B0D-6E67F419317A}</author>
    <author>tc={E6207205-2F21-476D-B5F3-5FB484F9A8C2}</author>
    <author>tc={7E1B4599-39B9-43D1-A0E2-9528782EBA9D}</author>
    <author>tc={DDFB64C3-4002-45D6-9B9F-5305F1D063A6}</author>
    <author>tc={E012D3B4-4B66-4F75-9712-21430FBB3119}</author>
    <author>tc={5FE2627C-8A89-4475-82A7-358A0BE8A55D}</author>
    <author>tc={870B8023-287E-43B5-B62F-4402581A837F}</author>
    <author>tc={FE1C9B80-61AA-4683-BC09-FFDC81F22C31}</author>
    <author>tc={CA76D739-6D70-474C-9931-892230EBBF5F}</author>
    <author>tc={E42B6044-D8EA-4A3A-9A1D-EE2C88B10A6E}</author>
    <author>tc={42F0A9A4-CDAD-4F67-8D8A-B0C86A909360}</author>
    <author>tc={1FA485A6-1529-49A6-B6C4-1071F14E14E7}</author>
    <author>tc={1C3C14F0-609D-4360-8ECA-2CF8C5D6FA79}</author>
    <author>tc={715B657E-6975-433D-882C-BF3D34EBE1D7}</author>
    <author>tc={0F75872D-3CB8-4ED0-A655-4DD919428EB9}</author>
    <author>tc={E1D59B83-B714-4D1C-963B-E97AF6FEF4F7}</author>
    <author>tc={DA694565-41EF-45DA-8FD8-DEE2D3279FFA}</author>
    <author>tc={C242377A-3756-437A-98A4-4D0CC1CD4026}</author>
    <author>tc={2F43B54F-BEF2-4715-A5D7-E47FBF34AFD7}</author>
    <author>tc={23B9CC39-4CE2-4700-B850-3FB7DEFF7017}</author>
    <author>tc={B174385A-BC7B-4B3F-8F5F-1981EE47F083}</author>
    <author>tc={EAD049CC-0C60-4A07-BF31-4DE8D4289A19}</author>
    <author>tc={6404160D-BE09-4AF3-9891-51B945B1307C}</author>
    <author>tc={E7D25DD7-E535-4CC8-8897-6D7EB7EEFCB1}</author>
    <author>tc={AC1502AB-FB54-4C05-8317-715847FD1FAF}</author>
    <author>tc={249D8D9E-A5CA-4F59-B81C-B1C7CCBEE0C6}</author>
    <author>tc={0DDBA1C9-E154-4405-8523-4A4D6E1412AE}</author>
    <author>tc={0000A918-BA78-4A81-96ED-1736A7B19D28}</author>
    <author>tc={BD0229C9-6D1D-4EF8-AD57-F306D9F3724A}</author>
    <author>tc={DE948596-A7AA-4C74-A97D-A73B465B7FA5}</author>
    <author>tc={A8DADD74-BA80-409B-BDB7-4FA0D5398038}</author>
    <author>tc={BB50FFDF-36F8-46A0-B56F-0AAB4F9AE14A}</author>
    <author>tc={800D02E9-3231-4D9E-921E-34768592BCF2}</author>
    <author>tc={2EE2757E-F82B-42B2-9C14-04BDE954E917}</author>
    <author>tc={B032C339-0945-4AA1-9F76-8C900D0A6265}</author>
    <author>tc={3AD39B80-55CF-4FF8-80DD-0D2BEAC5C212}</author>
    <author>tc={8D7B1266-AB2C-432E-8EEE-53A1B1F86982}</author>
    <author>tc={D3A18A73-9C68-401F-ABF5-9A0C966C034E}</author>
    <author>tc={C834842A-FAC5-41E7-A03D-00974A007193}</author>
    <author>tc={4EE46F40-3E5E-45FD-ABC0-4ABA3D6F6067}</author>
    <author>tc={DC35D56D-B274-4C26-AD1A-6FF6D2D1A138}</author>
    <author>tc={A0E3E402-6C9B-4670-995A-57F1E1BE0668}</author>
    <author>tc={5945BEC3-77EC-4D6F-B3E3-14BFE8E53D4D}</author>
    <author>tc={BB9AD27A-4703-4D51-9A03-CDD99EDDDC35}</author>
    <author>tc={F5F24E8E-51DF-4405-B2D8-5B25551E6478}</author>
    <author>tc={253D21B3-60FE-4532-BB3A-D6086FD788AA}</author>
    <author>tc={A018DF87-1A21-4A61-AD15-669D6A4B33A6}</author>
    <author>tc={35896CDA-2026-4C0A-8942-1A44D75DF63A}</author>
    <author>tc={BEF0E683-0A1A-426A-9046-BC5DDE76797F}</author>
    <author>tc={BA778324-7660-4100-B6E6-351C374CE12B}</author>
    <author>tc={3850DBA1-0450-4BC8-97EE-32B26E390063}</author>
    <author>tc={D82AD554-4F74-4123-8154-F9183331D831}</author>
    <author>tc={4B54D00A-7BFD-48C9-956F-B4F24A2E3302}</author>
    <author>tc={CA163331-0747-4A6E-ABD3-19352B77DE13}</author>
    <author>tc={9770B6AC-32BE-4815-A829-5FF7D9E2FCF0}</author>
    <author>tc={D88E1222-47DD-4A2B-ADE2-60774173BC9F}</author>
    <author>tc={E599D902-6C53-41CD-8921-8B5B048E1AD0}</author>
    <author>tc={0EDE1D0C-86C3-4D7A-945B-36CDC28D7469}</author>
    <author>tc={48DCE1AC-0870-4768-9944-EA9227E65B16}</author>
    <author>tc={362C9F85-F169-4E60-B5D0-70DE8C514CCE}</author>
    <author>tc={C17B3366-EA7D-4880-90EF-C92922913A79}</author>
    <author>tc={08C7A13A-43E3-47F4-8CD4-F61D52EEB766}</author>
    <author>tc={ED808F76-F77A-41A8-9CBD-B82EF0023C5D}</author>
  </authors>
  <commentList>
    <comment ref="E181" authorId="0" shapeId="0" xr:uid="{00000000-0006-0000-09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account for Marvin's billing, Delivery Tech and Delivery Tech II hours are only for NY Min</t>
      </text>
    </comment>
    <comment ref="O202" authorId="1" shapeId="0" xr:uid="{00000000-0006-0000-0900-000002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break time was less than 1 hr
</t>
        </r>
      </text>
    </comment>
    <comment ref="J204" authorId="1" shapeId="0" xr:uid="{00000000-0006-0000-0900-000003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no break time
</t>
        </r>
      </text>
    </comment>
    <comment ref="O204" authorId="1" shapeId="0" xr:uid="{00000000-0006-0000-0900-000004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no break time
</t>
        </r>
      </text>
    </comment>
    <comment ref="E207" authorId="1" shapeId="0" xr:uid="{00000000-0006-0000-0900-000005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no time entry</t>
        </r>
      </text>
    </comment>
    <comment ref="E209" authorId="1" shapeId="0" xr:uid="{00000000-0006-0000-0900-000006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no break time
</t>
        </r>
      </text>
    </comment>
    <comment ref="J209" authorId="1" shapeId="0" xr:uid="{00000000-0006-0000-0900-000007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no break time
</t>
        </r>
      </text>
    </comment>
    <comment ref="O209" authorId="1" shapeId="0" xr:uid="{00000000-0006-0000-0900-000008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no break time
</t>
        </r>
      </text>
    </comment>
    <comment ref="T209" authorId="1" shapeId="0" xr:uid="{00000000-0006-0000-0900-000009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no break time
</t>
        </r>
      </text>
    </comment>
    <comment ref="J214" authorId="1" shapeId="0" xr:uid="{00000000-0006-0000-0900-00000A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break was less than 1 hr
</t>
        </r>
      </text>
    </comment>
    <comment ref="O214" authorId="1" shapeId="0" xr:uid="{00000000-0006-0000-0900-00000B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team lead said team took off at 7:30pm; break was less than 1 hr
</t>
        </r>
      </text>
    </comment>
    <comment ref="D215" authorId="1" shapeId="0" xr:uid="{00000000-0006-0000-0900-00000C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no time out</t>
        </r>
      </text>
    </comment>
    <comment ref="D216" authorId="1" shapeId="0" xr:uid="{00000000-0006-0000-0900-00000D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no time out</t>
        </r>
      </text>
    </comment>
    <comment ref="J216" authorId="1" shapeId="0" xr:uid="{00000000-0006-0000-0900-00000E000000}">
      <text>
        <r>
          <rPr>
            <b/>
            <sz val="9"/>
            <color indexed="81"/>
            <rFont val="Tahoma"/>
            <family val="2"/>
          </rPr>
          <t>Agilant:no break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23" authorId="2" shapeId="0" xr:uid="{00000000-0006-0000-0900-00000F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Will fill out 4/24, will probably be 8 hours plus 1-2 hours OT</t>
      </text>
    </comment>
    <comment ref="O226" authorId="3" shapeId="0" xr:uid="{00000000-0006-0000-0900-000010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David Cayenne and 4 DOE techs helped dispose of some cardboard</t>
      </text>
    </comment>
    <comment ref="T226" authorId="4" shapeId="0" xr:uid="{00000000-0006-0000-0900-00001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NY Minute</t>
      </text>
    </comment>
    <comment ref="Y226" authorId="5" shapeId="0" xr:uid="{00000000-0006-0000-0900-00001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NY Minute</t>
      </text>
    </comment>
    <comment ref="J236" authorId="1" shapeId="0" xr:uid="{00000000-0006-0000-0900-000013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need to adjust break time </t>
        </r>
      </text>
    </comment>
    <comment ref="O236" authorId="1" shapeId="0" xr:uid="{00000000-0006-0000-0900-000014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need to adjust break time </t>
        </r>
      </text>
    </comment>
    <comment ref="E255" authorId="1" shapeId="0" xr:uid="{00000000-0006-0000-0900-000015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Paycom-clock out time should be adjusted to 6pm as per Kevin</t>
        </r>
      </text>
    </comment>
    <comment ref="J255" authorId="1" shapeId="0" xr:uid="{00000000-0006-0000-0900-000016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Paycom-clock out time should be adjusted to 6pm as per Kevin</t>
        </r>
      </text>
    </comment>
    <comment ref="T257" authorId="1" shapeId="0" xr:uid="{00000000-0006-0000-0900-000017000000}">
      <text>
        <r>
          <rPr>
            <b/>
            <sz val="9"/>
            <color indexed="81"/>
            <rFont val="Tahoma"/>
            <family val="2"/>
          </rPr>
          <t>Paycom:</t>
        </r>
        <r>
          <rPr>
            <sz val="9"/>
            <color indexed="81"/>
            <rFont val="Tahoma"/>
            <family val="2"/>
          </rPr>
          <t xml:space="preserve">
No 1 hr break</t>
        </r>
      </text>
    </comment>
    <comment ref="E264" authorId="1" shapeId="0" xr:uid="{00000000-0006-0000-0900-000018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Paycom-clock out time should be adjusted to 6pm as per Kevin</t>
        </r>
      </text>
    </comment>
    <comment ref="J264" authorId="1" shapeId="0" xr:uid="{00000000-0006-0000-0900-000019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Paycom-clock out time should be adjusted to 6pm as per Kevin</t>
        </r>
      </text>
    </comment>
    <comment ref="T264" authorId="1" shapeId="0" xr:uid="{00000000-0006-0000-0900-00001A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Paycom-clock out time should be adjusted to 6pm as per Kevin</t>
        </r>
      </text>
    </comment>
    <comment ref="J265" authorId="1" shapeId="0" xr:uid="{00000000-0006-0000-0900-00001B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Paycom-clock out time should be adjusted to 6pm as per Kevin</t>
        </r>
      </text>
    </comment>
    <comment ref="E291" authorId="6" shapeId="0" xr:uid="{00000000-0006-0000-0900-00001C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day with Abdul and his two helpers, breaking down cardboard from SIUHN, delivering to ITAMG, sorting cables from various locations.</t>
      </text>
    </comment>
    <comment ref="J291" authorId="7" shapeId="0" xr:uid="{00000000-0006-0000-0900-00001D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 driver, 2 helpers, PBMC delivery of 10 c-bins and pick up of cardboard as well as crushing cardboard.</t>
      </text>
    </comment>
    <comment ref="O291" authorId="8" shapeId="0" xr:uid="{00000000-0006-0000-0900-00001E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Abdul and 2 helpers, last pickup from PBMC, no delivery to ITAMG yet of old LCD monitors</t>
      </text>
    </comment>
    <comment ref="T291" authorId="9" shapeId="0" xr:uid="{00000000-0006-0000-0900-00001F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Abdul and helpers delivering to Brooklyn ambulatory pilot sites all day</t>
      </text>
    </comment>
    <comment ref="Y291" authorId="10" shapeId="0" xr:uid="{00000000-0006-0000-0900-000020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Abdul and helpers went to ITAMG to collect boxes, rest of day was spent lettering truck or running to Lincoln Hospital for NYC Health and Hospital pickup</t>
      </text>
    </comment>
    <comment ref="T292" authorId="11" shapeId="0" xr:uid="{00000000-0006-0000-0900-00002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NY Minute Delivery to NWH, no invoice yet as of 5/2/24
Reply:
    Invoice calculated</t>
      </text>
    </comment>
    <comment ref="P338" authorId="12" shapeId="0" xr:uid="{00000000-0006-0000-0900-00002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Schneider stayed until 7:45 pm to load NY Minute truck</t>
      </text>
    </comment>
    <comment ref="E340" authorId="13" shapeId="0" xr:uid="{00000000-0006-0000-0900-00002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Delivered 2 TIOs to Franklyn Ozario in Brooklyn</t>
      </text>
    </comment>
    <comment ref="E341" authorId="14" shapeId="0" xr:uid="{00000000-0006-0000-0900-000024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Abdul and Aatif 8 hours each, Aamir 2 hours with Northwell</t>
      </text>
    </comment>
    <comment ref="J341" authorId="15" shapeId="0" xr:uid="{00000000-0006-0000-0900-000025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Abdul/Aatif both did 8 hours plus 1 hour OT each, Aamir helped only 4 hours</t>
      </text>
    </comment>
    <comment ref="O341" authorId="16" shapeId="0" xr:uid="{00000000-0006-0000-0900-000026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Abdul/Aatif 8 hours each, Aamir 4 hours after helping DOE deployment</t>
      </text>
    </comment>
    <comment ref="P341" authorId="17" shapeId="0" xr:uid="{00000000-0006-0000-0900-000027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Abdul and Aatif arrived back for NWH and clocked out at 6:48 pm</t>
      </text>
    </comment>
    <comment ref="T341" authorId="18" shapeId="0" xr:uid="{00000000-0006-0000-0900-000028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Abdul, Aatif, and Aamir started at 7:30 am as instructed day prior
Reply:
    They started at 7:20 am and ended the day at 7:15 pm, Abdul and Aatif 16 regular hours, Aamir helped 4 hours again</t>
      </text>
    </comment>
    <comment ref="Y341" authorId="19" shapeId="0" xr:uid="{00000000-0006-0000-0900-000029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Abdul and Aatif for crushing cardboard, sorting cables, delivering to ITAMG</t>
      </text>
    </comment>
    <comment ref="T342" authorId="20" shapeId="0" xr:uid="{00000000-0006-0000-0900-00002A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Staten Island Ambulatory Deliveries</t>
      </text>
    </comment>
    <comment ref="Y342" authorId="21" shapeId="0" xr:uid="{00000000-0006-0000-0900-00002B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NY Minute delivery to Phelps Hospital</t>
      </text>
    </comment>
    <comment ref="T376" authorId="1" shapeId="0" xr:uid="{00000000-0006-0000-0900-00002C000000}">
      <text>
        <r>
          <rPr>
            <b/>
            <sz val="9"/>
            <color indexed="81"/>
            <rFont val="Tahoma"/>
            <family val="2"/>
          </rPr>
          <t xml:space="preserve">Added 4 hrs that was from 05/10 paycom entry update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390" authorId="22" shapeId="0" xr:uid="{00000000-0006-0000-0900-00002D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Abdul and Aatif both 8 hours</t>
      </text>
    </comment>
    <comment ref="I390" authorId="23" shapeId="0" xr:uid="{00000000-0006-0000-0900-00002E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Having Abdul, Aatif come in at 7:30 am
Reply:
    They arrived at 7:39 am</t>
      </text>
    </comment>
    <comment ref="J390" authorId="24" shapeId="0" xr:uid="{00000000-0006-0000-0900-00002F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Abdul/Aatif arrived at 7:39 am, left at 6:50 pm. Total of 10.2 hours</t>
      </text>
    </comment>
    <comment ref="O390" authorId="25" shapeId="0" xr:uid="{00000000-0006-0000-0900-000030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Abdul/Aatif got here 7:35 am</t>
      </text>
    </comment>
    <comment ref="E391" authorId="26" shapeId="0" xr:uid="{00000000-0006-0000-0900-00003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Conservative Truck Cost Estimate for Phelps, first time accounting for Agilant Truck expenses</t>
      </text>
    </comment>
    <comment ref="O391" authorId="27" shapeId="0" xr:uid="{00000000-0006-0000-0900-00003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3.2 for Agilant truck and 18.5 for NY Minute Expenses</t>
      </text>
    </comment>
    <comment ref="T391" authorId="28" shapeId="0" xr:uid="{00000000-0006-0000-0900-00003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3.2 for Agilant Truck and 37.7 for NY Min expenses</t>
      </text>
    </comment>
    <comment ref="Y391" authorId="29" shapeId="0" xr:uid="{00000000-0006-0000-0900-000034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3.2 hours for Agilant truck, 21.9 for NY Minute expenses</t>
      </text>
    </comment>
    <comment ref="T438" authorId="30" shapeId="0" xr:uid="{00000000-0006-0000-0900-000035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Delivered 3 monitors to Queens</t>
      </text>
    </comment>
    <comment ref="E439" authorId="31" shapeId="0" xr:uid="{00000000-0006-0000-0900-000036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Inspection finally completed on truck, loaded afterwards at PW, went to Long Island locations to deliver</t>
      </text>
    </comment>
    <comment ref="J439" authorId="32" shapeId="0" xr:uid="{00000000-0006-0000-0900-000037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6 sites picked up in Staten, caused truck to be extremely late returning</t>
      </text>
    </comment>
    <comment ref="O439" authorId="33" shapeId="0" xr:uid="{00000000-0006-0000-0900-000038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OT, techs came in at 8:20 am, left at 5 pm, Aamir helped for last hour of day</t>
      </text>
    </comment>
    <comment ref="E440" authorId="34" shapeId="0" xr:uid="{00000000-0006-0000-0900-000039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3 NY Min Deliveries to Ambulatory sites</t>
      </text>
    </comment>
    <comment ref="J440" authorId="35" shapeId="0" xr:uid="{00000000-0006-0000-0900-00003A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NY Minute to Manhattan delivery</t>
      </text>
    </comment>
    <comment ref="T440" authorId="36" shapeId="0" xr:uid="{00000000-0006-0000-0900-00003B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2 NY Min Long Island deliveries</t>
      </text>
    </comment>
    <comment ref="Y440" authorId="37" shapeId="0" xr:uid="{00000000-0006-0000-0900-00003C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Agilant Truck</t>
      </text>
    </comment>
    <comment ref="Y455" authorId="1" shapeId="0" xr:uid="{00000000-0006-0000-0900-00003D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added missing hours for 05/21</t>
        </r>
      </text>
    </comment>
    <comment ref="Y456" authorId="1" shapeId="0" xr:uid="{00000000-0006-0000-0900-00003E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Time rendered for last week's online meeting for 05/23</t>
        </r>
      </text>
    </comment>
    <comment ref="Y459" authorId="1" shapeId="0" xr:uid="{00000000-0006-0000-0900-00003F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Added 24 hrs for missed logged hours on 05/21-23</t>
        </r>
      </text>
    </comment>
    <comment ref="Y464" authorId="1" shapeId="0" xr:uid="{00000000-0006-0000-0900-000040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Added 8 hrs from missing hours on 05/23</t>
        </r>
      </text>
    </comment>
    <comment ref="Y466" authorId="1" shapeId="0" xr:uid="{00000000-0006-0000-0900-000041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added 1 hour for 05/23 and 8 hrs for 05/20</t>
        </r>
      </text>
    </comment>
    <comment ref="Y471" authorId="1" shapeId="0" xr:uid="{00000000-0006-0000-0900-000042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added missing hours for 05/21</t>
        </r>
      </text>
    </comment>
    <comment ref="Y475" authorId="1" shapeId="0" xr:uid="{00000000-0006-0000-0900-000043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added missing hours for 05/20, 05/21 and 05/24</t>
        </r>
      </text>
    </comment>
    <comment ref="U488" authorId="38" shapeId="0" xr:uid="{00000000-0006-0000-0900-000044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Aamir helped for 22 minutes after working with DOE</t>
      </text>
    </comment>
    <comment ref="Y488" authorId="39" shapeId="0" xr:uid="{00000000-0006-0000-0900-000045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Both Aamir and Abdul came in 15 minutes late</t>
      </text>
    </comment>
    <comment ref="E533" authorId="40" shapeId="0" xr:uid="{00000000-0006-0000-0900-000046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Abdul/Aatif 16 hours, 7.7 hours Agilant Truck</t>
      </text>
    </comment>
    <comment ref="F533" authorId="41" shapeId="0" xr:uid="{00000000-0006-0000-0900-000047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Abdul/Aatif 2 hrs OT
Reply:
    And Aamir</t>
      </text>
    </comment>
    <comment ref="J533" authorId="42" shapeId="0" xr:uid="{00000000-0006-0000-0900-00004800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Abdul/Aatif 16 hours, Aamir 2 hours, 7.7 Truck hours
</t>
      </text>
    </comment>
    <comment ref="E534" authorId="1" shapeId="0" xr:uid="{00000000-0006-0000-0900-000049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To cover Rolling bin charge</t>
        </r>
      </text>
    </comment>
    <comment ref="J534" authorId="1" shapeId="0" xr:uid="{00000000-0006-0000-0900-00004A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To cover Rolling bin charge</t>
        </r>
      </text>
    </comment>
    <comment ref="O534" authorId="43" shapeId="0" xr:uid="{00000000-0006-0000-0900-00004B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NY Minute 6/5</t>
      </text>
    </comment>
    <comment ref="T534" authorId="44" shapeId="0" xr:uid="{00000000-0006-0000-0900-00004C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NY Min 6/6</t>
      </text>
    </comment>
    <comment ref="Y534" authorId="45" shapeId="0" xr:uid="{00000000-0006-0000-0900-00004D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NY Min 6/7</t>
      </text>
    </comment>
    <comment ref="B570" authorId="46" shapeId="0" xr:uid="{00000000-0006-0000-0900-00004E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Accounted for from 6/10-6/14 under Delivery Tech hours</t>
      </text>
    </comment>
    <comment ref="E581" authorId="47" shapeId="0" xr:uid="{00000000-0006-0000-0900-00004F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Abdul/Aatif 16 hrs + 7.7 hours truck expense</t>
      </text>
    </comment>
    <comment ref="F581" authorId="48" shapeId="0" xr:uid="{00000000-0006-0000-0900-000050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Aatif/Abdul 2 hrs OT</t>
      </text>
    </comment>
    <comment ref="E582" authorId="49" shapeId="0" xr:uid="{00000000-0006-0000-0900-00005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Marvin deliveries 4/25 SIUH and 4/26 PBMC 
Reply:
    Marvin is 25 hours plus 12.3 hours NY Minute LHH delivery</t>
      </text>
    </comment>
    <comment ref="J582" authorId="50" shapeId="0" xr:uid="{00000000-0006-0000-0900-00005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NY Minute SIUHS and SIUHN Deliveries</t>
      </text>
    </comment>
    <comment ref="Y582" authorId="51" shapeId="0" xr:uid="{00000000-0006-0000-0900-00005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NY Minute late cancellation</t>
      </text>
    </comment>
    <comment ref="Y596" authorId="1" shapeId="0" xr:uid="{00000000-0006-0000-0900-000054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LHH Punchlist</t>
        </r>
      </text>
    </comment>
    <comment ref="Y599" authorId="1" shapeId="0" xr:uid="{00000000-0006-0000-0900-000055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LHH Punchlist</t>
        </r>
      </text>
    </comment>
    <comment ref="Y604" authorId="1" shapeId="0" xr:uid="{00000000-0006-0000-0900-000056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LHH Punchlist</t>
        </r>
      </text>
    </comment>
    <comment ref="Y606" authorId="1" shapeId="0" xr:uid="{00000000-0006-0000-0900-000057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LHH Punchlist</t>
        </r>
      </text>
    </comment>
    <comment ref="Y617" authorId="1" shapeId="0" xr:uid="{00000000-0006-0000-0900-000058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LHH Punchlist</t>
        </r>
      </text>
    </comment>
    <comment ref="T618" authorId="52" shapeId="0" xr:uid="{00000000-0006-0000-0900-000059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Late arrival at 8:22 am</t>
      </text>
    </comment>
    <comment ref="E621" authorId="53" shapeId="0" xr:uid="{00000000-0006-0000-0900-00005A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Drove 4 hours for Staten Island Ambulatory Pickups 1460/2285 Victory Blvd</t>
      </text>
    </comment>
    <comment ref="J621" authorId="54" shapeId="0" xr:uid="{00000000-0006-0000-0900-00005B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Drove to 18 Ashford Ave, Dobbs Ferry for pickup</t>
      </text>
    </comment>
    <comment ref="E629" authorId="55" shapeId="0" xr:uid="{00000000-0006-0000-0900-00005C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Agilant Truck</t>
      </text>
    </comment>
    <comment ref="J629" authorId="56" shapeId="0" xr:uid="{00000000-0006-0000-0900-00005D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Agilant Truck</t>
      </text>
    </comment>
    <comment ref="O629" authorId="57" shapeId="0" xr:uid="{00000000-0006-0000-0900-00005E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Truck wasn't used 6/19/24</t>
      </text>
    </comment>
    <comment ref="T629" authorId="58" shapeId="0" xr:uid="{00000000-0006-0000-0900-00005F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Agilant Truck</t>
      </text>
    </comment>
    <comment ref="Y629" authorId="59" shapeId="0" xr:uid="{00000000-0006-0000-0900-000060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Agilant Truck</t>
      </text>
    </comment>
    <comment ref="E630" authorId="60" shapeId="0" xr:uid="{00000000-0006-0000-0900-00006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NY Minute Phelps</t>
      </text>
    </comment>
    <comment ref="D650" authorId="1" shapeId="0" xr:uid="{00000000-0006-0000-0900-000062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Team LHH</t>
        </r>
      </text>
    </comment>
    <comment ref="X650" authorId="1" shapeId="0" xr:uid="{00000000-0006-0000-0900-000063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Commerce St 4 sites</t>
        </r>
      </text>
    </comment>
    <comment ref="D651" authorId="1" shapeId="0" xr:uid="{00000000-0006-0000-0900-000064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Team LHH</t>
        </r>
      </text>
    </comment>
    <comment ref="S651" authorId="1" shapeId="0" xr:uid="{00000000-0006-0000-0900-000065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LHH</t>
        </r>
      </text>
    </comment>
    <comment ref="X651" authorId="1" shapeId="0" xr:uid="{00000000-0006-0000-0900-000066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LHH</t>
        </r>
      </text>
    </comment>
    <comment ref="D652" authorId="1" shapeId="0" xr:uid="{00000000-0006-0000-0900-000067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Team LHH</t>
        </r>
      </text>
    </comment>
    <comment ref="I652" authorId="1" shapeId="0" xr:uid="{00000000-0006-0000-0900-000068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worked at 1034 N will go to LHH after </t>
        </r>
      </text>
    </comment>
    <comment ref="X652" authorId="1" shapeId="0" xr:uid="{00000000-0006-0000-0900-000069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203 suite 100</t>
        </r>
      </text>
    </comment>
    <comment ref="S654" authorId="1" shapeId="0" xr:uid="{00000000-0006-0000-0900-00006A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LHH</t>
        </r>
      </text>
    </comment>
    <comment ref="X654" authorId="1" shapeId="0" xr:uid="{00000000-0006-0000-0900-00006B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25 Smith St</t>
        </r>
      </text>
    </comment>
    <comment ref="D655" authorId="1" shapeId="0" xr:uid="{00000000-0006-0000-0900-00006C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Team LHH</t>
        </r>
      </text>
    </comment>
    <comment ref="I655" authorId="1" shapeId="0" xr:uid="{00000000-0006-0000-0900-00006D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LHH</t>
        </r>
      </text>
    </comment>
    <comment ref="N655" authorId="1" shapeId="0" xr:uid="{00000000-0006-0000-0900-00006E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LHH</t>
        </r>
      </text>
    </comment>
    <comment ref="S655" authorId="1" shapeId="0" xr:uid="{00000000-0006-0000-0900-00006F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LHH</t>
        </r>
      </text>
    </comment>
    <comment ref="X655" authorId="1" shapeId="0" xr:uid="{00000000-0006-0000-0900-000070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LHH</t>
        </r>
      </text>
    </comment>
    <comment ref="D656" authorId="1" shapeId="0" xr:uid="{00000000-0006-0000-0900-000071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team dismissed at 11:15 due to no deliveries at 256 Mason
</t>
        </r>
      </text>
    </comment>
    <comment ref="I656" authorId="1" shapeId="0" xr:uid="{00000000-0006-0000-0900-000072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256 Mason</t>
        </r>
      </text>
    </comment>
    <comment ref="N656" authorId="1" shapeId="0" xr:uid="{00000000-0006-0000-0900-000073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256 Mason</t>
        </r>
      </text>
    </comment>
    <comment ref="D659" authorId="1" shapeId="0" xr:uid="{00000000-0006-0000-0900-000074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team dismissed at 11:15 due to no deliveries at 256 Mason
</t>
        </r>
      </text>
    </comment>
    <comment ref="I659" authorId="1" shapeId="0" xr:uid="{00000000-0006-0000-0900-000075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256 Mason</t>
        </r>
      </text>
    </comment>
    <comment ref="N659" authorId="1" shapeId="0" xr:uid="{00000000-0006-0000-0900-000076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256 Mason</t>
        </r>
      </text>
    </comment>
    <comment ref="D660" authorId="1" shapeId="0" xr:uid="{00000000-0006-0000-0900-000077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team dismissed at 11:15 due to no deliveries at 256 Mason
</t>
        </r>
      </text>
    </comment>
    <comment ref="I660" authorId="1" shapeId="0" xr:uid="{00000000-0006-0000-0900-000078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256 Mason</t>
        </r>
      </text>
    </comment>
    <comment ref="N660" authorId="1" shapeId="0" xr:uid="{00000000-0006-0000-0900-000079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256 Mason</t>
        </r>
      </text>
    </comment>
    <comment ref="D661" authorId="1" shapeId="0" xr:uid="{00000000-0006-0000-0900-00007A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Team LHH</t>
        </r>
      </text>
    </comment>
    <comment ref="I661" authorId="1" shapeId="0" xr:uid="{00000000-0006-0000-0900-00007B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LHH</t>
        </r>
      </text>
    </comment>
    <comment ref="N661" authorId="1" shapeId="0" xr:uid="{00000000-0006-0000-0900-00007C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LHH</t>
        </r>
      </text>
    </comment>
    <comment ref="X661" authorId="1" shapeId="0" xr:uid="{00000000-0006-0000-0900-00007D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440 S Riverside</t>
        </r>
      </text>
    </comment>
    <comment ref="D662" authorId="1" shapeId="0" xr:uid="{00000000-0006-0000-0900-00007E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team dismissed at 11:15 due to no deliveries at 256 Mason
</t>
        </r>
      </text>
    </comment>
    <comment ref="I662" authorId="1" shapeId="0" xr:uid="{00000000-0006-0000-0900-00007F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256 Mason</t>
        </r>
      </text>
    </comment>
    <comment ref="N662" authorId="1" shapeId="0" xr:uid="{00000000-0006-0000-0900-000080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256 Mason</t>
        </r>
      </text>
    </comment>
    <comment ref="D663" authorId="1" shapeId="0" xr:uid="{00000000-0006-0000-0900-000081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team dismissed at 11:15 due to no deliveries at 256 Mason
</t>
        </r>
      </text>
    </comment>
    <comment ref="I663" authorId="1" shapeId="0" xr:uid="{00000000-0006-0000-0900-000082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256 Mason</t>
        </r>
      </text>
    </comment>
    <comment ref="N663" authorId="1" shapeId="0" xr:uid="{00000000-0006-0000-0900-000083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256 Mason</t>
        </r>
      </text>
    </comment>
    <comment ref="X664" authorId="1" shapeId="0" xr:uid="{00000000-0006-0000-0900-000084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LHH</t>
        </r>
      </text>
    </comment>
    <comment ref="Y665" authorId="61" shapeId="0" xr:uid="{00000000-0006-0000-0900-000085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Called in by Clarissa for partial day</t>
      </text>
    </comment>
    <comment ref="E676" authorId="62" shapeId="0" xr:uid="{00000000-0006-0000-0900-000086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ITAMG dropoff and LHH pick up from K. Sanchez</t>
      </text>
    </comment>
    <comment ref="J677" authorId="63" shapeId="0" xr:uid="{00000000-0006-0000-0900-000087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NY Minute Deliveries to Staten Island</t>
      </text>
    </comment>
    <comment ref="N691" authorId="1" shapeId="0" xr:uid="{00000000-0006-0000-0900-000088000000}">
      <text>
        <r>
          <rPr>
            <b/>
            <sz val="9"/>
            <color indexed="81"/>
            <rFont val="Tahoma"/>
            <family val="2"/>
          </rPr>
          <t>2HQdel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691" authorId="1" shapeId="0" xr:uid="{00000000-0006-0000-0900-000089000000}">
      <text>
        <r>
          <rPr>
            <b/>
            <sz val="9"/>
            <color indexed="81"/>
            <rFont val="Tahoma"/>
            <family val="2"/>
          </rPr>
          <t>MAHN pickup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695" authorId="1" shapeId="0" xr:uid="{00000000-0006-0000-0900-00008A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NWH</t>
        </r>
      </text>
    </comment>
    <comment ref="N695" authorId="1" shapeId="0" xr:uid="{00000000-0006-0000-0900-00008B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NWH</t>
        </r>
      </text>
    </comment>
    <comment ref="X695" authorId="1" shapeId="0" xr:uid="{00000000-0006-0000-0900-00008C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NWH</t>
        </r>
      </text>
    </comment>
    <comment ref="N697" authorId="1" shapeId="0" xr:uid="{00000000-0006-0000-0900-00008D000000}">
      <text>
        <r>
          <rPr>
            <b/>
            <sz val="9"/>
            <color indexed="81"/>
            <rFont val="Tahoma"/>
            <family val="2"/>
          </rPr>
          <t>2HQdel NWH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697" authorId="1" shapeId="0" xr:uid="{00000000-0006-0000-0900-00008E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NWH/400 Eamb</t>
        </r>
      </text>
    </comment>
    <comment ref="D698" authorId="1" shapeId="0" xr:uid="{00000000-0006-0000-0900-00008F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LHH with Ayo
</t>
        </r>
      </text>
    </comment>
    <comment ref="I698" authorId="1" shapeId="0" xr:uid="{00000000-0006-0000-0900-000090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NWH</t>
        </r>
      </text>
    </comment>
    <comment ref="N698" authorId="1" shapeId="0" xr:uid="{00000000-0006-0000-0900-000091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NWH</t>
        </r>
      </text>
    </comment>
    <comment ref="X698" authorId="1" shapeId="0" xr:uid="{00000000-0006-0000-0900-000092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NWH</t>
        </r>
      </text>
    </comment>
    <comment ref="H699" authorId="1" shapeId="0" xr:uid="{00000000-0006-0000-0900-000093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Punched in at 9 on paylocity until 1p</t>
        </r>
      </text>
    </comment>
    <comment ref="I699" authorId="1" shapeId="0" xr:uid="{00000000-0006-0000-0900-000094000000}">
      <text>
        <r>
          <rPr>
            <b/>
            <sz val="9"/>
            <color indexed="81"/>
            <rFont val="Tahoma"/>
            <family val="2"/>
          </rPr>
          <t>480 Bedford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699" authorId="1" shapeId="0" xr:uid="{00000000-0006-0000-0900-000095000000}">
      <text>
        <r>
          <rPr>
            <b/>
            <sz val="9"/>
            <color indexed="81"/>
            <rFont val="Tahoma"/>
            <family val="2"/>
          </rPr>
          <t>2HQdel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702" authorId="1" shapeId="0" xr:uid="{00000000-0006-0000-0900-000096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LHH with Ayo
</t>
        </r>
      </text>
    </comment>
    <comment ref="H702" authorId="1" shapeId="0" xr:uid="{00000000-0006-0000-0900-000097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clock in at 10am on GC</t>
        </r>
      </text>
    </comment>
    <comment ref="I702" authorId="1" shapeId="0" xr:uid="{00000000-0006-0000-0900-000098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NWH</t>
        </r>
      </text>
    </comment>
    <comment ref="N702" authorId="1" shapeId="0" xr:uid="{00000000-0006-0000-0900-000099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NWH</t>
        </r>
      </text>
    </comment>
    <comment ref="W702" authorId="1" shapeId="0" xr:uid="{00000000-0006-0000-0900-00009A000000}">
      <text>
        <r>
          <rPr>
            <b/>
            <sz val="9"/>
            <color indexed="81"/>
            <rFont val="Tahoma"/>
            <family val="2"/>
          </rPr>
          <t>PI at 9:27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702" authorId="1" shapeId="0" xr:uid="{00000000-0006-0000-0900-00009B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NWH</t>
        </r>
      </text>
    </comment>
    <comment ref="I703" authorId="1" shapeId="0" xr:uid="{00000000-0006-0000-0900-00009C000000}">
      <text>
        <r>
          <rPr>
            <b/>
            <sz val="9"/>
            <color indexed="81"/>
            <rFont val="Tahoma"/>
            <family val="2"/>
          </rPr>
          <t>256 Early access 7am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703" authorId="1" shapeId="0" xr:uid="{00000000-0006-0000-0900-00009D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NWH</t>
        </r>
      </text>
    </comment>
    <comment ref="I705" authorId="1" shapeId="0" xr:uid="{00000000-0006-0000-0900-00009E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NWH</t>
        </r>
      </text>
    </comment>
    <comment ref="N705" authorId="1" shapeId="0" xr:uid="{00000000-0006-0000-0900-00009F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NWH</t>
        </r>
      </text>
    </comment>
    <comment ref="X705" authorId="1" shapeId="0" xr:uid="{00000000-0006-0000-0900-0000A0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NWH</t>
        </r>
      </text>
    </comment>
    <comment ref="D706" authorId="1" shapeId="0" xr:uid="{00000000-0006-0000-0900-0000A1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360 Seaview SI</t>
        </r>
      </text>
    </comment>
    <comment ref="I706" authorId="1" shapeId="0" xr:uid="{00000000-0006-0000-0900-0000A2000000}">
      <text>
        <r>
          <rPr>
            <b/>
            <sz val="9"/>
            <color indexed="81"/>
            <rFont val="Tahoma"/>
            <family val="2"/>
          </rPr>
          <t>256 Early access 7am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706" authorId="1" shapeId="0" xr:uid="{00000000-0006-0000-0900-0000A3000000}">
      <text>
        <r>
          <rPr>
            <b/>
            <sz val="9"/>
            <color indexed="81"/>
            <rFont val="Tahoma"/>
            <family val="2"/>
          </rPr>
          <t>999 Jamaica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706" authorId="1" shapeId="0" xr:uid="{00000000-0006-0000-0900-0000A4000000}">
      <text>
        <r>
          <rPr>
            <b/>
            <sz val="9"/>
            <color indexed="81"/>
            <rFont val="Tahoma"/>
            <family val="2"/>
          </rPr>
          <t>MAHN pickup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707" authorId="1" shapeId="0" xr:uid="{00000000-0006-0000-0900-0000A5000000}">
      <text>
        <r>
          <rPr>
            <b/>
            <sz val="9"/>
            <color indexed="81"/>
            <rFont val="Tahoma"/>
            <family val="2"/>
          </rPr>
          <t>256 Early access 7am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707" authorId="1" shapeId="0" xr:uid="{00000000-0006-0000-0900-0000A6000000}">
      <text>
        <r>
          <rPr>
            <b/>
            <sz val="9"/>
            <color indexed="81"/>
            <rFont val="Tahoma"/>
            <family val="2"/>
          </rPr>
          <t xml:space="preserve">212 Garretson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707" authorId="1" shapeId="0" xr:uid="{00000000-0006-0000-0900-0000A7000000}">
      <text>
        <r>
          <rPr>
            <b/>
            <sz val="9"/>
            <color indexed="81"/>
            <rFont val="Tahoma"/>
            <family val="2"/>
          </rPr>
          <t>MAHN pickup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708" authorId="1" shapeId="0" xr:uid="{00000000-0006-0000-0900-0000A8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NWH</t>
        </r>
      </text>
    </comment>
    <comment ref="N708" authorId="1" shapeId="0" xr:uid="{00000000-0006-0000-0900-0000A9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NWH</t>
        </r>
      </text>
    </comment>
    <comment ref="X708" authorId="1" shapeId="0" xr:uid="{00000000-0006-0000-0900-0000AA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NWH</t>
        </r>
      </text>
    </comment>
    <comment ref="I710" authorId="1" shapeId="0" xr:uid="{00000000-0006-0000-0900-0000AB000000}">
      <text>
        <r>
          <rPr>
            <b/>
            <sz val="9"/>
            <color indexed="81"/>
            <rFont val="Tahoma"/>
            <family val="2"/>
          </rPr>
          <t>256 Early access 7am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710" authorId="1" shapeId="0" xr:uid="{00000000-0006-0000-0900-0000AC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NWH</t>
        </r>
      </text>
    </comment>
    <comment ref="I711" authorId="1" shapeId="0" xr:uid="{00000000-0006-0000-0900-0000AD000000}">
      <text>
        <r>
          <rPr>
            <b/>
            <sz val="9"/>
            <color indexed="81"/>
            <rFont val="Tahoma"/>
            <family val="2"/>
          </rPr>
          <t>256 Early access 7am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711" authorId="1" shapeId="0" xr:uid="{00000000-0006-0000-0900-0000AE000000}">
      <text>
        <r>
          <rPr>
            <b/>
            <sz val="9"/>
            <color indexed="81"/>
            <rFont val="Tahoma"/>
            <family val="2"/>
          </rPr>
          <t>MAHN pickup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712" authorId="64" shapeId="0" xr:uid="{00000000-0006-0000-0900-0000AF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Wasn't able to come in but was scheduled</t>
      </text>
    </comment>
    <comment ref="Y712" authorId="65" shapeId="0" xr:uid="{00000000-0006-0000-0900-0000B0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AAA came in at 7 am</t>
      </text>
    </comment>
    <comment ref="J715" authorId="66" shapeId="0" xr:uid="{00000000-0006-0000-0900-0000B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Van for Northern Ambulatory Pickups, van broke down</t>
      </text>
    </comment>
    <comment ref="E717" authorId="1" shapeId="0" xr:uid="{00000000-0006-0000-0900-0000B2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LHH</t>
        </r>
      </text>
    </comment>
    <comment ref="J717" authorId="1" shapeId="0" xr:uid="{00000000-0006-0000-0900-0000B3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LHH</t>
        </r>
      </text>
    </comment>
    <comment ref="O717" authorId="1" shapeId="0" xr:uid="{00000000-0006-0000-0900-0000B4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LHH</t>
        </r>
      </text>
    </comment>
    <comment ref="Y717" authorId="1" shapeId="0" xr:uid="{00000000-0006-0000-0900-0000B5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LHH</t>
        </r>
      </text>
    </comment>
    <comment ref="O724" authorId="67" shapeId="0" xr:uid="{00000000-0006-0000-0900-0000B6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Northern Ambulatory Pickups</t>
      </text>
    </comment>
    <comment ref="Y724" authorId="68" shapeId="0" xr:uid="{00000000-0006-0000-0900-0000B7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LHH Delivery to techs and Asotria Ambulatory delivery</t>
      </text>
    </comment>
    <comment ref="H751" authorId="69" shapeId="0" xr:uid="{00000000-0006-0000-0900-0000B8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Carl worked on Montior project 8 hours. Notified Kaye to review and add</t>
      </text>
    </comment>
    <comment ref="E787" authorId="1" shapeId="0" xr:uid="{00000000-0006-0000-0900-0000B900000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Missed punch for 2HQ previous week</t>
        </r>
      </text>
    </comment>
    <comment ref="T787" authorId="1" shapeId="0" xr:uid="{00000000-0006-0000-0900-0000BA000000}">
      <text>
        <r>
          <rPr>
            <b/>
            <sz val="9"/>
            <color indexed="81"/>
            <rFont val="Tahoma"/>
            <family val="2"/>
          </rPr>
          <t>1:39 to 7:15pm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792" authorId="1" shapeId="0" xr:uid="{00000000-0006-0000-0900-0000BB000000}">
      <text>
        <r>
          <rPr>
            <b/>
            <sz val="9"/>
            <color indexed="81"/>
            <rFont val="Tahoma"/>
            <family val="2"/>
          </rPr>
          <t>Pulled out to join the Crowdstrike at MEETH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794" authorId="1" shapeId="0" xr:uid="{00000000-0006-0000-0900-0000BC000000}">
      <text>
        <r>
          <rPr>
            <sz val="9"/>
            <color indexed="81"/>
            <rFont val="Tahoma"/>
            <family val="2"/>
          </rPr>
          <t xml:space="preserve">left the site at 1pm did not wait for delivery to arrive. On Paylocity he marked 6pm
</t>
        </r>
      </text>
    </comment>
    <comment ref="X795" authorId="1" shapeId="0" xr:uid="{00000000-0006-0000-0900-0000BD000000}">
      <text>
        <r>
          <rPr>
            <b/>
            <sz val="9"/>
            <color indexed="81"/>
            <rFont val="Tahoma"/>
            <family val="2"/>
          </rPr>
          <t>Pulled out to join the Crowdstrike at MEETH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796" authorId="1" shapeId="0" xr:uid="{00000000-0006-0000-0900-0000BE000000}">
      <text>
        <r>
          <rPr>
            <b/>
            <sz val="9"/>
            <color indexed="81"/>
            <rFont val="Tahoma"/>
            <family val="2"/>
          </rPr>
          <t>Pulled out to join the Crowdstrike at MEETH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816" authorId="70" shapeId="0" xr:uid="{00000000-0006-0000-0900-0000BF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Josh Johnson van driver for Brooklyn Amb. pickup
Reply:
    Also NY Min</t>
      </text>
    </comment>
    <comment ref="J817" authorId="71" shapeId="0" xr:uid="{00000000-0006-0000-0900-0000C0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Tate Support Group Invoice 2024-031 and 2024-032
Reply:
    NY Minute as well</t>
      </text>
    </comment>
    <comment ref="O817" authorId="72" shapeId="0" xr:uid="{00000000-0006-0000-0900-0000C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Truck and Van</t>
      </text>
    </comment>
    <comment ref="T817" authorId="73" shapeId="0" xr:uid="{00000000-0006-0000-0900-0000C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NY Min</t>
      </text>
    </comment>
    <comment ref="Y817" authorId="74" shapeId="0" xr:uid="{00000000-0006-0000-0900-0000C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NY Min</t>
      </text>
    </comment>
    <comment ref="N830" authorId="1" shapeId="0" xr:uid="{00000000-0006-0000-0900-0000C4000000}">
      <text>
        <r>
          <rPr>
            <b/>
            <sz val="9"/>
            <color indexed="81"/>
            <rFont val="Tahoma"/>
            <family val="2"/>
          </rPr>
          <t>As per Kevin, site team clock out at 2p</t>
        </r>
      </text>
    </comment>
    <comment ref="N833" authorId="1" shapeId="0" xr:uid="{00000000-0006-0000-0900-0000C5000000}">
      <text>
        <r>
          <rPr>
            <b/>
            <sz val="9"/>
            <color indexed="81"/>
            <rFont val="Tahoma"/>
            <family val="2"/>
          </rPr>
          <t>As per Kevin, site team clock out at 2p</t>
        </r>
      </text>
    </comment>
    <comment ref="E840" authorId="1" shapeId="0" xr:uid="{00000000-0006-0000-0900-0000C6000000}">
      <text>
        <r>
          <rPr>
            <b/>
            <sz val="9"/>
            <color indexed="81"/>
            <rFont val="Tahoma"/>
            <family val="2"/>
          </rPr>
          <t>SIUH-N</t>
        </r>
      </text>
    </comment>
    <comment ref="M840" authorId="1" shapeId="0" xr:uid="{00000000-0006-0000-0900-0000C7000000}">
      <text>
        <r>
          <rPr>
            <b/>
            <sz val="9"/>
            <color indexed="81"/>
            <rFont val="Tahoma"/>
            <family val="2"/>
          </rPr>
          <t>SIUH-N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840" authorId="1" shapeId="0" xr:uid="{00000000-0006-0000-0900-0000C8000000}">
      <text>
        <r>
          <rPr>
            <b/>
            <sz val="9"/>
            <color indexed="81"/>
            <rFont val="Tahoma"/>
            <family val="2"/>
          </rPr>
          <t>As per Kevin, site team clock out at 2p</t>
        </r>
      </text>
    </comment>
    <comment ref="E841" authorId="1" shapeId="0" xr:uid="{00000000-0006-0000-0900-0000C9000000}">
      <text>
        <r>
          <rPr>
            <b/>
            <sz val="9"/>
            <color indexed="81"/>
            <rFont val="Tahoma"/>
            <family val="2"/>
          </rPr>
          <t>has time entries on Paylo - not part of deployment nor punclist today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841" authorId="1" shapeId="0" xr:uid="{00000000-0006-0000-0900-0000CA000000}">
      <text>
        <r>
          <rPr>
            <b/>
            <sz val="9"/>
            <color indexed="81"/>
            <rFont val="Tahoma"/>
            <family val="2"/>
          </rPr>
          <t>As per Kevin, site team clock out at 2p</t>
        </r>
      </text>
    </comment>
    <comment ref="E842" authorId="1" shapeId="0" xr:uid="{00000000-0006-0000-0900-0000CB000000}">
      <text>
        <r>
          <rPr>
            <b/>
            <sz val="9"/>
            <color indexed="81"/>
            <rFont val="Tahoma"/>
            <family val="2"/>
          </rPr>
          <t>what site?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843" authorId="1" shapeId="0" xr:uid="{00000000-0006-0000-0900-0000CC000000}">
      <text>
        <r>
          <rPr>
            <b/>
            <sz val="9"/>
            <color indexed="81"/>
            <rFont val="Tahoma"/>
            <family val="2"/>
          </rPr>
          <t>SIUH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845" authorId="1" shapeId="0" xr:uid="{00000000-0006-0000-0900-0000CD000000}">
      <text>
        <r>
          <rPr>
            <b/>
            <sz val="9"/>
            <color indexed="81"/>
            <rFont val="Tahoma"/>
            <family val="2"/>
          </rPr>
          <t>SIUH-N</t>
        </r>
      </text>
    </comment>
    <comment ref="J845" authorId="1" shapeId="0" xr:uid="{00000000-0006-0000-0900-0000CE000000}">
      <text>
        <r>
          <rPr>
            <b/>
            <sz val="9"/>
            <color indexed="81"/>
            <rFont val="Tahoma"/>
            <family val="2"/>
          </rPr>
          <t>SIUH-N</t>
        </r>
      </text>
    </comment>
    <comment ref="N845" authorId="1" shapeId="0" xr:uid="{00000000-0006-0000-0900-0000CF000000}">
      <text>
        <r>
          <rPr>
            <b/>
            <sz val="9"/>
            <color indexed="81"/>
            <rFont val="Tahoma"/>
            <family val="2"/>
          </rPr>
          <t>As per Kevin, site team clock out at 2p</t>
        </r>
      </text>
    </comment>
    <comment ref="N846" authorId="1" shapeId="0" xr:uid="{00000000-0006-0000-0900-0000D0000000}">
      <text>
        <r>
          <rPr>
            <b/>
            <sz val="9"/>
            <color indexed="81"/>
            <rFont val="Tahoma"/>
            <family val="2"/>
          </rPr>
          <t>As per Kevin, site team clock out at 2p</t>
        </r>
      </text>
    </comment>
    <comment ref="N847" authorId="1" shapeId="0" xr:uid="{00000000-0006-0000-0900-0000D1000000}">
      <text>
        <r>
          <rPr>
            <b/>
            <sz val="9"/>
            <color indexed="81"/>
            <rFont val="Tahoma"/>
            <family val="2"/>
          </rPr>
          <t>As per Kevin, site team clock out at 2p</t>
        </r>
      </text>
    </comment>
    <comment ref="N848" authorId="1" shapeId="0" xr:uid="{00000000-0006-0000-0900-0000D2000000}">
      <text>
        <r>
          <rPr>
            <b/>
            <sz val="9"/>
            <color indexed="81"/>
            <rFont val="Tahoma"/>
            <family val="2"/>
          </rPr>
          <t>As per Kevin, site team clock out at 2p</t>
        </r>
      </text>
    </comment>
    <comment ref="N849" authorId="1" shapeId="0" xr:uid="{00000000-0006-0000-0900-0000D3000000}">
      <text>
        <r>
          <rPr>
            <b/>
            <sz val="9"/>
            <color indexed="81"/>
            <rFont val="Tahoma"/>
            <family val="2"/>
          </rPr>
          <t>As per Kevin, site team clock out at 2p</t>
        </r>
      </text>
    </comment>
    <comment ref="N851" authorId="1" shapeId="0" xr:uid="{00000000-0006-0000-0900-0000D4000000}">
      <text>
        <r>
          <rPr>
            <b/>
            <sz val="9"/>
            <color indexed="81"/>
            <rFont val="Tahoma"/>
            <family val="2"/>
          </rPr>
          <t>As per Kevin, site team clock out at 2p</t>
        </r>
      </text>
    </comment>
    <comment ref="O864" authorId="75" shapeId="0" xr:uid="{00000000-0006-0000-0900-0000D500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NY Minute Manh and SI </t>
      </text>
    </comment>
    <comment ref="T864" authorId="76" shapeId="0" xr:uid="{00000000-0006-0000-0900-0000D6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NY Minute</t>
      </text>
    </comment>
    <comment ref="T947" authorId="77" shapeId="0" xr:uid="{00000000-0006-0000-0900-0000D7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Truck taken in for oil change</t>
      </text>
    </comment>
    <comment ref="Y947" authorId="78" shapeId="0" xr:uid="{00000000-0006-0000-0900-0000D8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OT this week due to oil change</t>
      </text>
    </comment>
    <comment ref="B953" authorId="79" shapeId="0" xr:uid="{00000000-0006-0000-0900-0000D9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Agilant van driver</t>
      </text>
    </comment>
    <comment ref="T957" authorId="80" shapeId="0" xr:uid="{00000000-0006-0000-0900-0000DA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Van</t>
      </text>
    </comment>
    <comment ref="Y957" authorId="81" shapeId="0" xr:uid="{00000000-0006-0000-0900-0000DB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Van and Truck</t>
      </text>
    </comment>
    <comment ref="T958" authorId="82" shapeId="0" xr:uid="{00000000-0006-0000-0900-0000DC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NY Minute to East LI</t>
      </text>
    </comment>
    <comment ref="B1000" authorId="83" shapeId="0" xr:uid="{00000000-0006-0000-0900-0000DD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Agilant van driver</t>
      </text>
    </comment>
    <comment ref="B1049" authorId="84" shapeId="0" xr:uid="{00000000-0006-0000-0900-0000DE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Agilant van driver</t>
      </text>
    </comment>
    <comment ref="T1054" authorId="85" shapeId="0" xr:uid="{00000000-0006-0000-0900-0000DF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242 Mason Ave and 500 Seaview Ave Deliveries by NY Minute</t>
      </text>
    </comment>
    <comment ref="B1102" authorId="86" shapeId="0" xr:uid="{00000000-0006-0000-0900-0000E0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Agilant van driver</t>
      </text>
    </comment>
    <comment ref="B1150" authorId="87" shapeId="0" xr:uid="{00000000-0006-0000-0900-0000E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Agilant van driver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tc={94D507B3-53A8-4DF5-AE78-14EE015959E7}</author>
    <author>tc={B547FB63-FCF8-4261-BD5C-0959D9AD84CB}</author>
    <author>tc={39531545-A1DD-4FC6-AB4E-0434C57BCE52}</author>
    <author>tc={2DC08629-76C7-4805-A43A-C071427FE70A}</author>
    <author>tc={FEA3179B-663B-4DB5-8F30-C0EE1FD10C91}</author>
    <author>tc={A24BDA10-4E23-4F49-89E4-4F39CDDFF0B9}</author>
    <author>tc={E858AB1F-6B27-4C8E-8A67-1FB61ED94B3C}</author>
    <author>tc={691F7CF2-BAF1-476C-AD7D-28AF0550E3D2}</author>
    <author>tc={9D1BC0B5-2243-4FED-AE25-DCDD61BFE482}</author>
    <author>tc={20196C86-180E-4673-AF99-60B9D1AD74D2}</author>
    <author>tc={296AA997-33EC-419D-9DEF-4A18B09B1C86}</author>
    <author>tc={87D8C892-BE19-4EC7-B5D6-C2ADE2195D17}</author>
    <author>tc={13230CDB-22DC-409B-B0F1-A4221FD9C38B}</author>
    <author>tc={4F2B20AA-4F33-4C4A-ADA0-B5C353F68199}</author>
    <author>tc={969901E1-261D-4EA4-9C3D-A9A84C026B38}</author>
    <author>tc={FC71A5DA-2333-42F3-8D1D-704A4750AC46}</author>
    <author>tc={233B76E4-9FB1-400F-99E7-725130F2A953}</author>
    <author>Neha Khurana</author>
  </authors>
  <commentList>
    <comment ref="S12" authorId="0" shapeId="0" xr:uid="{00000000-0006-0000-0B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AT PW</t>
      </text>
    </comment>
    <comment ref="X12" authorId="1" shapeId="0" xr:uid="{00000000-0006-0000-0B00-00000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Back to Epic Monitor Project</t>
      </text>
    </comment>
    <comment ref="S14" authorId="2" shapeId="0" xr:uid="{00000000-0006-0000-0B00-00000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ASSIGNED TO LEVAR</t>
      </text>
    </comment>
    <comment ref="X21" authorId="3" shapeId="0" xr:uid="{00000000-0006-0000-0B00-000004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OOO this week</t>
      </text>
    </comment>
    <comment ref="N23" authorId="4" shapeId="0" xr:uid="{00000000-0006-0000-0B00-000005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Monitor</t>
      </text>
    </comment>
    <comment ref="S30" authorId="5" shapeId="0" xr:uid="{00000000-0006-0000-0B00-000006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 hour on monitor sheet for weekly Meeting</t>
      </text>
    </comment>
    <comment ref="I31" authorId="6" shapeId="0" xr:uid="{00000000-0006-0000-0B00-000007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PTO</t>
      </text>
    </comment>
    <comment ref="D32" authorId="7" shapeId="0" xr:uid="{00000000-0006-0000-0B00-000008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at PW</t>
      </text>
    </comment>
    <comment ref="I32" authorId="8" shapeId="0" xr:uid="{00000000-0006-0000-0B00-000009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Monitor</t>
      </text>
    </comment>
    <comment ref="N32" authorId="9" shapeId="0" xr:uid="{00000000-0006-0000-0B00-00000A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Monitor</t>
      </text>
    </comment>
    <comment ref="S32" authorId="10" shapeId="0" xr:uid="{00000000-0006-0000-0B00-00000B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Monitor</t>
      </text>
    </comment>
    <comment ref="X32" authorId="11" shapeId="0" xr:uid="{00000000-0006-0000-0B00-00000C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Monitor</t>
      </text>
    </comment>
    <comment ref="D35" authorId="12" shapeId="0" xr:uid="{00000000-0006-0000-0B00-00000D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Monitor</t>
      </text>
    </comment>
    <comment ref="I35" authorId="13" shapeId="0" xr:uid="{00000000-0006-0000-0B00-00000E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Monitor</t>
      </text>
    </comment>
    <comment ref="N35" authorId="14" shapeId="0" xr:uid="{00000000-0006-0000-0B00-00000F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Monitor</t>
      </text>
    </comment>
    <comment ref="S35" authorId="15" shapeId="0" xr:uid="{00000000-0006-0000-0B00-000010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Monitor</t>
      </text>
    </comment>
    <comment ref="X35" authorId="16" shapeId="0" xr:uid="{00000000-0006-0000-0B00-00001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Monitor</t>
      </text>
    </comment>
    <comment ref="D40" authorId="17" shapeId="0" xr:uid="{00000000-0006-0000-0B00-000012000000}">
      <text>
        <r>
          <rPr>
            <b/>
            <sz val="9"/>
            <color indexed="81"/>
            <rFont val="Tahoma"/>
            <family val="2"/>
          </rPr>
          <t>Neha Khurana:</t>
        </r>
        <r>
          <rPr>
            <sz val="9"/>
            <color indexed="81"/>
            <rFont val="Tahoma"/>
            <family val="2"/>
          </rPr>
          <t xml:space="preserve">
PTO</t>
        </r>
      </text>
    </comment>
    <comment ref="I40" authorId="17" shapeId="0" xr:uid="{00000000-0006-0000-0B00-000013000000}">
      <text>
        <r>
          <rPr>
            <b/>
            <sz val="9"/>
            <color indexed="81"/>
            <rFont val="Tahoma"/>
            <family val="2"/>
          </rPr>
          <t>Neha Khurana:</t>
        </r>
        <r>
          <rPr>
            <sz val="9"/>
            <color indexed="81"/>
            <rFont val="Tahoma"/>
            <family val="2"/>
          </rPr>
          <t xml:space="preserve">
PTO</t>
        </r>
      </text>
    </comment>
    <comment ref="D41" authorId="17" shapeId="0" xr:uid="{00000000-0006-0000-0B00-000014000000}">
      <text>
        <r>
          <rPr>
            <b/>
            <sz val="9"/>
            <color indexed="81"/>
            <rFont val="Tahoma"/>
            <family val="2"/>
          </rPr>
          <t>Neha Khurana:</t>
        </r>
        <r>
          <rPr>
            <sz val="9"/>
            <color indexed="81"/>
            <rFont val="Tahoma"/>
            <family val="2"/>
          </rPr>
          <t xml:space="preserve">
PTO</t>
        </r>
      </text>
    </comment>
    <comment ref="N48" authorId="17" shapeId="0" xr:uid="{00000000-0006-0000-0B00-000015000000}">
      <text>
        <r>
          <rPr>
            <b/>
            <sz val="9"/>
            <color indexed="81"/>
            <rFont val="Tahoma"/>
            <family val="2"/>
          </rPr>
          <t>Neha Khurana:</t>
        </r>
        <r>
          <rPr>
            <sz val="9"/>
            <color indexed="81"/>
            <rFont val="Tahoma"/>
            <family val="2"/>
          </rPr>
          <t xml:space="preserve">
PTO</t>
        </r>
      </text>
    </comment>
    <comment ref="N55" authorId="17" shapeId="0" xr:uid="{00000000-0006-0000-0B00-000016000000}">
      <text>
        <r>
          <rPr>
            <b/>
            <sz val="9"/>
            <color indexed="81"/>
            <rFont val="Tahoma"/>
            <family val="2"/>
          </rPr>
          <t>Neha Khurana:</t>
        </r>
        <r>
          <rPr>
            <sz val="9"/>
            <color indexed="81"/>
            <rFont val="Tahoma"/>
            <family val="2"/>
          </rPr>
          <t xml:space="preserve">
PTO</t>
        </r>
      </text>
    </comment>
    <comment ref="N62" authorId="17" shapeId="0" xr:uid="{00000000-0006-0000-0B00-000017000000}">
      <text>
        <r>
          <rPr>
            <b/>
            <sz val="9"/>
            <color indexed="81"/>
            <rFont val="Tahoma"/>
            <family val="2"/>
          </rPr>
          <t>Neha Khurana:</t>
        </r>
        <r>
          <rPr>
            <sz val="9"/>
            <color indexed="81"/>
            <rFont val="Tahoma"/>
            <family val="2"/>
          </rPr>
          <t xml:space="preserve">
PTO</t>
        </r>
      </text>
    </comment>
    <comment ref="N68" authorId="17" shapeId="0" xr:uid="{00000000-0006-0000-0B00-000018000000}">
      <text>
        <r>
          <rPr>
            <b/>
            <sz val="9"/>
            <color indexed="81"/>
            <rFont val="Tahoma"/>
            <family val="2"/>
          </rPr>
          <t>Neha Khurana:</t>
        </r>
        <r>
          <rPr>
            <sz val="9"/>
            <color indexed="81"/>
            <rFont val="Tahoma"/>
            <family val="2"/>
          </rPr>
          <t xml:space="preserve">
PTO</t>
        </r>
      </text>
    </comment>
    <comment ref="N74" authorId="17" shapeId="0" xr:uid="{00000000-0006-0000-0B00-000019000000}">
      <text>
        <r>
          <rPr>
            <b/>
            <sz val="9"/>
            <color indexed="81"/>
            <rFont val="Tahoma"/>
            <family val="2"/>
          </rPr>
          <t>Neha Khurana:</t>
        </r>
        <r>
          <rPr>
            <sz val="9"/>
            <color indexed="81"/>
            <rFont val="Tahoma"/>
            <family val="2"/>
          </rPr>
          <t xml:space="preserve">
PTO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tc={7780FE02-3432-4FC0-BD47-D2B2B4A99E26}</author>
    <author>tc={8200371C-D417-4EAA-AFF7-47D48B75B2B0}</author>
    <author>tc={F42A4A84-CA18-4662-98E9-3BCCC61164F1}</author>
    <author>tc={96EDD1EB-DDD9-428C-B8B1-A1ADCFD106AF}</author>
    <author>tc={6CE49D59-DEDD-41E8-9D2E-3B2FB1010709}</author>
    <author>tc={FBCBB6C5-EEEF-44A2-AC94-FA65A0A99F35}</author>
    <author>tc={C3FCF795-F50A-4BB3-A7D1-53C03CFA24DA}</author>
    <author>tc={9F4D3342-4761-4499-9A9C-EF84DF5BD225}</author>
    <author>tc={FA0E3431-9CEA-44A4-853D-F2E0F4064B0C}</author>
  </authors>
  <commentList>
    <comment ref="T445" authorId="0" shapeId="0" xr:uid="{00000000-0006-0000-0D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Worked at PW for Credit Card Project Back up training</t>
      </text>
    </comment>
    <comment ref="T447" authorId="1" shapeId="0" xr:uid="{00000000-0006-0000-0D00-00000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Worked at PW for Credit Card Project Back up training</t>
      </text>
    </comment>
    <comment ref="L452" authorId="2" shapeId="0" xr:uid="{00000000-0006-0000-0D00-00000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with Marvin to install Wall Arms</t>
      </text>
    </comment>
    <comment ref="T452" authorId="3" shapeId="0" xr:uid="{00000000-0006-0000-0D00-000004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with Marvin to install Wall Arms</t>
      </text>
    </comment>
    <comment ref="T461" authorId="4" shapeId="0" xr:uid="{00000000-0006-0000-0D00-000005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Worked at PW for Credit Card Project Back up training</t>
      </text>
    </comment>
    <comment ref="H464" authorId="5" shapeId="0" xr:uid="{00000000-0006-0000-0D00-00000600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AT PW for Training - </t>
      </text>
    </comment>
    <comment ref="D471" authorId="6" shapeId="0" xr:uid="{00000000-0006-0000-0D00-000007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with Kevin at PW for Edocs</t>
      </text>
    </comment>
    <comment ref="P471" authorId="7" shapeId="0" xr:uid="{00000000-0006-0000-0D00-000008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with Kevin at PW for Edocs</t>
      </text>
    </comment>
    <comment ref="T471" authorId="8" shapeId="0" xr:uid="{00000000-0006-0000-0D00-000009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with Kevin at PW for Edocs</t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tc={8490D59C-E157-45DF-8B84-E1F38273BD55}</author>
    <author>tc={027C022F-0EB9-4283-A172-A7B3517A1E97}</author>
    <author>tc={221F1FA2-276E-4639-B840-FDAA65E03624}</author>
    <author>tc={E2004BA1-1CE2-467C-84F5-91F98D51BC2B}</author>
    <author>tc={E5DFDB59-6C5B-4B1E-9331-CF907459BD26}</author>
    <author>tc={9E81DAEC-BB40-4034-A58B-D2AF46A9A99D}</author>
    <author>tc={935EC3D1-A1DA-4F26-A7A7-72998B052813}</author>
    <author>tc={C01B8E14-9DBE-48D9-BDA2-6D3CC27D49EC}</author>
    <author>tc={3D4F675A-5F37-4ED0-95E2-F9D634502987}</author>
    <author>tc={6DC7253E-DDBE-46D9-B2F2-8A3069ECBCCE}</author>
    <author>Agilant</author>
    <author>tc={37C15830-11FB-482A-9F63-9E3D0C6A637E}</author>
    <author>tc={1BDDFEB2-C6E6-4BD7-8BC2-D11BDFD94D62}</author>
    <author>tc={C5CAF6A5-5AFA-45EC-AEE0-27D58A5626C6}</author>
    <author>tc={92E39B0C-3D59-4866-862F-B8F0F0CEB2AC}</author>
    <author>tc={CF25D257-DDEE-48D2-9CD6-F69F78F737E7}</author>
    <author>tc={958C6518-8DBE-477C-A11D-E09B1E876E2D}</author>
    <author>tc={E95D9CB3-22E6-4D26-86C6-E1AFE2B63C94}</author>
    <author>tc={7691C682-391F-46A6-A655-73AAB964404A}</author>
    <author>tc={575F1F7C-2BA6-48C3-87FA-EB11FDF64979}</author>
    <author>tc={C413FCD2-02F4-422F-AFCE-D33F9F5D2829}</author>
    <author>tc={54364362-9A1D-4BA4-ABA9-B8387A6E43B0}</author>
    <author>tc={03E2A669-345F-4AAA-8429-BB97E9094B36}</author>
    <author>tc={D1A90766-132E-4B8B-A4CD-0B291EBEC4DA}</author>
    <author>tc={31D271CA-B7FD-4014-A236-EB49CC9C8347}</author>
    <author>tc={F5FDF192-19A5-4936-8C88-0439B8C59DDB}</author>
    <author>tc={7EBD48E4-1A72-4A85-BFDC-62DEFB749225}</author>
    <author>tc={CB9C2246-188F-47CE-B0AE-B453B48D526E}</author>
    <author>tc={10513541-03D2-4737-B069-2C29D39EF755}</author>
    <author>tc={E239C6D9-B9F2-4A6E-A034-C1D11B213232}</author>
    <author>tc={F5881663-0D54-417F-8B73-E652AE1294A9}</author>
    <author>tc={87F7DEEE-2071-43E4-8AB4-B89DAB6EFF89}</author>
    <author>tc={3083FA58-5D03-4299-A98C-3E59B0932725}</author>
    <author>tc={F6D2DE99-D2C9-4DD1-901D-835F767334C0}</author>
    <author>tc={7EF440BA-E60B-4CDE-969D-2602FBD90FAA}</author>
    <author>tc={6249C2A8-F597-42BF-9791-1E18BD0037A4}</author>
    <author>tc={8204E779-ED26-4B70-902D-A884BD9A2897}</author>
    <author>tc={6E8BC053-3EAB-4062-AE39-0334EF871189}</author>
    <author>tc={D0308D6F-C3AB-4F1B-B287-83CD3503D1BD}</author>
    <author>tc={7C3C1F31-1C61-4D72-BA79-6837E3BBCE39}</author>
    <author>tc={F3812FC6-5305-46D5-97F6-23913CACED41}</author>
    <author>tc={5115A9D2-BB21-4C8A-AEC1-5497CA5BFFCE}</author>
    <author>tc={947243D4-3E56-4A55-8854-38E1BD9841A7}</author>
    <author>tc={BAC148A3-27D5-4229-8B36-616D41F1DF93}</author>
    <author>tc={2AE36343-E88B-413F-8669-EC8059AA28F1}</author>
    <author>tc={E9B81B07-35E6-4FE1-A1EB-38C9E50AF340}</author>
    <author>tc={5204D017-6FD8-452B-9C1B-3B2D3472C254}</author>
    <author>tc={C7C9A8C8-9BAC-4615-BC68-6C21D13DB521}</author>
    <author>tc={53DB4F34-CFF8-4F56-9F02-1F5B8B9E79F5}</author>
  </authors>
  <commentList>
    <comment ref="AE2" authorId="0" shapeId="0" xr:uid="{8490D59C-E157-45DF-8B84-E1F38273BD55}">
      <text>
        <t>[Threaded comment]
Your version of Excel allows you to read this threaded comment; however, any edits to it will get removed if the file is opened in a newer version of Excel. Learn more: https://go.microsoft.com/fwlink/?linkid=870924
Comment:
    2237 balance from Travel which is equal to 2649 tech units was added to tech hrs bringing balance down</t>
      </text>
    </comment>
    <comment ref="AE4" authorId="1" shapeId="0" xr:uid="{027C022F-0EB9-4283-A172-A7B3517A1E97}">
      <text>
        <t>[Threaded comment]
Your version of Excel allows you to read this threaded comment; however, any edits to it will get removed if the file is opened in a newer version of Excel. Learn more: https://go.microsoft.com/fwlink/?linkid=870924
Comment:
    2237 travel added to tech hrs - was -4800; now -2161</t>
      </text>
    </comment>
    <comment ref="J47" authorId="2" shapeId="0" xr:uid="{221F1FA2-276E-4639-B840-FDAA65E03624}">
      <text>
        <t>[Threaded comment]
Your version of Excel allows you to read this threaded comment; however, any edits to it will get removed if the file is opened in a newer version of Excel. Learn more: https://go.microsoft.com/fwlink/?linkid=870924
Comment:
    Partial day for Jennison Delivery after 5 pm</t>
      </text>
    </comment>
    <comment ref="T47" authorId="3" shapeId="0" xr:uid="{E2004BA1-1CE2-467C-84F5-91F98D51BC2B}">
      <text>
        <t>[Threaded comment]
Your version of Excel allows you to read this threaded comment; however, any edits to it will get removed if the file is opened in a newer version of Excel. Learn more: https://go.microsoft.com/fwlink/?linkid=870924
Comment:
    FHH chaotic pickup at wrong time 10 am instead of right time 3pm</t>
      </text>
    </comment>
    <comment ref="Y47" authorId="4" shapeId="0" xr:uid="{E5DFDB59-6C5B-4B1E-9331-CF907459BD26}">
      <text>
        <t>[Threaded comment]
Your version of Excel allows you to read this threaded comment; however, any edits to it will get removed if the file is opened in a newer version of Excel. Learn more: https://go.microsoft.com/fwlink/?linkid=870924
Comment:
    Came in starting at 9:45 am</t>
      </text>
    </comment>
    <comment ref="E48" authorId="5" shapeId="0" xr:uid="{9E81DAEC-BB40-4034-A58B-D2AF46A9A99D}">
      <text>
        <t>[Threaded comment]
Your version of Excel allows you to read this threaded comment; however, any edits to it will get removed if the file is opened in a newer version of Excel. Learn more: https://go.microsoft.com/fwlink/?linkid=870924
Comment:
    Aamir didn't work full 40, no OT</t>
      </text>
    </comment>
    <comment ref="J48" authorId="6" shapeId="0" xr:uid="{935EC3D1-A1DA-4F26-A7A7-72998B052813}">
      <text>
        <t>[Threaded comment]
Your version of Excel allows you to read this threaded comment; however, any edits to it will get removed if the file is opened in a newer version of Excel. Learn more: https://go.microsoft.com/fwlink/?linkid=870924
Comment:
    All day at warehouse crushing boxes, only some for EPIC Project</t>
      </text>
    </comment>
    <comment ref="B53" authorId="7" shapeId="0" xr:uid="{00000000-0006-0000-08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Agilant van driver</t>
      </text>
    </comment>
    <comment ref="E56" authorId="8" shapeId="0" xr:uid="{3D4F675A-5F37-4ED0-95E2-F9D634502987}">
      <text>
        <t>[Threaded comment]
Your version of Excel allows you to read this threaded comment; however, any edits to it will get removed if the file is opened in a newer version of Excel. Learn more: https://go.microsoft.com/fwlink/?linkid=870924
Comment:
    For hours spent Friday 9/6 preparing 800+ monitors for shipment</t>
      </text>
    </comment>
    <comment ref="E57" authorId="9" shapeId="0" xr:uid="{6DC7253E-DDBE-46D9-B2F2-8A3069ECBCCE}">
      <text>
        <t>[Threaded comment]
Your version of Excel allows you to read this threaded comment; however, any edits to it will get removed if the file is opened in a newer version of Excel. Learn more: https://go.microsoft.com/fwlink/?linkid=870924
Comment:
    Agilant Truck Forest Hills Delivery</t>
      </text>
    </comment>
    <comment ref="H78" authorId="10" shapeId="0" xr:uid="{FCF07A53-0FD9-4261-85E0-CE7B908BB9E8}">
      <text>
        <r>
          <rPr>
            <b/>
            <sz val="9"/>
            <color indexed="81"/>
            <rFont val="Tahoma"/>
            <family val="2"/>
          </rPr>
          <t>40-17 DEPLOYMENT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85" authorId="10" shapeId="0" xr:uid="{BA80A8D6-ED92-4243-98E2-CF9732F205EC}">
      <text>
        <r>
          <rPr>
            <b/>
            <sz val="9"/>
            <color indexed="81"/>
            <rFont val="Tahoma"/>
            <family val="2"/>
          </rPr>
          <t>CREDIT CARD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88" authorId="10" shapeId="0" xr:uid="{2400CAF0-B90B-4373-847E-02E50528415C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110 E 59TH DEPLOYMENT</t>
        </r>
      </text>
    </comment>
    <comment ref="B99" authorId="11" shapeId="0" xr:uid="{37C15830-11FB-482A-9F63-9E3D0C6A637E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Agilant van driver</t>
      </text>
    </comment>
    <comment ref="J122" authorId="10" shapeId="0" xr:uid="{49B07E12-640F-4B52-A5E9-9EA63BFD6FED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Per NW, took a 3 hr lunch break</t>
        </r>
      </text>
    </comment>
    <comment ref="H127" authorId="10" shapeId="0" xr:uid="{540631FF-305C-4692-8BF1-8B4874FE3552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Reported to wrong site after verbal, written communication &amp; calendar invites.  Arrived at correct site at 10:20</t>
        </r>
      </text>
    </comment>
    <comment ref="C129" authorId="10" shapeId="0" xr:uid="{27517B45-9532-4A06-BE82-81EAE793CD86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Never reported to assigned payable site even after instruction to report there</t>
        </r>
      </text>
    </comment>
    <comment ref="D129" authorId="10" shapeId="0" xr:uid="{3E98ECE4-86E0-4119-8AF1-2EB1191454F7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Never reported to assigned payable site even after instruction to report there</t>
        </r>
      </text>
    </comment>
    <comment ref="J130" authorId="10" shapeId="0" xr:uid="{C2710689-D4C5-4CA1-B027-331AC784030A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Per NW, took a 3 hr lunch break</t>
        </r>
      </text>
    </comment>
    <comment ref="B140" authorId="12" shapeId="0" xr:uid="{1BDDFEB2-C6E6-4BD7-8BC2-D11BDFD94D62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Agilant van driver</t>
      </text>
    </comment>
    <comment ref="C150" authorId="10" shapeId="0" xr:uid="{18C84D56-440C-4AB5-BD63-F8669629F3E5}">
      <text>
        <r>
          <rPr>
            <b/>
            <sz val="9"/>
            <color indexed="81"/>
            <rFont val="Tahoma"/>
            <family val="2"/>
          </rPr>
          <t xml:space="preserve">Agilant: Rich went to 2 sites on 09/27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51" authorId="10" shapeId="0" xr:uid="{1FAFE24F-82AF-41B7-B73B-657DE018E682}">
      <text>
        <r>
          <rPr>
            <b/>
            <sz val="9"/>
            <color indexed="81"/>
            <rFont val="Tahoma"/>
            <family val="2"/>
          </rPr>
          <t xml:space="preserve">additional trips for PW pick up 9/23 - for print outs
</t>
        </r>
      </text>
    </comment>
    <comment ref="H158" authorId="10" shapeId="0" xr:uid="{2F5F5C40-5EA4-4D54-AECB-EF21743781F3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As noted by Henry and Kevin
</t>
        </r>
      </text>
    </comment>
    <comment ref="B181" authorId="13" shapeId="0" xr:uid="{C5CAF6A5-5AFA-45EC-AEE0-27D58A5626C6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Agilant van driver</t>
      </text>
    </comment>
    <comment ref="B222" authorId="14" shapeId="0" xr:uid="{92E39B0C-3D59-4866-862F-B8F0F0CEB2AC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Agilant van driver</t>
      </text>
    </comment>
    <comment ref="Y222" authorId="15" shapeId="0" xr:uid="{CF25D257-DDEE-48D2-9CD6-F69F78F737E7}">
      <text>
        <t>[Threaded comment]
Your version of Excel allows you to read this threaded comment; however, any edits to it will get removed if the file is opened in a newer version of Excel. Learn more: https://go.microsoft.com/fwlink/?linkid=870924
Comment:
    Northern Deliveries</t>
      </text>
    </comment>
    <comment ref="J226" authorId="16" shapeId="0" xr:uid="{958C6518-8DBE-477C-A11D-E09B1E876E2D}">
      <text>
        <t>[Threaded comment]
Your version of Excel allows you to read this threaded comment; however, any edits to it will get removed if the file is opened in a newer version of Excel. Learn more: https://go.microsoft.com/fwlink/?linkid=870924
Comment:
    Added 10/21</t>
      </text>
    </comment>
    <comment ref="B263" authorId="17" shapeId="0" xr:uid="{E95D9CB3-22E6-4D26-86C6-E1AFE2B63C94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Agilant van driver</t>
      </text>
    </comment>
    <comment ref="B304" authorId="18" shapeId="0" xr:uid="{7691C682-391F-46A6-A655-73AAB964404A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Agilant van driver</t>
      </text>
    </comment>
    <comment ref="O309" authorId="19" shapeId="0" xr:uid="{575F1F7C-2BA6-48C3-87FA-EB11FDF64979}">
      <text>
        <t>[Threaded comment]
Your version of Excel allows you to read this threaded comment; however, any edits to it will get removed if the file is opened in a newer version of Excel. Learn more: https://go.microsoft.com/fwlink/?linkid=870924
Comment:
    Many NY Minute Requests</t>
      </text>
    </comment>
    <comment ref="W335" authorId="10" shapeId="0" xr:uid="{55669D8E-12B2-495D-9EC0-CDBFE114F6C4}">
      <text>
        <r>
          <rPr>
            <b/>
            <sz val="9"/>
            <color indexed="81"/>
            <rFont val="Tahoma"/>
            <family val="2"/>
          </rPr>
          <t>Early start requested at 611 N. Blvd</t>
        </r>
      </text>
    </comment>
    <comment ref="K343" authorId="20" shapeId="0" xr:uid="{C413FCD2-02F4-422F-AFCE-D33F9F5D2829}">
      <text>
        <t>[Threaded comment]
Your version of Excel allows you to read this threaded comment; however, any edits to it will get removed if the file is opened in a newer version of Excel. Learn more: https://go.microsoft.com/fwlink/?linkid=870924
Comment:
    Late pickup at 1991 Marcus due to building only allowing pickup after 6pm</t>
      </text>
    </comment>
    <comment ref="B349" authorId="21" shapeId="0" xr:uid="{54364362-9A1D-4BA4-ABA9-B8387A6E43B0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Agilant van driver</t>
      </text>
    </comment>
    <comment ref="Y368" authorId="22" shapeId="0" xr:uid="{03E2A669-345F-4AAA-8429-BB97E9094B36}">
      <text>
        <t>[Threaded comment]
Your version of Excel allows you to read this threaded comment; however, any edits to it will get removed if the file is opened in a newer version of Excel. Learn more: https://go.microsoft.com/fwlink/?linkid=870924
Comment:
    Added 1 hour missed in last payperiod for meeting.</t>
      </text>
    </comment>
    <comment ref="Y388" authorId="23" shapeId="0" xr:uid="{D1A90766-132E-4B8B-A4CD-0B291EBEC4DA}">
      <text>
        <t>[Threaded comment]
Your version of Excel allows you to read this threaded comment; however, any edits to it will get removed if the file is opened in a newer version of Excel. Learn more: https://go.microsoft.com/fwlink/?linkid=870924
Comment:
    Delivered Neurons for other part of Epic project</t>
      </text>
    </comment>
    <comment ref="B394" authorId="24" shapeId="0" xr:uid="{31D271CA-B7FD-4014-A236-EB49CC9C8347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Agilant van driver</t>
      </text>
    </comment>
    <comment ref="Y415" authorId="25" shapeId="0" xr:uid="{F5FDF192-19A5-4936-8C88-0439B8C59DDB}">
      <text>
        <t>[Threaded comment]
Your version of Excel allows you to read this threaded comment; however, any edits to it will get removed if the file is opened in a newer version of Excel. Learn more: https://go.microsoft.com/fwlink/?linkid=870924
Comment:
    Added 1 missed hour from last payroll, 1 hour for meeting</t>
      </text>
    </comment>
    <comment ref="H416" authorId="10" shapeId="0" xr:uid="{33411A74-D11D-4E0A-A563-C8C56EC0CC46}">
      <text>
        <r>
          <rPr>
            <b/>
            <sz val="9"/>
            <color indexed="81"/>
            <rFont val="Tahoma"/>
            <family val="2"/>
          </rPr>
          <t>Early Access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417" authorId="10" shapeId="0" xr:uid="{ADBA01FB-26D7-4182-AD98-D5E1906F11CE}">
      <text>
        <r>
          <rPr>
            <b/>
            <sz val="9"/>
            <color indexed="81"/>
            <rFont val="Tahoma"/>
            <family val="2"/>
          </rPr>
          <t>Early Access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423" authorId="10" shapeId="0" xr:uid="{D7F2DE43-A5F1-4DEC-9F6A-294B31CECAE7}">
      <text>
        <r>
          <rPr>
            <b/>
            <sz val="9"/>
            <color indexed="81"/>
            <rFont val="Tahoma"/>
            <family val="2"/>
          </rPr>
          <t>Early Access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423" authorId="26" shapeId="0" xr:uid="{7EBD48E4-1A72-4A85-BFDC-62DEFB749225}">
      <text>
        <t>[Threaded comment]
Your version of Excel allows you to read this threaded comment; however, any edits to it will get removed if the file is opened in a newer version of Excel. Learn more: https://go.microsoft.com/fwlink/?linkid=870924
Comment:
    Adding 1 missed hour from last week 1 hour meeting.</t>
      </text>
    </comment>
    <comment ref="B439" authorId="27" shapeId="0" xr:uid="{CB9C2246-188F-47CE-B0AE-B453B48D526E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Agilant van driver</t>
      </text>
    </comment>
    <comment ref="B484" authorId="28" shapeId="0" xr:uid="{10513541-03D2-4737-B069-2C29D39EF755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Agilant van driver</t>
      </text>
    </comment>
    <comment ref="B529" authorId="29" shapeId="0" xr:uid="{E239C6D9-B9F2-4A6E-A034-C1D11B213232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Agilant van driver</t>
      </text>
    </comment>
    <comment ref="B552" authorId="10" shapeId="0" xr:uid="{164EB720-F107-4AA7-8671-694D5CC0144A}">
      <text>
        <r>
          <rPr>
            <b/>
            <sz val="9"/>
            <color indexed="81"/>
            <rFont val="Tahoma"/>
            <family val="2"/>
          </rPr>
          <t xml:space="preserve">additional 1.5hrs per day while Sanchez is on PTO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552" authorId="10" shapeId="0" xr:uid="{132D3236-B134-4A43-9E71-89B1FE2A40FE}">
      <text>
        <r>
          <rPr>
            <b/>
            <sz val="9"/>
            <color indexed="81"/>
            <rFont val="Tahoma"/>
            <family val="2"/>
          </rPr>
          <t>paycom has additional 1.5 while Kevin is OOO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552" authorId="10" shapeId="0" xr:uid="{26D0FBC9-C417-4FD1-9150-2D2E49171C71}">
      <text>
        <r>
          <rPr>
            <b/>
            <sz val="9"/>
            <color indexed="81"/>
            <rFont val="Tahoma"/>
            <family val="2"/>
          </rPr>
          <t>paycom has additional 1.5 while Kevin is OOO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552" authorId="10" shapeId="0" xr:uid="{857A4BF3-0395-492D-B527-54849A393501}">
      <text>
        <r>
          <rPr>
            <b/>
            <sz val="9"/>
            <color indexed="81"/>
            <rFont val="Tahoma"/>
            <family val="2"/>
          </rPr>
          <t>paycom has additional 1.5 while Kevin is OOO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552" authorId="10" shapeId="0" xr:uid="{8839E607-FF65-4C12-800E-574CDA038B5A}">
      <text>
        <r>
          <rPr>
            <b/>
            <sz val="9"/>
            <color indexed="81"/>
            <rFont val="Tahoma"/>
            <family val="2"/>
          </rPr>
          <t>paycom has additional 1.5 while Kevin is OOO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W552" authorId="10" shapeId="0" xr:uid="{A8BEFC61-7AD1-49EC-B696-FA340880B67E}">
      <text>
        <r>
          <rPr>
            <b/>
            <sz val="9"/>
            <color indexed="81"/>
            <rFont val="Tahoma"/>
            <family val="2"/>
          </rPr>
          <t>Early access with Rich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552" authorId="10" shapeId="0" xr:uid="{D18588FE-F24E-4CFC-8820-D6394430B6A2}">
      <text>
        <r>
          <rPr>
            <b/>
            <sz val="9"/>
            <color indexed="81"/>
            <rFont val="Tahoma"/>
            <family val="2"/>
          </rPr>
          <t>paycom has additional 1.5 while Kevin is OOO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W555" authorId="10" shapeId="0" xr:uid="{AEFEE674-3DAF-4A3A-8B30-8EBE05FA98E1}">
      <text>
        <r>
          <rPr>
            <b/>
            <sz val="9"/>
            <color indexed="81"/>
            <rFont val="Tahoma"/>
            <family val="2"/>
          </rPr>
          <t>Early access with Henry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572" authorId="30" shapeId="0" xr:uid="{F5881663-0D54-417F-8B73-E652AE1294A9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Agilant van driver</t>
      </text>
    </comment>
    <comment ref="J599" authorId="10" shapeId="0" xr:uid="{F804F872-A76B-4DD8-9243-52A54A57F508}">
      <text>
        <r>
          <rPr>
            <b/>
            <sz val="9"/>
            <color indexed="81"/>
            <rFont val="Tahoma"/>
            <family val="2"/>
          </rPr>
          <t>8-12 Teladoc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599" authorId="10" shapeId="0" xr:uid="{5790E7DD-DD8E-4BFD-9478-739861FC475C}">
      <text>
        <r>
          <rPr>
            <b/>
            <sz val="9"/>
            <color indexed="81"/>
            <rFont val="Tahoma"/>
            <family val="2"/>
          </rPr>
          <t>8-12 Teladoc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615" authorId="31" shapeId="0" xr:uid="{87F7DEEE-2071-43E4-8AB4-B89DAB6EFF89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Agilant van driver</t>
      </text>
    </comment>
    <comment ref="U623" authorId="10" shapeId="0" xr:uid="{E2DA6CA4-70E4-4EC4-AA12-0FBBB9A6832C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7AM start</t>
        </r>
      </text>
    </comment>
    <comment ref="E647" authorId="10" shapeId="0" xr:uid="{309BBF44-7A44-4974-AC19-6A7C28A931CE}">
      <text>
        <r>
          <rPr>
            <b/>
            <sz val="9"/>
            <color indexed="81"/>
            <rFont val="Tahoma"/>
            <family val="2"/>
          </rPr>
          <t xml:space="preserve">added 1.5 from last payroll - he clocked in at 9 am instead of 10:30 on 12/09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653" authorId="32" shapeId="0" xr:uid="{3083FA58-5D03-4299-A98C-3E59B0932725}">
      <text>
        <t>[Threaded comment]
Your version of Excel allows you to read this threaded comment; however, any edits to it will get removed if the file is opened in a newer version of Excel. Learn more: https://go.microsoft.com/fwlink/?linkid=870924
Comment:
    Appointments for partial day, Aatif and Aamir did OT for cardboard crushing</t>
      </text>
    </comment>
    <comment ref="J658" authorId="33" shapeId="0" xr:uid="{F6D2DE99-D2C9-4DD1-901D-835F767334C0}">
      <text>
        <t>[Threaded comment]
Your version of Excel allows you to read this threaded comment; however, any edits to it will get removed if the file is opened in a newer version of Excel. Learn more: https://go.microsoft.com/fwlink/?linkid=870924
Comment:
    1010 Northern Blvd held onto new monitors after scheduled pickup thinking that they would have a tech come out shortly to install the rest, I went in the van to pickup after 5 pm.</t>
      </text>
    </comment>
    <comment ref="B659" authorId="34" shapeId="0" xr:uid="{7EF440BA-E60B-4CDE-969D-2602FBD90FAA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Agilant van driver</t>
      </text>
    </comment>
    <comment ref="B698" authorId="35" shapeId="0" xr:uid="{6249C2A8-F597-42BF-9791-1E18BD0037A4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Agilant van driver</t>
      </text>
    </comment>
    <comment ref="J702" authorId="36" shapeId="0" xr:uid="{8204E779-ED26-4B70-902D-A884BD9A2897}">
      <text>
        <t>[Threaded comment]
Your version of Excel allows you to read this threaded comment; however, any edits to it will get removed if the file is opened in a newer version of Excel. Learn more: https://go.microsoft.com/fwlink/?linkid=870924
Comment:
    No deliveries or pickups 12/24</t>
      </text>
    </comment>
    <comment ref="B737" authorId="37" shapeId="0" xr:uid="{6E8BC053-3EAB-4062-AE39-0334EF871189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Agilant van driver</t>
      </text>
    </comment>
    <comment ref="R758" authorId="10" shapeId="0" xr:uid="{CAF8CE98-CA15-4459-B051-90479A7AE86B}">
      <text>
        <r>
          <rPr>
            <b/>
            <sz val="9"/>
            <color indexed="81"/>
            <rFont val="Tahoma"/>
            <family val="2"/>
          </rPr>
          <t>Reported at PW early</t>
        </r>
      </text>
    </comment>
    <comment ref="C766" authorId="10" shapeId="0" xr:uid="{23356E27-E018-402F-AB75-0373D1C9808E}">
      <text>
        <r>
          <rPr>
            <b/>
            <sz val="9"/>
            <color indexed="81"/>
            <rFont val="Tahoma"/>
            <family val="2"/>
          </rPr>
          <t>PW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766" authorId="10" shapeId="0" xr:uid="{4FC1970B-D845-4A49-B294-F5A10E7C1227}">
      <text>
        <r>
          <rPr>
            <b/>
            <sz val="9"/>
            <color indexed="81"/>
            <rFont val="Tahoma"/>
            <family val="2"/>
          </rPr>
          <t>Reported at PW early</t>
        </r>
      </text>
    </comment>
    <comment ref="B776" authorId="38" shapeId="0" xr:uid="{D0308D6F-C3AB-4F1B-B287-83CD3503D1BD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Agilant van driver</t>
      </text>
    </comment>
    <comment ref="J809" authorId="39" shapeId="0" xr:uid="{7C3C1F31-1C61-4D72-BA79-6837E3BBCE39}">
      <text>
        <t>[Threaded comment]
Your version of Excel allows you to read this threaded comment; however, any edits to it will get removed if the file is opened in a newer version of Excel. Learn more: https://go.microsoft.com/fwlink/?linkid=870924
Comment:
    Abdul had an appointment, 1 hour he wasn't here</t>
      </text>
    </comment>
    <comment ref="Y813" authorId="40" shapeId="0" xr:uid="{F3812FC6-5305-46D5-97F6-23913CACED41}">
      <text>
        <t>[Threaded comment]
Your version of Excel allows you to read this threaded comment; however, any edits to it will get removed if the file is opened in a newer version of Excel. Learn more: https://go.microsoft.com/fwlink/?linkid=870924
Comment:
    PTO</t>
      </text>
    </comment>
    <comment ref="B814" authorId="41" shapeId="0" xr:uid="{5115A9D2-BB21-4C8A-AEC1-5497CA5BFFCE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Agilant van driver</t>
      </text>
    </comment>
    <comment ref="T849" authorId="42" shapeId="0" xr:uid="{947243D4-3E56-4A55-8854-38E1BD9841A7}">
      <text>
        <t>[Threaded comment]
Your version of Excel allows you to read this threaded comment; however, any edits to it will get removed if the file is opened in a newer version of Excel. Learn more: https://go.microsoft.com/fwlink/?linkid=870924
Comment:
    Big deliveries at 410 Lakeville and prepping truck for Friday</t>
      </text>
    </comment>
    <comment ref="B855" authorId="43" shapeId="0" xr:uid="{BAC148A3-27D5-4229-8B36-616D41F1DF93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Agilant van driver</t>
      </text>
    </comment>
    <comment ref="B890" authorId="44" shapeId="0" xr:uid="{2AE36343-E88B-413F-8669-EC8059AA28F1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Agilant van driver</t>
      </text>
    </comment>
    <comment ref="B928" authorId="45" shapeId="0" xr:uid="{E9B81B07-35E6-4FE1-A1EB-38C9E50AF340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Agilant van driver</t>
      </text>
    </comment>
    <comment ref="U947" authorId="10" shapeId="0" xr:uid="{348E938E-C2FC-43DD-A343-90F8DF25273F}">
      <text>
        <r>
          <rPr>
            <b/>
            <sz val="9"/>
            <color indexed="81"/>
            <rFont val="Tahoma"/>
            <family val="2"/>
          </rPr>
          <t>Additional time to cover Caesar's absence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951" authorId="10" shapeId="0" xr:uid="{C6EE58AD-CB78-46F6-B720-C2AC68EB5AD1}">
      <text>
        <r>
          <rPr>
            <b/>
            <sz val="9"/>
            <color indexed="81"/>
            <rFont val="Tahoma"/>
            <family val="2"/>
          </rPr>
          <t>Additional time to cover Caesar's absence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952" authorId="10" shapeId="0" xr:uid="{D857A49C-640B-41A2-9F46-14975C8487B5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No break</t>
        </r>
      </text>
    </comment>
    <comment ref="U952" authorId="10" shapeId="0" xr:uid="{B5D86A46-625E-465C-A48A-9FA886F5E853}">
      <text>
        <r>
          <rPr>
            <b/>
            <sz val="9"/>
            <color indexed="81"/>
            <rFont val="Tahoma"/>
            <family val="2"/>
          </rPr>
          <t>Additional time to cover Caesar's absence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965" authorId="46" shapeId="0" xr:uid="{5204D017-6FD8-452B-9C1B-3B2D3472C254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Agilant van driver</t>
      </text>
    </comment>
    <comment ref="Z984" authorId="10" shapeId="0" xr:uid="{15A8F32A-DB14-49B9-96AE-362BA3BD3CC7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No break</t>
        </r>
      </text>
    </comment>
    <comment ref="Z986" authorId="10" shapeId="0" xr:uid="{1E473F29-6B73-42AA-B4B8-49016EE0FFAF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No break</t>
        </r>
      </text>
    </comment>
    <comment ref="Z989" authorId="10" shapeId="0" xr:uid="{CC099AB1-1F80-4BD1-A8ED-125365142F71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No break</t>
        </r>
      </text>
    </comment>
    <comment ref="B1002" authorId="47" shapeId="0" xr:uid="{C7C9A8C8-9BAC-4615-BC68-6C21D13DB521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Agilant van driver</t>
      </text>
    </comment>
    <comment ref="B1040" authorId="48" shapeId="0" xr:uid="{53DB4F34-CFF8-4F56-9F02-1F5B8B9E79F5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Agilant van driver</t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Colin Skarka</author>
  </authors>
  <commentList>
    <comment ref="C50" authorId="0" shapeId="0" xr:uid="{0ECE88A1-1107-4579-A780-696C3195FE26}">
      <text>
        <r>
          <rPr>
            <sz val="10"/>
            <color theme="1"/>
            <rFont val="Century Gothic"/>
            <family val="2"/>
          </rPr>
          <t xml:space="preserve">Colin Skarka:
DOE staff and others 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tc={856B6AE4-A618-4CB4-8E94-D35D13F5D38A}</author>
    <author>Agilant</author>
    <author>tc={638AB6E7-762F-4F75-AD01-8DF264E7952D}</author>
    <author>tc={6683C283-F02A-411A-85F5-A168844FAC66}</author>
    <author>tc={905021C6-4195-4AB5-AF58-5709FE18B1DF}</author>
    <author>tc={BEECC87D-17FF-4AAE-9BDA-47E9576EC71B}</author>
    <author>tc={AF6699E1-C3E4-4291-BBB5-73091B90A7A4}</author>
    <author>tc={7314EFE3-D8B1-4CBA-B019-6E7550C5767D}</author>
    <author>tc={068D2F49-4910-47BA-B596-D538CF6648ED}</author>
    <author>tc={05561921-BC5B-4746-BD0F-3D1E8E678873}</author>
    <author>tc={DB90E662-1A06-416E-9445-B161E0FAA841}</author>
    <author>tc={CC25A51E-F1EC-448D-9963-96D76029F90D}</author>
    <author>tc={F0D86D4C-94FF-415E-A7D1-FDE462BA2080}</author>
    <author>tc={5AB74605-9AC3-47F9-B94C-227F0711367E}</author>
    <author>tc={7BDD2776-56FA-4CA0-A391-467314FC4B4B}</author>
    <author>tc={90C6D900-CE07-4256-BF57-F3A2D0E91A4D}</author>
    <author>tc={2F90B2B5-8DB7-4E21-BAC6-C896BF83469C}</author>
    <author>tc={C65DC90A-C345-40BD-8C44-CB30C73D4540}</author>
    <author>tc={CEE7ED10-5838-4B05-9B80-DF86ABE44C75}</author>
    <author>tc={50A5AC40-6CD4-4302-A438-03BCB3E38E5F}</author>
    <author>tc={1E37CB8C-1542-4210-BB0A-0961FF39569D}</author>
    <author>tc={70122AAF-7069-4EEC-8BC4-1E710FE8AD36}</author>
    <author>tc={1B366960-7B09-4F21-903A-5C1537DFD9F5}</author>
    <author>tc={D4587AF6-265B-4134-8B81-9ADA97446A00}</author>
    <author>tc={9763AC78-3C43-42F2-946A-3B236A4113E6}</author>
    <author>tc={6D3C0771-3C67-45CB-ADD8-B47F728F4DD3}</author>
    <author>tc={80658687-EE39-4850-8766-BABD0566D6D2}</author>
    <author>tc={C0AE04E1-9331-464D-8129-CCFBFC7685F3}</author>
    <author>tc={A01588FA-DB39-40EC-BD47-BFBCD64AE2CB}</author>
    <author>tc={E3AC0036-9B9B-4BF3-AC1F-FAB879174576}</author>
    <author>tc={CA8328F4-1E0A-459B-B768-B0292765F548}</author>
    <author>tc={348E052A-D242-4FB1-85C9-1F3EBBCCF708}</author>
    <author>tc={7F9F7BEA-FAEC-40C2-A95B-BDBEB57DE694}</author>
    <author>Christopher Allen</author>
    <author>tc={271CCF08-74EF-4EC6-ACF3-1848A58E7A5E}</author>
    <author>tc={86BADA70-9F02-4B9E-83E5-96D5AA23588B}</author>
    <author>tc={61FADD11-3749-4BAC-AC83-C982BB0EC0C1}</author>
    <author>tc={1CC4D28A-7C00-4960-B7D7-DCB7B95CFE4F}</author>
    <author>tc={25B8F3C1-C85B-46B4-BB62-63B2EE4D914F}</author>
    <author>tc={9DD04503-25CA-4378-BABA-3972F389A2A8}</author>
    <author>tc={52EE3DBA-0933-4C1E-8933-E81B348CC130}</author>
    <author>tc={644CCB63-476B-41B1-950D-50772139D4E2}</author>
    <author>tc={DEF5A0B7-9B97-46E1-AE14-125C094DCABA}</author>
    <author>tc={22153672-7DAA-4FB2-BE13-7ABD1B4C9725}</author>
    <author>tc={08ECEF53-CE9C-44FF-9584-9E83CB6D14DE}</author>
    <author>tc={DC6001B0-AC59-45EF-97EC-79C70D82B14A}</author>
    <author>tc={5165BF37-233F-49CD-957B-2F8CC1F9D142}</author>
  </authors>
  <commentList>
    <comment ref="B37" authorId="0" shapeId="0" xr:uid="{856B6AE4-A618-4CB4-8E94-D35D13F5D38A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Agilant van driver</t>
      </text>
    </comment>
    <comment ref="C54" authorId="1" shapeId="0" xr:uid="{251BC1C3-EE23-43B2-83DA-147B2EB5F4F4}">
      <text>
        <r>
          <rPr>
            <b/>
            <sz val="9"/>
            <color indexed="81"/>
            <rFont val="Tahoma"/>
            <family val="2"/>
          </rPr>
          <t xml:space="preserve">Henry said he saw him onsite at 9:30 when he saw that  Khalil did not clocked in, he instructed him to chime in th GC at noon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56" authorId="1" shapeId="0" xr:uid="{C53ED133-4F5E-478D-B69D-96508A97B4E6}">
      <text>
        <r>
          <rPr>
            <b/>
            <sz val="9"/>
            <color indexed="81"/>
            <rFont val="Tahoma"/>
            <family val="2"/>
          </rPr>
          <t>not onsite as per Henry/ she said she left the site early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61" authorId="1" shapeId="0" xr:uid="{68101765-41E6-4D77-A4A9-A5D3EFB5A5D4}">
      <text>
        <r>
          <rPr>
            <b/>
            <sz val="9"/>
            <color indexed="81"/>
            <rFont val="Tahoma"/>
            <family val="2"/>
          </rPr>
          <t>PW pick up for 5 dakota AMB proceed to HH after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66" authorId="2" shapeId="0" xr:uid="{638AB6E7-762F-4F75-AD01-8DF264E7952D}">
      <text>
        <t>[Threaded comment]
Your version of Excel allows you to read this threaded comment; however, any edits to it will get removed if the file is opened in a newer version of Excel. Learn more: https://go.microsoft.com/fwlink/?linkid=870924
Comment:
    Aatif Driving Test</t>
      </text>
    </comment>
    <comment ref="B73" authorId="3" shapeId="0" xr:uid="{6683C283-F02A-411A-85F5-A168844FAC66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Agilant van driver</t>
      </text>
    </comment>
    <comment ref="B109" authorId="4" shapeId="0" xr:uid="{905021C6-4195-4AB5-AF58-5709FE18B1DF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Agilant van driver</t>
      </text>
    </comment>
    <comment ref="Y113" authorId="5" shapeId="0" xr:uid="{BEECC87D-17FF-4AAE-9BDA-47E9576EC71B}">
      <text>
        <t>[Threaded comment]
Your version of Excel allows you to read this threaded comment; however, any edits to it will get removed if the file is opened in a newer version of Excel. Learn more: https://go.microsoft.com/fwlink/?linkid=870924
Comment:
    Truck not used this day</t>
      </text>
    </comment>
    <comment ref="Z116" authorId="1" shapeId="0" xr:uid="{9B002C55-C85F-40E0-A90D-9F84952183C2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6:45AM</t>
        </r>
      </text>
    </comment>
    <comment ref="E133" authorId="6" shapeId="0" xr:uid="{AF6699E1-C3E4-4291-BBB5-73091B90A7A4}">
      <text>
        <t>[Threaded comment]
Your version of Excel allows you to read this threaded comment; however, any edits to it will get removed if the file is opened in a newer version of Excel. Learn more: https://go.microsoft.com/fwlink/?linkid=870924
Comment:
    Note added by Carl no lunch taken</t>
      </text>
    </comment>
    <comment ref="N144" authorId="7" shapeId="0" xr:uid="{7314EFE3-D8B1-4CBA-B019-6E7550C5767D}">
      <text>
        <t>[Threaded comment]
Your version of Excel allows you to read this threaded comment; however, any edits to it will get removed if the file is opened in a newer version of Excel. Learn more: https://go.microsoft.com/fwlink/?linkid=870924
Comment:
    Bereavement 3/19-3/21</t>
      </text>
    </comment>
    <comment ref="B145" authorId="8" shapeId="0" xr:uid="{068D2F49-4910-47BA-B596-D538CF6648ED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Agilant van driver</t>
      </text>
    </comment>
    <comment ref="B180" authorId="9" shapeId="0" xr:uid="{05561921-BC5B-4746-BD0F-3D1E8E678873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Agilant van driver</t>
      </text>
    </comment>
    <comment ref="B215" authorId="10" shapeId="0" xr:uid="{DB90E662-1A06-416E-9445-B161E0FAA841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Agilant van driver</t>
      </text>
    </comment>
    <comment ref="B250" authorId="11" shapeId="0" xr:uid="{CC25A51E-F1EC-448D-9963-96D76029F90D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Agilant van driver</t>
      </text>
    </comment>
    <comment ref="B285" authorId="12" shapeId="0" xr:uid="{F0D86D4C-94FF-415E-A7D1-FDE462BA2080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Agilant van driver</t>
      </text>
    </comment>
    <comment ref="B320" authorId="13" shapeId="0" xr:uid="{5AB74605-9AC3-47F9-B94C-227F0711367E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Agilant van driver</t>
      </text>
    </comment>
    <comment ref="E349" authorId="14" shapeId="0" xr:uid="{7BDD2776-56FA-4CA0-A391-467314FC4B4B}">
      <text>
        <t>[Threaded comment]
Your version of Excel allows you to read this threaded comment; however, any edits to it will get removed if the file is opened in a newer version of Excel. Learn more: https://go.microsoft.com/fwlink/?linkid=870924
Comment:
    Lighter week, no OT</t>
      </text>
    </comment>
    <comment ref="B355" authorId="15" shapeId="0" xr:uid="{90C6D900-CE07-4256-BF57-F3A2D0E91A4D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Agilant van driver</t>
      </text>
    </comment>
    <comment ref="F362" authorId="1" shapeId="0" xr:uid="{BF4CD178-2FB5-4082-99BF-95AF62A895AF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6:15AM</t>
        </r>
      </text>
    </comment>
    <comment ref="B390" authorId="16" shapeId="0" xr:uid="{2F90B2B5-8DB7-4E21-BAC6-C896BF83469C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Agilant van driver</t>
      </text>
    </comment>
    <comment ref="U397" authorId="1" shapeId="0" xr:uid="{D0BF670D-D36F-4F05-99DB-FC4CA6A4137A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6AM</t>
        </r>
      </text>
    </comment>
    <comment ref="Z397" authorId="1" shapeId="0" xr:uid="{0849857A-97F7-4900-A9B1-6BD3FA9E52E8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7AM</t>
        </r>
      </text>
    </comment>
    <comment ref="B425" authorId="17" shapeId="0" xr:uid="{C65DC90A-C345-40BD-8C44-CB30C73D4540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Agilant van driver</t>
      </text>
    </comment>
    <comment ref="T430" authorId="18" shapeId="0" xr:uid="{CEE7ED10-5838-4B05-9B80-DF86ABE44C75}">
      <text>
        <t>[Threaded comment]
Your version of Excel allows you to read this threaded comment; however, any edits to it will get removed if the file is opened in a newer version of Excel. Learn more: https://go.microsoft.com/fwlink/?linkid=870924
Comment:
    Justin drove the van for deliveries</t>
      </text>
    </comment>
    <comment ref="K432" authorId="1" shapeId="0" xr:uid="{8253063D-06F0-4DA0-BA4D-B0C0F1D5D143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7:30 (&amp; 5-5:45)</t>
        </r>
      </text>
    </comment>
    <comment ref="P432" authorId="1" shapeId="0" xr:uid="{9E1EE723-5798-42CF-B043-048324B18D54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Half hour lunch</t>
        </r>
      </text>
    </comment>
    <comment ref="Z432" authorId="1" shapeId="0" xr:uid="{D505355C-D974-4AE1-AA7E-90CFA0F8BD43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7AM and after 5</t>
        </r>
      </text>
    </comment>
    <comment ref="O454" authorId="19" shapeId="0" xr:uid="{50A5AC40-6CD4-4302-A438-03BCB3E38E5F}">
      <text>
        <t>[Threaded comment]
Your version of Excel allows you to read this threaded comment; however, any edits to it will get removed if the file is opened in a newer version of Excel. Learn more: https://go.microsoft.com/fwlink/?linkid=870924
Comment:
    Palo Alto Delivery same day</t>
      </text>
    </comment>
    <comment ref="B460" authorId="20" shapeId="0" xr:uid="{1E37CB8C-1542-4210-BB0A-0961FF39569D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Agilant van driver</t>
      </text>
    </comment>
    <comment ref="K467" authorId="1" shapeId="0" xr:uid="{03ED6322-1D12-4CA7-A2C6-8BD40F65063B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7AM - 5:30PM</t>
        </r>
      </text>
    </comment>
    <comment ref="P467" authorId="1" shapeId="0" xr:uid="{0C76AD79-3199-46F1-970F-FCEE28FEA9C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7AM - 5:30</t>
        </r>
      </text>
    </comment>
    <comment ref="Z467" authorId="1" shapeId="0" xr:uid="{E51971BC-08EB-4C8E-9626-B169081444A6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6:45-5:15</t>
        </r>
      </text>
    </comment>
    <comment ref="T489" authorId="21" shapeId="0" xr:uid="{70122AAF-7069-4EEC-8BC4-1E710FE8AD36}">
      <text>
        <t>[Threaded comment]
Your version of Excel allows you to read this threaded comment; however, any edits to it will get removed if the file is opened in a newer version of Excel. Learn more: https://go.microsoft.com/fwlink/?linkid=870924
Comment:
    White Plains Delivery</t>
      </text>
    </comment>
    <comment ref="B495" authorId="22" shapeId="0" xr:uid="{1B366960-7B09-4F21-903A-5C1537DFD9F5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Agilant van driver</t>
      </text>
    </comment>
    <comment ref="Y502" authorId="1" shapeId="0" xr:uid="{94C37DBB-C062-4387-B7B5-65FE0741E74A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7:15-6:30</t>
        </r>
      </text>
    </comment>
    <comment ref="E524" authorId="23" shapeId="0" xr:uid="{D4587AF6-265B-4134-8B81-9ADA97446A00}">
      <text>
        <t>[Threaded comment]
Your version of Excel allows you to read this threaded comment; however, any edits to it will get removed if the file is opened in a newer version of Excel. Learn more: https://go.microsoft.com/fwlink/?linkid=870924
Comment:
    White Plains Hospital Deliveries</t>
      </text>
    </comment>
    <comment ref="J524" authorId="24" shapeId="0" xr:uid="{9763AC78-3C43-42F2-946A-3B236A4113E6}">
      <text>
        <t>[Threaded comment]
Your version of Excel allows you to read this threaded comment; however, any edits to it will get removed if the file is opened in a newer version of Excel. Learn more: https://go.microsoft.com/fwlink/?linkid=870924
Comment:
    Only sent Abdul and Aatif, Aamir worked on monitor cardboard in warehouse for less than full day</t>
      </text>
    </comment>
    <comment ref="T525" authorId="25" shapeId="0" xr:uid="{6D3C0771-3C67-45CB-ADD8-B47F728F4DD3}">
      <text>
        <t>[Threaded comment]
Your version of Excel allows you to read this threaded comment; however, any edits to it will get removed if the file is opened in a newer version of Excel. Learn more: https://go.microsoft.com/fwlink/?linkid=870924
Comment:
    White Plains Hospital delivery in van, stayed to do cardboard</t>
      </text>
    </comment>
    <comment ref="B530" authorId="26" shapeId="0" xr:uid="{80658687-EE39-4850-8766-BABD0566D6D2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Agilant van driver</t>
      </text>
    </comment>
    <comment ref="K537" authorId="1" shapeId="0" xr:uid="{7B5E418D-7BD9-4858-B13A-751D331A09B5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7:30 - 6</t>
        </r>
      </text>
    </comment>
    <comment ref="Z537" authorId="1" shapeId="0" xr:uid="{800CF3E5-7C4E-4C7F-864F-4FECE74D6C9E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7AM - 5PM</t>
        </r>
      </text>
    </comment>
    <comment ref="E559" authorId="27" shapeId="0" xr:uid="{C0AE04E1-9331-464D-8129-CCFBFC7685F3}">
      <text>
        <t>[Threaded comment]
Your version of Excel allows you to read this threaded comment; however, any edits to it will get removed if the file is opened in a newer version of Excel. Learn more: https://go.microsoft.com/fwlink/?linkid=870924
Comment:
    Did pickup in Manhattan for other project, did a delivery in LI as well as crushed cardboard of monitors</t>
      </text>
    </comment>
    <comment ref="J559" authorId="28" shapeId="0" xr:uid="{A01588FA-DB39-40EC-BD47-BFBCD64AE2CB}">
      <text>
        <t>[Threaded comment]
Your version of Excel allows you to read this threaded comment; however, any edits to it will get removed if the file is opened in a newer version of Excel. Learn more: https://go.microsoft.com/fwlink/?linkid=870924
Comment:
    No Epic Monitor related activities, truck inspection/oil change/recall fix</t>
      </text>
    </comment>
    <comment ref="Y559" authorId="29" shapeId="0" xr:uid="{E3AC0036-9B9B-4BF3-AC1F-FAB879174576}">
      <text>
        <t>[Threaded comment]
Your version of Excel allows you to read this threaded comment; however, any edits to it will get removed if the file is opened in a newer version of Excel. Learn more: https://go.microsoft.com/fwlink/?linkid=870924
Comment:
    Abdul and Aatif were off this day</t>
      </text>
    </comment>
    <comment ref="O560" authorId="30" shapeId="0" xr:uid="{CA8328F4-1E0A-459B-B768-B0292765F548}">
      <text>
        <t>[Threaded comment]
Your version of Excel allows you to read this threaded comment; however, any edits to it will get removed if the file is opened in a newer version of Excel. Learn more: https://go.microsoft.com/fwlink/?linkid=870924
Comment:
    Aamir stayed and crushed cardboard, only some of it was from monitor project, others were from Epic Training Room project headed by Kevin Suarez</t>
      </text>
    </comment>
    <comment ref="Y560" authorId="31" shapeId="0" xr:uid="{348E052A-D242-4FB1-85C9-1F3EBBCCF708}">
      <text>
        <t>[Threaded comment]
Your version of Excel allows you to read this threaded comment; however, any edits to it will get removed if the file is opened in a newer version of Excel. Learn more: https://go.microsoft.com/fwlink/?linkid=870924
Comment:
    Aamir spent some of the day doing Akbar delivery</t>
      </text>
    </comment>
    <comment ref="B565" authorId="32" shapeId="0" xr:uid="{7F9F7BEA-FAEC-40C2-A95B-BDBEB57DE694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Agilant van driver</t>
      </text>
    </comment>
    <comment ref="Y569" authorId="33" shapeId="0" xr:uid="{26A1EF01-1201-492E-B79D-2A45B670D4CF}">
      <text>
        <r>
          <rPr>
            <sz val="10"/>
            <color theme="1"/>
            <rFont val="Century Gothic"/>
            <family val="2"/>
          </rPr>
          <t>Christopher Allen:
Only van was used, Abdul was off</t>
        </r>
      </text>
    </comment>
    <comment ref="P572" authorId="1" shapeId="0" xr:uid="{94470D99-7B2E-480F-A2FC-760B1514CC6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7:30 - 6</t>
        </r>
      </text>
    </comment>
    <comment ref="U572" authorId="1" shapeId="0" xr:uid="{8A6DB444-9332-4972-8856-52BE62ABE0B8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7AM - 6PM</t>
        </r>
      </text>
    </comment>
    <comment ref="Z572" authorId="1" shapeId="0" xr:uid="{CCCAC8DD-0AD5-4916-8B5A-17CF02D4120B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6:30AM - 5:45PM</t>
        </r>
      </text>
    </comment>
    <comment ref="O594" authorId="34" shapeId="0" xr:uid="{271CCF08-74EF-4EC6-ACF3-1848A58E7A5E}">
      <text>
        <t>[Threaded comment]
Your version of Excel allows you to read this threaded comment; however, any edits to it will get removed if the file is opened in a newer version of Excel. Learn more: https://go.microsoft.com/fwlink/?linkid=870924
Comment:
    Did Capsule/Cybernet delivery in MEETH and Epic Training Room things</t>
      </text>
    </comment>
    <comment ref="T594" authorId="35" shapeId="0" xr:uid="{86BADA70-9F02-4B9E-83E5-96D5AA23588B}">
      <text>
        <t>[Threaded comment]
Your version of Excel allows you to read this threaded comment; however, any edits to it will get removed if the file is opened in a newer version of Excel. Learn more: https://go.microsoft.com/fwlink/?linkid=870924
Comment:
    Epic Training Room things</t>
      </text>
    </comment>
    <comment ref="F607" authorId="1" shapeId="0" xr:uid="{D27DC5C3-DD3A-4403-8A1A-D3ABB5C2EEB9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.5 lunch for interview
6PM</t>
        </r>
      </text>
    </comment>
    <comment ref="K607" authorId="1" shapeId="0" xr:uid="{66905F91-CEC8-48E1-9EE3-9B7DB507E0AD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7:15 - 5:15
no lunch for a call</t>
        </r>
      </text>
    </comment>
    <comment ref="P607" authorId="1" shapeId="0" xr:uid="{1843B140-2176-4F40-9A16-1A7EF0B1306C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7AM</t>
        </r>
      </text>
    </comment>
    <comment ref="U607" authorId="1" shapeId="0" xr:uid="{85184462-3FB8-4B61-9574-52A59383C1FB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6:45AM - 6PM</t>
        </r>
      </text>
    </comment>
    <comment ref="Z607" authorId="1" shapeId="0" xr:uid="{82C6C202-7149-4889-9067-A5B0D610EE0A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6:45</t>
        </r>
      </text>
    </comment>
    <comment ref="J629" authorId="36" shapeId="0" xr:uid="{61FADD11-3749-4BAC-AC83-C982BB0EC0C1}">
      <text>
        <t>[Threaded comment]
Your version of Excel allows you to read this threaded comment; however, any edits to it will get removed if the file is opened in a newer version of Excel. Learn more: https://go.microsoft.com/fwlink/?linkid=870924
Comment:
    Van used for delivery, not enough room for same day pickup so truck was sent after its other tasks</t>
      </text>
    </comment>
    <comment ref="F642" authorId="1" shapeId="0" xr:uid="{E30DC039-5205-463C-AB54-CCD6978592B4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7AM-6PM</t>
        </r>
      </text>
    </comment>
    <comment ref="K642" authorId="1" shapeId="0" xr:uid="{12A25ACA-DE23-4D40-9B7F-DA7D6F335618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6:45AM - 5:30</t>
        </r>
      </text>
    </comment>
    <comment ref="P642" authorId="1" shapeId="0" xr:uid="{BF8D624D-602B-4673-A362-733B3CEE40DF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7AM - 6:15PM</t>
        </r>
      </text>
    </comment>
    <comment ref="U642" authorId="1" shapeId="0" xr:uid="{0E1D9DD2-6F20-45D8-8582-80BB4CA6D7B1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6-6.25</t>
        </r>
      </text>
    </comment>
    <comment ref="Z642" authorId="1" shapeId="0" xr:uid="{9A7FA417-62A4-4887-8F9D-AB54E657881F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6:30-6</t>
        </r>
      </text>
    </comment>
    <comment ref="T664" authorId="37" shapeId="0" xr:uid="{1CC4D28A-7C00-4960-B7D7-DCB7B95CFE4F}">
      <text>
        <t>[Threaded comment]
Your version of Excel allows you to read this threaded comment; however, any edits to it will get removed if the file is opened in a newer version of Excel. Learn more: https://go.microsoft.com/fwlink/?linkid=870924
Comment:
    Crushed cardboard</t>
      </text>
    </comment>
    <comment ref="J675" authorId="38" shapeId="0" xr:uid="{25B8F3C1-C85B-46B4-BB62-63B2EE4D914F}">
      <text>
        <t>[Threaded comment]
Your version of Excel allows you to read this threaded comment; however, any edits to it will get removed if the file is opened in a newer version of Excel. Learn more: https://go.microsoft.com/fwlink/?linkid=870924
Comment:
    NY Minute did Phelps delivery, our truck picked up</t>
      </text>
    </comment>
    <comment ref="O1218" authorId="39" shapeId="0" xr:uid="{9DD04503-25CA-4378-BABA-3972F389A2A8}">
      <text>
        <t>[Threaded comment]
Your version of Excel allows you to read this threaded comment; however, any edits to it will get removed if the file is opened in a newer version of Excel. Learn more: https://go.microsoft.com/fwlink/?linkid=870924
Comment:
    NY Minute</t>
      </text>
    </comment>
    <comment ref="W1586" authorId="40" shapeId="0" xr:uid="{52EE3DBA-0933-4C1E-8933-E81B348CC130}">
      <text>
        <t>[Threaded comment]
Your version of Excel allows you to read this threaded comment; however, any edits to it will get removed if the file is opened in a newer version of Excel. Learn more: https://go.microsoft.com/fwlink/?linkid=870924
Comment:
    Enter by Neha based on Paylocity report</t>
      </text>
    </comment>
    <comment ref="J1936" authorId="41" shapeId="0" xr:uid="{644CCB63-476B-41B1-950D-50772139D4E2}">
      <text>
        <t>[Threaded comment]
Your version of Excel allows you to read this threaded comment; however, any edits to it will get removed if the file is opened in a newer version of Excel. Learn more: https://go.microsoft.com/fwlink/?linkid=870924
Comment:
    ELM Warehouse</t>
      </text>
    </comment>
    <comment ref="O1936" authorId="42" shapeId="0" xr:uid="{DEF5A0B7-9B97-46E1-AE14-125C094DCABA}">
      <text>
        <t>[Threaded comment]
Your version of Excel allows you to read this threaded comment; however, any edits to it will get removed if the file is opened in a newer version of Excel. Learn more: https://go.microsoft.com/fwlink/?linkid=870924
Comment:
    For receiving and storage costs at ELM warehouse of 22 pallets</t>
      </text>
    </comment>
    <comment ref="E2045" authorId="43" shapeId="0" xr:uid="{22153672-7DAA-4FB2-BE13-7ABD1B4C9725}">
      <text>
        <t>[Threaded comment]
Your version of Excel allows you to read this threaded comment; however, any edits to it will get removed if the file is opened in a newer version of Excel. Learn more: https://go.microsoft.com/fwlink/?linkid=870924
Comment:
    All monitor hours for cardboard disposal this day</t>
      </text>
    </comment>
    <comment ref="J2082" authorId="44" shapeId="0" xr:uid="{08ECEF53-CE9C-44FF-9584-9E83CB6D14DE}">
      <text>
        <t>[Threaded comment]
Your version of Excel allows you to read this threaded comment; however, any edits to it will get removed if the file is opened in a newer version of Excel. Learn more: https://go.microsoft.com/fwlink/?linkid=870924
Comment:
    Cardboard</t>
      </text>
    </comment>
    <comment ref="Y2082" authorId="45" shapeId="0" xr:uid="{DC6001B0-AC59-45EF-97EC-79C70D82B14A}">
      <text>
        <t>[Threaded comment]
Your version of Excel allows you to read this threaded comment; however, any edits to it will get removed if the file is opened in a newer version of Excel. Learn more: https://go.microsoft.com/fwlink/?linkid=870924
Comment:
    Cardboard</t>
      </text>
    </comment>
    <comment ref="Y2091" authorId="46" shapeId="0" xr:uid="{5165BF37-233F-49CD-957B-2F8CC1F9D142}">
      <text>
        <t>[Threaded comment]
Your version of Excel allows you to read this threaded comment; however, any edits to it will get removed if the file is opened in a newer version of Excel. Learn more: https://go.microsoft.com/fwlink/?linkid=870924
Comment:
    ELM Monitor Storage</t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tc={5CBD8058-61DB-429D-A9F2-60F3D80BD986}</author>
    <author>tc={31D68C93-6CD2-4352-97B6-BEBE00571174}</author>
    <author>tc={ADD86388-1A84-4351-9B03-66C5FB898681}</author>
    <author>tc={31115EB6-1CDE-4760-90D5-40A5A38DF04B}</author>
    <author>tc={6DBEA6FE-D527-4C3B-A3E7-5ABE86A3ABE1}</author>
    <author>tc={02C3AAAE-B3D3-4135-B2E8-9C82CA281CB3}</author>
    <author>tc={D2471C7E-1A44-44F9-B546-57F6D46169C5}</author>
    <author>tc={AD621E5D-BE75-492B-9A54-4B851ED6A3CF}</author>
    <author>tc={12D2946C-B08D-4AF0-A05E-A058B1E0B0C6}</author>
    <author>tc={96DA48F7-F425-4B2B-B08E-03CDB0C4FCA3}</author>
    <author>tc={BD95CF6C-5B08-452E-A306-35CA5A3FFE55}</author>
  </authors>
  <commentList>
    <comment ref="E11" authorId="0" shapeId="0" xr:uid="{00000000-0006-0000-0A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On this day they mixed our shipment in with 2 other shipments and still charge full price after getting to SIUHS 3-4 hours later than expected.</t>
      </text>
    </comment>
    <comment ref="G14" authorId="1" shapeId="0" xr:uid="{00000000-0006-0000-0A00-00000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Total Hours 4/15/24</t>
      </text>
    </comment>
    <comment ref="E17" authorId="2" shapeId="0" xr:uid="{00000000-0006-0000-0A00-00000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They didn't pick up on Thursday due to how late they arrived, Northwell took care of boxes. They sent a truck on Friday 4/19/24 thinking they needed to pick up but never informed me they never picked up boxes on Thursday 4/18/24.</t>
      </text>
    </comment>
    <comment ref="G18" authorId="3" shapeId="0" xr:uid="{00000000-0006-0000-0A00-000004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Total hours 4/18/24</t>
      </text>
    </comment>
    <comment ref="E20" authorId="4" shapeId="0" xr:uid="{00000000-0006-0000-0A00-000005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Marvin (Tate Support Group SO#167584)</t>
      </text>
    </comment>
    <comment ref="E21" authorId="5" shapeId="0" xr:uid="{00000000-0006-0000-0A00-000006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Marvin
Reply:
    SO# 167584</t>
      </text>
    </comment>
    <comment ref="G24" authorId="6" shapeId="0" xr:uid="{00000000-0006-0000-0A00-000007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Total hours 4/18/24</t>
      </text>
    </comment>
    <comment ref="E26" authorId="7" shapeId="0" xr:uid="{00000000-0006-0000-0A00-000008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NY Minute, extra $375 for destination outside of 5 buros</t>
      </text>
    </comment>
    <comment ref="E27" authorId="8" shapeId="0" xr:uid="{00000000-0006-0000-0A00-000009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Conservative Estimate, Yearly Lease fee divided by 240 work days plus fuel plus tolls, no maintenance/registration included</t>
      </text>
    </comment>
    <comment ref="D29" authorId="9" shapeId="0" xr:uid="{00000000-0006-0000-0A00-00000A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Actually delivered here, reduced price</t>
      </text>
    </comment>
    <comment ref="A148" authorId="10" shapeId="0" xr:uid="{00000000-0006-0000-0A00-00000B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Oil Change for truck on 8/8</t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Agilant</author>
  </authors>
  <commentList>
    <comment ref="AG3" authorId="0" shapeId="0" xr:uid="{91FC3BE4-E154-4AFE-A50E-52794817FBD4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Matt L used some of these hours on a different NW acct</t>
        </r>
      </text>
    </comment>
    <comment ref="AH4" authorId="0" shapeId="0" xr:uid="{0D42E09F-6F15-4198-BDD3-CC01B5725679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Based on Certinia</t>
        </r>
      </text>
    </comment>
    <comment ref="X7" authorId="0" shapeId="0" xr:uid="{DCC5725E-997D-46C1-A705-77A7FD278278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see Total Tech Hrs to Date</t>
        </r>
      </text>
    </comment>
    <comment ref="D33" authorId="0" shapeId="0" xr:uid="{AC423BE3-A470-4A3C-B888-39213DB2DD8A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7am - 7pm</t>
        </r>
      </text>
    </comment>
    <comment ref="I33" authorId="0" shapeId="0" xr:uid="{DBA4A693-2CC0-47F5-9CD6-F2C4E2E6565E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6:45AM-7PM</t>
        </r>
      </text>
    </comment>
    <comment ref="N33" authorId="0" shapeId="0" xr:uid="{1ADFF035-5DF1-4230-A77B-EA6CBBE5D379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6:45A - 6PM</t>
        </r>
      </text>
    </comment>
    <comment ref="T33" authorId="0" shapeId="0" xr:uid="{3D2D0183-347A-4BF3-81C5-EBE8315A9F7D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7AM
No lunch</t>
        </r>
      </text>
    </comment>
    <comment ref="D91" authorId="0" shapeId="0" xr:uid="{385DAE84-E675-4ECC-9B2B-3EAE6D778566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At PW for 8hs training</t>
        </r>
      </text>
    </comment>
    <comment ref="I336" authorId="0" shapeId="0" xr:uid="{049AD079-E5DF-4C45-A06C-31BE4184452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Josh</t>
        </r>
      </text>
    </comment>
    <comment ref="N336" authorId="0" shapeId="0" xr:uid="{EB0AD07D-C6E1-4062-88B4-0AC931A534B5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Josh</t>
        </r>
      </text>
    </comment>
    <comment ref="S336" authorId="0" shapeId="0" xr:uid="{4633E06A-3823-4980-A309-232CDCFA983F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Josh</t>
        </r>
      </text>
    </comment>
    <comment ref="X336" authorId="0" shapeId="0" xr:uid="{4F8A2ABB-6177-40A6-8AB4-D26D4472722F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Joseph</t>
        </r>
      </text>
    </comment>
    <comment ref="H364" authorId="0" shapeId="0" xr:uid="{ECADDB88-29E4-410E-8523-EE5A9BE639D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No $35 travel reimb</t>
        </r>
      </text>
    </comment>
    <comment ref="Z369" authorId="0" shapeId="0" xr:uid="{41F308B2-F29B-4562-8B8D-74AE35CB6D16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Partially entered under PM in Certinia (this is incorrect)</t>
        </r>
      </text>
    </comment>
    <comment ref="AA404" authorId="0" shapeId="0" xr:uid="{663FB889-03F4-4D2A-9509-1D9F4846700D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bill under reg eng hrs * 1.5</t>
        </r>
      </text>
    </comment>
    <comment ref="AJ404" authorId="0" shapeId="0" xr:uid="{450D50A4-354C-46C8-8FE9-F4C97DF4D71C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bill under reg eng hrs * 1.5</t>
        </r>
      </text>
    </comment>
    <comment ref="Z405" authorId="0" shapeId="0" xr:uid="{C6CA0532-247D-47D3-98A7-7F14B37F3064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bill under reg eng hrs * 1.5</t>
        </r>
      </text>
    </comment>
    <comment ref="AA439" authorId="0" shapeId="0" xr:uid="{E7297BA0-C8FC-4F35-A695-5E4C0DAD431A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bill under reg eng hrs * 1.5</t>
        </r>
      </text>
    </comment>
    <comment ref="AJ439" authorId="0" shapeId="0" xr:uid="{41BF4CC8-1FBE-4FFF-8AF2-56F046138DD8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bill under reg eng hrs * 1.5</t>
        </r>
      </text>
    </comment>
    <comment ref="Z440" authorId="0" shapeId="0" xr:uid="{84023A3D-C37B-4D4A-9D98-F892488AA876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bill under reg eng hrs * 1.5</t>
        </r>
      </text>
    </comment>
    <comment ref="AA475" authorId="0" shapeId="0" xr:uid="{5DB95E61-4FC8-4E83-82E7-4898C64F6756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bill under reg eng hrs * 1.5</t>
        </r>
      </text>
    </comment>
    <comment ref="AJ475" authorId="0" shapeId="0" xr:uid="{BAD58857-E5FE-4412-AA53-88FE534A1678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bill under reg eng hrs * 1.5</t>
        </r>
      </text>
    </comment>
    <comment ref="Z476" authorId="0" shapeId="0" xr:uid="{27D9DC75-AD85-46CB-9776-95CCFD1A4ECC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bill under reg eng hrs * 1.5</t>
        </r>
      </text>
    </comment>
    <comment ref="AA511" authorId="0" shapeId="0" xr:uid="{A095FDED-F805-4508-BABB-8863ECBC41A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bill under reg eng hrs * 1.5</t>
        </r>
      </text>
    </comment>
    <comment ref="AJ511" authorId="0" shapeId="0" xr:uid="{72EE0F35-D1DE-4085-810C-C805646B50B9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bill under reg eng hrs * 1.5</t>
        </r>
      </text>
    </comment>
    <comment ref="X512" authorId="0" shapeId="0" xr:uid="{F79AE49D-139F-4DF5-8F82-31CC23073C19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bill under reg eng hrs * 1.5</t>
        </r>
      </text>
    </comment>
    <comment ref="AA549" authorId="0" shapeId="0" xr:uid="{2D1A64DD-F798-4C0F-9E9E-BEBF4DD9F785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bill under reg eng hrs * 1.5</t>
        </r>
      </text>
    </comment>
    <comment ref="AJ549" authorId="0" shapeId="0" xr:uid="{617CC364-A133-45E7-B51F-5227DBCD43E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bill under reg eng hrs * 1.5</t>
        </r>
      </text>
    </comment>
    <comment ref="Z550" authorId="0" shapeId="0" xr:uid="{CA07ECB4-80FE-40A8-81EF-1999DDB107C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bill under reg eng hrs * 1.5</t>
        </r>
      </text>
    </comment>
    <comment ref="AA587" authorId="0" shapeId="0" xr:uid="{F21930FB-3950-4B48-A3EC-D7781545D2F2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bill under reg eng hrs * 1.5</t>
        </r>
      </text>
    </comment>
    <comment ref="AJ587" authorId="0" shapeId="0" xr:uid="{00265018-BFE5-40A5-9914-D8C1F5FFAF9C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bill under reg eng hrs * 1.5</t>
        </r>
      </text>
    </comment>
    <comment ref="Z588" authorId="0" shapeId="0" xr:uid="{4455B099-E8A7-4B4D-B2F3-E290B370CEFA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bill under reg eng hrs * 1.5</t>
        </r>
      </text>
    </comment>
    <comment ref="X624" authorId="0" shapeId="0" xr:uid="{1EE49656-ABE4-4021-A0B8-6F6CA63C0CDA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2 separate 4hr shifts</t>
        </r>
      </text>
    </comment>
    <comment ref="AA625" authorId="0" shapeId="0" xr:uid="{AB861908-E51B-4E55-A5FE-4C888D551D9D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bill under reg eng hrs * 1.5</t>
        </r>
      </text>
    </comment>
    <comment ref="AJ625" authorId="0" shapeId="0" xr:uid="{E05E3EFA-393C-4DA8-B7FC-7133F4E36365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bill under reg eng hrs * 1.5</t>
        </r>
      </text>
    </comment>
    <comment ref="Z626" authorId="0" shapeId="0" xr:uid="{29C111FC-B6E9-4EDC-AF02-DD43907C8553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bill under reg eng hrs * 1.5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Agilant</author>
  </authors>
  <commentList>
    <comment ref="Z8" authorId="0" shapeId="0" xr:uid="{8F79A98B-492F-4998-91C9-304FBA151DDD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Remaining billed under Tech hrs * 1.316</t>
        </r>
      </text>
    </comment>
    <comment ref="AB50" authorId="0" shapeId="0" xr:uid="{43B2FFB2-7015-4C5D-BF9D-7C37957B7726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bill under eng OT hrs * 1.316</t>
        </r>
      </text>
    </comment>
    <comment ref="AK50" authorId="0" shapeId="0" xr:uid="{7582434F-96B6-4A71-87AD-678DF0B38259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bill under eng OT hrs * 1.316</t>
        </r>
      </text>
    </comment>
    <comment ref="AB69" authorId="0" shapeId="0" xr:uid="{FD5C75D4-96A1-4642-AB0C-85FAE2EB430C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bill under eng OT hrs * 1.316</t>
        </r>
      </text>
    </comment>
    <comment ref="AK69" authorId="0" shapeId="0" xr:uid="{61C05E7A-6F9F-4EEF-A4A4-BA8A4A43B4DA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bill under eng OT hrs * 1.316</t>
        </r>
      </text>
    </comment>
    <comment ref="AB89" authorId="0" shapeId="0" xr:uid="{7149CDAC-1B27-432D-A72E-A8A00F6DC35C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bill under eng OT hrs * 1.316</t>
        </r>
      </text>
    </comment>
    <comment ref="AK89" authorId="0" shapeId="0" xr:uid="{382826C2-F29E-4E1E-9E43-C00DAE778564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bill under eng OT hrs * 1.316</t>
        </r>
      </text>
    </comment>
    <comment ref="AB110" authorId="0" shapeId="0" xr:uid="{2F2A77FF-0F8C-4C80-A514-87C65BDE2079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bill under eng OT hrs * 1.316</t>
        </r>
      </text>
    </comment>
    <comment ref="AK131" authorId="0" shapeId="0" xr:uid="{D5428AC8-9A15-450E-B009-827302EF483E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bill under eng OT hrs * 1.316</t>
        </r>
      </text>
    </comment>
    <comment ref="AK152" authorId="0" shapeId="0" xr:uid="{BB0A6469-2E2C-423F-B704-254879F6863A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bill under eng OT hrs * 1.316</t>
        </r>
      </text>
    </comment>
    <comment ref="AK173" authorId="0" shapeId="0" xr:uid="{93FDEC11-851E-4828-B49E-3D18173F4637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bill under eng OT hrs * 1.316</t>
        </r>
      </text>
    </comment>
    <comment ref="AK194" authorId="0" shapeId="0" xr:uid="{F764BBCC-7DB8-45E8-919B-6A948E0D8DA6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bill under eng OT hrs * 1.316</t>
        </r>
      </text>
    </comment>
    <comment ref="AA242" authorId="0" shapeId="0" xr:uid="{632BCD58-9D36-47FC-9B9E-615AA5ACB973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bill under reg eng hrs * 1.316</t>
        </r>
      </text>
    </comment>
    <comment ref="AK242" authorId="0" shapeId="0" xr:uid="{F3FB48B5-323E-4B73-BF89-CDA341711B3E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bill under eng OT hrs * 1.316</t>
        </r>
      </text>
    </comment>
    <comment ref="AA266" authorId="0" shapeId="0" xr:uid="{2DA64BCF-F2EB-4903-969D-CDD4069E984F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bill under reg eng hrs * 1.316</t>
        </r>
      </text>
    </comment>
    <comment ref="AK266" authorId="0" shapeId="0" xr:uid="{8BC0328B-63BA-4511-86FF-FE4EC2292A5F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bill under eng OT hrs * 1.316</t>
        </r>
      </text>
    </comment>
    <comment ref="AA290" authorId="0" shapeId="0" xr:uid="{3DB29DD1-B103-4B58-B914-30EC637F1D0B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bill under reg eng hrs * 1.316</t>
        </r>
      </text>
    </comment>
    <comment ref="AK290" authorId="0" shapeId="0" xr:uid="{D7B42E7B-1217-42CE-9449-F8B6DA84A1C7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bill under eng OT hrs * 1.316</t>
        </r>
      </text>
    </comment>
    <comment ref="Y311" authorId="0" shapeId="0" xr:uid="{EFFA8A6C-6B31-4E1B-86A1-B8D1EA0364AF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for 9/16 8 hrs</t>
        </r>
      </text>
    </comment>
    <comment ref="AA314" authorId="0" shapeId="0" xr:uid="{73E00E82-8551-4FA8-B667-E9984B6AB39D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bill under reg eng hrs * 1.316</t>
        </r>
      </text>
    </comment>
    <comment ref="AB314" authorId="0" shapeId="0" xr:uid="{918B7679-B686-48BF-9DE1-82FC64CFEE3C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bill under eng OT hrs * 1.316</t>
        </r>
      </text>
    </comment>
    <comment ref="AK314" authorId="0" shapeId="0" xr:uid="{5066064C-F21A-407B-B085-C85B67859E74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bill under eng OT hrs * 1.316</t>
        </r>
      </text>
    </comment>
    <comment ref="E335" authorId="0" shapeId="0" xr:uid="{C93645D0-B4F9-4DB6-8351-27DE501D9BC4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for 9/17 8 hrs</t>
        </r>
      </text>
    </comment>
    <comment ref="Y335" authorId="0" shapeId="0" xr:uid="{59D24589-3D64-48B8-B9E5-EFB769B36B62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for 9/18 8 hrs</t>
        </r>
      </text>
    </comment>
    <comment ref="AA338" authorId="0" shapeId="0" xr:uid="{E33BF80F-C9D4-49E8-9F90-B3926FE827D5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bill under reg eng hrs * 1.316</t>
        </r>
      </text>
    </comment>
    <comment ref="E359" authorId="0" shapeId="0" xr:uid="{AE1A4FF6-4A17-4180-A8B7-97E0E4202246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for 9/23 8 hrs</t>
        </r>
      </text>
    </comment>
    <comment ref="Y359" authorId="0" shapeId="0" xr:uid="{8936211E-C3C4-4A30-8AE1-0B7341398692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for 9/24 8 hrs</t>
        </r>
      </text>
    </comment>
    <comment ref="AA362" authorId="0" shapeId="0" xr:uid="{C7F14354-138D-45AA-9F80-3700BF93493A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bill under reg eng hrs * 1.316</t>
        </r>
      </text>
    </comment>
    <comment ref="E383" authorId="0" shapeId="0" xr:uid="{31F3CB96-F42F-4141-929A-E599090A37CA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for 9/25 8 hrs</t>
        </r>
      </text>
    </comment>
    <comment ref="Y383" authorId="0" shapeId="0" xr:uid="{2F67424B-44EA-4810-879A-76DD8F933476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for 9/30 8 hrs</t>
        </r>
      </text>
    </comment>
    <comment ref="AA386" authorId="0" shapeId="0" xr:uid="{6A1E5906-D0E1-4852-A149-B59481DD2AE4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bill under reg eng hrs * 1.316</t>
        </r>
      </text>
    </comment>
    <comment ref="AA410" authorId="0" shapeId="0" xr:uid="{0BA4BF40-CA25-47B0-8369-3FDB27F33F34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bill under reg eng hrs * 1.316</t>
        </r>
      </text>
    </comment>
    <comment ref="AA434" authorId="0" shapeId="0" xr:uid="{B8C847F4-B457-4C9C-B23D-A5D792C1ACEC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bill under reg eng hrs * 1.316</t>
        </r>
      </text>
    </comment>
    <comment ref="AA458" authorId="0" shapeId="0" xr:uid="{948A13E8-543A-4CBB-BDD2-566DD84AEB61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bill under reg eng hrs * 1.316</t>
        </r>
      </text>
    </comment>
    <comment ref="AA482" authorId="0" shapeId="0" xr:uid="{D50828D8-D54A-4ACA-8636-793490349CC1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bill under reg eng hrs * 1.316</t>
        </r>
      </text>
    </comment>
    <comment ref="AA506" authorId="0" shapeId="0" xr:uid="{8EC77E57-C13B-4ED8-AE52-2B63C5DC8F04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bill under reg eng hrs * 1.316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Agilant</author>
  </authors>
  <commentList>
    <comment ref="T17" authorId="0" shapeId="0" xr:uid="{377AE119-2476-4FE7-8BBB-F36820DA92BE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11PM - 1AM to cover Khalidah</t>
        </r>
      </text>
    </comment>
    <comment ref="Y40" authorId="0" shapeId="0" xr:uid="{7916C1EA-319F-4DA5-8618-CD9D47DA4654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go to Epic Monitor W3</t>
        </r>
      </text>
    </comment>
    <comment ref="I71" authorId="0" shapeId="0" xr:uid="{8C13F67A-49C6-4771-9748-E650E844CCD9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go to Epic Monitor W3</t>
        </r>
      </text>
    </comment>
    <comment ref="X378" authorId="0" shapeId="0" xr:uid="{1B1B4A1A-83EE-4652-AD2A-326576B2980B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Paid 3/23 - 4/3</t>
        </r>
      </text>
    </comment>
    <comment ref="X379" authorId="0" shapeId="0" xr:uid="{728A0251-749A-4664-B68D-AFA0F53169C0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Paid 3/23 - 4/3</t>
        </r>
      </text>
    </comment>
    <comment ref="S380" authorId="0" shapeId="0" xr:uid="{D3FD9B94-6CCD-470D-BA77-2515C347B4C6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Paid 3/23 - 4/2</t>
        </r>
      </text>
    </comment>
    <comment ref="X383" authorId="0" shapeId="0" xr:uid="{732FE289-1E7E-4DDF-9F8F-F032A25ED306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Paid 3/23 - 4/3</t>
        </r>
      </text>
    </comment>
    <comment ref="S384" authorId="0" shapeId="0" xr:uid="{B1BE7AF8-EA8A-4231-B0CC-AD178972763B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Paid 3/23 - 4/2</t>
        </r>
      </text>
    </comment>
    <comment ref="S385" authorId="0" shapeId="0" xr:uid="{7E3815D0-F46C-4273-86EE-4A7E291C72DD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Paid 3/23 - 4/2</t>
        </r>
      </text>
    </comment>
    <comment ref="T386" authorId="0" shapeId="0" xr:uid="{6C36E0CE-CA5F-4167-9C8A-032E5E1EAA9C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Paid 3/23 - 4/2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Agilant</author>
  </authors>
  <commentList>
    <comment ref="F2" authorId="0" shapeId="0" xr:uid="{5A5D3CFB-1D95-4F97-B401-A7931B3318CB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1/12 - 5/30</t>
        </r>
      </text>
    </comment>
    <comment ref="F10" authorId="0" shapeId="0" xr:uid="{72527B89-A900-41FA-883D-B0FACCCE0CD4}">
      <text>
        <r>
          <rPr>
            <b/>
            <sz val="9"/>
            <color indexed="81"/>
            <rFont val="Tahoma"/>
            <family val="2"/>
          </rPr>
          <t>Agilant:</t>
        </r>
        <r>
          <rPr>
            <sz val="9"/>
            <color indexed="81"/>
            <rFont val="Tahoma"/>
            <family val="2"/>
          </rPr>
          <t xml:space="preserve">
1/12 - 5/30</t>
        </r>
      </text>
    </comment>
  </commentList>
</comments>
</file>

<file path=xl/sharedStrings.xml><?xml version="1.0" encoding="utf-8"?>
<sst xmlns="http://schemas.openxmlformats.org/spreadsheetml/2006/main" count="39251" uniqueCount="1565">
  <si>
    <t>EPIC Survey Team Weekly Hours</t>
  </si>
  <si>
    <r>
      <rPr>
        <b/>
        <sz val="8"/>
        <color rgb="FFFF0000"/>
        <rFont val="Century Gothic"/>
        <family val="2"/>
      </rPr>
      <t>!!!</t>
    </r>
    <r>
      <rPr>
        <b/>
        <sz val="8"/>
        <color rgb="FFFFFFFF"/>
        <rFont val="Century Gothic"/>
        <family val="2"/>
      </rPr>
      <t>GINA</t>
    </r>
    <r>
      <rPr>
        <b/>
        <sz val="8"/>
        <color rgb="FFFF0000"/>
        <rFont val="Century Gothic"/>
        <family val="2"/>
      </rPr>
      <t>!!!</t>
    </r>
  </si>
  <si>
    <t>SOW Tech Hours:</t>
  </si>
  <si>
    <t>Remaining:</t>
  </si>
  <si>
    <r>
      <t xml:space="preserve">Do </t>
    </r>
    <r>
      <rPr>
        <sz val="8"/>
        <color rgb="FFFF0000"/>
        <rFont val="Century Gothic"/>
        <family val="2"/>
      </rPr>
      <t>NOT</t>
    </r>
    <r>
      <rPr>
        <sz val="8"/>
        <color rgb="FFFFFFFF"/>
        <rFont val="Century Gothic"/>
        <family val="2"/>
      </rPr>
      <t xml:space="preserve"> edit this area. For GINA's use ONLY</t>
    </r>
  </si>
  <si>
    <t>SOW PM Hours:</t>
  </si>
  <si>
    <t>Time Entry Expectations</t>
  </si>
  <si>
    <t>SOW Travel Units:</t>
  </si>
  <si>
    <t>1) Time for Monday - Thursday must be entered by 12PM on Friday</t>
  </si>
  <si>
    <t>Total Tech Hours to Date:</t>
  </si>
  <si>
    <t>Eng OT to Date:</t>
  </si>
  <si>
    <t>2) Time for Friday - Weekends MUST be entered by 9AM on Monday</t>
  </si>
  <si>
    <t>Total PM Hours to Date:</t>
  </si>
  <si>
    <t>PM OT to Date:</t>
  </si>
  <si>
    <t>OT</t>
  </si>
  <si>
    <t>Total Travel Units to Date:</t>
  </si>
  <si>
    <t>Updated</t>
  </si>
  <si>
    <t>Was missing</t>
  </si>
  <si>
    <t xml:space="preserve">Techs </t>
  </si>
  <si>
    <t>Week 
Total Hrs</t>
  </si>
  <si>
    <t>Total Wk OT</t>
  </si>
  <si>
    <t>WKD OT
Total Hrs</t>
  </si>
  <si>
    <t>Wk of 9/4</t>
  </si>
  <si>
    <t>In</t>
  </si>
  <si>
    <t>Out</t>
  </si>
  <si>
    <t>Total</t>
  </si>
  <si>
    <t>Eng. Reg Hrs</t>
  </si>
  <si>
    <t>Jose Diaz</t>
  </si>
  <si>
    <t>Holiday</t>
  </si>
  <si>
    <t>--</t>
  </si>
  <si>
    <t>Eng. Week OT</t>
  </si>
  <si>
    <t>Saiful Islam</t>
  </si>
  <si>
    <t>Eng. Wkd OT</t>
  </si>
  <si>
    <t>Chris Romano</t>
  </si>
  <si>
    <t>PM hrs</t>
  </si>
  <si>
    <t>Ibrahima Ouedraogo</t>
  </si>
  <si>
    <t>PM OT</t>
  </si>
  <si>
    <t>Morgan Mendez</t>
  </si>
  <si>
    <t>PM Wkd OT</t>
  </si>
  <si>
    <t>Tanjim Khan</t>
  </si>
  <si>
    <t>Shai Johnson</t>
  </si>
  <si>
    <t xml:space="preserve">Travel </t>
  </si>
  <si>
    <t>Yostinn Minaya</t>
  </si>
  <si>
    <t>Jesupemi Akanji</t>
  </si>
  <si>
    <t>Khadejah Harrison</t>
  </si>
  <si>
    <t>Khalil Abubakar</t>
  </si>
  <si>
    <t>Jennifer Carela</t>
  </si>
  <si>
    <t>Joshua Mendoza</t>
  </si>
  <si>
    <t>Abubakar Iddriss</t>
  </si>
  <si>
    <t>Felix Baldomero Jr.</t>
  </si>
  <si>
    <t>Jeremiah Hayden</t>
  </si>
  <si>
    <t>Franklin Vo</t>
  </si>
  <si>
    <t>Richard Perez</t>
  </si>
  <si>
    <t>Franklyn Ozoria</t>
  </si>
  <si>
    <t>Faisal Hussain</t>
  </si>
  <si>
    <t xml:space="preserve">Mohammad Akbar </t>
  </si>
  <si>
    <t>Dereck Nunez</t>
  </si>
  <si>
    <t>Rachel Young</t>
  </si>
  <si>
    <t>Matthias Mohabir</t>
  </si>
  <si>
    <t>Zachary Britt</t>
  </si>
  <si>
    <t>Kevin Gaviola</t>
  </si>
  <si>
    <t>TECH TOTALS</t>
  </si>
  <si>
    <t>Colin Skarka (Supervisor)</t>
  </si>
  <si>
    <t>Kaye Orencia (Coordination)</t>
  </si>
  <si>
    <t>Clarissa Beatty (PM)</t>
  </si>
  <si>
    <t xml:space="preserve">Scott Hopkins (PM) </t>
  </si>
  <si>
    <t>PM Totals</t>
  </si>
  <si>
    <t>Travel Units Total:</t>
  </si>
  <si>
    <t>Hospital Visits:</t>
  </si>
  <si>
    <t>Ambulatory Visits:</t>
  </si>
  <si>
    <t>Wk of 9/11</t>
  </si>
  <si>
    <t>Bill Zhou</t>
  </si>
  <si>
    <t>Caesar Olivas</t>
  </si>
  <si>
    <t>Wk of 9/18</t>
  </si>
  <si>
    <t>8:45</t>
  </si>
  <si>
    <t>9:00</t>
  </si>
  <si>
    <t>8:30</t>
  </si>
  <si>
    <t>8:30?</t>
  </si>
  <si>
    <t>9:00?</t>
  </si>
  <si>
    <t>8:00?</t>
  </si>
  <si>
    <t>Wk of 9/25</t>
  </si>
  <si>
    <t>9:30?</t>
  </si>
  <si>
    <t>9:15?</t>
  </si>
  <si>
    <t>9:30</t>
  </si>
  <si>
    <t>Week Summary</t>
  </si>
  <si>
    <t>9:45?</t>
  </si>
  <si>
    <t>8:45?</t>
  </si>
  <si>
    <t>5;00</t>
  </si>
  <si>
    <t>John Kelly</t>
  </si>
  <si>
    <t>Julio Espinosa</t>
  </si>
  <si>
    <t>Gerian Beaubrun</t>
  </si>
  <si>
    <t>Gary Gray</t>
  </si>
  <si>
    <t>Robert Borelli</t>
  </si>
  <si>
    <t>Anthony Winston</t>
  </si>
  <si>
    <t>Towana Stevens (QA)</t>
  </si>
  <si>
    <t>Total ST</t>
  </si>
  <si>
    <t>Victor Coker</t>
  </si>
  <si>
    <t>Astrid Ovalles</t>
  </si>
  <si>
    <t>Katherine Saung</t>
  </si>
  <si>
    <t>Wesley Foster</t>
  </si>
  <si>
    <t>Crystal Barrera</t>
  </si>
  <si>
    <t>Ricky Ibanez</t>
  </si>
  <si>
    <t>Deborah Peralta</t>
  </si>
  <si>
    <t>Shazaib Idrees</t>
  </si>
  <si>
    <t>Nicholas Valentin</t>
  </si>
  <si>
    <t>Double time</t>
  </si>
  <si>
    <t xml:space="preserve">Neha Khurana </t>
  </si>
  <si>
    <t>Genesis Estrada</t>
  </si>
  <si>
    <t>Kevin Sanchez</t>
  </si>
  <si>
    <t>Alicia Mitchell</t>
  </si>
  <si>
    <t>Neha Khurana (PM)</t>
  </si>
  <si>
    <t>Robert Borelli Jr.</t>
  </si>
  <si>
    <t>Reion Quamina</t>
  </si>
  <si>
    <t>Jonathan Melo</t>
  </si>
  <si>
    <t>PW</t>
  </si>
  <si>
    <t>Jason Hernandez</t>
  </si>
  <si>
    <t>Sick</t>
  </si>
  <si>
    <t>8;45</t>
  </si>
  <si>
    <r>
      <rPr>
        <b/>
        <sz val="20"/>
        <color rgb="FFFF0000"/>
        <rFont val="Century Gothic"/>
        <family val="2"/>
      </rPr>
      <t>!!!</t>
    </r>
    <r>
      <rPr>
        <b/>
        <sz val="20"/>
        <color rgb="FFFFFFFF"/>
        <rFont val="Century Gothic"/>
        <family val="2"/>
      </rPr>
      <t>GINA</t>
    </r>
    <r>
      <rPr>
        <b/>
        <sz val="20"/>
        <color rgb="FFFF0000"/>
        <rFont val="Century Gothic"/>
        <family val="2"/>
      </rPr>
      <t>!!!</t>
    </r>
  </si>
  <si>
    <t>Platform</t>
  </si>
  <si>
    <t>n/a</t>
  </si>
  <si>
    <t>Week of 5/17</t>
  </si>
  <si>
    <t xml:space="preserve">Reg </t>
  </si>
  <si>
    <t>ASI</t>
  </si>
  <si>
    <t>Raymond O'Neill</t>
  </si>
  <si>
    <t>8:00</t>
  </si>
  <si>
    <t>2:30</t>
  </si>
  <si>
    <t>1:00</t>
  </si>
  <si>
    <t>3:45</t>
  </si>
  <si>
    <t>Maxx Grass</t>
  </si>
  <si>
    <t>1:15</t>
  </si>
  <si>
    <t>Jordan Herrera</t>
  </si>
  <si>
    <t>Jeanette Morgan</t>
  </si>
  <si>
    <t>Engineer Week Overtime:</t>
  </si>
  <si>
    <t>Engineer Weekend Overtime:</t>
  </si>
  <si>
    <t>Wk of 5/22</t>
  </si>
  <si>
    <t>5:00</t>
  </si>
  <si>
    <t>PTO</t>
  </si>
  <si>
    <t>Wk of 5/29</t>
  </si>
  <si>
    <t>TECH TOTAL</t>
  </si>
  <si>
    <t>Wk of 6/5</t>
  </si>
  <si>
    <t>Jeremy Rodriguez</t>
  </si>
  <si>
    <t>Timothy Hind</t>
  </si>
  <si>
    <t>Wk of 6/12</t>
  </si>
  <si>
    <t>Reg</t>
  </si>
  <si>
    <t>PM Wk OT</t>
  </si>
  <si>
    <t>Colin Skarka</t>
  </si>
  <si>
    <t>Anthony Robertson</t>
  </si>
  <si>
    <t>Wk of 6/19</t>
  </si>
  <si>
    <t>PM OT hrs</t>
  </si>
  <si>
    <t>Wk of 6/26</t>
  </si>
  <si>
    <t>?</t>
  </si>
  <si>
    <t>Wk of 7/3</t>
  </si>
  <si>
    <t>8</t>
  </si>
  <si>
    <t>0</t>
  </si>
  <si>
    <t>PM OT Hrs</t>
  </si>
  <si>
    <t>7</t>
  </si>
  <si>
    <t>John Xelo</t>
  </si>
  <si>
    <t>5</t>
  </si>
  <si>
    <t>Josh Mendoza</t>
  </si>
  <si>
    <t>Damani Sutton</t>
  </si>
  <si>
    <t>Christopher Romano</t>
  </si>
  <si>
    <t>ONSITE TECH TOTALS</t>
  </si>
  <si>
    <t>80</t>
  </si>
  <si>
    <t>OFFSITE TECH TOTALS</t>
  </si>
  <si>
    <t>33</t>
  </si>
  <si>
    <t>Wk of 7/10</t>
  </si>
  <si>
    <t>Mitchell Goren</t>
  </si>
  <si>
    <t>Wk of 7/17</t>
  </si>
  <si>
    <t>Ilya Glushkov</t>
  </si>
  <si>
    <t>Wk of 7/24</t>
  </si>
  <si>
    <t>:0</t>
  </si>
  <si>
    <t>Wk of 7/31</t>
  </si>
  <si>
    <t>Ajanji Cardwell</t>
  </si>
  <si>
    <t>Wk of 8/7</t>
  </si>
  <si>
    <t>Str</t>
  </si>
  <si>
    <t>Wkd</t>
  </si>
  <si>
    <t>Tech</t>
  </si>
  <si>
    <t>PM</t>
  </si>
  <si>
    <t>Wk of 8/14</t>
  </si>
  <si>
    <t>Edward Delos Santos</t>
  </si>
  <si>
    <t>Wk of 8/21</t>
  </si>
  <si>
    <t>Travel</t>
  </si>
  <si>
    <t>Tech Onsite Weekly Hours</t>
  </si>
  <si>
    <t>SOW Tech Hours</t>
  </si>
  <si>
    <t>Remaining</t>
  </si>
  <si>
    <t>SOW PM Hours</t>
  </si>
  <si>
    <t>SOW Travel Units</t>
  </si>
  <si>
    <t>Total Tech Hours to Date</t>
  </si>
  <si>
    <t>Total Tech OT Hours to Date</t>
  </si>
  <si>
    <t>Total PM Hours to Date</t>
  </si>
  <si>
    <t>Total PM OT Hours to Date</t>
  </si>
  <si>
    <t>Total Travel Units to Date</t>
  </si>
  <si>
    <t>Clarissa Beatty (Coordination)</t>
  </si>
  <si>
    <t xml:space="preserve">Scott Hopkins (Coordination) </t>
  </si>
  <si>
    <t>Travel Units</t>
  </si>
  <si>
    <t>Scott Hopkins (Coordination)</t>
  </si>
  <si>
    <t>Offsite Mapping Totals</t>
  </si>
  <si>
    <t>KU7rj969BUWSwarXt2n-gnAEQU9kF8hJjAmpMFD-xx5UOUFMWjVSVVEwUFFRU1o3TjU1NUJUOVlHVyQlQCN0PWcu</t>
  </si>
  <si>
    <t>Form1</t>
  </si>
  <si>
    <t>{b7e0cc63-57d2-4a14-bfb0-7613aa9a010f}</t>
  </si>
  <si>
    <t>Total Hrs</t>
  </si>
  <si>
    <t>Total Labor Cost</t>
  </si>
  <si>
    <t>Total Labor Price</t>
  </si>
  <si>
    <t>Hours</t>
  </si>
  <si>
    <t>Timothy Hind at 2HQ</t>
  </si>
  <si>
    <t>Jeremy Rodriguez @ 1111 Marcus</t>
  </si>
  <si>
    <t>Device 
Ct</t>
  </si>
  <si>
    <t>Monthly Totals</t>
  </si>
  <si>
    <t>MAY</t>
  </si>
  <si>
    <t>Tech Hrs</t>
  </si>
  <si>
    <t>5:30</t>
  </si>
  <si>
    <t>9:15</t>
  </si>
  <si>
    <t>PM Hrs</t>
  </si>
  <si>
    <t>5:15</t>
  </si>
  <si>
    <t>Dir Hr</t>
  </si>
  <si>
    <t>TOTAL TECH HOURS</t>
  </si>
  <si>
    <t xml:space="preserve">Device </t>
  </si>
  <si>
    <t>JUNE</t>
  </si>
  <si>
    <t>JULY</t>
  </si>
  <si>
    <t>4:30</t>
  </si>
  <si>
    <t>TOTAL</t>
  </si>
  <si>
    <t>4:00</t>
  </si>
  <si>
    <t>Name</t>
  </si>
  <si>
    <t>No Clock In</t>
  </si>
  <si>
    <t>Missing 1 hour break</t>
  </si>
  <si>
    <t>No Clock  Out</t>
  </si>
  <si>
    <t>ALALAH, QUDDAS (A0HR)</t>
  </si>
  <si>
    <t>x</t>
  </si>
  <si>
    <t>Amanda Castillo</t>
  </si>
  <si>
    <t>Kendrick Hunter</t>
  </si>
  <si>
    <t>WAVE 2</t>
  </si>
  <si>
    <t>Debra-kae Anderson</t>
  </si>
  <si>
    <t>Hamid Parsa</t>
  </si>
  <si>
    <t>Henry Ochiagha</t>
  </si>
  <si>
    <t>Laurie Volkman</t>
  </si>
  <si>
    <t>Wave3</t>
  </si>
  <si>
    <t>Thomas Bordon*</t>
  </si>
  <si>
    <t>PW-Zebra</t>
  </si>
  <si>
    <t>Jury Duty</t>
  </si>
  <si>
    <t>PW-9:00; 10am on site</t>
  </si>
  <si>
    <t>Thomas Bordon</t>
  </si>
  <si>
    <t>Cheryl McClean</t>
  </si>
  <si>
    <t>Emely
Montero</t>
  </si>
  <si>
    <t>Nayelin
Monegro</t>
  </si>
  <si>
    <t>Bill</t>
  </si>
  <si>
    <t>6:00</t>
  </si>
  <si>
    <t>6:30</t>
  </si>
  <si>
    <t>PW - Monitor Dep</t>
  </si>
  <si>
    <t>10:00</t>
  </si>
  <si>
    <t>Kevin Suarez (Supervisor)</t>
  </si>
  <si>
    <t>Monitor Install</t>
  </si>
  <si>
    <t>EID observance</t>
  </si>
  <si>
    <t>Monitor</t>
  </si>
  <si>
    <t>8:56</t>
  </si>
  <si>
    <t>9:17</t>
  </si>
  <si>
    <t>8:54</t>
  </si>
  <si>
    <t>9:07</t>
  </si>
  <si>
    <t>8:42</t>
  </si>
  <si>
    <t>9:02</t>
  </si>
  <si>
    <t>9:01</t>
  </si>
  <si>
    <t>9:35</t>
  </si>
  <si>
    <t>9:13</t>
  </si>
  <si>
    <t>9:05</t>
  </si>
  <si>
    <t xml:space="preserve">Abubakar, Khalil </t>
  </si>
  <si>
    <t>Akanji, Ayo</t>
  </si>
  <si>
    <t xml:space="preserve">Bordon, Thomas </t>
  </si>
  <si>
    <t>Carela, Jennifer</t>
  </si>
  <si>
    <t>Gray, Gary</t>
  </si>
  <si>
    <t xml:space="preserve">Harrison, Khadejah </t>
  </si>
  <si>
    <t xml:space="preserve">Khan, Tanjim </t>
  </si>
  <si>
    <t xml:space="preserve">McClean, Cheryl </t>
  </si>
  <si>
    <t>Melo, Jonathan</t>
  </si>
  <si>
    <t xml:space="preserve">Minaya, Yostinn </t>
  </si>
  <si>
    <t xml:space="preserve">Monegro, Nayelin </t>
  </si>
  <si>
    <t xml:space="preserve">Montero, Emely </t>
  </si>
  <si>
    <t>Olivas, Caesar</t>
  </si>
  <si>
    <t xml:space="preserve">Quamina, Reion </t>
  </si>
  <si>
    <t>Winston, Anthony</t>
  </si>
  <si>
    <t xml:space="preserve"> Britt, Zachary</t>
  </si>
  <si>
    <t xml:space="preserve"> Iddriss, Abubakar</t>
  </si>
  <si>
    <t xml:space="preserve">Baldomero Jr.Felix </t>
  </si>
  <si>
    <t xml:space="preserve">Estrada, Genesis </t>
  </si>
  <si>
    <t xml:space="preserve">Gaviola, Kevin </t>
  </si>
  <si>
    <t>NYU</t>
  </si>
  <si>
    <t>DOE</t>
  </si>
  <si>
    <t>Josh Project</t>
  </si>
  <si>
    <t>Zebra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</si>
  <si>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</si>
  <si>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</si>
  <si>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Memorial Day</t>
  </si>
  <si>
    <t>OOO</t>
  </si>
  <si>
    <t>Mon 6/17/2024</t>
  </si>
  <si>
    <t>Tue 6/18/2024</t>
  </si>
  <si>
    <t>Wed  6/19/2024</t>
  </si>
  <si>
    <t>Thursday 6/20/2024</t>
  </si>
  <si>
    <t>Friday 6/21/2024</t>
  </si>
  <si>
    <t>Bordon, Thomas (SURVEY)</t>
  </si>
  <si>
    <t>Gray, Gary (SURVEY)</t>
  </si>
  <si>
    <t>McClean, Cheryl (SURVEY)</t>
  </si>
  <si>
    <t>Melo, Jonathan (SURVEY)</t>
  </si>
  <si>
    <t>Minaya, Yostinn (P&amp;D)</t>
  </si>
  <si>
    <t>P&amp;D</t>
  </si>
  <si>
    <t>Montero, Emely (SURVEY)</t>
  </si>
  <si>
    <t>Olivas, Caesar (SURVEY)</t>
  </si>
  <si>
    <t>Quamina, Reion (SURVEY)</t>
  </si>
  <si>
    <t>AYO (DOE)</t>
  </si>
  <si>
    <t xml:space="preserve"> Britt, Zachary (MAPPING)</t>
  </si>
  <si>
    <t xml:space="preserve"> Iddriss, Abubakar (MAPPING)</t>
  </si>
  <si>
    <t>Baldomero Jr.Felix (MAPPING)</t>
  </si>
  <si>
    <t>Gaviola, Kevin (MAPPING)</t>
  </si>
  <si>
    <t xml:space="preserve">Olivas, Caesar </t>
  </si>
  <si>
    <t>4th of July</t>
  </si>
  <si>
    <t> </t>
  </si>
  <si>
    <t> 0</t>
  </si>
  <si>
    <t>CDW-NW meeting</t>
  </si>
  <si>
    <t>Bordon, Thomas (NYCHH)</t>
  </si>
  <si>
    <t>Credit Card 2 hrs</t>
  </si>
  <si>
    <t>Melo, Jonathan (NYCHH)</t>
  </si>
  <si>
    <t>Montero, Emely (NYCHH)</t>
  </si>
  <si>
    <t>end of mapping work</t>
  </si>
  <si>
    <t>monitor deployment</t>
  </si>
  <si>
    <t>EPIC Monitor Team Weekly Hours</t>
  </si>
  <si>
    <r>
      <rPr>
        <b/>
        <sz val="8"/>
        <color rgb="FFFF0000"/>
        <rFont val="Century Gothic"/>
        <family val="2"/>
      </rPr>
      <t>!!!</t>
    </r>
    <r>
      <rPr>
        <b/>
        <sz val="8"/>
        <color rgb="FFFFFFFF"/>
        <rFont val="Century Gothic"/>
        <family val="2"/>
      </rPr>
      <t>TEENA</t>
    </r>
    <r>
      <rPr>
        <b/>
        <sz val="8"/>
        <color rgb="FFFF0000"/>
        <rFont val="Century Gothic"/>
        <family val="2"/>
      </rPr>
      <t>!!!</t>
    </r>
  </si>
  <si>
    <r>
      <t xml:space="preserve">Do </t>
    </r>
    <r>
      <rPr>
        <sz val="8"/>
        <color rgb="FFFF0000"/>
        <rFont val="Century Gothic"/>
        <family val="2"/>
      </rPr>
      <t>NOT</t>
    </r>
    <r>
      <rPr>
        <sz val="8"/>
        <color rgb="FFFFFFFF"/>
        <rFont val="Century Gothic"/>
        <family val="2"/>
      </rPr>
      <t xml:space="preserve"> edit this area. For TEENA's use ONLY</t>
    </r>
  </si>
  <si>
    <t>Changpoint'd</t>
  </si>
  <si>
    <t>11:00</t>
  </si>
  <si>
    <t>Mathurin Soubeiga </t>
  </si>
  <si>
    <t>Michael Okerayi </t>
  </si>
  <si>
    <t>Carl Romero-Salam </t>
  </si>
  <si>
    <t>Hadil Safieddine Baalbaki </t>
  </si>
  <si>
    <t>Delivery Fees</t>
  </si>
  <si>
    <t>Alberto Montalvo </t>
  </si>
  <si>
    <t>Fees as Engineer Hrs</t>
  </si>
  <si>
    <t>Andrew Wojuola</t>
  </si>
  <si>
    <t>Fees as Travel Units</t>
  </si>
  <si>
    <t>Justin Manning</t>
  </si>
  <si>
    <t>Felix Baldomero</t>
  </si>
  <si>
    <t>Indra Pabarue</t>
  </si>
  <si>
    <t>5:00pm</t>
  </si>
  <si>
    <t>Ibraheem Abidemi</t>
  </si>
  <si>
    <t>Ahmed Aoudjeghout</t>
  </si>
  <si>
    <t>Linwood Petty</t>
  </si>
  <si>
    <t>Hamid Persa</t>
  </si>
  <si>
    <t>8:15</t>
  </si>
  <si>
    <t>11:45</t>
  </si>
  <si>
    <t>Anthony Spezio (Secondary Supervisor)</t>
  </si>
  <si>
    <t>Adam El Hadad</t>
  </si>
  <si>
    <t>Amanda Castilla</t>
  </si>
  <si>
    <t>3:00</t>
  </si>
  <si>
    <t>11:30</t>
  </si>
  <si>
    <t>Rommel Rodriguez</t>
  </si>
  <si>
    <t>Justin Oriol</t>
  </si>
  <si>
    <t>Oliver Martinez</t>
  </si>
  <si>
    <t>Wendpingre Ouedraogo</t>
  </si>
  <si>
    <t>Delivery Tech</t>
  </si>
  <si>
    <t>Delivery Tech II</t>
  </si>
  <si>
    <t>Anthony Spezio (Supervisor)</t>
  </si>
  <si>
    <t>Chris Allen (Inventory Mgr)</t>
  </si>
  <si>
    <t>Mamadou Kamara (Inventory)</t>
  </si>
  <si>
    <t>Paul Kahilu (Inventory)</t>
  </si>
  <si>
    <t>Marvin Tate (Inventory)</t>
  </si>
  <si>
    <t>Dylan Basit (Inventory)</t>
  </si>
  <si>
    <t>9:45</t>
  </si>
  <si>
    <t>jury duty</t>
  </si>
  <si>
    <t>10:27</t>
  </si>
  <si>
    <t>1:30</t>
  </si>
  <si>
    <t>8:52</t>
  </si>
  <si>
    <t>4:15</t>
  </si>
  <si>
    <t>4:42</t>
  </si>
  <si>
    <t>5:48</t>
  </si>
  <si>
    <t>4:04</t>
  </si>
  <si>
    <t>2:14</t>
  </si>
  <si>
    <t>1:55</t>
  </si>
  <si>
    <t>Quddas Alalah</t>
  </si>
  <si>
    <t>3:39</t>
  </si>
  <si>
    <t>8:3</t>
  </si>
  <si>
    <t>8:43</t>
  </si>
  <si>
    <t>9:23</t>
  </si>
  <si>
    <t>Delivery Tech III</t>
  </si>
  <si>
    <t xml:space="preserve">El Hadad, Adam </t>
  </si>
  <si>
    <t xml:space="preserve">Montalvo , Alberto </t>
  </si>
  <si>
    <t xml:space="preserve">Castillo, Amanda </t>
  </si>
  <si>
    <t xml:space="preserve">Wojuola, Andrew </t>
  </si>
  <si>
    <t xml:space="preserve">Romero-Salam , Carl </t>
  </si>
  <si>
    <t xml:space="preserve">Anderson, Debra-kae </t>
  </si>
  <si>
    <t xml:space="preserve">Ozoria, Franklyn </t>
  </si>
  <si>
    <t>2:00</t>
  </si>
  <si>
    <t xml:space="preserve">Safieddine Baalbaki , Hadil </t>
  </si>
  <si>
    <t xml:space="preserve">Ochiagha, Henry </t>
  </si>
  <si>
    <t xml:space="preserve">Ouedraogo, Ibrahima </t>
  </si>
  <si>
    <t xml:space="preserve">Manning, Justin </t>
  </si>
  <si>
    <t xml:space="preserve">Oriol, Justin </t>
  </si>
  <si>
    <t>Hunter, Kenzo</t>
  </si>
  <si>
    <t xml:space="preserve">Sanchez, Kevin </t>
  </si>
  <si>
    <t xml:space="preserve">Soubeiga, Mathurin </t>
  </si>
  <si>
    <t>9:18</t>
  </si>
  <si>
    <t xml:space="preserve">Reece, Michael </t>
  </si>
  <si>
    <t>Okerayi , Michael </t>
  </si>
  <si>
    <t xml:space="preserve">Martinez, Oliver </t>
  </si>
  <si>
    <t>3:30</t>
  </si>
  <si>
    <t xml:space="preserve">Ouattara, Oltimdje </t>
  </si>
  <si>
    <t xml:space="preserve">Alalah, Quddas </t>
  </si>
  <si>
    <t xml:space="preserve">Perez, Richard </t>
  </si>
  <si>
    <t>Rodriguez, Joey</t>
  </si>
  <si>
    <t xml:space="preserve">Coker, Victor </t>
  </si>
  <si>
    <t>Ouedraogo, Joel</t>
  </si>
  <si>
    <t>Abdul Gopang</t>
  </si>
  <si>
    <t xml:space="preserve">Aamir Ali </t>
  </si>
  <si>
    <t xml:space="preserve">Aatif Ali </t>
  </si>
  <si>
    <t>Budhram, Arin</t>
  </si>
  <si>
    <t>Schneider Ulysse (Inventory)</t>
  </si>
  <si>
    <t>Hunter, Kenzo (Kendrick)</t>
  </si>
  <si>
    <t>Project</t>
  </si>
  <si>
    <t>Ouedraogo, Joel (Wendpingre)</t>
  </si>
  <si>
    <t>Ouedraogo, Ibrahima (DOE)</t>
  </si>
  <si>
    <t>MEMORIAL DAY</t>
  </si>
  <si>
    <t>Budhram, Arin (DOE)</t>
  </si>
  <si>
    <t>El Hadad, Adam (DOE)</t>
  </si>
  <si>
    <t>Manning, Justin (DOE)</t>
  </si>
  <si>
    <t xml:space="preserve">Montalvo, Alberto </t>
  </si>
  <si>
    <t>Okerayi, Michael </t>
  </si>
  <si>
    <t>Ouedraogo, Joel  (Wendpinge)</t>
  </si>
  <si>
    <t>Romero-Salam, Carl (DOE)</t>
  </si>
  <si>
    <t>Apple</t>
  </si>
  <si>
    <t>Online Mtg</t>
  </si>
  <si>
    <t>00</t>
  </si>
  <si>
    <t>12:00</t>
  </si>
  <si>
    <t>PBMC/Phelps</t>
  </si>
  <si>
    <t>LHH</t>
  </si>
  <si>
    <t>496 Country</t>
  </si>
  <si>
    <t>MEETH</t>
  </si>
  <si>
    <t>Marvin Tate (Inventory)/Agilant BoxTruck</t>
  </si>
  <si>
    <t>Phelps</t>
  </si>
  <si>
    <t>AMB</t>
  </si>
  <si>
    <t>LHH-MEETH</t>
  </si>
  <si>
    <t>SIUHN/S</t>
  </si>
  <si>
    <t>SIUHN</t>
  </si>
  <si>
    <t>Quddas Alalah (P&amp;D)</t>
  </si>
  <si>
    <t>Debra-kae Anderson (Apple)</t>
  </si>
  <si>
    <t>Arin Budhram (DOE)</t>
  </si>
  <si>
    <t>Amanda Castillo (DOE)</t>
  </si>
  <si>
    <t>Adam El Hadad (DOE)</t>
  </si>
  <si>
    <t>Justin Manning (DOE)</t>
  </si>
  <si>
    <t>Ibrahima Ouedraogo (DOE)</t>
  </si>
  <si>
    <t>Richard Perez (Apple)</t>
  </si>
  <si>
    <t>PBMC</t>
  </si>
  <si>
    <t>1034 N. Broadway</t>
  </si>
  <si>
    <t>Monitor Deliveries</t>
  </si>
  <si>
    <t>Michael Reece (P&amp;D)</t>
  </si>
  <si>
    <t>Carl Romero-Salam (DOE)</t>
  </si>
  <si>
    <t xml:space="preserve">6/17/2024 Monday </t>
  </si>
  <si>
    <t xml:space="preserve">6/18/2024 Tuesday </t>
  </si>
  <si>
    <t xml:space="preserve">6/19/2024 Wednesday </t>
  </si>
  <si>
    <t xml:space="preserve">6/20/2024  Thursday </t>
  </si>
  <si>
    <t>6/21/2024  Friday</t>
  </si>
  <si>
    <t>Coker, Victor (EPIC MONITOR)</t>
  </si>
  <si>
    <t>Phelps Pick Up</t>
  </si>
  <si>
    <t>480 Bedford</t>
  </si>
  <si>
    <t>Hunter, Kenzo (EPIC MONITOR)</t>
  </si>
  <si>
    <t>666 Lex/185 Kis</t>
  </si>
  <si>
    <r>
      <t xml:space="preserve">Manning, Justin </t>
    </r>
    <r>
      <rPr>
        <sz val="8"/>
        <color rgb="FFFF0000"/>
        <rFont val="Century Gothic"/>
        <family val="2"/>
      </rPr>
      <t>(UNKNOWN)</t>
    </r>
  </si>
  <si>
    <t>Martinez, Oliver (EPIC MONITOR)</t>
  </si>
  <si>
    <t>101&amp;105 S/36 Smith</t>
  </si>
  <si>
    <t>Montalvo , Alberto (EPIC MONITOR &amp; P&amp;D)</t>
  </si>
  <si>
    <t>Ochiagha, Henry (EPIC MONITOR)</t>
  </si>
  <si>
    <t>Kiosk</t>
  </si>
  <si>
    <r>
      <t>Okerayi , Michael </t>
    </r>
    <r>
      <rPr>
        <sz val="8"/>
        <color rgb="FFFF0000"/>
        <rFont val="Century Gothic"/>
        <family val="2"/>
      </rPr>
      <t>(UNKNOWN)</t>
    </r>
  </si>
  <si>
    <t>Ouattara, Oltimdje (EPIC MONITOR)</t>
  </si>
  <si>
    <t>Ouedraogo, Joel (EPIC MONITOR)</t>
  </si>
  <si>
    <t>Ozoria, Franklyn (EPIC MONITOR)</t>
  </si>
  <si>
    <t>SIUHS</t>
  </si>
  <si>
    <t>SIUHN/S Pickup</t>
  </si>
  <si>
    <t>Safieddine Baalbaki , Hadil (EPIC MONITOR)</t>
  </si>
  <si>
    <t>Sanchez, Kevin (EPIC MONITOR)</t>
  </si>
  <si>
    <t>Soubeiga, Mathurin (UNASSIGNED)</t>
  </si>
  <si>
    <t>Wojuola, Andrew (UNASSIGNED)</t>
  </si>
  <si>
    <t>Quddas Alalah (RESIGNED)</t>
  </si>
  <si>
    <r>
      <t xml:space="preserve">Debra-kae Anderson </t>
    </r>
    <r>
      <rPr>
        <sz val="8"/>
        <color rgb="FFFF0000"/>
        <rFont val="Century Gothic"/>
        <family val="2"/>
      </rPr>
      <t>(UNKNOWN)</t>
    </r>
  </si>
  <si>
    <t>Arin Budhram (RICKY)</t>
  </si>
  <si>
    <r>
      <t>Adam El Hadad (</t>
    </r>
    <r>
      <rPr>
        <sz val="8"/>
        <color rgb="FFFF0000"/>
        <rFont val="Century Gothic"/>
        <family val="2"/>
      </rPr>
      <t>UNKNOWN</t>
    </r>
    <r>
      <rPr>
        <sz val="8"/>
        <rFont val="Century Gothic"/>
        <family val="2"/>
      </rPr>
      <t>)</t>
    </r>
  </si>
  <si>
    <t>Richard Perez ( P&amp;D)</t>
  </si>
  <si>
    <t>Michael Reece (AHMED MALIK)</t>
  </si>
  <si>
    <t>Abdul Gopang (WM)</t>
  </si>
  <si>
    <t>Aamir Ali (WM)</t>
  </si>
  <si>
    <t>Aatif Ali (WM)</t>
  </si>
  <si>
    <t>Rahman Mehdiur (AGILANT)</t>
  </si>
  <si>
    <t>Anthony Spezio</t>
  </si>
  <si>
    <t>Mon 6/24/2024</t>
  </si>
  <si>
    <t>Wed 6/26/2024</t>
  </si>
  <si>
    <t>Fri 6/28/2024</t>
  </si>
  <si>
    <t xml:space="preserve"> Perez, Richard( P&amp;D)</t>
  </si>
  <si>
    <t xml:space="preserve"> Reece, Michael (AHMED MALIK)</t>
  </si>
  <si>
    <t xml:space="preserve"> Romero-Salam, Carl (DOE)</t>
  </si>
  <si>
    <r>
      <t xml:space="preserve">Anderson, Debra-kae  </t>
    </r>
    <r>
      <rPr>
        <sz val="8"/>
        <color rgb="FFFF0000"/>
        <rFont val="Century Gothic"/>
        <family val="2"/>
      </rPr>
      <t>(UNKNOWN)</t>
    </r>
  </si>
  <si>
    <t>Budhram, Arin (RICKY)</t>
  </si>
  <si>
    <t>Castillo, Amanda  (DOE)</t>
  </si>
  <si>
    <t>El Hadad, Adam (UNKNOWN)</t>
  </si>
  <si>
    <r>
      <t>Okerayi , Michael </t>
    </r>
    <r>
      <rPr>
        <sz val="8"/>
        <color rgb="FFFF0000"/>
        <rFont val="Century Gothic"/>
        <family val="2"/>
      </rPr>
      <t>(EPIC MONITOR)</t>
    </r>
  </si>
  <si>
    <t>4th of July Holiday</t>
  </si>
  <si>
    <t>12;00</t>
  </si>
  <si>
    <t>4;00</t>
  </si>
  <si>
    <t>A&amp;T</t>
  </si>
  <si>
    <r>
      <t xml:space="preserve">Manning, Justin </t>
    </r>
    <r>
      <rPr>
        <b/>
        <sz val="8"/>
        <color rgb="FFFF0000"/>
        <rFont val="Century Gothic"/>
        <family val="2"/>
      </rPr>
      <t>(UNKNOWN)</t>
    </r>
  </si>
  <si>
    <t>NO SCHED</t>
  </si>
  <si>
    <t>Olivas, Caesar (Punchlist)</t>
  </si>
  <si>
    <t>Akanji, Jesupemi (Ayo) - NYCHH/Punchlist</t>
  </si>
  <si>
    <t>Castillo, Amanda  (NYCHH)</t>
  </si>
  <si>
    <t>Ouedraogo, Ibrahima (NYCHH)</t>
  </si>
  <si>
    <t>Ouattara, Oltimdje (NYCHH)</t>
  </si>
  <si>
    <t>Ouedraogo, Wendpingre(Joel) (NYCHH)</t>
  </si>
  <si>
    <t>Montalvo , Alberto  (P&amp;D)</t>
  </si>
  <si>
    <t>Perez, Richard(P&amp;D)</t>
  </si>
  <si>
    <t xml:space="preserve"> Reece, Michael (AHMED MALIK -Shipping)</t>
  </si>
  <si>
    <t>Anderson, Debra-kae (AMB)</t>
  </si>
  <si>
    <t>Budhram, Arin (AMB)</t>
  </si>
  <si>
    <t>Hunter, Kendrick (Kenzo) (AMB)</t>
  </si>
  <si>
    <t>Ozoria, Franklyn (AMB)</t>
  </si>
  <si>
    <t>Safieddine Baalbaki , Hadil (AMB)</t>
  </si>
  <si>
    <t>Soubeiga, Mathurin (AMB)</t>
  </si>
  <si>
    <t xml:space="preserve"> Romero-Salam, Carl (AMB Pickup)</t>
  </si>
  <si>
    <t>Wojuola, Andrew ()AMB</t>
  </si>
  <si>
    <t>Coker, Victor (Punchlist)</t>
  </si>
  <si>
    <t>Manning, Justin (Punchlist)</t>
  </si>
  <si>
    <t>Ochiangha, Henry (Punchlist)</t>
  </si>
  <si>
    <t>Okerayi, Michael (Punchlist)</t>
  </si>
  <si>
    <t>Sanchez, Kevin (AMB/Punchlist 7/15)</t>
  </si>
  <si>
    <t>CS</t>
  </si>
  <si>
    <t>Castillo, Amanda  (NYCHH?)</t>
  </si>
  <si>
    <t>Wojuola, Andrew ()NYCHH</t>
  </si>
  <si>
    <t>responses to CDW/NW team while not onsite</t>
  </si>
  <si>
    <t>Gaviola, Kevin</t>
  </si>
  <si>
    <t>Joshua Johnson (Inventory)</t>
  </si>
  <si>
    <t>Wojuola, Andrew (NYCHH)</t>
  </si>
  <si>
    <t>Britt, Zachary</t>
  </si>
  <si>
    <t>Gray, Gary (AMB)</t>
  </si>
  <si>
    <t>CC</t>
  </si>
  <si>
    <t>4.5hrs</t>
  </si>
  <si>
    <t>1.5 hrs</t>
  </si>
  <si>
    <t>PWOL trng</t>
  </si>
  <si>
    <t>2hrs</t>
  </si>
  <si>
    <t>PW trng</t>
  </si>
  <si>
    <t>8hrs</t>
  </si>
  <si>
    <t>Baldomero, Felix</t>
  </si>
  <si>
    <t>PW for brackets</t>
  </si>
  <si>
    <t>McClean, Cheryl</t>
  </si>
  <si>
    <t>HOLIDAY - LABOR DAY</t>
  </si>
  <si>
    <t>Britt, Zac</t>
  </si>
  <si>
    <t>80E</t>
  </si>
  <si>
    <t>600 comm dr</t>
  </si>
  <si>
    <t>CC - 3</t>
  </si>
  <si>
    <t xml:space="preserve">LHH </t>
  </si>
  <si>
    <t>Jesupemi Akanji -AYO (DOE)</t>
  </si>
  <si>
    <t>Arin Budhram (NOT ASSIGNED)</t>
  </si>
  <si>
    <t>Jesupemi Akanji (DOE)</t>
  </si>
  <si>
    <t>Olivas, Caesar  (LEVAR)</t>
  </si>
  <si>
    <t>Ibrahima Ouedraogo (LEVAR)</t>
  </si>
  <si>
    <t>Carl Romero-Salam (LEVAR &amp; Schnedier )</t>
  </si>
  <si>
    <t>Arin Budhram (LEVAR)</t>
  </si>
  <si>
    <t>Carl Romero-Salam (On Monitor Sheet this week )</t>
  </si>
  <si>
    <t>Olivas, Caesar  (ON MONITOR THIS WEEK)</t>
  </si>
  <si>
    <t>Anthony Winston  (KIOSk with Al)</t>
  </si>
  <si>
    <t>Ibrahima Ouedraogo (NYCHH SHEET)</t>
  </si>
  <si>
    <t xml:space="preserve">Anthony Winston  (KIOSk with Al) </t>
  </si>
  <si>
    <t>Monday</t>
  </si>
  <si>
    <t>Tuesday</t>
  </si>
  <si>
    <t>Wednesday</t>
  </si>
  <si>
    <t>Thursday</t>
  </si>
  <si>
    <t>Friday</t>
  </si>
  <si>
    <t>Saturday</t>
  </si>
  <si>
    <t>Sunday</t>
  </si>
  <si>
    <t>Projec Name</t>
  </si>
  <si>
    <t>Mohammad Akbar</t>
  </si>
  <si>
    <t xml:space="preserve">NW-PRJ408261- Dental Install </t>
  </si>
  <si>
    <t>NW-PRJ406476</t>
  </si>
  <si>
    <t>NW-PRJ407741-Plainview Cath Lab</t>
  </si>
  <si>
    <t>Cristian Munoz</t>
  </si>
  <si>
    <t>Bonita Outlaw</t>
  </si>
  <si>
    <t>Coordinator Hours</t>
  </si>
  <si>
    <t>Scott Hopkins</t>
  </si>
  <si>
    <t>Alec Radin</t>
  </si>
  <si>
    <t>NW PRJ408256 - Ryan Seacrest Center</t>
  </si>
  <si>
    <t>Brandon Vargas</t>
  </si>
  <si>
    <t xml:space="preserve">NW PRJ405814 Surgical Specialties </t>
  </si>
  <si>
    <t>NW PRJ407929 - Dental Install</t>
  </si>
  <si>
    <t>NW PRJ408805 Single to Double Occupancy Consult Rooms</t>
  </si>
  <si>
    <t>NW PRJ409190 Rec / Discon</t>
  </si>
  <si>
    <t>NW PRJ409190 Rec / Discon/Smart Hands</t>
  </si>
  <si>
    <t xml:space="preserve">PRJ408456 Monroe Primary Care </t>
  </si>
  <si>
    <t xml:space="preserve">NW PRJ409149 Hochfelder and Seebacher </t>
  </si>
  <si>
    <t>NW PRJ409185 Expansion of Concorde</t>
  </si>
  <si>
    <t>NW PRJ408105 Ophthalmology Refresh</t>
  </si>
  <si>
    <t>NW PRJ407879 Evideon</t>
  </si>
  <si>
    <t>NW-PRJ407741-Plainview Cath Lab Installation Go-Live</t>
  </si>
  <si>
    <t>NW PRJ406769 - Replace CT Scan</t>
  </si>
  <si>
    <t>NW PRJ408513 Relocation @ 145 Comm. Drive</t>
  </si>
  <si>
    <t>NW PRJ407139 Off-Site Central Monitoring Unit</t>
  </si>
  <si>
    <t>NW PRJ406156 Astoria Relocation-Expansion for Cardiology</t>
  </si>
  <si>
    <t>NW PRJ408661 -  Flooring Refresh</t>
  </si>
  <si>
    <t>NW - PRJ408137I - Pro Capsule configurations</t>
  </si>
  <si>
    <t>Alec Raddin</t>
  </si>
  <si>
    <t>EPIC Workstation/Training Set-ups</t>
  </si>
  <si>
    <t xml:space="preserve">NW PRJ408281 A-Imbert Cancer Center </t>
  </si>
  <si>
    <t>Alinx Simon</t>
  </si>
  <si>
    <t>NW PRJ408965 Breast/GI/Pain</t>
  </si>
  <si>
    <t xml:space="preserve">NW PRJ406770 - New Fluoroscopy System  </t>
  </si>
  <si>
    <t>NW PRJ407251 Great South Bay Imaging Expansion</t>
  </si>
  <si>
    <t>Epic Training Set up 6/29 &amp; 6/30</t>
  </si>
  <si>
    <t>Ayo Akanji</t>
  </si>
  <si>
    <t>NW  PRJ409059 Decommissioning C101</t>
  </si>
  <si>
    <t>NW PRJ408977 Onboarding of Great Neck OBGYN</t>
  </si>
  <si>
    <t>NW-PRJ408287  REAL ESTATE SERVICES OFFICE</t>
  </si>
  <si>
    <t>NW PRJ409067 Riverhead Home Health Care</t>
  </si>
  <si>
    <t>Epic Training Set up 7/5 - 7/7</t>
  </si>
  <si>
    <t>Chris</t>
  </si>
  <si>
    <t>Jennifer</t>
  </si>
  <si>
    <t>NW PRJ406680 - Moving BH To 450 Seaview - Personnel Relocation</t>
  </si>
  <si>
    <t>NW REQ0591032 - Kronos Clock</t>
  </si>
  <si>
    <t>NW PRJ409119 SSUH Nash Resident TD</t>
  </si>
  <si>
    <t>NW PRJ408455- SSUH Endo Procedure Room</t>
  </si>
  <si>
    <t xml:space="preserve">NW PRJ408454 358 N Broadway Hybird Site </t>
  </si>
  <si>
    <t>NW PRJ406680- Humanscale V6 Wall Station with installation</t>
  </si>
  <si>
    <t>NW PRJ407250 - Ortho Relocation at Rego Park</t>
  </si>
  <si>
    <t xml:space="preserve">Alinx Simon </t>
  </si>
  <si>
    <t>NW PRJ408769 - Onboarding Dr Song</t>
  </si>
  <si>
    <t>NW - DPLY : Kiosk Mode PC's : PO# 7023012843</t>
  </si>
  <si>
    <t>NW PRJ408080- NHPP Medicine</t>
  </si>
  <si>
    <t xml:space="preserve">NW PRJ408454- 358 N Broadway Hybird Site </t>
  </si>
  <si>
    <t>PRJ408424- 358 N Broadway Hybird Site- Go-Live Support</t>
  </si>
  <si>
    <t>PRJ407250 - Ortho Relocation at Rego Park</t>
  </si>
  <si>
    <t>PRJ405814 Surgical Specialties / PRJP407489 : patient service Center Go-Live</t>
  </si>
  <si>
    <t>PRJ408080- NHPP Medicine</t>
  </si>
  <si>
    <t>PRJ408137I - Pro Capsule configurations</t>
  </si>
  <si>
    <t>PRJ408747 900 Northern Blvd AV Conference Room</t>
  </si>
  <si>
    <t>PRJ406922 EYE PROCEDURE ROOM</t>
  </si>
  <si>
    <t>PRJ405814 Surgical Specialties - Go-Live</t>
  </si>
  <si>
    <t xml:space="preserve">REQ0600868 -- Memory </t>
  </si>
  <si>
    <t>Marvin Tate</t>
  </si>
  <si>
    <t>PRJ408361 110 E. 58th St. 10th Fl. Urology</t>
  </si>
  <si>
    <t>PRJ409036 611 Northern Blvd. Office renovation</t>
  </si>
  <si>
    <t>PO 7023017573</t>
  </si>
  <si>
    <t xml:space="preserve">PRJ407528 - SIUH Auditorium PC </t>
  </si>
  <si>
    <t>PRJ408597- 1940 Commerce Street- YI Breast Expansion (Suite 106)</t>
  </si>
  <si>
    <t>PRJ404732 - Rego Park imaging Center</t>
  </si>
  <si>
    <t>PRJ406734 Renovation of Imaging Waiting Room</t>
  </si>
  <si>
    <t>PRJ409161 1111 Marcus Ave Room Conversions</t>
  </si>
  <si>
    <t>PRJ405800 - Southside Hospital Brackett West</t>
  </si>
  <si>
    <t>PRJ401338 Phase 5 &amp; 6 Campus Reorg 8/28/23</t>
  </si>
  <si>
    <t>PRJ401338 Phase 5 &amp; 6 Campus Reorg 8/28/24</t>
  </si>
  <si>
    <t>PRJ407064 - 233 Seventh Street - Urology Expansion IT Schedule</t>
  </si>
  <si>
    <t xml:space="preserve">PRJ404844 -Deploy Ent SyngoD Reporting </t>
  </si>
  <si>
    <t>PRJ408137- iProcedures Implementation at LIJ</t>
  </si>
  <si>
    <t>PRJ404729 Cancer Center IT Equipment Installation</t>
  </si>
  <si>
    <t>Timothy Hinds</t>
  </si>
  <si>
    <t>PRJ404844 -Deploy Ent SyngoD Reporting</t>
  </si>
  <si>
    <t>PRJ407262 Vivo Pharmacy at Rego Park</t>
  </si>
  <si>
    <t>PRJ407761 404 potters Blvd-REI Expansion at Brightwaters</t>
  </si>
  <si>
    <t>NW PO 1723012129 CFAM Reg Front Desk Comp</t>
  </si>
  <si>
    <t>PRJ407943 - HH - Cardiac Cath Rooms Upgrade</t>
  </si>
  <si>
    <t>PRJ408392 - Care Giver Center</t>
  </si>
  <si>
    <t>PRJ406455 SSUH Bracket 2 Hybrid ORs</t>
  </si>
  <si>
    <t>PRJ408428-125 Kennedy Dr. Sleep Center</t>
  </si>
  <si>
    <t>PRJ407509 Non-Article 28 Medical Oncology &amp; PRJ407510 Article 28 Medical Oncology</t>
  </si>
  <si>
    <t>PRJ409052 C102-TrueNorth Enterprise Relocation</t>
  </si>
  <si>
    <t>PRJ407902 - Enable printing of lab slips to Zebra printers within NSUH Cardiac OR's</t>
  </si>
  <si>
    <t>PRJ408199 Uptown Manhattan Dermatology</t>
  </si>
  <si>
    <t>PRJ405416  Buildout of Interventional Radiology Room</t>
  </si>
  <si>
    <t>PRJ407947- Pulmonary Expansion</t>
  </si>
  <si>
    <t>PRJ408361 - Arm Install</t>
  </si>
  <si>
    <t>PO 1023048089 NOPHI</t>
  </si>
  <si>
    <t>PRJ408101 Neurosurgery Build and Moves</t>
  </si>
  <si>
    <t>Brittany Taveras</t>
  </si>
  <si>
    <t xml:space="preserve">PRJ408137 CDW Configuration of iPads </t>
  </si>
  <si>
    <t>Alec Redin</t>
  </si>
  <si>
    <t>PRJ407260 - 200 W Main Street - Add Exam Rooms</t>
  </si>
  <si>
    <t>PRJ403091 SSUH Women's Health Maternity Expansion</t>
  </si>
  <si>
    <t xml:space="preserve">PRJ409290 NHPP Medical Space Expansion	</t>
  </si>
  <si>
    <t>PRJ408101 Neurosurgery Build and Moves Go- Live</t>
  </si>
  <si>
    <t xml:space="preserve">PRJ409512 - Dr Jimmy Katechis </t>
  </si>
  <si>
    <t>PRJ400487- PSP Buildout Project at North Shore University Hospital</t>
  </si>
  <si>
    <t xml:space="preserve">PRJ405720 Multispecialty </t>
  </si>
  <si>
    <t>PRJ407353 SIS 5.3 Upgrade WOW Imaging</t>
  </si>
  <si>
    <t>PRJ409155 UDI device install</t>
  </si>
  <si>
    <t>PRJ406455 SSUH Two Hybrid Operating Rooms</t>
  </si>
  <si>
    <t>PRJ404811 CFAM Imaging Expansion</t>
  </si>
  <si>
    <t>PRJ408901 Enterprise Xeleris V</t>
  </si>
  <si>
    <t>PRJ409290 NHPP Medical Space Expansion</t>
  </si>
  <si>
    <t>PRJ408384 1460 Victory Boulevard Cardiology Expansion</t>
  </si>
  <si>
    <t>PRJ408758 410 Lakeville Rd-New Hyde Park</t>
  </si>
  <si>
    <t>PRJ409505 SMART EMR &amp; SMART Kiosk Install</t>
  </si>
  <si>
    <t>PRJ409282 Onboarding of Dr Lefland</t>
  </si>
  <si>
    <t xml:space="preserve">  </t>
  </si>
  <si>
    <t>PRJ409055  224 Wall Street - Plastic Surgery at Huntington</t>
  </si>
  <si>
    <t>PRJ409151  Onboarding Dr Gerontis at 58 Vanderbilt Motor Parkway</t>
  </si>
  <si>
    <t>PRJ408086 syngo @ Phelps 2 Reading stations installation</t>
  </si>
  <si>
    <t>PRJ408611  Digital Directory 284 Pulaski Road Huntington</t>
  </si>
  <si>
    <t xml:space="preserve">PRJ408616 Thermal Printer Deployment for SIUH CBORD </t>
  </si>
  <si>
    <t>PRJ409239 Board Monitors in the Admin Area at NWH</t>
  </si>
  <si>
    <t>PRJ409163 Interior Wayfinding Program</t>
  </si>
  <si>
    <t>PRJ405304 3460 Vets Memorial Hwy Bohemia Primary Care</t>
  </si>
  <si>
    <t>PRJ404729 SIUH Cancer Center Build</t>
  </si>
  <si>
    <t>PRJ408962 New Patient Experience: Visitation Management</t>
  </si>
  <si>
    <t xml:space="preserve">PRJ409470  2001 Marcus Ave </t>
  </si>
  <si>
    <t>PO #1323010506- Plainview Cath Lab Remaining  PCs</t>
  </si>
  <si>
    <t>PRJ408031 Glen Clove Hospital Hello 2 Camera</t>
  </si>
  <si>
    <t>PRJ409163 480 Bedford Rd - Interior Wayfinding Program</t>
  </si>
  <si>
    <t>PRJ406311 Install F&amp;N Monitors for ACCU Checks - PMHC</t>
  </si>
  <si>
    <t>PRJ408758 410 Lakeville Rd, New Hyde Park</t>
  </si>
  <si>
    <t>Project Name</t>
  </si>
  <si>
    <t>PRJ409498 Onboarding Dr. Rodriguez</t>
  </si>
  <si>
    <t>PRJ408565 US Merchant Marine Academy Dental</t>
  </si>
  <si>
    <t>PRJ409960 NHPP Office moves</t>
  </si>
  <si>
    <t>PRJ409090 - 2001 Marcus Ave, Suite Refresh – N18</t>
  </si>
  <si>
    <t>PRJ408972 SIS6X Installation</t>
  </si>
  <si>
    <t>Eurby Fitzhugh</t>
  </si>
  <si>
    <t xml:space="preserve">PRJ409090 2001 Marcus Ave Suite n18 Refresh </t>
  </si>
  <si>
    <t>PRJ408056 187 Sunrise Highway - West Islip Pediatrics</t>
  </si>
  <si>
    <t>PO#7023052208 Printer/ Plotter Install at 5 Dakota Dr.</t>
  </si>
  <si>
    <t>PRJ407218  LIJMC Cath Lab 3 Upgrade</t>
  </si>
  <si>
    <t>PRJ408911 Urology Expansion</t>
  </si>
  <si>
    <t>PRJ406311 Install F&amp;N Monitors for ACCU Checks</t>
  </si>
  <si>
    <t xml:space="preserve">PRJ408972 SIS6X Installation </t>
  </si>
  <si>
    <t>PRJ409470 125 Community Drive,1st Floor-Clinical Buildout</t>
  </si>
  <si>
    <t>PRJ409235 935 Northern Boulevard Suite Refresh</t>
  </si>
  <si>
    <t>PRJ408616 CBORD Implementation @ SIUH</t>
  </si>
  <si>
    <t xml:space="preserve">PRJ408361 110 E. 58th St. 10th Fl. Urology Monitor Install </t>
  </si>
  <si>
    <t>NW  Workstation Deployment 780269- Migrate Datacheck Vascular sites to Ent syngoDynamics</t>
  </si>
  <si>
    <t>PRJ406278: NSUH- 9 Tower</t>
  </si>
  <si>
    <t>PRJ409470 : 125 Community Drive,1st Floor-Clinical Buildout</t>
  </si>
  <si>
    <t>PRJ408702 LVC Budget @ 733 Sunrise Hwy, Lynbrook - 1st floor Lobby Digital Directory</t>
  </si>
  <si>
    <t>PRJ409530  900 Northern to 225 CD Relocation</t>
  </si>
  <si>
    <t>Peds Ortho Move to 1551 Richmond Road UNIT 1A</t>
  </si>
  <si>
    <t>PRJ407489 8040 Cooper Ave</t>
  </si>
  <si>
    <t>REQ0716106</t>
  </si>
  <si>
    <t xml:space="preserve">PRJ408031 Glen Cove Hello </t>
  </si>
  <si>
    <t>PRJ401401 SIUH North Mother and Baby Build</t>
  </si>
  <si>
    <t>Anthony J Spezio</t>
  </si>
  <si>
    <t>REQ0508854</t>
  </si>
  <si>
    <t>Xeleris project</t>
  </si>
  <si>
    <t>REQ0703987 (University Physicians Group (UPG)</t>
  </si>
  <si>
    <t>PRJ408256 - CCMC Urgi Center</t>
  </si>
  <si>
    <t>Minutes from 1-26 PSP - Anesthesia Machine Testing Preparation Meeting</t>
  </si>
  <si>
    <t>PRJ409169 HH Swiss Long Tube System</t>
  </si>
  <si>
    <t>Ali Altal</t>
  </si>
  <si>
    <t>PRJ408911 Uroogy Expansion</t>
  </si>
  <si>
    <t>PRJ408911 Uroogy Expansion- Go Live Support</t>
  </si>
  <si>
    <t>PRJ408190 Dr Hirsch 366 5th Ave Oral Surgery Expansion</t>
  </si>
  <si>
    <t>PRJ408105 Millwork Install Schedule</t>
  </si>
  <si>
    <t xml:space="preserve">PRJ404729 SIUH Cancer Center Build </t>
  </si>
  <si>
    <t>PRJ408997 - New Residency Program- NWH</t>
  </si>
  <si>
    <t>PSP Support</t>
  </si>
  <si>
    <t xml:space="preserve"> PRJ409617 1983 Marcus Ave to 130 Adolescent Med Relocation</t>
  </si>
  <si>
    <t>PRJ408105 Millwork Install Schedule- Go Live</t>
  </si>
  <si>
    <t>PRJ404729 SIUH Cancer Center</t>
  </si>
  <si>
    <t>PRJ409091 261 E 78th St relocation to 130 E 59th St 15th floor</t>
  </si>
  <si>
    <t>PRJ400487 PSP Support</t>
  </si>
  <si>
    <t>NW PRJ404808 1572 New York Ave Dolan Family Health Center Relocation</t>
  </si>
  <si>
    <t>;</t>
  </si>
  <si>
    <t>REQ0758662</t>
  </si>
  <si>
    <t>PRJ409144 Logistics Command Center</t>
  </si>
  <si>
    <t>PRJ408775 Glen Cove MRI</t>
  </si>
  <si>
    <t xml:space="preserve">PRJ408616 CBORD Implementation @ SIUH </t>
  </si>
  <si>
    <t>NW PRJ/ ATP 666273 : Multispecialty-Fresh Meadows</t>
  </si>
  <si>
    <t>NW PRJ404808 / ATP 666472 1572 New York Ave Dolan Family Health Center Relocation</t>
  </si>
  <si>
    <t>CBORD Installation</t>
  </si>
  <si>
    <t xml:space="preserve"> PRJ401401 : SIUH North Mother and Baby Build </t>
  </si>
  <si>
    <t>PRJ409144 Logistics Command Center- Go Live</t>
  </si>
  <si>
    <t>PRJ408031 Glen Clove</t>
  </si>
  <si>
    <t>NW ATP 665333 NSUH - Patient Logistics Expansion</t>
  </si>
  <si>
    <t>Xeleris Go-Live</t>
  </si>
  <si>
    <t>PRJ406417 Buildout Multispeciality</t>
  </si>
  <si>
    <t>ATP915116 - 2460 Hylan Boulevard Pediatrics Decommission/Relocation</t>
  </si>
  <si>
    <t>NW ATP968657  LHH Physicians Lounge Schedule</t>
  </si>
  <si>
    <t>NW PRJ404808 / ATP 666472 1572 New York Ave Dolan Family Health Center Relocation Go - Live</t>
  </si>
  <si>
    <t>NW ATP 665333 NSUH - Patient Logistics Expansion REQ0777523</t>
  </si>
  <si>
    <t>ATP661594</t>
  </si>
  <si>
    <t>NW ATP665305: 1991 Marcus, Suite 302 - Derm Expansion</t>
  </si>
  <si>
    <t>NW ATP876835 Concierge Med in Harrison</t>
  </si>
  <si>
    <t xml:space="preserve">NW PRJ409470  125 Community Drive,1st Floor-Clinical Buildout - </t>
  </si>
  <si>
    <t>NW PRJ409617: 130 Adolescent Med Relocation</t>
  </si>
  <si>
    <t>NW PRJ401401 : SIUH Mother and Baby</t>
  </si>
  <si>
    <t>NW ATP663269 - 480 Bedford Road-Residency Clinic &amp; Practice</t>
  </si>
  <si>
    <t>NW 410 Lakeville Rd ATP 1193182 - PST Relocation</t>
  </si>
  <si>
    <t xml:space="preserve"> NW ATP1120659 600 Northern Boulevard Suite 214- Ophthalmology Refresh</t>
  </si>
  <si>
    <t>NW ATP 1160639: 3HQ Epic Central Command Center</t>
  </si>
  <si>
    <t>ATP 666273 : Multispecialty-Fresh Meadows</t>
  </si>
  <si>
    <t>NW PRJ405411 / ATP662227 Renovation of 5th Floor Patient Rooms</t>
  </si>
  <si>
    <t>NW ATP958383 Plainview Hospital Deli IT Upgrade</t>
  </si>
  <si>
    <t>NW ATP1469020 121A W20 St AAA Training Space_NYC</t>
  </si>
  <si>
    <t>NW ATP868748 Medicine Specialty Rego</t>
  </si>
  <si>
    <t>NW PRJ401401 : SIUH North Mother and Baby Build</t>
  </si>
  <si>
    <t>NW ATP1504036 733 Sunrise Computer arm</t>
  </si>
  <si>
    <t>NW ATP898375 Lenox Hill House Calls Relocation NYC</t>
  </si>
  <si>
    <t>NW ATP878495 Peds Behavioral Hub at 145 Community drive</t>
  </si>
  <si>
    <t>PRJ405411 / ATP662227 Renovation of 5th Floor Patient Rooms</t>
  </si>
  <si>
    <t xml:space="preserve">NW ATP663522 Residency Project Plans &amp; Staff Displacements </t>
  </si>
  <si>
    <t>NW ATP665170 - 658 White Plains Rd</t>
  </si>
  <si>
    <t>NW ATP1120659 600 Northern Boulevard Suite 214- Ophthalmology Refresh</t>
  </si>
  <si>
    <t>ATP1280475 RES Warehouse and Office</t>
  </si>
  <si>
    <t xml:space="preserve">ATP1694581 NSUH - 8 Tower </t>
  </si>
  <si>
    <t xml:space="preserve">ATP1897234 Laptop Arms Install Support </t>
  </si>
  <si>
    <t>ATP665170</t>
  </si>
  <si>
    <t>ATP1085603: 450 Lakeville Rd, Zuckerberg Cancer Center</t>
  </si>
  <si>
    <t>PRJ 958978: Fresh Meadows Hospice Care Relocation</t>
  </si>
  <si>
    <t>ATP663522 Residency Project Plans &amp; Staff Displacements</t>
  </si>
  <si>
    <t>ATP662445- 187 Sunrise Highway - West Islip Pedia</t>
  </si>
  <si>
    <t>ATP1333130 1979 Marcus to 1111 Displaytech Space</t>
  </si>
  <si>
    <t>PRJ409087 - 10 Medical Plaza</t>
  </si>
  <si>
    <t>ATP663269 - 480 Bedford Road</t>
  </si>
  <si>
    <t xml:space="preserve">ATP1192158 2HQ - 301 </t>
  </si>
  <si>
    <t>Alberto Montalvo</t>
  </si>
  <si>
    <t>ATP1348475</t>
  </si>
  <si>
    <t xml:space="preserve">ATP663522 Residency Project </t>
  </si>
  <si>
    <t>Alexander Lent</t>
  </si>
  <si>
    <t>PO# 8224006866</t>
  </si>
  <si>
    <t>ATP665921</t>
  </si>
  <si>
    <t>ATP664061 Geriatrics</t>
  </si>
  <si>
    <t>ATP1334403 - 135 Bedford Rd</t>
  </si>
  <si>
    <t>ATP662890 Hudson Yards Ortho MRI</t>
  </si>
  <si>
    <t>ATP1921489 Neurology Allocation</t>
  </si>
  <si>
    <t xml:space="preserve">PRJ401401: Mother and Baby </t>
  </si>
  <si>
    <t>PRJ408252: Vascular Surgery</t>
  </si>
  <si>
    <t>ATP1192158 2HQ - 3HQ</t>
  </si>
  <si>
    <t>P/O #BIH8198- 175 Community dr</t>
  </si>
  <si>
    <t>ATP1348475/ATP1473450/PRJ409529</t>
  </si>
  <si>
    <t>PO# 3724007117</t>
  </si>
  <si>
    <t>PO 00003-0000105454</t>
  </si>
  <si>
    <t>ATP1333130 1979 Marcus</t>
  </si>
  <si>
    <t>PO# 1624004885/REQ0845399</t>
  </si>
  <si>
    <t>PO#7024018486 Radiology-N Westchester</t>
  </si>
  <si>
    <t>ATP1654710</t>
  </si>
  <si>
    <t>ATP1708807</t>
  </si>
  <si>
    <t>ATP791323</t>
  </si>
  <si>
    <t>Kevin Suarez</t>
  </si>
  <si>
    <t>ATP662860</t>
  </si>
  <si>
    <t>ATP665153</t>
  </si>
  <si>
    <t>PRJ407738</t>
  </si>
  <si>
    <t>ATP1797552</t>
  </si>
  <si>
    <t>ATP663723</t>
  </si>
  <si>
    <t>ATP1971456-600</t>
  </si>
  <si>
    <t>PRJ1955898/REQ0868532</t>
  </si>
  <si>
    <t>ATP780269 </t>
  </si>
  <si>
    <t>REQ0853414/ Synergy Scanner</t>
  </si>
  <si>
    <t>ATP1843271</t>
  </si>
  <si>
    <t xml:space="preserve">ATP1654710 </t>
  </si>
  <si>
    <t>ATP2026078 Epic Training Space</t>
  </si>
  <si>
    <t>PRJ409453</t>
  </si>
  <si>
    <t>ATP1843271 -Dr. Ian Newmark</t>
  </si>
  <si>
    <t>ATP663723  :N.Y. Foot &amp; Ankle</t>
  </si>
  <si>
    <t>ATP898689</t>
  </si>
  <si>
    <t>ATP2026078</t>
  </si>
  <si>
    <t xml:space="preserve">ATP1192158 </t>
  </si>
  <si>
    <t>Alec Raiden</t>
  </si>
  <si>
    <t>ATP2329294</t>
  </si>
  <si>
    <t xml:space="preserve">ATP2102628 </t>
  </si>
  <si>
    <t>ATP407494 / ATP666458</t>
  </si>
  <si>
    <t>ATP662890</t>
  </si>
  <si>
    <t>ATP664311</t>
  </si>
  <si>
    <t>ATP665887</t>
  </si>
  <si>
    <t xml:space="preserve">PRJ406648 </t>
  </si>
  <si>
    <t>ATP1967083</t>
  </si>
  <si>
    <t xml:space="preserve">ATP665289 </t>
  </si>
  <si>
    <t xml:space="preserve">ATP2026078 </t>
  </si>
  <si>
    <t>ATP1801677</t>
  </si>
  <si>
    <t xml:space="preserve">ATP1108492 </t>
  </si>
  <si>
    <t>PO 7024042584</t>
  </si>
  <si>
    <t>ATP1735544</t>
  </si>
  <si>
    <t>yostinn Minaya</t>
  </si>
  <si>
    <t>ATP2143598/REQ0880712</t>
  </si>
  <si>
    <t>ATP1501288/REQ0889172</t>
  </si>
  <si>
    <t xml:space="preserve">ATP876835 </t>
  </si>
  <si>
    <t xml:space="preserve">ATP663043 </t>
  </si>
  <si>
    <t>ATP1809533</t>
  </si>
  <si>
    <t>ATP663043</t>
  </si>
  <si>
    <t>ATP1766971</t>
  </si>
  <si>
    <t xml:space="preserve">ATP662366 / ATP662369 </t>
  </si>
  <si>
    <t>ATP666273</t>
  </si>
  <si>
    <t>ATP918597</t>
  </si>
  <si>
    <t>ATP665109</t>
  </si>
  <si>
    <t>ATP877320</t>
  </si>
  <si>
    <t xml:space="preserve">ATP663301 </t>
  </si>
  <si>
    <t>ATP663064</t>
  </si>
  <si>
    <t>ATP408434</t>
  </si>
  <si>
    <t>Gary Kler</t>
  </si>
  <si>
    <t>ATP2277896</t>
  </si>
  <si>
    <t>PRJ409178</t>
  </si>
  <si>
    <t>PRJ409178 Wave 2</t>
  </si>
  <si>
    <t>ATP666332</t>
  </si>
  <si>
    <t>Jerry Li</t>
  </si>
  <si>
    <t>ATP662366</t>
  </si>
  <si>
    <t>Week - July 10th to July 14th</t>
  </si>
  <si>
    <t>Techs and PMO</t>
  </si>
  <si>
    <t>Travel Incidents</t>
  </si>
  <si>
    <t>Notes</t>
  </si>
  <si>
    <t>Teena Wadhwani (PC) - PC</t>
  </si>
  <si>
    <t>Weekly status meeting with NW team</t>
  </si>
  <si>
    <t>Neha Khurana (SPM) - PC</t>
  </si>
  <si>
    <t>Kick off meeting and weekly status meeting with NW team</t>
  </si>
  <si>
    <t>Week - July 17th to July 24th</t>
  </si>
  <si>
    <t>Hours till 10/6</t>
  </si>
  <si>
    <t>PO#1</t>
  </si>
  <si>
    <t>PO#2 (Change Order)</t>
  </si>
  <si>
    <t>Total PO Hours</t>
  </si>
  <si>
    <t>Remaining Hours</t>
  </si>
  <si>
    <t>Amount Remaining</t>
  </si>
  <si>
    <t>Remaining on PO#1</t>
  </si>
  <si>
    <t>Projected Hours</t>
  </si>
  <si>
    <t>Total Price PO#1</t>
  </si>
  <si>
    <t>Tech Hours</t>
  </si>
  <si>
    <t>Kent Suarez - Tech</t>
  </si>
  <si>
    <t>Training Meeting with NW team</t>
  </si>
  <si>
    <t xml:space="preserve">PC Hours </t>
  </si>
  <si>
    <t>Lyndon Skerritt - Tech</t>
  </si>
  <si>
    <t>Matthew Santana- Tech</t>
  </si>
  <si>
    <t>Ilya Glushkov - Tech</t>
  </si>
  <si>
    <t>Meeting with NW team</t>
  </si>
  <si>
    <t>Meeting with NW team &amp; creating templates</t>
  </si>
  <si>
    <t>Week - July 24th to July 28th</t>
  </si>
  <si>
    <t>Training (change in scope review) and Oniste hours</t>
  </si>
  <si>
    <t>NA</t>
  </si>
  <si>
    <t>Meeting with NW team and schedule coordination with sites &amp; information upload</t>
  </si>
  <si>
    <t>Week - July 31st to Aug 4th</t>
  </si>
  <si>
    <t>Onsite - Survey</t>
  </si>
  <si>
    <t>Week - Aug 7th to Aug 11th</t>
  </si>
  <si>
    <t>Frantz Delice  - Tech</t>
  </si>
  <si>
    <t>Meeting with NW team and schedule coordination with sites &amp; information upload. Reporting and issue tracker</t>
  </si>
  <si>
    <t>Week - Aug 14th to Aug 18th</t>
  </si>
  <si>
    <t>Week - Aug 21st to Aug 25th</t>
  </si>
  <si>
    <t xml:space="preserve">Meeting with NW team and schedule coordination with sites &amp; information upload. </t>
  </si>
  <si>
    <t>Week - Aug 28th to Sep 1st</t>
  </si>
  <si>
    <t>Aug 28 - 9/1 Hours entered on 9/5/2023 in Changepoint</t>
  </si>
  <si>
    <t>The month had been closed /locked prior to the entries entered in CP.</t>
  </si>
  <si>
    <t>Week - Sep 4th to Sep 8th</t>
  </si>
  <si>
    <t>Scheduling, responding to NW emails</t>
  </si>
  <si>
    <t>Week - Sep 11th to Sep 15th</t>
  </si>
  <si>
    <t>Week - Sep 18th to Sep 22th</t>
  </si>
  <si>
    <t>Emails response to NW</t>
  </si>
  <si>
    <t>Week - Sep 25th to Sep 29th</t>
  </si>
  <si>
    <t>Scheduling last two sites</t>
  </si>
  <si>
    <t>Project final closeout/billing</t>
  </si>
  <si>
    <t>Week -Oct 2nd to Oct 6th</t>
  </si>
  <si>
    <t>FINAL</t>
  </si>
  <si>
    <t>Tech Hrs Remaining:</t>
  </si>
  <si>
    <r>
      <t xml:space="preserve">Do </t>
    </r>
    <r>
      <rPr>
        <sz val="8"/>
        <color rgb="FFFF0000"/>
        <rFont val="Century Gothic"/>
        <family val="2"/>
      </rPr>
      <t>NOT</t>
    </r>
    <r>
      <rPr>
        <sz val="8"/>
        <color rgb="FFFFFFFF"/>
        <rFont val="Century Gothic"/>
        <family val="2"/>
      </rPr>
      <t xml:space="preserve"> edit this area. For Changpoint  use ONLY</t>
    </r>
  </si>
  <si>
    <t>PM Hrs Remaining:</t>
  </si>
  <si>
    <t>Travel Remaining:</t>
  </si>
  <si>
    <t>12:01</t>
  </si>
  <si>
    <t>4:01</t>
  </si>
  <si>
    <t>1:05</t>
  </si>
  <si>
    <t>4:05</t>
  </si>
  <si>
    <t>8:01</t>
  </si>
  <si>
    <t>epic</t>
  </si>
  <si>
    <t>9:00(Worked on Sunday)</t>
  </si>
  <si>
    <t>7:00</t>
  </si>
  <si>
    <t>2:50</t>
  </si>
  <si>
    <t>11:50</t>
  </si>
  <si>
    <t>7:30</t>
  </si>
  <si>
    <t>Akanji, Jesupemi (Ayo)</t>
  </si>
  <si>
    <t>Abubakar, Khalil</t>
  </si>
  <si>
    <t>Anderson, Debra-kae</t>
  </si>
  <si>
    <t>OFF</t>
  </si>
  <si>
    <t>NO SHOW</t>
  </si>
  <si>
    <t xml:space="preserve">Castillo, Amanda  </t>
  </si>
  <si>
    <t>Coker, Victor (AMB)</t>
  </si>
  <si>
    <t>Absent</t>
  </si>
  <si>
    <t>CC 8hrs</t>
  </si>
  <si>
    <t>CC8hrs</t>
  </si>
  <si>
    <t xml:space="preserve">Hunter, Kendrick </t>
  </si>
  <si>
    <t>Iddriss, Abubakar</t>
  </si>
  <si>
    <t>Manning, Justin (AMB)</t>
  </si>
  <si>
    <t>RESIGNED</t>
  </si>
  <si>
    <t>resigned</t>
  </si>
  <si>
    <t xml:space="preserve">Ochiangha, Henry </t>
  </si>
  <si>
    <t>Okerayi, Michael (AMB)</t>
  </si>
  <si>
    <t>Olivas, Caesar (AMB)</t>
  </si>
  <si>
    <t xml:space="preserve">Ouedraogo, Wendpingre(Joel) </t>
  </si>
  <si>
    <t>Quamina, Reion</t>
  </si>
  <si>
    <t>Romero-Salam, Carl</t>
  </si>
  <si>
    <t>Rodriguez, Rommel</t>
  </si>
  <si>
    <t>KIOSK</t>
  </si>
  <si>
    <t>KIC</t>
  </si>
  <si>
    <t>Perez, Richard</t>
  </si>
  <si>
    <t>CC- 4 hrs</t>
  </si>
  <si>
    <t>CC - 8 hrs</t>
  </si>
  <si>
    <t>5"00</t>
  </si>
  <si>
    <t>10:15</t>
  </si>
  <si>
    <t xml:space="preserve">Safieddine Baalbaki, Hadil </t>
  </si>
  <si>
    <t>9-6 Suarez Proj</t>
  </si>
  <si>
    <t>9-6</t>
  </si>
  <si>
    <t>9-6 Suarez</t>
  </si>
  <si>
    <t>10 - 5 Suarez</t>
  </si>
  <si>
    <r>
      <t>Joshua Johnson (</t>
    </r>
    <r>
      <rPr>
        <b/>
        <sz val="9"/>
        <color theme="1"/>
        <rFont val="Century Gothic"/>
        <family val="2"/>
      </rPr>
      <t>Inventor</t>
    </r>
    <r>
      <rPr>
        <b/>
        <sz val="8"/>
        <color theme="1"/>
        <rFont val="Century Gothic"/>
        <family val="2"/>
      </rPr>
      <t>y)</t>
    </r>
  </si>
  <si>
    <t>8 - Suarez</t>
  </si>
  <si>
    <t>2amb</t>
  </si>
  <si>
    <t>Diallo, Sarata</t>
  </si>
  <si>
    <t>Nunez, Kelvin</t>
  </si>
  <si>
    <t>Ayo</t>
  </si>
  <si>
    <t>Bonita's Project Sat-Sun</t>
  </si>
  <si>
    <t>Roman, Rezaul</t>
  </si>
  <si>
    <t>Wuassi, Yoa Arnauld</t>
  </si>
  <si>
    <t>Sun -7</t>
  </si>
  <si>
    <t>Sat - 8</t>
  </si>
  <si>
    <t>11//14</t>
  </si>
  <si>
    <t>Bon/Sua -8</t>
  </si>
  <si>
    <t>9;00</t>
  </si>
  <si>
    <t>Sun - 3</t>
  </si>
  <si>
    <t>10:30</t>
  </si>
  <si>
    <t>Sat - 10</t>
  </si>
  <si>
    <t>OFF SICK</t>
  </si>
  <si>
    <t>7a-7:30p=10.5</t>
  </si>
  <si>
    <t>7a-3:30 = 8.5</t>
  </si>
  <si>
    <t>7-7:30=10.5</t>
  </si>
  <si>
    <t>9 - 10 =13:0</t>
  </si>
  <si>
    <t>SICK</t>
  </si>
  <si>
    <t>:</t>
  </si>
  <si>
    <t>THANKSGIVING</t>
  </si>
  <si>
    <t>DAY AFTER THANKSGIVING</t>
  </si>
  <si>
    <t>Kurt 8-4</t>
  </si>
  <si>
    <t>NW Cart</t>
  </si>
  <si>
    <t>David Cayenne (LIJMC driver)</t>
  </si>
  <si>
    <t>12:30</t>
  </si>
  <si>
    <t>Delivery (Truck, Van, NY Minute)</t>
  </si>
  <si>
    <t>1:45</t>
  </si>
  <si>
    <t>7-11 -Bonita =4hrs</t>
  </si>
  <si>
    <t>CHRISTMAS</t>
  </si>
  <si>
    <t>NEW YEAR</t>
  </si>
  <si>
    <t>8-3 TR -7hrs</t>
  </si>
  <si>
    <t>8-5 TR -8hrs</t>
  </si>
  <si>
    <t>9:25</t>
  </si>
  <si>
    <t>MARTIN LUTHER KING DAY</t>
  </si>
  <si>
    <t>P &amp; D</t>
  </si>
  <si>
    <t>Khan, Nasim (Workmarket)</t>
  </si>
  <si>
    <t>Thomas, Max (Workmarket)</t>
  </si>
  <si>
    <t>Called Sick</t>
  </si>
  <si>
    <t xml:space="preserve">Khan, Nasim </t>
  </si>
  <si>
    <t>x2 AMB</t>
  </si>
  <si>
    <t>GCH</t>
  </si>
  <si>
    <t>FHH</t>
  </si>
  <si>
    <t>LIJVS</t>
  </si>
  <si>
    <t>11:15</t>
  </si>
  <si>
    <t>x 2 AMB</t>
  </si>
  <si>
    <t>9;:00</t>
  </si>
  <si>
    <t>missing 2 hrs from previous payroll</t>
  </si>
  <si>
    <t>OTP Meeting</t>
  </si>
  <si>
    <t>PRESIDENT'S DAY</t>
  </si>
  <si>
    <t>ZHH</t>
  </si>
  <si>
    <t>x 2H</t>
  </si>
  <si>
    <t>x2H</t>
  </si>
  <si>
    <t>OTP meeting</t>
  </si>
  <si>
    <t>OPT assist FL</t>
  </si>
  <si>
    <t>Go to EPIC Monitor W3 sheet</t>
  </si>
  <si>
    <t>SOW Tech Hours OT</t>
  </si>
  <si>
    <t>Tech OT Hrs Remaining:</t>
  </si>
  <si>
    <t>SOW PM Hours OT:</t>
  </si>
  <si>
    <t>PM OT Hrs Remaining:</t>
  </si>
  <si>
    <t xml:space="preserve">Erik Guzman </t>
  </si>
  <si>
    <t xml:space="preserve">7am </t>
  </si>
  <si>
    <t>3pm</t>
  </si>
  <si>
    <t>7am</t>
  </si>
  <si>
    <t>Andrew Wajoula</t>
  </si>
  <si>
    <t>Alexander Sanchez</t>
  </si>
  <si>
    <t xml:space="preserve">Max Thomas  </t>
  </si>
  <si>
    <t>Rizwan  Pasha</t>
  </si>
  <si>
    <t xml:space="preserve">Billy Liang </t>
  </si>
  <si>
    <t>Nasim Khan</t>
  </si>
  <si>
    <t>Patricia Marrero</t>
  </si>
  <si>
    <t>Cyen Heyliger</t>
  </si>
  <si>
    <t>Jamila Willaiams</t>
  </si>
  <si>
    <t>Tech 11</t>
  </si>
  <si>
    <t>Tech 12</t>
  </si>
  <si>
    <t>Tech 13</t>
  </si>
  <si>
    <t>Tech 14</t>
  </si>
  <si>
    <t>Tech 15</t>
  </si>
  <si>
    <t>Tech 16</t>
  </si>
  <si>
    <t>Tech 17</t>
  </si>
  <si>
    <t>Tech 18</t>
  </si>
  <si>
    <t>Tech 19</t>
  </si>
  <si>
    <t>Tech 20</t>
  </si>
  <si>
    <t>Tech 21</t>
  </si>
  <si>
    <t>7AM</t>
  </si>
  <si>
    <t xml:space="preserve">9am </t>
  </si>
  <si>
    <t>5pm</t>
  </si>
  <si>
    <t>9am</t>
  </si>
  <si>
    <t>12pm</t>
  </si>
  <si>
    <t>8am</t>
  </si>
  <si>
    <t>2pm</t>
  </si>
  <si>
    <t>Tech 22</t>
  </si>
  <si>
    <t>Tech 23</t>
  </si>
  <si>
    <t>1pm</t>
  </si>
  <si>
    <t>6pm</t>
  </si>
  <si>
    <t>4pm</t>
  </si>
  <si>
    <t>630pm</t>
  </si>
  <si>
    <t>330pm</t>
  </si>
  <si>
    <t>9pm</t>
  </si>
  <si>
    <t>530PM</t>
  </si>
  <si>
    <t>530pm</t>
  </si>
  <si>
    <t>7am  6PM</t>
  </si>
  <si>
    <t>Jamila Williams</t>
  </si>
  <si>
    <t>830am</t>
  </si>
  <si>
    <t>430pm</t>
  </si>
  <si>
    <t>8AM</t>
  </si>
  <si>
    <t>4PM</t>
  </si>
  <si>
    <t>Yao Wuassi</t>
  </si>
  <si>
    <t xml:space="preserve">Reion Quamina </t>
  </si>
  <si>
    <t>Mdnizam Uddin</t>
  </si>
  <si>
    <t>7pm</t>
  </si>
  <si>
    <t>8pm</t>
  </si>
  <si>
    <t>330PM</t>
  </si>
  <si>
    <t>3PM</t>
  </si>
  <si>
    <r>
      <rPr>
        <b/>
        <sz val="8"/>
        <color rgb="FFFF0000"/>
        <rFont val="Century Gothic"/>
        <family val="2"/>
      </rPr>
      <t>!!!</t>
    </r>
    <r>
      <rPr>
        <b/>
        <sz val="8"/>
        <color rgb="FFFFFFFF"/>
        <rFont val="Century Gothic"/>
        <family val="2"/>
      </rPr>
      <t>COORDINATORS</t>
    </r>
    <r>
      <rPr>
        <b/>
        <sz val="8"/>
        <color rgb="FFFF0000"/>
        <rFont val="Century Gothic"/>
        <family val="2"/>
      </rPr>
      <t>!!!</t>
    </r>
  </si>
  <si>
    <r>
      <rPr>
        <sz val="8"/>
        <color rgb="FFFFFFFF"/>
        <rFont val="Century Gothic"/>
        <family val="2"/>
      </rPr>
      <t xml:space="preserve">Do </t>
    </r>
    <r>
      <rPr>
        <sz val="8"/>
        <color rgb="FFFF0000"/>
        <rFont val="Century Gothic"/>
        <family val="2"/>
      </rPr>
      <t>NOT</t>
    </r>
    <r>
      <rPr>
        <sz val="8"/>
        <color rgb="FFFFFFFF"/>
        <rFont val="Century Gothic"/>
        <family val="2"/>
      </rPr>
      <t xml:space="preserve"> edit this area. For Coordinator's use ONLY</t>
    </r>
  </si>
  <si>
    <t>Weekend</t>
  </si>
  <si>
    <t>Khan, Nasim</t>
  </si>
  <si>
    <t>Thomas, Max</t>
  </si>
  <si>
    <t>HH</t>
  </si>
  <si>
    <t>Destination Fees</t>
  </si>
  <si>
    <t>Joseph Rumley (Coordinator)</t>
  </si>
  <si>
    <t>SS</t>
  </si>
  <si>
    <t>13.4</t>
  </si>
  <si>
    <t>23.8</t>
  </si>
  <si>
    <t>16.3</t>
  </si>
  <si>
    <t>With Kevin 8 hours</t>
  </si>
  <si>
    <t>Car</t>
  </si>
  <si>
    <t>With Kevin S 9 hours</t>
  </si>
  <si>
    <t>With Kevin S 8 hours</t>
  </si>
  <si>
    <t>Kevin S Project 8 hours</t>
  </si>
  <si>
    <t>Working with Josh 8 hours</t>
  </si>
  <si>
    <t>On Kevin S Project 8 hours</t>
  </si>
  <si>
    <t xml:space="preserve">8:00 </t>
  </si>
  <si>
    <t>Justin Love (AGILANT)</t>
  </si>
  <si>
    <t xml:space="preserve">July 4th </t>
  </si>
  <si>
    <t>EPCS ENROLL</t>
  </si>
  <si>
    <t>DSE SUPPORT</t>
  </si>
  <si>
    <t>Labor Total</t>
  </si>
  <si>
    <t>Labor/Travel</t>
  </si>
  <si>
    <r>
      <t>Joshua Johnson (</t>
    </r>
    <r>
      <rPr>
        <b/>
        <sz val="9"/>
        <color theme="1" tint="0.499984740745262"/>
        <rFont val="Century Gothic"/>
        <family val="2"/>
      </rPr>
      <t>Inventor</t>
    </r>
    <r>
      <rPr>
        <b/>
        <sz val="8"/>
        <color theme="1" tint="0.499984740745262"/>
        <rFont val="Century Gothic"/>
        <family val="2"/>
      </rPr>
      <t>y)</t>
    </r>
  </si>
  <si>
    <t>Francisco  (AGILANT)</t>
  </si>
  <si>
    <t>DSE</t>
  </si>
  <si>
    <t>Logan Montalvo</t>
  </si>
  <si>
    <r>
      <t>Joshua Johnson (</t>
    </r>
    <r>
      <rPr>
        <b/>
        <sz val="9"/>
        <color theme="2" tint="-0.499984740745262"/>
        <rFont val="Century Gothic"/>
        <family val="2"/>
      </rPr>
      <t>Inventor</t>
    </r>
    <r>
      <rPr>
        <b/>
        <sz val="8"/>
        <color theme="2" tint="-0.499984740745262"/>
        <rFont val="Century Gothic"/>
        <family val="2"/>
      </rPr>
      <t>y)</t>
    </r>
  </si>
  <si>
    <t>Alejandro Perales</t>
  </si>
  <si>
    <t>Julio Mojica</t>
  </si>
  <si>
    <t>Sheldon Brown</t>
  </si>
  <si>
    <t>Delroy Harris</t>
  </si>
  <si>
    <t>Valentyn Nykoliuk</t>
  </si>
  <si>
    <t>Amos Eniolorunda</t>
  </si>
  <si>
    <t>Angel Illescas</t>
  </si>
  <si>
    <t>Anjeanette Alva</t>
  </si>
  <si>
    <t>Asante Alexander</t>
  </si>
  <si>
    <t>Fatema Choudhury</t>
  </si>
  <si>
    <t>Felix Eliscopides</t>
  </si>
  <si>
    <t xml:space="preserve">Gideon Boafo  </t>
  </si>
  <si>
    <t>Hernan Lopez</t>
  </si>
  <si>
    <t>Ingrid Cuello</t>
  </si>
  <si>
    <t>Keith Tubbs</t>
  </si>
  <si>
    <t>Kevin Claiborne, Jr</t>
  </si>
  <si>
    <t>KEVIN RICHARDSON</t>
  </si>
  <si>
    <t>LUIS RAMIREZ</t>
  </si>
  <si>
    <t>Manny J Crespo</t>
  </si>
  <si>
    <t>Matthias Emmanuel Coronel Fretes</t>
  </si>
  <si>
    <t>Md Ashiful Haque</t>
  </si>
  <si>
    <t>Mehdi Makhzoumy</t>
  </si>
  <si>
    <t>Michael Santano</t>
  </si>
  <si>
    <t>Nicolai Bogutski</t>
  </si>
  <si>
    <t>Shannon Blackmon</t>
  </si>
  <si>
    <t>Ying Jie Mei</t>
  </si>
  <si>
    <t>Chris Cummings</t>
  </si>
  <si>
    <t>April Wk1</t>
  </si>
  <si>
    <t>Project Totals</t>
  </si>
  <si>
    <t>Date</t>
  </si>
  <si>
    <t>Confirmation #</t>
  </si>
  <si>
    <t>Start Location</t>
  </si>
  <si>
    <t>Delivery Location</t>
  </si>
  <si>
    <t>NYMin total</t>
  </si>
  <si>
    <t>Fee as Engineer Hours</t>
  </si>
  <si>
    <t>Added to billing</t>
  </si>
  <si>
    <t>ITAMG</t>
  </si>
  <si>
    <t>NYMin Storage</t>
  </si>
  <si>
    <t>LHGV</t>
  </si>
  <si>
    <t>NWH</t>
  </si>
  <si>
    <t>Agilant Truck</t>
  </si>
  <si>
    <t>Aglilant Truck</t>
  </si>
  <si>
    <t>584 Forest Ave</t>
  </si>
  <si>
    <t>378 Seaview Ave</t>
  </si>
  <si>
    <t>78 Cromwell Ave</t>
  </si>
  <si>
    <t>BK Ambulatory Sites</t>
  </si>
  <si>
    <t>Final Pickup from Phelps</t>
  </si>
  <si>
    <t>Staten Island Amb.</t>
  </si>
  <si>
    <t>Was to be at NY Minute cardboard disposal but truck was needed for DOE deliveries</t>
  </si>
  <si>
    <t>Transferred to another truck at PW and then delivered to ITAMG</t>
  </si>
  <si>
    <t>1110 South Ave, Staten Island</t>
  </si>
  <si>
    <t>1200 South Ave, Staten Island</t>
  </si>
  <si>
    <t>900 South Ave, Staten Island</t>
  </si>
  <si>
    <t>501 Seaview Ave, Staten Island</t>
  </si>
  <si>
    <t>1776 Richmond Road, Staten Island</t>
  </si>
  <si>
    <t>2460 Hylan Blvd, Staten Island</t>
  </si>
  <si>
    <t>1101 Stewart Ave, Garden City</t>
  </si>
  <si>
    <t>244 Old Country Road, Riverhead</t>
  </si>
  <si>
    <t>NY Min invoice says 5/20 but it was completed morning of 5/21/24</t>
  </si>
  <si>
    <t>540 White Plains Road, Tarrytown</t>
  </si>
  <si>
    <t>2 Park Avenue, NYC</t>
  </si>
  <si>
    <t>200 Community Drive, Great Neck</t>
  </si>
  <si>
    <t>1983 Marcus Ave, New Hyde Park</t>
  </si>
  <si>
    <t>Marvin SO#</t>
  </si>
  <si>
    <t>Accounted for on 6/10</t>
  </si>
  <si>
    <t>256 Mason Ave, Staten Island</t>
  </si>
  <si>
    <t>440 Seaview Ave, Staten Island</t>
  </si>
  <si>
    <t>6/6 Boxes Picked Up</t>
  </si>
  <si>
    <t>1983 Marcus Ave</t>
  </si>
  <si>
    <t>Pick Ups</t>
  </si>
  <si>
    <t>8 hrs. Accounted for on Marvin Tate / Agilant Box Truck</t>
  </si>
  <si>
    <t>Homecare Amb.</t>
  </si>
  <si>
    <t>Deliveries</t>
  </si>
  <si>
    <t>Northern Amb.</t>
  </si>
  <si>
    <t>Also picked up SIUHN</t>
  </si>
  <si>
    <t>480 Bedford Rd, Chappaqua</t>
  </si>
  <si>
    <t>ITAMG &amp; LHH</t>
  </si>
  <si>
    <t>Also pickup at 25 Smith Street, Nanuet</t>
  </si>
  <si>
    <t>C-Bins to Phelps</t>
  </si>
  <si>
    <t>Late Cancellation with NY Minute</t>
  </si>
  <si>
    <t>360 Mason Ave, Staten Island</t>
  </si>
  <si>
    <t>Multi Delivery LHH and Astoria Ambulatory</t>
  </si>
  <si>
    <t>Brooklyn Amb.</t>
  </si>
  <si>
    <t>Pallet and C-Bins from PW to pickup at SI locations</t>
  </si>
  <si>
    <t>360 Seaview Ave, Staten Island</t>
  </si>
  <si>
    <t>2HQ</t>
  </si>
  <si>
    <t>52C Broadway, Brooklyn</t>
  </si>
  <si>
    <t>5723 Ave N, Bklyn</t>
  </si>
  <si>
    <t>Marvin SO#167584, Invoice @ 2024-031</t>
  </si>
  <si>
    <t>Marvin SO#167584, Invoice @ 2024-032</t>
  </si>
  <si>
    <t>ITAMG Disposals</t>
  </si>
  <si>
    <t>Van</t>
  </si>
  <si>
    <t>8622 Bay Pkwy, Bklyn</t>
  </si>
  <si>
    <t>Forest Hills Delivery</t>
  </si>
  <si>
    <t>Forest Hills Pickup</t>
  </si>
  <si>
    <t>Problematic pickup that should have been at 3 pm but was scheduled for 10 am</t>
  </si>
  <si>
    <t>2HQ Delivery</t>
  </si>
  <si>
    <t>2HQ Pickup</t>
  </si>
  <si>
    <t>Glen Cove Hospital Delivery</t>
  </si>
  <si>
    <t>Glen Cove Hospital Pickup</t>
  </si>
  <si>
    <t>Plainview Hospital Delivery</t>
  </si>
  <si>
    <t>Plainview Hospital Pickup</t>
  </si>
  <si>
    <t>LIJ Valley Stream Delivery</t>
  </si>
  <si>
    <t>Agilant Van</t>
  </si>
  <si>
    <t>Manhattan Deliveries</t>
  </si>
  <si>
    <t>Northern Deliveries</t>
  </si>
  <si>
    <t>LI Deliveries</t>
  </si>
  <si>
    <t>Queens Deliveries</t>
  </si>
  <si>
    <t>Delivery to 1165 Northern Blvd, Confirmation # is listed as 2958459</t>
  </si>
  <si>
    <t>Also used van but not concurrently with truck</t>
  </si>
  <si>
    <t>Pickup Zucker</t>
  </si>
  <si>
    <t>Pickups</t>
  </si>
  <si>
    <t>Zucker Delivery</t>
  </si>
  <si>
    <t>Zucker Pickups and Queens/LI Deliveries</t>
  </si>
  <si>
    <t>CCMC and LI Deliveries, 64 Commerce Pickup</t>
  </si>
  <si>
    <t>CCMC Delivery</t>
  </si>
  <si>
    <t>CCMC Pickup</t>
  </si>
  <si>
    <t>2 Teleport Drive Delivery</t>
  </si>
  <si>
    <t>2 Teleport Drive Pickup</t>
  </si>
  <si>
    <t>SIUHN Delivery</t>
  </si>
  <si>
    <t>101 Tyrellan Ave Delivery</t>
  </si>
  <si>
    <t>635 Belle Terre Rd Delivery</t>
  </si>
  <si>
    <t>646 Broadway Delivery</t>
  </si>
  <si>
    <t>Zucker Pickup</t>
  </si>
  <si>
    <t>LIJ Delivery</t>
  </si>
  <si>
    <t>2535 Arthur Kill Rd Delivery</t>
  </si>
  <si>
    <t>256 Mason Ave Delivery</t>
  </si>
  <si>
    <t>600 Hempstead Turnpike Delivery</t>
  </si>
  <si>
    <t>711 Stewart Ave Delivery</t>
  </si>
  <si>
    <t>1600 Central Ave Delivery</t>
  </si>
  <si>
    <t>3311 Hylan Blvd Delivery</t>
  </si>
  <si>
    <t>3333 Hylan Blvd Delivery</t>
  </si>
  <si>
    <t>1441 South Ave Delivery</t>
  </si>
  <si>
    <t>1010 Northern Blvd Delivery</t>
  </si>
  <si>
    <t>1010 Northern Blvd Pickup (after 5 pm)</t>
  </si>
  <si>
    <t>600 Hempstead Turnpike Pickup</t>
  </si>
  <si>
    <t>711 Stewart Ave Pickup</t>
  </si>
  <si>
    <t>1600 Central Ave Pickup</t>
  </si>
  <si>
    <t>3311 Hylan Blvd Pickup</t>
  </si>
  <si>
    <t>1441 South Ave Pickup</t>
  </si>
  <si>
    <t>LIJ Monitor Moving from CFAM</t>
  </si>
  <si>
    <t>3333 Hylan Blvd Delivery Pickup</t>
  </si>
  <si>
    <t>111 Water St Pickup</t>
  </si>
  <si>
    <t>1145 Targee St Pickup</t>
  </si>
  <si>
    <t>256 Mason Ave Pickup</t>
  </si>
  <si>
    <t>SIUHN Pickup</t>
  </si>
  <si>
    <t>444 Merrick Road Pickup at 5pm</t>
  </si>
  <si>
    <t>122 E 76th St Pickup</t>
  </si>
  <si>
    <t>1010 Northern Pickup</t>
  </si>
  <si>
    <t>LIJ Pickup</t>
  </si>
  <si>
    <t>80-02 Kew Gardens Delivery</t>
  </si>
  <si>
    <t>444 Merrick Rd Pickup</t>
  </si>
  <si>
    <t>There is a delivery to 539 Castleton Ave, Staten Island on Invoice 164960 under Confirmation # 2966711 was for Bonita's project</t>
  </si>
  <si>
    <t>1800 Walt Whitman Rd Pickup</t>
  </si>
  <si>
    <t>LIJ Pickup/Delivery</t>
  </si>
  <si>
    <t>444 Merrick Rd Delivery</t>
  </si>
  <si>
    <t>3HQ and LIJ</t>
  </si>
  <si>
    <t>660 Broadway</t>
  </si>
  <si>
    <t>1101 Stewart and 1111 Marcus Ave</t>
  </si>
  <si>
    <t>1111 Marcus Ave and 444 Merrick Rd</t>
  </si>
  <si>
    <t>80-02 Kew Gardens Pickup</t>
  </si>
  <si>
    <t>LIJ CFAM Pickup and Delivery</t>
  </si>
  <si>
    <t>Pickup of new monitors that 1010 Northern Blvd held after first pickup</t>
  </si>
  <si>
    <t>LIJ CFAM Moving</t>
  </si>
  <si>
    <t>CFAM</t>
  </si>
  <si>
    <t>NSUH</t>
  </si>
  <si>
    <t>45 Crossways Parks Drive Pickup</t>
  </si>
  <si>
    <t>4 Deliveries 1 Pickup</t>
  </si>
  <si>
    <t>5 Deliveries</t>
  </si>
  <si>
    <t>3 Pickups</t>
  </si>
  <si>
    <t>NSUH Delivery and 3 pickups</t>
  </si>
  <si>
    <t>NSUH and deliveries</t>
  </si>
  <si>
    <t>NSUH and 400 Community Pickup</t>
  </si>
  <si>
    <t>1999 Marcus Ave Delivery</t>
  </si>
  <si>
    <t>865 Northern Blvd Delivery</t>
  </si>
  <si>
    <t>1/20- MLK Day</t>
  </si>
  <si>
    <t>Queens Pickups</t>
  </si>
  <si>
    <t>Kew Gardens Deliveries</t>
  </si>
  <si>
    <t>NSUH Area Deliveries Kew Gardens Pickups</t>
  </si>
  <si>
    <t>LI Deliveries/Pickups</t>
  </si>
  <si>
    <t>LI Pickups</t>
  </si>
  <si>
    <t>LHH Delivery</t>
  </si>
  <si>
    <t>SI Delivery</t>
  </si>
  <si>
    <t>LHH Pickup</t>
  </si>
  <si>
    <t>SI Pickup</t>
  </si>
  <si>
    <t>Delivery to Warehouse</t>
  </si>
  <si>
    <t>LI Pickup</t>
  </si>
  <si>
    <t>LI Delivery</t>
  </si>
  <si>
    <t>3480 Veterans Memorial Delivery</t>
  </si>
  <si>
    <t>Agilant Delivery of picked up devices</t>
  </si>
  <si>
    <t>3480 Veterans Memorial Pickup</t>
  </si>
  <si>
    <t>635 Belle Terre Road Pickup</t>
  </si>
  <si>
    <t>1111 Marcus Ave Rev Cycle Delivery</t>
  </si>
  <si>
    <t>Bay Shore Hospital Delivery</t>
  </si>
  <si>
    <t>Bay Shore Hospital Pickup</t>
  </si>
  <si>
    <t>Huntington Hospital</t>
  </si>
  <si>
    <t>95-25 Queens Blvd, Rego Park</t>
  </si>
  <si>
    <t>Cardboard Disposal</t>
  </si>
  <si>
    <t>South Oaks Hospital</t>
  </si>
  <si>
    <t>South Oaks Hospital and Cardboard Disposal</t>
  </si>
  <si>
    <t>South Shore Hospital</t>
  </si>
  <si>
    <t>Bay Shore Ambulatories</t>
  </si>
  <si>
    <t>Long Island Ambulatories</t>
  </si>
  <si>
    <t>Mather Hospital</t>
  </si>
  <si>
    <t>Same Day pickup from Request for Early Monday delivery at Mather</t>
  </si>
  <si>
    <t>Mather Hospital Delivery</t>
  </si>
  <si>
    <t>Mather Hospital Same Day Pickup</t>
  </si>
  <si>
    <t>221 Jericho Turnpike Delivery</t>
  </si>
  <si>
    <t>Friday pickup for 733 Sunrise Highway</t>
  </si>
  <si>
    <t>733 Sunrise Highway Delivery</t>
  </si>
  <si>
    <t>Day before pickup for early delivery to SIUHN</t>
  </si>
  <si>
    <t>444 Lakeville Road Pickup</t>
  </si>
  <si>
    <t>Long Island Ambulatories (Justin in the Van)</t>
  </si>
  <si>
    <t>222 Middle Country Rd, Smithtown</t>
  </si>
  <si>
    <t>ITAMG 103259</t>
  </si>
  <si>
    <t>October 2024 Disposals</t>
  </si>
  <si>
    <t>ITAMG Disposal</t>
  </si>
  <si>
    <t>ITAMG 113349</t>
  </si>
  <si>
    <t>November 2024 Disposals</t>
  </si>
  <si>
    <t>ITAMG 113563</t>
  </si>
  <si>
    <t>December 2024 Disposals</t>
  </si>
  <si>
    <t>ITAMG 113564</t>
  </si>
  <si>
    <t>January 2025 Disposals</t>
  </si>
  <si>
    <t>Long Island Ambulatories, used van but wasn't enough space for pickup so truck used for pickup</t>
  </si>
  <si>
    <t>Phelps Pickup</t>
  </si>
  <si>
    <t>Lennox Hill Delivery/Pickup</t>
  </si>
  <si>
    <t>NY Minute Phelps Delivery</t>
  </si>
  <si>
    <t>Staten Island Ambulatories</t>
  </si>
  <si>
    <t>LI Ambulatory</t>
  </si>
  <si>
    <t>39 Brentwood Rd, Bay Shore</t>
  </si>
  <si>
    <t>47 Hudson St, Ossining</t>
  </si>
  <si>
    <t>Westchester Ambulatory</t>
  </si>
  <si>
    <t>242 Mason Ave, SI</t>
  </si>
  <si>
    <t>SI Ambulatory</t>
  </si>
  <si>
    <t>430 Lakeville Rd, NHP</t>
  </si>
  <si>
    <t>270-05 76th Ave, Queens</t>
  </si>
  <si>
    <t>LIJ Delivery, Dylan also had to drive in docks for the install</t>
  </si>
  <si>
    <t xml:space="preserve">1111 Marcus </t>
  </si>
  <si>
    <t>1225 Ostrander, Riverhead</t>
  </si>
  <si>
    <t>1460 Victory Blvd, SI</t>
  </si>
  <si>
    <t>465 Columbus Dr, Mt Kisco</t>
  </si>
  <si>
    <t>NY Minute</t>
  </si>
  <si>
    <t>256 Mason Ave, SI</t>
  </si>
  <si>
    <t>29 Elm St, Tuckahoe</t>
  </si>
  <si>
    <t>190 Goldens Bridge Rd</t>
  </si>
  <si>
    <t>AAA Car</t>
  </si>
  <si>
    <t>Aatif drove car to SIUHN</t>
  </si>
  <si>
    <t>2 Teleport Drive, SI</t>
  </si>
  <si>
    <t>360 Seaview Ave, SI</t>
  </si>
  <si>
    <t>475 Seaview Ave, SI</t>
  </si>
  <si>
    <t>NY Minute- same day delivery request SIUHN area</t>
  </si>
  <si>
    <t>450 Seaview, SI</t>
  </si>
  <si>
    <t>375 Seguine Ave, SI</t>
  </si>
  <si>
    <t>NY Minute Delivery and Pick Up</t>
  </si>
  <si>
    <t>NWH delivery</t>
  </si>
  <si>
    <t>NWH Pick Up</t>
  </si>
  <si>
    <t>215 Rockaway Turnpike,Lawrence</t>
  </si>
  <si>
    <t>LIJ</t>
  </si>
  <si>
    <t>3003 NHP Rd</t>
  </si>
  <si>
    <t>410 Lakeville Rd</t>
  </si>
  <si>
    <t>2001 Marcus</t>
  </si>
  <si>
    <t>CCMC</t>
  </si>
  <si>
    <t>Will also add billing for box crushing by AAA team on 3/4</t>
  </si>
  <si>
    <t>Canceled last minute by Nibin</t>
  </si>
  <si>
    <t>ELM Logistics</t>
  </si>
  <si>
    <t>ELM Warehouse</t>
  </si>
  <si>
    <t xml:space="preserve">For delivery to other warehouse, 22 pallets on 1 truck, cost per Paul M. is $550 per trailer </t>
  </si>
  <si>
    <t>Pick up and delivery of monitors/boxes to LIJ</t>
  </si>
  <si>
    <t>$14 to receive, $14 per month per pallet to store for 22 pallets of monitors</t>
  </si>
  <si>
    <t>284 Pulsaki Rd</t>
  </si>
  <si>
    <t>LIJ Forest Hills</t>
  </si>
  <si>
    <t>5505 Nesconset Hwy</t>
  </si>
  <si>
    <t>Updated engineer hour cost</t>
  </si>
  <si>
    <t>10 Medical Plaza</t>
  </si>
  <si>
    <t>ELM Storage April</t>
  </si>
  <si>
    <t>EPIC Training Support Weekly Hours</t>
  </si>
  <si>
    <t>SOW Tech After Hours:</t>
  </si>
  <si>
    <t>Tech After Hrs Remaining:</t>
  </si>
  <si>
    <t>N/A</t>
  </si>
  <si>
    <t>Total Tech After Hours to Date:</t>
  </si>
  <si>
    <t>WKD OT Hrs</t>
  </si>
  <si>
    <t>Eng. After Hrs</t>
  </si>
  <si>
    <t>Eng. After Hrs OT</t>
  </si>
  <si>
    <t>Marlon Caleb Jr.</t>
  </si>
  <si>
    <t>Eng. After Hrs Wkd OT</t>
  </si>
  <si>
    <t>Moshe Sweet</t>
  </si>
  <si>
    <t>Devon Schoen</t>
  </si>
  <si>
    <t>Patricia Marrerro</t>
  </si>
  <si>
    <t>Ubiad Mian</t>
  </si>
  <si>
    <t>Kareem Mohammed</t>
  </si>
  <si>
    <t>Carl Romero-Salam</t>
  </si>
  <si>
    <t>Joshua Vincent</t>
  </si>
  <si>
    <t>Umair Mohammed</t>
  </si>
  <si>
    <t>Mardoche Joseph</t>
  </si>
  <si>
    <t>TECH TOTALS AFTER HOURS</t>
  </si>
  <si>
    <t>Vivian Scott</t>
  </si>
  <si>
    <t>Ibrahim Abubakar</t>
  </si>
  <si>
    <t>Saliou Diallo</t>
  </si>
  <si>
    <t>Katina Flemming</t>
  </si>
  <si>
    <t>Khadilah Abdus-Rahim</t>
  </si>
  <si>
    <t>Eduardo Rodriguez</t>
  </si>
  <si>
    <t>Arin Budhram</t>
  </si>
  <si>
    <t>Labor Day</t>
  </si>
  <si>
    <t>Josh/Joseph (PM)</t>
  </si>
  <si>
    <t>Marlon Caleb</t>
  </si>
  <si>
    <t>Mohammed Sillah</t>
  </si>
  <si>
    <t>Tesean Green</t>
  </si>
  <si>
    <t>Mohammed Gousjan</t>
  </si>
  <si>
    <t>EPCS Enrollments Team Weekly Hours</t>
  </si>
  <si>
    <t>SOW Tech After Hours Remaining:</t>
  </si>
  <si>
    <t>(129 tech hrs)</t>
  </si>
  <si>
    <t>Carl Romero</t>
  </si>
  <si>
    <t>Julio Mojica (pending)</t>
  </si>
  <si>
    <t>Franklyn Ozario</t>
  </si>
  <si>
    <t>DSE Techs</t>
  </si>
  <si>
    <t>Michael Gahn</t>
  </si>
  <si>
    <t>Christopher Cummings</t>
  </si>
  <si>
    <t>LABOR DAY</t>
  </si>
  <si>
    <t>Thanksgiving</t>
  </si>
  <si>
    <t>Day after Thanksgiving</t>
  </si>
  <si>
    <t>PM to tech OT</t>
  </si>
  <si>
    <t>/1.139</t>
  </si>
  <si>
    <t>EPCS</t>
  </si>
  <si>
    <t>Adyen</t>
  </si>
  <si>
    <t>MicroAge</t>
  </si>
  <si>
    <t>PM to tech</t>
  </si>
  <si>
    <t>*1.316</t>
  </si>
  <si>
    <t>Tech to OT</t>
  </si>
  <si>
    <t>/1.5</t>
  </si>
  <si>
    <t>Tech to travel</t>
  </si>
  <si>
    <t>/1.184</t>
  </si>
  <si>
    <t>DSE/EPCS Weekly Hours</t>
  </si>
  <si>
    <t>Used %:</t>
  </si>
  <si>
    <t>Billed</t>
  </si>
  <si>
    <t>WM Tech Paid</t>
  </si>
  <si>
    <t>Eng. After OT &amp; Wkd OT</t>
  </si>
  <si>
    <t>3:00'</t>
  </si>
  <si>
    <t>Kareem Mohamed</t>
  </si>
  <si>
    <t>MLK</t>
  </si>
  <si>
    <t>Anthony Abijoh</t>
  </si>
  <si>
    <t>Max Thomas</t>
  </si>
  <si>
    <t>Khalidah Abdus-Rahim</t>
  </si>
  <si>
    <t>Alfonso Falcon</t>
  </si>
  <si>
    <t>WM Tech</t>
  </si>
  <si>
    <t>TSP/Agilant tech</t>
  </si>
  <si>
    <t>7AM -3PM</t>
  </si>
  <si>
    <t>3PM - 11PM</t>
  </si>
  <si>
    <t>EPCS tech</t>
  </si>
  <si>
    <t>Part-time</t>
  </si>
  <si>
    <t>11PM - 7AM</t>
  </si>
  <si>
    <t>Kevin Claiborne</t>
  </si>
  <si>
    <t>MD Ashiful Haque</t>
  </si>
  <si>
    <t>EPIC Tech PTO/Sick Days</t>
  </si>
  <si>
    <t>Need backup</t>
  </si>
  <si>
    <t>Call out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</si>
  <si>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</si>
  <si>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</si>
  <si>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</si>
  <si>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</si>
  <si>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</si>
  <si>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</si>
  <si>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</si>
  <si>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</si>
  <si>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Ibrahim</t>
  </si>
  <si>
    <t>Khalidah</t>
  </si>
  <si>
    <t>Moshe</t>
  </si>
  <si>
    <t>Marlon</t>
  </si>
  <si>
    <t>Julio</t>
  </si>
  <si>
    <t>Sheldon</t>
  </si>
  <si>
    <t>Saliou</t>
  </si>
  <si>
    <t>Devon</t>
  </si>
  <si>
    <t>Mohammed</t>
  </si>
  <si>
    <r>
      <t>Julio/</t>
    </r>
    <r>
      <rPr>
        <sz val="8"/>
        <color rgb="FFFF0000"/>
        <rFont val="Century Gothic"/>
        <family val="2"/>
      </rPr>
      <t>Marlon</t>
    </r>
  </si>
  <si>
    <r>
      <t>Devon/</t>
    </r>
    <r>
      <rPr>
        <sz val="8"/>
        <color rgb="FFFF0000"/>
        <rFont val="Century Gothic"/>
        <family val="2"/>
      </rPr>
      <t xml:space="preserve">Katina </t>
    </r>
  </si>
  <si>
    <r>
      <rPr>
        <sz val="8"/>
        <color theme="1"/>
        <rFont val="Century Gothic"/>
        <family val="2"/>
      </rPr>
      <t xml:space="preserve">Saliou; </t>
    </r>
    <r>
      <rPr>
        <sz val="8"/>
        <color rgb="FFFF0000"/>
        <rFont val="Century Gothic"/>
        <family val="2"/>
      </rPr>
      <t>Julio</t>
    </r>
  </si>
  <si>
    <t>Alexander</t>
  </si>
  <si>
    <t>1 Marcus</t>
  </si>
  <si>
    <t>Buildout</t>
  </si>
  <si>
    <t>Kareem/Ibrah</t>
  </si>
  <si>
    <t>Patricia</t>
  </si>
  <si>
    <t>Caesar</t>
  </si>
  <si>
    <r>
      <t xml:space="preserve">Moshe; </t>
    </r>
    <r>
      <rPr>
        <sz val="8"/>
        <color rgb="FFFF0000"/>
        <rFont val="Century Gothic"/>
        <family val="2"/>
      </rPr>
      <t>Marlon</t>
    </r>
  </si>
  <si>
    <r>
      <t>Caesar/</t>
    </r>
    <r>
      <rPr>
        <sz val="8"/>
        <color rgb="FFFF0000"/>
        <rFont val="Century Gothic"/>
        <family val="2"/>
      </rPr>
      <t>Marlon</t>
    </r>
  </si>
  <si>
    <t>Katina, Ibrahim</t>
  </si>
  <si>
    <t>Max</t>
  </si>
  <si>
    <t>Total Hours</t>
  </si>
  <si>
    <t># of shifts</t>
  </si>
  <si>
    <t># of locations</t>
  </si>
  <si>
    <t>Total Weeks</t>
  </si>
  <si>
    <t>DSE Total Units</t>
  </si>
  <si>
    <t>Eng Reg Hrs:</t>
  </si>
  <si>
    <t>Eng Reg Hrs</t>
  </si>
  <si>
    <t>Eng OT Hrs</t>
  </si>
  <si>
    <t>Wkd OT</t>
  </si>
  <si>
    <t>PMO Hrs</t>
  </si>
  <si>
    <t>PMO Hours</t>
  </si>
  <si>
    <t>Remote Eng Hrs</t>
  </si>
  <si>
    <t>PMO OT</t>
  </si>
  <si>
    <t>EPCS Total Units</t>
  </si>
  <si>
    <t>Remote</t>
  </si>
  <si>
    <t>Suhan Newaz</t>
  </si>
  <si>
    <t>Michael Ghan</t>
  </si>
  <si>
    <t>Asher Ali</t>
  </si>
  <si>
    <t>Emmanuel Sanchez</t>
  </si>
  <si>
    <t>Geoff Gerber</t>
  </si>
  <si>
    <t>Rich Perez</t>
  </si>
  <si>
    <t>Bonita Outlaw (PM)</t>
  </si>
  <si>
    <t>Rich Perez (PM)</t>
  </si>
  <si>
    <t>Rezaul Roman</t>
  </si>
  <si>
    <t>Rich</t>
  </si>
  <si>
    <t>Josh</t>
  </si>
  <si>
    <t>Neha</t>
  </si>
  <si>
    <t>Bonita</t>
  </si>
  <si>
    <t>WM techs</t>
  </si>
  <si>
    <t>Clarissa</t>
  </si>
  <si>
    <t>Anthony</t>
  </si>
  <si>
    <t>Rumley</t>
  </si>
  <si>
    <t xml:space="preserve">Neha </t>
  </si>
  <si>
    <t>Julio M.</t>
  </si>
  <si>
    <t>X</t>
  </si>
  <si>
    <t>Valentyn N.</t>
  </si>
  <si>
    <t>Nasim K.</t>
  </si>
  <si>
    <t>Delroy H.</t>
  </si>
  <si>
    <t>Alejandro P.</t>
  </si>
  <si>
    <t>Thomas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</si>
</sst>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[$-409]h:mm\ AM/PM;@"/>
    <numFmt numFmtId="165" formatCode="0.0"/>
    <numFmt numFmtId="166" formatCode="0.000"/>
    <numFmt numFmtId="167" formatCode="_([$$-409]* #,##0.00_);_([$$-409]* \(#,##0.00\);_([$$-409]* &quot;-&quot;??_);_(@_)"/>
  </numFmts>
  <fonts count="103">
    <font>
      <sz val="10"/>
      <color theme="1"/>
      <name val="Century Gothic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rgb="FF000000"/>
      <name val="Century Gothic"/>
      <family val="2"/>
    </font>
    <font>
      <sz val="8"/>
      <name val="Century Gothic"/>
      <family val="2"/>
    </font>
    <font>
      <b/>
      <sz val="8"/>
      <color rgb="FFFFFFFF"/>
      <name val="Century Gothic"/>
      <family val="2"/>
    </font>
    <font>
      <b/>
      <sz val="20"/>
      <color rgb="FF2B47AD"/>
      <name val="Century Gothic"/>
      <family val="2"/>
    </font>
    <font>
      <b/>
      <sz val="8"/>
      <color rgb="FF000000"/>
      <name val="Century Gothic"/>
      <family val="2"/>
    </font>
    <font>
      <b/>
      <sz val="8"/>
      <color rgb="FF2B47AD"/>
      <name val="Century Gothic"/>
      <family val="2"/>
    </font>
    <font>
      <b/>
      <sz val="10"/>
      <color rgb="FFFFFFFF"/>
      <name val="Century Gothic"/>
      <family val="2"/>
    </font>
    <font>
      <b/>
      <sz val="8"/>
      <name val="Century Gothic"/>
      <family val="2"/>
    </font>
    <font>
      <b/>
      <sz val="9"/>
      <color rgb="FF000000"/>
      <name val="Century Gothic"/>
      <family val="2"/>
    </font>
    <font>
      <b/>
      <sz val="10"/>
      <color theme="1"/>
      <name val="Century Gothic"/>
      <family val="2"/>
    </font>
    <font>
      <b/>
      <sz val="9"/>
      <color theme="0"/>
      <name val="Century Gothic"/>
      <family val="2"/>
    </font>
    <font>
      <b/>
      <sz val="9"/>
      <color rgb="FFFFFFFF"/>
      <name val="Century Gothic"/>
      <family val="2"/>
    </font>
    <font>
      <sz val="9"/>
      <color theme="1"/>
      <name val="Century Gothic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theme="1"/>
      <name val="Century Gothic"/>
      <family val="2"/>
    </font>
    <font>
      <b/>
      <sz val="11"/>
      <color rgb="FF2B47AD"/>
      <name val="Century Gothic"/>
      <family val="2"/>
    </font>
    <font>
      <sz val="10"/>
      <color rgb="FFFF0000"/>
      <name val="Century Gothic"/>
      <family val="2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444444"/>
      <name val="Calibri"/>
      <family val="2"/>
      <charset val="1"/>
    </font>
    <font>
      <sz val="12"/>
      <color rgb="FF000000"/>
      <name val="Calibri"/>
      <family val="2"/>
      <scheme val="minor"/>
    </font>
    <font>
      <sz val="8"/>
      <color rgb="FF2B47AD"/>
      <name val="Century Gothic"/>
      <family val="2"/>
    </font>
    <font>
      <sz val="10"/>
      <color rgb="FF2B47AD"/>
      <name val="Century Gothic"/>
      <family val="2"/>
    </font>
    <font>
      <sz val="8"/>
      <color rgb="FFFF0000"/>
      <name val="Century Gothic"/>
      <family val="2"/>
    </font>
    <font>
      <sz val="8"/>
      <color rgb="FFFFFFFF"/>
      <name val="Century Gothic"/>
      <family val="2"/>
    </font>
    <font>
      <b/>
      <sz val="20"/>
      <color rgb="FFFFFFFF"/>
      <name val="Century Gothic"/>
      <family val="2"/>
    </font>
    <font>
      <b/>
      <sz val="20"/>
      <color rgb="FFFF0000"/>
      <name val="Century Gothic"/>
      <family val="2"/>
    </font>
    <font>
      <b/>
      <sz val="8"/>
      <color theme="0"/>
      <name val="Century Gothic"/>
      <family val="2"/>
    </font>
    <font>
      <sz val="8"/>
      <color theme="0"/>
      <name val="Century Gothic"/>
      <family val="2"/>
    </font>
    <font>
      <sz val="10"/>
      <color theme="0"/>
      <name val="Century Gothic"/>
      <family val="2"/>
    </font>
    <font>
      <sz val="8"/>
      <color rgb="FF8EA9DB"/>
      <name val="Century Gothic"/>
      <family val="2"/>
    </font>
    <font>
      <b/>
      <sz val="9"/>
      <name val="Century Gothic"/>
      <family val="2"/>
    </font>
    <font>
      <b/>
      <sz val="8"/>
      <color rgb="FFFF0000"/>
      <name val="Century Gothic"/>
      <family val="2"/>
    </font>
    <font>
      <sz val="8"/>
      <color rgb="FF0070C0"/>
      <name val="Century Gothic"/>
      <family val="2"/>
    </font>
    <font>
      <b/>
      <sz val="10"/>
      <color rgb="FF000000"/>
      <name val="Century Gothic"/>
      <family val="2"/>
    </font>
    <font>
      <b/>
      <sz val="10"/>
      <color theme="4" tint="-0.499984740745262"/>
      <name val="Century Gothic"/>
      <family val="2"/>
    </font>
    <font>
      <sz val="10"/>
      <color rgb="FF000000"/>
      <name val="Century Gothic"/>
      <family val="2"/>
    </font>
    <font>
      <sz val="10"/>
      <name val="Century Gothic"/>
      <family val="2"/>
    </font>
    <font>
      <b/>
      <sz val="10"/>
      <name val="Century Gothic"/>
      <family val="2"/>
    </font>
    <font>
      <b/>
      <sz val="8"/>
      <color theme="1" tint="0.499984740745262"/>
      <name val="Century Gothic"/>
      <family val="2"/>
    </font>
    <font>
      <b/>
      <sz val="11"/>
      <color theme="1"/>
      <name val="Century Gothic"/>
      <family val="2"/>
    </font>
    <font>
      <b/>
      <sz val="12"/>
      <color theme="1"/>
      <name val="Century Gothic"/>
      <family val="2"/>
    </font>
    <font>
      <sz val="8"/>
      <color theme="0" tint="-0.34998626667073579"/>
      <name val="Century Gothic"/>
      <family val="2"/>
    </font>
    <font>
      <b/>
      <sz val="8"/>
      <color theme="0" tint="-0.34998626667073579"/>
      <name val="Century Gothic"/>
      <family val="2"/>
    </font>
    <font>
      <sz val="6"/>
      <color theme="1"/>
      <name val="Century Gothic"/>
      <family val="2"/>
    </font>
    <font>
      <b/>
      <sz val="9"/>
      <color rgb="FFFF0000"/>
      <name val="Century Gothic"/>
      <family val="2"/>
    </font>
    <font>
      <b/>
      <sz val="9"/>
      <color rgb="FF2B47AD"/>
      <name val="Century Gothic"/>
      <family val="2"/>
    </font>
    <font>
      <sz val="9"/>
      <color theme="0"/>
      <name val="Century Gothic"/>
      <family val="2"/>
    </font>
    <font>
      <sz val="9"/>
      <color rgb="FF2B47AD"/>
      <name val="Century Gothic"/>
      <family val="2"/>
    </font>
    <font>
      <sz val="11"/>
      <color rgb="FF1F497D"/>
      <name val="Calibri"/>
      <family val="2"/>
    </font>
    <font>
      <sz val="11"/>
      <color rgb="FF242424"/>
      <name val="Aptos Narrow"/>
      <family val="2"/>
    </font>
    <font>
      <sz val="9"/>
      <color rgb="FF000000"/>
      <name val="Century Gothic"/>
      <family val="2"/>
    </font>
    <font>
      <sz val="10"/>
      <color rgb="FF000000"/>
      <name val="Century Gothic"/>
      <family val="2"/>
      <charset val="1"/>
    </font>
    <font>
      <i/>
      <sz val="8"/>
      <color theme="1"/>
      <name val="Century Gothic"/>
      <family val="2"/>
    </font>
    <font>
      <b/>
      <sz val="8"/>
      <color rgb="FF0070C0"/>
      <name val="Century Gothic"/>
      <family val="2"/>
    </font>
    <font>
      <sz val="8"/>
      <color theme="4"/>
      <name val="Century Gothic"/>
      <family val="2"/>
    </font>
    <font>
      <b/>
      <sz val="8"/>
      <color rgb="FF00B050"/>
      <name val="Century Gothic"/>
      <family val="2"/>
    </font>
    <font>
      <b/>
      <sz val="10"/>
      <color theme="0"/>
      <name val="Century Gothic"/>
      <family val="2"/>
    </font>
    <font>
      <b/>
      <sz val="7"/>
      <color rgb="FFFFFFFF"/>
      <name val="Century Gothic"/>
      <family val="2"/>
    </font>
    <font>
      <sz val="8"/>
      <color theme="0" tint="-0.249977111117893"/>
      <name val="Century Gothic"/>
      <family val="2"/>
    </font>
    <font>
      <b/>
      <sz val="8"/>
      <color theme="0" tint="-0.249977111117893"/>
      <name val="Century Gothic"/>
      <family val="2"/>
    </font>
    <font>
      <sz val="8"/>
      <color theme="1" tint="0.499984740745262"/>
      <name val="Century Gothic"/>
      <family val="2"/>
    </font>
    <font>
      <b/>
      <sz val="14"/>
      <color rgb="FF2B47AD"/>
      <name val="Century Gothic"/>
      <family val="2"/>
    </font>
    <font>
      <sz val="8"/>
      <color rgb="FFFFC000"/>
      <name val="Century Gothic"/>
      <family val="2"/>
    </font>
    <font>
      <sz val="8"/>
      <color theme="5"/>
      <name val="Century Gothic"/>
      <family val="2"/>
    </font>
    <font>
      <b/>
      <sz val="9"/>
      <color theme="1" tint="0.499984740745262"/>
      <name val="Century Gothic"/>
      <family val="2"/>
    </font>
    <font>
      <b/>
      <sz val="8"/>
      <color theme="2" tint="-9.9978637043366805E-2"/>
      <name val="Century Gothic"/>
      <family val="2"/>
    </font>
    <font>
      <sz val="8"/>
      <color theme="2" tint="-9.9978637043366805E-2"/>
      <name val="Century Gothic"/>
      <family val="2"/>
    </font>
    <font>
      <b/>
      <sz val="9"/>
      <color theme="2" tint="-0.499984740745262"/>
      <name val="Century Gothic"/>
      <family val="2"/>
    </font>
    <font>
      <b/>
      <sz val="8"/>
      <color theme="2" tint="-0.499984740745262"/>
      <name val="Century Gothic"/>
      <family val="2"/>
    </font>
    <font>
      <sz val="8"/>
      <color theme="2" tint="-0.499984740745262"/>
      <name val="Century Gothic"/>
      <family val="2"/>
    </font>
    <font>
      <sz val="9"/>
      <color rgb="FFFF0000"/>
      <name val="Century Gothic"/>
      <family val="2"/>
    </font>
    <font>
      <strike/>
      <sz val="8"/>
      <color theme="1"/>
      <name val="Century Gothic"/>
      <family val="2"/>
    </font>
    <font>
      <b/>
      <sz val="10"/>
      <color theme="1" tint="0.499984740745262"/>
      <name val="Century Gothic"/>
      <family val="2"/>
    </font>
    <font>
      <sz val="8"/>
      <color theme="2" tint="-0.249977111117893"/>
      <name val="Century Gothic"/>
      <family val="2"/>
    </font>
    <font>
      <b/>
      <sz val="8"/>
      <color theme="2" tint="-0.249977111117893"/>
      <name val="Century Gothic"/>
      <family val="2"/>
    </font>
    <font>
      <b/>
      <sz val="7"/>
      <color theme="0" tint="-0.249977111117893"/>
      <name val="Century Gothic"/>
      <family val="2"/>
    </font>
    <font>
      <sz val="8"/>
      <color theme="0" tint="-0.14999847407452621"/>
      <name val="Century Gothic"/>
      <family val="2"/>
    </font>
    <font>
      <b/>
      <sz val="8"/>
      <color theme="0" tint="-0.14999847407452621"/>
      <name val="Century Gothic"/>
      <family val="2"/>
    </font>
    <font>
      <sz val="11"/>
      <color theme="0" tint="-0.249977111117893"/>
      <name val="Calibri"/>
      <family val="2"/>
      <scheme val="minor"/>
    </font>
    <font>
      <b/>
      <sz val="7"/>
      <color theme="2" tint="-0.249977111117893"/>
      <name val="Century Gothic"/>
      <family val="2"/>
    </font>
    <font>
      <b/>
      <sz val="10"/>
      <color theme="2" tint="-0.249977111117893"/>
      <name val="Century Gothic"/>
      <family val="2"/>
    </font>
    <font>
      <b/>
      <sz val="7"/>
      <color theme="0"/>
      <name val="Century Gothic"/>
      <family val="2"/>
    </font>
    <font>
      <b/>
      <sz val="8"/>
      <color rgb="FF7030A0"/>
      <name val="Century Gothic"/>
      <family val="2"/>
    </font>
    <font>
      <sz val="8"/>
      <color rgb="FF00B0F0"/>
      <name val="Century Gothic"/>
      <family val="2"/>
    </font>
    <font>
      <sz val="10"/>
      <color theme="5"/>
      <name val="Century Gothic"/>
      <family val="2"/>
    </font>
    <font>
      <b/>
      <sz val="8"/>
      <color theme="1" tint="0.34998626667073579"/>
      <name val="Century Gothic"/>
      <family val="2"/>
    </font>
    <font>
      <sz val="9"/>
      <color theme="1" tint="0.34998626667073579"/>
      <name val="Century Gothic"/>
      <family val="2"/>
    </font>
    <font>
      <b/>
      <sz val="9"/>
      <color theme="1" tint="0.34998626667073579"/>
      <name val="Century Gothic"/>
      <family val="2"/>
    </font>
    <font>
      <sz val="8"/>
      <color theme="1" tint="0.34998626667073579"/>
      <name val="Century Gothic"/>
      <family val="2"/>
    </font>
    <font>
      <b/>
      <sz val="9"/>
      <color theme="3" tint="0.39997558519241921"/>
      <name val="Century Gothic"/>
      <family val="2"/>
    </font>
    <font>
      <sz val="8"/>
      <color theme="3" tint="0.39997558519241921"/>
      <name val="Century Gothic"/>
      <family val="2"/>
    </font>
    <font>
      <b/>
      <sz val="8"/>
      <color rgb="FF00B0F0"/>
      <name val="Century Gothic"/>
      <family val="2"/>
    </font>
    <font>
      <u/>
      <sz val="10"/>
      <color theme="1"/>
      <name val="Century Gothic"/>
      <family val="2"/>
    </font>
  </fonts>
  <fills count="6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5B4E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2B47A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2D1EC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595959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305496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8EA9DB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BDBDB"/>
        <bgColor rgb="FF000000"/>
      </patternFill>
    </fill>
    <fill>
      <patternFill patternType="solid">
        <fgColor rgb="FF757171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BFDB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00B0F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7030A0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double">
        <color theme="0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44" fontId="5" fillId="0" borderId="0" applyFont="0" applyFill="0" applyBorder="0" applyAlignment="0" applyProtection="0"/>
    <xf numFmtId="0" fontId="4" fillId="0" borderId="0"/>
    <xf numFmtId="0" fontId="3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" fillId="0" borderId="0"/>
    <xf numFmtId="9" fontId="5" fillId="0" borderId="0" applyFont="0" applyFill="0" applyBorder="0" applyAlignment="0" applyProtection="0"/>
    <xf numFmtId="0" fontId="5" fillId="0" borderId="0"/>
  </cellStyleXfs>
  <cellXfs count="1631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6" fillId="2" borderId="0" xfId="0" applyFont="1" applyFill="1" applyAlignment="1">
      <alignment horizontal="left"/>
    </xf>
    <xf numFmtId="1" fontId="6" fillId="2" borderId="0" xfId="0" applyNumberFormat="1" applyFont="1" applyFill="1" applyAlignment="1">
      <alignment horizontal="left"/>
    </xf>
    <xf numFmtId="44" fontId="8" fillId="3" borderId="0" xfId="1" applyFont="1" applyFill="1" applyBorder="1" applyAlignment="1">
      <alignment vertical="center" wrapText="1"/>
    </xf>
    <xf numFmtId="0" fontId="8" fillId="4" borderId="0" xfId="0" applyFont="1" applyFill="1" applyAlignment="1">
      <alignment horizontal="left" vertical="center" wrapText="1"/>
    </xf>
    <xf numFmtId="0" fontId="8" fillId="5" borderId="0" xfId="0" applyFont="1" applyFill="1" applyAlignment="1">
      <alignment vertical="center" wrapText="1"/>
    </xf>
    <xf numFmtId="0" fontId="8" fillId="4" borderId="0" xfId="0" applyFont="1" applyFill="1" applyAlignment="1">
      <alignment horizontal="left" vertical="center"/>
    </xf>
    <xf numFmtId="44" fontId="8" fillId="4" borderId="0" xfId="1" applyFont="1" applyFill="1" applyBorder="1" applyAlignment="1">
      <alignment vertical="center" wrapText="1"/>
    </xf>
    <xf numFmtId="0" fontId="8" fillId="2" borderId="0" xfId="0" applyFont="1" applyFill="1" applyAlignment="1">
      <alignment vertical="center" wrapText="1"/>
    </xf>
    <xf numFmtId="0" fontId="6" fillId="2" borderId="0" xfId="0" quotePrefix="1" applyFont="1" applyFill="1" applyAlignment="1">
      <alignment horizontal="left"/>
    </xf>
    <xf numFmtId="0" fontId="9" fillId="5" borderId="0" xfId="0" applyFont="1" applyFill="1" applyAlignment="1">
      <alignment vertical="center" wrapText="1"/>
    </xf>
    <xf numFmtId="14" fontId="10" fillId="6" borderId="0" xfId="0" applyNumberFormat="1" applyFont="1" applyFill="1" applyAlignment="1">
      <alignment vertical="center" wrapText="1"/>
    </xf>
    <xf numFmtId="0" fontId="10" fillId="6" borderId="0" xfId="0" applyFont="1" applyFill="1" applyAlignment="1">
      <alignment horizontal="center" vertical="center" wrapText="1"/>
    </xf>
    <xf numFmtId="20" fontId="6" fillId="2" borderId="0" xfId="0" quotePrefix="1" applyNumberFormat="1" applyFont="1" applyFill="1" applyAlignment="1">
      <alignment horizontal="left"/>
    </xf>
    <xf numFmtId="0" fontId="6" fillId="8" borderId="0" xfId="0" quotePrefix="1" applyFont="1" applyFill="1" applyAlignment="1">
      <alignment horizontal="left"/>
    </xf>
    <xf numFmtId="0" fontId="10" fillId="7" borderId="0" xfId="0" applyFont="1" applyFill="1" applyAlignment="1">
      <alignment vertical="center"/>
    </xf>
    <xf numFmtId="0" fontId="12" fillId="4" borderId="0" xfId="0" applyFont="1" applyFill="1" applyAlignment="1">
      <alignment horizontal="left" vertical="center"/>
    </xf>
    <xf numFmtId="0" fontId="12" fillId="4" borderId="0" xfId="0" applyFont="1" applyFill="1" applyAlignment="1">
      <alignment horizontal="left" vertical="center" wrapText="1"/>
    </xf>
    <xf numFmtId="0" fontId="13" fillId="6" borderId="0" xfId="0" applyFont="1" applyFill="1" applyAlignment="1">
      <alignment horizontal="center" vertical="center" wrapText="1"/>
    </xf>
    <xf numFmtId="14" fontId="14" fillId="2" borderId="0" xfId="0" applyNumberFormat="1" applyFont="1" applyFill="1" applyAlignment="1">
      <alignment horizontal="center" vertical="center" wrapText="1"/>
    </xf>
    <xf numFmtId="0" fontId="10" fillId="2" borderId="0" xfId="0" applyFont="1" applyFill="1" applyAlignment="1">
      <alignment vertical="center"/>
    </xf>
    <xf numFmtId="0" fontId="12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 wrapText="1"/>
    </xf>
    <xf numFmtId="0" fontId="6" fillId="9" borderId="0" xfId="0" quotePrefix="1" applyFont="1" applyFill="1" applyAlignment="1">
      <alignment horizontal="left"/>
    </xf>
    <xf numFmtId="0" fontId="16" fillId="11" borderId="0" xfId="0" applyFont="1" applyFill="1" applyAlignment="1">
      <alignment horizontal="left" vertical="center"/>
    </xf>
    <xf numFmtId="2" fontId="13" fillId="10" borderId="0" xfId="0" applyNumberFormat="1" applyFont="1" applyFill="1" applyAlignment="1">
      <alignment horizontal="left" vertical="center"/>
    </xf>
    <xf numFmtId="2" fontId="12" fillId="10" borderId="0" xfId="0" applyNumberFormat="1" applyFont="1" applyFill="1" applyAlignment="1">
      <alignment horizontal="left" vertical="center"/>
    </xf>
    <xf numFmtId="2" fontId="16" fillId="11" borderId="0" xfId="0" applyNumberFormat="1" applyFont="1" applyFill="1" applyAlignment="1">
      <alignment horizontal="left" vertical="center"/>
    </xf>
    <xf numFmtId="0" fontId="7" fillId="10" borderId="0" xfId="0" applyFont="1" applyFill="1" applyAlignment="1">
      <alignment vertical="center" wrapText="1"/>
    </xf>
    <xf numFmtId="14" fontId="10" fillId="10" borderId="0" xfId="0" applyNumberFormat="1" applyFont="1" applyFill="1" applyAlignment="1">
      <alignment vertical="center" wrapText="1"/>
    </xf>
    <xf numFmtId="0" fontId="10" fillId="10" borderId="0" xfId="0" applyFont="1" applyFill="1" applyAlignment="1">
      <alignment horizontal="center" vertical="center" wrapText="1"/>
    </xf>
    <xf numFmtId="0" fontId="6" fillId="10" borderId="0" xfId="0" quotePrefix="1" applyFont="1" applyFill="1" applyAlignment="1">
      <alignment horizontal="left"/>
    </xf>
    <xf numFmtId="2" fontId="18" fillId="13" borderId="0" xfId="0" applyNumberFormat="1" applyFont="1" applyFill="1" applyAlignment="1">
      <alignment horizontal="left" vertical="center"/>
    </xf>
    <xf numFmtId="0" fontId="18" fillId="13" borderId="0" xfId="0" applyFont="1" applyFill="1" applyAlignment="1">
      <alignment horizontal="left" vertical="center"/>
    </xf>
    <xf numFmtId="0" fontId="20" fillId="2" borderId="0" xfId="0" applyFont="1" applyFill="1" applyAlignment="1">
      <alignment horizontal="left"/>
    </xf>
    <xf numFmtId="0" fontId="20" fillId="2" borderId="0" xfId="0" applyFont="1" applyFill="1"/>
    <xf numFmtId="2" fontId="18" fillId="13" borderId="1" xfId="0" applyNumberFormat="1" applyFont="1" applyFill="1" applyBorder="1" applyAlignment="1">
      <alignment horizontal="left" vertical="center"/>
    </xf>
    <xf numFmtId="0" fontId="9" fillId="5" borderId="1" xfId="0" applyFont="1" applyFill="1" applyBorder="1" applyAlignment="1">
      <alignment vertical="center" wrapText="1"/>
    </xf>
    <xf numFmtId="0" fontId="6" fillId="2" borderId="1" xfId="0" quotePrefix="1" applyFont="1" applyFill="1" applyBorder="1" applyAlignment="1">
      <alignment horizontal="left"/>
    </xf>
    <xf numFmtId="0" fontId="12" fillId="4" borderId="1" xfId="0" applyFont="1" applyFill="1" applyBorder="1" applyAlignment="1">
      <alignment horizontal="left" vertical="center" wrapText="1"/>
    </xf>
    <xf numFmtId="0" fontId="12" fillId="2" borderId="1" xfId="0" applyFont="1" applyFill="1" applyBorder="1" applyAlignment="1">
      <alignment horizontal="left" vertical="center" wrapText="1"/>
    </xf>
    <xf numFmtId="20" fontId="6" fillId="2" borderId="1" xfId="0" quotePrefix="1" applyNumberFormat="1" applyFont="1" applyFill="1" applyBorder="1" applyAlignment="1">
      <alignment horizontal="left"/>
    </xf>
    <xf numFmtId="0" fontId="7" fillId="10" borderId="0" xfId="0" quotePrefix="1" applyFont="1" applyFill="1" applyAlignment="1">
      <alignment horizontal="right"/>
    </xf>
    <xf numFmtId="0" fontId="15" fillId="11" borderId="0" xfId="0" applyFont="1" applyFill="1" applyAlignment="1">
      <alignment horizontal="right" vertical="center" wrapText="1"/>
    </xf>
    <xf numFmtId="20" fontId="6" fillId="2" borderId="0" xfId="0" applyNumberFormat="1" applyFont="1" applyFill="1" applyAlignment="1">
      <alignment horizontal="left"/>
    </xf>
    <xf numFmtId="164" fontId="6" fillId="2" borderId="0" xfId="0" quotePrefix="1" applyNumberFormat="1" applyFont="1" applyFill="1" applyAlignment="1">
      <alignment horizontal="left"/>
    </xf>
    <xf numFmtId="2" fontId="12" fillId="4" borderId="0" xfId="0" applyNumberFormat="1" applyFont="1" applyFill="1" applyAlignment="1">
      <alignment horizontal="left" vertical="center"/>
    </xf>
    <xf numFmtId="2" fontId="12" fillId="4" borderId="0" xfId="0" applyNumberFormat="1" applyFont="1" applyFill="1" applyAlignment="1">
      <alignment horizontal="left" vertical="center" wrapText="1"/>
    </xf>
    <xf numFmtId="164" fontId="6" fillId="2" borderId="0" xfId="0" applyNumberFormat="1" applyFont="1" applyFill="1" applyAlignment="1">
      <alignment horizontal="left"/>
    </xf>
    <xf numFmtId="0" fontId="6" fillId="2" borderId="1" xfId="0" applyFont="1" applyFill="1" applyBorder="1" applyAlignment="1">
      <alignment horizontal="left"/>
    </xf>
    <xf numFmtId="2" fontId="0" fillId="2" borderId="0" xfId="0" applyNumberFormat="1" applyFill="1"/>
    <xf numFmtId="0" fontId="12" fillId="4" borderId="0" xfId="0" quotePrefix="1" applyFont="1" applyFill="1" applyAlignment="1">
      <alignment horizontal="left" vertical="center"/>
    </xf>
    <xf numFmtId="2" fontId="16" fillId="10" borderId="0" xfId="0" applyNumberFormat="1" applyFont="1" applyFill="1" applyAlignment="1">
      <alignment horizontal="left" vertical="center"/>
    </xf>
    <xf numFmtId="0" fontId="12" fillId="5" borderId="0" xfId="0" applyFont="1" applyFill="1" applyAlignment="1">
      <alignment horizontal="left" vertical="center"/>
    </xf>
    <xf numFmtId="0" fontId="12" fillId="5" borderId="0" xfId="0" quotePrefix="1" applyFont="1" applyFill="1" applyAlignment="1">
      <alignment horizontal="left" vertical="center"/>
    </xf>
    <xf numFmtId="0" fontId="16" fillId="10" borderId="0" xfId="0" applyFont="1" applyFill="1" applyAlignment="1">
      <alignment horizontal="left" vertical="center"/>
    </xf>
    <xf numFmtId="0" fontId="12" fillId="14" borderId="0" xfId="0" quotePrefix="1" applyFont="1" applyFill="1" applyAlignment="1">
      <alignment horizontal="left" vertical="center"/>
    </xf>
    <xf numFmtId="0" fontId="12" fillId="14" borderId="0" xfId="0" applyFont="1" applyFill="1" applyAlignment="1">
      <alignment horizontal="left" vertical="center"/>
    </xf>
    <xf numFmtId="20" fontId="6" fillId="14" borderId="0" xfId="0" applyNumberFormat="1" applyFont="1" applyFill="1" applyAlignment="1">
      <alignment horizontal="left"/>
    </xf>
    <xf numFmtId="0" fontId="10" fillId="7" borderId="0" xfId="0" applyFont="1" applyFill="1" applyAlignment="1">
      <alignment horizontal="center" vertical="center"/>
    </xf>
    <xf numFmtId="0" fontId="15" fillId="11" borderId="0" xfId="0" applyFont="1" applyFill="1" applyAlignment="1">
      <alignment vertical="center" wrapText="1"/>
    </xf>
    <xf numFmtId="0" fontId="15" fillId="10" borderId="0" xfId="0" applyFont="1" applyFill="1" applyAlignment="1">
      <alignment vertical="center" wrapText="1"/>
    </xf>
    <xf numFmtId="0" fontId="10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7" fillId="2" borderId="0" xfId="0" applyFont="1" applyFill="1" applyAlignment="1">
      <alignment horizontal="left"/>
    </xf>
    <xf numFmtId="0" fontId="0" fillId="2" borderId="0" xfId="0" applyFill="1" applyAlignment="1">
      <alignment vertical="center"/>
    </xf>
    <xf numFmtId="0" fontId="7" fillId="2" borderId="0" xfId="0" applyFont="1" applyFill="1" applyAlignment="1">
      <alignment vertical="center"/>
    </xf>
    <xf numFmtId="2" fontId="7" fillId="2" borderId="0" xfId="0" applyNumberFormat="1" applyFont="1" applyFill="1" applyAlignment="1">
      <alignment vertical="center"/>
    </xf>
    <xf numFmtId="0" fontId="7" fillId="2" borderId="0" xfId="0" applyFont="1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2" fontId="7" fillId="2" borderId="0" xfId="0" applyNumberFormat="1" applyFont="1" applyFill="1" applyAlignment="1">
      <alignment horizontal="left" vertical="center"/>
    </xf>
    <xf numFmtId="0" fontId="7" fillId="10" borderId="3" xfId="0" applyFont="1" applyFill="1" applyBorder="1" applyAlignment="1">
      <alignment vertical="center" wrapText="1"/>
    </xf>
    <xf numFmtId="0" fontId="12" fillId="5" borderId="3" xfId="0" applyFont="1" applyFill="1" applyBorder="1" applyAlignment="1">
      <alignment horizontal="left" vertical="center"/>
    </xf>
    <xf numFmtId="0" fontId="12" fillId="5" borderId="3" xfId="0" quotePrefix="1" applyFont="1" applyFill="1" applyBorder="1" applyAlignment="1">
      <alignment horizontal="left" vertical="center"/>
    </xf>
    <xf numFmtId="0" fontId="12" fillId="4" borderId="3" xfId="0" applyFont="1" applyFill="1" applyBorder="1" applyAlignment="1">
      <alignment horizontal="left" vertical="center"/>
    </xf>
    <xf numFmtId="0" fontId="12" fillId="14" borderId="3" xfId="0" quotePrefix="1" applyFont="1" applyFill="1" applyBorder="1" applyAlignment="1">
      <alignment horizontal="left" vertical="center"/>
    </xf>
    <xf numFmtId="0" fontId="12" fillId="4" borderId="3" xfId="0" quotePrefix="1" applyFont="1" applyFill="1" applyBorder="1" applyAlignment="1">
      <alignment horizontal="left" vertical="center"/>
    </xf>
    <xf numFmtId="2" fontId="13" fillId="10" borderId="3" xfId="0" applyNumberFormat="1" applyFont="1" applyFill="1" applyBorder="1" applyAlignment="1">
      <alignment horizontal="left" vertical="center"/>
    </xf>
    <xf numFmtId="0" fontId="12" fillId="14" borderId="3" xfId="0" applyFont="1" applyFill="1" applyBorder="1" applyAlignment="1">
      <alignment horizontal="left" vertical="center"/>
    </xf>
    <xf numFmtId="2" fontId="15" fillId="11" borderId="0" xfId="0" applyNumberFormat="1" applyFont="1" applyFill="1" applyAlignment="1">
      <alignment vertical="center" wrapText="1"/>
    </xf>
    <xf numFmtId="0" fontId="7" fillId="10" borderId="0" xfId="0" quotePrefix="1" applyFont="1" applyFill="1"/>
    <xf numFmtId="0" fontId="0" fillId="2" borderId="0" xfId="0" applyFill="1" applyAlignment="1">
      <alignment horizontal="center" vertical="center"/>
    </xf>
    <xf numFmtId="2" fontId="12" fillId="4" borderId="0" xfId="0" applyNumberFormat="1" applyFont="1" applyFill="1" applyAlignment="1">
      <alignment horizontal="center" vertical="center"/>
    </xf>
    <xf numFmtId="2" fontId="15" fillId="11" borderId="0" xfId="0" applyNumberFormat="1" applyFont="1" applyFill="1" applyAlignment="1">
      <alignment horizontal="center" vertical="center" wrapText="1"/>
    </xf>
    <xf numFmtId="0" fontId="7" fillId="10" borderId="0" xfId="0" quotePrefix="1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10" borderId="0" xfId="0" applyFont="1" applyFill="1" applyAlignment="1">
      <alignment horizontal="center" vertical="center"/>
    </xf>
    <xf numFmtId="0" fontId="7" fillId="10" borderId="0" xfId="0" applyFont="1" applyFill="1"/>
    <xf numFmtId="0" fontId="7" fillId="10" borderId="3" xfId="0" quotePrefix="1" applyFont="1" applyFill="1" applyBorder="1"/>
    <xf numFmtId="0" fontId="7" fillId="10" borderId="3" xfId="0" quotePrefix="1" applyFont="1" applyFill="1" applyBorder="1" applyAlignment="1">
      <alignment horizontal="center" vertical="center"/>
    </xf>
    <xf numFmtId="0" fontId="7" fillId="10" borderId="3" xfId="0" quotePrefix="1" applyFont="1" applyFill="1" applyBorder="1" applyAlignment="1">
      <alignment horizontal="right"/>
    </xf>
    <xf numFmtId="0" fontId="7" fillId="10" borderId="3" xfId="0" applyFont="1" applyFill="1" applyBorder="1"/>
    <xf numFmtId="0" fontId="7" fillId="10" borderId="3" xfId="0" applyFont="1" applyFill="1" applyBorder="1" applyAlignment="1">
      <alignment horizontal="center" vertical="center"/>
    </xf>
    <xf numFmtId="0" fontId="7" fillId="10" borderId="3" xfId="0" applyFont="1" applyFill="1" applyBorder="1" applyAlignment="1">
      <alignment horizontal="right"/>
    </xf>
    <xf numFmtId="0" fontId="23" fillId="2" borderId="0" xfId="0" applyFont="1" applyFill="1" applyAlignment="1">
      <alignment horizontal="left" vertical="center"/>
    </xf>
    <xf numFmtId="0" fontId="15" fillId="11" borderId="0" xfId="0" applyFont="1" applyFill="1" applyAlignment="1">
      <alignment horizontal="center" vertical="center" wrapText="1"/>
    </xf>
    <xf numFmtId="0" fontId="11" fillId="2" borderId="0" xfId="0" applyFont="1" applyFill="1" applyAlignment="1">
      <alignment horizontal="right" vertical="center"/>
    </xf>
    <xf numFmtId="0" fontId="24" fillId="2" borderId="0" xfId="0" applyFont="1" applyFill="1" applyAlignment="1">
      <alignment horizontal="right" vertical="center"/>
    </xf>
    <xf numFmtId="0" fontId="12" fillId="0" borderId="0" xfId="0" applyFont="1" applyAlignment="1">
      <alignment horizontal="left" vertical="center"/>
    </xf>
    <xf numFmtId="0" fontId="0" fillId="2" borderId="0" xfId="0" applyFill="1" applyAlignment="1">
      <alignment horizontal="right"/>
    </xf>
    <xf numFmtId="0" fontId="24" fillId="2" borderId="4" xfId="0" applyFont="1" applyFill="1" applyBorder="1" applyAlignment="1">
      <alignment horizontal="right" vertical="center"/>
    </xf>
    <xf numFmtId="0" fontId="24" fillId="2" borderId="5" xfId="0" applyFont="1" applyFill="1" applyBorder="1" applyAlignment="1">
      <alignment horizontal="right" vertical="center"/>
    </xf>
    <xf numFmtId="3" fontId="24" fillId="2" borderId="5" xfId="0" applyNumberFormat="1" applyFont="1" applyFill="1" applyBorder="1" applyAlignment="1">
      <alignment horizontal="right" vertical="center"/>
    </xf>
    <xf numFmtId="0" fontId="11" fillId="2" borderId="5" xfId="0" applyFont="1" applyFill="1" applyBorder="1" applyAlignment="1">
      <alignment horizontal="right" vertical="center"/>
    </xf>
    <xf numFmtId="0" fontId="0" fillId="2" borderId="5" xfId="0" applyFill="1" applyBorder="1"/>
    <xf numFmtId="0" fontId="24" fillId="2" borderId="7" xfId="0" applyFont="1" applyFill="1" applyBorder="1" applyAlignment="1">
      <alignment horizontal="right" vertical="center"/>
    </xf>
    <xf numFmtId="2" fontId="0" fillId="2" borderId="8" xfId="0" applyNumberFormat="1" applyFill="1" applyBorder="1"/>
    <xf numFmtId="0" fontId="24" fillId="2" borderId="9" xfId="0" applyFont="1" applyFill="1" applyBorder="1" applyAlignment="1">
      <alignment horizontal="right" vertical="center"/>
    </xf>
    <xf numFmtId="0" fontId="24" fillId="2" borderId="10" xfId="0" applyFont="1" applyFill="1" applyBorder="1" applyAlignment="1">
      <alignment horizontal="right" vertical="center"/>
    </xf>
    <xf numFmtId="3" fontId="24" fillId="2" borderId="10" xfId="0" applyNumberFormat="1" applyFont="1" applyFill="1" applyBorder="1" applyAlignment="1">
      <alignment horizontal="right" vertical="center"/>
    </xf>
    <xf numFmtId="0" fontId="11" fillId="2" borderId="10" xfId="0" applyFont="1" applyFill="1" applyBorder="1" applyAlignment="1">
      <alignment horizontal="right" vertical="center"/>
    </xf>
    <xf numFmtId="0" fontId="0" fillId="2" borderId="10" xfId="0" applyFill="1" applyBorder="1"/>
    <xf numFmtId="3" fontId="24" fillId="2" borderId="0" xfId="0" applyNumberFormat="1" applyFont="1" applyFill="1" applyAlignment="1">
      <alignment horizontal="right" vertical="center"/>
    </xf>
    <xf numFmtId="4" fontId="0" fillId="2" borderId="0" xfId="0" applyNumberFormat="1" applyFill="1"/>
    <xf numFmtId="0" fontId="0" fillId="2" borderId="4" xfId="0" applyFill="1" applyBorder="1"/>
    <xf numFmtId="2" fontId="24" fillId="2" borderId="5" xfId="0" applyNumberFormat="1" applyFont="1" applyFill="1" applyBorder="1" applyAlignment="1">
      <alignment horizontal="right" vertical="center"/>
    </xf>
    <xf numFmtId="0" fontId="25" fillId="2" borderId="5" xfId="0" applyFont="1" applyFill="1" applyBorder="1"/>
    <xf numFmtId="2" fontId="0" fillId="2" borderId="6" xfId="0" applyNumberFormat="1" applyFill="1" applyBorder="1"/>
    <xf numFmtId="0" fontId="0" fillId="2" borderId="7" xfId="0" applyFill="1" applyBorder="1"/>
    <xf numFmtId="2" fontId="24" fillId="2" borderId="0" xfId="0" applyNumberFormat="1" applyFont="1" applyFill="1" applyAlignment="1">
      <alignment horizontal="right" vertical="center"/>
    </xf>
    <xf numFmtId="0" fontId="25" fillId="2" borderId="0" xfId="0" applyFont="1" applyFill="1"/>
    <xf numFmtId="0" fontId="0" fillId="2" borderId="9" xfId="0" applyFill="1" applyBorder="1"/>
    <xf numFmtId="2" fontId="24" fillId="2" borderId="10" xfId="0" applyNumberFormat="1" applyFont="1" applyFill="1" applyBorder="1" applyAlignment="1">
      <alignment horizontal="right" vertical="center"/>
    </xf>
    <xf numFmtId="0" fontId="25" fillId="2" borderId="10" xfId="0" applyFont="1" applyFill="1" applyBorder="1"/>
    <xf numFmtId="2" fontId="0" fillId="2" borderId="11" xfId="0" applyNumberFormat="1" applyFill="1" applyBorder="1"/>
    <xf numFmtId="4" fontId="17" fillId="2" borderId="6" xfId="0" applyNumberFormat="1" applyFont="1" applyFill="1" applyBorder="1"/>
    <xf numFmtId="2" fontId="17" fillId="2" borderId="8" xfId="0" applyNumberFormat="1" applyFont="1" applyFill="1" applyBorder="1"/>
    <xf numFmtId="4" fontId="17" fillId="2" borderId="11" xfId="0" applyNumberFormat="1" applyFont="1" applyFill="1" applyBorder="1"/>
    <xf numFmtId="0" fontId="17" fillId="2" borderId="5" xfId="0" applyFont="1" applyFill="1" applyBorder="1"/>
    <xf numFmtId="0" fontId="17" fillId="2" borderId="0" xfId="0" applyFont="1" applyFill="1"/>
    <xf numFmtId="0" fontId="17" fillId="2" borderId="10" xfId="0" applyFont="1" applyFill="1" applyBorder="1"/>
    <xf numFmtId="49" fontId="0" fillId="0" borderId="0" xfId="0" applyNumberFormat="1"/>
    <xf numFmtId="0" fontId="26" fillId="15" borderId="12" xfId="0" applyFont="1" applyFill="1" applyBorder="1" applyAlignment="1">
      <alignment horizontal="center"/>
    </xf>
    <xf numFmtId="0" fontId="26" fillId="15" borderId="13" xfId="0" applyFont="1" applyFill="1" applyBorder="1" applyAlignment="1">
      <alignment horizontal="center"/>
    </xf>
    <xf numFmtId="0" fontId="9" fillId="16" borderId="0" xfId="0" applyFont="1" applyFill="1" applyAlignment="1">
      <alignment vertical="center" wrapText="1"/>
    </xf>
    <xf numFmtId="0" fontId="28" fillId="0" borderId="0" xfId="0" applyFont="1" applyAlignment="1">
      <alignment horizontal="center"/>
    </xf>
    <xf numFmtId="0" fontId="29" fillId="5" borderId="13" xfId="0" applyFont="1" applyFill="1" applyBorder="1" applyAlignment="1">
      <alignment horizontal="center"/>
    </xf>
    <xf numFmtId="0" fontId="0" fillId="5" borderId="13" xfId="0" applyFill="1" applyBorder="1" applyAlignment="1">
      <alignment horizontal="center"/>
    </xf>
    <xf numFmtId="0" fontId="0" fillId="5" borderId="13" xfId="0" applyFill="1" applyBorder="1" applyAlignment="1">
      <alignment horizontal="center" vertical="center"/>
    </xf>
    <xf numFmtId="0" fontId="12" fillId="8" borderId="0" xfId="0" applyFont="1" applyFill="1" applyAlignment="1">
      <alignment horizontal="left" vertical="center"/>
    </xf>
    <xf numFmtId="165" fontId="18" fillId="13" borderId="0" xfId="0" applyNumberFormat="1" applyFont="1" applyFill="1" applyAlignment="1">
      <alignment horizontal="left" vertical="center"/>
    </xf>
    <xf numFmtId="165" fontId="18" fillId="13" borderId="1" xfId="0" applyNumberFormat="1" applyFont="1" applyFill="1" applyBorder="1" applyAlignment="1">
      <alignment horizontal="left" vertical="center"/>
    </xf>
    <xf numFmtId="1" fontId="18" fillId="13" borderId="0" xfId="0" applyNumberFormat="1" applyFont="1" applyFill="1" applyAlignment="1">
      <alignment horizontal="left" vertical="center"/>
    </xf>
    <xf numFmtId="1" fontId="18" fillId="13" borderId="1" xfId="0" applyNumberFormat="1" applyFont="1" applyFill="1" applyBorder="1" applyAlignment="1">
      <alignment horizontal="left" vertical="center"/>
    </xf>
    <xf numFmtId="0" fontId="23" fillId="2" borderId="0" xfId="0" applyFont="1" applyFill="1" applyAlignment="1">
      <alignment horizontal="left"/>
    </xf>
    <xf numFmtId="2" fontId="20" fillId="2" borderId="0" xfId="0" applyNumberFormat="1" applyFont="1" applyFill="1" applyAlignment="1">
      <alignment horizontal="left"/>
    </xf>
    <xf numFmtId="1" fontId="20" fillId="2" borderId="0" xfId="0" applyNumberFormat="1" applyFont="1" applyFill="1" applyAlignment="1">
      <alignment horizontal="left"/>
    </xf>
    <xf numFmtId="0" fontId="20" fillId="2" borderId="2" xfId="0" applyFont="1" applyFill="1" applyBorder="1"/>
    <xf numFmtId="0" fontId="23" fillId="2" borderId="2" xfId="0" applyFont="1" applyFill="1" applyBorder="1"/>
    <xf numFmtId="1" fontId="20" fillId="2" borderId="2" xfId="0" applyNumberFormat="1" applyFont="1" applyFill="1" applyBorder="1" applyAlignment="1">
      <alignment horizontal="left"/>
    </xf>
    <xf numFmtId="2" fontId="20" fillId="2" borderId="0" xfId="0" applyNumberFormat="1" applyFont="1" applyFill="1"/>
    <xf numFmtId="0" fontId="20" fillId="17" borderId="0" xfId="0" applyFont="1" applyFill="1"/>
    <xf numFmtId="0" fontId="23" fillId="17" borderId="0" xfId="0" applyFont="1" applyFill="1" applyAlignment="1">
      <alignment horizontal="left"/>
    </xf>
    <xf numFmtId="1" fontId="20" fillId="17" borderId="0" xfId="0" applyNumberFormat="1" applyFont="1" applyFill="1" applyAlignment="1">
      <alignment horizontal="left"/>
    </xf>
    <xf numFmtId="0" fontId="20" fillId="17" borderId="0" xfId="0" applyFont="1" applyFill="1" applyAlignment="1">
      <alignment horizontal="left"/>
    </xf>
    <xf numFmtId="0" fontId="23" fillId="17" borderId="2" xfId="0" applyFont="1" applyFill="1" applyBorder="1"/>
    <xf numFmtId="1" fontId="14" fillId="2" borderId="0" xfId="0" applyNumberFormat="1" applyFont="1" applyFill="1" applyAlignment="1">
      <alignment horizontal="center" vertical="center" wrapText="1"/>
    </xf>
    <xf numFmtId="1" fontId="10" fillId="2" borderId="0" xfId="0" applyNumberFormat="1" applyFont="1" applyFill="1" applyAlignment="1">
      <alignment vertical="center"/>
    </xf>
    <xf numFmtId="1" fontId="12" fillId="2" borderId="0" xfId="0" applyNumberFormat="1" applyFont="1" applyFill="1" applyAlignment="1">
      <alignment horizontal="left" vertical="center"/>
    </xf>
    <xf numFmtId="1" fontId="12" fillId="2" borderId="1" xfId="0" applyNumberFormat="1" applyFont="1" applyFill="1" applyBorder="1" applyAlignment="1">
      <alignment horizontal="left" vertical="center" wrapText="1"/>
    </xf>
    <xf numFmtId="0" fontId="9" fillId="18" borderId="0" xfId="0" applyFont="1" applyFill="1" applyAlignment="1">
      <alignment vertical="center" wrapText="1"/>
    </xf>
    <xf numFmtId="49" fontId="12" fillId="4" borderId="0" xfId="0" applyNumberFormat="1" applyFont="1" applyFill="1" applyAlignment="1">
      <alignment horizontal="left" vertical="center"/>
    </xf>
    <xf numFmtId="0" fontId="9" fillId="19" borderId="0" xfId="0" applyFont="1" applyFill="1" applyAlignment="1">
      <alignment vertical="center" wrapText="1"/>
    </xf>
    <xf numFmtId="0" fontId="15" fillId="10" borderId="0" xfId="0" applyFont="1" applyFill="1" applyAlignment="1">
      <alignment horizontal="left" vertical="center" wrapText="1"/>
    </xf>
    <xf numFmtId="0" fontId="6" fillId="2" borderId="0" xfId="0" applyFont="1" applyFill="1" applyAlignment="1">
      <alignment horizontal="right"/>
    </xf>
    <xf numFmtId="1" fontId="13" fillId="10" borderId="0" xfId="0" applyNumberFormat="1" applyFont="1" applyFill="1" applyAlignment="1">
      <alignment horizontal="left" vertical="center"/>
    </xf>
    <xf numFmtId="1" fontId="13" fillId="10" borderId="3" xfId="0" applyNumberFormat="1" applyFont="1" applyFill="1" applyBorder="1" applyAlignment="1">
      <alignment horizontal="left" vertical="center"/>
    </xf>
    <xf numFmtId="0" fontId="30" fillId="5" borderId="0" xfId="0" applyFont="1" applyFill="1" applyAlignment="1">
      <alignment vertical="center" wrapText="1"/>
    </xf>
    <xf numFmtId="20" fontId="30" fillId="2" borderId="0" xfId="0" applyNumberFormat="1" applyFont="1" applyFill="1" applyAlignment="1">
      <alignment horizontal="left"/>
    </xf>
    <xf numFmtId="0" fontId="13" fillId="4" borderId="0" xfId="0" applyFont="1" applyFill="1" applyAlignment="1">
      <alignment horizontal="left" vertical="center"/>
    </xf>
    <xf numFmtId="0" fontId="31" fillId="2" borderId="0" xfId="0" applyFont="1" applyFill="1" applyAlignment="1">
      <alignment horizontal="left"/>
    </xf>
    <xf numFmtId="0" fontId="30" fillId="2" borderId="0" xfId="0" applyFont="1" applyFill="1" applyAlignment="1">
      <alignment horizontal="left"/>
    </xf>
    <xf numFmtId="0" fontId="31" fillId="2" borderId="0" xfId="0" applyFont="1" applyFill="1"/>
    <xf numFmtId="20" fontId="30" fillId="14" borderId="0" xfId="0" applyNumberFormat="1" applyFont="1" applyFill="1" applyAlignment="1">
      <alignment horizontal="left"/>
    </xf>
    <xf numFmtId="0" fontId="7" fillId="20" borderId="0" xfId="0" applyFont="1" applyFill="1" applyAlignment="1">
      <alignment horizontal="left" vertical="center"/>
    </xf>
    <xf numFmtId="0" fontId="12" fillId="20" borderId="0" xfId="0" applyFont="1" applyFill="1" applyAlignment="1">
      <alignment horizontal="left" vertical="center"/>
    </xf>
    <xf numFmtId="0" fontId="6" fillId="2" borderId="0" xfId="0" applyFont="1" applyFill="1"/>
    <xf numFmtId="0" fontId="12" fillId="10" borderId="0" xfId="0" applyFont="1" applyFill="1" applyAlignment="1">
      <alignment vertical="center" wrapText="1"/>
    </xf>
    <xf numFmtId="2" fontId="16" fillId="8" borderId="0" xfId="0" applyNumberFormat="1" applyFont="1" applyFill="1" applyAlignment="1">
      <alignment horizontal="left" vertical="center"/>
    </xf>
    <xf numFmtId="165" fontId="13" fillId="10" borderId="0" xfId="0" applyNumberFormat="1" applyFont="1" applyFill="1" applyAlignment="1">
      <alignment horizontal="left" vertical="center"/>
    </xf>
    <xf numFmtId="165" fontId="12" fillId="10" borderId="0" xfId="0" applyNumberFormat="1" applyFont="1" applyFill="1" applyAlignment="1">
      <alignment horizontal="left" vertical="center"/>
    </xf>
    <xf numFmtId="1" fontId="12" fillId="10" borderId="0" xfId="0" applyNumberFormat="1" applyFont="1" applyFill="1" applyAlignment="1">
      <alignment horizontal="left" vertical="center"/>
    </xf>
    <xf numFmtId="165" fontId="13" fillId="10" borderId="3" xfId="0" applyNumberFormat="1" applyFont="1" applyFill="1" applyBorder="1" applyAlignment="1">
      <alignment horizontal="left" vertical="center"/>
    </xf>
    <xf numFmtId="0" fontId="0" fillId="18" borderId="0" xfId="0" applyFill="1"/>
    <xf numFmtId="0" fontId="7" fillId="18" borderId="0" xfId="0" applyFont="1" applyFill="1" applyAlignment="1">
      <alignment horizontal="left"/>
    </xf>
    <xf numFmtId="0" fontId="6" fillId="18" borderId="0" xfId="0" applyFont="1" applyFill="1" applyAlignment="1">
      <alignment horizontal="left"/>
    </xf>
    <xf numFmtId="1" fontId="6" fillId="18" borderId="0" xfId="0" applyNumberFormat="1" applyFont="1" applyFill="1" applyAlignment="1">
      <alignment horizontal="left"/>
    </xf>
    <xf numFmtId="0" fontId="31" fillId="18" borderId="0" xfId="0" applyFont="1" applyFill="1"/>
    <xf numFmtId="0" fontId="7" fillId="18" borderId="0" xfId="0" applyFont="1" applyFill="1"/>
    <xf numFmtId="0" fontId="6" fillId="18" borderId="0" xfId="0" applyFont="1" applyFill="1"/>
    <xf numFmtId="0" fontId="7" fillId="21" borderId="0" xfId="0" applyFont="1" applyFill="1" applyAlignment="1">
      <alignment horizontal="left"/>
    </xf>
    <xf numFmtId="0" fontId="0" fillId="21" borderId="0" xfId="0" applyFill="1"/>
    <xf numFmtId="2" fontId="6" fillId="18" borderId="0" xfId="0" applyNumberFormat="1" applyFont="1" applyFill="1" applyAlignment="1">
      <alignment horizontal="left"/>
    </xf>
    <xf numFmtId="20" fontId="6" fillId="8" borderId="0" xfId="0" quotePrefix="1" applyNumberFormat="1" applyFont="1" applyFill="1" applyAlignment="1">
      <alignment horizontal="left"/>
    </xf>
    <xf numFmtId="2" fontId="12" fillId="8" borderId="0" xfId="0" applyNumberFormat="1" applyFont="1" applyFill="1" applyAlignment="1">
      <alignment horizontal="left" vertical="center"/>
    </xf>
    <xf numFmtId="165" fontId="6" fillId="18" borderId="0" xfId="0" applyNumberFormat="1" applyFont="1" applyFill="1" applyAlignment="1">
      <alignment horizontal="left"/>
    </xf>
    <xf numFmtId="166" fontId="6" fillId="18" borderId="0" xfId="0" applyNumberFormat="1" applyFont="1" applyFill="1" applyAlignment="1">
      <alignment horizontal="left"/>
    </xf>
    <xf numFmtId="49" fontId="13" fillId="4" borderId="0" xfId="0" applyNumberFormat="1" applyFont="1" applyFill="1" applyAlignment="1">
      <alignment horizontal="left" vertical="center"/>
    </xf>
    <xf numFmtId="0" fontId="6" fillId="8" borderId="0" xfId="0" applyFont="1" applyFill="1"/>
    <xf numFmtId="0" fontId="6" fillId="20" borderId="0" xfId="0" applyFont="1" applyFill="1"/>
    <xf numFmtId="14" fontId="14" fillId="6" borderId="0" xfId="0" applyNumberFormat="1" applyFont="1" applyFill="1" applyAlignment="1">
      <alignment horizontal="center" vertical="center" wrapText="1"/>
    </xf>
    <xf numFmtId="0" fontId="10" fillId="7" borderId="0" xfId="0" applyFont="1" applyFill="1" applyAlignment="1">
      <alignment horizontal="left" vertical="center"/>
    </xf>
    <xf numFmtId="0" fontId="0" fillId="0" borderId="13" xfId="0" applyBorder="1"/>
    <xf numFmtId="0" fontId="37" fillId="22" borderId="0" xfId="0" applyFont="1" applyFill="1" applyAlignment="1">
      <alignment horizontal="left" vertical="center"/>
    </xf>
    <xf numFmtId="0" fontId="38" fillId="22" borderId="0" xfId="0" applyFont="1" applyFill="1" applyAlignment="1">
      <alignment horizontal="left" vertical="center"/>
    </xf>
    <xf numFmtId="0" fontId="36" fillId="22" borderId="0" xfId="0" applyFont="1" applyFill="1" applyAlignment="1">
      <alignment horizontal="left" vertical="center"/>
    </xf>
    <xf numFmtId="0" fontId="36" fillId="22" borderId="0" xfId="0" applyFont="1" applyFill="1" applyAlignment="1">
      <alignment vertical="center"/>
    </xf>
    <xf numFmtId="1" fontId="36" fillId="22" borderId="0" xfId="0" applyNumberFormat="1" applyFont="1" applyFill="1" applyAlignment="1">
      <alignment horizontal="left" vertical="center"/>
    </xf>
    <xf numFmtId="0" fontId="38" fillId="22" borderId="0" xfId="0" applyFont="1" applyFill="1"/>
    <xf numFmtId="0" fontId="38" fillId="22" borderId="0" xfId="0" applyFont="1" applyFill="1" applyAlignment="1">
      <alignment horizontal="left"/>
    </xf>
    <xf numFmtId="0" fontId="7" fillId="18" borderId="0" xfId="0" applyFont="1" applyFill="1" applyAlignment="1">
      <alignment horizontal="left" vertical="center"/>
    </xf>
    <xf numFmtId="0" fontId="0" fillId="18" borderId="0" xfId="0" applyFill="1" applyAlignment="1">
      <alignment horizontal="left" vertical="center"/>
    </xf>
    <xf numFmtId="0" fontId="10" fillId="18" borderId="0" xfId="0" applyFont="1" applyFill="1" applyAlignment="1">
      <alignment vertical="center"/>
    </xf>
    <xf numFmtId="0" fontId="36" fillId="22" borderId="0" xfId="0" applyFont="1" applyFill="1" applyAlignment="1">
      <alignment horizontal="right"/>
    </xf>
    <xf numFmtId="0" fontId="36" fillId="18" borderId="0" xfId="0" applyFont="1" applyFill="1" applyAlignment="1">
      <alignment horizontal="right"/>
    </xf>
    <xf numFmtId="0" fontId="37" fillId="18" borderId="0" xfId="0" applyFont="1" applyFill="1" applyAlignment="1">
      <alignment horizontal="left" vertical="center"/>
    </xf>
    <xf numFmtId="0" fontId="38" fillId="18" borderId="0" xfId="0" applyFont="1" applyFill="1" applyAlignment="1">
      <alignment horizontal="left" vertical="center"/>
    </xf>
    <xf numFmtId="0" fontId="36" fillId="18" borderId="0" xfId="0" applyFont="1" applyFill="1" applyAlignment="1">
      <alignment horizontal="left" vertical="center"/>
    </xf>
    <xf numFmtId="0" fontId="36" fillId="18" borderId="0" xfId="0" applyFont="1" applyFill="1" applyAlignment="1">
      <alignment vertical="center"/>
    </xf>
    <xf numFmtId="1" fontId="36" fillId="18" borderId="0" xfId="0" applyNumberFormat="1" applyFont="1" applyFill="1" applyAlignment="1">
      <alignment horizontal="left" vertical="center"/>
    </xf>
    <xf numFmtId="0" fontId="8" fillId="18" borderId="0" xfId="0" applyFont="1" applyFill="1" applyAlignment="1">
      <alignment vertical="center" wrapText="1"/>
    </xf>
    <xf numFmtId="2" fontId="7" fillId="18" borderId="0" xfId="0" applyNumberFormat="1" applyFont="1" applyFill="1" applyAlignment="1">
      <alignment horizontal="left" vertical="center"/>
    </xf>
    <xf numFmtId="0" fontId="0" fillId="18" borderId="0" xfId="0" applyFill="1" applyAlignment="1">
      <alignment horizontal="left"/>
    </xf>
    <xf numFmtId="0" fontId="0" fillId="23" borderId="0" xfId="0" applyFill="1"/>
    <xf numFmtId="0" fontId="8" fillId="23" borderId="0" xfId="0" applyFont="1" applyFill="1" applyAlignment="1">
      <alignment vertical="center" wrapText="1"/>
    </xf>
    <xf numFmtId="0" fontId="36" fillId="23" borderId="0" xfId="0" applyFont="1" applyFill="1" applyAlignment="1">
      <alignment horizontal="right"/>
    </xf>
    <xf numFmtId="0" fontId="37" fillId="23" borderId="0" xfId="0" applyFont="1" applyFill="1" applyAlignment="1">
      <alignment horizontal="left" vertical="center"/>
    </xf>
    <xf numFmtId="0" fontId="38" fillId="23" borderId="0" xfId="0" applyFont="1" applyFill="1" applyAlignment="1">
      <alignment horizontal="left" vertical="center"/>
    </xf>
    <xf numFmtId="0" fontId="36" fillId="23" borderId="0" xfId="0" applyFont="1" applyFill="1" applyAlignment="1">
      <alignment horizontal="left" vertical="center"/>
    </xf>
    <xf numFmtId="0" fontId="36" fillId="23" borderId="0" xfId="0" applyFont="1" applyFill="1" applyAlignment="1">
      <alignment vertical="center"/>
    </xf>
    <xf numFmtId="1" fontId="36" fillId="23" borderId="0" xfId="0" applyNumberFormat="1" applyFont="1" applyFill="1" applyAlignment="1">
      <alignment horizontal="left" vertical="center"/>
    </xf>
    <xf numFmtId="0" fontId="0" fillId="23" borderId="0" xfId="0" applyFill="1" applyAlignment="1">
      <alignment horizontal="left"/>
    </xf>
    <xf numFmtId="0" fontId="6" fillId="23" borderId="0" xfId="0" applyFont="1" applyFill="1" applyAlignment="1">
      <alignment horizontal="right"/>
    </xf>
    <xf numFmtId="2" fontId="37" fillId="22" borderId="0" xfId="0" applyNumberFormat="1" applyFont="1" applyFill="1" applyAlignment="1">
      <alignment horizontal="left" vertical="center"/>
    </xf>
    <xf numFmtId="0" fontId="37" fillId="22" borderId="0" xfId="0" applyFont="1" applyFill="1" applyAlignment="1">
      <alignment horizontal="right"/>
    </xf>
    <xf numFmtId="0" fontId="39" fillId="22" borderId="0" xfId="0" applyFont="1" applyFill="1" applyAlignment="1">
      <alignment horizontal="left" vertical="center"/>
    </xf>
    <xf numFmtId="1" fontId="37" fillId="22" borderId="0" xfId="0" applyNumberFormat="1" applyFont="1" applyFill="1" applyAlignment="1">
      <alignment horizontal="left" vertical="center"/>
    </xf>
    <xf numFmtId="0" fontId="6" fillId="18" borderId="0" xfId="0" applyFont="1" applyFill="1" applyAlignment="1">
      <alignment horizontal="right"/>
    </xf>
    <xf numFmtId="0" fontId="7" fillId="18" borderId="0" xfId="0" applyFont="1" applyFill="1" applyAlignment="1">
      <alignment vertical="center"/>
    </xf>
    <xf numFmtId="0" fontId="0" fillId="18" borderId="0" xfId="0" applyFill="1" applyAlignment="1">
      <alignment vertical="center"/>
    </xf>
    <xf numFmtId="1" fontId="15" fillId="10" borderId="3" xfId="0" applyNumberFormat="1" applyFont="1" applyFill="1" applyBorder="1" applyAlignment="1">
      <alignment horizontal="left" vertical="center"/>
    </xf>
    <xf numFmtId="1" fontId="40" fillId="10" borderId="0" xfId="0" applyNumberFormat="1" applyFont="1" applyFill="1" applyAlignment="1">
      <alignment horizontal="left" vertical="center"/>
    </xf>
    <xf numFmtId="1" fontId="15" fillId="10" borderId="0" xfId="0" applyNumberFormat="1" applyFont="1" applyFill="1" applyAlignment="1">
      <alignment horizontal="left" vertical="center"/>
    </xf>
    <xf numFmtId="2" fontId="18" fillId="10" borderId="0" xfId="0" applyNumberFormat="1" applyFont="1" applyFill="1" applyAlignment="1">
      <alignment horizontal="left" vertical="center"/>
    </xf>
    <xf numFmtId="165" fontId="18" fillId="10" borderId="0" xfId="0" applyNumberFormat="1" applyFont="1" applyFill="1" applyAlignment="1">
      <alignment horizontal="left" vertical="center"/>
    </xf>
    <xf numFmtId="1" fontId="18" fillId="10" borderId="0" xfId="0" applyNumberFormat="1" applyFont="1" applyFill="1" applyAlignment="1">
      <alignment horizontal="left" vertical="center"/>
    </xf>
    <xf numFmtId="0" fontId="12" fillId="18" borderId="0" xfId="0" applyFont="1" applyFill="1" applyAlignment="1">
      <alignment vertical="center"/>
    </xf>
    <xf numFmtId="44" fontId="6" fillId="23" borderId="0" xfId="0" applyNumberFormat="1" applyFont="1" applyFill="1"/>
    <xf numFmtId="44" fontId="32" fillId="23" borderId="0" xfId="0" applyNumberFormat="1" applyFont="1" applyFill="1"/>
    <xf numFmtId="44" fontId="6" fillId="23" borderId="0" xfId="1" applyFont="1" applyFill="1"/>
    <xf numFmtId="44" fontId="15" fillId="23" borderId="0" xfId="0" applyNumberFormat="1" applyFont="1" applyFill="1"/>
    <xf numFmtId="0" fontId="6" fillId="23" borderId="0" xfId="0" applyFont="1" applyFill="1"/>
    <xf numFmtId="0" fontId="20" fillId="23" borderId="0" xfId="0" applyFont="1" applyFill="1"/>
    <xf numFmtId="0" fontId="31" fillId="23" borderId="0" xfId="0" applyFont="1" applyFill="1"/>
    <xf numFmtId="0" fontId="13" fillId="2" borderId="0" xfId="0" applyFont="1" applyFill="1" applyAlignment="1">
      <alignment horizontal="right" vertical="center"/>
    </xf>
    <xf numFmtId="2" fontId="6" fillId="2" borderId="0" xfId="0" applyNumberFormat="1" applyFont="1" applyFill="1"/>
    <xf numFmtId="3" fontId="30" fillId="2" borderId="0" xfId="0" applyNumberFormat="1" applyFont="1" applyFill="1" applyAlignment="1">
      <alignment horizontal="left" vertical="center"/>
    </xf>
    <xf numFmtId="0" fontId="30" fillId="2" borderId="0" xfId="0" applyFont="1" applyFill="1" applyAlignment="1">
      <alignment horizontal="left" vertical="center"/>
    </xf>
    <xf numFmtId="4" fontId="6" fillId="2" borderId="0" xfId="0" applyNumberFormat="1" applyFont="1" applyFill="1" applyAlignment="1">
      <alignment horizontal="left"/>
    </xf>
    <xf numFmtId="2" fontId="6" fillId="2" borderId="0" xfId="0" applyNumberFormat="1" applyFont="1" applyFill="1" applyAlignment="1">
      <alignment horizontal="left"/>
    </xf>
    <xf numFmtId="0" fontId="41" fillId="2" borderId="0" xfId="0" applyFont="1" applyFill="1" applyAlignment="1">
      <alignment horizontal="right"/>
    </xf>
    <xf numFmtId="2" fontId="30" fillId="2" borderId="0" xfId="0" applyNumberFormat="1" applyFont="1" applyFill="1" applyAlignment="1">
      <alignment horizontal="left" vertical="center"/>
    </xf>
    <xf numFmtId="0" fontId="7" fillId="2" borderId="0" xfId="0" applyFont="1" applyFill="1" applyAlignment="1">
      <alignment horizontal="right"/>
    </xf>
    <xf numFmtId="0" fontId="7" fillId="11" borderId="0" xfId="0" applyFont="1" applyFill="1" applyAlignment="1">
      <alignment vertical="center" wrapText="1"/>
    </xf>
    <xf numFmtId="0" fontId="7" fillId="11" borderId="3" xfId="0" applyFont="1" applyFill="1" applyBorder="1" applyAlignment="1">
      <alignment vertical="center" wrapText="1"/>
    </xf>
    <xf numFmtId="1" fontId="32" fillId="18" borderId="0" xfId="0" applyNumberFormat="1" applyFont="1" applyFill="1" applyAlignment="1">
      <alignment horizontal="left"/>
    </xf>
    <xf numFmtId="1" fontId="9" fillId="18" borderId="0" xfId="0" applyNumberFormat="1" applyFont="1" applyFill="1" applyAlignment="1">
      <alignment horizontal="left"/>
    </xf>
    <xf numFmtId="0" fontId="17" fillId="0" borderId="14" xfId="0" applyFont="1" applyBorder="1"/>
    <xf numFmtId="0" fontId="0" fillId="0" borderId="14" xfId="0" applyBorder="1"/>
    <xf numFmtId="0" fontId="0" fillId="0" borderId="15" xfId="0" applyBorder="1"/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2" fontId="7" fillId="10" borderId="3" xfId="0" applyNumberFormat="1" applyFont="1" applyFill="1" applyBorder="1" applyAlignment="1">
      <alignment horizontal="left" vertical="center"/>
    </xf>
    <xf numFmtId="0" fontId="12" fillId="24" borderId="0" xfId="0" applyFont="1" applyFill="1" applyAlignment="1">
      <alignment horizontal="left" vertical="center"/>
    </xf>
    <xf numFmtId="0" fontId="15" fillId="24" borderId="0" xfId="0" applyFont="1" applyFill="1" applyAlignment="1">
      <alignment vertical="center" wrapText="1"/>
    </xf>
    <xf numFmtId="49" fontId="15" fillId="10" borderId="0" xfId="0" applyNumberFormat="1" applyFont="1" applyFill="1" applyAlignment="1">
      <alignment horizontal="left" vertical="center" wrapText="1"/>
    </xf>
    <xf numFmtId="0" fontId="12" fillId="11" borderId="0" xfId="0" quotePrefix="1" applyFont="1" applyFill="1" applyAlignment="1">
      <alignment horizontal="left" vertical="center"/>
    </xf>
    <xf numFmtId="0" fontId="12" fillId="11" borderId="3" xfId="0" quotePrefix="1" applyFont="1" applyFill="1" applyBorder="1" applyAlignment="1">
      <alignment horizontal="left" vertical="center"/>
    </xf>
    <xf numFmtId="0" fontId="12" fillId="7" borderId="0" xfId="0" applyFont="1" applyFill="1" applyAlignment="1">
      <alignment horizontal="left" vertical="center"/>
    </xf>
    <xf numFmtId="0" fontId="15" fillId="7" borderId="0" xfId="0" applyFont="1" applyFill="1" applyAlignment="1">
      <alignment vertical="center" wrapText="1"/>
    </xf>
    <xf numFmtId="0" fontId="36" fillId="7" borderId="0" xfId="0" applyFont="1" applyFill="1" applyAlignment="1">
      <alignment vertical="center" wrapText="1"/>
    </xf>
    <xf numFmtId="0" fontId="15" fillId="8" borderId="0" xfId="0" applyFont="1" applyFill="1" applyAlignment="1">
      <alignment horizontal="left" vertical="center" wrapText="1"/>
    </xf>
    <xf numFmtId="0" fontId="12" fillId="7" borderId="0" xfId="0" quotePrefix="1" applyFont="1" applyFill="1" applyAlignment="1">
      <alignment horizontal="left" vertical="center"/>
    </xf>
    <xf numFmtId="0" fontId="12" fillId="7" borderId="3" xfId="0" quotePrefix="1" applyFont="1" applyFill="1" applyBorder="1" applyAlignment="1">
      <alignment horizontal="left" vertical="center"/>
    </xf>
    <xf numFmtId="0" fontId="0" fillId="7" borderId="0" xfId="0" applyFill="1" applyAlignment="1">
      <alignment horizontal="left"/>
    </xf>
    <xf numFmtId="0" fontId="36" fillId="7" borderId="0" xfId="0" applyFont="1" applyFill="1" applyAlignment="1">
      <alignment horizontal="left" vertical="center" wrapText="1"/>
    </xf>
    <xf numFmtId="0" fontId="15" fillId="7" borderId="0" xfId="0" quotePrefix="1" applyFont="1" applyFill="1" applyAlignment="1">
      <alignment horizontal="left" vertical="center"/>
    </xf>
    <xf numFmtId="0" fontId="12" fillId="11" borderId="0" xfId="0" applyFont="1" applyFill="1" applyAlignment="1">
      <alignment horizontal="left" vertical="center"/>
    </xf>
    <xf numFmtId="0" fontId="12" fillId="11" borderId="3" xfId="0" applyFont="1" applyFill="1" applyBorder="1" applyAlignment="1">
      <alignment horizontal="left" vertical="center"/>
    </xf>
    <xf numFmtId="0" fontId="36" fillId="7" borderId="0" xfId="0" applyFont="1" applyFill="1" applyAlignment="1">
      <alignment horizontal="right" vertical="center" wrapText="1"/>
    </xf>
    <xf numFmtId="0" fontId="12" fillId="7" borderId="3" xfId="0" applyFont="1" applyFill="1" applyBorder="1" applyAlignment="1">
      <alignment horizontal="left" vertical="center"/>
    </xf>
    <xf numFmtId="0" fontId="31" fillId="7" borderId="0" xfId="0" applyFont="1" applyFill="1" applyAlignment="1">
      <alignment horizontal="left"/>
    </xf>
    <xf numFmtId="0" fontId="36" fillId="7" borderId="0" xfId="0" applyFont="1" applyFill="1" applyAlignment="1">
      <alignment horizontal="left" vertical="center"/>
    </xf>
    <xf numFmtId="0" fontId="40" fillId="7" borderId="0" xfId="0" applyFont="1" applyFill="1" applyAlignment="1">
      <alignment horizontal="left"/>
    </xf>
    <xf numFmtId="0" fontId="36" fillId="7" borderId="0" xfId="0" applyFont="1" applyFill="1" applyAlignment="1">
      <alignment horizontal="left"/>
    </xf>
    <xf numFmtId="0" fontId="12" fillId="7" borderId="0" xfId="0" applyFont="1" applyFill="1" applyAlignment="1">
      <alignment horizontal="left" vertical="center" wrapText="1"/>
    </xf>
    <xf numFmtId="165" fontId="7" fillId="10" borderId="0" xfId="0" applyNumberFormat="1" applyFont="1" applyFill="1" applyAlignment="1">
      <alignment horizontal="left" vertical="center"/>
    </xf>
    <xf numFmtId="1" fontId="7" fillId="10" borderId="0" xfId="0" applyNumberFormat="1" applyFont="1" applyFill="1" applyAlignment="1">
      <alignment horizontal="left" vertical="center"/>
    </xf>
    <xf numFmtId="1" fontId="7" fillId="10" borderId="3" xfId="0" applyNumberFormat="1" applyFont="1" applyFill="1" applyBorder="1" applyAlignment="1">
      <alignment horizontal="left" vertical="center"/>
    </xf>
    <xf numFmtId="20" fontId="0" fillId="18" borderId="0" xfId="0" applyNumberFormat="1" applyFill="1"/>
    <xf numFmtId="0" fontId="12" fillId="10" borderId="0" xfId="0" applyFont="1" applyFill="1" applyAlignment="1">
      <alignment horizontal="left" vertical="center" wrapText="1"/>
    </xf>
    <xf numFmtId="0" fontId="12" fillId="18" borderId="0" xfId="0" applyFont="1" applyFill="1" applyAlignment="1">
      <alignment horizontal="left" vertical="center"/>
    </xf>
    <xf numFmtId="16" fontId="0" fillId="0" borderId="14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13" xfId="0" applyBorder="1" applyAlignment="1">
      <alignment horizontal="center"/>
    </xf>
    <xf numFmtId="0" fontId="6" fillId="0" borderId="0" xfId="0" applyFont="1" applyAlignment="1">
      <alignment wrapText="1"/>
    </xf>
    <xf numFmtId="0" fontId="8" fillId="24" borderId="0" xfId="0" applyFont="1" applyFill="1" applyAlignment="1">
      <alignment horizontal="left" vertical="center"/>
    </xf>
    <xf numFmtId="0" fontId="17" fillId="0" borderId="13" xfId="0" applyFont="1" applyBorder="1"/>
    <xf numFmtId="16" fontId="0" fillId="0" borderId="13" xfId="0" applyNumberFormat="1" applyBorder="1" applyAlignment="1">
      <alignment horizontal="center"/>
    </xf>
    <xf numFmtId="0" fontId="6" fillId="0" borderId="0" xfId="0" applyFont="1"/>
    <xf numFmtId="20" fontId="8" fillId="2" borderId="0" xfId="0" applyNumberFormat="1" applyFont="1" applyFill="1" applyAlignment="1">
      <alignment horizontal="left"/>
    </xf>
    <xf numFmtId="20" fontId="42" fillId="2" borderId="0" xfId="0" applyNumberFormat="1" applyFont="1" applyFill="1" applyAlignment="1">
      <alignment horizontal="left"/>
    </xf>
    <xf numFmtId="20" fontId="12" fillId="4" borderId="0" xfId="0" applyNumberFormat="1" applyFont="1" applyFill="1" applyAlignment="1">
      <alignment horizontal="left" vertical="center"/>
    </xf>
    <xf numFmtId="0" fontId="0" fillId="0" borderId="19" xfId="0" applyBorder="1"/>
    <xf numFmtId="0" fontId="6" fillId="5" borderId="0" xfId="0" applyFont="1" applyFill="1" applyAlignment="1">
      <alignment vertical="center" wrapText="1"/>
    </xf>
    <xf numFmtId="0" fontId="7" fillId="4" borderId="0" xfId="0" applyFont="1" applyFill="1" applyAlignment="1">
      <alignment horizontal="left" vertical="center"/>
    </xf>
    <xf numFmtId="0" fontId="7" fillId="24" borderId="0" xfId="0" applyFont="1" applyFill="1" applyAlignment="1">
      <alignment horizontal="left" vertical="center"/>
    </xf>
    <xf numFmtId="0" fontId="0" fillId="9" borderId="13" xfId="0" applyFill="1" applyBorder="1" applyAlignment="1">
      <alignment horizontal="center"/>
    </xf>
    <xf numFmtId="0" fontId="0" fillId="9" borderId="14" xfId="0" applyFill="1" applyBorder="1" applyAlignment="1">
      <alignment horizontal="center"/>
    </xf>
    <xf numFmtId="0" fontId="0" fillId="9" borderId="17" xfId="0" applyFill="1" applyBorder="1" applyAlignment="1">
      <alignment horizontal="center"/>
    </xf>
    <xf numFmtId="0" fontId="0" fillId="9" borderId="18" xfId="0" applyFill="1" applyBorder="1" applyAlignment="1">
      <alignment horizontal="center"/>
    </xf>
    <xf numFmtId="0" fontId="0" fillId="9" borderId="20" xfId="0" applyFill="1" applyBorder="1" applyAlignment="1">
      <alignment horizontal="center"/>
    </xf>
    <xf numFmtId="20" fontId="32" fillId="2" borderId="0" xfId="0" applyNumberFormat="1" applyFont="1" applyFill="1" applyAlignment="1">
      <alignment horizontal="left"/>
    </xf>
    <xf numFmtId="20" fontId="6" fillId="0" borderId="0" xfId="0" applyNumberFormat="1" applyFont="1" applyAlignment="1">
      <alignment horizontal="left"/>
    </xf>
    <xf numFmtId="2" fontId="7" fillId="10" borderId="0" xfId="0" applyNumberFormat="1" applyFont="1" applyFill="1" applyAlignment="1">
      <alignment horizontal="left" vertical="center"/>
    </xf>
    <xf numFmtId="0" fontId="42" fillId="5" borderId="0" xfId="0" applyFont="1" applyFill="1" applyAlignment="1">
      <alignment vertical="center" wrapText="1"/>
    </xf>
    <xf numFmtId="20" fontId="42" fillId="2" borderId="0" xfId="0" quotePrefix="1" applyNumberFormat="1" applyFont="1" applyFill="1" applyAlignment="1">
      <alignment horizontal="left"/>
    </xf>
    <xf numFmtId="20" fontId="32" fillId="14" borderId="0" xfId="0" applyNumberFormat="1" applyFont="1" applyFill="1" applyAlignment="1">
      <alignment horizontal="left"/>
    </xf>
    <xf numFmtId="0" fontId="37" fillId="18" borderId="0" xfId="0" applyFont="1" applyFill="1" applyAlignment="1">
      <alignment vertical="center"/>
    </xf>
    <xf numFmtId="1" fontId="15" fillId="10" borderId="0" xfId="0" applyNumberFormat="1" applyFont="1" applyFill="1" applyAlignment="1">
      <alignment horizontal="left" vertical="center" wrapText="1"/>
    </xf>
    <xf numFmtId="0" fontId="0" fillId="11" borderId="13" xfId="0" applyFill="1" applyBorder="1" applyAlignment="1">
      <alignment horizontal="center"/>
    </xf>
    <xf numFmtId="2" fontId="0" fillId="18" borderId="0" xfId="0" applyNumberFormat="1" applyFill="1"/>
    <xf numFmtId="2" fontId="17" fillId="18" borderId="0" xfId="0" applyNumberFormat="1" applyFont="1" applyFill="1"/>
    <xf numFmtId="165" fontId="17" fillId="18" borderId="0" xfId="0" applyNumberFormat="1" applyFont="1" applyFill="1"/>
    <xf numFmtId="1" fontId="0" fillId="18" borderId="0" xfId="0" applyNumberFormat="1" applyFill="1"/>
    <xf numFmtId="0" fontId="6" fillId="11" borderId="0" xfId="0" applyFont="1" applyFill="1" applyAlignment="1">
      <alignment wrapText="1"/>
    </xf>
    <xf numFmtId="0" fontId="0" fillId="11" borderId="0" xfId="0" applyFill="1"/>
    <xf numFmtId="0" fontId="17" fillId="0" borderId="19" xfId="0" applyFont="1" applyBorder="1"/>
    <xf numFmtId="0" fontId="0" fillId="0" borderId="3" xfId="0" applyBorder="1"/>
    <xf numFmtId="167" fontId="0" fillId="0" borderId="0" xfId="0" applyNumberFormat="1"/>
    <xf numFmtId="2" fontId="15" fillId="10" borderId="0" xfId="0" applyNumberFormat="1" applyFont="1" applyFill="1" applyAlignment="1">
      <alignment horizontal="left" vertical="center"/>
    </xf>
    <xf numFmtId="0" fontId="9" fillId="2" borderId="0" xfId="0" applyFont="1" applyFill="1" applyAlignment="1">
      <alignment horizontal="left"/>
    </xf>
    <xf numFmtId="0" fontId="15" fillId="4" borderId="0" xfId="0" applyFont="1" applyFill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2" fontId="32" fillId="8" borderId="0" xfId="0" applyNumberFormat="1" applyFont="1" applyFill="1" applyAlignment="1">
      <alignment horizontal="left"/>
    </xf>
    <xf numFmtId="0" fontId="9" fillId="9" borderId="0" xfId="0" applyFont="1" applyFill="1" applyAlignment="1">
      <alignment vertical="center" wrapText="1"/>
    </xf>
    <xf numFmtId="0" fontId="7" fillId="10" borderId="0" xfId="0" applyFont="1" applyFill="1" applyAlignment="1">
      <alignment horizontal="right"/>
    </xf>
    <xf numFmtId="20" fontId="6" fillId="2" borderId="0" xfId="0" applyNumberFormat="1" applyFont="1" applyFill="1" applyAlignment="1">
      <alignment horizontal="left" vertical="center"/>
    </xf>
    <xf numFmtId="0" fontId="30" fillId="2" borderId="0" xfId="0" quotePrefix="1" applyFont="1" applyFill="1" applyAlignment="1">
      <alignment horizontal="left"/>
    </xf>
    <xf numFmtId="20" fontId="30" fillId="2" borderId="0" xfId="0" quotePrefix="1" applyNumberFormat="1" applyFont="1" applyFill="1" applyAlignment="1">
      <alignment horizontal="left"/>
    </xf>
    <xf numFmtId="164" fontId="6" fillId="11" borderId="0" xfId="0" quotePrefix="1" applyNumberFormat="1" applyFont="1" applyFill="1" applyAlignment="1">
      <alignment horizontal="left"/>
    </xf>
    <xf numFmtId="2" fontId="12" fillId="11" borderId="0" xfId="0" applyNumberFormat="1" applyFont="1" applyFill="1" applyAlignment="1">
      <alignment horizontal="center" vertical="center"/>
    </xf>
    <xf numFmtId="2" fontId="12" fillId="11" borderId="0" xfId="0" applyNumberFormat="1" applyFont="1" applyFill="1" applyAlignment="1">
      <alignment horizontal="left" vertical="center"/>
    </xf>
    <xf numFmtId="164" fontId="6" fillId="11" borderId="0" xfId="0" applyNumberFormat="1" applyFont="1" applyFill="1" applyAlignment="1">
      <alignment horizontal="left"/>
    </xf>
    <xf numFmtId="0" fontId="44" fillId="0" borderId="13" xfId="0" applyFont="1" applyBorder="1"/>
    <xf numFmtId="0" fontId="44" fillId="0" borderId="0" xfId="0" applyFont="1"/>
    <xf numFmtId="2" fontId="13" fillId="2" borderId="0" xfId="0" applyNumberFormat="1" applyFont="1" applyFill="1" applyAlignment="1">
      <alignment horizontal="right" vertical="center"/>
    </xf>
    <xf numFmtId="0" fontId="32" fillId="2" borderId="0" xfId="0" applyFont="1" applyFill="1"/>
    <xf numFmtId="0" fontId="6" fillId="18" borderId="0" xfId="0" applyFont="1" applyFill="1" applyAlignment="1">
      <alignment horizontal="left" vertical="center"/>
    </xf>
    <xf numFmtId="14" fontId="10" fillId="2" borderId="0" xfId="0" applyNumberFormat="1" applyFont="1" applyFill="1" applyAlignment="1">
      <alignment horizontal="center" vertical="center" wrapText="1"/>
    </xf>
    <xf numFmtId="0" fontId="6" fillId="21" borderId="0" xfId="0" applyFont="1" applyFill="1"/>
    <xf numFmtId="0" fontId="30" fillId="2" borderId="0" xfId="0" applyFont="1" applyFill="1"/>
    <xf numFmtId="0" fontId="30" fillId="23" borderId="0" xfId="0" applyFont="1" applyFill="1"/>
    <xf numFmtId="0" fontId="30" fillId="18" borderId="0" xfId="0" applyFont="1" applyFill="1"/>
    <xf numFmtId="2" fontId="36" fillId="10" borderId="0" xfId="0" applyNumberFormat="1" applyFont="1" applyFill="1" applyAlignment="1">
      <alignment horizontal="left" vertical="center"/>
    </xf>
    <xf numFmtId="0" fontId="6" fillId="2" borderId="0" xfId="0" applyFont="1" applyFill="1" applyAlignment="1">
      <alignment vertical="center"/>
    </xf>
    <xf numFmtId="0" fontId="6" fillId="2" borderId="0" xfId="0" applyFont="1" applyFill="1" applyAlignment="1">
      <alignment horizontal="left" vertical="center"/>
    </xf>
    <xf numFmtId="0" fontId="6" fillId="23" borderId="0" xfId="0" applyFont="1" applyFill="1" applyAlignment="1">
      <alignment horizontal="left"/>
    </xf>
    <xf numFmtId="0" fontId="6" fillId="0" borderId="0" xfId="0" applyFont="1" applyAlignment="1">
      <alignment horizontal="left"/>
    </xf>
    <xf numFmtId="1" fontId="36" fillId="7" borderId="0" xfId="0" applyNumberFormat="1" applyFont="1" applyFill="1" applyAlignment="1">
      <alignment vertical="center" wrapText="1"/>
    </xf>
    <xf numFmtId="20" fontId="9" fillId="2" borderId="0" xfId="0" applyNumberFormat="1" applyFont="1" applyFill="1" applyAlignment="1">
      <alignment horizontal="left"/>
    </xf>
    <xf numFmtId="20" fontId="30" fillId="2" borderId="0" xfId="0" applyNumberFormat="1" applyFont="1" applyFill="1" applyAlignment="1">
      <alignment horizontal="left" vertical="center"/>
    </xf>
    <xf numFmtId="0" fontId="45" fillId="9" borderId="13" xfId="0" applyFont="1" applyFill="1" applyBorder="1" applyAlignment="1">
      <alignment horizontal="center"/>
    </xf>
    <xf numFmtId="0" fontId="43" fillId="0" borderId="21" xfId="0" applyFont="1" applyBorder="1" applyAlignment="1">
      <alignment horizontal="right" vertical="center"/>
    </xf>
    <xf numFmtId="0" fontId="43" fillId="0" borderId="13" xfId="0" applyFont="1" applyBorder="1" applyAlignment="1">
      <alignment horizontal="right" vertical="center"/>
    </xf>
    <xf numFmtId="0" fontId="43" fillId="0" borderId="16" xfId="0" applyFont="1" applyBorder="1" applyAlignment="1">
      <alignment horizontal="right" vertical="center"/>
    </xf>
    <xf numFmtId="44" fontId="17" fillId="25" borderId="13" xfId="1" applyFont="1" applyFill="1" applyBorder="1"/>
    <xf numFmtId="0" fontId="43" fillId="9" borderId="13" xfId="0" applyFont="1" applyFill="1" applyBorder="1" applyAlignment="1">
      <alignment horizontal="center"/>
    </xf>
    <xf numFmtId="0" fontId="17" fillId="11" borderId="13" xfId="0" applyFont="1" applyFill="1" applyBorder="1" applyAlignment="1">
      <alignment horizontal="center"/>
    </xf>
    <xf numFmtId="0" fontId="17" fillId="9" borderId="13" xfId="0" applyFont="1" applyFill="1" applyBorder="1" applyAlignment="1">
      <alignment horizontal="center"/>
    </xf>
    <xf numFmtId="0" fontId="17" fillId="9" borderId="16" xfId="0" applyFont="1" applyFill="1" applyBorder="1" applyAlignment="1">
      <alignment horizontal="center"/>
    </xf>
    <xf numFmtId="0" fontId="17" fillId="9" borderId="14" xfId="0" applyFont="1" applyFill="1" applyBorder="1" applyAlignment="1">
      <alignment horizontal="center"/>
    </xf>
    <xf numFmtId="1" fontId="7" fillId="18" borderId="0" xfId="0" applyNumberFormat="1" applyFont="1" applyFill="1" applyAlignment="1">
      <alignment horizontal="left"/>
    </xf>
    <xf numFmtId="2" fontId="7" fillId="18" borderId="0" xfId="0" applyNumberFormat="1" applyFont="1" applyFill="1" applyAlignment="1">
      <alignment horizontal="left"/>
    </xf>
    <xf numFmtId="0" fontId="17" fillId="0" borderId="0" xfId="0" applyFont="1"/>
    <xf numFmtId="20" fontId="7" fillId="4" borderId="0" xfId="0" applyNumberFormat="1" applyFont="1" applyFill="1" applyAlignment="1">
      <alignment horizontal="left" vertical="center"/>
    </xf>
    <xf numFmtId="0" fontId="45" fillId="26" borderId="13" xfId="0" applyFont="1" applyFill="1" applyBorder="1" applyAlignment="1">
      <alignment horizontal="center"/>
    </xf>
    <xf numFmtId="0" fontId="43" fillId="26" borderId="13" xfId="0" applyFont="1" applyFill="1" applyBorder="1" applyAlignment="1">
      <alignment horizontal="center"/>
    </xf>
    <xf numFmtId="0" fontId="46" fillId="26" borderId="13" xfId="0" applyFont="1" applyFill="1" applyBorder="1" applyAlignment="1">
      <alignment horizontal="center"/>
    </xf>
    <xf numFmtId="0" fontId="47" fillId="26" borderId="13" xfId="0" applyFont="1" applyFill="1" applyBorder="1" applyAlignment="1">
      <alignment horizontal="center"/>
    </xf>
    <xf numFmtId="20" fontId="36" fillId="22" borderId="0" xfId="0" applyNumberFormat="1" applyFont="1" applyFill="1" applyAlignment="1">
      <alignment horizontal="left" vertical="center"/>
    </xf>
    <xf numFmtId="20" fontId="6" fillId="18" borderId="0" xfId="0" applyNumberFormat="1" applyFont="1" applyFill="1"/>
    <xf numFmtId="20" fontId="8" fillId="2" borderId="0" xfId="0" applyNumberFormat="1" applyFont="1" applyFill="1" applyAlignment="1">
      <alignment horizontal="left" vertical="center"/>
    </xf>
    <xf numFmtId="0" fontId="8" fillId="2" borderId="0" xfId="0" applyFont="1" applyFill="1" applyAlignment="1">
      <alignment horizontal="left"/>
    </xf>
    <xf numFmtId="0" fontId="7" fillId="7" borderId="0" xfId="0" applyFont="1" applyFill="1" applyAlignment="1">
      <alignment horizontal="left"/>
    </xf>
    <xf numFmtId="0" fontId="8" fillId="2" borderId="0" xfId="0" applyFont="1" applyFill="1"/>
    <xf numFmtId="0" fontId="8" fillId="23" borderId="0" xfId="0" applyFont="1" applyFill="1"/>
    <xf numFmtId="0" fontId="12" fillId="18" borderId="0" xfId="0" applyFont="1" applyFill="1" applyAlignment="1">
      <alignment horizontal="left"/>
    </xf>
    <xf numFmtId="2" fontId="8" fillId="18" borderId="0" xfId="0" applyNumberFormat="1" applyFont="1" applyFill="1" applyAlignment="1">
      <alignment horizontal="left"/>
    </xf>
    <xf numFmtId="0" fontId="8" fillId="18" borderId="0" xfId="0" applyFont="1" applyFill="1"/>
    <xf numFmtId="0" fontId="37" fillId="13" borderId="0" xfId="0" applyFont="1" applyFill="1" applyAlignment="1">
      <alignment vertical="center" wrapText="1"/>
    </xf>
    <xf numFmtId="18" fontId="6" fillId="18" borderId="0" xfId="0" applyNumberFormat="1" applyFont="1" applyFill="1"/>
    <xf numFmtId="0" fontId="9" fillId="27" borderId="0" xfId="0" applyFont="1" applyFill="1" applyAlignment="1">
      <alignment vertical="center" wrapText="1"/>
    </xf>
    <xf numFmtId="0" fontId="32" fillId="5" borderId="0" xfId="0" applyFont="1" applyFill="1" applyAlignment="1">
      <alignment vertical="center" wrapText="1"/>
    </xf>
    <xf numFmtId="20" fontId="6" fillId="2" borderId="0" xfId="0" applyNumberFormat="1" applyFont="1" applyFill="1" applyAlignment="1">
      <alignment horizontal="left" vertical="top"/>
    </xf>
    <xf numFmtId="2" fontId="36" fillId="28" borderId="0" xfId="0" applyNumberFormat="1" applyFont="1" applyFill="1" applyAlignment="1">
      <alignment horizontal="left" vertical="center"/>
    </xf>
    <xf numFmtId="0" fontId="37" fillId="0" borderId="0" xfId="0" applyFont="1" applyAlignment="1">
      <alignment horizontal="right"/>
    </xf>
    <xf numFmtId="0" fontId="39" fillId="0" borderId="0" xfId="0" applyFont="1" applyAlignment="1">
      <alignment horizontal="left" vertical="center"/>
    </xf>
    <xf numFmtId="0" fontId="37" fillId="0" borderId="0" xfId="0" applyFont="1" applyAlignment="1">
      <alignment horizontal="left" vertical="center"/>
    </xf>
    <xf numFmtId="0" fontId="36" fillId="0" borderId="0" xfId="0" applyFont="1" applyAlignment="1">
      <alignment horizontal="left" vertical="center"/>
    </xf>
    <xf numFmtId="0" fontId="36" fillId="0" borderId="0" xfId="0" applyFont="1" applyAlignment="1">
      <alignment vertical="center"/>
    </xf>
    <xf numFmtId="1" fontId="36" fillId="0" borderId="0" xfId="0" applyNumberFormat="1" applyFont="1" applyAlignment="1">
      <alignment horizontal="left" vertical="center"/>
    </xf>
    <xf numFmtId="0" fontId="9" fillId="11" borderId="0" xfId="0" applyFont="1" applyFill="1" applyAlignment="1">
      <alignment vertical="center" wrapText="1"/>
    </xf>
    <xf numFmtId="0" fontId="8" fillId="11" borderId="0" xfId="0" applyFont="1" applyFill="1" applyAlignment="1">
      <alignment vertical="center" wrapText="1"/>
    </xf>
    <xf numFmtId="0" fontId="0" fillId="2" borderId="0" xfId="0" applyFill="1" applyAlignment="1">
      <alignment wrapText="1"/>
    </xf>
    <xf numFmtId="0" fontId="0" fillId="2" borderId="0" xfId="0" applyFill="1" applyAlignment="1">
      <alignment horizontal="left" wrapText="1"/>
    </xf>
    <xf numFmtId="0" fontId="0" fillId="0" borderId="0" xfId="0" applyAlignment="1">
      <alignment wrapText="1"/>
    </xf>
    <xf numFmtId="0" fontId="0" fillId="2" borderId="0" xfId="0" applyFill="1" applyAlignment="1">
      <alignment horizontal="center"/>
    </xf>
    <xf numFmtId="164" fontId="6" fillId="2" borderId="0" xfId="0" applyNumberFormat="1" applyFont="1" applyFill="1" applyAlignment="1">
      <alignment horizontal="center"/>
    </xf>
    <xf numFmtId="0" fontId="7" fillId="10" borderId="0" xfId="0" quotePrefix="1" applyFont="1" applyFill="1" applyAlignment="1">
      <alignment horizontal="center"/>
    </xf>
    <xf numFmtId="0" fontId="7" fillId="10" borderId="3" xfId="0" quotePrefix="1" applyFont="1" applyFill="1" applyBorder="1" applyAlignment="1">
      <alignment horizontal="center"/>
    </xf>
    <xf numFmtId="164" fontId="6" fillId="2" borderId="0" xfId="0" quotePrefix="1" applyNumberFormat="1" applyFont="1" applyFill="1" applyAlignment="1">
      <alignment horizontal="center"/>
    </xf>
    <xf numFmtId="164" fontId="6" fillId="11" borderId="0" xfId="0" quotePrefix="1" applyNumberFormat="1" applyFont="1" applyFill="1" applyAlignment="1">
      <alignment horizontal="center"/>
    </xf>
    <xf numFmtId="164" fontId="6" fillId="11" borderId="0" xfId="0" applyNumberFormat="1" applyFont="1" applyFill="1" applyAlignment="1">
      <alignment horizontal="center"/>
    </xf>
    <xf numFmtId="0" fontId="7" fillId="10" borderId="0" xfId="0" applyFont="1" applyFill="1" applyAlignment="1">
      <alignment horizontal="center"/>
    </xf>
    <xf numFmtId="0" fontId="7" fillId="10" borderId="3" xfId="0" applyFont="1" applyFill="1" applyBorder="1" applyAlignment="1">
      <alignment horizontal="center"/>
    </xf>
    <xf numFmtId="0" fontId="15" fillId="11" borderId="0" xfId="0" quotePrefix="1" applyFont="1" applyFill="1" applyAlignment="1">
      <alignment vertical="center" wrapText="1"/>
    </xf>
    <xf numFmtId="0" fontId="15" fillId="11" borderId="0" xfId="0" quotePrefix="1" applyFont="1" applyFill="1" applyAlignment="1">
      <alignment horizontal="center" vertical="center" wrapText="1"/>
    </xf>
    <xf numFmtId="0" fontId="6" fillId="0" borderId="13" xfId="0" applyFont="1" applyBorder="1" applyAlignment="1">
      <alignment wrapText="1"/>
    </xf>
    <xf numFmtId="44" fontId="6" fillId="2" borderId="0" xfId="1" applyFont="1" applyFill="1"/>
    <xf numFmtId="20" fontId="7" fillId="2" borderId="0" xfId="0" applyNumberFormat="1" applyFont="1" applyFill="1" applyAlignment="1">
      <alignment horizontal="left"/>
    </xf>
    <xf numFmtId="0" fontId="6" fillId="11" borderId="0" xfId="0" applyFont="1" applyFill="1" applyAlignment="1">
      <alignment vertical="center" wrapText="1"/>
    </xf>
    <xf numFmtId="0" fontId="7" fillId="14" borderId="0" xfId="0" applyFont="1" applyFill="1" applyAlignment="1">
      <alignment horizontal="left" vertical="center"/>
    </xf>
    <xf numFmtId="0" fontId="7" fillId="10" borderId="0" xfId="0" applyFont="1" applyFill="1" applyAlignment="1">
      <alignment horizontal="left" vertical="center" wrapText="1"/>
    </xf>
    <xf numFmtId="0" fontId="9" fillId="29" borderId="0" xfId="0" applyFont="1" applyFill="1" applyAlignment="1">
      <alignment vertical="center" wrapText="1"/>
    </xf>
    <xf numFmtId="49" fontId="6" fillId="2" borderId="0" xfId="0" applyNumberFormat="1" applyFont="1" applyFill="1" applyAlignment="1">
      <alignment horizontal="left"/>
    </xf>
    <xf numFmtId="0" fontId="6" fillId="2" borderId="0" xfId="0" applyFont="1" applyFill="1" applyAlignment="1">
      <alignment wrapText="1"/>
    </xf>
    <xf numFmtId="20" fontId="6" fillId="12" borderId="0" xfId="0" applyNumberFormat="1" applyFont="1" applyFill="1" applyAlignment="1">
      <alignment horizontal="left"/>
    </xf>
    <xf numFmtId="0" fontId="7" fillId="12" borderId="0" xfId="0" applyFont="1" applyFill="1" applyAlignment="1">
      <alignment horizontal="left" vertical="center"/>
    </xf>
    <xf numFmtId="1" fontId="7" fillId="10" borderId="0" xfId="0" applyNumberFormat="1" applyFont="1" applyFill="1" applyAlignment="1">
      <alignment horizontal="left" vertical="center" wrapText="1"/>
    </xf>
    <xf numFmtId="1" fontId="7" fillId="24" borderId="0" xfId="0" applyNumberFormat="1" applyFont="1" applyFill="1" applyAlignment="1">
      <alignment horizontal="left" vertical="center"/>
    </xf>
    <xf numFmtId="0" fontId="6" fillId="12" borderId="0" xfId="0" applyFont="1" applyFill="1" applyAlignment="1">
      <alignment horizontal="left"/>
    </xf>
    <xf numFmtId="0" fontId="9" fillId="11" borderId="0" xfId="0" applyFont="1" applyFill="1" applyAlignment="1">
      <alignment vertical="center"/>
    </xf>
    <xf numFmtId="0" fontId="7" fillId="5" borderId="0" xfId="0" applyFont="1" applyFill="1" applyAlignment="1">
      <alignment vertical="center" wrapText="1"/>
    </xf>
    <xf numFmtId="49" fontId="6" fillId="12" borderId="0" xfId="0" applyNumberFormat="1" applyFont="1" applyFill="1" applyAlignment="1">
      <alignment horizontal="left"/>
    </xf>
    <xf numFmtId="20" fontId="6" fillId="29" borderId="0" xfId="0" applyNumberFormat="1" applyFont="1" applyFill="1" applyAlignment="1">
      <alignment horizontal="left"/>
    </xf>
    <xf numFmtId="49" fontId="6" fillId="29" borderId="0" xfId="0" applyNumberFormat="1" applyFont="1" applyFill="1" applyAlignment="1">
      <alignment horizontal="left"/>
    </xf>
    <xf numFmtId="0" fontId="7" fillId="29" borderId="0" xfId="0" applyFont="1" applyFill="1" applyAlignment="1">
      <alignment horizontal="left" vertical="center"/>
    </xf>
    <xf numFmtId="0" fontId="6" fillId="29" borderId="0" xfId="0" applyFont="1" applyFill="1" applyAlignment="1">
      <alignment horizontal="left"/>
    </xf>
    <xf numFmtId="49" fontId="6" fillId="0" borderId="0" xfId="0" applyNumberFormat="1" applyFont="1" applyAlignment="1">
      <alignment horizontal="left"/>
    </xf>
    <xf numFmtId="0" fontId="7" fillId="11" borderId="0" xfId="0" applyFont="1" applyFill="1" applyAlignment="1">
      <alignment horizontal="left" vertical="center"/>
    </xf>
    <xf numFmtId="0" fontId="6" fillId="18" borderId="0" xfId="0" applyFont="1" applyFill="1" applyAlignment="1">
      <alignment vertical="center" wrapText="1"/>
    </xf>
    <xf numFmtId="0" fontId="9" fillId="18" borderId="0" xfId="0" applyFont="1" applyFill="1" applyAlignment="1">
      <alignment vertical="center"/>
    </xf>
    <xf numFmtId="0" fontId="6" fillId="17" borderId="0" xfId="0" applyFont="1" applyFill="1" applyAlignment="1">
      <alignment vertical="center" wrapText="1"/>
    </xf>
    <xf numFmtId="0" fontId="6" fillId="30" borderId="0" xfId="0" applyFont="1" applyFill="1" applyAlignment="1">
      <alignment vertical="center" wrapText="1"/>
    </xf>
    <xf numFmtId="0" fontId="7" fillId="18" borderId="0" xfId="0" applyFont="1" applyFill="1" applyAlignment="1">
      <alignment vertical="center" wrapText="1"/>
    </xf>
    <xf numFmtId="0" fontId="48" fillId="18" borderId="0" xfId="0" applyFont="1" applyFill="1" applyAlignment="1">
      <alignment vertical="center" wrapText="1"/>
    </xf>
    <xf numFmtId="20" fontId="6" fillId="13" borderId="0" xfId="0" applyNumberFormat="1" applyFont="1" applyFill="1" applyAlignment="1">
      <alignment horizontal="left"/>
    </xf>
    <xf numFmtId="0" fontId="7" fillId="13" borderId="0" xfId="0" applyFont="1" applyFill="1" applyAlignment="1">
      <alignment horizontal="left" vertical="center"/>
    </xf>
    <xf numFmtId="0" fontId="37" fillId="12" borderId="0" xfId="0" applyFont="1" applyFill="1"/>
    <xf numFmtId="2" fontId="36" fillId="12" borderId="0" xfId="0" applyNumberFormat="1" applyFont="1" applyFill="1" applyAlignment="1">
      <alignment horizontal="left" vertical="center"/>
    </xf>
    <xf numFmtId="0" fontId="36" fillId="12" borderId="0" xfId="0" applyFont="1" applyFill="1" applyAlignment="1">
      <alignment horizontal="left" vertical="center"/>
    </xf>
    <xf numFmtId="0" fontId="36" fillId="12" borderId="0" xfId="0" applyFont="1" applyFill="1" applyAlignment="1">
      <alignment vertical="center" wrapText="1"/>
    </xf>
    <xf numFmtId="0" fontId="36" fillId="12" borderId="0" xfId="0" applyFont="1" applyFill="1" applyAlignment="1">
      <alignment horizontal="left" vertical="center" wrapText="1"/>
    </xf>
    <xf numFmtId="0" fontId="37" fillId="12" borderId="0" xfId="0" applyFont="1" applyFill="1" applyAlignment="1">
      <alignment horizontal="left"/>
    </xf>
    <xf numFmtId="2" fontId="37" fillId="12" borderId="0" xfId="0" applyNumberFormat="1" applyFont="1" applyFill="1" applyAlignment="1">
      <alignment horizontal="left"/>
    </xf>
    <xf numFmtId="1" fontId="36" fillId="12" borderId="0" xfId="0" applyNumberFormat="1" applyFont="1" applyFill="1" applyAlignment="1">
      <alignment horizontal="left" vertical="center" wrapText="1"/>
    </xf>
    <xf numFmtId="1" fontId="36" fillId="12" borderId="0" xfId="0" applyNumberFormat="1" applyFont="1" applyFill="1" applyAlignment="1">
      <alignment horizontal="left" vertical="center"/>
    </xf>
    <xf numFmtId="20" fontId="37" fillId="12" borderId="0" xfId="0" applyNumberFormat="1" applyFont="1" applyFill="1" applyAlignment="1">
      <alignment horizontal="left"/>
    </xf>
    <xf numFmtId="0" fontId="36" fillId="6" borderId="0" xfId="0" applyFont="1" applyFill="1" applyAlignment="1">
      <alignment vertical="center" wrapText="1"/>
    </xf>
    <xf numFmtId="0" fontId="36" fillId="6" borderId="0" xfId="0" applyFont="1" applyFill="1" applyAlignment="1">
      <alignment horizontal="left" vertical="center" wrapText="1"/>
    </xf>
    <xf numFmtId="0" fontId="36" fillId="6" borderId="0" xfId="0" applyFont="1" applyFill="1" applyAlignment="1">
      <alignment horizontal="left" vertical="center"/>
    </xf>
    <xf numFmtId="2" fontId="36" fillId="6" borderId="0" xfId="0" applyNumberFormat="1" applyFont="1" applyFill="1" applyAlignment="1">
      <alignment horizontal="left" vertical="center"/>
    </xf>
    <xf numFmtId="0" fontId="37" fillId="6" borderId="0" xfId="0" applyFont="1" applyFill="1" applyAlignment="1">
      <alignment horizontal="left"/>
    </xf>
    <xf numFmtId="0" fontId="15" fillId="6" borderId="0" xfId="0" applyFont="1" applyFill="1" applyAlignment="1">
      <alignment vertical="center" wrapText="1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/>
    </xf>
    <xf numFmtId="0" fontId="8" fillId="0" borderId="0" xfId="0" applyFont="1"/>
    <xf numFmtId="0" fontId="13" fillId="6" borderId="0" xfId="0" applyFont="1" applyFill="1" applyAlignment="1">
      <alignment horizontal="left" vertical="center" wrapText="1"/>
    </xf>
    <xf numFmtId="16" fontId="0" fillId="0" borderId="0" xfId="0" applyNumberFormat="1"/>
    <xf numFmtId="2" fontId="0" fillId="0" borderId="0" xfId="0" applyNumberFormat="1"/>
    <xf numFmtId="0" fontId="17" fillId="31" borderId="0" xfId="0" applyFont="1" applyFill="1"/>
    <xf numFmtId="167" fontId="17" fillId="31" borderId="0" xfId="0" applyNumberFormat="1" applyFont="1" applyFill="1"/>
    <xf numFmtId="0" fontId="49" fillId="0" borderId="0" xfId="0" applyFont="1"/>
    <xf numFmtId="167" fontId="49" fillId="0" borderId="0" xfId="0" applyNumberFormat="1" applyFont="1"/>
    <xf numFmtId="2" fontId="50" fillId="0" borderId="0" xfId="0" applyNumberFormat="1" applyFont="1"/>
    <xf numFmtId="2" fontId="38" fillId="12" borderId="0" xfId="0" applyNumberFormat="1" applyFont="1" applyFill="1"/>
    <xf numFmtId="0" fontId="13" fillId="2" borderId="0" xfId="0" applyFont="1" applyFill="1" applyAlignment="1">
      <alignment horizontal="left" vertical="center"/>
    </xf>
    <xf numFmtId="0" fontId="36" fillId="12" borderId="0" xfId="0" applyFont="1" applyFill="1" applyAlignment="1">
      <alignment horizontal="left"/>
    </xf>
    <xf numFmtId="0" fontId="36" fillId="32" borderId="0" xfId="0" applyFont="1" applyFill="1" applyAlignment="1">
      <alignment horizontal="left" vertical="center"/>
    </xf>
    <xf numFmtId="0" fontId="36" fillId="32" borderId="0" xfId="0" applyFont="1" applyFill="1" applyAlignment="1">
      <alignment horizontal="right"/>
    </xf>
    <xf numFmtId="0" fontId="37" fillId="32" borderId="0" xfId="0" applyFont="1" applyFill="1" applyAlignment="1">
      <alignment horizontal="left" vertical="center"/>
    </xf>
    <xf numFmtId="0" fontId="36" fillId="32" borderId="0" xfId="0" applyFont="1" applyFill="1" applyAlignment="1">
      <alignment vertical="center"/>
    </xf>
    <xf numFmtId="1" fontId="36" fillId="32" borderId="0" xfId="0" applyNumberFormat="1" applyFont="1" applyFill="1" applyAlignment="1">
      <alignment horizontal="left" vertical="center"/>
    </xf>
    <xf numFmtId="0" fontId="37" fillId="32" borderId="0" xfId="0" applyFont="1" applyFill="1" applyAlignment="1">
      <alignment horizontal="right"/>
    </xf>
    <xf numFmtId="0" fontId="39" fillId="32" borderId="0" xfId="0" applyFont="1" applyFill="1" applyAlignment="1">
      <alignment horizontal="left" vertical="center"/>
    </xf>
    <xf numFmtId="0" fontId="6" fillId="26" borderId="0" xfId="0" applyFont="1" applyFill="1" applyAlignment="1">
      <alignment vertical="center" wrapText="1"/>
    </xf>
    <xf numFmtId="0" fontId="6" fillId="0" borderId="0" xfId="0" applyFont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12" fillId="18" borderId="0" xfId="0" applyFont="1" applyFill="1" applyAlignment="1">
      <alignment vertical="center" wrapText="1"/>
    </xf>
    <xf numFmtId="167" fontId="6" fillId="18" borderId="0" xfId="0" applyNumberFormat="1" applyFont="1" applyFill="1"/>
    <xf numFmtId="167" fontId="8" fillId="18" borderId="0" xfId="0" applyNumberFormat="1" applyFont="1" applyFill="1"/>
    <xf numFmtId="167" fontId="6" fillId="18" borderId="3" xfId="0" applyNumberFormat="1" applyFont="1" applyFill="1" applyBorder="1"/>
    <xf numFmtId="164" fontId="6" fillId="2" borderId="0" xfId="0" applyNumberFormat="1" applyFont="1" applyFill="1" applyAlignment="1">
      <alignment horizontal="left" vertical="center"/>
    </xf>
    <xf numFmtId="164" fontId="6" fillId="2" borderId="0" xfId="0" quotePrefix="1" applyNumberFormat="1" applyFont="1" applyFill="1" applyAlignment="1">
      <alignment horizontal="left" vertical="center"/>
    </xf>
    <xf numFmtId="20" fontId="6" fillId="8" borderId="0" xfId="0" applyNumberFormat="1" applyFont="1" applyFill="1" applyAlignment="1">
      <alignment horizontal="left"/>
    </xf>
    <xf numFmtId="0" fontId="6" fillId="8" borderId="0" xfId="0" applyFont="1" applyFill="1" applyAlignment="1">
      <alignment vertical="center" wrapText="1"/>
    </xf>
    <xf numFmtId="0" fontId="9" fillId="8" borderId="0" xfId="0" applyFont="1" applyFill="1" applyAlignment="1">
      <alignment vertical="center" wrapText="1"/>
    </xf>
    <xf numFmtId="0" fontId="9" fillId="8" borderId="0" xfId="0" applyFont="1" applyFill="1" applyAlignment="1">
      <alignment vertical="center"/>
    </xf>
    <xf numFmtId="20" fontId="6" fillId="30" borderId="0" xfId="0" applyNumberFormat="1" applyFont="1" applyFill="1" applyAlignment="1">
      <alignment horizontal="left"/>
    </xf>
    <xf numFmtId="0" fontId="7" fillId="30" borderId="0" xfId="0" applyFont="1" applyFill="1" applyAlignment="1">
      <alignment horizontal="left" vertical="center"/>
    </xf>
    <xf numFmtId="0" fontId="6" fillId="30" borderId="0" xfId="0" applyFont="1" applyFill="1" applyAlignment="1">
      <alignment horizontal="left"/>
    </xf>
    <xf numFmtId="0" fontId="9" fillId="2" borderId="0" xfId="0" applyFont="1" applyFill="1" applyAlignment="1">
      <alignment vertical="center" wrapText="1"/>
    </xf>
    <xf numFmtId="0" fontId="6" fillId="2" borderId="0" xfId="0" applyFont="1" applyFill="1" applyAlignment="1">
      <alignment vertical="center" wrapText="1"/>
    </xf>
    <xf numFmtId="0" fontId="9" fillId="2" borderId="0" xfId="0" applyFont="1" applyFill="1" applyAlignment="1">
      <alignment vertical="center"/>
    </xf>
    <xf numFmtId="0" fontId="12" fillId="33" borderId="0" xfId="0" applyFont="1" applyFill="1" applyAlignment="1">
      <alignment horizontal="left" vertical="center"/>
    </xf>
    <xf numFmtId="0" fontId="39" fillId="33" borderId="0" xfId="0" applyFont="1" applyFill="1" applyAlignment="1">
      <alignment horizontal="left" vertical="center"/>
    </xf>
    <xf numFmtId="0" fontId="15" fillId="2" borderId="0" xfId="0" applyFont="1" applyFill="1" applyAlignment="1">
      <alignment vertical="center" wrapText="1"/>
    </xf>
    <xf numFmtId="0" fontId="7" fillId="2" borderId="0" xfId="0" applyFont="1" applyFill="1" applyAlignment="1">
      <alignment vertical="center" wrapText="1"/>
    </xf>
    <xf numFmtId="0" fontId="7" fillId="34" borderId="0" xfId="0" applyFont="1" applyFill="1" applyAlignment="1">
      <alignment vertical="center" wrapText="1"/>
    </xf>
    <xf numFmtId="0" fontId="6" fillId="34" borderId="0" xfId="0" applyFont="1" applyFill="1" applyAlignment="1">
      <alignment vertical="center" wrapText="1"/>
    </xf>
    <xf numFmtId="20" fontId="37" fillId="2" borderId="0" xfId="0" applyNumberFormat="1" applyFont="1" applyFill="1" applyAlignment="1">
      <alignment horizontal="center"/>
    </xf>
    <xf numFmtId="20" fontId="6" fillId="34" borderId="0" xfId="0" applyNumberFormat="1" applyFont="1" applyFill="1" applyAlignment="1">
      <alignment horizontal="left"/>
    </xf>
    <xf numFmtId="49" fontId="6" fillId="34" borderId="0" xfId="0" applyNumberFormat="1" applyFont="1" applyFill="1" applyAlignment="1">
      <alignment horizontal="left"/>
    </xf>
    <xf numFmtId="0" fontId="7" fillId="35" borderId="0" xfId="0" applyFont="1" applyFill="1" applyAlignment="1">
      <alignment horizontal="left" vertical="center"/>
    </xf>
    <xf numFmtId="20" fontId="37" fillId="12" borderId="0" xfId="0" quotePrefix="1" applyNumberFormat="1" applyFont="1" applyFill="1" applyAlignment="1">
      <alignment horizontal="left"/>
    </xf>
    <xf numFmtId="0" fontId="6" fillId="0" borderId="0" xfId="0" applyFont="1" applyAlignment="1">
      <alignment horizontal="left" vertical="top"/>
    </xf>
    <xf numFmtId="20" fontId="51" fillId="2" borderId="0" xfId="0" applyNumberFormat="1" applyFont="1" applyFill="1" applyAlignment="1">
      <alignment horizontal="left"/>
    </xf>
    <xf numFmtId="0" fontId="52" fillId="24" borderId="0" xfId="0" applyFont="1" applyFill="1" applyAlignment="1">
      <alignment horizontal="left" vertical="center"/>
    </xf>
    <xf numFmtId="0" fontId="51" fillId="2" borderId="0" xfId="0" applyFont="1" applyFill="1" applyAlignment="1">
      <alignment horizontal="left"/>
    </xf>
    <xf numFmtId="49" fontId="51" fillId="2" borderId="0" xfId="0" applyNumberFormat="1" applyFont="1" applyFill="1" applyAlignment="1">
      <alignment horizontal="left"/>
    </xf>
    <xf numFmtId="0" fontId="6" fillId="4" borderId="0" xfId="0" applyFont="1" applyFill="1" applyAlignment="1">
      <alignment horizontal="left" vertical="center"/>
    </xf>
    <xf numFmtId="2" fontId="39" fillId="22" borderId="0" xfId="0" applyNumberFormat="1" applyFont="1" applyFill="1" applyAlignment="1">
      <alignment horizontal="left" vertical="center"/>
    </xf>
    <xf numFmtId="16" fontId="6" fillId="2" borderId="0" xfId="0" applyNumberFormat="1" applyFont="1" applyFill="1" applyAlignment="1">
      <alignment horizontal="left"/>
    </xf>
    <xf numFmtId="0" fontId="41" fillId="4" borderId="0" xfId="0" applyFont="1" applyFill="1" applyAlignment="1">
      <alignment horizontal="left" vertical="center"/>
    </xf>
    <xf numFmtId="20" fontId="6" fillId="4" borderId="0" xfId="0" applyNumberFormat="1" applyFont="1" applyFill="1" applyAlignment="1">
      <alignment horizontal="left" vertical="center"/>
    </xf>
    <xf numFmtId="0" fontId="9" fillId="5" borderId="14" xfId="0" applyFont="1" applyFill="1" applyBorder="1" applyAlignment="1">
      <alignment vertical="center" wrapText="1"/>
    </xf>
    <xf numFmtId="0" fontId="6" fillId="11" borderId="14" xfId="0" applyFont="1" applyFill="1" applyBorder="1" applyAlignment="1">
      <alignment wrapText="1"/>
    </xf>
    <xf numFmtId="164" fontId="6" fillId="2" borderId="14" xfId="0" applyNumberFormat="1" applyFont="1" applyFill="1" applyBorder="1" applyAlignment="1">
      <alignment horizontal="left"/>
    </xf>
    <xf numFmtId="2" fontId="12" fillId="4" borderId="14" xfId="0" applyNumberFormat="1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left" vertical="center"/>
    </xf>
    <xf numFmtId="2" fontId="12" fillId="4" borderId="14" xfId="0" applyNumberFormat="1" applyFont="1" applyFill="1" applyBorder="1" applyAlignment="1">
      <alignment horizontal="left" vertical="center"/>
    </xf>
    <xf numFmtId="164" fontId="6" fillId="2" borderId="14" xfId="0" applyNumberFormat="1" applyFont="1" applyFill="1" applyBorder="1" applyAlignment="1">
      <alignment horizontal="center"/>
    </xf>
    <xf numFmtId="0" fontId="6" fillId="0" borderId="14" xfId="0" applyFont="1" applyBorder="1"/>
    <xf numFmtId="0" fontId="15" fillId="11" borderId="14" xfId="0" applyFont="1" applyFill="1" applyBorder="1" applyAlignment="1">
      <alignment vertical="center" wrapText="1"/>
    </xf>
    <xf numFmtId="0" fontId="0" fillId="0" borderId="14" xfId="0" applyBorder="1" applyAlignment="1">
      <alignment horizontal="left"/>
    </xf>
    <xf numFmtId="0" fontId="12" fillId="36" borderId="0" xfId="0" applyFont="1" applyFill="1" applyAlignment="1">
      <alignment horizontal="left" vertical="center"/>
    </xf>
    <xf numFmtId="0" fontId="9" fillId="19" borderId="0" xfId="0" applyFont="1" applyFill="1" applyAlignment="1">
      <alignment horizontal="left" vertical="center" wrapText="1"/>
    </xf>
    <xf numFmtId="0" fontId="6" fillId="0" borderId="13" xfId="0" applyFont="1" applyBorder="1" applyAlignment="1">
      <alignment horizontal="left"/>
    </xf>
    <xf numFmtId="0" fontId="6" fillId="11" borderId="13" xfId="0" applyFont="1" applyFill="1" applyBorder="1" applyAlignment="1">
      <alignment wrapText="1"/>
    </xf>
    <xf numFmtId="164" fontId="6" fillId="2" borderId="13" xfId="0" applyNumberFormat="1" applyFont="1" applyFill="1" applyBorder="1" applyAlignment="1">
      <alignment horizontal="left"/>
    </xf>
    <xf numFmtId="0" fontId="9" fillId="5" borderId="13" xfId="0" applyFont="1" applyFill="1" applyBorder="1" applyAlignment="1">
      <alignment vertical="center" wrapText="1"/>
    </xf>
    <xf numFmtId="0" fontId="6" fillId="0" borderId="13" xfId="0" applyFont="1" applyBorder="1"/>
    <xf numFmtId="0" fontId="15" fillId="11" borderId="13" xfId="0" applyFont="1" applyFill="1" applyBorder="1" applyAlignment="1">
      <alignment vertical="center" wrapText="1"/>
    </xf>
    <xf numFmtId="20" fontId="36" fillId="7" borderId="0" xfId="0" applyNumberFormat="1" applyFont="1" applyFill="1" applyAlignment="1">
      <alignment horizontal="left"/>
    </xf>
    <xf numFmtId="20" fontId="6" fillId="11" borderId="0" xfId="0" applyNumberFormat="1" applyFont="1" applyFill="1" applyAlignment="1">
      <alignment horizontal="left"/>
    </xf>
    <xf numFmtId="49" fontId="6" fillId="11" borderId="0" xfId="0" applyNumberFormat="1" applyFont="1" applyFill="1" applyAlignment="1">
      <alignment horizontal="left"/>
    </xf>
    <xf numFmtId="0" fontId="53" fillId="24" borderId="0" xfId="0" applyFont="1" applyFill="1" applyAlignment="1">
      <alignment horizontal="left" vertical="center"/>
    </xf>
    <xf numFmtId="0" fontId="6" fillId="37" borderId="0" xfId="0" applyFont="1" applyFill="1" applyAlignment="1">
      <alignment vertical="center" wrapText="1"/>
    </xf>
    <xf numFmtId="20" fontId="7" fillId="37" borderId="0" xfId="0" applyNumberFormat="1" applyFont="1" applyFill="1" applyAlignment="1">
      <alignment horizontal="left" vertical="center"/>
    </xf>
    <xf numFmtId="0" fontId="7" fillId="37" borderId="0" xfId="0" applyFont="1" applyFill="1" applyAlignment="1">
      <alignment horizontal="left" vertical="center"/>
    </xf>
    <xf numFmtId="20" fontId="6" fillId="37" borderId="0" xfId="0" applyNumberFormat="1" applyFont="1" applyFill="1" applyAlignment="1">
      <alignment horizontal="left" vertical="center"/>
    </xf>
    <xf numFmtId="2" fontId="12" fillId="4" borderId="13" xfId="0" applyNumberFormat="1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left" vertical="center"/>
    </xf>
    <xf numFmtId="2" fontId="12" fillId="4" borderId="13" xfId="0" applyNumberFormat="1" applyFont="1" applyFill="1" applyBorder="1" applyAlignment="1">
      <alignment horizontal="left" vertical="center"/>
    </xf>
    <xf numFmtId="164" fontId="6" fillId="2" borderId="13" xfId="0" applyNumberFormat="1" applyFont="1" applyFill="1" applyBorder="1" applyAlignment="1">
      <alignment horizontal="center"/>
    </xf>
    <xf numFmtId="0" fontId="6" fillId="11" borderId="19" xfId="0" applyFont="1" applyFill="1" applyBorder="1" applyAlignment="1">
      <alignment wrapText="1"/>
    </xf>
    <xf numFmtId="0" fontId="15" fillId="11" borderId="19" xfId="0" applyFont="1" applyFill="1" applyBorder="1" applyAlignment="1">
      <alignment vertical="center" wrapText="1"/>
    </xf>
    <xf numFmtId="0" fontId="7" fillId="10" borderId="13" xfId="0" applyFont="1" applyFill="1" applyBorder="1"/>
    <xf numFmtId="0" fontId="7" fillId="10" borderId="13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/>
    </xf>
    <xf numFmtId="0" fontId="37" fillId="38" borderId="0" xfId="0" applyFont="1" applyFill="1" applyAlignment="1">
      <alignment horizontal="left" vertical="center"/>
    </xf>
    <xf numFmtId="49" fontId="7" fillId="24" borderId="0" xfId="0" applyNumberFormat="1" applyFont="1" applyFill="1" applyAlignment="1">
      <alignment horizontal="left" vertical="center"/>
    </xf>
    <xf numFmtId="0" fontId="9" fillId="8" borderId="13" xfId="0" applyFont="1" applyFill="1" applyBorder="1" applyAlignment="1">
      <alignment vertical="center" wrapText="1"/>
    </xf>
    <xf numFmtId="0" fontId="13" fillId="2" borderId="0" xfId="0" applyFont="1" applyFill="1"/>
    <xf numFmtId="0" fontId="6" fillId="11" borderId="0" xfId="0" applyFont="1" applyFill="1"/>
    <xf numFmtId="0" fontId="6" fillId="19" borderId="0" xfId="0" applyFont="1" applyFill="1" applyAlignment="1">
      <alignment vertical="center" wrapText="1"/>
    </xf>
    <xf numFmtId="20" fontId="9" fillId="2" borderId="0" xfId="0" applyNumberFormat="1" applyFont="1" applyFill="1" applyAlignment="1">
      <alignment horizontal="center"/>
    </xf>
    <xf numFmtId="20" fontId="7" fillId="11" borderId="0" xfId="0" applyNumberFormat="1" applyFont="1" applyFill="1" applyAlignment="1">
      <alignment horizontal="left" vertical="center"/>
    </xf>
    <xf numFmtId="49" fontId="6" fillId="39" borderId="0" xfId="0" applyNumberFormat="1" applyFont="1" applyFill="1" applyAlignment="1">
      <alignment horizontal="left"/>
    </xf>
    <xf numFmtId="49" fontId="6" fillId="37" borderId="0" xfId="0" applyNumberFormat="1" applyFont="1" applyFill="1" applyAlignment="1">
      <alignment horizontal="left"/>
    </xf>
    <xf numFmtId="20" fontId="6" fillId="11" borderId="0" xfId="0" applyNumberFormat="1" applyFont="1" applyFill="1" applyAlignment="1">
      <alignment horizontal="left" vertical="center"/>
    </xf>
    <xf numFmtId="0" fontId="6" fillId="11" borderId="0" xfId="0" applyFont="1" applyFill="1" applyAlignment="1">
      <alignment horizontal="left" vertical="center"/>
    </xf>
    <xf numFmtId="20" fontId="7" fillId="11" borderId="0" xfId="0" applyNumberFormat="1" applyFont="1" applyFill="1" applyAlignment="1">
      <alignment horizontal="left"/>
    </xf>
    <xf numFmtId="0" fontId="7" fillId="2" borderId="0" xfId="0" applyFont="1" applyFill="1"/>
    <xf numFmtId="0" fontId="7" fillId="23" borderId="0" xfId="0" applyFont="1" applyFill="1"/>
    <xf numFmtId="0" fontId="7" fillId="0" borderId="0" xfId="0" applyFont="1"/>
    <xf numFmtId="0" fontId="12" fillId="2" borderId="0" xfId="0" applyFont="1" applyFill="1" applyAlignment="1">
      <alignment vertical="center" wrapText="1"/>
    </xf>
    <xf numFmtId="0" fontId="15" fillId="19" borderId="0" xfId="0" applyFont="1" applyFill="1" applyAlignment="1">
      <alignment vertical="center" wrapText="1"/>
    </xf>
    <xf numFmtId="0" fontId="15" fillId="2" borderId="0" xfId="0" applyFont="1" applyFill="1" applyAlignment="1">
      <alignment vertical="center"/>
    </xf>
    <xf numFmtId="0" fontId="41" fillId="30" borderId="0" xfId="0" applyFont="1" applyFill="1" applyAlignment="1">
      <alignment horizontal="left"/>
    </xf>
    <xf numFmtId="0" fontId="8" fillId="41" borderId="0" xfId="0" applyFont="1" applyFill="1"/>
    <xf numFmtId="0" fontId="12" fillId="42" borderId="0" xfId="0" applyFont="1" applyFill="1"/>
    <xf numFmtId="0" fontId="12" fillId="43" borderId="0" xfId="0" applyFont="1" applyFill="1"/>
    <xf numFmtId="20" fontId="8" fillId="41" borderId="0" xfId="0" applyNumberFormat="1" applyFont="1" applyFill="1"/>
    <xf numFmtId="0" fontId="12" fillId="41" borderId="0" xfId="0" applyFont="1" applyFill="1"/>
    <xf numFmtId="0" fontId="12" fillId="44" borderId="0" xfId="0" applyFont="1" applyFill="1"/>
    <xf numFmtId="0" fontId="10" fillId="41" borderId="0" xfId="0" applyFont="1" applyFill="1" applyAlignment="1">
      <alignment horizontal="center" wrapText="1"/>
    </xf>
    <xf numFmtId="2" fontId="36" fillId="7" borderId="0" xfId="0" applyNumberFormat="1" applyFont="1" applyFill="1" applyAlignment="1">
      <alignment horizontal="left" vertical="center"/>
    </xf>
    <xf numFmtId="0" fontId="12" fillId="42" borderId="0" xfId="0" applyFont="1" applyFill="1" applyAlignment="1">
      <alignment horizontal="left"/>
    </xf>
    <xf numFmtId="0" fontId="12" fillId="44" borderId="0" xfId="0" applyFont="1" applyFill="1" applyAlignment="1">
      <alignment horizontal="left"/>
    </xf>
    <xf numFmtId="0" fontId="32" fillId="19" borderId="0" xfId="0" applyFont="1" applyFill="1" applyAlignment="1">
      <alignment vertical="center" wrapText="1"/>
    </xf>
    <xf numFmtId="0" fontId="6" fillId="19" borderId="0" xfId="0" applyFont="1" applyFill="1"/>
    <xf numFmtId="0" fontId="36" fillId="2" borderId="0" xfId="0" applyFont="1" applyFill="1" applyAlignment="1">
      <alignment horizontal="left" vertical="center"/>
    </xf>
    <xf numFmtId="20" fontId="9" fillId="0" borderId="0" xfId="0" applyNumberFormat="1" applyFont="1" applyAlignment="1">
      <alignment horizontal="right"/>
    </xf>
    <xf numFmtId="20" fontId="6" fillId="2" borderId="0" xfId="0" applyNumberFormat="1" applyFont="1" applyFill="1" applyAlignment="1">
      <alignment horizontal="right"/>
    </xf>
    <xf numFmtId="20" fontId="8" fillId="45" borderId="0" xfId="0" applyNumberFormat="1" applyFont="1" applyFill="1"/>
    <xf numFmtId="20" fontId="6" fillId="11" borderId="0" xfId="0" applyNumberFormat="1" applyFont="1" applyFill="1" applyAlignment="1">
      <alignment horizontal="right"/>
    </xf>
    <xf numFmtId="0" fontId="6" fillId="0" borderId="29" xfId="0" applyFont="1" applyBorder="1"/>
    <xf numFmtId="164" fontId="6" fillId="2" borderId="29" xfId="0" applyNumberFormat="1" applyFont="1" applyFill="1" applyBorder="1" applyAlignment="1">
      <alignment horizontal="left"/>
    </xf>
    <xf numFmtId="2" fontId="12" fillId="4" borderId="29" xfId="0" applyNumberFormat="1" applyFont="1" applyFill="1" applyBorder="1" applyAlignment="1">
      <alignment horizontal="center" vertical="center"/>
    </xf>
    <xf numFmtId="0" fontId="12" fillId="2" borderId="29" xfId="0" applyFont="1" applyFill="1" applyBorder="1" applyAlignment="1">
      <alignment horizontal="left" vertical="center"/>
    </xf>
    <xf numFmtId="2" fontId="12" fillId="4" borderId="29" xfId="0" applyNumberFormat="1" applyFont="1" applyFill="1" applyBorder="1" applyAlignment="1">
      <alignment horizontal="left" vertical="center"/>
    </xf>
    <xf numFmtId="164" fontId="6" fillId="2" borderId="29" xfId="0" applyNumberFormat="1" applyFont="1" applyFill="1" applyBorder="1" applyAlignment="1">
      <alignment horizontal="center"/>
    </xf>
    <xf numFmtId="2" fontId="12" fillId="4" borderId="15" xfId="0" applyNumberFormat="1" applyFont="1" applyFill="1" applyBorder="1" applyAlignment="1">
      <alignment horizontal="center" vertical="center"/>
    </xf>
    <xf numFmtId="2" fontId="12" fillId="4" borderId="15" xfId="0" applyNumberFormat="1" applyFont="1" applyFill="1" applyBorder="1" applyAlignment="1">
      <alignment horizontal="left" vertical="center"/>
    </xf>
    <xf numFmtId="164" fontId="6" fillId="2" borderId="17" xfId="0" applyNumberFormat="1" applyFont="1" applyFill="1" applyBorder="1" applyAlignment="1">
      <alignment horizontal="left"/>
    </xf>
    <xf numFmtId="0" fontId="12" fillId="2" borderId="30" xfId="0" applyFont="1" applyFill="1" applyBorder="1" applyAlignment="1">
      <alignment horizontal="left" vertical="center"/>
    </xf>
    <xf numFmtId="0" fontId="12" fillId="2" borderId="15" xfId="0" applyFont="1" applyFill="1" applyBorder="1" applyAlignment="1">
      <alignment horizontal="left" vertical="center"/>
    </xf>
    <xf numFmtId="164" fontId="6" fillId="2" borderId="15" xfId="0" applyNumberFormat="1" applyFont="1" applyFill="1" applyBorder="1" applyAlignment="1">
      <alignment horizontal="center"/>
    </xf>
    <xf numFmtId="164" fontId="6" fillId="2" borderId="15" xfId="0" applyNumberFormat="1" applyFont="1" applyFill="1" applyBorder="1" applyAlignment="1">
      <alignment horizontal="left"/>
    </xf>
    <xf numFmtId="164" fontId="6" fillId="2" borderId="30" xfId="0" applyNumberFormat="1" applyFont="1" applyFill="1" applyBorder="1" applyAlignment="1">
      <alignment horizontal="left"/>
    </xf>
    <xf numFmtId="0" fontId="6" fillId="0" borderId="15" xfId="0" applyFont="1" applyBorder="1"/>
    <xf numFmtId="0" fontId="6" fillId="11" borderId="16" xfId="0" applyFont="1" applyFill="1" applyBorder="1" applyAlignment="1">
      <alignment wrapText="1"/>
    </xf>
    <xf numFmtId="0" fontId="6" fillId="0" borderId="0" xfId="0" applyFont="1" applyAlignment="1">
      <alignment vertical="center" wrapText="1"/>
    </xf>
    <xf numFmtId="0" fontId="15" fillId="11" borderId="29" xfId="0" applyFont="1" applyFill="1" applyBorder="1" applyAlignment="1">
      <alignment vertical="center" wrapText="1"/>
    </xf>
    <xf numFmtId="0" fontId="15" fillId="11" borderId="31" xfId="0" applyFont="1" applyFill="1" applyBorder="1" applyAlignment="1">
      <alignment vertical="center" wrapText="1"/>
    </xf>
    <xf numFmtId="0" fontId="0" fillId="11" borderId="14" xfId="0" applyFill="1" applyBorder="1" applyAlignment="1">
      <alignment wrapText="1"/>
    </xf>
    <xf numFmtId="49" fontId="7" fillId="2" borderId="0" xfId="0" applyNumberFormat="1" applyFont="1" applyFill="1" applyAlignment="1">
      <alignment horizontal="left"/>
    </xf>
    <xf numFmtId="20" fontId="6" fillId="46" borderId="0" xfId="0" applyNumberFormat="1" applyFont="1" applyFill="1" applyAlignment="1">
      <alignment horizontal="left"/>
    </xf>
    <xf numFmtId="49" fontId="6" fillId="46" borderId="0" xfId="0" applyNumberFormat="1" applyFont="1" applyFill="1" applyAlignment="1">
      <alignment horizontal="left"/>
    </xf>
    <xf numFmtId="0" fontId="6" fillId="11" borderId="14" xfId="0" applyFont="1" applyFill="1" applyBorder="1" applyAlignment="1">
      <alignment horizontal="left" wrapText="1"/>
    </xf>
    <xf numFmtId="20" fontId="6" fillId="26" borderId="0" xfId="0" applyNumberFormat="1" applyFont="1" applyFill="1" applyAlignment="1">
      <alignment horizontal="left"/>
    </xf>
    <xf numFmtId="49" fontId="6" fillId="30" borderId="0" xfId="0" applyNumberFormat="1" applyFont="1" applyFill="1" applyAlignment="1">
      <alignment horizontal="left"/>
    </xf>
    <xf numFmtId="0" fontId="37" fillId="2" borderId="0" xfId="0" applyFont="1" applyFill="1" applyAlignment="1">
      <alignment horizontal="left"/>
    </xf>
    <xf numFmtId="0" fontId="36" fillId="7" borderId="0" xfId="0" applyFont="1" applyFill="1" applyAlignment="1">
      <alignment vertical="center"/>
    </xf>
    <xf numFmtId="0" fontId="36" fillId="24" borderId="0" xfId="0" applyFont="1" applyFill="1" applyAlignment="1">
      <alignment horizontal="left" vertical="center"/>
    </xf>
    <xf numFmtId="0" fontId="36" fillId="30" borderId="0" xfId="0" applyFont="1" applyFill="1" applyAlignment="1">
      <alignment horizontal="left" vertical="center"/>
    </xf>
    <xf numFmtId="0" fontId="36" fillId="4" borderId="0" xfId="0" applyFont="1" applyFill="1" applyAlignment="1">
      <alignment horizontal="left" vertical="center"/>
    </xf>
    <xf numFmtId="0" fontId="37" fillId="0" borderId="0" xfId="0" applyFont="1" applyAlignment="1">
      <alignment horizontal="left"/>
    </xf>
    <xf numFmtId="2" fontId="37" fillId="2" borderId="0" xfId="0" applyNumberFormat="1" applyFont="1" applyFill="1" applyAlignment="1">
      <alignment horizontal="left"/>
    </xf>
    <xf numFmtId="0" fontId="23" fillId="2" borderId="0" xfId="0" applyFont="1" applyFill="1" applyAlignment="1">
      <alignment horizontal="right"/>
    </xf>
    <xf numFmtId="0" fontId="54" fillId="2" borderId="0" xfId="0" applyFont="1" applyFill="1" applyAlignment="1">
      <alignment horizontal="right"/>
    </xf>
    <xf numFmtId="20" fontId="6" fillId="30" borderId="0" xfId="0" quotePrefix="1" applyNumberFormat="1" applyFont="1" applyFill="1" applyAlignment="1">
      <alignment horizontal="left"/>
    </xf>
    <xf numFmtId="0" fontId="7" fillId="47" borderId="0" xfId="0" applyFont="1" applyFill="1" applyAlignment="1">
      <alignment horizontal="left" vertical="center"/>
    </xf>
    <xf numFmtId="49" fontId="6" fillId="48" borderId="0" xfId="0" applyNumberFormat="1" applyFont="1" applyFill="1" applyAlignment="1">
      <alignment horizontal="left"/>
    </xf>
    <xf numFmtId="0" fontId="7" fillId="48" borderId="0" xfId="0" applyFont="1" applyFill="1" applyAlignment="1">
      <alignment horizontal="left" vertical="center"/>
    </xf>
    <xf numFmtId="0" fontId="55" fillId="2" borderId="0" xfId="0" applyFont="1" applyFill="1" applyAlignment="1">
      <alignment horizontal="right" vertical="center"/>
    </xf>
    <xf numFmtId="0" fontId="56" fillId="2" borderId="0" xfId="0" applyFont="1" applyFill="1" applyAlignment="1">
      <alignment horizontal="left"/>
    </xf>
    <xf numFmtId="3" fontId="57" fillId="2" borderId="0" xfId="0" applyNumberFormat="1" applyFont="1" applyFill="1" applyAlignment="1">
      <alignment horizontal="left" vertical="center"/>
    </xf>
    <xf numFmtId="0" fontId="57" fillId="2" borderId="0" xfId="0" applyFont="1" applyFill="1" applyAlignment="1">
      <alignment horizontal="left" vertical="center"/>
    </xf>
    <xf numFmtId="2" fontId="57" fillId="2" borderId="0" xfId="0" applyNumberFormat="1" applyFont="1" applyFill="1" applyAlignment="1">
      <alignment horizontal="left" vertical="center"/>
    </xf>
    <xf numFmtId="44" fontId="20" fillId="2" borderId="0" xfId="1" applyFont="1" applyFill="1"/>
    <xf numFmtId="20" fontId="6" fillId="2" borderId="0" xfId="0" applyNumberFormat="1" applyFont="1" applyFill="1" applyAlignment="1">
      <alignment horizontal="center"/>
    </xf>
    <xf numFmtId="16" fontId="6" fillId="26" borderId="0" xfId="0" applyNumberFormat="1" applyFont="1" applyFill="1" applyAlignment="1">
      <alignment horizontal="left"/>
    </xf>
    <xf numFmtId="0" fontId="6" fillId="34" borderId="0" xfId="0" applyFont="1" applyFill="1"/>
    <xf numFmtId="0" fontId="6" fillId="34" borderId="0" xfId="0" applyFont="1" applyFill="1" applyAlignment="1">
      <alignment horizontal="left"/>
    </xf>
    <xf numFmtId="49" fontId="7" fillId="11" borderId="0" xfId="0" applyNumberFormat="1" applyFont="1" applyFill="1" applyAlignment="1">
      <alignment horizontal="left"/>
    </xf>
    <xf numFmtId="0" fontId="8" fillId="50" borderId="14" xfId="0" applyFont="1" applyFill="1" applyBorder="1"/>
    <xf numFmtId="0" fontId="8" fillId="44" borderId="30" xfId="0" applyFont="1" applyFill="1" applyBorder="1" applyAlignment="1">
      <alignment wrapText="1"/>
    </xf>
    <xf numFmtId="18" fontId="8" fillId="41" borderId="14" xfId="0" applyNumberFormat="1" applyFont="1" applyFill="1" applyBorder="1"/>
    <xf numFmtId="18" fontId="8" fillId="41" borderId="30" xfId="0" applyNumberFormat="1" applyFont="1" applyFill="1" applyBorder="1"/>
    <xf numFmtId="49" fontId="9" fillId="2" borderId="0" xfId="0" applyNumberFormat="1" applyFont="1" applyFill="1" applyAlignment="1">
      <alignment horizontal="left"/>
    </xf>
    <xf numFmtId="20" fontId="6" fillId="30" borderId="0" xfId="0" applyNumberFormat="1" applyFont="1" applyFill="1" applyAlignment="1">
      <alignment vertical="center" textRotation="255"/>
    </xf>
    <xf numFmtId="4" fontId="20" fillId="2" borderId="0" xfId="0" applyNumberFormat="1" applyFont="1" applyFill="1" applyAlignment="1">
      <alignment horizontal="right" vertical="center"/>
    </xf>
    <xf numFmtId="2" fontId="20" fillId="2" borderId="0" xfId="0" applyNumberFormat="1" applyFont="1" applyFill="1" applyAlignment="1">
      <alignment horizontal="right" vertical="center"/>
    </xf>
    <xf numFmtId="0" fontId="6" fillId="51" borderId="14" xfId="0" applyFont="1" applyFill="1" applyBorder="1"/>
    <xf numFmtId="0" fontId="8" fillId="0" borderId="14" xfId="0" applyFont="1" applyBorder="1"/>
    <xf numFmtId="0" fontId="59" fillId="0" borderId="0" xfId="0" applyFont="1"/>
    <xf numFmtId="49" fontId="6" fillId="2" borderId="0" xfId="0" quotePrefix="1" applyNumberFormat="1" applyFont="1" applyFill="1" applyAlignment="1">
      <alignment horizontal="left"/>
    </xf>
    <xf numFmtId="14" fontId="10" fillId="52" borderId="0" xfId="0" applyNumberFormat="1" applyFont="1" applyFill="1" applyAlignment="1">
      <alignment horizontal="center" vertical="center" wrapText="1"/>
    </xf>
    <xf numFmtId="0" fontId="13" fillId="52" borderId="0" xfId="0" applyFont="1" applyFill="1" applyAlignment="1">
      <alignment horizontal="center" vertical="center" wrapText="1"/>
    </xf>
    <xf numFmtId="0" fontId="10" fillId="52" borderId="0" xfId="0" applyFont="1" applyFill="1" applyAlignment="1">
      <alignment horizontal="left" vertical="center"/>
    </xf>
    <xf numFmtId="0" fontId="36" fillId="52" borderId="0" xfId="0" applyFont="1" applyFill="1" applyAlignment="1">
      <alignment vertical="center"/>
    </xf>
    <xf numFmtId="0" fontId="6" fillId="52" borderId="0" xfId="0" applyFont="1" applyFill="1" applyAlignment="1">
      <alignment horizontal="left"/>
    </xf>
    <xf numFmtId="0" fontId="10" fillId="52" borderId="0" xfId="0" applyFont="1" applyFill="1" applyAlignment="1">
      <alignment vertical="center"/>
    </xf>
    <xf numFmtId="49" fontId="6" fillId="52" borderId="0" xfId="0" applyNumberFormat="1" applyFont="1" applyFill="1" applyAlignment="1">
      <alignment horizontal="left"/>
    </xf>
    <xf numFmtId="20" fontId="6" fillId="52" borderId="0" xfId="0" applyNumberFormat="1" applyFont="1" applyFill="1" applyAlignment="1">
      <alignment horizontal="left"/>
    </xf>
    <xf numFmtId="0" fontId="7" fillId="52" borderId="0" xfId="0" applyFont="1" applyFill="1" applyAlignment="1">
      <alignment horizontal="left" vertical="center"/>
    </xf>
    <xf numFmtId="0" fontId="36" fillId="52" borderId="0" xfId="0" applyFont="1" applyFill="1" applyAlignment="1">
      <alignment horizontal="left" vertical="center"/>
    </xf>
    <xf numFmtId="20" fontId="32" fillId="52" borderId="0" xfId="0" applyNumberFormat="1" applyFont="1" applyFill="1" applyAlignment="1">
      <alignment horizontal="left"/>
    </xf>
    <xf numFmtId="0" fontId="7" fillId="18" borderId="0" xfId="0" applyFont="1" applyFill="1" applyAlignment="1">
      <alignment horizontal="left" wrapText="1"/>
    </xf>
    <xf numFmtId="3" fontId="60" fillId="2" borderId="0" xfId="0" applyNumberFormat="1" applyFont="1" applyFill="1" applyAlignment="1">
      <alignment horizontal="left"/>
    </xf>
    <xf numFmtId="0" fontId="58" fillId="0" borderId="0" xfId="0" applyFont="1" applyAlignment="1">
      <alignment vertical="center" wrapText="1"/>
    </xf>
    <xf numFmtId="0" fontId="6" fillId="14" borderId="0" xfId="0" applyFont="1" applyFill="1" applyAlignment="1">
      <alignment horizontal="left" vertical="center"/>
    </xf>
    <xf numFmtId="49" fontId="37" fillId="27" borderId="0" xfId="0" applyNumberFormat="1" applyFont="1" applyFill="1" applyAlignment="1">
      <alignment horizontal="left"/>
    </xf>
    <xf numFmtId="20" fontId="6" fillId="27" borderId="0" xfId="0" applyNumberFormat="1" applyFont="1" applyFill="1" applyAlignment="1">
      <alignment horizontal="left"/>
    </xf>
    <xf numFmtId="0" fontId="61" fillId="0" borderId="0" xfId="0" applyFont="1"/>
    <xf numFmtId="20" fontId="8" fillId="2" borderId="0" xfId="0" applyNumberFormat="1" applyFont="1" applyFill="1" applyAlignment="1">
      <alignment horizontal="center"/>
    </xf>
    <xf numFmtId="0" fontId="0" fillId="34" borderId="0" xfId="0" applyFill="1" applyAlignment="1">
      <alignment wrapText="1"/>
    </xf>
    <xf numFmtId="0" fontId="59" fillId="34" borderId="0" xfId="0" applyFont="1" applyFill="1"/>
    <xf numFmtId="0" fontId="0" fillId="34" borderId="14" xfId="0" applyFill="1" applyBorder="1"/>
    <xf numFmtId="20" fontId="6" fillId="34" borderId="32" xfId="0" applyNumberFormat="1" applyFont="1" applyFill="1" applyBorder="1" applyAlignment="1">
      <alignment horizontal="left"/>
    </xf>
    <xf numFmtId="49" fontId="6" fillId="2" borderId="32" xfId="0" applyNumberFormat="1" applyFont="1" applyFill="1" applyBorder="1" applyAlignment="1">
      <alignment horizontal="left"/>
    </xf>
    <xf numFmtId="20" fontId="6" fillId="2" borderId="32" xfId="0" applyNumberFormat="1" applyFont="1" applyFill="1" applyBorder="1" applyAlignment="1">
      <alignment horizontal="left"/>
    </xf>
    <xf numFmtId="0" fontId="7" fillId="4" borderId="32" xfId="0" applyFont="1" applyFill="1" applyBorder="1" applyAlignment="1">
      <alignment horizontal="left" vertical="center"/>
    </xf>
    <xf numFmtId="0" fontId="36" fillId="24" borderId="32" xfId="0" applyFont="1" applyFill="1" applyBorder="1" applyAlignment="1">
      <alignment horizontal="left" vertical="center"/>
    </xf>
    <xf numFmtId="0" fontId="6" fillId="2" borderId="32" xfId="0" applyFont="1" applyFill="1" applyBorder="1" applyAlignment="1">
      <alignment horizontal="left"/>
    </xf>
    <xf numFmtId="2" fontId="7" fillId="10" borderId="32" xfId="0" applyNumberFormat="1" applyFont="1" applyFill="1" applyBorder="1" applyAlignment="1">
      <alignment horizontal="left" vertical="center"/>
    </xf>
    <xf numFmtId="0" fontId="36" fillId="7" borderId="32" xfId="0" applyFont="1" applyFill="1" applyBorder="1" applyAlignment="1">
      <alignment horizontal="left"/>
    </xf>
    <xf numFmtId="0" fontId="6" fillId="23" borderId="32" xfId="0" applyFont="1" applyFill="1" applyBorder="1"/>
    <xf numFmtId="20" fontId="62" fillId="2" borderId="0" xfId="0" applyNumberFormat="1" applyFont="1" applyFill="1" applyAlignment="1">
      <alignment horizontal="left"/>
    </xf>
    <xf numFmtId="20" fontId="7" fillId="2" borderId="0" xfId="0" applyNumberFormat="1" applyFont="1" applyFill="1" applyAlignment="1">
      <alignment horizontal="center"/>
    </xf>
    <xf numFmtId="49" fontId="6" fillId="26" borderId="0" xfId="0" applyNumberFormat="1" applyFont="1" applyFill="1" applyAlignment="1">
      <alignment vertical="center" textRotation="255"/>
    </xf>
    <xf numFmtId="20" fontId="6" fillId="53" borderId="0" xfId="0" applyNumberFormat="1" applyFont="1" applyFill="1" applyAlignment="1">
      <alignment horizontal="left"/>
    </xf>
    <xf numFmtId="0" fontId="63" fillId="4" borderId="0" xfId="0" applyFont="1" applyFill="1" applyAlignment="1">
      <alignment horizontal="left" vertical="center"/>
    </xf>
    <xf numFmtId="20" fontId="64" fillId="2" borderId="0" xfId="0" applyNumberFormat="1" applyFont="1" applyFill="1" applyAlignment="1">
      <alignment horizontal="left"/>
    </xf>
    <xf numFmtId="20" fontId="64" fillId="53" borderId="0" xfId="0" applyNumberFormat="1" applyFont="1" applyFill="1" applyAlignment="1">
      <alignment horizontal="left"/>
    </xf>
    <xf numFmtId="20" fontId="7" fillId="8" borderId="0" xfId="0" applyNumberFormat="1" applyFont="1" applyFill="1" applyAlignment="1">
      <alignment horizontal="left"/>
    </xf>
    <xf numFmtId="49" fontId="32" fillId="2" borderId="0" xfId="0" applyNumberFormat="1" applyFont="1" applyFill="1" applyAlignment="1">
      <alignment horizontal="left"/>
    </xf>
    <xf numFmtId="49" fontId="6" fillId="20" borderId="0" xfId="0" applyNumberFormat="1" applyFont="1" applyFill="1" applyAlignment="1">
      <alignment horizontal="left"/>
    </xf>
    <xf numFmtId="20" fontId="6" fillId="20" borderId="0" xfId="0" applyNumberFormat="1" applyFont="1" applyFill="1" applyAlignment="1">
      <alignment horizontal="left"/>
    </xf>
    <xf numFmtId="0" fontId="65" fillId="8" borderId="0" xfId="0" applyFont="1" applyFill="1" applyAlignment="1">
      <alignment horizontal="left" vertical="center"/>
    </xf>
    <xf numFmtId="0" fontId="41" fillId="8" borderId="0" xfId="0" applyFont="1" applyFill="1" applyAlignment="1">
      <alignment horizontal="left" vertical="center"/>
    </xf>
    <xf numFmtId="0" fontId="41" fillId="24" borderId="0" xfId="0" applyFont="1" applyFill="1" applyAlignment="1">
      <alignment horizontal="left" vertical="center"/>
    </xf>
    <xf numFmtId="0" fontId="32" fillId="2" borderId="0" xfId="0" applyFont="1" applyFill="1" applyAlignment="1">
      <alignment horizontal="left"/>
    </xf>
    <xf numFmtId="0" fontId="7" fillId="55" borderId="0" xfId="0" applyFont="1" applyFill="1" applyAlignment="1">
      <alignment horizontal="left" vertical="center"/>
    </xf>
    <xf numFmtId="16" fontId="0" fillId="8" borderId="0" xfId="0" applyNumberFormat="1" applyFill="1"/>
    <xf numFmtId="0" fontId="0" fillId="8" borderId="0" xfId="0" applyFill="1"/>
    <xf numFmtId="167" fontId="0" fillId="8" borderId="0" xfId="0" applyNumberFormat="1" applyFill="1"/>
    <xf numFmtId="2" fontId="0" fillId="8" borderId="0" xfId="0" applyNumberFormat="1" applyFill="1"/>
    <xf numFmtId="49" fontId="6" fillId="2" borderId="0" xfId="0" applyNumberFormat="1" applyFont="1" applyFill="1" applyAlignment="1">
      <alignment horizontal="left" wrapText="1"/>
    </xf>
    <xf numFmtId="2" fontId="57" fillId="2" borderId="0" xfId="0" applyNumberFormat="1" applyFont="1" applyFill="1" applyAlignment="1">
      <alignment vertical="center"/>
    </xf>
    <xf numFmtId="2" fontId="20" fillId="2" borderId="0" xfId="0" applyNumberFormat="1" applyFont="1" applyFill="1" applyAlignment="1">
      <alignment vertical="center"/>
    </xf>
    <xf numFmtId="4" fontId="20" fillId="2" borderId="0" xfId="0" applyNumberFormat="1" applyFont="1" applyFill="1" applyAlignment="1">
      <alignment vertical="center"/>
    </xf>
    <xf numFmtId="14" fontId="67" fillId="6" borderId="0" xfId="0" applyNumberFormat="1" applyFont="1" applyFill="1" applyAlignment="1">
      <alignment vertical="center" wrapText="1"/>
    </xf>
    <xf numFmtId="2" fontId="57" fillId="2" borderId="0" xfId="0" applyNumberFormat="1" applyFont="1" applyFill="1" applyAlignment="1">
      <alignment horizontal="right" vertical="center"/>
    </xf>
    <xf numFmtId="14" fontId="6" fillId="2" borderId="0" xfId="0" applyNumberFormat="1" applyFont="1" applyFill="1"/>
    <xf numFmtId="0" fontId="15" fillId="10" borderId="0" xfId="0" applyFont="1" applyFill="1" applyAlignment="1">
      <alignment vertical="center"/>
    </xf>
    <xf numFmtId="0" fontId="7" fillId="10" borderId="0" xfId="0" applyFont="1" applyFill="1" applyAlignment="1">
      <alignment vertical="center"/>
    </xf>
    <xf numFmtId="0" fontId="7" fillId="10" borderId="0" xfId="0" applyFont="1" applyFill="1" applyAlignment="1">
      <alignment horizontal="left" vertical="center"/>
    </xf>
    <xf numFmtId="0" fontId="15" fillId="11" borderId="0" xfId="0" applyFont="1" applyFill="1" applyAlignment="1">
      <alignment vertical="center"/>
    </xf>
    <xf numFmtId="20" fontId="68" fillId="2" borderId="0" xfId="0" applyNumberFormat="1" applyFont="1" applyFill="1" applyAlignment="1">
      <alignment horizontal="left"/>
    </xf>
    <xf numFmtId="0" fontId="69" fillId="4" borderId="0" xfId="0" applyFont="1" applyFill="1" applyAlignment="1">
      <alignment horizontal="left" vertical="center"/>
    </xf>
    <xf numFmtId="0" fontId="69" fillId="24" borderId="0" xfId="0" applyFont="1" applyFill="1" applyAlignment="1">
      <alignment horizontal="left" vertical="center"/>
    </xf>
    <xf numFmtId="0" fontId="68" fillId="2" borderId="0" xfId="0" applyFont="1" applyFill="1" applyAlignment="1">
      <alignment horizontal="left"/>
    </xf>
    <xf numFmtId="2" fontId="69" fillId="10" borderId="0" xfId="0" applyNumberFormat="1" applyFont="1" applyFill="1" applyAlignment="1">
      <alignment horizontal="left" vertical="center"/>
    </xf>
    <xf numFmtId="0" fontId="69" fillId="7" borderId="0" xfId="0" applyFont="1" applyFill="1" applyAlignment="1">
      <alignment horizontal="left"/>
    </xf>
    <xf numFmtId="0" fontId="68" fillId="2" borderId="0" xfId="0" applyFont="1" applyFill="1"/>
    <xf numFmtId="49" fontId="68" fillId="2" borderId="0" xfId="0" applyNumberFormat="1" applyFont="1" applyFill="1" applyAlignment="1">
      <alignment horizontal="left"/>
    </xf>
    <xf numFmtId="0" fontId="69" fillId="14" borderId="0" xfId="0" applyFont="1" applyFill="1" applyAlignment="1">
      <alignment horizontal="left" vertical="center"/>
    </xf>
    <xf numFmtId="1" fontId="68" fillId="2" borderId="0" xfId="0" applyNumberFormat="1" applyFont="1" applyFill="1" applyAlignment="1">
      <alignment horizontal="left"/>
    </xf>
    <xf numFmtId="49" fontId="68" fillId="26" borderId="0" xfId="0" applyNumberFormat="1" applyFont="1" applyFill="1" applyAlignment="1">
      <alignment vertical="center" textRotation="255"/>
    </xf>
    <xf numFmtId="0" fontId="69" fillId="10" borderId="0" xfId="0" applyFont="1" applyFill="1" applyAlignment="1">
      <alignment vertical="center" wrapText="1"/>
    </xf>
    <xf numFmtId="0" fontId="69" fillId="10" borderId="0" xfId="0" applyFont="1" applyFill="1" applyAlignment="1">
      <alignment horizontal="left" vertical="center" wrapText="1"/>
    </xf>
    <xf numFmtId="0" fontId="69" fillId="2" borderId="0" xfId="0" applyFont="1" applyFill="1" applyAlignment="1">
      <alignment horizontal="left" vertical="center"/>
    </xf>
    <xf numFmtId="0" fontId="69" fillId="7" borderId="0" xfId="0" applyFont="1" applyFill="1" applyAlignment="1">
      <alignment horizontal="left" vertical="center"/>
    </xf>
    <xf numFmtId="0" fontId="68" fillId="2" borderId="0" xfId="0" applyFont="1" applyFill="1" applyAlignment="1">
      <alignment vertical="center"/>
    </xf>
    <xf numFmtId="20" fontId="70" fillId="2" borderId="0" xfId="0" applyNumberFormat="1" applyFont="1" applyFill="1" applyAlignment="1">
      <alignment horizontal="left"/>
    </xf>
    <xf numFmtId="0" fontId="48" fillId="4" borderId="0" xfId="0" applyFont="1" applyFill="1" applyAlignment="1">
      <alignment horizontal="left" vertical="center"/>
    </xf>
    <xf numFmtId="0" fontId="48" fillId="10" borderId="0" xfId="0" applyFont="1" applyFill="1" applyAlignment="1">
      <alignment horizontal="left" vertical="center" wrapText="1"/>
    </xf>
    <xf numFmtId="0" fontId="48" fillId="24" borderId="0" xfId="0" applyFont="1" applyFill="1" applyAlignment="1">
      <alignment horizontal="left" vertical="center"/>
    </xf>
    <xf numFmtId="0" fontId="70" fillId="2" borderId="0" xfId="0" applyFont="1" applyFill="1" applyAlignment="1">
      <alignment horizontal="left"/>
    </xf>
    <xf numFmtId="2" fontId="48" fillId="10" borderId="0" xfId="0" applyNumberFormat="1" applyFont="1" applyFill="1" applyAlignment="1">
      <alignment horizontal="left" vertical="center"/>
    </xf>
    <xf numFmtId="0" fontId="48" fillId="7" borderId="0" xfId="0" applyFont="1" applyFill="1" applyAlignment="1">
      <alignment horizontal="left"/>
    </xf>
    <xf numFmtId="0" fontId="48" fillId="14" borderId="0" xfId="0" applyFont="1" applyFill="1" applyAlignment="1">
      <alignment horizontal="left" vertical="center"/>
    </xf>
    <xf numFmtId="1" fontId="70" fillId="2" borderId="0" xfId="0" applyNumberFormat="1" applyFont="1" applyFill="1" applyAlignment="1">
      <alignment horizontal="left"/>
    </xf>
    <xf numFmtId="0" fontId="48" fillId="10" borderId="0" xfId="0" applyFont="1" applyFill="1" applyAlignment="1">
      <alignment vertical="center" wrapText="1"/>
    </xf>
    <xf numFmtId="0" fontId="48" fillId="7" borderId="0" xfId="0" applyFont="1" applyFill="1" applyAlignment="1">
      <alignment horizontal="left" vertical="center"/>
    </xf>
    <xf numFmtId="0" fontId="15" fillId="24" borderId="0" xfId="0" applyFont="1" applyFill="1" applyAlignment="1">
      <alignment horizontal="left" vertical="center"/>
    </xf>
    <xf numFmtId="0" fontId="9" fillId="23" borderId="0" xfId="0" applyFont="1" applyFill="1"/>
    <xf numFmtId="0" fontId="9" fillId="2" borderId="0" xfId="0" applyFont="1" applyFill="1"/>
    <xf numFmtId="0" fontId="15" fillId="18" borderId="0" xfId="0" applyFont="1" applyFill="1" applyAlignment="1">
      <alignment horizontal="left"/>
    </xf>
    <xf numFmtId="2" fontId="9" fillId="18" borderId="0" xfId="0" applyNumberFormat="1" applyFont="1" applyFill="1" applyAlignment="1">
      <alignment horizontal="left"/>
    </xf>
    <xf numFmtId="167" fontId="9" fillId="18" borderId="0" xfId="0" applyNumberFormat="1" applyFont="1" applyFill="1"/>
    <xf numFmtId="0" fontId="9" fillId="18" borderId="0" xfId="0" applyFont="1" applyFill="1"/>
    <xf numFmtId="0" fontId="9" fillId="0" borderId="0" xfId="0" applyFont="1"/>
    <xf numFmtId="0" fontId="15" fillId="2" borderId="0" xfId="0" applyFont="1" applyFill="1" applyAlignment="1">
      <alignment horizontal="left" vertical="center"/>
    </xf>
    <xf numFmtId="0" fontId="15" fillId="14" borderId="0" xfId="0" applyFont="1" applyFill="1" applyAlignment="1">
      <alignment horizontal="left" vertical="center"/>
    </xf>
    <xf numFmtId="0" fontId="15" fillId="7" borderId="0" xfId="0" applyFont="1" applyFill="1" applyAlignment="1">
      <alignment horizontal="left" vertical="center"/>
    </xf>
    <xf numFmtId="20" fontId="15" fillId="2" borderId="0" xfId="0" applyNumberFormat="1" applyFont="1" applyFill="1" applyAlignment="1">
      <alignment horizontal="left"/>
    </xf>
    <xf numFmtId="0" fontId="15" fillId="2" borderId="0" xfId="0" applyFont="1" applyFill="1" applyAlignment="1">
      <alignment horizontal="left"/>
    </xf>
    <xf numFmtId="0" fontId="15" fillId="23" borderId="0" xfId="0" applyFont="1" applyFill="1"/>
    <xf numFmtId="0" fontId="15" fillId="2" borderId="0" xfId="0" applyFont="1" applyFill="1"/>
    <xf numFmtId="0" fontId="15" fillId="18" borderId="0" xfId="0" applyFont="1" applyFill="1"/>
    <xf numFmtId="0" fontId="15" fillId="0" borderId="0" xfId="0" applyFont="1"/>
    <xf numFmtId="167" fontId="7" fillId="18" borderId="0" xfId="0" applyNumberFormat="1" applyFont="1" applyFill="1"/>
    <xf numFmtId="2" fontId="56" fillId="2" borderId="0" xfId="0" applyNumberFormat="1" applyFont="1" applyFill="1" applyAlignment="1">
      <alignment horizontal="left"/>
    </xf>
    <xf numFmtId="0" fontId="13" fillId="2" borderId="7" xfId="0" applyFont="1" applyFill="1" applyBorder="1" applyAlignment="1">
      <alignment horizontal="right" vertical="center"/>
    </xf>
    <xf numFmtId="0" fontId="6" fillId="2" borderId="8" xfId="0" applyFont="1" applyFill="1" applyBorder="1"/>
    <xf numFmtId="0" fontId="13" fillId="2" borderId="9" xfId="0" applyFont="1" applyFill="1" applyBorder="1" applyAlignment="1">
      <alignment horizontal="right" vertical="center"/>
    </xf>
    <xf numFmtId="0" fontId="6" fillId="2" borderId="10" xfId="0" applyFont="1" applyFill="1" applyBorder="1"/>
    <xf numFmtId="0" fontId="37" fillId="2" borderId="10" xfId="0" applyFont="1" applyFill="1" applyBorder="1" applyAlignment="1">
      <alignment horizontal="left"/>
    </xf>
    <xf numFmtId="0" fontId="13" fillId="2" borderId="10" xfId="0" applyFont="1" applyFill="1" applyBorder="1" applyAlignment="1">
      <alignment horizontal="right" vertical="center"/>
    </xf>
    <xf numFmtId="0" fontId="20" fillId="2" borderId="10" xfId="0" applyFont="1" applyFill="1" applyBorder="1"/>
    <xf numFmtId="0" fontId="55" fillId="2" borderId="10" xfId="0" applyFont="1" applyFill="1" applyBorder="1" applyAlignment="1">
      <alignment horizontal="right" vertical="center"/>
    </xf>
    <xf numFmtId="0" fontId="56" fillId="2" borderId="10" xfId="0" applyFont="1" applyFill="1" applyBorder="1" applyAlignment="1">
      <alignment horizontal="left"/>
    </xf>
    <xf numFmtId="2" fontId="57" fillId="2" borderId="10" xfId="0" applyNumberFormat="1" applyFont="1" applyFill="1" applyBorder="1" applyAlignment="1">
      <alignment horizontal="left" vertical="center"/>
    </xf>
    <xf numFmtId="0" fontId="20" fillId="2" borderId="10" xfId="0" applyFont="1" applyFill="1" applyBorder="1" applyAlignment="1">
      <alignment horizontal="left"/>
    </xf>
    <xf numFmtId="2" fontId="20" fillId="2" borderId="10" xfId="0" applyNumberFormat="1" applyFont="1" applyFill="1" applyBorder="1"/>
    <xf numFmtId="0" fontId="6" fillId="2" borderId="11" xfId="0" applyFont="1" applyFill="1" applyBorder="1"/>
    <xf numFmtId="14" fontId="36" fillId="13" borderId="0" xfId="0" applyNumberFormat="1" applyFont="1" applyFill="1" applyAlignment="1">
      <alignment horizontal="left"/>
    </xf>
    <xf numFmtId="0" fontId="71" fillId="2" borderId="0" xfId="0" applyFont="1" applyFill="1" applyAlignment="1">
      <alignment vertical="center"/>
    </xf>
    <xf numFmtId="0" fontId="6" fillId="20" borderId="0" xfId="0" applyFont="1" applyFill="1" applyAlignment="1">
      <alignment horizontal="left"/>
    </xf>
    <xf numFmtId="0" fontId="20" fillId="20" borderId="0" xfId="0" applyFont="1" applyFill="1" applyAlignment="1">
      <alignment vertical="center"/>
    </xf>
    <xf numFmtId="0" fontId="72" fillId="2" borderId="0" xfId="0" applyFont="1" applyFill="1" applyAlignment="1">
      <alignment horizontal="left"/>
    </xf>
    <xf numFmtId="0" fontId="73" fillId="2" borderId="0" xfId="0" applyFont="1" applyFill="1" applyAlignment="1">
      <alignment horizontal="left"/>
    </xf>
    <xf numFmtId="14" fontId="48" fillId="2" borderId="0" xfId="0" applyNumberFormat="1" applyFont="1" applyFill="1" applyAlignment="1">
      <alignment horizontal="center" vertical="center" wrapText="1"/>
    </xf>
    <xf numFmtId="14" fontId="48" fillId="6" borderId="0" xfId="0" applyNumberFormat="1" applyFont="1" applyFill="1" applyAlignment="1">
      <alignment vertical="center" wrapText="1"/>
    </xf>
    <xf numFmtId="0" fontId="48" fillId="6" borderId="0" xfId="0" applyFont="1" applyFill="1" applyAlignment="1">
      <alignment horizontal="center" vertical="center" wrapText="1"/>
    </xf>
    <xf numFmtId="0" fontId="48" fillId="7" borderId="0" xfId="0" applyFont="1" applyFill="1" applyAlignment="1">
      <alignment vertical="center"/>
    </xf>
    <xf numFmtId="0" fontId="70" fillId="2" borderId="0" xfId="0" applyFont="1" applyFill="1"/>
    <xf numFmtId="20" fontId="48" fillId="2" borderId="0" xfId="0" applyNumberFormat="1" applyFont="1" applyFill="1" applyAlignment="1">
      <alignment horizontal="left"/>
    </xf>
    <xf numFmtId="0" fontId="70" fillId="0" borderId="0" xfId="0" applyFont="1" applyAlignment="1">
      <alignment horizontal="left"/>
    </xf>
    <xf numFmtId="49" fontId="70" fillId="2" borderId="0" xfId="0" applyNumberFormat="1" applyFont="1" applyFill="1" applyAlignment="1">
      <alignment horizontal="left"/>
    </xf>
    <xf numFmtId="0" fontId="70" fillId="26" borderId="0" xfId="0" applyFont="1" applyFill="1" applyAlignment="1">
      <alignment vertical="center" wrapText="1"/>
    </xf>
    <xf numFmtId="0" fontId="48" fillId="11" borderId="0" xfId="0" applyFont="1" applyFill="1" applyAlignment="1">
      <alignment vertical="center" wrapText="1"/>
    </xf>
    <xf numFmtId="0" fontId="70" fillId="11" borderId="0" xfId="0" applyFont="1" applyFill="1" applyAlignment="1">
      <alignment vertical="center" wrapText="1"/>
    </xf>
    <xf numFmtId="49" fontId="70" fillId="26" borderId="0" xfId="0" applyNumberFormat="1" applyFont="1" applyFill="1" applyAlignment="1">
      <alignment vertical="center" textRotation="255"/>
    </xf>
    <xf numFmtId="0" fontId="48" fillId="2" borderId="0" xfId="0" applyFont="1" applyFill="1" applyAlignment="1">
      <alignment horizontal="left" vertical="center"/>
    </xf>
    <xf numFmtId="0" fontId="70" fillId="2" borderId="0" xfId="0" applyFont="1" applyFill="1" applyAlignment="1">
      <alignment vertical="center"/>
    </xf>
    <xf numFmtId="0" fontId="48" fillId="22" borderId="0" xfId="0" applyFont="1" applyFill="1" applyAlignment="1">
      <alignment horizontal="right"/>
    </xf>
    <xf numFmtId="0" fontId="70" fillId="22" borderId="0" xfId="0" applyFont="1" applyFill="1" applyAlignment="1">
      <alignment horizontal="left" vertical="center"/>
    </xf>
    <xf numFmtId="0" fontId="48" fillId="22" borderId="0" xfId="0" applyFont="1" applyFill="1" applyAlignment="1">
      <alignment horizontal="left" vertical="center"/>
    </xf>
    <xf numFmtId="0" fontId="48" fillId="22" borderId="0" xfId="0" applyFont="1" applyFill="1" applyAlignment="1">
      <alignment vertical="center"/>
    </xf>
    <xf numFmtId="1" fontId="48" fillId="22" borderId="0" xfId="0" applyNumberFormat="1" applyFont="1" applyFill="1" applyAlignment="1">
      <alignment horizontal="left" vertical="center"/>
    </xf>
    <xf numFmtId="0" fontId="70" fillId="22" borderId="0" xfId="0" applyFont="1" applyFill="1" applyAlignment="1">
      <alignment horizontal="right"/>
    </xf>
    <xf numFmtId="0" fontId="70" fillId="0" borderId="0" xfId="0" applyFont="1"/>
    <xf numFmtId="0" fontId="20" fillId="0" borderId="0" xfId="0" applyFont="1"/>
    <xf numFmtId="0" fontId="20" fillId="0" borderId="0" xfId="0" applyFont="1" applyAlignment="1">
      <alignment horizontal="left"/>
    </xf>
    <xf numFmtId="0" fontId="23" fillId="0" borderId="0" xfId="0" applyFont="1"/>
    <xf numFmtId="0" fontId="20" fillId="0" borderId="0" xfId="0" applyFont="1" applyAlignment="1">
      <alignment horizontal="center" wrapText="1"/>
    </xf>
    <xf numFmtId="0" fontId="23" fillId="0" borderId="0" xfId="0" applyFont="1" applyAlignment="1">
      <alignment horizontal="left"/>
    </xf>
    <xf numFmtId="0" fontId="0" fillId="0" borderId="0" xfId="0" applyAlignment="1">
      <alignment horizontal="left" wrapText="1"/>
    </xf>
    <xf numFmtId="0" fontId="76" fillId="2" borderId="0" xfId="0" applyFont="1" applyFill="1" applyAlignment="1">
      <alignment horizontal="left"/>
    </xf>
    <xf numFmtId="0" fontId="76" fillId="2" borderId="0" xfId="0" applyFont="1" applyFill="1"/>
    <xf numFmtId="0" fontId="75" fillId="22" borderId="0" xfId="0" applyFont="1" applyFill="1" applyAlignment="1">
      <alignment horizontal="right"/>
    </xf>
    <xf numFmtId="0" fontId="76" fillId="22" borderId="0" xfId="0" applyFont="1" applyFill="1" applyAlignment="1">
      <alignment horizontal="left" vertical="center"/>
    </xf>
    <xf numFmtId="0" fontId="75" fillId="22" borderId="0" xfId="0" applyFont="1" applyFill="1" applyAlignment="1">
      <alignment horizontal="left" vertical="center"/>
    </xf>
    <xf numFmtId="0" fontId="75" fillId="22" borderId="0" xfId="0" applyFont="1" applyFill="1" applyAlignment="1">
      <alignment vertical="center"/>
    </xf>
    <xf numFmtId="1" fontId="75" fillId="22" borderId="0" xfId="0" applyNumberFormat="1" applyFont="1" applyFill="1" applyAlignment="1">
      <alignment horizontal="left" vertical="center"/>
    </xf>
    <xf numFmtId="0" fontId="76" fillId="23" borderId="0" xfId="0" applyFont="1" applyFill="1"/>
    <xf numFmtId="18" fontId="76" fillId="18" borderId="0" xfId="0" applyNumberFormat="1" applyFont="1" applyFill="1"/>
    <xf numFmtId="0" fontId="76" fillId="18" borderId="0" xfId="0" applyFont="1" applyFill="1"/>
    <xf numFmtId="0" fontId="76" fillId="22" borderId="0" xfId="0" applyFont="1" applyFill="1" applyAlignment="1">
      <alignment horizontal="right"/>
    </xf>
    <xf numFmtId="0" fontId="76" fillId="0" borderId="0" xfId="0" applyFont="1"/>
    <xf numFmtId="0" fontId="76" fillId="0" borderId="0" xfId="0" applyFont="1" applyAlignment="1">
      <alignment horizontal="left"/>
    </xf>
    <xf numFmtId="14" fontId="78" fillId="2" borderId="0" xfId="0" applyNumberFormat="1" applyFont="1" applyFill="1" applyAlignment="1">
      <alignment horizontal="center" vertical="center" wrapText="1"/>
    </xf>
    <xf numFmtId="0" fontId="79" fillId="2" borderId="0" xfId="0" applyFont="1" applyFill="1" applyAlignment="1">
      <alignment horizontal="left"/>
    </xf>
    <xf numFmtId="14" fontId="78" fillId="6" borderId="0" xfId="0" applyNumberFormat="1" applyFont="1" applyFill="1" applyAlignment="1">
      <alignment vertical="center" wrapText="1"/>
    </xf>
    <xf numFmtId="0" fontId="79" fillId="23" borderId="0" xfId="0" applyFont="1" applyFill="1"/>
    <xf numFmtId="0" fontId="79" fillId="2" borderId="0" xfId="0" applyFont="1" applyFill="1"/>
    <xf numFmtId="0" fontId="78" fillId="21" borderId="0" xfId="0" applyFont="1" applyFill="1" applyAlignment="1">
      <alignment horizontal="left"/>
    </xf>
    <xf numFmtId="0" fontId="79" fillId="21" borderId="0" xfId="0" applyFont="1" applyFill="1"/>
    <xf numFmtId="0" fontId="78" fillId="6" borderId="0" xfId="0" applyFont="1" applyFill="1" applyAlignment="1">
      <alignment horizontal="center" vertical="center" wrapText="1"/>
    </xf>
    <xf numFmtId="0" fontId="78" fillId="7" borderId="0" xfId="0" applyFont="1" applyFill="1" applyAlignment="1">
      <alignment horizontal="left" vertical="center"/>
    </xf>
    <xf numFmtId="0" fontId="78" fillId="7" borderId="0" xfId="0" applyFont="1" applyFill="1" applyAlignment="1">
      <alignment vertical="center"/>
    </xf>
    <xf numFmtId="0" fontId="78" fillId="18" borderId="0" xfId="0" applyFont="1" applyFill="1" applyAlignment="1">
      <alignment horizontal="left"/>
    </xf>
    <xf numFmtId="2" fontId="79" fillId="18" borderId="0" xfId="0" applyNumberFormat="1" applyFont="1" applyFill="1" applyAlignment="1">
      <alignment horizontal="left"/>
    </xf>
    <xf numFmtId="167" fontId="79" fillId="18" borderId="0" xfId="0" applyNumberFormat="1" applyFont="1" applyFill="1"/>
    <xf numFmtId="0" fontId="79" fillId="18" borderId="0" xfId="0" applyFont="1" applyFill="1"/>
    <xf numFmtId="20" fontId="79" fillId="2" borderId="0" xfId="0" applyNumberFormat="1" applyFont="1" applyFill="1" applyAlignment="1">
      <alignment horizontal="left"/>
    </xf>
    <xf numFmtId="0" fontId="78" fillId="4" borderId="0" xfId="0" applyFont="1" applyFill="1" applyAlignment="1">
      <alignment horizontal="left" vertical="center"/>
    </xf>
    <xf numFmtId="0" fontId="78" fillId="24" borderId="0" xfId="0" applyFont="1" applyFill="1" applyAlignment="1">
      <alignment horizontal="left" vertical="center"/>
    </xf>
    <xf numFmtId="2" fontId="78" fillId="10" borderId="0" xfId="0" applyNumberFormat="1" applyFont="1" applyFill="1" applyAlignment="1">
      <alignment horizontal="left" vertical="center"/>
    </xf>
    <xf numFmtId="0" fontId="78" fillId="7" borderId="0" xfId="0" applyFont="1" applyFill="1" applyAlignment="1">
      <alignment horizontal="left"/>
    </xf>
    <xf numFmtId="0" fontId="79" fillId="0" borderId="0" xfId="0" applyFont="1" applyAlignment="1">
      <alignment horizontal="left"/>
    </xf>
    <xf numFmtId="49" fontId="79" fillId="2" borderId="0" xfId="0" applyNumberFormat="1" applyFont="1" applyFill="1" applyAlignment="1">
      <alignment horizontal="left"/>
    </xf>
    <xf numFmtId="0" fontId="78" fillId="18" borderId="0" xfId="0" applyFont="1" applyFill="1"/>
    <xf numFmtId="0" fontId="79" fillId="18" borderId="0" xfId="0" applyFont="1" applyFill="1" applyAlignment="1">
      <alignment horizontal="left"/>
    </xf>
    <xf numFmtId="0" fontId="79" fillId="26" borderId="0" xfId="0" applyFont="1" applyFill="1" applyAlignment="1">
      <alignment vertical="center" wrapText="1"/>
    </xf>
    <xf numFmtId="0" fontId="78" fillId="11" borderId="0" xfId="0" applyFont="1" applyFill="1" applyAlignment="1">
      <alignment vertical="center" wrapText="1"/>
    </xf>
    <xf numFmtId="0" fontId="78" fillId="14" borderId="0" xfId="0" applyFont="1" applyFill="1" applyAlignment="1">
      <alignment horizontal="left" vertical="center"/>
    </xf>
    <xf numFmtId="1" fontId="79" fillId="2" borderId="0" xfId="0" applyNumberFormat="1" applyFont="1" applyFill="1" applyAlignment="1">
      <alignment horizontal="left"/>
    </xf>
    <xf numFmtId="0" fontId="79" fillId="11" borderId="0" xfId="0" applyFont="1" applyFill="1" applyAlignment="1">
      <alignment vertical="center" wrapText="1"/>
    </xf>
    <xf numFmtId="49" fontId="79" fillId="26" borderId="0" xfId="0" applyNumberFormat="1" applyFont="1" applyFill="1" applyAlignment="1">
      <alignment vertical="center" textRotation="255"/>
    </xf>
    <xf numFmtId="0" fontId="78" fillId="10" borderId="0" xfId="0" applyFont="1" applyFill="1" applyAlignment="1">
      <alignment vertical="center" wrapText="1"/>
    </xf>
    <xf numFmtId="0" fontId="78" fillId="10" borderId="0" xfId="0" applyFont="1" applyFill="1" applyAlignment="1">
      <alignment horizontal="left" vertical="center" wrapText="1"/>
    </xf>
    <xf numFmtId="0" fontId="78" fillId="2" borderId="0" xfId="0" applyFont="1" applyFill="1" applyAlignment="1">
      <alignment horizontal="left" vertical="center"/>
    </xf>
    <xf numFmtId="0" fontId="79" fillId="2" borderId="0" xfId="0" applyFont="1" applyFill="1" applyAlignment="1">
      <alignment vertical="center"/>
    </xf>
    <xf numFmtId="18" fontId="79" fillId="18" borderId="0" xfId="0" applyNumberFormat="1" applyFont="1" applyFill="1"/>
    <xf numFmtId="0" fontId="78" fillId="22" borderId="0" xfId="0" applyFont="1" applyFill="1" applyAlignment="1">
      <alignment horizontal="right"/>
    </xf>
    <xf numFmtId="0" fontId="79" fillId="22" borderId="0" xfId="0" applyFont="1" applyFill="1" applyAlignment="1">
      <alignment horizontal="left" vertical="center"/>
    </xf>
    <xf numFmtId="0" fontId="78" fillId="22" borderId="0" xfId="0" applyFont="1" applyFill="1" applyAlignment="1">
      <alignment horizontal="left" vertical="center"/>
    </xf>
    <xf numFmtId="0" fontId="78" fillId="22" borderId="0" xfId="0" applyFont="1" applyFill="1" applyAlignment="1">
      <alignment vertical="center"/>
    </xf>
    <xf numFmtId="1" fontId="78" fillId="22" borderId="0" xfId="0" applyNumberFormat="1" applyFont="1" applyFill="1" applyAlignment="1">
      <alignment horizontal="left" vertical="center"/>
    </xf>
    <xf numFmtId="0" fontId="79" fillId="22" borderId="0" xfId="0" applyFont="1" applyFill="1" applyAlignment="1">
      <alignment horizontal="right"/>
    </xf>
    <xf numFmtId="0" fontId="78" fillId="0" borderId="0" xfId="0" applyFont="1" applyAlignment="1">
      <alignment horizontal="left"/>
    </xf>
    <xf numFmtId="20" fontId="78" fillId="0" borderId="0" xfId="0" applyNumberFormat="1" applyFont="1" applyAlignment="1">
      <alignment horizontal="left"/>
    </xf>
    <xf numFmtId="0" fontId="78" fillId="0" borderId="0" xfId="0" applyFont="1" applyAlignment="1">
      <alignment horizontal="left" vertical="center"/>
    </xf>
    <xf numFmtId="2" fontId="78" fillId="0" borderId="0" xfId="0" applyNumberFormat="1" applyFont="1" applyAlignment="1">
      <alignment horizontal="left" vertical="center"/>
    </xf>
    <xf numFmtId="0" fontId="78" fillId="0" borderId="0" xfId="0" applyFont="1"/>
    <xf numFmtId="2" fontId="78" fillId="0" borderId="0" xfId="0" applyNumberFormat="1" applyFont="1" applyAlignment="1">
      <alignment horizontal="left"/>
    </xf>
    <xf numFmtId="167" fontId="78" fillId="0" borderId="0" xfId="0" applyNumberFormat="1" applyFont="1"/>
    <xf numFmtId="14" fontId="7" fillId="2" borderId="0" xfId="0" applyNumberFormat="1" applyFont="1" applyFill="1" applyAlignment="1">
      <alignment horizontal="center" vertical="center" wrapText="1"/>
    </xf>
    <xf numFmtId="14" fontId="7" fillId="6" borderId="0" xfId="0" applyNumberFormat="1" applyFont="1" applyFill="1" applyAlignment="1">
      <alignment vertical="center" wrapText="1"/>
    </xf>
    <xf numFmtId="0" fontId="7" fillId="6" borderId="0" xfId="0" applyFont="1" applyFill="1" applyAlignment="1">
      <alignment horizontal="center" vertical="center" wrapText="1"/>
    </xf>
    <xf numFmtId="0" fontId="7" fillId="7" borderId="0" xfId="0" applyFont="1" applyFill="1" applyAlignment="1">
      <alignment horizontal="left" vertical="center"/>
    </xf>
    <xf numFmtId="0" fontId="7" fillId="7" borderId="0" xfId="0" applyFont="1" applyFill="1" applyAlignment="1">
      <alignment vertical="center"/>
    </xf>
    <xf numFmtId="0" fontId="7" fillId="22" borderId="0" xfId="0" applyFont="1" applyFill="1" applyAlignment="1">
      <alignment horizontal="right"/>
    </xf>
    <xf numFmtId="0" fontId="6" fillId="22" borderId="0" xfId="0" applyFont="1" applyFill="1" applyAlignment="1">
      <alignment horizontal="left" vertical="center"/>
    </xf>
    <xf numFmtId="0" fontId="7" fillId="22" borderId="0" xfId="0" applyFont="1" applyFill="1" applyAlignment="1">
      <alignment horizontal="left" vertical="center"/>
    </xf>
    <xf numFmtId="0" fontId="7" fillId="22" borderId="0" xfId="0" applyFont="1" applyFill="1" applyAlignment="1">
      <alignment vertical="center"/>
    </xf>
    <xf numFmtId="1" fontId="7" fillId="22" borderId="0" xfId="0" applyNumberFormat="1" applyFont="1" applyFill="1" applyAlignment="1">
      <alignment horizontal="left" vertical="center"/>
    </xf>
    <xf numFmtId="0" fontId="6" fillId="22" borderId="0" xfId="0" applyFont="1" applyFill="1" applyAlignment="1">
      <alignment horizontal="right"/>
    </xf>
    <xf numFmtId="0" fontId="13" fillId="2" borderId="32" xfId="0" applyFont="1" applyFill="1" applyBorder="1" applyAlignment="1">
      <alignment horizontal="right" vertical="center"/>
    </xf>
    <xf numFmtId="0" fontId="55" fillId="2" borderId="32" xfId="0" applyFont="1" applyFill="1" applyBorder="1" applyAlignment="1">
      <alignment horizontal="right" vertical="center"/>
    </xf>
    <xf numFmtId="2" fontId="57" fillId="2" borderId="32" xfId="0" applyNumberFormat="1" applyFont="1" applyFill="1" applyBorder="1" applyAlignment="1">
      <alignment horizontal="right" vertical="center"/>
    </xf>
    <xf numFmtId="167" fontId="6" fillId="2" borderId="0" xfId="0" applyNumberFormat="1" applyFont="1" applyFill="1" applyAlignment="1">
      <alignment horizontal="left"/>
    </xf>
    <xf numFmtId="0" fontId="55" fillId="20" borderId="0" xfId="0" applyFont="1" applyFill="1" applyAlignment="1">
      <alignment horizontal="right" vertical="center"/>
    </xf>
    <xf numFmtId="0" fontId="13" fillId="20" borderId="0" xfId="0" applyFont="1" applyFill="1" applyAlignment="1">
      <alignment horizontal="right" vertical="center"/>
    </xf>
    <xf numFmtId="1" fontId="7" fillId="2" borderId="0" xfId="0" applyNumberFormat="1" applyFont="1" applyFill="1" applyAlignment="1">
      <alignment horizontal="left"/>
    </xf>
    <xf numFmtId="0" fontId="18" fillId="2" borderId="0" xfId="0" applyFont="1" applyFill="1" applyAlignment="1">
      <alignment horizontal="right" vertical="center"/>
    </xf>
    <xf numFmtId="0" fontId="20" fillId="58" borderId="0" xfId="0" applyFont="1" applyFill="1"/>
    <xf numFmtId="0" fontId="13" fillId="58" borderId="0" xfId="0" applyFont="1" applyFill="1" applyAlignment="1">
      <alignment horizontal="right" vertical="center"/>
    </xf>
    <xf numFmtId="0" fontId="55" fillId="58" borderId="0" xfId="0" applyFont="1" applyFill="1" applyAlignment="1">
      <alignment horizontal="right" vertical="center"/>
    </xf>
    <xf numFmtId="2" fontId="57" fillId="58" borderId="0" xfId="0" applyNumberFormat="1" applyFont="1" applyFill="1" applyAlignment="1">
      <alignment horizontal="right" vertical="center"/>
    </xf>
    <xf numFmtId="0" fontId="37" fillId="25" borderId="0" xfId="0" applyFont="1" applyFill="1" applyAlignment="1">
      <alignment horizontal="left"/>
    </xf>
    <xf numFmtId="0" fontId="13" fillId="25" borderId="0" xfId="0" applyFont="1" applyFill="1" applyAlignment="1">
      <alignment horizontal="right" vertical="center"/>
    </xf>
    <xf numFmtId="0" fontId="6" fillId="25" borderId="0" xfId="0" applyFont="1" applyFill="1"/>
    <xf numFmtId="0" fontId="55" fillId="25" borderId="0" xfId="0" applyFont="1" applyFill="1" applyAlignment="1">
      <alignment horizontal="right" vertical="center"/>
    </xf>
    <xf numFmtId="2" fontId="57" fillId="25" borderId="0" xfId="0" applyNumberFormat="1" applyFont="1" applyFill="1" applyAlignment="1">
      <alignment horizontal="right" vertical="center"/>
    </xf>
    <xf numFmtId="0" fontId="13" fillId="59" borderId="0" xfId="0" applyFont="1" applyFill="1" applyAlignment="1">
      <alignment horizontal="right" vertical="center"/>
    </xf>
    <xf numFmtId="0" fontId="6" fillId="59" borderId="0" xfId="0" applyFont="1" applyFill="1"/>
    <xf numFmtId="0" fontId="20" fillId="59" borderId="0" xfId="0" applyFont="1" applyFill="1"/>
    <xf numFmtId="0" fontId="55" fillId="59" borderId="0" xfId="0" applyFont="1" applyFill="1" applyAlignment="1">
      <alignment horizontal="right" vertical="center"/>
    </xf>
    <xf numFmtId="2" fontId="57" fillId="59" borderId="0" xfId="0" applyNumberFormat="1" applyFont="1" applyFill="1" applyAlignment="1">
      <alignment horizontal="right" vertical="center"/>
    </xf>
    <xf numFmtId="0" fontId="6" fillId="37" borderId="0" xfId="0" applyFont="1" applyFill="1" applyAlignment="1">
      <alignment horizontal="left"/>
    </xf>
    <xf numFmtId="0" fontId="6" fillId="37" borderId="0" xfId="0" applyFont="1" applyFill="1"/>
    <xf numFmtId="0" fontId="20" fillId="37" borderId="0" xfId="0" applyFont="1" applyFill="1"/>
    <xf numFmtId="0" fontId="55" fillId="37" borderId="0" xfId="0" applyFont="1" applyFill="1" applyAlignment="1">
      <alignment horizontal="right" vertical="center"/>
    </xf>
    <xf numFmtId="2" fontId="57" fillId="37" borderId="0" xfId="0" applyNumberFormat="1" applyFont="1" applyFill="1" applyAlignment="1">
      <alignment horizontal="right" vertical="center"/>
    </xf>
    <xf numFmtId="44" fontId="20" fillId="2" borderId="0" xfId="1" applyFont="1" applyFill="1" applyAlignment="1">
      <alignment vertical="center"/>
    </xf>
    <xf numFmtId="49" fontId="6" fillId="2" borderId="0" xfId="0" applyNumberFormat="1" applyFont="1" applyFill="1"/>
    <xf numFmtId="49" fontId="37" fillId="2" borderId="0" xfId="0" applyNumberFormat="1" applyFont="1" applyFill="1" applyAlignment="1">
      <alignment horizontal="left"/>
    </xf>
    <xf numFmtId="20" fontId="37" fillId="57" borderId="0" xfId="0" applyNumberFormat="1" applyFont="1" applyFill="1" applyAlignment="1">
      <alignment horizontal="left"/>
    </xf>
    <xf numFmtId="20" fontId="6" fillId="2" borderId="0" xfId="0" applyNumberFormat="1" applyFont="1" applyFill="1"/>
    <xf numFmtId="14" fontId="6" fillId="2" borderId="0" xfId="0" applyNumberFormat="1" applyFont="1" applyFill="1" applyAlignment="1">
      <alignment horizontal="right"/>
    </xf>
    <xf numFmtId="0" fontId="7" fillId="60" borderId="0" xfId="0" applyFont="1" applyFill="1" applyAlignment="1">
      <alignment horizontal="left"/>
    </xf>
    <xf numFmtId="0" fontId="7" fillId="60" borderId="0" xfId="0" applyFont="1" applyFill="1"/>
    <xf numFmtId="0" fontId="6" fillId="2" borderId="0" xfId="7" applyFont="1" applyFill="1"/>
    <xf numFmtId="0" fontId="6" fillId="2" borderId="0" xfId="7" applyFont="1" applyFill="1" applyAlignment="1">
      <alignment horizontal="left"/>
    </xf>
    <xf numFmtId="0" fontId="37" fillId="2" borderId="0" xfId="7" applyFont="1" applyFill="1" applyAlignment="1">
      <alignment horizontal="left"/>
    </xf>
    <xf numFmtId="0" fontId="6" fillId="23" borderId="0" xfId="7" applyFont="1" applyFill="1"/>
    <xf numFmtId="0" fontId="2" fillId="0" borderId="0" xfId="7"/>
    <xf numFmtId="0" fontId="13" fillId="2" borderId="0" xfId="7" applyFont="1" applyFill="1" applyAlignment="1">
      <alignment horizontal="right" vertical="center"/>
    </xf>
    <xf numFmtId="0" fontId="55" fillId="2" borderId="0" xfId="7" applyFont="1" applyFill="1" applyAlignment="1">
      <alignment horizontal="right" vertical="center"/>
    </xf>
    <xf numFmtId="2" fontId="57" fillId="2" borderId="0" xfId="7" applyNumberFormat="1" applyFont="1" applyFill="1" applyAlignment="1">
      <alignment vertical="center"/>
    </xf>
    <xf numFmtId="4" fontId="20" fillId="2" borderId="34" xfId="7" applyNumberFormat="1" applyFont="1" applyFill="1" applyBorder="1" applyAlignment="1">
      <alignment horizontal="right" vertical="center"/>
    </xf>
    <xf numFmtId="4" fontId="20" fillId="2" borderId="35" xfId="7" applyNumberFormat="1" applyFont="1" applyFill="1" applyBorder="1" applyAlignment="1">
      <alignment horizontal="right" vertical="center"/>
    </xf>
    <xf numFmtId="14" fontId="33" fillId="6" borderId="0" xfId="7" applyNumberFormat="1" applyFont="1" applyFill="1" applyAlignment="1">
      <alignment horizontal="left" vertical="center" wrapText="1"/>
    </xf>
    <xf numFmtId="4" fontId="80" fillId="2" borderId="34" xfId="7" applyNumberFormat="1" applyFont="1" applyFill="1" applyBorder="1" applyAlignment="1">
      <alignment horizontal="right" vertical="center"/>
    </xf>
    <xf numFmtId="0" fontId="81" fillId="2" borderId="0" xfId="7" applyFont="1" applyFill="1"/>
    <xf numFmtId="0" fontId="7" fillId="18" borderId="0" xfId="7" applyFont="1" applyFill="1"/>
    <xf numFmtId="0" fontId="6" fillId="18" borderId="0" xfId="7" applyFont="1" applyFill="1"/>
    <xf numFmtId="2" fontId="37" fillId="2" borderId="0" xfId="7" applyNumberFormat="1" applyFont="1" applyFill="1" applyAlignment="1">
      <alignment horizontal="left"/>
    </xf>
    <xf numFmtId="0" fontId="20" fillId="2" borderId="0" xfId="7" applyFont="1" applyFill="1"/>
    <xf numFmtId="2" fontId="56" fillId="2" borderId="0" xfId="7" applyNumberFormat="1" applyFont="1" applyFill="1"/>
    <xf numFmtId="0" fontId="37" fillId="20" borderId="0" xfId="7" applyFont="1" applyFill="1" applyAlignment="1">
      <alignment horizontal="left"/>
    </xf>
    <xf numFmtId="0" fontId="13" fillId="20" borderId="0" xfId="7" applyFont="1" applyFill="1" applyAlignment="1">
      <alignment horizontal="right" vertical="center"/>
    </xf>
    <xf numFmtId="0" fontId="20" fillId="20" borderId="0" xfId="7" applyFont="1" applyFill="1"/>
    <xf numFmtId="0" fontId="55" fillId="20" borderId="0" xfId="7" applyFont="1" applyFill="1" applyAlignment="1">
      <alignment horizontal="right" vertical="center"/>
    </xf>
    <xf numFmtId="0" fontId="6" fillId="20" borderId="0" xfId="7" applyFont="1" applyFill="1"/>
    <xf numFmtId="2" fontId="57" fillId="20" borderId="0" xfId="7" applyNumberFormat="1" applyFont="1" applyFill="1" applyAlignment="1">
      <alignment vertical="center"/>
    </xf>
    <xf numFmtId="2" fontId="80" fillId="2" borderId="0" xfId="7" applyNumberFormat="1" applyFont="1" applyFill="1" applyAlignment="1">
      <alignment vertical="center"/>
    </xf>
    <xf numFmtId="2" fontId="20" fillId="2" borderId="0" xfId="7" applyNumberFormat="1" applyFont="1" applyFill="1" applyAlignment="1">
      <alignment vertical="center"/>
    </xf>
    <xf numFmtId="0" fontId="8" fillId="24" borderId="0" xfId="7" applyFont="1" applyFill="1" applyAlignment="1">
      <alignment horizontal="left" vertical="center"/>
    </xf>
    <xf numFmtId="0" fontId="37" fillId="12" borderId="0" xfId="7" applyFont="1" applyFill="1"/>
    <xf numFmtId="0" fontId="56" fillId="2" borderId="0" xfId="7" applyFont="1" applyFill="1"/>
    <xf numFmtId="0" fontId="6" fillId="8" borderId="0" xfId="7" applyFont="1" applyFill="1"/>
    <xf numFmtId="0" fontId="20" fillId="2" borderId="0" xfId="7" applyFont="1" applyFill="1" applyAlignment="1">
      <alignment horizontal="left"/>
    </xf>
    <xf numFmtId="2" fontId="13" fillId="2" borderId="0" xfId="7" applyNumberFormat="1" applyFont="1" applyFill="1" applyAlignment="1">
      <alignment horizontal="right" vertical="center"/>
    </xf>
    <xf numFmtId="0" fontId="32" fillId="2" borderId="0" xfId="7" applyFont="1" applyFill="1"/>
    <xf numFmtId="2" fontId="6" fillId="2" borderId="0" xfId="7" applyNumberFormat="1" applyFont="1" applyFill="1"/>
    <xf numFmtId="0" fontId="36" fillId="23" borderId="0" xfId="7" applyFont="1" applyFill="1" applyAlignment="1">
      <alignment horizontal="right"/>
    </xf>
    <xf numFmtId="0" fontId="37" fillId="23" borderId="0" xfId="7" applyFont="1" applyFill="1" applyAlignment="1">
      <alignment horizontal="left" vertical="center"/>
    </xf>
    <xf numFmtId="0" fontId="36" fillId="23" borderId="0" xfId="7" applyFont="1" applyFill="1" applyAlignment="1">
      <alignment horizontal="left" vertical="center"/>
    </xf>
    <xf numFmtId="0" fontId="36" fillId="23" borderId="0" xfId="7" applyFont="1" applyFill="1" applyAlignment="1">
      <alignment vertical="center"/>
    </xf>
    <xf numFmtId="1" fontId="36" fillId="23" borderId="0" xfId="7" applyNumberFormat="1" applyFont="1" applyFill="1" applyAlignment="1">
      <alignment horizontal="left" vertical="center"/>
    </xf>
    <xf numFmtId="0" fontId="6" fillId="23" borderId="0" xfId="7" applyFont="1" applyFill="1" applyAlignment="1">
      <alignment horizontal="left"/>
    </xf>
    <xf numFmtId="0" fontId="6" fillId="23" borderId="0" xfId="7" applyFont="1" applyFill="1" applyAlignment="1">
      <alignment horizontal="right"/>
    </xf>
    <xf numFmtId="14" fontId="10" fillId="2" borderId="0" xfId="7" applyNumberFormat="1" applyFont="1" applyFill="1" applyAlignment="1">
      <alignment horizontal="center" vertical="center" wrapText="1"/>
    </xf>
    <xf numFmtId="14" fontId="67" fillId="6" borderId="0" xfId="7" applyNumberFormat="1" applyFont="1" applyFill="1" applyAlignment="1">
      <alignment vertical="center" wrapText="1"/>
    </xf>
    <xf numFmtId="14" fontId="10" fillId="6" borderId="0" xfId="7" applyNumberFormat="1" applyFont="1" applyFill="1" applyAlignment="1">
      <alignment vertical="center" wrapText="1"/>
    </xf>
    <xf numFmtId="0" fontId="30" fillId="23" borderId="0" xfId="7" applyFont="1" applyFill="1"/>
    <xf numFmtId="0" fontId="7" fillId="21" borderId="0" xfId="7" applyFont="1" applyFill="1" applyAlignment="1">
      <alignment horizontal="left"/>
    </xf>
    <xf numFmtId="0" fontId="6" fillId="21" borderId="0" xfId="7" applyFont="1" applyFill="1"/>
    <xf numFmtId="0" fontId="13" fillId="6" borderId="0" xfId="7" applyFont="1" applyFill="1" applyAlignment="1">
      <alignment horizontal="center" vertical="center" wrapText="1"/>
    </xf>
    <xf numFmtId="0" fontId="10" fillId="7" borderId="0" xfId="7" applyFont="1" applyFill="1" applyAlignment="1">
      <alignment horizontal="left" vertical="center"/>
    </xf>
    <xf numFmtId="0" fontId="36" fillId="7" borderId="0" xfId="7" applyFont="1" applyFill="1" applyAlignment="1">
      <alignment vertical="center"/>
    </xf>
    <xf numFmtId="0" fontId="10" fillId="7" borderId="0" xfId="7" applyFont="1" applyFill="1" applyAlignment="1">
      <alignment vertical="center"/>
    </xf>
    <xf numFmtId="0" fontId="30" fillId="2" borderId="0" xfId="7" applyFont="1" applyFill="1"/>
    <xf numFmtId="0" fontId="7" fillId="18" borderId="0" xfId="7" applyFont="1" applyFill="1" applyAlignment="1">
      <alignment horizontal="left"/>
    </xf>
    <xf numFmtId="2" fontId="8" fillId="18" borderId="0" xfId="7" applyNumberFormat="1" applyFont="1" applyFill="1" applyAlignment="1">
      <alignment horizontal="left"/>
    </xf>
    <xf numFmtId="167" fontId="6" fillId="18" borderId="0" xfId="7" applyNumberFormat="1" applyFont="1" applyFill="1"/>
    <xf numFmtId="20" fontId="32" fillId="2" borderId="0" xfId="7" applyNumberFormat="1" applyFont="1" applyFill="1" applyAlignment="1">
      <alignment horizontal="left"/>
    </xf>
    <xf numFmtId="0" fontId="41" fillId="4" borderId="0" xfId="7" applyFont="1" applyFill="1" applyAlignment="1">
      <alignment horizontal="left" vertical="center"/>
    </xf>
    <xf numFmtId="0" fontId="36" fillId="24" borderId="0" xfId="7" applyFont="1" applyFill="1" applyAlignment="1">
      <alignment horizontal="left" vertical="center"/>
    </xf>
    <xf numFmtId="20" fontId="70" fillId="2" borderId="0" xfId="7" applyNumberFormat="1" applyFont="1" applyFill="1" applyAlignment="1">
      <alignment horizontal="left"/>
    </xf>
    <xf numFmtId="0" fontId="48" fillId="4" borderId="0" xfId="7" applyFont="1" applyFill="1" applyAlignment="1">
      <alignment horizontal="left" vertical="center"/>
    </xf>
    <xf numFmtId="0" fontId="48" fillId="24" borderId="0" xfId="7" applyFont="1" applyFill="1" applyAlignment="1">
      <alignment horizontal="left" vertical="center"/>
    </xf>
    <xf numFmtId="0" fontId="70" fillId="2" borderId="0" xfId="7" applyFont="1" applyFill="1" applyAlignment="1">
      <alignment horizontal="left"/>
    </xf>
    <xf numFmtId="2" fontId="48" fillId="10" borderId="0" xfId="7" applyNumberFormat="1" applyFont="1" applyFill="1" applyAlignment="1">
      <alignment horizontal="left" vertical="center"/>
    </xf>
    <xf numFmtId="0" fontId="48" fillId="7" borderId="0" xfId="7" applyFont="1" applyFill="1" applyAlignment="1">
      <alignment horizontal="left"/>
    </xf>
    <xf numFmtId="20" fontId="70" fillId="2" borderId="0" xfId="7" applyNumberFormat="1" applyFont="1" applyFill="1" applyAlignment="1">
      <alignment horizontal="center"/>
    </xf>
    <xf numFmtId="2" fontId="6" fillId="18" borderId="0" xfId="7" applyNumberFormat="1" applyFont="1" applyFill="1" applyAlignment="1">
      <alignment horizontal="left"/>
    </xf>
    <xf numFmtId="20" fontId="6" fillId="2" borderId="0" xfId="7" applyNumberFormat="1" applyFont="1" applyFill="1" applyAlignment="1">
      <alignment horizontal="left"/>
    </xf>
    <xf numFmtId="167" fontId="8" fillId="18" borderId="0" xfId="7" applyNumberFormat="1" applyFont="1" applyFill="1"/>
    <xf numFmtId="0" fontId="8" fillId="18" borderId="0" xfId="7" applyFont="1" applyFill="1"/>
    <xf numFmtId="0" fontId="6" fillId="2" borderId="0" xfId="7" applyFont="1" applyFill="1" applyAlignment="1">
      <alignment vertical="center" wrapText="1"/>
    </xf>
    <xf numFmtId="0" fontId="12" fillId="18" borderId="0" xfId="7" applyFont="1" applyFill="1" applyAlignment="1">
      <alignment horizontal="left"/>
    </xf>
    <xf numFmtId="0" fontId="9" fillId="2" borderId="0" xfId="7" applyFont="1" applyFill="1" applyAlignment="1">
      <alignment vertical="center" wrapText="1"/>
    </xf>
    <xf numFmtId="0" fontId="48" fillId="14" borderId="0" xfId="7" applyFont="1" applyFill="1" applyAlignment="1">
      <alignment horizontal="left" vertical="center"/>
    </xf>
    <xf numFmtId="0" fontId="7" fillId="14" borderId="0" xfId="7" applyFont="1" applyFill="1" applyAlignment="1">
      <alignment horizontal="left" vertical="center"/>
    </xf>
    <xf numFmtId="1" fontId="70" fillId="2" borderId="0" xfId="7" applyNumberFormat="1" applyFont="1" applyFill="1" applyAlignment="1">
      <alignment horizontal="left"/>
    </xf>
    <xf numFmtId="49" fontId="32" fillId="2" borderId="0" xfId="7" applyNumberFormat="1" applyFont="1" applyFill="1" applyAlignment="1">
      <alignment horizontal="left" vertical="center" textRotation="255"/>
    </xf>
    <xf numFmtId="0" fontId="15" fillId="10" borderId="0" xfId="7" applyFont="1" applyFill="1" applyAlignment="1">
      <alignment vertical="center" wrapText="1"/>
    </xf>
    <xf numFmtId="0" fontId="41" fillId="10" borderId="0" xfId="7" applyFont="1" applyFill="1" applyAlignment="1">
      <alignment horizontal="left" vertical="center" wrapText="1"/>
    </xf>
    <xf numFmtId="0" fontId="7" fillId="10" borderId="0" xfId="7" applyFont="1" applyFill="1" applyAlignment="1">
      <alignment vertical="center" wrapText="1"/>
    </xf>
    <xf numFmtId="0" fontId="48" fillId="10" borderId="0" xfId="7" applyFont="1" applyFill="1" applyAlignment="1">
      <alignment vertical="center" wrapText="1"/>
    </xf>
    <xf numFmtId="0" fontId="48" fillId="10" borderId="0" xfId="7" applyFont="1" applyFill="1" applyAlignment="1">
      <alignment horizontal="left" vertical="center" wrapText="1"/>
    </xf>
    <xf numFmtId="18" fontId="6" fillId="18" borderId="0" xfId="7" applyNumberFormat="1" applyFont="1" applyFill="1"/>
    <xf numFmtId="0" fontId="15" fillId="11" borderId="0" xfId="7" applyFont="1" applyFill="1" applyAlignment="1">
      <alignment vertical="center" wrapText="1"/>
    </xf>
    <xf numFmtId="0" fontId="15" fillId="4" borderId="0" xfId="7" applyFont="1" applyFill="1" applyAlignment="1">
      <alignment horizontal="left" vertical="center"/>
    </xf>
    <xf numFmtId="0" fontId="36" fillId="2" borderId="0" xfId="7" applyFont="1" applyFill="1" applyAlignment="1">
      <alignment horizontal="left" vertical="center"/>
    </xf>
    <xf numFmtId="0" fontId="48" fillId="7" borderId="0" xfId="7" applyFont="1" applyFill="1" applyAlignment="1">
      <alignment horizontal="left" vertical="center"/>
    </xf>
    <xf numFmtId="0" fontId="7" fillId="2" borderId="0" xfId="7" applyFont="1" applyFill="1" applyAlignment="1">
      <alignment horizontal="left" vertical="center"/>
    </xf>
    <xf numFmtId="0" fontId="6" fillId="2" borderId="0" xfId="7" applyFont="1" applyFill="1" applyAlignment="1">
      <alignment vertical="center"/>
    </xf>
    <xf numFmtId="2" fontId="36" fillId="10" borderId="0" xfId="7" applyNumberFormat="1" applyFont="1" applyFill="1" applyAlignment="1">
      <alignment horizontal="left" vertical="center"/>
    </xf>
    <xf numFmtId="0" fontId="36" fillId="22" borderId="0" xfId="7" applyFont="1" applyFill="1" applyAlignment="1">
      <alignment horizontal="right"/>
    </xf>
    <xf numFmtId="0" fontId="37" fillId="22" borderId="0" xfId="7" applyFont="1" applyFill="1" applyAlignment="1">
      <alignment horizontal="left" vertical="center"/>
    </xf>
    <xf numFmtId="0" fontId="36" fillId="22" borderId="0" xfId="7" applyFont="1" applyFill="1" applyAlignment="1">
      <alignment horizontal="left" vertical="center"/>
    </xf>
    <xf numFmtId="0" fontId="36" fillId="22" borderId="0" xfId="7" applyFont="1" applyFill="1" applyAlignment="1">
      <alignment vertical="center"/>
    </xf>
    <xf numFmtId="1" fontId="36" fillId="22" borderId="0" xfId="7" applyNumberFormat="1" applyFont="1" applyFill="1" applyAlignment="1">
      <alignment horizontal="left" vertical="center"/>
    </xf>
    <xf numFmtId="20" fontId="68" fillId="2" borderId="0" xfId="7" applyNumberFormat="1" applyFont="1" applyFill="1" applyAlignment="1">
      <alignment horizontal="left"/>
    </xf>
    <xf numFmtId="0" fontId="69" fillId="4" borderId="0" xfId="7" applyFont="1" applyFill="1" applyAlignment="1">
      <alignment horizontal="left" vertical="center"/>
    </xf>
    <xf numFmtId="0" fontId="69" fillId="24" borderId="0" xfId="7" applyFont="1" applyFill="1" applyAlignment="1">
      <alignment horizontal="left" vertical="center"/>
    </xf>
    <xf numFmtId="0" fontId="68" fillId="2" borderId="0" xfId="7" applyFont="1" applyFill="1" applyAlignment="1">
      <alignment horizontal="left"/>
    </xf>
    <xf numFmtId="2" fontId="69" fillId="10" borderId="0" xfId="7" applyNumberFormat="1" applyFont="1" applyFill="1" applyAlignment="1">
      <alignment horizontal="left" vertical="center"/>
    </xf>
    <xf numFmtId="0" fontId="69" fillId="7" borderId="0" xfId="7" applyFont="1" applyFill="1" applyAlignment="1">
      <alignment horizontal="left"/>
    </xf>
    <xf numFmtId="20" fontId="68" fillId="2" borderId="0" xfId="7" applyNumberFormat="1" applyFont="1" applyFill="1" applyAlignment="1">
      <alignment horizontal="center"/>
    </xf>
    <xf numFmtId="2" fontId="7" fillId="10" borderId="0" xfId="7" applyNumberFormat="1" applyFont="1" applyFill="1" applyAlignment="1">
      <alignment horizontal="left" vertical="center"/>
    </xf>
    <xf numFmtId="0" fontId="69" fillId="14" borderId="0" xfId="7" applyFont="1" applyFill="1" applyAlignment="1">
      <alignment horizontal="left" vertical="center"/>
    </xf>
    <xf numFmtId="0" fontId="6" fillId="35" borderId="0" xfId="7" applyFont="1" applyFill="1" applyAlignment="1">
      <alignment vertical="center" wrapText="1"/>
    </xf>
    <xf numFmtId="0" fontId="69" fillId="10" borderId="0" xfId="7" applyFont="1" applyFill="1" applyAlignment="1">
      <alignment vertical="center" wrapText="1"/>
    </xf>
    <xf numFmtId="0" fontId="69" fillId="10" borderId="0" xfId="7" applyFont="1" applyFill="1" applyAlignment="1">
      <alignment horizontal="left" vertical="center" wrapText="1"/>
    </xf>
    <xf numFmtId="0" fontId="69" fillId="2" borderId="0" xfId="7" applyFont="1" applyFill="1" applyAlignment="1">
      <alignment horizontal="left" vertical="center"/>
    </xf>
    <xf numFmtId="0" fontId="69" fillId="7" borderId="0" xfId="7" applyFont="1" applyFill="1" applyAlignment="1">
      <alignment horizontal="left" vertical="center"/>
    </xf>
    <xf numFmtId="2" fontId="12" fillId="10" borderId="0" xfId="7" applyNumberFormat="1" applyFont="1" applyFill="1" applyAlignment="1">
      <alignment horizontal="left" vertical="center"/>
    </xf>
    <xf numFmtId="20" fontId="68" fillId="35" borderId="0" xfId="7" applyNumberFormat="1" applyFont="1" applyFill="1" applyAlignment="1">
      <alignment horizontal="left"/>
    </xf>
    <xf numFmtId="0" fontId="69" fillId="35" borderId="0" xfId="7" applyFont="1" applyFill="1" applyAlignment="1">
      <alignment horizontal="left" vertical="center"/>
    </xf>
    <xf numFmtId="2" fontId="69" fillId="35" borderId="0" xfId="7" applyNumberFormat="1" applyFont="1" applyFill="1" applyAlignment="1">
      <alignment horizontal="left" vertical="center"/>
    </xf>
    <xf numFmtId="20" fontId="9" fillId="2" borderId="0" xfId="7" applyNumberFormat="1" applyFont="1" applyFill="1" applyAlignment="1">
      <alignment horizontal="left"/>
    </xf>
    <xf numFmtId="0" fontId="15" fillId="2" borderId="0" xfId="7" applyFont="1" applyFill="1" applyAlignment="1">
      <alignment horizontal="left" vertical="center"/>
    </xf>
    <xf numFmtId="0" fontId="15" fillId="14" borderId="0" xfId="7" applyFont="1" applyFill="1" applyAlignment="1">
      <alignment horizontal="left" vertical="center"/>
    </xf>
    <xf numFmtId="2" fontId="15" fillId="10" borderId="0" xfId="7" applyNumberFormat="1" applyFont="1" applyFill="1" applyAlignment="1">
      <alignment horizontal="left" vertical="center"/>
    </xf>
    <xf numFmtId="0" fontId="15" fillId="7" borderId="0" xfId="7" applyFont="1" applyFill="1" applyAlignment="1">
      <alignment horizontal="left" vertical="center"/>
    </xf>
    <xf numFmtId="0" fontId="9" fillId="2" borderId="0" xfId="7" applyFont="1" applyFill="1" applyAlignment="1">
      <alignment horizontal="left"/>
    </xf>
    <xf numFmtId="0" fontId="9" fillId="23" borderId="0" xfId="7" applyFont="1" applyFill="1"/>
    <xf numFmtId="0" fontId="9" fillId="2" borderId="0" xfId="7" applyFont="1" applyFill="1"/>
    <xf numFmtId="18" fontId="9" fillId="18" borderId="0" xfId="7" applyNumberFormat="1" applyFont="1" applyFill="1"/>
    <xf numFmtId="0" fontId="9" fillId="18" borderId="0" xfId="7" applyFont="1" applyFill="1"/>
    <xf numFmtId="0" fontId="68" fillId="2" borderId="0" xfId="7" applyFont="1" applyFill="1" applyAlignment="1">
      <alignment vertical="center"/>
    </xf>
    <xf numFmtId="0" fontId="68" fillId="2" borderId="0" xfId="7" applyFont="1" applyFill="1"/>
    <xf numFmtId="20" fontId="83" fillId="2" borderId="0" xfId="7" applyNumberFormat="1" applyFont="1" applyFill="1" applyAlignment="1">
      <alignment horizontal="left"/>
    </xf>
    <xf numFmtId="0" fontId="84" fillId="4" borderId="0" xfId="7" applyFont="1" applyFill="1" applyAlignment="1">
      <alignment horizontal="left" vertical="center"/>
    </xf>
    <xf numFmtId="0" fontId="84" fillId="24" borderId="0" xfId="7" applyFont="1" applyFill="1" applyAlignment="1">
      <alignment horizontal="left" vertical="center"/>
    </xf>
    <xf numFmtId="2" fontId="84" fillId="10" borderId="0" xfId="7" applyNumberFormat="1" applyFont="1" applyFill="1" applyAlignment="1">
      <alignment horizontal="left" vertical="center"/>
    </xf>
    <xf numFmtId="0" fontId="36" fillId="7" borderId="0" xfId="7" applyFont="1" applyFill="1" applyAlignment="1">
      <alignment horizontal="left"/>
    </xf>
    <xf numFmtId="20" fontId="83" fillId="2" borderId="0" xfId="7" applyNumberFormat="1" applyFont="1" applyFill="1" applyAlignment="1">
      <alignment horizontal="center"/>
    </xf>
    <xf numFmtId="0" fontId="83" fillId="2" borderId="0" xfId="7" applyFont="1" applyFill="1" applyAlignment="1">
      <alignment horizontal="left"/>
    </xf>
    <xf numFmtId="0" fontId="7" fillId="4" borderId="0" xfId="7" applyFont="1" applyFill="1" applyAlignment="1">
      <alignment horizontal="left" vertical="center"/>
    </xf>
    <xf numFmtId="0" fontId="7" fillId="35" borderId="0" xfId="7" applyFont="1" applyFill="1" applyAlignment="1">
      <alignment horizontal="left" vertical="center"/>
    </xf>
    <xf numFmtId="20" fontId="83" fillId="35" borderId="0" xfId="7" applyNumberFormat="1" applyFont="1" applyFill="1" applyAlignment="1">
      <alignment horizontal="left"/>
    </xf>
    <xf numFmtId="0" fontId="84" fillId="35" borderId="0" xfId="7" applyFont="1" applyFill="1" applyAlignment="1">
      <alignment horizontal="left" vertical="center"/>
    </xf>
    <xf numFmtId="2" fontId="84" fillId="35" borderId="0" xfId="7" applyNumberFormat="1" applyFont="1" applyFill="1" applyAlignment="1">
      <alignment horizontal="left" vertical="center"/>
    </xf>
    <xf numFmtId="20" fontId="6" fillId="35" borderId="0" xfId="7" applyNumberFormat="1" applyFont="1" applyFill="1" applyAlignment="1">
      <alignment horizontal="left"/>
    </xf>
    <xf numFmtId="0" fontId="7" fillId="7" borderId="0" xfId="7" applyFont="1" applyFill="1" applyAlignment="1">
      <alignment horizontal="left"/>
    </xf>
    <xf numFmtId="0" fontId="84" fillId="10" borderId="0" xfId="7" applyFont="1" applyFill="1" applyAlignment="1">
      <alignment vertical="center" wrapText="1"/>
    </xf>
    <xf numFmtId="0" fontId="84" fillId="10" borderId="0" xfId="7" applyFont="1" applyFill="1" applyAlignment="1">
      <alignment horizontal="left" vertical="center" wrapText="1"/>
    </xf>
    <xf numFmtId="0" fontId="84" fillId="2" borderId="0" xfId="7" applyFont="1" applyFill="1" applyAlignment="1">
      <alignment horizontal="left" vertical="center"/>
    </xf>
    <xf numFmtId="0" fontId="84" fillId="14" borderId="0" xfId="7" applyFont="1" applyFill="1" applyAlignment="1">
      <alignment horizontal="left" vertical="center"/>
    </xf>
    <xf numFmtId="0" fontId="84" fillId="7" borderId="0" xfId="7" applyFont="1" applyFill="1" applyAlignment="1">
      <alignment horizontal="left" vertical="center"/>
    </xf>
    <xf numFmtId="0" fontId="84" fillId="7" borderId="0" xfId="7" applyFont="1" applyFill="1" applyAlignment="1">
      <alignment horizontal="left"/>
    </xf>
    <xf numFmtId="0" fontId="7" fillId="10" borderId="0" xfId="7" applyFont="1" applyFill="1" applyAlignment="1">
      <alignment horizontal="left" vertical="center" wrapText="1"/>
    </xf>
    <xf numFmtId="14" fontId="69" fillId="2" borderId="0" xfId="7" applyNumberFormat="1" applyFont="1" applyFill="1" applyAlignment="1">
      <alignment horizontal="center" vertical="center" wrapText="1"/>
    </xf>
    <xf numFmtId="14" fontId="85" fillId="6" borderId="0" xfId="7" applyNumberFormat="1" applyFont="1" applyFill="1" applyAlignment="1">
      <alignment vertical="center" wrapText="1"/>
    </xf>
    <xf numFmtId="14" fontId="69" fillId="6" borderId="0" xfId="7" applyNumberFormat="1" applyFont="1" applyFill="1" applyAlignment="1">
      <alignment vertical="center" wrapText="1"/>
    </xf>
    <xf numFmtId="0" fontId="69" fillId="6" borderId="0" xfId="7" applyFont="1" applyFill="1" applyAlignment="1">
      <alignment horizontal="center" vertical="center" wrapText="1"/>
    </xf>
    <xf numFmtId="0" fontId="69" fillId="7" borderId="0" xfId="7" applyFont="1" applyFill="1" applyAlignment="1">
      <alignment vertical="center"/>
    </xf>
    <xf numFmtId="0" fontId="6" fillId="18" borderId="0" xfId="7" applyFont="1" applyFill="1" applyAlignment="1">
      <alignment horizontal="left"/>
    </xf>
    <xf numFmtId="20" fontId="9" fillId="2" borderId="0" xfId="7" applyNumberFormat="1" applyFont="1" applyFill="1" applyAlignment="1">
      <alignment horizontal="center"/>
    </xf>
    <xf numFmtId="20" fontId="37" fillId="2" borderId="0" xfId="7" applyNumberFormat="1" applyFont="1" applyFill="1" applyAlignment="1">
      <alignment horizontal="center"/>
    </xf>
    <xf numFmtId="20" fontId="69" fillId="2" borderId="0" xfId="7" applyNumberFormat="1" applyFont="1" applyFill="1" applyAlignment="1">
      <alignment horizontal="left"/>
    </xf>
    <xf numFmtId="167" fontId="7" fillId="18" borderId="0" xfId="7" applyNumberFormat="1" applyFont="1" applyFill="1"/>
    <xf numFmtId="0" fontId="36" fillId="35" borderId="0" xfId="7" applyFont="1" applyFill="1" applyAlignment="1">
      <alignment horizontal="left" vertical="center"/>
    </xf>
    <xf numFmtId="2" fontId="7" fillId="35" borderId="0" xfId="7" applyNumberFormat="1" applyFont="1" applyFill="1" applyAlignment="1">
      <alignment horizontal="left" vertical="center"/>
    </xf>
    <xf numFmtId="2" fontId="75" fillId="10" borderId="0" xfId="7" applyNumberFormat="1" applyFont="1" applyFill="1" applyAlignment="1">
      <alignment horizontal="left" vertical="center"/>
    </xf>
    <xf numFmtId="0" fontId="76" fillId="2" borderId="0" xfId="7" applyFont="1" applyFill="1" applyAlignment="1">
      <alignment horizontal="left"/>
    </xf>
    <xf numFmtId="0" fontId="75" fillId="10" borderId="0" xfId="7" applyFont="1" applyFill="1" applyAlignment="1">
      <alignment vertical="center" wrapText="1"/>
    </xf>
    <xf numFmtId="0" fontId="36" fillId="7" borderId="0" xfId="7" applyFont="1" applyFill="1" applyAlignment="1">
      <alignment horizontal="left" vertical="center"/>
    </xf>
    <xf numFmtId="20" fontId="76" fillId="2" borderId="0" xfId="7" applyNumberFormat="1" applyFont="1" applyFill="1" applyAlignment="1">
      <alignment horizontal="left"/>
    </xf>
    <xf numFmtId="0" fontId="75" fillId="4" borderId="0" xfId="7" applyFont="1" applyFill="1" applyAlignment="1">
      <alignment horizontal="left" vertical="center"/>
    </xf>
    <xf numFmtId="0" fontId="75" fillId="24" borderId="0" xfId="7" applyFont="1" applyFill="1" applyAlignment="1">
      <alignment horizontal="left" vertical="center"/>
    </xf>
    <xf numFmtId="0" fontId="75" fillId="7" borderId="0" xfId="7" applyFont="1" applyFill="1" applyAlignment="1">
      <alignment horizontal="left"/>
    </xf>
    <xf numFmtId="20" fontId="76" fillId="56" borderId="0" xfId="7" applyNumberFormat="1" applyFont="1" applyFill="1" applyAlignment="1">
      <alignment horizontal="left"/>
    </xf>
    <xf numFmtId="0" fontId="75" fillId="14" borderId="0" xfId="7" applyFont="1" applyFill="1" applyAlignment="1">
      <alignment horizontal="left" vertical="center"/>
    </xf>
    <xf numFmtId="20" fontId="86" fillId="2" borderId="0" xfId="7" applyNumberFormat="1" applyFont="1" applyFill="1" applyAlignment="1">
      <alignment horizontal="left"/>
    </xf>
    <xf numFmtId="0" fontId="87" fillId="4" borderId="0" xfId="7" applyFont="1" applyFill="1" applyAlignment="1">
      <alignment horizontal="left" vertical="center"/>
    </xf>
    <xf numFmtId="20" fontId="76" fillId="35" borderId="0" xfId="7" applyNumberFormat="1" applyFont="1" applyFill="1" applyAlignment="1">
      <alignment horizontal="left"/>
    </xf>
    <xf numFmtId="0" fontId="75" fillId="35" borderId="0" xfId="7" applyFont="1" applyFill="1" applyAlignment="1">
      <alignment horizontal="left" vertical="center"/>
    </xf>
    <xf numFmtId="2" fontId="75" fillId="35" borderId="0" xfId="7" applyNumberFormat="1" applyFont="1" applyFill="1" applyAlignment="1">
      <alignment horizontal="left" vertical="center"/>
    </xf>
    <xf numFmtId="0" fontId="87" fillId="10" borderId="0" xfId="7" applyFont="1" applyFill="1" applyAlignment="1">
      <alignment vertical="center" wrapText="1"/>
    </xf>
    <xf numFmtId="0" fontId="87" fillId="10" borderId="0" xfId="7" applyFont="1" applyFill="1" applyAlignment="1">
      <alignment horizontal="left" vertical="center" wrapText="1"/>
    </xf>
    <xf numFmtId="0" fontId="87" fillId="24" borderId="0" xfId="7" applyFont="1" applyFill="1" applyAlignment="1">
      <alignment horizontal="left" vertical="center"/>
    </xf>
    <xf numFmtId="2" fontId="87" fillId="10" borderId="0" xfId="7" applyNumberFormat="1" applyFont="1" applyFill="1" applyAlignment="1">
      <alignment horizontal="left" vertical="center"/>
    </xf>
    <xf numFmtId="0" fontId="75" fillId="2" borderId="0" xfId="7" applyFont="1" applyFill="1" applyAlignment="1">
      <alignment horizontal="left" vertical="center"/>
    </xf>
    <xf numFmtId="0" fontId="75" fillId="7" borderId="0" xfId="7" applyFont="1" applyFill="1" applyAlignment="1">
      <alignment horizontal="left" vertical="center"/>
    </xf>
    <xf numFmtId="0" fontId="76" fillId="2" borderId="0" xfId="7" applyFont="1" applyFill="1"/>
    <xf numFmtId="0" fontId="86" fillId="2" borderId="0" xfId="7" applyFont="1" applyFill="1" applyAlignment="1">
      <alignment horizontal="left"/>
    </xf>
    <xf numFmtId="0" fontId="87" fillId="7" borderId="0" xfId="7" applyFont="1" applyFill="1" applyAlignment="1">
      <alignment horizontal="left"/>
    </xf>
    <xf numFmtId="20" fontId="86" fillId="2" borderId="0" xfId="7" applyNumberFormat="1" applyFont="1" applyFill="1" applyAlignment="1">
      <alignment horizontal="center"/>
    </xf>
    <xf numFmtId="20" fontId="86" fillId="56" borderId="0" xfId="7" applyNumberFormat="1" applyFont="1" applyFill="1" applyAlignment="1">
      <alignment horizontal="left"/>
    </xf>
    <xf numFmtId="0" fontId="87" fillId="14" borderId="0" xfId="7" applyFont="1" applyFill="1" applyAlignment="1">
      <alignment horizontal="left" vertical="center"/>
    </xf>
    <xf numFmtId="0" fontId="86" fillId="2" borderId="0" xfId="7" applyFont="1" applyFill="1"/>
    <xf numFmtId="20" fontId="86" fillId="35" borderId="0" xfId="7" applyNumberFormat="1" applyFont="1" applyFill="1" applyAlignment="1">
      <alignment horizontal="left"/>
    </xf>
    <xf numFmtId="0" fontId="87" fillId="35" borderId="0" xfId="7" applyFont="1" applyFill="1" applyAlignment="1">
      <alignment horizontal="left" vertical="center"/>
    </xf>
    <xf numFmtId="20" fontId="86" fillId="35" borderId="0" xfId="7" applyNumberFormat="1" applyFont="1" applyFill="1" applyAlignment="1">
      <alignment horizontal="left" vertical="center"/>
    </xf>
    <xf numFmtId="2" fontId="87" fillId="35" borderId="0" xfId="7" applyNumberFormat="1" applyFont="1" applyFill="1" applyAlignment="1">
      <alignment horizontal="left" vertical="center"/>
    </xf>
    <xf numFmtId="0" fontId="87" fillId="2" borderId="0" xfId="7" applyFont="1" applyFill="1" applyAlignment="1">
      <alignment horizontal="left" vertical="center"/>
    </xf>
    <xf numFmtId="0" fontId="87" fillId="7" borderId="0" xfId="7" applyFont="1" applyFill="1" applyAlignment="1">
      <alignment horizontal="left" vertical="center"/>
    </xf>
    <xf numFmtId="0" fontId="86" fillId="2" borderId="0" xfId="7" applyFont="1" applyFill="1" applyAlignment="1">
      <alignment vertical="center"/>
    </xf>
    <xf numFmtId="20" fontId="68" fillId="56" borderId="0" xfId="7" applyNumberFormat="1" applyFont="1" applyFill="1" applyAlignment="1">
      <alignment horizontal="left"/>
    </xf>
    <xf numFmtId="0" fontId="68" fillId="35" borderId="0" xfId="7" applyFont="1" applyFill="1"/>
    <xf numFmtId="2" fontId="8" fillId="2" borderId="0" xfId="7" applyNumberFormat="1" applyFont="1" applyFill="1" applyAlignment="1">
      <alignment horizontal="left"/>
    </xf>
    <xf numFmtId="2" fontId="6" fillId="2" borderId="0" xfId="7" applyNumberFormat="1" applyFont="1" applyFill="1" applyAlignment="1">
      <alignment horizontal="left"/>
    </xf>
    <xf numFmtId="0" fontId="7" fillId="2" borderId="0" xfId="7" applyFont="1" applyFill="1" applyAlignment="1">
      <alignment horizontal="left"/>
    </xf>
    <xf numFmtId="0" fontId="68" fillId="23" borderId="0" xfId="7" applyFont="1" applyFill="1"/>
    <xf numFmtId="0" fontId="69" fillId="21" borderId="0" xfId="7" applyFont="1" applyFill="1" applyAlignment="1">
      <alignment horizontal="left"/>
    </xf>
    <xf numFmtId="0" fontId="68" fillId="21" borderId="0" xfId="7" applyFont="1" applyFill="1"/>
    <xf numFmtId="0" fontId="88" fillId="0" borderId="0" xfId="7" applyFont="1"/>
    <xf numFmtId="0" fontId="69" fillId="18" borderId="0" xfId="7" applyFont="1" applyFill="1" applyAlignment="1">
      <alignment horizontal="left"/>
    </xf>
    <xf numFmtId="2" fontId="68" fillId="18" borderId="0" xfId="7" applyNumberFormat="1" applyFont="1" applyFill="1" applyAlignment="1">
      <alignment horizontal="left"/>
    </xf>
    <xf numFmtId="167" fontId="68" fillId="18" borderId="0" xfId="7" applyNumberFormat="1" applyFont="1" applyFill="1"/>
    <xf numFmtId="0" fontId="68" fillId="18" borderId="0" xfId="7" applyFont="1" applyFill="1"/>
    <xf numFmtId="0" fontId="68" fillId="2" borderId="0" xfId="7" applyFont="1" applyFill="1" applyAlignment="1">
      <alignment vertical="center" wrapText="1"/>
    </xf>
    <xf numFmtId="0" fontId="69" fillId="18" borderId="0" xfId="7" applyFont="1" applyFill="1"/>
    <xf numFmtId="0" fontId="68" fillId="35" borderId="0" xfId="7" applyFont="1" applyFill="1" applyAlignment="1">
      <alignment vertical="center" wrapText="1"/>
    </xf>
    <xf numFmtId="0" fontId="69" fillId="11" borderId="0" xfId="7" applyFont="1" applyFill="1" applyAlignment="1">
      <alignment vertical="center" wrapText="1"/>
    </xf>
    <xf numFmtId="18" fontId="68" fillId="18" borderId="0" xfId="7" applyNumberFormat="1" applyFont="1" applyFill="1"/>
    <xf numFmtId="0" fontId="69" fillId="22" borderId="0" xfId="7" applyFont="1" applyFill="1" applyAlignment="1">
      <alignment horizontal="right"/>
    </xf>
    <xf numFmtId="0" fontId="68" fillId="22" borderId="0" xfId="7" applyFont="1" applyFill="1" applyAlignment="1">
      <alignment horizontal="left" vertical="center"/>
    </xf>
    <xf numFmtId="0" fontId="69" fillId="22" borderId="0" xfId="7" applyFont="1" applyFill="1" applyAlignment="1">
      <alignment horizontal="left" vertical="center"/>
    </xf>
    <xf numFmtId="0" fontId="69" fillId="22" borderId="0" xfId="7" applyFont="1" applyFill="1" applyAlignment="1">
      <alignment vertical="center"/>
    </xf>
    <xf numFmtId="1" fontId="69" fillId="22" borderId="0" xfId="7" applyNumberFormat="1" applyFont="1" applyFill="1" applyAlignment="1">
      <alignment horizontal="left" vertical="center"/>
    </xf>
    <xf numFmtId="0" fontId="69" fillId="23" borderId="0" xfId="7" applyFont="1" applyFill="1" applyAlignment="1">
      <alignment horizontal="right"/>
    </xf>
    <xf numFmtId="0" fontId="68" fillId="23" borderId="0" xfId="7" applyFont="1" applyFill="1" applyAlignment="1">
      <alignment horizontal="left" vertical="center"/>
    </xf>
    <xf numFmtId="0" fontId="69" fillId="23" borderId="0" xfId="7" applyFont="1" applyFill="1" applyAlignment="1">
      <alignment horizontal="left" vertical="center"/>
    </xf>
    <xf numFmtId="0" fontId="69" fillId="23" borderId="0" xfId="7" applyFont="1" applyFill="1" applyAlignment="1">
      <alignment vertical="center"/>
    </xf>
    <xf numFmtId="1" fontId="69" fillId="23" borderId="0" xfId="7" applyNumberFormat="1" applyFont="1" applyFill="1" applyAlignment="1">
      <alignment horizontal="left" vertical="center"/>
    </xf>
    <xf numFmtId="0" fontId="68" fillId="23" borderId="0" xfId="7" applyFont="1" applyFill="1" applyAlignment="1">
      <alignment horizontal="left"/>
    </xf>
    <xf numFmtId="0" fontId="68" fillId="23" borderId="0" xfId="7" applyFont="1" applyFill="1" applyAlignment="1">
      <alignment horizontal="right"/>
    </xf>
    <xf numFmtId="20" fontId="68" fillId="35" borderId="0" xfId="7" applyNumberFormat="1" applyFont="1" applyFill="1" applyAlignment="1">
      <alignment horizontal="left" vertical="top"/>
    </xf>
    <xf numFmtId="167" fontId="69" fillId="18" borderId="0" xfId="7" applyNumberFormat="1" applyFont="1" applyFill="1"/>
    <xf numFmtId="0" fontId="83" fillId="0" borderId="0" xfId="0" applyFont="1"/>
    <xf numFmtId="14" fontId="84" fillId="2" borderId="0" xfId="0" applyNumberFormat="1" applyFont="1" applyFill="1" applyAlignment="1">
      <alignment horizontal="center" vertical="center" wrapText="1"/>
    </xf>
    <xf numFmtId="0" fontId="83" fillId="2" borderId="0" xfId="0" applyFont="1" applyFill="1" applyAlignment="1">
      <alignment horizontal="left"/>
    </xf>
    <xf numFmtId="14" fontId="89" fillId="6" borderId="0" xfId="0" applyNumberFormat="1" applyFont="1" applyFill="1" applyAlignment="1">
      <alignment vertical="center" wrapText="1"/>
    </xf>
    <xf numFmtId="0" fontId="83" fillId="23" borderId="0" xfId="0" applyFont="1" applyFill="1"/>
    <xf numFmtId="0" fontId="83" fillId="2" borderId="0" xfId="0" applyFont="1" applyFill="1"/>
    <xf numFmtId="0" fontId="84" fillId="21" borderId="0" xfId="0" applyFont="1" applyFill="1" applyAlignment="1">
      <alignment horizontal="left"/>
    </xf>
    <xf numFmtId="0" fontId="83" fillId="21" borderId="0" xfId="0" applyFont="1" applyFill="1"/>
    <xf numFmtId="0" fontId="84" fillId="6" borderId="0" xfId="0" applyFont="1" applyFill="1" applyAlignment="1">
      <alignment horizontal="center" vertical="center" wrapText="1"/>
    </xf>
    <xf numFmtId="0" fontId="84" fillId="7" borderId="0" xfId="0" applyFont="1" applyFill="1" applyAlignment="1">
      <alignment horizontal="left" vertical="center"/>
    </xf>
    <xf numFmtId="0" fontId="84" fillId="7" borderId="0" xfId="0" applyFont="1" applyFill="1" applyAlignment="1">
      <alignment vertical="center"/>
    </xf>
    <xf numFmtId="0" fontId="84" fillId="18" borderId="0" xfId="0" applyFont="1" applyFill="1" applyAlignment="1">
      <alignment horizontal="left"/>
    </xf>
    <xf numFmtId="2" fontId="83" fillId="18" borderId="0" xfId="0" applyNumberFormat="1" applyFont="1" applyFill="1" applyAlignment="1">
      <alignment horizontal="left"/>
    </xf>
    <xf numFmtId="167" fontId="83" fillId="18" borderId="0" xfId="0" applyNumberFormat="1" applyFont="1" applyFill="1"/>
    <xf numFmtId="0" fontId="83" fillId="18" borderId="0" xfId="0" applyFont="1" applyFill="1"/>
    <xf numFmtId="0" fontId="83" fillId="0" borderId="0" xfId="0" applyFont="1" applyAlignment="1">
      <alignment wrapText="1"/>
    </xf>
    <xf numFmtId="0" fontId="83" fillId="2" borderId="0" xfId="0" applyFont="1" applyFill="1" applyAlignment="1">
      <alignment horizontal="left" wrapText="1"/>
    </xf>
    <xf numFmtId="20" fontId="83" fillId="2" borderId="0" xfId="0" applyNumberFormat="1" applyFont="1" applyFill="1" applyAlignment="1">
      <alignment horizontal="left" wrapText="1"/>
    </xf>
    <xf numFmtId="0" fontId="84" fillId="4" borderId="0" xfId="0" applyFont="1" applyFill="1" applyAlignment="1">
      <alignment horizontal="left" vertical="center" wrapText="1"/>
    </xf>
    <xf numFmtId="0" fontId="84" fillId="24" borderId="0" xfId="0" applyFont="1" applyFill="1" applyAlignment="1">
      <alignment horizontal="left" vertical="center" wrapText="1"/>
    </xf>
    <xf numFmtId="2" fontId="84" fillId="10" borderId="0" xfId="0" applyNumberFormat="1" applyFont="1" applyFill="1" applyAlignment="1">
      <alignment horizontal="left" vertical="center" wrapText="1"/>
    </xf>
    <xf numFmtId="0" fontId="84" fillId="7" borderId="0" xfId="0" applyFont="1" applyFill="1" applyAlignment="1">
      <alignment horizontal="left" wrapText="1"/>
    </xf>
    <xf numFmtId="20" fontId="83" fillId="2" borderId="0" xfId="0" applyNumberFormat="1" applyFont="1" applyFill="1" applyAlignment="1">
      <alignment horizontal="center" wrapText="1"/>
    </xf>
    <xf numFmtId="0" fontId="83" fillId="23" borderId="0" xfId="0" applyFont="1" applyFill="1" applyAlignment="1">
      <alignment wrapText="1"/>
    </xf>
    <xf numFmtId="0" fontId="83" fillId="2" borderId="0" xfId="0" applyFont="1" applyFill="1" applyAlignment="1">
      <alignment wrapText="1"/>
    </xf>
    <xf numFmtId="0" fontId="84" fillId="18" borderId="0" xfId="0" applyFont="1" applyFill="1" applyAlignment="1">
      <alignment horizontal="left" wrapText="1"/>
    </xf>
    <xf numFmtId="2" fontId="83" fillId="18" borderId="0" xfId="0" applyNumberFormat="1" applyFont="1" applyFill="1" applyAlignment="1">
      <alignment horizontal="left" wrapText="1"/>
    </xf>
    <xf numFmtId="167" fontId="83" fillId="18" borderId="0" xfId="0" applyNumberFormat="1" applyFont="1" applyFill="1" applyAlignment="1">
      <alignment wrapText="1"/>
    </xf>
    <xf numFmtId="0" fontId="83" fillId="18" borderId="0" xfId="0" applyFont="1" applyFill="1" applyAlignment="1">
      <alignment wrapText="1"/>
    </xf>
    <xf numFmtId="0" fontId="83" fillId="2" borderId="0" xfId="0" applyFont="1" applyFill="1" applyAlignment="1">
      <alignment vertical="center" wrapText="1"/>
    </xf>
    <xf numFmtId="167" fontId="84" fillId="18" borderId="0" xfId="0" applyNumberFormat="1" applyFont="1" applyFill="1" applyAlignment="1">
      <alignment wrapText="1"/>
    </xf>
    <xf numFmtId="0" fontId="84" fillId="18" borderId="0" xfId="0" applyFont="1" applyFill="1" applyAlignment="1">
      <alignment wrapText="1"/>
    </xf>
    <xf numFmtId="0" fontId="84" fillId="14" borderId="0" xfId="0" applyFont="1" applyFill="1" applyAlignment="1">
      <alignment horizontal="left" vertical="center" wrapText="1"/>
    </xf>
    <xf numFmtId="49" fontId="83" fillId="2" borderId="0" xfId="0" applyNumberFormat="1" applyFont="1" applyFill="1" applyAlignment="1">
      <alignment vertical="center" textRotation="255" wrapText="1"/>
    </xf>
    <xf numFmtId="1" fontId="83" fillId="2" borderId="0" xfId="0" applyNumberFormat="1" applyFont="1" applyFill="1" applyAlignment="1">
      <alignment horizontal="left" wrapText="1"/>
    </xf>
    <xf numFmtId="0" fontId="84" fillId="10" borderId="0" xfId="0" applyFont="1" applyFill="1" applyAlignment="1">
      <alignment vertical="center" wrapText="1"/>
    </xf>
    <xf numFmtId="0" fontId="84" fillId="10" borderId="0" xfId="0" applyFont="1" applyFill="1" applyAlignment="1">
      <alignment horizontal="left" vertical="center" wrapText="1"/>
    </xf>
    <xf numFmtId="0" fontId="84" fillId="24" borderId="0" xfId="0" applyFont="1" applyFill="1" applyAlignment="1">
      <alignment horizontal="left" vertical="center"/>
    </xf>
    <xf numFmtId="2" fontId="84" fillId="58" borderId="0" xfId="0" applyNumberFormat="1" applyFont="1" applyFill="1" applyAlignment="1">
      <alignment horizontal="left" vertical="center"/>
    </xf>
    <xf numFmtId="2" fontId="84" fillId="10" borderId="0" xfId="0" applyNumberFormat="1" applyFont="1" applyFill="1" applyAlignment="1">
      <alignment horizontal="left" vertical="center"/>
    </xf>
    <xf numFmtId="18" fontId="83" fillId="18" borderId="0" xfId="0" applyNumberFormat="1" applyFont="1" applyFill="1"/>
    <xf numFmtId="0" fontId="84" fillId="11" borderId="0" xfId="0" applyFont="1" applyFill="1" applyAlignment="1">
      <alignment vertical="center" wrapText="1"/>
    </xf>
    <xf numFmtId="20" fontId="83" fillId="2" borderId="0" xfId="0" applyNumberFormat="1" applyFont="1" applyFill="1" applyAlignment="1">
      <alignment horizontal="left"/>
    </xf>
    <xf numFmtId="0" fontId="84" fillId="4" borderId="0" xfId="0" applyFont="1" applyFill="1" applyAlignment="1">
      <alignment horizontal="left" vertical="center"/>
    </xf>
    <xf numFmtId="0" fontId="84" fillId="2" borderId="0" xfId="0" applyFont="1" applyFill="1" applyAlignment="1">
      <alignment horizontal="left" vertical="center"/>
    </xf>
    <xf numFmtId="0" fontId="84" fillId="14" borderId="0" xfId="0" applyFont="1" applyFill="1" applyAlignment="1">
      <alignment horizontal="left" vertical="center"/>
    </xf>
    <xf numFmtId="0" fontId="83" fillId="2" borderId="0" xfId="0" applyFont="1" applyFill="1" applyAlignment="1">
      <alignment vertical="center"/>
    </xf>
    <xf numFmtId="2" fontId="84" fillId="59" borderId="0" xfId="0" applyNumberFormat="1" applyFont="1" applyFill="1" applyAlignment="1">
      <alignment horizontal="left" vertical="center"/>
    </xf>
    <xf numFmtId="0" fontId="84" fillId="22" borderId="0" xfId="0" applyFont="1" applyFill="1" applyAlignment="1">
      <alignment horizontal="right"/>
    </xf>
    <xf numFmtId="0" fontId="83" fillId="37" borderId="0" xfId="0" applyFont="1" applyFill="1" applyAlignment="1">
      <alignment horizontal="left" vertical="center"/>
    </xf>
    <xf numFmtId="0" fontId="83" fillId="22" borderId="0" xfId="0" applyFont="1" applyFill="1" applyAlignment="1">
      <alignment horizontal="left" vertical="center"/>
    </xf>
    <xf numFmtId="0" fontId="84" fillId="22" borderId="0" xfId="0" applyFont="1" applyFill="1" applyAlignment="1">
      <alignment horizontal="left" vertical="center"/>
    </xf>
    <xf numFmtId="0" fontId="84" fillId="22" borderId="0" xfId="0" applyFont="1" applyFill="1" applyAlignment="1">
      <alignment vertical="center"/>
    </xf>
    <xf numFmtId="1" fontId="84" fillId="22" borderId="0" xfId="0" applyNumberFormat="1" applyFont="1" applyFill="1" applyAlignment="1">
      <alignment horizontal="left" vertical="center"/>
    </xf>
    <xf numFmtId="0" fontId="84" fillId="23" borderId="0" xfId="0" applyFont="1" applyFill="1" applyAlignment="1">
      <alignment horizontal="right"/>
    </xf>
    <xf numFmtId="0" fontId="83" fillId="23" borderId="0" xfId="0" applyFont="1" applyFill="1" applyAlignment="1">
      <alignment horizontal="left" vertical="center"/>
    </xf>
    <xf numFmtId="0" fontId="84" fillId="23" borderId="0" xfId="0" applyFont="1" applyFill="1" applyAlignment="1">
      <alignment horizontal="left" vertical="center"/>
    </xf>
    <xf numFmtId="0" fontId="84" fillId="23" borderId="0" xfId="0" applyFont="1" applyFill="1" applyAlignment="1">
      <alignment vertical="center"/>
    </xf>
    <xf numFmtId="1" fontId="84" fillId="23" borderId="0" xfId="0" applyNumberFormat="1" applyFont="1" applyFill="1" applyAlignment="1">
      <alignment horizontal="left" vertical="center"/>
    </xf>
    <xf numFmtId="0" fontId="83" fillId="23" borderId="0" xfId="0" applyFont="1" applyFill="1" applyAlignment="1">
      <alignment horizontal="left"/>
    </xf>
    <xf numFmtId="0" fontId="83" fillId="23" borderId="0" xfId="0" applyFont="1" applyFill="1" applyAlignment="1">
      <alignment horizontal="right"/>
    </xf>
    <xf numFmtId="0" fontId="84" fillId="7" borderId="0" xfId="0" applyFont="1" applyFill="1" applyAlignment="1">
      <alignment horizontal="left"/>
    </xf>
    <xf numFmtId="20" fontId="84" fillId="2" borderId="0" xfId="0" applyNumberFormat="1" applyFont="1" applyFill="1" applyAlignment="1">
      <alignment horizontal="left"/>
    </xf>
    <xf numFmtId="167" fontId="84" fillId="18" borderId="0" xfId="0" applyNumberFormat="1" applyFont="1" applyFill="1"/>
    <xf numFmtId="0" fontId="84" fillId="18" borderId="0" xfId="0" applyFont="1" applyFill="1"/>
    <xf numFmtId="2" fontId="84" fillId="25" borderId="0" xfId="0" applyNumberFormat="1" applyFont="1" applyFill="1" applyAlignment="1">
      <alignment horizontal="left" vertical="center"/>
    </xf>
    <xf numFmtId="0" fontId="84" fillId="11" borderId="0" xfId="0" applyFont="1" applyFill="1" applyAlignment="1">
      <alignment vertical="center"/>
    </xf>
    <xf numFmtId="14" fontId="84" fillId="6" borderId="0" xfId="0" applyNumberFormat="1" applyFont="1" applyFill="1" applyAlignment="1">
      <alignment vertical="center" wrapText="1"/>
    </xf>
    <xf numFmtId="0" fontId="84" fillId="10" borderId="0" xfId="0" applyFont="1" applyFill="1" applyAlignment="1">
      <alignment vertical="center"/>
    </xf>
    <xf numFmtId="0" fontId="84" fillId="10" borderId="0" xfId="0" applyFont="1" applyFill="1" applyAlignment="1">
      <alignment horizontal="left" vertical="center"/>
    </xf>
    <xf numFmtId="20" fontId="83" fillId="56" borderId="0" xfId="0" applyNumberFormat="1" applyFont="1" applyFill="1" applyAlignment="1">
      <alignment horizontal="left"/>
    </xf>
    <xf numFmtId="20" fontId="83" fillId="57" borderId="0" xfId="0" applyNumberFormat="1" applyFont="1" applyFill="1" applyAlignment="1">
      <alignment horizontal="left"/>
    </xf>
    <xf numFmtId="14" fontId="75" fillId="2" borderId="0" xfId="0" applyNumberFormat="1" applyFont="1" applyFill="1" applyAlignment="1">
      <alignment horizontal="center" vertical="center" wrapText="1"/>
    </xf>
    <xf numFmtId="0" fontId="75" fillId="6" borderId="0" xfId="0" applyFont="1" applyFill="1" applyAlignment="1">
      <alignment horizontal="center" vertical="center" wrapText="1"/>
    </xf>
    <xf numFmtId="0" fontId="75" fillId="7" borderId="0" xfId="0" applyFont="1" applyFill="1" applyAlignment="1">
      <alignment horizontal="left" vertical="center"/>
    </xf>
    <xf numFmtId="0" fontId="75" fillId="7" borderId="0" xfId="0" applyFont="1" applyFill="1" applyAlignment="1">
      <alignment vertical="center"/>
    </xf>
    <xf numFmtId="20" fontId="76" fillId="2" borderId="0" xfId="0" applyNumberFormat="1" applyFont="1" applyFill="1" applyAlignment="1">
      <alignment horizontal="left"/>
    </xf>
    <xf numFmtId="0" fontId="75" fillId="4" borderId="0" xfId="0" applyFont="1" applyFill="1" applyAlignment="1">
      <alignment horizontal="left" vertical="center"/>
    </xf>
    <xf numFmtId="0" fontId="75" fillId="24" borderId="0" xfId="0" applyFont="1" applyFill="1" applyAlignment="1">
      <alignment horizontal="left" vertical="center"/>
    </xf>
    <xf numFmtId="2" fontId="75" fillId="10" borderId="0" xfId="0" applyNumberFormat="1" applyFont="1" applyFill="1" applyAlignment="1">
      <alignment horizontal="left" vertical="center"/>
    </xf>
    <xf numFmtId="0" fontId="75" fillId="7" borderId="0" xfId="0" applyFont="1" applyFill="1" applyAlignment="1">
      <alignment horizontal="left"/>
    </xf>
    <xf numFmtId="20" fontId="76" fillId="57" borderId="0" xfId="0" applyNumberFormat="1" applyFont="1" applyFill="1" applyAlignment="1">
      <alignment horizontal="left"/>
    </xf>
    <xf numFmtId="0" fontId="76" fillId="2" borderId="0" xfId="0" applyFont="1" applyFill="1" applyAlignment="1">
      <alignment vertical="center"/>
    </xf>
    <xf numFmtId="0" fontId="76" fillId="2" borderId="0" xfId="0" applyFont="1" applyFill="1" applyAlignment="1">
      <alignment vertical="center" wrapText="1"/>
    </xf>
    <xf numFmtId="0" fontId="75" fillId="10" borderId="0" xfId="0" applyFont="1" applyFill="1" applyAlignment="1">
      <alignment vertical="center"/>
    </xf>
    <xf numFmtId="0" fontId="75" fillId="10" borderId="0" xfId="0" applyFont="1" applyFill="1" applyAlignment="1">
      <alignment horizontal="left" vertical="center"/>
    </xf>
    <xf numFmtId="2" fontId="75" fillId="25" borderId="0" xfId="0" applyNumberFormat="1" applyFont="1" applyFill="1" applyAlignment="1">
      <alignment horizontal="left" vertical="center"/>
    </xf>
    <xf numFmtId="0" fontId="75" fillId="11" borderId="0" xfId="0" applyFont="1" applyFill="1" applyAlignment="1">
      <alignment vertical="center"/>
    </xf>
    <xf numFmtId="0" fontId="75" fillId="2" borderId="0" xfId="0" applyFont="1" applyFill="1" applyAlignment="1">
      <alignment horizontal="left" vertical="center"/>
    </xf>
    <xf numFmtId="0" fontId="75" fillId="14" borderId="0" xfId="0" applyFont="1" applyFill="1" applyAlignment="1">
      <alignment horizontal="left" vertical="center"/>
    </xf>
    <xf numFmtId="0" fontId="76" fillId="37" borderId="0" xfId="0" applyFont="1" applyFill="1" applyAlignment="1">
      <alignment horizontal="left" vertical="center"/>
    </xf>
    <xf numFmtId="0" fontId="7" fillId="24" borderId="0" xfId="7" applyFont="1" applyFill="1" applyAlignment="1">
      <alignment horizontal="left" vertical="center"/>
    </xf>
    <xf numFmtId="20" fontId="6" fillId="35" borderId="0" xfId="7" applyNumberFormat="1" applyFont="1" applyFill="1" applyAlignment="1">
      <alignment horizontal="left" vertical="top"/>
    </xf>
    <xf numFmtId="0" fontId="7" fillId="11" borderId="0" xfId="7" applyFont="1" applyFill="1" applyAlignment="1">
      <alignment vertical="center" wrapText="1"/>
    </xf>
    <xf numFmtId="14" fontId="36" fillId="2" borderId="0" xfId="7" applyNumberFormat="1" applyFont="1" applyFill="1" applyAlignment="1">
      <alignment horizontal="center" vertical="center" wrapText="1"/>
    </xf>
    <xf numFmtId="14" fontId="91" fillId="6" borderId="0" xfId="7" applyNumberFormat="1" applyFont="1" applyFill="1" applyAlignment="1">
      <alignment vertical="center" wrapText="1"/>
    </xf>
    <xf numFmtId="0" fontId="7" fillId="61" borderId="0" xfId="7" applyFont="1" applyFill="1" applyAlignment="1">
      <alignment horizontal="left"/>
    </xf>
    <xf numFmtId="2" fontId="6" fillId="61" borderId="0" xfId="7" applyNumberFormat="1" applyFont="1" applyFill="1" applyAlignment="1">
      <alignment horizontal="left"/>
    </xf>
    <xf numFmtId="167" fontId="6" fillId="61" borderId="0" xfId="7" applyNumberFormat="1" applyFont="1" applyFill="1"/>
    <xf numFmtId="4" fontId="20" fillId="2" borderId="0" xfId="7" applyNumberFormat="1" applyFont="1" applyFill="1" applyAlignment="1">
      <alignment horizontal="right" vertical="center"/>
    </xf>
    <xf numFmtId="3" fontId="20" fillId="2" borderId="0" xfId="7" applyNumberFormat="1" applyFont="1" applyFill="1" applyAlignment="1">
      <alignment horizontal="right" vertical="center"/>
    </xf>
    <xf numFmtId="0" fontId="2" fillId="2" borderId="0" xfId="7" applyFill="1"/>
    <xf numFmtId="2" fontId="7" fillId="10" borderId="2" xfId="7" applyNumberFormat="1" applyFont="1" applyFill="1" applyBorder="1" applyAlignment="1">
      <alignment horizontal="left" vertical="center"/>
    </xf>
    <xf numFmtId="0" fontId="7" fillId="7" borderId="2" xfId="7" applyFont="1" applyFill="1" applyBorder="1" applyAlignment="1">
      <alignment horizontal="left"/>
    </xf>
    <xf numFmtId="0" fontId="51" fillId="2" borderId="0" xfId="0" applyFont="1" applyFill="1"/>
    <xf numFmtId="14" fontId="52" fillId="2" borderId="0" xfId="0" applyNumberFormat="1" applyFont="1" applyFill="1" applyAlignment="1">
      <alignment horizontal="center" vertical="center" wrapText="1"/>
    </xf>
    <xf numFmtId="0" fontId="52" fillId="6" borderId="0" xfId="0" applyFont="1" applyFill="1" applyAlignment="1">
      <alignment horizontal="center" vertical="center" wrapText="1"/>
    </xf>
    <xf numFmtId="0" fontId="52" fillId="7" borderId="0" xfId="0" applyFont="1" applyFill="1" applyAlignment="1">
      <alignment horizontal="left" vertical="center"/>
    </xf>
    <xf numFmtId="0" fontId="52" fillId="7" borderId="0" xfId="0" applyFont="1" applyFill="1" applyAlignment="1">
      <alignment vertical="center"/>
    </xf>
    <xf numFmtId="0" fontId="52" fillId="4" borderId="0" xfId="0" applyFont="1" applyFill="1" applyAlignment="1">
      <alignment horizontal="left" vertical="center"/>
    </xf>
    <xf numFmtId="2" fontId="52" fillId="10" borderId="0" xfId="0" applyNumberFormat="1" applyFont="1" applyFill="1" applyAlignment="1">
      <alignment horizontal="left" vertical="center"/>
    </xf>
    <xf numFmtId="0" fontId="52" fillId="7" borderId="0" xfId="0" applyFont="1" applyFill="1" applyAlignment="1">
      <alignment horizontal="left"/>
    </xf>
    <xf numFmtId="0" fontId="52" fillId="10" borderId="0" xfId="0" applyFont="1" applyFill="1" applyAlignment="1">
      <alignment vertical="center" wrapText="1"/>
    </xf>
    <xf numFmtId="0" fontId="52" fillId="10" borderId="0" xfId="0" applyFont="1" applyFill="1" applyAlignment="1">
      <alignment horizontal="left" vertical="center" wrapText="1"/>
    </xf>
    <xf numFmtId="0" fontId="52" fillId="23" borderId="0" xfId="0" applyFont="1" applyFill="1" applyAlignment="1">
      <alignment horizontal="right"/>
    </xf>
    <xf numFmtId="0" fontId="51" fillId="23" borderId="0" xfId="0" applyFont="1" applyFill="1" applyAlignment="1">
      <alignment horizontal="left" vertical="center"/>
    </xf>
    <xf numFmtId="0" fontId="52" fillId="23" borderId="0" xfId="0" applyFont="1" applyFill="1" applyAlignment="1">
      <alignment horizontal="left" vertical="center"/>
    </xf>
    <xf numFmtId="0" fontId="52" fillId="23" borderId="0" xfId="0" applyFont="1" applyFill="1" applyAlignment="1">
      <alignment vertical="center"/>
    </xf>
    <xf numFmtId="1" fontId="52" fillId="23" borderId="0" xfId="0" applyNumberFormat="1" applyFont="1" applyFill="1" applyAlignment="1">
      <alignment horizontal="left" vertical="center"/>
    </xf>
    <xf numFmtId="0" fontId="41" fillId="0" borderId="0" xfId="0" applyFont="1" applyAlignment="1">
      <alignment horizontal="left" vertical="center"/>
    </xf>
    <xf numFmtId="0" fontId="71" fillId="2" borderId="0" xfId="0" applyFont="1" applyFill="1" applyAlignment="1">
      <alignment horizontal="center" vertical="center"/>
    </xf>
    <xf numFmtId="20" fontId="6" fillId="35" borderId="2" xfId="7" applyNumberFormat="1" applyFont="1" applyFill="1" applyBorder="1" applyAlignment="1">
      <alignment horizontal="left"/>
    </xf>
    <xf numFmtId="20" fontId="6" fillId="35" borderId="2" xfId="7" applyNumberFormat="1" applyFont="1" applyFill="1" applyBorder="1" applyAlignment="1">
      <alignment horizontal="left" vertical="top"/>
    </xf>
    <xf numFmtId="0" fontId="7" fillId="35" borderId="2" xfId="7" applyFont="1" applyFill="1" applyBorder="1" applyAlignment="1">
      <alignment horizontal="left" vertical="center"/>
    </xf>
    <xf numFmtId="20" fontId="6" fillId="62" borderId="0" xfId="7" applyNumberFormat="1" applyFont="1" applyFill="1" applyAlignment="1">
      <alignment horizontal="left"/>
    </xf>
    <xf numFmtId="20" fontId="6" fillId="2" borderId="0" xfId="7" applyNumberFormat="1" applyFont="1" applyFill="1" applyAlignment="1">
      <alignment horizontal="center"/>
    </xf>
    <xf numFmtId="0" fontId="6" fillId="62" borderId="0" xfId="7" applyFont="1" applyFill="1" applyAlignment="1">
      <alignment vertical="center" wrapText="1"/>
    </xf>
    <xf numFmtId="0" fontId="6" fillId="17" borderId="0" xfId="7" applyFont="1" applyFill="1" applyAlignment="1">
      <alignment vertical="center" wrapText="1"/>
    </xf>
    <xf numFmtId="0" fontId="6" fillId="17" borderId="0" xfId="7" applyFont="1" applyFill="1" applyAlignment="1">
      <alignment horizontal="left"/>
    </xf>
    <xf numFmtId="0" fontId="6" fillId="60" borderId="0" xfId="7" applyFont="1" applyFill="1" applyAlignment="1">
      <alignment vertical="center" wrapText="1"/>
    </xf>
    <xf numFmtId="0" fontId="6" fillId="38" borderId="0" xfId="7" applyFont="1" applyFill="1" applyAlignment="1">
      <alignment vertical="center" wrapText="1"/>
    </xf>
    <xf numFmtId="0" fontId="70" fillId="23" borderId="0" xfId="0" applyFont="1" applyFill="1"/>
    <xf numFmtId="0" fontId="48" fillId="21" borderId="0" xfId="0" applyFont="1" applyFill="1" applyAlignment="1">
      <alignment horizontal="left"/>
    </xf>
    <xf numFmtId="0" fontId="70" fillId="21" borderId="0" xfId="0" applyFont="1" applyFill="1"/>
    <xf numFmtId="0" fontId="48" fillId="18" borderId="0" xfId="0" applyFont="1" applyFill="1" applyAlignment="1">
      <alignment horizontal="left"/>
    </xf>
    <xf numFmtId="2" fontId="70" fillId="18" borderId="0" xfId="0" applyNumberFormat="1" applyFont="1" applyFill="1" applyAlignment="1">
      <alignment horizontal="left"/>
    </xf>
    <xf numFmtId="167" fontId="70" fillId="18" borderId="0" xfId="0" applyNumberFormat="1" applyFont="1" applyFill="1"/>
    <xf numFmtId="0" fontId="70" fillId="18" borderId="0" xfId="0" applyFont="1" applyFill="1"/>
    <xf numFmtId="0" fontId="48" fillId="18" borderId="0" xfId="0" applyFont="1" applyFill="1"/>
    <xf numFmtId="0" fontId="70" fillId="18" borderId="0" xfId="0" applyFont="1" applyFill="1" applyAlignment="1">
      <alignment horizontal="left"/>
    </xf>
    <xf numFmtId="18" fontId="70" fillId="18" borderId="0" xfId="0" applyNumberFormat="1" applyFont="1" applyFill="1"/>
    <xf numFmtId="1" fontId="83" fillId="2" borderId="0" xfId="0" applyNumberFormat="1" applyFont="1" applyFill="1" applyAlignment="1">
      <alignment horizontal="left"/>
    </xf>
    <xf numFmtId="20" fontId="6" fillId="63" borderId="0" xfId="0" applyNumberFormat="1" applyFont="1" applyFill="1" applyAlignment="1">
      <alignment horizontal="left"/>
    </xf>
    <xf numFmtId="0" fontId="36" fillId="12" borderId="0" xfId="7" applyFont="1" applyFill="1" applyAlignment="1">
      <alignment horizontal="justify" vertical="center"/>
    </xf>
    <xf numFmtId="14" fontId="36" fillId="12" borderId="0" xfId="7" applyNumberFormat="1" applyFont="1" applyFill="1" applyAlignment="1">
      <alignment horizontal="center" vertical="center" wrapText="1"/>
    </xf>
    <xf numFmtId="0" fontId="36" fillId="12" borderId="0" xfId="7" applyFont="1" applyFill="1" applyAlignment="1">
      <alignment horizontal="center" vertical="center" wrapText="1"/>
    </xf>
    <xf numFmtId="0" fontId="37" fillId="12" borderId="0" xfId="7" applyFont="1" applyFill="1" applyAlignment="1">
      <alignment horizontal="left"/>
    </xf>
    <xf numFmtId="14" fontId="91" fillId="12" borderId="0" xfId="7" applyNumberFormat="1" applyFont="1" applyFill="1" applyAlignment="1">
      <alignment vertical="center" wrapText="1"/>
    </xf>
    <xf numFmtId="0" fontId="36" fillId="12" borderId="0" xfId="7" applyFont="1" applyFill="1" applyAlignment="1">
      <alignment horizontal="left" vertical="center"/>
    </xf>
    <xf numFmtId="0" fontId="36" fillId="12" borderId="0" xfId="7" applyFont="1" applyFill="1" applyAlignment="1">
      <alignment vertical="center"/>
    </xf>
    <xf numFmtId="2" fontId="36" fillId="12" borderId="0" xfId="7" applyNumberFormat="1" applyFont="1" applyFill="1" applyAlignment="1">
      <alignment horizontal="left" vertical="center"/>
    </xf>
    <xf numFmtId="20" fontId="37" fillId="12" borderId="0" xfId="7" applyNumberFormat="1" applyFont="1" applyFill="1" applyAlignment="1">
      <alignment horizontal="left"/>
    </xf>
    <xf numFmtId="0" fontId="36" fillId="12" borderId="0" xfId="7" applyFont="1" applyFill="1" applyAlignment="1">
      <alignment horizontal="left"/>
    </xf>
    <xf numFmtId="20" fontId="37" fillId="12" borderId="0" xfId="7" applyNumberFormat="1" applyFont="1" applyFill="1" applyAlignment="1">
      <alignment horizontal="center"/>
    </xf>
    <xf numFmtId="0" fontId="37" fillId="12" borderId="0" xfId="7" applyFont="1" applyFill="1" applyAlignment="1">
      <alignment vertical="center" wrapText="1"/>
    </xf>
    <xf numFmtId="20" fontId="37" fillId="12" borderId="0" xfId="7" applyNumberFormat="1" applyFont="1" applyFill="1" applyAlignment="1">
      <alignment horizontal="left" vertical="top"/>
    </xf>
    <xf numFmtId="0" fontId="37" fillId="12" borderId="2" xfId="7" applyFont="1" applyFill="1" applyBorder="1" applyAlignment="1">
      <alignment vertical="center" wrapText="1"/>
    </xf>
    <xf numFmtId="20" fontId="37" fillId="12" borderId="2" xfId="7" applyNumberFormat="1" applyFont="1" applyFill="1" applyBorder="1" applyAlignment="1">
      <alignment horizontal="left"/>
    </xf>
    <xf numFmtId="20" fontId="37" fillId="12" borderId="2" xfId="7" applyNumberFormat="1" applyFont="1" applyFill="1" applyBorder="1" applyAlignment="1">
      <alignment horizontal="left" vertical="top"/>
    </xf>
    <xf numFmtId="0" fontId="36" fillId="12" borderId="2" xfId="7" applyFont="1" applyFill="1" applyBorder="1" applyAlignment="1">
      <alignment horizontal="left" vertical="center"/>
    </xf>
    <xf numFmtId="2" fontId="36" fillId="12" borderId="2" xfId="7" applyNumberFormat="1" applyFont="1" applyFill="1" applyBorder="1" applyAlignment="1">
      <alignment horizontal="left" vertical="center"/>
    </xf>
    <xf numFmtId="0" fontId="36" fillId="12" borderId="2" xfId="7" applyFont="1" applyFill="1" applyBorder="1" applyAlignment="1">
      <alignment horizontal="left"/>
    </xf>
    <xf numFmtId="0" fontId="37" fillId="12" borderId="2" xfId="7" applyFont="1" applyFill="1" applyBorder="1" applyAlignment="1">
      <alignment horizontal="left"/>
    </xf>
    <xf numFmtId="0" fontId="36" fillId="12" borderId="0" xfId="7" applyFont="1" applyFill="1" applyAlignment="1">
      <alignment vertical="center" wrapText="1"/>
    </xf>
    <xf numFmtId="0" fontId="36" fillId="12" borderId="0" xfId="7" applyFont="1" applyFill="1" applyAlignment="1">
      <alignment horizontal="left" vertical="center" wrapText="1"/>
    </xf>
    <xf numFmtId="2" fontId="37" fillId="12" borderId="0" xfId="7" applyNumberFormat="1" applyFont="1" applyFill="1" applyAlignment="1">
      <alignment horizontal="left"/>
    </xf>
    <xf numFmtId="167" fontId="37" fillId="12" borderId="0" xfId="7" applyNumberFormat="1" applyFont="1" applyFill="1"/>
    <xf numFmtId="167" fontId="36" fillId="12" borderId="0" xfId="7" applyNumberFormat="1" applyFont="1" applyFill="1"/>
    <xf numFmtId="20" fontId="37" fillId="12" borderId="0" xfId="7" quotePrefix="1" applyNumberFormat="1" applyFont="1" applyFill="1" applyAlignment="1">
      <alignment horizontal="left"/>
    </xf>
    <xf numFmtId="20" fontId="37" fillId="12" borderId="2" xfId="7" quotePrefix="1" applyNumberFormat="1" applyFont="1" applyFill="1" applyBorder="1" applyAlignment="1">
      <alignment horizontal="left" vertical="top"/>
    </xf>
    <xf numFmtId="1" fontId="36" fillId="12" borderId="0" xfId="7" applyNumberFormat="1" applyFont="1" applyFill="1" applyAlignment="1">
      <alignment horizontal="center" vertical="center" wrapText="1"/>
    </xf>
    <xf numFmtId="0" fontId="7" fillId="10" borderId="0" xfId="7" applyFont="1" applyFill="1" applyAlignment="1">
      <alignment vertical="center"/>
    </xf>
    <xf numFmtId="20" fontId="81" fillId="63" borderId="0" xfId="0" applyNumberFormat="1" applyFont="1" applyFill="1" applyAlignment="1">
      <alignment horizontal="left"/>
    </xf>
    <xf numFmtId="0" fontId="6" fillId="12" borderId="0" xfId="7" applyFont="1" applyFill="1"/>
    <xf numFmtId="0" fontId="92" fillId="35" borderId="2" xfId="7" applyFont="1" applyFill="1" applyBorder="1" applyAlignment="1">
      <alignment horizontal="left" vertical="center"/>
    </xf>
    <xf numFmtId="0" fontId="92" fillId="35" borderId="0" xfId="7" applyFont="1" applyFill="1" applyAlignment="1">
      <alignment horizontal="left" vertical="center"/>
    </xf>
    <xf numFmtId="49" fontId="6" fillId="2" borderId="0" xfId="0" applyNumberFormat="1" applyFont="1" applyFill="1" applyAlignment="1">
      <alignment horizontal="left" vertical="center"/>
    </xf>
    <xf numFmtId="0" fontId="93" fillId="62" borderId="0" xfId="7" applyFont="1" applyFill="1" applyAlignment="1">
      <alignment vertical="center" wrapText="1"/>
    </xf>
    <xf numFmtId="0" fontId="93" fillId="17" borderId="0" xfId="7" applyFont="1" applyFill="1" applyAlignment="1">
      <alignment vertical="center" wrapText="1"/>
    </xf>
    <xf numFmtId="0" fontId="93" fillId="35" borderId="2" xfId="7" applyFont="1" applyFill="1" applyBorder="1" applyAlignment="1">
      <alignment vertical="center" wrapText="1"/>
    </xf>
    <xf numFmtId="0" fontId="93" fillId="35" borderId="0" xfId="7" applyFont="1" applyFill="1" applyAlignment="1">
      <alignment vertical="center" wrapText="1"/>
    </xf>
    <xf numFmtId="0" fontId="64" fillId="60" borderId="0" xfId="7" applyFont="1" applyFill="1" applyAlignment="1">
      <alignment vertical="center" wrapText="1"/>
    </xf>
    <xf numFmtId="0" fontId="32" fillId="12" borderId="0" xfId="7" applyFont="1" applyFill="1" applyAlignment="1">
      <alignment vertical="center" wrapText="1"/>
    </xf>
    <xf numFmtId="0" fontId="6" fillId="62" borderId="0" xfId="7" applyFont="1" applyFill="1" applyAlignment="1">
      <alignment vertical="center"/>
    </xf>
    <xf numFmtId="0" fontId="10" fillId="2" borderId="0" xfId="7" applyFont="1" applyFill="1" applyAlignment="1">
      <alignment horizontal="center" vertical="center" wrapText="1"/>
    </xf>
    <xf numFmtId="14" fontId="33" fillId="2" borderId="0" xfId="7" applyNumberFormat="1" applyFont="1" applyFill="1" applyAlignment="1">
      <alignment horizontal="left" vertical="center" wrapText="1"/>
    </xf>
    <xf numFmtId="0" fontId="37" fillId="2" borderId="0" xfId="7" applyFont="1" applyFill="1"/>
    <xf numFmtId="0" fontId="36" fillId="2" borderId="0" xfId="7" applyFont="1" applyFill="1" applyAlignment="1">
      <alignment horizontal="justify" vertical="center"/>
    </xf>
    <xf numFmtId="20" fontId="37" fillId="2" borderId="0" xfId="7" applyNumberFormat="1" applyFont="1" applyFill="1" applyAlignment="1">
      <alignment horizontal="left"/>
    </xf>
    <xf numFmtId="0" fontId="37" fillId="2" borderId="0" xfId="7" applyFont="1" applyFill="1" applyAlignment="1">
      <alignment vertical="center" wrapText="1"/>
    </xf>
    <xf numFmtId="0" fontId="36" fillId="2" borderId="0" xfId="7" applyFont="1" applyFill="1" applyAlignment="1">
      <alignment vertical="center" wrapText="1"/>
    </xf>
    <xf numFmtId="0" fontId="36" fillId="2" borderId="0" xfId="7" applyFont="1" applyFill="1" applyAlignment="1">
      <alignment vertical="center"/>
    </xf>
    <xf numFmtId="0" fontId="2" fillId="2" borderId="22" xfId="7" applyFill="1" applyBorder="1"/>
    <xf numFmtId="0" fontId="2" fillId="2" borderId="23" xfId="7" applyFill="1" applyBorder="1"/>
    <xf numFmtId="0" fontId="2" fillId="2" borderId="24" xfId="7" applyFill="1" applyBorder="1"/>
    <xf numFmtId="0" fontId="93" fillId="2" borderId="25" xfId="7" applyFont="1" applyFill="1" applyBorder="1" applyAlignment="1">
      <alignment vertical="center" wrapText="1"/>
    </xf>
    <xf numFmtId="0" fontId="2" fillId="2" borderId="26" xfId="7" applyFill="1" applyBorder="1"/>
    <xf numFmtId="0" fontId="2" fillId="2" borderId="25" xfId="7" applyFill="1" applyBorder="1"/>
    <xf numFmtId="0" fontId="2" fillId="2" borderId="27" xfId="7" applyFill="1" applyBorder="1"/>
    <xf numFmtId="0" fontId="2" fillId="2" borderId="21" xfId="7" applyFill="1" applyBorder="1"/>
    <xf numFmtId="0" fontId="2" fillId="2" borderId="28" xfId="7" applyFill="1" applyBorder="1"/>
    <xf numFmtId="0" fontId="93" fillId="2" borderId="18" xfId="7" applyFont="1" applyFill="1" applyBorder="1" applyAlignment="1">
      <alignment vertical="center" wrapText="1"/>
    </xf>
    <xf numFmtId="0" fontId="64" fillId="2" borderId="36" xfId="7" applyFont="1" applyFill="1" applyBorder="1" applyAlignment="1">
      <alignment vertical="center" wrapText="1"/>
    </xf>
    <xf numFmtId="20" fontId="6" fillId="2" borderId="37" xfId="7" applyNumberFormat="1" applyFont="1" applyFill="1" applyBorder="1" applyAlignment="1">
      <alignment horizontal="left"/>
    </xf>
    <xf numFmtId="0" fontId="2" fillId="2" borderId="38" xfId="7" applyFill="1" applyBorder="1"/>
    <xf numFmtId="20" fontId="6" fillId="62" borderId="37" xfId="7" applyNumberFormat="1" applyFont="1" applyFill="1" applyBorder="1" applyAlignment="1">
      <alignment horizontal="left"/>
    </xf>
    <xf numFmtId="20" fontId="6" fillId="62" borderId="38" xfId="7" applyNumberFormat="1" applyFont="1" applyFill="1" applyBorder="1" applyAlignment="1">
      <alignment horizontal="left"/>
    </xf>
    <xf numFmtId="0" fontId="6" fillId="17" borderId="37" xfId="7" applyFont="1" applyFill="1" applyBorder="1" applyAlignment="1">
      <alignment vertical="center"/>
    </xf>
    <xf numFmtId="0" fontId="6" fillId="17" borderId="38" xfId="7" applyFont="1" applyFill="1" applyBorder="1" applyAlignment="1">
      <alignment vertical="center"/>
    </xf>
    <xf numFmtId="0" fontId="6" fillId="60" borderId="37" xfId="7" applyFont="1" applyFill="1" applyBorder="1" applyAlignment="1">
      <alignment vertical="center" wrapText="1"/>
    </xf>
    <xf numFmtId="0" fontId="6" fillId="60" borderId="38" xfId="7" applyFont="1" applyFill="1" applyBorder="1" applyAlignment="1">
      <alignment vertical="center"/>
    </xf>
    <xf numFmtId="0" fontId="6" fillId="38" borderId="37" xfId="7" applyFont="1" applyFill="1" applyBorder="1" applyAlignment="1">
      <alignment vertical="center" wrapText="1"/>
    </xf>
    <xf numFmtId="0" fontId="6" fillId="38" borderId="38" xfId="7" applyFont="1" applyFill="1" applyBorder="1" applyAlignment="1">
      <alignment vertical="center"/>
    </xf>
    <xf numFmtId="0" fontId="6" fillId="35" borderId="39" xfId="7" applyFont="1" applyFill="1" applyBorder="1" applyAlignment="1">
      <alignment vertical="center"/>
    </xf>
    <xf numFmtId="0" fontId="6" fillId="35" borderId="40" xfId="7" applyFont="1" applyFill="1" applyBorder="1" applyAlignment="1">
      <alignment vertical="center"/>
    </xf>
    <xf numFmtId="20" fontId="6" fillId="35" borderId="0" xfId="7" quotePrefix="1" applyNumberFormat="1" applyFont="1" applyFill="1" applyAlignment="1">
      <alignment horizontal="left" vertical="center"/>
    </xf>
    <xf numFmtId="20" fontId="6" fillId="35" borderId="0" xfId="7" applyNumberFormat="1" applyFont="1" applyFill="1" applyAlignment="1">
      <alignment horizontal="left" vertical="center"/>
    </xf>
    <xf numFmtId="20" fontId="6" fillId="35" borderId="2" xfId="7" applyNumberFormat="1" applyFont="1" applyFill="1" applyBorder="1" applyAlignment="1">
      <alignment horizontal="left" vertical="center"/>
    </xf>
    <xf numFmtId="0" fontId="7" fillId="35" borderId="0" xfId="0" applyFont="1" applyFill="1" applyAlignment="1">
      <alignment horizontal="right"/>
    </xf>
    <xf numFmtId="0" fontId="6" fillId="35" borderId="0" xfId="0" applyFont="1" applyFill="1" applyAlignment="1">
      <alignment horizontal="left" vertical="center"/>
    </xf>
    <xf numFmtId="0" fontId="7" fillId="35" borderId="0" xfId="0" applyFont="1" applyFill="1" applyAlignment="1">
      <alignment vertical="center"/>
    </xf>
    <xf numFmtId="1" fontId="7" fillId="35" borderId="0" xfId="0" applyNumberFormat="1" applyFont="1" applyFill="1" applyAlignment="1">
      <alignment horizontal="left" vertical="center"/>
    </xf>
    <xf numFmtId="0" fontId="6" fillId="35" borderId="0" xfId="0" applyFont="1" applyFill="1" applyAlignment="1">
      <alignment horizontal="left"/>
    </xf>
    <xf numFmtId="0" fontId="6" fillId="35" borderId="0" xfId="0" applyFont="1" applyFill="1"/>
    <xf numFmtId="18" fontId="6" fillId="35" borderId="0" xfId="0" applyNumberFormat="1" applyFont="1" applyFill="1"/>
    <xf numFmtId="0" fontId="6" fillId="35" borderId="0" xfId="0" applyFont="1" applyFill="1" applyAlignment="1">
      <alignment horizontal="right"/>
    </xf>
    <xf numFmtId="2" fontId="41" fillId="10" borderId="0" xfId="0" applyNumberFormat="1" applyFont="1" applyFill="1" applyAlignment="1">
      <alignment horizontal="left" vertical="center"/>
    </xf>
    <xf numFmtId="0" fontId="37" fillId="35" borderId="0" xfId="0" applyFont="1" applyFill="1" applyAlignment="1">
      <alignment horizontal="left"/>
    </xf>
    <xf numFmtId="0" fontId="32" fillId="35" borderId="0" xfId="0" applyFont="1" applyFill="1" applyAlignment="1">
      <alignment horizontal="left" vertical="center"/>
    </xf>
    <xf numFmtId="0" fontId="41" fillId="35" borderId="0" xfId="0" applyFont="1" applyFill="1" applyAlignment="1">
      <alignment horizontal="left" vertical="center"/>
    </xf>
    <xf numFmtId="0" fontId="32" fillId="18" borderId="0" xfId="0" applyFont="1" applyFill="1" applyAlignment="1">
      <alignment horizontal="left"/>
    </xf>
    <xf numFmtId="0" fontId="41" fillId="18" borderId="0" xfId="0" applyFont="1" applyFill="1" applyAlignment="1">
      <alignment horizontal="left"/>
    </xf>
    <xf numFmtId="0" fontId="7" fillId="64" borderId="0" xfId="7" applyFont="1" applyFill="1" applyAlignment="1">
      <alignment horizontal="left" vertical="center"/>
    </xf>
    <xf numFmtId="0" fontId="6" fillId="64" borderId="0" xfId="7" applyFont="1" applyFill="1" applyAlignment="1">
      <alignment horizontal="left" vertical="center"/>
    </xf>
    <xf numFmtId="20" fontId="6" fillId="64" borderId="0" xfId="7" applyNumberFormat="1" applyFont="1" applyFill="1" applyAlignment="1">
      <alignment horizontal="left"/>
    </xf>
    <xf numFmtId="0" fontId="6" fillId="64" borderId="0" xfId="7" applyFont="1" applyFill="1" applyAlignment="1">
      <alignment horizontal="left"/>
    </xf>
    <xf numFmtId="20" fontId="6" fillId="64" borderId="0" xfId="7" quotePrefix="1" applyNumberFormat="1" applyFont="1" applyFill="1" applyAlignment="1">
      <alignment horizontal="left"/>
    </xf>
    <xf numFmtId="20" fontId="6" fillId="64" borderId="0" xfId="7" applyNumberFormat="1" applyFont="1" applyFill="1" applyAlignment="1">
      <alignment horizontal="left" vertical="center"/>
    </xf>
    <xf numFmtId="2" fontId="7" fillId="64" borderId="0" xfId="7" applyNumberFormat="1" applyFont="1" applyFill="1" applyAlignment="1">
      <alignment horizontal="left" vertical="center"/>
    </xf>
    <xf numFmtId="20" fontId="6" fillId="64" borderId="0" xfId="7" applyNumberFormat="1" applyFont="1" applyFill="1" applyAlignment="1">
      <alignment horizontal="left" vertical="top"/>
    </xf>
    <xf numFmtId="20" fontId="6" fillId="26" borderId="0" xfId="7" applyNumberFormat="1" applyFont="1" applyFill="1" applyAlignment="1">
      <alignment horizontal="left"/>
    </xf>
    <xf numFmtId="0" fontId="6" fillId="26" borderId="0" xfId="7" applyFont="1" applyFill="1" applyAlignment="1">
      <alignment vertical="center" wrapText="1"/>
    </xf>
    <xf numFmtId="0" fontId="6" fillId="26" borderId="0" xfId="7" applyFont="1" applyFill="1" applyAlignment="1">
      <alignment vertical="center"/>
    </xf>
    <xf numFmtId="0" fontId="6" fillId="26" borderId="0" xfId="7" applyFont="1" applyFill="1" applyAlignment="1">
      <alignment horizontal="left"/>
    </xf>
    <xf numFmtId="0" fontId="93" fillId="26" borderId="0" xfId="7" applyFont="1" applyFill="1" applyAlignment="1">
      <alignment vertical="center" wrapText="1"/>
    </xf>
    <xf numFmtId="0" fontId="6" fillId="2" borderId="40" xfId="7" applyFont="1" applyFill="1" applyBorder="1" applyAlignment="1">
      <alignment vertical="center"/>
    </xf>
    <xf numFmtId="0" fontId="6" fillId="2" borderId="27" xfId="7" applyFont="1" applyFill="1" applyBorder="1"/>
    <xf numFmtId="0" fontId="6" fillId="2" borderId="21" xfId="7" applyFont="1" applyFill="1" applyBorder="1" applyAlignment="1">
      <alignment vertical="center" wrapText="1"/>
    </xf>
    <xf numFmtId="0" fontId="6" fillId="2" borderId="21" xfId="7" applyFont="1" applyFill="1" applyBorder="1" applyAlignment="1">
      <alignment vertical="center"/>
    </xf>
    <xf numFmtId="20" fontId="6" fillId="2" borderId="38" xfId="7" applyNumberFormat="1" applyFont="1" applyFill="1" applyBorder="1" applyAlignment="1">
      <alignment horizontal="left"/>
    </xf>
    <xf numFmtId="0" fontId="7" fillId="64" borderId="0" xfId="7" applyFont="1" applyFill="1" applyAlignment="1">
      <alignment horizontal="left"/>
    </xf>
    <xf numFmtId="20" fontId="6" fillId="35" borderId="2" xfId="7" quotePrefix="1" applyNumberFormat="1" applyFont="1" applyFill="1" applyBorder="1" applyAlignment="1">
      <alignment horizontal="left" vertical="center"/>
    </xf>
    <xf numFmtId="0" fontId="0" fillId="2" borderId="13" xfId="0" applyFill="1" applyBorder="1"/>
    <xf numFmtId="0" fontId="17" fillId="2" borderId="13" xfId="0" applyFont="1" applyFill="1" applyBorder="1"/>
    <xf numFmtId="0" fontId="94" fillId="2" borderId="13" xfId="0" applyFont="1" applyFill="1" applyBorder="1"/>
    <xf numFmtId="0" fontId="94" fillId="2" borderId="0" xfId="0" applyFont="1" applyFill="1"/>
    <xf numFmtId="0" fontId="15" fillId="35" borderId="2" xfId="7" applyFont="1" applyFill="1" applyBorder="1" applyAlignment="1">
      <alignment horizontal="left" vertical="center"/>
    </xf>
    <xf numFmtId="2" fontId="7" fillId="20" borderId="0" xfId="0" applyNumberFormat="1" applyFont="1" applyFill="1" applyAlignment="1">
      <alignment horizontal="left" vertical="center"/>
    </xf>
    <xf numFmtId="0" fontId="41" fillId="7" borderId="0" xfId="0" applyFont="1" applyFill="1" applyAlignment="1">
      <alignment horizontal="left"/>
    </xf>
    <xf numFmtId="0" fontId="79" fillId="0" borderId="0" xfId="0" applyFont="1" applyAlignment="1">
      <alignment horizontal="left" vertical="center"/>
    </xf>
    <xf numFmtId="0" fontId="78" fillId="12" borderId="0" xfId="0" applyFont="1" applyFill="1" applyAlignment="1">
      <alignment horizontal="center" vertical="center" wrapText="1"/>
    </xf>
    <xf numFmtId="0" fontId="78" fillId="12" borderId="0" xfId="0" applyFont="1" applyFill="1" applyAlignment="1">
      <alignment vertical="center"/>
    </xf>
    <xf numFmtId="0" fontId="95" fillId="2" borderId="0" xfId="7" applyFont="1" applyFill="1" applyAlignment="1">
      <alignment horizontal="right" vertical="center"/>
    </xf>
    <xf numFmtId="0" fontId="96" fillId="2" borderId="0" xfId="7" applyFont="1" applyFill="1"/>
    <xf numFmtId="0" fontId="97" fillId="2" borderId="0" xfId="7" applyFont="1" applyFill="1" applyAlignment="1">
      <alignment horizontal="right" vertical="center"/>
    </xf>
    <xf numFmtId="2" fontId="96" fillId="2" borderId="0" xfId="7" applyNumberFormat="1" applyFont="1" applyFill="1"/>
    <xf numFmtId="2" fontId="96" fillId="2" borderId="0" xfId="7" applyNumberFormat="1" applyFont="1" applyFill="1" applyAlignment="1">
      <alignment vertical="center"/>
    </xf>
    <xf numFmtId="0" fontId="98" fillId="2" borderId="0" xfId="7" applyFont="1" applyFill="1"/>
    <xf numFmtId="4" fontId="99" fillId="2" borderId="0" xfId="7" applyNumberFormat="1" applyFont="1" applyFill="1" applyAlignment="1">
      <alignment vertical="center"/>
    </xf>
    <xf numFmtId="9" fontId="100" fillId="2" borderId="0" xfId="8" applyFont="1" applyFill="1"/>
    <xf numFmtId="14" fontId="6" fillId="2" borderId="0" xfId="7" applyNumberFormat="1" applyFont="1" applyFill="1"/>
    <xf numFmtId="0" fontId="1" fillId="2" borderId="0" xfId="7" applyFont="1" applyFill="1"/>
    <xf numFmtId="0" fontId="1" fillId="2" borderId="22" xfId="7" applyFont="1" applyFill="1" applyBorder="1"/>
    <xf numFmtId="0" fontId="1" fillId="2" borderId="23" xfId="7" applyFont="1" applyFill="1" applyBorder="1"/>
    <xf numFmtId="0" fontId="1" fillId="2" borderId="24" xfId="7" applyFont="1" applyFill="1" applyBorder="1"/>
    <xf numFmtId="0" fontId="1" fillId="2" borderId="26" xfId="7" applyFont="1" applyFill="1" applyBorder="1"/>
    <xf numFmtId="0" fontId="1" fillId="2" borderId="25" xfId="7" applyFont="1" applyFill="1" applyBorder="1"/>
    <xf numFmtId="0" fontId="1" fillId="2" borderId="38" xfId="7" applyFont="1" applyFill="1" applyBorder="1"/>
    <xf numFmtId="0" fontId="1" fillId="2" borderId="28" xfId="7" applyFont="1" applyFill="1" applyBorder="1"/>
    <xf numFmtId="0" fontId="5" fillId="0" borderId="0" xfId="9"/>
    <xf numFmtId="0" fontId="15" fillId="11" borderId="0" xfId="9" applyFont="1" applyFill="1" applyAlignment="1">
      <alignment vertical="center" wrapText="1"/>
    </xf>
    <xf numFmtId="0" fontId="7" fillId="4" borderId="0" xfId="9" applyFont="1" applyFill="1" applyAlignment="1">
      <alignment horizontal="left" vertical="center"/>
    </xf>
    <xf numFmtId="20" fontId="6" fillId="2" borderId="0" xfId="9" applyNumberFormat="1" applyFont="1" applyFill="1" applyAlignment="1">
      <alignment horizontal="left"/>
    </xf>
    <xf numFmtId="0" fontId="6" fillId="2" borderId="0" xfId="9" applyFont="1" applyFill="1" applyAlignment="1">
      <alignment horizontal="left"/>
    </xf>
    <xf numFmtId="0" fontId="12" fillId="14" borderId="0" xfId="9" applyFont="1" applyFill="1" applyAlignment="1">
      <alignment horizontal="left" vertical="center"/>
    </xf>
    <xf numFmtId="0" fontId="36" fillId="2" borderId="0" xfId="9" applyFont="1" applyFill="1" applyAlignment="1">
      <alignment horizontal="left" vertical="center"/>
    </xf>
    <xf numFmtId="2" fontId="36" fillId="10" borderId="0" xfId="9" applyNumberFormat="1" applyFont="1" applyFill="1" applyAlignment="1">
      <alignment horizontal="left" vertical="center"/>
    </xf>
    <xf numFmtId="0" fontId="15" fillId="10" borderId="0" xfId="9" applyFont="1" applyFill="1" applyAlignment="1">
      <alignment vertical="center" wrapText="1"/>
    </xf>
    <xf numFmtId="0" fontId="7" fillId="10" borderId="0" xfId="9" applyFont="1" applyFill="1" applyAlignment="1">
      <alignment horizontal="left" vertical="center" wrapText="1"/>
    </xf>
    <xf numFmtId="0" fontId="7" fillId="10" borderId="0" xfId="9" applyFont="1" applyFill="1" applyAlignment="1">
      <alignment vertical="center" wrapText="1"/>
    </xf>
    <xf numFmtId="164" fontId="6" fillId="2" borderId="13" xfId="9" applyNumberFormat="1" applyFont="1" applyFill="1" applyBorder="1" applyAlignment="1">
      <alignment horizontal="left"/>
    </xf>
    <xf numFmtId="0" fontId="30" fillId="2" borderId="0" xfId="9" applyFont="1" applyFill="1" applyAlignment="1">
      <alignment horizontal="left"/>
    </xf>
    <xf numFmtId="0" fontId="8" fillId="2" borderId="0" xfId="9" applyFont="1" applyFill="1" applyAlignment="1">
      <alignment horizontal="left"/>
    </xf>
    <xf numFmtId="0" fontId="63" fillId="4" borderId="0" xfId="9" applyFont="1" applyFill="1" applyAlignment="1">
      <alignment horizontal="left" vertical="center"/>
    </xf>
    <xf numFmtId="0" fontId="10" fillId="7" borderId="0" xfId="9" applyFont="1" applyFill="1" applyAlignment="1">
      <alignment vertical="center"/>
    </xf>
    <xf numFmtId="0" fontId="13" fillId="6" borderId="0" xfId="9" applyFont="1" applyFill="1" applyAlignment="1">
      <alignment horizontal="center" vertical="center" wrapText="1"/>
    </xf>
    <xf numFmtId="0" fontId="10" fillId="7" borderId="0" xfId="9" applyFont="1" applyFill="1" applyAlignment="1">
      <alignment horizontal="left" vertical="center"/>
    </xf>
    <xf numFmtId="14" fontId="10" fillId="6" borderId="0" xfId="9" applyNumberFormat="1" applyFont="1" applyFill="1" applyAlignment="1">
      <alignment vertical="center" wrapText="1"/>
    </xf>
    <xf numFmtId="14" fontId="10" fillId="6" borderId="0" xfId="9" applyNumberFormat="1" applyFont="1" applyFill="1" applyAlignment="1">
      <alignment horizontal="center" vertical="center" wrapText="1"/>
    </xf>
    <xf numFmtId="14" fontId="10" fillId="2" borderId="0" xfId="9" applyNumberFormat="1" applyFont="1" applyFill="1" applyAlignment="1">
      <alignment horizontal="center" vertical="center" wrapText="1"/>
    </xf>
    <xf numFmtId="0" fontId="6" fillId="18" borderId="0" xfId="9" applyFont="1" applyFill="1"/>
    <xf numFmtId="0" fontId="6" fillId="2" borderId="0" xfId="9" applyFont="1" applyFill="1"/>
    <xf numFmtId="0" fontId="6" fillId="0" borderId="0" xfId="9" applyFont="1"/>
    <xf numFmtId="0" fontId="30" fillId="2" borderId="0" xfId="9" applyFont="1" applyFill="1"/>
    <xf numFmtId="0" fontId="8" fillId="23" borderId="0" xfId="9" applyFont="1" applyFill="1" applyAlignment="1">
      <alignment vertical="center" wrapText="1"/>
    </xf>
    <xf numFmtId="0" fontId="6" fillId="23" borderId="0" xfId="9" applyFont="1" applyFill="1"/>
    <xf numFmtId="0" fontId="6" fillId="23" borderId="0" xfId="9" applyFont="1" applyFill="1" applyAlignment="1">
      <alignment horizontal="right"/>
    </xf>
    <xf numFmtId="0" fontId="6" fillId="23" borderId="0" xfId="9" applyFont="1" applyFill="1" applyAlignment="1">
      <alignment horizontal="left"/>
    </xf>
    <xf numFmtId="0" fontId="36" fillId="23" borderId="0" xfId="9" applyFont="1" applyFill="1" applyAlignment="1">
      <alignment vertical="center"/>
    </xf>
    <xf numFmtId="0" fontId="37" fillId="23" borderId="0" xfId="9" applyFont="1" applyFill="1" applyAlignment="1">
      <alignment horizontal="left" vertical="center"/>
    </xf>
    <xf numFmtId="0" fontId="36" fillId="23" borderId="0" xfId="9" applyFont="1" applyFill="1" applyAlignment="1">
      <alignment horizontal="left" vertical="center"/>
    </xf>
    <xf numFmtId="0" fontId="36" fillId="23" borderId="0" xfId="9" applyFont="1" applyFill="1" applyAlignment="1">
      <alignment horizontal="right"/>
    </xf>
    <xf numFmtId="0" fontId="23" fillId="2" borderId="0" xfId="9" applyFont="1" applyFill="1" applyAlignment="1">
      <alignment horizontal="right"/>
    </xf>
    <xf numFmtId="0" fontId="55" fillId="2" borderId="0" xfId="9" applyFont="1" applyFill="1" applyAlignment="1">
      <alignment horizontal="right" vertical="center"/>
    </xf>
    <xf numFmtId="0" fontId="55" fillId="0" borderId="0" xfId="9" applyFont="1" applyAlignment="1">
      <alignment horizontal="right" vertical="center"/>
    </xf>
    <xf numFmtId="0" fontId="13" fillId="0" borderId="0" xfId="9" applyFont="1" applyAlignment="1">
      <alignment horizontal="right" vertical="center"/>
    </xf>
    <xf numFmtId="0" fontId="13" fillId="2" borderId="0" xfId="9" applyFont="1" applyFill="1" applyAlignment="1">
      <alignment horizontal="right" vertical="center"/>
    </xf>
    <xf numFmtId="0" fontId="13" fillId="2" borderId="7" xfId="9" applyFont="1" applyFill="1" applyBorder="1" applyAlignment="1">
      <alignment horizontal="right" vertical="center"/>
    </xf>
    <xf numFmtId="0" fontId="6" fillId="0" borderId="13" xfId="9" applyFont="1" applyBorder="1" applyAlignment="1">
      <alignment horizontal="left"/>
    </xf>
    <xf numFmtId="0" fontId="101" fillId="35" borderId="0" xfId="7" applyFont="1" applyFill="1" applyAlignment="1">
      <alignment vertical="center" wrapText="1"/>
    </xf>
    <xf numFmtId="20" fontId="6" fillId="55" borderId="0" xfId="7" applyNumberFormat="1" applyFont="1" applyFill="1" applyAlignment="1">
      <alignment horizontal="left"/>
    </xf>
    <xf numFmtId="0" fontId="6" fillId="8" borderId="13" xfId="9" applyFont="1" applyFill="1" applyBorder="1" applyAlignment="1">
      <alignment horizontal="left"/>
    </xf>
    <xf numFmtId="0" fontId="6" fillId="55" borderId="0" xfId="7" applyFont="1" applyFill="1" applyAlignment="1">
      <alignment vertical="center" wrapText="1"/>
    </xf>
    <xf numFmtId="0" fontId="6" fillId="55" borderId="0" xfId="7" applyFont="1" applyFill="1" applyAlignment="1">
      <alignment vertical="center"/>
    </xf>
    <xf numFmtId="0" fontId="7" fillId="55" borderId="0" xfId="7" applyFont="1" applyFill="1" applyAlignment="1">
      <alignment vertical="center" wrapText="1"/>
    </xf>
    <xf numFmtId="0" fontId="6" fillId="55" borderId="0" xfId="7" applyFont="1" applyFill="1" applyAlignment="1">
      <alignment horizontal="left"/>
    </xf>
    <xf numFmtId="20" fontId="7" fillId="55" borderId="2" xfId="7" applyNumberFormat="1" applyFont="1" applyFill="1" applyBorder="1" applyAlignment="1">
      <alignment horizontal="left" vertical="center"/>
    </xf>
    <xf numFmtId="0" fontId="6" fillId="2" borderId="2" xfId="7" applyFont="1" applyFill="1" applyBorder="1" applyAlignment="1">
      <alignment horizontal="left"/>
    </xf>
    <xf numFmtId="20" fontId="6" fillId="55" borderId="2" xfId="7" applyNumberFormat="1" applyFont="1" applyFill="1" applyBorder="1" applyAlignment="1">
      <alignment horizontal="left" vertical="center"/>
    </xf>
    <xf numFmtId="9" fontId="7" fillId="2" borderId="0" xfId="8" applyFont="1" applyFill="1"/>
    <xf numFmtId="0" fontId="0" fillId="0" borderId="13" xfId="0" applyBorder="1" applyAlignment="1">
      <alignment vertical="center"/>
    </xf>
    <xf numFmtId="0" fontId="102" fillId="0" borderId="13" xfId="0" applyFont="1" applyBorder="1" applyAlignment="1">
      <alignment vertical="center"/>
    </xf>
    <xf numFmtId="0" fontId="0" fillId="0" borderId="13" xfId="0" applyBorder="1" applyAlignment="1">
      <alignment horizontal="left" vertical="center"/>
    </xf>
    <xf numFmtId="14" fontId="0" fillId="0" borderId="13" xfId="0" applyNumberFormat="1" applyBorder="1" applyAlignment="1">
      <alignment horizontal="left" vertical="center"/>
    </xf>
    <xf numFmtId="0" fontId="25" fillId="0" borderId="13" xfId="0" applyFont="1" applyBorder="1" applyAlignment="1">
      <alignment vertical="center"/>
    </xf>
    <xf numFmtId="0" fontId="25" fillId="0" borderId="13" xfId="0" applyFont="1" applyBorder="1" applyAlignment="1">
      <alignment horizontal="left" vertical="center"/>
    </xf>
    <xf numFmtId="14" fontId="25" fillId="0" borderId="13" xfId="0" applyNumberFormat="1" applyFont="1" applyBorder="1" applyAlignment="1">
      <alignment horizontal="left" vertical="center"/>
    </xf>
    <xf numFmtId="2" fontId="38" fillId="59" borderId="0" xfId="0" applyNumberFormat="1" applyFont="1" applyFill="1"/>
    <xf numFmtId="16" fontId="0" fillId="59" borderId="0" xfId="0" applyNumberFormat="1" applyFill="1" applyAlignment="1">
      <alignment wrapText="1"/>
    </xf>
    <xf numFmtId="0" fontId="0" fillId="59" borderId="0" xfId="0" applyFill="1" applyAlignment="1">
      <alignment wrapText="1"/>
    </xf>
    <xf numFmtId="167" fontId="0" fillId="59" borderId="0" xfId="0" applyNumberFormat="1" applyFill="1" applyAlignment="1">
      <alignment wrapText="1"/>
    </xf>
    <xf numFmtId="14" fontId="17" fillId="2" borderId="0" xfId="0" applyNumberFormat="1" applyFont="1" applyFill="1"/>
    <xf numFmtId="0" fontId="0" fillId="2" borderId="0" xfId="0" quotePrefix="1" applyFill="1"/>
    <xf numFmtId="164" fontId="6" fillId="2" borderId="13" xfId="9" applyNumberFormat="1" applyFont="1" applyFill="1" applyBorder="1" applyAlignment="1">
      <alignment horizontal="left" wrapText="1"/>
    </xf>
    <xf numFmtId="20" fontId="6" fillId="64" borderId="0" xfId="0" applyNumberFormat="1" applyFont="1" applyFill="1" applyAlignment="1">
      <alignment horizontal="left"/>
    </xf>
    <xf numFmtId="0" fontId="7" fillId="64" borderId="0" xfId="0" applyFont="1" applyFill="1" applyAlignment="1">
      <alignment horizontal="left" vertical="center"/>
    </xf>
    <xf numFmtId="0" fontId="6" fillId="64" borderId="0" xfId="0" applyFont="1" applyFill="1" applyAlignment="1">
      <alignment horizontal="left"/>
    </xf>
    <xf numFmtId="2" fontId="7" fillId="64" borderId="0" xfId="0" applyNumberFormat="1" applyFont="1" applyFill="1" applyAlignment="1">
      <alignment horizontal="left" vertical="center"/>
    </xf>
    <xf numFmtId="0" fontId="13" fillId="2" borderId="4" xfId="9" applyFont="1" applyFill="1" applyBorder="1" applyAlignment="1">
      <alignment horizontal="center" vertical="center"/>
    </xf>
    <xf numFmtId="4" fontId="23" fillId="2" borderId="0" xfId="9" applyNumberFormat="1" applyFont="1" applyFill="1" applyAlignment="1">
      <alignment horizontal="right" vertical="center"/>
    </xf>
    <xf numFmtId="2" fontId="23" fillId="2" borderId="0" xfId="9" applyNumberFormat="1" applyFont="1" applyFill="1" applyAlignment="1">
      <alignment horizontal="right" vertical="center"/>
    </xf>
    <xf numFmtId="14" fontId="10" fillId="6" borderId="0" xfId="9" applyNumberFormat="1" applyFont="1" applyFill="1" applyAlignment="1">
      <alignment horizontal="center" vertical="center" wrapText="1"/>
    </xf>
    <xf numFmtId="0" fontId="10" fillId="7" borderId="0" xfId="9" applyFont="1" applyFill="1" applyAlignment="1">
      <alignment horizontal="justify" vertical="center"/>
    </xf>
    <xf numFmtId="0" fontId="10" fillId="7" borderId="0" xfId="0" applyFont="1" applyFill="1" applyAlignment="1">
      <alignment horizontal="center" vertical="center" wrapText="1"/>
    </xf>
    <xf numFmtId="0" fontId="10" fillId="7" borderId="0" xfId="0" applyFont="1" applyFill="1" applyAlignment="1">
      <alignment horizontal="justify" vertical="center"/>
    </xf>
    <xf numFmtId="14" fontId="10" fillId="6" borderId="0" xfId="0" applyNumberFormat="1" applyFont="1" applyFill="1" applyAlignment="1">
      <alignment horizontal="center" vertical="center" wrapText="1"/>
    </xf>
    <xf numFmtId="0" fontId="13" fillId="2" borderId="0" xfId="0" applyFont="1" applyFill="1" applyAlignment="1">
      <alignment horizontal="center" vertical="center"/>
    </xf>
    <xf numFmtId="14" fontId="33" fillId="6" borderId="0" xfId="0" applyNumberFormat="1" applyFont="1" applyFill="1" applyAlignment="1">
      <alignment horizontal="left" vertical="center" wrapText="1"/>
    </xf>
    <xf numFmtId="20" fontId="7" fillId="26" borderId="0" xfId="0" applyNumberFormat="1" applyFont="1" applyFill="1" applyAlignment="1">
      <alignment horizontal="center" vertical="center"/>
    </xf>
    <xf numFmtId="0" fontId="10" fillId="7" borderId="0" xfId="0" applyFont="1" applyFill="1" applyAlignment="1">
      <alignment horizontal="center" vertical="center"/>
    </xf>
    <xf numFmtId="14" fontId="14" fillId="6" borderId="0" xfId="0" applyNumberFormat="1" applyFont="1" applyFill="1" applyAlignment="1">
      <alignment horizontal="center" vertical="center" wrapText="1"/>
    </xf>
    <xf numFmtId="0" fontId="17" fillId="9" borderId="0" xfId="0" applyFont="1" applyFill="1" applyAlignment="1">
      <alignment horizontal="center" vertical="center"/>
    </xf>
    <xf numFmtId="0" fontId="34" fillId="7" borderId="0" xfId="0" applyFont="1" applyFill="1" applyAlignment="1">
      <alignment horizontal="center" vertical="center" wrapText="1"/>
    </xf>
    <xf numFmtId="0" fontId="11" fillId="2" borderId="0" xfId="0" applyFont="1" applyFill="1" applyAlignment="1">
      <alignment horizontal="center" vertical="center"/>
    </xf>
    <xf numFmtId="0" fontId="10" fillId="7" borderId="0" xfId="0" applyFont="1" applyFill="1" applyAlignment="1">
      <alignment horizontal="left" vertical="center" wrapText="1"/>
    </xf>
    <xf numFmtId="0" fontId="11" fillId="2" borderId="0" xfId="0" applyFont="1" applyFill="1" applyAlignment="1">
      <alignment horizontal="right" vertical="center"/>
    </xf>
    <xf numFmtId="0" fontId="19" fillId="12" borderId="0" xfId="0" applyFont="1" applyFill="1" applyAlignment="1">
      <alignment horizontal="center" vertical="center" wrapText="1"/>
    </xf>
    <xf numFmtId="0" fontId="19" fillId="12" borderId="0" xfId="0" applyFont="1" applyFill="1" applyAlignment="1">
      <alignment horizontal="center" vertical="center"/>
    </xf>
    <xf numFmtId="0" fontId="15" fillId="10" borderId="0" xfId="0" applyFont="1" applyFill="1" applyAlignment="1">
      <alignment horizontal="right" vertical="center" wrapText="1"/>
    </xf>
    <xf numFmtId="0" fontId="7" fillId="10" borderId="0" xfId="0" applyFont="1" applyFill="1" applyAlignment="1">
      <alignment horizontal="right" vertical="center" wrapText="1"/>
    </xf>
    <xf numFmtId="1" fontId="14" fillId="11" borderId="0" xfId="0" applyNumberFormat="1" applyFont="1" applyFill="1" applyAlignment="1">
      <alignment horizontal="center" vertical="center" wrapText="1"/>
    </xf>
    <xf numFmtId="1" fontId="14" fillId="11" borderId="1" xfId="0" applyNumberFormat="1" applyFont="1" applyFill="1" applyBorder="1" applyAlignment="1">
      <alignment horizontal="center" vertical="center" wrapText="1"/>
    </xf>
    <xf numFmtId="2" fontId="14" fillId="11" borderId="0" xfId="0" applyNumberFormat="1" applyFont="1" applyFill="1" applyAlignment="1">
      <alignment horizontal="center" vertical="center" wrapText="1"/>
    </xf>
    <xf numFmtId="0" fontId="23" fillId="2" borderId="0" xfId="0" applyFont="1" applyFill="1" applyAlignment="1">
      <alignment horizont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1" fillId="4" borderId="0" xfId="0" applyFont="1" applyFill="1" applyAlignment="1">
      <alignment horizontal="center" vertical="center" textRotation="90"/>
    </xf>
    <xf numFmtId="14" fontId="41" fillId="6" borderId="0" xfId="0" applyNumberFormat="1" applyFont="1" applyFill="1" applyAlignment="1">
      <alignment horizontal="center" vertical="center" wrapText="1"/>
    </xf>
    <xf numFmtId="49" fontId="6" fillId="11" borderId="0" xfId="0" applyNumberFormat="1" applyFont="1" applyFill="1" applyAlignment="1">
      <alignment horizontal="center" textRotation="255"/>
    </xf>
    <xf numFmtId="0" fontId="13" fillId="4" borderId="0" xfId="0" applyFont="1" applyFill="1" applyAlignment="1">
      <alignment horizontal="center" vertical="center" textRotation="255" wrapText="1"/>
    </xf>
    <xf numFmtId="20" fontId="37" fillId="12" borderId="0" xfId="0" applyNumberFormat="1" applyFont="1" applyFill="1" applyAlignment="1">
      <alignment horizontal="center"/>
    </xf>
    <xf numFmtId="14" fontId="10" fillId="40" borderId="0" xfId="0" applyNumberFormat="1" applyFont="1" applyFill="1" applyAlignment="1">
      <alignment horizontal="center" wrapText="1"/>
    </xf>
    <xf numFmtId="0" fontId="10" fillId="40" borderId="0" xfId="0" applyFont="1" applyFill="1" applyAlignment="1">
      <alignment horizontal="center" wrapText="1"/>
    </xf>
    <xf numFmtId="20" fontId="41" fillId="11" borderId="0" xfId="0" applyNumberFormat="1" applyFont="1" applyFill="1" applyAlignment="1">
      <alignment horizontal="center" vertical="center" textRotation="90"/>
    </xf>
    <xf numFmtId="20" fontId="6" fillId="11" borderId="0" xfId="0" applyNumberFormat="1" applyFont="1" applyFill="1" applyAlignment="1">
      <alignment horizontal="center" vertical="center" textRotation="255"/>
    </xf>
    <xf numFmtId="49" fontId="6" fillId="29" borderId="0" xfId="0" applyNumberFormat="1" applyFont="1" applyFill="1" applyAlignment="1">
      <alignment horizontal="center" vertical="center" textRotation="90"/>
    </xf>
    <xf numFmtId="0" fontId="10" fillId="7" borderId="0" xfId="0" applyFont="1" applyFill="1" applyAlignment="1">
      <alignment horizontal="left" vertical="center"/>
    </xf>
    <xf numFmtId="0" fontId="17" fillId="0" borderId="15" xfId="0" applyFont="1" applyBorder="1" applyAlignment="1">
      <alignment horizontal="center"/>
    </xf>
    <xf numFmtId="0" fontId="17" fillId="0" borderId="14" xfId="0" applyFont="1" applyBorder="1" applyAlignment="1">
      <alignment horizontal="center"/>
    </xf>
    <xf numFmtId="0" fontId="52" fillId="7" borderId="0" xfId="0" applyFont="1" applyFill="1" applyAlignment="1">
      <alignment horizontal="justify" vertical="center"/>
    </xf>
    <xf numFmtId="14" fontId="52" fillId="6" borderId="0" xfId="0" applyNumberFormat="1" applyFont="1" applyFill="1" applyAlignment="1">
      <alignment horizontal="center" vertical="center" wrapText="1"/>
    </xf>
    <xf numFmtId="0" fontId="52" fillId="7" borderId="0" xfId="0" applyFont="1" applyFill="1" applyAlignment="1">
      <alignment horizontal="center" vertical="center" wrapText="1"/>
    </xf>
    <xf numFmtId="0" fontId="37" fillId="12" borderId="0" xfId="0" applyFont="1" applyFill="1" applyAlignment="1">
      <alignment horizontal="center"/>
    </xf>
    <xf numFmtId="20" fontId="32" fillId="53" borderId="0" xfId="0" applyNumberFormat="1" applyFont="1" applyFill="1" applyAlignment="1">
      <alignment horizontal="center" textRotation="255"/>
    </xf>
    <xf numFmtId="49" fontId="6" fillId="26" borderId="0" xfId="0" applyNumberFormat="1" applyFont="1" applyFill="1" applyAlignment="1">
      <alignment horizontal="center" vertical="center" textRotation="255"/>
    </xf>
    <xf numFmtId="20" fontId="6" fillId="30" borderId="0" xfId="0" applyNumberFormat="1" applyFont="1" applyFill="1" applyAlignment="1">
      <alignment horizontal="center" vertical="center" textRotation="255"/>
    </xf>
    <xf numFmtId="4" fontId="20" fillId="2" borderId="0" xfId="0" applyNumberFormat="1" applyFont="1" applyFill="1" applyAlignment="1">
      <alignment horizontal="right" vertical="center"/>
    </xf>
    <xf numFmtId="2" fontId="20" fillId="2" borderId="0" xfId="0" applyNumberFormat="1" applyFont="1" applyFill="1" applyAlignment="1">
      <alignment horizontal="right" vertical="center"/>
    </xf>
    <xf numFmtId="20" fontId="6" fillId="2" borderId="0" xfId="0" applyNumberFormat="1" applyFont="1" applyFill="1" applyAlignment="1">
      <alignment horizontal="center"/>
    </xf>
    <xf numFmtId="14" fontId="10" fillId="49" borderId="0" xfId="0" applyNumberFormat="1" applyFont="1" applyFill="1" applyAlignment="1">
      <alignment horizontal="center" vertical="center" wrapText="1"/>
    </xf>
    <xf numFmtId="20" fontId="6" fillId="2" borderId="0" xfId="0" applyNumberFormat="1" applyFont="1" applyFill="1" applyAlignment="1">
      <alignment horizontal="left"/>
    </xf>
    <xf numFmtId="14" fontId="10" fillId="52" borderId="0" xfId="0" applyNumberFormat="1" applyFont="1" applyFill="1" applyAlignment="1">
      <alignment horizontal="center" vertical="center" wrapText="1"/>
    </xf>
    <xf numFmtId="14" fontId="36" fillId="6" borderId="0" xfId="7" applyNumberFormat="1" applyFont="1" applyFill="1" applyAlignment="1">
      <alignment horizontal="center" vertical="center" wrapText="1"/>
    </xf>
    <xf numFmtId="0" fontId="7" fillId="7" borderId="0" xfId="0" applyFont="1" applyFill="1" applyAlignment="1">
      <alignment horizontal="center" vertical="center" wrapText="1"/>
    </xf>
    <xf numFmtId="14" fontId="7" fillId="6" borderId="0" xfId="0" applyNumberFormat="1" applyFont="1" applyFill="1" applyAlignment="1">
      <alignment horizontal="center" vertical="center" wrapText="1"/>
    </xf>
    <xf numFmtId="0" fontId="7" fillId="7" borderId="0" xfId="0" applyFont="1" applyFill="1" applyAlignment="1">
      <alignment horizontal="justify" vertical="center"/>
    </xf>
    <xf numFmtId="14" fontId="78" fillId="6" borderId="0" xfId="0" applyNumberFormat="1" applyFont="1" applyFill="1" applyAlignment="1">
      <alignment horizontal="center" vertical="center" wrapText="1"/>
    </xf>
    <xf numFmtId="0" fontId="78" fillId="7" borderId="0" xfId="0" applyFont="1" applyFill="1" applyAlignment="1">
      <alignment horizontal="center" vertical="center" wrapText="1"/>
    </xf>
    <xf numFmtId="14" fontId="84" fillId="6" borderId="0" xfId="0" applyNumberFormat="1" applyFont="1" applyFill="1" applyAlignment="1">
      <alignment horizontal="center" vertical="center" wrapText="1"/>
    </xf>
    <xf numFmtId="0" fontId="84" fillId="7" borderId="0" xfId="0" applyFont="1" applyFill="1" applyAlignment="1">
      <alignment horizontal="center" vertical="center" wrapText="1"/>
    </xf>
    <xf numFmtId="0" fontId="48" fillId="7" borderId="0" xfId="0" applyFont="1" applyFill="1" applyAlignment="1">
      <alignment horizontal="justify" vertical="center"/>
    </xf>
    <xf numFmtId="14" fontId="48" fillId="6" borderId="0" xfId="0" applyNumberFormat="1" applyFont="1" applyFill="1" applyAlignment="1">
      <alignment horizontal="center" vertical="center" wrapText="1"/>
    </xf>
    <xf numFmtId="0" fontId="48" fillId="7" borderId="0" xfId="0" applyFont="1" applyFill="1" applyAlignment="1">
      <alignment horizontal="center" vertical="center" wrapText="1"/>
    </xf>
    <xf numFmtId="0" fontId="78" fillId="7" borderId="0" xfId="0" applyFont="1" applyFill="1" applyAlignment="1">
      <alignment horizontal="justify" vertical="center"/>
    </xf>
    <xf numFmtId="0" fontId="66" fillId="24" borderId="0" xfId="0" applyFont="1" applyFill="1" applyAlignment="1">
      <alignment horizontal="center" vertical="center" textRotation="180"/>
    </xf>
    <xf numFmtId="0" fontId="0" fillId="54" borderId="0" xfId="0" applyFill="1" applyAlignment="1">
      <alignment horizontal="center" vertical="center" textRotation="90"/>
    </xf>
    <xf numFmtId="2" fontId="23" fillId="2" borderId="0" xfId="0" applyNumberFormat="1" applyFont="1" applyFill="1" applyAlignment="1">
      <alignment horizontal="right" vertical="center"/>
    </xf>
    <xf numFmtId="4" fontId="23" fillId="2" borderId="0" xfId="0" applyNumberFormat="1" applyFont="1" applyFill="1" applyAlignment="1">
      <alignment horizontal="right" vertical="center"/>
    </xf>
    <xf numFmtId="1" fontId="57" fillId="2" borderId="0" xfId="0" applyNumberFormat="1" applyFont="1" applyFill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14" fontId="78" fillId="12" borderId="0" xfId="0" applyNumberFormat="1" applyFont="1" applyFill="1" applyAlignment="1">
      <alignment horizontal="center" vertical="center" wrapText="1"/>
    </xf>
    <xf numFmtId="0" fontId="69" fillId="7" borderId="0" xfId="7" applyFont="1" applyFill="1" applyAlignment="1">
      <alignment horizontal="center" vertical="center" wrapText="1"/>
    </xf>
    <xf numFmtId="14" fontId="10" fillId="6" borderId="0" xfId="7" applyNumberFormat="1" applyFont="1" applyFill="1" applyAlignment="1">
      <alignment horizontal="center" vertical="center" wrapText="1"/>
    </xf>
    <xf numFmtId="0" fontId="10" fillId="7" borderId="0" xfId="7" applyFont="1" applyFill="1" applyAlignment="1">
      <alignment horizontal="center" vertical="center" wrapText="1"/>
    </xf>
    <xf numFmtId="14" fontId="69" fillId="6" borderId="0" xfId="7" applyNumberFormat="1" applyFont="1" applyFill="1" applyAlignment="1">
      <alignment horizontal="center" vertical="center" wrapText="1"/>
    </xf>
    <xf numFmtId="0" fontId="69" fillId="7" borderId="0" xfId="7" applyFont="1" applyFill="1" applyAlignment="1">
      <alignment horizontal="justify" vertical="center"/>
    </xf>
    <xf numFmtId="0" fontId="10" fillId="7" borderId="0" xfId="7" applyFont="1" applyFill="1" applyAlignment="1">
      <alignment horizontal="justify" vertical="center"/>
    </xf>
    <xf numFmtId="0" fontId="82" fillId="24" borderId="0" xfId="7" applyFont="1" applyFill="1" applyAlignment="1">
      <alignment horizontal="center" vertical="center" textRotation="180"/>
    </xf>
    <xf numFmtId="0" fontId="54" fillId="2" borderId="0" xfId="7" applyFont="1" applyFill="1" applyAlignment="1">
      <alignment horizontal="right"/>
    </xf>
    <xf numFmtId="2" fontId="20" fillId="2" borderId="0" xfId="7" applyNumberFormat="1" applyFont="1" applyFill="1" applyAlignment="1">
      <alignment horizontal="right" vertical="center"/>
    </xf>
    <xf numFmtId="0" fontId="23" fillId="20" borderId="33" xfId="7" applyFont="1" applyFill="1" applyBorder="1" applyAlignment="1">
      <alignment horizontal="right"/>
    </xf>
    <xf numFmtId="0" fontId="23" fillId="20" borderId="34" xfId="7" applyFont="1" applyFill="1" applyBorder="1" applyAlignment="1">
      <alignment horizontal="right"/>
    </xf>
    <xf numFmtId="2" fontId="57" fillId="2" borderId="0" xfId="7" applyNumberFormat="1" applyFont="1" applyFill="1" applyAlignment="1">
      <alignment vertical="center"/>
    </xf>
    <xf numFmtId="0" fontId="23" fillId="2" borderId="33" xfId="7" applyFont="1" applyFill="1" applyBorder="1" applyAlignment="1">
      <alignment horizontal="right"/>
    </xf>
    <xf numFmtId="0" fontId="23" fillId="2" borderId="34" xfId="7" applyFont="1" applyFill="1" applyBorder="1" applyAlignment="1">
      <alignment horizontal="right"/>
    </xf>
    <xf numFmtId="2" fontId="20" fillId="2" borderId="34" xfId="7" applyNumberFormat="1" applyFont="1" applyFill="1" applyBorder="1" applyAlignment="1">
      <alignment horizontal="right" vertical="center"/>
    </xf>
    <xf numFmtId="2" fontId="20" fillId="2" borderId="35" xfId="7" applyNumberFormat="1" applyFont="1" applyFill="1" applyBorder="1" applyAlignment="1">
      <alignment horizontal="right" vertical="center"/>
    </xf>
    <xf numFmtId="4" fontId="20" fillId="2" borderId="34" xfId="7" applyNumberFormat="1" applyFont="1" applyFill="1" applyBorder="1" applyAlignment="1">
      <alignment horizontal="right" vertical="center"/>
    </xf>
    <xf numFmtId="4" fontId="20" fillId="2" borderId="35" xfId="7" applyNumberFormat="1" applyFont="1" applyFill="1" applyBorder="1" applyAlignment="1">
      <alignment horizontal="right" vertical="center"/>
    </xf>
    <xf numFmtId="0" fontId="13" fillId="2" borderId="0" xfId="7" applyFont="1" applyFill="1" applyAlignment="1">
      <alignment horizontal="center" vertical="center"/>
    </xf>
    <xf numFmtId="14" fontId="33" fillId="6" borderId="0" xfId="7" applyNumberFormat="1" applyFont="1" applyFill="1" applyAlignment="1">
      <alignment horizontal="left" vertical="center" wrapText="1"/>
    </xf>
    <xf numFmtId="0" fontId="90" fillId="24" borderId="0" xfId="0" applyFont="1" applyFill="1" applyAlignment="1">
      <alignment horizontal="center" vertical="center" textRotation="180"/>
    </xf>
    <xf numFmtId="0" fontId="84" fillId="7" borderId="0" xfId="0" applyFont="1" applyFill="1" applyAlignment="1">
      <alignment horizontal="justify" vertical="center"/>
    </xf>
    <xf numFmtId="20" fontId="83" fillId="29" borderId="0" xfId="0" applyNumberFormat="1" applyFont="1" applyFill="1" applyAlignment="1">
      <alignment horizontal="center" vertical="center" textRotation="255"/>
    </xf>
    <xf numFmtId="14" fontId="75" fillId="6" borderId="0" xfId="0" applyNumberFormat="1" applyFont="1" applyFill="1" applyAlignment="1">
      <alignment horizontal="center" vertical="center" wrapText="1"/>
    </xf>
    <xf numFmtId="0" fontId="75" fillId="7" borderId="0" xfId="0" applyFont="1" applyFill="1" applyAlignment="1">
      <alignment horizontal="center" vertical="center" wrapText="1"/>
    </xf>
    <xf numFmtId="0" fontId="75" fillId="7" borderId="0" xfId="0" applyFont="1" applyFill="1" applyAlignment="1">
      <alignment horizontal="justify" vertical="center"/>
    </xf>
    <xf numFmtId="0" fontId="36" fillId="7" borderId="0" xfId="7" applyFont="1" applyFill="1" applyAlignment="1">
      <alignment horizontal="center" vertical="center" wrapText="1"/>
    </xf>
    <xf numFmtId="0" fontId="36" fillId="7" borderId="0" xfId="7" applyFont="1" applyFill="1" applyAlignment="1">
      <alignment horizontal="justify" vertical="center"/>
    </xf>
    <xf numFmtId="0" fontId="36" fillId="12" borderId="0" xfId="7" applyFont="1" applyFill="1" applyAlignment="1">
      <alignment horizontal="justify" vertical="center"/>
    </xf>
    <xf numFmtId="14" fontId="36" fillId="12" borderId="0" xfId="7" applyNumberFormat="1" applyFont="1" applyFill="1" applyAlignment="1">
      <alignment horizontal="center" vertical="center" wrapText="1"/>
    </xf>
    <xf numFmtId="0" fontId="36" fillId="12" borderId="0" xfId="7" applyFont="1" applyFill="1" applyAlignment="1">
      <alignment horizontal="center" vertical="center" wrapText="1"/>
    </xf>
    <xf numFmtId="2" fontId="36" fillId="12" borderId="0" xfId="7" applyNumberFormat="1" applyFont="1" applyFill="1" applyAlignment="1">
      <alignment horizontal="center" vertical="center" wrapText="1"/>
    </xf>
    <xf numFmtId="165" fontId="36" fillId="12" borderId="0" xfId="7" applyNumberFormat="1" applyFont="1" applyFill="1" applyAlignment="1">
      <alignment horizontal="center" vertical="center" wrapText="1"/>
    </xf>
    <xf numFmtId="1" fontId="36" fillId="12" borderId="0" xfId="7" applyNumberFormat="1" applyFont="1" applyFill="1" applyAlignment="1">
      <alignment horizontal="center" vertical="center" wrapText="1"/>
    </xf>
    <xf numFmtId="1" fontId="57" fillId="2" borderId="0" xfId="7" applyNumberFormat="1" applyFont="1" applyFill="1" applyAlignment="1">
      <alignment vertical="center"/>
    </xf>
    <xf numFmtId="0" fontId="23" fillId="2" borderId="0" xfId="7" applyFont="1" applyFill="1" applyAlignment="1">
      <alignment horizontal="right"/>
    </xf>
    <xf numFmtId="3" fontId="20" fillId="2" borderId="0" xfId="7" applyNumberFormat="1" applyFont="1" applyFill="1" applyAlignment="1">
      <alignment horizontal="right" vertical="center"/>
    </xf>
    <xf numFmtId="1" fontId="20" fillId="2" borderId="0" xfId="7" applyNumberFormat="1" applyFont="1" applyFill="1" applyAlignment="1">
      <alignment horizontal="right" vertical="center"/>
    </xf>
    <xf numFmtId="4" fontId="20" fillId="2" borderId="0" xfId="7" applyNumberFormat="1" applyFont="1" applyFill="1" applyAlignment="1">
      <alignment horizontal="right" vertical="center"/>
    </xf>
    <xf numFmtId="0" fontId="6" fillId="26" borderId="32" xfId="0" applyFont="1" applyFill="1" applyBorder="1" applyAlignment="1">
      <alignment horizontal="center"/>
    </xf>
    <xf numFmtId="0" fontId="0" fillId="2" borderId="32" xfId="0" applyFill="1" applyBorder="1" applyAlignment="1">
      <alignment horizontal="center"/>
    </xf>
    <xf numFmtId="20" fontId="6" fillId="64" borderId="2" xfId="7" applyNumberFormat="1" applyFont="1" applyFill="1" applyBorder="1" applyAlignment="1">
      <alignment horizontal="left" vertical="center"/>
    </xf>
    <xf numFmtId="0" fontId="7" fillId="64" borderId="2" xfId="7" applyFont="1" applyFill="1" applyBorder="1" applyAlignment="1">
      <alignment horizontal="left" vertical="center"/>
    </xf>
    <xf numFmtId="20" fontId="6" fillId="64" borderId="2" xfId="7" applyNumberFormat="1" applyFont="1" applyFill="1" applyBorder="1" applyAlignment="1">
      <alignment horizontal="left"/>
    </xf>
  </cellXfs>
  <cellStyles count="10">
    <cellStyle name="Currency" xfId="1" builtinId="4"/>
    <cellStyle name="Currency 2" xfId="4" xr:uid="{00000000-0005-0000-0000-000001000000}"/>
    <cellStyle name="Hyperlink 2" xfId="6" xr:uid="{00000000-0005-0000-0000-000002000000}"/>
    <cellStyle name="Normal" xfId="0" builtinId="0"/>
    <cellStyle name="Normal 2" xfId="2" xr:uid="{00000000-0005-0000-0000-000004000000}"/>
    <cellStyle name="Normal 2 2" xfId="9" xr:uid="{6A37D0F6-3C83-4EB3-A453-F5949F8FF068}"/>
    <cellStyle name="Normal 3" xfId="3" xr:uid="{00000000-0005-0000-0000-000005000000}"/>
    <cellStyle name="Normal 4" xfId="7" xr:uid="{61E06085-E278-42F1-A6A5-B145CA23B43C}"/>
    <cellStyle name="Percent" xfId="8" builtinId="5"/>
    <cellStyle name="Percent 2" xfId="5" xr:uid="{00000000-0005-0000-0000-000006000000}"/>
  </cellStyles>
  <dxfs count="30"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numFmt numFmtId="167" formatCode="_([$$-409]* #,##0.00_);_([$$-409]* \(#,##0.00\);_([$$-409]* &quot;-&quot;??_);_(@_)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none"/>
      </font>
      <fill>
        <patternFill patternType="solid">
          <fgColor indexed="64"/>
          <bgColor theme="4" tint="0.59999389629810485"/>
        </patternFill>
      </fill>
    </dxf>
    <dxf>
      <font>
        <color theme="0"/>
      </font>
      <fill>
        <patternFill patternType="solid">
          <bgColor theme="5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2B47AD"/>
      <color rgb="FFFFFFCC"/>
      <color rgb="FF305496"/>
      <color rgb="FF8EA9DB"/>
      <color rgb="FF595959"/>
      <color rgb="FFC2D1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microsoft.com/office/2017/10/relationships/person" Target="persons/person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542925</xdr:colOff>
      <xdr:row>1</xdr:row>
      <xdr:rowOff>94615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BB4D05-C501-47CD-BF99-9E141A5DB54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2806"/>
        <a:stretch/>
      </xdr:blipFill>
      <xdr:spPr bwMode="auto">
        <a:xfrm>
          <a:off x="0" y="0"/>
          <a:ext cx="542925" cy="51371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552450</xdr:colOff>
      <xdr:row>0</xdr:row>
      <xdr:rowOff>171450</xdr:rowOff>
    </xdr:from>
    <xdr:to>
      <xdr:col>1</xdr:col>
      <xdr:colOff>1662892</xdr:colOff>
      <xdr:row>1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6980E6D-A477-49CB-B9C5-AB38A4005772}"/>
            </a:ext>
            <a:ext uri="{147F2762-F138-4A5C-976F-8EAC2B608ADB}">
              <a16:predDERef xmlns:a16="http://schemas.microsoft.com/office/drawing/2014/main" pred="{7EBB4D05-C501-47CD-BF99-9E141A5DB5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" y="171450"/>
          <a:ext cx="1110442" cy="2952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542925</xdr:colOff>
      <xdr:row>1</xdr:row>
      <xdr:rowOff>94615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0DB53E9-F8DD-8BBE-8364-15F990B369D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2806"/>
        <a:stretch/>
      </xdr:blipFill>
      <xdr:spPr bwMode="auto">
        <a:xfrm>
          <a:off x="0" y="0"/>
          <a:ext cx="542925" cy="51371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552450</xdr:colOff>
      <xdr:row>0</xdr:row>
      <xdr:rowOff>171450</xdr:rowOff>
    </xdr:from>
    <xdr:to>
      <xdr:col>2</xdr:col>
      <xdr:colOff>24592</xdr:colOff>
      <xdr:row>1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87089CD-2C1B-6EBE-6A49-D8746EA498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" y="171450"/>
          <a:ext cx="1108710" cy="2952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542925</xdr:colOff>
      <xdr:row>1</xdr:row>
      <xdr:rowOff>94615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648A711-ABFB-4DAD-AB47-AAB217CDDB3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2806"/>
        <a:stretch/>
      </xdr:blipFill>
      <xdr:spPr bwMode="auto">
        <a:xfrm>
          <a:off x="0" y="0"/>
          <a:ext cx="542925" cy="51371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552450</xdr:colOff>
      <xdr:row>0</xdr:row>
      <xdr:rowOff>171450</xdr:rowOff>
    </xdr:from>
    <xdr:to>
      <xdr:col>2</xdr:col>
      <xdr:colOff>24592</xdr:colOff>
      <xdr:row>1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78021C2-0728-43EB-9C95-E5A35D8CF9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" y="171450"/>
          <a:ext cx="1110442" cy="2952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542925</xdr:colOff>
      <xdr:row>1</xdr:row>
      <xdr:rowOff>94615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92C4C1-1E7C-4EFB-B20F-5515F113F7B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2806"/>
        <a:stretch/>
      </xdr:blipFill>
      <xdr:spPr bwMode="auto">
        <a:xfrm>
          <a:off x="0" y="0"/>
          <a:ext cx="542925" cy="51371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552450</xdr:colOff>
      <xdr:row>0</xdr:row>
      <xdr:rowOff>171450</xdr:rowOff>
    </xdr:from>
    <xdr:to>
      <xdr:col>1</xdr:col>
      <xdr:colOff>1661160</xdr:colOff>
      <xdr:row>1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44043DF-4E9C-4910-BEC8-535BCA531C83}"/>
            </a:ext>
            <a:ext uri="{147F2762-F138-4A5C-976F-8EAC2B608ADB}">
              <a16:predDERef xmlns:a16="http://schemas.microsoft.com/office/drawing/2014/main" pred="{5392C4C1-1E7C-4EFB-B20F-5515F113F7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" y="171450"/>
          <a:ext cx="1108710" cy="2952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542925</xdr:colOff>
      <xdr:row>0</xdr:row>
      <xdr:rowOff>513715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A39467-AC03-46D4-A73F-F7AE7FD5459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2806"/>
        <a:stretch/>
      </xdr:blipFill>
      <xdr:spPr bwMode="auto">
        <a:xfrm>
          <a:off x="0" y="0"/>
          <a:ext cx="542925" cy="51371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552450</xdr:colOff>
      <xdr:row>0</xdr:row>
      <xdr:rowOff>171450</xdr:rowOff>
    </xdr:from>
    <xdr:to>
      <xdr:col>1</xdr:col>
      <xdr:colOff>1581150</xdr:colOff>
      <xdr:row>0</xdr:row>
      <xdr:rowOff>447675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56B9EEE-A76D-43F2-A713-D3E7F755784E}"/>
            </a:ext>
            <a:ext uri="{147F2762-F138-4A5C-976F-8EAC2B608ADB}">
              <a16:predDERef xmlns:a16="http://schemas.microsoft.com/office/drawing/2014/main" pred="{74A39467-AC03-46D4-A73F-F7AE7FD545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" y="171450"/>
          <a:ext cx="1028700" cy="2762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542925</xdr:colOff>
      <xdr:row>1</xdr:row>
      <xdr:rowOff>94615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52C2DEC-761D-4BD4-9CBF-F4305C81FAA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2806"/>
        <a:stretch/>
      </xdr:blipFill>
      <xdr:spPr bwMode="auto">
        <a:xfrm>
          <a:off x="0" y="0"/>
          <a:ext cx="542925" cy="51371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552450</xdr:colOff>
      <xdr:row>0</xdr:row>
      <xdr:rowOff>171450</xdr:rowOff>
    </xdr:from>
    <xdr:to>
      <xdr:col>1</xdr:col>
      <xdr:colOff>1662892</xdr:colOff>
      <xdr:row>1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3083E84-0695-4395-9DD5-9653953872FE}"/>
            </a:ext>
            <a:ext uri="{147F2762-F138-4A5C-976F-8EAC2B608ADB}">
              <a16:predDERef xmlns:a16="http://schemas.microsoft.com/office/drawing/2014/main" pred="{E52C2DEC-761D-4BD4-9CBF-F4305C81FA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" y="171450"/>
          <a:ext cx="1110442" cy="2952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542925</xdr:colOff>
      <xdr:row>1</xdr:row>
      <xdr:rowOff>94615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B0D3D7-650C-4D82-88C3-FCEADF5F91A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2806"/>
        <a:stretch/>
      </xdr:blipFill>
      <xdr:spPr bwMode="auto">
        <a:xfrm>
          <a:off x="0" y="0"/>
          <a:ext cx="542925" cy="51371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552450</xdr:colOff>
      <xdr:row>0</xdr:row>
      <xdr:rowOff>171450</xdr:rowOff>
    </xdr:from>
    <xdr:to>
      <xdr:col>1</xdr:col>
      <xdr:colOff>1662892</xdr:colOff>
      <xdr:row>1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DCC3D15-7533-4303-9A83-587F5025550F}"/>
            </a:ext>
            <a:ext uri="{147F2762-F138-4A5C-976F-8EAC2B608ADB}">
              <a16:predDERef xmlns:a16="http://schemas.microsoft.com/office/drawing/2014/main" pred="{E52C2DEC-761D-4BD4-9CBF-F4305C81FA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" y="171450"/>
          <a:ext cx="1110442" cy="2952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542925</xdr:colOff>
      <xdr:row>0</xdr:row>
      <xdr:rowOff>513715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A71EF98-1FD3-44A8-99CB-2C7754867C8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2806"/>
        <a:stretch/>
      </xdr:blipFill>
      <xdr:spPr bwMode="auto">
        <a:xfrm>
          <a:off x="0" y="0"/>
          <a:ext cx="542925" cy="51371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552450</xdr:colOff>
      <xdr:row>0</xdr:row>
      <xdr:rowOff>171450</xdr:rowOff>
    </xdr:from>
    <xdr:to>
      <xdr:col>1</xdr:col>
      <xdr:colOff>1661160</xdr:colOff>
      <xdr:row>0</xdr:row>
      <xdr:rowOff>466725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39C42F0-DC90-438E-95E4-31DDE515BC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" y="171450"/>
          <a:ext cx="1108710" cy="2952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542925</xdr:colOff>
      <xdr:row>0</xdr:row>
      <xdr:rowOff>513715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521647-BD4A-41ED-B510-EEF8B431745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2806"/>
        <a:stretch/>
      </xdr:blipFill>
      <xdr:spPr bwMode="auto">
        <a:xfrm>
          <a:off x="0" y="0"/>
          <a:ext cx="542925" cy="51371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552450</xdr:colOff>
      <xdr:row>0</xdr:row>
      <xdr:rowOff>171450</xdr:rowOff>
    </xdr:from>
    <xdr:to>
      <xdr:col>1</xdr:col>
      <xdr:colOff>1661160</xdr:colOff>
      <xdr:row>0</xdr:row>
      <xdr:rowOff>466725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2E9B014-6897-4E44-BD41-0DD9E1EA25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" y="171450"/>
          <a:ext cx="1108710" cy="2952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542925</xdr:colOff>
      <xdr:row>1</xdr:row>
      <xdr:rowOff>94615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EC578D4-55AD-4E0E-B28D-B152BC5177E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2806"/>
        <a:stretch/>
      </xdr:blipFill>
      <xdr:spPr bwMode="auto">
        <a:xfrm>
          <a:off x="0" y="0"/>
          <a:ext cx="542925" cy="51371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552450</xdr:colOff>
      <xdr:row>0</xdr:row>
      <xdr:rowOff>171450</xdr:rowOff>
    </xdr:from>
    <xdr:to>
      <xdr:col>1</xdr:col>
      <xdr:colOff>1662892</xdr:colOff>
      <xdr:row>1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1B32C1-726F-45D6-8691-AE9893AFA7D8}"/>
            </a:ext>
            <a:ext uri="{147F2762-F138-4A5C-976F-8EAC2B608ADB}">
              <a16:predDERef xmlns:a16="http://schemas.microsoft.com/office/drawing/2014/main" pred="{E52C2DEC-761D-4BD4-9CBF-F4305C81FA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" y="171450"/>
          <a:ext cx="1110442" cy="2952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542925</xdr:colOff>
      <xdr:row>1</xdr:row>
      <xdr:rowOff>94615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C56A8A-56AD-435B-A1C6-339E2571C15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2806"/>
        <a:stretch/>
      </xdr:blipFill>
      <xdr:spPr bwMode="auto">
        <a:xfrm>
          <a:off x="0" y="0"/>
          <a:ext cx="542925" cy="51371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552450</xdr:colOff>
      <xdr:row>0</xdr:row>
      <xdr:rowOff>171450</xdr:rowOff>
    </xdr:from>
    <xdr:to>
      <xdr:col>1</xdr:col>
      <xdr:colOff>1662892</xdr:colOff>
      <xdr:row>1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416E553-EC04-4148-A817-E7E366CF0AEA}"/>
            </a:ext>
            <a:ext uri="{147F2762-F138-4A5C-976F-8EAC2B608ADB}">
              <a16:predDERef xmlns:a16="http://schemas.microsoft.com/office/drawing/2014/main" pred="{E52C2DEC-761D-4BD4-9CBF-F4305C81FA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" y="171450"/>
          <a:ext cx="1110442" cy="2952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381000</xdr:colOff>
      <xdr:row>1</xdr:row>
      <xdr:rowOff>38100</xdr:rowOff>
    </xdr:from>
    <xdr:to>
      <xdr:col>1</xdr:col>
      <xdr:colOff>314325</xdr:colOff>
      <xdr:row>3</xdr:row>
      <xdr:rowOff>94615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6823284C-D264-4BE6-A871-59BFFC6D9C1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2806"/>
        <a:stretch/>
      </xdr:blipFill>
      <xdr:spPr bwMode="auto">
        <a:xfrm>
          <a:off x="381000" y="200025"/>
          <a:ext cx="542925" cy="47561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542925</xdr:colOff>
      <xdr:row>1</xdr:row>
      <xdr:rowOff>94615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E237F1-9FD6-412A-8BC2-DECF107F87F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2806"/>
        <a:stretch/>
      </xdr:blipFill>
      <xdr:spPr bwMode="auto">
        <a:xfrm>
          <a:off x="0" y="0"/>
          <a:ext cx="542925" cy="51371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552450</xdr:colOff>
      <xdr:row>0</xdr:row>
      <xdr:rowOff>171450</xdr:rowOff>
    </xdr:from>
    <xdr:to>
      <xdr:col>1</xdr:col>
      <xdr:colOff>1662892</xdr:colOff>
      <xdr:row>1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A92AF61-BF5E-4972-B79F-DE4F2AD1B53D}"/>
            </a:ext>
            <a:ext uri="{147F2762-F138-4A5C-976F-8EAC2B608ADB}">
              <a16:predDERef xmlns:a16="http://schemas.microsoft.com/office/drawing/2014/main" pred="{E52C2DEC-761D-4BD4-9CBF-F4305C81FA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" y="171450"/>
          <a:ext cx="1110442" cy="2952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542925</xdr:colOff>
      <xdr:row>2</xdr:row>
      <xdr:rowOff>132715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DB459E-6873-4F5F-A7C5-9F5E7647F3C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2806"/>
        <a:stretch/>
      </xdr:blipFill>
      <xdr:spPr bwMode="auto">
        <a:xfrm>
          <a:off x="0" y="0"/>
          <a:ext cx="542925" cy="55181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0</xdr:col>
      <xdr:colOff>552450</xdr:colOff>
      <xdr:row>0</xdr:row>
      <xdr:rowOff>171450</xdr:rowOff>
    </xdr:from>
    <xdr:to>
      <xdr:col>1</xdr:col>
      <xdr:colOff>205567</xdr:colOff>
      <xdr:row>2</xdr:row>
      <xdr:rowOff>85725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525A302-2638-4C9B-A7B4-EB41C1D2C918}"/>
            </a:ext>
            <a:ext uri="{147F2762-F138-4A5C-976F-8EAC2B608ADB}">
              <a16:predDERef xmlns:a16="http://schemas.microsoft.com/office/drawing/2014/main" pred="{E52C2DEC-761D-4BD4-9CBF-F4305C81FA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" y="171450"/>
          <a:ext cx="1110442" cy="3333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542925</xdr:colOff>
      <xdr:row>1</xdr:row>
      <xdr:rowOff>94615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08A717-3879-43AD-9DDE-5E5B746B3F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2806"/>
        <a:stretch/>
      </xdr:blipFill>
      <xdr:spPr bwMode="auto">
        <a:xfrm>
          <a:off x="0" y="0"/>
          <a:ext cx="542925" cy="51371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552450</xdr:colOff>
      <xdr:row>0</xdr:row>
      <xdr:rowOff>171450</xdr:rowOff>
    </xdr:from>
    <xdr:to>
      <xdr:col>2</xdr:col>
      <xdr:colOff>431786</xdr:colOff>
      <xdr:row>1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BD33D32-4890-4E1F-965D-6C4CBE05473C}"/>
            </a:ext>
            <a:ext uri="{147F2762-F138-4A5C-976F-8EAC2B608ADB}">
              <a16:predDERef xmlns:a16="http://schemas.microsoft.com/office/drawing/2014/main" pred="{E52C2DEC-761D-4BD4-9CBF-F4305C81FA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" y="171450"/>
          <a:ext cx="1110442" cy="2952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549275</xdr:colOff>
      <xdr:row>2</xdr:row>
      <xdr:rowOff>151765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FA26B7-2D2D-449D-8C60-5C159C69938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2806"/>
        <a:stretch/>
      </xdr:blipFill>
      <xdr:spPr bwMode="auto">
        <a:xfrm>
          <a:off x="0" y="0"/>
          <a:ext cx="542925" cy="55181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0</xdr:col>
      <xdr:colOff>552450</xdr:colOff>
      <xdr:row>0</xdr:row>
      <xdr:rowOff>171450</xdr:rowOff>
    </xdr:from>
    <xdr:to>
      <xdr:col>0</xdr:col>
      <xdr:colOff>1672417</xdr:colOff>
      <xdr:row>2</xdr:row>
      <xdr:rowOff>111125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09101D-6627-442C-97E0-1712A9687833}"/>
            </a:ext>
            <a:ext uri="{147F2762-F138-4A5C-976F-8EAC2B608ADB}">
              <a16:predDERef xmlns:a16="http://schemas.microsoft.com/office/drawing/2014/main" pred="{E52C2DEC-761D-4BD4-9CBF-F4305C81FA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" y="171450"/>
          <a:ext cx="1110442" cy="3333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19050</xdr:colOff>
      <xdr:row>0</xdr:row>
      <xdr:rowOff>0</xdr:rowOff>
    </xdr:from>
    <xdr:to>
      <xdr:col>12</xdr:col>
      <xdr:colOff>561975</xdr:colOff>
      <xdr:row>2</xdr:row>
      <xdr:rowOff>170815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2E4023-1CF8-4944-B062-BFDF48793B3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2806"/>
        <a:stretch/>
      </xdr:blipFill>
      <xdr:spPr bwMode="auto">
        <a:xfrm>
          <a:off x="628650" y="0"/>
          <a:ext cx="542925" cy="51371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12</xdr:col>
      <xdr:colOff>609600</xdr:colOff>
      <xdr:row>0</xdr:row>
      <xdr:rowOff>66675</xdr:rowOff>
    </xdr:from>
    <xdr:to>
      <xdr:col>15</xdr:col>
      <xdr:colOff>155561</xdr:colOff>
      <xdr:row>2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4818C64-5D35-4B35-928F-BAD94981FB88}"/>
            </a:ext>
            <a:ext uri="{147F2762-F138-4A5C-976F-8EAC2B608ADB}">
              <a16:predDERef xmlns:a16="http://schemas.microsoft.com/office/drawing/2014/main" pred="{E52C2DEC-761D-4BD4-9CBF-F4305C81FA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6675"/>
          <a:ext cx="1108061" cy="2952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42925" cy="466090"/>
    <xdr:pic>
      <xdr:nvPicPr>
        <xdr:cNvPr id="2" name="Picture 1">
          <a:extLst>
            <a:ext uri="{FF2B5EF4-FFF2-40B4-BE49-F238E27FC236}">
              <a16:creationId xmlns:a16="http://schemas.microsoft.com/office/drawing/2014/main" id="{9B39DB0C-13A3-4092-91DE-DFB5B320A7A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2806"/>
        <a:stretch/>
      </xdr:blipFill>
      <xdr:spPr bwMode="auto">
        <a:xfrm>
          <a:off x="0" y="0"/>
          <a:ext cx="542925" cy="46609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1</xdr:col>
      <xdr:colOff>552450</xdr:colOff>
      <xdr:row>0</xdr:row>
      <xdr:rowOff>171450</xdr:rowOff>
    </xdr:from>
    <xdr:ext cx="1110442" cy="285750"/>
    <xdr:pic>
      <xdr:nvPicPr>
        <xdr:cNvPr id="3" name="Picture 2">
          <a:extLst>
            <a:ext uri="{FF2B5EF4-FFF2-40B4-BE49-F238E27FC236}">
              <a16:creationId xmlns:a16="http://schemas.microsoft.com/office/drawing/2014/main" id="{7D53EF92-287B-4E82-AD23-A9162ABDDD2A}"/>
            </a:ext>
            <a:ext uri="{147F2762-F138-4A5C-976F-8EAC2B608ADB}">
              <a16:predDERef xmlns:a16="http://schemas.microsoft.com/office/drawing/2014/main" pred="{E52C2DEC-761D-4BD4-9CBF-F4305C81FA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050" y="171450"/>
          <a:ext cx="1110442" cy="2857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22</xdr:col>
      <xdr:colOff>388800</xdr:colOff>
      <xdr:row>51</xdr:row>
      <xdr:rowOff>46526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37434B-9612-902A-575F-9DEFC4D6BB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800000" cy="8790476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Christopher Allen" id="{170B2AEC-B802-47B0-BF2A-C0835CFAD2EE}" userId="S::callen@goagilant.com::45453b12-01ad-40be-9333-04bd7bb9ee75" providerId="AD"/>
  <person displayName="Clarissa Beatty" id="{7F9E5796-458C-4C0C-A985-09A276BFDFDE}" userId="S::cbeatty@goagilant.com::31384a33-9908-433a-8465-4714434070a3" providerId="AD"/>
  <person displayName="Neha Khurana" id="{51F71FEA-15E0-4A3E-9922-DF989C9E2BB5}" userId="S::nkhurana@goagilant.com::db8610a5-6028-473a-b700-a2894b5c62a5" providerId="AD"/>
  <person displayName="Kaye Orencia" id="{4EBB3AD8-B191-44AB-88F7-44C2B1DA13CF}" userId="S::rorencia@goagilant.com::ad70396d-aae1-4b62-99ac-d04b0a4b81a4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2:F844" totalsRowShown="0" headerRowDxfId="9">
  <autoFilter ref="A2:F844" xr:uid="{00000000-000C-0000-FFFF-FFFF00000000}"/>
  <tableColumns count="6">
    <tableColumn id="1" xr3:uid="{00000000-0010-0000-0000-000001000000}" name="Date"/>
    <tableColumn id="6" xr3:uid="{00000000-0010-0000-0000-000006000000}" name="Confirmation #" dataDxfId="8"/>
    <tableColumn id="2" xr3:uid="{00000000-0010-0000-0000-000002000000}" name="Start Location"/>
    <tableColumn id="3" xr3:uid="{00000000-0010-0000-0000-000003000000}" name="Delivery Location"/>
    <tableColumn id="4" xr3:uid="{00000000-0010-0000-0000-000004000000}" name="NYMin total" dataDxfId="7"/>
    <tableColumn id="5" xr3:uid="{00000000-0010-0000-0000-000005000000}" name="Fee as Engineer Hours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291" dT="2023-10-23T13:33:05.01" personId="{4EBB3AD8-B191-44AB-88F7-44C2B1DA13CF}" id="{B6B30B14-CF12-4489-B321-B77F5567A07B}">
    <text>resigned</text>
  </threadedComment>
  <threadedComment ref="M291" dT="2023-10-23T13:33:05.01" personId="{4EBB3AD8-B191-44AB-88F7-44C2B1DA13CF}" id="{054456C1-5055-43BC-8C32-2C3DDF174501}">
    <text>resigned</text>
  </threadedComment>
  <threadedComment ref="R291" dT="2023-10-23T13:33:05.01" personId="{4EBB3AD8-B191-44AB-88F7-44C2B1DA13CF}" id="{61E3DB14-85BD-4111-BE68-6C6B8C9B9CB3}">
    <text>resigned</text>
  </threadedComment>
  <threadedComment ref="W291" dT="2023-10-23T13:33:05.01" personId="{4EBB3AD8-B191-44AB-88F7-44C2B1DA13CF}" id="{10B6E2B8-7118-4156-9356-EC925A7B6106}">
    <text>resigned</text>
  </threadedComment>
  <threadedComment ref="C298" dT="2023-10-23T13:33:05.01" personId="{4EBB3AD8-B191-44AB-88F7-44C2B1DA13CF}" id="{42EC9C44-1B17-4164-933A-50E9E8C6DA3F}">
    <text>assigned at PW</text>
  </threadedComment>
  <threadedComment ref="H298" dT="2023-10-23T13:33:05.01" personId="{4EBB3AD8-B191-44AB-88F7-44C2B1DA13CF}" id="{096BA8DA-91E6-4E05-AE54-61E1FB987EF6}">
    <text>assigned at PW</text>
  </threadedComment>
  <threadedComment ref="M298" dT="2023-10-23T13:33:05.01" personId="{4EBB3AD8-B191-44AB-88F7-44C2B1DA13CF}" id="{D1531B14-6344-4FA7-AE8B-1C5929A39205}">
    <text>assigned at PW</text>
  </threadedComment>
  <threadedComment ref="T513" dT="2023-11-30T22:51:45.21" personId="{4EBB3AD8-B191-44AB-88F7-44C2B1DA13CF}" id="{6998B7BB-519E-41DA-99B3-4E22672566D7}">
    <text xml:space="preserve">no break </text>
  </threadedComment>
  <threadedComment ref="I749" dT="2024-01-22T13:47:41.54" personId="{4EBB3AD8-B191-44AB-88F7-44C2B1DA13CF}" id="{069F4990-4BBC-42CE-ABC1-2122AAFAFB75}">
    <text>early release due to flood warning</text>
  </threadedComment>
  <threadedComment ref="I750" dT="2024-01-22T13:47:41.54" personId="{4EBB3AD8-B191-44AB-88F7-44C2B1DA13CF}" id="{E9A4ADB0-9EF7-452E-8B06-E04C73F5C202}">
    <text>early release due to flood warning</text>
  </threadedComment>
  <threadedComment ref="I751" dT="2024-01-22T13:47:41.54" personId="{4EBB3AD8-B191-44AB-88F7-44C2B1DA13CF}" id="{E21FD7B9-715D-4C1D-82CA-659F331BB143}">
    <text>early release due to flood warning</text>
  </threadedComment>
  <threadedComment ref="I752" dT="2024-01-22T13:47:41.54" personId="{4EBB3AD8-B191-44AB-88F7-44C2B1DA13CF}" id="{0AB39A26-DE37-4DED-ACC4-8388A8DF147B}">
    <text>early release due to flood warning</text>
  </threadedComment>
  <threadedComment ref="I753" dT="2024-01-22T13:47:41.54" personId="{4EBB3AD8-B191-44AB-88F7-44C2B1DA13CF}" id="{17A92512-B87E-4DE2-B9B6-F06F9FF8F9AE}">
    <text>early release due to flood warning</text>
  </threadedComment>
  <threadedComment ref="I754" dT="2024-01-22T13:47:41.54" personId="{4EBB3AD8-B191-44AB-88F7-44C2B1DA13CF}" id="{32A33FC2-9517-4C12-A0CC-4C0E4DC656BB}">
    <text>early release due to flood warning</text>
  </threadedComment>
  <threadedComment ref="I755" dT="2024-01-22T13:47:41.54" personId="{4EBB3AD8-B191-44AB-88F7-44C2B1DA13CF}" id="{6DD0BBEC-C0EB-4016-99EB-3A1F0188AEDC}">
    <text>early release due to flood warning</text>
  </threadedComment>
  <threadedComment ref="I756" dT="2024-01-22T13:47:41.54" personId="{4EBB3AD8-B191-44AB-88F7-44C2B1DA13CF}" id="{C9326474-2294-45BA-84F2-E65DA4D79D53}">
    <text>early release due to flood warning</text>
  </threadedComment>
  <threadedComment ref="K756" dT="2024-01-22T13:46:13.59" personId="{4EBB3AD8-B191-44AB-88F7-44C2B1DA13CF}" id="{EA2CA1A7-7041-4754-8F0D-6D169E4E062E}">
    <text>Team was asked to come in before 8am. 5:30 -8 =2.5 hrs</text>
  </threadedComment>
  <threadedComment ref="I757" dT="2024-01-22T13:47:41.54" personId="{4EBB3AD8-B191-44AB-88F7-44C2B1DA13CF}" id="{8EE58457-A9D6-44EF-B80D-1FBD0A11A448}">
    <text>early release due to flood warning</text>
  </threadedComment>
  <threadedComment ref="I758" dT="2024-01-22T13:47:41.54" personId="{4EBB3AD8-B191-44AB-88F7-44C2B1DA13CF}" id="{BBC550AA-7FD9-4172-B736-3B6909A3DDA6}">
    <text>early release due to flood warning</text>
  </threadedComment>
  <threadedComment ref="K758" dT="2024-01-22T13:46:13.59" personId="{4EBB3AD8-B191-44AB-88F7-44C2B1DA13CF}" id="{0F1A9779-B755-427E-BE92-8930087D2AD2}">
    <text>Team was asked to come in before 8am. 5:30 -8 =2.5 hrs</text>
  </threadedComment>
  <threadedComment ref="I759" dT="2024-01-22T13:47:41.54" personId="{4EBB3AD8-B191-44AB-88F7-44C2B1DA13CF}" id="{5F72570A-BE0E-4401-A635-AD0111461C55}">
    <text>early release due to flood warning</text>
  </threadedComment>
  <threadedComment ref="I760" dT="2024-01-22T13:47:41.54" personId="{4EBB3AD8-B191-44AB-88F7-44C2B1DA13CF}" id="{217B77AA-573B-4FA0-BE83-B683E0A5831F}">
    <text>early release due to flood warning</text>
  </threadedComment>
  <threadedComment ref="I761" dT="2024-01-22T13:47:41.54" personId="{4EBB3AD8-B191-44AB-88F7-44C2B1DA13CF}" id="{6C9D24AA-4BFC-48AB-80F1-E7EF34C7F618}">
    <text>early release due to flood warning</text>
  </threadedComment>
  <threadedComment ref="I762" dT="2024-01-22T13:47:41.54" personId="{4EBB3AD8-B191-44AB-88F7-44C2B1DA13CF}" id="{9A3E2BFC-D676-4382-B651-B3D594E1D047}">
    <text>early release due to flood warning</text>
  </threadedComment>
  <threadedComment ref="I763" dT="2024-01-22T13:47:41.54" personId="{4EBB3AD8-B191-44AB-88F7-44C2B1DA13CF}" id="{9829D427-9F3F-4860-92EB-FA9335C915E3}">
    <text>early release due to flood warning</text>
  </threadedComment>
  <threadedComment ref="K763" dT="2024-01-22T13:46:13.59" personId="{4EBB3AD8-B191-44AB-88F7-44C2B1DA13CF}" id="{9A41B001-12F7-47A0-9F05-E5FE977AA458}">
    <text>Team was asked to come in before 8am. 5:30 -8 =2.5 hrs</text>
  </threadedComment>
  <threadedComment ref="I764" dT="2024-01-22T13:47:41.54" personId="{4EBB3AD8-B191-44AB-88F7-44C2B1DA13CF}" id="{CDDCDEDC-6252-4C57-8D41-FF4413F5D166}">
    <text>early release due to flood warning</text>
  </threadedComment>
  <threadedComment ref="I765" dT="2024-01-22T13:47:41.54" personId="{4EBB3AD8-B191-44AB-88F7-44C2B1DA13CF}" id="{B3078959-414C-4E3E-BDEB-DCBBC1142CB2}">
    <text>early release due to flood warning</text>
  </threadedComment>
  <threadedComment ref="I766" dT="2024-01-22T13:47:41.54" personId="{4EBB3AD8-B191-44AB-88F7-44C2B1DA13CF}" id="{E005C5E5-5DBA-4BCF-AAF8-F7CF792970E7}">
    <text>early release due to flood warning</text>
  </threadedComment>
  <threadedComment ref="I767" dT="2024-01-22T13:47:41.54" personId="{4EBB3AD8-B191-44AB-88F7-44C2B1DA13CF}" id="{B5797F8D-453D-4B4F-ADA6-6F946DBCC878}">
    <text>early release due to flood warning</text>
  </threadedComment>
  <threadedComment ref="I768" dT="2024-01-22T13:47:41.54" personId="{4EBB3AD8-B191-44AB-88F7-44C2B1DA13CF}" id="{D0FD97A3-33CD-43C5-84BC-92E2FF2D9F05}">
    <text>early release due to flood warning</text>
  </threadedComment>
  <threadedComment ref="K768" dT="2024-01-22T13:46:13.59" personId="{4EBB3AD8-B191-44AB-88F7-44C2B1DA13CF}" id="{EED96964-4077-48C0-BD9B-F20E9D4A5BD5}">
    <text>Team was asked to come in before 8am. 5:30 -8 =2.5 hrs</text>
  </threadedComment>
  <threadedComment ref="I769" dT="2024-01-22T13:47:41.54" personId="{4EBB3AD8-B191-44AB-88F7-44C2B1DA13CF}" id="{0B2D89BB-0518-484A-850E-AB9129208229}">
    <text>early release due to flood warning</text>
  </threadedComment>
  <threadedComment ref="I770" dT="2024-01-22T13:47:41.54" personId="{4EBB3AD8-B191-44AB-88F7-44C2B1DA13CF}" id="{A17C8509-2D67-4663-A4E6-5B23E6785824}">
    <text>early release due to flood warning</text>
  </threadedComment>
  <threadedComment ref="I771" dT="2024-01-22T13:47:41.54" personId="{4EBB3AD8-B191-44AB-88F7-44C2B1DA13CF}" id="{CA2837B3-7132-4AA1-84AA-5926CB55E060}">
    <text>early release due to flood warning</text>
  </threadedComment>
  <threadedComment ref="K771" dT="2024-01-22T13:46:13.59" personId="{4EBB3AD8-B191-44AB-88F7-44C2B1DA13CF}" id="{3786F8E6-6EB4-429B-BB3E-DE3A3B9BD7BC}">
    <text>Team was asked to come in before 8am. 5:30 -8 =2.5 hrs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E181" dT="2024-06-03T15:22:19.62" personId="{170B2AEC-B802-47B0-BF2A-C0835CFAD2EE}" id="{1144ED18-05E2-4215-9393-985ACD68C7AC}">
    <text>To account for Marvin's billing, Delivery Tech and Delivery Tech II hours are only for NY Min</text>
  </threadedComment>
  <threadedComment ref="J223" dT="2024-04-23T22:04:52.23" personId="{170B2AEC-B802-47B0-BF2A-C0835CFAD2EE}" id="{3C8D626B-EB00-4037-937C-EDBBD4E0B5BB}">
    <text>Will fill out 4/24, will probably be 8 hours plus 1-2 hours OT</text>
  </threadedComment>
  <threadedComment ref="O226" dT="2024-04-26T15:27:25.26" personId="{170B2AEC-B802-47B0-BF2A-C0835CFAD2EE}" id="{9F1B3979-71AD-4BC8-8501-0436D7A179B0}">
    <text>David Cayenne and 4 DOE techs helped dispose of some cardboard</text>
  </threadedComment>
  <threadedComment ref="T226" dT="2024-04-29T13:54:07.00" personId="{170B2AEC-B802-47B0-BF2A-C0835CFAD2EE}" id="{598E4B75-B73F-4723-9F7C-137FA4FF5CAB}">
    <text>NY Minute</text>
  </threadedComment>
  <threadedComment ref="Y226" dT="2024-04-29T13:54:14.39" personId="{170B2AEC-B802-47B0-BF2A-C0835CFAD2EE}" id="{1EB12C62-C354-4E53-A53A-9A9AB7A0EDDC}">
    <text>NY Minute</text>
  </threadedComment>
  <threadedComment ref="E291" dT="2024-04-29T20:43:10.59" personId="{170B2AEC-B802-47B0-BF2A-C0835CFAD2EE}" id="{299EF475-275D-4B4A-878E-C7DB4843C5AD}">
    <text>First day with Abdul and his two helpers, breaking down cardboard from SIUHN, delivering to ITAMG, sorting cables from various locations.</text>
  </threadedComment>
  <threadedComment ref="J291" dT="2024-05-01T15:58:03.30" personId="{170B2AEC-B802-47B0-BF2A-C0835CFAD2EE}" id="{4639D1ED-CAB7-471B-ADE1-E1913CE14B09}">
    <text>1 driver, 2 helpers, PBMC delivery of 10 c-bins and pick up of cardboard as well as crushing cardboard.</text>
  </threadedComment>
  <threadedComment ref="O291" dT="2024-05-02T20:36:37.34" personId="{170B2AEC-B802-47B0-BF2A-C0835CFAD2EE}" id="{233A13D0-6B83-46DA-8F14-72B8F08DE19B}">
    <text>Abdul and 2 helpers, last pickup from PBMC, no delivery to ITAMG yet of old LCD monitors</text>
  </threadedComment>
  <threadedComment ref="T291" dT="2024-05-03T21:59:37.88" personId="{170B2AEC-B802-47B0-BF2A-C0835CFAD2EE}" id="{A8C85F2B-38E6-49D2-AB23-10E5B095B5F3}">
    <text>Abdul and helpers delivering to Brooklyn ambulatory pilot sites all day</text>
  </threadedComment>
  <threadedComment ref="Y291" dT="2024-05-03T21:58:27.66" personId="{170B2AEC-B802-47B0-BF2A-C0835CFAD2EE}" id="{B9ED323C-4D63-47CD-8CBC-26BF7B1C4A2D}">
    <text>Abdul and helpers went to ITAMG to collect boxes, rest of day was spent lettering truck or running to Lincoln Hospital for NYC Health and Hospital pickup</text>
  </threadedComment>
  <threadedComment ref="T292" dT="2024-05-02T20:37:22.03" personId="{170B2AEC-B802-47B0-BF2A-C0835CFAD2EE}" id="{877F0308-C92D-44EE-B84A-7FC9D53A10B9}">
    <text>NY Minute Delivery to NWH, no invoice yet as of 5/2/24</text>
  </threadedComment>
  <threadedComment ref="T292" dT="2024-05-06T14:43:46.30" personId="{170B2AEC-B802-47B0-BF2A-C0835CFAD2EE}" id="{246D6D4B-46A3-4C28-9A85-09E5D6474A00}" parentId="{877F0308-C92D-44EE-B84A-7FC9D53A10B9}">
    <text>Invoice calculated</text>
  </threadedComment>
  <threadedComment ref="P338" dT="2024-05-09T14:54:53.38" personId="{170B2AEC-B802-47B0-BF2A-C0835CFAD2EE}" id="{239B0601-38AB-40D4-A472-392D94110E25}">
    <text>Schneider stayed until 7:45 pm to load NY Minute truck</text>
  </threadedComment>
  <threadedComment ref="E340" dT="2024-05-06T21:10:17.13" personId="{170B2AEC-B802-47B0-BF2A-C0835CFAD2EE}" id="{BE66FB82-59B8-498A-8715-F3D6FFA04295}">
    <text>Delivered 2 TIOs to Franklyn Ozario in Brooklyn</text>
  </threadedComment>
  <threadedComment ref="E341" dT="2024-05-06T21:09:40.99" personId="{170B2AEC-B802-47B0-BF2A-C0835CFAD2EE}" id="{756A50D0-F399-46C1-8F65-CCF07375FDDA}">
    <text>Abdul and Aatif 8 hours each, Aamir 2 hours with Northwell</text>
  </threadedComment>
  <threadedComment ref="J341" dT="2024-05-07T22:23:49.34" personId="{170B2AEC-B802-47B0-BF2A-C0835CFAD2EE}" id="{5DB1863C-6EAD-430C-A57F-BD930ED6E29C}">
    <text>Abdul/Aatif both did 8 hours plus 1 hour OT each, Aamir helped only 4 hours</text>
  </threadedComment>
  <threadedComment ref="O341" dT="2024-05-09T14:46:22.31" personId="{170B2AEC-B802-47B0-BF2A-C0835CFAD2EE}" id="{A1798268-4C7F-4F78-9028-112B20BD7195}">
    <text>Abdul/Aatif 8 hours each, Aamir 4 hours after helping DOE deployment</text>
  </threadedComment>
  <threadedComment ref="P341" dT="2024-05-09T14:46:44.03" personId="{170B2AEC-B802-47B0-BF2A-C0835CFAD2EE}" id="{6B6BFD4B-1221-4EEF-9A4E-C6C922E38209}">
    <text>Abdul and Aatif arrived back for NWH and clocked out at 6:48 pm</text>
  </threadedComment>
  <threadedComment ref="T341" dT="2024-05-09T14:47:15.42" personId="{170B2AEC-B802-47B0-BF2A-C0835CFAD2EE}" id="{6A009903-66B7-4FBD-85A5-02F2E4036858}">
    <text>Abdul, Aatif, and Aamir started at 7:30 am as instructed day prior</text>
  </threadedComment>
  <threadedComment ref="T341" dT="2024-05-09T23:17:24.16" personId="{170B2AEC-B802-47B0-BF2A-C0835CFAD2EE}" id="{F00CD6E2-F12D-42DC-9B75-28BF43D65180}" parentId="{6A009903-66B7-4FBD-85A5-02F2E4036858}">
    <text>They started at 7:20 am and ended the day at 7:15 pm, Abdul and Aatif 16 regular hours, Aamir helped 4 hours again</text>
  </threadedComment>
  <threadedComment ref="Y341" dT="2024-05-10T21:06:32.95" personId="{170B2AEC-B802-47B0-BF2A-C0835CFAD2EE}" id="{2C959013-991A-44AB-8FF6-27D247A9B8F8}">
    <text>Abdul and Aatif for crushing cardboard, sorting cables, delivering to ITAMG</text>
  </threadedComment>
  <threadedComment ref="T342" dT="2024-05-14T16:17:47.04" personId="{170B2AEC-B802-47B0-BF2A-C0835CFAD2EE}" id="{1535EDF9-0B47-41B1-A550-D720E6994EB3}">
    <text>Staten Island Ambulatory Deliveries</text>
  </threadedComment>
  <threadedComment ref="Y342" dT="2024-05-10T21:06:49.45" personId="{170B2AEC-B802-47B0-BF2A-C0835CFAD2EE}" id="{55F8BFC5-A731-4936-BFC5-5036A4242722}">
    <text>NY Minute delivery to Phelps Hospital</text>
  </threadedComment>
  <threadedComment ref="E390" dT="2024-05-13T22:17:35.49" personId="{170B2AEC-B802-47B0-BF2A-C0835CFAD2EE}" id="{B9381ADD-12C5-439C-A673-D4EDB0259F58}">
    <text>Abdul and Aatif both 8 hours</text>
  </threadedComment>
  <threadedComment ref="I390" dT="2024-05-13T22:20:27.56" personId="{170B2AEC-B802-47B0-BF2A-C0835CFAD2EE}" id="{2EFABCFF-2CD7-42C8-BD25-867308696188}">
    <text>Having Abdul, Aatif come in at 7:30 am</text>
  </threadedComment>
  <threadedComment ref="I390" dT="2024-05-14T16:18:58.18" personId="{170B2AEC-B802-47B0-BF2A-C0835CFAD2EE}" id="{E8DD716E-AFFE-4F0E-972E-79F3A8C4F4D1}" parentId="{2EFABCFF-2CD7-42C8-BD25-867308696188}">
    <text>They arrived at 7:39 am</text>
  </threadedComment>
  <threadedComment ref="J390" dT="2024-05-15T16:47:32.65" personId="{170B2AEC-B802-47B0-BF2A-C0835CFAD2EE}" id="{AD021114-2094-4E6E-97C1-F379658DDEBF}">
    <text>Abdul/Aatif arrived at 7:39 am, left at 6:50 pm. Total of 10.2 hours</text>
  </threadedComment>
  <threadedComment ref="O390" dT="2024-05-15T16:49:09.47" personId="{170B2AEC-B802-47B0-BF2A-C0835CFAD2EE}" id="{C6830A0A-C744-4D69-9B0D-6E67F419317A}">
    <text>Abdul/Aatif got here 7:35 am</text>
  </threadedComment>
  <threadedComment ref="E391" dT="2024-05-13T22:18:03.88" personId="{170B2AEC-B802-47B0-BF2A-C0835CFAD2EE}" id="{E6207205-2F21-476D-B5F3-5FB484F9A8C2}">
    <text>Conservative Truck Cost Estimate for Phelps, first time accounting for Agilant Truck expenses</text>
  </threadedComment>
  <threadedComment ref="O391" dT="2024-05-21T23:26:43.09" personId="{170B2AEC-B802-47B0-BF2A-C0835CFAD2EE}" id="{7E1B4599-39B9-43D1-A0E2-9528782EBA9D}">
    <text>3.2 for Agilant truck and 18.5 for NY Minute Expenses</text>
  </threadedComment>
  <threadedComment ref="T391" dT="2024-05-21T23:25:42.37" personId="{170B2AEC-B802-47B0-BF2A-C0835CFAD2EE}" id="{DDFB64C3-4002-45D6-9B9F-5305F1D063A6}">
    <text>3.2 for Agilant Truck and 37.7 for NY Min expenses</text>
  </threadedComment>
  <threadedComment ref="Y391" dT="2024-05-21T23:24:00.76" personId="{170B2AEC-B802-47B0-BF2A-C0835CFAD2EE}" id="{E012D3B4-4B66-4F75-9712-21430FBB3119}">
    <text>3.2 hours for Agilant truck, 21.9 for NY Minute expenses</text>
  </threadedComment>
  <threadedComment ref="T438" dT="2024-05-23T22:11:18.78" personId="{170B2AEC-B802-47B0-BF2A-C0835CFAD2EE}" id="{5FE2627C-8A89-4475-82A7-358A0BE8A55D}">
    <text>Delivered 3 monitors to Queens</text>
  </threadedComment>
  <threadedComment ref="E439" dT="2024-05-23T22:13:49.76" personId="{170B2AEC-B802-47B0-BF2A-C0835CFAD2EE}" id="{870B8023-287E-43B5-B62F-4402581A837F}">
    <text>Inspection finally completed on truck, loaded afterwards at PW, went to Long Island locations to deliver</text>
  </threadedComment>
  <threadedComment ref="J439" dT="2024-05-23T22:12:49.90" personId="{170B2AEC-B802-47B0-BF2A-C0835CFAD2EE}" id="{FE1C9B80-61AA-4683-BC09-FFDC81F22C31}">
    <text>6 sites picked up in Staten, caused truck to be extremely late returning</text>
  </threadedComment>
  <threadedComment ref="O439" dT="2024-05-23T22:12:28.07" personId="{170B2AEC-B802-47B0-BF2A-C0835CFAD2EE}" id="{CA76D739-6D70-474C-9931-892230EBBF5F}">
    <text>No OT, techs came in at 8:20 am, left at 5 pm, Aamir helped for last hour of day</text>
  </threadedComment>
  <threadedComment ref="E440" dT="2024-05-31T21:28:56.25" personId="{170B2AEC-B802-47B0-BF2A-C0835CFAD2EE}" id="{E42B6044-D8EA-4A3A-9A1D-EE2C88B10A6E}">
    <text>3 NY Min Deliveries to Ambulatory sites</text>
  </threadedComment>
  <threadedComment ref="J440" dT="2024-05-31T21:30:15.26" personId="{170B2AEC-B802-47B0-BF2A-C0835CFAD2EE}" id="{42F0A9A4-CDAD-4F67-8D8A-B0C86A909360}">
    <text>NY Minute to Manhattan delivery</text>
  </threadedComment>
  <threadedComment ref="T440" dT="2024-05-31T21:32:17.90" personId="{170B2AEC-B802-47B0-BF2A-C0835CFAD2EE}" id="{1FA485A6-1529-49A6-B6C4-1071F14E14E7}">
    <text>2 NY Min Long Island deliveries</text>
  </threadedComment>
  <threadedComment ref="Y440" dT="2024-05-31T21:34:22.27" personId="{170B2AEC-B802-47B0-BF2A-C0835CFAD2EE}" id="{1C3C14F0-609D-4360-8ECA-2CF8C5D6FA79}">
    <text>Agilant Truck</text>
  </threadedComment>
  <threadedComment ref="U488" dT="2024-05-31T21:39:52.87" personId="{170B2AEC-B802-47B0-BF2A-C0835CFAD2EE}" id="{715B657E-6975-433D-882C-BF3D34EBE1D7}">
    <text>Aamir helped for 22 minutes after working with DOE</text>
  </threadedComment>
  <threadedComment ref="Y488" dT="2024-05-31T21:39:25.98" personId="{170B2AEC-B802-47B0-BF2A-C0835CFAD2EE}" id="{0F75872D-3CB8-4ED0-A655-4DD919428EB9}">
    <text>Both Aamir and Abdul came in 15 minutes late</text>
  </threadedComment>
  <threadedComment ref="E533" dT="2024-06-14T20:20:56.33" personId="{170B2AEC-B802-47B0-BF2A-C0835CFAD2EE}" id="{E1D59B83-B714-4D1C-963B-E97AF6FEF4F7}">
    <text>Abdul/Aatif 16 hours, 7.7 hours Agilant Truck</text>
  </threadedComment>
  <threadedComment ref="F533" dT="2024-06-14T20:21:22.78" personId="{170B2AEC-B802-47B0-BF2A-C0835CFAD2EE}" id="{DA694565-41EF-45DA-8FD8-DEE2D3279FFA}">
    <text>Abdul/Aatif 2 hrs OT</text>
  </threadedComment>
  <threadedComment ref="F533" dT="2024-06-14T20:55:01.21" personId="{170B2AEC-B802-47B0-BF2A-C0835CFAD2EE}" id="{C892D4C0-F5FA-4248-8CC1-A39DBDCA1860}" parentId="{DA694565-41EF-45DA-8FD8-DEE2D3279FFA}">
    <text>And Aamir</text>
  </threadedComment>
  <threadedComment ref="J533" dT="2024-06-14T20:57:36.29" personId="{170B2AEC-B802-47B0-BF2A-C0835CFAD2EE}" id="{C242377A-3756-437A-98A4-4D0CC1CD4026}">
    <text xml:space="preserve">Abdul/Aatif 16 hours, Aamir 2 hours, 7.7 Truck hours
</text>
  </threadedComment>
  <threadedComment ref="O534" dT="2024-06-10T15:30:39.91" personId="{170B2AEC-B802-47B0-BF2A-C0835CFAD2EE}" id="{2F43B54F-BEF2-4715-A5D7-E47FBF34AFD7}">
    <text>NY Minute 6/5</text>
  </threadedComment>
  <threadedComment ref="T534" dT="2024-06-10T15:31:03.13" personId="{170B2AEC-B802-47B0-BF2A-C0835CFAD2EE}" id="{23B9CC39-4CE2-4700-B850-3FB7DEFF7017}">
    <text>NY Min 6/6</text>
  </threadedComment>
  <threadedComment ref="Y534" dT="2024-06-10T15:31:22.39" personId="{170B2AEC-B802-47B0-BF2A-C0835CFAD2EE}" id="{B174385A-BC7B-4B3F-8F5F-1981EE47F083}">
    <text>NY Min 6/7</text>
  </threadedComment>
  <threadedComment ref="B570" dT="2024-06-27T16:32:28.71" personId="{170B2AEC-B802-47B0-BF2A-C0835CFAD2EE}" id="{EAD049CC-0C60-4A07-BF31-4DE8D4289A19}">
    <text>Accounted for from 6/10-6/14 under Delivery Tech hours</text>
  </threadedComment>
  <threadedComment ref="E581" dT="2024-06-14T20:22:43.82" personId="{170B2AEC-B802-47B0-BF2A-C0835CFAD2EE}" id="{6404160D-BE09-4AF3-9891-51B945B1307C}">
    <text>Abdul/Aatif 16 hrs + 7.7 hours truck expense</text>
  </threadedComment>
  <threadedComment ref="F581" dT="2024-06-14T20:23:01.49" personId="{170B2AEC-B802-47B0-BF2A-C0835CFAD2EE}" id="{E7D25DD7-E535-4CC8-8897-6D7EB7EEFCB1}">
    <text>Aatif/Abdul 2 hrs OT</text>
  </threadedComment>
  <threadedComment ref="E582" dT="2024-06-14T21:19:23.66" personId="{170B2AEC-B802-47B0-BF2A-C0835CFAD2EE}" id="{AC1502AB-FB54-4C05-8317-715847FD1FAF}">
    <text xml:space="preserve">Marvin deliveries 4/25 SIUH and 4/26 PBMC </text>
  </threadedComment>
  <threadedComment ref="E582" dT="2024-06-28T22:21:17.53" personId="{170B2AEC-B802-47B0-BF2A-C0835CFAD2EE}" id="{0CF78AEC-FB3B-4412-8C02-D567578EE379}" parentId="{AC1502AB-FB54-4C05-8317-715847FD1FAF}">
    <text>Marvin is 25 hours plus 12.3 hours NY Minute LHH delivery</text>
  </threadedComment>
  <threadedComment ref="J582" dT="2024-06-28T22:21:46.61" personId="{170B2AEC-B802-47B0-BF2A-C0835CFAD2EE}" id="{249D8D9E-A5CA-4F59-B81C-B1C7CCBEE0C6}">
    <text>NY Minute SIUHS and SIUHN Deliveries</text>
  </threadedComment>
  <threadedComment ref="Y582" dT="2024-06-28T22:22:46.40" personId="{170B2AEC-B802-47B0-BF2A-C0835CFAD2EE}" id="{0DDBA1C9-E154-4405-8523-4A4D6E1412AE}">
    <text>NY Minute late cancellation</text>
  </threadedComment>
  <threadedComment ref="T618" dT="2024-06-27T14:58:03.81" personId="{170B2AEC-B802-47B0-BF2A-C0835CFAD2EE}" id="{0000A918-BA78-4A81-96ED-1736A7B19D28}">
    <text>Late arrival at 8:22 am</text>
  </threadedComment>
  <threadedComment ref="E621" dT="2024-06-18T15:55:11.63" personId="{170B2AEC-B802-47B0-BF2A-C0835CFAD2EE}" id="{BD0229C9-6D1D-4EF8-AD57-F306D9F3724A}">
    <text>Drove 4 hours for Staten Island Ambulatory Pickups 1460/2285 Victory Blvd</text>
  </threadedComment>
  <threadedComment ref="J621" dT="2024-06-18T15:55:43.47" personId="{170B2AEC-B802-47B0-BF2A-C0835CFAD2EE}" id="{DE948596-A7AA-4C74-A97D-A73B465B7FA5}">
    <text>Drove to 18 Ashford Ave, Dobbs Ferry for pickup</text>
  </threadedComment>
  <threadedComment ref="E629" dT="2024-06-18T16:26:25.73" personId="{170B2AEC-B802-47B0-BF2A-C0835CFAD2EE}" id="{A8DADD74-BA80-409B-BDB7-4FA0D5398038}">
    <text>Agilant Truck</text>
  </threadedComment>
  <threadedComment ref="J629" dT="2024-06-18T16:26:25.73" personId="{170B2AEC-B802-47B0-BF2A-C0835CFAD2EE}" id="{BB50FFDF-36F8-46A0-B56F-0AAB4F9AE14A}">
    <text>Agilant Truck</text>
  </threadedComment>
  <threadedComment ref="O629" dT="2024-06-27T15:00:16.35" personId="{170B2AEC-B802-47B0-BF2A-C0835CFAD2EE}" id="{800D02E9-3231-4D9E-921E-34768592BCF2}">
    <text>Truck wasn't used 6/19/24</text>
  </threadedComment>
  <threadedComment ref="T629" dT="2024-06-18T16:26:25.73" personId="{170B2AEC-B802-47B0-BF2A-C0835CFAD2EE}" id="{2EE2757E-F82B-42B2-9C14-04BDE954E917}">
    <text>Agilant Truck</text>
  </threadedComment>
  <threadedComment ref="Y629" dT="2024-06-18T16:26:25.73" personId="{170B2AEC-B802-47B0-BF2A-C0835CFAD2EE}" id="{B032C339-0945-4AA1-9F76-8C900D0A6265}">
    <text>Agilant Truck</text>
  </threadedComment>
  <threadedComment ref="E630" dT="2024-06-28T22:19:57.09" personId="{170B2AEC-B802-47B0-BF2A-C0835CFAD2EE}" id="{3AD39B80-55CF-4FF8-80DD-0D2BEAC5C212}">
    <text>NY Minute Phelps</text>
  </threadedComment>
  <threadedComment ref="Y665" dT="2024-07-29T14:21:26.74" personId="{170B2AEC-B802-47B0-BF2A-C0835CFAD2EE}" id="{8D7B1266-AB2C-432E-8EEE-53A1B1F86982}">
    <text>Called in by Clarissa for partial day</text>
  </threadedComment>
  <threadedComment ref="E676" dT="2024-06-27T19:20:17.79" personId="{170B2AEC-B802-47B0-BF2A-C0835CFAD2EE}" id="{D3A18A73-9C68-401F-ABF5-9A0C966C034E}">
    <text>ITAMG dropoff and LHH pick up from K. Sanchez</text>
  </threadedComment>
  <threadedComment ref="J677" dT="2024-07-08T13:42:31.93" personId="{170B2AEC-B802-47B0-BF2A-C0835CFAD2EE}" id="{C834842A-FAC5-41E7-A03D-00974A007193}">
    <text>NY Minute Deliveries to Staten Island</text>
  </threadedComment>
  <threadedComment ref="J712" dT="2024-07-08T13:43:43.14" personId="{170B2AEC-B802-47B0-BF2A-C0835CFAD2EE}" id="{4EE46F40-3E5E-45FD-ABC0-4ABA3D6F6067}">
    <text>Wasn't able to come in but was scheduled</text>
  </threadedComment>
  <threadedComment ref="Y712" dT="2024-07-08T14:20:54.41" personId="{170B2AEC-B802-47B0-BF2A-C0835CFAD2EE}" id="{DC35D56D-B274-4C26-AD1A-6FF6D2D1A138}">
    <text>AAA came in at 7 am</text>
  </threadedComment>
  <threadedComment ref="J715" dT="2024-07-08T13:43:17.73" personId="{170B2AEC-B802-47B0-BF2A-C0835CFAD2EE}" id="{A0E3E402-6C9B-4670-995A-57F1E1BE0668}">
    <text>Van for Northern Ambulatory Pickups, van broke down</text>
  </threadedComment>
  <threadedComment ref="O724" dT="2024-07-08T13:48:55.94" personId="{170B2AEC-B802-47B0-BF2A-C0835CFAD2EE}" id="{5945BEC3-77EC-4D6F-B3E3-14BFE8E53D4D}">
    <text>Northern Ambulatory Pickups</text>
  </threadedComment>
  <threadedComment ref="Y724" dT="2024-07-08T13:49:21.75" personId="{170B2AEC-B802-47B0-BF2A-C0835CFAD2EE}" id="{BB9AD27A-4703-4D51-9A03-CDD99EDDDC35}">
    <text>LHH Delivery to techs and Asotria Ambulatory delivery</text>
  </threadedComment>
  <threadedComment ref="H751" dT="2024-07-15T20:02:14.16" personId="{51F71FEA-15E0-4A3E-9922-DF989C9E2BB5}" id="{F5F24E8E-51DF-4405-B2D8-5B25551E6478}">
    <text>As per Carl worked on Montior project 8 hours. Notified Kaye to review and add</text>
  </threadedComment>
  <threadedComment ref="O816" dT="2024-07-22T16:02:08.28" personId="{170B2AEC-B802-47B0-BF2A-C0835CFAD2EE}" id="{253D21B3-60FE-4532-BB3A-D6086FD788AA}">
    <text>Josh Johnson van driver for Brooklyn Amb. pickup</text>
  </threadedComment>
  <threadedComment ref="O816" dT="2024-08-02T21:42:06.98" personId="{170B2AEC-B802-47B0-BF2A-C0835CFAD2EE}" id="{A04068AB-89A2-4173-A2E0-D233CAE337E8}" parentId="{253D21B3-60FE-4532-BB3A-D6086FD788AA}">
    <text>Also NY Min</text>
  </threadedComment>
  <threadedComment ref="J817" dT="2024-07-29T14:28:27.18" personId="{170B2AEC-B802-47B0-BF2A-C0835CFAD2EE}" id="{A018DF87-1A21-4A61-AD15-669D6A4B33A6}">
    <text>Tate Support Group Invoice 2024-031 and 2024-032</text>
  </threadedComment>
  <threadedComment ref="J817" dT="2024-08-02T21:41:28.32" personId="{170B2AEC-B802-47B0-BF2A-C0835CFAD2EE}" id="{D47A5208-0CD7-485E-B9D9-077ADAD2583E}" parentId="{A018DF87-1A21-4A61-AD15-669D6A4B33A6}">
    <text>NY Minute as well</text>
  </threadedComment>
  <threadedComment ref="O817" dT="2024-08-02T21:43:26.48" personId="{170B2AEC-B802-47B0-BF2A-C0835CFAD2EE}" id="{35896CDA-2026-4C0A-8942-1A44D75DF63A}">
    <text>Truck and Van</text>
  </threadedComment>
  <threadedComment ref="T817" dT="2024-08-02T21:42:34.94" personId="{170B2AEC-B802-47B0-BF2A-C0835CFAD2EE}" id="{BEF0E683-0A1A-426A-9046-BC5DDE76797F}">
    <text>NY Min</text>
  </threadedComment>
  <threadedComment ref="Y817" dT="2024-08-02T21:43:00.29" personId="{170B2AEC-B802-47B0-BF2A-C0835CFAD2EE}" id="{BA778324-7660-4100-B6E6-351C374CE12B}">
    <text>NY Min</text>
  </threadedComment>
  <threadedComment ref="O864" dT="2024-08-02T21:52:06.00" personId="{170B2AEC-B802-47B0-BF2A-C0835CFAD2EE}" id="{3850DBA1-0450-4BC8-97EE-32B26E390063}">
    <text xml:space="preserve">NY Minute Manh and SI </text>
  </threadedComment>
  <threadedComment ref="T864" dT="2024-08-02T21:52:28.12" personId="{170B2AEC-B802-47B0-BF2A-C0835CFAD2EE}" id="{D82AD554-4F74-4123-8154-F9183331D831}">
    <text>NY Minute</text>
  </threadedComment>
  <threadedComment ref="T947" dT="2024-08-08T16:59:21.69" personId="{170B2AEC-B802-47B0-BF2A-C0835CFAD2EE}" id="{4B54D00A-7BFD-48C9-956F-B4F24A2E3302}">
    <text>Truck taken in for oil change</text>
  </threadedComment>
  <threadedComment ref="Y947" dT="2024-08-13T19:06:07.38" personId="{170B2AEC-B802-47B0-BF2A-C0835CFAD2EE}" id="{CA163331-0747-4A6E-ABD3-19352B77DE13}">
    <text>No OT this week due to oil change</text>
  </threadedComment>
  <threadedComment ref="B953" dT="2024-08-08T16:53:30.25" personId="{170B2AEC-B802-47B0-BF2A-C0835CFAD2EE}" id="{9770B6AC-32BE-4815-A829-5FF7D9E2FCF0}">
    <text>New Agilant van driver</text>
  </threadedComment>
  <threadedComment ref="T957" dT="2024-08-13T19:04:18.59" personId="{170B2AEC-B802-47B0-BF2A-C0835CFAD2EE}" id="{D88E1222-47DD-4A2B-ADE2-60774173BC9F}">
    <text>Van</text>
  </threadedComment>
  <threadedComment ref="Y957" dT="2024-08-13T19:04:26.97" personId="{170B2AEC-B802-47B0-BF2A-C0835CFAD2EE}" id="{E599D902-6C53-41CD-8921-8B5B048E1AD0}">
    <text>Van and Truck</text>
  </threadedComment>
  <threadedComment ref="T958" dT="2024-08-16T21:24:33.59" personId="{170B2AEC-B802-47B0-BF2A-C0835CFAD2EE}" id="{0EDE1D0C-86C3-4D7A-945B-36CDC28D7469}">
    <text>NY Minute to East LI</text>
  </threadedComment>
  <threadedComment ref="B1000" dT="2024-08-08T16:53:30.25" personId="{170B2AEC-B802-47B0-BF2A-C0835CFAD2EE}" id="{48DCE1AC-0870-4768-9944-EA9227E65B16}">
    <text>New Agilant van driver</text>
  </threadedComment>
  <threadedComment ref="B1049" dT="2024-08-08T16:53:30.25" personId="{170B2AEC-B802-47B0-BF2A-C0835CFAD2EE}" id="{362C9F85-F169-4E60-B5D0-70DE8C514CCE}">
    <text>New Agilant van driver</text>
  </threadedComment>
  <threadedComment ref="T1054" dT="2024-08-26T14:24:12.29" personId="{170B2AEC-B802-47B0-BF2A-C0835CFAD2EE}" id="{C17B3366-EA7D-4880-90EF-C92922913A79}">
    <text>242 Mason Ave and 500 Seaview Ave Deliveries by NY Minute</text>
  </threadedComment>
  <threadedComment ref="B1102" dT="2024-08-08T16:53:30.25" personId="{170B2AEC-B802-47B0-BF2A-C0835CFAD2EE}" id="{08C7A13A-43E3-47F4-8CD4-F61D52EEB766}">
    <text>New Agilant van driver</text>
  </threadedComment>
  <threadedComment ref="B1150" dT="2024-08-08T16:53:30.25" personId="{170B2AEC-B802-47B0-BF2A-C0835CFAD2EE}" id="{ED808F76-F77A-41A8-9CBD-B82EF0023C5D}">
    <text>New Agilant van driver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S12" dT="2024-06-28T15:51:57.90" personId="{51F71FEA-15E0-4A3E-9922-DF989C9E2BB5}" id="{94D507B3-53A8-4DF5-AE78-14EE015959E7}">
    <text>AT PW</text>
  </threadedComment>
  <threadedComment ref="X12" dT="2024-06-28T15:34:46.56" personId="{51F71FEA-15E0-4A3E-9922-DF989C9E2BB5}" id="{B547FB63-FCF8-4261-BD5C-0959D9AD84CB}">
    <text>Back to Epic Monitor Project</text>
  </threadedComment>
  <threadedComment ref="S14" dT="2024-06-28T15:52:11.50" personId="{51F71FEA-15E0-4A3E-9922-DF989C9E2BB5}" id="{39531545-A1DD-4FC6-AB4E-0434C57BCE52}">
    <text>ASSIGNED TO LEVAR</text>
  </threadedComment>
  <threadedComment ref="X21" dT="2024-06-28T17:12:05.26" personId="{51F71FEA-15E0-4A3E-9922-DF989C9E2BB5}" id="{2DC08629-76C7-4805-A43A-C071427FE70A}">
    <text>OOO this week</text>
  </threadedComment>
  <threadedComment ref="N23" dT="2024-07-15T19:59:18.26" personId="{51F71FEA-15E0-4A3E-9922-DF989C9E2BB5}" id="{FEA3179B-663B-4DB5-8F30-C0EE1FD10C91}">
    <text>Monitor</text>
  </threadedComment>
  <threadedComment ref="S30" dT="2024-07-15T19:39:13.34" personId="{51F71FEA-15E0-4A3E-9922-DF989C9E2BB5}" id="{A24BDA10-4E23-4F49-89E4-4F39CDDFF0B9}">
    <text>1 hour on monitor sheet for weekly Meeting</text>
  </threadedComment>
  <threadedComment ref="I31" dT="2024-07-15T19:39:50.81" personId="{51F71FEA-15E0-4A3E-9922-DF989C9E2BB5}" id="{E858AB1F-6B27-4C8E-8A67-1FB61ED94B3C}">
    <text>PTO</text>
  </threadedComment>
  <threadedComment ref="D32" dT="2024-07-15T20:27:14.79" personId="{51F71FEA-15E0-4A3E-9922-DF989C9E2BB5}" id="{691F7CF2-BAF1-476C-AD7D-28AF0550E3D2}">
    <text>Not at PW</text>
  </threadedComment>
  <threadedComment ref="I32" dT="2024-07-15T19:59:18.26" personId="{51F71FEA-15E0-4A3E-9922-DF989C9E2BB5}" id="{9D1BC0B5-2243-4FED-AE25-DCDD61BFE482}">
    <text>Monitor</text>
  </threadedComment>
  <threadedComment ref="N32" dT="2024-07-15T19:59:18.26" personId="{51F71FEA-15E0-4A3E-9922-DF989C9E2BB5}" id="{20196C86-180E-4673-AF99-60B9D1AD74D2}">
    <text>Monitor</text>
  </threadedComment>
  <threadedComment ref="S32" dT="2024-07-15T19:59:18.26" personId="{51F71FEA-15E0-4A3E-9922-DF989C9E2BB5}" id="{296AA997-33EC-419D-9DEF-4A18B09B1C86}">
    <text>Monitor</text>
  </threadedComment>
  <threadedComment ref="X32" dT="2024-07-15T19:59:18.26" personId="{51F71FEA-15E0-4A3E-9922-DF989C9E2BB5}" id="{87D8C892-BE19-4EC7-B5D6-C2ADE2195D17}">
    <text>Monitor</text>
  </threadedComment>
  <threadedComment ref="D35" dT="2024-07-15T19:59:18.26" personId="{51F71FEA-15E0-4A3E-9922-DF989C9E2BB5}" id="{13230CDB-22DC-409B-B0F1-A4221FD9C38B}">
    <text>Monitor</text>
  </threadedComment>
  <threadedComment ref="I35" dT="2024-07-15T19:59:18.26" personId="{51F71FEA-15E0-4A3E-9922-DF989C9E2BB5}" id="{4F2B20AA-4F33-4C4A-ADA0-B5C353F68199}">
    <text>Monitor</text>
  </threadedComment>
  <threadedComment ref="N35" dT="2024-07-15T19:59:18.26" personId="{51F71FEA-15E0-4A3E-9922-DF989C9E2BB5}" id="{969901E1-261D-4EA4-9C3D-A9A84C026B38}">
    <text>Monitor</text>
  </threadedComment>
  <threadedComment ref="S35" dT="2024-07-15T19:59:18.26" personId="{51F71FEA-15E0-4A3E-9922-DF989C9E2BB5}" id="{FC71A5DA-2333-42F3-8D1D-704A4750AC46}">
    <text>Monitor</text>
  </threadedComment>
  <threadedComment ref="X35" dT="2024-07-15T19:59:18.26" personId="{51F71FEA-15E0-4A3E-9922-DF989C9E2BB5}" id="{233B76E4-9FB1-400F-99E7-725130F2A953}">
    <text>Monitor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T445" dT="2024-07-15T16:23:06.60" personId="{51F71FEA-15E0-4A3E-9922-DF989C9E2BB5}" id="{7780FE02-3432-4FC0-BD47-D2B2B4A99E26}">
    <text>Worked at PW for Credit Card Project Back up training</text>
  </threadedComment>
  <threadedComment ref="T447" dT="2024-07-15T16:23:06.60" personId="{51F71FEA-15E0-4A3E-9922-DF989C9E2BB5}" id="{8200371C-D417-4EAA-AFF7-47D48B75B2B0}">
    <text>Worked at PW for Credit Card Project Back up training</text>
  </threadedComment>
  <threadedComment ref="L452" dT="2024-07-15T16:31:57.45" personId="{51F71FEA-15E0-4A3E-9922-DF989C9E2BB5}" id="{F42A4A84-CA18-4662-98E9-3BCCC61164F1}">
    <text>Training with Marvin to install Wall Arms</text>
  </threadedComment>
  <threadedComment ref="T452" dT="2024-07-15T16:31:57.45" personId="{51F71FEA-15E0-4A3E-9922-DF989C9E2BB5}" id="{96EDD1EB-DDD9-428C-B8B1-A1ADCFD106AF}">
    <text>Training with Marvin to install Wall Arms</text>
  </threadedComment>
  <threadedComment ref="T461" dT="2024-07-15T16:23:06.60" personId="{51F71FEA-15E0-4A3E-9922-DF989C9E2BB5}" id="{6CE49D59-DEDD-41E8-9D2E-3B2FB1010709}">
    <text>Worked at PW for Credit Card Project Back up training</text>
  </threadedComment>
  <threadedComment ref="H464" dT="2024-07-15T16:34:34.12" personId="{51F71FEA-15E0-4A3E-9922-DF989C9E2BB5}" id="{FBCBB6C5-EEEF-44A2-AC94-FA65A0A99F35}">
    <text xml:space="preserve">AT PW for Training - </text>
  </threadedComment>
  <threadedComment ref="D471" dT="2024-07-15T16:29:55.19" personId="{51F71FEA-15E0-4A3E-9922-DF989C9E2BB5}" id="{C3FCF795-F50A-4BB3-A7D1-53C03CFA24DA}">
    <text>Training with Kevin at PW for Edocs</text>
  </threadedComment>
  <threadedComment ref="P471" dT="2024-07-15T16:29:55.19" personId="{51F71FEA-15E0-4A3E-9922-DF989C9E2BB5}" id="{9F4D3342-4761-4499-9A9C-EF84DF5BD225}">
    <text>Training with Kevin at PW for Edocs</text>
  </threadedComment>
  <threadedComment ref="T471" dT="2024-07-15T16:29:55.19" personId="{51F71FEA-15E0-4A3E-9922-DF989C9E2BB5}" id="{FA0E3431-9CEA-44A4-853D-F2E0F4064B0C}">
    <text>Training with Kevin at PW for Edocs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AE2" dT="2025-02-28T14:21:57.16" personId="{7F9E5796-458C-4C0C-A985-09A276BFDFDE}" id="{8490D59C-E157-45DF-8B84-E1F38273BD55}">
    <text>2237 balance from Travel which is equal to 2649 tech units was added to tech hrs bringing balance down</text>
  </threadedComment>
  <threadedComment ref="AE4" dT="2025-02-28T14:22:39.51" personId="{7F9E5796-458C-4C0C-A985-09A276BFDFDE}" id="{027C022F-0EB9-4283-A172-A7B3517A1E97}">
    <text>2237 travel added to tech hrs - was -4800; now -2161</text>
  </threadedComment>
  <threadedComment ref="J47" dT="2024-09-13T16:00:18.05" personId="{170B2AEC-B802-47B0-BF2A-C0835CFAD2EE}" id="{221F1FA2-276E-4639-B840-FDAA65E03624}">
    <text>Partial day for Jennison Delivery after 5 pm</text>
  </threadedComment>
  <threadedComment ref="T47" dT="2024-09-13T16:02:54.05" personId="{170B2AEC-B802-47B0-BF2A-C0835CFAD2EE}" id="{E2004BA1-1CE2-467C-84F5-91F98D51BC2B}">
    <text>FHH chaotic pickup at wrong time 10 am instead of right time 3pm</text>
  </threadedComment>
  <threadedComment ref="Y47" dT="2024-09-13T16:03:10.37" personId="{170B2AEC-B802-47B0-BF2A-C0835CFAD2EE}" id="{E5DFDB59-6C5B-4B1E-9331-CF907459BD26}">
    <text>Came in starting at 9:45 am</text>
  </threadedComment>
  <threadedComment ref="E48" dT="2024-09-13T15:59:27.82" personId="{170B2AEC-B802-47B0-BF2A-C0835CFAD2EE}" id="{9E81DAEC-BB40-4034-A58B-D2AF46A9A99D}">
    <text>Aamir didn't work full 40, no OT</text>
  </threadedComment>
  <threadedComment ref="J48" dT="2024-09-13T16:00:52.01" personId="{170B2AEC-B802-47B0-BF2A-C0835CFAD2EE}" id="{935EC3D1-A1DA-4F26-A7A7-72998B052813}">
    <text>All day at warehouse crushing boxes, only some for EPIC Project</text>
  </threadedComment>
  <threadedComment ref="B53" dT="2024-08-08T16:53:30.25" personId="{170B2AEC-B802-47B0-BF2A-C0835CFAD2EE}" id="{C01B8E14-9DBE-48D9-BDA2-6D3CC27D49EC}">
    <text>New Agilant van driver</text>
  </threadedComment>
  <threadedComment ref="E56" dT="2024-09-13T16:14:18.43" personId="{170B2AEC-B802-47B0-BF2A-C0835CFAD2EE}" id="{3D4F675A-5F37-4ED0-95E2-F9D634502987}">
    <text>For hours spent Friday 9/6 preparing 800+ monitors for shipment</text>
  </threadedComment>
  <threadedComment ref="E57" dT="2024-09-13T16:10:07.66" personId="{170B2AEC-B802-47B0-BF2A-C0835CFAD2EE}" id="{6DC7253E-DDBE-46D9-B2F2-8A3069ECBCCE}">
    <text>Agilant Truck Forest Hills Delivery</text>
  </threadedComment>
  <threadedComment ref="B99" dT="2024-08-08T16:53:30.25" personId="{170B2AEC-B802-47B0-BF2A-C0835CFAD2EE}" id="{37C15830-11FB-482A-9F63-9E3D0C6A637E}">
    <text>New Agilant van driver</text>
  </threadedComment>
  <threadedComment ref="B140" dT="2024-08-08T16:53:30.25" personId="{170B2AEC-B802-47B0-BF2A-C0835CFAD2EE}" id="{1BDDFEB2-C6E6-4BD7-8BC2-D11BDFD94D62}">
    <text>New Agilant van driver</text>
  </threadedComment>
  <threadedComment ref="B181" dT="2024-08-08T16:53:30.25" personId="{170B2AEC-B802-47B0-BF2A-C0835CFAD2EE}" id="{C5CAF6A5-5AFA-45EC-AEE0-27D58A5626C6}">
    <text>New Agilant van driver</text>
  </threadedComment>
  <threadedComment ref="B222" dT="2024-08-08T16:53:30.25" personId="{170B2AEC-B802-47B0-BF2A-C0835CFAD2EE}" id="{92E39B0C-3D59-4866-862F-B8F0F0CEB2AC}">
    <text>New Agilant van driver</text>
  </threadedComment>
  <threadedComment ref="Y222" dT="2024-10-14T13:07:47.34" personId="{170B2AEC-B802-47B0-BF2A-C0835CFAD2EE}" id="{CF25D257-DDEE-48D2-9CD6-F69F78F737E7}">
    <text>Northern Deliveries</text>
  </threadedComment>
  <threadedComment ref="J226" dT="2024-10-21T12:57:53.90" personId="{170B2AEC-B802-47B0-BF2A-C0835CFAD2EE}" id="{958C6518-8DBE-477C-A11D-E09B1E876E2D}">
    <text>Added 10/21</text>
  </threadedComment>
  <threadedComment ref="B263" dT="2024-08-08T16:53:30.25" personId="{170B2AEC-B802-47B0-BF2A-C0835CFAD2EE}" id="{E95D9CB3-22E6-4D26-86C6-E1AFE2B63C94}">
    <text>New Agilant van driver</text>
  </threadedComment>
  <threadedComment ref="B304" dT="2024-08-08T16:53:30.25" personId="{170B2AEC-B802-47B0-BF2A-C0835CFAD2EE}" id="{7691C682-391F-46A6-A655-73AAB964404A}">
    <text>New Agilant van driver</text>
  </threadedComment>
  <threadedComment ref="O309" dT="2024-11-04T22:35:22.18" personId="{170B2AEC-B802-47B0-BF2A-C0835CFAD2EE}" id="{575F1F7C-2BA6-48C3-87FA-EB11FDF64979}">
    <text>Many NY Minute Requests</text>
  </threadedComment>
  <threadedComment ref="K343" dT="2024-11-04T22:46:48.59" personId="{170B2AEC-B802-47B0-BF2A-C0835CFAD2EE}" id="{C413FCD2-02F4-422F-AFCE-D33F9F5D2829}">
    <text>Late pickup at 1991 Marcus due to building only allowing pickup after 6pm</text>
  </threadedComment>
  <threadedComment ref="B349" dT="2024-08-08T16:53:30.25" personId="{170B2AEC-B802-47B0-BF2A-C0835CFAD2EE}" id="{54364362-9A1D-4BA4-ABA9-B8387A6E43B0}">
    <text>New Agilant van driver</text>
  </threadedComment>
  <threadedComment ref="Y368" dT="2024-11-18T19:48:53.33" personId="{51F71FEA-15E0-4A3E-9922-DF989C9E2BB5}" id="{03E2A669-345F-4AAA-8429-BB97E9094B36}">
    <text>Added 1 hour missed in last payperiod for meeting.</text>
  </threadedComment>
  <threadedComment ref="Y388" dT="2024-11-08T22:48:11.66" personId="{170B2AEC-B802-47B0-BF2A-C0835CFAD2EE}" id="{D1A90766-132E-4B8B-A4CD-0B291EBEC4DA}">
    <text>Delivered Neurons for other part of Epic project</text>
  </threadedComment>
  <threadedComment ref="B394" dT="2024-08-08T16:53:30.25" personId="{170B2AEC-B802-47B0-BF2A-C0835CFAD2EE}" id="{31D271CA-B7FD-4014-A236-EB49CC9C8347}">
    <text>New Agilant van driver</text>
  </threadedComment>
  <threadedComment ref="Y415" dT="2024-11-18T19:57:26.09" personId="{51F71FEA-15E0-4A3E-9922-DF989C9E2BB5}" id="{F5FDF192-19A5-4936-8C88-0439B8C59DDB}">
    <text>Added 1 missed hour from last payroll, 1 hour for meeting</text>
  </threadedComment>
  <threadedComment ref="T423" dT="2024-11-18T21:47:59.76" personId="{51F71FEA-15E0-4A3E-9922-DF989C9E2BB5}" id="{7EBD48E4-1A72-4A85-BFDC-62DEFB749225}">
    <text>Adding 1 missed hour from last week 1 hour meeting.</text>
  </threadedComment>
  <threadedComment ref="B439" dT="2024-08-08T16:53:30.25" personId="{170B2AEC-B802-47B0-BF2A-C0835CFAD2EE}" id="{CB9C2246-188F-47CE-B0AE-B453B48D526E}">
    <text>New Agilant van driver</text>
  </threadedComment>
  <threadedComment ref="B484" dT="2024-08-08T16:53:30.25" personId="{170B2AEC-B802-47B0-BF2A-C0835CFAD2EE}" id="{10513541-03D2-4737-B069-2C29D39EF755}">
    <text>New Agilant van driver</text>
  </threadedComment>
  <threadedComment ref="B529" dT="2024-08-08T16:53:30.25" personId="{170B2AEC-B802-47B0-BF2A-C0835CFAD2EE}" id="{E239C6D9-B9F2-4A6E-A034-C1D11B213232}">
    <text>New Agilant van driver</text>
  </threadedComment>
  <threadedComment ref="B572" dT="2024-08-08T16:53:30.25" personId="{170B2AEC-B802-47B0-BF2A-C0835CFAD2EE}" id="{F5881663-0D54-417F-8B73-E652AE1294A9}">
    <text>New Agilant van driver</text>
  </threadedComment>
  <threadedComment ref="B615" dT="2024-08-08T16:53:30.25" personId="{170B2AEC-B802-47B0-BF2A-C0835CFAD2EE}" id="{87F7DEEE-2071-43E4-8AB4-B89DAB6EFF89}">
    <text>New Agilant van driver</text>
  </threadedComment>
  <threadedComment ref="J653" dT="2024-12-24T17:40:03.23" personId="{170B2AEC-B802-47B0-BF2A-C0835CFAD2EE}" id="{3083FA58-5D03-4299-A98C-3E59B0932725}">
    <text>Appointments for partial day, Aatif and Aamir did OT for cardboard crushing</text>
  </threadedComment>
  <threadedComment ref="J658" dT="2024-12-24T17:41:49.94" personId="{170B2AEC-B802-47B0-BF2A-C0835CFAD2EE}" id="{F6D2DE99-D2C9-4DD1-901D-835F767334C0}">
    <text>1010 Northern Blvd held onto new monitors after scheduled pickup thinking that they would have a tech come out shortly to install the rest, I went in the van to pickup after 5 pm.</text>
  </threadedComment>
  <threadedComment ref="B659" dT="2024-08-08T16:53:30.25" personId="{170B2AEC-B802-47B0-BF2A-C0835CFAD2EE}" id="{7EF440BA-E60B-4CDE-969D-2602FBD90FAA}">
    <text>New Agilant van driver</text>
  </threadedComment>
  <threadedComment ref="B698" dT="2024-08-08T16:53:30.25" personId="{170B2AEC-B802-47B0-BF2A-C0835CFAD2EE}" id="{6249C2A8-F597-42BF-9791-1E18BD0037A4}">
    <text>New Agilant van driver</text>
  </threadedComment>
  <threadedComment ref="J702" dT="2024-12-30T21:00:17.53" personId="{170B2AEC-B802-47B0-BF2A-C0835CFAD2EE}" id="{8204E779-ED26-4B70-902D-A884BD9A2897}">
    <text>No deliveries or pickups 12/24</text>
  </threadedComment>
  <threadedComment ref="B737" dT="2024-08-08T16:53:30.25" personId="{170B2AEC-B802-47B0-BF2A-C0835CFAD2EE}" id="{6E8BC053-3EAB-4062-AE39-0334EF871189}">
    <text>New Agilant van driver</text>
  </threadedComment>
  <threadedComment ref="B776" dT="2024-08-08T16:53:30.25" personId="{170B2AEC-B802-47B0-BF2A-C0835CFAD2EE}" id="{D0308D6F-C3AB-4F1B-B287-83CD3503D1BD}">
    <text>New Agilant van driver</text>
  </threadedComment>
  <threadedComment ref="J809" dT="2025-01-16T18:51:00.13" personId="{170B2AEC-B802-47B0-BF2A-C0835CFAD2EE}" id="{7C3C1F31-1C61-4D72-BA79-6837E3BBCE39}">
    <text>Abdul had an appointment, 1 hour he wasn't here</text>
  </threadedComment>
  <threadedComment ref="Y813" dT="2025-01-16T18:51:35.40" personId="{170B2AEC-B802-47B0-BF2A-C0835CFAD2EE}" id="{F3812FC6-5305-46D5-97F6-23913CACED41}">
    <text>PTO</text>
  </threadedComment>
  <threadedComment ref="B814" dT="2024-08-08T16:53:30.25" personId="{170B2AEC-B802-47B0-BF2A-C0835CFAD2EE}" id="{5115A9D2-BB21-4C8A-AEC1-5497CA5BFFCE}">
    <text>New Agilant van driver</text>
  </threadedComment>
  <threadedComment ref="T849" dT="2025-01-27T19:36:27.84" personId="{170B2AEC-B802-47B0-BF2A-C0835CFAD2EE}" id="{947243D4-3E56-4A55-8854-38E1BD9841A7}">
    <text>Big deliveries at 410 Lakeville and prepping truck for Friday</text>
  </threadedComment>
  <threadedComment ref="B855" dT="2024-08-08T16:53:30.25" personId="{170B2AEC-B802-47B0-BF2A-C0835CFAD2EE}" id="{BAC148A3-27D5-4229-8B36-616D41F1DF93}">
    <text>New Agilant van driver</text>
  </threadedComment>
  <threadedComment ref="B890" dT="2024-08-08T16:53:30.25" personId="{170B2AEC-B802-47B0-BF2A-C0835CFAD2EE}" id="{2AE36343-E88B-413F-8669-EC8059AA28F1}">
    <text>New Agilant van driver</text>
  </threadedComment>
  <threadedComment ref="B928" dT="2024-08-08T16:53:30.25" personId="{170B2AEC-B802-47B0-BF2A-C0835CFAD2EE}" id="{E9B81B07-35E6-4FE1-A1EB-38C9E50AF340}">
    <text>New Agilant van driver</text>
  </threadedComment>
  <threadedComment ref="B965" dT="2024-08-08T16:53:30.25" personId="{170B2AEC-B802-47B0-BF2A-C0835CFAD2EE}" id="{5204D017-6FD8-452B-9C1B-3B2D3472C254}">
    <text>New Agilant van driver</text>
  </threadedComment>
  <threadedComment ref="B1002" dT="2024-08-08T16:53:30.25" personId="{170B2AEC-B802-47B0-BF2A-C0835CFAD2EE}" id="{C7C9A8C8-9BAC-4615-BC68-6C21D13DB521}">
    <text>New Agilant van driver</text>
  </threadedComment>
  <threadedComment ref="B1040" dT="2024-08-08T16:53:30.25" personId="{170B2AEC-B802-47B0-BF2A-C0835CFAD2EE}" id="{53DB4F34-CFF8-4F56-9F02-1F5B8B9E79F5}">
    <text>New Agilant van driver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B37" dT="2024-08-08T16:53:30.25" personId="{170B2AEC-B802-47B0-BF2A-C0835CFAD2EE}" id="{856B6AE4-A618-4CB4-8E94-D35D13F5D38A}">
    <text>New Agilant van driver</text>
  </threadedComment>
  <threadedComment ref="E66" dT="2025-03-24T14:12:42.71" personId="{170B2AEC-B802-47B0-BF2A-C0835CFAD2EE}" id="{638AB6E7-762F-4F75-AD01-8DF264E7952D}">
    <text>Aatif Driving Test</text>
  </threadedComment>
  <threadedComment ref="B73" dT="2024-08-08T16:53:30.25" personId="{170B2AEC-B802-47B0-BF2A-C0835CFAD2EE}" id="{6683C283-F02A-411A-85F5-A168844FAC66}">
    <text>New Agilant van driver</text>
  </threadedComment>
  <threadedComment ref="B109" dT="2024-08-08T16:53:30.25" personId="{170B2AEC-B802-47B0-BF2A-C0835CFAD2EE}" id="{905021C6-4195-4AB5-AF58-5709FE18B1DF}">
    <text>New Agilant van driver</text>
  </threadedComment>
  <threadedComment ref="Y113" dT="2025-03-24T14:48:03.20" personId="{170B2AEC-B802-47B0-BF2A-C0835CFAD2EE}" id="{BEECC87D-17FF-4AAE-9BDA-47E9576EC71B}">
    <text>Truck not used this day</text>
  </threadedComment>
  <threadedComment ref="E133" dT="2025-03-24T18:39:02.25" personId="{51F71FEA-15E0-4A3E-9922-DF989C9E2BB5}" id="{AF6699E1-C3E4-4291-BBB5-73091B90A7A4}">
    <text>Note added by Carl no lunch taken</text>
  </threadedComment>
  <threadedComment ref="N144" dT="2025-03-24T14:14:14.45" personId="{170B2AEC-B802-47B0-BF2A-C0835CFAD2EE}" id="{7314EFE3-D8B1-4CBA-B019-6E7550C5767D}">
    <text>Bereavement 3/19-3/21</text>
  </threadedComment>
  <threadedComment ref="B145" dT="2024-08-08T16:53:30.25" personId="{170B2AEC-B802-47B0-BF2A-C0835CFAD2EE}" id="{068D2F49-4910-47BA-B596-D538CF6648ED}">
    <text>New Agilant van driver</text>
  </threadedComment>
  <threadedComment ref="B180" dT="2024-08-08T16:53:30.25" personId="{170B2AEC-B802-47B0-BF2A-C0835CFAD2EE}" id="{05561921-BC5B-4746-BD0F-3D1E8E678873}">
    <text>New Agilant van driver</text>
  </threadedComment>
  <threadedComment ref="B215" dT="2024-08-08T16:53:30.25" personId="{170B2AEC-B802-47B0-BF2A-C0835CFAD2EE}" id="{DB90E662-1A06-416E-9445-B161E0FAA841}">
    <text>New Agilant van driver</text>
  </threadedComment>
  <threadedComment ref="B250" dT="2024-08-08T16:53:30.25" personId="{170B2AEC-B802-47B0-BF2A-C0835CFAD2EE}" id="{CC25A51E-F1EC-448D-9963-96D76029F90D}">
    <text>New Agilant van driver</text>
  </threadedComment>
  <threadedComment ref="B285" dT="2024-08-08T16:53:30.25" personId="{170B2AEC-B802-47B0-BF2A-C0835CFAD2EE}" id="{F0D86D4C-94FF-415E-A7D1-FDE462BA2080}">
    <text>New Agilant van driver</text>
  </threadedComment>
  <threadedComment ref="B320" dT="2024-08-08T16:53:30.25" personId="{170B2AEC-B802-47B0-BF2A-C0835CFAD2EE}" id="{5AB74605-9AC3-47F9-B94C-227F0711367E}">
    <text>New Agilant van driver</text>
  </threadedComment>
  <threadedComment ref="E349" dT="2025-05-16T18:37:06.86" personId="{170B2AEC-B802-47B0-BF2A-C0835CFAD2EE}" id="{7BDD2776-56FA-4CA0-A391-467314FC4B4B}">
    <text>Lighter week, no OT</text>
  </threadedComment>
  <threadedComment ref="B355" dT="2024-08-08T16:53:30.25" personId="{170B2AEC-B802-47B0-BF2A-C0835CFAD2EE}" id="{90C6D900-CE07-4256-BF57-F3A2D0E91A4D}">
    <text>New Agilant van driver</text>
  </threadedComment>
  <threadedComment ref="B390" dT="2024-08-08T16:53:30.25" personId="{170B2AEC-B802-47B0-BF2A-C0835CFAD2EE}" id="{2F90B2B5-8DB7-4E21-BAC6-C896BF83469C}">
    <text>New Agilant van driver</text>
  </threadedComment>
  <threadedComment ref="B425" dT="2024-08-08T16:53:30.25" personId="{170B2AEC-B802-47B0-BF2A-C0835CFAD2EE}" id="{C65DC90A-C345-40BD-8C44-CB30C73D4540}">
    <text>New Agilant van driver</text>
  </threadedComment>
  <threadedComment ref="T430" dT="2025-05-16T20:39:47.85" personId="{170B2AEC-B802-47B0-BF2A-C0835CFAD2EE}" id="{CEE7ED10-5838-4B05-9B80-DF86ABE44C75}">
    <text>Justin drove the van for deliveries</text>
  </threadedComment>
  <threadedComment ref="O454" dT="2025-05-28T15:04:18.36" personId="{170B2AEC-B802-47B0-BF2A-C0835CFAD2EE}" id="{50A5AC40-6CD4-4302-A438-03BCB3E38E5F}">
    <text>Palo Alto Delivery same day</text>
  </threadedComment>
  <threadedComment ref="B460" dT="2024-08-08T16:53:30.25" personId="{170B2AEC-B802-47B0-BF2A-C0835CFAD2EE}" id="{1E37CB8C-1542-4210-BB0A-0961FF39569D}">
    <text>New Agilant van driver</text>
  </threadedComment>
  <threadedComment ref="T489" dT="2025-06-02T15:38:58.70" personId="{170B2AEC-B802-47B0-BF2A-C0835CFAD2EE}" id="{70122AAF-7069-4EEC-8BC4-1E710FE8AD36}">
    <text>White Plains Delivery</text>
  </threadedComment>
  <threadedComment ref="B495" dT="2024-08-08T16:53:30.25" personId="{170B2AEC-B802-47B0-BF2A-C0835CFAD2EE}" id="{1B366960-7B09-4F21-903A-5C1537DFD9F5}">
    <text>New Agilant van driver</text>
  </threadedComment>
  <threadedComment ref="E524" dT="2025-06-03T20:04:55.46" personId="{170B2AEC-B802-47B0-BF2A-C0835CFAD2EE}" id="{D4587AF6-265B-4134-8B81-9ADA97446A00}">
    <text>White Plains Hospital Deliveries</text>
  </threadedComment>
  <threadedComment ref="J524" dT="2025-06-03T20:05:38.02" personId="{170B2AEC-B802-47B0-BF2A-C0835CFAD2EE}" id="{9763AC78-3C43-42F2-946A-3B236A4113E6}">
    <text>Only sent Abdul and Aatif, Aamir worked on monitor cardboard in warehouse for less than full day</text>
  </threadedComment>
  <threadedComment ref="T525" dT="2025-06-11T22:04:05.87" personId="{170B2AEC-B802-47B0-BF2A-C0835CFAD2EE}" id="{6D3C0771-3C67-45CB-ADD8-B47F728F4DD3}">
    <text>White Plains Hospital delivery in van, stayed to do cardboard</text>
  </threadedComment>
  <threadedComment ref="B530" dT="2024-08-08T16:53:30.25" personId="{170B2AEC-B802-47B0-BF2A-C0835CFAD2EE}" id="{80658687-EE39-4850-8766-BABD0566D6D2}">
    <text>New Agilant van driver</text>
  </threadedComment>
  <threadedComment ref="E559" dT="2025-06-11T21:57:45.82" personId="{170B2AEC-B802-47B0-BF2A-C0835CFAD2EE}" id="{C0AE04E1-9331-464D-8129-CCFBFC7685F3}">
    <text>Did pickup in Manhattan for other project, did a delivery in LI as well as crushed cardboard of monitors</text>
  </threadedComment>
  <threadedComment ref="J559" dT="2025-06-11T21:56:58.77" personId="{170B2AEC-B802-47B0-BF2A-C0835CFAD2EE}" id="{A01588FA-DB39-40EC-BD47-BFBCD64AE2CB}">
    <text>No Epic Monitor related activities, truck inspection/oil change/recall fix</text>
  </threadedComment>
  <threadedComment ref="Y559" dT="2025-06-16T16:39:58.90" personId="{170B2AEC-B802-47B0-BF2A-C0835CFAD2EE}" id="{E3AC0036-9B9B-4BF3-AC1F-FAB879174576}">
    <text>Abdul and Aatif were off this day</text>
  </threadedComment>
  <threadedComment ref="O560" dT="2025-06-11T21:58:45.48" personId="{170B2AEC-B802-47B0-BF2A-C0835CFAD2EE}" id="{CA8328F4-1E0A-459B-B768-B0292765F548}">
    <text>Aamir stayed and crushed cardboard, only some of it was from monitor project, others were from Epic Training Room project headed by Kevin Suarez</text>
  </threadedComment>
  <threadedComment ref="Y560" dT="2025-06-16T16:39:43.88" personId="{170B2AEC-B802-47B0-BF2A-C0835CFAD2EE}" id="{348E052A-D242-4FB1-85C9-1F3EBBCCF708}">
    <text>Aamir spent some of the day doing Akbar delivery</text>
  </threadedComment>
  <threadedComment ref="B565" dT="2024-08-08T16:53:30.25" personId="{170B2AEC-B802-47B0-BF2A-C0835CFAD2EE}" id="{7F9F7BEA-FAEC-40C2-A95B-BDBEB57DE694}">
    <text>New Agilant van driver</text>
  </threadedComment>
  <threadedComment ref="O594" dT="2025-06-20T15:46:24.88" personId="{170B2AEC-B802-47B0-BF2A-C0835CFAD2EE}" id="{271CCF08-74EF-4EC6-ACF3-1848A58E7A5E}">
    <text>Did Capsule/Cybernet delivery in MEETH and Epic Training Room things</text>
  </threadedComment>
  <threadedComment ref="T594" dT="2025-06-20T15:47:13.72" personId="{170B2AEC-B802-47B0-BF2A-C0835CFAD2EE}" id="{86BADA70-9F02-4B9E-83E5-96D5AA23588B}">
    <text>Epic Training Room things</text>
  </threadedComment>
  <threadedComment ref="J629" dT="2025-06-27T12:21:07.39" personId="{170B2AEC-B802-47B0-BF2A-C0835CFAD2EE}" id="{61FADD11-3749-4BAC-AC83-C982BB0EC0C1}">
    <text>Van used for delivery, not enough room for same day pickup so truck was sent after its other tasks</text>
  </threadedComment>
  <threadedComment ref="T664" dT="2025-07-07T20:26:11.12" personId="{170B2AEC-B802-47B0-BF2A-C0835CFAD2EE}" id="{1CC4D28A-7C00-4960-B7D7-DCB7B95CFE4F}">
    <text>Crushed cardboard</text>
  </threadedComment>
  <threadedComment ref="J675" dT="2025-07-07T20:28:17.76" personId="{170B2AEC-B802-47B0-BF2A-C0835CFAD2EE}" id="{25B8F3C1-C85B-46B4-BB62-63B2EE4D914F}">
    <text>NY Minute did Phelps delivery, our truck picked up</text>
  </threadedComment>
  <threadedComment ref="O1218" dT="2025-11-03T18:27:54.73" personId="{170B2AEC-B802-47B0-BF2A-C0835CFAD2EE}" id="{9DD04503-25CA-4378-BABA-3972F389A2A8}">
    <text>NY Minute</text>
  </threadedComment>
  <threadedComment ref="W1586" dT="2026-01-26T15:56:19.06" personId="{51F71FEA-15E0-4A3E-9922-DF989C9E2BB5}" id="{52EE3DBA-0933-4C1E-8933-E81B348CC130}" done="1">
    <text>Enter by Neha based on Paylocity report</text>
  </threadedComment>
  <threadedComment ref="J1936" dT="2026-03-18T15:33:48.77" personId="{170B2AEC-B802-47B0-BF2A-C0835CFAD2EE}" id="{644CCB63-476B-41B1-950D-50772139D4E2}">
    <text>ELM Warehouse</text>
  </threadedComment>
  <threadedComment ref="O1936" dT="2026-03-19T15:43:35.16" personId="{170B2AEC-B802-47B0-BF2A-C0835CFAD2EE}" id="{DEF5A0B7-9B97-46E1-AE14-125C094DCABA}">
    <text>For receiving and storage costs at ELM warehouse of 22 pallets</text>
  </threadedComment>
  <threadedComment ref="E2045" dT="2026-04-06T19:26:02.39" personId="{170B2AEC-B802-47B0-BF2A-C0835CFAD2EE}" id="{22153672-7DAA-4FB2-BE13-7ABD1B4C9725}">
    <text>All monitor hours for cardboard disposal this day</text>
  </threadedComment>
  <threadedComment ref="J2082" dT="2026-04-06T19:30:35.36" personId="{170B2AEC-B802-47B0-BF2A-C0835CFAD2EE}" id="{08ECEF53-CE9C-44FF-9584-9E83CB6D14DE}">
    <text>Cardboard</text>
  </threadedComment>
  <threadedComment ref="Y2082" dT="2026-04-14T22:24:49.00" personId="{170B2AEC-B802-47B0-BF2A-C0835CFAD2EE}" id="{DC6001B0-AC59-45EF-97EC-79C70D82B14A}">
    <text>Cardboard</text>
  </threadedComment>
  <threadedComment ref="Y2091" dT="2026-04-17T20:10:24.38" personId="{170B2AEC-B802-47B0-BF2A-C0835CFAD2EE}" id="{5165BF37-233F-49CD-957B-2F8CC1F9D142}">
    <text>ELM Monitor Storage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E11" dT="2024-04-22T16:28:58.87" personId="{170B2AEC-B802-47B0-BF2A-C0835CFAD2EE}" id="{5CBD8058-61DB-429D-A9F2-60F3D80BD986}">
    <text>On this day they mixed our shipment in with 2 other shipments and still charge full price after getting to SIUHS 3-4 hours later than expected.</text>
  </threadedComment>
  <threadedComment ref="G14" dT="2024-04-22T16:41:36.77" personId="{170B2AEC-B802-47B0-BF2A-C0835CFAD2EE}" id="{31D68C93-6CD2-4352-97B6-BEBE00571174}">
    <text>Total Hours 4/15/24</text>
  </threadedComment>
  <threadedComment ref="E17" dT="2024-04-22T16:34:11.37" personId="{170B2AEC-B802-47B0-BF2A-C0835CFAD2EE}" id="{ADD86388-1A84-4351-9B03-66C5FB898681}">
    <text>They didn't pick up on Thursday due to how late they arrived, Northwell took care of boxes. They sent a truck on Friday 4/19/24 thinking they needed to pick up but never informed me they never picked up boxes on Thursday 4/18/24.</text>
  </threadedComment>
  <threadedComment ref="G18" dT="2024-04-22T16:41:49.85" personId="{170B2AEC-B802-47B0-BF2A-C0835CFAD2EE}" id="{31115EB6-1CDE-4760-90D5-40A5A38DF04B}">
    <text>Total hours 4/18/24</text>
  </threadedComment>
  <threadedComment ref="E20" dT="2024-04-22T16:52:32.90" personId="{170B2AEC-B802-47B0-BF2A-C0835CFAD2EE}" id="{6DBEA6FE-D527-4C3B-A3E7-5ABE86A3ABE1}">
    <text>Marvin (Tate Support Group SO#167584)</text>
  </threadedComment>
  <threadedComment ref="E21" dT="2024-04-26T20:32:34.58" personId="{170B2AEC-B802-47B0-BF2A-C0835CFAD2EE}" id="{02C3AAAE-B3D3-4135-B2E8-9C82CA281CB3}">
    <text>Marvin</text>
  </threadedComment>
  <threadedComment ref="E21" dT="2024-04-29T13:44:24.69" personId="{170B2AEC-B802-47B0-BF2A-C0835CFAD2EE}" id="{1A5DC08C-C292-4453-B125-615DE9ED21A8}" parentId="{02C3AAAE-B3D3-4135-B2E8-9C82CA281CB3}">
    <text>SO# 167584</text>
  </threadedComment>
  <threadedComment ref="G24" dT="2024-04-22T16:41:49.85" personId="{170B2AEC-B802-47B0-BF2A-C0835CFAD2EE}" id="{D2471C7E-1A44-44F9-B546-57F6D46169C5}">
    <text>Total hours 4/18/24</text>
  </threadedComment>
  <threadedComment ref="E26" dT="2024-05-06T14:42:53.91" personId="{170B2AEC-B802-47B0-BF2A-C0835CFAD2EE}" id="{AD621E5D-BE75-492B-9A54-4B851ED6A3CF}">
    <text>NY Minute, extra $375 for destination outside of 5 buros</text>
  </threadedComment>
  <threadedComment ref="E27" dT="2024-05-13T22:16:13.49" personId="{170B2AEC-B802-47B0-BF2A-C0835CFAD2EE}" id="{12D2946C-B08D-4AF0-A05E-A058B1E0B0C6}">
    <text>Conservative Estimate, Yearly Lease fee divided by 240 work days plus fuel plus tolls, no maintenance/registration included</text>
  </threadedComment>
  <threadedComment ref="D29" dT="2024-05-14T16:14:28.39" personId="{170B2AEC-B802-47B0-BF2A-C0835CFAD2EE}" id="{96DA48F7-F425-4B2B-B08E-03CDB0C4FCA3}">
    <text>Actually delivered here, reduced price</text>
  </threadedComment>
  <threadedComment ref="A148" dT="2024-08-13T19:01:34.88" personId="{170B2AEC-B802-47B0-BF2A-C0835CFAD2EE}" id="{BD95CF6C-5B08-452E-A306-35CA5A3FFE55}">
    <text>Oil Change for truck on 8/8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5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7.xml"/><Relationship Id="rId4" Type="http://schemas.microsoft.com/office/2017/10/relationships/threadedComment" Target="../threadedComments/threadedComment2.xml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5.bin"/><Relationship Id="rId5" Type="http://schemas.microsoft.com/office/2017/10/relationships/threadedComment" Target="../threadedComments/threadedComment4.xml"/><Relationship Id="rId4" Type="http://schemas.openxmlformats.org/officeDocument/2006/relationships/comments" Target="../comments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drawing" Target="../drawings/drawing11.xml"/><Relationship Id="rId4" Type="http://schemas.microsoft.com/office/2017/10/relationships/threadedComment" Target="../threadedComments/threadedComment5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drawing" Target="../drawings/drawing13.xml"/><Relationship Id="rId4" Type="http://schemas.microsoft.com/office/2017/10/relationships/threadedComment" Target="../threadedComments/threadedComment6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3.vml"/><Relationship Id="rId4" Type="http://schemas.microsoft.com/office/2017/10/relationships/threadedComment" Target="../threadedComments/threadedComment7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drawing" Target="../drawings/drawing14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drawing" Target="../drawings/drawing15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.v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16.x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8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W878"/>
  <sheetViews>
    <sheetView topLeftCell="B486" zoomScaleNormal="100" workbookViewId="0">
      <pane xSplit="1" topLeftCell="C1" activePane="topRight" state="frozen"/>
      <selection pane="topRight" activeCell="B509" sqref="B509"/>
      <selection activeCell="B2" sqref="B2"/>
    </sheetView>
  </sheetViews>
  <sheetFormatPr defaultColWidth="9.42578125" defaultRowHeight="13.5"/>
  <cols>
    <col min="1" max="1" width="12.5703125" style="313" hidden="1" customWidth="1"/>
    <col min="2" max="2" width="31.5703125" style="313" customWidth="1"/>
    <col min="3" max="4" width="7.42578125" style="180" customWidth="1"/>
    <col min="5" max="6" width="6.42578125" style="374" customWidth="1"/>
    <col min="7" max="7" width="1" style="374" customWidth="1"/>
    <col min="8" max="9" width="6.42578125" style="180" customWidth="1"/>
    <col min="10" max="11" width="6.42578125" style="374" customWidth="1"/>
    <col min="12" max="12" width="1" style="374" customWidth="1"/>
    <col min="13" max="14" width="7.42578125" style="180" customWidth="1"/>
    <col min="15" max="16" width="6.42578125" style="374" customWidth="1"/>
    <col min="17" max="17" width="1" style="4" customWidth="1"/>
    <col min="18" max="19" width="7.42578125" style="180" customWidth="1"/>
    <col min="20" max="21" width="6.42578125" style="374" customWidth="1"/>
    <col min="22" max="22" width="1" style="4" customWidth="1"/>
    <col min="23" max="24" width="6.42578125" style="180" customWidth="1"/>
    <col min="25" max="26" width="6.42578125" style="374" customWidth="1"/>
    <col min="27" max="27" width="8.5703125" style="374" bestFit="1" customWidth="1"/>
    <col min="28" max="28" width="7.42578125" style="374" customWidth="1"/>
    <col min="29" max="29" width="1" style="374" customWidth="1"/>
    <col min="30" max="31" width="7.5703125" style="180" customWidth="1"/>
    <col min="32" max="32" width="6.42578125" style="180" customWidth="1"/>
    <col min="33" max="33" width="7.5703125" style="180" customWidth="1"/>
    <col min="34" max="34" width="2.42578125" style="4" customWidth="1"/>
    <col min="35" max="35" width="2.42578125" style="255" customWidth="1"/>
    <col min="36" max="36" width="1.42578125" style="180" customWidth="1"/>
    <col min="37" max="37" width="13.5703125" style="193" bestFit="1" customWidth="1"/>
    <col min="38" max="38" width="10.5703125" style="193" bestFit="1" customWidth="1"/>
    <col min="39" max="42" width="9.42578125" style="193"/>
    <col min="43" max="49" width="9.42578125" style="180"/>
    <col min="50" max="51" width="9.42578125" style="313"/>
    <col min="52" max="52" width="11.42578125" style="313" customWidth="1"/>
    <col min="53" max="16384" width="9.42578125" style="313"/>
  </cols>
  <sheetData>
    <row r="1" spans="1:42" s="180" customFormat="1" ht="33" customHeight="1">
      <c r="E1" s="4"/>
      <c r="F1" s="4"/>
      <c r="G1" s="4"/>
      <c r="J1" s="4"/>
      <c r="K1" s="4"/>
      <c r="L1" s="4"/>
      <c r="O1" s="4"/>
      <c r="P1" s="4"/>
      <c r="Q1" s="4"/>
      <c r="S1" s="1520" t="s">
        <v>0</v>
      </c>
      <c r="T1" s="1520"/>
      <c r="U1" s="1520"/>
      <c r="V1" s="1520"/>
      <c r="W1" s="1520"/>
      <c r="X1" s="1520"/>
      <c r="Y1" s="1520"/>
      <c r="Z1" s="1520"/>
      <c r="AA1" s="1520"/>
      <c r="AB1" s="1520"/>
      <c r="AC1" s="1520"/>
      <c r="AD1" s="1520"/>
      <c r="AE1" s="1520"/>
      <c r="AF1" s="1520"/>
      <c r="AG1" s="1520"/>
      <c r="AH1" s="4"/>
      <c r="AI1" s="255"/>
      <c r="AK1" s="1517" t="s">
        <v>1</v>
      </c>
      <c r="AL1" s="1517"/>
      <c r="AM1" s="1517"/>
      <c r="AN1" s="1517"/>
      <c r="AO1" s="1517"/>
      <c r="AP1" s="1517"/>
    </row>
    <row r="2" spans="1:42" s="180" customFormat="1" ht="13.5" customHeight="1">
      <c r="E2" s="4"/>
      <c r="F2" s="4"/>
      <c r="G2" s="4"/>
      <c r="J2" s="4"/>
      <c r="K2" s="4"/>
      <c r="L2" s="4"/>
      <c r="O2" s="4"/>
      <c r="P2" s="4"/>
      <c r="Q2" s="4"/>
      <c r="S2" s="258"/>
      <c r="T2" s="258"/>
      <c r="U2" s="4"/>
      <c r="V2" s="258"/>
      <c r="W2" s="258"/>
      <c r="X2" s="258"/>
      <c r="Y2" s="258" t="s">
        <v>2</v>
      </c>
      <c r="Z2" s="4"/>
      <c r="AA2" s="260">
        <v>18000</v>
      </c>
      <c r="AB2" s="4"/>
      <c r="AC2" s="258"/>
      <c r="AD2" s="266" t="s">
        <v>3</v>
      </c>
      <c r="AE2" s="262">
        <f>AA2-(AA5+AE5)</f>
        <v>948.5</v>
      </c>
      <c r="AF2" s="262"/>
      <c r="AH2" s="4"/>
      <c r="AI2" s="255"/>
      <c r="AK2" s="1521" t="s">
        <v>4</v>
      </c>
      <c r="AL2" s="1521"/>
      <c r="AM2" s="1521"/>
      <c r="AN2" s="1521"/>
      <c r="AO2" s="1521"/>
      <c r="AP2" s="1521"/>
    </row>
    <row r="3" spans="1:42" s="180" customFormat="1" ht="13.5" customHeight="1">
      <c r="E3" s="4"/>
      <c r="F3" s="4"/>
      <c r="G3" s="4"/>
      <c r="J3" s="4"/>
      <c r="K3" s="4"/>
      <c r="L3" s="4"/>
      <c r="O3" s="4"/>
      <c r="P3" s="4"/>
      <c r="Q3" s="4"/>
      <c r="S3" s="258"/>
      <c r="T3" s="258"/>
      <c r="U3" s="4"/>
      <c r="V3" s="258"/>
      <c r="W3" s="258"/>
      <c r="X3" s="258"/>
      <c r="Y3" s="258" t="s">
        <v>5</v>
      </c>
      <c r="Z3" s="4"/>
      <c r="AA3" s="261">
        <v>1440</v>
      </c>
      <c r="AB3" s="4"/>
      <c r="AC3" s="258"/>
      <c r="AD3" s="266" t="s">
        <v>3</v>
      </c>
      <c r="AE3" s="263">
        <f>AA3-(AA6+AE6)</f>
        <v>-224.5</v>
      </c>
      <c r="AH3" s="4"/>
      <c r="AI3" s="255"/>
      <c r="AK3" s="192" t="s">
        <v>6</v>
      </c>
      <c r="AL3" s="193"/>
      <c r="AM3" s="193"/>
      <c r="AN3" s="193"/>
      <c r="AO3" s="193"/>
      <c r="AP3" s="193"/>
    </row>
    <row r="4" spans="1:42" s="180" customFormat="1" ht="13.5" customHeight="1">
      <c r="E4" s="4"/>
      <c r="F4" s="4"/>
      <c r="G4" s="4"/>
      <c r="J4" s="4"/>
      <c r="K4" s="4"/>
      <c r="L4" s="4"/>
      <c r="O4" s="4"/>
      <c r="P4" s="4"/>
      <c r="Q4" s="4"/>
      <c r="S4" s="258"/>
      <c r="T4" s="258"/>
      <c r="U4" s="4"/>
      <c r="V4" s="258"/>
      <c r="W4" s="258"/>
      <c r="X4" s="258"/>
      <c r="Y4" s="258" t="s">
        <v>7</v>
      </c>
      <c r="Z4" s="4"/>
      <c r="AA4" s="260">
        <v>2250</v>
      </c>
      <c r="AB4" s="4"/>
      <c r="AC4" s="258"/>
      <c r="AD4" s="266" t="s">
        <v>3</v>
      </c>
      <c r="AE4" s="262">
        <f>AA4-AA7</f>
        <v>399</v>
      </c>
      <c r="AH4" s="4"/>
      <c r="AI4" s="255"/>
      <c r="AK4" s="193" t="s">
        <v>8</v>
      </c>
      <c r="AL4" s="193"/>
      <c r="AM4" s="193"/>
      <c r="AN4" s="193"/>
      <c r="AO4" s="193"/>
      <c r="AP4" s="193"/>
    </row>
    <row r="5" spans="1:42" s="180" customFormat="1" ht="13.5" customHeight="1">
      <c r="E5" s="4"/>
      <c r="F5" s="4"/>
      <c r="G5" s="4"/>
      <c r="J5" s="4"/>
      <c r="K5" s="4"/>
      <c r="L5" s="4"/>
      <c r="O5" s="4"/>
      <c r="P5" s="263"/>
      <c r="Q5" s="4"/>
      <c r="S5" s="258"/>
      <c r="T5" s="258"/>
      <c r="U5" s="4"/>
      <c r="V5" s="258"/>
      <c r="W5" s="258"/>
      <c r="Y5" s="258" t="s">
        <v>9</v>
      </c>
      <c r="Z5" s="4"/>
      <c r="AA5" s="265">
        <f>AA39+AA78+AA117+AA157+AA198+AA238+AA277+AA316+AA354+AA392+AA430+AA468+AA516+A559+AA604+AA648+AA692+AA559+AA737+AA782+AA828+AA871</f>
        <v>15477.5</v>
      </c>
      <c r="AB5" s="4"/>
      <c r="AD5" s="264" t="s">
        <v>10</v>
      </c>
      <c r="AE5" s="263">
        <f>((AB39+AG39+AB78+AG78+AG157+AB117+AG117+AB157+AB198+AG198+AB238+AG238+AG277+AB277+AG316+AB316+AB354+AG354+AB392+AG392+AB430+AG430+AB468+AG468+AB468+AG505+AB516+AB559+AG559+AB604+AG604+AB648+AG648+AB692+AG692+AB737+AG737+AB782+AG782+AB828+AG828+AB871+AG871)*(1.5))+(AG516*2)</f>
        <v>1574</v>
      </c>
      <c r="AH5" s="4"/>
      <c r="AI5" s="255"/>
      <c r="AK5" s="193" t="s">
        <v>11</v>
      </c>
      <c r="AL5" s="193"/>
      <c r="AM5" s="193"/>
      <c r="AN5" s="193"/>
      <c r="AO5" s="193"/>
      <c r="AP5" s="193"/>
    </row>
    <row r="6" spans="1:42" s="180" customFormat="1" ht="13.5" customHeight="1">
      <c r="E6" s="4"/>
      <c r="F6" s="4"/>
      <c r="G6" s="4"/>
      <c r="J6" s="4"/>
      <c r="K6" s="4"/>
      <c r="L6" s="4"/>
      <c r="O6" s="4"/>
      <c r="P6" s="4"/>
      <c r="Q6" s="4"/>
      <c r="S6" s="258"/>
      <c r="U6" s="4"/>
      <c r="V6" s="258"/>
      <c r="Y6" s="258" t="s">
        <v>12</v>
      </c>
      <c r="Z6" s="4"/>
      <c r="AA6" s="265">
        <f>AA44+AA83+AA122+AA162+AA202+AA242+AA281+AA320+AA358+AA395+AA432+AA470+AA519+AA562+AA607+AA651+AA695+AA740+AA785+AA831+AA874</f>
        <v>1354.5</v>
      </c>
      <c r="AB6" s="4"/>
      <c r="AD6" s="264" t="s">
        <v>13</v>
      </c>
      <c r="AE6" s="263">
        <f>((AB44+AG44+AB83+AG83+AB122+AG122+AB162+AG162+AG202+AB202+AB242+AG242+AG281+AG320+AB281+AB320+AB358+AG358+AB395+AG395+AB432+AG432+AB470+AG470+AB562+AB519+AG518+AG562+AB607+AG607+AB651+AG651+AB695+AG695+AB740+AG740+AB785+AG785+AB831+AG831+AB874+AG874)*(1.5)+((AG517)*2))</f>
        <v>310</v>
      </c>
      <c r="AH6" s="4"/>
      <c r="AI6" s="255"/>
      <c r="AK6" s="310" t="s">
        <v>14</v>
      </c>
      <c r="AL6" s="193"/>
      <c r="AM6" s="193"/>
      <c r="AN6" s="193"/>
      <c r="AO6" s="193"/>
      <c r="AP6" s="193"/>
    </row>
    <row r="7" spans="1:42" s="180" customFormat="1" ht="13.5" customHeight="1">
      <c r="E7" s="4"/>
      <c r="F7" s="4"/>
      <c r="G7" s="4"/>
      <c r="J7" s="4"/>
      <c r="K7" s="4"/>
      <c r="L7" s="4"/>
      <c r="O7" s="4"/>
      <c r="P7" s="4"/>
      <c r="Q7" s="4"/>
      <c r="S7" s="258"/>
      <c r="U7" s="4"/>
      <c r="V7" s="258"/>
      <c r="Y7" s="258" t="s">
        <v>15</v>
      </c>
      <c r="Z7" s="4"/>
      <c r="AA7" s="265">
        <f>C45+C84+C123+C163+C203+C243+C282+C321+C359+C396+C433+C471+C520+C563+C608+C652+C696+C741+C786+C832+C875</f>
        <v>1851</v>
      </c>
      <c r="AB7" s="4"/>
      <c r="AE7" s="259"/>
      <c r="AH7" s="4"/>
      <c r="AI7" s="255"/>
      <c r="AK7" s="202" t="s">
        <v>16</v>
      </c>
      <c r="AL7" s="193"/>
      <c r="AM7" s="193"/>
      <c r="AN7" s="193"/>
      <c r="AO7" s="193"/>
      <c r="AP7" s="193"/>
    </row>
    <row r="8" spans="1:42" s="180" customFormat="1" ht="13.5" customHeight="1">
      <c r="E8" s="4"/>
      <c r="F8" s="4"/>
      <c r="G8" s="4"/>
      <c r="J8" s="4"/>
      <c r="K8" s="4"/>
      <c r="L8" s="4"/>
      <c r="O8" s="4"/>
      <c r="P8" s="4"/>
      <c r="Q8" s="4"/>
      <c r="S8" s="258"/>
      <c r="U8" s="4"/>
      <c r="V8" s="258"/>
      <c r="Z8" s="4"/>
      <c r="AA8" s="435"/>
      <c r="AB8" s="4"/>
      <c r="AH8" s="4"/>
      <c r="AI8" s="255"/>
      <c r="AK8" s="203" t="s">
        <v>17</v>
      </c>
      <c r="AL8" s="193"/>
      <c r="AM8" s="193"/>
      <c r="AN8" s="193"/>
      <c r="AO8" s="193"/>
      <c r="AP8" s="193"/>
    </row>
    <row r="9" spans="1:42" s="180" customFormat="1" ht="6.75" customHeight="1">
      <c r="E9" s="4"/>
      <c r="F9" s="4"/>
      <c r="G9" s="4"/>
      <c r="J9" s="4"/>
      <c r="K9" s="4"/>
      <c r="L9" s="4"/>
      <c r="O9" s="4"/>
      <c r="P9" s="4"/>
      <c r="Q9" s="4"/>
      <c r="S9" s="258"/>
      <c r="T9" s="258"/>
      <c r="U9" s="4"/>
      <c r="V9" s="258"/>
      <c r="X9" s="258"/>
      <c r="Y9" s="258"/>
      <c r="Z9" s="4"/>
      <c r="AA9" s="362"/>
      <c r="AB9" s="4"/>
      <c r="AC9" s="258"/>
      <c r="AD9" s="363"/>
      <c r="AG9" s="259"/>
      <c r="AH9" s="4"/>
      <c r="AI9" s="255"/>
      <c r="AK9" s="193"/>
      <c r="AL9" s="193"/>
      <c r="AM9" s="193"/>
      <c r="AN9" s="193"/>
      <c r="AO9" s="193"/>
      <c r="AP9" s="193"/>
    </row>
    <row r="10" spans="1:42" s="193" customFormat="1">
      <c r="A10" s="224"/>
      <c r="B10" s="214"/>
      <c r="C10" s="364"/>
      <c r="D10" s="364"/>
      <c r="E10" s="214"/>
      <c r="F10" s="214"/>
      <c r="G10" s="364"/>
      <c r="H10" s="214"/>
      <c r="I10" s="214"/>
      <c r="J10" s="214"/>
      <c r="K10" s="214"/>
      <c r="L10" s="364"/>
      <c r="M10" s="364"/>
      <c r="N10" s="364"/>
      <c r="O10" s="364"/>
      <c r="P10" s="214"/>
      <c r="Q10" s="364"/>
      <c r="R10" s="364"/>
      <c r="S10" s="364"/>
      <c r="T10" s="364"/>
      <c r="U10" s="214"/>
      <c r="V10" s="364"/>
      <c r="W10" s="364"/>
      <c r="X10" s="364"/>
      <c r="Y10" s="216"/>
      <c r="Z10" s="214"/>
      <c r="AA10" s="225"/>
      <c r="AB10" s="214"/>
      <c r="AC10" s="189"/>
      <c r="AH10" s="4"/>
      <c r="AI10" s="255"/>
      <c r="AJ10" s="180"/>
    </row>
    <row r="11" spans="1:42" s="180" customFormat="1" ht="13.5" customHeight="1">
      <c r="B11" s="1518" t="s">
        <v>18</v>
      </c>
      <c r="C11" s="1519">
        <v>45173</v>
      </c>
      <c r="D11" s="1519"/>
      <c r="E11" s="1519"/>
      <c r="F11" s="1519"/>
      <c r="G11" s="365"/>
      <c r="H11" s="1519">
        <v>45174</v>
      </c>
      <c r="I11" s="1519"/>
      <c r="J11" s="1519"/>
      <c r="K11" s="1519"/>
      <c r="L11" s="365"/>
      <c r="M11" s="1519">
        <v>45175</v>
      </c>
      <c r="N11" s="1519"/>
      <c r="O11" s="1519"/>
      <c r="P11" s="1519"/>
      <c r="Q11" s="365"/>
      <c r="R11" s="1519">
        <v>45176</v>
      </c>
      <c r="S11" s="1519"/>
      <c r="T11" s="1519"/>
      <c r="U11" s="1519"/>
      <c r="V11" s="365"/>
      <c r="W11" s="1519">
        <v>45177</v>
      </c>
      <c r="X11" s="1519"/>
      <c r="Y11" s="1519"/>
      <c r="Z11" s="1519"/>
      <c r="AA11" s="1517" t="s">
        <v>19</v>
      </c>
      <c r="AB11" s="1517" t="s">
        <v>20</v>
      </c>
      <c r="AC11" s="4"/>
      <c r="AD11" s="1519">
        <v>45178</v>
      </c>
      <c r="AE11" s="1519"/>
      <c r="AF11" s="1519"/>
      <c r="AG11" s="1517" t="s">
        <v>21</v>
      </c>
      <c r="AH11" s="4"/>
      <c r="AI11" s="255"/>
      <c r="AK11" s="194" t="s">
        <v>22</v>
      </c>
      <c r="AL11" s="366"/>
      <c r="AM11" s="366"/>
      <c r="AN11" s="366"/>
      <c r="AO11" s="366"/>
      <c r="AP11" s="366"/>
    </row>
    <row r="12" spans="1:42" s="367" customFormat="1">
      <c r="B12" s="1518"/>
      <c r="C12" s="21" t="s">
        <v>23</v>
      </c>
      <c r="D12" s="21" t="s">
        <v>24</v>
      </c>
      <c r="E12" s="205" t="s">
        <v>25</v>
      </c>
      <c r="F12" s="18" t="s">
        <v>14</v>
      </c>
      <c r="G12" s="4"/>
      <c r="H12" s="21" t="s">
        <v>23</v>
      </c>
      <c r="I12" s="21" t="s">
        <v>24</v>
      </c>
      <c r="J12" s="18" t="s">
        <v>25</v>
      </c>
      <c r="K12" s="18" t="s">
        <v>14</v>
      </c>
      <c r="L12" s="4"/>
      <c r="M12" s="21" t="s">
        <v>23</v>
      </c>
      <c r="N12" s="21" t="s">
        <v>24</v>
      </c>
      <c r="O12" s="18" t="s">
        <v>25</v>
      </c>
      <c r="P12" s="18" t="s">
        <v>14</v>
      </c>
      <c r="Q12" s="4"/>
      <c r="R12" s="21" t="s">
        <v>23</v>
      </c>
      <c r="S12" s="21" t="s">
        <v>24</v>
      </c>
      <c r="T12" s="18" t="s">
        <v>25</v>
      </c>
      <c r="U12" s="18" t="s">
        <v>14</v>
      </c>
      <c r="V12" s="4"/>
      <c r="W12" s="21" t="s">
        <v>23</v>
      </c>
      <c r="X12" s="21" t="s">
        <v>24</v>
      </c>
      <c r="Y12" s="18" t="s">
        <v>25</v>
      </c>
      <c r="Z12" s="18" t="s">
        <v>14</v>
      </c>
      <c r="AA12" s="1517"/>
      <c r="AB12" s="1517"/>
      <c r="AC12" s="4"/>
      <c r="AD12" s="21" t="s">
        <v>23</v>
      </c>
      <c r="AE12" s="21" t="s">
        <v>24</v>
      </c>
      <c r="AF12" s="18" t="s">
        <v>25</v>
      </c>
      <c r="AG12" s="1517"/>
      <c r="AH12" s="175"/>
      <c r="AI12" s="368"/>
      <c r="AK12" s="188" t="s">
        <v>26</v>
      </c>
      <c r="AL12" s="389">
        <f>AA39</f>
        <v>646</v>
      </c>
      <c r="AM12" s="193"/>
      <c r="AN12" s="193"/>
      <c r="AO12" s="193"/>
      <c r="AP12" s="193"/>
    </row>
    <row r="13" spans="1:42" s="367" customFormat="1">
      <c r="B13" s="171" t="s">
        <v>27</v>
      </c>
      <c r="C13" s="1522" t="s">
        <v>28</v>
      </c>
      <c r="D13" s="1522"/>
      <c r="E13" s="1522"/>
      <c r="F13" s="277"/>
      <c r="G13" s="175"/>
      <c r="H13" s="172" t="s">
        <v>29</v>
      </c>
      <c r="I13" s="354" t="s">
        <v>29</v>
      </c>
      <c r="J13" s="173">
        <v>8</v>
      </c>
      <c r="K13" s="277"/>
      <c r="L13" s="175"/>
      <c r="M13" s="355">
        <v>0.34375</v>
      </c>
      <c r="N13" s="355">
        <v>0.20833333333333334</v>
      </c>
      <c r="O13" s="173">
        <v>7.75</v>
      </c>
      <c r="P13" s="277"/>
      <c r="Q13" s="175"/>
      <c r="R13" s="354" t="s">
        <v>29</v>
      </c>
      <c r="S13" s="354" t="s">
        <v>29</v>
      </c>
      <c r="T13" s="173">
        <v>8</v>
      </c>
      <c r="U13" s="277"/>
      <c r="V13" s="175"/>
      <c r="W13" s="172">
        <v>0</v>
      </c>
      <c r="X13" s="172">
        <v>0</v>
      </c>
      <c r="Y13" s="173">
        <v>0</v>
      </c>
      <c r="Z13" s="277"/>
      <c r="AA13" s="28">
        <f t="shared" ref="AA13:AA34" si="0">(E13+J13+O13+T13+Y13)</f>
        <v>23.75</v>
      </c>
      <c r="AB13" s="298">
        <f t="shared" ref="AB13:AB38" si="1">Z13+U13+P13+K13+F13</f>
        <v>0</v>
      </c>
      <c r="AC13" s="175"/>
      <c r="AD13" s="175">
        <v>0</v>
      </c>
      <c r="AE13" s="175">
        <v>0</v>
      </c>
      <c r="AF13" s="173">
        <v>0</v>
      </c>
      <c r="AG13" s="28">
        <f t="shared" ref="AG13:AG30" si="2">AF13</f>
        <v>0</v>
      </c>
      <c r="AH13" s="175"/>
      <c r="AI13" s="368"/>
      <c r="AK13" s="188" t="s">
        <v>30</v>
      </c>
      <c r="AL13" s="389">
        <f>AB39</f>
        <v>8.5</v>
      </c>
      <c r="AM13" s="193"/>
      <c r="AN13" s="193"/>
      <c r="AO13" s="193"/>
      <c r="AP13" s="193"/>
    </row>
    <row r="14" spans="1:42" s="367" customFormat="1">
      <c r="B14" s="171" t="s">
        <v>31</v>
      </c>
      <c r="C14" s="1522"/>
      <c r="D14" s="1522"/>
      <c r="E14" s="1522"/>
      <c r="F14" s="277"/>
      <c r="G14" s="175"/>
      <c r="H14" s="172">
        <v>0.33333333333333331</v>
      </c>
      <c r="I14" s="172">
        <v>0.20833333333333334</v>
      </c>
      <c r="J14" s="173">
        <v>8</v>
      </c>
      <c r="K14" s="277"/>
      <c r="L14" s="175"/>
      <c r="M14" s="172">
        <v>0.34375</v>
      </c>
      <c r="N14" s="355">
        <v>0.20833333333333334</v>
      </c>
      <c r="O14" s="173">
        <v>7.75</v>
      </c>
      <c r="P14" s="277"/>
      <c r="Q14" s="175"/>
      <c r="R14" s="172">
        <v>0.34375</v>
      </c>
      <c r="S14" s="172">
        <v>0.20833333333333334</v>
      </c>
      <c r="T14" s="173">
        <v>7.75</v>
      </c>
      <c r="U14" s="277"/>
      <c r="V14" s="175"/>
      <c r="W14" s="172">
        <v>0.33333333333333331</v>
      </c>
      <c r="X14" s="172">
        <v>0.20833333333333334</v>
      </c>
      <c r="Y14" s="173">
        <v>8</v>
      </c>
      <c r="Z14" s="277"/>
      <c r="AA14" s="28">
        <f t="shared" si="0"/>
        <v>31.5</v>
      </c>
      <c r="AB14" s="298">
        <f t="shared" si="1"/>
        <v>0</v>
      </c>
      <c r="AC14" s="175"/>
      <c r="AD14" s="175">
        <v>0</v>
      </c>
      <c r="AE14" s="175">
        <v>0</v>
      </c>
      <c r="AF14" s="173">
        <v>0</v>
      </c>
      <c r="AG14" s="28">
        <f t="shared" si="2"/>
        <v>0</v>
      </c>
      <c r="AH14" s="175"/>
      <c r="AI14" s="368"/>
      <c r="AK14" s="188" t="s">
        <v>32</v>
      </c>
      <c r="AL14" s="196">
        <f>AG39</f>
        <v>0</v>
      </c>
      <c r="AM14" s="193"/>
      <c r="AN14" s="193"/>
      <c r="AO14" s="193"/>
      <c r="AP14" s="193"/>
    </row>
    <row r="15" spans="1:42" s="367" customFormat="1">
      <c r="B15" s="171" t="s">
        <v>33</v>
      </c>
      <c r="C15" s="1522"/>
      <c r="D15" s="1522"/>
      <c r="E15" s="1522"/>
      <c r="F15" s="277"/>
      <c r="G15" s="175"/>
      <c r="H15" s="172">
        <v>0.375</v>
      </c>
      <c r="I15" s="172">
        <v>0.20833333333333334</v>
      </c>
      <c r="J15" s="173">
        <v>7</v>
      </c>
      <c r="K15" s="277"/>
      <c r="L15" s="175"/>
      <c r="M15" s="172">
        <v>0.375</v>
      </c>
      <c r="N15" s="355">
        <v>0.20833333333333334</v>
      </c>
      <c r="O15" s="173">
        <v>7</v>
      </c>
      <c r="P15" s="277"/>
      <c r="Q15" s="175"/>
      <c r="R15" s="172">
        <v>0.35416666666666669</v>
      </c>
      <c r="S15" s="172">
        <v>0.20833333333333334</v>
      </c>
      <c r="T15" s="173">
        <v>7.5</v>
      </c>
      <c r="U15" s="277"/>
      <c r="V15" s="175"/>
      <c r="W15" s="172">
        <v>0.35416666666666669</v>
      </c>
      <c r="X15" s="172">
        <v>0.20833333333333334</v>
      </c>
      <c r="Y15" s="173">
        <v>7.5</v>
      </c>
      <c r="Z15" s="277"/>
      <c r="AA15" s="28">
        <f t="shared" si="0"/>
        <v>29</v>
      </c>
      <c r="AB15" s="298">
        <f t="shared" si="1"/>
        <v>0</v>
      </c>
      <c r="AC15" s="175"/>
      <c r="AD15" s="175">
        <v>0</v>
      </c>
      <c r="AE15" s="175">
        <v>0</v>
      </c>
      <c r="AF15" s="173">
        <v>0</v>
      </c>
      <c r="AG15" s="28">
        <f t="shared" si="2"/>
        <v>0</v>
      </c>
      <c r="AH15" s="175"/>
      <c r="AI15" s="368"/>
      <c r="AK15" s="188" t="s">
        <v>34</v>
      </c>
      <c r="AL15" s="389">
        <f>AA44</f>
        <v>80</v>
      </c>
      <c r="AM15" s="193"/>
      <c r="AN15" s="193"/>
      <c r="AO15" s="193"/>
      <c r="AP15" s="193"/>
    </row>
    <row r="16" spans="1:42" s="180" customFormat="1">
      <c r="B16" s="13" t="s">
        <v>35</v>
      </c>
      <c r="C16" s="1522"/>
      <c r="D16" s="1522"/>
      <c r="E16" s="1522"/>
      <c r="F16" s="277"/>
      <c r="G16" s="175"/>
      <c r="H16" s="47">
        <v>0.29166666666666669</v>
      </c>
      <c r="I16" s="47">
        <v>0.20833333333333334</v>
      </c>
      <c r="J16" s="319">
        <v>9</v>
      </c>
      <c r="K16" s="277">
        <v>1</v>
      </c>
      <c r="L16" s="175"/>
      <c r="M16" s="47">
        <v>0.34375</v>
      </c>
      <c r="N16" s="16">
        <v>0.20833333333333334</v>
      </c>
      <c r="O16" s="319">
        <v>7.75</v>
      </c>
      <c r="P16" s="277"/>
      <c r="Q16" s="175"/>
      <c r="R16" s="47">
        <v>0.33333333333333331</v>
      </c>
      <c r="S16" s="47">
        <v>0.20833333333333334</v>
      </c>
      <c r="T16" s="319">
        <v>8</v>
      </c>
      <c r="U16" s="277"/>
      <c r="V16" s="175"/>
      <c r="W16" s="47">
        <v>0.3125</v>
      </c>
      <c r="X16" s="47">
        <v>0.20833333333333334</v>
      </c>
      <c r="Y16" s="319">
        <v>8.5</v>
      </c>
      <c r="Z16" s="277">
        <v>0.5</v>
      </c>
      <c r="AA16" s="344">
        <f t="shared" si="0"/>
        <v>33.25</v>
      </c>
      <c r="AB16" s="298">
        <f t="shared" si="1"/>
        <v>1.5</v>
      </c>
      <c r="AC16" s="175"/>
      <c r="AD16" s="345">
        <v>0</v>
      </c>
      <c r="AE16" s="345">
        <v>0</v>
      </c>
      <c r="AF16" s="346">
        <v>0</v>
      </c>
      <c r="AG16" s="344">
        <f t="shared" si="2"/>
        <v>0</v>
      </c>
      <c r="AH16" s="4"/>
      <c r="AI16" s="255"/>
      <c r="AK16" s="188" t="s">
        <v>36</v>
      </c>
      <c r="AL16" s="196">
        <f>AB44</f>
        <v>0</v>
      </c>
      <c r="AM16" s="193"/>
      <c r="AN16" s="193"/>
      <c r="AO16" s="193"/>
      <c r="AP16" s="193"/>
    </row>
    <row r="17" spans="2:42" s="367" customFormat="1">
      <c r="B17" s="13" t="s">
        <v>37</v>
      </c>
      <c r="C17" s="1522"/>
      <c r="D17" s="1522"/>
      <c r="E17" s="1522"/>
      <c r="F17" s="277"/>
      <c r="G17" s="175"/>
      <c r="H17" s="47">
        <v>0.33333333333333331</v>
      </c>
      <c r="I17" s="47">
        <v>0.20833333333333334</v>
      </c>
      <c r="J17" s="319">
        <v>8</v>
      </c>
      <c r="K17" s="277"/>
      <c r="L17" s="175"/>
      <c r="M17" s="47">
        <v>0.33333333333333331</v>
      </c>
      <c r="N17" s="16">
        <v>0.20833333333333334</v>
      </c>
      <c r="O17" s="319">
        <v>8</v>
      </c>
      <c r="P17" s="277"/>
      <c r="Q17" s="175"/>
      <c r="R17" s="47">
        <v>0.35416666666666669</v>
      </c>
      <c r="S17" s="47">
        <v>0.20833333333333334</v>
      </c>
      <c r="T17" s="319">
        <v>7.5</v>
      </c>
      <c r="U17" s="277"/>
      <c r="V17" s="175"/>
      <c r="W17" s="47">
        <v>0.34375</v>
      </c>
      <c r="X17" s="47">
        <v>0.20833333333333334</v>
      </c>
      <c r="Y17" s="319">
        <v>7.75</v>
      </c>
      <c r="Z17" s="277"/>
      <c r="AA17" s="344">
        <f t="shared" si="0"/>
        <v>31.25</v>
      </c>
      <c r="AB17" s="298">
        <f t="shared" si="1"/>
        <v>0</v>
      </c>
      <c r="AC17" s="175"/>
      <c r="AD17" s="345">
        <v>0</v>
      </c>
      <c r="AE17" s="345">
        <v>0</v>
      </c>
      <c r="AF17" s="346">
        <v>0</v>
      </c>
      <c r="AG17" s="344">
        <f t="shared" si="2"/>
        <v>0</v>
      </c>
      <c r="AH17" s="175"/>
      <c r="AI17" s="368"/>
      <c r="AK17" s="188" t="s">
        <v>38</v>
      </c>
      <c r="AL17" s="196">
        <f>AG44</f>
        <v>0</v>
      </c>
      <c r="AM17" s="193"/>
      <c r="AN17" s="193"/>
      <c r="AO17" s="193"/>
      <c r="AP17" s="193"/>
    </row>
    <row r="18" spans="2:42" s="180" customFormat="1">
      <c r="B18" s="13" t="s">
        <v>39</v>
      </c>
      <c r="C18" s="1522"/>
      <c r="D18" s="1522"/>
      <c r="E18" s="1522"/>
      <c r="F18" s="277"/>
      <c r="G18" s="4"/>
      <c r="H18" s="47">
        <v>0.36458333333333331</v>
      </c>
      <c r="I18" s="47">
        <v>0.20833333333333334</v>
      </c>
      <c r="J18" s="319">
        <v>7.25</v>
      </c>
      <c r="K18" s="277"/>
      <c r="L18" s="4"/>
      <c r="M18" s="47">
        <v>0.39583333333333331</v>
      </c>
      <c r="N18" s="16">
        <v>0.20833333333333334</v>
      </c>
      <c r="O18" s="319">
        <v>6.5</v>
      </c>
      <c r="P18" s="277"/>
      <c r="Q18" s="4"/>
      <c r="R18" s="12">
        <v>0</v>
      </c>
      <c r="S18" s="12">
        <v>0</v>
      </c>
      <c r="T18" s="319">
        <v>0</v>
      </c>
      <c r="U18" s="277"/>
      <c r="V18" s="4"/>
      <c r="W18" s="47">
        <v>0.36458333333333331</v>
      </c>
      <c r="X18" s="47">
        <v>0.20833333333333334</v>
      </c>
      <c r="Y18" s="319">
        <v>7.25</v>
      </c>
      <c r="Z18" s="277"/>
      <c r="AA18" s="29">
        <f t="shared" si="0"/>
        <v>21</v>
      </c>
      <c r="AB18" s="298">
        <f t="shared" si="1"/>
        <v>0</v>
      </c>
      <c r="AC18" s="4"/>
      <c r="AD18" s="4">
        <v>0</v>
      </c>
      <c r="AE18" s="4">
        <v>0</v>
      </c>
      <c r="AF18" s="19">
        <v>0</v>
      </c>
      <c r="AG18" s="29">
        <f t="shared" si="2"/>
        <v>0</v>
      </c>
      <c r="AH18" s="4"/>
      <c r="AI18" s="255"/>
      <c r="AK18" s="188" t="s">
        <v>32</v>
      </c>
      <c r="AL18" s="196">
        <f>AG39</f>
        <v>0</v>
      </c>
      <c r="AM18" s="369"/>
      <c r="AN18" s="369"/>
      <c r="AO18" s="369"/>
      <c r="AP18" s="369"/>
    </row>
    <row r="19" spans="2:42" s="180" customFormat="1">
      <c r="B19" s="164" t="s">
        <v>40</v>
      </c>
      <c r="C19" s="1522"/>
      <c r="D19" s="1522"/>
      <c r="E19" s="1522"/>
      <c r="F19" s="277"/>
      <c r="G19" s="4"/>
      <c r="H19" s="47">
        <v>0.34375</v>
      </c>
      <c r="I19" s="47">
        <v>0.20833333333333334</v>
      </c>
      <c r="J19" s="319">
        <v>7.75</v>
      </c>
      <c r="K19" s="277"/>
      <c r="L19" s="4"/>
      <c r="M19" s="47">
        <v>0.34375</v>
      </c>
      <c r="N19" s="16">
        <v>0.20833333333333334</v>
      </c>
      <c r="O19" s="319">
        <v>7.75</v>
      </c>
      <c r="P19" s="277"/>
      <c r="Q19" s="4"/>
      <c r="R19" s="47">
        <v>0.375</v>
      </c>
      <c r="S19" s="47">
        <v>0.20833333333333334</v>
      </c>
      <c r="T19" s="319">
        <v>7</v>
      </c>
      <c r="U19" s="277"/>
      <c r="V19" s="4"/>
      <c r="W19" s="47">
        <v>0.36458333333333331</v>
      </c>
      <c r="X19" s="47">
        <v>0.20833333333333334</v>
      </c>
      <c r="Y19" s="319">
        <v>7.25</v>
      </c>
      <c r="Z19" s="277"/>
      <c r="AA19" s="29">
        <f t="shared" si="0"/>
        <v>29.75</v>
      </c>
      <c r="AB19" s="298">
        <f t="shared" si="1"/>
        <v>0</v>
      </c>
      <c r="AC19" s="4"/>
      <c r="AD19" s="4">
        <v>0</v>
      </c>
      <c r="AE19" s="4">
        <v>0</v>
      </c>
      <c r="AF19" s="19">
        <v>0</v>
      </c>
      <c r="AG19" s="29">
        <f t="shared" si="2"/>
        <v>0</v>
      </c>
      <c r="AH19" s="4"/>
      <c r="AI19" s="255"/>
      <c r="AK19" s="188" t="s">
        <v>41</v>
      </c>
      <c r="AL19" s="388">
        <f>C45</f>
        <v>79</v>
      </c>
      <c r="AM19" s="193"/>
      <c r="AN19" s="193"/>
      <c r="AO19" s="193"/>
      <c r="AP19" s="193"/>
    </row>
    <row r="20" spans="2:42" s="180" customFormat="1">
      <c r="B20" s="164" t="s">
        <v>42</v>
      </c>
      <c r="C20" s="1522"/>
      <c r="D20" s="1522"/>
      <c r="E20" s="1522"/>
      <c r="F20" s="277"/>
      <c r="G20" s="4"/>
      <c r="H20" s="47">
        <v>0.375</v>
      </c>
      <c r="I20" s="47">
        <v>0.20833333333333334</v>
      </c>
      <c r="J20" s="319">
        <v>7</v>
      </c>
      <c r="K20" s="277"/>
      <c r="L20" s="4"/>
      <c r="M20" s="47">
        <v>0.38541666666666669</v>
      </c>
      <c r="N20" s="16">
        <v>0.20833333333333334</v>
      </c>
      <c r="O20" s="319">
        <v>6.75</v>
      </c>
      <c r="P20" s="277"/>
      <c r="Q20" s="4"/>
      <c r="R20" s="47">
        <v>0.34375</v>
      </c>
      <c r="S20" s="47">
        <v>0.20833333333333334</v>
      </c>
      <c r="T20" s="319">
        <v>7.75</v>
      </c>
      <c r="U20" s="277"/>
      <c r="V20" s="4"/>
      <c r="W20" s="47">
        <v>0.375</v>
      </c>
      <c r="X20" s="47">
        <v>0.20833333333333334</v>
      </c>
      <c r="Y20" s="319">
        <v>7</v>
      </c>
      <c r="Z20" s="277"/>
      <c r="AA20" s="29">
        <f t="shared" si="0"/>
        <v>28.5</v>
      </c>
      <c r="AB20" s="298">
        <f t="shared" si="1"/>
        <v>0</v>
      </c>
      <c r="AC20" s="4"/>
      <c r="AD20" s="4">
        <v>0</v>
      </c>
      <c r="AE20" s="4">
        <v>0</v>
      </c>
      <c r="AF20" s="19">
        <v>0</v>
      </c>
      <c r="AG20" s="29">
        <f t="shared" si="2"/>
        <v>0</v>
      </c>
      <c r="AH20" s="4"/>
      <c r="AI20" s="255"/>
      <c r="AK20" s="193"/>
      <c r="AL20" s="193"/>
      <c r="AM20" s="193"/>
      <c r="AN20" s="193"/>
      <c r="AO20" s="193"/>
      <c r="AP20" s="193"/>
    </row>
    <row r="21" spans="2:42" s="180" customFormat="1">
      <c r="B21" s="13" t="s">
        <v>43</v>
      </c>
      <c r="C21" s="1522"/>
      <c r="D21" s="1522"/>
      <c r="E21" s="1522"/>
      <c r="F21" s="277"/>
      <c r="G21" s="4"/>
      <c r="H21" s="47">
        <v>0.29166666666666669</v>
      </c>
      <c r="I21" s="47">
        <v>0.20833333333333334</v>
      </c>
      <c r="J21" s="319">
        <v>9</v>
      </c>
      <c r="K21" s="277">
        <v>1</v>
      </c>
      <c r="L21" s="4"/>
      <c r="M21" s="47">
        <v>0.34375</v>
      </c>
      <c r="N21" s="16">
        <v>0.20833333333333334</v>
      </c>
      <c r="O21" s="319">
        <v>7.75</v>
      </c>
      <c r="P21" s="277"/>
      <c r="Q21" s="4"/>
      <c r="R21" s="47">
        <v>0.32291666666666669</v>
      </c>
      <c r="S21" s="47">
        <v>0.20833333333333334</v>
      </c>
      <c r="T21" s="319">
        <v>8.25</v>
      </c>
      <c r="U21" s="277">
        <v>0.25</v>
      </c>
      <c r="V21" s="4"/>
      <c r="W21" s="47">
        <v>0.3125</v>
      </c>
      <c r="X21" s="47">
        <v>0.20833333333333334</v>
      </c>
      <c r="Y21" s="319">
        <v>8.5</v>
      </c>
      <c r="Z21" s="277">
        <v>0.5</v>
      </c>
      <c r="AA21" s="29">
        <f t="shared" si="0"/>
        <v>33.5</v>
      </c>
      <c r="AB21" s="298">
        <f t="shared" si="1"/>
        <v>1.75</v>
      </c>
      <c r="AC21" s="4"/>
      <c r="AD21" s="4">
        <v>0</v>
      </c>
      <c r="AE21" s="4">
        <v>0</v>
      </c>
      <c r="AF21" s="19">
        <v>0</v>
      </c>
      <c r="AG21" s="29">
        <f t="shared" si="2"/>
        <v>0</v>
      </c>
      <c r="AH21" s="4"/>
      <c r="AI21" s="255"/>
      <c r="AK21" s="193"/>
      <c r="AL21" s="193"/>
      <c r="AM21" s="193"/>
      <c r="AN21" s="193"/>
      <c r="AO21" s="193"/>
      <c r="AP21" s="193"/>
    </row>
    <row r="22" spans="2:42" s="180" customFormat="1">
      <c r="B22" s="13" t="s">
        <v>44</v>
      </c>
      <c r="C22" s="1522"/>
      <c r="D22" s="1522"/>
      <c r="E22" s="1522"/>
      <c r="F22" s="277"/>
      <c r="G22" s="4"/>
      <c r="H22" s="47">
        <v>0.35416666666666669</v>
      </c>
      <c r="I22" s="47">
        <v>0.20833333333333334</v>
      </c>
      <c r="J22" s="319">
        <v>7.5</v>
      </c>
      <c r="K22" s="277"/>
      <c r="L22" s="4"/>
      <c r="M22" s="47">
        <v>0.34375</v>
      </c>
      <c r="N22" s="16">
        <v>0.20833333333333334</v>
      </c>
      <c r="O22" s="319">
        <v>7.75</v>
      </c>
      <c r="P22" s="277"/>
      <c r="Q22" s="4"/>
      <c r="R22" s="47">
        <v>0.33333333333333331</v>
      </c>
      <c r="S22" s="47">
        <v>0.20833333333333334</v>
      </c>
      <c r="T22" s="319">
        <v>8</v>
      </c>
      <c r="U22" s="277"/>
      <c r="V22" s="4"/>
      <c r="W22" s="47">
        <v>0.35416666666666669</v>
      </c>
      <c r="X22" s="47">
        <v>0.20833333333333334</v>
      </c>
      <c r="Y22" s="319">
        <v>7.5</v>
      </c>
      <c r="Z22" s="277"/>
      <c r="AA22" s="29">
        <f t="shared" si="0"/>
        <v>30.75</v>
      </c>
      <c r="AB22" s="298">
        <f t="shared" si="1"/>
        <v>0</v>
      </c>
      <c r="AC22" s="4"/>
      <c r="AD22" s="4">
        <v>0</v>
      </c>
      <c r="AE22" s="4">
        <v>0</v>
      </c>
      <c r="AF22" s="19">
        <v>0</v>
      </c>
      <c r="AG22" s="29">
        <f t="shared" si="2"/>
        <v>0</v>
      </c>
      <c r="AH22" s="4"/>
      <c r="AI22" s="255"/>
      <c r="AK22" s="193"/>
      <c r="AL22" s="193"/>
      <c r="AM22" s="193"/>
      <c r="AN22" s="193"/>
      <c r="AO22" s="193"/>
      <c r="AP22" s="193"/>
    </row>
    <row r="23" spans="2:42" s="180" customFormat="1">
      <c r="B23" s="13" t="s">
        <v>45</v>
      </c>
      <c r="C23" s="1522"/>
      <c r="D23" s="1522"/>
      <c r="E23" s="1522"/>
      <c r="F23" s="277"/>
      <c r="G23" s="4"/>
      <c r="H23" s="47">
        <v>0.35416666666666669</v>
      </c>
      <c r="I23" s="47">
        <v>0.20833333333333334</v>
      </c>
      <c r="J23" s="319">
        <v>7.5</v>
      </c>
      <c r="K23" s="277"/>
      <c r="L23" s="4"/>
      <c r="M23" s="47">
        <v>0.36458333333333331</v>
      </c>
      <c r="N23" s="16">
        <v>0.20833333333333334</v>
      </c>
      <c r="O23" s="319">
        <v>7.25</v>
      </c>
      <c r="P23" s="277"/>
      <c r="Q23" s="4"/>
      <c r="R23" s="47">
        <v>0.33333333333333331</v>
      </c>
      <c r="S23" s="47">
        <v>0.20833333333333334</v>
      </c>
      <c r="T23" s="319">
        <v>8</v>
      </c>
      <c r="U23" s="277"/>
      <c r="V23" s="4"/>
      <c r="W23" s="47">
        <v>0.33333333333333331</v>
      </c>
      <c r="X23" s="47">
        <v>0.20833333333333334</v>
      </c>
      <c r="Y23" s="319">
        <v>8</v>
      </c>
      <c r="Z23" s="277"/>
      <c r="AA23" s="29">
        <f t="shared" si="0"/>
        <v>30.75</v>
      </c>
      <c r="AB23" s="298">
        <f t="shared" si="1"/>
        <v>0</v>
      </c>
      <c r="AC23" s="4"/>
      <c r="AD23" s="4">
        <v>0</v>
      </c>
      <c r="AE23" s="4">
        <v>0</v>
      </c>
      <c r="AF23" s="19">
        <v>0</v>
      </c>
      <c r="AG23" s="29">
        <f t="shared" si="2"/>
        <v>0</v>
      </c>
      <c r="AH23" s="4"/>
      <c r="AI23" s="255"/>
      <c r="AK23" s="193"/>
      <c r="AL23" s="193"/>
      <c r="AM23" s="193"/>
      <c r="AN23" s="193"/>
      <c r="AO23" s="193"/>
      <c r="AP23" s="193"/>
    </row>
    <row r="24" spans="2:42" s="180" customFormat="1">
      <c r="B24" s="13" t="s">
        <v>46</v>
      </c>
      <c r="C24" s="1522"/>
      <c r="D24" s="1522"/>
      <c r="E24" s="1522"/>
      <c r="F24" s="277"/>
      <c r="G24" s="4"/>
      <c r="H24" s="47">
        <v>0.27083333333333331</v>
      </c>
      <c r="I24" s="47">
        <v>0.20833333333333334</v>
      </c>
      <c r="J24" s="319">
        <v>9.5</v>
      </c>
      <c r="K24" s="277">
        <v>1.5</v>
      </c>
      <c r="L24" s="4"/>
      <c r="M24" s="47">
        <v>0.35416666666666669</v>
      </c>
      <c r="N24" s="16">
        <v>0.20833333333333334</v>
      </c>
      <c r="O24" s="319">
        <v>7.5</v>
      </c>
      <c r="P24" s="277"/>
      <c r="Q24" s="4"/>
      <c r="R24" s="47">
        <v>0.33333333333333331</v>
      </c>
      <c r="S24" s="47">
        <v>0.20833333333333334</v>
      </c>
      <c r="T24" s="319">
        <v>8</v>
      </c>
      <c r="U24" s="277"/>
      <c r="V24" s="4"/>
      <c r="W24" s="47">
        <v>0.33333333333333331</v>
      </c>
      <c r="X24" s="47">
        <v>0.20833333333333334</v>
      </c>
      <c r="Y24" s="319">
        <v>8</v>
      </c>
      <c r="Z24" s="277"/>
      <c r="AA24" s="29">
        <f t="shared" si="0"/>
        <v>33</v>
      </c>
      <c r="AB24" s="298">
        <f t="shared" si="1"/>
        <v>1.5</v>
      </c>
      <c r="AC24" s="4"/>
      <c r="AD24" s="4">
        <v>0</v>
      </c>
      <c r="AE24" s="4">
        <v>0</v>
      </c>
      <c r="AF24" s="19">
        <v>0</v>
      </c>
      <c r="AG24" s="29">
        <f t="shared" si="2"/>
        <v>0</v>
      </c>
      <c r="AH24" s="4"/>
      <c r="AI24" s="255"/>
      <c r="AK24" s="193"/>
      <c r="AL24" s="193"/>
      <c r="AM24" s="193"/>
      <c r="AN24" s="193"/>
      <c r="AO24" s="193"/>
      <c r="AP24" s="193"/>
    </row>
    <row r="25" spans="2:42" s="180" customFormat="1">
      <c r="B25" s="13" t="s">
        <v>47</v>
      </c>
      <c r="C25" s="1522"/>
      <c r="D25" s="1522"/>
      <c r="E25" s="1522"/>
      <c r="F25" s="277"/>
      <c r="G25" s="4"/>
      <c r="H25" s="47">
        <v>0.27083333333333331</v>
      </c>
      <c r="I25" s="47">
        <v>0.20833333333333334</v>
      </c>
      <c r="J25" s="319">
        <v>9.5</v>
      </c>
      <c r="K25" s="277">
        <v>1.5</v>
      </c>
      <c r="L25" s="4"/>
      <c r="M25" s="47">
        <v>0.32291666666666669</v>
      </c>
      <c r="N25" s="16">
        <v>0.20833333333333334</v>
      </c>
      <c r="O25" s="319">
        <v>8.25</v>
      </c>
      <c r="P25" s="277">
        <v>0.25</v>
      </c>
      <c r="Q25" s="4"/>
      <c r="R25" s="47">
        <v>0.34375</v>
      </c>
      <c r="S25" s="47">
        <v>0.20833333333333334</v>
      </c>
      <c r="T25" s="319">
        <v>7.75</v>
      </c>
      <c r="U25" s="277"/>
      <c r="V25" s="4"/>
      <c r="W25" s="47">
        <v>0.32291666666666669</v>
      </c>
      <c r="X25" s="47">
        <v>0.20833333333333334</v>
      </c>
      <c r="Y25" s="319">
        <v>8.25</v>
      </c>
      <c r="Z25" s="277">
        <v>0.25</v>
      </c>
      <c r="AA25" s="29">
        <f t="shared" si="0"/>
        <v>33.75</v>
      </c>
      <c r="AB25" s="298">
        <f t="shared" si="1"/>
        <v>2</v>
      </c>
      <c r="AC25" s="4"/>
      <c r="AD25" s="4">
        <v>0</v>
      </c>
      <c r="AE25" s="4">
        <v>0</v>
      </c>
      <c r="AF25" s="19">
        <v>0</v>
      </c>
      <c r="AG25" s="29">
        <f t="shared" si="2"/>
        <v>0</v>
      </c>
      <c r="AH25" s="4"/>
      <c r="AI25" s="255"/>
      <c r="AK25" s="193"/>
      <c r="AL25" s="193"/>
      <c r="AM25" s="193"/>
      <c r="AN25" s="193"/>
      <c r="AO25" s="193"/>
      <c r="AP25" s="193"/>
    </row>
    <row r="26" spans="2:42" s="180" customFormat="1">
      <c r="B26" s="13" t="s">
        <v>48</v>
      </c>
      <c r="C26" s="1522"/>
      <c r="D26" s="1522"/>
      <c r="E26" s="1522"/>
      <c r="F26" s="277"/>
      <c r="G26" s="4"/>
      <c r="H26" s="47">
        <v>0.27083333333333331</v>
      </c>
      <c r="I26" s="47">
        <v>0.20833333333333334</v>
      </c>
      <c r="J26" s="319">
        <v>9.5</v>
      </c>
      <c r="K26" s="277">
        <v>1.5</v>
      </c>
      <c r="L26" s="4"/>
      <c r="M26" s="12" t="s">
        <v>29</v>
      </c>
      <c r="N26" s="12" t="s">
        <v>29</v>
      </c>
      <c r="O26" s="319">
        <v>0</v>
      </c>
      <c r="P26" s="277"/>
      <c r="Q26" s="4"/>
      <c r="R26" s="12">
        <v>0</v>
      </c>
      <c r="S26" s="12">
        <v>0</v>
      </c>
      <c r="T26" s="319">
        <v>0</v>
      </c>
      <c r="U26" s="277"/>
      <c r="V26" s="4"/>
      <c r="W26" s="4">
        <v>0</v>
      </c>
      <c r="X26" s="4">
        <v>0</v>
      </c>
      <c r="Y26" s="319">
        <v>0</v>
      </c>
      <c r="Z26" s="277"/>
      <c r="AA26" s="29">
        <f t="shared" si="0"/>
        <v>9.5</v>
      </c>
      <c r="AB26" s="298">
        <f t="shared" si="1"/>
        <v>1.5</v>
      </c>
      <c r="AC26" s="4"/>
      <c r="AD26" s="4">
        <v>0</v>
      </c>
      <c r="AE26" s="4">
        <v>0</v>
      </c>
      <c r="AF26" s="19">
        <v>0</v>
      </c>
      <c r="AG26" s="29">
        <f t="shared" si="2"/>
        <v>0</v>
      </c>
      <c r="AH26" s="4"/>
      <c r="AI26" s="255"/>
      <c r="AK26" s="193"/>
      <c r="AL26" s="193"/>
      <c r="AM26" s="193"/>
      <c r="AN26" s="193"/>
      <c r="AO26" s="193"/>
      <c r="AP26" s="193"/>
    </row>
    <row r="27" spans="2:42" s="180" customFormat="1">
      <c r="B27" s="13" t="s">
        <v>49</v>
      </c>
      <c r="C27" s="1522"/>
      <c r="D27" s="1522"/>
      <c r="E27" s="1522"/>
      <c r="F27" s="277"/>
      <c r="G27" s="4"/>
      <c r="H27" s="47">
        <v>0.34375</v>
      </c>
      <c r="I27" s="47">
        <v>0.20833333333333334</v>
      </c>
      <c r="J27" s="319">
        <v>7.75</v>
      </c>
      <c r="K27" s="277"/>
      <c r="L27" s="4"/>
      <c r="M27" s="47">
        <v>0.34375</v>
      </c>
      <c r="N27" s="16">
        <v>0.20833333333333334</v>
      </c>
      <c r="O27" s="319">
        <v>7.75</v>
      </c>
      <c r="P27" s="277"/>
      <c r="Q27" s="4"/>
      <c r="R27" s="47">
        <v>0.33333333333333331</v>
      </c>
      <c r="S27" s="47">
        <v>0.20833333333333334</v>
      </c>
      <c r="T27" s="319">
        <v>8</v>
      </c>
      <c r="U27" s="277"/>
      <c r="V27" s="4"/>
      <c r="W27" s="47">
        <v>0</v>
      </c>
      <c r="X27" s="47">
        <v>0</v>
      </c>
      <c r="Y27" s="319">
        <v>0</v>
      </c>
      <c r="Z27" s="277"/>
      <c r="AA27" s="29">
        <f t="shared" si="0"/>
        <v>23.5</v>
      </c>
      <c r="AB27" s="298">
        <f t="shared" si="1"/>
        <v>0</v>
      </c>
      <c r="AC27" s="4"/>
      <c r="AD27" s="4">
        <v>0</v>
      </c>
      <c r="AE27" s="4">
        <v>0</v>
      </c>
      <c r="AF27" s="19">
        <v>0</v>
      </c>
      <c r="AG27" s="29">
        <f t="shared" si="2"/>
        <v>0</v>
      </c>
      <c r="AH27" s="4"/>
      <c r="AI27" s="255"/>
      <c r="AK27" s="193"/>
      <c r="AL27" s="193"/>
      <c r="AM27" s="193"/>
      <c r="AN27" s="193"/>
      <c r="AO27" s="193"/>
      <c r="AP27" s="193"/>
    </row>
    <row r="28" spans="2:42" s="180" customFormat="1">
      <c r="B28" s="13" t="s">
        <v>50</v>
      </c>
      <c r="C28" s="1522"/>
      <c r="D28" s="1522"/>
      <c r="E28" s="1522"/>
      <c r="F28" s="277"/>
      <c r="G28" s="4"/>
      <c r="H28" s="47">
        <v>0.35416666666666669</v>
      </c>
      <c r="I28" s="47">
        <v>0.20833333333333334</v>
      </c>
      <c r="J28" s="319">
        <v>7.5</v>
      </c>
      <c r="K28" s="277"/>
      <c r="L28" s="4"/>
      <c r="M28" s="16">
        <v>0.39583333333333331</v>
      </c>
      <c r="N28" s="16">
        <v>0.20833333333333334</v>
      </c>
      <c r="O28" s="319">
        <v>6.5</v>
      </c>
      <c r="P28" s="277"/>
      <c r="Q28" s="4"/>
      <c r="R28" s="47">
        <v>0.375</v>
      </c>
      <c r="S28" s="47">
        <v>0.20833333333333334</v>
      </c>
      <c r="T28" s="319">
        <v>7</v>
      </c>
      <c r="U28" s="277"/>
      <c r="V28" s="4"/>
      <c r="W28" s="47">
        <v>0.375</v>
      </c>
      <c r="X28" s="47">
        <v>0.20833333333333334</v>
      </c>
      <c r="Y28" s="319">
        <v>7</v>
      </c>
      <c r="Z28" s="277"/>
      <c r="AA28" s="29">
        <f t="shared" si="0"/>
        <v>28</v>
      </c>
      <c r="AB28" s="298">
        <f t="shared" si="1"/>
        <v>0</v>
      </c>
      <c r="AC28" s="4"/>
      <c r="AD28" s="4">
        <v>0</v>
      </c>
      <c r="AE28" s="4">
        <v>0</v>
      </c>
      <c r="AF28" s="19">
        <v>0</v>
      </c>
      <c r="AG28" s="29">
        <f t="shared" si="2"/>
        <v>0</v>
      </c>
      <c r="AH28" s="4"/>
      <c r="AI28" s="255"/>
      <c r="AK28" s="193"/>
      <c r="AL28" s="193"/>
      <c r="AM28" s="193"/>
      <c r="AN28" s="193"/>
      <c r="AO28" s="193"/>
      <c r="AP28" s="193"/>
    </row>
    <row r="29" spans="2:42" s="180" customFormat="1">
      <c r="B29" s="13" t="s">
        <v>51</v>
      </c>
      <c r="C29" s="1522"/>
      <c r="D29" s="1522"/>
      <c r="E29" s="1522"/>
      <c r="F29" s="277"/>
      <c r="G29" s="4"/>
      <c r="H29" s="12">
        <v>0</v>
      </c>
      <c r="I29" s="12">
        <v>0</v>
      </c>
      <c r="J29" s="319">
        <v>0</v>
      </c>
      <c r="K29" s="277"/>
      <c r="L29" s="4"/>
      <c r="M29" s="16">
        <v>0.35416666666666669</v>
      </c>
      <c r="N29" s="16">
        <v>0.20833333333333334</v>
      </c>
      <c r="O29" s="319">
        <v>7.5</v>
      </c>
      <c r="P29" s="277"/>
      <c r="Q29" s="4"/>
      <c r="R29" s="47">
        <v>0.375</v>
      </c>
      <c r="S29" s="47">
        <v>0.20833333333333334</v>
      </c>
      <c r="T29" s="319">
        <v>7</v>
      </c>
      <c r="U29" s="277"/>
      <c r="V29" s="4"/>
      <c r="W29" s="16">
        <v>0.36458333333333331</v>
      </c>
      <c r="X29" s="47">
        <v>0.20833333333333334</v>
      </c>
      <c r="Y29" s="319">
        <v>7.25</v>
      </c>
      <c r="Z29" s="277"/>
      <c r="AA29" s="29">
        <f>(E29+J29+O29+T29+Y29)</f>
        <v>21.75</v>
      </c>
      <c r="AB29" s="298">
        <f t="shared" si="1"/>
        <v>0</v>
      </c>
      <c r="AC29" s="4"/>
      <c r="AD29" s="4">
        <v>0</v>
      </c>
      <c r="AE29" s="4">
        <v>0</v>
      </c>
      <c r="AF29" s="19">
        <v>0</v>
      </c>
      <c r="AG29" s="29">
        <f t="shared" si="2"/>
        <v>0</v>
      </c>
      <c r="AH29" s="4"/>
      <c r="AI29" s="255"/>
      <c r="AK29" s="193"/>
      <c r="AL29" s="193"/>
      <c r="AM29" s="193"/>
      <c r="AN29" s="193"/>
      <c r="AO29" s="193"/>
      <c r="AP29" s="193"/>
    </row>
    <row r="30" spans="2:42" s="180" customFormat="1">
      <c r="B30" s="13" t="s">
        <v>52</v>
      </c>
      <c r="C30" s="1522"/>
      <c r="D30" s="1522"/>
      <c r="E30" s="1522"/>
      <c r="F30" s="277"/>
      <c r="G30" s="4"/>
      <c r="H30" s="12" t="s">
        <v>29</v>
      </c>
      <c r="I30" s="12" t="s">
        <v>29</v>
      </c>
      <c r="J30" s="319">
        <v>8</v>
      </c>
      <c r="K30" s="277"/>
      <c r="L30" s="4"/>
      <c r="M30" s="47">
        <v>0.35416666666666669</v>
      </c>
      <c r="N30" s="16">
        <v>0.20833333333333334</v>
      </c>
      <c r="O30" s="319">
        <v>7.5</v>
      </c>
      <c r="P30" s="277"/>
      <c r="Q30" s="4"/>
      <c r="R30" s="47">
        <v>0.35416666666666669</v>
      </c>
      <c r="S30" s="47">
        <v>0.20833333333333334</v>
      </c>
      <c r="T30" s="319">
        <v>7.5</v>
      </c>
      <c r="U30" s="277"/>
      <c r="V30" s="4"/>
      <c r="W30" s="47">
        <v>0.33333333333333331</v>
      </c>
      <c r="X30" s="47">
        <v>0.20833333333333334</v>
      </c>
      <c r="Y30" s="319">
        <v>8</v>
      </c>
      <c r="Z30" s="277"/>
      <c r="AA30" s="29">
        <f t="shared" si="0"/>
        <v>31</v>
      </c>
      <c r="AB30" s="298">
        <f t="shared" si="1"/>
        <v>0</v>
      </c>
      <c r="AC30" s="4"/>
      <c r="AD30" s="4">
        <v>0</v>
      </c>
      <c r="AE30" s="4">
        <v>0</v>
      </c>
      <c r="AF30" s="19">
        <v>0</v>
      </c>
      <c r="AG30" s="29">
        <f t="shared" si="2"/>
        <v>0</v>
      </c>
      <c r="AH30" s="4"/>
      <c r="AI30" s="255"/>
      <c r="AK30" s="193"/>
      <c r="AL30" s="193"/>
      <c r="AM30" s="193"/>
      <c r="AN30" s="193"/>
      <c r="AO30" s="193"/>
      <c r="AP30" s="193"/>
    </row>
    <row r="31" spans="2:42" s="180" customFormat="1">
      <c r="B31" s="13" t="s">
        <v>53</v>
      </c>
      <c r="C31" s="1522"/>
      <c r="D31" s="1522"/>
      <c r="E31" s="1522"/>
      <c r="F31" s="277"/>
      <c r="G31" s="4"/>
      <c r="H31" s="47">
        <v>0.33333333333333331</v>
      </c>
      <c r="I31" s="47">
        <v>0.20833333333333334</v>
      </c>
      <c r="J31" s="319">
        <v>8</v>
      </c>
      <c r="K31" s="277"/>
      <c r="L31" s="4"/>
      <c r="M31" s="47">
        <v>0.33333333333333331</v>
      </c>
      <c r="N31" s="16">
        <v>0.20833333333333334</v>
      </c>
      <c r="O31" s="319">
        <v>8</v>
      </c>
      <c r="P31" s="277"/>
      <c r="Q31" s="4"/>
      <c r="R31" s="12" t="s">
        <v>29</v>
      </c>
      <c r="S31" s="12" t="s">
        <v>29</v>
      </c>
      <c r="T31" s="319">
        <v>0</v>
      </c>
      <c r="U31" s="277"/>
      <c r="V31" s="4"/>
      <c r="W31" s="47">
        <v>0.32291666666666669</v>
      </c>
      <c r="X31" s="47">
        <v>0.20833333333333334</v>
      </c>
      <c r="Y31" s="319">
        <v>8.25</v>
      </c>
      <c r="Z31" s="277">
        <v>0.25</v>
      </c>
      <c r="AA31" s="29">
        <f t="shared" si="0"/>
        <v>24.25</v>
      </c>
      <c r="AB31" s="298">
        <f t="shared" si="1"/>
        <v>0.25</v>
      </c>
      <c r="AC31" s="4"/>
      <c r="AD31" s="4">
        <v>0</v>
      </c>
      <c r="AE31" s="4">
        <v>0</v>
      </c>
      <c r="AF31" s="19">
        <v>0</v>
      </c>
      <c r="AG31" s="29">
        <f>AF31</f>
        <v>0</v>
      </c>
      <c r="AH31" s="4"/>
      <c r="AI31" s="255"/>
      <c r="AK31" s="193"/>
      <c r="AL31" s="193"/>
      <c r="AM31" s="193"/>
      <c r="AN31" s="193"/>
      <c r="AO31" s="193"/>
      <c r="AP31" s="193"/>
    </row>
    <row r="32" spans="2:42" s="180" customFormat="1">
      <c r="B32" s="13" t="s">
        <v>54</v>
      </c>
      <c r="C32" s="1522"/>
      <c r="D32" s="1522"/>
      <c r="E32" s="1522"/>
      <c r="F32" s="277"/>
      <c r="G32" s="4"/>
      <c r="H32" s="12" t="s">
        <v>29</v>
      </c>
      <c r="I32" s="12" t="s">
        <v>29</v>
      </c>
      <c r="J32" s="319">
        <v>0</v>
      </c>
      <c r="K32" s="277"/>
      <c r="L32" s="4"/>
      <c r="M32" s="4" t="s">
        <v>29</v>
      </c>
      <c r="N32" s="4" t="s">
        <v>29</v>
      </c>
      <c r="O32" s="319">
        <v>0</v>
      </c>
      <c r="P32" s="277"/>
      <c r="Q32" s="4"/>
      <c r="R32" s="12" t="s">
        <v>29</v>
      </c>
      <c r="S32" s="12" t="s">
        <v>29</v>
      </c>
      <c r="T32" s="319">
        <v>0</v>
      </c>
      <c r="U32" s="277"/>
      <c r="V32" s="4"/>
      <c r="W32" s="12" t="s">
        <v>29</v>
      </c>
      <c r="X32" s="12" t="s">
        <v>29</v>
      </c>
      <c r="Y32" s="319">
        <v>0</v>
      </c>
      <c r="Z32" s="277"/>
      <c r="AA32" s="29">
        <f t="shared" si="0"/>
        <v>0</v>
      </c>
      <c r="AB32" s="298">
        <f t="shared" si="1"/>
        <v>0</v>
      </c>
      <c r="AC32" s="4"/>
      <c r="AD32" s="4">
        <v>0</v>
      </c>
      <c r="AE32" s="4">
        <v>0</v>
      </c>
      <c r="AF32" s="19">
        <v>0</v>
      </c>
      <c r="AG32" s="29">
        <f>AF32</f>
        <v>0</v>
      </c>
      <c r="AH32" s="4"/>
      <c r="AI32" s="255"/>
      <c r="AK32" s="193"/>
      <c r="AL32" s="193"/>
      <c r="AM32" s="193"/>
      <c r="AN32" s="193"/>
      <c r="AO32" s="193"/>
      <c r="AP32" s="193"/>
    </row>
    <row r="33" spans="1:42" s="180" customFormat="1">
      <c r="B33" s="13" t="s">
        <v>55</v>
      </c>
      <c r="C33" s="1522"/>
      <c r="D33" s="1522"/>
      <c r="E33" s="1522"/>
      <c r="F33" s="277"/>
      <c r="G33" s="4"/>
      <c r="H33" s="12" t="s">
        <v>29</v>
      </c>
      <c r="I33" s="12" t="s">
        <v>29</v>
      </c>
      <c r="J33" s="319">
        <v>0</v>
      </c>
      <c r="K33" s="277"/>
      <c r="L33" s="4"/>
      <c r="M33" s="12" t="s">
        <v>29</v>
      </c>
      <c r="N33" s="12" t="s">
        <v>29</v>
      </c>
      <c r="O33" s="319">
        <v>0</v>
      </c>
      <c r="P33" s="277"/>
      <c r="Q33" s="4"/>
      <c r="R33" s="12" t="s">
        <v>29</v>
      </c>
      <c r="S33" s="12" t="s">
        <v>29</v>
      </c>
      <c r="T33" s="319">
        <v>0</v>
      </c>
      <c r="U33" s="277"/>
      <c r="V33" s="4"/>
      <c r="W33" s="12" t="s">
        <v>29</v>
      </c>
      <c r="X33" s="12" t="s">
        <v>29</v>
      </c>
      <c r="Y33" s="319">
        <v>0</v>
      </c>
      <c r="Z33" s="277"/>
      <c r="AA33" s="29">
        <f t="shared" si="0"/>
        <v>0</v>
      </c>
      <c r="AB33" s="298">
        <f t="shared" si="1"/>
        <v>0</v>
      </c>
      <c r="AC33" s="4"/>
      <c r="AD33" s="4">
        <v>0</v>
      </c>
      <c r="AE33" s="4">
        <v>0</v>
      </c>
      <c r="AF33" s="19">
        <v>0</v>
      </c>
      <c r="AG33" s="29">
        <f>AF33</f>
        <v>0</v>
      </c>
      <c r="AH33" s="4"/>
      <c r="AI33" s="255"/>
      <c r="AK33" s="193"/>
      <c r="AL33" s="193"/>
      <c r="AM33" s="193"/>
      <c r="AN33" s="193"/>
      <c r="AO33" s="193"/>
      <c r="AP33" s="193"/>
    </row>
    <row r="34" spans="1:42" s="180" customFormat="1">
      <c r="B34" s="351" t="s">
        <v>56</v>
      </c>
      <c r="C34" s="1522"/>
      <c r="D34" s="1522"/>
      <c r="E34" s="1522"/>
      <c r="F34" s="277"/>
      <c r="G34" s="4"/>
      <c r="H34" s="12" t="s">
        <v>29</v>
      </c>
      <c r="I34" s="12" t="s">
        <v>29</v>
      </c>
      <c r="J34" s="319">
        <v>8</v>
      </c>
      <c r="K34" s="277"/>
      <c r="L34" s="4"/>
      <c r="M34" s="16">
        <v>0.35416666666666669</v>
      </c>
      <c r="N34" s="16">
        <v>0.20833333333333334</v>
      </c>
      <c r="O34" s="319">
        <v>7.5</v>
      </c>
      <c r="P34" s="277"/>
      <c r="Q34" s="4"/>
      <c r="R34" s="16">
        <v>0.35416666666666669</v>
      </c>
      <c r="S34" s="47">
        <v>0.20833333333333334</v>
      </c>
      <c r="T34" s="319">
        <v>8</v>
      </c>
      <c r="U34" s="277"/>
      <c r="V34" s="4"/>
      <c r="W34" s="16">
        <v>0.36458333333333331</v>
      </c>
      <c r="X34" s="47">
        <v>0.20833333333333334</v>
      </c>
      <c r="Y34" s="319">
        <v>7.25</v>
      </c>
      <c r="Z34" s="277"/>
      <c r="AA34" s="29">
        <f t="shared" si="0"/>
        <v>30.75</v>
      </c>
      <c r="AB34" s="298">
        <f t="shared" si="1"/>
        <v>0</v>
      </c>
      <c r="AC34" s="4"/>
      <c r="AD34" s="4">
        <v>0</v>
      </c>
      <c r="AE34" s="4">
        <v>0</v>
      </c>
      <c r="AF34" s="19">
        <v>0</v>
      </c>
      <c r="AG34" s="29">
        <f t="shared" ref="AG34" si="3">AF34</f>
        <v>0</v>
      </c>
      <c r="AH34" s="4"/>
      <c r="AI34" s="255"/>
      <c r="AK34" s="193"/>
      <c r="AL34" s="193"/>
      <c r="AM34" s="193"/>
      <c r="AN34" s="193"/>
      <c r="AO34" s="193"/>
      <c r="AP34" s="193"/>
    </row>
    <row r="35" spans="1:42" s="180" customFormat="1">
      <c r="B35" s="351" t="s">
        <v>57</v>
      </c>
      <c r="C35" s="1522"/>
      <c r="D35" s="1522"/>
      <c r="E35" s="1522"/>
      <c r="F35" s="277"/>
      <c r="G35" s="4"/>
      <c r="H35" s="12" t="s">
        <v>29</v>
      </c>
      <c r="I35" s="12" t="s">
        <v>29</v>
      </c>
      <c r="J35" s="19">
        <v>8</v>
      </c>
      <c r="K35" s="277"/>
      <c r="L35" s="4"/>
      <c r="M35" s="16">
        <v>0.35416666666666669</v>
      </c>
      <c r="N35" s="16">
        <v>0.20833333333333334</v>
      </c>
      <c r="O35" s="319">
        <v>7.5</v>
      </c>
      <c r="P35" s="277"/>
      <c r="Q35" s="4"/>
      <c r="R35" s="12" t="s">
        <v>29</v>
      </c>
      <c r="S35" s="12" t="s">
        <v>29</v>
      </c>
      <c r="T35" s="319">
        <v>0</v>
      </c>
      <c r="U35" s="277"/>
      <c r="V35" s="4"/>
      <c r="W35" s="12" t="s">
        <v>29</v>
      </c>
      <c r="X35" s="12" t="s">
        <v>29</v>
      </c>
      <c r="Y35" s="319">
        <v>0</v>
      </c>
      <c r="Z35" s="277"/>
      <c r="AA35" s="29">
        <f>(E35+J35+O35+T35+Y35)</f>
        <v>15.5</v>
      </c>
      <c r="AB35" s="298">
        <f t="shared" si="1"/>
        <v>0</v>
      </c>
      <c r="AC35" s="4"/>
      <c r="AD35" s="4">
        <v>0</v>
      </c>
      <c r="AE35" s="4">
        <v>0</v>
      </c>
      <c r="AF35" s="19">
        <v>0</v>
      </c>
      <c r="AG35" s="29">
        <f>AF35</f>
        <v>0</v>
      </c>
      <c r="AH35" s="4"/>
      <c r="AI35" s="255"/>
      <c r="AK35" s="193"/>
      <c r="AL35" s="193"/>
      <c r="AM35" s="193"/>
      <c r="AN35" s="193"/>
      <c r="AO35" s="193"/>
      <c r="AP35" s="193"/>
    </row>
    <row r="36" spans="1:42" s="180" customFormat="1">
      <c r="B36" s="351" t="s">
        <v>58</v>
      </c>
      <c r="C36" s="1522"/>
      <c r="D36" s="1522"/>
      <c r="E36" s="1522"/>
      <c r="F36" s="277"/>
      <c r="G36" s="4"/>
      <c r="H36" s="12" t="s">
        <v>29</v>
      </c>
      <c r="I36" s="12" t="s">
        <v>29</v>
      </c>
      <c r="J36" s="19"/>
      <c r="K36" s="277"/>
      <c r="L36" s="4"/>
      <c r="M36" s="16"/>
      <c r="N36" s="16"/>
      <c r="O36" s="319"/>
      <c r="P36" s="277"/>
      <c r="Q36" s="4"/>
      <c r="R36" s="12" t="s">
        <v>29</v>
      </c>
      <c r="S36" s="12" t="s">
        <v>29</v>
      </c>
      <c r="T36" s="19"/>
      <c r="U36" s="277"/>
      <c r="V36" s="4"/>
      <c r="W36" s="12" t="s">
        <v>29</v>
      </c>
      <c r="X36" s="12" t="s">
        <v>29</v>
      </c>
      <c r="Y36" s="319">
        <v>8</v>
      </c>
      <c r="Z36" s="277"/>
      <c r="AA36" s="29">
        <f>(E36+J36+O36+T36+Y36)</f>
        <v>8</v>
      </c>
      <c r="AB36" s="298"/>
      <c r="AC36" s="4"/>
      <c r="AD36" s="4">
        <v>0</v>
      </c>
      <c r="AE36" s="4">
        <v>0</v>
      </c>
      <c r="AF36" s="19">
        <v>0</v>
      </c>
      <c r="AG36" s="29">
        <f>AF36</f>
        <v>0</v>
      </c>
      <c r="AH36" s="4"/>
      <c r="AI36" s="255"/>
      <c r="AK36" s="193"/>
      <c r="AL36" s="193"/>
      <c r="AM36" s="193"/>
      <c r="AN36" s="193"/>
      <c r="AO36" s="193"/>
      <c r="AP36" s="193"/>
    </row>
    <row r="37" spans="1:42" s="180" customFormat="1">
      <c r="B37" s="138" t="s">
        <v>59</v>
      </c>
      <c r="C37" s="1522"/>
      <c r="D37" s="1522"/>
      <c r="E37" s="1522"/>
      <c r="F37" s="277"/>
      <c r="G37" s="4"/>
      <c r="H37" s="12" t="s">
        <v>29</v>
      </c>
      <c r="I37" s="12" t="s">
        <v>29</v>
      </c>
      <c r="J37" s="19">
        <v>8</v>
      </c>
      <c r="K37" s="277"/>
      <c r="L37" s="4"/>
      <c r="M37" s="12" t="s">
        <v>29</v>
      </c>
      <c r="N37" s="12" t="s">
        <v>29</v>
      </c>
      <c r="O37" s="19">
        <v>8</v>
      </c>
      <c r="P37" s="277"/>
      <c r="Q37" s="4"/>
      <c r="R37" s="12" t="s">
        <v>29</v>
      </c>
      <c r="S37" s="12" t="s">
        <v>29</v>
      </c>
      <c r="T37" s="19">
        <v>8</v>
      </c>
      <c r="U37" s="277"/>
      <c r="V37" s="4"/>
      <c r="W37" s="12" t="s">
        <v>29</v>
      </c>
      <c r="X37" s="12" t="s">
        <v>29</v>
      </c>
      <c r="Y37" s="19">
        <v>8</v>
      </c>
      <c r="Z37" s="277"/>
      <c r="AA37" s="29">
        <f t="shared" ref="AA37:AA38" si="4">(E37+J37+O37+T37+Y37)</f>
        <v>32</v>
      </c>
      <c r="AB37" s="298">
        <f t="shared" si="1"/>
        <v>0</v>
      </c>
      <c r="AC37" s="4"/>
      <c r="AD37" s="4">
        <v>0</v>
      </c>
      <c r="AE37" s="4">
        <v>0</v>
      </c>
      <c r="AF37" s="19">
        <v>0</v>
      </c>
      <c r="AG37" s="29">
        <f t="shared" ref="AG37:AG38" si="5">AF37</f>
        <v>0</v>
      </c>
      <c r="AH37" s="4"/>
      <c r="AI37" s="255"/>
      <c r="AK37" s="193"/>
      <c r="AL37" s="193"/>
      <c r="AM37" s="193"/>
      <c r="AN37" s="193"/>
      <c r="AO37" s="193"/>
      <c r="AP37" s="193"/>
    </row>
    <row r="38" spans="1:42" s="180" customFormat="1">
      <c r="B38" s="138" t="s">
        <v>60</v>
      </c>
      <c r="C38" s="1522"/>
      <c r="D38" s="1522"/>
      <c r="E38" s="1522"/>
      <c r="F38" s="277"/>
      <c r="G38" s="4"/>
      <c r="H38" s="12" t="s">
        <v>29</v>
      </c>
      <c r="I38" s="12" t="s">
        <v>29</v>
      </c>
      <c r="J38" s="19">
        <v>8</v>
      </c>
      <c r="K38" s="277"/>
      <c r="L38" s="4"/>
      <c r="M38" s="12" t="s">
        <v>29</v>
      </c>
      <c r="N38" s="12" t="s">
        <v>29</v>
      </c>
      <c r="O38" s="19">
        <v>8</v>
      </c>
      <c r="P38" s="277"/>
      <c r="Q38" s="4"/>
      <c r="R38" s="12" t="s">
        <v>29</v>
      </c>
      <c r="S38" s="12" t="s">
        <v>29</v>
      </c>
      <c r="T38" s="19">
        <v>8</v>
      </c>
      <c r="U38" s="277"/>
      <c r="V38" s="4"/>
      <c r="W38" s="12" t="s">
        <v>29</v>
      </c>
      <c r="X38" s="12" t="s">
        <v>29</v>
      </c>
      <c r="Y38" s="19">
        <v>8</v>
      </c>
      <c r="Z38" s="277"/>
      <c r="AA38" s="29">
        <f t="shared" si="4"/>
        <v>32</v>
      </c>
      <c r="AB38" s="298">
        <f t="shared" si="1"/>
        <v>0</v>
      </c>
      <c r="AC38" s="4"/>
      <c r="AD38" s="4">
        <v>0</v>
      </c>
      <c r="AE38" s="4">
        <v>0</v>
      </c>
      <c r="AF38" s="19">
        <v>0</v>
      </c>
      <c r="AG38" s="29">
        <f t="shared" si="5"/>
        <v>0</v>
      </c>
      <c r="AH38" s="4"/>
      <c r="AI38" s="255"/>
      <c r="AK38" s="193"/>
      <c r="AL38" s="193"/>
      <c r="AM38" s="193"/>
      <c r="AN38" s="193"/>
      <c r="AO38" s="193"/>
      <c r="AP38" s="193"/>
    </row>
    <row r="39" spans="1:42" s="180" customFormat="1">
      <c r="B39" s="64" t="s">
        <v>61</v>
      </c>
      <c r="C39" s="64"/>
      <c r="D39" s="64"/>
      <c r="E39" s="167">
        <f>SUM(E13:E38)</f>
        <v>0</v>
      </c>
      <c r="F39" s="277">
        <f>SUM(F13:F35)</f>
        <v>0</v>
      </c>
      <c r="G39" s="64"/>
      <c r="H39" s="64"/>
      <c r="I39" s="64"/>
      <c r="J39" s="64">
        <f>SUM(J13:J38)</f>
        <v>177.75</v>
      </c>
      <c r="K39" s="277">
        <f>SUM(K13:K35)</f>
        <v>6.5</v>
      </c>
      <c r="L39" s="64"/>
      <c r="M39" s="64"/>
      <c r="N39" s="64"/>
      <c r="O39" s="167">
        <f>SUM(O13:O38)</f>
        <v>166</v>
      </c>
      <c r="P39" s="277">
        <f>SUM(P13:P35)</f>
        <v>0.25</v>
      </c>
      <c r="Q39" s="64"/>
      <c r="R39" s="64"/>
      <c r="S39" s="64"/>
      <c r="T39" s="167">
        <f>SUM(T13:T38)</f>
        <v>147</v>
      </c>
      <c r="U39" s="277">
        <f>SUM(U13:U35)</f>
        <v>0.25</v>
      </c>
      <c r="V39" s="64"/>
      <c r="W39" s="64"/>
      <c r="X39" s="64"/>
      <c r="Y39" s="167">
        <f>SUM(Y13:Y38)</f>
        <v>155.25</v>
      </c>
      <c r="Z39" s="277">
        <f>SUM(Z13:Z35)</f>
        <v>1.5</v>
      </c>
      <c r="AA39" s="370">
        <f>SUM(AA13:AA38)</f>
        <v>646</v>
      </c>
      <c r="AB39" s="284">
        <f>SUM(AB13:AB35)</f>
        <v>8.5</v>
      </c>
      <c r="AC39" s="4"/>
      <c r="AD39" s="64"/>
      <c r="AE39" s="64"/>
      <c r="AF39" s="64"/>
      <c r="AG39" s="370">
        <f>SUM(AG13:AG35)</f>
        <v>0</v>
      </c>
      <c r="AH39" s="4"/>
      <c r="AI39" s="255"/>
      <c r="AK39" s="193"/>
      <c r="AL39" s="193"/>
      <c r="AM39" s="193"/>
      <c r="AN39" s="193"/>
      <c r="AO39" s="193"/>
      <c r="AP39" s="193"/>
    </row>
    <row r="40" spans="1:42" s="180" customFormat="1">
      <c r="B40" s="63" t="s">
        <v>62</v>
      </c>
      <c r="C40" s="56"/>
      <c r="D40" s="56"/>
      <c r="E40" s="19">
        <v>0</v>
      </c>
      <c r="F40" s="291"/>
      <c r="G40" s="60"/>
      <c r="H40" s="56"/>
      <c r="I40" s="56"/>
      <c r="J40" s="291">
        <v>8</v>
      </c>
      <c r="K40" s="291"/>
      <c r="L40" s="60"/>
      <c r="M40" s="56"/>
      <c r="N40" s="56"/>
      <c r="O40" s="291">
        <v>8</v>
      </c>
      <c r="P40" s="19"/>
      <c r="Q40" s="60"/>
      <c r="R40" s="56"/>
      <c r="S40" s="56"/>
      <c r="T40" s="291">
        <v>8</v>
      </c>
      <c r="U40" s="19"/>
      <c r="V40" s="60"/>
      <c r="W40" s="56"/>
      <c r="X40" s="56"/>
      <c r="Y40" s="291">
        <v>8</v>
      </c>
      <c r="Z40" s="19"/>
      <c r="AA40" s="28">
        <f>SUM(E40+J40+O40+T40+Y40)</f>
        <v>32</v>
      </c>
      <c r="AB40" s="282">
        <f>Z40+U40+P40+K40+F40</f>
        <v>0</v>
      </c>
      <c r="AC40" s="4"/>
      <c r="AD40" s="56"/>
      <c r="AE40" s="56"/>
      <c r="AF40" s="19"/>
      <c r="AG40" s="29">
        <v>0</v>
      </c>
      <c r="AH40" s="4"/>
      <c r="AI40" s="255"/>
      <c r="AK40" s="193"/>
      <c r="AL40" s="193"/>
      <c r="AM40" s="193"/>
      <c r="AN40" s="193"/>
      <c r="AO40" s="193"/>
      <c r="AP40" s="193"/>
    </row>
    <row r="41" spans="1:42" s="180" customFormat="1">
      <c r="B41" s="63" t="s">
        <v>63</v>
      </c>
      <c r="C41" s="56"/>
      <c r="D41" s="56"/>
      <c r="E41" s="19">
        <v>0</v>
      </c>
      <c r="F41" s="291"/>
      <c r="G41" s="60"/>
      <c r="H41" s="56"/>
      <c r="I41" s="56"/>
      <c r="J41" s="291">
        <v>8</v>
      </c>
      <c r="K41" s="291"/>
      <c r="L41" s="60"/>
      <c r="M41" s="56"/>
      <c r="N41" s="56"/>
      <c r="O41" s="291">
        <v>8</v>
      </c>
      <c r="P41" s="19"/>
      <c r="Q41" s="60"/>
      <c r="R41" s="56"/>
      <c r="S41" s="56"/>
      <c r="T41" s="291">
        <v>8</v>
      </c>
      <c r="U41" s="19"/>
      <c r="V41" s="60"/>
      <c r="W41" s="56"/>
      <c r="X41" s="56"/>
      <c r="Y41" s="291">
        <v>8</v>
      </c>
      <c r="Z41" s="19"/>
      <c r="AA41" s="28">
        <f>SUM(E41+J41+O41+T41+Y41)</f>
        <v>32</v>
      </c>
      <c r="AB41" s="282">
        <f>Z41+U41+P41+K41+F41</f>
        <v>0</v>
      </c>
      <c r="AC41" s="4"/>
      <c r="AD41" s="56"/>
      <c r="AE41" s="56"/>
      <c r="AF41" s="19"/>
      <c r="AG41" s="29">
        <f>AF41</f>
        <v>0</v>
      </c>
      <c r="AH41" s="4"/>
      <c r="AI41" s="255"/>
      <c r="AK41" s="193"/>
      <c r="AL41" s="193"/>
      <c r="AM41" s="193"/>
      <c r="AN41" s="193"/>
      <c r="AO41" s="193"/>
      <c r="AP41" s="193"/>
    </row>
    <row r="42" spans="1:42" s="180" customFormat="1">
      <c r="B42" s="63" t="s">
        <v>64</v>
      </c>
      <c r="C42" s="56"/>
      <c r="D42" s="56"/>
      <c r="E42" s="19">
        <v>0</v>
      </c>
      <c r="F42" s="291"/>
      <c r="G42" s="60"/>
      <c r="H42" s="56"/>
      <c r="I42" s="56"/>
      <c r="J42" s="291">
        <v>0</v>
      </c>
      <c r="K42" s="291"/>
      <c r="L42" s="60"/>
      <c r="M42" s="56"/>
      <c r="N42" s="56"/>
      <c r="O42" s="291">
        <v>0</v>
      </c>
      <c r="P42" s="19"/>
      <c r="Q42" s="60"/>
      <c r="R42" s="56"/>
      <c r="S42" s="56"/>
      <c r="T42" s="291">
        <v>0</v>
      </c>
      <c r="U42" s="19"/>
      <c r="V42" s="60"/>
      <c r="W42" s="56"/>
      <c r="X42" s="56"/>
      <c r="Y42" s="291">
        <v>0</v>
      </c>
      <c r="Z42" s="19"/>
      <c r="AA42" s="28">
        <f>SUM(E42+J42+O42+T42+Y42)</f>
        <v>0</v>
      </c>
      <c r="AB42" s="282">
        <f>Z42+U42+P42+K42+F42</f>
        <v>0</v>
      </c>
      <c r="AC42" s="4"/>
      <c r="AD42" s="56"/>
      <c r="AE42" s="56"/>
      <c r="AF42" s="19"/>
      <c r="AG42" s="29">
        <f>AF42</f>
        <v>0</v>
      </c>
      <c r="AH42" s="4"/>
      <c r="AI42" s="255"/>
      <c r="AK42" s="193"/>
      <c r="AL42" s="193"/>
      <c r="AM42" s="193"/>
      <c r="AN42" s="193"/>
      <c r="AO42" s="193"/>
      <c r="AP42" s="193"/>
    </row>
    <row r="43" spans="1:42" s="180" customFormat="1" ht="14.25" thickBot="1">
      <c r="B43" s="268" t="s">
        <v>65</v>
      </c>
      <c r="C43" s="75"/>
      <c r="D43" s="75"/>
      <c r="E43" s="77">
        <v>0</v>
      </c>
      <c r="F43" s="292"/>
      <c r="G43" s="81"/>
      <c r="H43" s="75"/>
      <c r="I43" s="75"/>
      <c r="J43" s="292">
        <v>4</v>
      </c>
      <c r="K43" s="292"/>
      <c r="L43" s="81"/>
      <c r="M43" s="75"/>
      <c r="N43" s="75"/>
      <c r="O43" s="292">
        <v>4</v>
      </c>
      <c r="P43" s="77"/>
      <c r="Q43" s="81"/>
      <c r="R43" s="75"/>
      <c r="S43" s="75"/>
      <c r="T43" s="292">
        <v>4</v>
      </c>
      <c r="U43" s="77"/>
      <c r="V43" s="81"/>
      <c r="W43" s="75"/>
      <c r="X43" s="75"/>
      <c r="Y43" s="292">
        <v>4</v>
      </c>
      <c r="Z43" s="77"/>
      <c r="AA43" s="80">
        <f>SUM(E43+J43+O43+T43+Y43)</f>
        <v>16</v>
      </c>
      <c r="AB43" s="294">
        <f>Z43+U43+P43+K43+F43</f>
        <v>0</v>
      </c>
      <c r="AC43" s="4"/>
      <c r="AD43" s="75"/>
      <c r="AE43" s="75"/>
      <c r="AF43" s="77"/>
      <c r="AG43" s="276">
        <v>0</v>
      </c>
      <c r="AH43" s="4"/>
      <c r="AI43" s="255"/>
      <c r="AK43" s="193"/>
      <c r="AL43" s="193"/>
      <c r="AM43" s="193"/>
      <c r="AN43" s="193"/>
      <c r="AO43" s="193"/>
      <c r="AP43" s="193"/>
    </row>
    <row r="44" spans="1:42" s="180" customFormat="1" ht="14.25" thickTop="1">
      <c r="B44" s="71" t="s">
        <v>66</v>
      </c>
      <c r="C44" s="371"/>
      <c r="D44" s="371"/>
      <c r="E44" s="71">
        <f>SUM(E40:E43)</f>
        <v>0</v>
      </c>
      <c r="F44" s="372"/>
      <c r="G44" s="372"/>
      <c r="H44" s="371"/>
      <c r="I44" s="371"/>
      <c r="J44" s="71">
        <f>SUM(J40:J43)</f>
        <v>20</v>
      </c>
      <c r="K44" s="372"/>
      <c r="L44" s="372"/>
      <c r="M44" s="371"/>
      <c r="N44" s="371"/>
      <c r="O44" s="71">
        <f>SUM(O40:O43)</f>
        <v>20</v>
      </c>
      <c r="P44" s="372"/>
      <c r="Q44" s="372"/>
      <c r="R44" s="371"/>
      <c r="S44" s="371"/>
      <c r="T44" s="71">
        <f>SUM(T40:T43)</f>
        <v>20</v>
      </c>
      <c r="U44" s="372"/>
      <c r="V44" s="372"/>
      <c r="W44" s="371"/>
      <c r="X44" s="371"/>
      <c r="Y44" s="66">
        <f>SUM(Y40:Y43)</f>
        <v>20</v>
      </c>
      <c r="Z44" s="372"/>
      <c r="AA44" s="370">
        <f>SUM(AA40:AA43)</f>
        <v>80</v>
      </c>
      <c r="AB44" s="370">
        <f>SUM(AB40:AB43)</f>
        <v>0</v>
      </c>
      <c r="AC44" s="4"/>
      <c r="AG44" s="370">
        <f>SUM(AG42:AG43)</f>
        <v>0</v>
      </c>
      <c r="AH44" s="4"/>
      <c r="AI44" s="255"/>
      <c r="AK44" s="193"/>
      <c r="AL44" s="193"/>
      <c r="AM44" s="193"/>
      <c r="AN44" s="193"/>
      <c r="AO44" s="193"/>
      <c r="AP44" s="193"/>
    </row>
    <row r="45" spans="1:42" s="180" customFormat="1" ht="13.5" customHeight="1">
      <c r="A45" s="11"/>
      <c r="B45" s="217" t="s">
        <v>67</v>
      </c>
      <c r="C45" s="207">
        <f>C46+C47+14+14</f>
        <v>79</v>
      </c>
      <c r="D45" s="207"/>
      <c r="E45" s="209"/>
      <c r="F45" s="209"/>
      <c r="G45" s="207"/>
      <c r="H45" s="209"/>
      <c r="I45" s="209"/>
      <c r="J45" s="209"/>
      <c r="K45" s="209"/>
      <c r="L45" s="207"/>
      <c r="M45" s="207"/>
      <c r="N45" s="207"/>
      <c r="O45" s="207"/>
      <c r="P45" s="209"/>
      <c r="Q45" s="207"/>
      <c r="R45" s="207"/>
      <c r="S45" s="207"/>
      <c r="T45" s="207"/>
      <c r="U45" s="209"/>
      <c r="V45" s="207"/>
      <c r="W45" s="207"/>
      <c r="X45" s="207"/>
      <c r="Y45" s="210"/>
      <c r="Z45" s="209"/>
      <c r="AA45" s="211"/>
      <c r="AB45" s="209"/>
      <c r="AC45" s="211"/>
      <c r="AD45" s="211"/>
      <c r="AE45" s="211"/>
      <c r="AF45" s="211"/>
      <c r="AG45" s="211"/>
      <c r="AH45" s="4"/>
      <c r="AI45" s="255"/>
      <c r="AK45" s="193"/>
      <c r="AL45" s="193"/>
      <c r="AM45" s="193"/>
      <c r="AN45" s="193"/>
      <c r="AO45" s="193"/>
      <c r="AP45" s="193"/>
    </row>
    <row r="46" spans="1:42" s="180" customFormat="1">
      <c r="A46" s="11"/>
      <c r="B46" s="238" t="s">
        <v>68</v>
      </c>
      <c r="C46" s="239">
        <f>14+6+13</f>
        <v>33</v>
      </c>
      <c r="D46" s="207"/>
      <c r="E46" s="209"/>
      <c r="F46" s="209"/>
      <c r="G46" s="207"/>
      <c r="H46" s="209"/>
      <c r="I46" s="209"/>
      <c r="J46" s="209"/>
      <c r="K46" s="209"/>
      <c r="L46" s="207"/>
      <c r="M46" s="207"/>
      <c r="N46" s="207"/>
      <c r="O46" s="207"/>
      <c r="P46" s="209"/>
      <c r="Q46" s="207"/>
      <c r="R46" s="207"/>
      <c r="S46" s="207"/>
      <c r="T46" s="207"/>
      <c r="U46" s="209"/>
      <c r="V46" s="207"/>
      <c r="W46" s="207"/>
      <c r="X46" s="207"/>
      <c r="Y46" s="210"/>
      <c r="Z46" s="209"/>
      <c r="AA46" s="211"/>
      <c r="AB46" s="209"/>
      <c r="AC46" s="211"/>
      <c r="AD46" s="211"/>
      <c r="AE46" s="211"/>
      <c r="AF46" s="211"/>
      <c r="AG46" s="211"/>
      <c r="AH46" s="4"/>
      <c r="AI46" s="255"/>
      <c r="AK46" s="193"/>
      <c r="AL46" s="193"/>
      <c r="AM46" s="193"/>
      <c r="AN46" s="193"/>
      <c r="AO46" s="193"/>
      <c r="AP46" s="193"/>
    </row>
    <row r="47" spans="1:42" s="180" customFormat="1">
      <c r="A47" s="11"/>
      <c r="B47" s="238" t="s">
        <v>69</v>
      </c>
      <c r="C47" s="239">
        <f>2+16</f>
        <v>18</v>
      </c>
      <c r="D47" s="207"/>
      <c r="E47" s="209"/>
      <c r="F47" s="209"/>
      <c r="G47" s="207"/>
      <c r="H47" s="209"/>
      <c r="I47" s="209"/>
      <c r="J47" s="209"/>
      <c r="K47" s="209"/>
      <c r="L47" s="207"/>
      <c r="M47" s="207"/>
      <c r="N47" s="207"/>
      <c r="O47" s="207"/>
      <c r="P47" s="209"/>
      <c r="Q47" s="207"/>
      <c r="R47" s="207"/>
      <c r="S47" s="207"/>
      <c r="T47" s="207"/>
      <c r="U47" s="209"/>
      <c r="V47" s="207"/>
      <c r="W47" s="207"/>
      <c r="X47" s="207"/>
      <c r="Y47" s="210"/>
      <c r="Z47" s="209"/>
      <c r="AA47" s="211"/>
      <c r="AB47" s="209"/>
      <c r="AC47" s="211"/>
      <c r="AD47" s="211"/>
      <c r="AE47" s="211"/>
      <c r="AF47" s="211"/>
      <c r="AG47" s="211"/>
      <c r="AH47" s="4"/>
      <c r="AI47" s="255"/>
      <c r="AK47" s="193"/>
      <c r="AL47" s="193"/>
      <c r="AM47" s="193"/>
      <c r="AN47" s="193"/>
      <c r="AO47" s="193"/>
      <c r="AP47" s="193"/>
    </row>
    <row r="48" spans="1:42" s="180" customFormat="1">
      <c r="A48" s="11"/>
      <c r="B48" s="218"/>
      <c r="C48" s="219"/>
      <c r="D48" s="219"/>
      <c r="E48" s="221"/>
      <c r="F48" s="221"/>
      <c r="G48" s="219"/>
      <c r="H48" s="221"/>
      <c r="I48" s="221"/>
      <c r="J48" s="221"/>
      <c r="K48" s="221"/>
      <c r="L48" s="219"/>
      <c r="M48" s="219"/>
      <c r="N48" s="219"/>
      <c r="O48" s="219"/>
      <c r="P48" s="221"/>
      <c r="Q48" s="219"/>
      <c r="R48" s="219"/>
      <c r="S48" s="219"/>
      <c r="T48" s="219"/>
      <c r="U48" s="221"/>
      <c r="V48" s="219"/>
      <c r="W48" s="219"/>
      <c r="X48" s="219"/>
      <c r="Y48" s="222"/>
      <c r="Z48" s="221"/>
      <c r="AA48" s="223"/>
      <c r="AB48" s="221"/>
      <c r="AC48" s="189"/>
      <c r="AD48" s="193"/>
      <c r="AE48" s="193"/>
      <c r="AF48" s="193"/>
      <c r="AG48" s="193"/>
      <c r="AH48" s="4"/>
      <c r="AI48" s="255"/>
      <c r="AK48" s="193"/>
      <c r="AL48" s="193"/>
      <c r="AM48" s="193"/>
      <c r="AN48" s="193"/>
      <c r="AO48" s="193"/>
      <c r="AP48" s="193"/>
    </row>
    <row r="49" spans="1:42" s="255" customFormat="1" ht="4.5" customHeight="1">
      <c r="A49" s="228"/>
      <c r="B49" s="229"/>
      <c r="C49" s="230"/>
      <c r="D49" s="230"/>
      <c r="E49" s="232"/>
      <c r="F49" s="232"/>
      <c r="G49" s="230"/>
      <c r="H49" s="232"/>
      <c r="I49" s="232"/>
      <c r="J49" s="232"/>
      <c r="K49" s="232"/>
      <c r="L49" s="230"/>
      <c r="M49" s="230"/>
      <c r="N49" s="230"/>
      <c r="O49" s="230"/>
      <c r="P49" s="232"/>
      <c r="Q49" s="230"/>
      <c r="R49" s="230"/>
      <c r="S49" s="230"/>
      <c r="T49" s="230"/>
      <c r="U49" s="232"/>
      <c r="V49" s="230"/>
      <c r="W49" s="230"/>
      <c r="X49" s="230"/>
      <c r="Y49" s="233"/>
      <c r="Z49" s="232"/>
      <c r="AA49" s="234"/>
      <c r="AB49" s="232"/>
      <c r="AC49" s="373"/>
      <c r="AD49" s="236"/>
      <c r="AH49" s="373"/>
    </row>
    <row r="50" spans="1:42" s="193" customFormat="1">
      <c r="A50" s="224"/>
      <c r="B50" s="214"/>
      <c r="C50" s="364"/>
      <c r="D50" s="364"/>
      <c r="E50" s="214"/>
      <c r="F50" s="214"/>
      <c r="G50" s="364"/>
      <c r="H50" s="214"/>
      <c r="I50" s="214"/>
      <c r="J50" s="214"/>
      <c r="K50" s="214"/>
      <c r="L50" s="364"/>
      <c r="M50" s="364"/>
      <c r="N50" s="364"/>
      <c r="O50" s="364"/>
      <c r="P50" s="214"/>
      <c r="Q50" s="364"/>
      <c r="R50" s="364"/>
      <c r="S50" s="364"/>
      <c r="T50" s="364"/>
      <c r="U50" s="214"/>
      <c r="V50" s="364"/>
      <c r="W50" s="364"/>
      <c r="X50" s="364"/>
      <c r="Y50" s="216"/>
      <c r="Z50" s="214"/>
      <c r="AA50" s="225"/>
      <c r="AB50" s="214"/>
      <c r="AC50" s="189"/>
      <c r="AH50" s="4"/>
      <c r="AI50" s="255"/>
      <c r="AJ50" s="180"/>
    </row>
    <row r="51" spans="1:42" s="180" customFormat="1" ht="13.5" customHeight="1">
      <c r="B51" s="1518" t="s">
        <v>18</v>
      </c>
      <c r="C51" s="1519">
        <v>45180</v>
      </c>
      <c r="D51" s="1519"/>
      <c r="E51" s="1519"/>
      <c r="F51" s="1519"/>
      <c r="G51" s="365"/>
      <c r="H51" s="1519">
        <v>45181</v>
      </c>
      <c r="I51" s="1519"/>
      <c r="J51" s="1519"/>
      <c r="K51" s="1519"/>
      <c r="L51" s="365"/>
      <c r="M51" s="1519">
        <v>45182</v>
      </c>
      <c r="N51" s="1519"/>
      <c r="O51" s="1519"/>
      <c r="P51" s="1519"/>
      <c r="Q51" s="365"/>
      <c r="R51" s="1519">
        <v>45183</v>
      </c>
      <c r="S51" s="1519"/>
      <c r="T51" s="1519"/>
      <c r="U51" s="1519"/>
      <c r="V51" s="365"/>
      <c r="W51" s="1519">
        <v>45184</v>
      </c>
      <c r="X51" s="1519"/>
      <c r="Y51" s="1519"/>
      <c r="Z51" s="1519"/>
      <c r="AA51" s="1517" t="s">
        <v>19</v>
      </c>
      <c r="AB51" s="1517" t="s">
        <v>20</v>
      </c>
      <c r="AC51" s="4"/>
      <c r="AD51" s="1519">
        <v>45185</v>
      </c>
      <c r="AE51" s="1519"/>
      <c r="AF51" s="1519"/>
      <c r="AG51" s="1517" t="s">
        <v>21</v>
      </c>
      <c r="AH51" s="4"/>
      <c r="AI51" s="255"/>
      <c r="AK51" s="194" t="s">
        <v>70</v>
      </c>
      <c r="AL51" s="366"/>
      <c r="AM51" s="366"/>
      <c r="AN51" s="366"/>
      <c r="AO51" s="366"/>
      <c r="AP51" s="366"/>
    </row>
    <row r="52" spans="1:42" s="367" customFormat="1">
      <c r="B52" s="1518"/>
      <c r="C52" s="21" t="s">
        <v>23</v>
      </c>
      <c r="D52" s="21" t="s">
        <v>24</v>
      </c>
      <c r="E52" s="205" t="s">
        <v>25</v>
      </c>
      <c r="F52" s="18" t="s">
        <v>14</v>
      </c>
      <c r="G52" s="4"/>
      <c r="H52" s="21" t="s">
        <v>23</v>
      </c>
      <c r="I52" s="21" t="s">
        <v>24</v>
      </c>
      <c r="J52" s="18" t="s">
        <v>25</v>
      </c>
      <c r="K52" s="18" t="s">
        <v>14</v>
      </c>
      <c r="L52" s="4"/>
      <c r="M52" s="21" t="s">
        <v>23</v>
      </c>
      <c r="N52" s="21" t="s">
        <v>24</v>
      </c>
      <c r="O52" s="18" t="s">
        <v>25</v>
      </c>
      <c r="P52" s="18" t="s">
        <v>14</v>
      </c>
      <c r="Q52" s="4"/>
      <c r="R52" s="21" t="s">
        <v>23</v>
      </c>
      <c r="S52" s="21" t="s">
        <v>24</v>
      </c>
      <c r="T52" s="18" t="s">
        <v>25</v>
      </c>
      <c r="U52" s="18" t="s">
        <v>14</v>
      </c>
      <c r="V52" s="4"/>
      <c r="W52" s="21" t="s">
        <v>23</v>
      </c>
      <c r="X52" s="21" t="s">
        <v>24</v>
      </c>
      <c r="Y52" s="18" t="s">
        <v>25</v>
      </c>
      <c r="Z52" s="18" t="s">
        <v>14</v>
      </c>
      <c r="AA52" s="1517"/>
      <c r="AB52" s="1517"/>
      <c r="AC52" s="4"/>
      <c r="AD52" s="21" t="s">
        <v>23</v>
      </c>
      <c r="AE52" s="21" t="s">
        <v>24</v>
      </c>
      <c r="AF52" s="18" t="s">
        <v>25</v>
      </c>
      <c r="AG52" s="1517"/>
      <c r="AH52" s="175"/>
      <c r="AI52" s="368"/>
      <c r="AK52" s="188" t="s">
        <v>26</v>
      </c>
      <c r="AL52" s="389">
        <f>AA78</f>
        <v>806.25</v>
      </c>
      <c r="AM52" s="193"/>
      <c r="AN52" s="193"/>
      <c r="AO52" s="193"/>
      <c r="AP52" s="193"/>
    </row>
    <row r="53" spans="1:42" s="367" customFormat="1">
      <c r="B53" s="171" t="s">
        <v>56</v>
      </c>
      <c r="C53" s="172">
        <v>0.36458333333333331</v>
      </c>
      <c r="D53" s="172">
        <v>0.20833333333333334</v>
      </c>
      <c r="E53" s="173">
        <v>7.25</v>
      </c>
      <c r="F53" s="277"/>
      <c r="G53" s="175"/>
      <c r="H53" s="172">
        <v>0.35416666666666669</v>
      </c>
      <c r="I53" s="172">
        <v>0.20833333333333334</v>
      </c>
      <c r="J53" s="173">
        <v>7.5</v>
      </c>
      <c r="K53" s="277"/>
      <c r="L53" s="175"/>
      <c r="M53" s="172">
        <v>0.35416666666666669</v>
      </c>
      <c r="N53" s="172">
        <v>0.20833333333333334</v>
      </c>
      <c r="O53" s="173">
        <v>7.5</v>
      </c>
      <c r="P53" s="277"/>
      <c r="Q53" s="175"/>
      <c r="R53" s="172">
        <v>0.38541666666666669</v>
      </c>
      <c r="S53" s="172">
        <v>0.20833333333333334</v>
      </c>
      <c r="T53" s="173">
        <v>6.75</v>
      </c>
      <c r="U53" s="277"/>
      <c r="V53" s="175"/>
      <c r="W53" s="172">
        <v>0.36458333333333331</v>
      </c>
      <c r="X53" s="172">
        <v>0.20833333333333334</v>
      </c>
      <c r="Y53" s="173">
        <v>7.25</v>
      </c>
      <c r="Z53" s="277"/>
      <c r="AA53" s="28">
        <f>(E53+J53+O53+T53+Y53)</f>
        <v>36.25</v>
      </c>
      <c r="AB53" s="298">
        <f t="shared" ref="AB53:AB77" si="6">Z53+U53+P53+K53+F53</f>
        <v>0</v>
      </c>
      <c r="AC53" s="175"/>
      <c r="AD53" s="175">
        <v>0</v>
      </c>
      <c r="AE53" s="175">
        <v>0</v>
      </c>
      <c r="AF53" s="173">
        <v>0</v>
      </c>
      <c r="AG53" s="28">
        <f t="shared" ref="AG53:AG69" si="7">AF53</f>
        <v>0</v>
      </c>
      <c r="AH53" s="175"/>
      <c r="AI53" s="368"/>
      <c r="AK53" s="188" t="s">
        <v>30</v>
      </c>
      <c r="AL53" s="389">
        <f>AB78</f>
        <v>23</v>
      </c>
      <c r="AM53" s="193"/>
      <c r="AN53" s="193"/>
      <c r="AO53" s="193"/>
      <c r="AP53" s="193"/>
    </row>
    <row r="54" spans="1:42" s="367" customFormat="1">
      <c r="B54" s="171" t="s">
        <v>31</v>
      </c>
      <c r="C54" s="172">
        <v>0.35416666666666669</v>
      </c>
      <c r="D54" s="172">
        <v>0.20833333333333334</v>
      </c>
      <c r="E54" s="173">
        <v>7.5</v>
      </c>
      <c r="F54" s="277"/>
      <c r="G54" s="175"/>
      <c r="H54" s="172">
        <v>0.34375</v>
      </c>
      <c r="I54" s="172">
        <v>0.22916666666666666</v>
      </c>
      <c r="J54" s="173">
        <v>8</v>
      </c>
      <c r="K54" s="277">
        <v>0.25</v>
      </c>
      <c r="L54" s="175"/>
      <c r="M54" s="172">
        <v>0.34375</v>
      </c>
      <c r="N54" s="172">
        <v>0.20833333333333334</v>
      </c>
      <c r="O54" s="173">
        <v>7.75</v>
      </c>
      <c r="P54" s="277"/>
      <c r="Q54" s="175"/>
      <c r="R54" s="175">
        <v>0</v>
      </c>
      <c r="S54" s="175">
        <v>0</v>
      </c>
      <c r="T54" s="173">
        <v>0</v>
      </c>
      <c r="U54" s="277"/>
      <c r="V54" s="175"/>
      <c r="W54" s="172">
        <v>0.33333333333333331</v>
      </c>
      <c r="X54" s="172">
        <v>0.20833333333333334</v>
      </c>
      <c r="Y54" s="173">
        <v>8</v>
      </c>
      <c r="Z54" s="277"/>
      <c r="AA54" s="28">
        <f t="shared" ref="AA54:AA59" si="8">(E54+J54+O54+T54+Y54)</f>
        <v>31.25</v>
      </c>
      <c r="AB54" s="298">
        <f>Z54+U54+P54+K54+F54</f>
        <v>0.25</v>
      </c>
      <c r="AC54" s="175"/>
      <c r="AD54" s="175">
        <v>0</v>
      </c>
      <c r="AE54" s="175">
        <v>0</v>
      </c>
      <c r="AF54" s="173">
        <v>0</v>
      </c>
      <c r="AG54" s="28">
        <f t="shared" si="7"/>
        <v>0</v>
      </c>
      <c r="AH54" s="175"/>
      <c r="AI54" s="368"/>
      <c r="AK54" s="188" t="s">
        <v>32</v>
      </c>
      <c r="AL54" s="389">
        <f>AG78</f>
        <v>39.75</v>
      </c>
      <c r="AM54" s="193"/>
      <c r="AN54" s="193"/>
      <c r="AO54" s="193"/>
      <c r="AP54" s="193"/>
    </row>
    <row r="55" spans="1:42" s="367" customFormat="1">
      <c r="B55" s="171" t="s">
        <v>33</v>
      </c>
      <c r="C55" s="261">
        <v>0</v>
      </c>
      <c r="D55" s="261">
        <v>0</v>
      </c>
      <c r="E55" s="173">
        <v>0</v>
      </c>
      <c r="F55" s="277"/>
      <c r="G55" s="175"/>
      <c r="H55" s="172">
        <v>0.36458333333333331</v>
      </c>
      <c r="I55" s="172">
        <v>0.20833333333333334</v>
      </c>
      <c r="J55" s="173">
        <v>7.25</v>
      </c>
      <c r="K55" s="277"/>
      <c r="L55" s="175"/>
      <c r="M55" s="172">
        <v>0.375</v>
      </c>
      <c r="N55" s="172">
        <v>0.20833333333333334</v>
      </c>
      <c r="O55" s="173">
        <v>7</v>
      </c>
      <c r="P55" s="277"/>
      <c r="Q55" s="175"/>
      <c r="R55" s="172">
        <v>0.34375</v>
      </c>
      <c r="S55" s="172">
        <v>0.20833333333333334</v>
      </c>
      <c r="T55" s="173">
        <v>7.75</v>
      </c>
      <c r="U55" s="277"/>
      <c r="V55" s="175"/>
      <c r="W55" s="355">
        <v>0.34375</v>
      </c>
      <c r="X55" s="172">
        <v>0.20833333333333334</v>
      </c>
      <c r="Y55" s="173">
        <v>7.75</v>
      </c>
      <c r="Z55" s="277"/>
      <c r="AA55" s="28">
        <f t="shared" si="8"/>
        <v>29.75</v>
      </c>
      <c r="AB55" s="298">
        <f t="shared" si="6"/>
        <v>0</v>
      </c>
      <c r="AC55" s="175"/>
      <c r="AD55" s="175">
        <v>0</v>
      </c>
      <c r="AE55" s="175">
        <v>0</v>
      </c>
      <c r="AF55" s="173">
        <v>0</v>
      </c>
      <c r="AG55" s="28">
        <f t="shared" si="7"/>
        <v>0</v>
      </c>
      <c r="AH55" s="175"/>
      <c r="AI55" s="368"/>
      <c r="AK55" s="188" t="s">
        <v>34</v>
      </c>
      <c r="AL55" s="389">
        <f>AA83</f>
        <v>100</v>
      </c>
      <c r="AM55" s="193"/>
      <c r="AN55" s="193"/>
      <c r="AO55" s="193"/>
      <c r="AP55" s="193"/>
    </row>
    <row r="56" spans="1:42" s="180" customFormat="1">
      <c r="B56" s="13" t="s">
        <v>35</v>
      </c>
      <c r="C56" s="353">
        <v>0.32291666666666669</v>
      </c>
      <c r="D56" s="353">
        <v>0.20833333333333334</v>
      </c>
      <c r="E56" s="319">
        <v>8.25</v>
      </c>
      <c r="F56" s="277"/>
      <c r="G56" s="175"/>
      <c r="H56" s="47">
        <v>0.35416666666666669</v>
      </c>
      <c r="I56" s="47">
        <v>0.20833333333333334</v>
      </c>
      <c r="J56" s="319">
        <v>7.5</v>
      </c>
      <c r="K56" s="277"/>
      <c r="L56" s="175"/>
      <c r="M56" s="47">
        <v>0.34375</v>
      </c>
      <c r="N56" s="47">
        <v>0.20833333333333334</v>
      </c>
      <c r="O56" s="319">
        <v>7.75</v>
      </c>
      <c r="P56" s="277"/>
      <c r="Q56" s="175"/>
      <c r="R56" s="47">
        <v>0.3125</v>
      </c>
      <c r="S56" s="47">
        <v>0.20833333333333334</v>
      </c>
      <c r="T56" s="319">
        <v>8</v>
      </c>
      <c r="U56" s="277">
        <v>0.5</v>
      </c>
      <c r="V56" s="175"/>
      <c r="W56" s="47">
        <v>0.32291666666666669</v>
      </c>
      <c r="X56" s="47">
        <v>0.20833333333333334</v>
      </c>
      <c r="Y56" s="319">
        <v>8</v>
      </c>
      <c r="Z56" s="277">
        <v>0.25</v>
      </c>
      <c r="AA56" s="328">
        <f t="shared" si="8"/>
        <v>39.5</v>
      </c>
      <c r="AB56" s="298">
        <f t="shared" si="6"/>
        <v>0.75</v>
      </c>
      <c r="AC56" s="175"/>
      <c r="AD56" s="376">
        <v>0.38541666666666669</v>
      </c>
      <c r="AE56" s="376">
        <v>0.20833333333333334</v>
      </c>
      <c r="AF56" s="19">
        <v>7.75</v>
      </c>
      <c r="AG56" s="344">
        <f t="shared" si="7"/>
        <v>7.75</v>
      </c>
      <c r="AH56" s="4"/>
      <c r="AI56" s="255"/>
      <c r="AK56" s="188" t="s">
        <v>36</v>
      </c>
      <c r="AL56" s="389">
        <f>AB83</f>
        <v>20.25</v>
      </c>
      <c r="AM56" s="193"/>
      <c r="AN56" s="193"/>
      <c r="AO56" s="193"/>
      <c r="AP56" s="193"/>
    </row>
    <row r="57" spans="1:42" s="367" customFormat="1">
      <c r="B57" s="13" t="s">
        <v>37</v>
      </c>
      <c r="C57" s="353">
        <v>0.34375</v>
      </c>
      <c r="D57" s="353">
        <v>0.20833333333333334</v>
      </c>
      <c r="E57" s="319">
        <v>7.75</v>
      </c>
      <c r="F57" s="277"/>
      <c r="G57" s="175"/>
      <c r="H57" s="47">
        <v>0.34375</v>
      </c>
      <c r="I57" s="47">
        <v>0.20833333333333334</v>
      </c>
      <c r="J57" s="319">
        <v>7.75</v>
      </c>
      <c r="K57" s="277"/>
      <c r="L57" s="175"/>
      <c r="M57" s="47">
        <v>0.33333333333333331</v>
      </c>
      <c r="N57" s="47">
        <v>0.20833333333333334</v>
      </c>
      <c r="O57" s="319">
        <v>8</v>
      </c>
      <c r="P57" s="277"/>
      <c r="Q57" s="175"/>
      <c r="R57" s="47">
        <v>0.35416666666666669</v>
      </c>
      <c r="S57" s="47">
        <v>0.20833333333333334</v>
      </c>
      <c r="T57" s="319">
        <v>7.5</v>
      </c>
      <c r="U57" s="277"/>
      <c r="V57" s="175"/>
      <c r="W57" s="47">
        <v>0.34375</v>
      </c>
      <c r="X57" s="47">
        <v>0.20833333333333334</v>
      </c>
      <c r="Y57" s="319">
        <v>7.75</v>
      </c>
      <c r="Z57" s="277"/>
      <c r="AA57" s="328">
        <f t="shared" si="8"/>
        <v>38.75</v>
      </c>
      <c r="AB57" s="298">
        <f t="shared" si="6"/>
        <v>0</v>
      </c>
      <c r="AC57" s="175"/>
      <c r="AD57" s="345">
        <v>0</v>
      </c>
      <c r="AE57" s="345">
        <v>0</v>
      </c>
      <c r="AF57" s="346">
        <v>0</v>
      </c>
      <c r="AG57" s="344">
        <f t="shared" si="7"/>
        <v>0</v>
      </c>
      <c r="AH57" s="175"/>
      <c r="AI57" s="368"/>
      <c r="AK57" s="188" t="s">
        <v>38</v>
      </c>
      <c r="AL57" s="389">
        <f>AG83</f>
        <v>1</v>
      </c>
      <c r="AM57" s="193"/>
      <c r="AN57" s="193"/>
      <c r="AO57" s="193"/>
      <c r="AP57" s="193"/>
    </row>
    <row r="58" spans="1:42" s="180" customFormat="1">
      <c r="B58" s="13" t="s">
        <v>39</v>
      </c>
      <c r="C58" s="353">
        <v>0.36458333333333331</v>
      </c>
      <c r="D58" s="353">
        <v>0.20833333333333334</v>
      </c>
      <c r="E58" s="19">
        <v>7.25</v>
      </c>
      <c r="F58" s="277"/>
      <c r="G58" s="4"/>
      <c r="H58" s="47">
        <v>0.375</v>
      </c>
      <c r="I58" s="47">
        <v>0.20833333333333334</v>
      </c>
      <c r="J58" s="319">
        <v>7</v>
      </c>
      <c r="K58" s="277"/>
      <c r="L58" s="4"/>
      <c r="M58" s="47">
        <v>0.29166666666666669</v>
      </c>
      <c r="N58" s="47">
        <v>0.20833333333333334</v>
      </c>
      <c r="O58" s="319">
        <v>8</v>
      </c>
      <c r="P58" s="277">
        <v>1</v>
      </c>
      <c r="Q58" s="4"/>
      <c r="R58" s="47">
        <v>0.375</v>
      </c>
      <c r="S58" s="47">
        <v>0.20833333333333334</v>
      </c>
      <c r="T58" s="319">
        <v>7</v>
      </c>
      <c r="U58" s="277"/>
      <c r="V58" s="4"/>
      <c r="W58" s="4">
        <v>0</v>
      </c>
      <c r="X58" s="4">
        <v>0</v>
      </c>
      <c r="Y58" s="319">
        <v>0</v>
      </c>
      <c r="Z58" s="277"/>
      <c r="AA58" s="328">
        <f t="shared" si="8"/>
        <v>29.25</v>
      </c>
      <c r="AB58" s="298">
        <f t="shared" si="6"/>
        <v>1</v>
      </c>
      <c r="AC58" s="4"/>
      <c r="AD58" s="4">
        <v>0</v>
      </c>
      <c r="AE58" s="4">
        <v>0</v>
      </c>
      <c r="AF58" s="19">
        <v>0</v>
      </c>
      <c r="AG58" s="29">
        <f t="shared" si="7"/>
        <v>0</v>
      </c>
      <c r="AH58" s="4"/>
      <c r="AI58" s="255"/>
      <c r="AK58" s="188" t="s">
        <v>41</v>
      </c>
      <c r="AL58" s="389">
        <f>C84</f>
        <v>109</v>
      </c>
      <c r="AM58" s="193"/>
      <c r="AN58" s="369"/>
      <c r="AO58" s="369"/>
      <c r="AP58" s="369"/>
    </row>
    <row r="59" spans="1:42" s="180" customFormat="1">
      <c r="B59" s="164" t="s">
        <v>40</v>
      </c>
      <c r="C59" s="353">
        <v>0.34375</v>
      </c>
      <c r="D59" s="353">
        <v>0.20833333333333334</v>
      </c>
      <c r="E59" s="19">
        <v>7.75</v>
      </c>
      <c r="F59" s="277"/>
      <c r="G59" s="4"/>
      <c r="H59" s="47">
        <v>0.36458333333333331</v>
      </c>
      <c r="I59" s="47">
        <v>0.20833333333333334</v>
      </c>
      <c r="J59" s="319">
        <v>7.25</v>
      </c>
      <c r="K59" s="277"/>
      <c r="L59" s="4"/>
      <c r="M59" s="47">
        <v>0.35416666666666669</v>
      </c>
      <c r="N59" s="47">
        <v>0.20833333333333334</v>
      </c>
      <c r="O59" s="319">
        <v>7.5</v>
      </c>
      <c r="P59" s="277"/>
      <c r="Q59" s="4"/>
      <c r="R59" s="47">
        <v>0.36458333333333331</v>
      </c>
      <c r="S59" s="47">
        <v>0.20833333333333334</v>
      </c>
      <c r="T59" s="319">
        <v>7.25</v>
      </c>
      <c r="U59" s="277"/>
      <c r="V59" s="4"/>
      <c r="W59" s="47">
        <v>0.35416666666666669</v>
      </c>
      <c r="X59" s="47">
        <v>0.20833333333333334</v>
      </c>
      <c r="Y59" s="319">
        <v>7.5</v>
      </c>
      <c r="Z59" s="277"/>
      <c r="AA59" s="328">
        <f t="shared" si="8"/>
        <v>37.25</v>
      </c>
      <c r="AB59" s="298">
        <f t="shared" si="6"/>
        <v>0</v>
      </c>
      <c r="AC59" s="4"/>
      <c r="AD59" s="4">
        <v>0</v>
      </c>
      <c r="AE59" s="4">
        <v>0</v>
      </c>
      <c r="AF59" s="19">
        <v>0</v>
      </c>
      <c r="AG59" s="29">
        <f t="shared" si="7"/>
        <v>0</v>
      </c>
      <c r="AH59" s="4"/>
      <c r="AI59" s="255"/>
      <c r="AK59" s="188"/>
      <c r="AL59" s="196"/>
      <c r="AM59" s="193"/>
      <c r="AN59" s="193"/>
      <c r="AO59" s="193"/>
      <c r="AP59" s="193"/>
    </row>
    <row r="60" spans="1:42" s="180" customFormat="1">
      <c r="B60" s="164" t="s">
        <v>42</v>
      </c>
      <c r="C60" s="353">
        <v>0.375</v>
      </c>
      <c r="D60" s="353">
        <v>0.20833333333333334</v>
      </c>
      <c r="E60" s="19">
        <v>7</v>
      </c>
      <c r="F60" s="277"/>
      <c r="G60" s="4"/>
      <c r="H60" s="47">
        <v>0.21875</v>
      </c>
      <c r="I60" s="47">
        <v>0.20833333333333334</v>
      </c>
      <c r="J60" s="319">
        <v>8</v>
      </c>
      <c r="K60" s="277">
        <v>2.75</v>
      </c>
      <c r="L60" s="4"/>
      <c r="M60" s="47">
        <v>0.33333333333333331</v>
      </c>
      <c r="N60" s="47">
        <v>0.20833333333333334</v>
      </c>
      <c r="O60" s="319">
        <v>8</v>
      </c>
      <c r="P60" s="277"/>
      <c r="Q60" s="4"/>
      <c r="R60" s="47">
        <v>0.375</v>
      </c>
      <c r="S60" s="47">
        <v>0.20833333333333334</v>
      </c>
      <c r="T60" s="319">
        <v>7</v>
      </c>
      <c r="U60" s="277"/>
      <c r="V60" s="4"/>
      <c r="W60" s="47">
        <v>0.3125</v>
      </c>
      <c r="X60" s="47">
        <v>0.20833333333333334</v>
      </c>
      <c r="Y60" s="319">
        <v>8</v>
      </c>
      <c r="Z60" s="277">
        <v>0.5</v>
      </c>
      <c r="AA60" s="328">
        <f t="shared" ref="AA60:AA77" si="9">(E60+J60+O60+T60+Y60)</f>
        <v>38</v>
      </c>
      <c r="AB60" s="298">
        <f t="shared" si="6"/>
        <v>3.25</v>
      </c>
      <c r="AC60" s="4"/>
      <c r="AD60" s="4">
        <v>0</v>
      </c>
      <c r="AE60" s="4">
        <v>0</v>
      </c>
      <c r="AF60" s="19">
        <v>0</v>
      </c>
      <c r="AG60" s="29">
        <f t="shared" si="7"/>
        <v>0</v>
      </c>
      <c r="AH60" s="4"/>
      <c r="AI60" s="255"/>
      <c r="AK60" s="193"/>
      <c r="AL60" s="193"/>
      <c r="AM60" s="193"/>
      <c r="AN60" s="193"/>
      <c r="AO60" s="193"/>
      <c r="AP60" s="193"/>
    </row>
    <row r="61" spans="1:42" s="180" customFormat="1">
      <c r="B61" s="13" t="s">
        <v>43</v>
      </c>
      <c r="C61" s="353">
        <v>0.3125</v>
      </c>
      <c r="D61" s="353">
        <v>0.20833333333333334</v>
      </c>
      <c r="E61" s="19">
        <v>8.5</v>
      </c>
      <c r="F61" s="277"/>
      <c r="G61" s="4"/>
      <c r="H61" s="47">
        <v>0.21875</v>
      </c>
      <c r="I61" s="47">
        <v>0.20833333333333334</v>
      </c>
      <c r="J61" s="319">
        <v>8</v>
      </c>
      <c r="K61" s="277">
        <v>2.75</v>
      </c>
      <c r="L61" s="4"/>
      <c r="M61" s="47">
        <v>0.34375</v>
      </c>
      <c r="N61" s="47">
        <v>0.20833333333333334</v>
      </c>
      <c r="O61" s="319">
        <v>7.75</v>
      </c>
      <c r="P61" s="277"/>
      <c r="Q61" s="4"/>
      <c r="R61" s="47">
        <v>0.3125</v>
      </c>
      <c r="S61" s="47">
        <v>0.20833333333333334</v>
      </c>
      <c r="T61" s="319">
        <v>8</v>
      </c>
      <c r="U61" s="277">
        <v>0.5</v>
      </c>
      <c r="V61" s="4"/>
      <c r="W61" s="47">
        <v>0.32291666666666669</v>
      </c>
      <c r="X61" s="47">
        <v>0.20833333333333334</v>
      </c>
      <c r="Y61" s="319">
        <v>8</v>
      </c>
      <c r="Z61" s="277">
        <v>0.25</v>
      </c>
      <c r="AA61" s="328">
        <f t="shared" si="9"/>
        <v>40.25</v>
      </c>
      <c r="AB61" s="298">
        <f t="shared" si="6"/>
        <v>3.5</v>
      </c>
      <c r="AC61" s="4"/>
      <c r="AD61" s="47">
        <v>0.375</v>
      </c>
      <c r="AE61" s="47">
        <v>0.20833333333333334</v>
      </c>
      <c r="AF61" s="19">
        <v>8</v>
      </c>
      <c r="AG61" s="29">
        <f t="shared" si="7"/>
        <v>8</v>
      </c>
      <c r="AH61" s="4"/>
      <c r="AI61" s="255"/>
      <c r="AK61" s="193"/>
      <c r="AL61" s="193"/>
      <c r="AM61" s="193"/>
      <c r="AN61" s="193"/>
      <c r="AO61" s="193"/>
      <c r="AP61" s="193"/>
    </row>
    <row r="62" spans="1:42" s="180" customFormat="1">
      <c r="B62" s="13" t="s">
        <v>44</v>
      </c>
      <c r="C62" s="353">
        <v>0.38541666666666669</v>
      </c>
      <c r="D62" s="353">
        <v>0.20833333333333334</v>
      </c>
      <c r="E62" s="19">
        <v>6.75</v>
      </c>
      <c r="F62" s="277"/>
      <c r="G62" s="4"/>
      <c r="H62" s="47">
        <v>0.33333333333333331</v>
      </c>
      <c r="I62" s="47">
        <v>0.20833333333333334</v>
      </c>
      <c r="J62" s="319">
        <v>7</v>
      </c>
      <c r="K62" s="277"/>
      <c r="L62" s="4"/>
      <c r="M62" s="47">
        <v>0.33333333333333331</v>
      </c>
      <c r="N62" s="47">
        <v>0.20833333333333334</v>
      </c>
      <c r="O62" s="319">
        <v>8</v>
      </c>
      <c r="P62" s="277"/>
      <c r="Q62" s="4"/>
      <c r="R62" s="4">
        <v>0</v>
      </c>
      <c r="S62" s="4">
        <v>0</v>
      </c>
      <c r="T62" s="319">
        <v>0</v>
      </c>
      <c r="U62" s="277"/>
      <c r="V62" s="4"/>
      <c r="W62" s="12">
        <v>0</v>
      </c>
      <c r="X62" s="12">
        <v>0</v>
      </c>
      <c r="Y62" s="319">
        <v>0</v>
      </c>
      <c r="Z62" s="277"/>
      <c r="AA62" s="328">
        <f t="shared" si="9"/>
        <v>21.75</v>
      </c>
      <c r="AB62" s="298">
        <f t="shared" si="6"/>
        <v>0</v>
      </c>
      <c r="AC62" s="4"/>
      <c r="AD62" s="4">
        <v>0</v>
      </c>
      <c r="AE62" s="4">
        <v>0</v>
      </c>
      <c r="AF62" s="19">
        <v>0</v>
      </c>
      <c r="AG62" s="29">
        <f t="shared" si="7"/>
        <v>0</v>
      </c>
      <c r="AH62" s="4"/>
      <c r="AI62" s="255"/>
      <c r="AK62" s="193"/>
      <c r="AL62" s="193"/>
      <c r="AM62" s="193"/>
      <c r="AN62" s="193"/>
      <c r="AO62" s="193"/>
      <c r="AP62" s="193"/>
    </row>
    <row r="63" spans="1:42" s="180" customFormat="1">
      <c r="B63" s="13" t="s">
        <v>45</v>
      </c>
      <c r="C63" s="12">
        <v>0</v>
      </c>
      <c r="D63" s="12">
        <v>0</v>
      </c>
      <c r="E63" s="19">
        <v>0</v>
      </c>
      <c r="F63" s="277"/>
      <c r="G63" s="4"/>
      <c r="H63" s="12">
        <v>0</v>
      </c>
      <c r="I63" s="12">
        <v>0</v>
      </c>
      <c r="J63" s="319">
        <v>0</v>
      </c>
      <c r="K63" s="277"/>
      <c r="L63" s="4"/>
      <c r="M63" s="47">
        <v>0.35416666666666669</v>
      </c>
      <c r="N63" s="47">
        <v>0.20833333333333334</v>
      </c>
      <c r="O63" s="319">
        <v>7.5</v>
      </c>
      <c r="P63" s="277"/>
      <c r="Q63" s="4"/>
      <c r="R63" s="47">
        <v>0.35416666666666669</v>
      </c>
      <c r="S63" s="47">
        <v>0.20833333333333334</v>
      </c>
      <c r="T63" s="319">
        <v>7.5</v>
      </c>
      <c r="U63" s="277"/>
      <c r="V63" s="4"/>
      <c r="W63" s="47">
        <v>0.33333333333333331</v>
      </c>
      <c r="X63" s="47">
        <v>0.20833333333333334</v>
      </c>
      <c r="Y63" s="319">
        <v>8</v>
      </c>
      <c r="Z63" s="277"/>
      <c r="AA63" s="328">
        <f t="shared" si="9"/>
        <v>23</v>
      </c>
      <c r="AB63" s="298">
        <f t="shared" si="6"/>
        <v>0</v>
      </c>
      <c r="AC63" s="4"/>
      <c r="AD63" s="4">
        <v>0</v>
      </c>
      <c r="AE63" s="4">
        <v>0</v>
      </c>
      <c r="AF63" s="19">
        <v>0</v>
      </c>
      <c r="AG63" s="29">
        <f t="shared" si="7"/>
        <v>0</v>
      </c>
      <c r="AH63" s="4"/>
      <c r="AI63" s="255"/>
      <c r="AK63" s="193"/>
      <c r="AL63" s="193"/>
      <c r="AM63" s="193"/>
      <c r="AN63" s="193"/>
      <c r="AO63" s="193"/>
      <c r="AP63" s="193"/>
    </row>
    <row r="64" spans="1:42" s="180" customFormat="1">
      <c r="B64" s="13" t="s">
        <v>46</v>
      </c>
      <c r="C64" s="353">
        <v>0.36458333333333331</v>
      </c>
      <c r="D64" s="353">
        <v>0.20833333333333334</v>
      </c>
      <c r="E64" s="19">
        <v>7.25</v>
      </c>
      <c r="F64" s="277"/>
      <c r="G64" s="4"/>
      <c r="H64" s="47">
        <v>0.22916666666666666</v>
      </c>
      <c r="I64" s="47">
        <v>8.3333333333333329E-2</v>
      </c>
      <c r="J64" s="319">
        <v>7.5</v>
      </c>
      <c r="K64" s="277"/>
      <c r="L64" s="4"/>
      <c r="M64" s="47">
        <v>0.35416666666666669</v>
      </c>
      <c r="N64" s="47">
        <v>0.20833333333333334</v>
      </c>
      <c r="O64" s="319">
        <v>7.5</v>
      </c>
      <c r="P64" s="277"/>
      <c r="Q64" s="4"/>
      <c r="R64" s="47">
        <v>0.35416666666666669</v>
      </c>
      <c r="S64" s="47">
        <v>0.20833333333333334</v>
      </c>
      <c r="T64" s="319">
        <v>7.5</v>
      </c>
      <c r="U64" s="277"/>
      <c r="V64" s="4"/>
      <c r="W64" s="47">
        <v>0.33333333333333331</v>
      </c>
      <c r="X64" s="47">
        <v>0.20833333333333334</v>
      </c>
      <c r="Y64" s="319">
        <v>8</v>
      </c>
      <c r="Z64" s="277"/>
      <c r="AA64" s="328">
        <f t="shared" si="9"/>
        <v>37.75</v>
      </c>
      <c r="AB64" s="298">
        <f t="shared" si="6"/>
        <v>0</v>
      </c>
      <c r="AC64" s="4"/>
      <c r="AD64" s="4">
        <v>0</v>
      </c>
      <c r="AE64" s="4">
        <v>0</v>
      </c>
      <c r="AF64" s="19">
        <v>0</v>
      </c>
      <c r="AG64" s="29">
        <f t="shared" si="7"/>
        <v>0</v>
      </c>
      <c r="AH64" s="4"/>
      <c r="AI64" s="255"/>
      <c r="AK64" s="193"/>
      <c r="AL64" s="193"/>
      <c r="AM64" s="193"/>
      <c r="AN64" s="193"/>
      <c r="AO64" s="193"/>
      <c r="AP64" s="193"/>
    </row>
    <row r="65" spans="2:42" s="180" customFormat="1">
      <c r="B65" s="13" t="s">
        <v>47</v>
      </c>
      <c r="C65" s="353">
        <v>0.32291666666666669</v>
      </c>
      <c r="D65" s="353">
        <v>0.20833333333333334</v>
      </c>
      <c r="E65" s="19">
        <v>8.25</v>
      </c>
      <c r="F65" s="277"/>
      <c r="G65" s="4"/>
      <c r="H65" s="47">
        <v>0.32291666666666669</v>
      </c>
      <c r="I65" s="47">
        <v>0.20833333333333334</v>
      </c>
      <c r="J65" s="319">
        <v>8</v>
      </c>
      <c r="K65" s="277">
        <v>0.25</v>
      </c>
      <c r="L65" s="4"/>
      <c r="M65" s="47">
        <v>0.32291666666666669</v>
      </c>
      <c r="N65" s="47">
        <v>0.20833333333333334</v>
      </c>
      <c r="O65" s="319">
        <v>8</v>
      </c>
      <c r="P65" s="277">
        <v>0.25</v>
      </c>
      <c r="Q65" s="4"/>
      <c r="R65" s="47">
        <v>0.32291666666666669</v>
      </c>
      <c r="S65" s="47">
        <v>0.20833333333333334</v>
      </c>
      <c r="T65" s="319">
        <v>8</v>
      </c>
      <c r="U65" s="277">
        <v>0.25</v>
      </c>
      <c r="V65" s="4"/>
      <c r="W65" s="47">
        <v>0.33333333333333331</v>
      </c>
      <c r="X65" s="47">
        <v>0.20833333333333334</v>
      </c>
      <c r="Y65" s="319">
        <v>8</v>
      </c>
      <c r="Z65" s="277"/>
      <c r="AA65" s="328">
        <f t="shared" si="9"/>
        <v>40.25</v>
      </c>
      <c r="AB65" s="298">
        <f t="shared" si="6"/>
        <v>0.75</v>
      </c>
      <c r="AC65" s="4"/>
      <c r="AD65" s="47">
        <v>0.36458333333333331</v>
      </c>
      <c r="AE65" s="47">
        <v>0.20833333333333334</v>
      </c>
      <c r="AF65" s="19">
        <v>8.25</v>
      </c>
      <c r="AG65" s="29">
        <f t="shared" si="7"/>
        <v>8.25</v>
      </c>
      <c r="AH65" s="4"/>
      <c r="AI65" s="255"/>
      <c r="AK65" s="193"/>
      <c r="AL65" s="193"/>
      <c r="AM65" s="193"/>
      <c r="AN65" s="193"/>
      <c r="AO65" s="193"/>
      <c r="AP65" s="193"/>
    </row>
    <row r="66" spans="2:42" s="180" customFormat="1">
      <c r="B66" s="13" t="s">
        <v>49</v>
      </c>
      <c r="C66" s="353">
        <v>0.33333333333333331</v>
      </c>
      <c r="D66" s="353">
        <v>0.20833333333333334</v>
      </c>
      <c r="E66" s="19">
        <v>8</v>
      </c>
      <c r="F66" s="277"/>
      <c r="G66" s="4"/>
      <c r="H66" s="47">
        <v>0.33333333333333331</v>
      </c>
      <c r="I66" s="47">
        <v>0.20833333333333334</v>
      </c>
      <c r="J66" s="319">
        <v>8</v>
      </c>
      <c r="K66" s="277"/>
      <c r="L66" s="4"/>
      <c r="M66" s="47">
        <v>0.33333333333333331</v>
      </c>
      <c r="N66" s="47">
        <v>0.20833333333333334</v>
      </c>
      <c r="O66" s="319">
        <v>8</v>
      </c>
      <c r="P66" s="277"/>
      <c r="Q66" s="4"/>
      <c r="R66" s="47">
        <v>0.375</v>
      </c>
      <c r="S66" s="47">
        <v>0.20833333333333334</v>
      </c>
      <c r="T66" s="319">
        <v>7</v>
      </c>
      <c r="U66" s="277"/>
      <c r="V66" s="4"/>
      <c r="W66" s="47">
        <v>0.33333333333333331</v>
      </c>
      <c r="X66" s="47">
        <v>0.20833333333333334</v>
      </c>
      <c r="Y66" s="319">
        <v>8</v>
      </c>
      <c r="Z66" s="277"/>
      <c r="AA66" s="328">
        <f t="shared" si="9"/>
        <v>39</v>
      </c>
      <c r="AB66" s="298">
        <f t="shared" si="6"/>
        <v>0</v>
      </c>
      <c r="AC66" s="4"/>
      <c r="AD66" s="4">
        <v>0</v>
      </c>
      <c r="AE66" s="4">
        <v>0</v>
      </c>
      <c r="AF66" s="19">
        <v>0</v>
      </c>
      <c r="AG66" s="29">
        <f t="shared" si="7"/>
        <v>0</v>
      </c>
      <c r="AH66" s="4"/>
      <c r="AI66" s="255"/>
      <c r="AK66" s="193"/>
      <c r="AL66" s="193"/>
      <c r="AM66" s="193"/>
      <c r="AN66" s="193"/>
      <c r="AO66" s="193"/>
      <c r="AP66" s="193"/>
    </row>
    <row r="67" spans="2:42" s="180" customFormat="1">
      <c r="B67" s="13" t="s">
        <v>50</v>
      </c>
      <c r="C67" s="353">
        <v>0.36458333333333331</v>
      </c>
      <c r="D67" s="353">
        <v>0.20833333333333334</v>
      </c>
      <c r="E67" s="19">
        <v>7.25</v>
      </c>
      <c r="F67" s="277"/>
      <c r="G67" s="4"/>
      <c r="H67" s="47">
        <v>0.375</v>
      </c>
      <c r="I67" s="47">
        <v>0.20833333333333334</v>
      </c>
      <c r="J67" s="319">
        <v>7</v>
      </c>
      <c r="K67" s="277"/>
      <c r="L67" s="4"/>
      <c r="M67" s="16">
        <v>0.375</v>
      </c>
      <c r="N67" s="47">
        <v>0.20833333333333334</v>
      </c>
      <c r="O67" s="319">
        <v>7</v>
      </c>
      <c r="P67" s="277"/>
      <c r="Q67" s="4"/>
      <c r="R67" s="47">
        <v>0.375</v>
      </c>
      <c r="S67" s="47">
        <v>0.20833333333333334</v>
      </c>
      <c r="T67" s="319">
        <v>7</v>
      </c>
      <c r="U67" s="277"/>
      <c r="V67" s="4"/>
      <c r="W67" s="47">
        <v>0.375</v>
      </c>
      <c r="X67" s="47">
        <v>0.20833333333333334</v>
      </c>
      <c r="Y67" s="319">
        <v>7</v>
      </c>
      <c r="Z67" s="277"/>
      <c r="AA67" s="328">
        <f t="shared" si="9"/>
        <v>35.25</v>
      </c>
      <c r="AB67" s="298">
        <f t="shared" si="6"/>
        <v>0</v>
      </c>
      <c r="AC67" s="4"/>
      <c r="AD67" s="4">
        <v>0</v>
      </c>
      <c r="AE67" s="4">
        <v>0</v>
      </c>
      <c r="AF67" s="19">
        <v>0</v>
      </c>
      <c r="AG67" s="29">
        <f t="shared" si="7"/>
        <v>0</v>
      </c>
      <c r="AH67" s="4"/>
      <c r="AI67" s="255"/>
      <c r="AK67" s="193"/>
      <c r="AL67" s="193"/>
      <c r="AM67" s="193"/>
      <c r="AN67" s="193"/>
      <c r="AO67" s="193"/>
      <c r="AP67" s="193"/>
    </row>
    <row r="68" spans="2:42" s="180" customFormat="1">
      <c r="B68" s="13" t="s">
        <v>51</v>
      </c>
      <c r="C68" s="12">
        <v>0</v>
      </c>
      <c r="D68" s="12">
        <v>0</v>
      </c>
      <c r="E68" s="19">
        <v>0</v>
      </c>
      <c r="F68" s="277"/>
      <c r="G68" s="4"/>
      <c r="H68" s="16">
        <v>0.35416666666666669</v>
      </c>
      <c r="I68" s="47">
        <v>0.20833333333333334</v>
      </c>
      <c r="J68" s="319">
        <v>7.5</v>
      </c>
      <c r="K68" s="277"/>
      <c r="L68" s="4"/>
      <c r="M68" s="16">
        <v>0.35416666666666669</v>
      </c>
      <c r="N68" s="47">
        <v>0.20833333333333334</v>
      </c>
      <c r="O68" s="319">
        <v>7.5</v>
      </c>
      <c r="P68" s="277"/>
      <c r="Q68" s="4"/>
      <c r="R68" s="47">
        <v>0.36458333333333331</v>
      </c>
      <c r="S68" s="47">
        <v>0.20833333333333334</v>
      </c>
      <c r="T68" s="319">
        <v>7.25</v>
      </c>
      <c r="U68" s="277"/>
      <c r="V68" s="4"/>
      <c r="W68" s="16">
        <v>0.36458333333333331</v>
      </c>
      <c r="X68" s="47">
        <v>0.20833333333333334</v>
      </c>
      <c r="Y68" s="319">
        <v>8</v>
      </c>
      <c r="Z68" s="277">
        <v>0.25</v>
      </c>
      <c r="AA68" s="328">
        <f t="shared" si="9"/>
        <v>30.25</v>
      </c>
      <c r="AB68" s="298">
        <f t="shared" si="6"/>
        <v>0.25</v>
      </c>
      <c r="AC68" s="4"/>
      <c r="AD68" s="4">
        <v>0</v>
      </c>
      <c r="AE68" s="4">
        <v>0</v>
      </c>
      <c r="AF68" s="19">
        <v>0</v>
      </c>
      <c r="AG68" s="29">
        <f t="shared" si="7"/>
        <v>0</v>
      </c>
      <c r="AH68" s="4"/>
      <c r="AI68" s="255"/>
      <c r="AK68" s="193"/>
      <c r="AL68" s="193"/>
      <c r="AM68" s="193"/>
      <c r="AN68" s="193"/>
      <c r="AO68" s="193"/>
      <c r="AP68" s="193"/>
    </row>
    <row r="69" spans="2:42" s="180" customFormat="1">
      <c r="B69" s="13" t="s">
        <v>52</v>
      </c>
      <c r="C69" s="353">
        <v>0.34375</v>
      </c>
      <c r="D69" s="353">
        <v>0.20833333333333334</v>
      </c>
      <c r="E69" s="19">
        <v>7.75</v>
      </c>
      <c r="F69" s="277"/>
      <c r="G69" s="4"/>
      <c r="H69" s="47">
        <v>0.35416666666666669</v>
      </c>
      <c r="I69" s="47">
        <v>0.20833333333333334</v>
      </c>
      <c r="J69" s="319">
        <v>7.5</v>
      </c>
      <c r="K69" s="277"/>
      <c r="L69" s="4"/>
      <c r="M69" s="47">
        <v>0.3125</v>
      </c>
      <c r="N69" s="47">
        <v>0.20833333333333334</v>
      </c>
      <c r="O69" s="319">
        <v>8</v>
      </c>
      <c r="P69" s="277">
        <v>0.5</v>
      </c>
      <c r="Q69" s="4"/>
      <c r="R69" s="47">
        <v>0.33333333333333331</v>
      </c>
      <c r="S69" s="47">
        <v>0.20833333333333334</v>
      </c>
      <c r="T69" s="319">
        <v>8</v>
      </c>
      <c r="U69" s="277"/>
      <c r="V69" s="4"/>
      <c r="W69" s="12">
        <v>0</v>
      </c>
      <c r="X69" s="12">
        <v>0</v>
      </c>
      <c r="Y69" s="319">
        <v>0</v>
      </c>
      <c r="Z69" s="277"/>
      <c r="AA69" s="328">
        <f t="shared" si="9"/>
        <v>31.25</v>
      </c>
      <c r="AB69" s="298">
        <f t="shared" si="6"/>
        <v>0.5</v>
      </c>
      <c r="AC69" s="4"/>
      <c r="AD69" s="4">
        <v>0</v>
      </c>
      <c r="AE69" s="4">
        <v>0</v>
      </c>
      <c r="AF69" s="19">
        <v>0</v>
      </c>
      <c r="AG69" s="29">
        <f t="shared" si="7"/>
        <v>0</v>
      </c>
      <c r="AH69" s="4"/>
      <c r="AI69" s="255"/>
      <c r="AK69" s="193"/>
      <c r="AL69" s="193"/>
      <c r="AM69" s="193"/>
      <c r="AN69" s="193"/>
      <c r="AO69" s="193"/>
      <c r="AP69" s="193"/>
    </row>
    <row r="70" spans="2:42" s="180" customFormat="1">
      <c r="B70" s="13" t="s">
        <v>53</v>
      </c>
      <c r="C70" s="353">
        <v>0.32291666666666669</v>
      </c>
      <c r="D70" s="353">
        <v>0.20833333333333334</v>
      </c>
      <c r="E70" s="19">
        <v>8.25</v>
      </c>
      <c r="F70" s="277"/>
      <c r="G70" s="4"/>
      <c r="H70" s="47">
        <v>0.21875</v>
      </c>
      <c r="I70" s="47">
        <v>0.20833333333333334</v>
      </c>
      <c r="J70" s="19">
        <v>8</v>
      </c>
      <c r="K70" s="277">
        <v>2.75</v>
      </c>
      <c r="L70" s="4"/>
      <c r="M70" s="47">
        <v>0.34375</v>
      </c>
      <c r="N70" s="47">
        <v>0.20833333333333334</v>
      </c>
      <c r="O70" s="319">
        <v>7.75</v>
      </c>
      <c r="P70" s="277"/>
      <c r="Q70" s="4"/>
      <c r="R70" s="47">
        <v>0.3125</v>
      </c>
      <c r="S70" s="47">
        <v>0.20833333333333334</v>
      </c>
      <c r="T70" s="319">
        <v>8</v>
      </c>
      <c r="U70" s="277">
        <v>0.5</v>
      </c>
      <c r="V70" s="4"/>
      <c r="W70" s="47">
        <v>0.32291666666666669</v>
      </c>
      <c r="X70" s="47">
        <v>0.20833333333333334</v>
      </c>
      <c r="Y70" s="319">
        <v>8</v>
      </c>
      <c r="Z70" s="277">
        <v>0.25</v>
      </c>
      <c r="AA70" s="328">
        <f t="shared" si="9"/>
        <v>40</v>
      </c>
      <c r="AB70" s="298">
        <f t="shared" si="6"/>
        <v>3.5</v>
      </c>
      <c r="AC70" s="4"/>
      <c r="AD70" s="4">
        <v>0</v>
      </c>
      <c r="AE70" s="4">
        <v>0</v>
      </c>
      <c r="AF70" s="19">
        <v>0</v>
      </c>
      <c r="AG70" s="29">
        <f>AF70</f>
        <v>0</v>
      </c>
      <c r="AH70" s="4"/>
      <c r="AI70" s="255"/>
      <c r="AK70" s="193"/>
      <c r="AL70" s="193"/>
      <c r="AM70" s="193"/>
      <c r="AN70" s="193"/>
      <c r="AO70" s="193"/>
      <c r="AP70" s="193"/>
    </row>
    <row r="71" spans="2:42" s="180" customFormat="1">
      <c r="B71" s="13" t="s">
        <v>54</v>
      </c>
      <c r="C71" s="12">
        <v>0</v>
      </c>
      <c r="D71" s="12">
        <v>0</v>
      </c>
      <c r="E71" s="19">
        <v>0</v>
      </c>
      <c r="F71" s="277"/>
      <c r="G71" s="4"/>
      <c r="H71" s="12">
        <v>0</v>
      </c>
      <c r="I71" s="12">
        <v>0</v>
      </c>
      <c r="J71" s="19">
        <v>0</v>
      </c>
      <c r="K71" s="277"/>
      <c r="L71" s="4"/>
      <c r="M71" s="12">
        <v>0</v>
      </c>
      <c r="N71" s="12">
        <v>0</v>
      </c>
      <c r="O71" s="319">
        <v>0</v>
      </c>
      <c r="P71" s="277"/>
      <c r="Q71" s="4"/>
      <c r="R71" s="12">
        <v>0</v>
      </c>
      <c r="S71" s="12">
        <v>0</v>
      </c>
      <c r="T71" s="319">
        <v>0</v>
      </c>
      <c r="U71" s="277"/>
      <c r="V71" s="4"/>
      <c r="W71" s="12">
        <v>0</v>
      </c>
      <c r="X71" s="12">
        <v>0</v>
      </c>
      <c r="Y71" s="319">
        <v>0</v>
      </c>
      <c r="Z71" s="277"/>
      <c r="AA71" s="328">
        <f t="shared" si="9"/>
        <v>0</v>
      </c>
      <c r="AB71" s="298">
        <f t="shared" si="6"/>
        <v>0</v>
      </c>
      <c r="AC71" s="4"/>
      <c r="AD71" s="47">
        <v>0.38541666666666669</v>
      </c>
      <c r="AE71" s="47">
        <v>0.20833333333333334</v>
      </c>
      <c r="AF71" s="19">
        <v>7.75</v>
      </c>
      <c r="AG71" s="29">
        <f>AF71</f>
        <v>7.75</v>
      </c>
      <c r="AH71" s="4"/>
      <c r="AI71" s="255"/>
      <c r="AK71" s="193"/>
      <c r="AL71" s="193"/>
      <c r="AM71" s="193"/>
      <c r="AN71" s="193"/>
      <c r="AO71" s="193"/>
      <c r="AP71" s="193"/>
    </row>
    <row r="72" spans="2:42" s="180" customFormat="1">
      <c r="B72" s="13" t="s">
        <v>55</v>
      </c>
      <c r="C72" s="12">
        <v>0</v>
      </c>
      <c r="D72" s="12">
        <v>0</v>
      </c>
      <c r="E72" s="19">
        <v>0</v>
      </c>
      <c r="F72" s="277"/>
      <c r="G72" s="4"/>
      <c r="H72" s="12">
        <v>0</v>
      </c>
      <c r="I72" s="12">
        <v>0</v>
      </c>
      <c r="J72" s="19">
        <v>0</v>
      </c>
      <c r="K72" s="277"/>
      <c r="L72" s="4"/>
      <c r="M72" s="12">
        <v>0</v>
      </c>
      <c r="N72" s="12">
        <v>0</v>
      </c>
      <c r="O72" s="319">
        <v>0</v>
      </c>
      <c r="P72" s="277"/>
      <c r="Q72" s="4"/>
      <c r="R72" s="12">
        <v>0</v>
      </c>
      <c r="S72" s="12">
        <v>0</v>
      </c>
      <c r="T72" s="319">
        <v>0</v>
      </c>
      <c r="U72" s="277"/>
      <c r="V72" s="4"/>
      <c r="W72" s="12">
        <v>0</v>
      </c>
      <c r="X72" s="12">
        <v>0</v>
      </c>
      <c r="Y72" s="319">
        <v>0</v>
      </c>
      <c r="Z72" s="277"/>
      <c r="AA72" s="328">
        <f t="shared" si="9"/>
        <v>0</v>
      </c>
      <c r="AB72" s="298">
        <f t="shared" si="6"/>
        <v>0</v>
      </c>
      <c r="AC72" s="4"/>
      <c r="AD72" s="47">
        <v>0.375</v>
      </c>
      <c r="AE72" s="47">
        <v>0.20833333333333334</v>
      </c>
      <c r="AF72" s="19">
        <v>8</v>
      </c>
      <c r="AG72" s="29">
        <f>AF72</f>
        <v>8</v>
      </c>
      <c r="AH72" s="4"/>
      <c r="AI72" s="255"/>
      <c r="AK72" s="193"/>
      <c r="AL72" s="193"/>
      <c r="AM72" s="193"/>
      <c r="AN72" s="193"/>
      <c r="AO72" s="193"/>
      <c r="AP72" s="193"/>
    </row>
    <row r="73" spans="2:42" s="180" customFormat="1">
      <c r="B73" s="138" t="s">
        <v>58</v>
      </c>
      <c r="C73" s="12" t="s">
        <v>29</v>
      </c>
      <c r="D73" s="12" t="s">
        <v>29</v>
      </c>
      <c r="E73" s="19">
        <v>0</v>
      </c>
      <c r="F73" s="277"/>
      <c r="G73" s="4"/>
      <c r="H73" s="12" t="s">
        <v>29</v>
      </c>
      <c r="I73" s="12" t="s">
        <v>29</v>
      </c>
      <c r="J73" s="19">
        <v>8</v>
      </c>
      <c r="K73" s="277"/>
      <c r="L73" s="4"/>
      <c r="M73" s="16">
        <v>0.33333333333333331</v>
      </c>
      <c r="N73" s="47">
        <v>0.20833333333333334</v>
      </c>
      <c r="O73" s="319">
        <v>8</v>
      </c>
      <c r="P73" s="277"/>
      <c r="Q73" s="4"/>
      <c r="R73" s="16">
        <v>0.35416666666666669</v>
      </c>
      <c r="S73" s="47">
        <v>0.20833333333333334</v>
      </c>
      <c r="T73" s="319">
        <v>7.5</v>
      </c>
      <c r="U73" s="277"/>
      <c r="V73" s="4"/>
      <c r="W73" s="16">
        <v>0.35416666666666669</v>
      </c>
      <c r="X73" s="47">
        <v>0.20833333333333334</v>
      </c>
      <c r="Y73" s="319">
        <v>7.5</v>
      </c>
      <c r="Z73" s="277"/>
      <c r="AA73" s="328">
        <f t="shared" si="9"/>
        <v>31</v>
      </c>
      <c r="AB73" s="298">
        <f t="shared" ref="AB73" si="10">Z73+U73+P73+K73+F73</f>
        <v>0</v>
      </c>
      <c r="AC73" s="4"/>
      <c r="AD73" s="4">
        <v>0</v>
      </c>
      <c r="AE73" s="4">
        <v>0</v>
      </c>
      <c r="AF73" s="19">
        <v>0</v>
      </c>
      <c r="AG73" s="29">
        <f>AF73</f>
        <v>0</v>
      </c>
      <c r="AH73" s="4"/>
      <c r="AI73" s="255"/>
      <c r="AK73" s="193"/>
      <c r="AL73" s="193"/>
      <c r="AM73" s="193"/>
      <c r="AN73" s="193"/>
      <c r="AO73" s="193"/>
      <c r="AP73" s="193"/>
    </row>
    <row r="74" spans="2:42" s="180" customFormat="1">
      <c r="B74" s="138" t="s">
        <v>59</v>
      </c>
      <c r="C74" s="12" t="s">
        <v>29</v>
      </c>
      <c r="D74" s="12" t="s">
        <v>29</v>
      </c>
      <c r="E74" s="19">
        <v>8</v>
      </c>
      <c r="F74" s="277"/>
      <c r="G74" s="4"/>
      <c r="H74" s="12" t="s">
        <v>29</v>
      </c>
      <c r="I74" s="12" t="s">
        <v>29</v>
      </c>
      <c r="J74" s="19">
        <v>8</v>
      </c>
      <c r="K74" s="277"/>
      <c r="L74" s="4"/>
      <c r="M74" s="12" t="s">
        <v>29</v>
      </c>
      <c r="N74" s="12" t="s">
        <v>29</v>
      </c>
      <c r="O74" s="19">
        <v>8</v>
      </c>
      <c r="P74" s="277"/>
      <c r="Q74" s="4"/>
      <c r="R74" s="12" t="s">
        <v>29</v>
      </c>
      <c r="S74" s="12" t="s">
        <v>29</v>
      </c>
      <c r="T74" s="319">
        <v>8</v>
      </c>
      <c r="U74" s="277"/>
      <c r="V74" s="4"/>
      <c r="W74" s="12" t="s">
        <v>29</v>
      </c>
      <c r="X74" s="12" t="s">
        <v>29</v>
      </c>
      <c r="Y74" s="319">
        <v>8</v>
      </c>
      <c r="Z74" s="277"/>
      <c r="AA74" s="328">
        <f t="shared" si="9"/>
        <v>40</v>
      </c>
      <c r="AB74" s="298">
        <f t="shared" si="6"/>
        <v>0</v>
      </c>
      <c r="AC74" s="4"/>
      <c r="AD74" s="4">
        <v>0</v>
      </c>
      <c r="AE74" s="4">
        <v>0</v>
      </c>
      <c r="AF74" s="19">
        <v>0</v>
      </c>
      <c r="AG74" s="29">
        <f t="shared" ref="AG74:AG75" si="11">AF74</f>
        <v>0</v>
      </c>
      <c r="AH74" s="4"/>
      <c r="AI74" s="255"/>
      <c r="AK74" s="193"/>
      <c r="AL74" s="193"/>
      <c r="AM74" s="193"/>
      <c r="AN74" s="193"/>
      <c r="AO74" s="193"/>
      <c r="AP74" s="193"/>
    </row>
    <row r="75" spans="2:42" s="180" customFormat="1">
      <c r="B75" s="138" t="s">
        <v>60</v>
      </c>
      <c r="C75" s="12" t="s">
        <v>29</v>
      </c>
      <c r="D75" s="12" t="s">
        <v>29</v>
      </c>
      <c r="E75" s="19">
        <v>8</v>
      </c>
      <c r="F75" s="277"/>
      <c r="G75" s="4"/>
      <c r="H75" s="12" t="s">
        <v>29</v>
      </c>
      <c r="I75" s="12" t="s">
        <v>29</v>
      </c>
      <c r="J75" s="19">
        <v>8</v>
      </c>
      <c r="K75" s="277">
        <v>3.5</v>
      </c>
      <c r="L75" s="4"/>
      <c r="M75" s="12" t="s">
        <v>29</v>
      </c>
      <c r="N75" s="12" t="s">
        <v>29</v>
      </c>
      <c r="O75" s="19">
        <v>8</v>
      </c>
      <c r="P75" s="277">
        <v>2.5</v>
      </c>
      <c r="Q75" s="4"/>
      <c r="R75" s="12" t="s">
        <v>29</v>
      </c>
      <c r="S75" s="12" t="s">
        <v>29</v>
      </c>
      <c r="T75" s="319">
        <v>8</v>
      </c>
      <c r="U75" s="277">
        <v>3.25</v>
      </c>
      <c r="V75" s="4"/>
      <c r="W75" s="12" t="s">
        <v>29</v>
      </c>
      <c r="X75" s="12" t="s">
        <v>29</v>
      </c>
      <c r="Y75" s="319">
        <v>8</v>
      </c>
      <c r="Z75" s="277"/>
      <c r="AA75" s="328">
        <f t="shared" si="9"/>
        <v>40</v>
      </c>
      <c r="AB75" s="298">
        <f t="shared" si="6"/>
        <v>9.25</v>
      </c>
      <c r="AC75" s="4"/>
      <c r="AD75" s="4">
        <v>0</v>
      </c>
      <c r="AE75" s="4">
        <v>0</v>
      </c>
      <c r="AF75" s="19">
        <v>0</v>
      </c>
      <c r="AG75" s="29">
        <f t="shared" si="11"/>
        <v>0</v>
      </c>
      <c r="AH75" s="4"/>
      <c r="AI75" s="255"/>
      <c r="AK75" s="193"/>
      <c r="AL75" s="193"/>
      <c r="AM75" s="193"/>
      <c r="AN75" s="193"/>
      <c r="AO75" s="193"/>
      <c r="AP75" s="193"/>
    </row>
    <row r="76" spans="2:42" s="180" customFormat="1">
      <c r="B76" s="138" t="s">
        <v>71</v>
      </c>
      <c r="C76" s="12" t="s">
        <v>29</v>
      </c>
      <c r="D76" s="12" t="s">
        <v>29</v>
      </c>
      <c r="E76" s="19">
        <v>8</v>
      </c>
      <c r="F76" s="277"/>
      <c r="G76" s="4"/>
      <c r="H76" s="12" t="s">
        <v>29</v>
      </c>
      <c r="I76" s="12" t="s">
        <v>29</v>
      </c>
      <c r="J76" s="19">
        <v>8</v>
      </c>
      <c r="K76" s="277"/>
      <c r="L76" s="4"/>
      <c r="M76" s="12" t="s">
        <v>29</v>
      </c>
      <c r="N76" s="12" t="s">
        <v>29</v>
      </c>
      <c r="O76" s="19">
        <v>8</v>
      </c>
      <c r="P76" s="277"/>
      <c r="Q76" s="4"/>
      <c r="R76" s="12" t="s">
        <v>29</v>
      </c>
      <c r="S76" s="12" t="s">
        <v>29</v>
      </c>
      <c r="T76" s="319">
        <v>8</v>
      </c>
      <c r="U76" s="277"/>
      <c r="V76" s="4"/>
      <c r="W76" s="16">
        <v>0.39583333333333331</v>
      </c>
      <c r="X76" s="16">
        <v>0.20833333333333334</v>
      </c>
      <c r="Y76" s="319">
        <v>6.5</v>
      </c>
      <c r="Z76" s="277"/>
      <c r="AA76" s="328">
        <f t="shared" si="9"/>
        <v>38.5</v>
      </c>
      <c r="AB76" s="298">
        <f t="shared" si="6"/>
        <v>0</v>
      </c>
      <c r="AC76" s="4"/>
      <c r="AD76" s="4">
        <v>0</v>
      </c>
      <c r="AE76" s="4">
        <v>0</v>
      </c>
      <c r="AF76" s="19">
        <v>0</v>
      </c>
      <c r="AG76" s="29">
        <f t="shared" ref="AG76:AG77" si="12">AF76</f>
        <v>0</v>
      </c>
      <c r="AH76" s="4"/>
      <c r="AI76" s="255"/>
      <c r="AK76" s="193"/>
      <c r="AL76" s="193"/>
      <c r="AM76" s="193"/>
      <c r="AN76" s="193"/>
      <c r="AO76" s="193"/>
      <c r="AP76" s="193"/>
    </row>
    <row r="77" spans="2:42" s="180" customFormat="1">
      <c r="B77" s="138" t="s">
        <v>72</v>
      </c>
      <c r="C77" s="12" t="s">
        <v>29</v>
      </c>
      <c r="D77" s="12" t="s">
        <v>29</v>
      </c>
      <c r="E77" s="19">
        <v>8</v>
      </c>
      <c r="F77" s="277"/>
      <c r="G77" s="4"/>
      <c r="H77" s="12" t="s">
        <v>29</v>
      </c>
      <c r="I77" s="12" t="s">
        <v>29</v>
      </c>
      <c r="J77" s="19">
        <v>8</v>
      </c>
      <c r="K77" s="277"/>
      <c r="L77" s="4"/>
      <c r="M77" s="16">
        <v>0.33333333333333331</v>
      </c>
      <c r="N77" s="47">
        <v>0.20833333333333334</v>
      </c>
      <c r="O77" s="319">
        <v>8</v>
      </c>
      <c r="P77" s="277"/>
      <c r="Q77" s="4"/>
      <c r="R77" s="16">
        <v>0.41666666666666669</v>
      </c>
      <c r="S77" s="47">
        <v>0.20833333333333334</v>
      </c>
      <c r="T77" s="319">
        <v>6</v>
      </c>
      <c r="U77" s="277"/>
      <c r="V77" s="4"/>
      <c r="W77" s="47">
        <v>0.33333333333333331</v>
      </c>
      <c r="X77" s="16">
        <v>0.20833333333333334</v>
      </c>
      <c r="Y77" s="319">
        <v>8</v>
      </c>
      <c r="Z77" s="277"/>
      <c r="AA77" s="328">
        <f t="shared" si="9"/>
        <v>38</v>
      </c>
      <c r="AB77" s="298">
        <f t="shared" si="6"/>
        <v>0</v>
      </c>
      <c r="AC77" s="4"/>
      <c r="AD77" s="4">
        <v>0</v>
      </c>
      <c r="AE77" s="4">
        <v>0</v>
      </c>
      <c r="AF77" s="19">
        <v>0</v>
      </c>
      <c r="AG77" s="29">
        <f t="shared" si="12"/>
        <v>0</v>
      </c>
      <c r="AH77" s="4"/>
      <c r="AI77" s="255"/>
      <c r="AK77" s="193"/>
      <c r="AL77" s="193"/>
      <c r="AM77" s="193"/>
      <c r="AN77" s="193"/>
      <c r="AO77" s="193"/>
      <c r="AP77" s="193"/>
    </row>
    <row r="78" spans="2:42" s="180" customFormat="1">
      <c r="B78" s="64" t="s">
        <v>61</v>
      </c>
      <c r="C78" s="64"/>
      <c r="D78" s="64"/>
      <c r="E78" s="167">
        <f>SUM(E53:E77)</f>
        <v>146.75</v>
      </c>
      <c r="F78" s="277">
        <f>SUM(F53:F72)</f>
        <v>0</v>
      </c>
      <c r="G78" s="64"/>
      <c r="H78" s="64"/>
      <c r="I78" s="64"/>
      <c r="J78" s="64">
        <f>SUM(J53:J77)</f>
        <v>168.75</v>
      </c>
      <c r="K78" s="277">
        <f>SUM(K53:K72)</f>
        <v>8.75</v>
      </c>
      <c r="L78" s="64"/>
      <c r="M78" s="64"/>
      <c r="N78" s="64"/>
      <c r="O78" s="167">
        <f>SUM(O53:O77)</f>
        <v>178.5</v>
      </c>
      <c r="P78" s="277">
        <f>SUM(P53:P77)</f>
        <v>4.25</v>
      </c>
      <c r="Q78" s="64"/>
      <c r="R78" s="64"/>
      <c r="S78" s="64"/>
      <c r="T78" s="167">
        <f>SUM(T53:T77)</f>
        <v>157</v>
      </c>
      <c r="U78" s="277">
        <f>SUM(U53:U77)</f>
        <v>5</v>
      </c>
      <c r="V78" s="64"/>
      <c r="W78" s="64"/>
      <c r="X78" s="64"/>
      <c r="Y78" s="167">
        <f>SUM(Y53:Y77)</f>
        <v>155.25</v>
      </c>
      <c r="Z78" s="277">
        <f>SUM(Z53:Z77)</f>
        <v>1.5</v>
      </c>
      <c r="AA78" s="370">
        <f>SUM(AA53:AA77)</f>
        <v>806.25</v>
      </c>
      <c r="AB78" s="375">
        <f>SUM(AB53:AB77)</f>
        <v>23</v>
      </c>
      <c r="AC78" s="4"/>
      <c r="AD78" s="64"/>
      <c r="AE78" s="64"/>
      <c r="AF78" s="64"/>
      <c r="AG78" s="370">
        <f>SUM(AG53:AG77)</f>
        <v>39.75</v>
      </c>
      <c r="AH78" s="4"/>
      <c r="AI78" s="255"/>
      <c r="AK78" s="193"/>
      <c r="AL78" s="193"/>
      <c r="AM78" s="193"/>
      <c r="AN78" s="193"/>
      <c r="AO78" s="193"/>
      <c r="AP78" s="193"/>
    </row>
    <row r="79" spans="2:42" s="180" customFormat="1">
      <c r="B79" s="63" t="s">
        <v>62</v>
      </c>
      <c r="C79" s="56"/>
      <c r="D79" s="56"/>
      <c r="E79" s="19">
        <v>8</v>
      </c>
      <c r="F79" s="291">
        <v>1.25</v>
      </c>
      <c r="G79" s="60"/>
      <c r="H79" s="56"/>
      <c r="I79" s="56"/>
      <c r="J79" s="291">
        <v>8</v>
      </c>
      <c r="K79" s="291">
        <v>3.5</v>
      </c>
      <c r="L79" s="60"/>
      <c r="M79" s="56"/>
      <c r="N79" s="56"/>
      <c r="O79" s="291">
        <v>8</v>
      </c>
      <c r="P79" s="19">
        <v>2.5</v>
      </c>
      <c r="Q79" s="60"/>
      <c r="R79" s="56"/>
      <c r="S79" s="56"/>
      <c r="T79" s="291">
        <v>8</v>
      </c>
      <c r="U79" s="19">
        <v>3.25</v>
      </c>
      <c r="V79" s="60"/>
      <c r="W79" s="56"/>
      <c r="X79" s="56"/>
      <c r="Y79" s="291">
        <v>8</v>
      </c>
      <c r="Z79" s="19">
        <v>1.5</v>
      </c>
      <c r="AA79" s="28">
        <f>SUM(E79+J79+O79+T79+Y79)</f>
        <v>40</v>
      </c>
      <c r="AB79" s="282">
        <f>Z79+U79+P79+K79+F79</f>
        <v>12</v>
      </c>
      <c r="AC79" s="4"/>
      <c r="AD79" s="56"/>
      <c r="AE79" s="56"/>
      <c r="AF79" s="19"/>
      <c r="AG79" s="29">
        <v>0</v>
      </c>
      <c r="AH79" s="4"/>
      <c r="AI79" s="255"/>
      <c r="AK79" s="193"/>
      <c r="AL79" s="193"/>
      <c r="AM79" s="193"/>
      <c r="AN79" s="193"/>
      <c r="AO79" s="193"/>
      <c r="AP79" s="193"/>
    </row>
    <row r="80" spans="2:42" s="180" customFormat="1">
      <c r="B80" s="63" t="s">
        <v>63</v>
      </c>
      <c r="C80" s="56"/>
      <c r="D80" s="56"/>
      <c r="E80" s="19">
        <v>0</v>
      </c>
      <c r="F80" s="291"/>
      <c r="G80" s="60"/>
      <c r="H80" s="56"/>
      <c r="I80" s="56"/>
      <c r="J80" s="291">
        <v>0</v>
      </c>
      <c r="K80" s="291"/>
      <c r="L80" s="60"/>
      <c r="M80" s="56"/>
      <c r="N80" s="56"/>
      <c r="O80" s="291">
        <v>0</v>
      </c>
      <c r="P80" s="19"/>
      <c r="Q80" s="60"/>
      <c r="R80" s="56"/>
      <c r="S80" s="56"/>
      <c r="T80" s="291">
        <v>0</v>
      </c>
      <c r="U80" s="19"/>
      <c r="V80" s="60"/>
      <c r="W80" s="56"/>
      <c r="X80" s="56"/>
      <c r="Y80" s="291">
        <v>0</v>
      </c>
      <c r="Z80" s="19"/>
      <c r="AA80" s="28">
        <f>SUM(E80+J80+O80+T80+Y80)</f>
        <v>0</v>
      </c>
      <c r="AB80" s="282">
        <f>Z80+U80+P80+K80+F80</f>
        <v>0</v>
      </c>
      <c r="AC80" s="4"/>
      <c r="AD80" s="56"/>
      <c r="AE80" s="56"/>
      <c r="AF80" s="19"/>
      <c r="AG80" s="29">
        <f>AF80</f>
        <v>0</v>
      </c>
      <c r="AH80" s="4"/>
      <c r="AI80" s="255"/>
      <c r="AK80" s="193"/>
      <c r="AL80" s="193"/>
      <c r="AM80" s="193"/>
      <c r="AN80" s="193"/>
      <c r="AO80" s="193"/>
      <c r="AP80" s="193"/>
    </row>
    <row r="81" spans="1:42" s="180" customFormat="1">
      <c r="B81" s="63" t="s">
        <v>64</v>
      </c>
      <c r="C81" s="56"/>
      <c r="D81" s="56"/>
      <c r="E81" s="19">
        <v>8</v>
      </c>
      <c r="F81" s="291">
        <v>3</v>
      </c>
      <c r="G81" s="60"/>
      <c r="H81" s="56"/>
      <c r="I81" s="56"/>
      <c r="J81" s="291">
        <v>8</v>
      </c>
      <c r="K81" s="291">
        <v>1</v>
      </c>
      <c r="L81" s="60"/>
      <c r="M81" s="56"/>
      <c r="N81" s="56"/>
      <c r="O81" s="291">
        <v>8</v>
      </c>
      <c r="P81" s="19">
        <v>2</v>
      </c>
      <c r="Q81" s="60"/>
      <c r="R81" s="56"/>
      <c r="S81" s="56"/>
      <c r="T81" s="291">
        <v>8</v>
      </c>
      <c r="U81" s="19">
        <v>1.25</v>
      </c>
      <c r="V81" s="60"/>
      <c r="W81" s="56"/>
      <c r="X81" s="56"/>
      <c r="Y81" s="291">
        <v>8</v>
      </c>
      <c r="Z81" s="19">
        <v>1</v>
      </c>
      <c r="AA81" s="28">
        <f>SUM(E81+J81+O81+T81+Y81)</f>
        <v>40</v>
      </c>
      <c r="AB81" s="282">
        <f>Z81+U81+P81+K81+F81</f>
        <v>8.25</v>
      </c>
      <c r="AC81" s="4"/>
      <c r="AD81" s="56"/>
      <c r="AE81" s="56"/>
      <c r="AF81" s="19">
        <v>1</v>
      </c>
      <c r="AG81" s="29">
        <f>AF81</f>
        <v>1</v>
      </c>
      <c r="AH81" s="4"/>
      <c r="AI81" s="255"/>
      <c r="AK81" s="193"/>
      <c r="AL81" s="193"/>
      <c r="AM81" s="193"/>
      <c r="AN81" s="193"/>
      <c r="AO81" s="193"/>
      <c r="AP81" s="193"/>
    </row>
    <row r="82" spans="1:42" s="180" customFormat="1" ht="14.25" thickBot="1">
      <c r="B82" s="268" t="s">
        <v>65</v>
      </c>
      <c r="C82" s="75"/>
      <c r="D82" s="75"/>
      <c r="E82" s="77">
        <v>4</v>
      </c>
      <c r="F82" s="292"/>
      <c r="G82" s="81"/>
      <c r="H82" s="75"/>
      <c r="I82" s="75"/>
      <c r="J82" s="292">
        <v>4</v>
      </c>
      <c r="K82" s="292"/>
      <c r="L82" s="81"/>
      <c r="M82" s="75"/>
      <c r="N82" s="75"/>
      <c r="O82" s="292">
        <v>4</v>
      </c>
      <c r="P82" s="77"/>
      <c r="Q82" s="81"/>
      <c r="R82" s="75"/>
      <c r="S82" s="75"/>
      <c r="T82" s="292">
        <v>4</v>
      </c>
      <c r="U82" s="77"/>
      <c r="V82" s="81"/>
      <c r="W82" s="75"/>
      <c r="X82" s="75"/>
      <c r="Y82" s="292">
        <v>4</v>
      </c>
      <c r="Z82" s="77"/>
      <c r="AA82" s="80">
        <f>SUM(E82+J82+O82+T82+Y82)</f>
        <v>20</v>
      </c>
      <c r="AB82" s="294">
        <f>Z82+U82+P82+K82+F82</f>
        <v>0</v>
      </c>
      <c r="AC82" s="4"/>
      <c r="AD82" s="75"/>
      <c r="AE82" s="75"/>
      <c r="AF82" s="77"/>
      <c r="AG82" s="276">
        <v>0</v>
      </c>
      <c r="AH82" s="4"/>
      <c r="AI82" s="255"/>
      <c r="AK82" s="193"/>
      <c r="AL82" s="193"/>
      <c r="AM82" s="193"/>
      <c r="AN82" s="193"/>
      <c r="AO82" s="193"/>
      <c r="AP82" s="193"/>
    </row>
    <row r="83" spans="1:42" s="180" customFormat="1" ht="14.25" thickTop="1">
      <c r="B83" s="71" t="s">
        <v>66</v>
      </c>
      <c r="C83" s="371"/>
      <c r="D83" s="371"/>
      <c r="E83" s="71">
        <f>SUM(E79:E82)</f>
        <v>20</v>
      </c>
      <c r="F83" s="372"/>
      <c r="G83" s="372"/>
      <c r="H83" s="371"/>
      <c r="I83" s="371"/>
      <c r="J83" s="71">
        <f>SUM(J79:J82)</f>
        <v>20</v>
      </c>
      <c r="K83" s="372"/>
      <c r="L83" s="372"/>
      <c r="M83" s="371"/>
      <c r="N83" s="371"/>
      <c r="O83" s="71">
        <f>SUM(O79:O82)</f>
        <v>20</v>
      </c>
      <c r="P83" s="372"/>
      <c r="Q83" s="372"/>
      <c r="R83" s="371"/>
      <c r="S83" s="371"/>
      <c r="T83" s="71">
        <f>SUM(T79:T82)</f>
        <v>20</v>
      </c>
      <c r="U83" s="372"/>
      <c r="V83" s="372"/>
      <c r="W83" s="371"/>
      <c r="X83" s="371"/>
      <c r="Y83" s="66">
        <f>SUM(Y79:Y82)</f>
        <v>20</v>
      </c>
      <c r="Z83" s="372"/>
      <c r="AA83" s="370">
        <f>SUM(AA79:AA82)</f>
        <v>100</v>
      </c>
      <c r="AB83" s="370">
        <f>SUM(AB79:AB82)</f>
        <v>20.25</v>
      </c>
      <c r="AC83" s="4"/>
      <c r="AG83" s="370">
        <f>SUM(AG81:AG82)</f>
        <v>1</v>
      </c>
      <c r="AH83" s="4"/>
      <c r="AI83" s="255"/>
      <c r="AK83" s="193"/>
      <c r="AL83" s="193"/>
      <c r="AM83" s="193"/>
      <c r="AN83" s="193"/>
      <c r="AO83" s="193"/>
      <c r="AP83" s="193"/>
    </row>
    <row r="84" spans="1:42" s="180" customFormat="1">
      <c r="B84" s="217" t="s">
        <v>67</v>
      </c>
      <c r="C84" s="207">
        <f>C85+C86</f>
        <v>109</v>
      </c>
      <c r="D84" s="207"/>
      <c r="E84" s="209"/>
      <c r="F84" s="209"/>
      <c r="G84" s="207"/>
      <c r="H84" s="209"/>
      <c r="I84" s="209"/>
      <c r="J84" s="209"/>
      <c r="K84" s="209"/>
      <c r="L84" s="207"/>
      <c r="M84" s="207"/>
      <c r="N84" s="207"/>
      <c r="O84" s="207"/>
      <c r="P84" s="209"/>
      <c r="Q84" s="207"/>
      <c r="R84" s="207"/>
      <c r="S84" s="207"/>
      <c r="T84" s="207"/>
      <c r="U84" s="209"/>
      <c r="V84" s="207"/>
      <c r="W84" s="207"/>
      <c r="X84" s="207"/>
      <c r="Y84" s="210"/>
      <c r="Z84" s="209"/>
      <c r="AA84" s="211"/>
      <c r="AB84" s="209"/>
      <c r="AC84" s="211"/>
      <c r="AD84" s="211"/>
      <c r="AE84" s="211"/>
      <c r="AF84" s="211"/>
      <c r="AG84" s="211"/>
      <c r="AH84" s="4"/>
      <c r="AI84" s="255"/>
      <c r="AK84" s="193"/>
      <c r="AL84" s="193"/>
      <c r="AM84" s="193"/>
      <c r="AN84" s="193"/>
      <c r="AO84" s="193"/>
      <c r="AP84" s="193"/>
    </row>
    <row r="85" spans="1:42" s="180" customFormat="1">
      <c r="B85" s="238" t="s">
        <v>68</v>
      </c>
      <c r="C85" s="239">
        <f>13+14+15+14+12+5</f>
        <v>73</v>
      </c>
      <c r="D85" s="207"/>
      <c r="E85" s="209"/>
      <c r="F85" s="209"/>
      <c r="G85" s="207"/>
      <c r="H85" s="209"/>
      <c r="I85" s="209"/>
      <c r="J85" s="209"/>
      <c r="K85" s="209"/>
      <c r="L85" s="207"/>
      <c r="M85" s="207"/>
      <c r="N85" s="207"/>
      <c r="O85" s="207"/>
      <c r="P85" s="209"/>
      <c r="Q85" s="207"/>
      <c r="R85" s="207"/>
      <c r="S85" s="207"/>
      <c r="T85" s="207"/>
      <c r="U85" s="209"/>
      <c r="V85" s="207"/>
      <c r="W85" s="207"/>
      <c r="X85" s="207"/>
      <c r="Y85" s="210"/>
      <c r="Z85" s="209"/>
      <c r="AA85" s="211"/>
      <c r="AB85" s="209"/>
      <c r="AC85" s="211"/>
      <c r="AD85" s="211"/>
      <c r="AE85" s="211"/>
      <c r="AF85" s="211"/>
      <c r="AG85" s="211"/>
      <c r="AH85" s="4"/>
      <c r="AI85" s="255"/>
      <c r="AK85" s="193"/>
      <c r="AL85" s="193"/>
      <c r="AM85" s="193"/>
      <c r="AN85" s="193"/>
      <c r="AO85" s="193"/>
      <c r="AP85" s="193"/>
    </row>
    <row r="86" spans="1:42" s="180" customFormat="1" ht="13.5" customHeight="1">
      <c r="A86" s="11"/>
      <c r="B86" s="238" t="s">
        <v>69</v>
      </c>
      <c r="C86" s="239">
        <f>2+6+14+6+8</f>
        <v>36</v>
      </c>
      <c r="D86" s="207"/>
      <c r="E86" s="209"/>
      <c r="F86" s="209"/>
      <c r="G86" s="207"/>
      <c r="H86" s="209"/>
      <c r="I86" s="209"/>
      <c r="J86" s="209"/>
      <c r="K86" s="209"/>
      <c r="L86" s="207"/>
      <c r="M86" s="207"/>
      <c r="N86" s="207"/>
      <c r="O86" s="207"/>
      <c r="P86" s="209"/>
      <c r="Q86" s="207"/>
      <c r="R86" s="207"/>
      <c r="S86" s="207"/>
      <c r="T86" s="207"/>
      <c r="U86" s="209"/>
      <c r="V86" s="207"/>
      <c r="W86" s="207"/>
      <c r="X86" s="207"/>
      <c r="Y86" s="210"/>
      <c r="Z86" s="209"/>
      <c r="AA86" s="211"/>
      <c r="AB86" s="209"/>
      <c r="AC86" s="211"/>
      <c r="AD86" s="211"/>
      <c r="AE86" s="211"/>
      <c r="AF86" s="211"/>
      <c r="AG86" s="211"/>
      <c r="AH86" s="4"/>
      <c r="AI86" s="255"/>
      <c r="AK86" s="193"/>
      <c r="AL86" s="193"/>
      <c r="AM86" s="193"/>
      <c r="AN86" s="193"/>
      <c r="AO86" s="193"/>
      <c r="AP86" s="193"/>
    </row>
    <row r="87" spans="1:42" s="180" customFormat="1">
      <c r="A87" s="11"/>
      <c r="B87" s="218"/>
      <c r="C87" s="219"/>
      <c r="D87" s="219"/>
      <c r="E87" s="221"/>
      <c r="F87" s="221"/>
      <c r="G87" s="219"/>
      <c r="H87" s="221"/>
      <c r="I87" s="221"/>
      <c r="J87" s="221"/>
      <c r="K87" s="221"/>
      <c r="L87" s="219"/>
      <c r="M87" s="219"/>
      <c r="N87" s="219"/>
      <c r="O87" s="219"/>
      <c r="P87" s="221"/>
      <c r="Q87" s="219"/>
      <c r="R87" s="219"/>
      <c r="S87" s="219"/>
      <c r="T87" s="219"/>
      <c r="U87" s="221"/>
      <c r="V87" s="219"/>
      <c r="W87" s="219"/>
      <c r="X87" s="219"/>
      <c r="Y87" s="222"/>
      <c r="Z87" s="221"/>
      <c r="AA87" s="223"/>
      <c r="AB87" s="221"/>
      <c r="AC87" s="4"/>
      <c r="AD87" s="168"/>
      <c r="AH87" s="4"/>
      <c r="AI87" s="255"/>
      <c r="AK87" s="193"/>
      <c r="AL87" s="193"/>
      <c r="AM87" s="193"/>
      <c r="AN87" s="193"/>
      <c r="AO87" s="193"/>
      <c r="AP87" s="193"/>
    </row>
    <row r="88" spans="1:42" s="255" customFormat="1" ht="4.5" customHeight="1">
      <c r="A88" s="228"/>
      <c r="B88" s="229"/>
      <c r="C88" s="230"/>
      <c r="D88" s="230"/>
      <c r="E88" s="232"/>
      <c r="F88" s="232"/>
      <c r="G88" s="230"/>
      <c r="H88" s="232"/>
      <c r="I88" s="232"/>
      <c r="J88" s="232"/>
      <c r="K88" s="232"/>
      <c r="L88" s="230"/>
      <c r="M88" s="230"/>
      <c r="N88" s="230"/>
      <c r="O88" s="230"/>
      <c r="P88" s="232"/>
      <c r="Q88" s="230"/>
      <c r="R88" s="230"/>
      <c r="S88" s="230"/>
      <c r="T88" s="230"/>
      <c r="U88" s="232"/>
      <c r="V88" s="230"/>
      <c r="W88" s="230"/>
      <c r="X88" s="230"/>
      <c r="Y88" s="233"/>
      <c r="Z88" s="232"/>
      <c r="AA88" s="234"/>
      <c r="AB88" s="232"/>
      <c r="AC88" s="373"/>
      <c r="AD88" s="236"/>
      <c r="AH88" s="373"/>
    </row>
    <row r="89" spans="1:42" s="193" customFormat="1">
      <c r="A89" s="224"/>
      <c r="B89" s="214"/>
      <c r="C89" s="364"/>
      <c r="D89" s="364"/>
      <c r="E89" s="214"/>
      <c r="F89" s="214"/>
      <c r="G89" s="364"/>
      <c r="H89" s="214"/>
      <c r="I89" s="214"/>
      <c r="J89" s="214"/>
      <c r="K89" s="214"/>
      <c r="L89" s="364"/>
      <c r="M89" s="364"/>
      <c r="N89" s="364"/>
      <c r="O89" s="364"/>
      <c r="P89" s="214"/>
      <c r="Q89" s="364"/>
      <c r="R89" s="364"/>
      <c r="S89" s="364"/>
      <c r="T89" s="364"/>
      <c r="U89" s="214"/>
      <c r="V89" s="364"/>
      <c r="W89" s="364"/>
      <c r="X89" s="364"/>
      <c r="Y89" s="216"/>
      <c r="Z89" s="214"/>
      <c r="AA89" s="225"/>
      <c r="AB89" s="214"/>
      <c r="AC89" s="189"/>
      <c r="AH89" s="4"/>
      <c r="AI89" s="255"/>
      <c r="AJ89" s="180"/>
    </row>
    <row r="90" spans="1:42" s="180" customFormat="1" ht="13.5" customHeight="1">
      <c r="B90" s="1518" t="s">
        <v>18</v>
      </c>
      <c r="C90" s="1519">
        <v>45187</v>
      </c>
      <c r="D90" s="1519"/>
      <c r="E90" s="1519"/>
      <c r="F90" s="1519"/>
      <c r="G90" s="365"/>
      <c r="H90" s="1519">
        <v>45188</v>
      </c>
      <c r="I90" s="1519"/>
      <c r="J90" s="1519"/>
      <c r="K90" s="1519"/>
      <c r="L90" s="365"/>
      <c r="M90" s="1519">
        <v>45189</v>
      </c>
      <c r="N90" s="1519"/>
      <c r="O90" s="1519"/>
      <c r="P90" s="1519"/>
      <c r="Q90" s="365"/>
      <c r="R90" s="1519">
        <v>45190</v>
      </c>
      <c r="S90" s="1519"/>
      <c r="T90" s="1519"/>
      <c r="U90" s="1519"/>
      <c r="V90" s="365"/>
      <c r="W90" s="1519">
        <v>45191</v>
      </c>
      <c r="X90" s="1519"/>
      <c r="Y90" s="1519"/>
      <c r="Z90" s="1519"/>
      <c r="AA90" s="1517" t="s">
        <v>19</v>
      </c>
      <c r="AB90" s="1517" t="s">
        <v>20</v>
      </c>
      <c r="AC90" s="4"/>
      <c r="AD90" s="1519">
        <v>45192</v>
      </c>
      <c r="AE90" s="1519"/>
      <c r="AF90" s="1519"/>
      <c r="AG90" s="1517" t="s">
        <v>21</v>
      </c>
      <c r="AH90" s="4"/>
      <c r="AI90" s="255"/>
      <c r="AK90" s="194" t="s">
        <v>73</v>
      </c>
      <c r="AL90" s="366"/>
      <c r="AM90" s="366"/>
      <c r="AN90" s="366"/>
      <c r="AO90" s="366"/>
      <c r="AP90" s="366"/>
    </row>
    <row r="91" spans="1:42" s="367" customFormat="1">
      <c r="B91" s="1518"/>
      <c r="C91" s="21" t="s">
        <v>23</v>
      </c>
      <c r="D91" s="21" t="s">
        <v>24</v>
      </c>
      <c r="E91" s="205" t="s">
        <v>25</v>
      </c>
      <c r="F91" s="18" t="s">
        <v>14</v>
      </c>
      <c r="G91" s="4"/>
      <c r="H91" s="21" t="s">
        <v>23</v>
      </c>
      <c r="I91" s="21" t="s">
        <v>24</v>
      </c>
      <c r="J91" s="18" t="s">
        <v>25</v>
      </c>
      <c r="K91" s="18" t="s">
        <v>14</v>
      </c>
      <c r="L91" s="4"/>
      <c r="M91" s="21" t="s">
        <v>23</v>
      </c>
      <c r="N91" s="21" t="s">
        <v>24</v>
      </c>
      <c r="O91" s="18" t="s">
        <v>25</v>
      </c>
      <c r="P91" s="18" t="s">
        <v>14</v>
      </c>
      <c r="Q91" s="4"/>
      <c r="R91" s="21" t="s">
        <v>23</v>
      </c>
      <c r="S91" s="21" t="s">
        <v>24</v>
      </c>
      <c r="T91" s="18" t="s">
        <v>25</v>
      </c>
      <c r="U91" s="18" t="s">
        <v>14</v>
      </c>
      <c r="V91" s="4"/>
      <c r="W91" s="21" t="s">
        <v>23</v>
      </c>
      <c r="X91" s="21" t="s">
        <v>24</v>
      </c>
      <c r="Y91" s="18" t="s">
        <v>25</v>
      </c>
      <c r="Z91" s="18" t="s">
        <v>14</v>
      </c>
      <c r="AA91" s="1517"/>
      <c r="AB91" s="1517"/>
      <c r="AC91" s="4"/>
      <c r="AD91" s="21" t="s">
        <v>23</v>
      </c>
      <c r="AE91" s="21" t="s">
        <v>24</v>
      </c>
      <c r="AF91" s="18" t="s">
        <v>25</v>
      </c>
      <c r="AG91" s="1517"/>
      <c r="AH91" s="175"/>
      <c r="AI91" s="368"/>
      <c r="AK91" s="188" t="s">
        <v>26</v>
      </c>
      <c r="AL91" s="389">
        <f>AA117</f>
        <v>785.5</v>
      </c>
      <c r="AM91" s="193"/>
      <c r="AN91" s="193"/>
      <c r="AO91" s="193"/>
      <c r="AP91" s="193"/>
    </row>
    <row r="92" spans="1:42" s="367" customFormat="1">
      <c r="B92" s="171" t="s">
        <v>56</v>
      </c>
      <c r="C92" s="261">
        <v>0</v>
      </c>
      <c r="D92" s="261">
        <v>0</v>
      </c>
      <c r="E92" s="173">
        <v>0</v>
      </c>
      <c r="F92" s="277"/>
      <c r="G92" s="175"/>
      <c r="H92" s="261">
        <v>0</v>
      </c>
      <c r="I92" s="261">
        <v>0</v>
      </c>
      <c r="J92" s="173">
        <v>0</v>
      </c>
      <c r="K92" s="277"/>
      <c r="L92" s="175"/>
      <c r="M92" s="172">
        <v>0.36458333333333331</v>
      </c>
      <c r="N92" s="172">
        <v>0.20833333333333334</v>
      </c>
      <c r="O92" s="173">
        <v>7.25</v>
      </c>
      <c r="P92" s="277"/>
      <c r="Q92" s="175"/>
      <c r="R92" s="172">
        <v>0.36458333333333331</v>
      </c>
      <c r="S92" s="172">
        <v>0.20833333333333334</v>
      </c>
      <c r="T92" s="173">
        <v>7.25</v>
      </c>
      <c r="U92" s="277"/>
      <c r="V92" s="175"/>
      <c r="W92" s="172">
        <v>0.35416666666666669</v>
      </c>
      <c r="X92" s="172">
        <v>0.20833333333333334</v>
      </c>
      <c r="Y92" s="173">
        <v>7.5</v>
      </c>
      <c r="Z92" s="277"/>
      <c r="AA92" s="28">
        <f t="shared" ref="AA92:AA109" si="13">(E92+J92+O92+T92+Y92)</f>
        <v>22</v>
      </c>
      <c r="AB92" s="298">
        <f t="shared" ref="AB92:AB116" si="14">Z92+U92+P92+K92+F92</f>
        <v>0</v>
      </c>
      <c r="AC92" s="175"/>
      <c r="AD92" s="175">
        <v>0</v>
      </c>
      <c r="AE92" s="175">
        <v>0</v>
      </c>
      <c r="AF92" s="173">
        <v>0</v>
      </c>
      <c r="AG92" s="28">
        <f t="shared" ref="AG92:AG111" si="15">AF92</f>
        <v>0</v>
      </c>
      <c r="AH92" s="175"/>
      <c r="AI92" s="368"/>
      <c r="AK92" s="188" t="s">
        <v>30</v>
      </c>
      <c r="AL92" s="389">
        <f>AB117</f>
        <v>5.25</v>
      </c>
      <c r="AM92" s="193"/>
      <c r="AN92" s="193"/>
      <c r="AO92" s="193"/>
      <c r="AP92" s="193"/>
    </row>
    <row r="93" spans="1:42" s="367" customFormat="1">
      <c r="B93" s="171" t="s">
        <v>31</v>
      </c>
      <c r="C93" s="172">
        <v>0.34375</v>
      </c>
      <c r="D93" s="172">
        <v>0.20833333333333334</v>
      </c>
      <c r="E93" s="173">
        <v>7.75</v>
      </c>
      <c r="F93" s="277"/>
      <c r="G93" s="175"/>
      <c r="H93" s="172">
        <v>0.33333333333333331</v>
      </c>
      <c r="I93" s="172">
        <v>0.20833333333333334</v>
      </c>
      <c r="J93" s="173">
        <v>8</v>
      </c>
      <c r="K93" s="277"/>
      <c r="L93" s="175"/>
      <c r="M93" s="172">
        <v>0</v>
      </c>
      <c r="N93" s="172">
        <v>0</v>
      </c>
      <c r="O93" s="173">
        <v>0</v>
      </c>
      <c r="P93" s="277"/>
      <c r="Q93" s="175"/>
      <c r="R93" s="175">
        <v>0</v>
      </c>
      <c r="S93" s="175">
        <v>0</v>
      </c>
      <c r="T93" s="173">
        <v>0</v>
      </c>
      <c r="U93" s="277"/>
      <c r="V93" s="175"/>
      <c r="W93" s="172">
        <v>0.35416666666666669</v>
      </c>
      <c r="X93" s="172">
        <v>0.20833333333333334</v>
      </c>
      <c r="Y93" s="173">
        <v>7.5</v>
      </c>
      <c r="Z93" s="277"/>
      <c r="AA93" s="28">
        <f t="shared" si="13"/>
        <v>23.25</v>
      </c>
      <c r="AB93" s="298">
        <f t="shared" si="14"/>
        <v>0</v>
      </c>
      <c r="AC93" s="175"/>
      <c r="AD93" s="175">
        <v>0</v>
      </c>
      <c r="AE93" s="175">
        <v>0</v>
      </c>
      <c r="AF93" s="173">
        <v>0</v>
      </c>
      <c r="AG93" s="28">
        <f t="shared" si="15"/>
        <v>0</v>
      </c>
      <c r="AH93" s="175"/>
      <c r="AI93" s="368"/>
      <c r="AK93" s="188" t="s">
        <v>32</v>
      </c>
      <c r="AL93" s="389">
        <f>AG117</f>
        <v>49.75</v>
      </c>
      <c r="AM93" s="193"/>
      <c r="AN93" s="193"/>
      <c r="AO93" s="193"/>
      <c r="AP93" s="193"/>
    </row>
    <row r="94" spans="1:42" s="367" customFormat="1">
      <c r="B94" s="171" t="s">
        <v>33</v>
      </c>
      <c r="C94" s="377">
        <v>0.36458333333333331</v>
      </c>
      <c r="D94" s="377">
        <v>0.20833333333333334</v>
      </c>
      <c r="E94" s="173">
        <v>7.25</v>
      </c>
      <c r="F94" s="277"/>
      <c r="G94" s="175"/>
      <c r="H94" s="172">
        <v>0.36458333333333331</v>
      </c>
      <c r="I94" s="172">
        <v>0.20833333333333334</v>
      </c>
      <c r="J94" s="173">
        <v>7.25</v>
      </c>
      <c r="K94" s="277"/>
      <c r="L94" s="175"/>
      <c r="M94" s="172">
        <v>0.36458333333333331</v>
      </c>
      <c r="N94" s="172">
        <v>0.20833333333333334</v>
      </c>
      <c r="O94" s="173">
        <v>7.25</v>
      </c>
      <c r="P94" s="277"/>
      <c r="Q94" s="175"/>
      <c r="R94" s="172">
        <v>0.34375</v>
      </c>
      <c r="S94" s="172">
        <v>0.20833333333333334</v>
      </c>
      <c r="T94" s="173">
        <v>7.75</v>
      </c>
      <c r="U94" s="277"/>
      <c r="V94" s="175"/>
      <c r="W94" s="355" t="s">
        <v>74</v>
      </c>
      <c r="X94" s="172">
        <v>0.20833333333333334</v>
      </c>
      <c r="Y94" s="173">
        <v>7.25</v>
      </c>
      <c r="Z94" s="277"/>
      <c r="AA94" s="28">
        <f t="shared" si="13"/>
        <v>36.75</v>
      </c>
      <c r="AB94" s="298">
        <f t="shared" si="14"/>
        <v>0</v>
      </c>
      <c r="AC94" s="175"/>
      <c r="AD94" s="175">
        <v>0</v>
      </c>
      <c r="AE94" s="175">
        <v>0</v>
      </c>
      <c r="AF94" s="173">
        <v>0</v>
      </c>
      <c r="AG94" s="28">
        <f t="shared" si="15"/>
        <v>0</v>
      </c>
      <c r="AH94" s="175"/>
      <c r="AI94" s="368"/>
      <c r="AK94" s="188" t="s">
        <v>34</v>
      </c>
      <c r="AL94" s="389">
        <f>AA122</f>
        <v>140</v>
      </c>
      <c r="AM94" s="193"/>
      <c r="AN94" s="193"/>
      <c r="AO94" s="193"/>
      <c r="AP94" s="193"/>
    </row>
    <row r="95" spans="1:42" s="180" customFormat="1">
      <c r="B95" s="171" t="s">
        <v>58</v>
      </c>
      <c r="C95" s="355" t="s">
        <v>75</v>
      </c>
      <c r="D95" s="172">
        <v>0.20833333333333334</v>
      </c>
      <c r="E95" s="173">
        <v>7</v>
      </c>
      <c r="F95" s="277"/>
      <c r="G95" s="4"/>
      <c r="H95" s="354" t="s">
        <v>76</v>
      </c>
      <c r="I95" s="172">
        <v>0.20833333333333334</v>
      </c>
      <c r="J95" s="173">
        <v>7.5</v>
      </c>
      <c r="K95" s="277"/>
      <c r="L95" s="4"/>
      <c r="M95" s="172">
        <v>0.36458333333333331</v>
      </c>
      <c r="N95" s="172">
        <v>0.20833333333333334</v>
      </c>
      <c r="O95" s="173">
        <v>7.25</v>
      </c>
      <c r="P95" s="277"/>
      <c r="Q95" s="4"/>
      <c r="R95" s="355" t="s">
        <v>77</v>
      </c>
      <c r="S95" s="172">
        <v>0.20833333333333334</v>
      </c>
      <c r="T95" s="173">
        <v>7.5</v>
      </c>
      <c r="U95" s="277"/>
      <c r="V95" s="4"/>
      <c r="W95" s="354" t="s">
        <v>76</v>
      </c>
      <c r="X95" s="172">
        <v>0.20833333333333334</v>
      </c>
      <c r="Y95" s="173">
        <v>7.5</v>
      </c>
      <c r="Z95" s="277"/>
      <c r="AA95" s="28">
        <f>(E95+J95+O95+T95+Y95)</f>
        <v>36.75</v>
      </c>
      <c r="AB95" s="298">
        <f>Z95+U95+P95+K95+F95</f>
        <v>0</v>
      </c>
      <c r="AC95" s="4"/>
      <c r="AD95" s="175">
        <v>0</v>
      </c>
      <c r="AE95" s="175">
        <v>0</v>
      </c>
      <c r="AF95" s="173">
        <v>0</v>
      </c>
      <c r="AG95" s="28">
        <f>AF95</f>
        <v>0</v>
      </c>
      <c r="AH95" s="4"/>
      <c r="AI95" s="255"/>
      <c r="AK95" s="188" t="s">
        <v>36</v>
      </c>
      <c r="AL95" s="389">
        <f>AB122</f>
        <v>4.75</v>
      </c>
      <c r="AM95" s="193"/>
      <c r="AN95" s="193"/>
      <c r="AO95" s="193"/>
      <c r="AP95" s="193"/>
    </row>
    <row r="96" spans="1:42" s="180" customFormat="1">
      <c r="B96" s="171" t="s">
        <v>72</v>
      </c>
      <c r="C96" s="172">
        <v>0.35416666666666669</v>
      </c>
      <c r="D96" s="172">
        <v>0.20833333333333334</v>
      </c>
      <c r="E96" s="173">
        <v>7.5</v>
      </c>
      <c r="F96" s="277"/>
      <c r="G96" s="4"/>
      <c r="H96" s="355">
        <v>0.34375</v>
      </c>
      <c r="I96" s="172">
        <v>0.20833333333333334</v>
      </c>
      <c r="J96" s="173">
        <v>7.25</v>
      </c>
      <c r="K96" s="277"/>
      <c r="L96" s="4"/>
      <c r="M96" s="172">
        <v>0.34375</v>
      </c>
      <c r="N96" s="172">
        <v>0.20833333333333334</v>
      </c>
      <c r="O96" s="173">
        <v>7.75</v>
      </c>
      <c r="P96" s="277"/>
      <c r="Q96" s="4"/>
      <c r="R96" s="172">
        <v>0.34375</v>
      </c>
      <c r="S96" s="172">
        <v>0.20833333333333334</v>
      </c>
      <c r="T96" s="173">
        <v>7.75</v>
      </c>
      <c r="U96" s="277"/>
      <c r="V96" s="4"/>
      <c r="W96" s="172">
        <v>0.35416666666666669</v>
      </c>
      <c r="X96" s="172">
        <v>0.20833333333333334</v>
      </c>
      <c r="Y96" s="173">
        <v>7.5</v>
      </c>
      <c r="Z96" s="277"/>
      <c r="AA96" s="28">
        <f>(E96+J96+O96+T96+Y96)</f>
        <v>37.75</v>
      </c>
      <c r="AB96" s="298">
        <f>Z96+U96+P96+K96+F96</f>
        <v>0</v>
      </c>
      <c r="AC96" s="4"/>
      <c r="AD96" s="175">
        <v>0</v>
      </c>
      <c r="AE96" s="175">
        <v>0</v>
      </c>
      <c r="AF96" s="173">
        <v>0</v>
      </c>
      <c r="AG96" s="28">
        <f>AF96</f>
        <v>0</v>
      </c>
      <c r="AH96" s="4"/>
      <c r="AI96" s="255"/>
      <c r="AK96" s="188" t="s">
        <v>38</v>
      </c>
      <c r="AL96" s="389">
        <f>AG122</f>
        <v>1</v>
      </c>
      <c r="AM96" s="193"/>
      <c r="AN96" s="193"/>
      <c r="AO96" s="193"/>
      <c r="AP96" s="193"/>
    </row>
    <row r="97" spans="2:42" s="180" customFormat="1">
      <c r="B97" s="171" t="s">
        <v>71</v>
      </c>
      <c r="C97" s="354" t="s">
        <v>74</v>
      </c>
      <c r="D97" s="172">
        <v>0.20833333333333334</v>
      </c>
      <c r="E97" s="173">
        <v>7.25</v>
      </c>
      <c r="F97" s="277"/>
      <c r="G97" s="4"/>
      <c r="H97" s="355">
        <v>0.34375</v>
      </c>
      <c r="I97" s="172">
        <v>0.20833333333333334</v>
      </c>
      <c r="J97" s="173">
        <v>7.25</v>
      </c>
      <c r="K97" s="277"/>
      <c r="L97" s="4"/>
      <c r="M97" s="172">
        <v>0.33333333333333331</v>
      </c>
      <c r="N97" s="172">
        <v>0.20833333333333334</v>
      </c>
      <c r="O97" s="173">
        <v>8</v>
      </c>
      <c r="P97" s="277"/>
      <c r="Q97" s="4"/>
      <c r="R97" s="172">
        <v>0.33333333333333331</v>
      </c>
      <c r="S97" s="172">
        <v>0.20833333333333334</v>
      </c>
      <c r="T97" s="173">
        <v>8</v>
      </c>
      <c r="U97" s="277"/>
      <c r="V97" s="4"/>
      <c r="W97" s="172">
        <v>0.33333333333333331</v>
      </c>
      <c r="X97" s="172">
        <v>0.20833333333333334</v>
      </c>
      <c r="Y97" s="173">
        <v>8</v>
      </c>
      <c r="Z97" s="277"/>
      <c r="AA97" s="28">
        <f>(E97+J97+O97+T97+Y97)</f>
        <v>38.5</v>
      </c>
      <c r="AB97" s="298">
        <f>Z97+U97+P97+K97+F97</f>
        <v>0</v>
      </c>
      <c r="AC97" s="4"/>
      <c r="AD97" s="175">
        <v>0</v>
      </c>
      <c r="AE97" s="175">
        <v>0</v>
      </c>
      <c r="AF97" s="173">
        <v>0</v>
      </c>
      <c r="AG97" s="28">
        <f>AF97</f>
        <v>0</v>
      </c>
      <c r="AH97" s="4"/>
      <c r="AI97" s="255"/>
      <c r="AK97" s="188" t="s">
        <v>41</v>
      </c>
      <c r="AL97" s="389">
        <f>C123</f>
        <v>150</v>
      </c>
      <c r="AM97" s="193"/>
      <c r="AN97" s="193"/>
      <c r="AO97" s="193"/>
      <c r="AP97" s="193"/>
    </row>
    <row r="98" spans="2:42" s="180" customFormat="1">
      <c r="B98" s="13" t="s">
        <v>35</v>
      </c>
      <c r="C98" s="353">
        <v>0.3125</v>
      </c>
      <c r="D98" s="353">
        <v>0.20833333333333334</v>
      </c>
      <c r="E98" s="319">
        <v>8.5</v>
      </c>
      <c r="F98" s="277"/>
      <c r="G98" s="175"/>
      <c r="H98" s="47">
        <v>0.26041666666666669</v>
      </c>
      <c r="I98" s="47">
        <v>0.20833333333333334</v>
      </c>
      <c r="J98" s="319">
        <v>9.75</v>
      </c>
      <c r="K98" s="277">
        <v>1.75</v>
      </c>
      <c r="L98" s="175"/>
      <c r="M98" s="47">
        <v>0.375</v>
      </c>
      <c r="N98" s="47">
        <v>0.20833333333333334</v>
      </c>
      <c r="O98" s="319">
        <v>7</v>
      </c>
      <c r="P98" s="277"/>
      <c r="Q98" s="175"/>
      <c r="R98" s="47">
        <v>0</v>
      </c>
      <c r="S98" s="47">
        <v>0</v>
      </c>
      <c r="T98" s="319">
        <v>0</v>
      </c>
      <c r="U98" s="277"/>
      <c r="V98" s="175"/>
      <c r="W98" s="47">
        <v>0.35416666666666669</v>
      </c>
      <c r="X98" s="47">
        <v>0.20833333333333334</v>
      </c>
      <c r="Y98" s="319">
        <v>7.5</v>
      </c>
      <c r="Z98" s="277"/>
      <c r="AA98" s="344">
        <f t="shared" si="13"/>
        <v>32.75</v>
      </c>
      <c r="AB98" s="298">
        <f t="shared" si="14"/>
        <v>1.75</v>
      </c>
      <c r="AC98" s="175"/>
      <c r="AD98" s="376">
        <v>0.375</v>
      </c>
      <c r="AE98" s="376">
        <v>0.20833333333333334</v>
      </c>
      <c r="AF98" s="346">
        <v>7</v>
      </c>
      <c r="AG98" s="344">
        <f t="shared" si="15"/>
        <v>7</v>
      </c>
      <c r="AH98" s="4"/>
      <c r="AI98" s="255"/>
      <c r="AK98" s="188"/>
      <c r="AL98" s="196"/>
      <c r="AM98" s="193"/>
      <c r="AN98" s="193"/>
      <c r="AO98" s="193"/>
      <c r="AP98" s="193"/>
    </row>
    <row r="99" spans="2:42" s="367" customFormat="1">
      <c r="B99" s="13" t="s">
        <v>37</v>
      </c>
      <c r="C99" s="12">
        <v>0</v>
      </c>
      <c r="D99" s="12">
        <v>0</v>
      </c>
      <c r="E99" s="19">
        <v>0</v>
      </c>
      <c r="F99" s="277"/>
      <c r="G99" s="175"/>
      <c r="H99" s="47">
        <v>0.35416666666666669</v>
      </c>
      <c r="I99" s="47">
        <v>0.20833333333333334</v>
      </c>
      <c r="J99" s="173">
        <v>7.5</v>
      </c>
      <c r="K99" s="277"/>
      <c r="L99" s="175"/>
      <c r="M99" s="47">
        <v>0.35416666666666669</v>
      </c>
      <c r="N99" s="47">
        <v>0.20833333333333334</v>
      </c>
      <c r="O99" s="319">
        <v>7.5</v>
      </c>
      <c r="P99" s="277"/>
      <c r="Q99" s="175"/>
      <c r="R99" s="47">
        <v>0.38541666666666669</v>
      </c>
      <c r="S99" s="47">
        <v>0.20833333333333334</v>
      </c>
      <c r="T99" s="319">
        <v>6.75</v>
      </c>
      <c r="U99" s="277"/>
      <c r="V99" s="175"/>
      <c r="W99" s="47">
        <v>0.39583333333333331</v>
      </c>
      <c r="X99" s="47">
        <v>0.20833333333333334</v>
      </c>
      <c r="Y99" s="319">
        <v>6.5</v>
      </c>
      <c r="Z99" s="277"/>
      <c r="AA99" s="344">
        <f t="shared" si="13"/>
        <v>28.25</v>
      </c>
      <c r="AB99" s="298">
        <f t="shared" si="14"/>
        <v>0</v>
      </c>
      <c r="AC99" s="175"/>
      <c r="AD99" s="345">
        <v>0</v>
      </c>
      <c r="AE99" s="345">
        <v>0</v>
      </c>
      <c r="AF99" s="346">
        <v>0</v>
      </c>
      <c r="AG99" s="344">
        <f t="shared" si="15"/>
        <v>0</v>
      </c>
      <c r="AH99" s="175"/>
      <c r="AI99" s="368"/>
      <c r="AK99" s="188"/>
      <c r="AL99" s="196"/>
      <c r="AM99" s="193"/>
      <c r="AN99" s="193"/>
      <c r="AO99" s="193"/>
      <c r="AP99" s="193"/>
    </row>
    <row r="100" spans="2:42" s="180" customFormat="1">
      <c r="B100" s="13" t="s">
        <v>39</v>
      </c>
      <c r="C100" s="353" t="s">
        <v>78</v>
      </c>
      <c r="D100" s="353">
        <v>0.20833333333333334</v>
      </c>
      <c r="E100" s="19">
        <v>7</v>
      </c>
      <c r="F100" s="277"/>
      <c r="G100" s="4"/>
      <c r="H100" s="47">
        <v>0.375</v>
      </c>
      <c r="I100" s="47">
        <v>0.20833333333333334</v>
      </c>
      <c r="J100" s="319">
        <v>7</v>
      </c>
      <c r="K100" s="277"/>
      <c r="L100" s="4"/>
      <c r="M100" s="47">
        <v>0.375</v>
      </c>
      <c r="N100" s="47">
        <v>0.20833333333333334</v>
      </c>
      <c r="O100" s="319">
        <v>7</v>
      </c>
      <c r="P100" s="277"/>
      <c r="Q100" s="4"/>
      <c r="R100" s="47" t="s">
        <v>78</v>
      </c>
      <c r="S100" s="47">
        <v>0.20833333333333334</v>
      </c>
      <c r="T100" s="319">
        <v>7</v>
      </c>
      <c r="U100" s="277"/>
      <c r="V100" s="4"/>
      <c r="W100" s="47">
        <v>0.39583333333333331</v>
      </c>
      <c r="X100" s="47">
        <v>0.20833333333333334</v>
      </c>
      <c r="Y100" s="319">
        <v>6.5</v>
      </c>
      <c r="Z100" s="277"/>
      <c r="AA100" s="29">
        <f t="shared" si="13"/>
        <v>34.5</v>
      </c>
      <c r="AB100" s="298">
        <f t="shared" si="14"/>
        <v>0</v>
      </c>
      <c r="AC100" s="4"/>
      <c r="AD100" s="4">
        <v>0</v>
      </c>
      <c r="AE100" s="4">
        <v>0</v>
      </c>
      <c r="AF100" s="19">
        <v>0</v>
      </c>
      <c r="AG100" s="29">
        <f t="shared" si="15"/>
        <v>0</v>
      </c>
      <c r="AH100" s="4"/>
      <c r="AI100" s="255"/>
      <c r="AK100" s="188"/>
      <c r="AL100" s="196"/>
      <c r="AM100" s="369"/>
      <c r="AN100" s="369"/>
      <c r="AO100" s="369"/>
      <c r="AP100" s="369"/>
    </row>
    <row r="101" spans="2:42" s="180" customFormat="1">
      <c r="B101" s="164" t="s">
        <v>40</v>
      </c>
      <c r="C101" s="12">
        <v>0</v>
      </c>
      <c r="D101" s="12">
        <v>0</v>
      </c>
      <c r="E101" s="19">
        <v>0</v>
      </c>
      <c r="F101" s="277"/>
      <c r="G101" s="4"/>
      <c r="H101" s="47">
        <v>0.36458333333333331</v>
      </c>
      <c r="I101" s="47">
        <v>0.20833333333333334</v>
      </c>
      <c r="J101" s="173">
        <v>7.25</v>
      </c>
      <c r="K101" s="277"/>
      <c r="L101" s="4"/>
      <c r="M101" s="47">
        <v>0.375</v>
      </c>
      <c r="N101" s="47">
        <v>0.20833333333333334</v>
      </c>
      <c r="O101" s="319">
        <v>7</v>
      </c>
      <c r="P101" s="277"/>
      <c r="Q101" s="4"/>
      <c r="R101" s="47">
        <v>0.40625</v>
      </c>
      <c r="S101" s="47">
        <v>0.20833333333333334</v>
      </c>
      <c r="T101" s="319">
        <v>6.25</v>
      </c>
      <c r="U101" s="277"/>
      <c r="V101" s="4"/>
      <c r="W101" s="47">
        <v>0.39583333333333331</v>
      </c>
      <c r="X101" s="47">
        <v>0.20833333333333334</v>
      </c>
      <c r="Y101" s="319">
        <v>6.5</v>
      </c>
      <c r="Z101" s="277"/>
      <c r="AA101" s="29">
        <f t="shared" si="13"/>
        <v>27</v>
      </c>
      <c r="AB101" s="298">
        <f t="shared" si="14"/>
        <v>0</v>
      </c>
      <c r="AC101" s="4"/>
      <c r="AD101" s="47">
        <v>0.375</v>
      </c>
      <c r="AE101" s="376">
        <v>0.20833333333333334</v>
      </c>
      <c r="AF101" s="19">
        <v>7</v>
      </c>
      <c r="AG101" s="29">
        <f t="shared" si="15"/>
        <v>7</v>
      </c>
      <c r="AH101" s="4"/>
      <c r="AI101" s="255"/>
      <c r="AK101" s="188"/>
      <c r="AL101" s="196"/>
      <c r="AM101" s="193"/>
      <c r="AN101" s="193"/>
      <c r="AO101" s="193"/>
      <c r="AP101" s="193"/>
    </row>
    <row r="102" spans="2:42" s="180" customFormat="1">
      <c r="B102" s="164" t="s">
        <v>42</v>
      </c>
      <c r="C102" s="353">
        <v>0.375</v>
      </c>
      <c r="D102" s="353">
        <v>0.20833333333333334</v>
      </c>
      <c r="E102" s="19">
        <v>7</v>
      </c>
      <c r="F102" s="277"/>
      <c r="G102" s="4"/>
      <c r="H102" s="47">
        <v>0.29166666666666669</v>
      </c>
      <c r="I102" s="47">
        <v>0.20833333333333334</v>
      </c>
      <c r="J102" s="319">
        <v>9</v>
      </c>
      <c r="K102" s="277">
        <v>1</v>
      </c>
      <c r="L102" s="4"/>
      <c r="M102" s="47">
        <v>0.30208333333333331</v>
      </c>
      <c r="N102" s="47">
        <v>0.20833333333333334</v>
      </c>
      <c r="O102" s="319">
        <v>8.75</v>
      </c>
      <c r="P102" s="277"/>
      <c r="Q102" s="4"/>
      <c r="R102" s="47">
        <v>0.30208333333333331</v>
      </c>
      <c r="S102" s="47">
        <v>0.20833333333333334</v>
      </c>
      <c r="T102" s="319">
        <v>8.75</v>
      </c>
      <c r="U102" s="277"/>
      <c r="V102" s="4"/>
      <c r="W102" s="47">
        <v>0.33333333333333331</v>
      </c>
      <c r="X102" s="47">
        <v>0.20833333333333334</v>
      </c>
      <c r="Y102" s="319">
        <v>8</v>
      </c>
      <c r="Z102" s="277"/>
      <c r="AA102" s="29">
        <f t="shared" si="13"/>
        <v>41.5</v>
      </c>
      <c r="AB102" s="298">
        <f t="shared" si="14"/>
        <v>1</v>
      </c>
      <c r="AC102" s="4"/>
      <c r="AD102" s="47">
        <v>0.39583333333333331</v>
      </c>
      <c r="AE102" s="376">
        <v>0.20833333333333334</v>
      </c>
      <c r="AF102" s="19">
        <v>6.5</v>
      </c>
      <c r="AG102" s="29">
        <f t="shared" si="15"/>
        <v>6.5</v>
      </c>
      <c r="AH102" s="4"/>
      <c r="AI102" s="255"/>
      <c r="AK102" s="193"/>
      <c r="AL102" s="193"/>
      <c r="AM102" s="193"/>
      <c r="AN102" s="193"/>
      <c r="AO102" s="193"/>
      <c r="AP102" s="193"/>
    </row>
    <row r="103" spans="2:42" s="180" customFormat="1">
      <c r="B103" s="13" t="s">
        <v>43</v>
      </c>
      <c r="C103" s="353">
        <v>0.3125</v>
      </c>
      <c r="D103" s="353">
        <v>0.20833333333333334</v>
      </c>
      <c r="E103" s="19">
        <v>8.5</v>
      </c>
      <c r="F103" s="277"/>
      <c r="G103" s="4"/>
      <c r="H103" s="47">
        <v>0.26041666666666669</v>
      </c>
      <c r="I103" s="47">
        <v>0.20833333333333334</v>
      </c>
      <c r="J103" s="319">
        <v>9.75</v>
      </c>
      <c r="K103" s="277">
        <v>1.75</v>
      </c>
      <c r="L103" s="4"/>
      <c r="M103" s="47">
        <v>0.32291666666666669</v>
      </c>
      <c r="N103" s="47">
        <v>0.20833333333333334</v>
      </c>
      <c r="O103" s="319">
        <v>8.75</v>
      </c>
      <c r="P103" s="277"/>
      <c r="Q103" s="4"/>
      <c r="R103" s="47" t="s">
        <v>77</v>
      </c>
      <c r="S103" s="47">
        <v>0.20833333333333334</v>
      </c>
      <c r="T103" s="319">
        <v>7.5</v>
      </c>
      <c r="U103" s="277"/>
      <c r="V103" s="4"/>
      <c r="W103" s="47">
        <v>0.33333333333333331</v>
      </c>
      <c r="X103" s="47">
        <v>0.20833333333333334</v>
      </c>
      <c r="Y103" s="319">
        <v>8</v>
      </c>
      <c r="Z103" s="277"/>
      <c r="AA103" s="29">
        <f t="shared" si="13"/>
        <v>42.5</v>
      </c>
      <c r="AB103" s="298">
        <f t="shared" si="14"/>
        <v>1.75</v>
      </c>
      <c r="AC103" s="4"/>
      <c r="AD103" s="47">
        <v>0.35416666666666669</v>
      </c>
      <c r="AE103" s="376">
        <v>0.20833333333333334</v>
      </c>
      <c r="AF103" s="19">
        <v>7.5</v>
      </c>
      <c r="AG103" s="29">
        <f t="shared" si="15"/>
        <v>7.5</v>
      </c>
      <c r="AH103" s="4"/>
      <c r="AI103" s="255"/>
      <c r="AK103" s="193"/>
      <c r="AL103" s="193"/>
      <c r="AM103" s="193"/>
      <c r="AN103" s="193"/>
      <c r="AO103" s="193"/>
      <c r="AP103" s="193"/>
    </row>
    <row r="104" spans="2:42" s="180" customFormat="1">
      <c r="B104" s="13" t="s">
        <v>44</v>
      </c>
      <c r="C104" s="353">
        <v>0.34375</v>
      </c>
      <c r="D104" s="353">
        <v>0.20833333333333334</v>
      </c>
      <c r="E104" s="19">
        <v>7.75</v>
      </c>
      <c r="F104" s="277"/>
      <c r="G104" s="4"/>
      <c r="H104" s="47">
        <v>0.33333333333333331</v>
      </c>
      <c r="I104" s="47">
        <v>0.20833333333333334</v>
      </c>
      <c r="J104" s="319">
        <v>8</v>
      </c>
      <c r="K104" s="277"/>
      <c r="L104" s="4"/>
      <c r="M104" s="47">
        <v>0.33333333333333331</v>
      </c>
      <c r="N104" s="47">
        <v>0.20833333333333334</v>
      </c>
      <c r="O104" s="319">
        <v>8</v>
      </c>
      <c r="P104" s="277"/>
      <c r="Q104" s="4"/>
      <c r="R104" s="47">
        <v>0.3125</v>
      </c>
      <c r="S104" s="47">
        <v>0.20833333333333334</v>
      </c>
      <c r="T104" s="319">
        <v>8.5</v>
      </c>
      <c r="U104" s="277"/>
      <c r="V104" s="4"/>
      <c r="W104" s="47">
        <v>0.33333333333333331</v>
      </c>
      <c r="X104" s="47">
        <v>0.20833333333333334</v>
      </c>
      <c r="Y104" s="319">
        <v>8</v>
      </c>
      <c r="Z104" s="277"/>
      <c r="AA104" s="29">
        <f t="shared" si="13"/>
        <v>40.25</v>
      </c>
      <c r="AB104" s="298">
        <f t="shared" si="14"/>
        <v>0</v>
      </c>
      <c r="AC104" s="4"/>
      <c r="AD104" s="4">
        <v>0</v>
      </c>
      <c r="AE104" s="4">
        <v>0</v>
      </c>
      <c r="AF104" s="19">
        <v>0</v>
      </c>
      <c r="AG104" s="29">
        <f t="shared" si="15"/>
        <v>0</v>
      </c>
      <c r="AH104" s="4"/>
      <c r="AI104" s="255"/>
      <c r="AK104" s="193"/>
      <c r="AL104" s="193"/>
      <c r="AM104" s="193"/>
      <c r="AN104" s="193"/>
      <c r="AO104" s="193"/>
      <c r="AP104" s="193"/>
    </row>
    <row r="105" spans="2:42" s="180" customFormat="1">
      <c r="B105" s="13" t="s">
        <v>45</v>
      </c>
      <c r="C105" s="47">
        <v>0.34375</v>
      </c>
      <c r="D105" s="353">
        <v>0.20833333333333334</v>
      </c>
      <c r="E105" s="19">
        <v>7.75</v>
      </c>
      <c r="F105" s="277"/>
      <c r="G105" s="4"/>
      <c r="H105" s="4">
        <v>0</v>
      </c>
      <c r="I105" s="4">
        <v>0</v>
      </c>
      <c r="J105" s="319">
        <v>0</v>
      </c>
      <c r="K105" s="277"/>
      <c r="L105" s="4"/>
      <c r="M105" s="47">
        <v>0.34375</v>
      </c>
      <c r="N105" s="47">
        <v>0.20833333333333334</v>
      </c>
      <c r="O105" s="319">
        <v>7.75</v>
      </c>
      <c r="P105" s="277"/>
      <c r="Q105" s="4"/>
      <c r="R105" s="47">
        <v>0.34375</v>
      </c>
      <c r="S105" s="47">
        <v>0.20833333333333334</v>
      </c>
      <c r="T105" s="319">
        <v>7.75</v>
      </c>
      <c r="U105" s="277"/>
      <c r="V105" s="4"/>
      <c r="W105" s="47">
        <v>0.33333333333333331</v>
      </c>
      <c r="X105" s="47">
        <v>0.20833333333333334</v>
      </c>
      <c r="Y105" s="319">
        <v>8</v>
      </c>
      <c r="Z105" s="277"/>
      <c r="AA105" s="29">
        <f t="shared" si="13"/>
        <v>31.25</v>
      </c>
      <c r="AB105" s="298">
        <f t="shared" si="14"/>
        <v>0</v>
      </c>
      <c r="AC105" s="4"/>
      <c r="AD105" s="4">
        <v>0</v>
      </c>
      <c r="AE105" s="4">
        <v>0</v>
      </c>
      <c r="AF105" s="19">
        <v>0</v>
      </c>
      <c r="AG105" s="29">
        <f t="shared" si="15"/>
        <v>0</v>
      </c>
      <c r="AH105" s="4"/>
      <c r="AI105" s="255"/>
      <c r="AK105" s="193"/>
      <c r="AL105" s="193"/>
      <c r="AM105" s="193"/>
      <c r="AN105" s="193"/>
      <c r="AO105" s="193"/>
      <c r="AP105" s="193"/>
    </row>
    <row r="106" spans="2:42" s="180" customFormat="1">
      <c r="B106" s="13" t="s">
        <v>46</v>
      </c>
      <c r="C106" s="353">
        <v>0.35416666666666669</v>
      </c>
      <c r="D106" s="353">
        <v>0.20833333333333334</v>
      </c>
      <c r="E106" s="19">
        <v>7.5</v>
      </c>
      <c r="F106" s="277"/>
      <c r="G106" s="4"/>
      <c r="H106" s="47">
        <v>0.36458333333333331</v>
      </c>
      <c r="I106" s="47">
        <v>0.20833333333333334</v>
      </c>
      <c r="J106" s="173">
        <v>7.25</v>
      </c>
      <c r="K106" s="277"/>
      <c r="L106" s="4"/>
      <c r="M106" s="47">
        <v>0.33333333333333331</v>
      </c>
      <c r="N106" s="47">
        <v>0.20833333333333334</v>
      </c>
      <c r="O106" s="319">
        <v>8</v>
      </c>
      <c r="P106" s="277"/>
      <c r="Q106" s="4"/>
      <c r="R106" s="47">
        <v>0.34375</v>
      </c>
      <c r="S106" s="47">
        <v>0.20833333333333334</v>
      </c>
      <c r="T106" s="319">
        <v>7.75</v>
      </c>
      <c r="U106" s="277"/>
      <c r="V106" s="4"/>
      <c r="W106" s="47">
        <v>0.33333333333333331</v>
      </c>
      <c r="X106" s="47">
        <v>0.20833333333333334</v>
      </c>
      <c r="Y106" s="319">
        <v>8</v>
      </c>
      <c r="Z106" s="277"/>
      <c r="AA106" s="29">
        <f t="shared" si="13"/>
        <v>38.5</v>
      </c>
      <c r="AB106" s="298">
        <f t="shared" si="14"/>
        <v>0</v>
      </c>
      <c r="AC106" s="4"/>
      <c r="AD106" s="4">
        <v>0</v>
      </c>
      <c r="AE106" s="4">
        <v>0</v>
      </c>
      <c r="AF106" s="19">
        <v>0</v>
      </c>
      <c r="AG106" s="29">
        <f t="shared" si="15"/>
        <v>0</v>
      </c>
      <c r="AH106" s="4"/>
      <c r="AI106" s="255"/>
      <c r="AK106" s="193"/>
      <c r="AL106" s="193"/>
      <c r="AM106" s="193"/>
      <c r="AN106" s="193"/>
      <c r="AO106" s="193"/>
      <c r="AP106" s="193"/>
    </row>
    <row r="107" spans="2:42" s="180" customFormat="1">
      <c r="B107" s="13" t="s">
        <v>47</v>
      </c>
      <c r="C107" s="353">
        <v>0.32291666666666669</v>
      </c>
      <c r="D107" s="353">
        <v>0.20833333333333334</v>
      </c>
      <c r="E107" s="19">
        <v>8.25</v>
      </c>
      <c r="F107" s="277"/>
      <c r="G107" s="4"/>
      <c r="H107" s="47">
        <v>0.34375</v>
      </c>
      <c r="I107" s="47">
        <v>0.20833333333333334</v>
      </c>
      <c r="J107" s="173">
        <v>7.25</v>
      </c>
      <c r="K107" s="277"/>
      <c r="L107" s="4"/>
      <c r="M107" s="47">
        <v>0.375</v>
      </c>
      <c r="N107" s="47">
        <v>0.20833333333333334</v>
      </c>
      <c r="O107" s="319">
        <v>7</v>
      </c>
      <c r="P107" s="277"/>
      <c r="Q107" s="4"/>
      <c r="R107" s="47" t="s">
        <v>79</v>
      </c>
      <c r="S107" s="47">
        <v>0.20833333333333334</v>
      </c>
      <c r="T107" s="319">
        <v>8</v>
      </c>
      <c r="U107" s="277"/>
      <c r="V107" s="4"/>
      <c r="W107" s="47">
        <v>0.36458333333333331</v>
      </c>
      <c r="X107" s="47">
        <v>0.20833333333333334</v>
      </c>
      <c r="Y107" s="319">
        <v>7.25</v>
      </c>
      <c r="Z107" s="277"/>
      <c r="AA107" s="29">
        <f t="shared" si="13"/>
        <v>37.75</v>
      </c>
      <c r="AB107" s="298">
        <f t="shared" si="14"/>
        <v>0</v>
      </c>
      <c r="AC107" s="4"/>
      <c r="AD107" s="47">
        <v>0.35416666666666669</v>
      </c>
      <c r="AE107" s="376">
        <v>0.20833333333333334</v>
      </c>
      <c r="AF107" s="19">
        <v>7.5</v>
      </c>
      <c r="AG107" s="29">
        <f t="shared" si="15"/>
        <v>7.5</v>
      </c>
      <c r="AH107" s="4"/>
      <c r="AI107" s="255"/>
      <c r="AK107" s="193"/>
      <c r="AL107" s="193"/>
      <c r="AM107" s="193"/>
      <c r="AN107" s="193"/>
      <c r="AO107" s="193"/>
      <c r="AP107" s="193"/>
    </row>
    <row r="108" spans="2:42" s="180" customFormat="1">
      <c r="B108" s="13" t="s">
        <v>49</v>
      </c>
      <c r="C108" s="12">
        <v>0</v>
      </c>
      <c r="D108" s="12">
        <v>0</v>
      </c>
      <c r="E108" s="19">
        <v>0</v>
      </c>
      <c r="F108" s="277"/>
      <c r="G108" s="4"/>
      <c r="H108" s="47">
        <v>0</v>
      </c>
      <c r="I108" s="47">
        <v>0</v>
      </c>
      <c r="J108" s="319">
        <v>0</v>
      </c>
      <c r="K108" s="277"/>
      <c r="L108" s="4"/>
      <c r="M108" s="47">
        <v>0.34375</v>
      </c>
      <c r="N108" s="47">
        <v>0.20833333333333334</v>
      </c>
      <c r="O108" s="319">
        <v>7.75</v>
      </c>
      <c r="P108" s="277"/>
      <c r="Q108" s="4"/>
      <c r="R108" s="47">
        <v>0.375</v>
      </c>
      <c r="S108" s="47">
        <v>0.20833333333333334</v>
      </c>
      <c r="T108" s="319">
        <v>7</v>
      </c>
      <c r="U108" s="277"/>
      <c r="V108" s="4"/>
      <c r="W108" s="47">
        <v>0.36458333333333331</v>
      </c>
      <c r="X108" s="47">
        <v>0.20833333333333334</v>
      </c>
      <c r="Y108" s="319">
        <v>7.25</v>
      </c>
      <c r="Z108" s="277"/>
      <c r="AA108" s="29">
        <f t="shared" si="13"/>
        <v>22</v>
      </c>
      <c r="AB108" s="298">
        <f t="shared" si="14"/>
        <v>0</v>
      </c>
      <c r="AC108" s="4"/>
      <c r="AD108" s="4">
        <v>0</v>
      </c>
      <c r="AE108" s="4">
        <v>0</v>
      </c>
      <c r="AF108" s="19">
        <v>0</v>
      </c>
      <c r="AG108" s="29">
        <f t="shared" si="15"/>
        <v>0</v>
      </c>
      <c r="AH108" s="4"/>
      <c r="AI108" s="255"/>
      <c r="AK108" s="193"/>
      <c r="AL108" s="193"/>
      <c r="AM108" s="193"/>
      <c r="AN108" s="193"/>
      <c r="AO108" s="193"/>
      <c r="AP108" s="193"/>
    </row>
    <row r="109" spans="2:42" s="180" customFormat="1">
      <c r="B109" s="13" t="s">
        <v>50</v>
      </c>
      <c r="C109" s="353">
        <v>0.375</v>
      </c>
      <c r="D109" s="353">
        <v>0.20833333333333334</v>
      </c>
      <c r="E109" s="19">
        <v>7</v>
      </c>
      <c r="F109" s="277"/>
      <c r="G109" s="4"/>
      <c r="H109" s="47">
        <v>0.36458333333333331</v>
      </c>
      <c r="I109" s="47">
        <v>0.20833333333333334</v>
      </c>
      <c r="J109" s="173">
        <v>7.25</v>
      </c>
      <c r="K109" s="277"/>
      <c r="L109" s="4"/>
      <c r="M109" s="47">
        <v>0.375</v>
      </c>
      <c r="N109" s="47">
        <v>0.20833333333333334</v>
      </c>
      <c r="O109" s="319">
        <v>7</v>
      </c>
      <c r="P109" s="277"/>
      <c r="Q109" s="4"/>
      <c r="R109" s="47">
        <v>0.375</v>
      </c>
      <c r="S109" s="47">
        <v>0.20833333333333334</v>
      </c>
      <c r="T109" s="319">
        <v>7</v>
      </c>
      <c r="U109" s="277"/>
      <c r="V109" s="4"/>
      <c r="W109" s="47" t="s">
        <v>78</v>
      </c>
      <c r="X109" s="47">
        <v>0.20833333333333334</v>
      </c>
      <c r="Y109" s="319">
        <v>7</v>
      </c>
      <c r="Z109" s="277"/>
      <c r="AA109" s="29">
        <f t="shared" si="13"/>
        <v>35.25</v>
      </c>
      <c r="AB109" s="298">
        <f t="shared" si="14"/>
        <v>0</v>
      </c>
      <c r="AC109" s="4"/>
      <c r="AD109" s="4">
        <v>0</v>
      </c>
      <c r="AE109" s="4">
        <v>0</v>
      </c>
      <c r="AF109" s="19">
        <v>0</v>
      </c>
      <c r="AG109" s="29">
        <f t="shared" si="15"/>
        <v>0</v>
      </c>
      <c r="AH109" s="4"/>
      <c r="AI109" s="255"/>
      <c r="AK109" s="193"/>
      <c r="AL109" s="193"/>
      <c r="AM109" s="193"/>
      <c r="AN109" s="193"/>
      <c r="AO109" s="193"/>
      <c r="AP109" s="193"/>
    </row>
    <row r="110" spans="2:42" s="180" customFormat="1">
      <c r="B110" s="13" t="s">
        <v>51</v>
      </c>
      <c r="C110" s="47">
        <v>0.35416666666666669</v>
      </c>
      <c r="D110" s="353">
        <v>0.20833333333333334</v>
      </c>
      <c r="E110" s="19">
        <v>7.5</v>
      </c>
      <c r="F110" s="277"/>
      <c r="G110" s="4"/>
      <c r="H110" s="16">
        <v>0.36458333333333331</v>
      </c>
      <c r="I110" s="47">
        <v>0.20833333333333334</v>
      </c>
      <c r="J110" s="173">
        <v>7.25</v>
      </c>
      <c r="K110" s="277"/>
      <c r="L110" s="4"/>
      <c r="M110" s="16" t="s">
        <v>74</v>
      </c>
      <c r="N110" s="47">
        <v>0.20833333333333334</v>
      </c>
      <c r="O110" s="319">
        <v>7.25</v>
      </c>
      <c r="P110" s="277"/>
      <c r="Q110" s="4"/>
      <c r="R110" s="47">
        <v>0</v>
      </c>
      <c r="S110" s="47">
        <v>0</v>
      </c>
      <c r="T110" s="319">
        <v>0</v>
      </c>
      <c r="U110" s="277"/>
      <c r="V110" s="4"/>
      <c r="W110" s="12" t="s">
        <v>74</v>
      </c>
      <c r="X110" s="47">
        <v>0.20833333333333334</v>
      </c>
      <c r="Y110" s="319">
        <v>7.25</v>
      </c>
      <c r="Z110" s="277"/>
      <c r="AA110" s="29">
        <f>(E110+J110+O110+T110+Y110)</f>
        <v>29.25</v>
      </c>
      <c r="AB110" s="298">
        <f t="shared" si="14"/>
        <v>0</v>
      </c>
      <c r="AC110" s="4"/>
      <c r="AD110" s="4">
        <v>0</v>
      </c>
      <c r="AE110" s="4">
        <v>0</v>
      </c>
      <c r="AF110" s="19">
        <v>0</v>
      </c>
      <c r="AG110" s="29">
        <f t="shared" si="15"/>
        <v>0</v>
      </c>
      <c r="AH110" s="4"/>
      <c r="AI110" s="255"/>
      <c r="AK110" s="193"/>
      <c r="AL110" s="193"/>
      <c r="AM110" s="193"/>
      <c r="AN110" s="193"/>
      <c r="AO110" s="193"/>
      <c r="AP110" s="193"/>
    </row>
    <row r="111" spans="2:42" s="180" customFormat="1">
      <c r="B111" s="13" t="s">
        <v>52</v>
      </c>
      <c r="C111" s="353">
        <v>0.35416666666666669</v>
      </c>
      <c r="D111" s="353">
        <v>0.20833333333333334</v>
      </c>
      <c r="E111" s="19">
        <v>7.5</v>
      </c>
      <c r="F111" s="277"/>
      <c r="G111" s="4"/>
      <c r="H111" s="47">
        <v>0.35416666666666669</v>
      </c>
      <c r="I111" s="47">
        <v>0.20833333333333334</v>
      </c>
      <c r="J111" s="173">
        <v>7.5</v>
      </c>
      <c r="K111" s="277"/>
      <c r="L111" s="4"/>
      <c r="M111" s="47">
        <v>0.35416666666666669</v>
      </c>
      <c r="N111" s="47">
        <v>0.20833333333333334</v>
      </c>
      <c r="O111" s="319">
        <v>7.5</v>
      </c>
      <c r="P111" s="277"/>
      <c r="Q111" s="4"/>
      <c r="R111" s="47">
        <v>0.35416666666666669</v>
      </c>
      <c r="S111" s="47">
        <v>0.20833333333333334</v>
      </c>
      <c r="T111" s="319">
        <v>7.5</v>
      </c>
      <c r="U111" s="277"/>
      <c r="V111" s="4"/>
      <c r="W111" s="47">
        <v>0.33333333333333331</v>
      </c>
      <c r="X111" s="47">
        <v>0.20833333333333334</v>
      </c>
      <c r="Y111" s="319">
        <v>8</v>
      </c>
      <c r="Z111" s="277"/>
      <c r="AA111" s="29">
        <f t="shared" ref="AA111:AA114" si="16">(E111+J111+O111+T111+Y111)</f>
        <v>38</v>
      </c>
      <c r="AB111" s="298">
        <f t="shared" si="14"/>
        <v>0</v>
      </c>
      <c r="AC111" s="4"/>
      <c r="AD111" s="4">
        <v>0</v>
      </c>
      <c r="AE111" s="4">
        <v>0</v>
      </c>
      <c r="AF111" s="19">
        <v>0</v>
      </c>
      <c r="AG111" s="29">
        <f t="shared" si="15"/>
        <v>0</v>
      </c>
      <c r="AH111" s="4"/>
      <c r="AI111" s="255"/>
      <c r="AK111" s="193"/>
      <c r="AL111" s="193"/>
      <c r="AM111" s="193"/>
      <c r="AN111" s="193"/>
      <c r="AO111" s="193"/>
      <c r="AP111" s="193"/>
    </row>
    <row r="112" spans="2:42" s="180" customFormat="1">
      <c r="B112" s="13" t="s">
        <v>53</v>
      </c>
      <c r="C112" s="353">
        <v>0.35416666666666669</v>
      </c>
      <c r="D112" s="353">
        <v>0.20833333333333334</v>
      </c>
      <c r="E112" s="19">
        <v>7.5</v>
      </c>
      <c r="F112" s="277"/>
      <c r="G112" s="4"/>
      <c r="H112" s="47">
        <v>0.30208333333333331</v>
      </c>
      <c r="I112" s="47">
        <v>0.20833333333333334</v>
      </c>
      <c r="J112" s="19">
        <v>8.75</v>
      </c>
      <c r="K112" s="277">
        <v>0.75</v>
      </c>
      <c r="L112" s="4"/>
      <c r="M112" s="47">
        <v>0.35416666666666669</v>
      </c>
      <c r="N112" s="47">
        <v>0.20833333333333334</v>
      </c>
      <c r="O112" s="319">
        <v>7.5</v>
      </c>
      <c r="P112" s="277"/>
      <c r="Q112" s="4"/>
      <c r="R112" s="12" t="s">
        <v>29</v>
      </c>
      <c r="S112" s="12" t="s">
        <v>29</v>
      </c>
      <c r="T112" s="319"/>
      <c r="U112" s="277"/>
      <c r="V112" s="4"/>
      <c r="W112" s="47">
        <v>0.33333333333333331</v>
      </c>
      <c r="X112" s="47">
        <v>0.20833333333333334</v>
      </c>
      <c r="Y112" s="319">
        <v>8</v>
      </c>
      <c r="Z112" s="277"/>
      <c r="AA112" s="29">
        <f t="shared" si="16"/>
        <v>31.75</v>
      </c>
      <c r="AB112" s="298">
        <f t="shared" si="14"/>
        <v>0.75</v>
      </c>
      <c r="AC112" s="4"/>
      <c r="AD112" s="4">
        <v>0</v>
      </c>
      <c r="AE112" s="4">
        <v>0</v>
      </c>
      <c r="AF112" s="19">
        <v>0</v>
      </c>
      <c r="AG112" s="29">
        <f>AF112</f>
        <v>0</v>
      </c>
      <c r="AH112" s="4"/>
      <c r="AI112" s="255"/>
      <c r="AK112" s="193"/>
      <c r="AL112" s="193"/>
      <c r="AM112" s="193"/>
      <c r="AN112" s="193"/>
      <c r="AO112" s="193"/>
      <c r="AP112" s="193"/>
    </row>
    <row r="113" spans="1:42" s="180" customFormat="1">
      <c r="B113" s="13" t="s">
        <v>54</v>
      </c>
      <c r="C113" s="12" t="s">
        <v>29</v>
      </c>
      <c r="D113" s="12" t="s">
        <v>29</v>
      </c>
      <c r="E113" s="19">
        <v>0</v>
      </c>
      <c r="F113" s="277"/>
      <c r="G113" s="4"/>
      <c r="H113" s="12" t="s">
        <v>29</v>
      </c>
      <c r="I113" s="12" t="s">
        <v>29</v>
      </c>
      <c r="J113" s="19">
        <v>0</v>
      </c>
      <c r="K113" s="277"/>
      <c r="L113" s="4"/>
      <c r="M113" s="12" t="s">
        <v>29</v>
      </c>
      <c r="N113" s="12" t="s">
        <v>29</v>
      </c>
      <c r="O113" s="19">
        <v>0</v>
      </c>
      <c r="P113" s="277"/>
      <c r="Q113" s="4"/>
      <c r="R113" s="12" t="s">
        <v>29</v>
      </c>
      <c r="S113" s="12" t="s">
        <v>29</v>
      </c>
      <c r="T113" s="19">
        <v>0</v>
      </c>
      <c r="U113" s="277"/>
      <c r="V113" s="4"/>
      <c r="W113" s="12" t="s">
        <v>29</v>
      </c>
      <c r="X113" s="12" t="s">
        <v>29</v>
      </c>
      <c r="Y113" s="19">
        <v>0</v>
      </c>
      <c r="Z113" s="277"/>
      <c r="AA113" s="29">
        <f t="shared" si="16"/>
        <v>0</v>
      </c>
      <c r="AB113" s="298">
        <f t="shared" si="14"/>
        <v>0</v>
      </c>
      <c r="AC113" s="4"/>
      <c r="AD113" s="47">
        <v>0.38541666666666669</v>
      </c>
      <c r="AE113" s="47">
        <v>0.20833333333333334</v>
      </c>
      <c r="AF113" s="19">
        <v>7.25</v>
      </c>
      <c r="AG113" s="29">
        <f>AF113</f>
        <v>7.25</v>
      </c>
      <c r="AH113" s="4"/>
      <c r="AI113" s="255"/>
      <c r="AK113" s="193"/>
      <c r="AL113" s="193"/>
      <c r="AM113" s="193"/>
      <c r="AN113" s="193"/>
      <c r="AO113" s="193"/>
      <c r="AP113" s="193"/>
    </row>
    <row r="114" spans="1:42" s="180" customFormat="1">
      <c r="B114" s="13" t="s">
        <v>55</v>
      </c>
      <c r="C114" s="12" t="s">
        <v>29</v>
      </c>
      <c r="D114" s="12" t="s">
        <v>29</v>
      </c>
      <c r="E114" s="19">
        <v>0</v>
      </c>
      <c r="F114" s="277"/>
      <c r="G114" s="4"/>
      <c r="H114" s="12" t="s">
        <v>29</v>
      </c>
      <c r="I114" s="12" t="s">
        <v>29</v>
      </c>
      <c r="J114" s="19">
        <v>0</v>
      </c>
      <c r="K114" s="277"/>
      <c r="L114" s="4"/>
      <c r="M114" s="12" t="s">
        <v>29</v>
      </c>
      <c r="N114" s="12" t="s">
        <v>29</v>
      </c>
      <c r="O114" s="19">
        <v>0</v>
      </c>
      <c r="P114" s="277"/>
      <c r="Q114" s="4"/>
      <c r="R114" s="12" t="s">
        <v>29</v>
      </c>
      <c r="S114" s="12" t="s">
        <v>29</v>
      </c>
      <c r="T114" s="19">
        <v>0</v>
      </c>
      <c r="U114" s="277"/>
      <c r="V114" s="4"/>
      <c r="W114" s="12" t="s">
        <v>29</v>
      </c>
      <c r="X114" s="12" t="s">
        <v>29</v>
      </c>
      <c r="Y114" s="19">
        <v>0</v>
      </c>
      <c r="Z114" s="277"/>
      <c r="AA114" s="29">
        <f t="shared" si="16"/>
        <v>0</v>
      </c>
      <c r="AB114" s="298">
        <f t="shared" si="14"/>
        <v>0</v>
      </c>
      <c r="AC114" s="4"/>
      <c r="AD114" s="47">
        <v>0.375</v>
      </c>
      <c r="AE114" s="376">
        <v>0.20833333333333334</v>
      </c>
      <c r="AF114" s="19">
        <v>7</v>
      </c>
      <c r="AG114" s="29">
        <f>AF114</f>
        <v>7</v>
      </c>
      <c r="AH114" s="4"/>
      <c r="AI114" s="255"/>
      <c r="AK114" s="193"/>
      <c r="AL114" s="193"/>
      <c r="AM114" s="193"/>
      <c r="AN114" s="193"/>
      <c r="AO114" s="193"/>
      <c r="AP114" s="193"/>
    </row>
    <row r="115" spans="1:42" s="180" customFormat="1">
      <c r="B115" s="138" t="s">
        <v>59</v>
      </c>
      <c r="C115" s="12" t="s">
        <v>29</v>
      </c>
      <c r="D115" s="12" t="s">
        <v>29</v>
      </c>
      <c r="E115" s="19">
        <v>8</v>
      </c>
      <c r="F115" s="277"/>
      <c r="G115" s="4"/>
      <c r="H115" s="12" t="s">
        <v>29</v>
      </c>
      <c r="I115" s="12" t="s">
        <v>29</v>
      </c>
      <c r="J115" s="19">
        <v>8</v>
      </c>
      <c r="K115" s="277"/>
      <c r="L115" s="4"/>
      <c r="M115" s="12" t="s">
        <v>29</v>
      </c>
      <c r="N115" s="12" t="s">
        <v>29</v>
      </c>
      <c r="O115" s="19">
        <v>8</v>
      </c>
      <c r="P115" s="277"/>
      <c r="Q115" s="4"/>
      <c r="R115" s="12" t="s">
        <v>29</v>
      </c>
      <c r="S115" s="12" t="s">
        <v>29</v>
      </c>
      <c r="T115" s="19">
        <v>8</v>
      </c>
      <c r="U115" s="277"/>
      <c r="V115" s="4"/>
      <c r="W115" s="12" t="s">
        <v>29</v>
      </c>
      <c r="X115" s="12" t="s">
        <v>29</v>
      </c>
      <c r="Y115" s="19">
        <v>8</v>
      </c>
      <c r="Z115" s="277"/>
      <c r="AA115" s="29">
        <f>(E115+J115+O115+T115+Y115)</f>
        <v>40</v>
      </c>
      <c r="AB115" s="298">
        <f t="shared" si="14"/>
        <v>0</v>
      </c>
      <c r="AC115" s="4"/>
      <c r="AD115" s="4">
        <v>0</v>
      </c>
      <c r="AE115" s="4">
        <v>0</v>
      </c>
      <c r="AF115" s="19">
        <v>0</v>
      </c>
      <c r="AG115" s="29">
        <f t="shared" ref="AG115:AG116" si="17">AF115</f>
        <v>0</v>
      </c>
      <c r="AH115" s="4"/>
      <c r="AI115" s="255"/>
      <c r="AK115" s="193"/>
      <c r="AL115" s="193"/>
      <c r="AM115" s="193"/>
      <c r="AN115" s="193"/>
      <c r="AO115" s="193"/>
      <c r="AP115" s="193"/>
    </row>
    <row r="116" spans="1:42" s="180" customFormat="1">
      <c r="B116" s="138" t="s">
        <v>60</v>
      </c>
      <c r="C116" s="12" t="s">
        <v>29</v>
      </c>
      <c r="D116" s="12" t="s">
        <v>29</v>
      </c>
      <c r="E116" s="19">
        <v>8</v>
      </c>
      <c r="F116" s="277"/>
      <c r="G116" s="4"/>
      <c r="H116" s="12" t="s">
        <v>29</v>
      </c>
      <c r="I116" s="12" t="s">
        <v>29</v>
      </c>
      <c r="J116" s="19">
        <v>8</v>
      </c>
      <c r="K116" s="277"/>
      <c r="L116" s="4"/>
      <c r="M116" s="12" t="s">
        <v>29</v>
      </c>
      <c r="N116" s="12" t="s">
        <v>29</v>
      </c>
      <c r="O116" s="19">
        <v>8</v>
      </c>
      <c r="P116" s="277"/>
      <c r="Q116" s="4"/>
      <c r="R116" s="12" t="s">
        <v>29</v>
      </c>
      <c r="S116" s="12" t="s">
        <v>29</v>
      </c>
      <c r="T116" s="19">
        <v>8</v>
      </c>
      <c r="U116" s="277"/>
      <c r="V116" s="4"/>
      <c r="W116" s="12" t="s">
        <v>29</v>
      </c>
      <c r="X116" s="12" t="s">
        <v>29</v>
      </c>
      <c r="Y116" s="19">
        <v>8</v>
      </c>
      <c r="Z116" s="277"/>
      <c r="AA116" s="29">
        <f>(E116+J116+O116+T116+Y116)</f>
        <v>40</v>
      </c>
      <c r="AB116" s="298">
        <f t="shared" si="14"/>
        <v>0</v>
      </c>
      <c r="AC116" s="4"/>
      <c r="AD116" s="4">
        <v>0</v>
      </c>
      <c r="AE116" s="4">
        <v>0</v>
      </c>
      <c r="AF116" s="19">
        <v>0</v>
      </c>
      <c r="AG116" s="29">
        <f t="shared" si="17"/>
        <v>0</v>
      </c>
      <c r="AH116" s="4"/>
      <c r="AI116" s="255"/>
      <c r="AK116" s="193"/>
      <c r="AL116" s="193"/>
      <c r="AM116" s="193"/>
      <c r="AN116" s="193"/>
      <c r="AO116" s="193"/>
      <c r="AP116" s="193"/>
    </row>
    <row r="117" spans="1:42" s="180" customFormat="1">
      <c r="B117" s="64" t="s">
        <v>61</v>
      </c>
      <c r="C117" s="64"/>
      <c r="D117" s="64"/>
      <c r="E117" s="167">
        <f>SUM(E92:E116)</f>
        <v>144.5</v>
      </c>
      <c r="F117" s="277">
        <f>SUM(F92:F114)</f>
        <v>0</v>
      </c>
      <c r="G117" s="64"/>
      <c r="H117" s="64"/>
      <c r="I117" s="64"/>
      <c r="J117" s="64">
        <f>SUM(J92:J116)</f>
        <v>156.75</v>
      </c>
      <c r="K117" s="277">
        <f>SUM(K92:K114)</f>
        <v>5.25</v>
      </c>
      <c r="L117" s="64"/>
      <c r="M117" s="64"/>
      <c r="N117" s="64"/>
      <c r="O117" s="167">
        <f>SUM(O92:O116)</f>
        <v>167.25</v>
      </c>
      <c r="P117" s="277">
        <f>SUM(P92:P116)</f>
        <v>0</v>
      </c>
      <c r="Q117" s="64"/>
      <c r="R117" s="64"/>
      <c r="S117" s="64"/>
      <c r="T117" s="167">
        <f>SUM(T92:T116)</f>
        <v>144</v>
      </c>
      <c r="U117" s="277">
        <f>SUM(U92:U116)</f>
        <v>0</v>
      </c>
      <c r="V117" s="64"/>
      <c r="W117" s="64"/>
      <c r="X117" s="64"/>
      <c r="Y117" s="167">
        <f>SUM(Y92:Y116)</f>
        <v>173</v>
      </c>
      <c r="Z117" s="277">
        <f>SUM(Z92:Z114)</f>
        <v>0</v>
      </c>
      <c r="AA117" s="370">
        <f>SUM(AA92:AA116)</f>
        <v>785.5</v>
      </c>
      <c r="AB117" s="284">
        <f>SUM(AB92:AB116)</f>
        <v>5.25</v>
      </c>
      <c r="AC117" s="4"/>
      <c r="AD117" s="64"/>
      <c r="AE117" s="64"/>
      <c r="AF117" s="64"/>
      <c r="AG117" s="370">
        <f>SUM(AG92:AG114)</f>
        <v>49.75</v>
      </c>
      <c r="AH117" s="4"/>
      <c r="AI117" s="255"/>
      <c r="AK117" s="193"/>
      <c r="AL117" s="193"/>
      <c r="AM117" s="193"/>
      <c r="AN117" s="193"/>
      <c r="AO117" s="193"/>
      <c r="AP117" s="193"/>
    </row>
    <row r="118" spans="1:42" s="180" customFormat="1">
      <c r="B118" s="63" t="s">
        <v>62</v>
      </c>
      <c r="C118" s="56"/>
      <c r="D118" s="56"/>
      <c r="E118" s="19">
        <v>8</v>
      </c>
      <c r="F118" s="291"/>
      <c r="G118" s="60"/>
      <c r="H118" s="56"/>
      <c r="I118" s="56"/>
      <c r="J118" s="291">
        <v>8</v>
      </c>
      <c r="K118" s="291"/>
      <c r="L118" s="60"/>
      <c r="M118" s="56"/>
      <c r="N118" s="56"/>
      <c r="O118" s="291">
        <v>8</v>
      </c>
      <c r="P118" s="19"/>
      <c r="Q118" s="60"/>
      <c r="R118" s="56"/>
      <c r="S118" s="56"/>
      <c r="T118" s="291">
        <v>8</v>
      </c>
      <c r="U118" s="19"/>
      <c r="V118" s="60"/>
      <c r="W118" s="56"/>
      <c r="X118" s="56"/>
      <c r="Y118" s="291">
        <v>8</v>
      </c>
      <c r="Z118" s="19"/>
      <c r="AA118" s="28">
        <f>SUM(E118+J118+O118+T118+Y118)</f>
        <v>40</v>
      </c>
      <c r="AB118" s="282">
        <f>Z118+U118+P118+K118+F118</f>
        <v>0</v>
      </c>
      <c r="AC118" s="4"/>
      <c r="AD118" s="56"/>
      <c r="AE118" s="56"/>
      <c r="AF118" s="19"/>
      <c r="AG118" s="29">
        <v>0</v>
      </c>
      <c r="AH118" s="4"/>
      <c r="AI118" s="255"/>
      <c r="AK118" s="193"/>
      <c r="AL118" s="193"/>
      <c r="AM118" s="193"/>
      <c r="AN118" s="193"/>
      <c r="AO118" s="193"/>
      <c r="AP118" s="193"/>
    </row>
    <row r="119" spans="1:42" s="180" customFormat="1">
      <c r="B119" s="63" t="s">
        <v>63</v>
      </c>
      <c r="C119" s="56"/>
      <c r="D119" s="56"/>
      <c r="E119" s="19">
        <v>8</v>
      </c>
      <c r="F119" s="291"/>
      <c r="G119" s="60"/>
      <c r="H119" s="56"/>
      <c r="I119" s="56"/>
      <c r="J119" s="291">
        <v>8</v>
      </c>
      <c r="K119" s="291"/>
      <c r="L119" s="60"/>
      <c r="M119" s="56"/>
      <c r="N119" s="56"/>
      <c r="O119" s="291">
        <v>8</v>
      </c>
      <c r="P119" s="19"/>
      <c r="Q119" s="60"/>
      <c r="R119" s="56"/>
      <c r="S119" s="56"/>
      <c r="T119" s="291">
        <v>8</v>
      </c>
      <c r="U119" s="19"/>
      <c r="V119" s="60"/>
      <c r="W119" s="56"/>
      <c r="X119" s="56"/>
      <c r="Y119" s="291">
        <v>8</v>
      </c>
      <c r="Z119" s="19"/>
      <c r="AA119" s="28">
        <f>SUM(E119+J119+O119+T119+Y119)</f>
        <v>40</v>
      </c>
      <c r="AB119" s="282">
        <f>Z119+U119+P119+K119+F119</f>
        <v>0</v>
      </c>
      <c r="AC119" s="4"/>
      <c r="AD119" s="56"/>
      <c r="AE119" s="56"/>
      <c r="AF119" s="19"/>
      <c r="AG119" s="29">
        <f>AF119</f>
        <v>0</v>
      </c>
      <c r="AH119" s="4"/>
      <c r="AI119" s="255"/>
      <c r="AK119" s="193"/>
      <c r="AL119" s="193"/>
      <c r="AM119" s="193"/>
      <c r="AN119" s="193"/>
      <c r="AO119" s="193"/>
      <c r="AP119" s="193"/>
    </row>
    <row r="120" spans="1:42" s="180" customFormat="1">
      <c r="B120" s="63" t="s">
        <v>64</v>
      </c>
      <c r="C120" s="56"/>
      <c r="D120" s="56"/>
      <c r="E120" s="19">
        <v>8</v>
      </c>
      <c r="F120" s="291">
        <v>0.5</v>
      </c>
      <c r="G120" s="60"/>
      <c r="H120" s="56"/>
      <c r="I120" s="56"/>
      <c r="J120" s="291">
        <v>8</v>
      </c>
      <c r="K120" s="291">
        <v>2.25</v>
      </c>
      <c r="L120" s="60"/>
      <c r="M120" s="56"/>
      <c r="N120" s="56"/>
      <c r="O120" s="291">
        <v>8</v>
      </c>
      <c r="P120" s="19">
        <v>2</v>
      </c>
      <c r="Q120" s="60"/>
      <c r="R120" s="56"/>
      <c r="S120" s="56"/>
      <c r="T120" s="291">
        <v>8</v>
      </c>
      <c r="U120" s="19"/>
      <c r="V120" s="60"/>
      <c r="W120" s="56"/>
      <c r="X120" s="56"/>
      <c r="Y120" s="291">
        <v>8</v>
      </c>
      <c r="Z120" s="19"/>
      <c r="AA120" s="28">
        <f>SUM(E120+J120+O120+T120+Y120)</f>
        <v>40</v>
      </c>
      <c r="AB120" s="282">
        <f>Z120+U120+P120+K120+F120</f>
        <v>4.75</v>
      </c>
      <c r="AC120" s="4"/>
      <c r="AD120" s="56"/>
      <c r="AE120" s="56"/>
      <c r="AF120" s="19">
        <v>1</v>
      </c>
      <c r="AG120" s="29">
        <f>AF120</f>
        <v>1</v>
      </c>
      <c r="AH120" s="4"/>
      <c r="AI120" s="255"/>
      <c r="AK120" s="193"/>
      <c r="AL120" s="193"/>
      <c r="AM120" s="193"/>
      <c r="AN120" s="193"/>
      <c r="AO120" s="193"/>
      <c r="AP120" s="193"/>
    </row>
    <row r="121" spans="1:42" s="180" customFormat="1" ht="14.25" thickBot="1">
      <c r="B121" s="268" t="s">
        <v>65</v>
      </c>
      <c r="C121" s="75"/>
      <c r="D121" s="75"/>
      <c r="E121" s="77">
        <v>4</v>
      </c>
      <c r="F121" s="292"/>
      <c r="G121" s="81"/>
      <c r="H121" s="75"/>
      <c r="I121" s="75"/>
      <c r="J121" s="292">
        <v>4</v>
      </c>
      <c r="K121" s="292"/>
      <c r="L121" s="81"/>
      <c r="M121" s="75"/>
      <c r="N121" s="75"/>
      <c r="O121" s="292">
        <v>4</v>
      </c>
      <c r="P121" s="77"/>
      <c r="Q121" s="81"/>
      <c r="R121" s="75"/>
      <c r="S121" s="75"/>
      <c r="T121" s="292">
        <v>4</v>
      </c>
      <c r="U121" s="77"/>
      <c r="V121" s="81"/>
      <c r="W121" s="75"/>
      <c r="X121" s="75"/>
      <c r="Y121" s="292">
        <v>4</v>
      </c>
      <c r="Z121" s="77"/>
      <c r="AA121" s="80">
        <f>SUM(E121+J121+O121+T121+Y121)</f>
        <v>20</v>
      </c>
      <c r="AB121" s="294">
        <f>Z121+U121+P121+K121+F121</f>
        <v>0</v>
      </c>
      <c r="AC121" s="4"/>
      <c r="AD121" s="75"/>
      <c r="AE121" s="75"/>
      <c r="AF121" s="77"/>
      <c r="AG121" s="276">
        <v>0</v>
      </c>
      <c r="AH121" s="4"/>
      <c r="AI121" s="255"/>
      <c r="AK121" s="193"/>
      <c r="AL121" s="193"/>
      <c r="AM121" s="193"/>
      <c r="AN121" s="193"/>
      <c r="AO121" s="193"/>
      <c r="AP121" s="193"/>
    </row>
    <row r="122" spans="1:42" s="180" customFormat="1" ht="14.25" thickTop="1">
      <c r="B122" s="71" t="s">
        <v>66</v>
      </c>
      <c r="C122" s="371"/>
      <c r="D122" s="371"/>
      <c r="E122" s="71">
        <f>SUM(E118:E121)</f>
        <v>28</v>
      </c>
      <c r="F122" s="372"/>
      <c r="G122" s="372"/>
      <c r="H122" s="371"/>
      <c r="I122" s="371"/>
      <c r="J122" s="71">
        <f>SUM(J118:J121)</f>
        <v>28</v>
      </c>
      <c r="K122" s="372"/>
      <c r="L122" s="372"/>
      <c r="M122" s="371"/>
      <c r="N122" s="371"/>
      <c r="O122" s="71">
        <f>SUM(O118:O121)</f>
        <v>28</v>
      </c>
      <c r="P122" s="372"/>
      <c r="Q122" s="372"/>
      <c r="R122" s="371"/>
      <c r="S122" s="371"/>
      <c r="T122" s="71">
        <f>SUM(T118:T121)</f>
        <v>28</v>
      </c>
      <c r="U122" s="372"/>
      <c r="V122" s="372"/>
      <c r="W122" s="371"/>
      <c r="X122" s="371"/>
      <c r="Y122" s="66">
        <f>SUM(Y118:Y121)</f>
        <v>28</v>
      </c>
      <c r="Z122" s="372"/>
      <c r="AA122" s="370">
        <f>SUM(AA118:AA121)</f>
        <v>140</v>
      </c>
      <c r="AB122" s="370">
        <f>SUM(AB118:AB121)</f>
        <v>4.75</v>
      </c>
      <c r="AC122" s="4"/>
      <c r="AG122" s="370">
        <f>SUM(AG120:AG121)</f>
        <v>1</v>
      </c>
      <c r="AH122" s="4"/>
      <c r="AI122" s="255"/>
      <c r="AK122" s="193"/>
      <c r="AL122" s="193"/>
      <c r="AM122" s="193"/>
      <c r="AN122" s="193"/>
      <c r="AO122" s="193"/>
      <c r="AP122" s="193"/>
    </row>
    <row r="123" spans="1:42" s="180" customFormat="1">
      <c r="B123" s="217" t="s">
        <v>67</v>
      </c>
      <c r="C123" s="207">
        <f>C124+C125</f>
        <v>150</v>
      </c>
      <c r="D123" s="207"/>
      <c r="E123" s="209"/>
      <c r="F123" s="209"/>
      <c r="G123" s="207"/>
      <c r="H123" s="209"/>
      <c r="I123" s="209"/>
      <c r="J123" s="209"/>
      <c r="K123" s="209"/>
      <c r="L123" s="207"/>
      <c r="M123" s="207"/>
      <c r="N123" s="207"/>
      <c r="O123" s="207"/>
      <c r="P123" s="209"/>
      <c r="Q123" s="207"/>
      <c r="R123" s="207"/>
      <c r="S123" s="207"/>
      <c r="T123" s="207"/>
      <c r="U123" s="209"/>
      <c r="V123" s="207"/>
      <c r="W123" s="207"/>
      <c r="X123" s="207"/>
      <c r="Y123" s="210"/>
      <c r="Z123" s="209"/>
      <c r="AA123" s="211"/>
      <c r="AB123" s="209"/>
      <c r="AC123" s="211"/>
      <c r="AD123" s="211"/>
      <c r="AE123" s="211"/>
      <c r="AF123" s="211"/>
      <c r="AG123" s="211"/>
      <c r="AH123" s="4"/>
      <c r="AI123" s="255"/>
      <c r="AK123" s="193"/>
      <c r="AL123" s="193"/>
      <c r="AM123" s="193"/>
      <c r="AN123" s="193"/>
      <c r="AO123" s="193"/>
      <c r="AP123" s="193"/>
    </row>
    <row r="124" spans="1:42" s="180" customFormat="1">
      <c r="B124" s="238" t="s">
        <v>68</v>
      </c>
      <c r="C124" s="239">
        <f>12+15+15+15+15+8</f>
        <v>80</v>
      </c>
      <c r="D124" s="207"/>
      <c r="E124" s="209"/>
      <c r="F124" s="209"/>
      <c r="G124" s="207"/>
      <c r="H124" s="209"/>
      <c r="I124" s="209"/>
      <c r="J124" s="209"/>
      <c r="K124" s="209"/>
      <c r="L124" s="207"/>
      <c r="M124" s="207"/>
      <c r="N124" s="207"/>
      <c r="O124" s="207"/>
      <c r="P124" s="209"/>
      <c r="Q124" s="207"/>
      <c r="R124" s="207"/>
      <c r="S124" s="207"/>
      <c r="T124" s="207"/>
      <c r="U124" s="209"/>
      <c r="V124" s="207"/>
      <c r="W124" s="207"/>
      <c r="X124" s="207"/>
      <c r="Y124" s="210"/>
      <c r="Z124" s="209"/>
      <c r="AA124" s="211"/>
      <c r="AB124" s="209"/>
      <c r="AC124" s="211"/>
      <c r="AD124" s="211"/>
      <c r="AE124" s="211"/>
      <c r="AF124" s="211"/>
      <c r="AG124" s="211"/>
      <c r="AH124" s="4"/>
      <c r="AI124" s="255"/>
      <c r="AK124" s="193"/>
      <c r="AL124" s="193"/>
      <c r="AM124" s="193"/>
      <c r="AN124" s="193"/>
      <c r="AO124" s="193"/>
      <c r="AP124" s="193"/>
    </row>
    <row r="125" spans="1:42" s="180" customFormat="1" ht="13.5" customHeight="1">
      <c r="A125" s="11"/>
      <c r="B125" s="238" t="s">
        <v>69</v>
      </c>
      <c r="C125" s="239">
        <f>13+12+10+11+17+7</f>
        <v>70</v>
      </c>
      <c r="D125" s="207"/>
      <c r="E125" s="209"/>
      <c r="F125" s="209"/>
      <c r="G125" s="207"/>
      <c r="H125" s="209"/>
      <c r="I125" s="209"/>
      <c r="J125" s="209"/>
      <c r="K125" s="209"/>
      <c r="L125" s="207"/>
      <c r="M125" s="207"/>
      <c r="N125" s="207"/>
      <c r="O125" s="207"/>
      <c r="P125" s="209"/>
      <c r="Q125" s="207"/>
      <c r="R125" s="207"/>
      <c r="S125" s="207"/>
      <c r="T125" s="207"/>
      <c r="U125" s="209"/>
      <c r="V125" s="207"/>
      <c r="W125" s="207"/>
      <c r="X125" s="207"/>
      <c r="Y125" s="210"/>
      <c r="Z125" s="209"/>
      <c r="AA125" s="211"/>
      <c r="AB125" s="209"/>
      <c r="AC125" s="211"/>
      <c r="AD125" s="211"/>
      <c r="AE125" s="211"/>
      <c r="AF125" s="211"/>
      <c r="AG125" s="211"/>
      <c r="AH125" s="4"/>
      <c r="AI125" s="255"/>
      <c r="AK125" s="193"/>
      <c r="AL125" s="193"/>
      <c r="AM125" s="193"/>
      <c r="AN125" s="193"/>
      <c r="AO125" s="193"/>
      <c r="AP125" s="193"/>
    </row>
    <row r="126" spans="1:42" s="180" customFormat="1">
      <c r="A126" s="11"/>
      <c r="B126" s="218"/>
      <c r="C126" s="219"/>
      <c r="D126" s="219"/>
      <c r="E126" s="221"/>
      <c r="F126" s="221"/>
      <c r="G126" s="219"/>
      <c r="H126" s="221"/>
      <c r="I126" s="221"/>
      <c r="J126" s="221"/>
      <c r="K126" s="221"/>
      <c r="L126" s="219"/>
      <c r="M126" s="219"/>
      <c r="N126" s="219"/>
      <c r="O126" s="219"/>
      <c r="P126" s="221"/>
      <c r="Q126" s="219"/>
      <c r="R126" s="219"/>
      <c r="S126" s="219"/>
      <c r="T126" s="219"/>
      <c r="U126" s="221"/>
      <c r="V126" s="219"/>
      <c r="W126" s="219"/>
      <c r="X126" s="219"/>
      <c r="Y126" s="222"/>
      <c r="Z126" s="221"/>
      <c r="AA126" s="223"/>
      <c r="AB126" s="221"/>
      <c r="AC126" s="4"/>
      <c r="AD126" s="168"/>
      <c r="AH126" s="4"/>
      <c r="AI126" s="255"/>
      <c r="AK126" s="193"/>
      <c r="AL126" s="193"/>
      <c r="AM126" s="193"/>
      <c r="AN126" s="193"/>
      <c r="AO126" s="193"/>
      <c r="AP126" s="193"/>
    </row>
    <row r="127" spans="1:42" s="255" customFormat="1" ht="4.5" customHeight="1">
      <c r="A127" s="228"/>
      <c r="B127" s="229"/>
      <c r="C127" s="230"/>
      <c r="D127" s="230"/>
      <c r="E127" s="232"/>
      <c r="F127" s="232"/>
      <c r="G127" s="230"/>
      <c r="H127" s="232"/>
      <c r="I127" s="232"/>
      <c r="J127" s="232"/>
      <c r="K127" s="232"/>
      <c r="L127" s="230"/>
      <c r="M127" s="230"/>
      <c r="N127" s="230"/>
      <c r="O127" s="230"/>
      <c r="P127" s="232"/>
      <c r="Q127" s="230"/>
      <c r="R127" s="230"/>
      <c r="S127" s="230"/>
      <c r="T127" s="230"/>
      <c r="U127" s="232"/>
      <c r="V127" s="230"/>
      <c r="W127" s="230"/>
      <c r="X127" s="230"/>
      <c r="Y127" s="233"/>
      <c r="Z127" s="232"/>
      <c r="AA127" s="234"/>
      <c r="AB127" s="232"/>
      <c r="AC127" s="373"/>
      <c r="AD127" s="236"/>
      <c r="AH127" s="373"/>
    </row>
    <row r="128" spans="1:42" s="193" customFormat="1">
      <c r="A128" s="224"/>
      <c r="B128" s="214"/>
      <c r="C128" s="364"/>
      <c r="D128" s="364"/>
      <c r="E128" s="214"/>
      <c r="F128" s="214"/>
      <c r="G128" s="364"/>
      <c r="H128" s="214"/>
      <c r="I128" s="214"/>
      <c r="J128" s="214"/>
      <c r="K128" s="214"/>
      <c r="L128" s="364"/>
      <c r="M128" s="364"/>
      <c r="N128" s="364"/>
      <c r="O128" s="364"/>
      <c r="P128" s="214"/>
      <c r="Q128" s="364"/>
      <c r="R128" s="364"/>
      <c r="S128" s="364"/>
      <c r="T128" s="364"/>
      <c r="U128" s="214"/>
      <c r="V128" s="364"/>
      <c r="W128" s="364"/>
      <c r="X128" s="364"/>
      <c r="Y128" s="216"/>
      <c r="Z128" s="214"/>
      <c r="AA128" s="225"/>
      <c r="AB128" s="214"/>
      <c r="AC128" s="189"/>
      <c r="AH128" s="4"/>
      <c r="AI128" s="255"/>
      <c r="AJ128" s="180"/>
    </row>
    <row r="129" spans="2:42" s="180" customFormat="1" ht="13.5" customHeight="1">
      <c r="B129" s="1518" t="s">
        <v>18</v>
      </c>
      <c r="C129" s="1519">
        <v>45194</v>
      </c>
      <c r="D129" s="1519"/>
      <c r="E129" s="1519"/>
      <c r="F129" s="1519"/>
      <c r="G129" s="365"/>
      <c r="H129" s="1519">
        <v>45195</v>
      </c>
      <c r="I129" s="1519"/>
      <c r="J129" s="1519"/>
      <c r="K129" s="1519"/>
      <c r="L129" s="365"/>
      <c r="M129" s="1519">
        <v>45196</v>
      </c>
      <c r="N129" s="1519"/>
      <c r="O129" s="1519"/>
      <c r="P129" s="1519"/>
      <c r="Q129" s="365"/>
      <c r="R129" s="1519">
        <v>45197</v>
      </c>
      <c r="S129" s="1519"/>
      <c r="T129" s="1519"/>
      <c r="U129" s="1519"/>
      <c r="V129" s="365"/>
      <c r="W129" s="1519">
        <v>45198</v>
      </c>
      <c r="X129" s="1519"/>
      <c r="Y129" s="1519"/>
      <c r="Z129" s="1519"/>
      <c r="AA129" s="1517" t="s">
        <v>19</v>
      </c>
      <c r="AB129" s="1517" t="s">
        <v>20</v>
      </c>
      <c r="AC129" s="4"/>
      <c r="AD129" s="1519">
        <v>45199</v>
      </c>
      <c r="AE129" s="1519"/>
      <c r="AF129" s="1519"/>
      <c r="AG129" s="1517" t="s">
        <v>21</v>
      </c>
      <c r="AH129" s="4"/>
      <c r="AI129" s="255"/>
      <c r="AK129" s="194" t="s">
        <v>80</v>
      </c>
      <c r="AL129" s="366"/>
      <c r="AM129" s="366"/>
      <c r="AN129" s="366"/>
      <c r="AO129" s="366"/>
      <c r="AP129" s="366"/>
    </row>
    <row r="130" spans="2:42" s="367" customFormat="1">
      <c r="B130" s="1518"/>
      <c r="C130" s="21" t="s">
        <v>23</v>
      </c>
      <c r="D130" s="21" t="s">
        <v>24</v>
      </c>
      <c r="E130" s="205" t="s">
        <v>25</v>
      </c>
      <c r="F130" s="18" t="s">
        <v>14</v>
      </c>
      <c r="G130" s="4"/>
      <c r="H130" s="21" t="s">
        <v>23</v>
      </c>
      <c r="I130" s="21" t="s">
        <v>24</v>
      </c>
      <c r="J130" s="18" t="s">
        <v>25</v>
      </c>
      <c r="K130" s="18" t="s">
        <v>14</v>
      </c>
      <c r="L130" s="4"/>
      <c r="M130" s="21" t="s">
        <v>23</v>
      </c>
      <c r="N130" s="21" t="s">
        <v>24</v>
      </c>
      <c r="O130" s="18" t="s">
        <v>25</v>
      </c>
      <c r="P130" s="18" t="s">
        <v>14</v>
      </c>
      <c r="Q130" s="4"/>
      <c r="R130" s="21" t="s">
        <v>23</v>
      </c>
      <c r="S130" s="21" t="s">
        <v>24</v>
      </c>
      <c r="T130" s="18" t="s">
        <v>25</v>
      </c>
      <c r="U130" s="18" t="s">
        <v>14</v>
      </c>
      <c r="V130" s="4"/>
      <c r="W130" s="21" t="s">
        <v>23</v>
      </c>
      <c r="X130" s="21" t="s">
        <v>24</v>
      </c>
      <c r="Y130" s="18" t="s">
        <v>25</v>
      </c>
      <c r="Z130" s="18" t="s">
        <v>14</v>
      </c>
      <c r="AA130" s="1517"/>
      <c r="AB130" s="1517"/>
      <c r="AC130" s="4"/>
      <c r="AD130" s="21" t="s">
        <v>23</v>
      </c>
      <c r="AE130" s="21" t="s">
        <v>24</v>
      </c>
      <c r="AF130" s="18" t="s">
        <v>25</v>
      </c>
      <c r="AG130" s="1517"/>
      <c r="AH130" s="175"/>
      <c r="AI130" s="368"/>
      <c r="AK130" s="188" t="s">
        <v>26</v>
      </c>
      <c r="AL130" s="196">
        <f>AA157</f>
        <v>861.5</v>
      </c>
      <c r="AM130" s="193"/>
      <c r="AN130" s="193"/>
      <c r="AO130" s="193"/>
      <c r="AP130" s="193"/>
    </row>
    <row r="131" spans="2:42" s="367" customFormat="1">
      <c r="B131" s="171" t="s">
        <v>56</v>
      </c>
      <c r="C131" s="172">
        <v>0.33333333333333331</v>
      </c>
      <c r="D131" s="172">
        <v>0.20833333333333334</v>
      </c>
      <c r="E131" s="173">
        <v>8</v>
      </c>
      <c r="F131" s="277"/>
      <c r="G131" s="175"/>
      <c r="H131" s="172">
        <v>0.36458333333333331</v>
      </c>
      <c r="I131" s="172">
        <v>0.20833333333333334</v>
      </c>
      <c r="J131" s="173">
        <v>7.25</v>
      </c>
      <c r="K131" s="277"/>
      <c r="L131" s="175"/>
      <c r="M131" s="172">
        <v>0.36458333333333331</v>
      </c>
      <c r="N131" s="172">
        <v>0.20833333333333334</v>
      </c>
      <c r="O131" s="173">
        <v>7.25</v>
      </c>
      <c r="P131" s="277"/>
      <c r="Q131" s="175"/>
      <c r="R131" s="172">
        <v>0.35416666666666669</v>
      </c>
      <c r="S131" s="172">
        <v>0.20833333333333334</v>
      </c>
      <c r="T131" s="173">
        <v>7.5</v>
      </c>
      <c r="U131" s="277"/>
      <c r="V131" s="175"/>
      <c r="W131" s="172">
        <v>0.375</v>
      </c>
      <c r="X131" s="172">
        <v>0.20833333333333334</v>
      </c>
      <c r="Y131" s="173">
        <v>7</v>
      </c>
      <c r="Z131" s="277"/>
      <c r="AA131" s="28">
        <f t="shared" ref="AA131:AA133" si="18">(E131+J131+O131+T131+Y131)</f>
        <v>37</v>
      </c>
      <c r="AB131" s="298">
        <f t="shared" ref="AB131:AB133" si="19">Z131+U131+P131+K131+F131</f>
        <v>0</v>
      </c>
      <c r="AC131" s="175"/>
      <c r="AD131" s="175">
        <v>0</v>
      </c>
      <c r="AE131" s="175">
        <v>0</v>
      </c>
      <c r="AF131" s="173">
        <v>0</v>
      </c>
      <c r="AG131" s="28">
        <f t="shared" ref="AG131:AG133" si="20">AF131</f>
        <v>0</v>
      </c>
      <c r="AH131" s="175"/>
      <c r="AI131" s="368"/>
      <c r="AK131" s="188" t="s">
        <v>30</v>
      </c>
      <c r="AL131" s="389">
        <f>AB157</f>
        <v>17.25</v>
      </c>
      <c r="AM131" s="193"/>
      <c r="AN131" s="193"/>
      <c r="AO131" s="193"/>
      <c r="AP131" s="193"/>
    </row>
    <row r="132" spans="2:42" s="367" customFormat="1">
      <c r="B132" s="171" t="s">
        <v>31</v>
      </c>
      <c r="C132" s="172">
        <v>0.33333333333333331</v>
      </c>
      <c r="D132" s="172">
        <v>0.20833333333333334</v>
      </c>
      <c r="E132" s="173">
        <v>8</v>
      </c>
      <c r="F132" s="277"/>
      <c r="G132" s="175"/>
      <c r="H132" s="261">
        <v>0</v>
      </c>
      <c r="I132" s="261">
        <v>0</v>
      </c>
      <c r="J132" s="173">
        <v>0</v>
      </c>
      <c r="K132" s="277"/>
      <c r="L132" s="175"/>
      <c r="M132" s="172">
        <v>0.36458333333333331</v>
      </c>
      <c r="N132" s="172">
        <v>0.20833333333333334</v>
      </c>
      <c r="O132" s="173">
        <v>7.25</v>
      </c>
      <c r="P132" s="277"/>
      <c r="Q132" s="175"/>
      <c r="R132" s="172">
        <v>0.33333333333333331</v>
      </c>
      <c r="S132" s="172">
        <v>0.20833333333333334</v>
      </c>
      <c r="T132" s="173">
        <v>8</v>
      </c>
      <c r="U132" s="277"/>
      <c r="V132" s="175"/>
      <c r="W132" s="172">
        <v>0.34375</v>
      </c>
      <c r="X132" s="172">
        <v>0.20833333333333334</v>
      </c>
      <c r="Y132" s="173">
        <v>7.75</v>
      </c>
      <c r="Z132" s="277"/>
      <c r="AA132" s="28">
        <f t="shared" si="18"/>
        <v>31</v>
      </c>
      <c r="AB132" s="298">
        <f t="shared" si="19"/>
        <v>0</v>
      </c>
      <c r="AC132" s="175"/>
      <c r="AD132" s="175">
        <v>0</v>
      </c>
      <c r="AE132" s="175">
        <v>0</v>
      </c>
      <c r="AF132" s="173">
        <v>0</v>
      </c>
      <c r="AG132" s="28">
        <f t="shared" si="20"/>
        <v>0</v>
      </c>
      <c r="AH132" s="175"/>
      <c r="AI132" s="368"/>
      <c r="AK132" s="188" t="s">
        <v>32</v>
      </c>
      <c r="AL132" s="196">
        <f>AG157</f>
        <v>0</v>
      </c>
      <c r="AM132" s="193"/>
      <c r="AN132" s="193"/>
      <c r="AO132" s="193"/>
      <c r="AP132" s="193"/>
    </row>
    <row r="133" spans="2:42" s="367" customFormat="1">
      <c r="B133" s="171" t="s">
        <v>33</v>
      </c>
      <c r="C133" s="377">
        <v>0.33333333333333331</v>
      </c>
      <c r="D133" s="377">
        <v>0.20833333333333334</v>
      </c>
      <c r="E133" s="173">
        <v>8</v>
      </c>
      <c r="F133" s="277"/>
      <c r="G133" s="175"/>
      <c r="H133" s="172">
        <v>0.375</v>
      </c>
      <c r="I133" s="172">
        <v>0.20833333333333334</v>
      </c>
      <c r="J133" s="173">
        <v>7</v>
      </c>
      <c r="K133" s="277"/>
      <c r="L133" s="175"/>
      <c r="M133" s="172">
        <v>0.375</v>
      </c>
      <c r="N133" s="172">
        <v>0.20833333333333334</v>
      </c>
      <c r="O133" s="173">
        <v>7</v>
      </c>
      <c r="P133" s="277"/>
      <c r="Q133" s="175"/>
      <c r="R133" s="172">
        <v>0.33333333333333331</v>
      </c>
      <c r="S133" s="172">
        <v>0.20833333333333334</v>
      </c>
      <c r="T133" s="173">
        <v>8</v>
      </c>
      <c r="U133" s="277"/>
      <c r="V133" s="175"/>
      <c r="W133" s="172">
        <v>0.33333333333333331</v>
      </c>
      <c r="X133" s="172">
        <v>0.20833333333333334</v>
      </c>
      <c r="Y133" s="173">
        <v>8</v>
      </c>
      <c r="Z133" s="277"/>
      <c r="AA133" s="28">
        <f t="shared" si="18"/>
        <v>38</v>
      </c>
      <c r="AB133" s="298">
        <f t="shared" si="19"/>
        <v>0</v>
      </c>
      <c r="AC133" s="175"/>
      <c r="AD133" s="175">
        <v>0</v>
      </c>
      <c r="AE133" s="175">
        <v>0</v>
      </c>
      <c r="AF133" s="173">
        <v>0</v>
      </c>
      <c r="AG133" s="28">
        <f t="shared" si="20"/>
        <v>0</v>
      </c>
      <c r="AH133" s="175"/>
      <c r="AI133" s="368"/>
      <c r="AK133" s="188" t="s">
        <v>34</v>
      </c>
      <c r="AL133" s="389">
        <f>AA162</f>
        <v>125</v>
      </c>
      <c r="AM133" s="193"/>
      <c r="AN133" s="193"/>
      <c r="AO133" s="193"/>
      <c r="AP133" s="193"/>
    </row>
    <row r="134" spans="2:42" s="180" customFormat="1">
      <c r="B134" s="171" t="s">
        <v>58</v>
      </c>
      <c r="C134" s="354" t="s">
        <v>78</v>
      </c>
      <c r="D134" s="172">
        <v>0.20833333333333334</v>
      </c>
      <c r="E134" s="173">
        <v>7</v>
      </c>
      <c r="F134" s="277"/>
      <c r="G134" s="4"/>
      <c r="H134" s="354" t="s">
        <v>77</v>
      </c>
      <c r="I134" s="172">
        <v>0.20833333333333334</v>
      </c>
      <c r="J134" s="173">
        <v>7.5</v>
      </c>
      <c r="K134" s="277"/>
      <c r="L134" s="4"/>
      <c r="M134" s="172">
        <v>0.36458333333333331</v>
      </c>
      <c r="N134" s="172">
        <v>0.20833333333333334</v>
      </c>
      <c r="O134" s="173">
        <v>7.25</v>
      </c>
      <c r="P134" s="277"/>
      <c r="Q134" s="4"/>
      <c r="R134" s="355">
        <v>0.375</v>
      </c>
      <c r="S134" s="172">
        <v>0.20833333333333334</v>
      </c>
      <c r="T134" s="173">
        <v>7</v>
      </c>
      <c r="U134" s="277"/>
      <c r="V134" s="4"/>
      <c r="W134" s="172">
        <v>0.36458333333333331</v>
      </c>
      <c r="X134" s="172">
        <v>0.20833333333333334</v>
      </c>
      <c r="Y134" s="173">
        <v>7.25</v>
      </c>
      <c r="Z134" s="277"/>
      <c r="AA134" s="28">
        <f>(E134+J134+O134+T134+Y134)</f>
        <v>36</v>
      </c>
      <c r="AB134" s="298">
        <f>Z134+U134+P134+K134+F134</f>
        <v>0</v>
      </c>
      <c r="AC134" s="4"/>
      <c r="AD134" s="175">
        <v>0</v>
      </c>
      <c r="AE134" s="175">
        <v>0</v>
      </c>
      <c r="AF134" s="173">
        <v>0</v>
      </c>
      <c r="AG134" s="28">
        <f>AF134</f>
        <v>0</v>
      </c>
      <c r="AH134" s="4"/>
      <c r="AI134" s="255"/>
      <c r="AK134" s="188" t="s">
        <v>36</v>
      </c>
      <c r="AL134" s="389">
        <f>AB162</f>
        <v>4</v>
      </c>
      <c r="AM134" s="193"/>
      <c r="AN134" s="193"/>
      <c r="AO134" s="193"/>
      <c r="AP134" s="193"/>
    </row>
    <row r="135" spans="2:42" s="367" customFormat="1">
      <c r="B135" s="171" t="s">
        <v>72</v>
      </c>
      <c r="C135" s="172">
        <v>0.33333333333333331</v>
      </c>
      <c r="D135" s="172">
        <v>0.20833333333333334</v>
      </c>
      <c r="E135" s="173">
        <v>8</v>
      </c>
      <c r="F135" s="277"/>
      <c r="G135" s="4"/>
      <c r="H135" s="172">
        <v>0.35416666666666669</v>
      </c>
      <c r="I135" s="172">
        <v>0.20833333333333334</v>
      </c>
      <c r="J135" s="173">
        <v>7.5</v>
      </c>
      <c r="K135" s="277"/>
      <c r="L135" s="4"/>
      <c r="M135" s="172">
        <v>0.35416666666666669</v>
      </c>
      <c r="N135" s="172">
        <v>0.20833333333333334</v>
      </c>
      <c r="O135" s="173">
        <v>7.5</v>
      </c>
      <c r="P135" s="277"/>
      <c r="Q135" s="4"/>
      <c r="R135" s="355">
        <v>0.35416666666666669</v>
      </c>
      <c r="S135" s="172">
        <v>0.20833333333333334</v>
      </c>
      <c r="T135" s="173">
        <v>7.5</v>
      </c>
      <c r="U135" s="277"/>
      <c r="V135" s="4"/>
      <c r="W135" s="172">
        <v>0.36458333333333331</v>
      </c>
      <c r="X135" s="172">
        <v>0.20833333333333334</v>
      </c>
      <c r="Y135" s="173">
        <v>7.25</v>
      </c>
      <c r="Z135" s="277"/>
      <c r="AA135" s="28">
        <f>(E135+J135+O135+T135+Y135)</f>
        <v>37.75</v>
      </c>
      <c r="AB135" s="298">
        <f>Z135+U135+P135+K135+F135</f>
        <v>0</v>
      </c>
      <c r="AC135" s="4"/>
      <c r="AD135" s="175">
        <v>0</v>
      </c>
      <c r="AE135" s="175">
        <v>0</v>
      </c>
      <c r="AF135" s="173">
        <v>0</v>
      </c>
      <c r="AG135" s="28">
        <f>AF135</f>
        <v>0</v>
      </c>
      <c r="AH135" s="175"/>
      <c r="AI135" s="368"/>
      <c r="AK135" s="188" t="s">
        <v>38</v>
      </c>
      <c r="AL135" s="196">
        <f>AG162</f>
        <v>0</v>
      </c>
      <c r="AM135" s="193"/>
      <c r="AN135" s="193"/>
      <c r="AO135" s="193"/>
      <c r="AP135" s="193"/>
    </row>
    <row r="136" spans="2:42" s="180" customFormat="1">
      <c r="B136" s="171" t="s">
        <v>71</v>
      </c>
      <c r="C136" s="172">
        <v>0.33333333333333331</v>
      </c>
      <c r="D136" s="172">
        <v>0.20833333333333334</v>
      </c>
      <c r="E136" s="173">
        <v>8</v>
      </c>
      <c r="F136" s="277"/>
      <c r="G136" s="4"/>
      <c r="H136" s="172">
        <v>0.33333333333333331</v>
      </c>
      <c r="I136" s="172">
        <v>0.20833333333333334</v>
      </c>
      <c r="J136" s="173">
        <v>8</v>
      </c>
      <c r="K136" s="277"/>
      <c r="L136" s="4"/>
      <c r="M136" s="172">
        <v>0.34375</v>
      </c>
      <c r="N136" s="355">
        <v>0.20833333333333334</v>
      </c>
      <c r="O136" s="173">
        <v>7.75</v>
      </c>
      <c r="P136" s="277"/>
      <c r="Q136" s="4"/>
      <c r="R136" s="355">
        <v>0.33333333333333331</v>
      </c>
      <c r="S136" s="172">
        <v>0.20833333333333334</v>
      </c>
      <c r="T136" s="173">
        <v>8</v>
      </c>
      <c r="U136" s="277"/>
      <c r="V136" s="4"/>
      <c r="W136" s="172">
        <v>0.34375</v>
      </c>
      <c r="X136" s="172">
        <v>0.20833333333333334</v>
      </c>
      <c r="Y136" s="173">
        <v>7.75</v>
      </c>
      <c r="Z136" s="277"/>
      <c r="AA136" s="28">
        <f>(E136+J136+O136+T136+Y136)</f>
        <v>39.5</v>
      </c>
      <c r="AB136" s="298">
        <f>Z136+U136+P136+K136+F136</f>
        <v>0</v>
      </c>
      <c r="AC136" s="4"/>
      <c r="AD136" s="175">
        <v>0</v>
      </c>
      <c r="AE136" s="175">
        <v>0</v>
      </c>
      <c r="AF136" s="173">
        <v>0</v>
      </c>
      <c r="AG136" s="28">
        <f>AF136</f>
        <v>0</v>
      </c>
      <c r="AH136" s="4"/>
      <c r="AI136" s="255"/>
      <c r="AK136" s="188" t="s">
        <v>41</v>
      </c>
      <c r="AL136" s="389">
        <f>C163</f>
        <v>161</v>
      </c>
      <c r="AM136" s="369"/>
      <c r="AN136" s="369"/>
      <c r="AO136" s="369"/>
      <c r="AP136" s="369"/>
    </row>
    <row r="137" spans="2:42" s="180" customFormat="1">
      <c r="B137" s="13" t="s">
        <v>35</v>
      </c>
      <c r="C137" s="353">
        <v>0.35416666666666669</v>
      </c>
      <c r="D137" s="353">
        <v>0.20833333333333334</v>
      </c>
      <c r="E137" s="319">
        <v>7.5</v>
      </c>
      <c r="F137" s="277"/>
      <c r="G137" s="175"/>
      <c r="H137" s="47">
        <v>0.38541666666666669</v>
      </c>
      <c r="I137" s="47">
        <v>0.20833333333333334</v>
      </c>
      <c r="J137" s="319">
        <v>6.75</v>
      </c>
      <c r="K137" s="277"/>
      <c r="L137" s="175"/>
      <c r="M137" s="47">
        <v>0.35416666666666669</v>
      </c>
      <c r="N137" s="47">
        <v>0.20833333333333334</v>
      </c>
      <c r="O137" s="319">
        <v>7.5</v>
      </c>
      <c r="P137" s="277"/>
      <c r="Q137" s="175"/>
      <c r="R137" s="47">
        <v>0.34375</v>
      </c>
      <c r="S137" s="47">
        <v>0.20833333333333334</v>
      </c>
      <c r="T137" s="319">
        <v>7.75</v>
      </c>
      <c r="U137" s="277"/>
      <c r="V137" s="175"/>
      <c r="W137" s="47">
        <v>0.3125</v>
      </c>
      <c r="X137" s="47">
        <v>0.20833333333333334</v>
      </c>
      <c r="Y137" s="319">
        <v>8.5</v>
      </c>
      <c r="Z137" s="277"/>
      <c r="AA137" s="344">
        <f t="shared" ref="AA137:AA148" si="21">(E137+J137+O137+T137+Y137)</f>
        <v>38</v>
      </c>
      <c r="AB137" s="298">
        <f t="shared" ref="AB137:AB156" si="22">Z137+U137+P137+K137+F137</f>
        <v>0</v>
      </c>
      <c r="AC137" s="175"/>
      <c r="AD137" s="345">
        <v>0</v>
      </c>
      <c r="AE137" s="345">
        <v>0</v>
      </c>
      <c r="AF137" s="346">
        <v>0</v>
      </c>
      <c r="AG137" s="344">
        <f t="shared" ref="AG137:AG150" si="23">AF137</f>
        <v>0</v>
      </c>
      <c r="AH137" s="4"/>
      <c r="AI137" s="255"/>
      <c r="AK137" s="189"/>
      <c r="AL137" s="193"/>
      <c r="AM137" s="193"/>
      <c r="AN137" s="193"/>
      <c r="AO137" s="193"/>
      <c r="AP137" s="193"/>
    </row>
    <row r="138" spans="2:42" s="180" customFormat="1">
      <c r="B138" s="13" t="s">
        <v>37</v>
      </c>
      <c r="C138" s="353">
        <v>0.38541666666666669</v>
      </c>
      <c r="D138" s="353">
        <v>0.20833333333333334</v>
      </c>
      <c r="E138" s="319">
        <v>6.75</v>
      </c>
      <c r="F138" s="277"/>
      <c r="G138" s="175"/>
      <c r="H138" s="47" t="s">
        <v>81</v>
      </c>
      <c r="I138" s="47">
        <v>0.20833333333333334</v>
      </c>
      <c r="J138" s="319">
        <v>6.5</v>
      </c>
      <c r="K138" s="277"/>
      <c r="L138" s="175"/>
      <c r="M138" s="47">
        <v>0.39583333333333331</v>
      </c>
      <c r="N138" s="47">
        <v>0.20833333333333334</v>
      </c>
      <c r="O138" s="319">
        <v>6.5</v>
      </c>
      <c r="P138" s="277"/>
      <c r="Q138" s="175"/>
      <c r="R138" s="47">
        <v>0.38541666666666669</v>
      </c>
      <c r="S138" s="47">
        <v>0.20833333333333334</v>
      </c>
      <c r="T138" s="319">
        <v>6.75</v>
      </c>
      <c r="U138" s="277"/>
      <c r="V138" s="175"/>
      <c r="W138" s="47">
        <v>0.39583333333333331</v>
      </c>
      <c r="X138" s="47">
        <v>0.20833333333333334</v>
      </c>
      <c r="Y138" s="319">
        <v>6.5</v>
      </c>
      <c r="Z138" s="277"/>
      <c r="AA138" s="344">
        <f t="shared" si="21"/>
        <v>33</v>
      </c>
      <c r="AB138" s="298">
        <f t="shared" si="22"/>
        <v>0</v>
      </c>
      <c r="AC138" s="175"/>
      <c r="AD138" s="345">
        <v>0</v>
      </c>
      <c r="AE138" s="345">
        <v>0</v>
      </c>
      <c r="AF138" s="346">
        <v>0</v>
      </c>
      <c r="AG138" s="344">
        <f t="shared" si="23"/>
        <v>0</v>
      </c>
      <c r="AH138" s="4"/>
      <c r="AI138" s="255"/>
      <c r="AK138" s="193"/>
      <c r="AL138" s="193"/>
      <c r="AM138" s="193"/>
      <c r="AN138" s="193"/>
      <c r="AO138" s="193"/>
      <c r="AP138" s="193"/>
    </row>
    <row r="139" spans="2:42" s="180" customFormat="1">
      <c r="B139" s="13" t="s">
        <v>39</v>
      </c>
      <c r="C139" s="353">
        <v>0.375</v>
      </c>
      <c r="D139" s="353">
        <v>0.20833333333333334</v>
      </c>
      <c r="E139" s="19">
        <v>7</v>
      </c>
      <c r="F139" s="277"/>
      <c r="G139" s="4"/>
      <c r="H139" s="47" t="s">
        <v>78</v>
      </c>
      <c r="I139" s="47">
        <v>0.20833333333333334</v>
      </c>
      <c r="J139" s="319">
        <v>7</v>
      </c>
      <c r="K139" s="277"/>
      <c r="L139" s="4"/>
      <c r="M139" s="47">
        <v>0.39583333333333331</v>
      </c>
      <c r="N139" s="47">
        <v>0.20833333333333334</v>
      </c>
      <c r="O139" s="319">
        <v>6.5</v>
      </c>
      <c r="P139" s="277"/>
      <c r="Q139" s="4"/>
      <c r="R139" s="47">
        <v>0.41666666666666669</v>
      </c>
      <c r="S139" s="47">
        <v>0.20833333333333334</v>
      </c>
      <c r="T139" s="319">
        <v>6</v>
      </c>
      <c r="U139" s="277"/>
      <c r="V139" s="4"/>
      <c r="W139" s="47">
        <v>0.375</v>
      </c>
      <c r="X139" s="47">
        <v>0.20833333333333334</v>
      </c>
      <c r="Y139" s="319">
        <v>6</v>
      </c>
      <c r="Z139" s="277"/>
      <c r="AA139" s="29">
        <f t="shared" si="21"/>
        <v>32.5</v>
      </c>
      <c r="AB139" s="298">
        <f t="shared" si="22"/>
        <v>0</v>
      </c>
      <c r="AC139" s="4"/>
      <c r="AD139" s="4">
        <v>0</v>
      </c>
      <c r="AE139" s="4">
        <v>0</v>
      </c>
      <c r="AF139" s="19">
        <v>0</v>
      </c>
      <c r="AG139" s="29">
        <f t="shared" si="23"/>
        <v>0</v>
      </c>
      <c r="AH139" s="4"/>
      <c r="AI139" s="255"/>
      <c r="AK139" s="193"/>
      <c r="AL139" s="193"/>
      <c r="AM139" s="193"/>
      <c r="AN139" s="193"/>
      <c r="AO139" s="193"/>
      <c r="AP139" s="193"/>
    </row>
    <row r="140" spans="2:42" s="180" customFormat="1">
      <c r="B140" s="164" t="s">
        <v>40</v>
      </c>
      <c r="C140" s="353">
        <v>0.33333333333333331</v>
      </c>
      <c r="D140" s="353">
        <v>0.20833333333333334</v>
      </c>
      <c r="E140" s="19">
        <v>8</v>
      </c>
      <c r="F140" s="277"/>
      <c r="G140" s="4"/>
      <c r="H140" s="47" t="s">
        <v>82</v>
      </c>
      <c r="I140" s="47">
        <v>0.20833333333333334</v>
      </c>
      <c r="J140" s="319">
        <v>6.75</v>
      </c>
      <c r="K140" s="277"/>
      <c r="L140" s="4"/>
      <c r="M140" s="47">
        <v>0.375</v>
      </c>
      <c r="N140" s="47">
        <v>0.20833333333333334</v>
      </c>
      <c r="O140" s="319">
        <v>7</v>
      </c>
      <c r="P140" s="277"/>
      <c r="Q140" s="4"/>
      <c r="R140" s="47">
        <v>0.34375</v>
      </c>
      <c r="S140" s="47">
        <v>0.20833333333333334</v>
      </c>
      <c r="T140" s="319">
        <v>7.75</v>
      </c>
      <c r="U140" s="277"/>
      <c r="V140" s="4"/>
      <c r="W140" s="47">
        <v>0.36458333333333331</v>
      </c>
      <c r="X140" s="47">
        <v>0.20833333333333334</v>
      </c>
      <c r="Y140" s="319">
        <v>7.25</v>
      </c>
      <c r="Z140" s="277"/>
      <c r="AA140" s="29">
        <f t="shared" si="21"/>
        <v>36.75</v>
      </c>
      <c r="AB140" s="298">
        <f t="shared" si="22"/>
        <v>0</v>
      </c>
      <c r="AC140" s="4"/>
      <c r="AD140" s="4">
        <v>0</v>
      </c>
      <c r="AE140" s="4">
        <v>0</v>
      </c>
      <c r="AF140" s="19">
        <v>0</v>
      </c>
      <c r="AG140" s="29">
        <f t="shared" si="23"/>
        <v>0</v>
      </c>
      <c r="AH140" s="4"/>
      <c r="AI140" s="255"/>
      <c r="AK140" s="193"/>
      <c r="AL140" s="193"/>
      <c r="AM140" s="193"/>
      <c r="AN140" s="193"/>
      <c r="AO140" s="193"/>
      <c r="AP140" s="193"/>
    </row>
    <row r="141" spans="2:42" s="180" customFormat="1">
      <c r="B141" s="164" t="s">
        <v>42</v>
      </c>
      <c r="C141" s="353">
        <v>0.3125</v>
      </c>
      <c r="D141" s="353">
        <v>0.20833333333333334</v>
      </c>
      <c r="E141" s="19">
        <v>8.5</v>
      </c>
      <c r="F141" s="277">
        <v>0.5</v>
      </c>
      <c r="G141" s="4"/>
      <c r="H141" s="47">
        <v>0.3125</v>
      </c>
      <c r="I141" s="47">
        <v>0.20833333333333334</v>
      </c>
      <c r="J141" s="319">
        <v>8.5</v>
      </c>
      <c r="K141" s="277">
        <v>0.5</v>
      </c>
      <c r="L141" s="4"/>
      <c r="M141" s="47">
        <v>0.30208333333333331</v>
      </c>
      <c r="N141" s="47">
        <v>0.20833333333333334</v>
      </c>
      <c r="O141" s="319">
        <v>8.75</v>
      </c>
      <c r="P141" s="277"/>
      <c r="Q141" s="4"/>
      <c r="R141" s="47">
        <v>0.30208333333333331</v>
      </c>
      <c r="S141" s="47">
        <v>0.20833333333333334</v>
      </c>
      <c r="T141" s="319">
        <v>8</v>
      </c>
      <c r="U141" s="277">
        <v>0.75</v>
      </c>
      <c r="V141" s="4"/>
      <c r="W141" s="47">
        <v>0.33333333333333331</v>
      </c>
      <c r="X141" s="47">
        <v>0.20833333333333334</v>
      </c>
      <c r="Y141" s="319">
        <v>8</v>
      </c>
      <c r="Z141" s="277"/>
      <c r="AA141" s="29">
        <f t="shared" si="21"/>
        <v>41.75</v>
      </c>
      <c r="AB141" s="298">
        <f t="shared" si="22"/>
        <v>1.75</v>
      </c>
      <c r="AC141" s="4"/>
      <c r="AD141" s="4">
        <v>0</v>
      </c>
      <c r="AE141" s="4">
        <v>0</v>
      </c>
      <c r="AF141" s="19">
        <v>0</v>
      </c>
      <c r="AG141" s="29">
        <f t="shared" si="23"/>
        <v>0</v>
      </c>
      <c r="AH141" s="4"/>
      <c r="AI141" s="255"/>
      <c r="AK141" s="193"/>
      <c r="AL141" s="193"/>
      <c r="AM141" s="193"/>
      <c r="AN141" s="193"/>
      <c r="AO141" s="193"/>
      <c r="AP141" s="193"/>
    </row>
    <row r="142" spans="2:42" s="180" customFormat="1">
      <c r="B142" s="13" t="s">
        <v>43</v>
      </c>
      <c r="C142" s="353">
        <v>0.35416666666666669</v>
      </c>
      <c r="D142" s="353">
        <v>0.20833333333333334</v>
      </c>
      <c r="E142" s="19">
        <v>7.5</v>
      </c>
      <c r="F142" s="277"/>
      <c r="G142" s="4"/>
      <c r="H142" s="47">
        <v>0.375</v>
      </c>
      <c r="I142" s="47">
        <v>0.20833333333333334</v>
      </c>
      <c r="J142" s="319">
        <v>7</v>
      </c>
      <c r="K142" s="277"/>
      <c r="L142" s="4"/>
      <c r="M142" s="47">
        <v>0.34375</v>
      </c>
      <c r="N142" s="47">
        <v>0.20833333333333334</v>
      </c>
      <c r="O142" s="319">
        <v>7.75</v>
      </c>
      <c r="P142" s="277"/>
      <c r="Q142" s="4"/>
      <c r="R142" s="47">
        <v>0.33333333333333331</v>
      </c>
      <c r="S142" s="47">
        <v>0.20833333333333334</v>
      </c>
      <c r="T142" s="319">
        <v>8</v>
      </c>
      <c r="U142" s="277"/>
      <c r="V142" s="4"/>
      <c r="W142" s="47">
        <v>0.3125</v>
      </c>
      <c r="X142" s="47">
        <v>0.20833333333333334</v>
      </c>
      <c r="Y142" s="319">
        <v>8.5</v>
      </c>
      <c r="Z142" s="277"/>
      <c r="AA142" s="29">
        <f t="shared" si="21"/>
        <v>38.75</v>
      </c>
      <c r="AB142" s="298">
        <f t="shared" si="22"/>
        <v>0</v>
      </c>
      <c r="AC142" s="4"/>
      <c r="AD142" s="4">
        <v>0</v>
      </c>
      <c r="AE142" s="4">
        <v>0</v>
      </c>
      <c r="AF142" s="19">
        <v>0</v>
      </c>
      <c r="AG142" s="29">
        <f t="shared" si="23"/>
        <v>0</v>
      </c>
      <c r="AH142" s="4"/>
      <c r="AI142" s="255"/>
      <c r="AK142" s="193"/>
      <c r="AL142" s="193"/>
      <c r="AM142" s="193"/>
      <c r="AN142" s="193"/>
      <c r="AO142" s="193"/>
      <c r="AP142" s="193"/>
    </row>
    <row r="143" spans="2:42" s="180" customFormat="1">
      <c r="B143" s="13" t="s">
        <v>44</v>
      </c>
      <c r="C143" s="353">
        <v>0.32291666666666669</v>
      </c>
      <c r="D143" s="353">
        <v>0.20833333333333334</v>
      </c>
      <c r="E143" s="19">
        <v>8.25</v>
      </c>
      <c r="F143" s="277">
        <v>0.25</v>
      </c>
      <c r="G143" s="4"/>
      <c r="H143" s="47" t="s">
        <v>81</v>
      </c>
      <c r="I143" s="47">
        <v>0.20833333333333334</v>
      </c>
      <c r="J143" s="319">
        <v>6.5</v>
      </c>
      <c r="K143" s="277"/>
      <c r="L143" s="4"/>
      <c r="M143" s="47">
        <v>0.38541666666666669</v>
      </c>
      <c r="N143" s="47">
        <v>0.20833333333333334</v>
      </c>
      <c r="O143" s="319">
        <v>6.75</v>
      </c>
      <c r="P143" s="277"/>
      <c r="Q143" s="4"/>
      <c r="R143" s="47">
        <v>0.34375</v>
      </c>
      <c r="S143" s="47">
        <v>0.20833333333333334</v>
      </c>
      <c r="T143" s="319">
        <v>7.75</v>
      </c>
      <c r="U143" s="277"/>
      <c r="V143" s="4"/>
      <c r="W143" s="4">
        <v>0</v>
      </c>
      <c r="X143" s="4">
        <v>0</v>
      </c>
      <c r="Y143" s="319">
        <v>0</v>
      </c>
      <c r="Z143" s="277"/>
      <c r="AA143" s="29">
        <f t="shared" si="21"/>
        <v>29.25</v>
      </c>
      <c r="AB143" s="298">
        <f t="shared" si="22"/>
        <v>0.25</v>
      </c>
      <c r="AC143" s="4"/>
      <c r="AD143" s="4">
        <v>0</v>
      </c>
      <c r="AE143" s="4">
        <v>0</v>
      </c>
      <c r="AF143" s="19">
        <v>0</v>
      </c>
      <c r="AG143" s="29">
        <f t="shared" si="23"/>
        <v>0</v>
      </c>
      <c r="AH143" s="4"/>
      <c r="AI143" s="255"/>
      <c r="AK143" s="193"/>
      <c r="AL143" s="193"/>
      <c r="AM143" s="193"/>
      <c r="AN143" s="193"/>
      <c r="AO143" s="193"/>
      <c r="AP143" s="193"/>
    </row>
    <row r="144" spans="2:42" s="180" customFormat="1">
      <c r="B144" s="13" t="s">
        <v>45</v>
      </c>
      <c r="C144" s="47">
        <v>0.33333333333333331</v>
      </c>
      <c r="D144" s="353">
        <v>0.20833333333333334</v>
      </c>
      <c r="E144" s="19">
        <v>8</v>
      </c>
      <c r="F144" s="277"/>
      <c r="G144" s="4"/>
      <c r="H144" s="47">
        <v>0.33333333333333331</v>
      </c>
      <c r="I144" s="47">
        <v>0.20833333333333334</v>
      </c>
      <c r="J144" s="319">
        <v>8</v>
      </c>
      <c r="K144" s="277"/>
      <c r="L144" s="4"/>
      <c r="M144" s="47">
        <v>0.34375</v>
      </c>
      <c r="N144" s="47">
        <v>0.20833333333333334</v>
      </c>
      <c r="O144" s="319">
        <v>7.75</v>
      </c>
      <c r="P144" s="277"/>
      <c r="Q144" s="4"/>
      <c r="R144" s="47">
        <v>0.36458333333333331</v>
      </c>
      <c r="S144" s="47">
        <v>0.20833333333333334</v>
      </c>
      <c r="T144" s="319">
        <v>7.25</v>
      </c>
      <c r="U144" s="277"/>
      <c r="V144" s="4"/>
      <c r="W144" s="47">
        <v>0.36458333333333331</v>
      </c>
      <c r="X144" s="47">
        <v>0.20833333333333334</v>
      </c>
      <c r="Y144" s="319">
        <v>7.25</v>
      </c>
      <c r="Z144" s="277"/>
      <c r="AA144" s="29">
        <f t="shared" si="21"/>
        <v>38.25</v>
      </c>
      <c r="AB144" s="298">
        <f t="shared" si="22"/>
        <v>0</v>
      </c>
      <c r="AC144" s="4"/>
      <c r="AD144" s="4">
        <v>0</v>
      </c>
      <c r="AE144" s="4">
        <v>0</v>
      </c>
      <c r="AF144" s="19">
        <v>0</v>
      </c>
      <c r="AG144" s="29">
        <f t="shared" si="23"/>
        <v>0</v>
      </c>
      <c r="AH144" s="4"/>
      <c r="AI144" s="255"/>
      <c r="AK144" s="193"/>
      <c r="AL144" s="193"/>
      <c r="AM144" s="193"/>
      <c r="AN144" s="193"/>
      <c r="AO144" s="193"/>
      <c r="AP144" s="193"/>
    </row>
    <row r="145" spans="2:42" s="180" customFormat="1">
      <c r="B145" s="13" t="s">
        <v>46</v>
      </c>
      <c r="C145" s="353">
        <v>0.33333333333333331</v>
      </c>
      <c r="D145" s="353">
        <v>0.20833333333333334</v>
      </c>
      <c r="E145" s="19">
        <v>8</v>
      </c>
      <c r="F145" s="277"/>
      <c r="G145" s="4"/>
      <c r="H145" s="47">
        <v>0.33333333333333331</v>
      </c>
      <c r="I145" s="47">
        <v>0.20833333333333334</v>
      </c>
      <c r="J145" s="319">
        <v>8</v>
      </c>
      <c r="K145" s="277"/>
      <c r="L145" s="4"/>
      <c r="M145" s="47">
        <v>0.34375</v>
      </c>
      <c r="N145" s="47">
        <v>0.20833333333333334</v>
      </c>
      <c r="O145" s="319">
        <v>7.75</v>
      </c>
      <c r="P145" s="277"/>
      <c r="Q145" s="4"/>
      <c r="R145" s="47">
        <v>0.36458333333333331</v>
      </c>
      <c r="S145" s="47">
        <v>0.20833333333333334</v>
      </c>
      <c r="T145" s="319">
        <v>7.25</v>
      </c>
      <c r="U145" s="277"/>
      <c r="V145" s="4"/>
      <c r="W145" s="47">
        <v>0.35416666666666669</v>
      </c>
      <c r="X145" s="47">
        <v>0.20833333333333334</v>
      </c>
      <c r="Y145" s="319">
        <v>7.5</v>
      </c>
      <c r="Z145" s="277"/>
      <c r="AA145" s="29">
        <f t="shared" si="21"/>
        <v>38.5</v>
      </c>
      <c r="AB145" s="298">
        <f t="shared" si="22"/>
        <v>0</v>
      </c>
      <c r="AC145" s="4"/>
      <c r="AD145" s="4">
        <v>0</v>
      </c>
      <c r="AE145" s="4">
        <v>0</v>
      </c>
      <c r="AF145" s="19">
        <v>0</v>
      </c>
      <c r="AG145" s="29">
        <f t="shared" si="23"/>
        <v>0</v>
      </c>
      <c r="AH145" s="4"/>
      <c r="AI145" s="255"/>
      <c r="AK145" s="193"/>
      <c r="AL145" s="193"/>
      <c r="AM145" s="193"/>
      <c r="AN145" s="193"/>
      <c r="AO145" s="193"/>
      <c r="AP145" s="193"/>
    </row>
    <row r="146" spans="2:42" s="180" customFormat="1">
      <c r="B146" s="13" t="s">
        <v>47</v>
      </c>
      <c r="C146" s="353">
        <v>0.33333333333333331</v>
      </c>
      <c r="D146" s="353">
        <v>0.20833333333333334</v>
      </c>
      <c r="E146" s="19">
        <v>8</v>
      </c>
      <c r="F146" s="277"/>
      <c r="G146" s="4"/>
      <c r="H146" s="47">
        <v>0.35416666666666669</v>
      </c>
      <c r="I146" s="47">
        <v>0.20833333333333334</v>
      </c>
      <c r="J146" s="319">
        <v>7.5</v>
      </c>
      <c r="K146" s="277"/>
      <c r="L146" s="4"/>
      <c r="M146" s="47">
        <v>0.34375</v>
      </c>
      <c r="N146" s="47">
        <v>0.20833333333333334</v>
      </c>
      <c r="O146" s="319">
        <v>7.75</v>
      </c>
      <c r="P146" s="277"/>
      <c r="Q146" s="4"/>
      <c r="R146" s="47">
        <v>0.33333333333333331</v>
      </c>
      <c r="S146" s="47">
        <v>0.20833333333333334</v>
      </c>
      <c r="T146" s="319">
        <v>8</v>
      </c>
      <c r="U146" s="277"/>
      <c r="V146" s="4"/>
      <c r="W146" s="47">
        <v>0.34375</v>
      </c>
      <c r="X146" s="47">
        <v>0.20833333333333334</v>
      </c>
      <c r="Y146" s="319">
        <v>7.75</v>
      </c>
      <c r="Z146" s="277"/>
      <c r="AA146" s="29">
        <f t="shared" si="21"/>
        <v>39</v>
      </c>
      <c r="AB146" s="298">
        <f t="shared" si="22"/>
        <v>0</v>
      </c>
      <c r="AC146" s="4"/>
      <c r="AD146" s="4">
        <v>0</v>
      </c>
      <c r="AE146" s="4">
        <v>0</v>
      </c>
      <c r="AF146" s="19">
        <v>0</v>
      </c>
      <c r="AG146" s="29">
        <f t="shared" si="23"/>
        <v>0</v>
      </c>
      <c r="AH146" s="4"/>
      <c r="AI146" s="255"/>
      <c r="AK146" s="193"/>
      <c r="AL146" s="193"/>
      <c r="AM146" s="193"/>
      <c r="AN146" s="193"/>
      <c r="AO146" s="193"/>
      <c r="AP146" s="193"/>
    </row>
    <row r="147" spans="2:42" s="180" customFormat="1">
      <c r="B147" s="13" t="s">
        <v>49</v>
      </c>
      <c r="C147" s="353">
        <v>0.34375</v>
      </c>
      <c r="D147" s="353">
        <v>0.20833333333333334</v>
      </c>
      <c r="E147" s="19">
        <v>7.75</v>
      </c>
      <c r="F147" s="277"/>
      <c r="G147" s="4"/>
      <c r="H147" s="47">
        <v>0.36458333333333331</v>
      </c>
      <c r="I147" s="47">
        <v>0.20833333333333334</v>
      </c>
      <c r="J147" s="319">
        <v>7.25</v>
      </c>
      <c r="K147" s="277"/>
      <c r="L147" s="4"/>
      <c r="M147" s="47">
        <v>0.375</v>
      </c>
      <c r="N147" s="47">
        <v>0.20833333333333334</v>
      </c>
      <c r="O147" s="319">
        <v>7</v>
      </c>
      <c r="P147" s="277"/>
      <c r="Q147" s="4"/>
      <c r="R147" s="47">
        <v>0.375</v>
      </c>
      <c r="S147" s="47">
        <v>0.20833333333333334</v>
      </c>
      <c r="T147" s="319">
        <v>7</v>
      </c>
      <c r="U147" s="277"/>
      <c r="V147" s="4"/>
      <c r="W147" s="47">
        <v>0.33333333333333331</v>
      </c>
      <c r="X147" s="47">
        <v>0.20833333333333334</v>
      </c>
      <c r="Y147" s="319">
        <v>8</v>
      </c>
      <c r="Z147" s="277"/>
      <c r="AA147" s="29">
        <f t="shared" si="21"/>
        <v>37</v>
      </c>
      <c r="AB147" s="298">
        <f t="shared" si="22"/>
        <v>0</v>
      </c>
      <c r="AC147" s="4"/>
      <c r="AD147" s="4">
        <v>0</v>
      </c>
      <c r="AE147" s="4">
        <v>0</v>
      </c>
      <c r="AF147" s="19">
        <v>0</v>
      </c>
      <c r="AG147" s="29">
        <f t="shared" si="23"/>
        <v>0</v>
      </c>
      <c r="AH147" s="4"/>
      <c r="AI147" s="255"/>
      <c r="AK147" s="193"/>
      <c r="AL147" s="193"/>
      <c r="AM147" s="193"/>
      <c r="AN147" s="193"/>
      <c r="AO147" s="193"/>
      <c r="AP147" s="193"/>
    </row>
    <row r="148" spans="2:42" s="180" customFormat="1">
      <c r="B148" s="13" t="s">
        <v>50</v>
      </c>
      <c r="C148" s="353">
        <v>0.375</v>
      </c>
      <c r="D148" s="353">
        <v>0.20833333333333334</v>
      </c>
      <c r="E148" s="19">
        <v>7</v>
      </c>
      <c r="F148" s="277"/>
      <c r="G148" s="4"/>
      <c r="H148" s="47">
        <v>0.38541666666666669</v>
      </c>
      <c r="I148" s="47">
        <v>0.20833333333333334</v>
      </c>
      <c r="J148" s="319">
        <v>6.75</v>
      </c>
      <c r="K148" s="277"/>
      <c r="L148" s="4"/>
      <c r="M148" s="47">
        <v>0.375</v>
      </c>
      <c r="N148" s="47">
        <v>0.20833333333333334</v>
      </c>
      <c r="O148" s="319">
        <v>7</v>
      </c>
      <c r="P148" s="277"/>
      <c r="Q148" s="4"/>
      <c r="R148" s="47">
        <v>0.375</v>
      </c>
      <c r="S148" s="47">
        <v>0.20833333333333334</v>
      </c>
      <c r="T148" s="319">
        <v>7</v>
      </c>
      <c r="U148" s="277"/>
      <c r="V148" s="4"/>
      <c r="W148" s="47">
        <v>0.375</v>
      </c>
      <c r="X148" s="47">
        <v>0.20833333333333334</v>
      </c>
      <c r="Y148" s="319">
        <v>7</v>
      </c>
      <c r="Z148" s="277"/>
      <c r="AA148" s="29">
        <f t="shared" si="21"/>
        <v>34.75</v>
      </c>
      <c r="AB148" s="298">
        <f t="shared" si="22"/>
        <v>0</v>
      </c>
      <c r="AC148" s="4"/>
      <c r="AD148" s="4">
        <v>0</v>
      </c>
      <c r="AE148" s="4">
        <v>0</v>
      </c>
      <c r="AF148" s="19">
        <v>0</v>
      </c>
      <c r="AG148" s="29">
        <f t="shared" si="23"/>
        <v>0</v>
      </c>
      <c r="AH148" s="4"/>
      <c r="AI148" s="255"/>
      <c r="AK148" s="193"/>
      <c r="AL148" s="193"/>
      <c r="AM148" s="193"/>
      <c r="AN148" s="193"/>
      <c r="AO148" s="193"/>
      <c r="AP148" s="193"/>
    </row>
    <row r="149" spans="2:42" s="180" customFormat="1">
      <c r="B149" s="13" t="s">
        <v>51</v>
      </c>
      <c r="C149" s="47">
        <v>0.375</v>
      </c>
      <c r="D149" s="353">
        <v>0.20833333333333334</v>
      </c>
      <c r="E149" s="19">
        <v>7</v>
      </c>
      <c r="F149" s="277"/>
      <c r="G149" s="4"/>
      <c r="H149" s="47">
        <v>0.36458333333333331</v>
      </c>
      <c r="I149" s="47">
        <v>0.20833333333333334</v>
      </c>
      <c r="J149" s="319">
        <v>7.25</v>
      </c>
      <c r="K149" s="277"/>
      <c r="L149" s="4"/>
      <c r="M149" s="16" t="s">
        <v>83</v>
      </c>
      <c r="N149" s="47">
        <v>0.20833333333333334</v>
      </c>
      <c r="O149" s="319">
        <v>6.5</v>
      </c>
      <c r="P149" s="277"/>
      <c r="Q149" s="4"/>
      <c r="R149" s="47">
        <v>0.36458333333333331</v>
      </c>
      <c r="S149" s="47">
        <v>0.20833333333333334</v>
      </c>
      <c r="T149" s="319">
        <v>7.25</v>
      </c>
      <c r="U149" s="277"/>
      <c r="V149" s="4"/>
      <c r="W149" s="4">
        <v>0</v>
      </c>
      <c r="X149" s="4">
        <v>0</v>
      </c>
      <c r="Y149" s="319">
        <v>0</v>
      </c>
      <c r="Z149" s="277"/>
      <c r="AA149" s="29">
        <f>(E149+J149+O149+T149+Y149)</f>
        <v>28</v>
      </c>
      <c r="AB149" s="298">
        <f t="shared" si="22"/>
        <v>0</v>
      </c>
      <c r="AC149" s="4"/>
      <c r="AD149" s="4">
        <v>0</v>
      </c>
      <c r="AE149" s="4">
        <v>0</v>
      </c>
      <c r="AF149" s="19">
        <v>0</v>
      </c>
      <c r="AG149" s="29">
        <f t="shared" si="23"/>
        <v>0</v>
      </c>
      <c r="AH149" s="4"/>
      <c r="AI149" s="255"/>
      <c r="AK149" s="193"/>
      <c r="AL149" s="193"/>
      <c r="AM149" s="193"/>
      <c r="AN149" s="193"/>
      <c r="AO149" s="193"/>
      <c r="AP149" s="193"/>
    </row>
    <row r="150" spans="2:42" s="180" customFormat="1">
      <c r="B150" s="13" t="s">
        <v>52</v>
      </c>
      <c r="C150" s="353">
        <v>0.33333333333333331</v>
      </c>
      <c r="D150" s="353">
        <v>0.20833333333333334</v>
      </c>
      <c r="E150" s="19">
        <v>8</v>
      </c>
      <c r="F150" s="277"/>
      <c r="G150" s="4"/>
      <c r="H150" s="47">
        <v>0.375</v>
      </c>
      <c r="I150" s="47">
        <v>0.20833333333333334</v>
      </c>
      <c r="J150" s="319">
        <v>7</v>
      </c>
      <c r="K150" s="277"/>
      <c r="L150" s="4"/>
      <c r="M150" s="47">
        <v>0.35416666666666669</v>
      </c>
      <c r="N150" s="47">
        <v>0.20833333333333334</v>
      </c>
      <c r="O150" s="319">
        <v>7.5</v>
      </c>
      <c r="P150" s="277"/>
      <c r="Q150" s="4"/>
      <c r="R150" s="47">
        <v>0.35416666666666669</v>
      </c>
      <c r="S150" s="47">
        <v>0.20833333333333334</v>
      </c>
      <c r="T150" s="319">
        <v>7.5</v>
      </c>
      <c r="U150" s="277"/>
      <c r="V150" s="4"/>
      <c r="W150" s="47">
        <v>0.375</v>
      </c>
      <c r="X150" s="47">
        <v>0.20833333333333334</v>
      </c>
      <c r="Y150" s="319">
        <v>7</v>
      </c>
      <c r="Z150" s="277"/>
      <c r="AA150" s="29">
        <f t="shared" ref="AA150:AA154" si="24">(E150+J150+O150+T150+Y150)</f>
        <v>37</v>
      </c>
      <c r="AB150" s="298">
        <f t="shared" si="22"/>
        <v>0</v>
      </c>
      <c r="AC150" s="4"/>
      <c r="AD150" s="4">
        <v>0</v>
      </c>
      <c r="AE150" s="4">
        <v>0</v>
      </c>
      <c r="AF150" s="19">
        <v>0</v>
      </c>
      <c r="AG150" s="29">
        <f t="shared" si="23"/>
        <v>0</v>
      </c>
      <c r="AH150" s="4"/>
      <c r="AI150" s="255"/>
      <c r="AK150" s="193"/>
      <c r="AL150" s="193"/>
      <c r="AM150" s="193"/>
      <c r="AN150" s="193"/>
      <c r="AO150" s="193"/>
      <c r="AP150" s="193"/>
    </row>
    <row r="151" spans="2:42" s="180" customFormat="1">
      <c r="B151" s="13" t="s">
        <v>53</v>
      </c>
      <c r="C151" s="353">
        <v>0.33333333333333331</v>
      </c>
      <c r="D151" s="353">
        <v>0.20833333333333334</v>
      </c>
      <c r="E151" s="19">
        <v>8</v>
      </c>
      <c r="F151" s="277"/>
      <c r="G151" s="4"/>
      <c r="H151" s="47">
        <v>0.33333333333333331</v>
      </c>
      <c r="I151" s="47">
        <v>0.20833333333333334</v>
      </c>
      <c r="J151" s="19">
        <v>8</v>
      </c>
      <c r="K151" s="277"/>
      <c r="L151" s="4"/>
      <c r="M151" s="47">
        <v>0.34375</v>
      </c>
      <c r="N151" s="47">
        <v>0.20833333333333334</v>
      </c>
      <c r="O151" s="319">
        <v>7.75</v>
      </c>
      <c r="P151" s="277"/>
      <c r="Q151" s="4"/>
      <c r="R151" s="47">
        <v>0.32291666666666669</v>
      </c>
      <c r="S151" s="47">
        <v>0.20833333333333334</v>
      </c>
      <c r="T151" s="319">
        <v>8</v>
      </c>
      <c r="U151" s="277">
        <v>0.25</v>
      </c>
      <c r="V151" s="4"/>
      <c r="W151" s="47">
        <v>0</v>
      </c>
      <c r="X151" s="47">
        <v>0.20833333333333334</v>
      </c>
      <c r="Y151" s="391">
        <v>0</v>
      </c>
      <c r="Z151" s="277"/>
      <c r="AA151" s="29">
        <f t="shared" si="24"/>
        <v>31.75</v>
      </c>
      <c r="AB151" s="298">
        <f t="shared" si="22"/>
        <v>0.25</v>
      </c>
      <c r="AC151" s="4"/>
      <c r="AD151" s="4">
        <v>0</v>
      </c>
      <c r="AE151" s="4">
        <v>0</v>
      </c>
      <c r="AF151" s="19">
        <v>0</v>
      </c>
      <c r="AG151" s="29">
        <f>AF151</f>
        <v>0</v>
      </c>
      <c r="AH151" s="4"/>
      <c r="AI151" s="255"/>
      <c r="AK151" s="193"/>
      <c r="AL151" s="193"/>
      <c r="AM151" s="193"/>
      <c r="AN151" s="193"/>
      <c r="AO151" s="193"/>
      <c r="AP151" s="193"/>
    </row>
    <row r="152" spans="2:42" s="180" customFormat="1">
      <c r="B152" s="13" t="s">
        <v>48</v>
      </c>
      <c r="C152" s="12" t="s">
        <v>29</v>
      </c>
      <c r="D152" s="12" t="s">
        <v>29</v>
      </c>
      <c r="E152" s="19">
        <v>0</v>
      </c>
      <c r="F152" s="277"/>
      <c r="G152" s="4"/>
      <c r="H152" s="47">
        <v>0.375</v>
      </c>
      <c r="I152" s="47">
        <v>0.20833333333333334</v>
      </c>
      <c r="J152" s="19">
        <v>7</v>
      </c>
      <c r="K152" s="277"/>
      <c r="L152" s="4"/>
      <c r="M152" s="12" t="s">
        <v>29</v>
      </c>
      <c r="N152" s="12" t="s">
        <v>29</v>
      </c>
      <c r="O152" s="319">
        <v>7</v>
      </c>
      <c r="P152" s="277"/>
      <c r="Q152" s="4"/>
      <c r="R152" s="12" t="s">
        <v>29</v>
      </c>
      <c r="S152" s="12" t="s">
        <v>29</v>
      </c>
      <c r="T152" s="319">
        <v>7</v>
      </c>
      <c r="U152" s="277"/>
      <c r="V152" s="4"/>
      <c r="W152" s="12" t="s">
        <v>29</v>
      </c>
      <c r="X152" s="12" t="s">
        <v>29</v>
      </c>
      <c r="Y152" s="319">
        <v>7</v>
      </c>
      <c r="Z152" s="277"/>
      <c r="AA152" s="29">
        <f t="shared" si="24"/>
        <v>28</v>
      </c>
      <c r="AB152" s="298">
        <f>Z152+U152+P152+K152+F152</f>
        <v>0</v>
      </c>
      <c r="AC152" s="4"/>
      <c r="AD152" s="4">
        <v>0</v>
      </c>
      <c r="AE152" s="4">
        <v>0</v>
      </c>
      <c r="AF152" s="19">
        <v>0</v>
      </c>
      <c r="AG152" s="29">
        <f>AF152</f>
        <v>0</v>
      </c>
      <c r="AH152" s="4"/>
      <c r="AI152" s="255"/>
      <c r="AK152" s="193"/>
      <c r="AL152" s="193"/>
      <c r="AM152" s="193"/>
      <c r="AN152" s="193"/>
      <c r="AO152" s="193"/>
      <c r="AP152" s="193"/>
    </row>
    <row r="153" spans="2:42" s="180" customFormat="1">
      <c r="B153" s="13" t="s">
        <v>54</v>
      </c>
      <c r="C153" s="12" t="s">
        <v>29</v>
      </c>
      <c r="D153" s="12" t="s">
        <v>29</v>
      </c>
      <c r="E153" s="19">
        <v>0</v>
      </c>
      <c r="F153" s="277"/>
      <c r="G153" s="4"/>
      <c r="H153" s="12" t="s">
        <v>29</v>
      </c>
      <c r="I153" s="12" t="s">
        <v>29</v>
      </c>
      <c r="J153" s="19">
        <v>0</v>
      </c>
      <c r="K153" s="277"/>
      <c r="L153" s="4"/>
      <c r="M153" s="12" t="s">
        <v>29</v>
      </c>
      <c r="N153" s="12" t="s">
        <v>29</v>
      </c>
      <c r="O153" s="319">
        <v>0</v>
      </c>
      <c r="P153" s="277"/>
      <c r="Q153" s="4"/>
      <c r="R153" s="12" t="s">
        <v>29</v>
      </c>
      <c r="S153" s="12" t="s">
        <v>29</v>
      </c>
      <c r="T153" s="319">
        <v>0</v>
      </c>
      <c r="U153" s="277"/>
      <c r="V153" s="4"/>
      <c r="W153" s="12" t="s">
        <v>29</v>
      </c>
      <c r="X153" s="12" t="s">
        <v>29</v>
      </c>
      <c r="Y153" s="319">
        <v>0</v>
      </c>
      <c r="Z153" s="277"/>
      <c r="AA153" s="29">
        <f t="shared" si="24"/>
        <v>0</v>
      </c>
      <c r="AB153" s="298">
        <f t="shared" si="22"/>
        <v>0</v>
      </c>
      <c r="AC153" s="4"/>
      <c r="AD153" s="4">
        <v>0</v>
      </c>
      <c r="AE153" s="4">
        <v>0</v>
      </c>
      <c r="AF153" s="19">
        <v>0</v>
      </c>
      <c r="AG153" s="29">
        <f>AF153</f>
        <v>0</v>
      </c>
      <c r="AH153" s="4"/>
      <c r="AI153" s="255"/>
      <c r="AK153" s="193"/>
      <c r="AL153" s="193"/>
      <c r="AM153" s="193"/>
      <c r="AN153" s="193"/>
      <c r="AO153" s="193"/>
      <c r="AP153" s="193"/>
    </row>
    <row r="154" spans="2:42" s="180" customFormat="1">
      <c r="B154" s="13" t="s">
        <v>55</v>
      </c>
      <c r="C154" s="12" t="s">
        <v>29</v>
      </c>
      <c r="D154" s="12" t="s">
        <v>29</v>
      </c>
      <c r="E154" s="19">
        <v>0</v>
      </c>
      <c r="F154" s="277"/>
      <c r="G154" s="4"/>
      <c r="H154" s="12" t="s">
        <v>29</v>
      </c>
      <c r="I154" s="12" t="s">
        <v>29</v>
      </c>
      <c r="J154" s="19">
        <v>0</v>
      </c>
      <c r="K154" s="277"/>
      <c r="L154" s="4"/>
      <c r="M154" s="12" t="s">
        <v>29</v>
      </c>
      <c r="N154" s="12" t="s">
        <v>29</v>
      </c>
      <c r="O154" s="319">
        <v>0</v>
      </c>
      <c r="P154" s="277"/>
      <c r="Q154" s="4"/>
      <c r="R154" s="12" t="s">
        <v>29</v>
      </c>
      <c r="S154" s="12" t="s">
        <v>29</v>
      </c>
      <c r="T154" s="319">
        <v>0</v>
      </c>
      <c r="U154" s="277"/>
      <c r="V154" s="4"/>
      <c r="W154" s="12" t="s">
        <v>29</v>
      </c>
      <c r="X154" s="12" t="s">
        <v>29</v>
      </c>
      <c r="Y154" s="319">
        <v>0</v>
      </c>
      <c r="Z154" s="277"/>
      <c r="AA154" s="29">
        <f t="shared" si="24"/>
        <v>0</v>
      </c>
      <c r="AB154" s="298">
        <f t="shared" si="22"/>
        <v>0</v>
      </c>
      <c r="AC154" s="4"/>
      <c r="AD154" s="4">
        <v>0</v>
      </c>
      <c r="AE154" s="4">
        <v>0</v>
      </c>
      <c r="AF154" s="19">
        <v>0</v>
      </c>
      <c r="AG154" s="29">
        <f>AF154</f>
        <v>0</v>
      </c>
      <c r="AH154" s="4"/>
      <c r="AI154" s="255"/>
      <c r="AK154" s="193"/>
      <c r="AL154" s="193"/>
      <c r="AM154" s="193"/>
      <c r="AN154" s="193"/>
      <c r="AO154" s="193"/>
      <c r="AP154" s="193"/>
    </row>
    <row r="155" spans="2:42" s="180" customFormat="1">
      <c r="B155" s="138" t="s">
        <v>59</v>
      </c>
      <c r="C155" s="12" t="s">
        <v>29</v>
      </c>
      <c r="D155" s="12" t="s">
        <v>29</v>
      </c>
      <c r="E155" s="19">
        <v>8</v>
      </c>
      <c r="F155" s="277"/>
      <c r="G155" s="4"/>
      <c r="H155" s="12" t="s">
        <v>29</v>
      </c>
      <c r="I155" s="12" t="s">
        <v>29</v>
      </c>
      <c r="J155" s="19">
        <v>8</v>
      </c>
      <c r="K155" s="277"/>
      <c r="L155" s="4"/>
      <c r="M155" s="12" t="s">
        <v>29</v>
      </c>
      <c r="N155" s="12" t="s">
        <v>29</v>
      </c>
      <c r="O155" s="19">
        <v>8</v>
      </c>
      <c r="P155" s="277"/>
      <c r="Q155" s="4"/>
      <c r="R155" s="12" t="s">
        <v>29</v>
      </c>
      <c r="S155" s="12" t="s">
        <v>29</v>
      </c>
      <c r="T155" s="319">
        <v>8</v>
      </c>
      <c r="U155" s="277"/>
      <c r="V155" s="4"/>
      <c r="W155" s="12" t="s">
        <v>29</v>
      </c>
      <c r="X155" s="12" t="s">
        <v>29</v>
      </c>
      <c r="Y155" s="319">
        <v>8</v>
      </c>
      <c r="Z155" s="277"/>
      <c r="AA155" s="29">
        <f>(E155+J155+O155+T155+Y155)</f>
        <v>40</v>
      </c>
      <c r="AB155" s="298">
        <f t="shared" si="22"/>
        <v>0</v>
      </c>
      <c r="AC155" s="4"/>
      <c r="AD155" s="4">
        <v>0</v>
      </c>
      <c r="AE155" s="4">
        <v>0</v>
      </c>
      <c r="AF155" s="19">
        <v>0</v>
      </c>
      <c r="AG155" s="29">
        <f t="shared" ref="AG155:AG156" si="25">AF155</f>
        <v>0</v>
      </c>
      <c r="AH155" s="4"/>
      <c r="AI155" s="255"/>
      <c r="AK155" s="193"/>
      <c r="AL155" s="193"/>
      <c r="AM155" s="193"/>
      <c r="AN155" s="193"/>
      <c r="AO155" s="193"/>
      <c r="AP155" s="193"/>
    </row>
    <row r="156" spans="2:42" s="180" customFormat="1">
      <c r="B156" s="138" t="s">
        <v>60</v>
      </c>
      <c r="C156" s="12" t="s">
        <v>29</v>
      </c>
      <c r="D156" s="12" t="s">
        <v>29</v>
      </c>
      <c r="E156" s="19">
        <v>8</v>
      </c>
      <c r="F156" s="277">
        <v>3.25</v>
      </c>
      <c r="G156" s="4"/>
      <c r="H156" s="12" t="s">
        <v>29</v>
      </c>
      <c r="I156" s="12" t="s">
        <v>29</v>
      </c>
      <c r="J156" s="19">
        <v>8</v>
      </c>
      <c r="K156" s="277">
        <v>3.5</v>
      </c>
      <c r="L156" s="4"/>
      <c r="M156" s="12" t="s">
        <v>29</v>
      </c>
      <c r="N156" s="12" t="s">
        <v>29</v>
      </c>
      <c r="O156" s="19">
        <v>8</v>
      </c>
      <c r="P156" s="277">
        <v>4</v>
      </c>
      <c r="Q156" s="4"/>
      <c r="R156" s="12" t="s">
        <v>29</v>
      </c>
      <c r="S156" s="12" t="s">
        <v>29</v>
      </c>
      <c r="T156" s="319">
        <v>8</v>
      </c>
      <c r="U156" s="277">
        <v>4.25</v>
      </c>
      <c r="V156" s="4"/>
      <c r="W156" s="12" t="s">
        <v>29</v>
      </c>
      <c r="X156" s="12" t="s">
        <v>29</v>
      </c>
      <c r="Y156" s="319">
        <v>8</v>
      </c>
      <c r="Z156" s="277"/>
      <c r="AA156" s="29">
        <f>(E156+J156+O156+T156+Y156)</f>
        <v>40</v>
      </c>
      <c r="AB156" s="298">
        <f t="shared" si="22"/>
        <v>15</v>
      </c>
      <c r="AC156" s="4"/>
      <c r="AD156" s="4">
        <v>0</v>
      </c>
      <c r="AE156" s="4">
        <v>0</v>
      </c>
      <c r="AF156" s="19">
        <v>0</v>
      </c>
      <c r="AG156" s="29">
        <f t="shared" si="25"/>
        <v>0</v>
      </c>
      <c r="AH156" s="4"/>
      <c r="AI156" s="255"/>
      <c r="AK156" s="193"/>
      <c r="AL156" s="193"/>
      <c r="AM156" s="193"/>
      <c r="AN156" s="193"/>
      <c r="AO156" s="193"/>
      <c r="AP156" s="193"/>
    </row>
    <row r="157" spans="2:42" s="180" customFormat="1">
      <c r="B157" s="64" t="s">
        <v>61</v>
      </c>
      <c r="C157" s="64"/>
      <c r="D157" s="64"/>
      <c r="E157" s="167">
        <f>SUM(E131:E156)</f>
        <v>178.25</v>
      </c>
      <c r="F157" s="277">
        <f>SUM(F131:F154)</f>
        <v>0.75</v>
      </c>
      <c r="G157" s="64"/>
      <c r="H157" s="64"/>
      <c r="I157" s="64"/>
      <c r="J157" s="64">
        <f>SUM(J131:J156)</f>
        <v>169</v>
      </c>
      <c r="K157" s="277">
        <f>SUM(K131:K154)</f>
        <v>0.5</v>
      </c>
      <c r="L157" s="64"/>
      <c r="M157" s="64"/>
      <c r="N157" s="64"/>
      <c r="O157" s="167">
        <f>SUM(O131:O156)</f>
        <v>176.75</v>
      </c>
      <c r="P157" s="277">
        <f>SUM(P131:P156)</f>
        <v>4</v>
      </c>
      <c r="Q157" s="64"/>
      <c r="R157" s="64"/>
      <c r="S157" s="64"/>
      <c r="T157" s="167">
        <f>SUM(T131:T156)</f>
        <v>180.25</v>
      </c>
      <c r="U157" s="277">
        <f>SUM(U131:U156)</f>
        <v>5.25</v>
      </c>
      <c r="V157" s="64"/>
      <c r="W157" s="64"/>
      <c r="X157" s="64"/>
      <c r="Y157" s="167">
        <f>SUM(Y131:Y156)</f>
        <v>157.25</v>
      </c>
      <c r="Z157" s="277">
        <f>SUM(Z131:Z154)</f>
        <v>0</v>
      </c>
      <c r="AA157" s="370">
        <f>SUM(AA131:AA156)</f>
        <v>861.5</v>
      </c>
      <c r="AB157" s="284">
        <f>SUM(AB131:AB156)</f>
        <v>17.25</v>
      </c>
      <c r="AC157" s="4"/>
      <c r="AD157" s="64"/>
      <c r="AE157" s="64"/>
      <c r="AF157" s="64"/>
      <c r="AG157" s="370">
        <f>SUM(AG131:AG154)</f>
        <v>0</v>
      </c>
      <c r="AH157" s="4"/>
      <c r="AI157" s="255"/>
      <c r="AK157" s="193"/>
      <c r="AL157" s="193"/>
      <c r="AM157" s="193"/>
      <c r="AN157" s="193"/>
      <c r="AO157" s="193"/>
      <c r="AP157" s="193"/>
    </row>
    <row r="158" spans="2:42" s="180" customFormat="1">
      <c r="B158" s="63" t="s">
        <v>62</v>
      </c>
      <c r="C158" s="56"/>
      <c r="D158" s="56"/>
      <c r="E158" s="19">
        <v>8</v>
      </c>
      <c r="F158" s="291"/>
      <c r="G158" s="60"/>
      <c r="H158" s="56"/>
      <c r="I158" s="56"/>
      <c r="J158" s="291">
        <v>8</v>
      </c>
      <c r="K158" s="291"/>
      <c r="L158" s="60"/>
      <c r="M158" s="56"/>
      <c r="N158" s="56"/>
      <c r="O158" s="291">
        <v>8</v>
      </c>
      <c r="P158" s="19"/>
      <c r="Q158" s="60"/>
      <c r="R158" s="56"/>
      <c r="S158" s="56"/>
      <c r="T158" s="291">
        <v>8</v>
      </c>
      <c r="U158" s="19"/>
      <c r="V158" s="60"/>
      <c r="W158" s="56"/>
      <c r="X158" s="56"/>
      <c r="Y158" s="291">
        <v>8</v>
      </c>
      <c r="Z158" s="19"/>
      <c r="AA158" s="28">
        <f>SUM(E158+J158+O158+T158+Y158)</f>
        <v>40</v>
      </c>
      <c r="AB158" s="282">
        <f>Z158+U158+P158+K158+F158</f>
        <v>0</v>
      </c>
      <c r="AC158" s="4"/>
      <c r="AD158" s="56"/>
      <c r="AE158" s="56"/>
      <c r="AF158" s="19"/>
      <c r="AG158" s="29">
        <v>0</v>
      </c>
      <c r="AH158" s="4"/>
      <c r="AI158" s="255"/>
      <c r="AK158" s="193"/>
      <c r="AL158" s="193"/>
      <c r="AM158" s="193"/>
      <c r="AN158" s="193"/>
      <c r="AO158" s="193"/>
      <c r="AP158" s="193"/>
    </row>
    <row r="159" spans="2:42" s="180" customFormat="1">
      <c r="B159" s="63" t="s">
        <v>63</v>
      </c>
      <c r="C159" s="56"/>
      <c r="D159" s="56"/>
      <c r="E159" s="19">
        <v>8</v>
      </c>
      <c r="F159" s="291"/>
      <c r="G159" s="60"/>
      <c r="H159" s="56"/>
      <c r="I159" s="56"/>
      <c r="J159" s="291">
        <v>8</v>
      </c>
      <c r="K159" s="291"/>
      <c r="L159" s="60"/>
      <c r="M159" s="56"/>
      <c r="N159" s="56"/>
      <c r="O159" s="291">
        <v>8</v>
      </c>
      <c r="P159" s="19"/>
      <c r="Q159" s="60"/>
      <c r="R159" s="56"/>
      <c r="S159" s="56"/>
      <c r="T159" s="291">
        <v>8</v>
      </c>
      <c r="U159" s="19"/>
      <c r="V159" s="60"/>
      <c r="W159" s="56"/>
      <c r="X159" s="56"/>
      <c r="Y159" s="291">
        <v>8</v>
      </c>
      <c r="Z159" s="19"/>
      <c r="AA159" s="28">
        <f>SUM(E159+J159+O159+T159+Y159)</f>
        <v>40</v>
      </c>
      <c r="AB159" s="282">
        <f>Z159+U159+P159+K159+F159</f>
        <v>0</v>
      </c>
      <c r="AC159" s="4"/>
      <c r="AD159" s="56"/>
      <c r="AE159" s="56"/>
      <c r="AF159" s="19"/>
      <c r="AG159" s="29">
        <f>AF159</f>
        <v>0</v>
      </c>
      <c r="AH159" s="4"/>
      <c r="AI159" s="255"/>
      <c r="AK159" s="193"/>
      <c r="AL159" s="193"/>
      <c r="AM159" s="193"/>
      <c r="AN159" s="193"/>
      <c r="AO159" s="193"/>
      <c r="AP159" s="193"/>
    </row>
    <row r="160" spans="2:42" s="180" customFormat="1">
      <c r="B160" s="63" t="s">
        <v>64</v>
      </c>
      <c r="C160" s="56"/>
      <c r="D160" s="56"/>
      <c r="E160" s="19">
        <v>8</v>
      </c>
      <c r="F160" s="291"/>
      <c r="G160" s="60"/>
      <c r="H160" s="56"/>
      <c r="I160" s="56"/>
      <c r="J160" s="291">
        <v>8</v>
      </c>
      <c r="K160" s="291">
        <v>1</v>
      </c>
      <c r="L160" s="60"/>
      <c r="M160" s="56"/>
      <c r="N160" s="56"/>
      <c r="O160" s="291">
        <v>8</v>
      </c>
      <c r="P160" s="19">
        <v>1</v>
      </c>
      <c r="Q160" s="60"/>
      <c r="R160" s="56"/>
      <c r="S160" s="56"/>
      <c r="T160" s="291">
        <v>8</v>
      </c>
      <c r="U160" s="19">
        <v>1</v>
      </c>
      <c r="V160" s="60"/>
      <c r="W160" s="56"/>
      <c r="X160" s="56"/>
      <c r="Y160" s="291">
        <v>8</v>
      </c>
      <c r="Z160" s="19">
        <v>1</v>
      </c>
      <c r="AA160" s="28">
        <f>SUM(E160+J160+O160+T160+Y160)</f>
        <v>40</v>
      </c>
      <c r="AB160" s="282">
        <f>Z160+U160+P160+K160+F160</f>
        <v>4</v>
      </c>
      <c r="AC160" s="4"/>
      <c r="AD160" s="56"/>
      <c r="AE160" s="56"/>
      <c r="AF160" s="19"/>
      <c r="AG160" s="29">
        <f>AF160</f>
        <v>0</v>
      </c>
      <c r="AH160" s="4"/>
      <c r="AI160" s="255"/>
      <c r="AK160" s="193"/>
      <c r="AL160" s="193"/>
      <c r="AM160" s="193"/>
      <c r="AN160" s="193"/>
      <c r="AO160" s="193"/>
      <c r="AP160" s="193"/>
    </row>
    <row r="161" spans="1:42" s="180" customFormat="1" ht="14.25" thickBot="1">
      <c r="B161" s="268" t="s">
        <v>65</v>
      </c>
      <c r="C161" s="75"/>
      <c r="D161" s="75"/>
      <c r="E161" s="77">
        <v>1</v>
      </c>
      <c r="F161" s="292"/>
      <c r="G161" s="81"/>
      <c r="H161" s="75"/>
      <c r="I161" s="75"/>
      <c r="J161" s="292">
        <v>1</v>
      </c>
      <c r="K161" s="292"/>
      <c r="L161" s="81"/>
      <c r="M161" s="75"/>
      <c r="N161" s="75"/>
      <c r="O161" s="292">
        <v>1</v>
      </c>
      <c r="P161" s="77"/>
      <c r="Q161" s="81"/>
      <c r="R161" s="75"/>
      <c r="S161" s="75"/>
      <c r="T161" s="292">
        <v>1</v>
      </c>
      <c r="U161" s="77"/>
      <c r="V161" s="81"/>
      <c r="W161" s="75"/>
      <c r="X161" s="75"/>
      <c r="Y161" s="292">
        <v>1</v>
      </c>
      <c r="Z161" s="77"/>
      <c r="AA161" s="80">
        <f>SUM(E161+J161+O161+T161+Y161)</f>
        <v>5</v>
      </c>
      <c r="AB161" s="294">
        <f>Z161+U161+P161+K161+F161</f>
        <v>0</v>
      </c>
      <c r="AC161" s="4"/>
      <c r="AD161" s="75"/>
      <c r="AE161" s="75"/>
      <c r="AF161" s="77"/>
      <c r="AG161" s="276">
        <v>0</v>
      </c>
      <c r="AH161" s="4"/>
      <c r="AI161" s="255"/>
      <c r="AK161" s="193"/>
      <c r="AL161" s="193"/>
      <c r="AM161" s="193"/>
      <c r="AN161" s="193"/>
      <c r="AO161" s="193"/>
      <c r="AP161" s="193"/>
    </row>
    <row r="162" spans="1:42" s="180" customFormat="1" ht="14.25" thickTop="1">
      <c r="B162" s="71" t="s">
        <v>66</v>
      </c>
      <c r="C162" s="371"/>
      <c r="D162" s="371"/>
      <c r="E162" s="71">
        <v>28</v>
      </c>
      <c r="F162" s="372"/>
      <c r="G162" s="372"/>
      <c r="H162" s="371"/>
      <c r="I162" s="371"/>
      <c r="J162" s="71">
        <f>SUM(J158:J161)</f>
        <v>25</v>
      </c>
      <c r="K162" s="372"/>
      <c r="L162" s="372"/>
      <c r="M162" s="371"/>
      <c r="N162" s="371"/>
      <c r="O162" s="71">
        <f>SUM(O158:O161)</f>
        <v>25</v>
      </c>
      <c r="P162" s="372"/>
      <c r="Q162" s="372"/>
      <c r="R162" s="371"/>
      <c r="S162" s="371"/>
      <c r="T162" s="71">
        <f>SUM(T158:T161)</f>
        <v>25</v>
      </c>
      <c r="U162" s="372"/>
      <c r="V162" s="372"/>
      <c r="W162" s="371"/>
      <c r="X162" s="371"/>
      <c r="Y162" s="66">
        <f>SUM(Y158:Y161)</f>
        <v>25</v>
      </c>
      <c r="Z162" s="372"/>
      <c r="AA162" s="370">
        <f>SUM(AA158:AA161)</f>
        <v>125</v>
      </c>
      <c r="AB162" s="370">
        <f>SUM(AB158:AB161)</f>
        <v>4</v>
      </c>
      <c r="AC162" s="4"/>
      <c r="AG162" s="370">
        <f>SUM(AG160:AG161)</f>
        <v>0</v>
      </c>
      <c r="AH162" s="4"/>
      <c r="AI162" s="255"/>
      <c r="AK162" s="193"/>
      <c r="AL162" s="193"/>
      <c r="AM162" s="193"/>
      <c r="AN162" s="193"/>
      <c r="AO162" s="193"/>
      <c r="AP162" s="193"/>
    </row>
    <row r="163" spans="1:42" s="180" customFormat="1">
      <c r="B163" s="217" t="s">
        <v>67</v>
      </c>
      <c r="C163" s="207">
        <f>C164+C165</f>
        <v>161</v>
      </c>
      <c r="D163" s="207"/>
      <c r="E163" s="209"/>
      <c r="F163" s="209"/>
      <c r="G163" s="207"/>
      <c r="H163" s="209"/>
      <c r="I163" s="209"/>
      <c r="J163" s="209"/>
      <c r="K163" s="209"/>
      <c r="L163" s="207"/>
      <c r="M163" s="207"/>
      <c r="N163" s="207"/>
      <c r="O163" s="207"/>
      <c r="P163" s="209"/>
      <c r="Q163" s="207"/>
      <c r="R163" s="207"/>
      <c r="S163" s="207"/>
      <c r="T163" s="207"/>
      <c r="U163" s="209"/>
      <c r="V163" s="207"/>
      <c r="W163" s="207"/>
      <c r="X163" s="207"/>
      <c r="Y163" s="210"/>
      <c r="Z163" s="209"/>
      <c r="AA163" s="211"/>
      <c r="AB163" s="209"/>
      <c r="AC163" s="211"/>
      <c r="AD163" s="211"/>
      <c r="AE163" s="211"/>
      <c r="AF163" s="211"/>
      <c r="AG163" s="211"/>
      <c r="AH163" s="4"/>
      <c r="AI163" s="255"/>
      <c r="AK163" s="193"/>
      <c r="AL163" s="193"/>
      <c r="AM163" s="193"/>
      <c r="AN163" s="193"/>
      <c r="AO163" s="193"/>
      <c r="AP163" s="193"/>
    </row>
    <row r="164" spans="1:42" s="180" customFormat="1">
      <c r="B164" s="238" t="s">
        <v>68</v>
      </c>
      <c r="C164" s="239">
        <f>15+16+16+15+12</f>
        <v>74</v>
      </c>
      <c r="D164" s="207"/>
      <c r="E164" s="209"/>
      <c r="F164" s="209"/>
      <c r="G164" s="207"/>
      <c r="H164" s="209"/>
      <c r="I164" s="209"/>
      <c r="J164" s="209"/>
      <c r="K164" s="209"/>
      <c r="L164" s="207"/>
      <c r="M164" s="207"/>
      <c r="N164" s="207"/>
      <c r="O164" s="207"/>
      <c r="P164" s="209"/>
      <c r="Q164" s="207"/>
      <c r="R164" s="207"/>
      <c r="S164" s="207"/>
      <c r="T164" s="207"/>
      <c r="U164" s="209"/>
      <c r="V164" s="207"/>
      <c r="W164" s="207"/>
      <c r="X164" s="207"/>
      <c r="Y164" s="210"/>
      <c r="Z164" s="209"/>
      <c r="AA164" s="211"/>
      <c r="AB164" s="209"/>
      <c r="AC164" s="211"/>
      <c r="AD164" s="211"/>
      <c r="AE164" s="211"/>
      <c r="AF164" s="211"/>
      <c r="AG164" s="211"/>
      <c r="AH164" s="4"/>
      <c r="AI164" s="255"/>
      <c r="AK164" s="193"/>
      <c r="AL164" s="193"/>
      <c r="AM164" s="193"/>
      <c r="AN164" s="193"/>
      <c r="AO164" s="193"/>
      <c r="AP164" s="193"/>
    </row>
    <row r="165" spans="1:42" s="180" customFormat="1" ht="13.5" customHeight="1">
      <c r="A165" s="11"/>
      <c r="B165" s="238" t="s">
        <v>69</v>
      </c>
      <c r="C165" s="239">
        <f>14+12+13+5+15+14+14</f>
        <v>87</v>
      </c>
      <c r="D165" s="207"/>
      <c r="E165" s="209"/>
      <c r="F165" s="209"/>
      <c r="G165" s="207"/>
      <c r="H165" s="209"/>
      <c r="I165" s="209"/>
      <c r="J165" s="209"/>
      <c r="K165" s="209"/>
      <c r="L165" s="207"/>
      <c r="M165" s="207"/>
      <c r="N165" s="207"/>
      <c r="O165" s="207"/>
      <c r="P165" s="209"/>
      <c r="Q165" s="207"/>
      <c r="R165" s="207"/>
      <c r="S165" s="207"/>
      <c r="T165" s="207"/>
      <c r="U165" s="209"/>
      <c r="V165" s="207"/>
      <c r="W165" s="207"/>
      <c r="X165" s="207"/>
      <c r="Y165" s="210"/>
      <c r="Z165" s="209"/>
      <c r="AA165" s="211"/>
      <c r="AB165" s="209"/>
      <c r="AC165" s="211"/>
      <c r="AD165" s="211"/>
      <c r="AE165" s="211"/>
      <c r="AF165" s="211"/>
      <c r="AG165" s="211"/>
      <c r="AH165" s="4"/>
      <c r="AI165" s="255"/>
      <c r="AK165" s="193"/>
      <c r="AL165" s="193"/>
      <c r="AM165" s="193"/>
      <c r="AN165" s="193"/>
      <c r="AO165" s="193"/>
      <c r="AP165" s="193"/>
    </row>
    <row r="166" spans="1:42" s="180" customFormat="1">
      <c r="A166" s="11"/>
      <c r="B166" s="218"/>
      <c r="C166" s="219"/>
      <c r="D166" s="219"/>
      <c r="E166" s="221"/>
      <c r="F166" s="221"/>
      <c r="G166" s="219"/>
      <c r="H166" s="221"/>
      <c r="I166" s="221"/>
      <c r="J166" s="221"/>
      <c r="K166" s="221"/>
      <c r="L166" s="219"/>
      <c r="M166" s="219"/>
      <c r="N166" s="219"/>
      <c r="O166" s="219"/>
      <c r="P166" s="221"/>
      <c r="Q166" s="219"/>
      <c r="R166" s="219"/>
      <c r="S166" s="219"/>
      <c r="T166" s="219"/>
      <c r="U166" s="221"/>
      <c r="V166" s="219"/>
      <c r="W166" s="219"/>
      <c r="X166" s="219"/>
      <c r="Y166" s="222"/>
      <c r="Z166" s="221"/>
      <c r="AA166" s="223"/>
      <c r="AB166" s="221"/>
      <c r="AC166" s="4"/>
      <c r="AD166" s="168"/>
      <c r="AH166" s="4"/>
      <c r="AI166" s="255"/>
      <c r="AK166" s="193"/>
      <c r="AL166" s="193"/>
      <c r="AM166" s="193"/>
      <c r="AN166" s="193"/>
      <c r="AO166" s="193"/>
      <c r="AP166" s="193"/>
    </row>
    <row r="167" spans="1:42" s="255" customFormat="1">
      <c r="A167" s="228"/>
      <c r="B167" s="229"/>
      <c r="C167" s="230"/>
      <c r="D167" s="230"/>
      <c r="E167" s="232"/>
      <c r="F167" s="232"/>
      <c r="G167" s="230"/>
      <c r="H167" s="232"/>
      <c r="I167" s="232"/>
      <c r="J167" s="232"/>
      <c r="K167" s="232"/>
      <c r="L167" s="230"/>
      <c r="M167" s="230"/>
      <c r="N167" s="230"/>
      <c r="O167" s="230"/>
      <c r="P167" s="232"/>
      <c r="Q167" s="230"/>
      <c r="R167" s="230"/>
      <c r="S167" s="230"/>
      <c r="T167" s="230"/>
      <c r="U167" s="232"/>
      <c r="V167" s="230"/>
      <c r="W167" s="230"/>
      <c r="X167" s="230"/>
      <c r="Y167" s="233"/>
      <c r="Z167" s="232"/>
      <c r="AA167" s="234"/>
      <c r="AB167" s="232"/>
      <c r="AC167" s="373"/>
      <c r="AD167" s="236"/>
      <c r="AH167" s="373"/>
    </row>
    <row r="168" spans="1:42" s="193" customFormat="1">
      <c r="A168" s="224"/>
      <c r="B168" s="214"/>
      <c r="C168" s="364"/>
      <c r="D168" s="364"/>
      <c r="E168" s="214"/>
      <c r="F168" s="214"/>
      <c r="G168" s="364"/>
      <c r="H168" s="214"/>
      <c r="I168" s="214"/>
      <c r="J168" s="214"/>
      <c r="K168" s="214"/>
      <c r="L168" s="364"/>
      <c r="M168" s="364"/>
      <c r="N168" s="364"/>
      <c r="O168" s="364"/>
      <c r="P168" s="214"/>
      <c r="Q168" s="364"/>
      <c r="R168" s="364"/>
      <c r="S168" s="364"/>
      <c r="T168" s="364"/>
      <c r="U168" s="214"/>
      <c r="V168" s="364"/>
      <c r="W168" s="364"/>
      <c r="X168" s="364"/>
      <c r="Y168" s="216"/>
      <c r="Z168" s="214"/>
      <c r="AA168" s="225"/>
      <c r="AB168" s="214"/>
      <c r="AC168" s="189"/>
      <c r="AH168" s="4"/>
      <c r="AI168" s="255"/>
      <c r="AJ168" s="180"/>
    </row>
    <row r="169" spans="1:42" s="180" customFormat="1">
      <c r="B169" s="1518" t="s">
        <v>18</v>
      </c>
      <c r="C169" s="1519">
        <v>45201</v>
      </c>
      <c r="D169" s="1519"/>
      <c r="E169" s="1519"/>
      <c r="F169" s="1519"/>
      <c r="G169" s="365"/>
      <c r="H169" s="1519">
        <v>45202</v>
      </c>
      <c r="I169" s="1519"/>
      <c r="J169" s="1519"/>
      <c r="K169" s="1519"/>
      <c r="L169" s="365"/>
      <c r="M169" s="1519">
        <v>45203</v>
      </c>
      <c r="N169" s="1519"/>
      <c r="O169" s="1519"/>
      <c r="P169" s="1519"/>
      <c r="Q169" s="365"/>
      <c r="R169" s="1519">
        <v>45204</v>
      </c>
      <c r="S169" s="1519"/>
      <c r="T169" s="1519"/>
      <c r="U169" s="1519"/>
      <c r="V169" s="365"/>
      <c r="W169" s="1519">
        <v>45205</v>
      </c>
      <c r="X169" s="1519"/>
      <c r="Y169" s="1519"/>
      <c r="Z169" s="1519"/>
      <c r="AA169" s="1517" t="s">
        <v>19</v>
      </c>
      <c r="AB169" s="1517" t="s">
        <v>20</v>
      </c>
      <c r="AC169" s="4"/>
      <c r="AD169" s="1519">
        <v>45206</v>
      </c>
      <c r="AE169" s="1519"/>
      <c r="AF169" s="1519"/>
      <c r="AG169" s="1517" t="s">
        <v>21</v>
      </c>
      <c r="AH169" s="4"/>
      <c r="AI169" s="255"/>
      <c r="AK169" s="194" t="s">
        <v>84</v>
      </c>
      <c r="AL169" s="366"/>
      <c r="AM169" s="366"/>
      <c r="AN169" s="366"/>
      <c r="AO169" s="366"/>
      <c r="AP169" s="366"/>
    </row>
    <row r="170" spans="1:42" s="367" customFormat="1">
      <c r="B170" s="1518"/>
      <c r="C170" s="21" t="s">
        <v>23</v>
      </c>
      <c r="D170" s="21" t="s">
        <v>24</v>
      </c>
      <c r="E170" s="205" t="s">
        <v>25</v>
      </c>
      <c r="F170" s="18" t="s">
        <v>14</v>
      </c>
      <c r="G170" s="4"/>
      <c r="H170" s="21" t="s">
        <v>23</v>
      </c>
      <c r="I170" s="21" t="s">
        <v>24</v>
      </c>
      <c r="J170" s="18" t="s">
        <v>25</v>
      </c>
      <c r="K170" s="18" t="s">
        <v>14</v>
      </c>
      <c r="L170" s="4"/>
      <c r="M170" s="21" t="s">
        <v>23</v>
      </c>
      <c r="N170" s="21" t="s">
        <v>24</v>
      </c>
      <c r="O170" s="18" t="s">
        <v>25</v>
      </c>
      <c r="P170" s="18" t="s">
        <v>14</v>
      </c>
      <c r="Q170" s="4"/>
      <c r="R170" s="21" t="s">
        <v>23</v>
      </c>
      <c r="S170" s="21" t="s">
        <v>24</v>
      </c>
      <c r="T170" s="18" t="s">
        <v>25</v>
      </c>
      <c r="U170" s="18" t="s">
        <v>14</v>
      </c>
      <c r="V170" s="4"/>
      <c r="W170" s="21" t="s">
        <v>23</v>
      </c>
      <c r="X170" s="21" t="s">
        <v>24</v>
      </c>
      <c r="Y170" s="18" t="s">
        <v>25</v>
      </c>
      <c r="Z170" s="18" t="s">
        <v>14</v>
      </c>
      <c r="AA170" s="1517"/>
      <c r="AB170" s="1517"/>
      <c r="AC170" s="4"/>
      <c r="AD170" s="21" t="s">
        <v>23</v>
      </c>
      <c r="AE170" s="21" t="s">
        <v>24</v>
      </c>
      <c r="AF170" s="18" t="s">
        <v>25</v>
      </c>
      <c r="AG170" s="1517"/>
      <c r="AH170" s="175"/>
      <c r="AI170" s="368"/>
      <c r="AK170" s="188" t="s">
        <v>26</v>
      </c>
      <c r="AL170" s="196">
        <f>AA198</f>
        <v>855</v>
      </c>
      <c r="AM170" s="193"/>
      <c r="AN170" s="193"/>
      <c r="AO170" s="193"/>
      <c r="AP170" s="193"/>
    </row>
    <row r="171" spans="1:42" s="367" customFormat="1">
      <c r="B171" s="171" t="s">
        <v>56</v>
      </c>
      <c r="C171" s="172">
        <v>0.35416666666666669</v>
      </c>
      <c r="D171" s="172">
        <v>0.20833333333333334</v>
      </c>
      <c r="E171" s="173">
        <v>7.5</v>
      </c>
      <c r="F171" s="277"/>
      <c r="G171" s="175"/>
      <c r="H171" s="172">
        <v>0.36458333333333331</v>
      </c>
      <c r="I171" s="172">
        <v>0.20833333333333334</v>
      </c>
      <c r="J171" s="173">
        <v>7.25</v>
      </c>
      <c r="K171" s="277"/>
      <c r="L171" s="175"/>
      <c r="M171" s="172">
        <v>0.35416666666666669</v>
      </c>
      <c r="N171" s="172">
        <v>0.20833333333333334</v>
      </c>
      <c r="O171" s="173">
        <v>7.5</v>
      </c>
      <c r="P171" s="277"/>
      <c r="Q171" s="175"/>
      <c r="R171" s="172">
        <v>0.36458333333333331</v>
      </c>
      <c r="S171" s="172">
        <v>0.20833333333333334</v>
      </c>
      <c r="T171" s="173">
        <v>7.25</v>
      </c>
      <c r="U171" s="277"/>
      <c r="V171" s="175"/>
      <c r="W171" s="172">
        <v>0.35416666666666669</v>
      </c>
      <c r="X171" s="172">
        <v>0.20833333333333334</v>
      </c>
      <c r="Y171" s="173">
        <v>7.5</v>
      </c>
      <c r="Z171" s="277"/>
      <c r="AA171" s="28">
        <f t="shared" ref="AA171:AA196" si="26">(E171+J171+O171+T171+Y171)</f>
        <v>37</v>
      </c>
      <c r="AB171" s="298">
        <f t="shared" ref="AB171:AB196" si="27">Z171+U171+P171+K171+F171</f>
        <v>0</v>
      </c>
      <c r="AC171" s="175"/>
      <c r="AD171" s="175">
        <v>0</v>
      </c>
      <c r="AE171" s="175">
        <v>0</v>
      </c>
      <c r="AF171" s="173">
        <v>0</v>
      </c>
      <c r="AG171" s="28">
        <f t="shared" ref="AG171:AG196" si="28">AF171</f>
        <v>0</v>
      </c>
      <c r="AH171" s="175"/>
      <c r="AI171" s="368"/>
      <c r="AK171" s="188" t="s">
        <v>30</v>
      </c>
      <c r="AL171" s="196">
        <f>AB198</f>
        <v>12.25</v>
      </c>
      <c r="AM171" s="193"/>
      <c r="AN171" s="193"/>
      <c r="AO171" s="193"/>
      <c r="AP171" s="193"/>
    </row>
    <row r="172" spans="1:42" s="367" customFormat="1">
      <c r="B172" s="171" t="s">
        <v>31</v>
      </c>
      <c r="C172" s="172">
        <v>0.38541666666666669</v>
      </c>
      <c r="D172" s="172">
        <v>0.20833333333333334</v>
      </c>
      <c r="E172" s="173">
        <v>6.75</v>
      </c>
      <c r="F172" s="277"/>
      <c r="G172" s="175"/>
      <c r="H172" s="172">
        <v>0.38541666666666669</v>
      </c>
      <c r="I172" s="172">
        <v>0.20833333333333334</v>
      </c>
      <c r="J172" s="173">
        <v>6.75</v>
      </c>
      <c r="K172" s="277"/>
      <c r="L172" s="175"/>
      <c r="M172" s="172">
        <v>0.34375</v>
      </c>
      <c r="N172" s="172">
        <v>0.20833333333333334</v>
      </c>
      <c r="O172" s="173">
        <v>7.75</v>
      </c>
      <c r="P172" s="277"/>
      <c r="Q172" s="175"/>
      <c r="R172" s="172">
        <v>0.33333333333333331</v>
      </c>
      <c r="S172" s="172">
        <v>0.20833333333333334</v>
      </c>
      <c r="T172" s="173">
        <v>8</v>
      </c>
      <c r="U172" s="277"/>
      <c r="V172" s="175"/>
      <c r="W172" s="172">
        <v>0.33333333333333331</v>
      </c>
      <c r="X172" s="172">
        <v>0.20833333333333334</v>
      </c>
      <c r="Y172" s="173">
        <v>8</v>
      </c>
      <c r="Z172" s="277"/>
      <c r="AA172" s="28">
        <f t="shared" si="26"/>
        <v>37.25</v>
      </c>
      <c r="AB172" s="298">
        <f t="shared" si="27"/>
        <v>0</v>
      </c>
      <c r="AC172" s="175"/>
      <c r="AD172" s="175">
        <v>0</v>
      </c>
      <c r="AE172" s="175">
        <v>0</v>
      </c>
      <c r="AF172" s="173">
        <v>0</v>
      </c>
      <c r="AG172" s="28">
        <f t="shared" si="28"/>
        <v>0</v>
      </c>
      <c r="AH172" s="175"/>
      <c r="AI172" s="368"/>
      <c r="AK172" s="188" t="s">
        <v>32</v>
      </c>
      <c r="AL172" s="196">
        <f>AG198</f>
        <v>50.5</v>
      </c>
      <c r="AM172" s="193"/>
      <c r="AN172" s="193"/>
      <c r="AO172" s="193"/>
      <c r="AP172" s="193"/>
    </row>
    <row r="173" spans="1:42" s="367" customFormat="1">
      <c r="B173" s="171" t="s">
        <v>33</v>
      </c>
      <c r="C173" s="377">
        <v>0.33333333333333331</v>
      </c>
      <c r="D173" s="172">
        <v>0.20833333333333334</v>
      </c>
      <c r="E173" s="173">
        <v>8</v>
      </c>
      <c r="F173" s="277"/>
      <c r="G173" s="175"/>
      <c r="H173" s="172">
        <v>0.375</v>
      </c>
      <c r="I173" s="172">
        <v>0.20833333333333334</v>
      </c>
      <c r="J173" s="173">
        <v>7</v>
      </c>
      <c r="K173" s="277"/>
      <c r="L173" s="175"/>
      <c r="M173" s="172">
        <v>0.35416666666666669</v>
      </c>
      <c r="N173" s="172">
        <v>0.20833333333333334</v>
      </c>
      <c r="O173" s="173">
        <v>7.5</v>
      </c>
      <c r="P173" s="277"/>
      <c r="Q173" s="175"/>
      <c r="R173" s="172">
        <v>0.33333333333333331</v>
      </c>
      <c r="S173" s="172">
        <v>0.20833333333333334</v>
      </c>
      <c r="T173" s="173">
        <v>8</v>
      </c>
      <c r="U173" s="277"/>
      <c r="V173" s="175"/>
      <c r="W173" s="172">
        <v>0.34375</v>
      </c>
      <c r="X173" s="172">
        <v>0.20833333333333334</v>
      </c>
      <c r="Y173" s="173">
        <v>7.75</v>
      </c>
      <c r="Z173" s="277"/>
      <c r="AA173" s="28">
        <f t="shared" si="26"/>
        <v>38.25</v>
      </c>
      <c r="AB173" s="298">
        <f t="shared" si="27"/>
        <v>0</v>
      </c>
      <c r="AC173" s="175"/>
      <c r="AD173" s="175">
        <v>0</v>
      </c>
      <c r="AE173" s="175">
        <v>0</v>
      </c>
      <c r="AF173" s="173">
        <v>0</v>
      </c>
      <c r="AG173" s="28">
        <f t="shared" si="28"/>
        <v>0</v>
      </c>
      <c r="AH173" s="175"/>
      <c r="AI173" s="368"/>
      <c r="AK173" s="188" t="s">
        <v>34</v>
      </c>
      <c r="AL173" s="196">
        <f>AA202</f>
        <v>85</v>
      </c>
      <c r="AM173" s="193"/>
      <c r="AN173" s="193"/>
      <c r="AO173" s="193"/>
      <c r="AP173" s="193"/>
    </row>
    <row r="174" spans="1:42" s="180" customFormat="1">
      <c r="B174" s="171" t="s">
        <v>58</v>
      </c>
      <c r="C174" s="172">
        <v>0.36458333333333331</v>
      </c>
      <c r="D174" s="172">
        <v>0.20833333333333334</v>
      </c>
      <c r="E174" s="173">
        <v>7.25</v>
      </c>
      <c r="F174" s="277"/>
      <c r="G174" s="4"/>
      <c r="H174" s="172">
        <v>0.33333333333333331</v>
      </c>
      <c r="I174" s="172">
        <v>0.20833333333333334</v>
      </c>
      <c r="J174" s="173">
        <v>8</v>
      </c>
      <c r="K174" s="277"/>
      <c r="L174" s="4"/>
      <c r="M174" s="172">
        <v>0.375</v>
      </c>
      <c r="N174" s="172">
        <v>0.20833333333333334</v>
      </c>
      <c r="O174" s="173">
        <v>7</v>
      </c>
      <c r="P174" s="277"/>
      <c r="Q174" s="4"/>
      <c r="R174" s="172">
        <v>0.33333333333333331</v>
      </c>
      <c r="S174" s="172">
        <v>0.20833333333333334</v>
      </c>
      <c r="T174" s="173">
        <v>8</v>
      </c>
      <c r="U174" s="277"/>
      <c r="V174" s="4"/>
      <c r="W174" s="172">
        <v>0.33333333333333331</v>
      </c>
      <c r="X174" s="172">
        <v>0.20833333333333334</v>
      </c>
      <c r="Y174" s="173">
        <v>8</v>
      </c>
      <c r="Z174" s="277"/>
      <c r="AA174" s="28">
        <f t="shared" si="26"/>
        <v>38.25</v>
      </c>
      <c r="AB174" s="298">
        <f t="shared" si="27"/>
        <v>0</v>
      </c>
      <c r="AC174" s="4"/>
      <c r="AD174" s="175">
        <v>0</v>
      </c>
      <c r="AE174" s="175">
        <v>0</v>
      </c>
      <c r="AF174" s="173">
        <v>0</v>
      </c>
      <c r="AG174" s="28">
        <f t="shared" si="28"/>
        <v>0</v>
      </c>
      <c r="AH174" s="4"/>
      <c r="AI174" s="255"/>
      <c r="AK174" s="188" t="s">
        <v>36</v>
      </c>
      <c r="AL174" s="196">
        <f>AB202</f>
        <v>11</v>
      </c>
      <c r="AM174" s="193"/>
      <c r="AN174" s="193"/>
      <c r="AO174" s="193"/>
      <c r="AP174" s="193"/>
    </row>
    <row r="175" spans="1:42" s="367" customFormat="1">
      <c r="B175" s="171" t="s">
        <v>72</v>
      </c>
      <c r="C175" s="172">
        <v>0.33333333333333331</v>
      </c>
      <c r="D175" s="172">
        <v>0.20833333333333334</v>
      </c>
      <c r="E175" s="173">
        <v>8</v>
      </c>
      <c r="F175" s="277"/>
      <c r="G175" s="4"/>
      <c r="H175" s="172">
        <v>0.34375</v>
      </c>
      <c r="I175" s="172">
        <v>0.20833333333333334</v>
      </c>
      <c r="J175" s="173">
        <v>7.75</v>
      </c>
      <c r="K175" s="277"/>
      <c r="L175" s="4"/>
      <c r="M175" s="172">
        <v>0.35416666666666669</v>
      </c>
      <c r="N175" s="172">
        <v>0.20833333333333334</v>
      </c>
      <c r="O175" s="173">
        <v>7.5</v>
      </c>
      <c r="P175" s="277"/>
      <c r="Q175" s="4"/>
      <c r="R175" s="172">
        <v>0.33333333333333331</v>
      </c>
      <c r="S175" s="172">
        <v>0.20833333333333334</v>
      </c>
      <c r="T175" s="173">
        <v>8</v>
      </c>
      <c r="U175" s="277"/>
      <c r="V175" s="4"/>
      <c r="W175" s="172">
        <v>0.34375</v>
      </c>
      <c r="X175" s="172">
        <v>0.20833333333333334</v>
      </c>
      <c r="Y175" s="173">
        <v>7.75</v>
      </c>
      <c r="Z175" s="277"/>
      <c r="AA175" s="28">
        <f t="shared" si="26"/>
        <v>39</v>
      </c>
      <c r="AB175" s="298">
        <f t="shared" si="27"/>
        <v>0</v>
      </c>
      <c r="AC175" s="4"/>
      <c r="AD175" s="175">
        <v>0</v>
      </c>
      <c r="AE175" s="175">
        <v>0</v>
      </c>
      <c r="AF175" s="173">
        <v>0</v>
      </c>
      <c r="AG175" s="28">
        <f t="shared" si="28"/>
        <v>0</v>
      </c>
      <c r="AH175" s="175"/>
      <c r="AI175" s="368"/>
      <c r="AK175" s="188" t="s">
        <v>38</v>
      </c>
      <c r="AL175" s="196">
        <f>AG202</f>
        <v>9</v>
      </c>
      <c r="AM175" s="193"/>
      <c r="AN175" s="193"/>
      <c r="AO175" s="193"/>
      <c r="AP175" s="193"/>
    </row>
    <row r="176" spans="1:42" s="180" customFormat="1">
      <c r="B176" s="171" t="s">
        <v>71</v>
      </c>
      <c r="C176" s="172">
        <v>0.33333333333333331</v>
      </c>
      <c r="D176" s="172">
        <v>0.20833333333333334</v>
      </c>
      <c r="E176" s="173">
        <v>8</v>
      </c>
      <c r="F176" s="277"/>
      <c r="G176" s="4"/>
      <c r="H176" s="172">
        <v>0.33333333333333331</v>
      </c>
      <c r="I176" s="172">
        <v>0.20833333333333334</v>
      </c>
      <c r="J176" s="173">
        <v>8</v>
      </c>
      <c r="K176" s="277"/>
      <c r="L176" s="4"/>
      <c r="M176" s="172">
        <v>0.33333333333333331</v>
      </c>
      <c r="N176" s="172">
        <v>0.23958333333333334</v>
      </c>
      <c r="O176" s="173">
        <v>8.75</v>
      </c>
      <c r="P176" s="277">
        <v>0.75</v>
      </c>
      <c r="Q176" s="4"/>
      <c r="R176" s="172">
        <v>0.35416666666666669</v>
      </c>
      <c r="S176" s="172">
        <v>0.20833333333333334</v>
      </c>
      <c r="T176" s="173">
        <v>7.5</v>
      </c>
      <c r="U176" s="277"/>
      <c r="V176" s="4"/>
      <c r="W176" s="172">
        <v>0.35416666666666669</v>
      </c>
      <c r="X176" s="172">
        <v>0.20833333333333334</v>
      </c>
      <c r="Y176" s="173">
        <v>7.5</v>
      </c>
      <c r="Z176" s="277"/>
      <c r="AA176" s="28">
        <f t="shared" si="26"/>
        <v>39.75</v>
      </c>
      <c r="AB176" s="298">
        <f t="shared" si="27"/>
        <v>0.75</v>
      </c>
      <c r="AC176" s="4"/>
      <c r="AD176" s="175">
        <v>0</v>
      </c>
      <c r="AE176" s="175">
        <v>0</v>
      </c>
      <c r="AF176" s="173">
        <v>0</v>
      </c>
      <c r="AG176" s="28">
        <f t="shared" si="28"/>
        <v>0</v>
      </c>
      <c r="AH176" s="4"/>
      <c r="AI176" s="255"/>
      <c r="AK176" s="188" t="s">
        <v>41</v>
      </c>
      <c r="AL176" s="196">
        <f>C203</f>
        <v>121</v>
      </c>
      <c r="AM176" s="369"/>
      <c r="AN176" s="369"/>
      <c r="AO176" s="369"/>
      <c r="AP176" s="369"/>
    </row>
    <row r="177" spans="2:42" s="180" customFormat="1">
      <c r="B177" s="13" t="s">
        <v>35</v>
      </c>
      <c r="C177" s="353">
        <v>0.375</v>
      </c>
      <c r="D177" s="47">
        <v>0.20833333333333334</v>
      </c>
      <c r="E177" s="319">
        <v>7</v>
      </c>
      <c r="F177" s="277"/>
      <c r="G177" s="175"/>
      <c r="H177" s="47">
        <v>0.39583333333333331</v>
      </c>
      <c r="I177" s="47">
        <v>0.20833333333333334</v>
      </c>
      <c r="J177" s="319">
        <v>6.5</v>
      </c>
      <c r="K177" s="277"/>
      <c r="L177" s="175"/>
      <c r="M177" s="47">
        <v>0.38541666666666669</v>
      </c>
      <c r="N177" s="47">
        <v>0.20833333333333334</v>
      </c>
      <c r="O177" s="319">
        <v>6.75</v>
      </c>
      <c r="P177" s="277"/>
      <c r="Q177" s="175"/>
      <c r="R177" s="47">
        <v>0.34375</v>
      </c>
      <c r="S177" s="47">
        <v>0.20833333333333334</v>
      </c>
      <c r="T177" s="319">
        <v>7.75</v>
      </c>
      <c r="U177" s="277"/>
      <c r="V177" s="175"/>
      <c r="W177" s="47">
        <v>0.36458333333333331</v>
      </c>
      <c r="X177" s="47">
        <v>0.20833333333333334</v>
      </c>
      <c r="Y177" s="319">
        <v>7.25</v>
      </c>
      <c r="Z177" s="277"/>
      <c r="AA177" s="344">
        <f t="shared" si="26"/>
        <v>35.25</v>
      </c>
      <c r="AB177" s="298">
        <f t="shared" si="27"/>
        <v>0</v>
      </c>
      <c r="AC177" s="175"/>
      <c r="AD177" s="345">
        <v>0</v>
      </c>
      <c r="AE177" s="345">
        <v>0</v>
      </c>
      <c r="AF177" s="346">
        <v>0</v>
      </c>
      <c r="AG177" s="344">
        <f t="shared" si="28"/>
        <v>0</v>
      </c>
      <c r="AH177" s="4"/>
      <c r="AI177" s="255"/>
      <c r="AK177" s="193"/>
      <c r="AL177" s="193"/>
      <c r="AM177" s="193"/>
      <c r="AN177" s="193"/>
      <c r="AO177" s="193"/>
      <c r="AP177" s="193"/>
    </row>
    <row r="178" spans="2:42" s="180" customFormat="1">
      <c r="B178" s="13" t="s">
        <v>37</v>
      </c>
      <c r="C178" s="353">
        <v>0.39583333333333331</v>
      </c>
      <c r="D178" s="47">
        <v>0.20833333333333334</v>
      </c>
      <c r="E178" s="319">
        <v>6.5</v>
      </c>
      <c r="F178" s="277"/>
      <c r="G178" s="175"/>
      <c r="H178" s="47">
        <v>0.36458333333333331</v>
      </c>
      <c r="I178" s="47">
        <v>0.20833333333333334</v>
      </c>
      <c r="J178" s="319">
        <v>7.25</v>
      </c>
      <c r="K178" s="277">
        <v>0.25</v>
      </c>
      <c r="L178" s="175"/>
      <c r="M178" s="47">
        <v>0.375</v>
      </c>
      <c r="N178" s="47">
        <v>0.20833333333333334</v>
      </c>
      <c r="O178" s="319">
        <v>7</v>
      </c>
      <c r="P178" s="277"/>
      <c r="Q178" s="175"/>
      <c r="R178" s="47">
        <v>0.375</v>
      </c>
      <c r="S178" s="47">
        <v>0.20833333333333334</v>
      </c>
      <c r="T178" s="319">
        <v>7</v>
      </c>
      <c r="U178" s="277"/>
      <c r="V178" s="175"/>
      <c r="W178" s="47">
        <v>0.375</v>
      </c>
      <c r="X178" s="314">
        <v>0.20833333333333334</v>
      </c>
      <c r="Y178" s="319">
        <v>7</v>
      </c>
      <c r="Z178" s="277"/>
      <c r="AA178" s="344">
        <f t="shared" si="26"/>
        <v>34.75</v>
      </c>
      <c r="AB178" s="298">
        <f t="shared" si="27"/>
        <v>0.25</v>
      </c>
      <c r="AC178" s="175"/>
      <c r="AD178" s="345">
        <v>0</v>
      </c>
      <c r="AE178" s="345">
        <v>0</v>
      </c>
      <c r="AF178" s="346">
        <v>0</v>
      </c>
      <c r="AG178" s="344">
        <f t="shared" si="28"/>
        <v>0</v>
      </c>
      <c r="AH178" s="4"/>
      <c r="AI178" s="255"/>
      <c r="AK178" s="193"/>
      <c r="AL178" s="193"/>
      <c r="AM178" s="193"/>
      <c r="AN178" s="193"/>
      <c r="AO178" s="193"/>
      <c r="AP178" s="193"/>
    </row>
    <row r="179" spans="2:42" s="180" customFormat="1">
      <c r="B179" s="13" t="s">
        <v>39</v>
      </c>
      <c r="C179" s="353">
        <v>0.38541666666666669</v>
      </c>
      <c r="D179" s="47">
        <v>0.20833333333333334</v>
      </c>
      <c r="E179" s="319">
        <v>6.75</v>
      </c>
      <c r="F179" s="277"/>
      <c r="G179" s="4"/>
      <c r="H179" s="47">
        <v>0.375</v>
      </c>
      <c r="I179" s="47">
        <v>0.20833333333333334</v>
      </c>
      <c r="J179" s="319">
        <v>7</v>
      </c>
      <c r="K179" s="277"/>
      <c r="L179" s="4"/>
      <c r="M179" s="47">
        <v>0.375</v>
      </c>
      <c r="N179" s="47">
        <v>0.20833333333333334</v>
      </c>
      <c r="O179" s="319">
        <v>7</v>
      </c>
      <c r="P179" s="277"/>
      <c r="Q179" s="4"/>
      <c r="R179" s="47" t="s">
        <v>81</v>
      </c>
      <c r="S179" s="47">
        <v>0.20833333333333334</v>
      </c>
      <c r="T179" s="319">
        <v>6.5</v>
      </c>
      <c r="U179" s="277"/>
      <c r="V179" s="4"/>
      <c r="W179" s="47">
        <v>0.375</v>
      </c>
      <c r="X179" s="314">
        <v>0.20833333333333334</v>
      </c>
      <c r="Y179" s="319">
        <v>7</v>
      </c>
      <c r="Z179" s="277"/>
      <c r="AA179" s="29">
        <f t="shared" si="26"/>
        <v>34.25</v>
      </c>
      <c r="AB179" s="298">
        <f t="shared" si="27"/>
        <v>0</v>
      </c>
      <c r="AC179" s="4"/>
      <c r="AD179" s="4">
        <v>0</v>
      </c>
      <c r="AE179" s="4">
        <v>0</v>
      </c>
      <c r="AF179" s="19">
        <v>0</v>
      </c>
      <c r="AG179" s="29">
        <f t="shared" si="28"/>
        <v>0</v>
      </c>
      <c r="AH179" s="4"/>
      <c r="AI179" s="255"/>
      <c r="AK179" s="193"/>
      <c r="AL179" s="193"/>
      <c r="AM179" s="193"/>
      <c r="AN179" s="193"/>
      <c r="AO179" s="193"/>
      <c r="AP179" s="193"/>
    </row>
    <row r="180" spans="2:42" s="180" customFormat="1">
      <c r="B180" s="164" t="s">
        <v>40</v>
      </c>
      <c r="C180" s="353">
        <v>0.39583333333333331</v>
      </c>
      <c r="D180" s="47">
        <v>0.20833333333333334</v>
      </c>
      <c r="E180" s="319">
        <v>6.5</v>
      </c>
      <c r="F180" s="277"/>
      <c r="G180" s="4"/>
      <c r="H180" s="47">
        <v>0</v>
      </c>
      <c r="I180" s="47">
        <v>0</v>
      </c>
      <c r="J180" s="319">
        <v>0</v>
      </c>
      <c r="K180" s="277"/>
      <c r="L180" s="4"/>
      <c r="M180" s="47">
        <v>0.38541666666666669</v>
      </c>
      <c r="N180" s="47">
        <v>0.20833333333333334</v>
      </c>
      <c r="O180" s="319">
        <v>6.75</v>
      </c>
      <c r="P180" s="277"/>
      <c r="Q180" s="4"/>
      <c r="R180" s="47">
        <v>0.375</v>
      </c>
      <c r="S180" s="47">
        <v>0.20833333333333334</v>
      </c>
      <c r="T180" s="319">
        <v>7</v>
      </c>
      <c r="U180" s="277"/>
      <c r="V180" s="4"/>
      <c r="W180" s="47" t="s">
        <v>85</v>
      </c>
      <c r="X180" s="314">
        <v>0.20833333333333334</v>
      </c>
      <c r="Y180" s="319">
        <v>6.25</v>
      </c>
      <c r="Z180" s="277"/>
      <c r="AA180" s="29">
        <f t="shared" si="26"/>
        <v>26.5</v>
      </c>
      <c r="AB180" s="298">
        <f t="shared" si="27"/>
        <v>0</v>
      </c>
      <c r="AC180" s="4"/>
      <c r="AD180" s="47">
        <v>0.375</v>
      </c>
      <c r="AE180" s="47">
        <v>0.20833333333333334</v>
      </c>
      <c r="AF180" s="19">
        <v>7</v>
      </c>
      <c r="AG180" s="29">
        <f t="shared" si="28"/>
        <v>7</v>
      </c>
      <c r="AH180" s="4"/>
      <c r="AI180" s="255"/>
      <c r="AK180" s="193"/>
      <c r="AL180" s="193"/>
      <c r="AM180" s="193"/>
      <c r="AN180" s="193"/>
      <c r="AO180" s="193"/>
      <c r="AP180" s="193"/>
    </row>
    <row r="181" spans="2:42" s="180" customFormat="1">
      <c r="B181" s="164" t="s">
        <v>42</v>
      </c>
      <c r="C181" s="353">
        <v>0.3125</v>
      </c>
      <c r="D181" s="47">
        <v>0.20833333333333334</v>
      </c>
      <c r="E181" s="319">
        <v>8.5</v>
      </c>
      <c r="F181" s="277">
        <v>0.5</v>
      </c>
      <c r="G181" s="4"/>
      <c r="H181" s="47">
        <v>0.3125</v>
      </c>
      <c r="I181" s="47">
        <v>0.20833333333333334</v>
      </c>
      <c r="J181" s="319">
        <v>8.5</v>
      </c>
      <c r="K181" s="277">
        <v>0.5</v>
      </c>
      <c r="L181" s="4"/>
      <c r="M181" s="47">
        <v>0.34375</v>
      </c>
      <c r="N181" s="47">
        <v>0.20833333333333334</v>
      </c>
      <c r="O181" s="319">
        <v>7.75</v>
      </c>
      <c r="P181" s="277"/>
      <c r="Q181" s="4"/>
      <c r="R181" s="47">
        <v>0.3125</v>
      </c>
      <c r="S181" s="47">
        <v>0.20833333333333334</v>
      </c>
      <c r="T181" s="319">
        <v>8.5</v>
      </c>
      <c r="U181" s="277">
        <v>0.5</v>
      </c>
      <c r="V181" s="4"/>
      <c r="W181" s="47">
        <v>0.29166666666666669</v>
      </c>
      <c r="X181" s="314">
        <v>0.20833333333333334</v>
      </c>
      <c r="Y181" s="319">
        <v>9</v>
      </c>
      <c r="Z181" s="277">
        <v>1</v>
      </c>
      <c r="AA181" s="29">
        <f t="shared" si="26"/>
        <v>42.25</v>
      </c>
      <c r="AB181" s="298">
        <f t="shared" si="27"/>
        <v>2.5</v>
      </c>
      <c r="AC181" s="4"/>
      <c r="AD181" s="47">
        <v>0.36458333333333331</v>
      </c>
      <c r="AE181" s="47">
        <v>0.20833333333333334</v>
      </c>
      <c r="AF181" s="19">
        <v>7.25</v>
      </c>
      <c r="AG181" s="29">
        <f t="shared" si="28"/>
        <v>7.25</v>
      </c>
      <c r="AH181" s="4"/>
      <c r="AI181" s="255"/>
      <c r="AK181" s="193"/>
      <c r="AL181" s="193"/>
      <c r="AM181" s="193"/>
      <c r="AN181" s="193"/>
      <c r="AO181" s="193"/>
      <c r="AP181" s="193"/>
    </row>
    <row r="182" spans="2:42" s="180" customFormat="1">
      <c r="B182" s="13" t="s">
        <v>43</v>
      </c>
      <c r="C182" s="353">
        <v>0.35416666666666669</v>
      </c>
      <c r="D182" s="47">
        <v>0.20833333333333334</v>
      </c>
      <c r="E182" s="319">
        <v>7.5</v>
      </c>
      <c r="F182" s="277"/>
      <c r="G182" s="4"/>
      <c r="H182" s="47">
        <v>0.3125</v>
      </c>
      <c r="I182" s="47">
        <v>0.20833333333333334</v>
      </c>
      <c r="J182" s="319">
        <v>8.5</v>
      </c>
      <c r="K182" s="277">
        <v>0.5</v>
      </c>
      <c r="L182" s="4"/>
      <c r="M182" s="47">
        <v>0.34375</v>
      </c>
      <c r="N182" s="47">
        <v>0.20833333333333334</v>
      </c>
      <c r="O182" s="319">
        <v>7.75</v>
      </c>
      <c r="P182" s="277"/>
      <c r="Q182" s="4"/>
      <c r="R182" s="47">
        <v>0.375</v>
      </c>
      <c r="S182" s="47">
        <v>0.20833333333333334</v>
      </c>
      <c r="T182" s="319">
        <v>7</v>
      </c>
      <c r="U182" s="277"/>
      <c r="V182" s="4"/>
      <c r="W182" s="47">
        <v>0.36458333333333331</v>
      </c>
      <c r="X182" s="314">
        <v>0.20833333333333334</v>
      </c>
      <c r="Y182" s="319">
        <v>7.25</v>
      </c>
      <c r="Z182" s="277"/>
      <c r="AA182" s="29">
        <f t="shared" si="26"/>
        <v>38</v>
      </c>
      <c r="AB182" s="298">
        <f t="shared" si="27"/>
        <v>0.5</v>
      </c>
      <c r="AC182" s="4"/>
      <c r="AD182" s="47">
        <v>0.375</v>
      </c>
      <c r="AE182" s="47">
        <v>4.1666666666666664E-2</v>
      </c>
      <c r="AF182" s="19">
        <v>4</v>
      </c>
      <c r="AG182" s="29">
        <f t="shared" si="28"/>
        <v>4</v>
      </c>
      <c r="AH182" s="4"/>
      <c r="AI182" s="255"/>
      <c r="AK182" s="193"/>
      <c r="AL182" s="193"/>
      <c r="AM182" s="193"/>
      <c r="AN182" s="193"/>
      <c r="AO182" s="193"/>
      <c r="AP182" s="193"/>
    </row>
    <row r="183" spans="2:42" s="180" customFormat="1">
      <c r="B183" s="13" t="s">
        <v>44</v>
      </c>
      <c r="C183" s="353">
        <v>0.33333333333333331</v>
      </c>
      <c r="D183" s="47">
        <v>0.20833333333333334</v>
      </c>
      <c r="E183" s="319">
        <v>8</v>
      </c>
      <c r="F183" s="277"/>
      <c r="G183" s="4"/>
      <c r="H183" s="47">
        <v>0.34375</v>
      </c>
      <c r="I183" s="47">
        <v>0.20833333333333334</v>
      </c>
      <c r="J183" s="319">
        <v>7.75</v>
      </c>
      <c r="K183" s="277"/>
      <c r="L183" s="4"/>
      <c r="M183" s="47">
        <v>0.33333333333333331</v>
      </c>
      <c r="N183" s="47">
        <v>0.20833333333333334</v>
      </c>
      <c r="O183" s="319">
        <v>8</v>
      </c>
      <c r="P183" s="277"/>
      <c r="Q183" s="4"/>
      <c r="R183" s="47">
        <v>0.35416666666666669</v>
      </c>
      <c r="S183" s="47">
        <v>0.20833333333333334</v>
      </c>
      <c r="T183" s="319">
        <v>7.5</v>
      </c>
      <c r="U183" s="277"/>
      <c r="V183" s="4"/>
      <c r="W183" s="4">
        <v>0</v>
      </c>
      <c r="X183" s="314">
        <v>0</v>
      </c>
      <c r="Y183" s="319">
        <v>0</v>
      </c>
      <c r="Z183" s="277"/>
      <c r="AA183" s="29">
        <f t="shared" si="26"/>
        <v>31.25</v>
      </c>
      <c r="AB183" s="298">
        <f t="shared" si="27"/>
        <v>0</v>
      </c>
      <c r="AC183" s="4"/>
      <c r="AD183" s="4">
        <v>0</v>
      </c>
      <c r="AE183" s="4">
        <v>0</v>
      </c>
      <c r="AF183" s="19">
        <v>0</v>
      </c>
      <c r="AG183" s="29">
        <f t="shared" si="28"/>
        <v>0</v>
      </c>
      <c r="AH183" s="4"/>
      <c r="AI183" s="255"/>
      <c r="AK183" s="193"/>
      <c r="AL183" s="193"/>
      <c r="AM183" s="193"/>
      <c r="AN183" s="193"/>
      <c r="AO183" s="193"/>
      <c r="AP183" s="193"/>
    </row>
    <row r="184" spans="2:42" s="180" customFormat="1">
      <c r="B184" s="13" t="s">
        <v>45</v>
      </c>
      <c r="C184" s="47">
        <v>0</v>
      </c>
      <c r="D184" s="353">
        <v>0</v>
      </c>
      <c r="E184" s="319">
        <v>0</v>
      </c>
      <c r="F184" s="277"/>
      <c r="G184" s="4"/>
      <c r="H184" s="47">
        <v>0.34375</v>
      </c>
      <c r="I184" s="47">
        <v>0.20833333333333334</v>
      </c>
      <c r="J184" s="319">
        <v>7.75</v>
      </c>
      <c r="K184" s="277"/>
      <c r="L184" s="4"/>
      <c r="M184" s="47">
        <v>0.34375</v>
      </c>
      <c r="N184" s="47">
        <v>0.20833333333333334</v>
      </c>
      <c r="O184" s="319">
        <v>7.75</v>
      </c>
      <c r="P184" s="277"/>
      <c r="Q184" s="4"/>
      <c r="R184" s="47">
        <v>0.375</v>
      </c>
      <c r="S184" s="47">
        <v>0.20833333333333334</v>
      </c>
      <c r="T184" s="319">
        <v>7</v>
      </c>
      <c r="U184" s="277"/>
      <c r="V184" s="4"/>
      <c r="W184" s="47">
        <v>0.375</v>
      </c>
      <c r="X184" s="314">
        <v>0.20833333333333334</v>
      </c>
      <c r="Y184" s="319">
        <v>7</v>
      </c>
      <c r="Z184" s="277"/>
      <c r="AA184" s="29">
        <f t="shared" si="26"/>
        <v>29.5</v>
      </c>
      <c r="AB184" s="298">
        <f t="shared" si="27"/>
        <v>0</v>
      </c>
      <c r="AC184" s="4"/>
      <c r="AD184" s="4">
        <v>0</v>
      </c>
      <c r="AE184" s="4">
        <v>0</v>
      </c>
      <c r="AF184" s="19">
        <v>0</v>
      </c>
      <c r="AG184" s="29">
        <f t="shared" si="28"/>
        <v>0</v>
      </c>
      <c r="AH184" s="4"/>
      <c r="AI184" s="255"/>
      <c r="AK184" s="193"/>
      <c r="AL184" s="193"/>
      <c r="AM184" s="193"/>
      <c r="AN184" s="193"/>
      <c r="AO184" s="193"/>
      <c r="AP184" s="193"/>
    </row>
    <row r="185" spans="2:42" s="180" customFormat="1">
      <c r="B185" s="13" t="s">
        <v>46</v>
      </c>
      <c r="C185" s="353">
        <v>0.35416666666666669</v>
      </c>
      <c r="D185" s="47">
        <v>0.20833333333333334</v>
      </c>
      <c r="E185" s="319">
        <v>7.5</v>
      </c>
      <c r="F185" s="277"/>
      <c r="G185" s="4"/>
      <c r="H185" s="47">
        <v>0</v>
      </c>
      <c r="I185" s="47">
        <v>0</v>
      </c>
      <c r="J185" s="319">
        <v>0</v>
      </c>
      <c r="K185" s="277"/>
      <c r="L185" s="4"/>
      <c r="M185" s="47">
        <v>0.38541666666666669</v>
      </c>
      <c r="N185" s="47">
        <v>0.20833333333333334</v>
      </c>
      <c r="O185" s="319">
        <v>6.75</v>
      </c>
      <c r="P185" s="277"/>
      <c r="Q185" s="4"/>
      <c r="R185" s="47">
        <v>0.375</v>
      </c>
      <c r="S185" s="47">
        <v>0.20833333333333334</v>
      </c>
      <c r="T185" s="319">
        <v>7</v>
      </c>
      <c r="U185" s="277"/>
      <c r="V185" s="4"/>
      <c r="W185" s="47">
        <v>0.375</v>
      </c>
      <c r="X185" s="314">
        <v>0.20833333333333334</v>
      </c>
      <c r="Y185" s="319">
        <v>7</v>
      </c>
      <c r="Z185" s="277"/>
      <c r="AA185" s="29">
        <f t="shared" si="26"/>
        <v>28.25</v>
      </c>
      <c r="AB185" s="298">
        <f t="shared" si="27"/>
        <v>0</v>
      </c>
      <c r="AC185" s="4"/>
      <c r="AD185" s="4">
        <v>0</v>
      </c>
      <c r="AE185" s="4">
        <v>0</v>
      </c>
      <c r="AF185" s="19">
        <v>0</v>
      </c>
      <c r="AG185" s="29">
        <f t="shared" si="28"/>
        <v>0</v>
      </c>
      <c r="AH185" s="4"/>
      <c r="AI185" s="255"/>
      <c r="AK185" s="193"/>
      <c r="AL185" s="193"/>
      <c r="AM185" s="193"/>
      <c r="AN185" s="193"/>
      <c r="AO185" s="193"/>
      <c r="AP185" s="193"/>
    </row>
    <row r="186" spans="2:42" s="180" customFormat="1">
      <c r="B186" s="13" t="s">
        <v>47</v>
      </c>
      <c r="C186" s="353">
        <v>0.34375</v>
      </c>
      <c r="D186" s="47">
        <v>0.20833333333333334</v>
      </c>
      <c r="E186" s="319">
        <v>7.75</v>
      </c>
      <c r="F186" s="277"/>
      <c r="G186" s="4"/>
      <c r="H186" s="47">
        <v>0.34375</v>
      </c>
      <c r="I186" s="47">
        <v>0.20833333333333334</v>
      </c>
      <c r="J186" s="319">
        <v>7.75</v>
      </c>
      <c r="K186" s="277"/>
      <c r="L186" s="4"/>
      <c r="M186" s="47">
        <v>0.34375</v>
      </c>
      <c r="N186" s="47">
        <v>0.20833333333333334</v>
      </c>
      <c r="O186" s="319">
        <v>7.75</v>
      </c>
      <c r="P186" s="277"/>
      <c r="Q186" s="4"/>
      <c r="R186" s="47">
        <v>0.34375</v>
      </c>
      <c r="S186" s="47">
        <v>0.20833333333333334</v>
      </c>
      <c r="T186" s="319">
        <v>7.75</v>
      </c>
      <c r="U186" s="277"/>
      <c r="V186" s="4"/>
      <c r="W186" s="47">
        <v>0.34375</v>
      </c>
      <c r="X186" s="314">
        <v>0.20833333333333334</v>
      </c>
      <c r="Y186" s="319">
        <v>7.75</v>
      </c>
      <c r="Z186" s="277"/>
      <c r="AA186" s="29">
        <f t="shared" si="26"/>
        <v>38.75</v>
      </c>
      <c r="AB186" s="298">
        <f t="shared" si="27"/>
        <v>0</v>
      </c>
      <c r="AC186" s="4"/>
      <c r="AD186" s="47">
        <v>0.375</v>
      </c>
      <c r="AE186" s="47">
        <v>0.20833333333333334</v>
      </c>
      <c r="AF186" s="19">
        <v>7</v>
      </c>
      <c r="AG186" s="29">
        <f t="shared" si="28"/>
        <v>7</v>
      </c>
      <c r="AH186" s="4"/>
      <c r="AI186" s="255"/>
      <c r="AK186" s="193"/>
      <c r="AL186" s="193"/>
      <c r="AM186" s="193"/>
      <c r="AN186" s="193"/>
      <c r="AO186" s="193"/>
      <c r="AP186" s="193"/>
    </row>
    <row r="187" spans="2:42" s="180" customFormat="1">
      <c r="B187" s="13" t="s">
        <v>49</v>
      </c>
      <c r="C187" s="353">
        <v>0.34375</v>
      </c>
      <c r="D187" s="47">
        <v>0.20833333333333334</v>
      </c>
      <c r="E187" s="319">
        <v>7.75</v>
      </c>
      <c r="F187" s="277"/>
      <c r="G187" s="4"/>
      <c r="H187" s="47">
        <v>0.41666666666666669</v>
      </c>
      <c r="I187" s="47">
        <v>0.20833333333333334</v>
      </c>
      <c r="J187" s="319">
        <v>6</v>
      </c>
      <c r="K187" s="277"/>
      <c r="L187" s="4"/>
      <c r="M187" s="47">
        <v>0</v>
      </c>
      <c r="N187" s="47">
        <v>0</v>
      </c>
      <c r="O187" s="319">
        <v>0</v>
      </c>
      <c r="P187" s="277"/>
      <c r="Q187" s="4"/>
      <c r="R187" s="47">
        <v>0.35416666666666669</v>
      </c>
      <c r="S187" s="47">
        <v>0.20833333333333334</v>
      </c>
      <c r="T187" s="319">
        <v>7.5</v>
      </c>
      <c r="U187" s="277"/>
      <c r="V187" s="4"/>
      <c r="W187" s="47">
        <v>0.35416666666666669</v>
      </c>
      <c r="X187" s="314">
        <v>0.20833333333333334</v>
      </c>
      <c r="Y187" s="319">
        <v>7.5</v>
      </c>
      <c r="Z187" s="277"/>
      <c r="AA187" s="29">
        <f t="shared" si="26"/>
        <v>28.75</v>
      </c>
      <c r="AB187" s="298">
        <f t="shared" si="27"/>
        <v>0</v>
      </c>
      <c r="AC187" s="4"/>
      <c r="AD187" s="4">
        <v>0</v>
      </c>
      <c r="AE187" s="4">
        <v>0</v>
      </c>
      <c r="AF187" s="19">
        <v>0</v>
      </c>
      <c r="AG187" s="29">
        <f t="shared" si="28"/>
        <v>0</v>
      </c>
      <c r="AH187" s="4"/>
      <c r="AI187" s="255"/>
      <c r="AK187" s="193"/>
      <c r="AL187" s="193"/>
      <c r="AM187" s="193"/>
      <c r="AN187" s="193"/>
      <c r="AO187" s="193"/>
      <c r="AP187" s="193"/>
    </row>
    <row r="188" spans="2:42" s="180" customFormat="1">
      <c r="B188" s="13" t="s">
        <v>50</v>
      </c>
      <c r="C188" s="353">
        <v>0.38541666666666669</v>
      </c>
      <c r="D188" s="47">
        <v>0.20833333333333334</v>
      </c>
      <c r="E188" s="319">
        <v>6.75</v>
      </c>
      <c r="F188" s="277"/>
      <c r="G188" s="4"/>
      <c r="H188" s="47">
        <v>0.41666666666666669</v>
      </c>
      <c r="I188" s="47">
        <v>0.20833333333333334</v>
      </c>
      <c r="J188" s="319">
        <v>6</v>
      </c>
      <c r="K188" s="277"/>
      <c r="L188" s="4"/>
      <c r="M188" s="47">
        <v>0</v>
      </c>
      <c r="N188" s="47">
        <v>0</v>
      </c>
      <c r="O188" s="319">
        <v>0</v>
      </c>
      <c r="P188" s="277"/>
      <c r="Q188" s="4"/>
      <c r="R188" s="47">
        <v>0</v>
      </c>
      <c r="S188" s="47">
        <v>0</v>
      </c>
      <c r="T188" s="319">
        <v>0</v>
      </c>
      <c r="U188" s="277"/>
      <c r="V188" s="4"/>
      <c r="W188" s="47">
        <v>0.39583333333333331</v>
      </c>
      <c r="X188" s="314">
        <v>0.20833333333333334</v>
      </c>
      <c r="Y188" s="319">
        <v>6.5</v>
      </c>
      <c r="Z188" s="277"/>
      <c r="AA188" s="29">
        <f t="shared" si="26"/>
        <v>19.25</v>
      </c>
      <c r="AB188" s="298">
        <f t="shared" si="27"/>
        <v>0</v>
      </c>
      <c r="AC188" s="4"/>
      <c r="AD188" s="4">
        <v>0</v>
      </c>
      <c r="AE188" s="4">
        <v>0</v>
      </c>
      <c r="AF188" s="19">
        <v>0</v>
      </c>
      <c r="AG188" s="29">
        <f t="shared" si="28"/>
        <v>0</v>
      </c>
      <c r="AH188" s="4"/>
      <c r="AI188" s="255"/>
      <c r="AK188" s="193"/>
      <c r="AL188" s="193"/>
      <c r="AM188" s="193"/>
      <c r="AN188" s="193"/>
      <c r="AO188" s="193"/>
      <c r="AP188" s="193"/>
    </row>
    <row r="189" spans="2:42" s="180" customFormat="1">
      <c r="B189" s="13" t="s">
        <v>51</v>
      </c>
      <c r="C189" s="47">
        <v>0.33333333333333331</v>
      </c>
      <c r="D189" s="47">
        <v>0.20833333333333334</v>
      </c>
      <c r="E189" s="319">
        <v>8</v>
      </c>
      <c r="F189" s="277"/>
      <c r="G189" s="4"/>
      <c r="H189" s="47">
        <v>0.375</v>
      </c>
      <c r="I189" s="47">
        <v>0.20833333333333334</v>
      </c>
      <c r="J189" s="319">
        <v>7</v>
      </c>
      <c r="K189" s="277"/>
      <c r="L189" s="4"/>
      <c r="M189" s="47" t="s">
        <v>86</v>
      </c>
      <c r="N189" s="47">
        <v>0.20833333333333334</v>
      </c>
      <c r="O189" s="319">
        <v>7.25</v>
      </c>
      <c r="P189" s="277"/>
      <c r="Q189" s="4"/>
      <c r="R189" s="47">
        <v>0.34375</v>
      </c>
      <c r="S189" s="47">
        <v>0.20833333333333334</v>
      </c>
      <c r="T189" s="319">
        <v>7.75</v>
      </c>
      <c r="U189" s="277"/>
      <c r="V189" s="4"/>
      <c r="W189" s="47">
        <v>0.35416666666666669</v>
      </c>
      <c r="X189" s="314">
        <v>0.20833333333333334</v>
      </c>
      <c r="Y189" s="319">
        <v>7.5</v>
      </c>
      <c r="Z189" s="277"/>
      <c r="AA189" s="29">
        <f t="shared" si="26"/>
        <v>37.5</v>
      </c>
      <c r="AB189" s="298">
        <f t="shared" si="27"/>
        <v>0</v>
      </c>
      <c r="AC189" s="4"/>
      <c r="AD189" s="4">
        <v>0</v>
      </c>
      <c r="AE189" s="4">
        <v>0</v>
      </c>
      <c r="AF189" s="19">
        <v>0</v>
      </c>
      <c r="AG189" s="29">
        <f t="shared" si="28"/>
        <v>0</v>
      </c>
      <c r="AH189" s="4"/>
      <c r="AI189" s="255"/>
      <c r="AK189" s="193"/>
      <c r="AL189" s="193"/>
      <c r="AM189" s="193"/>
      <c r="AN189" s="193"/>
      <c r="AO189" s="193"/>
      <c r="AP189" s="193"/>
    </row>
    <row r="190" spans="2:42" s="180" customFormat="1">
      <c r="B190" s="13" t="s">
        <v>52</v>
      </c>
      <c r="C190" s="353">
        <v>0.35416666666666669</v>
      </c>
      <c r="D190" s="47">
        <v>0.20833333333333334</v>
      </c>
      <c r="E190" s="319">
        <v>7.5</v>
      </c>
      <c r="F190" s="277"/>
      <c r="G190" s="4"/>
      <c r="H190" s="47">
        <v>0.33333333333333331</v>
      </c>
      <c r="I190" s="47">
        <v>0.20833333333333334</v>
      </c>
      <c r="J190" s="319">
        <v>8</v>
      </c>
      <c r="K190" s="277"/>
      <c r="L190" s="4"/>
      <c r="M190" s="47">
        <v>0.34375</v>
      </c>
      <c r="N190" s="47">
        <v>0.20833333333333334</v>
      </c>
      <c r="O190" s="319">
        <v>7.75</v>
      </c>
      <c r="P190" s="277"/>
      <c r="Q190" s="4"/>
      <c r="R190" s="47">
        <v>0.33333333333333331</v>
      </c>
      <c r="S190" s="47">
        <v>0.20833333333333334</v>
      </c>
      <c r="T190" s="319">
        <v>7</v>
      </c>
      <c r="U190" s="277"/>
      <c r="V190" s="4"/>
      <c r="W190" s="47">
        <v>0.35416666666666669</v>
      </c>
      <c r="X190" s="314">
        <v>0.20833333333333334</v>
      </c>
      <c r="Y190" s="319">
        <v>7.5</v>
      </c>
      <c r="Z190" s="277"/>
      <c r="AA190" s="29">
        <f t="shared" si="26"/>
        <v>37.75</v>
      </c>
      <c r="AB190" s="298">
        <f t="shared" si="27"/>
        <v>0</v>
      </c>
      <c r="AC190" s="4"/>
      <c r="AD190" s="4">
        <v>0</v>
      </c>
      <c r="AE190" s="4">
        <v>0</v>
      </c>
      <c r="AF190" s="19">
        <v>0</v>
      </c>
      <c r="AG190" s="29">
        <f t="shared" si="28"/>
        <v>0</v>
      </c>
      <c r="AH190" s="4"/>
      <c r="AI190" s="255"/>
      <c r="AK190" s="193"/>
      <c r="AL190" s="193"/>
      <c r="AM190" s="193"/>
      <c r="AN190" s="193"/>
      <c r="AO190" s="193"/>
      <c r="AP190" s="193"/>
    </row>
    <row r="191" spans="2:42" s="180" customFormat="1">
      <c r="B191" s="13" t="s">
        <v>48</v>
      </c>
      <c r="C191" s="12" t="s">
        <v>29</v>
      </c>
      <c r="D191" s="12" t="s">
        <v>29</v>
      </c>
      <c r="E191" s="319">
        <v>7</v>
      </c>
      <c r="F191" s="277"/>
      <c r="G191" s="4"/>
      <c r="H191" s="47">
        <v>0.375</v>
      </c>
      <c r="I191" s="47">
        <v>0.20833333333333334</v>
      </c>
      <c r="J191" s="19">
        <v>7</v>
      </c>
      <c r="K191" s="277"/>
      <c r="L191" s="4"/>
      <c r="M191" s="47">
        <v>0.375</v>
      </c>
      <c r="N191" s="47">
        <v>0.20833333333333334</v>
      </c>
      <c r="O191" s="319">
        <v>7</v>
      </c>
      <c r="P191" s="277"/>
      <c r="Q191" s="4"/>
      <c r="R191" s="47">
        <v>0.375</v>
      </c>
      <c r="S191" s="47">
        <v>0.20833333333333334</v>
      </c>
      <c r="T191" s="319">
        <v>7</v>
      </c>
      <c r="U191" s="277"/>
      <c r="V191" s="4"/>
      <c r="W191" s="47">
        <v>0.375</v>
      </c>
      <c r="X191" s="47">
        <v>0.20833333333333334</v>
      </c>
      <c r="Y191" s="319">
        <v>7</v>
      </c>
      <c r="Z191" s="277"/>
      <c r="AA191" s="29">
        <f>(E191+J191+O191+T191+Y191)</f>
        <v>35</v>
      </c>
      <c r="AB191" s="298">
        <f>Z191+U191+P191+K191+F191</f>
        <v>0</v>
      </c>
      <c r="AC191" s="4"/>
      <c r="AD191" s="12" t="s">
        <v>29</v>
      </c>
      <c r="AE191" s="12" t="s">
        <v>29</v>
      </c>
      <c r="AF191" s="19">
        <v>10.5</v>
      </c>
      <c r="AG191" s="29">
        <f>AF191</f>
        <v>10.5</v>
      </c>
      <c r="AH191" s="4"/>
      <c r="AI191" s="255"/>
      <c r="AK191" s="193"/>
      <c r="AL191" s="193"/>
      <c r="AM191" s="193"/>
      <c r="AN191" s="193"/>
      <c r="AO191" s="193"/>
      <c r="AP191" s="193"/>
    </row>
    <row r="192" spans="2:42" s="180" customFormat="1">
      <c r="B192" s="13" t="s">
        <v>53</v>
      </c>
      <c r="C192" s="353">
        <v>0.3125</v>
      </c>
      <c r="D192" s="47">
        <v>0.20833333333333334</v>
      </c>
      <c r="E192" s="319">
        <v>8.5</v>
      </c>
      <c r="F192" s="277">
        <v>0.5</v>
      </c>
      <c r="G192" s="4"/>
      <c r="H192" s="47">
        <v>0</v>
      </c>
      <c r="I192" s="47">
        <v>0</v>
      </c>
      <c r="J192" s="19">
        <v>0</v>
      </c>
      <c r="K192" s="277"/>
      <c r="L192" s="4"/>
      <c r="M192" s="47">
        <v>0</v>
      </c>
      <c r="N192" s="47">
        <v>0</v>
      </c>
      <c r="O192" s="319">
        <v>0</v>
      </c>
      <c r="P192" s="277"/>
      <c r="Q192" s="4"/>
      <c r="R192" s="47">
        <v>0</v>
      </c>
      <c r="S192" s="47">
        <v>0</v>
      </c>
      <c r="T192" s="319">
        <v>0</v>
      </c>
      <c r="U192" s="277"/>
      <c r="V192" s="4"/>
      <c r="W192" s="47">
        <v>0</v>
      </c>
      <c r="X192" s="4">
        <v>0</v>
      </c>
      <c r="Y192" s="319">
        <v>0</v>
      </c>
      <c r="Z192" s="277"/>
      <c r="AA192" s="29">
        <f t="shared" si="26"/>
        <v>8.5</v>
      </c>
      <c r="AB192" s="298">
        <f t="shared" si="27"/>
        <v>0.5</v>
      </c>
      <c r="AC192" s="4"/>
      <c r="AD192" s="4">
        <v>0</v>
      </c>
      <c r="AE192" s="4">
        <v>0</v>
      </c>
      <c r="AF192" s="19">
        <v>0</v>
      </c>
      <c r="AG192" s="29">
        <f t="shared" si="28"/>
        <v>0</v>
      </c>
      <c r="AH192" s="4"/>
      <c r="AI192" s="255"/>
      <c r="AK192" s="193"/>
      <c r="AL192" s="193"/>
      <c r="AM192" s="193"/>
      <c r="AN192" s="193"/>
      <c r="AO192" s="193"/>
      <c r="AP192" s="193"/>
    </row>
    <row r="193" spans="1:42" s="180" customFormat="1">
      <c r="B193" s="13" t="s">
        <v>54</v>
      </c>
      <c r="C193" s="12" t="s">
        <v>29</v>
      </c>
      <c r="D193" s="12" t="s">
        <v>29</v>
      </c>
      <c r="E193" s="19">
        <v>0</v>
      </c>
      <c r="F193" s="277"/>
      <c r="G193" s="4"/>
      <c r="H193" s="12" t="s">
        <v>29</v>
      </c>
      <c r="I193" s="12" t="s">
        <v>29</v>
      </c>
      <c r="J193" s="19">
        <v>0</v>
      </c>
      <c r="K193" s="277"/>
      <c r="L193" s="4"/>
      <c r="M193" s="12" t="s">
        <v>29</v>
      </c>
      <c r="N193" s="12" t="s">
        <v>29</v>
      </c>
      <c r="O193" s="319">
        <v>0</v>
      </c>
      <c r="P193" s="277"/>
      <c r="Q193" s="4"/>
      <c r="R193" s="12" t="s">
        <v>29</v>
      </c>
      <c r="S193" s="12" t="s">
        <v>29</v>
      </c>
      <c r="T193" s="319">
        <v>0</v>
      </c>
      <c r="U193" s="277"/>
      <c r="V193" s="4"/>
      <c r="W193" s="12" t="s">
        <v>29</v>
      </c>
      <c r="X193" s="12" t="s">
        <v>29</v>
      </c>
      <c r="Y193" s="319">
        <v>0</v>
      </c>
      <c r="Z193" s="277"/>
      <c r="AA193" s="29">
        <f t="shared" si="26"/>
        <v>0</v>
      </c>
      <c r="AB193" s="298">
        <f t="shared" si="27"/>
        <v>0</v>
      </c>
      <c r="AC193" s="4"/>
      <c r="AD193" s="47">
        <v>0.38541666666666669</v>
      </c>
      <c r="AE193" s="47">
        <v>0.20833333333333334</v>
      </c>
      <c r="AF193" s="19">
        <v>6.75</v>
      </c>
      <c r="AG193" s="29">
        <f t="shared" si="28"/>
        <v>6.75</v>
      </c>
      <c r="AH193" s="4"/>
      <c r="AI193" s="255"/>
      <c r="AK193" s="193"/>
      <c r="AL193" s="193"/>
      <c r="AM193" s="193"/>
      <c r="AN193" s="193"/>
      <c r="AO193" s="193"/>
      <c r="AP193" s="193"/>
    </row>
    <row r="194" spans="1:42" s="180" customFormat="1">
      <c r="B194" s="13" t="s">
        <v>55</v>
      </c>
      <c r="C194" s="12" t="s">
        <v>29</v>
      </c>
      <c r="D194" s="12" t="s">
        <v>29</v>
      </c>
      <c r="E194" s="19">
        <v>0</v>
      </c>
      <c r="F194" s="277"/>
      <c r="G194" s="4"/>
      <c r="H194" s="12" t="s">
        <v>29</v>
      </c>
      <c r="I194" s="12" t="s">
        <v>29</v>
      </c>
      <c r="J194" s="19">
        <v>0</v>
      </c>
      <c r="K194" s="277"/>
      <c r="L194" s="4"/>
      <c r="M194" s="12" t="s">
        <v>29</v>
      </c>
      <c r="N194" s="12" t="s">
        <v>29</v>
      </c>
      <c r="O194" s="319">
        <v>0</v>
      </c>
      <c r="P194" s="277"/>
      <c r="Q194" s="4"/>
      <c r="R194" s="12" t="s">
        <v>29</v>
      </c>
      <c r="S194" s="12" t="s">
        <v>29</v>
      </c>
      <c r="T194" s="319">
        <v>0</v>
      </c>
      <c r="U194" s="277"/>
      <c r="V194" s="4"/>
      <c r="W194" s="12" t="s">
        <v>29</v>
      </c>
      <c r="X194" s="12" t="s">
        <v>29</v>
      </c>
      <c r="Y194" s="319">
        <v>0</v>
      </c>
      <c r="Z194" s="277"/>
      <c r="AA194" s="29">
        <f t="shared" si="26"/>
        <v>0</v>
      </c>
      <c r="AB194" s="298">
        <f t="shared" si="27"/>
        <v>0</v>
      </c>
      <c r="AC194" s="4"/>
      <c r="AD194" s="47">
        <v>0.33333333333333331</v>
      </c>
      <c r="AE194" s="47">
        <v>0.20833333333333334</v>
      </c>
      <c r="AF194" s="19">
        <v>8</v>
      </c>
      <c r="AG194" s="29">
        <f t="shared" si="28"/>
        <v>8</v>
      </c>
      <c r="AH194" s="4"/>
      <c r="AI194" s="255"/>
      <c r="AK194" s="193"/>
      <c r="AL194" s="193"/>
      <c r="AM194" s="193"/>
      <c r="AN194" s="193"/>
      <c r="AO194" s="193"/>
      <c r="AP194" s="193"/>
    </row>
    <row r="195" spans="1:42" s="180" customFormat="1">
      <c r="B195" s="138" t="s">
        <v>59</v>
      </c>
      <c r="C195" s="12" t="s">
        <v>29</v>
      </c>
      <c r="D195" s="12" t="s">
        <v>29</v>
      </c>
      <c r="E195" s="19">
        <v>8</v>
      </c>
      <c r="F195" s="277"/>
      <c r="G195" s="4"/>
      <c r="H195" s="12" t="s">
        <v>29</v>
      </c>
      <c r="I195" s="12" t="s">
        <v>29</v>
      </c>
      <c r="J195" s="19">
        <v>8</v>
      </c>
      <c r="K195" s="277"/>
      <c r="L195" s="4"/>
      <c r="M195" s="12" t="s">
        <v>29</v>
      </c>
      <c r="N195" s="12" t="s">
        <v>29</v>
      </c>
      <c r="O195" s="19">
        <v>8</v>
      </c>
      <c r="P195" s="277"/>
      <c r="Q195" s="4"/>
      <c r="R195" s="12" t="s">
        <v>29</v>
      </c>
      <c r="S195" s="12" t="s">
        <v>29</v>
      </c>
      <c r="T195" s="319">
        <v>8</v>
      </c>
      <c r="U195" s="277"/>
      <c r="V195" s="4"/>
      <c r="W195" s="12" t="s">
        <v>29</v>
      </c>
      <c r="X195" s="12" t="s">
        <v>29</v>
      </c>
      <c r="Y195" s="319">
        <v>8</v>
      </c>
      <c r="Z195" s="277"/>
      <c r="AA195" s="29">
        <f t="shared" si="26"/>
        <v>40</v>
      </c>
      <c r="AB195" s="298">
        <f t="shared" si="27"/>
        <v>0</v>
      </c>
      <c r="AC195" s="4"/>
      <c r="AD195" s="4">
        <v>0</v>
      </c>
      <c r="AE195" s="4">
        <v>0</v>
      </c>
      <c r="AF195" s="19">
        <v>0</v>
      </c>
      <c r="AG195" s="29">
        <f t="shared" si="28"/>
        <v>0</v>
      </c>
      <c r="AH195" s="4"/>
      <c r="AI195" s="255"/>
      <c r="AK195" s="193"/>
      <c r="AL195" s="193"/>
      <c r="AM195" s="193"/>
      <c r="AN195" s="193"/>
      <c r="AO195" s="193"/>
      <c r="AP195" s="193"/>
    </row>
    <row r="196" spans="1:42" s="180" customFormat="1">
      <c r="B196" s="138" t="s">
        <v>60</v>
      </c>
      <c r="C196" s="12" t="s">
        <v>29</v>
      </c>
      <c r="D196" s="12" t="s">
        <v>29</v>
      </c>
      <c r="E196" s="19">
        <v>8</v>
      </c>
      <c r="F196" s="277">
        <v>1.25</v>
      </c>
      <c r="G196" s="4"/>
      <c r="H196" s="12" t="s">
        <v>29</v>
      </c>
      <c r="I196" s="12" t="s">
        <v>29</v>
      </c>
      <c r="J196" s="19">
        <v>8</v>
      </c>
      <c r="K196" s="277">
        <v>1.75</v>
      </c>
      <c r="L196" s="4"/>
      <c r="M196" s="12" t="s">
        <v>29</v>
      </c>
      <c r="N196" s="12" t="s">
        <v>29</v>
      </c>
      <c r="O196" s="19">
        <v>8</v>
      </c>
      <c r="P196" s="277">
        <v>1.75</v>
      </c>
      <c r="Q196" s="4"/>
      <c r="R196" s="12" t="s">
        <v>29</v>
      </c>
      <c r="S196" s="12" t="s">
        <v>29</v>
      </c>
      <c r="T196" s="319">
        <v>8</v>
      </c>
      <c r="U196" s="277">
        <v>1.75</v>
      </c>
      <c r="V196" s="4"/>
      <c r="W196" s="12" t="s">
        <v>29</v>
      </c>
      <c r="X196" s="12" t="s">
        <v>29</v>
      </c>
      <c r="Y196" s="319">
        <v>8</v>
      </c>
      <c r="Z196" s="277">
        <v>1.25</v>
      </c>
      <c r="AA196" s="29">
        <f t="shared" si="26"/>
        <v>40</v>
      </c>
      <c r="AB196" s="298">
        <f t="shared" si="27"/>
        <v>7.75</v>
      </c>
      <c r="AC196" s="4"/>
      <c r="AD196" s="4">
        <v>0</v>
      </c>
      <c r="AE196" s="4">
        <v>0</v>
      </c>
      <c r="AF196" s="19">
        <v>0</v>
      </c>
      <c r="AG196" s="29">
        <f t="shared" si="28"/>
        <v>0</v>
      </c>
      <c r="AH196" s="4"/>
      <c r="AI196" s="255"/>
      <c r="AK196" s="193"/>
      <c r="AL196" s="193"/>
      <c r="AM196" s="193"/>
      <c r="AN196" s="193"/>
      <c r="AO196" s="193"/>
      <c r="AP196" s="193"/>
    </row>
    <row r="197" spans="1:42" s="180" customFormat="1">
      <c r="B197" s="63" t="s">
        <v>62</v>
      </c>
      <c r="C197" s="12" t="s">
        <v>29</v>
      </c>
      <c r="D197" s="12" t="s">
        <v>29</v>
      </c>
      <c r="E197" s="19">
        <v>8</v>
      </c>
      <c r="F197" s="277"/>
      <c r="G197" s="60"/>
      <c r="H197" s="12" t="s">
        <v>29</v>
      </c>
      <c r="I197" s="12" t="s">
        <v>29</v>
      </c>
      <c r="J197" s="19">
        <v>8</v>
      </c>
      <c r="K197" s="277"/>
      <c r="L197" s="60"/>
      <c r="M197" s="12" t="s">
        <v>29</v>
      </c>
      <c r="N197" s="12" t="s">
        <v>29</v>
      </c>
      <c r="O197" s="19">
        <v>8</v>
      </c>
      <c r="P197" s="277"/>
      <c r="Q197" s="60"/>
      <c r="R197" s="12" t="s">
        <v>29</v>
      </c>
      <c r="S197" s="12" t="s">
        <v>29</v>
      </c>
      <c r="T197" s="19">
        <v>8</v>
      </c>
      <c r="U197" s="277"/>
      <c r="V197" s="60"/>
      <c r="W197" s="12" t="s">
        <v>29</v>
      </c>
      <c r="X197" s="12" t="s">
        <v>29</v>
      </c>
      <c r="Y197" s="19">
        <v>8</v>
      </c>
      <c r="Z197" s="277"/>
      <c r="AA197" s="28">
        <f>SUM(E197+J197+O197+T197+Y197)</f>
        <v>40</v>
      </c>
      <c r="AB197" s="282">
        <f>Z197+U197+P197+K197+F197</f>
        <v>0</v>
      </c>
      <c r="AC197" s="4"/>
      <c r="AD197" s="56"/>
      <c r="AE197" s="56"/>
      <c r="AF197" s="19"/>
      <c r="AG197" s="29">
        <v>0</v>
      </c>
      <c r="AH197" s="4"/>
      <c r="AI197" s="255"/>
      <c r="AK197" s="193"/>
      <c r="AL197" s="193"/>
      <c r="AM197" s="193"/>
      <c r="AN197" s="193"/>
      <c r="AO197" s="193"/>
      <c r="AP197" s="193"/>
    </row>
    <row r="198" spans="1:42" s="180" customFormat="1">
      <c r="B198" s="64" t="s">
        <v>61</v>
      </c>
      <c r="C198" s="64"/>
      <c r="D198" s="64"/>
      <c r="E198" s="167">
        <f>SUM(E171:E197)</f>
        <v>181</v>
      </c>
      <c r="F198" s="277">
        <f>SUM(F171:F197)</f>
        <v>2.25</v>
      </c>
      <c r="G198" s="64"/>
      <c r="H198" s="64"/>
      <c r="I198" s="64"/>
      <c r="J198" s="64">
        <f>SUM(J171:J197)</f>
        <v>163.75</v>
      </c>
      <c r="K198" s="277">
        <f>SUM(K171:K197)</f>
        <v>3</v>
      </c>
      <c r="L198" s="64"/>
      <c r="M198" s="64"/>
      <c r="N198" s="64"/>
      <c r="O198" s="167">
        <f>SUM(O171:O197)</f>
        <v>165.25</v>
      </c>
      <c r="P198" s="277">
        <f>SUM(P171:P197)</f>
        <v>2.5</v>
      </c>
      <c r="Q198" s="64"/>
      <c r="R198" s="64"/>
      <c r="S198" s="64"/>
      <c r="T198" s="167">
        <f>SUM(T171:T197)</f>
        <v>173</v>
      </c>
      <c r="U198" s="277">
        <f>SUM(U171:U197)</f>
        <v>2.25</v>
      </c>
      <c r="V198" s="64"/>
      <c r="W198" s="64"/>
      <c r="X198" s="64"/>
      <c r="Y198" s="167">
        <f>SUM(Y171:Y197)</f>
        <v>172</v>
      </c>
      <c r="Z198" s="277">
        <f>SUM(Z171:Z197)</f>
        <v>2.25</v>
      </c>
      <c r="AA198" s="370">
        <f>SUM(AA171:AA197)</f>
        <v>855</v>
      </c>
      <c r="AB198" s="284">
        <f>SUM(AB171:AB196)</f>
        <v>12.25</v>
      </c>
      <c r="AC198" s="4"/>
      <c r="AD198" s="64"/>
      <c r="AE198" s="64"/>
      <c r="AF198" s="64"/>
      <c r="AG198" s="370">
        <f>SUM(AG171:AG194)</f>
        <v>50.5</v>
      </c>
      <c r="AH198" s="4"/>
      <c r="AI198" s="255"/>
      <c r="AK198" s="193"/>
      <c r="AL198" s="193"/>
      <c r="AM198" s="193"/>
      <c r="AN198" s="193"/>
      <c r="AO198" s="193"/>
      <c r="AP198" s="193"/>
    </row>
    <row r="199" spans="1:42" s="180" customFormat="1">
      <c r="B199" s="63" t="s">
        <v>63</v>
      </c>
      <c r="C199" s="56"/>
      <c r="D199" s="56"/>
      <c r="E199" s="19">
        <v>8</v>
      </c>
      <c r="F199" s="291"/>
      <c r="G199" s="60"/>
      <c r="H199" s="56"/>
      <c r="I199" s="56"/>
      <c r="J199" s="19">
        <v>8</v>
      </c>
      <c r="K199" s="291"/>
      <c r="L199" s="60"/>
      <c r="M199" s="56"/>
      <c r="N199" s="56"/>
      <c r="O199" s="19">
        <v>8</v>
      </c>
      <c r="P199" s="19"/>
      <c r="Q199" s="60"/>
      <c r="R199" s="56"/>
      <c r="S199" s="56"/>
      <c r="T199" s="19">
        <v>8</v>
      </c>
      <c r="U199" s="19"/>
      <c r="V199" s="60"/>
      <c r="W199" s="56"/>
      <c r="X199" s="56"/>
      <c r="Y199" s="19">
        <v>8</v>
      </c>
      <c r="Z199" s="19"/>
      <c r="AA199" s="28">
        <f>SUM(E199+J199+O199+T199+Y199)</f>
        <v>40</v>
      </c>
      <c r="AB199" s="282">
        <f>Z199+U199+P199+K199+F199</f>
        <v>0</v>
      </c>
      <c r="AC199" s="4"/>
      <c r="AD199" s="56"/>
      <c r="AE199" s="56"/>
      <c r="AF199" s="19"/>
      <c r="AG199" s="29">
        <f>AF199</f>
        <v>0</v>
      </c>
      <c r="AH199" s="4"/>
      <c r="AI199" s="255"/>
      <c r="AK199" s="193"/>
      <c r="AL199" s="193"/>
      <c r="AM199" s="193"/>
      <c r="AN199" s="193"/>
      <c r="AO199" s="193"/>
      <c r="AP199" s="193"/>
    </row>
    <row r="200" spans="1:42" s="180" customFormat="1">
      <c r="B200" s="63" t="s">
        <v>64</v>
      </c>
      <c r="C200" s="56"/>
      <c r="D200" s="56"/>
      <c r="E200" s="19">
        <v>8</v>
      </c>
      <c r="F200" s="291">
        <v>1</v>
      </c>
      <c r="G200" s="60"/>
      <c r="H200" s="56"/>
      <c r="I200" s="56"/>
      <c r="J200" s="19">
        <v>8</v>
      </c>
      <c r="K200" s="291"/>
      <c r="L200" s="60"/>
      <c r="M200" s="56"/>
      <c r="N200" s="56"/>
      <c r="O200" s="19">
        <v>8</v>
      </c>
      <c r="P200" s="19">
        <v>2</v>
      </c>
      <c r="Q200" s="60"/>
      <c r="R200" s="56"/>
      <c r="S200" s="56"/>
      <c r="T200" s="19">
        <v>8</v>
      </c>
      <c r="U200" s="19">
        <v>4</v>
      </c>
      <c r="V200" s="60"/>
      <c r="W200" s="56"/>
      <c r="X200" s="56"/>
      <c r="Y200" s="19">
        <v>8</v>
      </c>
      <c r="Z200" s="19">
        <v>4</v>
      </c>
      <c r="AA200" s="28">
        <f>SUM(E200+J200+O200+T200+Y200)</f>
        <v>40</v>
      </c>
      <c r="AB200" s="282">
        <f>Z200+U200+P200+K200+F200</f>
        <v>11</v>
      </c>
      <c r="AC200" s="4"/>
      <c r="AD200" s="56"/>
      <c r="AE200" s="56"/>
      <c r="AF200" s="19"/>
      <c r="AG200" s="29">
        <v>9</v>
      </c>
      <c r="AH200" s="4"/>
      <c r="AI200" s="255"/>
      <c r="AK200" s="193"/>
      <c r="AL200" s="193">
        <v>121</v>
      </c>
      <c r="AM200" s="193"/>
      <c r="AN200" s="193"/>
      <c r="AO200" s="193"/>
      <c r="AP200" s="193"/>
    </row>
    <row r="201" spans="1:42" s="180" customFormat="1" ht="14.25" thickBot="1">
      <c r="B201" s="268" t="s">
        <v>65</v>
      </c>
      <c r="C201" s="75"/>
      <c r="D201" s="75"/>
      <c r="E201" s="77">
        <v>1</v>
      </c>
      <c r="F201" s="292"/>
      <c r="G201" s="81"/>
      <c r="H201" s="75"/>
      <c r="I201" s="75"/>
      <c r="J201" s="77">
        <v>1</v>
      </c>
      <c r="K201" s="292"/>
      <c r="L201" s="81"/>
      <c r="M201" s="75"/>
      <c r="N201" s="75"/>
      <c r="O201" s="77">
        <v>1</v>
      </c>
      <c r="P201" s="77"/>
      <c r="Q201" s="81"/>
      <c r="R201" s="75"/>
      <c r="S201" s="75"/>
      <c r="T201" s="77">
        <v>1</v>
      </c>
      <c r="U201" s="77"/>
      <c r="V201" s="81"/>
      <c r="W201" s="75"/>
      <c r="X201" s="75"/>
      <c r="Y201" s="77">
        <v>1</v>
      </c>
      <c r="Z201" s="77"/>
      <c r="AA201" s="80">
        <f>SUM(E201+J201+O201+T201+Y201)</f>
        <v>5</v>
      </c>
      <c r="AB201" s="294">
        <f>Z201+U201+P201+K201+F201</f>
        <v>0</v>
      </c>
      <c r="AC201" s="4"/>
      <c r="AD201" s="75"/>
      <c r="AE201" s="75"/>
      <c r="AF201" s="77"/>
      <c r="AG201" s="276">
        <v>0</v>
      </c>
      <c r="AH201" s="4"/>
      <c r="AI201" s="255"/>
      <c r="AK201" s="193"/>
      <c r="AL201" s="193"/>
      <c r="AM201" s="193"/>
      <c r="AN201" s="193"/>
      <c r="AO201" s="193"/>
      <c r="AP201" s="193"/>
    </row>
    <row r="202" spans="1:42" s="180" customFormat="1" ht="14.25" thickTop="1">
      <c r="B202" s="71" t="s">
        <v>66</v>
      </c>
      <c r="C202" s="371"/>
      <c r="D202" s="371"/>
      <c r="E202" s="71">
        <f>SUM(E199:E201)</f>
        <v>17</v>
      </c>
      <c r="F202" s="372"/>
      <c r="G202" s="372"/>
      <c r="H202" s="371"/>
      <c r="I202" s="371"/>
      <c r="J202" s="71">
        <f>SUM(J199:J201)</f>
        <v>17</v>
      </c>
      <c r="K202" s="372"/>
      <c r="L202" s="372"/>
      <c r="M202" s="371"/>
      <c r="N202" s="371"/>
      <c r="O202" s="71">
        <f>SUM(O199:O201)</f>
        <v>17</v>
      </c>
      <c r="P202" s="372"/>
      <c r="Q202" s="372"/>
      <c r="R202" s="371"/>
      <c r="S202" s="371"/>
      <c r="T202" s="71">
        <f>SUM(T199:T201)</f>
        <v>17</v>
      </c>
      <c r="U202" s="372"/>
      <c r="V202" s="372"/>
      <c r="W202" s="371"/>
      <c r="X202" s="371"/>
      <c r="Y202" s="66">
        <f>SUM(Y199:Y201)</f>
        <v>17</v>
      </c>
      <c r="Z202" s="372"/>
      <c r="AA202" s="370">
        <f>SUM(AA199:AA201)</f>
        <v>85</v>
      </c>
      <c r="AB202" s="370">
        <f>SUM(AB199:AB201)</f>
        <v>11</v>
      </c>
      <c r="AC202" s="4"/>
      <c r="AG202" s="370">
        <f>SUM(AG200:AG201)</f>
        <v>9</v>
      </c>
      <c r="AH202" s="4"/>
      <c r="AI202" s="255"/>
      <c r="AK202" s="193"/>
      <c r="AL202" s="193"/>
      <c r="AM202" s="193"/>
      <c r="AN202" s="193"/>
      <c r="AO202" s="193"/>
      <c r="AP202" s="193"/>
    </row>
    <row r="203" spans="1:42" s="180" customFormat="1">
      <c r="B203" s="217" t="s">
        <v>67</v>
      </c>
      <c r="C203" s="207">
        <f>C204+C205</f>
        <v>121</v>
      </c>
      <c r="D203" s="207"/>
      <c r="E203" s="209"/>
      <c r="F203" s="209"/>
      <c r="G203" s="207"/>
      <c r="H203" s="209"/>
      <c r="I203" s="209"/>
      <c r="J203" s="209"/>
      <c r="K203" s="209"/>
      <c r="L203" s="207"/>
      <c r="M203" s="207"/>
      <c r="N203" s="207"/>
      <c r="O203" s="207"/>
      <c r="P203" s="209"/>
      <c r="Q203" s="207"/>
      <c r="R203" s="207"/>
      <c r="S203" s="207"/>
      <c r="T203" s="207"/>
      <c r="U203" s="209"/>
      <c r="V203" s="207"/>
      <c r="W203" s="207"/>
      <c r="X203" s="207"/>
      <c r="Y203" s="210"/>
      <c r="Z203" s="209"/>
      <c r="AA203" s="211"/>
      <c r="AB203" s="209"/>
      <c r="AC203" s="211"/>
      <c r="AD203" s="211"/>
      <c r="AE203" s="211"/>
      <c r="AF203" s="211"/>
      <c r="AG203" s="211"/>
      <c r="AH203" s="4"/>
      <c r="AI203" s="255"/>
      <c r="AK203" s="193"/>
      <c r="AL203" s="193"/>
      <c r="AM203" s="193"/>
      <c r="AN203" s="193"/>
      <c r="AO203" s="193"/>
      <c r="AP203" s="193"/>
    </row>
    <row r="204" spans="1:42" s="180" customFormat="1">
      <c r="B204" s="238" t="s">
        <v>68</v>
      </c>
      <c r="C204" s="239">
        <f>14+12+13+13+13+5</f>
        <v>70</v>
      </c>
      <c r="D204" s="207"/>
      <c r="E204" s="209"/>
      <c r="F204" s="209"/>
      <c r="G204" s="207"/>
      <c r="H204" s="209"/>
      <c r="I204" s="209"/>
      <c r="J204" s="209"/>
      <c r="K204" s="209"/>
      <c r="L204" s="207"/>
      <c r="M204" s="207"/>
      <c r="N204" s="207"/>
      <c r="O204" s="207"/>
      <c r="P204" s="209"/>
      <c r="Q204" s="207"/>
      <c r="R204" s="207"/>
      <c r="S204" s="207"/>
      <c r="T204" s="207"/>
      <c r="U204" s="209"/>
      <c r="V204" s="207"/>
      <c r="W204" s="207"/>
      <c r="X204" s="207"/>
      <c r="Y204" s="210"/>
      <c r="Z204" s="209"/>
      <c r="AA204" s="211"/>
      <c r="AB204" s="209"/>
      <c r="AC204" s="211"/>
      <c r="AD204" s="211"/>
      <c r="AE204" s="211"/>
      <c r="AF204" s="211"/>
      <c r="AG204" s="211"/>
      <c r="AH204" s="4"/>
      <c r="AI204" s="255"/>
      <c r="AK204" s="193"/>
      <c r="AL204" s="193"/>
      <c r="AM204" s="193"/>
      <c r="AN204" s="193"/>
      <c r="AO204" s="193"/>
      <c r="AP204" s="193"/>
    </row>
    <row r="205" spans="1:42" s="180" customFormat="1">
      <c r="A205" s="11"/>
      <c r="B205" s="238" t="s">
        <v>69</v>
      </c>
      <c r="C205" s="239">
        <f>15+11+9+9+7</f>
        <v>51</v>
      </c>
      <c r="D205" s="207"/>
      <c r="E205" s="209"/>
      <c r="F205" s="209"/>
      <c r="G205" s="207"/>
      <c r="H205" s="209"/>
      <c r="I205" s="209"/>
      <c r="J205" s="209"/>
      <c r="K205" s="209"/>
      <c r="L205" s="207"/>
      <c r="M205" s="207"/>
      <c r="N205" s="207"/>
      <c r="O205" s="207"/>
      <c r="P205" s="209"/>
      <c r="Q205" s="207"/>
      <c r="R205" s="207"/>
      <c r="S205" s="207"/>
      <c r="T205" s="207"/>
      <c r="U205" s="209"/>
      <c r="V205" s="207"/>
      <c r="W205" s="207"/>
      <c r="X205" s="207"/>
      <c r="Y205" s="210"/>
      <c r="Z205" s="209"/>
      <c r="AA205" s="211"/>
      <c r="AB205" s="209"/>
      <c r="AC205" s="211"/>
      <c r="AD205" s="211"/>
      <c r="AE205" s="211"/>
      <c r="AF205" s="211"/>
      <c r="AG205" s="211"/>
      <c r="AH205" s="4"/>
      <c r="AI205" s="255"/>
      <c r="AK205" s="193"/>
      <c r="AL205" s="193"/>
      <c r="AM205" s="193"/>
      <c r="AN205" s="193"/>
      <c r="AO205" s="193"/>
      <c r="AP205" s="193"/>
    </row>
    <row r="206" spans="1:42" s="180" customFormat="1">
      <c r="E206" s="4"/>
      <c r="F206" s="4"/>
      <c r="G206" s="4"/>
      <c r="J206" s="4"/>
      <c r="K206" s="4"/>
      <c r="L206" s="4"/>
      <c r="O206" s="4"/>
      <c r="P206" s="4"/>
      <c r="Q206" s="4"/>
      <c r="T206" s="4"/>
      <c r="U206" s="4"/>
      <c r="V206" s="4"/>
      <c r="Y206" s="4"/>
      <c r="Z206" s="4"/>
      <c r="AA206" s="4"/>
      <c r="AB206" s="4"/>
      <c r="AC206" s="4"/>
      <c r="AH206" s="4"/>
    </row>
    <row r="207" spans="1:42" s="255" customFormat="1">
      <c r="A207" s="228"/>
      <c r="B207" s="229"/>
      <c r="C207" s="230"/>
      <c r="D207" s="230"/>
      <c r="E207" s="232"/>
      <c r="F207" s="232"/>
      <c r="G207" s="230"/>
      <c r="H207" s="232"/>
      <c r="I207" s="232"/>
      <c r="J207" s="232"/>
      <c r="K207" s="232"/>
      <c r="L207" s="230"/>
      <c r="M207" s="230"/>
      <c r="N207" s="230"/>
      <c r="O207" s="230"/>
      <c r="P207" s="232"/>
      <c r="Q207" s="230"/>
      <c r="R207" s="230"/>
      <c r="S207" s="230"/>
      <c r="T207" s="230"/>
      <c r="U207" s="232"/>
      <c r="V207" s="230"/>
      <c r="W207" s="230"/>
      <c r="X207" s="230"/>
      <c r="Y207" s="233"/>
      <c r="Z207" s="232"/>
      <c r="AA207" s="234"/>
      <c r="AB207" s="232"/>
      <c r="AC207" s="373"/>
      <c r="AD207" s="236"/>
      <c r="AH207" s="373"/>
    </row>
    <row r="208" spans="1:42" s="193" customFormat="1">
      <c r="A208" s="224"/>
      <c r="B208" s="214"/>
      <c r="C208" s="364"/>
      <c r="D208" s="364"/>
      <c r="E208" s="214"/>
      <c r="F208" s="214"/>
      <c r="G208" s="364"/>
      <c r="H208" s="214"/>
      <c r="I208" s="214"/>
      <c r="J208" s="214"/>
      <c r="K208" s="214"/>
      <c r="L208" s="364"/>
      <c r="M208" s="364"/>
      <c r="N208" s="364"/>
      <c r="O208" s="364"/>
      <c r="P208" s="214"/>
      <c r="Q208" s="364"/>
      <c r="R208" s="364"/>
      <c r="S208" s="364"/>
      <c r="T208" s="364"/>
      <c r="U208" s="214"/>
      <c r="V208" s="364"/>
      <c r="W208" s="364"/>
      <c r="X208" s="364"/>
      <c r="Y208" s="216"/>
      <c r="Z208" s="214"/>
      <c r="AA208" s="225"/>
      <c r="AB208" s="214"/>
      <c r="AC208" s="189"/>
      <c r="AH208" s="4"/>
      <c r="AI208" s="255"/>
      <c r="AJ208" s="180"/>
    </row>
    <row r="209" spans="2:42" s="180" customFormat="1">
      <c r="B209" s="1518" t="s">
        <v>18</v>
      </c>
      <c r="C209" s="1519">
        <v>45208</v>
      </c>
      <c r="D209" s="1519"/>
      <c r="E209" s="1519"/>
      <c r="F209" s="1519"/>
      <c r="G209" s="365"/>
      <c r="H209" s="1519">
        <v>45209</v>
      </c>
      <c r="I209" s="1519"/>
      <c r="J209" s="1519"/>
      <c r="K209" s="1519"/>
      <c r="L209" s="365"/>
      <c r="M209" s="1519">
        <v>45210</v>
      </c>
      <c r="N209" s="1519"/>
      <c r="O209" s="1519"/>
      <c r="P209" s="1519"/>
      <c r="Q209" s="365"/>
      <c r="R209" s="1519">
        <v>45211</v>
      </c>
      <c r="S209" s="1519"/>
      <c r="T209" s="1519"/>
      <c r="U209" s="1519"/>
      <c r="V209" s="365"/>
      <c r="W209" s="1519">
        <v>45212</v>
      </c>
      <c r="X209" s="1519"/>
      <c r="Y209" s="1519"/>
      <c r="Z209" s="1519"/>
      <c r="AA209" s="1517" t="s">
        <v>19</v>
      </c>
      <c r="AB209" s="1517" t="s">
        <v>20</v>
      </c>
      <c r="AC209" s="4"/>
      <c r="AD209" s="1519">
        <v>45213</v>
      </c>
      <c r="AE209" s="1519"/>
      <c r="AF209" s="1519"/>
      <c r="AG209" s="1517" t="s">
        <v>21</v>
      </c>
      <c r="AH209" s="4"/>
      <c r="AI209" s="255"/>
      <c r="AK209" s="194" t="s">
        <v>84</v>
      </c>
      <c r="AL209" s="366"/>
      <c r="AM209" s="366"/>
      <c r="AN209" s="366"/>
      <c r="AO209" s="366"/>
      <c r="AP209" s="366"/>
    </row>
    <row r="210" spans="2:42" s="367" customFormat="1">
      <c r="B210" s="1518"/>
      <c r="C210" s="21" t="s">
        <v>23</v>
      </c>
      <c r="D210" s="21" t="s">
        <v>24</v>
      </c>
      <c r="E210" s="205" t="s">
        <v>25</v>
      </c>
      <c r="F210" s="18" t="s">
        <v>14</v>
      </c>
      <c r="G210" s="4"/>
      <c r="H210" s="21" t="s">
        <v>23</v>
      </c>
      <c r="I210" s="21" t="s">
        <v>24</v>
      </c>
      <c r="J210" s="18" t="s">
        <v>25</v>
      </c>
      <c r="K210" s="18" t="s">
        <v>14</v>
      </c>
      <c r="L210" s="4"/>
      <c r="M210" s="21" t="s">
        <v>23</v>
      </c>
      <c r="N210" s="21" t="s">
        <v>24</v>
      </c>
      <c r="O210" s="18" t="s">
        <v>25</v>
      </c>
      <c r="P210" s="18" t="s">
        <v>14</v>
      </c>
      <c r="Q210" s="4"/>
      <c r="R210" s="21" t="s">
        <v>23</v>
      </c>
      <c r="S210" s="21" t="s">
        <v>24</v>
      </c>
      <c r="T210" s="18" t="s">
        <v>25</v>
      </c>
      <c r="U210" s="18" t="s">
        <v>14</v>
      </c>
      <c r="V210" s="4"/>
      <c r="W210" s="21" t="s">
        <v>23</v>
      </c>
      <c r="X210" s="21" t="s">
        <v>24</v>
      </c>
      <c r="Y210" s="18" t="s">
        <v>25</v>
      </c>
      <c r="Z210" s="18" t="s">
        <v>14</v>
      </c>
      <c r="AA210" s="1517"/>
      <c r="AB210" s="1517"/>
      <c r="AC210" s="4"/>
      <c r="AD210" s="21" t="s">
        <v>23</v>
      </c>
      <c r="AE210" s="21" t="s">
        <v>24</v>
      </c>
      <c r="AF210" s="18" t="s">
        <v>25</v>
      </c>
      <c r="AG210" s="1517"/>
      <c r="AH210" s="175"/>
      <c r="AI210" s="368"/>
      <c r="AK210" s="188" t="s">
        <v>26</v>
      </c>
      <c r="AL210" s="196">
        <f>AA238</f>
        <v>821.5</v>
      </c>
      <c r="AM210" s="193"/>
      <c r="AN210" s="193"/>
      <c r="AO210" s="193"/>
      <c r="AP210" s="193"/>
    </row>
    <row r="211" spans="2:42" s="367" customFormat="1">
      <c r="B211" s="171" t="s">
        <v>56</v>
      </c>
      <c r="C211" s="172">
        <v>0.35416666666666669</v>
      </c>
      <c r="D211" s="172">
        <v>0.20833333333333334</v>
      </c>
      <c r="E211" s="173">
        <v>7.5</v>
      </c>
      <c r="F211" s="277"/>
      <c r="G211" s="175"/>
      <c r="H211" s="172">
        <v>0.35416666666666669</v>
      </c>
      <c r="I211" s="172">
        <v>0.20833333333333334</v>
      </c>
      <c r="J211" s="173">
        <v>7.5</v>
      </c>
      <c r="K211" s="277"/>
      <c r="L211" s="175"/>
      <c r="M211" s="172">
        <v>0.35416666666666669</v>
      </c>
      <c r="N211" s="172">
        <v>0.20833333333333334</v>
      </c>
      <c r="O211" s="173">
        <v>7.5</v>
      </c>
      <c r="P211" s="277"/>
      <c r="Q211" s="175"/>
      <c r="R211" s="172">
        <v>0.36458333333333331</v>
      </c>
      <c r="S211" s="172">
        <v>0.20833333333333334</v>
      </c>
      <c r="T211" s="173">
        <v>7.25</v>
      </c>
      <c r="U211" s="277"/>
      <c r="V211" s="175"/>
      <c r="W211" s="172">
        <v>0.36458333333333331</v>
      </c>
      <c r="X211" s="172">
        <v>0.20833333333333334</v>
      </c>
      <c r="Y211" s="173">
        <v>7.25</v>
      </c>
      <c r="Z211" s="277"/>
      <c r="AA211" s="28">
        <f t="shared" ref="AA211:AA236" si="29">(E211+J211+O211+T211+Y211)</f>
        <v>37</v>
      </c>
      <c r="AB211" s="298">
        <f t="shared" ref="AB211:AB237" si="30">Z211+U211+P211+K211+F211</f>
        <v>0</v>
      </c>
      <c r="AC211" s="175"/>
      <c r="AD211" s="175">
        <v>0</v>
      </c>
      <c r="AE211" s="175">
        <v>0</v>
      </c>
      <c r="AF211" s="173">
        <v>0</v>
      </c>
      <c r="AG211" s="28">
        <f t="shared" ref="AG211:AG236" si="31">AF211</f>
        <v>0</v>
      </c>
      <c r="AH211" s="175"/>
      <c r="AI211" s="368"/>
      <c r="AK211" s="188" t="s">
        <v>30</v>
      </c>
      <c r="AL211" s="196">
        <f>AB238</f>
        <v>0.25</v>
      </c>
      <c r="AM211" s="193"/>
      <c r="AN211" s="193"/>
      <c r="AO211" s="193"/>
      <c r="AP211" s="193"/>
    </row>
    <row r="212" spans="2:42" s="367" customFormat="1">
      <c r="B212" s="171" t="s">
        <v>31</v>
      </c>
      <c r="C212" s="172">
        <v>0.35416666666666669</v>
      </c>
      <c r="D212" s="172">
        <v>0.20833333333333334</v>
      </c>
      <c r="E212" s="173">
        <v>7.5</v>
      </c>
      <c r="F212" s="277"/>
      <c r="G212" s="175"/>
      <c r="H212" s="172">
        <v>0.35416666666666669</v>
      </c>
      <c r="I212" s="172">
        <v>0.20833333333333334</v>
      </c>
      <c r="J212" s="173">
        <v>7.5</v>
      </c>
      <c r="K212" s="277"/>
      <c r="L212" s="175"/>
      <c r="M212" s="172">
        <v>0</v>
      </c>
      <c r="N212" s="172">
        <v>0</v>
      </c>
      <c r="O212" s="173">
        <v>0</v>
      </c>
      <c r="P212" s="277"/>
      <c r="Q212" s="175"/>
      <c r="R212" s="172">
        <v>0.35416666666666669</v>
      </c>
      <c r="S212" s="172">
        <v>0.20833333333333334</v>
      </c>
      <c r="T212" s="173">
        <v>7.5</v>
      </c>
      <c r="U212" s="277"/>
      <c r="V212" s="175"/>
      <c r="W212" s="172">
        <v>0.35416666666666669</v>
      </c>
      <c r="X212" s="172">
        <v>0.20833333333333334</v>
      </c>
      <c r="Y212" s="173">
        <v>7.5</v>
      </c>
      <c r="Z212" s="277"/>
      <c r="AA212" s="28">
        <f t="shared" si="29"/>
        <v>30</v>
      </c>
      <c r="AB212" s="298">
        <f t="shared" si="30"/>
        <v>0</v>
      </c>
      <c r="AC212" s="175"/>
      <c r="AD212" s="175">
        <v>0</v>
      </c>
      <c r="AE212" s="175">
        <v>0</v>
      </c>
      <c r="AF212" s="173">
        <v>0</v>
      </c>
      <c r="AG212" s="28">
        <f t="shared" si="31"/>
        <v>0</v>
      </c>
      <c r="AH212" s="175"/>
      <c r="AI212" s="368"/>
      <c r="AK212" s="188" t="s">
        <v>32</v>
      </c>
      <c r="AL212" s="196">
        <f>AG238</f>
        <v>49</v>
      </c>
      <c r="AM212" s="193"/>
      <c r="AN212" s="193"/>
      <c r="AO212" s="193"/>
      <c r="AP212" s="193"/>
    </row>
    <row r="213" spans="2:42" s="367" customFormat="1">
      <c r="B213" s="171" t="s">
        <v>33</v>
      </c>
      <c r="C213" s="377">
        <v>0.375</v>
      </c>
      <c r="D213" s="172">
        <v>0.20833333333333334</v>
      </c>
      <c r="E213" s="173">
        <v>7</v>
      </c>
      <c r="F213" s="277"/>
      <c r="G213" s="175"/>
      <c r="H213" s="172">
        <v>0.36458333333333331</v>
      </c>
      <c r="I213" s="172">
        <v>0.20833333333333334</v>
      </c>
      <c r="J213" s="173">
        <v>7.25</v>
      </c>
      <c r="K213" s="277"/>
      <c r="L213" s="175"/>
      <c r="M213" s="172">
        <v>0.35416666666666669</v>
      </c>
      <c r="N213" s="172">
        <v>0.20833333333333334</v>
      </c>
      <c r="O213" s="173">
        <v>7.5</v>
      </c>
      <c r="P213" s="277"/>
      <c r="Q213" s="175"/>
      <c r="R213" s="172">
        <v>0.375</v>
      </c>
      <c r="S213" s="172">
        <v>0.20833333333333334</v>
      </c>
      <c r="T213" s="173">
        <v>7</v>
      </c>
      <c r="U213" s="277"/>
      <c r="V213" s="175"/>
      <c r="W213" s="172">
        <v>0.5</v>
      </c>
      <c r="X213" s="172">
        <v>0.20833333333333334</v>
      </c>
      <c r="Y213" s="173">
        <v>5</v>
      </c>
      <c r="Z213" s="277"/>
      <c r="AA213" s="28">
        <f t="shared" si="29"/>
        <v>33.75</v>
      </c>
      <c r="AB213" s="298">
        <f t="shared" si="30"/>
        <v>0</v>
      </c>
      <c r="AC213" s="175"/>
      <c r="AD213" s="175">
        <v>0</v>
      </c>
      <c r="AE213" s="175">
        <v>0</v>
      </c>
      <c r="AF213" s="173">
        <v>0</v>
      </c>
      <c r="AG213" s="28">
        <f t="shared" si="31"/>
        <v>0</v>
      </c>
      <c r="AH213" s="175"/>
      <c r="AI213" s="368"/>
      <c r="AK213" s="188" t="s">
        <v>34</v>
      </c>
      <c r="AL213" s="196">
        <f>AA242</f>
        <v>85</v>
      </c>
      <c r="AM213" s="193"/>
      <c r="AN213" s="193"/>
      <c r="AO213" s="193"/>
      <c r="AP213" s="193"/>
    </row>
    <row r="214" spans="2:42" s="180" customFormat="1">
      <c r="B214" s="171" t="s">
        <v>58</v>
      </c>
      <c r="C214" s="172">
        <v>0.375</v>
      </c>
      <c r="D214" s="172">
        <v>0.20833333333333334</v>
      </c>
      <c r="E214" s="173">
        <v>7</v>
      </c>
      <c r="F214" s="277"/>
      <c r="G214" s="4"/>
      <c r="H214" s="172">
        <v>0.34375</v>
      </c>
      <c r="I214" s="172">
        <v>0.20833333333333334</v>
      </c>
      <c r="J214" s="173">
        <v>7.75</v>
      </c>
      <c r="K214" s="277"/>
      <c r="L214" s="4"/>
      <c r="M214" s="172">
        <v>0.34375</v>
      </c>
      <c r="N214" s="172">
        <v>0.20833333333333334</v>
      </c>
      <c r="O214" s="173">
        <v>7.75</v>
      </c>
      <c r="P214" s="277"/>
      <c r="Q214" s="4"/>
      <c r="R214" s="172">
        <v>0.35416666666666669</v>
      </c>
      <c r="S214" s="172">
        <v>0.20833333333333334</v>
      </c>
      <c r="T214" s="173">
        <v>7.5</v>
      </c>
      <c r="U214" s="277"/>
      <c r="V214" s="4"/>
      <c r="W214" s="172">
        <v>0.375</v>
      </c>
      <c r="X214" s="172">
        <v>0.20833333333333334</v>
      </c>
      <c r="Y214" s="173">
        <v>7</v>
      </c>
      <c r="Z214" s="277"/>
      <c r="AA214" s="28">
        <f t="shared" si="29"/>
        <v>37</v>
      </c>
      <c r="AB214" s="298">
        <f t="shared" si="30"/>
        <v>0</v>
      </c>
      <c r="AC214" s="4"/>
      <c r="AD214" s="175">
        <v>0</v>
      </c>
      <c r="AE214" s="175">
        <v>0</v>
      </c>
      <c r="AF214" s="173">
        <v>0</v>
      </c>
      <c r="AG214" s="28">
        <f t="shared" si="31"/>
        <v>0</v>
      </c>
      <c r="AH214" s="4"/>
      <c r="AI214" s="255"/>
      <c r="AK214" s="188" t="s">
        <v>36</v>
      </c>
      <c r="AL214" s="196">
        <f>AB242</f>
        <v>8</v>
      </c>
      <c r="AM214" s="193"/>
      <c r="AN214" s="193"/>
      <c r="AO214" s="193"/>
      <c r="AP214" s="193"/>
    </row>
    <row r="215" spans="2:42" s="367" customFormat="1">
      <c r="B215" s="171" t="s">
        <v>72</v>
      </c>
      <c r="C215" s="172">
        <v>0.34375</v>
      </c>
      <c r="D215" s="172">
        <v>0.20833333333333334</v>
      </c>
      <c r="E215" s="173">
        <v>7.75</v>
      </c>
      <c r="F215" s="277"/>
      <c r="G215" s="4"/>
      <c r="H215" s="172">
        <v>0.35416666666666669</v>
      </c>
      <c r="I215" s="172">
        <v>0.20833333333333334</v>
      </c>
      <c r="J215" s="173">
        <v>7.5</v>
      </c>
      <c r="K215" s="277"/>
      <c r="L215" s="4"/>
      <c r="M215" s="172">
        <v>0.35416666666666669</v>
      </c>
      <c r="N215" s="172">
        <v>0.20833333333333334</v>
      </c>
      <c r="O215" s="173">
        <v>7.5</v>
      </c>
      <c r="P215" s="277"/>
      <c r="Q215" s="4"/>
      <c r="R215" s="172">
        <v>0.35416666666666669</v>
      </c>
      <c r="S215" s="172">
        <v>0.20833333333333334</v>
      </c>
      <c r="T215" s="173">
        <v>7.5</v>
      </c>
      <c r="U215" s="277"/>
      <c r="V215" s="4"/>
      <c r="W215" s="172">
        <v>0.35416666666666669</v>
      </c>
      <c r="X215" s="172">
        <v>0.20833333333333334</v>
      </c>
      <c r="Y215" s="173">
        <v>7.5</v>
      </c>
      <c r="Z215" s="277"/>
      <c r="AA215" s="28">
        <f t="shared" si="29"/>
        <v>37.75</v>
      </c>
      <c r="AB215" s="298">
        <f t="shared" si="30"/>
        <v>0</v>
      </c>
      <c r="AC215" s="4"/>
      <c r="AD215" s="175">
        <v>0</v>
      </c>
      <c r="AE215" s="175">
        <v>0</v>
      </c>
      <c r="AF215" s="173">
        <v>0</v>
      </c>
      <c r="AG215" s="28">
        <f t="shared" si="31"/>
        <v>0</v>
      </c>
      <c r="AH215" s="175"/>
      <c r="AI215" s="368"/>
      <c r="AK215" s="188" t="s">
        <v>38</v>
      </c>
      <c r="AL215" s="196">
        <f>AG242</f>
        <v>3</v>
      </c>
      <c r="AM215" s="193"/>
      <c r="AN215" s="193"/>
      <c r="AO215" s="193"/>
      <c r="AP215" s="193"/>
    </row>
    <row r="216" spans="2:42" s="180" customFormat="1">
      <c r="B216" s="171" t="s">
        <v>71</v>
      </c>
      <c r="C216" s="172">
        <v>0.33333333333333331</v>
      </c>
      <c r="D216" s="172">
        <v>0.20833333333333334</v>
      </c>
      <c r="E216" s="173">
        <v>8</v>
      </c>
      <c r="F216" s="277"/>
      <c r="G216" s="4"/>
      <c r="H216" s="172">
        <v>0.35416666666666669</v>
      </c>
      <c r="I216" s="172">
        <v>0.20833333333333334</v>
      </c>
      <c r="J216" s="173">
        <v>7.5</v>
      </c>
      <c r="K216" s="277"/>
      <c r="L216" s="4"/>
      <c r="M216" s="172">
        <v>0.34375</v>
      </c>
      <c r="N216" s="172">
        <v>0.20833333333333334</v>
      </c>
      <c r="O216" s="173">
        <v>7.75</v>
      </c>
      <c r="P216" s="277"/>
      <c r="Q216" s="4"/>
      <c r="R216" s="172">
        <v>0.34375</v>
      </c>
      <c r="S216" s="172">
        <v>0.20833333333333334</v>
      </c>
      <c r="T216" s="173">
        <v>7.75</v>
      </c>
      <c r="U216" s="277"/>
      <c r="V216" s="4"/>
      <c r="W216" s="172">
        <v>0.38541666666666669</v>
      </c>
      <c r="X216" s="172">
        <v>0.20833333333333334</v>
      </c>
      <c r="Y216" s="173">
        <v>6.75</v>
      </c>
      <c r="Z216" s="277"/>
      <c r="AA216" s="28">
        <f t="shared" si="29"/>
        <v>37.75</v>
      </c>
      <c r="AB216" s="298">
        <f t="shared" si="30"/>
        <v>0</v>
      </c>
      <c r="AC216" s="4"/>
      <c r="AD216" s="175">
        <v>0</v>
      </c>
      <c r="AE216" s="175">
        <v>0</v>
      </c>
      <c r="AF216" s="173">
        <v>0</v>
      </c>
      <c r="AG216" s="28">
        <f t="shared" si="31"/>
        <v>0</v>
      </c>
      <c r="AH216" s="4"/>
      <c r="AI216" s="255"/>
      <c r="AK216" s="188" t="s">
        <v>41</v>
      </c>
      <c r="AL216" s="196">
        <f>C243</f>
        <v>125</v>
      </c>
      <c r="AM216" s="369"/>
      <c r="AN216" s="369"/>
      <c r="AO216" s="369"/>
      <c r="AP216" s="369"/>
    </row>
    <row r="217" spans="2:42" s="180" customFormat="1">
      <c r="B217" s="13" t="s">
        <v>35</v>
      </c>
      <c r="C217" s="353">
        <v>0.375</v>
      </c>
      <c r="D217" s="314">
        <v>0.20833333333333334</v>
      </c>
      <c r="E217" s="319">
        <v>7</v>
      </c>
      <c r="F217" s="277"/>
      <c r="G217" s="175"/>
      <c r="H217" s="47">
        <v>0.38541666666666669</v>
      </c>
      <c r="I217" s="47">
        <v>0.20833333333333334</v>
      </c>
      <c r="J217" s="319">
        <v>6.75</v>
      </c>
      <c r="K217" s="277"/>
      <c r="L217" s="175"/>
      <c r="M217" s="47">
        <v>0.39583333333333331</v>
      </c>
      <c r="N217" s="47">
        <v>0.20833333333333334</v>
      </c>
      <c r="O217" s="319">
        <v>6.5</v>
      </c>
      <c r="P217" s="277"/>
      <c r="Q217" s="175"/>
      <c r="R217" s="47">
        <v>0.38541666666666669</v>
      </c>
      <c r="S217" s="47">
        <v>0.20833333333333334</v>
      </c>
      <c r="T217" s="319">
        <v>6.75</v>
      </c>
      <c r="U217" s="277"/>
      <c r="V217" s="175"/>
      <c r="W217" s="47">
        <v>0.41666666666666669</v>
      </c>
      <c r="X217" s="47">
        <v>0.20833333333333334</v>
      </c>
      <c r="Y217" s="319">
        <v>6</v>
      </c>
      <c r="Z217" s="277"/>
      <c r="AA217" s="344">
        <f t="shared" si="29"/>
        <v>33</v>
      </c>
      <c r="AB217" s="298">
        <f t="shared" si="30"/>
        <v>0</v>
      </c>
      <c r="AC217" s="175"/>
      <c r="AD217" s="376">
        <v>0.39583333333333331</v>
      </c>
      <c r="AE217" s="376">
        <v>0.20833333333333334</v>
      </c>
      <c r="AF217" s="346">
        <v>7.5</v>
      </c>
      <c r="AG217" s="344">
        <f t="shared" si="31"/>
        <v>7.5</v>
      </c>
      <c r="AH217" s="4"/>
      <c r="AI217" s="255"/>
      <c r="AK217" s="193"/>
      <c r="AL217" s="193"/>
      <c r="AM217" s="193"/>
      <c r="AN217" s="193"/>
      <c r="AO217" s="193"/>
      <c r="AP217" s="193"/>
    </row>
    <row r="218" spans="2:42" s="180" customFormat="1">
      <c r="B218" s="13" t="s">
        <v>37</v>
      </c>
      <c r="C218" s="353">
        <v>0.35416666666666669</v>
      </c>
      <c r="D218" s="314">
        <v>0.20833333333333334</v>
      </c>
      <c r="E218" s="319">
        <v>7.5</v>
      </c>
      <c r="F218" s="277"/>
      <c r="G218" s="175"/>
      <c r="H218" s="47">
        <v>0.375</v>
      </c>
      <c r="I218" s="47">
        <v>0.20833333333333334</v>
      </c>
      <c r="J218" s="319">
        <v>7</v>
      </c>
      <c r="K218" s="277"/>
      <c r="L218" s="175"/>
      <c r="M218" s="47">
        <v>0.375</v>
      </c>
      <c r="N218" s="47">
        <v>0.20833333333333334</v>
      </c>
      <c r="O218" s="319">
        <v>7</v>
      </c>
      <c r="P218" s="277"/>
      <c r="Q218" s="175"/>
      <c r="R218" s="47">
        <v>0.375</v>
      </c>
      <c r="S218" s="47">
        <v>0.20833333333333334</v>
      </c>
      <c r="T218" s="319">
        <v>7</v>
      </c>
      <c r="U218" s="277"/>
      <c r="V218" s="175"/>
      <c r="W218" s="47">
        <v>0.375</v>
      </c>
      <c r="X218" s="47">
        <v>0.20833333333333334</v>
      </c>
      <c r="Y218" s="319">
        <v>7</v>
      </c>
      <c r="Z218" s="277"/>
      <c r="AA218" s="344">
        <f t="shared" si="29"/>
        <v>35.5</v>
      </c>
      <c r="AB218" s="298">
        <f t="shared" si="30"/>
        <v>0</v>
      </c>
      <c r="AC218" s="175"/>
      <c r="AD218" s="345">
        <v>0</v>
      </c>
      <c r="AE218" s="345">
        <v>0</v>
      </c>
      <c r="AF218" s="346">
        <v>0</v>
      </c>
      <c r="AG218" s="344">
        <f t="shared" si="31"/>
        <v>0</v>
      </c>
      <c r="AH218" s="4"/>
      <c r="AI218" s="255"/>
      <c r="AK218" s="193"/>
      <c r="AL218" s="193"/>
      <c r="AM218" s="193"/>
      <c r="AN218" s="193"/>
      <c r="AO218" s="193"/>
      <c r="AP218" s="193"/>
    </row>
    <row r="219" spans="2:42" s="180" customFormat="1">
      <c r="B219" s="13" t="s">
        <v>39</v>
      </c>
      <c r="C219" s="353">
        <v>0.41666666666666669</v>
      </c>
      <c r="D219" s="314">
        <v>0.20833333333333334</v>
      </c>
      <c r="E219" s="19">
        <v>6</v>
      </c>
      <c r="F219" s="277"/>
      <c r="G219" s="4"/>
      <c r="H219" s="47">
        <v>0.375</v>
      </c>
      <c r="I219" s="47">
        <v>0.20833333333333334</v>
      </c>
      <c r="J219" s="319">
        <v>7</v>
      </c>
      <c r="K219" s="277"/>
      <c r="L219" s="4"/>
      <c r="M219" s="47">
        <v>0.38541666666666669</v>
      </c>
      <c r="N219" s="47">
        <v>0.20833333333333334</v>
      </c>
      <c r="O219" s="319">
        <v>6.75</v>
      </c>
      <c r="P219" s="277"/>
      <c r="Q219" s="4"/>
      <c r="R219" s="47">
        <v>0.40625</v>
      </c>
      <c r="S219" s="47">
        <v>0.20833333333333334</v>
      </c>
      <c r="T219" s="319">
        <v>6.25</v>
      </c>
      <c r="U219" s="277"/>
      <c r="V219" s="4"/>
      <c r="W219" s="47">
        <v>0</v>
      </c>
      <c r="X219" s="47">
        <v>0</v>
      </c>
      <c r="Y219" s="319">
        <v>0</v>
      </c>
      <c r="Z219" s="277"/>
      <c r="AA219" s="29">
        <f t="shared" si="29"/>
        <v>26</v>
      </c>
      <c r="AB219" s="298">
        <f t="shared" si="30"/>
        <v>0</v>
      </c>
      <c r="AC219" s="4"/>
      <c r="AD219" s="4">
        <v>0</v>
      </c>
      <c r="AE219" s="4">
        <v>0</v>
      </c>
      <c r="AF219" s="19">
        <v>0</v>
      </c>
      <c r="AG219" s="29">
        <f t="shared" si="31"/>
        <v>0</v>
      </c>
      <c r="AH219" s="4"/>
      <c r="AI219" s="255"/>
      <c r="AK219" s="193"/>
      <c r="AL219" s="193"/>
      <c r="AM219" s="193"/>
      <c r="AN219" s="193"/>
      <c r="AO219" s="193"/>
      <c r="AP219" s="193"/>
    </row>
    <row r="220" spans="2:42" s="180" customFormat="1">
      <c r="B220" s="164" t="s">
        <v>40</v>
      </c>
      <c r="C220" s="353">
        <v>0.38541666666666669</v>
      </c>
      <c r="D220" s="314">
        <v>0.20833333333333334</v>
      </c>
      <c r="E220" s="19">
        <v>6.75</v>
      </c>
      <c r="F220" s="277"/>
      <c r="G220" s="4"/>
      <c r="H220" s="47">
        <v>0.45833333333333331</v>
      </c>
      <c r="I220" s="47">
        <v>0.20833333333333334</v>
      </c>
      <c r="J220" s="319">
        <v>5</v>
      </c>
      <c r="K220" s="277"/>
      <c r="L220" s="4"/>
      <c r="M220" s="47">
        <v>0.375</v>
      </c>
      <c r="N220" s="47">
        <v>0.20833333333333334</v>
      </c>
      <c r="O220" s="319">
        <v>7</v>
      </c>
      <c r="P220" s="277"/>
      <c r="Q220" s="4"/>
      <c r="R220" s="47">
        <v>0.39583333333333331</v>
      </c>
      <c r="S220" s="47">
        <v>0.20833333333333334</v>
      </c>
      <c r="T220" s="319">
        <v>6.5</v>
      </c>
      <c r="U220" s="277"/>
      <c r="V220" s="4"/>
      <c r="W220" s="47">
        <v>0.39583333333333331</v>
      </c>
      <c r="X220" s="47">
        <v>0.20833333333333334</v>
      </c>
      <c r="Y220" s="319">
        <v>6.5</v>
      </c>
      <c r="Z220" s="277"/>
      <c r="AA220" s="29">
        <f t="shared" si="29"/>
        <v>31.75</v>
      </c>
      <c r="AB220" s="298">
        <f t="shared" si="30"/>
        <v>0</v>
      </c>
      <c r="AC220" s="4"/>
      <c r="AD220" s="4">
        <v>0</v>
      </c>
      <c r="AE220" s="4">
        <v>0</v>
      </c>
      <c r="AF220" s="19">
        <v>0</v>
      </c>
      <c r="AG220" s="29">
        <f t="shared" si="31"/>
        <v>0</v>
      </c>
      <c r="AH220" s="4"/>
      <c r="AI220" s="255"/>
      <c r="AK220" s="193"/>
      <c r="AL220" s="193"/>
      <c r="AM220" s="193"/>
      <c r="AN220" s="193"/>
      <c r="AO220" s="193"/>
      <c r="AP220" s="193"/>
    </row>
    <row r="221" spans="2:42" s="180" customFormat="1">
      <c r="B221" s="164" t="s">
        <v>42</v>
      </c>
      <c r="C221" s="353">
        <v>0.29166666666666669</v>
      </c>
      <c r="D221" s="314">
        <v>0.20833333333333334</v>
      </c>
      <c r="E221" s="19">
        <v>9</v>
      </c>
      <c r="F221" s="277"/>
      <c r="G221" s="4"/>
      <c r="H221" s="47">
        <v>0.35416666666666669</v>
      </c>
      <c r="I221" s="47">
        <v>0.20833333333333334</v>
      </c>
      <c r="J221" s="319">
        <v>7.5</v>
      </c>
      <c r="K221" s="277"/>
      <c r="L221" s="4"/>
      <c r="M221" s="47">
        <v>0.35416666666666669</v>
      </c>
      <c r="N221" s="47">
        <v>0.20833333333333334</v>
      </c>
      <c r="O221" s="319">
        <v>7.5</v>
      </c>
      <c r="P221" s="277"/>
      <c r="Q221" s="4"/>
      <c r="R221" s="47">
        <v>0.375</v>
      </c>
      <c r="S221" s="47">
        <v>0.20833333333333334</v>
      </c>
      <c r="T221" s="319">
        <v>7</v>
      </c>
      <c r="U221" s="277"/>
      <c r="V221" s="4"/>
      <c r="W221" s="47">
        <v>0.33333333333333331</v>
      </c>
      <c r="X221" s="47">
        <v>0.20833333333333334</v>
      </c>
      <c r="Y221" s="319">
        <v>8</v>
      </c>
      <c r="Z221" s="277"/>
      <c r="AA221" s="29">
        <f t="shared" si="29"/>
        <v>39</v>
      </c>
      <c r="AB221" s="298">
        <f t="shared" si="30"/>
        <v>0</v>
      </c>
      <c r="AC221" s="4"/>
      <c r="AD221" s="4">
        <v>0</v>
      </c>
      <c r="AE221" s="4">
        <v>0</v>
      </c>
      <c r="AF221" s="19">
        <v>0</v>
      </c>
      <c r="AG221" s="29">
        <f t="shared" si="31"/>
        <v>0</v>
      </c>
      <c r="AH221" s="4"/>
      <c r="AI221" s="255"/>
      <c r="AK221" s="193"/>
      <c r="AL221" s="193"/>
      <c r="AM221" s="193"/>
      <c r="AN221" s="193"/>
      <c r="AO221" s="193"/>
      <c r="AP221" s="193"/>
    </row>
    <row r="222" spans="2:42" s="180" customFormat="1">
      <c r="B222" s="13" t="s">
        <v>43</v>
      </c>
      <c r="C222" s="353">
        <v>0.375</v>
      </c>
      <c r="D222" s="314">
        <v>0.20833333333333334</v>
      </c>
      <c r="E222" s="19">
        <v>7</v>
      </c>
      <c r="F222" s="277"/>
      <c r="G222" s="4"/>
      <c r="H222" s="47">
        <v>0.36458333333333331</v>
      </c>
      <c r="I222" s="47">
        <v>0.20833333333333334</v>
      </c>
      <c r="J222" s="319">
        <v>7.25</v>
      </c>
      <c r="K222" s="277"/>
      <c r="L222" s="4"/>
      <c r="M222" s="47">
        <v>0.35416666666666669</v>
      </c>
      <c r="N222" s="47">
        <v>0.20833333333333334</v>
      </c>
      <c r="O222" s="319">
        <v>7.5</v>
      </c>
      <c r="P222" s="277"/>
      <c r="Q222" s="4"/>
      <c r="R222" s="47">
        <v>0.35416666666666669</v>
      </c>
      <c r="S222" s="47">
        <v>0.20833333333333334</v>
      </c>
      <c r="T222" s="319">
        <v>7.5</v>
      </c>
      <c r="U222" s="277"/>
      <c r="V222" s="4"/>
      <c r="W222" s="47">
        <v>0.36458333333333331</v>
      </c>
      <c r="X222" s="47">
        <v>0.20833333333333334</v>
      </c>
      <c r="Y222" s="319">
        <v>7.25</v>
      </c>
      <c r="Z222" s="277"/>
      <c r="AA222" s="29">
        <f t="shared" si="29"/>
        <v>36.5</v>
      </c>
      <c r="AB222" s="298">
        <f t="shared" si="30"/>
        <v>0</v>
      </c>
      <c r="AC222" s="4"/>
      <c r="AD222" s="47">
        <v>0.39583333333333331</v>
      </c>
      <c r="AE222" s="376">
        <v>0.20833333333333334</v>
      </c>
      <c r="AF222" s="19">
        <v>7.5</v>
      </c>
      <c r="AG222" s="29">
        <f t="shared" si="31"/>
        <v>7.5</v>
      </c>
      <c r="AH222" s="4"/>
      <c r="AI222" s="255"/>
      <c r="AK222" s="193"/>
      <c r="AL222" s="193"/>
      <c r="AM222" s="193"/>
      <c r="AN222" s="193"/>
      <c r="AO222" s="193"/>
      <c r="AP222" s="193"/>
    </row>
    <row r="223" spans="2:42" s="180" customFormat="1">
      <c r="B223" s="13" t="s">
        <v>44</v>
      </c>
      <c r="C223" s="353">
        <v>0.375</v>
      </c>
      <c r="D223" s="314">
        <v>0.20833333333333334</v>
      </c>
      <c r="E223" s="19">
        <v>7</v>
      </c>
      <c r="F223" s="277"/>
      <c r="G223" s="4"/>
      <c r="H223" s="47" t="s">
        <v>78</v>
      </c>
      <c r="I223" s="47">
        <v>0.20833333333333334</v>
      </c>
      <c r="J223" s="319">
        <v>7</v>
      </c>
      <c r="K223" s="277"/>
      <c r="L223" s="4"/>
      <c r="M223" s="47">
        <v>0.39583333333333331</v>
      </c>
      <c r="N223" s="47">
        <v>0.20833333333333334</v>
      </c>
      <c r="O223" s="319">
        <v>6.5</v>
      </c>
      <c r="P223" s="277"/>
      <c r="Q223" s="4"/>
      <c r="R223" s="47">
        <v>0.35416666666666669</v>
      </c>
      <c r="S223" s="47">
        <v>0.20833333333333334</v>
      </c>
      <c r="T223" s="319">
        <v>7.5</v>
      </c>
      <c r="U223" s="277"/>
      <c r="V223" s="4"/>
      <c r="W223" s="47">
        <v>0.35416666666666669</v>
      </c>
      <c r="X223" s="47">
        <v>0.20833333333333334</v>
      </c>
      <c r="Y223" s="319">
        <v>7.5</v>
      </c>
      <c r="Z223" s="277"/>
      <c r="AA223" s="29">
        <f t="shared" si="29"/>
        <v>35.5</v>
      </c>
      <c r="AB223" s="298">
        <f t="shared" si="30"/>
        <v>0</v>
      </c>
      <c r="AC223" s="4"/>
      <c r="AD223" s="4">
        <v>0</v>
      </c>
      <c r="AE223" s="4">
        <v>0</v>
      </c>
      <c r="AF223" s="19">
        <v>0</v>
      </c>
      <c r="AG223" s="29">
        <f t="shared" si="31"/>
        <v>0</v>
      </c>
      <c r="AH223" s="4"/>
      <c r="AI223" s="255"/>
      <c r="AK223" s="193"/>
      <c r="AL223" s="193"/>
      <c r="AM223" s="193"/>
      <c r="AN223" s="193"/>
      <c r="AO223" s="193"/>
      <c r="AP223" s="193"/>
    </row>
    <row r="224" spans="2:42" s="180" customFormat="1">
      <c r="B224" s="13" t="s">
        <v>45</v>
      </c>
      <c r="C224" s="47">
        <v>0</v>
      </c>
      <c r="D224" s="353">
        <v>0</v>
      </c>
      <c r="E224" s="19">
        <v>0</v>
      </c>
      <c r="F224" s="277"/>
      <c r="G224" s="4"/>
      <c r="H224" s="47">
        <v>0</v>
      </c>
      <c r="I224" s="47">
        <v>0</v>
      </c>
      <c r="J224" s="319">
        <v>0</v>
      </c>
      <c r="K224" s="277"/>
      <c r="L224" s="4"/>
      <c r="M224" s="47">
        <v>0.33333333333333331</v>
      </c>
      <c r="N224" s="47">
        <v>0.20833333333333334</v>
      </c>
      <c r="O224" s="319">
        <v>8</v>
      </c>
      <c r="P224" s="277"/>
      <c r="Q224" s="4"/>
      <c r="R224" s="47">
        <v>0</v>
      </c>
      <c r="S224" s="47">
        <v>0</v>
      </c>
      <c r="T224" s="319">
        <v>0</v>
      </c>
      <c r="U224" s="277"/>
      <c r="V224" s="4"/>
      <c r="W224" s="47">
        <v>0.35416666666666669</v>
      </c>
      <c r="X224" s="47">
        <v>0.20833333333333334</v>
      </c>
      <c r="Y224" s="319">
        <v>7.5</v>
      </c>
      <c r="Z224" s="277"/>
      <c r="AA224" s="29">
        <f t="shared" si="29"/>
        <v>15.5</v>
      </c>
      <c r="AB224" s="298">
        <f t="shared" si="30"/>
        <v>0</v>
      </c>
      <c r="AC224" s="4"/>
      <c r="AD224" s="4">
        <v>0</v>
      </c>
      <c r="AE224" s="4">
        <v>0</v>
      </c>
      <c r="AF224" s="19">
        <v>0</v>
      </c>
      <c r="AG224" s="29">
        <f t="shared" si="31"/>
        <v>0</v>
      </c>
      <c r="AH224" s="4"/>
      <c r="AI224" s="255"/>
      <c r="AK224" s="193"/>
      <c r="AL224" s="193"/>
      <c r="AM224" s="193"/>
      <c r="AN224" s="193"/>
      <c r="AO224" s="193"/>
      <c r="AP224" s="193"/>
    </row>
    <row r="225" spans="2:42" s="180" customFormat="1">
      <c r="B225" s="13" t="s">
        <v>46</v>
      </c>
      <c r="C225" s="353">
        <v>0</v>
      </c>
      <c r="D225" s="172">
        <v>0</v>
      </c>
      <c r="E225" s="19">
        <v>0</v>
      </c>
      <c r="F225" s="277"/>
      <c r="G225" s="4"/>
      <c r="H225" s="47">
        <v>0.33333333333333331</v>
      </c>
      <c r="I225" s="47">
        <v>0.20833333333333334</v>
      </c>
      <c r="J225" s="319">
        <v>8</v>
      </c>
      <c r="K225" s="277"/>
      <c r="L225" s="4"/>
      <c r="M225" s="47">
        <v>0.33333333333333331</v>
      </c>
      <c r="N225" s="47">
        <v>0.20833333333333334</v>
      </c>
      <c r="O225" s="319">
        <v>8</v>
      </c>
      <c r="P225" s="277"/>
      <c r="Q225" s="4"/>
      <c r="R225" s="47">
        <v>0.375</v>
      </c>
      <c r="S225" s="47">
        <v>0.20833333333333334</v>
      </c>
      <c r="T225" s="319">
        <v>7</v>
      </c>
      <c r="U225" s="277"/>
      <c r="V225" s="4"/>
      <c r="W225" s="47">
        <v>0.35416666666666669</v>
      </c>
      <c r="X225" s="47">
        <v>0.20833333333333334</v>
      </c>
      <c r="Y225" s="319">
        <v>7.5</v>
      </c>
      <c r="Z225" s="277"/>
      <c r="AA225" s="29">
        <f t="shared" si="29"/>
        <v>30.5</v>
      </c>
      <c r="AB225" s="298">
        <f t="shared" si="30"/>
        <v>0</v>
      </c>
      <c r="AC225" s="4"/>
      <c r="AD225" s="4">
        <v>0</v>
      </c>
      <c r="AE225" s="4">
        <v>0</v>
      </c>
      <c r="AF225" s="19">
        <v>0</v>
      </c>
      <c r="AG225" s="29">
        <f t="shared" si="31"/>
        <v>0</v>
      </c>
      <c r="AH225" s="4"/>
      <c r="AI225" s="255"/>
      <c r="AK225" s="193"/>
      <c r="AL225" s="193"/>
      <c r="AM225" s="193"/>
      <c r="AN225" s="193"/>
      <c r="AO225" s="193"/>
      <c r="AP225" s="193"/>
    </row>
    <row r="226" spans="2:42" s="180" customFormat="1">
      <c r="B226" s="13" t="s">
        <v>47</v>
      </c>
      <c r="C226" s="353">
        <v>0.375</v>
      </c>
      <c r="D226" s="314">
        <v>0.20833333333333334</v>
      </c>
      <c r="E226" s="19">
        <v>7</v>
      </c>
      <c r="F226" s="277"/>
      <c r="G226" s="4"/>
      <c r="H226" s="47">
        <v>0.33333333333333331</v>
      </c>
      <c r="I226" s="47">
        <v>0.20833333333333334</v>
      </c>
      <c r="J226" s="319">
        <v>8</v>
      </c>
      <c r="K226" s="277"/>
      <c r="L226" s="4"/>
      <c r="M226" s="47">
        <v>0.32291666666666669</v>
      </c>
      <c r="N226" s="47">
        <v>0.20833333333333334</v>
      </c>
      <c r="O226" s="319">
        <v>8.25</v>
      </c>
      <c r="P226" s="277">
        <v>0.25</v>
      </c>
      <c r="Q226" s="4"/>
      <c r="R226" s="47">
        <v>0.35416666666666669</v>
      </c>
      <c r="S226" s="47">
        <v>0.20833333333333334</v>
      </c>
      <c r="T226" s="319">
        <v>7.5</v>
      </c>
      <c r="U226" s="277"/>
      <c r="V226" s="4"/>
      <c r="W226" s="47">
        <v>0.35416666666666669</v>
      </c>
      <c r="X226" s="47">
        <v>0.20833333333333334</v>
      </c>
      <c r="Y226" s="319">
        <v>7.5</v>
      </c>
      <c r="Z226" s="277"/>
      <c r="AA226" s="29">
        <f t="shared" si="29"/>
        <v>38.25</v>
      </c>
      <c r="AB226" s="298">
        <f t="shared" si="30"/>
        <v>0.25</v>
      </c>
      <c r="AC226" s="4"/>
      <c r="AD226" s="47">
        <v>0.38541666666666669</v>
      </c>
      <c r="AE226" s="376">
        <v>0.20833333333333334</v>
      </c>
      <c r="AF226" s="19">
        <v>7.75</v>
      </c>
      <c r="AG226" s="29">
        <f t="shared" si="31"/>
        <v>7.75</v>
      </c>
      <c r="AH226" s="4"/>
      <c r="AI226" s="255"/>
      <c r="AK226" s="193"/>
      <c r="AL226" s="193"/>
      <c r="AM226" s="193"/>
      <c r="AN226" s="193"/>
      <c r="AO226" s="193"/>
      <c r="AP226" s="193"/>
    </row>
    <row r="227" spans="2:42" s="180" customFormat="1">
      <c r="B227" s="13" t="s">
        <v>49</v>
      </c>
      <c r="C227" s="353">
        <v>0</v>
      </c>
      <c r="D227" s="172">
        <v>0</v>
      </c>
      <c r="E227" s="19">
        <v>0</v>
      </c>
      <c r="F227" s="277"/>
      <c r="G227" s="4"/>
      <c r="H227" s="47">
        <v>0</v>
      </c>
      <c r="I227" s="47">
        <v>0</v>
      </c>
      <c r="J227" s="319">
        <v>0</v>
      </c>
      <c r="K227" s="277"/>
      <c r="L227" s="4"/>
      <c r="M227" s="47">
        <v>0.375</v>
      </c>
      <c r="N227" s="47">
        <v>0.20833333333333334</v>
      </c>
      <c r="O227" s="319">
        <v>7</v>
      </c>
      <c r="P227" s="277"/>
      <c r="Q227" s="4"/>
      <c r="R227" s="47">
        <v>0.35416666666666669</v>
      </c>
      <c r="S227" s="47">
        <v>0.20833333333333334</v>
      </c>
      <c r="T227" s="319">
        <v>7.5</v>
      </c>
      <c r="U227" s="277"/>
      <c r="V227" s="4"/>
      <c r="W227" s="47">
        <v>0.35416666666666669</v>
      </c>
      <c r="X227" s="47">
        <v>0.20833333333333334</v>
      </c>
      <c r="Y227" s="319">
        <v>7.5</v>
      </c>
      <c r="Z227" s="277"/>
      <c r="AA227" s="29">
        <f t="shared" si="29"/>
        <v>22</v>
      </c>
      <c r="AB227" s="298">
        <f t="shared" si="30"/>
        <v>0</v>
      </c>
      <c r="AC227" s="4"/>
      <c r="AD227" s="4">
        <v>0</v>
      </c>
      <c r="AE227" s="4">
        <v>0</v>
      </c>
      <c r="AF227" s="19">
        <v>0</v>
      </c>
      <c r="AG227" s="29">
        <f t="shared" si="31"/>
        <v>0</v>
      </c>
      <c r="AH227" s="4"/>
      <c r="AI227" s="255"/>
      <c r="AK227" s="193"/>
      <c r="AL227" s="193"/>
      <c r="AM227" s="193"/>
      <c r="AN227" s="193"/>
      <c r="AO227" s="193"/>
      <c r="AP227" s="193"/>
    </row>
    <row r="228" spans="2:42" s="180" customFormat="1">
      <c r="B228" s="13" t="s">
        <v>50</v>
      </c>
      <c r="C228" s="353">
        <v>0.38541666666666669</v>
      </c>
      <c r="D228" s="314">
        <v>0.20833333333333334</v>
      </c>
      <c r="E228" s="19">
        <v>6.75</v>
      </c>
      <c r="F228" s="277"/>
      <c r="G228" s="4"/>
      <c r="H228" s="47">
        <v>0</v>
      </c>
      <c r="I228" s="47">
        <v>0</v>
      </c>
      <c r="J228" s="319">
        <v>0</v>
      </c>
      <c r="K228" s="277"/>
      <c r="L228" s="4"/>
      <c r="M228" s="47">
        <v>0.375</v>
      </c>
      <c r="N228" s="47">
        <v>0.20833333333333334</v>
      </c>
      <c r="O228" s="319">
        <v>7</v>
      </c>
      <c r="P228" s="277"/>
      <c r="Q228" s="4"/>
      <c r="R228" s="47">
        <v>0.39583333333333331</v>
      </c>
      <c r="S228" s="47">
        <v>0.20833333333333334</v>
      </c>
      <c r="T228" s="319">
        <v>6.5</v>
      </c>
      <c r="U228" s="277"/>
      <c r="V228" s="4"/>
      <c r="W228" s="47">
        <v>0.375</v>
      </c>
      <c r="X228" s="47">
        <v>0.20833333333333334</v>
      </c>
      <c r="Y228" s="319">
        <v>7</v>
      </c>
      <c r="Z228" s="277"/>
      <c r="AA228" s="29">
        <f t="shared" si="29"/>
        <v>27.25</v>
      </c>
      <c r="AB228" s="298">
        <f t="shared" si="30"/>
        <v>0</v>
      </c>
      <c r="AC228" s="4"/>
      <c r="AD228" s="4">
        <v>0</v>
      </c>
      <c r="AE228" s="4">
        <v>0</v>
      </c>
      <c r="AF228" s="19">
        <v>0</v>
      </c>
      <c r="AG228" s="29">
        <f t="shared" si="31"/>
        <v>0</v>
      </c>
      <c r="AH228" s="4"/>
      <c r="AI228" s="255"/>
      <c r="AK228" s="193"/>
      <c r="AL228" s="193"/>
      <c r="AM228" s="193"/>
      <c r="AN228" s="193"/>
      <c r="AO228" s="193"/>
      <c r="AP228" s="193"/>
    </row>
    <row r="229" spans="2:42" s="180" customFormat="1">
      <c r="B229" s="13" t="s">
        <v>51</v>
      </c>
      <c r="C229" s="47">
        <v>0</v>
      </c>
      <c r="D229" s="172">
        <v>0</v>
      </c>
      <c r="E229" s="19">
        <v>0</v>
      </c>
      <c r="F229" s="277"/>
      <c r="G229" s="4"/>
      <c r="H229" s="47">
        <v>0</v>
      </c>
      <c r="I229" s="47">
        <v>0</v>
      </c>
      <c r="J229" s="319">
        <v>0</v>
      </c>
      <c r="K229" s="277"/>
      <c r="L229" s="4"/>
      <c r="M229" s="47">
        <v>0.36458333333333331</v>
      </c>
      <c r="N229" s="47">
        <v>0.20833333333333334</v>
      </c>
      <c r="O229" s="319">
        <v>7.25</v>
      </c>
      <c r="P229" s="277"/>
      <c r="Q229" s="4"/>
      <c r="R229" s="47">
        <v>0.38541666666666669</v>
      </c>
      <c r="S229" s="47">
        <v>0.20833333333333334</v>
      </c>
      <c r="T229" s="319">
        <v>6.75</v>
      </c>
      <c r="U229" s="277"/>
      <c r="V229" s="4"/>
      <c r="W229" s="47">
        <v>0.375</v>
      </c>
      <c r="X229" s="47">
        <v>0.20833333333333334</v>
      </c>
      <c r="Y229" s="319">
        <v>7</v>
      </c>
      <c r="Z229" s="277"/>
      <c r="AA229" s="29">
        <f t="shared" si="29"/>
        <v>21</v>
      </c>
      <c r="AB229" s="298">
        <f t="shared" si="30"/>
        <v>0</v>
      </c>
      <c r="AC229" s="4"/>
      <c r="AD229" s="4">
        <v>0</v>
      </c>
      <c r="AE229" s="4">
        <v>0</v>
      </c>
      <c r="AF229" s="19">
        <v>0</v>
      </c>
      <c r="AG229" s="29">
        <f t="shared" si="31"/>
        <v>0</v>
      </c>
      <c r="AH229" s="4"/>
      <c r="AI229" s="255"/>
      <c r="AK229" s="193"/>
      <c r="AL229" s="193"/>
      <c r="AM229" s="193"/>
      <c r="AN229" s="193"/>
      <c r="AO229" s="193"/>
      <c r="AP229" s="193"/>
    </row>
    <row r="230" spans="2:42" s="180" customFormat="1">
      <c r="B230" s="13" t="s">
        <v>52</v>
      </c>
      <c r="C230" s="353">
        <v>0.35416666666666669</v>
      </c>
      <c r="D230" s="314">
        <v>0.20833333333333334</v>
      </c>
      <c r="E230" s="19">
        <v>7.5</v>
      </c>
      <c r="F230" s="277"/>
      <c r="G230" s="4"/>
      <c r="H230" s="47">
        <v>0.34375</v>
      </c>
      <c r="I230" s="47">
        <v>0.20833333333333334</v>
      </c>
      <c r="J230" s="319">
        <v>7.75</v>
      </c>
      <c r="K230" s="277"/>
      <c r="L230" s="4"/>
      <c r="M230" s="47">
        <v>0.35416666666666669</v>
      </c>
      <c r="N230" s="47">
        <v>0.20833333333333334</v>
      </c>
      <c r="O230" s="319">
        <v>7.5</v>
      </c>
      <c r="P230" s="277"/>
      <c r="Q230" s="4"/>
      <c r="R230" s="47">
        <v>0.35416666666666669</v>
      </c>
      <c r="S230" s="47">
        <v>0.20833333333333334</v>
      </c>
      <c r="T230" s="319">
        <v>6.5</v>
      </c>
      <c r="U230" s="277"/>
      <c r="V230" s="4"/>
      <c r="W230" s="47">
        <v>0.36458333333333331</v>
      </c>
      <c r="X230" s="47">
        <v>0.20833333333333334</v>
      </c>
      <c r="Y230" s="319">
        <v>7.25</v>
      </c>
      <c r="Z230" s="277"/>
      <c r="AA230" s="29">
        <f t="shared" si="29"/>
        <v>36.5</v>
      </c>
      <c r="AB230" s="298">
        <f t="shared" si="30"/>
        <v>0</v>
      </c>
      <c r="AC230" s="4"/>
      <c r="AD230" s="4">
        <v>0</v>
      </c>
      <c r="AE230" s="4">
        <v>0</v>
      </c>
      <c r="AF230" s="19">
        <v>0</v>
      </c>
      <c r="AG230" s="29">
        <f t="shared" si="31"/>
        <v>0</v>
      </c>
      <c r="AH230" s="4"/>
      <c r="AI230" s="255"/>
      <c r="AK230" s="193"/>
      <c r="AL230" s="193"/>
      <c r="AM230" s="193"/>
      <c r="AN230" s="193"/>
      <c r="AO230" s="193"/>
      <c r="AP230" s="193"/>
    </row>
    <row r="231" spans="2:42" s="180" customFormat="1">
      <c r="B231" s="13" t="s">
        <v>48</v>
      </c>
      <c r="C231" s="47">
        <v>0.375</v>
      </c>
      <c r="D231" s="47">
        <v>0.20833333333333334</v>
      </c>
      <c r="E231" s="19">
        <v>7</v>
      </c>
      <c r="F231" s="277"/>
      <c r="G231" s="4"/>
      <c r="H231" s="47">
        <v>0.36458333333333331</v>
      </c>
      <c r="I231" s="47">
        <v>0.20833333333333334</v>
      </c>
      <c r="J231" s="19">
        <v>7.25</v>
      </c>
      <c r="K231" s="277"/>
      <c r="L231" s="4"/>
      <c r="M231" s="47">
        <v>0.375</v>
      </c>
      <c r="N231" s="47">
        <v>0.20833333333333334</v>
      </c>
      <c r="O231" s="319">
        <v>7</v>
      </c>
      <c r="P231" s="277"/>
      <c r="Q231" s="4"/>
      <c r="R231" s="47">
        <v>0.35416666666666669</v>
      </c>
      <c r="S231" s="47">
        <v>0.20833333333333334</v>
      </c>
      <c r="T231" s="319">
        <v>7.5</v>
      </c>
      <c r="U231" s="277"/>
      <c r="V231" s="4"/>
      <c r="W231" s="47">
        <v>0.35416666666666669</v>
      </c>
      <c r="X231" s="47">
        <v>0.20833333333333334</v>
      </c>
      <c r="Y231" s="319">
        <v>7.5</v>
      </c>
      <c r="Z231" s="277"/>
      <c r="AA231" s="29">
        <f t="shared" si="29"/>
        <v>36.25</v>
      </c>
      <c r="AB231" s="298">
        <f t="shared" si="30"/>
        <v>0</v>
      </c>
      <c r="AC231" s="4"/>
      <c r="AD231" s="4" t="s">
        <v>29</v>
      </c>
      <c r="AE231" s="4" t="s">
        <v>29</v>
      </c>
      <c r="AF231" s="19">
        <v>10.5</v>
      </c>
      <c r="AG231" s="29">
        <f t="shared" si="31"/>
        <v>10.5</v>
      </c>
      <c r="AH231" s="4"/>
      <c r="AI231" s="255"/>
      <c r="AK231" s="193"/>
      <c r="AL231" s="193"/>
      <c r="AM231" s="193"/>
      <c r="AN231" s="193"/>
      <c r="AO231" s="193"/>
      <c r="AP231" s="193"/>
    </row>
    <row r="232" spans="2:42" s="180" customFormat="1">
      <c r="B232" s="13" t="s">
        <v>53</v>
      </c>
      <c r="C232" s="353">
        <v>0</v>
      </c>
      <c r="D232" s="172">
        <v>0</v>
      </c>
      <c r="E232" s="19">
        <v>0</v>
      </c>
      <c r="F232" s="277"/>
      <c r="G232" s="4"/>
      <c r="H232" s="47">
        <v>0.36458333333333331</v>
      </c>
      <c r="I232" s="47">
        <v>0.20833333333333334</v>
      </c>
      <c r="J232" s="19">
        <v>7.25</v>
      </c>
      <c r="K232" s="277"/>
      <c r="L232" s="4"/>
      <c r="M232" s="47">
        <v>0</v>
      </c>
      <c r="N232" s="47">
        <v>0</v>
      </c>
      <c r="O232" s="319">
        <v>0</v>
      </c>
      <c r="P232" s="277"/>
      <c r="Q232" s="4"/>
      <c r="R232" s="47">
        <v>0.3125</v>
      </c>
      <c r="S232" s="47">
        <v>0.20833333333333334</v>
      </c>
      <c r="T232" s="319">
        <v>8.5</v>
      </c>
      <c r="U232" s="277"/>
      <c r="V232" s="4"/>
      <c r="W232" s="47">
        <v>0.33333333333333331</v>
      </c>
      <c r="X232" s="47">
        <v>0.20833333333333334</v>
      </c>
      <c r="Y232" s="319">
        <v>8</v>
      </c>
      <c r="Z232" s="277"/>
      <c r="AA232" s="29">
        <f t="shared" si="29"/>
        <v>23.75</v>
      </c>
      <c r="AB232" s="298">
        <f t="shared" si="30"/>
        <v>0</v>
      </c>
      <c r="AC232" s="4"/>
      <c r="AD232" s="4">
        <v>0</v>
      </c>
      <c r="AE232" s="4">
        <v>0</v>
      </c>
      <c r="AF232" s="19">
        <v>0</v>
      </c>
      <c r="AG232" s="29">
        <f t="shared" si="31"/>
        <v>0</v>
      </c>
      <c r="AH232" s="4"/>
      <c r="AI232" s="255"/>
      <c r="AK232" s="193"/>
      <c r="AL232" s="193"/>
      <c r="AM232" s="193"/>
      <c r="AN232" s="193"/>
      <c r="AO232" s="193"/>
      <c r="AP232" s="193"/>
    </row>
    <row r="233" spans="2:42" s="180" customFormat="1">
      <c r="B233" s="13" t="s">
        <v>54</v>
      </c>
      <c r="C233" s="12" t="s">
        <v>29</v>
      </c>
      <c r="D233" s="12" t="s">
        <v>29</v>
      </c>
      <c r="E233" s="19">
        <v>0</v>
      </c>
      <c r="F233" s="277"/>
      <c r="G233" s="4"/>
      <c r="H233" s="12" t="s">
        <v>29</v>
      </c>
      <c r="I233" s="12" t="s">
        <v>29</v>
      </c>
      <c r="J233" s="19">
        <v>0</v>
      </c>
      <c r="K233" s="277"/>
      <c r="L233" s="4"/>
      <c r="M233" s="12" t="s">
        <v>29</v>
      </c>
      <c r="N233" s="12" t="s">
        <v>29</v>
      </c>
      <c r="O233" s="319">
        <v>0</v>
      </c>
      <c r="P233" s="277"/>
      <c r="Q233" s="4"/>
      <c r="R233" s="12" t="s">
        <v>29</v>
      </c>
      <c r="S233" s="12" t="s">
        <v>29</v>
      </c>
      <c r="T233" s="319">
        <v>0</v>
      </c>
      <c r="U233" s="277"/>
      <c r="V233" s="4"/>
      <c r="W233" s="12" t="s">
        <v>29</v>
      </c>
      <c r="X233" s="12" t="s">
        <v>29</v>
      </c>
      <c r="Y233" s="319">
        <v>0</v>
      </c>
      <c r="Z233" s="277"/>
      <c r="AA233" s="29">
        <f t="shared" si="29"/>
        <v>0</v>
      </c>
      <c r="AB233" s="298">
        <f t="shared" si="30"/>
        <v>0</v>
      </c>
      <c r="AC233" s="4"/>
      <c r="AD233" s="4">
        <v>0</v>
      </c>
      <c r="AE233" s="4">
        <v>0</v>
      </c>
      <c r="AF233" s="19">
        <v>0</v>
      </c>
      <c r="AG233" s="29">
        <f t="shared" si="31"/>
        <v>0</v>
      </c>
      <c r="AH233" s="4"/>
      <c r="AI233" s="255"/>
      <c r="AK233" s="193"/>
      <c r="AL233" s="193"/>
      <c r="AM233" s="193"/>
      <c r="AN233" s="193"/>
      <c r="AO233" s="193"/>
      <c r="AP233" s="193"/>
    </row>
    <row r="234" spans="2:42" s="180" customFormat="1">
      <c r="B234" s="13" t="s">
        <v>55</v>
      </c>
      <c r="C234" s="12" t="s">
        <v>29</v>
      </c>
      <c r="D234" s="12" t="s">
        <v>29</v>
      </c>
      <c r="E234" s="19">
        <v>0</v>
      </c>
      <c r="F234" s="277"/>
      <c r="G234" s="4"/>
      <c r="H234" s="12" t="s">
        <v>29</v>
      </c>
      <c r="I234" s="12" t="s">
        <v>29</v>
      </c>
      <c r="J234" s="19">
        <v>0</v>
      </c>
      <c r="K234" s="277"/>
      <c r="L234" s="4"/>
      <c r="M234" s="12" t="s">
        <v>29</v>
      </c>
      <c r="N234" s="12" t="s">
        <v>29</v>
      </c>
      <c r="O234" s="319">
        <v>0</v>
      </c>
      <c r="P234" s="277"/>
      <c r="Q234" s="4"/>
      <c r="R234" s="12" t="s">
        <v>29</v>
      </c>
      <c r="S234" s="12" t="s">
        <v>29</v>
      </c>
      <c r="T234" s="319">
        <v>0</v>
      </c>
      <c r="U234" s="277"/>
      <c r="V234" s="4"/>
      <c r="W234" s="12" t="s">
        <v>29</v>
      </c>
      <c r="X234" s="12" t="s">
        <v>29</v>
      </c>
      <c r="Y234" s="319">
        <v>0</v>
      </c>
      <c r="Z234" s="277"/>
      <c r="AA234" s="29">
        <f t="shared" si="29"/>
        <v>0</v>
      </c>
      <c r="AB234" s="298">
        <f t="shared" si="30"/>
        <v>0</v>
      </c>
      <c r="AC234" s="4"/>
      <c r="AD234" s="47">
        <v>0.375</v>
      </c>
      <c r="AE234" s="376">
        <v>0.20833333333333334</v>
      </c>
      <c r="AF234" s="19">
        <v>8</v>
      </c>
      <c r="AG234" s="29">
        <f t="shared" si="31"/>
        <v>8</v>
      </c>
      <c r="AH234" s="4"/>
      <c r="AI234" s="255"/>
      <c r="AK234" s="193"/>
      <c r="AL234" s="193"/>
      <c r="AM234" s="193"/>
      <c r="AN234" s="193"/>
      <c r="AO234" s="193"/>
      <c r="AP234" s="193"/>
    </row>
    <row r="235" spans="2:42" s="180" customFormat="1">
      <c r="B235" s="138" t="s">
        <v>59</v>
      </c>
      <c r="C235" s="12" t="s">
        <v>29</v>
      </c>
      <c r="D235" s="12" t="s">
        <v>29</v>
      </c>
      <c r="E235" s="19">
        <v>8</v>
      </c>
      <c r="F235" s="277"/>
      <c r="G235" s="4"/>
      <c r="H235" s="12" t="s">
        <v>29</v>
      </c>
      <c r="I235" s="12" t="s">
        <v>29</v>
      </c>
      <c r="J235" s="19">
        <v>8</v>
      </c>
      <c r="K235" s="277"/>
      <c r="L235" s="4"/>
      <c r="M235" s="12" t="s">
        <v>29</v>
      </c>
      <c r="N235" s="12" t="s">
        <v>29</v>
      </c>
      <c r="O235" s="19">
        <v>8</v>
      </c>
      <c r="P235" s="277"/>
      <c r="Q235" s="4"/>
      <c r="R235" s="12" t="s">
        <v>29</v>
      </c>
      <c r="S235" s="12" t="s">
        <v>29</v>
      </c>
      <c r="T235" s="319">
        <v>8</v>
      </c>
      <c r="U235" s="277"/>
      <c r="V235" s="4"/>
      <c r="W235" s="12" t="s">
        <v>29</v>
      </c>
      <c r="X235" s="12" t="s">
        <v>29</v>
      </c>
      <c r="Y235" s="319">
        <v>8</v>
      </c>
      <c r="Z235" s="277"/>
      <c r="AA235" s="29">
        <f t="shared" si="29"/>
        <v>40</v>
      </c>
      <c r="AB235" s="298">
        <f t="shared" si="30"/>
        <v>0</v>
      </c>
      <c r="AC235" s="4"/>
      <c r="AD235" s="47">
        <v>0.38541666666666669</v>
      </c>
      <c r="AE235" s="376">
        <v>0.20833333333333334</v>
      </c>
      <c r="AF235" s="19">
        <v>7.75</v>
      </c>
      <c r="AG235" s="29">
        <f t="shared" si="31"/>
        <v>7.75</v>
      </c>
      <c r="AH235" s="4"/>
      <c r="AI235" s="255"/>
      <c r="AK235" s="193"/>
      <c r="AL235" s="193"/>
      <c r="AM235" s="193"/>
      <c r="AN235" s="193"/>
      <c r="AO235" s="193"/>
      <c r="AP235" s="193"/>
    </row>
    <row r="236" spans="2:42" s="180" customFormat="1">
      <c r="B236" s="138" t="s">
        <v>60</v>
      </c>
      <c r="C236" s="12" t="s">
        <v>29</v>
      </c>
      <c r="D236" s="12" t="s">
        <v>29</v>
      </c>
      <c r="E236" s="19">
        <v>8</v>
      </c>
      <c r="F236" s="277"/>
      <c r="G236" s="4"/>
      <c r="H236" s="12" t="s">
        <v>29</v>
      </c>
      <c r="I236" s="12" t="s">
        <v>29</v>
      </c>
      <c r="J236" s="19">
        <v>8</v>
      </c>
      <c r="K236" s="277"/>
      <c r="L236" s="4"/>
      <c r="M236" s="12" t="s">
        <v>29</v>
      </c>
      <c r="N236" s="12" t="s">
        <v>29</v>
      </c>
      <c r="O236" s="19">
        <v>8</v>
      </c>
      <c r="P236" s="277"/>
      <c r="Q236" s="4"/>
      <c r="R236" s="12" t="s">
        <v>29</v>
      </c>
      <c r="S236" s="12" t="s">
        <v>29</v>
      </c>
      <c r="T236" s="319">
        <v>8</v>
      </c>
      <c r="U236" s="277"/>
      <c r="V236" s="4"/>
      <c r="W236" s="12" t="s">
        <v>29</v>
      </c>
      <c r="X236" s="12" t="s">
        <v>29</v>
      </c>
      <c r="Y236" s="319">
        <v>8</v>
      </c>
      <c r="Z236" s="277"/>
      <c r="AA236" s="29">
        <f t="shared" si="29"/>
        <v>40</v>
      </c>
      <c r="AB236" s="298">
        <f t="shared" si="30"/>
        <v>0</v>
      </c>
      <c r="AC236" s="4"/>
      <c r="AD236" s="4">
        <v>0</v>
      </c>
      <c r="AE236" s="4">
        <v>0</v>
      </c>
      <c r="AF236" s="19">
        <v>0</v>
      </c>
      <c r="AG236" s="29">
        <f t="shared" si="31"/>
        <v>0</v>
      </c>
      <c r="AH236" s="4"/>
      <c r="AI236" s="255"/>
      <c r="AK236" s="193"/>
      <c r="AL236" s="193"/>
      <c r="AM236" s="193"/>
      <c r="AN236" s="193"/>
      <c r="AO236" s="193"/>
      <c r="AP236" s="193"/>
    </row>
    <row r="237" spans="2:42" s="180" customFormat="1">
      <c r="B237" s="63" t="s">
        <v>62</v>
      </c>
      <c r="C237" s="12" t="s">
        <v>29</v>
      </c>
      <c r="D237" s="12" t="s">
        <v>29</v>
      </c>
      <c r="E237" s="19">
        <v>8</v>
      </c>
      <c r="F237" s="277"/>
      <c r="G237" s="60"/>
      <c r="H237" s="12" t="s">
        <v>29</v>
      </c>
      <c r="I237" s="12" t="s">
        <v>29</v>
      </c>
      <c r="J237" s="19">
        <v>8</v>
      </c>
      <c r="K237" s="277"/>
      <c r="L237" s="60"/>
      <c r="M237" s="12" t="s">
        <v>29</v>
      </c>
      <c r="N237" s="12" t="s">
        <v>29</v>
      </c>
      <c r="O237" s="19">
        <v>8</v>
      </c>
      <c r="P237" s="277"/>
      <c r="Q237" s="60"/>
      <c r="R237" s="12" t="s">
        <v>29</v>
      </c>
      <c r="S237" s="12" t="s">
        <v>29</v>
      </c>
      <c r="T237" s="19">
        <v>8</v>
      </c>
      <c r="U237" s="277"/>
      <c r="V237" s="60"/>
      <c r="W237" s="12" t="s">
        <v>29</v>
      </c>
      <c r="X237" s="12" t="s">
        <v>29</v>
      </c>
      <c r="Y237" s="19">
        <v>8</v>
      </c>
      <c r="Z237" s="277"/>
      <c r="AA237" s="28">
        <f>SUM(E237+J237+O237+T237+Y237)</f>
        <v>40</v>
      </c>
      <c r="AB237" s="282">
        <f t="shared" si="30"/>
        <v>0</v>
      </c>
      <c r="AC237" s="4"/>
      <c r="AD237" s="56"/>
      <c r="AE237" s="56"/>
      <c r="AF237" s="19"/>
      <c r="AG237" s="29">
        <v>0</v>
      </c>
      <c r="AH237" s="4"/>
      <c r="AI237" s="255"/>
      <c r="AK237" s="193"/>
      <c r="AL237" s="193"/>
      <c r="AM237" s="193"/>
      <c r="AN237" s="193"/>
      <c r="AO237" s="193"/>
      <c r="AP237" s="193"/>
    </row>
    <row r="238" spans="2:42" s="180" customFormat="1">
      <c r="B238" s="64" t="s">
        <v>61</v>
      </c>
      <c r="C238" s="64"/>
      <c r="D238" s="64"/>
      <c r="E238" s="167">
        <f>SUM(E211:E237)</f>
        <v>147.25</v>
      </c>
      <c r="F238" s="277">
        <f>SUM(F211:F234)</f>
        <v>0</v>
      </c>
      <c r="G238" s="64"/>
      <c r="H238" s="64"/>
      <c r="I238" s="64"/>
      <c r="J238" s="64">
        <f>SUM(J211:J237)</f>
        <v>154.75</v>
      </c>
      <c r="K238" s="277">
        <f>SUM(K211:K234)</f>
        <v>0</v>
      </c>
      <c r="L238" s="64"/>
      <c r="M238" s="64"/>
      <c r="N238" s="64"/>
      <c r="O238" s="167">
        <f>SUM(O211:O237)</f>
        <v>170.75</v>
      </c>
      <c r="P238" s="277">
        <f>SUM(P211:P236)</f>
        <v>0.25</v>
      </c>
      <c r="Q238" s="64"/>
      <c r="R238" s="64"/>
      <c r="S238" s="64"/>
      <c r="T238" s="167">
        <f>SUM(T211:T237)</f>
        <v>174.75</v>
      </c>
      <c r="U238" s="277">
        <f>SUM(U211:U236)</f>
        <v>0</v>
      </c>
      <c r="V238" s="64"/>
      <c r="W238" s="64"/>
      <c r="X238" s="64"/>
      <c r="Y238" s="167">
        <f>SUM(Y211:Y237)</f>
        <v>174</v>
      </c>
      <c r="Z238" s="277">
        <f>SUM(Z211:Z234)</f>
        <v>0</v>
      </c>
      <c r="AA238" s="370">
        <f>SUM(AA211:AA237)</f>
        <v>821.5</v>
      </c>
      <c r="AB238" s="284">
        <f>SUM(AB211:AB236)</f>
        <v>0.25</v>
      </c>
      <c r="AC238" s="4"/>
      <c r="AD238" s="64"/>
      <c r="AE238" s="64"/>
      <c r="AF238" s="64"/>
      <c r="AG238" s="370">
        <f>SUM(AG211:AG237)</f>
        <v>49</v>
      </c>
      <c r="AH238" s="4"/>
      <c r="AI238" s="255"/>
      <c r="AK238" s="193"/>
      <c r="AL238" s="193"/>
      <c r="AM238" s="193"/>
      <c r="AN238" s="193"/>
      <c r="AO238" s="193"/>
      <c r="AP238" s="193"/>
    </row>
    <row r="239" spans="2:42" s="180" customFormat="1">
      <c r="B239" s="63" t="s">
        <v>63</v>
      </c>
      <c r="C239" s="56"/>
      <c r="D239" s="56"/>
      <c r="E239" s="19">
        <v>8</v>
      </c>
      <c r="F239" s="291"/>
      <c r="G239" s="60"/>
      <c r="H239" s="56"/>
      <c r="I239" s="56"/>
      <c r="J239" s="19">
        <v>8</v>
      </c>
      <c r="K239" s="291"/>
      <c r="L239" s="60"/>
      <c r="M239" s="56"/>
      <c r="N239" s="56"/>
      <c r="O239" s="19">
        <v>8</v>
      </c>
      <c r="P239" s="19"/>
      <c r="Q239" s="60"/>
      <c r="R239" s="56"/>
      <c r="S239" s="56"/>
      <c r="T239" s="19">
        <v>8</v>
      </c>
      <c r="U239" s="19"/>
      <c r="V239" s="60"/>
      <c r="W239" s="56"/>
      <c r="X239" s="56"/>
      <c r="Y239" s="19">
        <v>8</v>
      </c>
      <c r="Z239" s="19"/>
      <c r="AA239" s="28">
        <f>SUM(E239+J239+O239+T239+Y239)</f>
        <v>40</v>
      </c>
      <c r="AB239" s="282">
        <f>Z239+U239+P239+K239+F239</f>
        <v>0</v>
      </c>
      <c r="AC239" s="4"/>
      <c r="AD239" s="56"/>
      <c r="AE239" s="56"/>
      <c r="AF239" s="19"/>
      <c r="AG239" s="29">
        <f>AF239</f>
        <v>0</v>
      </c>
      <c r="AH239" s="4"/>
      <c r="AI239" s="255"/>
      <c r="AK239" s="193"/>
      <c r="AL239" s="193"/>
      <c r="AM239" s="193"/>
      <c r="AN239" s="193"/>
      <c r="AO239" s="193"/>
      <c r="AP239" s="193"/>
    </row>
    <row r="240" spans="2:42" s="180" customFormat="1">
      <c r="B240" s="63" t="s">
        <v>64</v>
      </c>
      <c r="C240" s="56"/>
      <c r="D240" s="56"/>
      <c r="E240" s="19">
        <v>8</v>
      </c>
      <c r="F240" s="291">
        <v>2</v>
      </c>
      <c r="G240" s="60"/>
      <c r="H240" s="56"/>
      <c r="I240" s="56"/>
      <c r="J240" s="19">
        <v>8</v>
      </c>
      <c r="K240" s="291">
        <v>3.5</v>
      </c>
      <c r="L240" s="60"/>
      <c r="M240" s="56"/>
      <c r="N240" s="56"/>
      <c r="O240" s="19">
        <v>8</v>
      </c>
      <c r="P240" s="19"/>
      <c r="Q240" s="60"/>
      <c r="R240" s="56"/>
      <c r="S240" s="56"/>
      <c r="T240" s="19">
        <v>8</v>
      </c>
      <c r="U240" s="19">
        <v>1</v>
      </c>
      <c r="V240" s="60"/>
      <c r="W240" s="56"/>
      <c r="X240" s="56"/>
      <c r="Y240" s="19">
        <v>8</v>
      </c>
      <c r="Z240" s="19">
        <v>1.5</v>
      </c>
      <c r="AA240" s="28">
        <f>SUM(E240+J240+O240+T240+Y240)</f>
        <v>40</v>
      </c>
      <c r="AB240" s="282">
        <f>Z240+U240+P240+K240+F240</f>
        <v>8</v>
      </c>
      <c r="AC240" s="4"/>
      <c r="AD240" s="56"/>
      <c r="AE240" s="56"/>
      <c r="AF240" s="19">
        <v>3</v>
      </c>
      <c r="AG240" s="29">
        <f>AF240</f>
        <v>3</v>
      </c>
      <c r="AH240" s="4"/>
      <c r="AI240" s="255"/>
      <c r="AK240" s="193"/>
      <c r="AL240" s="193"/>
      <c r="AM240" s="193"/>
      <c r="AN240" s="193"/>
      <c r="AO240" s="193"/>
      <c r="AP240" s="193"/>
    </row>
    <row r="241" spans="1:42" s="180" customFormat="1" ht="14.25" thickBot="1">
      <c r="B241" s="268" t="s">
        <v>65</v>
      </c>
      <c r="C241" s="75"/>
      <c r="D241" s="75"/>
      <c r="E241" s="77">
        <v>1</v>
      </c>
      <c r="F241" s="292"/>
      <c r="G241" s="81"/>
      <c r="H241" s="75"/>
      <c r="I241" s="75"/>
      <c r="J241" s="77">
        <v>1</v>
      </c>
      <c r="K241" s="292"/>
      <c r="L241" s="81"/>
      <c r="M241" s="75"/>
      <c r="N241" s="75"/>
      <c r="O241" s="77">
        <v>1</v>
      </c>
      <c r="P241" s="77"/>
      <c r="Q241" s="81"/>
      <c r="R241" s="75"/>
      <c r="S241" s="75"/>
      <c r="T241" s="77">
        <v>1</v>
      </c>
      <c r="U241" s="77"/>
      <c r="V241" s="81"/>
      <c r="W241" s="75"/>
      <c r="X241" s="75"/>
      <c r="Y241" s="77">
        <v>1</v>
      </c>
      <c r="Z241" s="77"/>
      <c r="AA241" s="80">
        <f>SUM(E241+J241+O241+T241+Y241)</f>
        <v>5</v>
      </c>
      <c r="AB241" s="294">
        <f>Z241+U241+P241+K241+F241</f>
        <v>0</v>
      </c>
      <c r="AC241" s="4"/>
      <c r="AD241" s="75"/>
      <c r="AE241" s="75"/>
      <c r="AF241" s="77"/>
      <c r="AG241" s="276">
        <v>0</v>
      </c>
      <c r="AH241" s="4"/>
      <c r="AI241" s="255"/>
      <c r="AK241" s="193"/>
      <c r="AL241" s="193"/>
      <c r="AM241" s="193"/>
      <c r="AN241" s="193"/>
      <c r="AO241" s="193"/>
      <c r="AP241" s="193"/>
    </row>
    <row r="242" spans="1:42" s="180" customFormat="1" ht="14.25" thickTop="1">
      <c r="B242" s="71" t="s">
        <v>66</v>
      </c>
      <c r="C242" s="371"/>
      <c r="D242" s="371"/>
      <c r="E242" s="71">
        <f>SUM(E239:E241)</f>
        <v>17</v>
      </c>
      <c r="F242" s="372"/>
      <c r="G242" s="372"/>
      <c r="H242" s="371"/>
      <c r="I242" s="371"/>
      <c r="J242" s="71">
        <f>SUM(J239:J241)</f>
        <v>17</v>
      </c>
      <c r="K242" s="372"/>
      <c r="L242" s="372"/>
      <c r="M242" s="371"/>
      <c r="N242" s="371"/>
      <c r="O242" s="71">
        <f>SUM(O239:O241)</f>
        <v>17</v>
      </c>
      <c r="P242" s="372"/>
      <c r="Q242" s="372"/>
      <c r="R242" s="371"/>
      <c r="S242" s="371"/>
      <c r="T242" s="71">
        <f>SUM(T239:T241)</f>
        <v>17</v>
      </c>
      <c r="U242" s="372"/>
      <c r="V242" s="372"/>
      <c r="W242" s="371"/>
      <c r="X242" s="371"/>
      <c r="Y242" s="66">
        <f>SUM(Y239:Y241)</f>
        <v>17</v>
      </c>
      <c r="Z242" s="372"/>
      <c r="AA242" s="370">
        <f>SUM(AA239:AA241)</f>
        <v>85</v>
      </c>
      <c r="AB242" s="370">
        <f>SUM(AB239:AB241)</f>
        <v>8</v>
      </c>
      <c r="AC242" s="4"/>
      <c r="AG242" s="370">
        <f>SUM(AG240:AG241)</f>
        <v>3</v>
      </c>
      <c r="AH242" s="4"/>
      <c r="AI242" s="255"/>
      <c r="AK242" s="193"/>
      <c r="AL242" s="193"/>
      <c r="AM242" s="193"/>
      <c r="AN242" s="193"/>
      <c r="AO242" s="193"/>
      <c r="AP242" s="193"/>
    </row>
    <row r="243" spans="1:42" s="180" customFormat="1">
      <c r="B243" s="217" t="s">
        <v>67</v>
      </c>
      <c r="C243" s="207">
        <f>C244+C245</f>
        <v>125</v>
      </c>
      <c r="D243" s="207"/>
      <c r="E243" s="209"/>
      <c r="F243" s="209"/>
      <c r="G243" s="207"/>
      <c r="H243" s="209"/>
      <c r="I243" s="209"/>
      <c r="J243" s="209"/>
      <c r="K243" s="396"/>
      <c r="L243" s="207"/>
      <c r="M243" s="207"/>
      <c r="N243" s="207"/>
      <c r="O243" s="207"/>
      <c r="P243" s="209"/>
      <c r="Q243" s="207"/>
      <c r="R243" s="207"/>
      <c r="S243" s="207"/>
      <c r="T243" s="207"/>
      <c r="U243" s="209"/>
      <c r="V243" s="207"/>
      <c r="W243" s="207"/>
      <c r="X243" s="207"/>
      <c r="Y243" s="210"/>
      <c r="Z243" s="209"/>
      <c r="AA243" s="211"/>
      <c r="AB243" s="209"/>
      <c r="AC243" s="211"/>
      <c r="AD243" s="211"/>
      <c r="AE243" s="211"/>
      <c r="AF243" s="211"/>
      <c r="AG243" s="211"/>
      <c r="AH243" s="4"/>
      <c r="AI243" s="255"/>
      <c r="AK243" s="193"/>
      <c r="AL243" s="193"/>
      <c r="AM243" s="193"/>
      <c r="AN243" s="193"/>
      <c r="AO243" s="193"/>
      <c r="AP243" s="193"/>
    </row>
    <row r="244" spans="1:42" s="180" customFormat="1">
      <c r="B244" s="238" t="s">
        <v>68</v>
      </c>
      <c r="C244" s="239">
        <f>10+11+14+14+14+5</f>
        <v>68</v>
      </c>
      <c r="D244" s="207"/>
      <c r="E244" s="209"/>
      <c r="F244" s="209"/>
      <c r="G244" s="207"/>
      <c r="H244" s="209"/>
      <c r="I244" s="209"/>
      <c r="J244" s="209"/>
      <c r="K244" s="209"/>
      <c r="L244" s="207"/>
      <c r="M244" s="207"/>
      <c r="N244" s="207"/>
      <c r="O244" s="207"/>
      <c r="P244" s="209"/>
      <c r="Q244" s="207"/>
      <c r="R244" s="207"/>
      <c r="S244" s="207"/>
      <c r="T244" s="207"/>
      <c r="U244" s="209"/>
      <c r="V244" s="207"/>
      <c r="W244" s="207"/>
      <c r="X244" s="207"/>
      <c r="Y244" s="210"/>
      <c r="Z244" s="209"/>
      <c r="AA244" s="211"/>
      <c r="AB244" s="209"/>
      <c r="AC244" s="211"/>
      <c r="AD244" s="211"/>
      <c r="AE244" s="211"/>
      <c r="AF244" s="211"/>
      <c r="AG244" s="211"/>
      <c r="AH244" s="4"/>
      <c r="AI244" s="255"/>
      <c r="AK244" s="193"/>
      <c r="AL244" s="193"/>
      <c r="AM244" s="193"/>
      <c r="AN244" s="193"/>
      <c r="AO244" s="193"/>
      <c r="AP244" s="193"/>
    </row>
    <row r="245" spans="1:42" s="180" customFormat="1">
      <c r="A245" s="11"/>
      <c r="B245" s="238" t="s">
        <v>69</v>
      </c>
      <c r="C245" s="239">
        <f>10+12+10+12+10+3</f>
        <v>57</v>
      </c>
      <c r="D245" s="207"/>
      <c r="E245" s="209"/>
      <c r="F245" s="209"/>
      <c r="G245" s="207"/>
      <c r="H245" s="209"/>
      <c r="I245" s="209"/>
      <c r="J245" s="209"/>
      <c r="K245" s="209"/>
      <c r="L245" s="207"/>
      <c r="M245" s="207"/>
      <c r="N245" s="207"/>
      <c r="O245" s="207"/>
      <c r="P245" s="209"/>
      <c r="Q245" s="207"/>
      <c r="R245" s="207"/>
      <c r="S245" s="207"/>
      <c r="T245" s="207"/>
      <c r="U245" s="209"/>
      <c r="V245" s="207"/>
      <c r="W245" s="207"/>
      <c r="X245" s="207"/>
      <c r="Y245" s="210"/>
      <c r="Z245" s="209"/>
      <c r="AA245" s="211"/>
      <c r="AB245" s="209"/>
      <c r="AC245" s="211"/>
      <c r="AD245" s="211"/>
      <c r="AE245" s="211"/>
      <c r="AF245" s="211"/>
      <c r="AG245" s="211"/>
      <c r="AH245" s="4"/>
      <c r="AI245" s="255"/>
      <c r="AK245" s="193"/>
      <c r="AL245" s="193"/>
      <c r="AM245" s="193"/>
      <c r="AN245" s="193"/>
      <c r="AO245" s="193"/>
      <c r="AP245" s="193"/>
    </row>
    <row r="246" spans="1:42" s="180" customFormat="1">
      <c r="E246" s="4"/>
      <c r="F246" s="4"/>
      <c r="G246" s="4"/>
      <c r="J246" s="4"/>
      <c r="K246" s="4"/>
      <c r="L246" s="4"/>
      <c r="O246" s="4"/>
      <c r="P246" s="4"/>
      <c r="Q246" s="4"/>
      <c r="T246" s="4"/>
      <c r="U246" s="4"/>
      <c r="V246" s="4"/>
      <c r="Y246" s="4"/>
      <c r="Z246" s="4"/>
      <c r="AA246" s="4"/>
      <c r="AB246" s="4"/>
      <c r="AC246" s="4"/>
      <c r="AH246" s="4"/>
    </row>
    <row r="247" spans="1:42" s="255" customFormat="1">
      <c r="A247" s="228"/>
      <c r="B247" s="229"/>
      <c r="C247" s="230"/>
      <c r="D247" s="230"/>
      <c r="E247" s="232"/>
      <c r="F247" s="232"/>
      <c r="G247" s="230"/>
      <c r="H247" s="232"/>
      <c r="I247" s="232"/>
      <c r="J247" s="232"/>
      <c r="K247" s="232"/>
      <c r="L247" s="230"/>
      <c r="M247" s="230"/>
      <c r="N247" s="230"/>
      <c r="O247" s="230"/>
      <c r="P247" s="232"/>
      <c r="Q247" s="230"/>
      <c r="R247" s="230"/>
      <c r="S247" s="230"/>
      <c r="T247" s="230"/>
      <c r="U247" s="232"/>
      <c r="V247" s="230"/>
      <c r="W247" s="230"/>
      <c r="X247" s="230"/>
      <c r="Y247" s="233"/>
      <c r="Z247" s="232"/>
      <c r="AA247" s="234"/>
      <c r="AB247" s="232"/>
      <c r="AC247" s="373"/>
      <c r="AD247" s="236"/>
      <c r="AH247" s="373"/>
    </row>
    <row r="248" spans="1:42" s="193" customFormat="1">
      <c r="A248" s="224"/>
      <c r="B248" s="214"/>
      <c r="C248" s="364"/>
      <c r="D248" s="364"/>
      <c r="E248" s="214"/>
      <c r="F248" s="214"/>
      <c r="G248" s="364"/>
      <c r="H248" s="214"/>
      <c r="I248" s="214"/>
      <c r="J248" s="214"/>
      <c r="K248" s="214"/>
      <c r="L248" s="364"/>
      <c r="M248" s="364"/>
      <c r="N248" s="364"/>
      <c r="O248" s="364"/>
      <c r="P248" s="214"/>
      <c r="Q248" s="364"/>
      <c r="R248" s="364"/>
      <c r="S248" s="364"/>
      <c r="T248" s="364"/>
      <c r="U248" s="214"/>
      <c r="V248" s="364"/>
      <c r="W248" s="364"/>
      <c r="X248" s="364"/>
      <c r="Y248" s="216"/>
      <c r="Z248" s="214"/>
      <c r="AA248" s="225"/>
      <c r="AB248" s="214"/>
      <c r="AC248" s="189"/>
      <c r="AH248" s="4"/>
      <c r="AI248" s="255"/>
      <c r="AJ248" s="180"/>
    </row>
    <row r="249" spans="1:42" s="180" customFormat="1">
      <c r="B249" s="1518" t="s">
        <v>18</v>
      </c>
      <c r="C249" s="1519">
        <v>45215</v>
      </c>
      <c r="D249" s="1519"/>
      <c r="E249" s="1519"/>
      <c r="F249" s="1519"/>
      <c r="G249" s="365"/>
      <c r="H249" s="1519">
        <v>45216</v>
      </c>
      <c r="I249" s="1519"/>
      <c r="J249" s="1519"/>
      <c r="K249" s="1519"/>
      <c r="L249" s="365"/>
      <c r="M249" s="1519">
        <v>45217</v>
      </c>
      <c r="N249" s="1519"/>
      <c r="O249" s="1519"/>
      <c r="P249" s="1519"/>
      <c r="Q249" s="365"/>
      <c r="R249" s="1519">
        <v>45218</v>
      </c>
      <c r="S249" s="1519"/>
      <c r="T249" s="1519"/>
      <c r="U249" s="1519"/>
      <c r="V249" s="365"/>
      <c r="W249" s="1519">
        <v>45219</v>
      </c>
      <c r="X249" s="1519"/>
      <c r="Y249" s="1519"/>
      <c r="Z249" s="1519"/>
      <c r="AA249" s="1517" t="s">
        <v>19</v>
      </c>
      <c r="AB249" s="1517" t="s">
        <v>20</v>
      </c>
      <c r="AC249" s="4"/>
      <c r="AD249" s="1519">
        <v>45220</v>
      </c>
      <c r="AE249" s="1519"/>
      <c r="AF249" s="1519"/>
      <c r="AG249" s="1517" t="s">
        <v>21</v>
      </c>
      <c r="AH249" s="4"/>
      <c r="AI249" s="255"/>
      <c r="AK249" s="194" t="s">
        <v>84</v>
      </c>
      <c r="AL249" s="366"/>
      <c r="AM249" s="366"/>
      <c r="AN249" s="366"/>
      <c r="AO249" s="366"/>
      <c r="AP249" s="366"/>
    </row>
    <row r="250" spans="1:42" s="367" customFormat="1">
      <c r="B250" s="1518"/>
      <c r="C250" s="21" t="s">
        <v>23</v>
      </c>
      <c r="D250" s="21" t="s">
        <v>24</v>
      </c>
      <c r="E250" s="205" t="s">
        <v>25</v>
      </c>
      <c r="F250" s="18" t="s">
        <v>14</v>
      </c>
      <c r="G250" s="4"/>
      <c r="H250" s="21" t="s">
        <v>23</v>
      </c>
      <c r="I250" s="21" t="s">
        <v>24</v>
      </c>
      <c r="J250" s="18" t="s">
        <v>25</v>
      </c>
      <c r="K250" s="18" t="s">
        <v>14</v>
      </c>
      <c r="L250" s="4"/>
      <c r="M250" s="21" t="s">
        <v>23</v>
      </c>
      <c r="N250" s="21" t="s">
        <v>24</v>
      </c>
      <c r="O250" s="18" t="s">
        <v>25</v>
      </c>
      <c r="P250" s="18" t="s">
        <v>14</v>
      </c>
      <c r="Q250" s="4"/>
      <c r="R250" s="21" t="s">
        <v>23</v>
      </c>
      <c r="S250" s="21" t="s">
        <v>24</v>
      </c>
      <c r="T250" s="18" t="s">
        <v>25</v>
      </c>
      <c r="U250" s="18" t="s">
        <v>14</v>
      </c>
      <c r="V250" s="4"/>
      <c r="W250" s="21" t="s">
        <v>23</v>
      </c>
      <c r="X250" s="21" t="s">
        <v>24</v>
      </c>
      <c r="Y250" s="18" t="s">
        <v>25</v>
      </c>
      <c r="Z250" s="18" t="s">
        <v>14</v>
      </c>
      <c r="AA250" s="1517"/>
      <c r="AB250" s="1517"/>
      <c r="AC250" s="4"/>
      <c r="AD250" s="21" t="s">
        <v>23</v>
      </c>
      <c r="AE250" s="21" t="s">
        <v>24</v>
      </c>
      <c r="AF250" s="18" t="s">
        <v>25</v>
      </c>
      <c r="AG250" s="1517"/>
      <c r="AH250" s="175"/>
      <c r="AI250" s="368"/>
      <c r="AK250" s="188" t="s">
        <v>26</v>
      </c>
      <c r="AL250" s="196">
        <f>AA277</f>
        <v>784</v>
      </c>
      <c r="AM250" s="193"/>
      <c r="AN250" s="193"/>
      <c r="AO250" s="193"/>
      <c r="AP250" s="193"/>
    </row>
    <row r="251" spans="1:42" s="367" customFormat="1">
      <c r="B251" s="171" t="s">
        <v>56</v>
      </c>
      <c r="C251" s="172">
        <v>0.35416666666666669</v>
      </c>
      <c r="D251" s="172">
        <v>0.20833333333333334</v>
      </c>
      <c r="E251" s="173">
        <v>7.5</v>
      </c>
      <c r="F251" s="277"/>
      <c r="G251" s="175"/>
      <c r="H251" s="172">
        <v>0.35416666666666669</v>
      </c>
      <c r="I251" s="172">
        <v>0.20833333333333334</v>
      </c>
      <c r="J251" s="173">
        <v>7.5</v>
      </c>
      <c r="K251" s="277"/>
      <c r="L251" s="175"/>
      <c r="M251" s="172" t="s">
        <v>29</v>
      </c>
      <c r="N251" s="172" t="s">
        <v>29</v>
      </c>
      <c r="O251" s="173">
        <v>0</v>
      </c>
      <c r="P251" s="277"/>
      <c r="Q251" s="175"/>
      <c r="R251" s="172" t="s">
        <v>29</v>
      </c>
      <c r="S251" s="172" t="s">
        <v>29</v>
      </c>
      <c r="T251" s="173">
        <v>0</v>
      </c>
      <c r="U251" s="277"/>
      <c r="V251" s="175"/>
      <c r="W251" s="172" t="s">
        <v>29</v>
      </c>
      <c r="X251" s="172" t="s">
        <v>29</v>
      </c>
      <c r="Y251" s="173">
        <v>0</v>
      </c>
      <c r="Z251" s="277"/>
      <c r="AA251" s="28">
        <f t="shared" ref="AA251:AA275" si="32">(E251+J251+O251+T251+Y251)</f>
        <v>15</v>
      </c>
      <c r="AB251" s="298">
        <f t="shared" ref="AB251:AB275" si="33">Z251+U251+P251+K251+F251</f>
        <v>0</v>
      </c>
      <c r="AC251" s="175"/>
      <c r="AD251" s="175">
        <v>0</v>
      </c>
      <c r="AE251" s="175">
        <v>0</v>
      </c>
      <c r="AF251" s="173">
        <v>0</v>
      </c>
      <c r="AG251" s="28">
        <f t="shared" ref="AG251:AG275" si="34">AF251</f>
        <v>0</v>
      </c>
      <c r="AH251" s="175"/>
      <c r="AI251" s="368"/>
      <c r="AK251" s="188" t="s">
        <v>30</v>
      </c>
      <c r="AL251" s="196">
        <f>AB277</f>
        <v>6</v>
      </c>
      <c r="AM251" s="193"/>
      <c r="AN251" s="193"/>
      <c r="AO251" s="193"/>
      <c r="AP251" s="193"/>
    </row>
    <row r="252" spans="1:42" s="367" customFormat="1">
      <c r="B252" s="171" t="s">
        <v>31</v>
      </c>
      <c r="C252" s="172">
        <v>0.36458333333333331</v>
      </c>
      <c r="D252" s="172">
        <v>0.20833333333333334</v>
      </c>
      <c r="E252" s="173">
        <v>7.25</v>
      </c>
      <c r="F252" s="277"/>
      <c r="G252" s="175"/>
      <c r="H252" s="172">
        <v>0.375</v>
      </c>
      <c r="I252" s="172">
        <v>0.20833333333333334</v>
      </c>
      <c r="J252" s="173">
        <v>7</v>
      </c>
      <c r="K252" s="277"/>
      <c r="L252" s="175"/>
      <c r="M252" s="172">
        <v>0.36458333333333331</v>
      </c>
      <c r="N252" s="172">
        <v>0.20833333333333334</v>
      </c>
      <c r="O252" s="173">
        <v>7.25</v>
      </c>
      <c r="P252" s="277"/>
      <c r="Q252" s="175"/>
      <c r="R252" s="172">
        <v>0.36458333333333331</v>
      </c>
      <c r="S252" s="172">
        <v>0.20833333333333334</v>
      </c>
      <c r="T252" s="173">
        <v>7.25</v>
      </c>
      <c r="U252" s="277"/>
      <c r="V252" s="175"/>
      <c r="W252" s="172">
        <v>0.34375</v>
      </c>
      <c r="X252" s="172">
        <v>0.20833333333333334</v>
      </c>
      <c r="Y252" s="173">
        <v>7.75</v>
      </c>
      <c r="Z252" s="277"/>
      <c r="AA252" s="28">
        <f t="shared" si="32"/>
        <v>36.5</v>
      </c>
      <c r="AB252" s="298">
        <f t="shared" si="33"/>
        <v>0</v>
      </c>
      <c r="AC252" s="175"/>
      <c r="AD252" s="175">
        <v>0</v>
      </c>
      <c r="AE252" s="175">
        <v>0</v>
      </c>
      <c r="AF252" s="173">
        <v>0</v>
      </c>
      <c r="AG252" s="28">
        <f t="shared" si="34"/>
        <v>0</v>
      </c>
      <c r="AH252" s="175"/>
      <c r="AI252" s="368"/>
      <c r="AK252" s="188" t="s">
        <v>32</v>
      </c>
      <c r="AL252" s="196">
        <f>AG277</f>
        <v>24</v>
      </c>
      <c r="AM252" s="193"/>
      <c r="AN252" s="193"/>
      <c r="AO252" s="193"/>
      <c r="AP252" s="193"/>
    </row>
    <row r="253" spans="1:42" s="367" customFormat="1">
      <c r="B253" s="171" t="s">
        <v>33</v>
      </c>
      <c r="C253" s="377">
        <v>0.375</v>
      </c>
      <c r="D253" s="172">
        <v>0.20833333333333334</v>
      </c>
      <c r="E253" s="173">
        <v>7</v>
      </c>
      <c r="F253" s="277"/>
      <c r="G253" s="175"/>
      <c r="H253" s="172">
        <v>0.35416666666666669</v>
      </c>
      <c r="I253" s="172">
        <v>0.20833333333333334</v>
      </c>
      <c r="J253" s="173">
        <v>7.5</v>
      </c>
      <c r="K253" s="277"/>
      <c r="L253" s="175"/>
      <c r="M253" s="172">
        <v>0.375</v>
      </c>
      <c r="N253" s="172">
        <v>0.20833333333333334</v>
      </c>
      <c r="O253" s="173">
        <v>7</v>
      </c>
      <c r="P253" s="277"/>
      <c r="Q253" s="175"/>
      <c r="R253" s="172">
        <v>0.38541666666666669</v>
      </c>
      <c r="S253" s="172">
        <v>0.20833333333333334</v>
      </c>
      <c r="T253" s="173">
        <v>6.75</v>
      </c>
      <c r="U253" s="277"/>
      <c r="V253" s="175"/>
      <c r="W253" s="172">
        <v>0.39583333333333331</v>
      </c>
      <c r="X253" s="172">
        <v>0.20833333333333334</v>
      </c>
      <c r="Y253" s="173">
        <v>6.5</v>
      </c>
      <c r="Z253" s="277"/>
      <c r="AA253" s="28">
        <f t="shared" si="32"/>
        <v>34.75</v>
      </c>
      <c r="AB253" s="298">
        <f t="shared" si="33"/>
        <v>0</v>
      </c>
      <c r="AC253" s="175"/>
      <c r="AD253" s="175">
        <v>0</v>
      </c>
      <c r="AE253" s="175">
        <v>0</v>
      </c>
      <c r="AF253" s="173">
        <v>0</v>
      </c>
      <c r="AG253" s="28">
        <f t="shared" si="34"/>
        <v>0</v>
      </c>
      <c r="AH253" s="175"/>
      <c r="AI253" s="368"/>
      <c r="AK253" s="188" t="s">
        <v>34</v>
      </c>
      <c r="AL253" s="196">
        <f>AA281</f>
        <v>69</v>
      </c>
      <c r="AM253" s="193"/>
      <c r="AN253" s="193"/>
      <c r="AO253" s="193"/>
      <c r="AP253" s="193"/>
    </row>
    <row r="254" spans="1:42" s="180" customFormat="1">
      <c r="B254" s="171" t="s">
        <v>58</v>
      </c>
      <c r="C254" s="172">
        <v>0.375</v>
      </c>
      <c r="D254" s="172">
        <v>0.20833333333333334</v>
      </c>
      <c r="E254" s="173">
        <v>7</v>
      </c>
      <c r="F254" s="277"/>
      <c r="G254" s="4"/>
      <c r="H254" s="172">
        <v>0.35416666666666669</v>
      </c>
      <c r="I254" s="172">
        <v>0.20833333333333334</v>
      </c>
      <c r="J254" s="173">
        <v>7.5</v>
      </c>
      <c r="K254" s="277"/>
      <c r="L254" s="4"/>
      <c r="M254" s="172">
        <v>0.375</v>
      </c>
      <c r="N254" s="172">
        <v>0.20833333333333334</v>
      </c>
      <c r="O254" s="173">
        <v>7</v>
      </c>
      <c r="P254" s="277"/>
      <c r="Q254" s="4"/>
      <c r="R254" s="172">
        <v>0.34375</v>
      </c>
      <c r="S254" s="172">
        <v>0.20833333333333334</v>
      </c>
      <c r="T254" s="173">
        <v>7.75</v>
      </c>
      <c r="U254" s="277"/>
      <c r="V254" s="4"/>
      <c r="W254" s="172">
        <v>0.35416666666666669</v>
      </c>
      <c r="X254" s="172">
        <v>0.20833333333333334</v>
      </c>
      <c r="Y254" s="173">
        <v>7.5</v>
      </c>
      <c r="Z254" s="277"/>
      <c r="AA254" s="28">
        <f t="shared" si="32"/>
        <v>36.75</v>
      </c>
      <c r="AB254" s="298">
        <f t="shared" si="33"/>
        <v>0</v>
      </c>
      <c r="AC254" s="4"/>
      <c r="AD254" s="175">
        <v>0</v>
      </c>
      <c r="AE254" s="175">
        <v>0</v>
      </c>
      <c r="AF254" s="173">
        <v>0</v>
      </c>
      <c r="AG254" s="28">
        <f t="shared" si="34"/>
        <v>0</v>
      </c>
      <c r="AH254" s="4"/>
      <c r="AI254" s="255"/>
      <c r="AK254" s="188" t="s">
        <v>36</v>
      </c>
      <c r="AL254" s="196">
        <f>AB281</f>
        <v>7.5</v>
      </c>
      <c r="AM254" s="193"/>
      <c r="AN254" s="193"/>
      <c r="AO254" s="193"/>
      <c r="AP254" s="193"/>
    </row>
    <row r="255" spans="1:42" s="367" customFormat="1">
      <c r="B255" s="171" t="s">
        <v>72</v>
      </c>
      <c r="C255" s="172">
        <v>0.34375</v>
      </c>
      <c r="D255" s="172">
        <v>0.20833333333333334</v>
      </c>
      <c r="E255" s="173">
        <v>7.75</v>
      </c>
      <c r="F255" s="277"/>
      <c r="G255" s="4"/>
      <c r="H255" s="172">
        <v>0.35416666666666669</v>
      </c>
      <c r="I255" s="172">
        <v>0.20833333333333334</v>
      </c>
      <c r="J255" s="173">
        <v>7.5</v>
      </c>
      <c r="K255" s="277"/>
      <c r="L255" s="4"/>
      <c r="M255" s="172">
        <v>0.34375</v>
      </c>
      <c r="N255" s="172">
        <v>0.20833333333333334</v>
      </c>
      <c r="O255" s="173">
        <v>7.75</v>
      </c>
      <c r="P255" s="277"/>
      <c r="Q255" s="4"/>
      <c r="R255" s="172">
        <v>0.34375</v>
      </c>
      <c r="S255" s="172">
        <v>0.20833333333333334</v>
      </c>
      <c r="T255" s="173">
        <v>7.75</v>
      </c>
      <c r="U255" s="277"/>
      <c r="V255" s="4"/>
      <c r="W255" s="172">
        <v>0.375</v>
      </c>
      <c r="X255" s="172">
        <v>0.20833333333333334</v>
      </c>
      <c r="Y255" s="173">
        <v>7</v>
      </c>
      <c r="Z255" s="277"/>
      <c r="AA255" s="28">
        <f t="shared" si="32"/>
        <v>37.75</v>
      </c>
      <c r="AB255" s="298">
        <f t="shared" si="33"/>
        <v>0</v>
      </c>
      <c r="AC255" s="4"/>
      <c r="AD255" s="175">
        <v>0</v>
      </c>
      <c r="AE255" s="175">
        <v>0</v>
      </c>
      <c r="AF255" s="173">
        <v>0</v>
      </c>
      <c r="AG255" s="28">
        <f t="shared" si="34"/>
        <v>0</v>
      </c>
      <c r="AH255" s="175"/>
      <c r="AI255" s="368"/>
      <c r="AK255" s="188" t="s">
        <v>38</v>
      </c>
      <c r="AL255" s="196">
        <f>AG281</f>
        <v>9</v>
      </c>
      <c r="AM255" s="193"/>
      <c r="AN255" s="193"/>
      <c r="AO255" s="193"/>
      <c r="AP255" s="193"/>
    </row>
    <row r="256" spans="1:42" s="180" customFormat="1">
      <c r="B256" s="171" t="s">
        <v>71</v>
      </c>
      <c r="C256" s="172">
        <v>0.33333333333333331</v>
      </c>
      <c r="D256" s="172">
        <v>0.20833333333333334</v>
      </c>
      <c r="E256" s="173">
        <v>8</v>
      </c>
      <c r="F256" s="277"/>
      <c r="G256" s="4"/>
      <c r="H256" s="172">
        <v>0.33333333333333331</v>
      </c>
      <c r="I256" s="172">
        <v>0.20833333333333334</v>
      </c>
      <c r="J256" s="173">
        <v>8</v>
      </c>
      <c r="K256" s="277"/>
      <c r="L256" s="4"/>
      <c r="M256" s="172">
        <v>0.33333333333333331</v>
      </c>
      <c r="N256" s="172">
        <v>0.20833333333333334</v>
      </c>
      <c r="O256" s="173">
        <v>8</v>
      </c>
      <c r="P256" s="277"/>
      <c r="Q256" s="4"/>
      <c r="R256" s="172">
        <v>0.33333333333333331</v>
      </c>
      <c r="S256" s="172">
        <v>0.20833333333333334</v>
      </c>
      <c r="T256" s="173">
        <v>8</v>
      </c>
      <c r="U256" s="277"/>
      <c r="V256" s="4"/>
      <c r="W256" s="172">
        <v>0.34375</v>
      </c>
      <c r="X256" s="172">
        <v>0.20833333333333334</v>
      </c>
      <c r="Y256" s="173">
        <v>7.75</v>
      </c>
      <c r="Z256" s="277"/>
      <c r="AA256" s="28">
        <f t="shared" si="32"/>
        <v>39.75</v>
      </c>
      <c r="AB256" s="298">
        <f t="shared" si="33"/>
        <v>0</v>
      </c>
      <c r="AC256" s="4"/>
      <c r="AD256" s="175">
        <v>0</v>
      </c>
      <c r="AE256" s="175">
        <v>0</v>
      </c>
      <c r="AF256" s="173">
        <v>0</v>
      </c>
      <c r="AG256" s="28">
        <f t="shared" si="34"/>
        <v>0</v>
      </c>
      <c r="AH256" s="4"/>
      <c r="AI256" s="255"/>
      <c r="AK256" s="188" t="s">
        <v>41</v>
      </c>
      <c r="AL256" s="196">
        <f>C282</f>
        <v>119</v>
      </c>
      <c r="AM256" s="369"/>
      <c r="AN256" s="369"/>
      <c r="AO256" s="369"/>
      <c r="AP256" s="369"/>
    </row>
    <row r="257" spans="2:42" s="180" customFormat="1">
      <c r="B257" s="13" t="s">
        <v>35</v>
      </c>
      <c r="C257" s="353">
        <v>0.33333333333333331</v>
      </c>
      <c r="D257" s="314">
        <v>0.20833333333333334</v>
      </c>
      <c r="E257" s="319">
        <v>8</v>
      </c>
      <c r="F257" s="277"/>
      <c r="G257" s="175"/>
      <c r="H257" s="47">
        <v>0.39583333333333331</v>
      </c>
      <c r="I257" s="47">
        <v>0.20833333333333334</v>
      </c>
      <c r="J257" s="319">
        <v>6.5</v>
      </c>
      <c r="K257" s="277"/>
      <c r="L257" s="175"/>
      <c r="M257" s="47">
        <v>0.34375</v>
      </c>
      <c r="N257" s="47">
        <v>0.20833333333333334</v>
      </c>
      <c r="O257" s="319">
        <v>7.75</v>
      </c>
      <c r="P257" s="277"/>
      <c r="Q257" s="175"/>
      <c r="R257" s="47">
        <v>0.35416666666666669</v>
      </c>
      <c r="S257" s="47">
        <v>0.20833333333333334</v>
      </c>
      <c r="T257" s="319">
        <v>7.5</v>
      </c>
      <c r="U257" s="277"/>
      <c r="V257" s="175"/>
      <c r="W257" s="47">
        <v>0.375</v>
      </c>
      <c r="X257" s="47">
        <v>0.20833333333333334</v>
      </c>
      <c r="Y257" s="319">
        <v>7</v>
      </c>
      <c r="Z257" s="277"/>
      <c r="AA257" s="344">
        <f t="shared" si="32"/>
        <v>36.75</v>
      </c>
      <c r="AB257" s="298">
        <f t="shared" si="33"/>
        <v>0</v>
      </c>
      <c r="AC257" s="175"/>
      <c r="AD257" s="345">
        <v>0</v>
      </c>
      <c r="AE257" s="345">
        <v>0</v>
      </c>
      <c r="AF257" s="346">
        <v>0</v>
      </c>
      <c r="AG257" s="344">
        <f t="shared" si="34"/>
        <v>0</v>
      </c>
      <c r="AH257" s="4"/>
      <c r="AI257" s="255"/>
      <c r="AK257" s="193"/>
      <c r="AL257" s="193"/>
      <c r="AM257" s="193"/>
      <c r="AN257" s="193"/>
      <c r="AO257" s="193"/>
      <c r="AP257" s="193"/>
    </row>
    <row r="258" spans="2:42" s="180" customFormat="1">
      <c r="B258" s="13" t="s">
        <v>37</v>
      </c>
      <c r="C258" s="353">
        <v>0</v>
      </c>
      <c r="D258" s="314">
        <v>0</v>
      </c>
      <c r="E258" s="319">
        <v>0</v>
      </c>
      <c r="F258" s="277"/>
      <c r="G258" s="175"/>
      <c r="H258" s="47">
        <v>0</v>
      </c>
      <c r="I258" s="47">
        <v>0</v>
      </c>
      <c r="J258" s="319">
        <v>0</v>
      </c>
      <c r="K258" s="277"/>
      <c r="L258" s="175"/>
      <c r="M258" s="47">
        <v>0</v>
      </c>
      <c r="N258" s="47">
        <v>0</v>
      </c>
      <c r="O258" s="319">
        <v>0</v>
      </c>
      <c r="P258" s="277"/>
      <c r="Q258" s="175"/>
      <c r="R258" s="345">
        <v>0</v>
      </c>
      <c r="S258" s="345">
        <v>0</v>
      </c>
      <c r="T258" s="319">
        <v>0</v>
      </c>
      <c r="U258" s="277"/>
      <c r="V258" s="175"/>
      <c r="W258" s="345">
        <v>0</v>
      </c>
      <c r="X258" s="345">
        <v>0</v>
      </c>
      <c r="Y258" s="319">
        <v>0</v>
      </c>
      <c r="Z258" s="277"/>
      <c r="AA258" s="344">
        <f t="shared" si="32"/>
        <v>0</v>
      </c>
      <c r="AB258" s="298">
        <f t="shared" si="33"/>
        <v>0</v>
      </c>
      <c r="AC258" s="175"/>
      <c r="AD258" s="345">
        <v>0</v>
      </c>
      <c r="AE258" s="345">
        <v>0</v>
      </c>
      <c r="AF258" s="346">
        <v>0</v>
      </c>
      <c r="AG258" s="344">
        <f t="shared" si="34"/>
        <v>0</v>
      </c>
      <c r="AH258" s="4"/>
      <c r="AI258" s="255"/>
      <c r="AK258" s="193"/>
      <c r="AL258" s="193"/>
      <c r="AM258" s="193"/>
      <c r="AN258" s="193"/>
      <c r="AO258" s="193"/>
      <c r="AP258" s="193"/>
    </row>
    <row r="259" spans="2:42" s="180" customFormat="1">
      <c r="B259" s="13" t="s">
        <v>39</v>
      </c>
      <c r="C259" s="353">
        <v>0.39583333333333331</v>
      </c>
      <c r="D259" s="314">
        <v>0.20833333333333334</v>
      </c>
      <c r="E259" s="19">
        <v>6.5</v>
      </c>
      <c r="F259" s="277"/>
      <c r="G259" s="4"/>
      <c r="H259" s="47">
        <v>0.375</v>
      </c>
      <c r="I259" s="47">
        <v>0.20833333333333334</v>
      </c>
      <c r="J259" s="319">
        <v>7</v>
      </c>
      <c r="K259" s="277"/>
      <c r="L259" s="4"/>
      <c r="M259" s="47">
        <v>0.375</v>
      </c>
      <c r="N259" s="47">
        <v>0.20833333333333334</v>
      </c>
      <c r="O259" s="319">
        <v>7</v>
      </c>
      <c r="P259" s="277"/>
      <c r="Q259" s="4"/>
      <c r="R259" s="47">
        <v>0.375</v>
      </c>
      <c r="S259" s="47">
        <v>0.20833333333333334</v>
      </c>
      <c r="T259" s="319">
        <v>7</v>
      </c>
      <c r="U259" s="277"/>
      <c r="V259" s="4"/>
      <c r="W259" s="47">
        <v>0.39583333333333331</v>
      </c>
      <c r="X259" s="47">
        <v>0.19791666666666666</v>
      </c>
      <c r="Y259" s="319">
        <v>6.25</v>
      </c>
      <c r="Z259" s="277"/>
      <c r="AA259" s="29">
        <f t="shared" si="32"/>
        <v>33.75</v>
      </c>
      <c r="AB259" s="298">
        <f t="shared" si="33"/>
        <v>0</v>
      </c>
      <c r="AC259" s="4"/>
      <c r="AD259" s="4">
        <v>0</v>
      </c>
      <c r="AE259" s="4">
        <v>0</v>
      </c>
      <c r="AF259" s="19">
        <v>0</v>
      </c>
      <c r="AG259" s="29">
        <f t="shared" si="34"/>
        <v>0</v>
      </c>
      <c r="AH259" s="4"/>
      <c r="AI259" s="255"/>
      <c r="AK259" s="193"/>
      <c r="AL259" s="193"/>
      <c r="AM259" s="193"/>
      <c r="AN259" s="193"/>
      <c r="AO259" s="193"/>
      <c r="AP259" s="193"/>
    </row>
    <row r="260" spans="2:42" s="180" customFormat="1">
      <c r="B260" s="164" t="s">
        <v>40</v>
      </c>
      <c r="C260" s="353">
        <v>0.375</v>
      </c>
      <c r="D260" s="314">
        <v>0.20833333333333334</v>
      </c>
      <c r="E260" s="19">
        <v>7</v>
      </c>
      <c r="F260" s="277"/>
      <c r="G260" s="4"/>
      <c r="H260" s="47">
        <v>0</v>
      </c>
      <c r="I260" s="47">
        <v>0</v>
      </c>
      <c r="J260" s="319">
        <v>0</v>
      </c>
      <c r="K260" s="277"/>
      <c r="L260" s="4"/>
      <c r="M260" s="47">
        <v>0.36458333333333331</v>
      </c>
      <c r="N260" s="47">
        <v>0.20833333333333334</v>
      </c>
      <c r="O260" s="319">
        <v>7.25</v>
      </c>
      <c r="P260" s="277"/>
      <c r="Q260" s="4"/>
      <c r="R260" s="47">
        <v>0.375</v>
      </c>
      <c r="S260" s="47">
        <v>0.20833333333333334</v>
      </c>
      <c r="T260" s="319">
        <v>7</v>
      </c>
      <c r="U260" s="277"/>
      <c r="V260" s="4"/>
      <c r="W260" s="345">
        <v>0</v>
      </c>
      <c r="X260" s="345">
        <v>0</v>
      </c>
      <c r="Y260" s="319">
        <v>0</v>
      </c>
      <c r="Z260" s="277"/>
      <c r="AA260" s="29">
        <f t="shared" si="32"/>
        <v>21.25</v>
      </c>
      <c r="AB260" s="298">
        <f t="shared" si="33"/>
        <v>0</v>
      </c>
      <c r="AC260" s="4"/>
      <c r="AD260" s="47">
        <v>0.36458333333333331</v>
      </c>
      <c r="AE260" s="47">
        <v>0.20833333333333334</v>
      </c>
      <c r="AF260" s="19">
        <v>8.25</v>
      </c>
      <c r="AG260" s="29">
        <f t="shared" si="34"/>
        <v>8.25</v>
      </c>
      <c r="AH260" s="4"/>
      <c r="AI260" s="255"/>
      <c r="AK260" s="193"/>
      <c r="AL260" s="193"/>
      <c r="AM260" s="193"/>
      <c r="AN260" s="193"/>
      <c r="AO260" s="193"/>
      <c r="AP260" s="193"/>
    </row>
    <row r="261" spans="2:42" s="180" customFormat="1">
      <c r="B261" s="164" t="s">
        <v>42</v>
      </c>
      <c r="C261" s="353">
        <v>0.34375</v>
      </c>
      <c r="D261" s="314">
        <v>0.20833333333333334</v>
      </c>
      <c r="E261" s="19">
        <v>7.75</v>
      </c>
      <c r="F261" s="277"/>
      <c r="G261" s="4"/>
      <c r="H261" s="47">
        <v>0.375</v>
      </c>
      <c r="I261" s="47">
        <v>0.20833333333333334</v>
      </c>
      <c r="J261" s="319">
        <v>7</v>
      </c>
      <c r="K261" s="277"/>
      <c r="L261" s="4"/>
      <c r="M261" s="47">
        <v>0.30208333333333331</v>
      </c>
      <c r="N261" s="47">
        <v>0.20833333333333334</v>
      </c>
      <c r="O261" s="319">
        <v>8.75</v>
      </c>
      <c r="P261" s="277"/>
      <c r="Q261" s="4"/>
      <c r="R261" s="47">
        <v>0.3125</v>
      </c>
      <c r="S261" s="47">
        <v>0.20833333333333334</v>
      </c>
      <c r="T261" s="319">
        <v>8</v>
      </c>
      <c r="U261" s="277">
        <v>0.5</v>
      </c>
      <c r="V261" s="4"/>
      <c r="W261" s="47">
        <v>0.29166666666666669</v>
      </c>
      <c r="X261" s="47">
        <v>0.20833333333333334</v>
      </c>
      <c r="Y261" s="319">
        <v>8</v>
      </c>
      <c r="Z261" s="277">
        <v>1</v>
      </c>
      <c r="AA261" s="29">
        <f t="shared" si="32"/>
        <v>39.5</v>
      </c>
      <c r="AB261" s="298">
        <f t="shared" si="33"/>
        <v>1.5</v>
      </c>
      <c r="AC261" s="4"/>
      <c r="AD261" s="4">
        <v>0</v>
      </c>
      <c r="AE261" s="4">
        <v>0</v>
      </c>
      <c r="AF261" s="19">
        <v>0</v>
      </c>
      <c r="AG261" s="29">
        <f t="shared" si="34"/>
        <v>0</v>
      </c>
      <c r="AH261" s="4"/>
      <c r="AI261" s="255"/>
      <c r="AK261" s="193"/>
      <c r="AL261" s="193"/>
      <c r="AM261" s="193"/>
      <c r="AN261" s="193"/>
      <c r="AO261" s="193"/>
      <c r="AP261" s="193"/>
    </row>
    <row r="262" spans="2:42" s="180" customFormat="1">
      <c r="B262" s="13" t="s">
        <v>43</v>
      </c>
      <c r="C262" s="353">
        <v>0.34375</v>
      </c>
      <c r="D262" s="314">
        <v>0.20833333333333334</v>
      </c>
      <c r="E262" s="19">
        <v>7.75</v>
      </c>
      <c r="F262" s="277"/>
      <c r="G262" s="4"/>
      <c r="H262" s="47">
        <v>0.35416666666666669</v>
      </c>
      <c r="I262" s="47">
        <v>0.20833333333333334</v>
      </c>
      <c r="J262" s="319">
        <v>7.5</v>
      </c>
      <c r="K262" s="277"/>
      <c r="L262" s="4"/>
      <c r="M262" s="47">
        <v>0.36458333333333331</v>
      </c>
      <c r="N262" s="47">
        <v>0.20833333333333334</v>
      </c>
      <c r="O262" s="319">
        <v>7.25</v>
      </c>
      <c r="P262" s="277"/>
      <c r="Q262" s="4"/>
      <c r="R262" s="47">
        <v>0.35416666666666669</v>
      </c>
      <c r="S262" s="47">
        <v>0.20833333333333334</v>
      </c>
      <c r="T262" s="319">
        <v>7.5</v>
      </c>
      <c r="U262" s="277"/>
      <c r="V262" s="4"/>
      <c r="W262" s="47">
        <v>0.35416666666666669</v>
      </c>
      <c r="X262" s="47">
        <v>0.20833333333333334</v>
      </c>
      <c r="Y262" s="319">
        <v>7.5</v>
      </c>
      <c r="Z262" s="277"/>
      <c r="AA262" s="29">
        <f t="shared" si="32"/>
        <v>37.5</v>
      </c>
      <c r="AB262" s="298">
        <f t="shared" si="33"/>
        <v>0</v>
      </c>
      <c r="AC262" s="4"/>
      <c r="AD262" s="4">
        <v>0</v>
      </c>
      <c r="AE262" s="4">
        <v>0</v>
      </c>
      <c r="AF262" s="19">
        <v>0</v>
      </c>
      <c r="AG262" s="29">
        <f t="shared" si="34"/>
        <v>0</v>
      </c>
      <c r="AH262" s="4"/>
      <c r="AI262" s="255"/>
      <c r="AK262" s="193"/>
      <c r="AL262" s="193"/>
      <c r="AM262" s="193"/>
      <c r="AN262" s="193"/>
      <c r="AO262" s="193"/>
      <c r="AP262" s="193"/>
    </row>
    <row r="263" spans="2:42" s="180" customFormat="1">
      <c r="B263" s="13" t="s">
        <v>44</v>
      </c>
      <c r="C263" s="353">
        <v>0.34375</v>
      </c>
      <c r="D263" s="314">
        <v>0.20833333333333334</v>
      </c>
      <c r="E263" s="19">
        <v>7.75</v>
      </c>
      <c r="F263" s="277"/>
      <c r="G263" s="4"/>
      <c r="H263" s="47">
        <v>0.33333333333333331</v>
      </c>
      <c r="I263" s="47">
        <v>0.20833333333333334</v>
      </c>
      <c r="J263" s="319">
        <v>8</v>
      </c>
      <c r="K263" s="277"/>
      <c r="L263" s="4"/>
      <c r="M263" s="47">
        <v>0.33333333333333331</v>
      </c>
      <c r="N263" s="47">
        <v>0.20833333333333334</v>
      </c>
      <c r="O263" s="319">
        <v>8</v>
      </c>
      <c r="P263" s="277"/>
      <c r="Q263" s="4"/>
      <c r="R263" s="47">
        <v>0.375</v>
      </c>
      <c r="S263" s="47">
        <v>0.20833333333333334</v>
      </c>
      <c r="T263" s="319">
        <v>7</v>
      </c>
      <c r="U263" s="277"/>
      <c r="V263" s="4"/>
      <c r="W263" s="47">
        <v>0.33333333333333331</v>
      </c>
      <c r="X263" s="47">
        <v>0.20833333333333334</v>
      </c>
      <c r="Y263" s="319">
        <v>8</v>
      </c>
      <c r="Z263" s="277"/>
      <c r="AA263" s="29">
        <f t="shared" si="32"/>
        <v>38.75</v>
      </c>
      <c r="AB263" s="298">
        <f t="shared" si="33"/>
        <v>0</v>
      </c>
      <c r="AC263" s="4"/>
      <c r="AD263" s="4">
        <v>0</v>
      </c>
      <c r="AE263" s="4">
        <v>0</v>
      </c>
      <c r="AF263" s="19">
        <v>0</v>
      </c>
      <c r="AG263" s="29">
        <f t="shared" si="34"/>
        <v>0</v>
      </c>
      <c r="AH263" s="4"/>
      <c r="AI263" s="255"/>
      <c r="AK263" s="193"/>
      <c r="AL263" s="193"/>
      <c r="AM263" s="193"/>
      <c r="AN263" s="193"/>
      <c r="AO263" s="193"/>
      <c r="AP263" s="193"/>
    </row>
    <row r="264" spans="2:42" s="180" customFormat="1">
      <c r="B264" s="13" t="s">
        <v>45</v>
      </c>
      <c r="C264" s="47">
        <v>0.375</v>
      </c>
      <c r="D264" s="314">
        <v>0.20833333333333334</v>
      </c>
      <c r="E264" s="19">
        <v>7</v>
      </c>
      <c r="F264" s="277"/>
      <c r="G264" s="4"/>
      <c r="H264" s="47">
        <v>0</v>
      </c>
      <c r="I264" s="47">
        <v>0</v>
      </c>
      <c r="J264" s="319">
        <v>0</v>
      </c>
      <c r="K264" s="277"/>
      <c r="L264" s="4"/>
      <c r="M264" s="47">
        <v>0.375</v>
      </c>
      <c r="N264" s="47">
        <v>0.20833333333333334</v>
      </c>
      <c r="O264" s="319">
        <v>7</v>
      </c>
      <c r="P264" s="277"/>
      <c r="Q264" s="4"/>
      <c r="R264" s="345">
        <v>0</v>
      </c>
      <c r="S264" s="345">
        <v>0</v>
      </c>
      <c r="T264" s="319">
        <v>0</v>
      </c>
      <c r="U264" s="277"/>
      <c r="V264" s="4"/>
      <c r="W264" s="47">
        <v>0.38541666666666669</v>
      </c>
      <c r="X264" s="47">
        <v>0.20833333333333334</v>
      </c>
      <c r="Y264" s="319">
        <v>6.75</v>
      </c>
      <c r="Z264" s="277"/>
      <c r="AA264" s="29">
        <f t="shared" si="32"/>
        <v>20.75</v>
      </c>
      <c r="AB264" s="298">
        <f t="shared" si="33"/>
        <v>0</v>
      </c>
      <c r="AC264" s="4"/>
      <c r="AD264" s="4">
        <v>0</v>
      </c>
      <c r="AE264" s="4">
        <v>0</v>
      </c>
      <c r="AF264" s="19">
        <v>0</v>
      </c>
      <c r="AG264" s="29">
        <f t="shared" si="34"/>
        <v>0</v>
      </c>
      <c r="AH264" s="4"/>
      <c r="AI264" s="255"/>
      <c r="AK264" s="193"/>
      <c r="AL264" s="193"/>
      <c r="AM264" s="193"/>
      <c r="AN264" s="193"/>
      <c r="AO264" s="193"/>
      <c r="AP264" s="193"/>
    </row>
    <row r="265" spans="2:42" s="180" customFormat="1">
      <c r="B265" s="13" t="s">
        <v>47</v>
      </c>
      <c r="C265" s="353">
        <v>0.34375</v>
      </c>
      <c r="D265" s="314">
        <v>0.20833333333333334</v>
      </c>
      <c r="E265" s="19">
        <v>7.75</v>
      </c>
      <c r="F265" s="277"/>
      <c r="G265" s="4"/>
      <c r="H265" s="47">
        <v>0.39583333333333331</v>
      </c>
      <c r="I265" s="47">
        <v>0.20833333333333334</v>
      </c>
      <c r="J265" s="319">
        <v>6.5</v>
      </c>
      <c r="K265" s="277"/>
      <c r="L265" s="4"/>
      <c r="M265" s="47">
        <v>0.34375</v>
      </c>
      <c r="N265" s="47">
        <v>0.20833333333333334</v>
      </c>
      <c r="O265" s="319">
        <v>7.75</v>
      </c>
      <c r="P265" s="277"/>
      <c r="Q265" s="4"/>
      <c r="R265" s="47">
        <v>0.33333333333333331</v>
      </c>
      <c r="S265" s="47">
        <v>0.20833333333333334</v>
      </c>
      <c r="T265" s="319">
        <v>8</v>
      </c>
      <c r="U265" s="277"/>
      <c r="V265" s="4"/>
      <c r="W265" s="47">
        <v>0.34375</v>
      </c>
      <c r="X265" s="47">
        <v>0.20833333333333334</v>
      </c>
      <c r="Y265" s="319">
        <v>7.75</v>
      </c>
      <c r="Z265" s="277"/>
      <c r="AA265" s="29">
        <f t="shared" si="32"/>
        <v>37.75</v>
      </c>
      <c r="AB265" s="298">
        <f t="shared" si="33"/>
        <v>0</v>
      </c>
      <c r="AC265" s="4"/>
      <c r="AD265" s="47">
        <v>0.36458333333333331</v>
      </c>
      <c r="AE265" s="47">
        <v>0.20833333333333334</v>
      </c>
      <c r="AF265" s="19">
        <v>8.25</v>
      </c>
      <c r="AG265" s="29">
        <f t="shared" si="34"/>
        <v>8.25</v>
      </c>
      <c r="AH265" s="4"/>
      <c r="AI265" s="255"/>
      <c r="AK265" s="193"/>
      <c r="AL265" s="193"/>
      <c r="AM265" s="193"/>
      <c r="AN265" s="193"/>
      <c r="AO265" s="193"/>
      <c r="AP265" s="193"/>
    </row>
    <row r="266" spans="2:42" s="180" customFormat="1">
      <c r="B266" s="13" t="s">
        <v>49</v>
      </c>
      <c r="C266" s="353">
        <v>0</v>
      </c>
      <c r="D266" s="172">
        <v>0</v>
      </c>
      <c r="E266" s="19">
        <v>0</v>
      </c>
      <c r="F266" s="277"/>
      <c r="G266" s="4"/>
      <c r="H266" s="47">
        <v>0.36458333333333331</v>
      </c>
      <c r="I266" s="47">
        <v>0.20833333333333334</v>
      </c>
      <c r="J266" s="319">
        <v>7.25</v>
      </c>
      <c r="K266" s="277"/>
      <c r="L266" s="4"/>
      <c r="M266" s="47">
        <v>0.33333333333333331</v>
      </c>
      <c r="N266" s="47">
        <v>0.20833333333333334</v>
      </c>
      <c r="O266" s="319">
        <v>8</v>
      </c>
      <c r="P266" s="277"/>
      <c r="Q266" s="4"/>
      <c r="R266" s="47">
        <v>0.375</v>
      </c>
      <c r="S266" s="47">
        <v>0.20833333333333334</v>
      </c>
      <c r="T266" s="319">
        <v>7</v>
      </c>
      <c r="U266" s="277"/>
      <c r="V266" s="4"/>
      <c r="W266" s="345">
        <v>0</v>
      </c>
      <c r="X266" s="345">
        <v>0</v>
      </c>
      <c r="Y266" s="319">
        <v>0</v>
      </c>
      <c r="Z266" s="277"/>
      <c r="AA266" s="29">
        <f t="shared" si="32"/>
        <v>22.25</v>
      </c>
      <c r="AB266" s="298">
        <f t="shared" si="33"/>
        <v>0</v>
      </c>
      <c r="AC266" s="4"/>
      <c r="AD266" s="4">
        <v>0</v>
      </c>
      <c r="AE266" s="4">
        <v>0</v>
      </c>
      <c r="AF266" s="19">
        <v>0</v>
      </c>
      <c r="AG266" s="29">
        <f t="shared" si="34"/>
        <v>0</v>
      </c>
      <c r="AH266" s="4"/>
      <c r="AI266" s="255"/>
      <c r="AK266" s="193"/>
      <c r="AL266" s="193"/>
      <c r="AM266" s="193"/>
      <c r="AN266" s="193"/>
      <c r="AO266" s="193"/>
      <c r="AP266" s="193"/>
    </row>
    <row r="267" spans="2:42" s="180" customFormat="1">
      <c r="B267" s="13" t="s">
        <v>50</v>
      </c>
      <c r="C267" s="353">
        <v>0.375</v>
      </c>
      <c r="D267" s="314">
        <v>0.20833333333333334</v>
      </c>
      <c r="E267" s="19">
        <v>7</v>
      </c>
      <c r="F267" s="277"/>
      <c r="G267" s="4"/>
      <c r="H267" s="47">
        <v>0.38541666666666669</v>
      </c>
      <c r="I267" s="47">
        <v>0.20833333333333334</v>
      </c>
      <c r="J267" s="319">
        <v>6.75</v>
      </c>
      <c r="K267" s="277"/>
      <c r="L267" s="4"/>
      <c r="M267" s="47">
        <v>0.39583333333333331</v>
      </c>
      <c r="N267" s="47">
        <v>0.20833333333333334</v>
      </c>
      <c r="O267" s="319">
        <v>6.5</v>
      </c>
      <c r="P267" s="277"/>
      <c r="Q267" s="4"/>
      <c r="R267" s="47">
        <v>0.38541666666666669</v>
      </c>
      <c r="S267" s="47">
        <v>0.20833333333333334</v>
      </c>
      <c r="T267" s="319">
        <v>6.75</v>
      </c>
      <c r="U267" s="277"/>
      <c r="V267" s="4"/>
      <c r="W267" s="47">
        <v>0.38541666666666669</v>
      </c>
      <c r="X267" s="47">
        <v>0.20833333333333334</v>
      </c>
      <c r="Y267" s="319">
        <v>6.75</v>
      </c>
      <c r="Z267" s="277"/>
      <c r="AA267" s="29">
        <f t="shared" si="32"/>
        <v>33.75</v>
      </c>
      <c r="AB267" s="298">
        <f t="shared" si="33"/>
        <v>0</v>
      </c>
      <c r="AC267" s="4"/>
      <c r="AD267" s="4">
        <v>0</v>
      </c>
      <c r="AE267" s="4">
        <v>0</v>
      </c>
      <c r="AF267" s="19">
        <v>0</v>
      </c>
      <c r="AG267" s="29">
        <f t="shared" si="34"/>
        <v>0</v>
      </c>
      <c r="AH267" s="4"/>
      <c r="AI267" s="255"/>
      <c r="AK267" s="193"/>
      <c r="AL267" s="193"/>
      <c r="AM267" s="193"/>
      <c r="AN267" s="193"/>
      <c r="AO267" s="193"/>
      <c r="AP267" s="193"/>
    </row>
    <row r="268" spans="2:42" s="180" customFormat="1">
      <c r="B268" s="13" t="s">
        <v>51</v>
      </c>
      <c r="C268" s="47">
        <v>0.35416666666666669</v>
      </c>
      <c r="D268" s="314">
        <v>0.20833333333333334</v>
      </c>
      <c r="E268" s="19">
        <v>7.5</v>
      </c>
      <c r="F268" s="277"/>
      <c r="G268" s="4"/>
      <c r="H268" s="47" t="s">
        <v>81</v>
      </c>
      <c r="I268" s="47">
        <v>0.20833333333333334</v>
      </c>
      <c r="J268" s="319">
        <v>6.5</v>
      </c>
      <c r="K268" s="277"/>
      <c r="L268" s="4"/>
      <c r="M268" s="47">
        <v>0.36458333333333331</v>
      </c>
      <c r="N268" s="47">
        <v>0.20833333333333334</v>
      </c>
      <c r="O268" s="319">
        <v>7.25</v>
      </c>
      <c r="P268" s="277"/>
      <c r="Q268" s="4"/>
      <c r="R268" s="47">
        <v>0.375</v>
      </c>
      <c r="S268" s="47">
        <v>0.20833333333333334</v>
      </c>
      <c r="T268" s="319">
        <v>7</v>
      </c>
      <c r="U268" s="277"/>
      <c r="V268" s="4"/>
      <c r="W268" s="47">
        <v>0.375</v>
      </c>
      <c r="X268" s="47">
        <v>0.20833333333333334</v>
      </c>
      <c r="Y268" s="319">
        <v>7</v>
      </c>
      <c r="Z268" s="277"/>
      <c r="AA268" s="29">
        <f t="shared" si="32"/>
        <v>35.25</v>
      </c>
      <c r="AB268" s="298">
        <f t="shared" si="33"/>
        <v>0</v>
      </c>
      <c r="AC268" s="4"/>
      <c r="AD268" s="4">
        <v>0</v>
      </c>
      <c r="AE268" s="4">
        <v>0</v>
      </c>
      <c r="AF268" s="19">
        <v>0</v>
      </c>
      <c r="AG268" s="29">
        <f t="shared" si="34"/>
        <v>0</v>
      </c>
      <c r="AH268" s="4"/>
      <c r="AI268" s="255"/>
      <c r="AK268" s="193"/>
      <c r="AL268" s="193"/>
      <c r="AM268" s="193"/>
      <c r="AN268" s="193"/>
      <c r="AO268" s="193"/>
      <c r="AP268" s="193"/>
    </row>
    <row r="269" spans="2:42" s="180" customFormat="1">
      <c r="B269" s="13" t="s">
        <v>52</v>
      </c>
      <c r="C269" s="353">
        <v>0.34375</v>
      </c>
      <c r="D269" s="314">
        <v>0.20833333333333334</v>
      </c>
      <c r="E269" s="19">
        <v>7.75</v>
      </c>
      <c r="F269" s="277"/>
      <c r="G269" s="4"/>
      <c r="H269" s="47">
        <v>0.375</v>
      </c>
      <c r="I269" s="47">
        <v>0.20833333333333334</v>
      </c>
      <c r="J269" s="319">
        <v>7</v>
      </c>
      <c r="K269" s="277"/>
      <c r="L269" s="4"/>
      <c r="M269" s="47">
        <v>0.35416666666666669</v>
      </c>
      <c r="N269" s="47">
        <v>0.20833333333333334</v>
      </c>
      <c r="O269" s="319">
        <v>7.5</v>
      </c>
      <c r="P269" s="277"/>
      <c r="Q269" s="4"/>
      <c r="R269" s="47">
        <v>0.35416666666666669</v>
      </c>
      <c r="S269" s="47">
        <v>0.20833333333333334</v>
      </c>
      <c r="T269" s="319">
        <v>7.5</v>
      </c>
      <c r="U269" s="277"/>
      <c r="V269" s="4"/>
      <c r="W269" s="47">
        <v>0.34375</v>
      </c>
      <c r="X269" s="47">
        <v>0.20833333333333334</v>
      </c>
      <c r="Y269" s="319">
        <v>7.75</v>
      </c>
      <c r="Z269" s="277"/>
      <c r="AA269" s="29">
        <f t="shared" si="32"/>
        <v>37.5</v>
      </c>
      <c r="AB269" s="298">
        <f t="shared" si="33"/>
        <v>0</v>
      </c>
      <c r="AC269" s="4"/>
      <c r="AD269" s="4">
        <v>0</v>
      </c>
      <c r="AE269" s="4">
        <v>0</v>
      </c>
      <c r="AF269" s="19">
        <v>0</v>
      </c>
      <c r="AG269" s="29">
        <f t="shared" si="34"/>
        <v>0</v>
      </c>
      <c r="AH269" s="4"/>
      <c r="AI269" s="255"/>
      <c r="AK269" s="193"/>
      <c r="AL269" s="193"/>
      <c r="AM269" s="193"/>
      <c r="AN269" s="193"/>
      <c r="AO269" s="193"/>
      <c r="AP269" s="193"/>
    </row>
    <row r="270" spans="2:42" s="180" customFormat="1">
      <c r="B270" s="13" t="s">
        <v>53</v>
      </c>
      <c r="C270" s="353">
        <v>0</v>
      </c>
      <c r="D270" s="172">
        <v>0</v>
      </c>
      <c r="E270" s="19">
        <v>0</v>
      </c>
      <c r="F270" s="277"/>
      <c r="G270" s="4"/>
      <c r="H270" s="47">
        <v>0.33333333333333331</v>
      </c>
      <c r="I270" s="47">
        <v>0.20833333333333334</v>
      </c>
      <c r="J270" s="19">
        <v>8</v>
      </c>
      <c r="K270" s="277"/>
      <c r="L270" s="4"/>
      <c r="M270" s="47">
        <v>0.35416666666666669</v>
      </c>
      <c r="N270" s="47">
        <v>0.20833333333333334</v>
      </c>
      <c r="O270" s="319">
        <v>7.5</v>
      </c>
      <c r="P270" s="277"/>
      <c r="Q270" s="4"/>
      <c r="R270" s="47">
        <v>0.34375</v>
      </c>
      <c r="S270" s="47">
        <v>0.20833333333333334</v>
      </c>
      <c r="T270" s="319">
        <v>7.75</v>
      </c>
      <c r="U270" s="277"/>
      <c r="V270" s="4"/>
      <c r="W270" s="47">
        <v>0.36458333333333331</v>
      </c>
      <c r="X270" s="47">
        <v>0.20833333333333334</v>
      </c>
      <c r="Y270" s="319">
        <v>7.25</v>
      </c>
      <c r="Z270" s="277"/>
      <c r="AA270" s="29">
        <f t="shared" si="32"/>
        <v>30.5</v>
      </c>
      <c r="AB270" s="298">
        <f t="shared" si="33"/>
        <v>0</v>
      </c>
      <c r="AC270" s="4"/>
      <c r="AD270" s="4">
        <v>0</v>
      </c>
      <c r="AE270" s="4">
        <v>0</v>
      </c>
      <c r="AF270" s="19">
        <v>0</v>
      </c>
      <c r="AG270" s="29">
        <f t="shared" si="34"/>
        <v>0</v>
      </c>
      <c r="AH270" s="4"/>
      <c r="AI270" s="255"/>
      <c r="AK270" s="193"/>
      <c r="AL270" s="193"/>
      <c r="AM270" s="193"/>
      <c r="AN270" s="193"/>
      <c r="AO270" s="193"/>
      <c r="AP270" s="193"/>
    </row>
    <row r="271" spans="2:42" s="180" customFormat="1">
      <c r="B271" s="138" t="s">
        <v>54</v>
      </c>
      <c r="C271" s="12" t="s">
        <v>29</v>
      </c>
      <c r="D271" s="12" t="s">
        <v>29</v>
      </c>
      <c r="E271" s="19">
        <v>0</v>
      </c>
      <c r="F271" s="277"/>
      <c r="G271" s="4"/>
      <c r="H271" s="12" t="s">
        <v>29</v>
      </c>
      <c r="I271" s="12" t="s">
        <v>29</v>
      </c>
      <c r="J271" s="19">
        <v>0</v>
      </c>
      <c r="K271" s="277"/>
      <c r="L271" s="4"/>
      <c r="M271" s="12" t="s">
        <v>29</v>
      </c>
      <c r="N271" s="12" t="s">
        <v>29</v>
      </c>
      <c r="O271" s="319">
        <v>0</v>
      </c>
      <c r="P271" s="277"/>
      <c r="Q271" s="4"/>
      <c r="R271" s="12" t="s">
        <v>29</v>
      </c>
      <c r="S271" s="12" t="s">
        <v>29</v>
      </c>
      <c r="T271" s="319">
        <v>0</v>
      </c>
      <c r="U271" s="277"/>
      <c r="V271" s="4"/>
      <c r="W271" s="12" t="s">
        <v>29</v>
      </c>
      <c r="X271" s="12" t="s">
        <v>29</v>
      </c>
      <c r="Y271" s="319">
        <v>0</v>
      </c>
      <c r="Z271" s="277"/>
      <c r="AA271" s="29">
        <f t="shared" si="32"/>
        <v>0</v>
      </c>
      <c r="AB271" s="298">
        <f t="shared" si="33"/>
        <v>0</v>
      </c>
      <c r="AC271" s="4"/>
      <c r="AD271" s="47">
        <v>0.39583333333333331</v>
      </c>
      <c r="AE271" s="47">
        <v>0.20833333333333334</v>
      </c>
      <c r="AF271" s="19">
        <v>7.5</v>
      </c>
      <c r="AG271" s="29">
        <f t="shared" si="34"/>
        <v>7.5</v>
      </c>
      <c r="AH271" s="4"/>
      <c r="AI271" s="255"/>
      <c r="AK271" s="193"/>
      <c r="AL271" s="193"/>
      <c r="AM271" s="193"/>
      <c r="AN271" s="193"/>
      <c r="AO271" s="193"/>
      <c r="AP271" s="193"/>
    </row>
    <row r="272" spans="2:42" s="180" customFormat="1">
      <c r="B272" s="138" t="s">
        <v>55</v>
      </c>
      <c r="C272" s="12" t="s">
        <v>29</v>
      </c>
      <c r="D272" s="12" t="s">
        <v>29</v>
      </c>
      <c r="E272" s="19">
        <v>0</v>
      </c>
      <c r="F272" s="277"/>
      <c r="G272" s="4"/>
      <c r="H272" s="12" t="s">
        <v>29</v>
      </c>
      <c r="I272" s="12" t="s">
        <v>29</v>
      </c>
      <c r="J272" s="19">
        <v>0</v>
      </c>
      <c r="K272" s="277"/>
      <c r="L272" s="4"/>
      <c r="M272" s="12" t="s">
        <v>29</v>
      </c>
      <c r="N272" s="12" t="s">
        <v>29</v>
      </c>
      <c r="O272" s="319">
        <v>0</v>
      </c>
      <c r="P272" s="277"/>
      <c r="Q272" s="4"/>
      <c r="R272" s="12" t="s">
        <v>29</v>
      </c>
      <c r="S272" s="12" t="s">
        <v>29</v>
      </c>
      <c r="T272" s="319">
        <v>0</v>
      </c>
      <c r="U272" s="277"/>
      <c r="V272" s="4"/>
      <c r="W272" s="12" t="s">
        <v>29</v>
      </c>
      <c r="X272" s="12" t="s">
        <v>29</v>
      </c>
      <c r="Y272" s="319">
        <v>0</v>
      </c>
      <c r="Z272" s="277"/>
      <c r="AA272" s="29">
        <f t="shared" si="32"/>
        <v>0</v>
      </c>
      <c r="AB272" s="298">
        <f t="shared" si="33"/>
        <v>0</v>
      </c>
      <c r="AC272" s="4"/>
      <c r="AD272" s="4">
        <v>0</v>
      </c>
      <c r="AE272" s="4">
        <v>0</v>
      </c>
      <c r="AF272" s="19">
        <v>0</v>
      </c>
      <c r="AG272" s="29">
        <f t="shared" si="34"/>
        <v>0</v>
      </c>
      <c r="AH272" s="4"/>
      <c r="AI272" s="255"/>
      <c r="AK272" s="193"/>
      <c r="AL272" s="193"/>
      <c r="AM272" s="193"/>
      <c r="AN272" s="193"/>
      <c r="AO272" s="193"/>
      <c r="AP272" s="193"/>
    </row>
    <row r="273" spans="1:42" s="180" customFormat="1">
      <c r="B273" s="138" t="s">
        <v>48</v>
      </c>
      <c r="C273" s="47">
        <v>0.35416666666666669</v>
      </c>
      <c r="D273" s="314">
        <v>0.20833333333333334</v>
      </c>
      <c r="E273" s="19">
        <v>7.5</v>
      </c>
      <c r="F273" s="277"/>
      <c r="G273" s="4"/>
      <c r="H273" s="47">
        <v>0.35416666666666669</v>
      </c>
      <c r="I273" s="47">
        <v>0.20833333333333334</v>
      </c>
      <c r="J273" s="19">
        <v>7.5</v>
      </c>
      <c r="K273" s="277"/>
      <c r="L273" s="4"/>
      <c r="M273" s="47">
        <v>0.36458333333333331</v>
      </c>
      <c r="N273" s="47">
        <v>0.20833333333333334</v>
      </c>
      <c r="O273" s="319">
        <v>7.25</v>
      </c>
      <c r="P273" s="277"/>
      <c r="Q273" s="4"/>
      <c r="R273" s="47">
        <v>0.35416666666666669</v>
      </c>
      <c r="S273" s="47">
        <v>0.29166666666666669</v>
      </c>
      <c r="T273" s="319">
        <v>8</v>
      </c>
      <c r="U273" s="277">
        <v>2.5</v>
      </c>
      <c r="V273" s="4"/>
      <c r="W273" s="47">
        <v>0.35416666666666669</v>
      </c>
      <c r="X273" s="47">
        <v>0.29166666666666669</v>
      </c>
      <c r="Y273" s="319">
        <v>8</v>
      </c>
      <c r="Z273" s="277">
        <v>2</v>
      </c>
      <c r="AA273" s="29">
        <f>(E273+J273+O273+T273+Y273)</f>
        <v>38.25</v>
      </c>
      <c r="AB273" s="298">
        <f>Z273+U273+P273+K273+F273</f>
        <v>4.5</v>
      </c>
      <c r="AC273" s="4"/>
      <c r="AD273" s="47">
        <v>0.47916666666666669</v>
      </c>
      <c r="AE273" s="47">
        <v>0.1875</v>
      </c>
      <c r="AF273" s="19">
        <v>5</v>
      </c>
      <c r="AG273" s="29">
        <f>AF273</f>
        <v>5</v>
      </c>
      <c r="AH273" s="4"/>
      <c r="AI273" s="255"/>
      <c r="AK273" s="193"/>
      <c r="AL273" s="193"/>
      <c r="AM273" s="193"/>
      <c r="AN273" s="193"/>
      <c r="AO273" s="193"/>
      <c r="AP273" s="193"/>
    </row>
    <row r="274" spans="1:42" s="180" customFormat="1">
      <c r="B274" s="138" t="s">
        <v>59</v>
      </c>
      <c r="C274" s="12" t="s">
        <v>29</v>
      </c>
      <c r="D274" s="12" t="s">
        <v>29</v>
      </c>
      <c r="E274" s="19">
        <v>8</v>
      </c>
      <c r="F274" s="277"/>
      <c r="G274" s="4"/>
      <c r="H274" s="12" t="s">
        <v>29</v>
      </c>
      <c r="I274" s="12" t="s">
        <v>29</v>
      </c>
      <c r="J274" s="19">
        <v>8</v>
      </c>
      <c r="K274" s="277"/>
      <c r="L274" s="4"/>
      <c r="M274" s="12" t="s">
        <v>29</v>
      </c>
      <c r="N274" s="12" t="s">
        <v>29</v>
      </c>
      <c r="O274" s="19">
        <v>8</v>
      </c>
      <c r="P274" s="277"/>
      <c r="Q274" s="4"/>
      <c r="R274" s="12" t="s">
        <v>29</v>
      </c>
      <c r="S274" s="12" t="s">
        <v>29</v>
      </c>
      <c r="T274" s="319">
        <v>8</v>
      </c>
      <c r="U274" s="277"/>
      <c r="V274" s="4"/>
      <c r="W274" s="12" t="s">
        <v>29</v>
      </c>
      <c r="X274" s="12" t="s">
        <v>29</v>
      </c>
      <c r="Y274" s="319">
        <v>8</v>
      </c>
      <c r="Z274" s="277"/>
      <c r="AA274" s="29">
        <f t="shared" si="32"/>
        <v>40</v>
      </c>
      <c r="AB274" s="298">
        <f t="shared" si="33"/>
        <v>0</v>
      </c>
      <c r="AC274" s="4"/>
      <c r="AD274" s="4">
        <v>0</v>
      </c>
      <c r="AE274" s="4">
        <v>0</v>
      </c>
      <c r="AF274" s="19">
        <v>0</v>
      </c>
      <c r="AG274" s="29">
        <f t="shared" si="34"/>
        <v>0</v>
      </c>
      <c r="AH274" s="4"/>
      <c r="AI274" s="255"/>
      <c r="AK274" s="193"/>
      <c r="AL274" s="193"/>
      <c r="AM274" s="193"/>
      <c r="AN274" s="193"/>
      <c r="AO274" s="193"/>
      <c r="AP274" s="193"/>
    </row>
    <row r="275" spans="1:42" s="180" customFormat="1">
      <c r="B275" s="138" t="s">
        <v>60</v>
      </c>
      <c r="C275" s="12" t="s">
        <v>29</v>
      </c>
      <c r="D275" s="12" t="s">
        <v>29</v>
      </c>
      <c r="E275" s="19">
        <v>8</v>
      </c>
      <c r="F275" s="277"/>
      <c r="G275" s="4"/>
      <c r="H275" s="12" t="s">
        <v>29</v>
      </c>
      <c r="I275" s="12" t="s">
        <v>29</v>
      </c>
      <c r="J275" s="19">
        <v>8</v>
      </c>
      <c r="K275" s="277"/>
      <c r="L275" s="4"/>
      <c r="M275" s="12" t="s">
        <v>29</v>
      </c>
      <c r="N275" s="12" t="s">
        <v>29</v>
      </c>
      <c r="O275" s="19">
        <v>8</v>
      </c>
      <c r="P275" s="277"/>
      <c r="Q275" s="4"/>
      <c r="R275" s="12" t="s">
        <v>29</v>
      </c>
      <c r="S275" s="12" t="s">
        <v>29</v>
      </c>
      <c r="T275" s="319">
        <v>8</v>
      </c>
      <c r="U275" s="277"/>
      <c r="V275" s="4"/>
      <c r="W275" s="12" t="s">
        <v>29</v>
      </c>
      <c r="X275" s="12" t="s">
        <v>29</v>
      </c>
      <c r="Y275" s="319">
        <v>8</v>
      </c>
      <c r="Z275" s="277"/>
      <c r="AA275" s="29">
        <f t="shared" si="32"/>
        <v>40</v>
      </c>
      <c r="AB275" s="298">
        <f t="shared" si="33"/>
        <v>0</v>
      </c>
      <c r="AC275" s="4"/>
      <c r="AD275" s="4">
        <v>0</v>
      </c>
      <c r="AE275" s="4">
        <v>0</v>
      </c>
      <c r="AF275" s="19">
        <v>0</v>
      </c>
      <c r="AG275" s="29">
        <f t="shared" si="34"/>
        <v>0</v>
      </c>
      <c r="AH275" s="4"/>
      <c r="AI275" s="255"/>
      <c r="AK275" s="193"/>
      <c r="AL275" s="193"/>
      <c r="AM275" s="193"/>
      <c r="AN275" s="193"/>
      <c r="AO275" s="193"/>
      <c r="AP275" s="193"/>
    </row>
    <row r="276" spans="1:42" s="180" customFormat="1">
      <c r="B276" s="63" t="s">
        <v>62</v>
      </c>
      <c r="C276" s="12" t="s">
        <v>29</v>
      </c>
      <c r="D276" s="12" t="s">
        <v>29</v>
      </c>
      <c r="E276" s="19">
        <v>8</v>
      </c>
      <c r="F276" s="277"/>
      <c r="G276" s="60"/>
      <c r="H276" s="12" t="s">
        <v>29</v>
      </c>
      <c r="I276" s="12" t="s">
        <v>29</v>
      </c>
      <c r="J276" s="19">
        <v>8</v>
      </c>
      <c r="K276" s="277"/>
      <c r="L276" s="60"/>
      <c r="M276" s="12" t="s">
        <v>29</v>
      </c>
      <c r="N276" s="12" t="s">
        <v>29</v>
      </c>
      <c r="O276" s="19">
        <v>8</v>
      </c>
      <c r="P276" s="277"/>
      <c r="Q276" s="60"/>
      <c r="R276" s="12" t="s">
        <v>29</v>
      </c>
      <c r="S276" s="12" t="s">
        <v>29</v>
      </c>
      <c r="T276" s="19">
        <v>8</v>
      </c>
      <c r="U276" s="277"/>
      <c r="V276" s="60"/>
      <c r="W276" s="12" t="s">
        <v>29</v>
      </c>
      <c r="X276" s="12" t="s">
        <v>29</v>
      </c>
      <c r="Y276" s="19">
        <v>8</v>
      </c>
      <c r="Z276" s="277"/>
      <c r="AA276" s="28">
        <f>SUM(E276+J276+O276+T276+Y276)</f>
        <v>40</v>
      </c>
      <c r="AB276" s="298">
        <f>Z276+U276+P276+K276+F276</f>
        <v>0</v>
      </c>
      <c r="AC276" s="4"/>
      <c r="AD276" s="56"/>
      <c r="AE276" s="56"/>
      <c r="AF276" s="19"/>
      <c r="AG276" s="29">
        <v>0</v>
      </c>
      <c r="AH276" s="4"/>
      <c r="AI276" s="255"/>
      <c r="AK276" s="193"/>
      <c r="AL276" s="193"/>
      <c r="AM276" s="193"/>
      <c r="AN276" s="193"/>
      <c r="AO276" s="193"/>
      <c r="AP276" s="193"/>
    </row>
    <row r="277" spans="1:42" s="180" customFormat="1">
      <c r="B277" s="64" t="s">
        <v>61</v>
      </c>
      <c r="C277" s="64"/>
      <c r="D277" s="64"/>
      <c r="E277" s="167">
        <f>SUM(E251:E276)</f>
        <v>157.75</v>
      </c>
      <c r="F277" s="277">
        <f>SUM(F251:F276)</f>
        <v>0</v>
      </c>
      <c r="G277" s="64"/>
      <c r="H277" s="64"/>
      <c r="I277" s="64"/>
      <c r="J277" s="64">
        <f>SUM(J251:J276)</f>
        <v>154.5</v>
      </c>
      <c r="K277" s="277">
        <f>SUM(K251:K276)</f>
        <v>0</v>
      </c>
      <c r="L277" s="64"/>
      <c r="M277" s="64"/>
      <c r="N277" s="64"/>
      <c r="O277" s="167">
        <f>SUM(O251:O276)</f>
        <v>165.75</v>
      </c>
      <c r="P277" s="277">
        <f>SUM(P251:P276)</f>
        <v>0</v>
      </c>
      <c r="Q277" s="64"/>
      <c r="R277" s="64"/>
      <c r="S277" s="64"/>
      <c r="T277" s="167">
        <f>SUM(T251:T276)</f>
        <v>157.5</v>
      </c>
      <c r="U277" s="277">
        <f>SUM(U251:U276)</f>
        <v>3</v>
      </c>
      <c r="V277" s="64"/>
      <c r="W277" s="64"/>
      <c r="X277" s="64"/>
      <c r="Y277" s="167">
        <f>SUM(Y251:Y276)</f>
        <v>148.5</v>
      </c>
      <c r="Z277" s="277">
        <f>SUM(Z251:Z276)</f>
        <v>3</v>
      </c>
      <c r="AA277" s="370">
        <f>SUM(AA251:AA276)</f>
        <v>784</v>
      </c>
      <c r="AB277" s="284">
        <f>SUM(AB251:AB275)</f>
        <v>6</v>
      </c>
      <c r="AC277" s="4"/>
      <c r="AD277" s="64"/>
      <c r="AE277" s="64"/>
      <c r="AF277" s="64"/>
      <c r="AG277" s="370">
        <f>SUM(AG251:AG272)</f>
        <v>24</v>
      </c>
      <c r="AH277" s="4"/>
      <c r="AI277" s="255"/>
      <c r="AK277" s="193"/>
      <c r="AL277" s="193"/>
      <c r="AM277" s="193"/>
      <c r="AN277" s="193"/>
      <c r="AO277" s="193"/>
      <c r="AP277" s="193"/>
    </row>
    <row r="278" spans="1:42" s="180" customFormat="1">
      <c r="B278" s="63" t="s">
        <v>63</v>
      </c>
      <c r="C278" s="56"/>
      <c r="D278" s="56"/>
      <c r="E278" s="19">
        <v>8</v>
      </c>
      <c r="F278" s="291"/>
      <c r="G278" s="60"/>
      <c r="H278" s="56"/>
      <c r="I278" s="56"/>
      <c r="J278" s="19">
        <v>8</v>
      </c>
      <c r="K278" s="291"/>
      <c r="L278" s="60"/>
      <c r="M278" s="56"/>
      <c r="N278" s="56"/>
      <c r="O278" s="19">
        <v>8</v>
      </c>
      <c r="P278" s="19"/>
      <c r="Q278" s="60"/>
      <c r="R278" s="56"/>
      <c r="S278" s="56"/>
      <c r="T278" s="19">
        <v>0</v>
      </c>
      <c r="U278" s="19"/>
      <c r="V278" s="60"/>
      <c r="W278" s="56"/>
      <c r="X278" s="56"/>
      <c r="Y278" s="19">
        <v>0</v>
      </c>
      <c r="Z278" s="19"/>
      <c r="AA278" s="28">
        <f>SUM(E278+J278+O278+T278+Y278)</f>
        <v>24</v>
      </c>
      <c r="AB278" s="282">
        <f>Z278+U278+P278+K278+F278</f>
        <v>0</v>
      </c>
      <c r="AC278" s="4"/>
      <c r="AD278" s="56"/>
      <c r="AE278" s="56"/>
      <c r="AF278" s="19"/>
      <c r="AG278" s="29">
        <f>AF278</f>
        <v>0</v>
      </c>
      <c r="AH278" s="4"/>
      <c r="AI278" s="255"/>
      <c r="AK278" s="193"/>
      <c r="AL278" s="193"/>
      <c r="AM278" s="193"/>
      <c r="AN278" s="193"/>
      <c r="AO278" s="193"/>
      <c r="AP278" s="193"/>
    </row>
    <row r="279" spans="1:42" s="180" customFormat="1">
      <c r="B279" s="63" t="s">
        <v>64</v>
      </c>
      <c r="C279" s="56"/>
      <c r="D279" s="56"/>
      <c r="E279" s="19">
        <v>8</v>
      </c>
      <c r="F279" s="291"/>
      <c r="G279" s="60"/>
      <c r="H279" s="56"/>
      <c r="I279" s="56"/>
      <c r="J279" s="19">
        <v>8</v>
      </c>
      <c r="K279" s="291">
        <v>0.5</v>
      </c>
      <c r="L279" s="60"/>
      <c r="M279" s="56"/>
      <c r="N279" s="56"/>
      <c r="O279" s="19">
        <v>8</v>
      </c>
      <c r="P279" s="19">
        <v>1</v>
      </c>
      <c r="Q279" s="60"/>
      <c r="R279" s="56"/>
      <c r="S279" s="56"/>
      <c r="T279" s="19">
        <v>8</v>
      </c>
      <c r="U279" s="19">
        <v>3</v>
      </c>
      <c r="V279" s="60"/>
      <c r="W279" s="56"/>
      <c r="X279" s="56"/>
      <c r="Y279" s="19">
        <v>8</v>
      </c>
      <c r="Z279" s="19">
        <v>3</v>
      </c>
      <c r="AA279" s="28">
        <f>SUM(E279+J279+O279+T279+Y279)</f>
        <v>40</v>
      </c>
      <c r="AB279" s="282">
        <f>Z279+U279+P279+K279+F279</f>
        <v>7.5</v>
      </c>
      <c r="AC279" s="4"/>
      <c r="AD279" s="56"/>
      <c r="AE279" s="56"/>
      <c r="AF279" s="19">
        <v>9</v>
      </c>
      <c r="AG279" s="29">
        <f>AF279</f>
        <v>9</v>
      </c>
      <c r="AH279" s="4"/>
      <c r="AI279" s="255"/>
      <c r="AK279" s="397"/>
      <c r="AL279" s="193"/>
      <c r="AM279" s="193"/>
      <c r="AN279" s="193"/>
      <c r="AO279" s="193"/>
      <c r="AP279" s="193"/>
    </row>
    <row r="280" spans="1:42" s="180" customFormat="1" ht="14.25" thickBot="1">
      <c r="B280" s="268" t="s">
        <v>65</v>
      </c>
      <c r="C280" s="75"/>
      <c r="D280" s="75"/>
      <c r="E280" s="77">
        <v>1</v>
      </c>
      <c r="F280" s="292"/>
      <c r="G280" s="81"/>
      <c r="H280" s="75"/>
      <c r="I280" s="75"/>
      <c r="J280" s="77">
        <v>1</v>
      </c>
      <c r="K280" s="292"/>
      <c r="L280" s="81"/>
      <c r="M280" s="75"/>
      <c r="N280" s="75"/>
      <c r="O280" s="77">
        <v>1</v>
      </c>
      <c r="P280" s="77"/>
      <c r="Q280" s="81"/>
      <c r="R280" s="75"/>
      <c r="S280" s="75"/>
      <c r="T280" s="77">
        <v>1</v>
      </c>
      <c r="U280" s="77"/>
      <c r="V280" s="81"/>
      <c r="W280" s="75"/>
      <c r="X280" s="75"/>
      <c r="Y280" s="77">
        <v>1</v>
      </c>
      <c r="Z280" s="77"/>
      <c r="AA280" s="80">
        <f>SUM(E280+J280+O280+T280+Y280)</f>
        <v>5</v>
      </c>
      <c r="AB280" s="294">
        <f>Z280+U280+P280+K280+F280</f>
        <v>0</v>
      </c>
      <c r="AC280" s="4"/>
      <c r="AD280" s="75"/>
      <c r="AE280" s="75"/>
      <c r="AF280" s="77"/>
      <c r="AG280" s="276">
        <v>0</v>
      </c>
      <c r="AH280" s="4"/>
      <c r="AI280" s="255"/>
      <c r="AK280" s="193"/>
      <c r="AL280" s="193"/>
      <c r="AM280" s="193"/>
      <c r="AN280" s="193"/>
      <c r="AO280" s="193"/>
      <c r="AP280" s="193"/>
    </row>
    <row r="281" spans="1:42" s="180" customFormat="1" ht="14.25" thickTop="1">
      <c r="B281" s="71" t="s">
        <v>66</v>
      </c>
      <c r="C281" s="371"/>
      <c r="D281" s="371"/>
      <c r="E281" s="71">
        <f>SUM(E278:E280)</f>
        <v>17</v>
      </c>
      <c r="F281" s="372"/>
      <c r="G281" s="372"/>
      <c r="H281" s="371"/>
      <c r="I281" s="371"/>
      <c r="J281" s="71">
        <v>8</v>
      </c>
      <c r="K281" s="372"/>
      <c r="L281" s="372"/>
      <c r="M281" s="371"/>
      <c r="N281" s="371"/>
      <c r="O281" s="71">
        <f>SUM(O278:O280)</f>
        <v>17</v>
      </c>
      <c r="P281" s="372"/>
      <c r="Q281" s="372"/>
      <c r="R281" s="371"/>
      <c r="S281" s="371"/>
      <c r="T281" s="71">
        <f>SUM(T278:T280)</f>
        <v>9</v>
      </c>
      <c r="U281" s="372"/>
      <c r="V281" s="372"/>
      <c r="W281" s="371"/>
      <c r="X281" s="371"/>
      <c r="Y281" s="66">
        <f>SUM(Y278:Y280)</f>
        <v>9</v>
      </c>
      <c r="Z281" s="372"/>
      <c r="AA281" s="370">
        <f>SUM(AA278:AA280)</f>
        <v>69</v>
      </c>
      <c r="AB281" s="370">
        <f>SUM(AB278:AB280)</f>
        <v>7.5</v>
      </c>
      <c r="AC281" s="4"/>
      <c r="AG281" s="370">
        <f>SUM(AG279:AG280)</f>
        <v>9</v>
      </c>
      <c r="AH281" s="4"/>
      <c r="AI281" s="255"/>
      <c r="AK281" s="193"/>
      <c r="AL281" s="193"/>
      <c r="AM281" s="193"/>
      <c r="AN281" s="193"/>
      <c r="AO281" s="193"/>
      <c r="AP281" s="193"/>
    </row>
    <row r="282" spans="1:42" s="180" customFormat="1">
      <c r="B282" s="217" t="s">
        <v>67</v>
      </c>
      <c r="C282" s="207">
        <f>C283+C284</f>
        <v>119</v>
      </c>
      <c r="D282" s="207"/>
      <c r="E282" s="209"/>
      <c r="F282" s="209"/>
      <c r="G282" s="207"/>
      <c r="H282" s="209"/>
      <c r="I282" s="209"/>
      <c r="J282" s="209"/>
      <c r="K282" s="209"/>
      <c r="L282" s="207"/>
      <c r="M282" s="207"/>
      <c r="N282" s="207"/>
      <c r="O282" s="207"/>
      <c r="P282" s="209"/>
      <c r="Q282" s="207"/>
      <c r="R282" s="207"/>
      <c r="S282" s="207"/>
      <c r="T282" s="207"/>
      <c r="U282" s="209"/>
      <c r="V282" s="207"/>
      <c r="W282" s="207"/>
      <c r="X282" s="207"/>
      <c r="Y282" s="210"/>
      <c r="Z282" s="209"/>
      <c r="AA282" s="211"/>
      <c r="AB282" s="209"/>
      <c r="AC282" s="211"/>
      <c r="AD282" s="211"/>
      <c r="AE282" s="211"/>
      <c r="AF282" s="211"/>
      <c r="AG282" s="211"/>
      <c r="AH282" s="4"/>
      <c r="AI282" s="255"/>
      <c r="AK282" s="193"/>
      <c r="AL282" s="193"/>
      <c r="AM282" s="193"/>
      <c r="AN282" s="193"/>
      <c r="AO282" s="193"/>
      <c r="AP282" s="193"/>
    </row>
    <row r="283" spans="1:42" s="180" customFormat="1">
      <c r="B283" s="238" t="s">
        <v>68</v>
      </c>
      <c r="C283" s="239">
        <f>11+12+14+12+11+3</f>
        <v>63</v>
      </c>
      <c r="D283" s="207"/>
      <c r="E283" s="209"/>
      <c r="F283" s="209"/>
      <c r="G283" s="207"/>
      <c r="H283" s="209"/>
      <c r="I283" s="209"/>
      <c r="J283" s="209"/>
      <c r="K283" s="209"/>
      <c r="L283" s="207"/>
      <c r="M283" s="207"/>
      <c r="N283" s="207"/>
      <c r="O283" s="207"/>
      <c r="P283" s="209"/>
      <c r="Q283" s="207"/>
      <c r="R283" s="207"/>
      <c r="S283" s="207"/>
      <c r="T283" s="207"/>
      <c r="U283" s="209"/>
      <c r="V283" s="207"/>
      <c r="W283" s="207"/>
      <c r="X283" s="207"/>
      <c r="Y283" s="210"/>
      <c r="Z283" s="209"/>
      <c r="AA283" s="211"/>
      <c r="AB283" s="209"/>
      <c r="AC283" s="211"/>
      <c r="AD283" s="211"/>
      <c r="AE283" s="211"/>
      <c r="AF283" s="211"/>
      <c r="AG283" s="211"/>
      <c r="AH283" s="4"/>
      <c r="AI283" s="255"/>
      <c r="AK283" s="193"/>
      <c r="AL283" s="193"/>
      <c r="AM283" s="193"/>
      <c r="AN283" s="193"/>
      <c r="AO283" s="193"/>
      <c r="AP283" s="193"/>
    </row>
    <row r="284" spans="1:42" s="180" customFormat="1">
      <c r="A284" s="11"/>
      <c r="B284" s="238" t="s">
        <v>69</v>
      </c>
      <c r="C284" s="239">
        <f>9+10+12+10+15</f>
        <v>56</v>
      </c>
      <c r="D284" s="207"/>
      <c r="E284" s="209"/>
      <c r="F284" s="209"/>
      <c r="G284" s="207"/>
      <c r="H284" s="209"/>
      <c r="I284" s="209"/>
      <c r="J284" s="209"/>
      <c r="K284" s="209"/>
      <c r="L284" s="207"/>
      <c r="M284" s="207"/>
      <c r="N284" s="207"/>
      <c r="O284" s="207"/>
      <c r="P284" s="209"/>
      <c r="Q284" s="207"/>
      <c r="R284" s="207"/>
      <c r="S284" s="207"/>
      <c r="T284" s="207"/>
      <c r="U284" s="209"/>
      <c r="V284" s="207"/>
      <c r="W284" s="207"/>
      <c r="X284" s="207"/>
      <c r="Y284" s="210"/>
      <c r="Z284" s="209"/>
      <c r="AA284" s="211"/>
      <c r="AB284" s="209"/>
      <c r="AC284" s="211"/>
      <c r="AD284" s="211"/>
      <c r="AE284" s="211"/>
      <c r="AF284" s="211"/>
      <c r="AG284" s="211"/>
      <c r="AH284" s="4"/>
      <c r="AI284" s="255"/>
      <c r="AK284" s="193"/>
      <c r="AL284" s="193"/>
      <c r="AM284" s="193"/>
      <c r="AN284" s="193"/>
      <c r="AO284" s="193"/>
      <c r="AP284" s="193"/>
    </row>
    <row r="285" spans="1:42" s="180" customFormat="1">
      <c r="E285" s="4"/>
      <c r="F285" s="4"/>
      <c r="G285" s="4"/>
      <c r="J285" s="4"/>
      <c r="K285" s="4"/>
      <c r="L285" s="4"/>
      <c r="O285" s="4"/>
      <c r="P285" s="4"/>
      <c r="Q285" s="4"/>
      <c r="T285" s="4"/>
      <c r="U285" s="4"/>
      <c r="V285" s="4"/>
      <c r="Y285" s="4"/>
      <c r="Z285" s="4"/>
      <c r="AA285" s="4"/>
      <c r="AB285" s="4"/>
      <c r="AC285" s="4"/>
      <c r="AH285" s="4"/>
    </row>
    <row r="286" spans="1:42" s="255" customFormat="1">
      <c r="A286" s="228"/>
      <c r="B286" s="229"/>
      <c r="C286" s="230"/>
      <c r="D286" s="230"/>
      <c r="E286" s="232"/>
      <c r="F286" s="232"/>
      <c r="G286" s="230"/>
      <c r="H286" s="232"/>
      <c r="I286" s="232"/>
      <c r="J286" s="232"/>
      <c r="K286" s="232"/>
      <c r="L286" s="230"/>
      <c r="M286" s="230"/>
      <c r="N286" s="230"/>
      <c r="O286" s="230"/>
      <c r="P286" s="232"/>
      <c r="Q286" s="230"/>
      <c r="R286" s="230"/>
      <c r="S286" s="230"/>
      <c r="T286" s="230"/>
      <c r="U286" s="232"/>
      <c r="V286" s="230"/>
      <c r="W286" s="230"/>
      <c r="X286" s="230"/>
      <c r="Y286" s="233"/>
      <c r="Z286" s="232"/>
      <c r="AA286" s="234"/>
      <c r="AB286" s="232"/>
      <c r="AC286" s="373"/>
      <c r="AD286" s="236"/>
      <c r="AH286" s="373"/>
    </row>
    <row r="287" spans="1:42" s="193" customFormat="1">
      <c r="A287" s="224"/>
      <c r="B287" s="214"/>
      <c r="C287" s="364"/>
      <c r="D287" s="364"/>
      <c r="E287" s="214"/>
      <c r="F287" s="214"/>
      <c r="G287" s="364"/>
      <c r="H287" s="214"/>
      <c r="I287" s="214"/>
      <c r="J287" s="214"/>
      <c r="K287" s="214"/>
      <c r="L287" s="364"/>
      <c r="M287" s="364"/>
      <c r="N287" s="364"/>
      <c r="O287" s="364"/>
      <c r="P287" s="214"/>
      <c r="Q287" s="364"/>
      <c r="R287" s="364"/>
      <c r="S287" s="364"/>
      <c r="T287" s="364"/>
      <c r="U287" s="214"/>
      <c r="V287" s="364"/>
      <c r="W287" s="364"/>
      <c r="X287" s="364"/>
      <c r="Y287" s="216"/>
      <c r="Z287" s="214"/>
      <c r="AA287" s="225"/>
      <c r="AB287" s="214"/>
      <c r="AC287" s="189"/>
      <c r="AH287" s="4"/>
      <c r="AI287" s="255"/>
      <c r="AJ287" s="180"/>
    </row>
    <row r="288" spans="1:42" s="180" customFormat="1">
      <c r="B288" s="1518" t="s">
        <v>18</v>
      </c>
      <c r="C288" s="1519">
        <v>45222</v>
      </c>
      <c r="D288" s="1519"/>
      <c r="E288" s="1519"/>
      <c r="F288" s="1519"/>
      <c r="G288" s="365"/>
      <c r="H288" s="1519">
        <v>45223</v>
      </c>
      <c r="I288" s="1519"/>
      <c r="J288" s="1519"/>
      <c r="K288" s="1519"/>
      <c r="L288" s="365"/>
      <c r="M288" s="1519">
        <v>45224</v>
      </c>
      <c r="N288" s="1519"/>
      <c r="O288" s="1519"/>
      <c r="P288" s="1519"/>
      <c r="Q288" s="365"/>
      <c r="R288" s="1519">
        <v>45225</v>
      </c>
      <c r="S288" s="1519"/>
      <c r="T288" s="1519"/>
      <c r="U288" s="1519"/>
      <c r="V288" s="365"/>
      <c r="W288" s="1519">
        <v>45226</v>
      </c>
      <c r="X288" s="1519"/>
      <c r="Y288" s="1519"/>
      <c r="Z288" s="1519"/>
      <c r="AA288" s="1517" t="s">
        <v>19</v>
      </c>
      <c r="AB288" s="1517" t="s">
        <v>20</v>
      </c>
      <c r="AC288" s="4"/>
      <c r="AD288" s="1519">
        <v>45227</v>
      </c>
      <c r="AE288" s="1519"/>
      <c r="AF288" s="1519"/>
      <c r="AG288" s="1517" t="s">
        <v>21</v>
      </c>
      <c r="AH288" s="4"/>
      <c r="AI288" s="255"/>
      <c r="AK288" s="194" t="s">
        <v>84</v>
      </c>
      <c r="AL288" s="366"/>
      <c r="AM288" s="366"/>
      <c r="AN288" s="366"/>
      <c r="AO288" s="366"/>
      <c r="AP288" s="366"/>
    </row>
    <row r="289" spans="2:42" s="367" customFormat="1">
      <c r="B289" s="1518"/>
      <c r="C289" s="21" t="s">
        <v>23</v>
      </c>
      <c r="D289" s="21" t="s">
        <v>24</v>
      </c>
      <c r="E289" s="205" t="s">
        <v>25</v>
      </c>
      <c r="F289" s="18" t="s">
        <v>14</v>
      </c>
      <c r="G289" s="4"/>
      <c r="H289" s="21" t="s">
        <v>23</v>
      </c>
      <c r="I289" s="21" t="s">
        <v>24</v>
      </c>
      <c r="J289" s="18" t="s">
        <v>25</v>
      </c>
      <c r="K289" s="18" t="s">
        <v>14</v>
      </c>
      <c r="L289" s="4"/>
      <c r="M289" s="21" t="s">
        <v>23</v>
      </c>
      <c r="N289" s="21" t="s">
        <v>24</v>
      </c>
      <c r="O289" s="18" t="s">
        <v>25</v>
      </c>
      <c r="P289" s="18" t="s">
        <v>14</v>
      </c>
      <c r="Q289" s="4"/>
      <c r="R289" s="21" t="s">
        <v>23</v>
      </c>
      <c r="S289" s="21" t="s">
        <v>24</v>
      </c>
      <c r="T289" s="18" t="s">
        <v>25</v>
      </c>
      <c r="U289" s="18" t="s">
        <v>14</v>
      </c>
      <c r="V289" s="4"/>
      <c r="W289" s="21" t="s">
        <v>23</v>
      </c>
      <c r="X289" s="21" t="s">
        <v>24</v>
      </c>
      <c r="Y289" s="18" t="s">
        <v>25</v>
      </c>
      <c r="Z289" s="18" t="s">
        <v>14</v>
      </c>
      <c r="AA289" s="1517"/>
      <c r="AB289" s="1517"/>
      <c r="AC289" s="4"/>
      <c r="AD289" s="21" t="s">
        <v>23</v>
      </c>
      <c r="AE289" s="21" t="s">
        <v>24</v>
      </c>
      <c r="AF289" s="18" t="s">
        <v>25</v>
      </c>
      <c r="AG289" s="1517"/>
      <c r="AH289" s="175"/>
      <c r="AI289" s="368"/>
      <c r="AK289" s="188" t="s">
        <v>26</v>
      </c>
      <c r="AL289" s="196">
        <f>AA316</f>
        <v>678.5</v>
      </c>
      <c r="AM289" s="193"/>
      <c r="AN289" s="193"/>
      <c r="AO289" s="193"/>
      <c r="AP289" s="193"/>
    </row>
    <row r="290" spans="2:42" s="367" customFormat="1">
      <c r="B290" s="171"/>
      <c r="C290" s="172"/>
      <c r="D290" s="172"/>
      <c r="E290" s="173"/>
      <c r="F290" s="277"/>
      <c r="G290" s="175"/>
      <c r="H290" s="172"/>
      <c r="I290" s="172"/>
      <c r="J290" s="173"/>
      <c r="K290" s="277"/>
      <c r="L290" s="175"/>
      <c r="M290" s="172"/>
      <c r="N290" s="172"/>
      <c r="O290" s="173"/>
      <c r="P290" s="277"/>
      <c r="Q290" s="175"/>
      <c r="R290" s="172"/>
      <c r="S290" s="172"/>
      <c r="T290" s="173"/>
      <c r="U290" s="277"/>
      <c r="V290" s="175"/>
      <c r="W290" s="172"/>
      <c r="X290" s="172"/>
      <c r="Y290" s="173"/>
      <c r="Z290" s="277"/>
      <c r="AA290" s="28">
        <f t="shared" ref="AA290:AA314" si="35">(E290+J290+O290+T290+Y290)</f>
        <v>0</v>
      </c>
      <c r="AB290" s="298">
        <f t="shared" ref="AB290:AB315" si="36">Z290+U290+P290+K290+F290</f>
        <v>0</v>
      </c>
      <c r="AC290" s="175"/>
      <c r="AD290" s="175">
        <v>0</v>
      </c>
      <c r="AE290" s="175">
        <v>0</v>
      </c>
      <c r="AF290" s="173">
        <v>0</v>
      </c>
      <c r="AG290" s="28">
        <f t="shared" ref="AG290:AG314" si="37">AF290</f>
        <v>0</v>
      </c>
      <c r="AH290" s="175"/>
      <c r="AI290" s="368"/>
      <c r="AK290" s="188" t="s">
        <v>30</v>
      </c>
      <c r="AL290" s="196">
        <f>AB316</f>
        <v>0</v>
      </c>
      <c r="AM290" s="193"/>
      <c r="AN290" s="193"/>
      <c r="AO290" s="193"/>
      <c r="AP290" s="193"/>
    </row>
    <row r="291" spans="2:42" s="367" customFormat="1">
      <c r="B291" s="171" t="s">
        <v>31</v>
      </c>
      <c r="C291" s="172">
        <v>0.36458333333333331</v>
      </c>
      <c r="D291" s="172">
        <v>0.20833333333333334</v>
      </c>
      <c r="E291" s="173">
        <v>7.25</v>
      </c>
      <c r="F291" s="277"/>
      <c r="G291" s="175"/>
      <c r="H291" s="353" t="s">
        <v>29</v>
      </c>
      <c r="I291" s="172" t="s">
        <v>29</v>
      </c>
      <c r="J291" s="19">
        <v>0</v>
      </c>
      <c r="K291" s="277"/>
      <c r="L291" s="175"/>
      <c r="M291" s="353" t="s">
        <v>29</v>
      </c>
      <c r="N291" s="172" t="s">
        <v>29</v>
      </c>
      <c r="O291" s="19">
        <v>0</v>
      </c>
      <c r="P291" s="277"/>
      <c r="Q291" s="175"/>
      <c r="R291" s="353" t="s">
        <v>29</v>
      </c>
      <c r="S291" s="172" t="s">
        <v>29</v>
      </c>
      <c r="T291" s="19">
        <v>0</v>
      </c>
      <c r="U291" s="277"/>
      <c r="V291" s="175"/>
      <c r="W291" s="353" t="s">
        <v>29</v>
      </c>
      <c r="X291" s="172" t="s">
        <v>29</v>
      </c>
      <c r="Y291" s="19">
        <v>0</v>
      </c>
      <c r="Z291" s="277"/>
      <c r="AA291" s="28">
        <f t="shared" si="35"/>
        <v>7.25</v>
      </c>
      <c r="AB291" s="298">
        <f t="shared" si="36"/>
        <v>0</v>
      </c>
      <c r="AC291" s="175"/>
      <c r="AD291" s="175">
        <v>0</v>
      </c>
      <c r="AE291" s="175">
        <v>0</v>
      </c>
      <c r="AF291" s="173">
        <v>0</v>
      </c>
      <c r="AG291" s="28">
        <f t="shared" si="37"/>
        <v>0</v>
      </c>
      <c r="AH291" s="175"/>
      <c r="AI291" s="368"/>
      <c r="AK291" s="188" t="s">
        <v>32</v>
      </c>
      <c r="AL291" s="196">
        <f>AG316</f>
        <v>0</v>
      </c>
      <c r="AM291" s="193"/>
      <c r="AN291" s="193"/>
      <c r="AO291" s="193"/>
      <c r="AP291" s="193"/>
    </row>
    <row r="292" spans="2:42" s="367" customFormat="1">
      <c r="B292" s="171" t="s">
        <v>33</v>
      </c>
      <c r="C292" s="377">
        <v>0.375</v>
      </c>
      <c r="D292" s="172">
        <v>0.20833333333333334</v>
      </c>
      <c r="E292" s="173">
        <v>7</v>
      </c>
      <c r="F292" s="277"/>
      <c r="G292" s="175"/>
      <c r="H292" s="172">
        <v>0.33333333333333331</v>
      </c>
      <c r="I292" s="172">
        <v>0.20833333333333334</v>
      </c>
      <c r="J292" s="173">
        <v>8</v>
      </c>
      <c r="K292" s="277"/>
      <c r="L292" s="175"/>
      <c r="M292" s="172">
        <v>0.33333333333333331</v>
      </c>
      <c r="N292" s="172">
        <v>0.20833333333333334</v>
      </c>
      <c r="O292" s="173">
        <v>8</v>
      </c>
      <c r="P292" s="277"/>
      <c r="Q292" s="175"/>
      <c r="R292" s="172">
        <v>0.33333333333333331</v>
      </c>
      <c r="S292" s="172">
        <v>0.20833333333333334</v>
      </c>
      <c r="T292" s="173">
        <v>8</v>
      </c>
      <c r="U292" s="277"/>
      <c r="V292" s="175"/>
      <c r="W292" s="172">
        <v>0.375</v>
      </c>
      <c r="X292" s="172">
        <v>0.20833333333333334</v>
      </c>
      <c r="Y292" s="173">
        <v>7</v>
      </c>
      <c r="Z292" s="277"/>
      <c r="AA292" s="28">
        <f t="shared" si="35"/>
        <v>38</v>
      </c>
      <c r="AB292" s="298">
        <f t="shared" si="36"/>
        <v>0</v>
      </c>
      <c r="AC292" s="175"/>
      <c r="AD292" s="175">
        <v>0</v>
      </c>
      <c r="AE292" s="175">
        <v>0</v>
      </c>
      <c r="AF292" s="173">
        <v>0</v>
      </c>
      <c r="AG292" s="28">
        <f t="shared" si="37"/>
        <v>0</v>
      </c>
      <c r="AH292" s="175"/>
      <c r="AI292" s="368"/>
      <c r="AK292" s="188" t="s">
        <v>34</v>
      </c>
      <c r="AL292" s="196">
        <f>AA320</f>
        <v>85</v>
      </c>
      <c r="AM292" s="193"/>
      <c r="AN292" s="193"/>
      <c r="AO292" s="193"/>
      <c r="AP292" s="193"/>
    </row>
    <row r="293" spans="2:42" s="180" customFormat="1">
      <c r="B293" s="171" t="s">
        <v>58</v>
      </c>
      <c r="C293" s="172">
        <v>0.375</v>
      </c>
      <c r="D293" s="172">
        <v>0.20833333333333334</v>
      </c>
      <c r="E293" s="173">
        <v>7</v>
      </c>
      <c r="F293" s="277"/>
      <c r="G293" s="4"/>
      <c r="H293" s="172">
        <v>0.375</v>
      </c>
      <c r="I293" s="172">
        <v>0.20833333333333334</v>
      </c>
      <c r="J293" s="173">
        <v>7</v>
      </c>
      <c r="K293" s="277"/>
      <c r="L293" s="4"/>
      <c r="M293" s="172">
        <v>0.35416666666666669</v>
      </c>
      <c r="N293" s="172">
        <v>0.20833333333333334</v>
      </c>
      <c r="O293" s="173">
        <v>7.5</v>
      </c>
      <c r="P293" s="277"/>
      <c r="Q293" s="4"/>
      <c r="R293" s="172">
        <v>0.36458333333333331</v>
      </c>
      <c r="S293" s="172">
        <v>0.20833333333333334</v>
      </c>
      <c r="T293" s="173">
        <v>7.25</v>
      </c>
      <c r="U293" s="277"/>
      <c r="V293" s="4"/>
      <c r="W293" s="172">
        <v>0.35416666666666669</v>
      </c>
      <c r="X293" s="172">
        <v>0.20833333333333334</v>
      </c>
      <c r="Y293" s="173">
        <v>7.5</v>
      </c>
      <c r="Z293" s="277"/>
      <c r="AA293" s="28">
        <f t="shared" si="35"/>
        <v>36.25</v>
      </c>
      <c r="AB293" s="298">
        <f t="shared" si="36"/>
        <v>0</v>
      </c>
      <c r="AC293" s="4"/>
      <c r="AD293" s="175">
        <v>0</v>
      </c>
      <c r="AE293" s="175">
        <v>0</v>
      </c>
      <c r="AF293" s="173">
        <v>0</v>
      </c>
      <c r="AG293" s="28">
        <f t="shared" si="37"/>
        <v>0</v>
      </c>
      <c r="AH293" s="4"/>
      <c r="AI293" s="255"/>
      <c r="AK293" s="188" t="s">
        <v>36</v>
      </c>
      <c r="AL293" s="196">
        <f>AB320</f>
        <v>5.75</v>
      </c>
      <c r="AM293" s="193"/>
      <c r="AN293" s="193"/>
      <c r="AO293" s="193"/>
      <c r="AP293" s="193"/>
    </row>
    <row r="294" spans="2:42" s="367" customFormat="1">
      <c r="B294" s="171" t="s">
        <v>72</v>
      </c>
      <c r="C294" s="172">
        <v>0.35416666666666669</v>
      </c>
      <c r="D294" s="172">
        <v>0.20833333333333334</v>
      </c>
      <c r="E294" s="173">
        <v>7.5</v>
      </c>
      <c r="F294" s="277"/>
      <c r="G294" s="4"/>
      <c r="H294" s="172">
        <v>0.34375</v>
      </c>
      <c r="I294" s="172">
        <v>0.20833333333333334</v>
      </c>
      <c r="J294" s="173">
        <v>7.75</v>
      </c>
      <c r="K294" s="277"/>
      <c r="L294" s="4"/>
      <c r="M294" s="172">
        <v>0.35416666666666669</v>
      </c>
      <c r="N294" s="172">
        <v>0.20833333333333334</v>
      </c>
      <c r="O294" s="173">
        <f>7.5</f>
        <v>7.5</v>
      </c>
      <c r="P294" s="277"/>
      <c r="Q294" s="4"/>
      <c r="R294" s="172">
        <v>0.35416666666666669</v>
      </c>
      <c r="S294" s="172">
        <v>0.20833333333333334</v>
      </c>
      <c r="T294" s="173">
        <v>7.5</v>
      </c>
      <c r="U294" s="277"/>
      <c r="V294" s="4"/>
      <c r="W294" s="172">
        <v>0</v>
      </c>
      <c r="X294" s="175">
        <v>0</v>
      </c>
      <c r="Y294" s="173">
        <v>0</v>
      </c>
      <c r="Z294" s="277"/>
      <c r="AA294" s="28">
        <f t="shared" si="35"/>
        <v>30.25</v>
      </c>
      <c r="AB294" s="298">
        <f t="shared" si="36"/>
        <v>0</v>
      </c>
      <c r="AC294" s="4"/>
      <c r="AD294" s="175">
        <v>0</v>
      </c>
      <c r="AE294" s="175">
        <v>0</v>
      </c>
      <c r="AF294" s="173">
        <v>0</v>
      </c>
      <c r="AG294" s="28">
        <f t="shared" si="37"/>
        <v>0</v>
      </c>
      <c r="AH294" s="175"/>
      <c r="AI294" s="368"/>
      <c r="AK294" s="188" t="s">
        <v>38</v>
      </c>
      <c r="AL294" s="196">
        <f>AG320</f>
        <v>0</v>
      </c>
      <c r="AM294" s="193"/>
      <c r="AN294" s="193"/>
      <c r="AO294" s="193"/>
      <c r="AP294" s="193"/>
    </row>
    <row r="295" spans="2:42" s="180" customFormat="1">
      <c r="B295" s="171" t="s">
        <v>71</v>
      </c>
      <c r="C295" s="172">
        <v>0.34375</v>
      </c>
      <c r="D295" s="172">
        <v>0.20833333333333334</v>
      </c>
      <c r="E295" s="173">
        <v>7.75</v>
      </c>
      <c r="F295" s="277"/>
      <c r="G295" s="4"/>
      <c r="H295" s="172">
        <v>0.34375</v>
      </c>
      <c r="I295" s="172">
        <v>0.20833333333333334</v>
      </c>
      <c r="J295" s="173">
        <v>7.75</v>
      </c>
      <c r="K295" s="277"/>
      <c r="L295" s="4"/>
      <c r="M295" s="172">
        <v>0.33333333333333331</v>
      </c>
      <c r="N295" s="172">
        <v>0.20833333333333334</v>
      </c>
      <c r="O295" s="173">
        <v>8</v>
      </c>
      <c r="P295" s="277"/>
      <c r="Q295" s="4"/>
      <c r="R295" s="172">
        <v>0.33333333333333331</v>
      </c>
      <c r="S295" s="172">
        <v>0.20833333333333334</v>
      </c>
      <c r="T295" s="173">
        <v>8</v>
      </c>
      <c r="U295" s="277"/>
      <c r="V295" s="4"/>
      <c r="W295" s="172">
        <v>0.33333333333333331</v>
      </c>
      <c r="X295" s="172">
        <v>0.20833333333333334</v>
      </c>
      <c r="Y295" s="173">
        <v>8</v>
      </c>
      <c r="Z295" s="277"/>
      <c r="AA295" s="28">
        <f t="shared" si="35"/>
        <v>39.5</v>
      </c>
      <c r="AB295" s="298">
        <f t="shared" si="36"/>
        <v>0</v>
      </c>
      <c r="AC295" s="4"/>
      <c r="AD295" s="175">
        <v>0</v>
      </c>
      <c r="AE295" s="175">
        <v>0</v>
      </c>
      <c r="AF295" s="173">
        <v>0</v>
      </c>
      <c r="AG295" s="28">
        <f t="shared" si="37"/>
        <v>0</v>
      </c>
      <c r="AH295" s="4"/>
      <c r="AI295" s="255"/>
      <c r="AK295" s="188" t="s">
        <v>41</v>
      </c>
      <c r="AL295" s="196">
        <f>C321</f>
        <v>57</v>
      </c>
      <c r="AM295" s="369"/>
      <c r="AN295" s="369"/>
      <c r="AO295" s="369"/>
      <c r="AP295" s="369"/>
    </row>
    <row r="296" spans="2:42" s="180" customFormat="1">
      <c r="B296" s="13" t="s">
        <v>35</v>
      </c>
      <c r="C296" s="398">
        <v>0.40625</v>
      </c>
      <c r="D296" s="314">
        <v>0.20833333333333334</v>
      </c>
      <c r="E296" s="19">
        <v>6.25</v>
      </c>
      <c r="F296" s="277"/>
      <c r="G296" s="399"/>
      <c r="H296" s="314" t="s">
        <v>78</v>
      </c>
      <c r="I296" s="314">
        <v>0.20833333333333334</v>
      </c>
      <c r="J296" s="19">
        <v>7</v>
      </c>
      <c r="K296" s="277"/>
      <c r="L296" s="399"/>
      <c r="M296" s="314">
        <v>0.375</v>
      </c>
      <c r="N296" s="314">
        <v>0.20833333333333334</v>
      </c>
      <c r="O296" s="19">
        <v>7</v>
      </c>
      <c r="P296" s="277"/>
      <c r="Q296" s="399"/>
      <c r="R296" s="314">
        <v>0.38541666666666669</v>
      </c>
      <c r="S296" s="314">
        <v>0.20833333333333334</v>
      </c>
      <c r="T296" s="19">
        <v>6.75</v>
      </c>
      <c r="U296" s="277"/>
      <c r="V296" s="399"/>
      <c r="W296" s="314">
        <v>0</v>
      </c>
      <c r="X296" s="314">
        <v>0</v>
      </c>
      <c r="Y296" s="19">
        <v>0</v>
      </c>
      <c r="Z296" s="277"/>
      <c r="AA296" s="344">
        <f t="shared" si="35"/>
        <v>27</v>
      </c>
      <c r="AB296" s="298">
        <f t="shared" si="36"/>
        <v>0</v>
      </c>
      <c r="AC296" s="175"/>
      <c r="AD296" s="345">
        <v>0</v>
      </c>
      <c r="AE296" s="345">
        <v>0</v>
      </c>
      <c r="AF296" s="346">
        <v>0</v>
      </c>
      <c r="AG296" s="344">
        <f t="shared" si="37"/>
        <v>0</v>
      </c>
      <c r="AH296" s="4"/>
      <c r="AI296" s="255"/>
      <c r="AK296" s="193"/>
      <c r="AL296" s="193"/>
      <c r="AM296" s="193"/>
      <c r="AN296" s="193"/>
      <c r="AO296" s="193"/>
      <c r="AP296" s="193"/>
    </row>
    <row r="297" spans="2:42" s="180" customFormat="1">
      <c r="B297" s="13" t="s">
        <v>37</v>
      </c>
      <c r="C297" s="398">
        <v>0.39583333333333331</v>
      </c>
      <c r="D297" s="314">
        <v>0.20833333333333334</v>
      </c>
      <c r="E297" s="19">
        <v>6.5</v>
      </c>
      <c r="F297" s="277"/>
      <c r="G297" s="399"/>
      <c r="H297" s="314">
        <v>0.35416666666666669</v>
      </c>
      <c r="I297" s="314">
        <v>0.20833333333333334</v>
      </c>
      <c r="J297" s="19">
        <v>7.5</v>
      </c>
      <c r="K297" s="277"/>
      <c r="L297" s="399"/>
      <c r="M297" s="314">
        <v>0.36458333333333331</v>
      </c>
      <c r="N297" s="314">
        <v>0.20833333333333334</v>
      </c>
      <c r="O297" s="19">
        <v>7.25</v>
      </c>
      <c r="P297" s="277"/>
      <c r="Q297" s="399"/>
      <c r="R297" s="314">
        <v>0.35416666666666669</v>
      </c>
      <c r="S297" s="314">
        <v>0.20833333333333334</v>
      </c>
      <c r="T297" s="19">
        <v>7.5</v>
      </c>
      <c r="U297" s="277"/>
      <c r="V297" s="399"/>
      <c r="W297" s="314">
        <v>0.34375</v>
      </c>
      <c r="X297" s="314">
        <v>0.20833333333333334</v>
      </c>
      <c r="Y297" s="19">
        <v>7.75</v>
      </c>
      <c r="Z297" s="277"/>
      <c r="AA297" s="344">
        <f t="shared" si="35"/>
        <v>36.5</v>
      </c>
      <c r="AB297" s="298">
        <f t="shared" si="36"/>
        <v>0</v>
      </c>
      <c r="AC297" s="175"/>
      <c r="AD297" s="345">
        <v>0</v>
      </c>
      <c r="AE297" s="345">
        <v>0</v>
      </c>
      <c r="AF297" s="346">
        <v>0</v>
      </c>
      <c r="AG297" s="344">
        <f t="shared" si="37"/>
        <v>0</v>
      </c>
      <c r="AH297" s="4"/>
      <c r="AI297" s="255"/>
      <c r="AK297" s="193"/>
      <c r="AL297" s="193"/>
      <c r="AM297" s="193"/>
      <c r="AN297" s="193"/>
      <c r="AO297" s="193"/>
      <c r="AP297" s="193"/>
    </row>
    <row r="298" spans="2:42" s="180" customFormat="1">
      <c r="B298" s="13" t="s">
        <v>39</v>
      </c>
      <c r="C298" s="353" t="s">
        <v>29</v>
      </c>
      <c r="D298" s="47">
        <v>0.27083333333333331</v>
      </c>
      <c r="E298" s="19">
        <v>0</v>
      </c>
      <c r="F298" s="277"/>
      <c r="G298" s="4"/>
      <c r="H298" s="353" t="s">
        <v>29</v>
      </c>
      <c r="I298" s="47">
        <v>0.19791666666666666</v>
      </c>
      <c r="J298" s="19">
        <v>0</v>
      </c>
      <c r="K298" s="277"/>
      <c r="L298" s="4"/>
      <c r="M298" s="353" t="s">
        <v>29</v>
      </c>
      <c r="N298" s="172" t="s">
        <v>29</v>
      </c>
      <c r="O298" s="19">
        <v>0</v>
      </c>
      <c r="P298" s="277"/>
      <c r="Q298" s="4"/>
      <c r="R298" s="47">
        <v>0.38541666666666669</v>
      </c>
      <c r="S298" s="47"/>
      <c r="T298" s="319">
        <v>6.75</v>
      </c>
      <c r="U298" s="277"/>
      <c r="V298" s="4"/>
      <c r="W298" s="4">
        <v>0</v>
      </c>
      <c r="X298" s="4">
        <v>0</v>
      </c>
      <c r="Y298" s="319">
        <v>0</v>
      </c>
      <c r="Z298" s="277"/>
      <c r="AA298" s="29">
        <f t="shared" si="35"/>
        <v>6.75</v>
      </c>
      <c r="AB298" s="298">
        <f t="shared" si="36"/>
        <v>0</v>
      </c>
      <c r="AC298" s="4"/>
      <c r="AD298" s="4">
        <v>0</v>
      </c>
      <c r="AE298" s="4">
        <v>0</v>
      </c>
      <c r="AF298" s="19">
        <v>0</v>
      </c>
      <c r="AG298" s="29">
        <f t="shared" si="37"/>
        <v>0</v>
      </c>
      <c r="AH298" s="4"/>
      <c r="AI298" s="255"/>
      <c r="AK298" s="193"/>
      <c r="AL298" s="193"/>
      <c r="AM298" s="193"/>
      <c r="AN298" s="193"/>
      <c r="AO298" s="193"/>
      <c r="AP298" s="193"/>
    </row>
    <row r="299" spans="2:42" s="180" customFormat="1">
      <c r="B299" s="164" t="s">
        <v>40</v>
      </c>
      <c r="C299" s="353">
        <v>0.46875</v>
      </c>
      <c r="D299" s="314">
        <v>0.20833333333333334</v>
      </c>
      <c r="E299" s="19">
        <v>4.75</v>
      </c>
      <c r="F299" s="277"/>
      <c r="G299" s="4"/>
      <c r="H299" s="4">
        <v>0</v>
      </c>
      <c r="I299" s="4">
        <v>0</v>
      </c>
      <c r="J299" s="319">
        <v>0</v>
      </c>
      <c r="K299" s="277"/>
      <c r="L299" s="4"/>
      <c r="M299" s="47">
        <v>0.375</v>
      </c>
      <c r="N299" s="47">
        <v>0.20833333333333334</v>
      </c>
      <c r="O299" s="319">
        <v>7</v>
      </c>
      <c r="P299" s="277"/>
      <c r="Q299" s="4"/>
      <c r="R299" s="4">
        <v>0</v>
      </c>
      <c r="S299" s="4">
        <v>0</v>
      </c>
      <c r="T299" s="319">
        <v>0</v>
      </c>
      <c r="U299" s="277"/>
      <c r="V299" s="4"/>
      <c r="W299" s="47">
        <v>0.375</v>
      </c>
      <c r="X299" s="47">
        <v>0.20833333333333334</v>
      </c>
      <c r="Y299" s="319">
        <v>7</v>
      </c>
      <c r="Z299" s="277"/>
      <c r="AA299" s="29">
        <f t="shared" si="35"/>
        <v>18.75</v>
      </c>
      <c r="AB299" s="298">
        <f t="shared" si="36"/>
        <v>0</v>
      </c>
      <c r="AC299" s="4"/>
      <c r="AD299" s="4">
        <v>0</v>
      </c>
      <c r="AE299" s="4">
        <v>0</v>
      </c>
      <c r="AF299" s="19">
        <v>0</v>
      </c>
      <c r="AG299" s="29">
        <f t="shared" si="37"/>
        <v>0</v>
      </c>
      <c r="AH299" s="4"/>
      <c r="AI299" s="255"/>
      <c r="AK299" s="193"/>
      <c r="AL299" s="193"/>
      <c r="AM299" s="193"/>
      <c r="AN299" s="193"/>
      <c r="AO299" s="193"/>
      <c r="AP299" s="193"/>
    </row>
    <row r="300" spans="2:42" s="180" customFormat="1">
      <c r="B300" s="164" t="s">
        <v>42</v>
      </c>
      <c r="C300" s="353">
        <v>0.33333333333333331</v>
      </c>
      <c r="D300" s="314">
        <v>0.20833333333333334</v>
      </c>
      <c r="E300" s="19">
        <v>8.5</v>
      </c>
      <c r="F300" s="277"/>
      <c r="G300" s="4"/>
      <c r="H300" s="47">
        <v>0.33333333333333331</v>
      </c>
      <c r="I300" s="47">
        <v>0.20833333333333334</v>
      </c>
      <c r="J300" s="319">
        <v>8</v>
      </c>
      <c r="K300" s="277"/>
      <c r="L300" s="4"/>
      <c r="M300" s="47">
        <v>0.33333333333333331</v>
      </c>
      <c r="N300" s="47">
        <v>0.20833333333333334</v>
      </c>
      <c r="O300" s="319">
        <v>8</v>
      </c>
      <c r="P300" s="277"/>
      <c r="Q300" s="4"/>
      <c r="R300" s="47">
        <v>0.33333333333333331</v>
      </c>
      <c r="S300" s="47">
        <v>0.20833333333333334</v>
      </c>
      <c r="T300" s="319">
        <v>8</v>
      </c>
      <c r="U300" s="277"/>
      <c r="V300" s="4"/>
      <c r="W300" s="47">
        <v>0.36458333333333331</v>
      </c>
      <c r="X300" s="47">
        <v>0.20833333333333334</v>
      </c>
      <c r="Y300" s="319">
        <v>7.25</v>
      </c>
      <c r="Z300" s="277"/>
      <c r="AA300" s="29">
        <f t="shared" si="35"/>
        <v>39.75</v>
      </c>
      <c r="AB300" s="298">
        <f t="shared" si="36"/>
        <v>0</v>
      </c>
      <c r="AC300" s="4"/>
      <c r="AD300" s="4">
        <v>0</v>
      </c>
      <c r="AE300" s="4">
        <v>0</v>
      </c>
      <c r="AF300" s="19">
        <v>0</v>
      </c>
      <c r="AG300" s="29">
        <f t="shared" si="37"/>
        <v>0</v>
      </c>
      <c r="AH300" s="4"/>
      <c r="AI300" s="255"/>
      <c r="AK300" s="193"/>
      <c r="AL300" s="193"/>
      <c r="AM300" s="193"/>
      <c r="AN300" s="193"/>
      <c r="AO300" s="193"/>
      <c r="AP300" s="193"/>
    </row>
    <row r="301" spans="2:42" s="180" customFormat="1">
      <c r="B301" s="13" t="s">
        <v>43</v>
      </c>
      <c r="C301" s="353">
        <v>0.34375</v>
      </c>
      <c r="D301" s="314">
        <v>0.20833333333333334</v>
      </c>
      <c r="E301" s="19">
        <v>7.75</v>
      </c>
      <c r="F301" s="277"/>
      <c r="G301" s="4"/>
      <c r="H301" s="47">
        <v>0.35416666666666669</v>
      </c>
      <c r="I301" s="47">
        <v>0.20833333333333334</v>
      </c>
      <c r="J301" s="319">
        <v>7.5</v>
      </c>
      <c r="K301" s="277"/>
      <c r="L301" s="4"/>
      <c r="M301" s="47">
        <v>0.375</v>
      </c>
      <c r="N301" s="47">
        <v>0.20833333333333334</v>
      </c>
      <c r="O301" s="319">
        <v>7</v>
      </c>
      <c r="P301" s="277"/>
      <c r="Q301" s="4"/>
      <c r="R301" s="47">
        <v>0.35416666666666669</v>
      </c>
      <c r="S301" s="47">
        <v>0.20833333333333334</v>
      </c>
      <c r="T301" s="319">
        <v>7.5</v>
      </c>
      <c r="U301" s="277"/>
      <c r="V301" s="4"/>
      <c r="W301" s="47">
        <v>0.375</v>
      </c>
      <c r="X301" s="47">
        <v>0.20833333333333334</v>
      </c>
      <c r="Y301" s="319">
        <v>7</v>
      </c>
      <c r="Z301" s="277"/>
      <c r="AA301" s="29">
        <f t="shared" si="35"/>
        <v>36.75</v>
      </c>
      <c r="AB301" s="298">
        <f t="shared" si="36"/>
        <v>0</v>
      </c>
      <c r="AC301" s="4"/>
      <c r="AD301" s="4">
        <v>0</v>
      </c>
      <c r="AE301" s="4">
        <v>0</v>
      </c>
      <c r="AF301" s="19">
        <v>0</v>
      </c>
      <c r="AG301" s="29">
        <f t="shared" si="37"/>
        <v>0</v>
      </c>
      <c r="AH301" s="4"/>
      <c r="AI301" s="255"/>
      <c r="AK301" s="193"/>
      <c r="AL301" s="193"/>
      <c r="AM301" s="193"/>
      <c r="AN301" s="193"/>
      <c r="AO301" s="193"/>
      <c r="AP301" s="193"/>
    </row>
    <row r="302" spans="2:42" s="180" customFormat="1">
      <c r="B302" s="13" t="s">
        <v>44</v>
      </c>
      <c r="C302" s="353">
        <v>0.33333333333333331</v>
      </c>
      <c r="D302" s="314">
        <v>0.20833333333333334</v>
      </c>
      <c r="E302" s="19">
        <v>8.25</v>
      </c>
      <c r="F302" s="277"/>
      <c r="G302" s="4"/>
      <c r="H302" s="47">
        <v>0.34375</v>
      </c>
      <c r="I302" s="47">
        <v>0.20833333333333334</v>
      </c>
      <c r="J302" s="319">
        <v>7.75</v>
      </c>
      <c r="K302" s="277"/>
      <c r="L302" s="4"/>
      <c r="M302" s="47">
        <v>0.33333333333333331</v>
      </c>
      <c r="N302" s="47">
        <v>0.20833333333333334</v>
      </c>
      <c r="O302" s="319">
        <v>8</v>
      </c>
      <c r="P302" s="277"/>
      <c r="Q302" s="4"/>
      <c r="R302" s="47">
        <v>0.34375</v>
      </c>
      <c r="S302" s="47">
        <v>0.20833333333333334</v>
      </c>
      <c r="T302" s="319">
        <v>7.75</v>
      </c>
      <c r="U302" s="277"/>
      <c r="V302" s="4"/>
      <c r="W302" s="47">
        <v>0.36458333333333331</v>
      </c>
      <c r="X302" s="47">
        <v>0.20833333333333334</v>
      </c>
      <c r="Y302" s="319">
        <v>7.25</v>
      </c>
      <c r="Z302" s="277"/>
      <c r="AA302" s="29">
        <f t="shared" si="35"/>
        <v>39</v>
      </c>
      <c r="AB302" s="298">
        <f t="shared" si="36"/>
        <v>0</v>
      </c>
      <c r="AC302" s="4"/>
      <c r="AD302" s="4">
        <v>0</v>
      </c>
      <c r="AE302" s="4">
        <v>0</v>
      </c>
      <c r="AF302" s="19">
        <v>0</v>
      </c>
      <c r="AG302" s="29">
        <f t="shared" si="37"/>
        <v>0</v>
      </c>
      <c r="AH302" s="4"/>
      <c r="AI302" s="255"/>
      <c r="AK302" s="193"/>
      <c r="AL302" s="193"/>
      <c r="AM302" s="193"/>
      <c r="AN302" s="193"/>
      <c r="AO302" s="193"/>
      <c r="AP302" s="193"/>
    </row>
    <row r="303" spans="2:42" s="180" customFormat="1">
      <c r="B303" s="13" t="s">
        <v>45</v>
      </c>
      <c r="C303" s="4">
        <v>0</v>
      </c>
      <c r="D303" s="4">
        <v>0</v>
      </c>
      <c r="E303" s="19">
        <v>0</v>
      </c>
      <c r="F303" s="277"/>
      <c r="G303" s="4"/>
      <c r="H303" s="47">
        <v>0.375</v>
      </c>
      <c r="I303" s="47">
        <v>0.20833333333333334</v>
      </c>
      <c r="J303" s="319">
        <v>7</v>
      </c>
      <c r="K303" s="277"/>
      <c r="L303" s="4"/>
      <c r="M303" s="4">
        <v>0</v>
      </c>
      <c r="N303" s="4">
        <v>0</v>
      </c>
      <c r="O303" s="319">
        <v>0</v>
      </c>
      <c r="P303" s="277"/>
      <c r="Q303" s="4"/>
      <c r="R303" s="47">
        <v>0.38541666666666669</v>
      </c>
      <c r="S303" s="47">
        <v>0.20833333333333334</v>
      </c>
      <c r="T303" s="319">
        <v>6.75</v>
      </c>
      <c r="U303" s="277"/>
      <c r="V303" s="4"/>
      <c r="W303" s="4">
        <v>0</v>
      </c>
      <c r="X303" s="4">
        <v>0</v>
      </c>
      <c r="Y303" s="319">
        <v>0</v>
      </c>
      <c r="Z303" s="277"/>
      <c r="AA303" s="29">
        <f t="shared" si="35"/>
        <v>13.75</v>
      </c>
      <c r="AB303" s="298">
        <f t="shared" si="36"/>
        <v>0</v>
      </c>
      <c r="AC303" s="4"/>
      <c r="AD303" s="4">
        <v>0</v>
      </c>
      <c r="AE303" s="4">
        <v>0</v>
      </c>
      <c r="AF303" s="19">
        <v>0</v>
      </c>
      <c r="AG303" s="29">
        <f t="shared" si="37"/>
        <v>0</v>
      </c>
      <c r="AH303" s="4"/>
      <c r="AI303" s="255"/>
      <c r="AK303" s="193"/>
      <c r="AL303" s="193"/>
      <c r="AM303" s="193"/>
      <c r="AN303" s="193"/>
      <c r="AO303" s="193"/>
      <c r="AP303" s="193"/>
    </row>
    <row r="304" spans="2:42" s="180" customFormat="1">
      <c r="B304" s="13" t="s">
        <v>47</v>
      </c>
      <c r="C304" s="353">
        <v>0.33333333333333331</v>
      </c>
      <c r="D304" s="314">
        <v>0.20833333333333334</v>
      </c>
      <c r="E304" s="19">
        <v>8</v>
      </c>
      <c r="F304" s="277"/>
      <c r="G304" s="4"/>
      <c r="H304" s="47">
        <v>0.33333333333333331</v>
      </c>
      <c r="I304" s="47">
        <v>0.20833333333333334</v>
      </c>
      <c r="J304" s="319">
        <v>8</v>
      </c>
      <c r="K304" s="277"/>
      <c r="L304" s="4"/>
      <c r="M304" s="47">
        <v>0.375</v>
      </c>
      <c r="N304" s="47">
        <v>0.20833333333333334</v>
      </c>
      <c r="O304" s="319">
        <v>7</v>
      </c>
      <c r="P304" s="277"/>
      <c r="Q304" s="4"/>
      <c r="R304" s="47">
        <v>0.34375</v>
      </c>
      <c r="S304" s="47">
        <v>0.20833333333333334</v>
      </c>
      <c r="T304" s="319">
        <v>7.75</v>
      </c>
      <c r="U304" s="277"/>
      <c r="V304" s="4"/>
      <c r="W304" s="47">
        <v>0.34375</v>
      </c>
      <c r="X304" s="47">
        <v>0.20833333333333334</v>
      </c>
      <c r="Y304" s="319">
        <v>7.75</v>
      </c>
      <c r="Z304" s="277"/>
      <c r="AA304" s="29">
        <f t="shared" si="35"/>
        <v>38.5</v>
      </c>
      <c r="AB304" s="298">
        <f t="shared" si="36"/>
        <v>0</v>
      </c>
      <c r="AC304" s="4"/>
      <c r="AD304" s="4">
        <v>0</v>
      </c>
      <c r="AE304" s="4">
        <v>0</v>
      </c>
      <c r="AF304" s="19">
        <v>0</v>
      </c>
      <c r="AG304" s="29">
        <f t="shared" si="37"/>
        <v>0</v>
      </c>
      <c r="AH304" s="4"/>
      <c r="AI304" s="255"/>
      <c r="AK304" s="193"/>
      <c r="AL304" s="193"/>
      <c r="AM304" s="193"/>
      <c r="AN304" s="193"/>
      <c r="AO304" s="193"/>
      <c r="AP304" s="193"/>
    </row>
    <row r="305" spans="2:42" s="180" customFormat="1">
      <c r="B305" s="13" t="s">
        <v>49</v>
      </c>
      <c r="C305" s="353">
        <v>0.35416666666666669</v>
      </c>
      <c r="D305" s="314">
        <v>0.20833333333333334</v>
      </c>
      <c r="E305" s="19">
        <v>7.5</v>
      </c>
      <c r="F305" s="277"/>
      <c r="G305" s="4"/>
      <c r="H305" s="47">
        <v>0.36458333333333331</v>
      </c>
      <c r="I305" s="47">
        <v>0.20833333333333334</v>
      </c>
      <c r="J305" s="319">
        <v>7.25</v>
      </c>
      <c r="K305" s="277"/>
      <c r="L305" s="4"/>
      <c r="M305" s="47">
        <v>0.36458333333333331</v>
      </c>
      <c r="N305" s="47">
        <v>0.20833333333333334</v>
      </c>
      <c r="O305" s="319">
        <v>7.25</v>
      </c>
      <c r="P305" s="277"/>
      <c r="Q305" s="4"/>
      <c r="R305" s="47">
        <v>0.35416666666666669</v>
      </c>
      <c r="S305" s="47">
        <v>0.20833333333333334</v>
      </c>
      <c r="T305" s="319">
        <v>7.5</v>
      </c>
      <c r="U305" s="277"/>
      <c r="V305" s="4"/>
      <c r="W305" s="47">
        <v>0.34375</v>
      </c>
      <c r="X305" s="47">
        <v>0.20833333333333334</v>
      </c>
      <c r="Y305" s="319">
        <v>7.75</v>
      </c>
      <c r="Z305" s="277"/>
      <c r="AA305" s="29">
        <f t="shared" si="35"/>
        <v>37.25</v>
      </c>
      <c r="AB305" s="298">
        <f t="shared" si="36"/>
        <v>0</v>
      </c>
      <c r="AC305" s="4"/>
      <c r="AD305" s="4">
        <v>0</v>
      </c>
      <c r="AE305" s="4">
        <v>0</v>
      </c>
      <c r="AF305" s="19">
        <v>0</v>
      </c>
      <c r="AG305" s="29">
        <f t="shared" si="37"/>
        <v>0</v>
      </c>
      <c r="AH305" s="4"/>
      <c r="AI305" s="255"/>
      <c r="AK305" s="193"/>
      <c r="AL305" s="193"/>
      <c r="AM305" s="193"/>
      <c r="AN305" s="193"/>
      <c r="AO305" s="193"/>
      <c r="AP305" s="193"/>
    </row>
    <row r="306" spans="2:42" s="180" customFormat="1">
      <c r="B306" s="13" t="s">
        <v>50</v>
      </c>
      <c r="C306" s="353">
        <v>0.39583333333333331</v>
      </c>
      <c r="D306" s="314">
        <v>0.20833333333333334</v>
      </c>
      <c r="E306" s="19">
        <v>6.5</v>
      </c>
      <c r="F306" s="277"/>
      <c r="G306" s="4"/>
      <c r="H306" s="47">
        <v>0.38541666666666669</v>
      </c>
      <c r="I306" s="47">
        <v>0.20833333333333334</v>
      </c>
      <c r="J306" s="319">
        <v>6.75</v>
      </c>
      <c r="K306" s="277"/>
      <c r="L306" s="4"/>
      <c r="M306" s="47">
        <v>0.39583333333333331</v>
      </c>
      <c r="N306" s="47">
        <v>0.20833333333333334</v>
      </c>
      <c r="O306" s="319">
        <v>6.5</v>
      </c>
      <c r="P306" s="277"/>
      <c r="Q306" s="4"/>
      <c r="R306" s="4">
        <v>0</v>
      </c>
      <c r="S306" s="4">
        <v>0</v>
      </c>
      <c r="T306" s="319">
        <v>0</v>
      </c>
      <c r="U306" s="277"/>
      <c r="V306" s="4"/>
      <c r="W306" s="47">
        <v>0.375</v>
      </c>
      <c r="X306" s="47">
        <v>0.20833333333333334</v>
      </c>
      <c r="Y306" s="319">
        <v>7</v>
      </c>
      <c r="Z306" s="277"/>
      <c r="AA306" s="29">
        <f t="shared" si="35"/>
        <v>26.75</v>
      </c>
      <c r="AB306" s="298">
        <f t="shared" si="36"/>
        <v>0</v>
      </c>
      <c r="AC306" s="4"/>
      <c r="AD306" s="4">
        <v>0</v>
      </c>
      <c r="AE306" s="4">
        <v>0</v>
      </c>
      <c r="AF306" s="19">
        <v>0</v>
      </c>
      <c r="AG306" s="29">
        <f t="shared" si="37"/>
        <v>0</v>
      </c>
      <c r="AH306" s="4"/>
      <c r="AI306" s="255"/>
      <c r="AK306" s="193"/>
      <c r="AL306" s="193"/>
      <c r="AM306" s="193"/>
      <c r="AN306" s="193"/>
      <c r="AO306" s="193"/>
      <c r="AP306" s="193"/>
    </row>
    <row r="307" spans="2:42" s="180" customFormat="1">
      <c r="B307" s="13" t="s">
        <v>51</v>
      </c>
      <c r="C307" s="4">
        <v>0</v>
      </c>
      <c r="D307" s="4">
        <v>0</v>
      </c>
      <c r="E307" s="19">
        <v>0</v>
      </c>
      <c r="F307" s="277"/>
      <c r="G307" s="4"/>
      <c r="H307" s="47">
        <v>0.36458333333333331</v>
      </c>
      <c r="I307" s="47">
        <v>0.20833333333333334</v>
      </c>
      <c r="J307" s="319">
        <v>7.25</v>
      </c>
      <c r="K307" s="277"/>
      <c r="L307" s="4"/>
      <c r="M307" s="47">
        <v>0.375</v>
      </c>
      <c r="N307" s="47">
        <v>0.20833333333333334</v>
      </c>
      <c r="O307" s="319">
        <v>7</v>
      </c>
      <c r="P307" s="277"/>
      <c r="Q307" s="4"/>
      <c r="R307" s="47">
        <v>0.36458333333333331</v>
      </c>
      <c r="S307" s="47">
        <v>0.20833333333333334</v>
      </c>
      <c r="T307" s="319">
        <v>7.25</v>
      </c>
      <c r="U307" s="277"/>
      <c r="V307" s="4"/>
      <c r="W307" s="47">
        <v>0.33333333333333331</v>
      </c>
      <c r="X307" s="47">
        <v>0.20833333333333334</v>
      </c>
      <c r="Y307" s="319">
        <v>8</v>
      </c>
      <c r="Z307" s="277"/>
      <c r="AA307" s="29">
        <f t="shared" si="35"/>
        <v>29.5</v>
      </c>
      <c r="AB307" s="298">
        <f t="shared" si="36"/>
        <v>0</v>
      </c>
      <c r="AC307" s="4"/>
      <c r="AD307" s="4">
        <v>0</v>
      </c>
      <c r="AE307" s="4">
        <v>0</v>
      </c>
      <c r="AF307" s="19">
        <v>0</v>
      </c>
      <c r="AG307" s="29">
        <f t="shared" si="37"/>
        <v>0</v>
      </c>
      <c r="AH307" s="4"/>
      <c r="AI307" s="255"/>
      <c r="AK307" s="193"/>
      <c r="AL307" s="193"/>
      <c r="AM307" s="193"/>
      <c r="AN307" s="193"/>
      <c r="AO307" s="193"/>
      <c r="AP307" s="193"/>
    </row>
    <row r="308" spans="2:42" s="180" customFormat="1">
      <c r="B308" s="13" t="s">
        <v>52</v>
      </c>
      <c r="C308" s="353">
        <v>0.35416666666666669</v>
      </c>
      <c r="D308" s="314">
        <v>0.20833333333333334</v>
      </c>
      <c r="E308" s="19">
        <v>7.5</v>
      </c>
      <c r="F308" s="277"/>
      <c r="G308" s="4"/>
      <c r="H308" s="47">
        <v>0.36458333333333331</v>
      </c>
      <c r="I308" s="47">
        <v>0.20833333333333334</v>
      </c>
      <c r="J308" s="319">
        <v>7.25</v>
      </c>
      <c r="K308" s="277"/>
      <c r="L308" s="4"/>
      <c r="M308" s="47">
        <v>0.36458333333333331</v>
      </c>
      <c r="N308" s="47">
        <v>0.20833333333333334</v>
      </c>
      <c r="O308" s="319">
        <v>7.25</v>
      </c>
      <c r="P308" s="277"/>
      <c r="Q308" s="4"/>
      <c r="R308" s="47">
        <v>0.34375</v>
      </c>
      <c r="S308" s="47">
        <v>0.20833333333333334</v>
      </c>
      <c r="T308" s="319">
        <v>7.75</v>
      </c>
      <c r="U308" s="277"/>
      <c r="V308" s="4"/>
      <c r="W308" s="47">
        <v>0.35416666666666669</v>
      </c>
      <c r="X308" s="47">
        <v>0.20833333333333334</v>
      </c>
      <c r="Y308" s="319">
        <v>7.5</v>
      </c>
      <c r="Z308" s="277"/>
      <c r="AA308" s="29">
        <f t="shared" si="35"/>
        <v>37.25</v>
      </c>
      <c r="AB308" s="298">
        <f t="shared" si="36"/>
        <v>0</v>
      </c>
      <c r="AC308" s="4"/>
      <c r="AD308" s="4">
        <v>0</v>
      </c>
      <c r="AE308" s="4">
        <v>0</v>
      </c>
      <c r="AF308" s="19">
        <v>0</v>
      </c>
      <c r="AG308" s="29">
        <f t="shared" si="37"/>
        <v>0</v>
      </c>
      <c r="AH308" s="4"/>
      <c r="AI308" s="255"/>
      <c r="AK308" s="193"/>
      <c r="AL308" s="193"/>
      <c r="AM308" s="193"/>
      <c r="AN308" s="193"/>
      <c r="AO308" s="193"/>
      <c r="AP308" s="193"/>
    </row>
    <row r="309" spans="2:42" s="180" customFormat="1">
      <c r="B309" s="13" t="s">
        <v>48</v>
      </c>
      <c r="C309" s="47">
        <v>0.35416666666666669</v>
      </c>
      <c r="D309" s="314">
        <v>0.20833333333333334</v>
      </c>
      <c r="E309" s="19">
        <v>7.5</v>
      </c>
      <c r="F309" s="277"/>
      <c r="G309" s="4"/>
      <c r="H309" s="47">
        <v>0.35416666666666669</v>
      </c>
      <c r="I309" s="47">
        <v>0.20833333333333334</v>
      </c>
      <c r="J309" s="19">
        <v>7.5</v>
      </c>
      <c r="K309" s="277"/>
      <c r="L309" s="4"/>
      <c r="M309" s="47">
        <v>0.35416666666666669</v>
      </c>
      <c r="N309" s="47">
        <v>0.20833333333333334</v>
      </c>
      <c r="O309" s="319">
        <v>7.5</v>
      </c>
      <c r="P309" s="277"/>
      <c r="Q309" s="4"/>
      <c r="R309" s="47">
        <v>0.35416666666666669</v>
      </c>
      <c r="S309" s="47">
        <v>0.20833333333333334</v>
      </c>
      <c r="T309" s="319">
        <v>7.5</v>
      </c>
      <c r="U309" s="277"/>
      <c r="V309" s="4"/>
      <c r="W309" s="47">
        <v>0.35416666666666669</v>
      </c>
      <c r="X309" s="47">
        <v>0.20833333333333334</v>
      </c>
      <c r="Y309" s="319">
        <v>7.5</v>
      </c>
      <c r="Z309" s="277"/>
      <c r="AA309" s="29">
        <f t="shared" si="35"/>
        <v>37.5</v>
      </c>
      <c r="AB309" s="298">
        <f t="shared" si="36"/>
        <v>0</v>
      </c>
      <c r="AC309" s="4"/>
      <c r="AD309" s="4">
        <v>0</v>
      </c>
      <c r="AE309" s="4">
        <v>0</v>
      </c>
      <c r="AF309" s="19">
        <v>0</v>
      </c>
      <c r="AG309" s="29">
        <f t="shared" si="37"/>
        <v>0</v>
      </c>
      <c r="AH309" s="4"/>
      <c r="AI309" s="255"/>
      <c r="AK309" s="193"/>
      <c r="AL309" s="193"/>
      <c r="AM309" s="193"/>
      <c r="AN309" s="193"/>
      <c r="AO309" s="193"/>
      <c r="AP309" s="193"/>
    </row>
    <row r="310" spans="2:42" s="180" customFormat="1">
      <c r="B310" s="13" t="s">
        <v>53</v>
      </c>
      <c r="C310" s="4">
        <v>0</v>
      </c>
      <c r="D310" s="4">
        <v>0</v>
      </c>
      <c r="E310" s="19">
        <v>0</v>
      </c>
      <c r="F310" s="277"/>
      <c r="G310" s="4"/>
      <c r="H310" s="47">
        <v>0.36458333333333331</v>
      </c>
      <c r="I310" s="47">
        <v>0.20833333333333334</v>
      </c>
      <c r="J310" s="19">
        <v>7.25</v>
      </c>
      <c r="K310" s="277"/>
      <c r="L310" s="4"/>
      <c r="M310" s="4">
        <v>0</v>
      </c>
      <c r="N310" s="4">
        <v>0</v>
      </c>
      <c r="O310" s="319">
        <v>0</v>
      </c>
      <c r="P310" s="277"/>
      <c r="Q310" s="4"/>
      <c r="R310" s="47">
        <v>0.34375</v>
      </c>
      <c r="S310" s="47">
        <v>0.20833333333333334</v>
      </c>
      <c r="T310" s="319">
        <v>7.75</v>
      </c>
      <c r="U310" s="277"/>
      <c r="V310" s="4"/>
      <c r="W310" s="47">
        <v>0.36458333333333331</v>
      </c>
      <c r="X310" s="47">
        <v>0.20833333333333334</v>
      </c>
      <c r="Y310" s="319">
        <v>7.25</v>
      </c>
      <c r="Z310" s="277"/>
      <c r="AA310" s="29">
        <f t="shared" si="35"/>
        <v>22.25</v>
      </c>
      <c r="AB310" s="298">
        <f t="shared" si="36"/>
        <v>0</v>
      </c>
      <c r="AC310" s="4"/>
      <c r="AD310" s="4">
        <v>0</v>
      </c>
      <c r="AE310" s="4">
        <v>0</v>
      </c>
      <c r="AF310" s="19">
        <v>0</v>
      </c>
      <c r="AG310" s="29">
        <f t="shared" si="37"/>
        <v>0</v>
      </c>
      <c r="AH310" s="4"/>
      <c r="AI310" s="255"/>
      <c r="AK310" s="193"/>
      <c r="AL310" s="193"/>
      <c r="AM310" s="193"/>
      <c r="AN310" s="193"/>
      <c r="AO310" s="193"/>
      <c r="AP310" s="193"/>
    </row>
    <row r="311" spans="2:42" s="180" customFormat="1">
      <c r="B311" s="13" t="s">
        <v>54</v>
      </c>
      <c r="C311" s="12" t="s">
        <v>29</v>
      </c>
      <c r="D311" s="12" t="s">
        <v>29</v>
      </c>
      <c r="E311" s="19">
        <v>0</v>
      </c>
      <c r="F311" s="277"/>
      <c r="G311" s="4"/>
      <c r="H311" s="12" t="s">
        <v>29</v>
      </c>
      <c r="I311" s="12" t="s">
        <v>29</v>
      </c>
      <c r="J311" s="19">
        <v>0</v>
      </c>
      <c r="K311" s="277"/>
      <c r="L311" s="4"/>
      <c r="M311" s="12" t="s">
        <v>29</v>
      </c>
      <c r="N311" s="12" t="s">
        <v>29</v>
      </c>
      <c r="O311" s="319">
        <v>0</v>
      </c>
      <c r="P311" s="277"/>
      <c r="Q311" s="4"/>
      <c r="R311" s="12" t="s">
        <v>29</v>
      </c>
      <c r="S311" s="12" t="s">
        <v>29</v>
      </c>
      <c r="T311" s="319">
        <v>0</v>
      </c>
      <c r="U311" s="277"/>
      <c r="V311" s="4"/>
      <c r="W311" s="12" t="s">
        <v>29</v>
      </c>
      <c r="X311" s="12" t="s">
        <v>29</v>
      </c>
      <c r="Y311" s="319">
        <v>0</v>
      </c>
      <c r="Z311" s="277"/>
      <c r="AA311" s="29">
        <f t="shared" si="35"/>
        <v>0</v>
      </c>
      <c r="AB311" s="298">
        <f t="shared" si="36"/>
        <v>0</v>
      </c>
      <c r="AC311" s="4"/>
      <c r="AD311" s="4">
        <v>0</v>
      </c>
      <c r="AE311" s="4">
        <v>0</v>
      </c>
      <c r="AF311" s="19">
        <v>0</v>
      </c>
      <c r="AG311" s="29">
        <f t="shared" si="37"/>
        <v>0</v>
      </c>
      <c r="AH311" s="4"/>
      <c r="AI311" s="255"/>
      <c r="AK311" s="193"/>
      <c r="AL311" s="193"/>
      <c r="AM311" s="193"/>
      <c r="AN311" s="193"/>
      <c r="AO311" s="193"/>
      <c r="AP311" s="193"/>
    </row>
    <row r="312" spans="2:42" s="180" customFormat="1">
      <c r="B312" s="13" t="s">
        <v>55</v>
      </c>
      <c r="C312" s="12" t="s">
        <v>29</v>
      </c>
      <c r="D312" s="12" t="s">
        <v>29</v>
      </c>
      <c r="E312" s="19">
        <v>0</v>
      </c>
      <c r="F312" s="277"/>
      <c r="G312" s="4"/>
      <c r="H312" s="12" t="s">
        <v>29</v>
      </c>
      <c r="I312" s="12" t="s">
        <v>29</v>
      </c>
      <c r="J312" s="19">
        <v>0</v>
      </c>
      <c r="K312" s="277"/>
      <c r="L312" s="4"/>
      <c r="M312" s="12" t="s">
        <v>29</v>
      </c>
      <c r="N312" s="12" t="s">
        <v>29</v>
      </c>
      <c r="O312" s="319">
        <v>0</v>
      </c>
      <c r="P312" s="277"/>
      <c r="Q312" s="4"/>
      <c r="R312" s="12" t="s">
        <v>29</v>
      </c>
      <c r="S312" s="12" t="s">
        <v>29</v>
      </c>
      <c r="T312" s="319">
        <v>0</v>
      </c>
      <c r="U312" s="277"/>
      <c r="V312" s="4"/>
      <c r="W312" s="12" t="s">
        <v>29</v>
      </c>
      <c r="X312" s="12" t="s">
        <v>29</v>
      </c>
      <c r="Y312" s="319">
        <v>0</v>
      </c>
      <c r="Z312" s="277"/>
      <c r="AA312" s="29">
        <f t="shared" si="35"/>
        <v>0</v>
      </c>
      <c r="AB312" s="298">
        <f t="shared" si="36"/>
        <v>0</v>
      </c>
      <c r="AC312" s="4"/>
      <c r="AD312" s="4">
        <v>0</v>
      </c>
      <c r="AE312" s="4">
        <v>0</v>
      </c>
      <c r="AF312" s="19">
        <v>0</v>
      </c>
      <c r="AG312" s="29">
        <f t="shared" si="37"/>
        <v>0</v>
      </c>
      <c r="AH312" s="4"/>
      <c r="AI312" s="255"/>
      <c r="AK312" s="193"/>
      <c r="AL312" s="193"/>
      <c r="AM312" s="193"/>
      <c r="AN312" s="193"/>
      <c r="AO312" s="193"/>
      <c r="AP312" s="193"/>
    </row>
    <row r="313" spans="2:42" s="180" customFormat="1">
      <c r="B313" s="138" t="s">
        <v>59</v>
      </c>
      <c r="C313" s="12" t="s">
        <v>29</v>
      </c>
      <c r="D313" s="12" t="s">
        <v>29</v>
      </c>
      <c r="E313" s="19">
        <v>8</v>
      </c>
      <c r="F313" s="277"/>
      <c r="G313" s="4"/>
      <c r="H313" s="12" t="s">
        <v>29</v>
      </c>
      <c r="I313" s="12" t="s">
        <v>29</v>
      </c>
      <c r="J313" s="19">
        <v>8</v>
      </c>
      <c r="K313" s="277"/>
      <c r="L313" s="4"/>
      <c r="M313" s="12" t="s">
        <v>29</v>
      </c>
      <c r="N313" s="12" t="s">
        <v>29</v>
      </c>
      <c r="O313" s="19">
        <v>8</v>
      </c>
      <c r="P313" s="277"/>
      <c r="Q313" s="4"/>
      <c r="R313" s="12" t="s">
        <v>29</v>
      </c>
      <c r="S313" s="12" t="s">
        <v>29</v>
      </c>
      <c r="T313" s="319">
        <v>8</v>
      </c>
      <c r="U313" s="277"/>
      <c r="V313" s="4"/>
      <c r="W313" s="12" t="s">
        <v>29</v>
      </c>
      <c r="X313" s="12" t="s">
        <v>29</v>
      </c>
      <c r="Y313" s="319">
        <v>8</v>
      </c>
      <c r="Z313" s="277"/>
      <c r="AA313" s="29">
        <f t="shared" si="35"/>
        <v>40</v>
      </c>
      <c r="AB313" s="298">
        <f t="shared" si="36"/>
        <v>0</v>
      </c>
      <c r="AC313" s="4"/>
      <c r="AD313" s="4">
        <v>0</v>
      </c>
      <c r="AE313" s="4">
        <v>0</v>
      </c>
      <c r="AF313" s="19">
        <v>0</v>
      </c>
      <c r="AG313" s="29">
        <f t="shared" si="37"/>
        <v>0</v>
      </c>
      <c r="AH313" s="4"/>
      <c r="AI313" s="255"/>
      <c r="AK313" s="193"/>
      <c r="AL313" s="193"/>
      <c r="AM313" s="193"/>
      <c r="AN313" s="193"/>
      <c r="AO313" s="193"/>
      <c r="AP313" s="193"/>
    </row>
    <row r="314" spans="2:42" s="180" customFormat="1">
      <c r="B314" s="138" t="s">
        <v>60</v>
      </c>
      <c r="C314" s="12" t="s">
        <v>29</v>
      </c>
      <c r="D314" s="12" t="s">
        <v>29</v>
      </c>
      <c r="E314" s="19">
        <v>8</v>
      </c>
      <c r="F314" s="277"/>
      <c r="G314" s="4"/>
      <c r="H314" s="12" t="s">
        <v>29</v>
      </c>
      <c r="I314" s="12" t="s">
        <v>29</v>
      </c>
      <c r="J314" s="19">
        <v>8</v>
      </c>
      <c r="K314" s="277"/>
      <c r="L314" s="4"/>
      <c r="M314" s="12" t="s">
        <v>29</v>
      </c>
      <c r="N314" s="12" t="s">
        <v>29</v>
      </c>
      <c r="O314" s="19">
        <v>8</v>
      </c>
      <c r="P314" s="277"/>
      <c r="Q314" s="4"/>
      <c r="R314" s="12" t="s">
        <v>29</v>
      </c>
      <c r="S314" s="12" t="s">
        <v>29</v>
      </c>
      <c r="T314" s="319">
        <v>8</v>
      </c>
      <c r="U314" s="277"/>
      <c r="V314" s="4"/>
      <c r="W314" s="12" t="s">
        <v>29</v>
      </c>
      <c r="X314" s="12" t="s">
        <v>29</v>
      </c>
      <c r="Y314" s="319">
        <v>8</v>
      </c>
      <c r="Z314" s="277"/>
      <c r="AA314" s="29">
        <f t="shared" si="35"/>
        <v>40</v>
      </c>
      <c r="AB314" s="298">
        <f t="shared" si="36"/>
        <v>0</v>
      </c>
      <c r="AC314" s="4"/>
      <c r="AD314" s="4">
        <v>0</v>
      </c>
      <c r="AE314" s="4">
        <v>0</v>
      </c>
      <c r="AF314" s="19">
        <v>0</v>
      </c>
      <c r="AG314" s="29">
        <f t="shared" si="37"/>
        <v>0</v>
      </c>
      <c r="AH314" s="4"/>
      <c r="AI314" s="255"/>
      <c r="AK314" s="193"/>
      <c r="AL314" s="193"/>
      <c r="AM314" s="193"/>
      <c r="AN314" s="193"/>
      <c r="AO314" s="193"/>
      <c r="AP314" s="193"/>
    </row>
    <row r="315" spans="2:42" s="180" customFormat="1">
      <c r="B315" s="63" t="s">
        <v>62</v>
      </c>
      <c r="C315" s="12" t="s">
        <v>29</v>
      </c>
      <c r="D315" s="12" t="s">
        <v>29</v>
      </c>
      <c r="E315" s="19">
        <v>8</v>
      </c>
      <c r="F315" s="277"/>
      <c r="G315" s="60"/>
      <c r="H315" s="12" t="s">
        <v>29</v>
      </c>
      <c r="I315" s="12" t="s">
        <v>29</v>
      </c>
      <c r="J315" s="19">
        <v>8</v>
      </c>
      <c r="K315" s="277"/>
      <c r="L315" s="60"/>
      <c r="M315" s="12" t="s">
        <v>29</v>
      </c>
      <c r="N315" s="12" t="s">
        <v>29</v>
      </c>
      <c r="O315" s="19">
        <v>8</v>
      </c>
      <c r="P315" s="277"/>
      <c r="Q315" s="60"/>
      <c r="R315" s="12" t="s">
        <v>29</v>
      </c>
      <c r="S315" s="12" t="s">
        <v>29</v>
      </c>
      <c r="T315" s="19">
        <v>8</v>
      </c>
      <c r="U315" s="277"/>
      <c r="V315" s="60"/>
      <c r="W315" s="12" t="s">
        <v>29</v>
      </c>
      <c r="X315" s="12" t="s">
        <v>29</v>
      </c>
      <c r="Y315" s="19">
        <v>8</v>
      </c>
      <c r="Z315" s="277"/>
      <c r="AA315" s="28">
        <f>SUM(E315+J315+O315+T315+Y315)</f>
        <v>40</v>
      </c>
      <c r="AB315" s="282">
        <f t="shared" si="36"/>
        <v>0</v>
      </c>
      <c r="AC315" s="4"/>
      <c r="AD315" s="56"/>
      <c r="AE315" s="56"/>
      <c r="AF315" s="19"/>
      <c r="AG315" s="29">
        <v>0</v>
      </c>
      <c r="AH315" s="4"/>
      <c r="AI315" s="255"/>
      <c r="AK315" s="193"/>
      <c r="AL315" s="193"/>
      <c r="AM315" s="193"/>
      <c r="AN315" s="193"/>
      <c r="AO315" s="193"/>
      <c r="AP315" s="193"/>
    </row>
    <row r="316" spans="2:42" s="180" customFormat="1">
      <c r="B316" s="64" t="s">
        <v>61</v>
      </c>
      <c r="C316" s="64"/>
      <c r="D316" s="64"/>
      <c r="E316" s="167">
        <f>SUM(E290:E315)</f>
        <v>139.5</v>
      </c>
      <c r="F316" s="277">
        <f>SUM(F290:F312)</f>
        <v>0</v>
      </c>
      <c r="G316" s="64"/>
      <c r="H316" s="64"/>
      <c r="I316" s="64"/>
      <c r="J316" s="167">
        <f>SUM(J290:J315)</f>
        <v>150.5</v>
      </c>
      <c r="K316" s="277">
        <f>SUM(K290:K312)</f>
        <v>0</v>
      </c>
      <c r="L316" s="64"/>
      <c r="M316" s="64"/>
      <c r="N316" s="64"/>
      <c r="O316" s="167">
        <f>SUM(O290:O315)</f>
        <v>141.75</v>
      </c>
      <c r="P316" s="277">
        <f>SUM(P290:P314)</f>
        <v>0</v>
      </c>
      <c r="Q316" s="64"/>
      <c r="R316" s="64"/>
      <c r="S316" s="64"/>
      <c r="T316" s="167">
        <f>SUM(T290:T315)</f>
        <v>151.25</v>
      </c>
      <c r="U316" s="277">
        <f>SUM(U290:U314)</f>
        <v>0</v>
      </c>
      <c r="V316" s="64"/>
      <c r="W316" s="64"/>
      <c r="X316" s="64"/>
      <c r="Y316" s="167">
        <f>SUM(Y290:Y315)</f>
        <v>135.5</v>
      </c>
      <c r="Z316" s="277">
        <f>SUM(Z290:Z312)</f>
        <v>0</v>
      </c>
      <c r="AA316" s="370">
        <f>SUM(AA290:AA314)</f>
        <v>678.5</v>
      </c>
      <c r="AB316" s="289">
        <f>SUM(AB290:AB314)</f>
        <v>0</v>
      </c>
      <c r="AC316" s="4"/>
      <c r="AD316" s="64"/>
      <c r="AE316" s="64"/>
      <c r="AF316" s="64"/>
      <c r="AG316" s="370">
        <f>SUM(AG290:AG312)</f>
        <v>0</v>
      </c>
      <c r="AH316" s="4"/>
      <c r="AI316" s="255"/>
      <c r="AK316" s="193"/>
      <c r="AL316" s="193"/>
      <c r="AM316" s="193"/>
      <c r="AN316" s="193"/>
      <c r="AO316" s="193"/>
      <c r="AP316" s="193"/>
    </row>
    <row r="317" spans="2:42" s="180" customFormat="1">
      <c r="B317" s="63" t="s">
        <v>63</v>
      </c>
      <c r="C317" s="56"/>
      <c r="D317" s="56"/>
      <c r="E317" s="19">
        <v>8</v>
      </c>
      <c r="F317" s="291"/>
      <c r="G317" s="60"/>
      <c r="H317" s="56"/>
      <c r="I317" s="56"/>
      <c r="J317" s="19">
        <v>8</v>
      </c>
      <c r="K317" s="291"/>
      <c r="L317" s="60"/>
      <c r="M317" s="56"/>
      <c r="N317" s="56"/>
      <c r="O317" s="19">
        <v>8</v>
      </c>
      <c r="P317" s="19"/>
      <c r="Q317" s="60"/>
      <c r="R317" s="56"/>
      <c r="S317" s="56"/>
      <c r="T317" s="19">
        <v>8</v>
      </c>
      <c r="U317" s="19"/>
      <c r="V317" s="60"/>
      <c r="W317" s="56"/>
      <c r="X317" s="56"/>
      <c r="Y317" s="19">
        <v>8</v>
      </c>
      <c r="Z317" s="19"/>
      <c r="AA317" s="28">
        <f>SUM(E317+J317+O317+T317+Y317)</f>
        <v>40</v>
      </c>
      <c r="AB317" s="282">
        <f>Z317+U317+P317+K317+F317</f>
        <v>0</v>
      </c>
      <c r="AC317" s="4"/>
      <c r="AD317" s="56"/>
      <c r="AE317" s="56"/>
      <c r="AF317" s="19"/>
      <c r="AG317" s="29">
        <f>AF317</f>
        <v>0</v>
      </c>
      <c r="AH317" s="4"/>
      <c r="AI317" s="255"/>
      <c r="AK317" s="193"/>
      <c r="AL317" s="193"/>
      <c r="AM317" s="193"/>
      <c r="AN317" s="193"/>
      <c r="AO317" s="193"/>
      <c r="AP317" s="193"/>
    </row>
    <row r="318" spans="2:42" s="180" customFormat="1">
      <c r="B318" s="63" t="s">
        <v>64</v>
      </c>
      <c r="C318" s="56"/>
      <c r="D318" s="56"/>
      <c r="E318" s="19">
        <v>8</v>
      </c>
      <c r="F318" s="291"/>
      <c r="G318" s="60"/>
      <c r="H318" s="56"/>
      <c r="I318" s="56"/>
      <c r="J318" s="19">
        <v>8</v>
      </c>
      <c r="K318" s="291">
        <v>2.5</v>
      </c>
      <c r="L318" s="60"/>
      <c r="M318" s="56"/>
      <c r="N318" s="56"/>
      <c r="O318" s="19">
        <v>8</v>
      </c>
      <c r="P318" s="19">
        <v>1.25</v>
      </c>
      <c r="Q318" s="60"/>
      <c r="R318" s="56"/>
      <c r="S318" s="56"/>
      <c r="T318" s="19">
        <v>8</v>
      </c>
      <c r="U318" s="19">
        <v>2</v>
      </c>
      <c r="V318" s="60"/>
      <c r="W318" s="56"/>
      <c r="X318" s="56"/>
      <c r="Y318" s="19">
        <v>8</v>
      </c>
      <c r="Z318" s="19"/>
      <c r="AA318" s="28">
        <f>SUM(E318+J318+O318+T318+Y318)</f>
        <v>40</v>
      </c>
      <c r="AB318" s="282">
        <f>Z318+U318+P318+K318+F318</f>
        <v>5.75</v>
      </c>
      <c r="AC318" s="4"/>
      <c r="AD318" s="56"/>
      <c r="AE318" s="56"/>
      <c r="AF318" s="19"/>
      <c r="AG318" s="29">
        <f>AF318</f>
        <v>0</v>
      </c>
      <c r="AH318" s="4"/>
      <c r="AI318" s="255"/>
      <c r="AK318" s="193"/>
      <c r="AL318" s="193"/>
      <c r="AM318" s="193"/>
      <c r="AN318" s="193"/>
      <c r="AO318" s="193"/>
      <c r="AP318" s="193"/>
    </row>
    <row r="319" spans="2:42" s="180" customFormat="1" ht="14.25" thickBot="1">
      <c r="B319" s="268" t="s">
        <v>65</v>
      </c>
      <c r="C319" s="75"/>
      <c r="D319" s="75"/>
      <c r="E319" s="77">
        <v>1</v>
      </c>
      <c r="F319" s="292"/>
      <c r="G319" s="81"/>
      <c r="H319" s="75"/>
      <c r="I319" s="75"/>
      <c r="J319" s="77">
        <v>1</v>
      </c>
      <c r="K319" s="292"/>
      <c r="L319" s="81"/>
      <c r="M319" s="75"/>
      <c r="N319" s="75"/>
      <c r="O319" s="77">
        <v>1</v>
      </c>
      <c r="P319" s="77"/>
      <c r="Q319" s="81"/>
      <c r="R319" s="75"/>
      <c r="S319" s="75"/>
      <c r="T319" s="77">
        <v>1</v>
      </c>
      <c r="U319" s="77"/>
      <c r="V319" s="81"/>
      <c r="W319" s="75"/>
      <c r="X319" s="75"/>
      <c r="Y319" s="77">
        <v>1</v>
      </c>
      <c r="Z319" s="77"/>
      <c r="AA319" s="80">
        <f>SUM(E319+J319+O319+T319+Y319)</f>
        <v>5</v>
      </c>
      <c r="AB319" s="294">
        <f>Z319+U319+P319+K319+F319</f>
        <v>0</v>
      </c>
      <c r="AC319" s="4"/>
      <c r="AD319" s="75"/>
      <c r="AE319" s="75"/>
      <c r="AF319" s="77"/>
      <c r="AG319" s="276">
        <v>0</v>
      </c>
      <c r="AH319" s="4"/>
      <c r="AI319" s="255"/>
      <c r="AK319" s="193"/>
      <c r="AL319" s="193"/>
      <c r="AM319" s="193"/>
      <c r="AN319" s="193"/>
      <c r="AO319" s="193"/>
      <c r="AP319" s="193"/>
    </row>
    <row r="320" spans="2:42" s="180" customFormat="1" ht="14.25" thickTop="1">
      <c r="B320" s="71" t="s">
        <v>66</v>
      </c>
      <c r="C320" s="371"/>
      <c r="D320" s="371"/>
      <c r="E320" s="71">
        <f>SUM(E317:E319)</f>
        <v>17</v>
      </c>
      <c r="F320" s="372"/>
      <c r="G320" s="372"/>
      <c r="H320" s="371"/>
      <c r="I320" s="371"/>
      <c r="J320" s="71">
        <v>8</v>
      </c>
      <c r="K320" s="372"/>
      <c r="L320" s="372"/>
      <c r="M320" s="371"/>
      <c r="N320" s="371"/>
      <c r="O320" s="71">
        <f>SUM(O317:O319)</f>
        <v>17</v>
      </c>
      <c r="P320" s="372"/>
      <c r="Q320" s="372"/>
      <c r="R320" s="371"/>
      <c r="S320" s="371"/>
      <c r="T320" s="71">
        <f>SUM(T317:T319)</f>
        <v>17</v>
      </c>
      <c r="U320" s="372"/>
      <c r="V320" s="372"/>
      <c r="W320" s="371"/>
      <c r="X320" s="371"/>
      <c r="Y320" s="66">
        <f>SUM(Y317:Y319)</f>
        <v>17</v>
      </c>
      <c r="Z320" s="372"/>
      <c r="AA320" s="370">
        <f>SUM(AA317:AA319)</f>
        <v>85</v>
      </c>
      <c r="AB320" s="370">
        <f>SUM(AB317:AB319)</f>
        <v>5.75</v>
      </c>
      <c r="AC320" s="4"/>
      <c r="AG320" s="370">
        <f>SUM(AG318:AG319)</f>
        <v>0</v>
      </c>
      <c r="AH320" s="4"/>
      <c r="AI320" s="255"/>
      <c r="AK320" s="193"/>
      <c r="AL320" s="193"/>
      <c r="AM320" s="193"/>
      <c r="AN320" s="193"/>
      <c r="AO320" s="193"/>
      <c r="AP320" s="193"/>
    </row>
    <row r="321" spans="1:42" s="180" customFormat="1">
      <c r="B321" s="217" t="s">
        <v>67</v>
      </c>
      <c r="C321" s="207">
        <f>C322+C323</f>
        <v>57</v>
      </c>
      <c r="D321" s="207"/>
      <c r="E321" s="209"/>
      <c r="F321" s="209"/>
      <c r="G321" s="207"/>
      <c r="H321" s="209"/>
      <c r="I321" s="209"/>
      <c r="J321" s="209"/>
      <c r="K321" s="209"/>
      <c r="L321" s="207"/>
      <c r="M321" s="207"/>
      <c r="N321" s="207"/>
      <c r="O321" s="207"/>
      <c r="P321" s="209"/>
      <c r="Q321" s="207"/>
      <c r="R321" s="207"/>
      <c r="S321" s="207"/>
      <c r="T321" s="207"/>
      <c r="U321" s="209"/>
      <c r="V321" s="207"/>
      <c r="W321" s="207"/>
      <c r="X321" s="207"/>
      <c r="Y321" s="210"/>
      <c r="Z321" s="209"/>
      <c r="AA321" s="211"/>
      <c r="AB321" s="209"/>
      <c r="AC321" s="211"/>
      <c r="AD321" s="211"/>
      <c r="AE321" s="211"/>
      <c r="AF321" s="211"/>
      <c r="AG321" s="211"/>
      <c r="AH321" s="4"/>
      <c r="AI321" s="255"/>
      <c r="AK321" s="193"/>
      <c r="AL321" s="193"/>
      <c r="AM321" s="193"/>
      <c r="AN321" s="193"/>
      <c r="AO321" s="193"/>
      <c r="AP321" s="193"/>
    </row>
    <row r="322" spans="1:42" s="180" customFormat="1">
      <c r="B322" s="238" t="s">
        <v>68</v>
      </c>
      <c r="C322" s="239">
        <f>10+13+11</f>
        <v>34</v>
      </c>
      <c r="D322" s="207"/>
      <c r="E322" s="209"/>
      <c r="F322" s="209"/>
      <c r="G322" s="207"/>
      <c r="H322" s="209"/>
      <c r="I322" s="209"/>
      <c r="J322" s="209"/>
      <c r="K322" s="209"/>
      <c r="L322" s="207"/>
      <c r="M322" s="207"/>
      <c r="N322" s="207"/>
      <c r="O322" s="207"/>
      <c r="P322" s="209"/>
      <c r="Q322" s="207"/>
      <c r="R322" s="207"/>
      <c r="S322" s="207"/>
      <c r="T322" s="207"/>
      <c r="U322" s="209"/>
      <c r="V322" s="207"/>
      <c r="W322" s="207"/>
      <c r="X322" s="207"/>
      <c r="Y322" s="210"/>
      <c r="Z322" s="209"/>
      <c r="AA322" s="211"/>
      <c r="AB322" s="209"/>
      <c r="AC322" s="211"/>
      <c r="AD322" s="211"/>
      <c r="AE322" s="211"/>
      <c r="AF322" s="211"/>
      <c r="AG322" s="211"/>
      <c r="AH322" s="4"/>
      <c r="AI322" s="255"/>
      <c r="AK322" s="193"/>
      <c r="AL322" s="193"/>
      <c r="AM322" s="193"/>
      <c r="AN322" s="193"/>
      <c r="AO322" s="193"/>
      <c r="AP322" s="193"/>
    </row>
    <row r="323" spans="1:42" s="180" customFormat="1">
      <c r="A323" s="11"/>
      <c r="B323" s="238" t="s">
        <v>69</v>
      </c>
      <c r="C323" s="239">
        <f>7+7+9</f>
        <v>23</v>
      </c>
      <c r="D323" s="207"/>
      <c r="E323" s="209"/>
      <c r="F323" s="209"/>
      <c r="G323" s="207"/>
      <c r="H323" s="209"/>
      <c r="I323" s="209"/>
      <c r="J323" s="209"/>
      <c r="K323" s="209"/>
      <c r="L323" s="207"/>
      <c r="M323" s="207"/>
      <c r="N323" s="207"/>
      <c r="O323" s="207"/>
      <c r="P323" s="209"/>
      <c r="Q323" s="207"/>
      <c r="R323" s="207"/>
      <c r="S323" s="207"/>
      <c r="T323" s="207"/>
      <c r="U323" s="209"/>
      <c r="V323" s="207"/>
      <c r="W323" s="207"/>
      <c r="X323" s="207"/>
      <c r="Y323" s="210"/>
      <c r="Z323" s="209"/>
      <c r="AA323" s="211"/>
      <c r="AB323" s="209"/>
      <c r="AC323" s="211"/>
      <c r="AD323" s="211"/>
      <c r="AE323" s="211"/>
      <c r="AF323" s="211"/>
      <c r="AG323" s="211"/>
      <c r="AH323" s="4"/>
      <c r="AI323" s="255"/>
      <c r="AK323" s="193"/>
      <c r="AL323" s="193"/>
      <c r="AM323" s="193"/>
      <c r="AN323" s="193"/>
      <c r="AO323" s="193"/>
      <c r="AP323" s="193"/>
    </row>
    <row r="324" spans="1:42" s="180" customFormat="1">
      <c r="E324" s="4"/>
      <c r="F324" s="4"/>
      <c r="G324" s="4"/>
      <c r="J324" s="4"/>
      <c r="K324" s="4"/>
      <c r="L324" s="4"/>
      <c r="O324" s="4"/>
      <c r="P324" s="4"/>
      <c r="Q324" s="4"/>
      <c r="T324" s="4"/>
      <c r="U324" s="4"/>
      <c r="V324" s="4"/>
      <c r="Y324" s="4"/>
      <c r="Z324" s="4"/>
      <c r="AA324" s="4"/>
      <c r="AB324" s="4"/>
      <c r="AC324" s="4"/>
      <c r="AH324" s="4"/>
    </row>
    <row r="325" spans="1:42" s="255" customFormat="1">
      <c r="A325" s="228"/>
      <c r="B325" s="229"/>
      <c r="C325" s="230"/>
      <c r="D325" s="230"/>
      <c r="E325" s="232"/>
      <c r="F325" s="232"/>
      <c r="G325" s="230"/>
      <c r="H325" s="232"/>
      <c r="I325" s="232"/>
      <c r="J325" s="232"/>
      <c r="K325" s="232"/>
      <c r="L325" s="230"/>
      <c r="M325" s="230"/>
      <c r="N325" s="230"/>
      <c r="O325" s="230"/>
      <c r="P325" s="232"/>
      <c r="Q325" s="230"/>
      <c r="R325" s="230"/>
      <c r="S325" s="230"/>
      <c r="T325" s="230"/>
      <c r="U325" s="232"/>
      <c r="V325" s="230"/>
      <c r="W325" s="230"/>
      <c r="X325" s="230"/>
      <c r="Y325" s="233"/>
      <c r="Z325" s="232"/>
      <c r="AA325" s="234"/>
      <c r="AB325" s="232"/>
      <c r="AC325" s="373"/>
      <c r="AD325" s="236"/>
      <c r="AH325" s="373"/>
    </row>
    <row r="326" spans="1:42" s="193" customFormat="1">
      <c r="A326" s="224"/>
      <c r="B326" s="214"/>
      <c r="C326" s="364"/>
      <c r="D326" s="364"/>
      <c r="E326" s="214"/>
      <c r="F326" s="214"/>
      <c r="G326" s="364"/>
      <c r="H326" s="214"/>
      <c r="I326" s="214"/>
      <c r="J326" s="214"/>
      <c r="K326" s="214"/>
      <c r="L326" s="364"/>
      <c r="M326" s="364"/>
      <c r="N326" s="364"/>
      <c r="O326" s="364"/>
      <c r="P326" s="214"/>
      <c r="Q326" s="364"/>
      <c r="R326" s="364"/>
      <c r="S326" s="364"/>
      <c r="T326" s="364"/>
      <c r="U326" s="214"/>
      <c r="V326" s="364"/>
      <c r="W326" s="364"/>
      <c r="X326" s="364"/>
      <c r="Y326" s="216"/>
      <c r="Z326" s="214"/>
      <c r="AA326" s="225"/>
      <c r="AB326" s="214"/>
      <c r="AC326" s="189"/>
      <c r="AH326" s="4"/>
      <c r="AI326" s="255"/>
      <c r="AJ326" s="180"/>
    </row>
    <row r="327" spans="1:42" s="180" customFormat="1">
      <c r="B327" s="1518" t="s">
        <v>18</v>
      </c>
      <c r="C327" s="1519">
        <v>45229</v>
      </c>
      <c r="D327" s="1519"/>
      <c r="E327" s="1519"/>
      <c r="F327" s="1519"/>
      <c r="G327" s="365"/>
      <c r="H327" s="1519">
        <v>45230</v>
      </c>
      <c r="I327" s="1519"/>
      <c r="J327" s="1519"/>
      <c r="K327" s="1519"/>
      <c r="L327" s="365"/>
      <c r="M327" s="1519">
        <v>45231</v>
      </c>
      <c r="N327" s="1519"/>
      <c r="O327" s="1519"/>
      <c r="P327" s="1519"/>
      <c r="Q327" s="365"/>
      <c r="R327" s="1519">
        <v>45232</v>
      </c>
      <c r="S327" s="1519"/>
      <c r="T327" s="1519"/>
      <c r="U327" s="1519"/>
      <c r="V327" s="365"/>
      <c r="W327" s="1519">
        <v>45233</v>
      </c>
      <c r="X327" s="1519"/>
      <c r="Y327" s="1519"/>
      <c r="Z327" s="1519"/>
      <c r="AA327" s="1517" t="s">
        <v>19</v>
      </c>
      <c r="AB327" s="1517" t="s">
        <v>20</v>
      </c>
      <c r="AC327" s="4"/>
      <c r="AD327" s="1519">
        <v>45234</v>
      </c>
      <c r="AE327" s="1519"/>
      <c r="AF327" s="1519"/>
      <c r="AG327" s="1517" t="s">
        <v>21</v>
      </c>
      <c r="AH327" s="4"/>
      <c r="AI327" s="255"/>
      <c r="AK327" s="194" t="s">
        <v>84</v>
      </c>
      <c r="AL327" s="366"/>
      <c r="AM327" s="366"/>
      <c r="AN327" s="366"/>
      <c r="AO327" s="366"/>
      <c r="AP327" s="366"/>
    </row>
    <row r="328" spans="1:42" s="367" customFormat="1">
      <c r="B328" s="1518"/>
      <c r="C328" s="21" t="s">
        <v>23</v>
      </c>
      <c r="D328" s="21" t="s">
        <v>24</v>
      </c>
      <c r="E328" s="205" t="s">
        <v>25</v>
      </c>
      <c r="F328" s="18" t="s">
        <v>14</v>
      </c>
      <c r="G328" s="4"/>
      <c r="H328" s="21" t="s">
        <v>23</v>
      </c>
      <c r="I328" s="21" t="s">
        <v>24</v>
      </c>
      <c r="J328" s="18" t="s">
        <v>25</v>
      </c>
      <c r="K328" s="18" t="s">
        <v>14</v>
      </c>
      <c r="L328" s="4"/>
      <c r="M328" s="21" t="s">
        <v>23</v>
      </c>
      <c r="N328" s="21" t="s">
        <v>24</v>
      </c>
      <c r="O328" s="18" t="s">
        <v>25</v>
      </c>
      <c r="P328" s="18" t="s">
        <v>14</v>
      </c>
      <c r="Q328" s="4"/>
      <c r="R328" s="21" t="s">
        <v>23</v>
      </c>
      <c r="S328" s="21" t="s">
        <v>24</v>
      </c>
      <c r="T328" s="18" t="s">
        <v>25</v>
      </c>
      <c r="U328" s="18" t="s">
        <v>14</v>
      </c>
      <c r="V328" s="4"/>
      <c r="W328" s="21" t="s">
        <v>23</v>
      </c>
      <c r="X328" s="21" t="s">
        <v>24</v>
      </c>
      <c r="Y328" s="18" t="s">
        <v>25</v>
      </c>
      <c r="Z328" s="18" t="s">
        <v>14</v>
      </c>
      <c r="AA328" s="1517"/>
      <c r="AB328" s="1517"/>
      <c r="AC328" s="4"/>
      <c r="AD328" s="21" t="s">
        <v>23</v>
      </c>
      <c r="AE328" s="21" t="s">
        <v>24</v>
      </c>
      <c r="AF328" s="18" t="s">
        <v>25</v>
      </c>
      <c r="AG328" s="1517"/>
      <c r="AH328" s="175"/>
      <c r="AI328" s="368"/>
      <c r="AK328" s="188" t="s">
        <v>26</v>
      </c>
      <c r="AL328" s="196">
        <f>AA355</f>
        <v>16</v>
      </c>
      <c r="AM328" s="193"/>
      <c r="AN328" s="193"/>
      <c r="AO328" s="193"/>
      <c r="AP328" s="193"/>
    </row>
    <row r="329" spans="1:42" s="367" customFormat="1">
      <c r="B329" s="171" t="s">
        <v>33</v>
      </c>
      <c r="C329" s="377">
        <v>0.38541666666666669</v>
      </c>
      <c r="D329" s="172">
        <v>0.20833333333333334</v>
      </c>
      <c r="E329" s="173">
        <v>6.75</v>
      </c>
      <c r="F329" s="277"/>
      <c r="G329" s="175"/>
      <c r="H329" s="172">
        <v>0.33333333333333331</v>
      </c>
      <c r="I329" s="172">
        <v>0.20833333333333334</v>
      </c>
      <c r="J329" s="173">
        <v>8</v>
      </c>
      <c r="K329" s="277"/>
      <c r="L329" s="175"/>
      <c r="M329" s="172">
        <v>0.34375</v>
      </c>
      <c r="N329" s="172">
        <v>0.20833333333333334</v>
      </c>
      <c r="O329" s="173">
        <v>7.75</v>
      </c>
      <c r="P329" s="277"/>
      <c r="Q329" s="175"/>
      <c r="R329" s="47">
        <v>0.38541666666666669</v>
      </c>
      <c r="S329" s="47">
        <v>0.20833333333333334</v>
      </c>
      <c r="T329" s="173">
        <v>6.75</v>
      </c>
      <c r="U329" s="277"/>
      <c r="V329" s="175"/>
      <c r="W329" s="172">
        <v>0.33333333333333331</v>
      </c>
      <c r="X329" s="172">
        <v>0.20833333333333334</v>
      </c>
      <c r="Y329" s="173">
        <v>8</v>
      </c>
      <c r="Z329" s="277"/>
      <c r="AA329" s="28">
        <f t="shared" ref="AA329:AA351" si="38">(E329+J329+O329+T329+Y329)</f>
        <v>37.25</v>
      </c>
      <c r="AB329" s="298">
        <f t="shared" ref="AB329:AB353" si="39">Z329+U329+P329+K329+F329</f>
        <v>0</v>
      </c>
      <c r="AC329" s="175"/>
      <c r="AD329" s="175">
        <v>0</v>
      </c>
      <c r="AE329" s="175">
        <v>0</v>
      </c>
      <c r="AF329" s="173">
        <v>0</v>
      </c>
      <c r="AG329" s="28">
        <f t="shared" ref="AG329:AG351" si="40">AF329</f>
        <v>0</v>
      </c>
      <c r="AH329" s="175"/>
      <c r="AI329" s="368"/>
      <c r="AK329" s="188" t="s">
        <v>30</v>
      </c>
      <c r="AL329" s="196">
        <f>AB354</f>
        <v>0</v>
      </c>
      <c r="AM329" s="193"/>
      <c r="AN329" s="193"/>
      <c r="AO329" s="193"/>
      <c r="AP329" s="193"/>
    </row>
    <row r="330" spans="1:42" s="367" customFormat="1">
      <c r="B330" s="171" t="s">
        <v>58</v>
      </c>
      <c r="C330" s="172">
        <v>0.375</v>
      </c>
      <c r="D330" s="172">
        <v>0.20833333333333334</v>
      </c>
      <c r="E330" s="173">
        <v>7</v>
      </c>
      <c r="F330" s="277"/>
      <c r="G330" s="4"/>
      <c r="H330" s="172">
        <v>0.35416666666666669</v>
      </c>
      <c r="I330" s="172">
        <v>0.20833333333333334</v>
      </c>
      <c r="J330" s="173">
        <v>7.5</v>
      </c>
      <c r="K330" s="277"/>
      <c r="L330" s="4"/>
      <c r="M330" s="172">
        <v>0.375</v>
      </c>
      <c r="N330" s="172">
        <v>0.20833333333333334</v>
      </c>
      <c r="O330" s="173">
        <v>7</v>
      </c>
      <c r="P330" s="277"/>
      <c r="Q330" s="4"/>
      <c r="R330" s="12" t="s">
        <v>29</v>
      </c>
      <c r="S330" s="12" t="s">
        <v>29</v>
      </c>
      <c r="T330" s="173"/>
      <c r="U330" s="277"/>
      <c r="V330" s="4"/>
      <c r="W330" s="12" t="s">
        <v>29</v>
      </c>
      <c r="X330" s="12" t="s">
        <v>29</v>
      </c>
      <c r="Y330" s="173"/>
      <c r="Z330" s="277"/>
      <c r="AA330" s="28">
        <f t="shared" si="38"/>
        <v>21.5</v>
      </c>
      <c r="AB330" s="298">
        <f t="shared" si="39"/>
        <v>0</v>
      </c>
      <c r="AC330" s="4"/>
      <c r="AD330" s="175">
        <v>0</v>
      </c>
      <c r="AE330" s="175">
        <v>0</v>
      </c>
      <c r="AF330" s="173">
        <v>0</v>
      </c>
      <c r="AG330" s="28">
        <f t="shared" si="40"/>
        <v>0</v>
      </c>
      <c r="AH330" s="175"/>
      <c r="AI330" s="368"/>
      <c r="AK330" s="188" t="s">
        <v>32</v>
      </c>
      <c r="AL330" s="196">
        <f>AG354</f>
        <v>0</v>
      </c>
      <c r="AM330" s="193"/>
      <c r="AN330" s="193"/>
      <c r="AO330" s="193"/>
      <c r="AP330" s="193"/>
    </row>
    <row r="331" spans="1:42" s="367" customFormat="1">
      <c r="B331" s="171" t="s">
        <v>72</v>
      </c>
      <c r="C331" s="172">
        <v>0.375</v>
      </c>
      <c r="D331" s="172">
        <v>0.20833333333333334</v>
      </c>
      <c r="E331" s="173">
        <v>7</v>
      </c>
      <c r="F331" s="277"/>
      <c r="G331" s="4"/>
      <c r="H331" s="172">
        <v>0.34375</v>
      </c>
      <c r="I331" s="172">
        <v>0.20833333333333334</v>
      </c>
      <c r="J331" s="173">
        <v>7.75</v>
      </c>
      <c r="K331" s="277"/>
      <c r="L331" s="4"/>
      <c r="M331" s="172">
        <v>0.36458333333333331</v>
      </c>
      <c r="N331" s="172">
        <v>0.20833333333333334</v>
      </c>
      <c r="O331" s="173">
        <v>7.25</v>
      </c>
      <c r="P331" s="277"/>
      <c r="Q331" s="4"/>
      <c r="R331" s="12" t="s">
        <v>29</v>
      </c>
      <c r="S331" s="12" t="s">
        <v>29</v>
      </c>
      <c r="T331" s="173"/>
      <c r="U331" s="277"/>
      <c r="V331" s="4"/>
      <c r="W331" s="12" t="s">
        <v>29</v>
      </c>
      <c r="X331" s="12" t="s">
        <v>29</v>
      </c>
      <c r="Y331" s="173"/>
      <c r="Z331" s="277"/>
      <c r="AA331" s="28">
        <f t="shared" si="38"/>
        <v>22</v>
      </c>
      <c r="AB331" s="298">
        <f t="shared" si="39"/>
        <v>0</v>
      </c>
      <c r="AC331" s="4"/>
      <c r="AD331" s="175">
        <v>0</v>
      </c>
      <c r="AE331" s="175">
        <v>0</v>
      </c>
      <c r="AF331" s="173">
        <v>0</v>
      </c>
      <c r="AG331" s="28">
        <f t="shared" si="40"/>
        <v>0</v>
      </c>
      <c r="AH331" s="175"/>
      <c r="AI331" s="368"/>
      <c r="AK331" s="188" t="s">
        <v>34</v>
      </c>
      <c r="AL331" s="196">
        <f>AA358</f>
        <v>61</v>
      </c>
      <c r="AM331" s="193"/>
      <c r="AN331" s="193"/>
      <c r="AO331" s="193"/>
      <c r="AP331" s="193"/>
    </row>
    <row r="332" spans="1:42" s="180" customFormat="1">
      <c r="B332" s="171" t="s">
        <v>71</v>
      </c>
      <c r="C332" s="12" t="s">
        <v>29</v>
      </c>
      <c r="D332" s="12" t="s">
        <v>29</v>
      </c>
      <c r="E332" s="173">
        <v>8</v>
      </c>
      <c r="F332" s="277"/>
      <c r="G332" s="4"/>
      <c r="H332" s="172">
        <v>0.35416666666666669</v>
      </c>
      <c r="I332" s="172">
        <v>0.20833333333333334</v>
      </c>
      <c r="J332" s="173">
        <v>7.5</v>
      </c>
      <c r="K332" s="277"/>
      <c r="L332" s="4"/>
      <c r="M332" s="175">
        <v>0</v>
      </c>
      <c r="N332" s="175">
        <v>0</v>
      </c>
      <c r="O332" s="173">
        <v>0</v>
      </c>
      <c r="P332" s="277"/>
      <c r="Q332" s="4"/>
      <c r="R332" s="175">
        <v>0</v>
      </c>
      <c r="S332" s="175">
        <v>0</v>
      </c>
      <c r="T332" s="173">
        <v>0</v>
      </c>
      <c r="U332" s="277"/>
      <c r="V332" s="4"/>
      <c r="W332" s="172">
        <v>0.33333333333333331</v>
      </c>
      <c r="X332" s="172">
        <v>0.20833333333333334</v>
      </c>
      <c r="Y332" s="173">
        <v>8</v>
      </c>
      <c r="Z332" s="277"/>
      <c r="AA332" s="28">
        <f t="shared" si="38"/>
        <v>23.5</v>
      </c>
      <c r="AB332" s="298">
        <f t="shared" si="39"/>
        <v>0</v>
      </c>
      <c r="AC332" s="4"/>
      <c r="AD332" s="175">
        <v>0</v>
      </c>
      <c r="AE332" s="175">
        <v>0</v>
      </c>
      <c r="AF332" s="173">
        <v>0</v>
      </c>
      <c r="AG332" s="28">
        <f t="shared" si="40"/>
        <v>0</v>
      </c>
      <c r="AH332" s="4"/>
      <c r="AI332" s="255"/>
      <c r="AK332" s="188" t="s">
        <v>36</v>
      </c>
      <c r="AL332" s="196">
        <f>AB358</f>
        <v>10.5</v>
      </c>
      <c r="AM332" s="193"/>
      <c r="AN332" s="193"/>
      <c r="AO332" s="193"/>
      <c r="AP332" s="193"/>
    </row>
    <row r="333" spans="1:42" s="367" customFormat="1">
      <c r="B333" s="13" t="s">
        <v>35</v>
      </c>
      <c r="C333" s="12" t="s">
        <v>29</v>
      </c>
      <c r="D333" s="12" t="s">
        <v>29</v>
      </c>
      <c r="E333" s="319">
        <v>0</v>
      </c>
      <c r="F333" s="277"/>
      <c r="G333" s="175"/>
      <c r="H333" s="47" t="s">
        <v>82</v>
      </c>
      <c r="I333" s="47">
        <v>0.20833333333333334</v>
      </c>
      <c r="J333" s="319">
        <v>5.75</v>
      </c>
      <c r="K333" s="277"/>
      <c r="L333" s="175"/>
      <c r="M333" s="47">
        <v>0.34722222222222227</v>
      </c>
      <c r="N333" s="47">
        <v>0</v>
      </c>
      <c r="O333" s="319">
        <v>0</v>
      </c>
      <c r="P333" s="277"/>
      <c r="Q333" s="175"/>
      <c r="R333" s="47">
        <v>0</v>
      </c>
      <c r="S333" s="47">
        <v>0</v>
      </c>
      <c r="T333" s="319">
        <v>0</v>
      </c>
      <c r="U333" s="277"/>
      <c r="V333" s="175"/>
      <c r="W333" s="12" t="s">
        <v>29</v>
      </c>
      <c r="X333" s="12" t="s">
        <v>29</v>
      </c>
      <c r="Y333" s="319"/>
      <c r="Z333" s="277"/>
      <c r="AA333" s="344">
        <f t="shared" si="38"/>
        <v>5.75</v>
      </c>
      <c r="AB333" s="298">
        <f t="shared" si="39"/>
        <v>0</v>
      </c>
      <c r="AC333" s="175"/>
      <c r="AD333" s="345">
        <v>0</v>
      </c>
      <c r="AE333" s="345">
        <v>0</v>
      </c>
      <c r="AF333" s="346">
        <v>0</v>
      </c>
      <c r="AG333" s="344">
        <f t="shared" si="40"/>
        <v>0</v>
      </c>
      <c r="AH333" s="175"/>
      <c r="AI333" s="368"/>
      <c r="AK333" s="188" t="s">
        <v>38</v>
      </c>
      <c r="AL333" s="196">
        <f>AG358</f>
        <v>9.5</v>
      </c>
      <c r="AM333" s="193"/>
      <c r="AN333" s="193"/>
      <c r="AO333" s="193"/>
      <c r="AP333" s="193"/>
    </row>
    <row r="334" spans="1:42" s="180" customFormat="1">
      <c r="B334" s="13" t="s">
        <v>37</v>
      </c>
      <c r="C334" s="12" t="s">
        <v>29</v>
      </c>
      <c r="D334" s="12" t="s">
        <v>29</v>
      </c>
      <c r="E334" s="319">
        <v>4</v>
      </c>
      <c r="F334" s="277"/>
      <c r="G334" s="175"/>
      <c r="H334" s="47">
        <v>0.34375</v>
      </c>
      <c r="I334" s="47">
        <v>0.20833333333333334</v>
      </c>
      <c r="J334" s="319">
        <v>7.75</v>
      </c>
      <c r="K334" s="277"/>
      <c r="L334" s="175"/>
      <c r="M334" s="47">
        <v>0.33333333333333331</v>
      </c>
      <c r="N334" s="47">
        <v>0.20833333333333334</v>
      </c>
      <c r="O334" s="319">
        <v>7.5</v>
      </c>
      <c r="P334" s="277"/>
      <c r="Q334" s="175"/>
      <c r="R334" s="47">
        <v>0.33333333333333331</v>
      </c>
      <c r="S334" s="47">
        <v>0.20833333333333334</v>
      </c>
      <c r="T334" s="319">
        <v>8</v>
      </c>
      <c r="U334" s="277"/>
      <c r="V334" s="175"/>
      <c r="W334" s="47">
        <v>0</v>
      </c>
      <c r="X334" s="47">
        <v>0</v>
      </c>
      <c r="Y334" s="319">
        <v>0</v>
      </c>
      <c r="Z334" s="277"/>
      <c r="AA334" s="344">
        <f t="shared" si="38"/>
        <v>27.25</v>
      </c>
      <c r="AB334" s="298">
        <f t="shared" si="39"/>
        <v>0</v>
      </c>
      <c r="AC334" s="175"/>
      <c r="AD334" s="345">
        <v>0</v>
      </c>
      <c r="AE334" s="345">
        <v>0</v>
      </c>
      <c r="AF334" s="346">
        <v>0</v>
      </c>
      <c r="AG334" s="344">
        <f t="shared" si="40"/>
        <v>0</v>
      </c>
      <c r="AH334" s="4"/>
      <c r="AI334" s="255"/>
      <c r="AK334" s="188" t="s">
        <v>41</v>
      </c>
      <c r="AL334" s="196">
        <f>C359</f>
        <v>52</v>
      </c>
      <c r="AM334" s="369"/>
      <c r="AN334" s="369"/>
      <c r="AO334" s="369"/>
      <c r="AP334" s="369"/>
    </row>
    <row r="335" spans="1:42" s="180" customFormat="1">
      <c r="B335" s="13" t="s">
        <v>39</v>
      </c>
      <c r="C335" s="12" t="s">
        <v>29</v>
      </c>
      <c r="D335" s="12" t="s">
        <v>29</v>
      </c>
      <c r="E335" s="19">
        <v>8</v>
      </c>
      <c r="F335" s="277"/>
      <c r="G335" s="4"/>
      <c r="H335" s="47" t="s">
        <v>29</v>
      </c>
      <c r="I335" s="47" t="s">
        <v>29</v>
      </c>
      <c r="J335" s="319">
        <v>8</v>
      </c>
      <c r="K335" s="277"/>
      <c r="L335" s="4"/>
      <c r="M335" s="12" t="s">
        <v>29</v>
      </c>
      <c r="N335" s="12" t="s">
        <v>29</v>
      </c>
      <c r="O335" s="319">
        <v>8</v>
      </c>
      <c r="P335" s="277"/>
      <c r="Q335" s="4"/>
      <c r="R335" s="12" t="s">
        <v>29</v>
      </c>
      <c r="S335" s="12" t="s">
        <v>29</v>
      </c>
      <c r="T335" s="319"/>
      <c r="U335" s="277"/>
      <c r="V335" s="4"/>
      <c r="W335" s="12" t="s">
        <v>29</v>
      </c>
      <c r="X335" s="12" t="s">
        <v>29</v>
      </c>
      <c r="Y335" s="319"/>
      <c r="Z335" s="277"/>
      <c r="AA335" s="29">
        <f t="shared" si="38"/>
        <v>24</v>
      </c>
      <c r="AB335" s="298">
        <f t="shared" si="39"/>
        <v>0</v>
      </c>
      <c r="AC335" s="4"/>
      <c r="AD335" s="4">
        <v>0</v>
      </c>
      <c r="AE335" s="4">
        <v>0</v>
      </c>
      <c r="AF335" s="19">
        <v>0</v>
      </c>
      <c r="AG335" s="29">
        <f t="shared" si="40"/>
        <v>0</v>
      </c>
      <c r="AH335" s="4"/>
      <c r="AI335" s="255"/>
      <c r="AK335" s="193"/>
      <c r="AL335" s="193"/>
      <c r="AM335" s="193"/>
      <c r="AN335" s="193"/>
      <c r="AO335" s="193"/>
      <c r="AP335" s="193"/>
    </row>
    <row r="336" spans="1:42" s="180" customFormat="1">
      <c r="B336" s="164" t="s">
        <v>40</v>
      </c>
      <c r="C336" s="12" t="s">
        <v>29</v>
      </c>
      <c r="D336" s="12" t="s">
        <v>29</v>
      </c>
      <c r="E336" s="19">
        <v>4</v>
      </c>
      <c r="F336" s="277"/>
      <c r="G336" s="4"/>
      <c r="H336" s="47">
        <v>0</v>
      </c>
      <c r="I336" s="47">
        <v>0</v>
      </c>
      <c r="J336" s="319">
        <v>0</v>
      </c>
      <c r="K336" s="277"/>
      <c r="L336" s="4"/>
      <c r="M336" s="12" t="s">
        <v>29</v>
      </c>
      <c r="N336" s="12" t="s">
        <v>29</v>
      </c>
      <c r="O336" s="319">
        <v>8</v>
      </c>
      <c r="P336" s="277"/>
      <c r="Q336" s="4"/>
      <c r="R336" s="12" t="s">
        <v>29</v>
      </c>
      <c r="S336" s="12" t="s">
        <v>29</v>
      </c>
      <c r="T336" s="319"/>
      <c r="U336" s="277"/>
      <c r="V336" s="4"/>
      <c r="W336" s="12" t="s">
        <v>29</v>
      </c>
      <c r="X336" s="12" t="s">
        <v>29</v>
      </c>
      <c r="Y336" s="319"/>
      <c r="Z336" s="277"/>
      <c r="AA336" s="29">
        <f t="shared" si="38"/>
        <v>12</v>
      </c>
      <c r="AB336" s="298">
        <f t="shared" si="39"/>
        <v>0</v>
      </c>
      <c r="AC336" s="4"/>
      <c r="AD336" s="4">
        <v>0</v>
      </c>
      <c r="AE336" s="4">
        <v>0</v>
      </c>
      <c r="AF336" s="19">
        <v>0</v>
      </c>
      <c r="AG336" s="29">
        <f t="shared" si="40"/>
        <v>0</v>
      </c>
      <c r="AH336" s="4"/>
      <c r="AI336" s="255"/>
      <c r="AK336" s="193"/>
      <c r="AL336" s="193"/>
      <c r="AM336" s="193"/>
      <c r="AN336" s="193"/>
      <c r="AO336" s="193"/>
      <c r="AP336" s="193"/>
    </row>
    <row r="337" spans="2:42" s="180" customFormat="1">
      <c r="B337" s="164" t="s">
        <v>42</v>
      </c>
      <c r="C337" s="12" t="s">
        <v>29</v>
      </c>
      <c r="D337" s="12" t="s">
        <v>29</v>
      </c>
      <c r="E337" s="19">
        <v>4</v>
      </c>
      <c r="F337" s="277"/>
      <c r="G337" s="4"/>
      <c r="H337" s="47">
        <v>0.35416666666666669</v>
      </c>
      <c r="I337" s="47">
        <v>0.20833333333333334</v>
      </c>
      <c r="J337" s="319">
        <v>7.5</v>
      </c>
      <c r="K337" s="277"/>
      <c r="L337" s="4"/>
      <c r="M337" s="12" t="s">
        <v>29</v>
      </c>
      <c r="N337" s="12" t="s">
        <v>29</v>
      </c>
      <c r="O337" s="319">
        <v>8</v>
      </c>
      <c r="P337" s="277"/>
      <c r="Q337" s="4"/>
      <c r="R337" s="12" t="s">
        <v>29</v>
      </c>
      <c r="S337" s="12" t="s">
        <v>29</v>
      </c>
      <c r="T337" s="319">
        <v>8</v>
      </c>
      <c r="U337" s="277"/>
      <c r="V337" s="4"/>
      <c r="W337" s="12" t="s">
        <v>29</v>
      </c>
      <c r="X337" s="12" t="s">
        <v>29</v>
      </c>
      <c r="Y337" s="319"/>
      <c r="Z337" s="277"/>
      <c r="AA337" s="29">
        <f t="shared" si="38"/>
        <v>27.5</v>
      </c>
      <c r="AB337" s="298">
        <f t="shared" si="39"/>
        <v>0</v>
      </c>
      <c r="AC337" s="4"/>
      <c r="AD337" s="4">
        <v>0</v>
      </c>
      <c r="AE337" s="4">
        <v>0</v>
      </c>
      <c r="AF337" s="19">
        <v>0</v>
      </c>
      <c r="AG337" s="29">
        <f t="shared" si="40"/>
        <v>0</v>
      </c>
      <c r="AH337" s="4"/>
      <c r="AI337" s="255"/>
      <c r="AK337" s="193"/>
      <c r="AL337" s="193"/>
      <c r="AM337" s="193"/>
      <c r="AN337" s="193"/>
      <c r="AO337" s="193"/>
      <c r="AP337" s="193"/>
    </row>
    <row r="338" spans="2:42" s="180" customFormat="1">
      <c r="B338" s="13" t="s">
        <v>43</v>
      </c>
      <c r="C338" s="12" t="s">
        <v>29</v>
      </c>
      <c r="D338" s="12" t="s">
        <v>29</v>
      </c>
      <c r="E338" s="19">
        <v>8</v>
      </c>
      <c r="F338" s="277"/>
      <c r="G338" s="4"/>
      <c r="H338" s="47">
        <v>0.35416666666666669</v>
      </c>
      <c r="I338" s="47">
        <v>0.20833333333333334</v>
      </c>
      <c r="J338" s="319">
        <v>7.5</v>
      </c>
      <c r="K338" s="277"/>
      <c r="L338" s="4"/>
      <c r="M338" s="47">
        <v>0.35416666666666669</v>
      </c>
      <c r="N338" s="47">
        <v>0.20833333333333334</v>
      </c>
      <c r="O338" s="319">
        <v>7.5</v>
      </c>
      <c r="P338" s="277"/>
      <c r="Q338" s="4"/>
      <c r="R338" s="12" t="s">
        <v>29</v>
      </c>
      <c r="S338" s="12" t="s">
        <v>29</v>
      </c>
      <c r="T338" s="319"/>
      <c r="U338" s="277"/>
      <c r="V338" s="4"/>
      <c r="W338" s="47">
        <v>0.35416666666666669</v>
      </c>
      <c r="X338" s="47">
        <v>0.20833333333333334</v>
      </c>
      <c r="Y338" s="319">
        <v>7.5</v>
      </c>
      <c r="Z338" s="277"/>
      <c r="AA338" s="29">
        <f t="shared" si="38"/>
        <v>30.5</v>
      </c>
      <c r="AB338" s="298">
        <f t="shared" si="39"/>
        <v>0</v>
      </c>
      <c r="AC338" s="4"/>
      <c r="AD338" s="4">
        <v>0</v>
      </c>
      <c r="AE338" s="4">
        <v>0</v>
      </c>
      <c r="AF338" s="19">
        <v>0</v>
      </c>
      <c r="AG338" s="29">
        <f t="shared" si="40"/>
        <v>0</v>
      </c>
      <c r="AH338" s="4"/>
      <c r="AI338" s="255"/>
      <c r="AK338" s="193"/>
      <c r="AL338" s="193"/>
      <c r="AM338" s="193"/>
      <c r="AN338" s="193"/>
      <c r="AO338" s="193"/>
      <c r="AP338" s="193"/>
    </row>
    <row r="339" spans="2:42" s="180" customFormat="1">
      <c r="B339" s="13" t="s">
        <v>44</v>
      </c>
      <c r="C339" s="12" t="s">
        <v>29</v>
      </c>
      <c r="D339" s="12" t="s">
        <v>29</v>
      </c>
      <c r="E339" s="19">
        <v>8</v>
      </c>
      <c r="F339" s="277"/>
      <c r="G339" s="4"/>
      <c r="H339" s="47">
        <v>0.36458333333333331</v>
      </c>
      <c r="I339" s="47">
        <v>0.20833333333333334</v>
      </c>
      <c r="J339" s="319">
        <v>7.25</v>
      </c>
      <c r="K339" s="277"/>
      <c r="L339" s="4"/>
      <c r="M339" s="47">
        <v>0.35416666666666669</v>
      </c>
      <c r="N339" s="47">
        <v>0.20833333333333334</v>
      </c>
      <c r="O339" s="319">
        <v>7.5</v>
      </c>
      <c r="P339" s="277"/>
      <c r="Q339" s="4"/>
      <c r="R339" s="12" t="s">
        <v>29</v>
      </c>
      <c r="S339" s="12" t="s">
        <v>29</v>
      </c>
      <c r="T339" s="319">
        <v>8</v>
      </c>
      <c r="U339" s="277"/>
      <c r="V339" s="4"/>
      <c r="W339" s="12" t="s">
        <v>29</v>
      </c>
      <c r="X339" s="12" t="s">
        <v>29</v>
      </c>
      <c r="Y339" s="319"/>
      <c r="Z339" s="277"/>
      <c r="AA339" s="29">
        <f t="shared" si="38"/>
        <v>30.75</v>
      </c>
      <c r="AB339" s="298">
        <f t="shared" si="39"/>
        <v>0</v>
      </c>
      <c r="AC339" s="4"/>
      <c r="AD339" s="4">
        <v>0</v>
      </c>
      <c r="AE339" s="4">
        <v>0</v>
      </c>
      <c r="AF339" s="19">
        <v>0</v>
      </c>
      <c r="AG339" s="29">
        <f t="shared" si="40"/>
        <v>0</v>
      </c>
      <c r="AH339" s="4"/>
      <c r="AI339" s="255"/>
      <c r="AK339" s="193"/>
      <c r="AL339" s="193"/>
      <c r="AM339" s="193"/>
      <c r="AN339" s="193"/>
      <c r="AO339" s="193"/>
      <c r="AP339" s="193"/>
    </row>
    <row r="340" spans="2:42" s="180" customFormat="1">
      <c r="B340" s="13" t="s">
        <v>45</v>
      </c>
      <c r="C340" s="12" t="s">
        <v>29</v>
      </c>
      <c r="D340" s="12" t="s">
        <v>29</v>
      </c>
      <c r="E340" s="19">
        <v>0</v>
      </c>
      <c r="F340" s="277"/>
      <c r="G340" s="4"/>
      <c r="H340" s="47">
        <v>0</v>
      </c>
      <c r="I340" s="47">
        <v>0</v>
      </c>
      <c r="J340" s="319">
        <v>0</v>
      </c>
      <c r="K340" s="277"/>
      <c r="L340" s="4"/>
      <c r="M340" s="47">
        <v>0</v>
      </c>
      <c r="N340" s="47">
        <v>0</v>
      </c>
      <c r="O340" s="319">
        <v>0</v>
      </c>
      <c r="P340" s="277"/>
      <c r="Q340" s="4"/>
      <c r="R340" s="12" t="s">
        <v>29</v>
      </c>
      <c r="S340" s="12" t="s">
        <v>29</v>
      </c>
      <c r="T340" s="319"/>
      <c r="U340" s="277"/>
      <c r="V340" s="4"/>
      <c r="W340" s="12" t="s">
        <v>29</v>
      </c>
      <c r="X340" s="12" t="s">
        <v>29</v>
      </c>
      <c r="Y340" s="319"/>
      <c r="Z340" s="277"/>
      <c r="AA340" s="29">
        <f t="shared" si="38"/>
        <v>0</v>
      </c>
      <c r="AB340" s="298">
        <f t="shared" si="39"/>
        <v>0</v>
      </c>
      <c r="AC340" s="4"/>
      <c r="AD340" s="4">
        <v>0</v>
      </c>
      <c r="AE340" s="4">
        <v>0</v>
      </c>
      <c r="AF340" s="19">
        <v>0</v>
      </c>
      <c r="AG340" s="29">
        <f t="shared" si="40"/>
        <v>0</v>
      </c>
      <c r="AH340" s="4"/>
      <c r="AI340" s="255"/>
      <c r="AK340" s="193"/>
      <c r="AL340" s="193"/>
      <c r="AM340" s="193"/>
      <c r="AN340" s="193"/>
      <c r="AO340" s="193"/>
      <c r="AP340" s="193"/>
    </row>
    <row r="341" spans="2:42" s="180" customFormat="1">
      <c r="B341" s="13" t="s">
        <v>47</v>
      </c>
      <c r="C341" s="12" t="s">
        <v>29</v>
      </c>
      <c r="D341" s="12" t="s">
        <v>29</v>
      </c>
      <c r="E341" s="19">
        <v>4</v>
      </c>
      <c r="F341" s="277"/>
      <c r="G341" s="4"/>
      <c r="H341" s="47">
        <v>0.35416666666666669</v>
      </c>
      <c r="I341" s="47">
        <v>0.20833333333333334</v>
      </c>
      <c r="J341" s="319">
        <v>7.5</v>
      </c>
      <c r="K341" s="277"/>
      <c r="L341" s="4"/>
      <c r="M341" s="47">
        <v>0.33333333333333331</v>
      </c>
      <c r="N341" s="47">
        <v>0.20833333333333334</v>
      </c>
      <c r="O341" s="319">
        <v>8</v>
      </c>
      <c r="P341" s="277"/>
      <c r="Q341" s="4"/>
      <c r="R341" s="47">
        <v>0.33333333333333331</v>
      </c>
      <c r="S341" s="47">
        <v>0.20833333333333334</v>
      </c>
      <c r="T341" s="319">
        <v>8</v>
      </c>
      <c r="U341" s="277"/>
      <c r="V341" s="4"/>
      <c r="W341" s="47">
        <v>0.33333333333333331</v>
      </c>
      <c r="X341" s="47">
        <v>0.20833333333333334</v>
      </c>
      <c r="Y341" s="319">
        <v>8</v>
      </c>
      <c r="Z341" s="277"/>
      <c r="AA341" s="29">
        <f t="shared" si="38"/>
        <v>35.5</v>
      </c>
      <c r="AB341" s="298">
        <f t="shared" si="39"/>
        <v>0</v>
      </c>
      <c r="AC341" s="4"/>
      <c r="AD341" s="4">
        <v>0</v>
      </c>
      <c r="AE341" s="4">
        <v>0</v>
      </c>
      <c r="AF341" s="19">
        <v>0</v>
      </c>
      <c r="AG341" s="29">
        <f t="shared" si="40"/>
        <v>0</v>
      </c>
      <c r="AH341" s="4"/>
      <c r="AI341" s="255"/>
      <c r="AK341" s="193"/>
      <c r="AL341" s="193"/>
      <c r="AM341" s="193"/>
      <c r="AN341" s="193"/>
      <c r="AO341" s="193"/>
      <c r="AP341" s="193"/>
    </row>
    <row r="342" spans="2:42" s="180" customFormat="1">
      <c r="B342" s="13" t="s">
        <v>49</v>
      </c>
      <c r="C342" s="12" t="s">
        <v>29</v>
      </c>
      <c r="D342" s="12" t="s">
        <v>29</v>
      </c>
      <c r="E342" s="19">
        <v>4</v>
      </c>
      <c r="F342" s="277"/>
      <c r="G342" s="4"/>
      <c r="H342" s="47">
        <v>0</v>
      </c>
      <c r="I342" s="47">
        <v>0</v>
      </c>
      <c r="J342" s="319">
        <v>0</v>
      </c>
      <c r="K342" s="277"/>
      <c r="L342" s="4"/>
      <c r="M342" s="47">
        <v>0</v>
      </c>
      <c r="N342" s="47">
        <v>0</v>
      </c>
      <c r="O342" s="319">
        <v>0</v>
      </c>
      <c r="P342" s="277"/>
      <c r="Q342" s="4"/>
      <c r="R342" s="47">
        <v>0.36458333333333331</v>
      </c>
      <c r="S342" s="47">
        <v>0.20833333333333334</v>
      </c>
      <c r="T342" s="319">
        <v>7.25</v>
      </c>
      <c r="U342" s="277"/>
      <c r="V342" s="4"/>
      <c r="W342" s="12" t="s">
        <v>29</v>
      </c>
      <c r="X342" s="12" t="s">
        <v>29</v>
      </c>
      <c r="Y342" s="319"/>
      <c r="Z342" s="277"/>
      <c r="AA342" s="29">
        <f t="shared" si="38"/>
        <v>11.25</v>
      </c>
      <c r="AB342" s="298">
        <f t="shared" si="39"/>
        <v>0</v>
      </c>
      <c r="AC342" s="4"/>
      <c r="AD342" s="4">
        <v>0</v>
      </c>
      <c r="AE342" s="4">
        <v>0</v>
      </c>
      <c r="AF342" s="19">
        <v>0</v>
      </c>
      <c r="AG342" s="29">
        <f t="shared" si="40"/>
        <v>0</v>
      </c>
      <c r="AH342" s="4"/>
      <c r="AI342" s="255"/>
      <c r="AK342" s="193"/>
      <c r="AL342" s="193"/>
      <c r="AM342" s="193"/>
      <c r="AN342" s="193"/>
      <c r="AO342" s="193"/>
      <c r="AP342" s="193"/>
    </row>
    <row r="343" spans="2:42" s="180" customFormat="1">
      <c r="B343" s="13" t="s">
        <v>50</v>
      </c>
      <c r="C343" s="12" t="s">
        <v>29</v>
      </c>
      <c r="D343" s="12" t="s">
        <v>29</v>
      </c>
      <c r="E343" s="19">
        <v>0</v>
      </c>
      <c r="F343" s="277"/>
      <c r="G343" s="4"/>
      <c r="H343" s="47">
        <v>0</v>
      </c>
      <c r="I343" s="47">
        <v>0</v>
      </c>
      <c r="J343" s="319">
        <v>0</v>
      </c>
      <c r="K343" s="277"/>
      <c r="L343" s="4"/>
      <c r="M343" s="47">
        <v>0</v>
      </c>
      <c r="N343" s="47">
        <v>0</v>
      </c>
      <c r="O343" s="319">
        <v>0</v>
      </c>
      <c r="P343" s="277"/>
      <c r="Q343" s="4"/>
      <c r="R343" s="12" t="s">
        <v>29</v>
      </c>
      <c r="S343" s="12" t="s">
        <v>29</v>
      </c>
      <c r="T343" s="319"/>
      <c r="U343" s="277"/>
      <c r="V343" s="4"/>
      <c r="W343" s="12" t="s">
        <v>29</v>
      </c>
      <c r="X343" s="12" t="s">
        <v>29</v>
      </c>
      <c r="Y343" s="319"/>
      <c r="Z343" s="277"/>
      <c r="AA343" s="29">
        <f t="shared" si="38"/>
        <v>0</v>
      </c>
      <c r="AB343" s="298">
        <f t="shared" si="39"/>
        <v>0</v>
      </c>
      <c r="AC343" s="4"/>
      <c r="AD343" s="4">
        <v>0</v>
      </c>
      <c r="AE343" s="4">
        <v>0</v>
      </c>
      <c r="AF343" s="19">
        <v>0</v>
      </c>
      <c r="AG343" s="29">
        <f t="shared" si="40"/>
        <v>0</v>
      </c>
      <c r="AH343" s="4"/>
      <c r="AI343" s="255"/>
      <c r="AK343" s="193"/>
      <c r="AL343" s="193"/>
      <c r="AM343" s="193"/>
      <c r="AN343" s="193"/>
      <c r="AO343" s="193"/>
      <c r="AP343" s="193"/>
    </row>
    <row r="344" spans="2:42" s="180" customFormat="1">
      <c r="B344" s="13" t="s">
        <v>51</v>
      </c>
      <c r="C344" s="12" t="s">
        <v>29</v>
      </c>
      <c r="D344" s="12" t="s">
        <v>29</v>
      </c>
      <c r="E344" s="19">
        <v>4</v>
      </c>
      <c r="F344" s="277"/>
      <c r="G344" s="4"/>
      <c r="H344" s="47">
        <v>0</v>
      </c>
      <c r="I344" s="47">
        <v>0</v>
      </c>
      <c r="J344" s="319">
        <v>0</v>
      </c>
      <c r="K344" s="277"/>
      <c r="L344" s="4"/>
      <c r="M344" s="47">
        <v>0</v>
      </c>
      <c r="N344" s="47">
        <v>0</v>
      </c>
      <c r="O344" s="319">
        <v>0</v>
      </c>
      <c r="P344" s="277"/>
      <c r="Q344" s="4"/>
      <c r="R344" s="47">
        <v>0</v>
      </c>
      <c r="S344" s="47">
        <v>0</v>
      </c>
      <c r="T344" s="319">
        <v>0</v>
      </c>
      <c r="U344" s="277"/>
      <c r="V344" s="4"/>
      <c r="W344" s="12" t="s">
        <v>29</v>
      </c>
      <c r="X344" s="12" t="s">
        <v>29</v>
      </c>
      <c r="Y344" s="319">
        <v>8</v>
      </c>
      <c r="Z344" s="277"/>
      <c r="AA344" s="29">
        <f t="shared" si="38"/>
        <v>12</v>
      </c>
      <c r="AB344" s="298">
        <f t="shared" si="39"/>
        <v>0</v>
      </c>
      <c r="AC344" s="4"/>
      <c r="AD344" s="4">
        <v>0</v>
      </c>
      <c r="AE344" s="4">
        <v>0</v>
      </c>
      <c r="AF344" s="19">
        <v>0</v>
      </c>
      <c r="AG344" s="29">
        <f t="shared" si="40"/>
        <v>0</v>
      </c>
      <c r="AH344" s="4"/>
      <c r="AI344" s="255"/>
      <c r="AK344" s="193"/>
      <c r="AL344" s="193"/>
      <c r="AM344" s="193"/>
      <c r="AN344" s="193"/>
      <c r="AO344" s="193"/>
      <c r="AP344" s="193"/>
    </row>
    <row r="345" spans="2:42" s="180" customFormat="1">
      <c r="B345" s="13" t="s">
        <v>52</v>
      </c>
      <c r="C345" s="12" t="s">
        <v>29</v>
      </c>
      <c r="D345" s="12" t="s">
        <v>29</v>
      </c>
      <c r="E345" s="19">
        <v>8</v>
      </c>
      <c r="F345" s="277"/>
      <c r="G345" s="4"/>
      <c r="H345" s="47" t="s">
        <v>29</v>
      </c>
      <c r="I345" s="47" t="s">
        <v>29</v>
      </c>
      <c r="J345" s="319">
        <v>8</v>
      </c>
      <c r="K345" s="277"/>
      <c r="L345" s="4"/>
      <c r="M345" s="12" t="s">
        <v>29</v>
      </c>
      <c r="N345" s="12" t="s">
        <v>29</v>
      </c>
      <c r="O345" s="319">
        <v>8</v>
      </c>
      <c r="P345" s="277"/>
      <c r="Q345" s="4"/>
      <c r="R345" s="12" t="s">
        <v>29</v>
      </c>
      <c r="S345" s="12" t="s">
        <v>29</v>
      </c>
      <c r="T345" s="319">
        <v>8</v>
      </c>
      <c r="U345" s="277"/>
      <c r="V345" s="4"/>
      <c r="W345" s="47"/>
      <c r="X345" s="47"/>
      <c r="Y345" s="319"/>
      <c r="Z345" s="277"/>
      <c r="AA345" s="29">
        <f t="shared" si="38"/>
        <v>32</v>
      </c>
      <c r="AB345" s="298">
        <f t="shared" si="39"/>
        <v>0</v>
      </c>
      <c r="AC345" s="4"/>
      <c r="AD345" s="4">
        <v>0</v>
      </c>
      <c r="AE345" s="4">
        <v>0</v>
      </c>
      <c r="AF345" s="19">
        <v>0</v>
      </c>
      <c r="AG345" s="29">
        <f t="shared" si="40"/>
        <v>0</v>
      </c>
      <c r="AH345" s="4"/>
      <c r="AI345" s="255"/>
      <c r="AK345" s="193"/>
      <c r="AL345" s="193"/>
      <c r="AM345" s="193"/>
      <c r="AN345" s="193"/>
      <c r="AO345" s="193"/>
      <c r="AP345" s="193"/>
    </row>
    <row r="346" spans="2:42" s="180" customFormat="1">
      <c r="B346" s="13" t="s">
        <v>48</v>
      </c>
      <c r="C346" s="47">
        <v>0.35416666666666669</v>
      </c>
      <c r="D346" s="47">
        <v>0.20833333333333334</v>
      </c>
      <c r="E346" s="19">
        <v>7.5</v>
      </c>
      <c r="F346" s="277"/>
      <c r="G346" s="4"/>
      <c r="H346" s="47">
        <v>0.35416666666666669</v>
      </c>
      <c r="I346" s="47">
        <v>0.20833333333333334</v>
      </c>
      <c r="J346" s="19">
        <v>7.5</v>
      </c>
      <c r="K346" s="277"/>
      <c r="L346" s="4"/>
      <c r="M346" s="47">
        <v>0.35416666666666669</v>
      </c>
      <c r="N346" s="47">
        <v>0.20833333333333334</v>
      </c>
      <c r="O346" s="319">
        <v>7.5</v>
      </c>
      <c r="P346" s="277"/>
      <c r="Q346" s="4"/>
      <c r="R346" s="47">
        <v>0.35416666666666669</v>
      </c>
      <c r="S346" s="47">
        <v>0.20833333333333334</v>
      </c>
      <c r="T346" s="319">
        <v>7.5</v>
      </c>
      <c r="U346" s="277"/>
      <c r="V346" s="4"/>
      <c r="W346" s="47">
        <v>0.35416666666666669</v>
      </c>
      <c r="X346" s="47">
        <v>0.20833333333333334</v>
      </c>
      <c r="Y346" s="319">
        <v>7.5</v>
      </c>
      <c r="Z346" s="277"/>
      <c r="AA346" s="29">
        <f t="shared" si="38"/>
        <v>37.5</v>
      </c>
      <c r="AB346" s="298">
        <f t="shared" si="39"/>
        <v>0</v>
      </c>
      <c r="AC346" s="4"/>
      <c r="AD346" s="4">
        <v>0</v>
      </c>
      <c r="AE346" s="4">
        <v>0</v>
      </c>
      <c r="AF346" s="19">
        <v>0</v>
      </c>
      <c r="AG346" s="29">
        <f t="shared" si="40"/>
        <v>0</v>
      </c>
      <c r="AH346" s="4"/>
      <c r="AI346" s="255"/>
      <c r="AK346" s="193"/>
      <c r="AL346" s="193"/>
      <c r="AM346" s="193"/>
      <c r="AN346" s="193"/>
      <c r="AO346" s="193"/>
      <c r="AP346" s="193"/>
    </row>
    <row r="347" spans="2:42" s="180" customFormat="1">
      <c r="B347" s="13" t="s">
        <v>53</v>
      </c>
      <c r="C347" s="12" t="s">
        <v>29</v>
      </c>
      <c r="D347" s="12" t="s">
        <v>29</v>
      </c>
      <c r="E347" s="19">
        <v>8</v>
      </c>
      <c r="F347" s="277"/>
      <c r="G347" s="4"/>
      <c r="H347" s="47">
        <v>0</v>
      </c>
      <c r="I347" s="47">
        <v>0</v>
      </c>
      <c r="J347" s="19">
        <v>0</v>
      </c>
      <c r="K347" s="277"/>
      <c r="L347" s="4"/>
      <c r="M347" s="47">
        <v>0.33333333333333331</v>
      </c>
      <c r="N347" s="47">
        <v>0.20833333333333334</v>
      </c>
      <c r="O347" s="319">
        <v>8</v>
      </c>
      <c r="P347" s="277"/>
      <c r="Q347" s="4"/>
      <c r="R347" s="47"/>
      <c r="S347" s="47"/>
      <c r="T347" s="319"/>
      <c r="U347" s="277"/>
      <c r="V347" s="4"/>
      <c r="W347" s="12" t="s">
        <v>29</v>
      </c>
      <c r="X347" s="12" t="s">
        <v>29</v>
      </c>
      <c r="Y347" s="319"/>
      <c r="Z347" s="277"/>
      <c r="AA347" s="29">
        <f t="shared" si="38"/>
        <v>16</v>
      </c>
      <c r="AB347" s="298">
        <f t="shared" si="39"/>
        <v>0</v>
      </c>
      <c r="AC347" s="4"/>
      <c r="AD347" s="4">
        <v>0</v>
      </c>
      <c r="AE347" s="4">
        <v>0</v>
      </c>
      <c r="AF347" s="19">
        <v>0</v>
      </c>
      <c r="AG347" s="29">
        <f t="shared" si="40"/>
        <v>0</v>
      </c>
      <c r="AH347" s="4"/>
      <c r="AI347" s="255"/>
      <c r="AK347" s="193"/>
      <c r="AL347" s="193"/>
      <c r="AM347" s="193"/>
      <c r="AN347" s="193"/>
      <c r="AO347" s="193"/>
      <c r="AP347" s="193"/>
    </row>
    <row r="348" spans="2:42" s="180" customFormat="1">
      <c r="B348" s="13" t="s">
        <v>54</v>
      </c>
      <c r="C348" s="12" t="s">
        <v>29</v>
      </c>
      <c r="D348" s="12" t="s">
        <v>29</v>
      </c>
      <c r="E348" s="19">
        <v>0</v>
      </c>
      <c r="F348" s="277"/>
      <c r="G348" s="4"/>
      <c r="H348" s="12" t="s">
        <v>29</v>
      </c>
      <c r="I348" s="12" t="s">
        <v>29</v>
      </c>
      <c r="J348" s="19">
        <v>0</v>
      </c>
      <c r="K348" s="277"/>
      <c r="L348" s="4"/>
      <c r="M348" s="12" t="s">
        <v>29</v>
      </c>
      <c r="N348" s="12" t="s">
        <v>29</v>
      </c>
      <c r="O348" s="319">
        <v>0</v>
      </c>
      <c r="P348" s="277"/>
      <c r="Q348" s="4"/>
      <c r="R348" s="12" t="s">
        <v>29</v>
      </c>
      <c r="S348" s="12" t="s">
        <v>29</v>
      </c>
      <c r="T348" s="319">
        <v>0</v>
      </c>
      <c r="U348" s="277"/>
      <c r="V348" s="4"/>
      <c r="W348" s="12" t="s">
        <v>29</v>
      </c>
      <c r="X348" s="12" t="s">
        <v>29</v>
      </c>
      <c r="Y348" s="319">
        <v>0</v>
      </c>
      <c r="Z348" s="277"/>
      <c r="AA348" s="29">
        <f t="shared" si="38"/>
        <v>0</v>
      </c>
      <c r="AB348" s="298">
        <f t="shared" si="39"/>
        <v>0</v>
      </c>
      <c r="AC348" s="4"/>
      <c r="AD348" s="4">
        <v>0</v>
      </c>
      <c r="AE348" s="4">
        <v>0</v>
      </c>
      <c r="AF348" s="19">
        <v>0</v>
      </c>
      <c r="AG348" s="29">
        <f t="shared" si="40"/>
        <v>0</v>
      </c>
      <c r="AH348" s="4"/>
      <c r="AI348" s="255"/>
      <c r="AK348" s="193"/>
      <c r="AL348" s="193"/>
      <c r="AM348" s="193"/>
      <c r="AN348" s="193"/>
      <c r="AO348" s="193"/>
      <c r="AP348" s="193"/>
    </row>
    <row r="349" spans="2:42" s="180" customFormat="1">
      <c r="B349" s="13" t="s">
        <v>55</v>
      </c>
      <c r="C349" s="12" t="s">
        <v>29</v>
      </c>
      <c r="D349" s="12" t="s">
        <v>29</v>
      </c>
      <c r="E349" s="19">
        <v>0</v>
      </c>
      <c r="F349" s="277"/>
      <c r="G349" s="4"/>
      <c r="H349" s="12" t="s">
        <v>29</v>
      </c>
      <c r="I349" s="12" t="s">
        <v>29</v>
      </c>
      <c r="J349" s="19">
        <v>0</v>
      </c>
      <c r="K349" s="277"/>
      <c r="L349" s="4"/>
      <c r="M349" s="12" t="s">
        <v>29</v>
      </c>
      <c r="N349" s="12" t="s">
        <v>29</v>
      </c>
      <c r="O349" s="319">
        <v>0</v>
      </c>
      <c r="P349" s="277"/>
      <c r="Q349" s="4"/>
      <c r="R349" s="12" t="s">
        <v>29</v>
      </c>
      <c r="S349" s="12" t="s">
        <v>29</v>
      </c>
      <c r="T349" s="319">
        <v>0</v>
      </c>
      <c r="U349" s="277"/>
      <c r="V349" s="4"/>
      <c r="W349" s="12" t="s">
        <v>29</v>
      </c>
      <c r="X349" s="12" t="s">
        <v>29</v>
      </c>
      <c r="Y349" s="319">
        <v>0</v>
      </c>
      <c r="Z349" s="277"/>
      <c r="AA349" s="29">
        <f t="shared" si="38"/>
        <v>0</v>
      </c>
      <c r="AB349" s="298">
        <f t="shared" si="39"/>
        <v>0</v>
      </c>
      <c r="AC349" s="4"/>
      <c r="AD349" s="4">
        <v>0</v>
      </c>
      <c r="AE349" s="4">
        <v>0</v>
      </c>
      <c r="AF349" s="19">
        <v>0</v>
      </c>
      <c r="AG349" s="29">
        <f t="shared" si="40"/>
        <v>0</v>
      </c>
      <c r="AH349" s="4"/>
      <c r="AI349" s="255"/>
      <c r="AK349" s="193"/>
      <c r="AL349" s="193"/>
      <c r="AM349" s="193"/>
      <c r="AN349" s="193"/>
      <c r="AO349" s="193"/>
      <c r="AP349" s="193"/>
    </row>
    <row r="350" spans="2:42" s="180" customFormat="1">
      <c r="B350" s="138" t="s">
        <v>59</v>
      </c>
      <c r="C350" s="12" t="s">
        <v>29</v>
      </c>
      <c r="D350" s="12" t="s">
        <v>29</v>
      </c>
      <c r="E350" s="19">
        <v>8</v>
      </c>
      <c r="F350" s="277"/>
      <c r="G350" s="4"/>
      <c r="H350" s="12" t="s">
        <v>29</v>
      </c>
      <c r="I350" s="12" t="s">
        <v>29</v>
      </c>
      <c r="J350" s="19">
        <v>8</v>
      </c>
      <c r="K350" s="277"/>
      <c r="L350" s="4"/>
      <c r="M350" s="12" t="s">
        <v>29</v>
      </c>
      <c r="N350" s="12" t="s">
        <v>29</v>
      </c>
      <c r="O350" s="19">
        <v>8</v>
      </c>
      <c r="P350" s="277"/>
      <c r="Q350" s="4"/>
      <c r="R350" s="12" t="s">
        <v>29</v>
      </c>
      <c r="S350" s="12" t="s">
        <v>29</v>
      </c>
      <c r="T350" s="319">
        <v>8</v>
      </c>
      <c r="U350" s="277"/>
      <c r="V350" s="4"/>
      <c r="W350" s="12" t="s">
        <v>29</v>
      </c>
      <c r="X350" s="12" t="s">
        <v>29</v>
      </c>
      <c r="Y350" s="319">
        <v>8</v>
      </c>
      <c r="Z350" s="277"/>
      <c r="AA350" s="29">
        <f t="shared" si="38"/>
        <v>40</v>
      </c>
      <c r="AB350" s="298">
        <f t="shared" si="39"/>
        <v>0</v>
      </c>
      <c r="AC350" s="4"/>
      <c r="AD350" s="4">
        <v>0</v>
      </c>
      <c r="AE350" s="4">
        <v>0</v>
      </c>
      <c r="AF350" s="19">
        <v>0</v>
      </c>
      <c r="AG350" s="29">
        <f t="shared" si="40"/>
        <v>0</v>
      </c>
      <c r="AH350" s="4"/>
      <c r="AI350" s="255"/>
      <c r="AK350" s="193"/>
      <c r="AL350" s="193"/>
      <c r="AM350" s="193"/>
      <c r="AN350" s="193"/>
      <c r="AO350" s="193"/>
      <c r="AP350" s="193"/>
    </row>
    <row r="351" spans="2:42" s="180" customFormat="1">
      <c r="B351" s="138" t="s">
        <v>60</v>
      </c>
      <c r="C351" s="12" t="s">
        <v>29</v>
      </c>
      <c r="D351" s="12" t="s">
        <v>29</v>
      </c>
      <c r="E351" s="19">
        <v>8</v>
      </c>
      <c r="F351" s="277"/>
      <c r="G351" s="4"/>
      <c r="H351" s="12" t="s">
        <v>29</v>
      </c>
      <c r="I351" s="12" t="s">
        <v>29</v>
      </c>
      <c r="J351" s="19">
        <v>8</v>
      </c>
      <c r="K351" s="277"/>
      <c r="L351" s="4"/>
      <c r="M351" s="12" t="s">
        <v>29</v>
      </c>
      <c r="N351" s="12" t="s">
        <v>29</v>
      </c>
      <c r="O351" s="19">
        <v>8</v>
      </c>
      <c r="P351" s="277"/>
      <c r="Q351" s="4"/>
      <c r="R351" s="12" t="s">
        <v>29</v>
      </c>
      <c r="S351" s="12" t="s">
        <v>29</v>
      </c>
      <c r="T351" s="319">
        <v>8</v>
      </c>
      <c r="U351" s="277"/>
      <c r="V351" s="4"/>
      <c r="W351" s="12" t="s">
        <v>29</v>
      </c>
      <c r="X351" s="12" t="s">
        <v>29</v>
      </c>
      <c r="Y351" s="319">
        <v>8</v>
      </c>
      <c r="Z351" s="277"/>
      <c r="AA351" s="29">
        <f t="shared" si="38"/>
        <v>40</v>
      </c>
      <c r="AB351" s="298">
        <f t="shared" si="39"/>
        <v>0</v>
      </c>
      <c r="AC351" s="4"/>
      <c r="AD351" s="4">
        <v>0</v>
      </c>
      <c r="AE351" s="4">
        <v>0</v>
      </c>
      <c r="AF351" s="19">
        <v>0</v>
      </c>
      <c r="AG351" s="29">
        <f t="shared" si="40"/>
        <v>0</v>
      </c>
      <c r="AH351" s="4"/>
      <c r="AI351" s="255"/>
      <c r="AK351" s="193"/>
      <c r="AL351" s="193"/>
      <c r="AM351" s="193"/>
      <c r="AN351" s="193"/>
      <c r="AO351" s="193"/>
      <c r="AP351" s="193"/>
    </row>
    <row r="352" spans="2:42" s="180" customFormat="1">
      <c r="B352" s="63" t="s">
        <v>63</v>
      </c>
      <c r="C352" s="12"/>
      <c r="D352" s="12"/>
      <c r="E352" s="19"/>
      <c r="F352" s="277"/>
      <c r="G352" s="4"/>
      <c r="H352" s="12"/>
      <c r="I352" s="12"/>
      <c r="J352" s="19"/>
      <c r="K352" s="277"/>
      <c r="L352" s="4"/>
      <c r="M352" s="12"/>
      <c r="N352" s="12"/>
      <c r="O352" s="19">
        <v>8</v>
      </c>
      <c r="P352" s="277"/>
      <c r="Q352" s="4"/>
      <c r="R352" s="12"/>
      <c r="S352" s="12"/>
      <c r="T352" s="319">
        <v>8</v>
      </c>
      <c r="U352" s="277">
        <v>1</v>
      </c>
      <c r="V352" s="4"/>
      <c r="W352" s="12"/>
      <c r="X352" s="12"/>
      <c r="Y352" s="319">
        <v>8</v>
      </c>
      <c r="Z352" s="277"/>
      <c r="AA352" s="29">
        <f>(E352+J352+O352+T352+Y352)</f>
        <v>24</v>
      </c>
      <c r="AB352" s="298">
        <f>Z352+U352+P352+K352+F352</f>
        <v>1</v>
      </c>
      <c r="AC352" s="4"/>
      <c r="AD352" s="4"/>
      <c r="AE352" s="4"/>
      <c r="AF352" s="19"/>
      <c r="AG352" s="29"/>
      <c r="AH352" s="4"/>
      <c r="AI352" s="255"/>
      <c r="AK352" s="193"/>
      <c r="AL352" s="193"/>
      <c r="AM352" s="193"/>
      <c r="AN352" s="193"/>
      <c r="AO352" s="193"/>
      <c r="AP352" s="193"/>
    </row>
    <row r="353" spans="1:42" s="180" customFormat="1">
      <c r="B353" s="63" t="s">
        <v>62</v>
      </c>
      <c r="C353" s="12" t="s">
        <v>29</v>
      </c>
      <c r="D353" s="12" t="s">
        <v>29</v>
      </c>
      <c r="E353" s="19">
        <v>8</v>
      </c>
      <c r="F353" s="277"/>
      <c r="G353" s="60"/>
      <c r="H353" s="12" t="s">
        <v>29</v>
      </c>
      <c r="I353" s="12" t="s">
        <v>29</v>
      </c>
      <c r="J353" s="19">
        <v>8</v>
      </c>
      <c r="K353" s="277"/>
      <c r="L353" s="60"/>
      <c r="M353" s="12" t="s">
        <v>29</v>
      </c>
      <c r="N353" s="12" t="s">
        <v>29</v>
      </c>
      <c r="O353" s="19">
        <v>8</v>
      </c>
      <c r="P353" s="277"/>
      <c r="Q353" s="60"/>
      <c r="R353" s="12" t="s">
        <v>29</v>
      </c>
      <c r="S353" s="12" t="s">
        <v>29</v>
      </c>
      <c r="T353" s="19">
        <v>8</v>
      </c>
      <c r="U353" s="277"/>
      <c r="V353" s="60"/>
      <c r="W353" s="12" t="s">
        <v>29</v>
      </c>
      <c r="X353" s="12" t="s">
        <v>29</v>
      </c>
      <c r="Y353" s="19">
        <v>8</v>
      </c>
      <c r="Z353" s="277"/>
      <c r="AA353" s="28">
        <f>SUM(E353+J353+O353+T353+Y353)</f>
        <v>40</v>
      </c>
      <c r="AB353" s="282">
        <f t="shared" si="39"/>
        <v>0</v>
      </c>
      <c r="AC353" s="4"/>
      <c r="AD353" s="56"/>
      <c r="AE353" s="56"/>
      <c r="AF353" s="19"/>
      <c r="AG353" s="29">
        <v>0</v>
      </c>
      <c r="AH353" s="4"/>
      <c r="AI353" s="255"/>
      <c r="AK353" s="193"/>
      <c r="AL353" s="193"/>
      <c r="AM353" s="193"/>
      <c r="AN353" s="193"/>
      <c r="AO353" s="193"/>
      <c r="AP353" s="193"/>
    </row>
    <row r="354" spans="1:42" s="180" customFormat="1">
      <c r="B354" s="64" t="s">
        <v>61</v>
      </c>
      <c r="C354" s="64"/>
      <c r="D354" s="64"/>
      <c r="E354" s="167">
        <f>SUM(E329:E353)</f>
        <v>124.25</v>
      </c>
      <c r="F354" s="277">
        <f>SUM(F329:F349)</f>
        <v>0</v>
      </c>
      <c r="G354" s="64"/>
      <c r="H354" s="64"/>
      <c r="I354" s="64"/>
      <c r="J354" s="64">
        <f>SUM(J329:J353)</f>
        <v>121.5</v>
      </c>
      <c r="K354" s="277">
        <f>SUM(K329:K349)</f>
        <v>0</v>
      </c>
      <c r="L354" s="64"/>
      <c r="M354" s="64"/>
      <c r="N354" s="64"/>
      <c r="O354" s="167">
        <f>SUM(O329:O353)</f>
        <v>132</v>
      </c>
      <c r="P354" s="277">
        <f>SUM(P329:P351)</f>
        <v>0</v>
      </c>
      <c r="Q354" s="64"/>
      <c r="R354" s="64"/>
      <c r="S354" s="64"/>
      <c r="T354" s="167">
        <f>SUM(T329:T353)</f>
        <v>93.5</v>
      </c>
      <c r="U354" s="277">
        <f>SUM(U329:U351)</f>
        <v>0</v>
      </c>
      <c r="V354" s="64"/>
      <c r="W354" s="64"/>
      <c r="X354" s="64"/>
      <c r="Y354" s="167">
        <f>SUM(Y329:Y353)</f>
        <v>79</v>
      </c>
      <c r="Z354" s="277">
        <f>SUM(Z329:Z349)</f>
        <v>0</v>
      </c>
      <c r="AA354" s="370">
        <f>SUM(AA329:AA353)</f>
        <v>550.25</v>
      </c>
      <c r="AB354" s="284">
        <f>SUM(AB329:AB351)</f>
        <v>0</v>
      </c>
      <c r="AC354" s="4"/>
      <c r="AD354" s="64"/>
      <c r="AE354" s="64"/>
      <c r="AF354" s="64"/>
      <c r="AG354" s="370">
        <f>SUM(AG329:AG349)</f>
        <v>0</v>
      </c>
      <c r="AH354" s="4"/>
      <c r="AI354" s="255"/>
      <c r="AK354" s="193"/>
      <c r="AL354" s="193"/>
      <c r="AM354" s="193"/>
      <c r="AN354" s="193"/>
      <c r="AO354" s="193"/>
      <c r="AP354" s="193"/>
    </row>
    <row r="355" spans="1:42" s="180" customFormat="1">
      <c r="B355" s="63" t="s">
        <v>63</v>
      </c>
      <c r="C355" s="56"/>
      <c r="D355" s="56"/>
      <c r="E355" s="19">
        <v>8</v>
      </c>
      <c r="F355" s="291"/>
      <c r="G355" s="60"/>
      <c r="H355" s="56"/>
      <c r="I355" s="56"/>
      <c r="J355" s="19">
        <v>8</v>
      </c>
      <c r="K355" s="291"/>
      <c r="L355" s="60"/>
      <c r="M355" s="56"/>
      <c r="N355" s="56"/>
      <c r="O355" s="19"/>
      <c r="P355" s="19"/>
      <c r="Q355" s="60"/>
      <c r="R355" s="56"/>
      <c r="S355" s="56"/>
      <c r="T355" s="19"/>
      <c r="U355" s="19"/>
      <c r="V355" s="60"/>
      <c r="W355" s="56"/>
      <c r="X355" s="56"/>
      <c r="Y355" s="19"/>
      <c r="Z355" s="19"/>
      <c r="AA355" s="28">
        <f>SUM(E355+J355+O355+T355+Y355)</f>
        <v>16</v>
      </c>
      <c r="AB355" s="282">
        <f>Z355+U355+P355+K355+F355</f>
        <v>0</v>
      </c>
      <c r="AC355" s="4"/>
      <c r="AD355" s="56"/>
      <c r="AE355" s="56"/>
      <c r="AF355" s="19"/>
      <c r="AG355" s="29">
        <f>AF355</f>
        <v>0</v>
      </c>
      <c r="AH355" s="4"/>
      <c r="AI355" s="255"/>
      <c r="AK355" s="193"/>
      <c r="AL355" s="193"/>
      <c r="AM355" s="193"/>
      <c r="AN355" s="193"/>
      <c r="AO355" s="193"/>
      <c r="AP355" s="193"/>
    </row>
    <row r="356" spans="1:42" s="180" customFormat="1">
      <c r="B356" s="63" t="s">
        <v>64</v>
      </c>
      <c r="C356" s="56"/>
      <c r="D356" s="56"/>
      <c r="E356" s="19">
        <v>8</v>
      </c>
      <c r="F356" s="291">
        <v>0.5</v>
      </c>
      <c r="G356" s="60"/>
      <c r="H356" s="56"/>
      <c r="I356" s="56"/>
      <c r="J356" s="19">
        <v>8</v>
      </c>
      <c r="K356" s="291">
        <v>1</v>
      </c>
      <c r="L356" s="60"/>
      <c r="M356" s="56"/>
      <c r="N356" s="56"/>
      <c r="O356" s="19">
        <v>8</v>
      </c>
      <c r="P356" s="19">
        <v>4</v>
      </c>
      <c r="Q356" s="60"/>
      <c r="R356" s="56"/>
      <c r="S356" s="56"/>
      <c r="T356" s="19">
        <v>8</v>
      </c>
      <c r="U356" s="19">
        <v>1</v>
      </c>
      <c r="V356" s="60"/>
      <c r="W356" s="56"/>
      <c r="X356" s="56"/>
      <c r="Y356" s="19">
        <v>8</v>
      </c>
      <c r="Z356" s="19">
        <v>4</v>
      </c>
      <c r="AA356" s="28">
        <f>SUM(E356+J356+O356+T356+Y356)</f>
        <v>40</v>
      </c>
      <c r="AB356" s="282">
        <f>Z356+U356+P356+K356+F356</f>
        <v>10.5</v>
      </c>
      <c r="AC356" s="4"/>
      <c r="AD356" s="56"/>
      <c r="AE356" s="56"/>
      <c r="AF356" s="19"/>
      <c r="AG356" s="29">
        <f>4.75+4.75</f>
        <v>9.5</v>
      </c>
      <c r="AH356" s="4"/>
      <c r="AI356" s="255"/>
      <c r="AK356" s="193"/>
      <c r="AL356" s="193"/>
      <c r="AM356" s="193"/>
      <c r="AN356" s="193"/>
      <c r="AO356" s="193"/>
      <c r="AP356" s="193"/>
    </row>
    <row r="357" spans="1:42" s="180" customFormat="1" ht="14.25" thickBot="1">
      <c r="B357" s="268" t="s">
        <v>65</v>
      </c>
      <c r="C357" s="75"/>
      <c r="D357" s="75"/>
      <c r="E357" s="77">
        <v>4</v>
      </c>
      <c r="F357" s="292"/>
      <c r="G357" s="81"/>
      <c r="H357" s="75"/>
      <c r="I357" s="75"/>
      <c r="J357" s="77">
        <v>1</v>
      </c>
      <c r="K357" s="292"/>
      <c r="L357" s="81"/>
      <c r="M357" s="75"/>
      <c r="N357" s="75"/>
      <c r="O357" s="77"/>
      <c r="P357" s="77"/>
      <c r="Q357" s="81"/>
      <c r="R357" s="75"/>
      <c r="S357" s="75"/>
      <c r="T357" s="77"/>
      <c r="U357" s="77"/>
      <c r="V357" s="81"/>
      <c r="W357" s="75"/>
      <c r="X357" s="75"/>
      <c r="Y357" s="77"/>
      <c r="Z357" s="77"/>
      <c r="AA357" s="80">
        <f>SUM(E357+J357+O357+T357+Y357)</f>
        <v>5</v>
      </c>
      <c r="AB357" s="294">
        <f>Z357+U357+P357+K357+F357</f>
        <v>0</v>
      </c>
      <c r="AC357" s="4"/>
      <c r="AD357" s="75"/>
      <c r="AE357" s="75"/>
      <c r="AF357" s="77"/>
      <c r="AG357" s="276">
        <v>0</v>
      </c>
      <c r="AH357" s="4"/>
      <c r="AI357" s="255"/>
      <c r="AK357" s="193"/>
      <c r="AL357" s="193"/>
      <c r="AM357" s="193"/>
      <c r="AN357" s="193"/>
      <c r="AO357" s="193"/>
      <c r="AP357" s="193"/>
    </row>
    <row r="358" spans="1:42" s="180" customFormat="1" ht="14.25" thickTop="1">
      <c r="B358" s="71" t="s">
        <v>66</v>
      </c>
      <c r="C358" s="371"/>
      <c r="D358" s="371"/>
      <c r="E358" s="71">
        <f>SUM(E355:E357)</f>
        <v>20</v>
      </c>
      <c r="F358" s="372"/>
      <c r="G358" s="372"/>
      <c r="H358" s="371"/>
      <c r="I358" s="371"/>
      <c r="J358" s="71">
        <f>SUM(J355:J357)</f>
        <v>17</v>
      </c>
      <c r="K358" s="372"/>
      <c r="L358" s="372"/>
      <c r="M358" s="371"/>
      <c r="N358" s="371"/>
      <c r="O358" s="71">
        <f>SUM(O355:O357)</f>
        <v>8</v>
      </c>
      <c r="P358" s="372"/>
      <c r="Q358" s="372"/>
      <c r="R358" s="371"/>
      <c r="S358" s="371"/>
      <c r="T358" s="71">
        <f>SUM(T355:T357)</f>
        <v>8</v>
      </c>
      <c r="U358" s="372"/>
      <c r="V358" s="372"/>
      <c r="W358" s="371"/>
      <c r="X358" s="371"/>
      <c r="Y358" s="66">
        <f>SUM(Y355:Y357)</f>
        <v>8</v>
      </c>
      <c r="Z358" s="372"/>
      <c r="AA358" s="370">
        <f>SUM(AA355:AA357)</f>
        <v>61</v>
      </c>
      <c r="AB358" s="370">
        <f>SUM(AB355:AB357)</f>
        <v>10.5</v>
      </c>
      <c r="AC358" s="4"/>
      <c r="AG358" s="370">
        <f>SUM(AG356:AG357)</f>
        <v>9.5</v>
      </c>
      <c r="AH358" s="4"/>
      <c r="AI358" s="255"/>
      <c r="AK358" s="193"/>
      <c r="AL358" s="193"/>
      <c r="AM358" s="193"/>
      <c r="AN358" s="193"/>
      <c r="AO358" s="193"/>
      <c r="AP358" s="193"/>
    </row>
    <row r="359" spans="1:42" s="180" customFormat="1">
      <c r="B359" s="217" t="s">
        <v>67</v>
      </c>
      <c r="C359" s="207">
        <f>C360+C361</f>
        <v>52</v>
      </c>
      <c r="D359" s="207"/>
      <c r="E359" s="209"/>
      <c r="F359" s="209"/>
      <c r="G359" s="207"/>
      <c r="H359" s="209"/>
      <c r="I359" s="209"/>
      <c r="J359" s="209"/>
      <c r="K359" s="209"/>
      <c r="L359" s="207"/>
      <c r="M359" s="207"/>
      <c r="N359" s="207"/>
      <c r="O359" s="207"/>
      <c r="P359" s="209"/>
      <c r="Q359" s="207"/>
      <c r="R359" s="207"/>
      <c r="S359" s="207"/>
      <c r="T359" s="207"/>
      <c r="U359" s="209"/>
      <c r="V359" s="207"/>
      <c r="W359" s="207"/>
      <c r="X359" s="207"/>
      <c r="Y359" s="210"/>
      <c r="Z359" s="209"/>
      <c r="AA359" s="211"/>
      <c r="AB359" s="209"/>
      <c r="AC359" s="211"/>
      <c r="AD359" s="211"/>
      <c r="AE359" s="211"/>
      <c r="AF359" s="211"/>
      <c r="AG359" s="211"/>
      <c r="AH359" s="4"/>
      <c r="AI359" s="255"/>
      <c r="AK359" s="193"/>
      <c r="AL359" s="193"/>
      <c r="AM359" s="193"/>
      <c r="AN359" s="193"/>
      <c r="AO359" s="193"/>
      <c r="AP359" s="193"/>
    </row>
    <row r="360" spans="1:42" s="180" customFormat="1">
      <c r="B360" s="238" t="s">
        <v>68</v>
      </c>
      <c r="C360" s="239">
        <f>10+9+4+4</f>
        <v>27</v>
      </c>
      <c r="D360" s="207"/>
      <c r="E360" s="209"/>
      <c r="F360" s="209"/>
      <c r="G360" s="207"/>
      <c r="H360" s="209"/>
      <c r="I360" s="209"/>
      <c r="J360" s="209"/>
      <c r="K360" s="209"/>
      <c r="L360" s="207"/>
      <c r="M360" s="207"/>
      <c r="N360" s="207"/>
      <c r="O360" s="207"/>
      <c r="P360" s="209"/>
      <c r="Q360" s="207"/>
      <c r="R360" s="207"/>
      <c r="S360" s="207"/>
      <c r="T360" s="207"/>
      <c r="U360" s="209"/>
      <c r="V360" s="207"/>
      <c r="W360" s="207"/>
      <c r="X360" s="207"/>
      <c r="Y360" s="210"/>
      <c r="Z360" s="209"/>
      <c r="AA360" s="211"/>
      <c r="AB360" s="209"/>
      <c r="AC360" s="211"/>
      <c r="AD360" s="211"/>
      <c r="AE360" s="211"/>
      <c r="AF360" s="211"/>
      <c r="AG360" s="211"/>
      <c r="AH360" s="4"/>
      <c r="AI360" s="255"/>
      <c r="AK360" s="193"/>
      <c r="AL360" s="193"/>
      <c r="AM360" s="193"/>
      <c r="AN360" s="193"/>
      <c r="AO360" s="193"/>
      <c r="AP360" s="193"/>
    </row>
    <row r="361" spans="1:42" s="180" customFormat="1">
      <c r="A361" s="11"/>
      <c r="B361" s="238" t="s">
        <v>69</v>
      </c>
      <c r="C361" s="239">
        <f>6+10+9</f>
        <v>25</v>
      </c>
      <c r="D361" s="207"/>
      <c r="E361" s="209"/>
      <c r="F361" s="209"/>
      <c r="G361" s="207"/>
      <c r="H361" s="209"/>
      <c r="I361" s="209"/>
      <c r="J361" s="209"/>
      <c r="K361" s="209"/>
      <c r="L361" s="207"/>
      <c r="M361" s="207"/>
      <c r="N361" s="207"/>
      <c r="O361" s="207"/>
      <c r="P361" s="209"/>
      <c r="Q361" s="207"/>
      <c r="R361" s="207"/>
      <c r="S361" s="207"/>
      <c r="T361" s="207"/>
      <c r="U361" s="209"/>
      <c r="V361" s="207"/>
      <c r="W361" s="207"/>
      <c r="X361" s="207"/>
      <c r="Y361" s="210"/>
      <c r="Z361" s="209"/>
      <c r="AA361" s="211"/>
      <c r="AB361" s="209"/>
      <c r="AC361" s="211"/>
      <c r="AD361" s="211"/>
      <c r="AE361" s="211"/>
      <c r="AF361" s="211"/>
      <c r="AG361" s="211"/>
      <c r="AH361" s="4"/>
      <c r="AI361" s="255"/>
      <c r="AK361" s="193"/>
      <c r="AL361" s="193"/>
      <c r="AM361" s="193"/>
      <c r="AN361" s="193"/>
      <c r="AO361" s="193"/>
      <c r="AP361" s="193"/>
    </row>
    <row r="362" spans="1:42" s="180" customFormat="1">
      <c r="E362" s="4"/>
      <c r="F362" s="4"/>
      <c r="G362" s="4"/>
      <c r="J362" s="4"/>
      <c r="K362" s="4"/>
      <c r="L362" s="4"/>
      <c r="O362" s="4"/>
      <c r="P362" s="4"/>
      <c r="Q362" s="4"/>
      <c r="T362" s="4"/>
      <c r="U362" s="4"/>
      <c r="V362" s="4"/>
      <c r="Y362" s="4"/>
      <c r="Z362" s="4"/>
      <c r="AA362" s="4"/>
      <c r="AB362" s="4"/>
      <c r="AC362" s="4"/>
      <c r="AH362" s="4"/>
    </row>
    <row r="363" spans="1:42" s="255" customFormat="1">
      <c r="A363" s="228"/>
      <c r="B363" s="229"/>
      <c r="C363" s="230"/>
      <c r="D363" s="230"/>
      <c r="E363" s="232"/>
      <c r="F363" s="232"/>
      <c r="G363" s="230"/>
      <c r="H363" s="232"/>
      <c r="I363" s="232"/>
      <c r="J363" s="232"/>
      <c r="K363" s="232"/>
      <c r="L363" s="230"/>
      <c r="M363" s="230"/>
      <c r="N363" s="230"/>
      <c r="O363" s="230"/>
      <c r="P363" s="232"/>
      <c r="Q363" s="230"/>
      <c r="R363" s="230"/>
      <c r="S363" s="230"/>
      <c r="T363" s="230"/>
      <c r="U363" s="232"/>
      <c r="V363" s="230"/>
      <c r="W363" s="230"/>
      <c r="X363" s="230"/>
      <c r="Y363" s="233"/>
      <c r="Z363" s="232"/>
      <c r="AA363" s="234"/>
      <c r="AB363" s="232"/>
      <c r="AC363" s="373"/>
      <c r="AD363" s="236"/>
      <c r="AH363" s="373"/>
    </row>
    <row r="364" spans="1:42" s="193" customFormat="1">
      <c r="A364" s="224"/>
      <c r="B364" s="214"/>
      <c r="C364" s="364"/>
      <c r="D364" s="364"/>
      <c r="E364" s="214"/>
      <c r="F364" s="214"/>
      <c r="G364" s="364"/>
      <c r="H364" s="214"/>
      <c r="I364" s="214"/>
      <c r="J364" s="214"/>
      <c r="K364" s="214"/>
      <c r="L364" s="364"/>
      <c r="M364" s="364"/>
      <c r="N364" s="364"/>
      <c r="O364" s="364"/>
      <c r="P364" s="214"/>
      <c r="Q364" s="364"/>
      <c r="R364" s="364"/>
      <c r="S364" s="364"/>
      <c r="T364" s="364"/>
      <c r="U364" s="214"/>
      <c r="V364" s="364"/>
      <c r="W364" s="364"/>
      <c r="X364" s="364"/>
      <c r="Y364" s="216"/>
      <c r="Z364" s="214"/>
      <c r="AA364" s="225"/>
      <c r="AB364" s="214"/>
      <c r="AC364" s="189"/>
      <c r="AH364" s="4"/>
      <c r="AI364" s="255"/>
      <c r="AJ364" s="180"/>
    </row>
    <row r="365" spans="1:42" s="180" customFormat="1">
      <c r="B365" s="1518" t="s">
        <v>18</v>
      </c>
      <c r="C365" s="1519">
        <v>45236</v>
      </c>
      <c r="D365" s="1519"/>
      <c r="E365" s="1519"/>
      <c r="F365" s="1519"/>
      <c r="G365" s="365"/>
      <c r="H365" s="1519">
        <v>45237</v>
      </c>
      <c r="I365" s="1519"/>
      <c r="J365" s="1519"/>
      <c r="K365" s="1519"/>
      <c r="L365" s="365"/>
      <c r="M365" s="1519">
        <v>45238</v>
      </c>
      <c r="N365" s="1519"/>
      <c r="O365" s="1519"/>
      <c r="P365" s="1519"/>
      <c r="Q365" s="365"/>
      <c r="R365" s="1519">
        <v>45239</v>
      </c>
      <c r="S365" s="1519"/>
      <c r="T365" s="1519"/>
      <c r="U365" s="1519"/>
      <c r="V365" s="365"/>
      <c r="W365" s="1519">
        <v>45240</v>
      </c>
      <c r="X365" s="1519"/>
      <c r="Y365" s="1519"/>
      <c r="Z365" s="1519"/>
      <c r="AA365" s="1517" t="s">
        <v>19</v>
      </c>
      <c r="AB365" s="1517" t="s">
        <v>20</v>
      </c>
      <c r="AC365" s="4"/>
      <c r="AD365" s="1519">
        <v>45242</v>
      </c>
      <c r="AE365" s="1519"/>
      <c r="AF365" s="1519"/>
      <c r="AG365" s="1517" t="s">
        <v>21</v>
      </c>
      <c r="AH365" s="4"/>
      <c r="AI365" s="255"/>
      <c r="AK365" s="194" t="s">
        <v>84</v>
      </c>
      <c r="AL365" s="366"/>
      <c r="AM365" s="366"/>
      <c r="AN365" s="366"/>
      <c r="AO365" s="366"/>
      <c r="AP365" s="366"/>
    </row>
    <row r="366" spans="1:42" s="367" customFormat="1">
      <c r="B366" s="1518"/>
      <c r="C366" s="21" t="s">
        <v>23</v>
      </c>
      <c r="D366" s="21" t="s">
        <v>24</v>
      </c>
      <c r="E366" s="205" t="s">
        <v>25</v>
      </c>
      <c r="F366" s="18" t="s">
        <v>14</v>
      </c>
      <c r="G366" s="4"/>
      <c r="H366" s="21" t="s">
        <v>23</v>
      </c>
      <c r="I366" s="21" t="s">
        <v>24</v>
      </c>
      <c r="J366" s="18" t="s">
        <v>25</v>
      </c>
      <c r="K366" s="18" t="s">
        <v>14</v>
      </c>
      <c r="L366" s="4"/>
      <c r="M366" s="21" t="s">
        <v>23</v>
      </c>
      <c r="N366" s="21" t="s">
        <v>24</v>
      </c>
      <c r="O366" s="18" t="s">
        <v>25</v>
      </c>
      <c r="P366" s="18" t="s">
        <v>14</v>
      </c>
      <c r="Q366" s="4"/>
      <c r="R366" s="21" t="s">
        <v>23</v>
      </c>
      <c r="S366" s="21" t="s">
        <v>24</v>
      </c>
      <c r="T366" s="18" t="s">
        <v>25</v>
      </c>
      <c r="U366" s="18" t="s">
        <v>14</v>
      </c>
      <c r="V366" s="4"/>
      <c r="W366" s="21" t="s">
        <v>23</v>
      </c>
      <c r="X366" s="21" t="s">
        <v>24</v>
      </c>
      <c r="Y366" s="18" t="s">
        <v>25</v>
      </c>
      <c r="Z366" s="18" t="s">
        <v>14</v>
      </c>
      <c r="AA366" s="1517"/>
      <c r="AB366" s="1517"/>
      <c r="AC366" s="4"/>
      <c r="AD366" s="21" t="s">
        <v>23</v>
      </c>
      <c r="AE366" s="21" t="s">
        <v>24</v>
      </c>
      <c r="AF366" s="18" t="s">
        <v>25</v>
      </c>
      <c r="AG366" s="1517"/>
      <c r="AH366" s="175"/>
      <c r="AI366" s="368"/>
      <c r="AK366" s="188" t="s">
        <v>26</v>
      </c>
      <c r="AL366" s="196">
        <f>AA392</f>
        <v>651.75</v>
      </c>
      <c r="AM366" s="193"/>
      <c r="AN366" s="193"/>
      <c r="AO366" s="193"/>
      <c r="AP366" s="193"/>
    </row>
    <row r="367" spans="1:42" s="367" customFormat="1">
      <c r="B367" s="171" t="s">
        <v>33</v>
      </c>
      <c r="C367" s="172"/>
      <c r="D367" s="172"/>
      <c r="E367" s="173"/>
      <c r="F367" s="277"/>
      <c r="G367" s="175"/>
      <c r="H367" s="172">
        <v>0.375</v>
      </c>
      <c r="I367" s="172">
        <v>0.20833333333333334</v>
      </c>
      <c r="J367" s="173">
        <v>7</v>
      </c>
      <c r="K367" s="277"/>
      <c r="L367" s="175"/>
      <c r="M367" s="172" t="s">
        <v>29</v>
      </c>
      <c r="N367" s="172" t="s">
        <v>29</v>
      </c>
      <c r="O367" s="173">
        <v>0</v>
      </c>
      <c r="P367" s="277"/>
      <c r="Q367" s="175"/>
      <c r="R367" s="172" t="s">
        <v>29</v>
      </c>
      <c r="S367" s="172" t="s">
        <v>29</v>
      </c>
      <c r="T367" s="173">
        <v>0</v>
      </c>
      <c r="U367" s="277"/>
      <c r="V367" s="175"/>
      <c r="W367" s="172" t="s">
        <v>29</v>
      </c>
      <c r="X367" s="172" t="s">
        <v>29</v>
      </c>
      <c r="Y367" s="173">
        <v>0</v>
      </c>
      <c r="Z367" s="277"/>
      <c r="AA367" s="28">
        <f t="shared" ref="AA367:AA389" si="41">(E367+J367+O367+T367+Y367)</f>
        <v>7</v>
      </c>
      <c r="AB367" s="298">
        <f t="shared" ref="AB367:AB391" si="42">Z367+U367+P367+K367+F367</f>
        <v>0</v>
      </c>
      <c r="AC367" s="175"/>
      <c r="AD367" s="175">
        <v>0</v>
      </c>
      <c r="AE367" s="175">
        <v>0</v>
      </c>
      <c r="AF367" s="173">
        <v>0</v>
      </c>
      <c r="AG367" s="28">
        <f t="shared" ref="AG367:AG389" si="43">AF367</f>
        <v>0</v>
      </c>
      <c r="AH367" s="175"/>
      <c r="AI367" s="368"/>
      <c r="AK367" s="188" t="s">
        <v>30</v>
      </c>
      <c r="AL367" s="196">
        <f>AB392</f>
        <v>0</v>
      </c>
      <c r="AM367" s="193"/>
      <c r="AN367" s="193"/>
      <c r="AO367" s="193"/>
      <c r="AP367" s="193"/>
    </row>
    <row r="368" spans="1:42" s="367" customFormat="1">
      <c r="B368" s="171" t="s">
        <v>72</v>
      </c>
      <c r="C368" s="172">
        <v>0.375</v>
      </c>
      <c r="D368" s="172">
        <v>0.20833333333333334</v>
      </c>
      <c r="E368" s="173">
        <v>7</v>
      </c>
      <c r="F368" s="277"/>
      <c r="G368" s="4"/>
      <c r="H368" s="172">
        <v>0.375</v>
      </c>
      <c r="I368" s="172" t="s">
        <v>87</v>
      </c>
      <c r="J368" s="173">
        <v>7</v>
      </c>
      <c r="K368" s="277"/>
      <c r="L368" s="4"/>
      <c r="M368" s="172">
        <v>0.38541666666666669</v>
      </c>
      <c r="N368" s="172">
        <v>0.20833333333333334</v>
      </c>
      <c r="O368" s="173">
        <v>6.75</v>
      </c>
      <c r="P368" s="277"/>
      <c r="Q368" s="4"/>
      <c r="R368" s="172">
        <v>0.38541666666666669</v>
      </c>
      <c r="S368" s="172">
        <v>0.20833333333333334</v>
      </c>
      <c r="T368" s="173">
        <v>6.75</v>
      </c>
      <c r="U368" s="277"/>
      <c r="V368" s="4"/>
      <c r="W368" s="4">
        <v>0</v>
      </c>
      <c r="X368" s="4">
        <v>0</v>
      </c>
      <c r="Y368" s="319">
        <v>0</v>
      </c>
      <c r="Z368" s="277"/>
      <c r="AA368" s="28">
        <f t="shared" si="41"/>
        <v>27.5</v>
      </c>
      <c r="AB368" s="298">
        <f t="shared" si="42"/>
        <v>0</v>
      </c>
      <c r="AC368" s="4"/>
      <c r="AD368" s="175">
        <v>0</v>
      </c>
      <c r="AE368" s="175">
        <v>0</v>
      </c>
      <c r="AF368" s="173">
        <v>0</v>
      </c>
      <c r="AG368" s="28">
        <f t="shared" si="43"/>
        <v>0</v>
      </c>
      <c r="AH368" s="175"/>
      <c r="AI368" s="368"/>
      <c r="AK368" s="188" t="s">
        <v>32</v>
      </c>
      <c r="AL368" s="196">
        <f>AG392</f>
        <v>34.5</v>
      </c>
      <c r="AM368" s="193"/>
      <c r="AN368" s="193"/>
      <c r="AO368" s="193"/>
      <c r="AP368" s="193"/>
    </row>
    <row r="369" spans="2:42" s="367" customFormat="1">
      <c r="B369" s="171" t="s">
        <v>71</v>
      </c>
      <c r="C369" s="16">
        <v>0.375</v>
      </c>
      <c r="D369" s="16">
        <v>0.20833333333333334</v>
      </c>
      <c r="E369" s="173">
        <v>7</v>
      </c>
      <c r="F369" s="277"/>
      <c r="G369" s="4"/>
      <c r="H369" s="172">
        <v>0.375</v>
      </c>
      <c r="I369" s="172">
        <v>0.20833333333333334</v>
      </c>
      <c r="J369" s="173">
        <v>7</v>
      </c>
      <c r="K369" s="277"/>
      <c r="L369" s="4"/>
      <c r="M369" s="172">
        <v>0.375</v>
      </c>
      <c r="N369" s="172">
        <v>0.20833333333333334</v>
      </c>
      <c r="O369" s="173">
        <v>7</v>
      </c>
      <c r="P369" s="277"/>
      <c r="Q369" s="4"/>
      <c r="R369" s="172">
        <v>0.375</v>
      </c>
      <c r="S369" s="172">
        <v>0.20833333333333334</v>
      </c>
      <c r="T369" s="173">
        <v>7</v>
      </c>
      <c r="U369" s="277"/>
      <c r="V369" s="4"/>
      <c r="W369" s="4">
        <v>0</v>
      </c>
      <c r="X369" s="4">
        <v>0</v>
      </c>
      <c r="Y369" s="319">
        <v>0</v>
      </c>
      <c r="Z369" s="277"/>
      <c r="AA369" s="28">
        <f t="shared" si="41"/>
        <v>28</v>
      </c>
      <c r="AB369" s="298">
        <f t="shared" si="42"/>
        <v>0</v>
      </c>
      <c r="AC369" s="4"/>
      <c r="AD369" s="175">
        <v>0</v>
      </c>
      <c r="AE369" s="175">
        <v>0</v>
      </c>
      <c r="AF369" s="173">
        <v>0</v>
      </c>
      <c r="AG369" s="28">
        <f t="shared" si="43"/>
        <v>0</v>
      </c>
      <c r="AH369" s="175"/>
      <c r="AI369" s="368"/>
      <c r="AK369" s="188" t="s">
        <v>34</v>
      </c>
      <c r="AL369" s="196">
        <f>AA395</f>
        <v>40</v>
      </c>
      <c r="AM369" s="193"/>
      <c r="AN369" s="193"/>
      <c r="AO369" s="193"/>
      <c r="AP369" s="193"/>
    </row>
    <row r="370" spans="2:42" s="180" customFormat="1">
      <c r="B370" s="318" t="s">
        <v>46</v>
      </c>
      <c r="C370" s="12" t="s">
        <v>29</v>
      </c>
      <c r="D370" s="12" t="s">
        <v>29</v>
      </c>
      <c r="E370" s="319">
        <v>0</v>
      </c>
      <c r="F370" s="320"/>
      <c r="G370" s="4"/>
      <c r="H370" s="12" t="s">
        <v>29</v>
      </c>
      <c r="I370" s="12" t="s">
        <v>29</v>
      </c>
      <c r="J370" s="319">
        <v>0</v>
      </c>
      <c r="K370" s="320"/>
      <c r="L370" s="4"/>
      <c r="M370" s="47" t="s">
        <v>29</v>
      </c>
      <c r="N370" s="4" t="s">
        <v>29</v>
      </c>
      <c r="O370" s="319">
        <v>0</v>
      </c>
      <c r="P370" s="320"/>
      <c r="Q370" s="4"/>
      <c r="R370" s="47">
        <v>0.375</v>
      </c>
      <c r="S370" s="47">
        <v>0.20833333333333334</v>
      </c>
      <c r="T370" s="319">
        <v>7</v>
      </c>
      <c r="U370" s="320"/>
      <c r="V370" s="4"/>
      <c r="W370" s="47">
        <v>0.375</v>
      </c>
      <c r="X370" s="47">
        <v>0.20833333333333334</v>
      </c>
      <c r="Y370" s="319">
        <v>7</v>
      </c>
      <c r="Z370" s="320"/>
      <c r="AA370" s="328">
        <f t="shared" si="41"/>
        <v>14</v>
      </c>
      <c r="AB370" s="400">
        <f t="shared" si="42"/>
        <v>0</v>
      </c>
      <c r="AC370" s="4"/>
      <c r="AD370" s="47">
        <v>0.41666666666666669</v>
      </c>
      <c r="AE370" s="47">
        <v>0.20833333333333334</v>
      </c>
      <c r="AF370" s="319">
        <v>7</v>
      </c>
      <c r="AG370" s="328">
        <f t="shared" si="43"/>
        <v>7</v>
      </c>
      <c r="AH370" s="4"/>
      <c r="AI370" s="255"/>
      <c r="AK370" s="188" t="s">
        <v>36</v>
      </c>
      <c r="AL370" s="196">
        <f>AB395</f>
        <v>5</v>
      </c>
      <c r="AM370" s="193"/>
      <c r="AN370" s="193"/>
      <c r="AO370" s="193"/>
      <c r="AP370" s="193"/>
    </row>
    <row r="371" spans="2:42" s="367" customFormat="1">
      <c r="B371" s="13" t="s">
        <v>35</v>
      </c>
      <c r="C371" s="16">
        <v>0.375</v>
      </c>
      <c r="D371" s="16">
        <v>0.20833333333333334</v>
      </c>
      <c r="E371" s="319">
        <v>7</v>
      </c>
      <c r="F371" s="277"/>
      <c r="G371" s="175"/>
      <c r="H371" s="47">
        <v>0.375</v>
      </c>
      <c r="I371" s="47">
        <v>0.20833333333333334</v>
      </c>
      <c r="J371" s="319">
        <v>7</v>
      </c>
      <c r="K371" s="277"/>
      <c r="L371" s="175"/>
      <c r="M371" s="47">
        <v>0.375</v>
      </c>
      <c r="N371" s="47">
        <v>0.20833333333333334</v>
      </c>
      <c r="O371" s="319">
        <v>7</v>
      </c>
      <c r="P371" s="277"/>
      <c r="Q371" s="175"/>
      <c r="R371" s="47">
        <v>0.375</v>
      </c>
      <c r="S371" s="47">
        <v>0.20833333333333334</v>
      </c>
      <c r="T371" s="319">
        <v>7</v>
      </c>
      <c r="U371" s="277"/>
      <c r="V371" s="175"/>
      <c r="W371" s="47">
        <v>0.38541666666666669</v>
      </c>
      <c r="X371" s="47">
        <v>0.20833333333333334</v>
      </c>
      <c r="Y371" s="319">
        <v>6.75</v>
      </c>
      <c r="Z371" s="277"/>
      <c r="AA371" s="344">
        <f t="shared" si="41"/>
        <v>34.75</v>
      </c>
      <c r="AB371" s="298">
        <f t="shared" si="42"/>
        <v>0</v>
      </c>
      <c r="AC371" s="175"/>
      <c r="AD371" s="376">
        <v>0.42708333333333331</v>
      </c>
      <c r="AE371" s="47">
        <v>0.20833333333333334</v>
      </c>
      <c r="AF371" s="346">
        <v>6.75</v>
      </c>
      <c r="AG371" s="344">
        <f t="shared" si="43"/>
        <v>6.75</v>
      </c>
      <c r="AH371" s="175"/>
      <c r="AI371" s="368"/>
      <c r="AK371" s="188" t="s">
        <v>38</v>
      </c>
      <c r="AL371" s="196">
        <f>AG395</f>
        <v>3</v>
      </c>
      <c r="AM371" s="193"/>
      <c r="AN371" s="193"/>
      <c r="AO371" s="193"/>
      <c r="AP371" s="193"/>
    </row>
    <row r="372" spans="2:42" s="180" customFormat="1">
      <c r="B372" s="13" t="s">
        <v>37</v>
      </c>
      <c r="C372" s="16">
        <v>0.375</v>
      </c>
      <c r="D372" s="16">
        <v>0.20833333333333334</v>
      </c>
      <c r="E372" s="319">
        <v>7</v>
      </c>
      <c r="F372" s="277"/>
      <c r="G372" s="175"/>
      <c r="H372" s="47">
        <v>0.375</v>
      </c>
      <c r="I372" s="47">
        <v>0.20833333333333334</v>
      </c>
      <c r="J372" s="319">
        <v>7</v>
      </c>
      <c r="K372" s="277"/>
      <c r="L372" s="175"/>
      <c r="M372" s="47">
        <v>0.375</v>
      </c>
      <c r="N372" s="47">
        <v>0.20833333333333334</v>
      </c>
      <c r="O372" s="319">
        <v>7</v>
      </c>
      <c r="P372" s="277"/>
      <c r="Q372" s="175"/>
      <c r="R372" s="47">
        <v>0.375</v>
      </c>
      <c r="S372" s="47">
        <v>0.20833333333333334</v>
      </c>
      <c r="T372" s="319">
        <v>7</v>
      </c>
      <c r="U372" s="277"/>
      <c r="V372" s="175"/>
      <c r="W372" s="47">
        <v>0.375</v>
      </c>
      <c r="X372" s="47">
        <v>0.20833333333333334</v>
      </c>
      <c r="Y372" s="319">
        <v>7</v>
      </c>
      <c r="Z372" s="277"/>
      <c r="AA372" s="344">
        <f t="shared" si="41"/>
        <v>35</v>
      </c>
      <c r="AB372" s="298">
        <f t="shared" si="42"/>
        <v>0</v>
      </c>
      <c r="AC372" s="175"/>
      <c r="AD372" s="345">
        <v>0</v>
      </c>
      <c r="AE372" s="345">
        <v>0</v>
      </c>
      <c r="AF372" s="346">
        <v>0</v>
      </c>
      <c r="AG372" s="344">
        <f t="shared" si="43"/>
        <v>0</v>
      </c>
      <c r="AH372" s="4"/>
      <c r="AI372" s="255"/>
      <c r="AK372" s="188" t="s">
        <v>41</v>
      </c>
      <c r="AL372" s="196">
        <f>C396</f>
        <v>60</v>
      </c>
      <c r="AM372" s="369"/>
      <c r="AN372" s="369"/>
      <c r="AO372" s="369"/>
      <c r="AP372" s="369"/>
    </row>
    <row r="373" spans="2:42" s="180" customFormat="1">
      <c r="B373" s="13" t="s">
        <v>39</v>
      </c>
      <c r="C373" s="16">
        <v>0.375</v>
      </c>
      <c r="D373" s="16">
        <v>0.20833333333333334</v>
      </c>
      <c r="E373" s="19">
        <v>7</v>
      </c>
      <c r="F373" s="277"/>
      <c r="G373" s="4"/>
      <c r="H373" s="47">
        <v>0.39583333333333331</v>
      </c>
      <c r="I373" s="47">
        <v>0.20833333333333334</v>
      </c>
      <c r="J373" s="319">
        <v>6.5</v>
      </c>
      <c r="K373" s="277"/>
      <c r="L373" s="4"/>
      <c r="M373" s="16">
        <v>0.38541666666666669</v>
      </c>
      <c r="N373" s="16">
        <v>0.20833333333333334</v>
      </c>
      <c r="O373" s="319">
        <v>6.75</v>
      </c>
      <c r="P373" s="277"/>
      <c r="Q373" s="4"/>
      <c r="R373" s="47">
        <v>0.39583333333333331</v>
      </c>
      <c r="S373" s="47">
        <v>0.20833333333333334</v>
      </c>
      <c r="T373" s="319">
        <v>6.5</v>
      </c>
      <c r="U373" s="277"/>
      <c r="V373" s="4"/>
      <c r="W373" s="4">
        <v>0</v>
      </c>
      <c r="X373" s="4">
        <v>0</v>
      </c>
      <c r="Y373" s="319">
        <v>0</v>
      </c>
      <c r="Z373" s="277"/>
      <c r="AA373" s="29">
        <f t="shared" si="41"/>
        <v>26.75</v>
      </c>
      <c r="AB373" s="298">
        <f t="shared" si="42"/>
        <v>0</v>
      </c>
      <c r="AC373" s="4"/>
      <c r="AD373" s="4">
        <v>0</v>
      </c>
      <c r="AE373" s="4">
        <v>0</v>
      </c>
      <c r="AF373" s="19">
        <v>0</v>
      </c>
      <c r="AG373" s="29">
        <f t="shared" si="43"/>
        <v>0</v>
      </c>
      <c r="AH373" s="4"/>
      <c r="AI373" s="255"/>
      <c r="AK373" s="193"/>
      <c r="AL373" s="193"/>
      <c r="AM373" s="193"/>
      <c r="AN373" s="193"/>
      <c r="AO373" s="193"/>
      <c r="AP373" s="193"/>
    </row>
    <row r="374" spans="2:42" s="180" customFormat="1">
      <c r="B374" s="164" t="s">
        <v>40</v>
      </c>
      <c r="C374" s="4">
        <v>0</v>
      </c>
      <c r="D374" s="4">
        <v>0</v>
      </c>
      <c r="E374" s="19">
        <v>0</v>
      </c>
      <c r="F374" s="277"/>
      <c r="G374" s="4"/>
      <c r="H374" s="47">
        <v>0.375</v>
      </c>
      <c r="I374" s="47">
        <v>0.20833333333333334</v>
      </c>
      <c r="J374" s="319">
        <v>7</v>
      </c>
      <c r="K374" s="277"/>
      <c r="L374" s="4"/>
      <c r="M374" s="12" t="s">
        <v>29</v>
      </c>
      <c r="N374" s="12" t="s">
        <v>29</v>
      </c>
      <c r="O374" s="319">
        <v>0</v>
      </c>
      <c r="P374" s="277"/>
      <c r="Q374" s="4"/>
      <c r="R374" s="12" t="s">
        <v>29</v>
      </c>
      <c r="S374" s="12" t="s">
        <v>29</v>
      </c>
      <c r="T374" s="319">
        <v>0</v>
      </c>
      <c r="U374" s="277"/>
      <c r="V374" s="4"/>
      <c r="W374" s="12" t="s">
        <v>29</v>
      </c>
      <c r="X374" s="12" t="s">
        <v>29</v>
      </c>
      <c r="Y374" s="319">
        <v>0</v>
      </c>
      <c r="Z374" s="277"/>
      <c r="AA374" s="29">
        <f t="shared" si="41"/>
        <v>7</v>
      </c>
      <c r="AB374" s="298">
        <f t="shared" si="42"/>
        <v>0</v>
      </c>
      <c r="AC374" s="4"/>
      <c r="AD374" s="4">
        <v>0</v>
      </c>
      <c r="AE374" s="4">
        <v>0</v>
      </c>
      <c r="AF374" s="19">
        <v>0</v>
      </c>
      <c r="AG374" s="29">
        <f t="shared" si="43"/>
        <v>0</v>
      </c>
      <c r="AH374" s="4"/>
      <c r="AI374" s="255"/>
      <c r="AK374" s="193"/>
      <c r="AL374" s="193"/>
      <c r="AM374" s="193"/>
      <c r="AN374" s="193"/>
      <c r="AO374" s="193"/>
      <c r="AP374" s="193"/>
    </row>
    <row r="375" spans="2:42" s="180" customFormat="1">
      <c r="B375" s="164" t="s">
        <v>42</v>
      </c>
      <c r="C375" s="16">
        <v>0.375</v>
      </c>
      <c r="D375" s="16">
        <v>0.20833333333333334</v>
      </c>
      <c r="E375" s="19">
        <v>7</v>
      </c>
      <c r="F375" s="277"/>
      <c r="G375" s="4"/>
      <c r="H375" s="47">
        <v>0.375</v>
      </c>
      <c r="I375" s="47">
        <v>0.20833333333333334</v>
      </c>
      <c r="J375" s="319">
        <v>7</v>
      </c>
      <c r="K375" s="277"/>
      <c r="L375" s="4"/>
      <c r="M375" s="16">
        <v>0.375</v>
      </c>
      <c r="N375" s="16">
        <v>0.20833333333333334</v>
      </c>
      <c r="O375" s="319">
        <v>7</v>
      </c>
      <c r="P375" s="277"/>
      <c r="Q375" s="4"/>
      <c r="R375" s="16">
        <v>0.39583333333333331</v>
      </c>
      <c r="S375" s="47">
        <v>0.20833333333333334</v>
      </c>
      <c r="T375" s="319">
        <v>6.5</v>
      </c>
      <c r="U375" s="277"/>
      <c r="V375" s="4"/>
      <c r="W375" s="47">
        <v>0.375</v>
      </c>
      <c r="X375" s="47">
        <v>0.20833333333333334</v>
      </c>
      <c r="Y375" s="319">
        <v>7</v>
      </c>
      <c r="Z375" s="277"/>
      <c r="AA375" s="29">
        <f t="shared" si="41"/>
        <v>34.5</v>
      </c>
      <c r="AB375" s="298">
        <f t="shared" si="42"/>
        <v>0</v>
      </c>
      <c r="AC375" s="4"/>
      <c r="AD375" s="4">
        <v>0</v>
      </c>
      <c r="AE375" s="4">
        <v>0</v>
      </c>
      <c r="AF375" s="19">
        <v>0</v>
      </c>
      <c r="AG375" s="29">
        <f t="shared" si="43"/>
        <v>0</v>
      </c>
      <c r="AH375" s="4"/>
      <c r="AI375" s="255"/>
      <c r="AK375" s="193"/>
      <c r="AL375" s="193"/>
      <c r="AM375" s="193"/>
      <c r="AN375" s="193"/>
      <c r="AO375" s="193"/>
      <c r="AP375" s="193"/>
    </row>
    <row r="376" spans="2:42" s="180" customFormat="1">
      <c r="B376" s="13" t="s">
        <v>43</v>
      </c>
      <c r="C376" s="16">
        <v>0.375</v>
      </c>
      <c r="D376" s="16">
        <v>0.20833333333333334</v>
      </c>
      <c r="E376" s="19">
        <v>7</v>
      </c>
      <c r="F376" s="277"/>
      <c r="G376" s="4"/>
      <c r="H376" s="47">
        <v>0.375</v>
      </c>
      <c r="I376" s="47">
        <v>0.20833333333333334</v>
      </c>
      <c r="J376" s="319">
        <v>7</v>
      </c>
      <c r="K376" s="277"/>
      <c r="L376" s="4"/>
      <c r="M376" s="47">
        <v>0.39583333333333331</v>
      </c>
      <c r="N376" s="47">
        <v>0.20833333333333334</v>
      </c>
      <c r="O376" s="319">
        <v>6.5</v>
      </c>
      <c r="P376" s="277"/>
      <c r="Q376" s="4"/>
      <c r="R376" s="47">
        <v>0.375</v>
      </c>
      <c r="S376" s="47">
        <v>0.20833333333333334</v>
      </c>
      <c r="T376" s="319">
        <v>7</v>
      </c>
      <c r="U376" s="277"/>
      <c r="V376" s="4"/>
      <c r="W376" s="47">
        <v>0.39583333333333331</v>
      </c>
      <c r="X376" s="47">
        <v>0.20833333333333334</v>
      </c>
      <c r="Y376" s="319">
        <v>6.5</v>
      </c>
      <c r="Z376" s="277"/>
      <c r="AA376" s="29">
        <f t="shared" si="41"/>
        <v>34</v>
      </c>
      <c r="AB376" s="298">
        <f t="shared" si="42"/>
        <v>0</v>
      </c>
      <c r="AC376" s="4"/>
      <c r="AD376" s="4">
        <v>0</v>
      </c>
      <c r="AE376" s="4">
        <v>0</v>
      </c>
      <c r="AF376" s="19">
        <v>0</v>
      </c>
      <c r="AG376" s="29">
        <f t="shared" si="43"/>
        <v>0</v>
      </c>
      <c r="AH376" s="4"/>
      <c r="AI376" s="255"/>
      <c r="AK376" s="193"/>
      <c r="AL376" s="193"/>
      <c r="AM376" s="193"/>
      <c r="AN376" s="193"/>
      <c r="AO376" s="193"/>
      <c r="AP376" s="193"/>
    </row>
    <row r="377" spans="2:42" s="180" customFormat="1">
      <c r="B377" s="13" t="s">
        <v>44</v>
      </c>
      <c r="C377" s="16">
        <v>0.375</v>
      </c>
      <c r="D377" s="16">
        <v>0.20833333333333334</v>
      </c>
      <c r="E377" s="19">
        <v>7</v>
      </c>
      <c r="F377" s="277"/>
      <c r="G377" s="4"/>
      <c r="H377" s="47">
        <v>0.375</v>
      </c>
      <c r="I377" s="47">
        <v>0.20833333333333334</v>
      </c>
      <c r="J377" s="319">
        <v>7</v>
      </c>
      <c r="K377" s="277"/>
      <c r="L377" s="4"/>
      <c r="M377" s="47">
        <v>0.375</v>
      </c>
      <c r="N377" s="47">
        <v>0.20833333333333334</v>
      </c>
      <c r="O377" s="319">
        <v>7</v>
      </c>
      <c r="P377" s="277"/>
      <c r="Q377" s="4"/>
      <c r="R377" s="16">
        <v>0.40625</v>
      </c>
      <c r="S377" s="47">
        <v>0.20833333333333334</v>
      </c>
      <c r="T377" s="319">
        <v>6.25</v>
      </c>
      <c r="U377" s="277"/>
      <c r="V377" s="4"/>
      <c r="W377" s="47">
        <v>0.375</v>
      </c>
      <c r="X377" s="47">
        <v>0.20833333333333334</v>
      </c>
      <c r="Y377" s="319">
        <v>7</v>
      </c>
      <c r="Z377" s="277"/>
      <c r="AA377" s="29">
        <f t="shared" si="41"/>
        <v>34.25</v>
      </c>
      <c r="AB377" s="298">
        <f t="shared" si="42"/>
        <v>0</v>
      </c>
      <c r="AC377" s="4"/>
      <c r="AD377" s="4">
        <v>0</v>
      </c>
      <c r="AE377" s="4">
        <v>0</v>
      </c>
      <c r="AF377" s="19">
        <v>0</v>
      </c>
      <c r="AG377" s="29">
        <f t="shared" si="43"/>
        <v>0</v>
      </c>
      <c r="AH377" s="4"/>
      <c r="AI377" s="255"/>
      <c r="AK377" s="193"/>
      <c r="AL377" s="193"/>
      <c r="AM377" s="193"/>
      <c r="AN377" s="193"/>
      <c r="AO377" s="193"/>
      <c r="AP377" s="193"/>
    </row>
    <row r="378" spans="2:42" s="180" customFormat="1">
      <c r="B378" s="13" t="s">
        <v>45</v>
      </c>
      <c r="C378" s="16">
        <v>0.375</v>
      </c>
      <c r="D378" s="16">
        <v>0.20833333333333334</v>
      </c>
      <c r="E378" s="19">
        <v>7</v>
      </c>
      <c r="F378" s="277"/>
      <c r="G378" s="4"/>
      <c r="H378" s="4">
        <v>0</v>
      </c>
      <c r="I378" s="4">
        <v>0</v>
      </c>
      <c r="J378" s="319">
        <v>0</v>
      </c>
      <c r="K378" s="277"/>
      <c r="L378" s="4"/>
      <c r="M378" s="47">
        <v>0</v>
      </c>
      <c r="N378" s="47">
        <v>0</v>
      </c>
      <c r="O378" s="319">
        <v>0</v>
      </c>
      <c r="P378" s="277"/>
      <c r="Q378" s="4"/>
      <c r="R378" s="4">
        <v>0</v>
      </c>
      <c r="S378" s="4">
        <v>0</v>
      </c>
      <c r="T378" s="319">
        <v>0</v>
      </c>
      <c r="U378" s="277"/>
      <c r="V378" s="4"/>
      <c r="W378" s="4">
        <v>0</v>
      </c>
      <c r="X378" s="4">
        <v>0</v>
      </c>
      <c r="Y378" s="319">
        <v>0</v>
      </c>
      <c r="Z378" s="277"/>
      <c r="AA378" s="29">
        <f t="shared" si="41"/>
        <v>7</v>
      </c>
      <c r="AB378" s="298">
        <f t="shared" si="42"/>
        <v>0</v>
      </c>
      <c r="AC378" s="4"/>
      <c r="AD378" s="4">
        <v>0</v>
      </c>
      <c r="AE378" s="4">
        <v>0</v>
      </c>
      <c r="AF378" s="19">
        <v>0</v>
      </c>
      <c r="AG378" s="29">
        <f t="shared" si="43"/>
        <v>0</v>
      </c>
      <c r="AH378" s="4"/>
      <c r="AI378" s="255"/>
      <c r="AK378" s="193"/>
      <c r="AL378" s="193"/>
      <c r="AM378" s="193"/>
      <c r="AN378" s="193"/>
      <c r="AO378" s="193"/>
      <c r="AP378" s="193"/>
    </row>
    <row r="379" spans="2:42" s="180" customFormat="1">
      <c r="B379" s="13" t="s">
        <v>47</v>
      </c>
      <c r="C379" s="16">
        <v>0.375</v>
      </c>
      <c r="D379" s="16">
        <v>0.20833333333333334</v>
      </c>
      <c r="E379" s="19">
        <v>7</v>
      </c>
      <c r="F379" s="277"/>
      <c r="G379" s="4"/>
      <c r="H379" s="47">
        <v>0.375</v>
      </c>
      <c r="I379" s="47">
        <v>0.20833333333333334</v>
      </c>
      <c r="J379" s="319">
        <v>7</v>
      </c>
      <c r="K379" s="277"/>
      <c r="L379" s="4"/>
      <c r="M379" s="47">
        <v>0.375</v>
      </c>
      <c r="N379" s="16">
        <v>0.20833333333333334</v>
      </c>
      <c r="O379" s="319">
        <v>7</v>
      </c>
      <c r="P379" s="277"/>
      <c r="Q379" s="4"/>
      <c r="R379" s="4">
        <v>0</v>
      </c>
      <c r="S379" s="4">
        <v>0</v>
      </c>
      <c r="T379" s="319">
        <v>0</v>
      </c>
      <c r="U379" s="277"/>
      <c r="V379" s="4"/>
      <c r="W379" s="47">
        <v>0.375</v>
      </c>
      <c r="X379" s="47">
        <v>0.20833333333333334</v>
      </c>
      <c r="Y379" s="319">
        <v>7</v>
      </c>
      <c r="Z379" s="277"/>
      <c r="AA379" s="29">
        <f t="shared" si="41"/>
        <v>28</v>
      </c>
      <c r="AB379" s="298">
        <f t="shared" si="42"/>
        <v>0</v>
      </c>
      <c r="AC379" s="4"/>
      <c r="AD379" s="47">
        <v>0.42708333333333331</v>
      </c>
      <c r="AE379" s="47">
        <v>0.20833333333333334</v>
      </c>
      <c r="AF379" s="19">
        <v>6.75</v>
      </c>
      <c r="AG379" s="29">
        <f t="shared" si="43"/>
        <v>6.75</v>
      </c>
      <c r="AH379" s="4"/>
      <c r="AI379" s="255"/>
      <c r="AK379" s="193"/>
      <c r="AL379" s="193"/>
      <c r="AM379" s="193"/>
      <c r="AN379" s="193"/>
      <c r="AO379" s="193"/>
      <c r="AP379" s="193"/>
    </row>
    <row r="380" spans="2:42" s="180" customFormat="1">
      <c r="B380" s="13" t="s">
        <v>49</v>
      </c>
      <c r="C380" s="16">
        <v>0.375</v>
      </c>
      <c r="D380" s="16">
        <v>0.20833333333333334</v>
      </c>
      <c r="E380" s="19">
        <v>7</v>
      </c>
      <c r="F380" s="277"/>
      <c r="G380" s="4"/>
      <c r="H380" s="47">
        <v>0.375</v>
      </c>
      <c r="I380" s="47">
        <v>0.20833333333333334</v>
      </c>
      <c r="J380" s="319">
        <v>7</v>
      </c>
      <c r="K380" s="277"/>
      <c r="L380" s="4"/>
      <c r="M380" s="47">
        <v>0.375</v>
      </c>
      <c r="N380" s="16">
        <v>0.20833333333333334</v>
      </c>
      <c r="O380" s="319">
        <v>7</v>
      </c>
      <c r="P380" s="277"/>
      <c r="Q380" s="4"/>
      <c r="R380" s="4">
        <v>0</v>
      </c>
      <c r="S380" s="4">
        <v>0</v>
      </c>
      <c r="T380" s="319">
        <v>0</v>
      </c>
      <c r="U380" s="277"/>
      <c r="V380" s="4"/>
      <c r="W380" s="47">
        <v>0.375</v>
      </c>
      <c r="X380" s="47">
        <v>0.20833333333333334</v>
      </c>
      <c r="Y380" s="319">
        <v>7</v>
      </c>
      <c r="Z380" s="277"/>
      <c r="AA380" s="29">
        <f t="shared" si="41"/>
        <v>28</v>
      </c>
      <c r="AB380" s="298">
        <f t="shared" si="42"/>
        <v>0</v>
      </c>
      <c r="AC380" s="4"/>
      <c r="AD380" s="4">
        <v>0</v>
      </c>
      <c r="AE380" s="4">
        <v>0</v>
      </c>
      <c r="AF380" s="19">
        <v>0</v>
      </c>
      <c r="AG380" s="29">
        <f t="shared" si="43"/>
        <v>0</v>
      </c>
      <c r="AH380" s="4"/>
      <c r="AI380" s="255"/>
      <c r="AK380" s="193"/>
      <c r="AL380" s="193"/>
      <c r="AM380" s="193"/>
      <c r="AN380" s="193"/>
      <c r="AO380" s="193"/>
      <c r="AP380" s="193"/>
    </row>
    <row r="381" spans="2:42" s="180" customFormat="1">
      <c r="B381" s="13" t="s">
        <v>50</v>
      </c>
      <c r="C381" s="16">
        <v>0.41666666666666669</v>
      </c>
      <c r="D381" s="16">
        <v>0.20833333333333334</v>
      </c>
      <c r="E381" s="19">
        <v>6</v>
      </c>
      <c r="F381" s="277"/>
      <c r="G381" s="4"/>
      <c r="H381" s="47">
        <v>0.39583333333333331</v>
      </c>
      <c r="I381" s="47">
        <v>0.20833333333333334</v>
      </c>
      <c r="J381" s="319">
        <v>6.5</v>
      </c>
      <c r="K381" s="277"/>
      <c r="L381" s="4"/>
      <c r="M381" s="4">
        <v>0</v>
      </c>
      <c r="N381" s="4">
        <v>0</v>
      </c>
      <c r="O381" s="319">
        <v>0</v>
      </c>
      <c r="P381" s="277"/>
      <c r="Q381" s="4"/>
      <c r="R381" s="47">
        <v>0.40625</v>
      </c>
      <c r="S381" s="47">
        <v>0.20833333333333334</v>
      </c>
      <c r="T381" s="319">
        <v>6.25</v>
      </c>
      <c r="U381" s="277"/>
      <c r="V381" s="4"/>
      <c r="W381" s="47">
        <v>0.375</v>
      </c>
      <c r="X381" s="47">
        <v>0.20833333333333334</v>
      </c>
      <c r="Y381" s="319">
        <v>7</v>
      </c>
      <c r="Z381" s="277"/>
      <c r="AA381" s="29">
        <f t="shared" si="41"/>
        <v>25.75</v>
      </c>
      <c r="AB381" s="298">
        <f t="shared" si="42"/>
        <v>0</v>
      </c>
      <c r="AC381" s="4"/>
      <c r="AD381" s="4">
        <v>0</v>
      </c>
      <c r="AE381" s="4">
        <v>0</v>
      </c>
      <c r="AF381" s="19">
        <v>0</v>
      </c>
      <c r="AG381" s="29">
        <f t="shared" si="43"/>
        <v>0</v>
      </c>
      <c r="AH381" s="4"/>
      <c r="AI381" s="255"/>
      <c r="AK381" s="193"/>
      <c r="AL381" s="193"/>
      <c r="AM381" s="193"/>
      <c r="AN381" s="193"/>
      <c r="AO381" s="193"/>
      <c r="AP381" s="193"/>
    </row>
    <row r="382" spans="2:42" s="180" customFormat="1">
      <c r="B382" s="13" t="s">
        <v>51</v>
      </c>
      <c r="C382" s="12">
        <v>0</v>
      </c>
      <c r="D382" s="4">
        <v>0</v>
      </c>
      <c r="E382" s="19">
        <v>0</v>
      </c>
      <c r="F382" s="277"/>
      <c r="G382" s="4"/>
      <c r="H382" s="47">
        <v>0.375</v>
      </c>
      <c r="I382" s="47">
        <v>0.20833333333333334</v>
      </c>
      <c r="J382" s="319">
        <v>7</v>
      </c>
      <c r="K382" s="277"/>
      <c r="L382" s="4"/>
      <c r="M382" s="47">
        <v>0.36458333333333331</v>
      </c>
      <c r="N382" s="16">
        <v>0.20833333333333334</v>
      </c>
      <c r="O382" s="319">
        <v>7.25</v>
      </c>
      <c r="P382" s="277"/>
      <c r="Q382" s="4"/>
      <c r="R382" s="47">
        <v>0.375</v>
      </c>
      <c r="S382" s="47">
        <v>0.20833333333333334</v>
      </c>
      <c r="T382" s="319">
        <v>7</v>
      </c>
      <c r="U382" s="277"/>
      <c r="V382" s="4"/>
      <c r="W382" s="16">
        <v>0.375</v>
      </c>
      <c r="X382" s="47">
        <v>0.20833333333333334</v>
      </c>
      <c r="Y382" s="319">
        <v>7</v>
      </c>
      <c r="Z382" s="277"/>
      <c r="AA382" s="29">
        <f t="shared" si="41"/>
        <v>28.25</v>
      </c>
      <c r="AB382" s="298">
        <f t="shared" si="42"/>
        <v>0</v>
      </c>
      <c r="AC382" s="4"/>
      <c r="AD382" s="4">
        <v>0</v>
      </c>
      <c r="AE382" s="4">
        <v>0</v>
      </c>
      <c r="AF382" s="19">
        <v>0</v>
      </c>
      <c r="AG382" s="29">
        <f t="shared" si="43"/>
        <v>0</v>
      </c>
      <c r="AH382" s="4"/>
      <c r="AI382" s="255"/>
      <c r="AK382" s="193"/>
      <c r="AL382" s="193"/>
      <c r="AM382" s="193"/>
      <c r="AN382" s="193"/>
      <c r="AO382" s="193"/>
      <c r="AP382" s="193"/>
    </row>
    <row r="383" spans="2:42" s="180" customFormat="1">
      <c r="B383" s="13" t="s">
        <v>52</v>
      </c>
      <c r="C383" s="16">
        <v>0.375</v>
      </c>
      <c r="D383" s="16">
        <v>0.20833333333333334</v>
      </c>
      <c r="E383" s="19">
        <v>7</v>
      </c>
      <c r="F383" s="277"/>
      <c r="G383" s="4"/>
      <c r="H383" s="47">
        <v>0.375</v>
      </c>
      <c r="I383" s="47">
        <v>0.20833333333333334</v>
      </c>
      <c r="J383" s="319">
        <v>7</v>
      </c>
      <c r="K383" s="277"/>
      <c r="L383" s="4"/>
      <c r="M383" s="16">
        <v>0.375</v>
      </c>
      <c r="N383" s="16">
        <v>0.20833333333333334</v>
      </c>
      <c r="O383" s="319">
        <v>7</v>
      </c>
      <c r="P383" s="277"/>
      <c r="Q383" s="4"/>
      <c r="R383" s="16">
        <v>0.39583333333333331</v>
      </c>
      <c r="S383" s="47">
        <v>0.20833333333333334</v>
      </c>
      <c r="T383" s="319">
        <v>6.5</v>
      </c>
      <c r="U383" s="277"/>
      <c r="V383" s="4"/>
      <c r="W383" s="47">
        <v>0.375</v>
      </c>
      <c r="X383" s="47">
        <v>0.20833333333333334</v>
      </c>
      <c r="Y383" s="319">
        <v>7</v>
      </c>
      <c r="Z383" s="277"/>
      <c r="AA383" s="29">
        <f t="shared" si="41"/>
        <v>34.5</v>
      </c>
      <c r="AB383" s="298">
        <f t="shared" si="42"/>
        <v>0</v>
      </c>
      <c r="AC383" s="4"/>
      <c r="AD383" s="4">
        <v>0</v>
      </c>
      <c r="AE383" s="4">
        <v>0</v>
      </c>
      <c r="AF383" s="19">
        <v>0</v>
      </c>
      <c r="AG383" s="29">
        <f t="shared" si="43"/>
        <v>0</v>
      </c>
      <c r="AH383" s="4"/>
      <c r="AI383" s="255"/>
      <c r="AK383" s="193"/>
      <c r="AL383" s="193"/>
      <c r="AM383" s="193"/>
      <c r="AN383" s="193"/>
      <c r="AO383" s="193"/>
      <c r="AP383" s="193"/>
    </row>
    <row r="384" spans="2:42" s="180" customFormat="1">
      <c r="B384" s="13" t="s">
        <v>48</v>
      </c>
      <c r="C384" s="47">
        <v>0.35416666666666669</v>
      </c>
      <c r="D384" s="47">
        <v>0.20833333333333334</v>
      </c>
      <c r="E384" s="19">
        <v>7.5</v>
      </c>
      <c r="F384" s="277"/>
      <c r="G384" s="4"/>
      <c r="H384" s="47">
        <v>0.35416666666666669</v>
      </c>
      <c r="I384" s="47">
        <v>0.20833333333333334</v>
      </c>
      <c r="J384" s="19">
        <v>7.5</v>
      </c>
      <c r="K384" s="277"/>
      <c r="L384" s="4"/>
      <c r="M384" s="47">
        <v>0.35416666666666669</v>
      </c>
      <c r="N384" s="16">
        <v>0.20833333333333334</v>
      </c>
      <c r="O384" s="319">
        <v>7.5</v>
      </c>
      <c r="P384" s="277"/>
      <c r="Q384" s="4"/>
      <c r="R384" s="47">
        <v>0.35416666666666669</v>
      </c>
      <c r="S384" s="47">
        <v>0.20833333333333334</v>
      </c>
      <c r="T384" s="319">
        <v>7.5</v>
      </c>
      <c r="U384" s="277"/>
      <c r="V384" s="4"/>
      <c r="W384" s="47">
        <v>0.35416666666666669</v>
      </c>
      <c r="X384" s="47">
        <v>0.20833333333333334</v>
      </c>
      <c r="Y384" s="319">
        <v>7.5</v>
      </c>
      <c r="Z384" s="277"/>
      <c r="AA384" s="29">
        <f t="shared" si="41"/>
        <v>37.5</v>
      </c>
      <c r="AB384" s="298">
        <f t="shared" si="42"/>
        <v>0</v>
      </c>
      <c r="AC384" s="4"/>
      <c r="AD384" s="4">
        <v>0</v>
      </c>
      <c r="AE384" s="4">
        <v>0</v>
      </c>
      <c r="AF384" s="19">
        <v>0</v>
      </c>
      <c r="AG384" s="29">
        <f t="shared" si="43"/>
        <v>0</v>
      </c>
      <c r="AH384" s="4"/>
      <c r="AI384" s="255"/>
      <c r="AK384" s="193"/>
      <c r="AL384" s="193"/>
      <c r="AM384" s="193"/>
      <c r="AN384" s="193"/>
      <c r="AO384" s="193"/>
      <c r="AP384" s="193"/>
    </row>
    <row r="385" spans="1:42" s="180" customFormat="1">
      <c r="B385" s="13" t="s">
        <v>53</v>
      </c>
      <c r="C385" s="12">
        <v>0</v>
      </c>
      <c r="D385" s="12">
        <v>0</v>
      </c>
      <c r="E385" s="19">
        <v>0</v>
      </c>
      <c r="F385" s="277"/>
      <c r="G385" s="4"/>
      <c r="H385" s="47">
        <v>0.375</v>
      </c>
      <c r="I385" s="47">
        <v>0.20833333333333334</v>
      </c>
      <c r="J385" s="19">
        <v>7</v>
      </c>
      <c r="K385" s="277"/>
      <c r="L385" s="4"/>
      <c r="M385" s="47">
        <v>0.375</v>
      </c>
      <c r="N385" s="16">
        <v>0.20833333333333334</v>
      </c>
      <c r="O385" s="319">
        <v>7</v>
      </c>
      <c r="P385" s="277"/>
      <c r="Q385" s="4"/>
      <c r="R385" s="47">
        <v>0.41666666666666669</v>
      </c>
      <c r="S385" s="47">
        <v>0.20833333333333334</v>
      </c>
      <c r="T385" s="319">
        <v>6</v>
      </c>
      <c r="U385" s="277"/>
      <c r="V385" s="4"/>
      <c r="W385" s="4">
        <v>0</v>
      </c>
      <c r="X385" s="4">
        <v>0</v>
      </c>
      <c r="Y385" s="319">
        <v>0</v>
      </c>
      <c r="Z385" s="277"/>
      <c r="AA385" s="29">
        <f t="shared" si="41"/>
        <v>20</v>
      </c>
      <c r="AB385" s="298">
        <f t="shared" si="42"/>
        <v>0</v>
      </c>
      <c r="AC385" s="4"/>
      <c r="AD385" s="4">
        <v>0</v>
      </c>
      <c r="AE385" s="4">
        <v>0</v>
      </c>
      <c r="AF385" s="19">
        <v>0</v>
      </c>
      <c r="AG385" s="29">
        <f t="shared" si="43"/>
        <v>0</v>
      </c>
      <c r="AH385" s="4"/>
      <c r="AI385" s="255"/>
      <c r="AK385" s="193"/>
      <c r="AL385" s="193"/>
      <c r="AM385" s="193"/>
      <c r="AN385" s="193"/>
      <c r="AO385" s="193"/>
      <c r="AP385" s="193"/>
    </row>
    <row r="386" spans="1:42" s="180" customFormat="1">
      <c r="B386" s="13" t="s">
        <v>54</v>
      </c>
      <c r="C386" s="12" t="s">
        <v>29</v>
      </c>
      <c r="D386" s="12" t="s">
        <v>29</v>
      </c>
      <c r="E386" s="19">
        <v>0</v>
      </c>
      <c r="F386" s="277"/>
      <c r="G386" s="4"/>
      <c r="H386" s="12" t="s">
        <v>29</v>
      </c>
      <c r="I386" s="12" t="s">
        <v>29</v>
      </c>
      <c r="J386" s="19">
        <v>0</v>
      </c>
      <c r="K386" s="277"/>
      <c r="L386" s="4"/>
      <c r="M386" s="12" t="s">
        <v>29</v>
      </c>
      <c r="N386" s="12" t="s">
        <v>29</v>
      </c>
      <c r="O386" s="319">
        <v>0</v>
      </c>
      <c r="P386" s="277"/>
      <c r="Q386" s="4"/>
      <c r="R386" s="12" t="s">
        <v>29</v>
      </c>
      <c r="S386" s="12" t="s">
        <v>29</v>
      </c>
      <c r="T386" s="319">
        <v>0</v>
      </c>
      <c r="U386" s="277"/>
      <c r="V386" s="4"/>
      <c r="W386" s="12" t="s">
        <v>29</v>
      </c>
      <c r="X386" s="12" t="s">
        <v>29</v>
      </c>
      <c r="Y386" s="319">
        <v>0</v>
      </c>
      <c r="Z386" s="277"/>
      <c r="AA386" s="29">
        <f t="shared" si="41"/>
        <v>0</v>
      </c>
      <c r="AB386" s="298">
        <f t="shared" si="42"/>
        <v>0</v>
      </c>
      <c r="AC386" s="4"/>
      <c r="AD386" s="47">
        <v>0.41666666666666669</v>
      </c>
      <c r="AE386" s="47">
        <v>0.20833333333333334</v>
      </c>
      <c r="AF386" s="19">
        <v>7</v>
      </c>
      <c r="AG386" s="29">
        <f t="shared" si="43"/>
        <v>7</v>
      </c>
      <c r="AH386" s="4"/>
      <c r="AI386" s="255"/>
      <c r="AK386" s="193"/>
      <c r="AL386" s="193"/>
      <c r="AM386" s="193"/>
      <c r="AN386" s="193"/>
      <c r="AO386" s="193"/>
      <c r="AP386" s="193"/>
    </row>
    <row r="387" spans="1:42" s="180" customFormat="1">
      <c r="B387" s="13" t="s">
        <v>55</v>
      </c>
      <c r="C387" s="12" t="s">
        <v>29</v>
      </c>
      <c r="D387" s="12" t="s">
        <v>29</v>
      </c>
      <c r="E387" s="19">
        <v>0</v>
      </c>
      <c r="F387" s="277"/>
      <c r="G387" s="4"/>
      <c r="H387" s="12" t="s">
        <v>29</v>
      </c>
      <c r="I387" s="12" t="s">
        <v>29</v>
      </c>
      <c r="J387" s="19">
        <v>0</v>
      </c>
      <c r="K387" s="277"/>
      <c r="L387" s="4"/>
      <c r="M387" s="12" t="s">
        <v>29</v>
      </c>
      <c r="N387" s="12" t="s">
        <v>29</v>
      </c>
      <c r="O387" s="319">
        <v>0</v>
      </c>
      <c r="P387" s="277"/>
      <c r="Q387" s="4"/>
      <c r="R387" s="12" t="s">
        <v>29</v>
      </c>
      <c r="S387" s="12" t="s">
        <v>29</v>
      </c>
      <c r="T387" s="319">
        <v>0</v>
      </c>
      <c r="U387" s="277"/>
      <c r="V387" s="4"/>
      <c r="W387" s="12" t="s">
        <v>29</v>
      </c>
      <c r="X387" s="12" t="s">
        <v>29</v>
      </c>
      <c r="Y387" s="319">
        <v>0</v>
      </c>
      <c r="Z387" s="277"/>
      <c r="AA387" s="29">
        <f t="shared" si="41"/>
        <v>0</v>
      </c>
      <c r="AB387" s="298">
        <f t="shared" si="42"/>
        <v>0</v>
      </c>
      <c r="AC387" s="4"/>
      <c r="AD387" s="47">
        <v>0.41666666666666669</v>
      </c>
      <c r="AE387" s="47">
        <v>0.20833333333333334</v>
      </c>
      <c r="AF387" s="19">
        <v>7</v>
      </c>
      <c r="AG387" s="29">
        <f t="shared" si="43"/>
        <v>7</v>
      </c>
      <c r="AH387" s="4"/>
      <c r="AI387" s="255"/>
      <c r="AK387" s="193"/>
      <c r="AL387" s="193"/>
      <c r="AM387" s="193"/>
      <c r="AN387" s="193"/>
      <c r="AO387" s="193"/>
      <c r="AP387" s="193"/>
    </row>
    <row r="388" spans="1:42" s="180" customFormat="1">
      <c r="B388" s="138" t="s">
        <v>59</v>
      </c>
      <c r="C388" s="12" t="s">
        <v>29</v>
      </c>
      <c r="D388" s="12" t="s">
        <v>29</v>
      </c>
      <c r="E388" s="19">
        <v>8</v>
      </c>
      <c r="F388" s="277"/>
      <c r="G388" s="4"/>
      <c r="H388" s="12" t="s">
        <v>29</v>
      </c>
      <c r="I388" s="12" t="s">
        <v>29</v>
      </c>
      <c r="J388" s="19">
        <v>8</v>
      </c>
      <c r="K388" s="277"/>
      <c r="L388" s="4"/>
      <c r="M388" s="12" t="s">
        <v>29</v>
      </c>
      <c r="N388" s="12" t="s">
        <v>29</v>
      </c>
      <c r="O388" s="19">
        <v>8</v>
      </c>
      <c r="P388" s="277"/>
      <c r="Q388" s="4"/>
      <c r="R388" s="12" t="s">
        <v>29</v>
      </c>
      <c r="S388" s="12" t="s">
        <v>29</v>
      </c>
      <c r="T388" s="319">
        <v>8</v>
      </c>
      <c r="U388" s="277"/>
      <c r="V388" s="4"/>
      <c r="W388" s="12" t="s">
        <v>29</v>
      </c>
      <c r="X388" s="12" t="s">
        <v>29</v>
      </c>
      <c r="Y388" s="319">
        <v>8</v>
      </c>
      <c r="Z388" s="277"/>
      <c r="AA388" s="29">
        <f t="shared" si="41"/>
        <v>40</v>
      </c>
      <c r="AB388" s="298">
        <f t="shared" si="42"/>
        <v>0</v>
      </c>
      <c r="AC388" s="4"/>
      <c r="AD388" s="4">
        <v>0</v>
      </c>
      <c r="AE388" s="4">
        <v>0</v>
      </c>
      <c r="AF388" s="19">
        <v>0</v>
      </c>
      <c r="AG388" s="29">
        <f t="shared" si="43"/>
        <v>0</v>
      </c>
      <c r="AH388" s="4"/>
      <c r="AI388" s="255"/>
      <c r="AK388" s="193"/>
      <c r="AL388" s="193"/>
      <c r="AM388" s="193"/>
      <c r="AN388" s="193"/>
      <c r="AO388" s="193"/>
      <c r="AP388" s="193"/>
    </row>
    <row r="389" spans="1:42" s="180" customFormat="1">
      <c r="B389" s="138" t="s">
        <v>60</v>
      </c>
      <c r="C389" s="12" t="s">
        <v>29</v>
      </c>
      <c r="D389" s="12" t="s">
        <v>29</v>
      </c>
      <c r="E389" s="19">
        <v>8</v>
      </c>
      <c r="F389" s="277"/>
      <c r="G389" s="4"/>
      <c r="H389" s="12" t="s">
        <v>29</v>
      </c>
      <c r="I389" s="12" t="s">
        <v>29</v>
      </c>
      <c r="J389" s="19">
        <v>8</v>
      </c>
      <c r="K389" s="277"/>
      <c r="L389" s="4"/>
      <c r="M389" s="12" t="s">
        <v>29</v>
      </c>
      <c r="N389" s="12" t="s">
        <v>29</v>
      </c>
      <c r="O389" s="19">
        <v>8</v>
      </c>
      <c r="P389" s="277"/>
      <c r="Q389" s="4"/>
      <c r="R389" s="12" t="s">
        <v>29</v>
      </c>
      <c r="S389" s="12" t="s">
        <v>29</v>
      </c>
      <c r="T389" s="319">
        <v>8</v>
      </c>
      <c r="U389" s="277"/>
      <c r="V389" s="4"/>
      <c r="W389" s="12" t="s">
        <v>29</v>
      </c>
      <c r="X389" s="12" t="s">
        <v>29</v>
      </c>
      <c r="Y389" s="319">
        <v>8</v>
      </c>
      <c r="Z389" s="277"/>
      <c r="AA389" s="29">
        <f t="shared" si="41"/>
        <v>40</v>
      </c>
      <c r="AB389" s="298">
        <f t="shared" si="42"/>
        <v>0</v>
      </c>
      <c r="AC389" s="4"/>
      <c r="AD389" s="4">
        <v>0</v>
      </c>
      <c r="AE389" s="4">
        <v>0</v>
      </c>
      <c r="AF389" s="19">
        <v>0</v>
      </c>
      <c r="AG389" s="29">
        <f t="shared" si="43"/>
        <v>0</v>
      </c>
      <c r="AH389" s="4"/>
      <c r="AI389" s="255"/>
      <c r="AK389" s="193"/>
      <c r="AL389" s="193"/>
      <c r="AM389" s="193"/>
      <c r="AN389" s="193"/>
      <c r="AO389" s="193"/>
      <c r="AP389" s="193"/>
    </row>
    <row r="390" spans="1:42" s="180" customFormat="1">
      <c r="B390" s="63" t="s">
        <v>63</v>
      </c>
      <c r="C390" s="56"/>
      <c r="D390" s="56"/>
      <c r="E390" s="19">
        <v>8</v>
      </c>
      <c r="F390" s="291"/>
      <c r="G390" s="60"/>
      <c r="H390" s="56"/>
      <c r="I390" s="56"/>
      <c r="J390" s="19">
        <v>8</v>
      </c>
      <c r="K390" s="291"/>
      <c r="L390" s="60"/>
      <c r="M390" s="56"/>
      <c r="N390" s="56"/>
      <c r="O390" s="19">
        <v>8</v>
      </c>
      <c r="P390" s="19"/>
      <c r="Q390" s="60"/>
      <c r="R390" s="56"/>
      <c r="S390" s="56"/>
      <c r="T390" s="19">
        <v>8</v>
      </c>
      <c r="U390" s="19"/>
      <c r="V390" s="60"/>
      <c r="W390" s="56"/>
      <c r="X390" s="56"/>
      <c r="Y390" s="19">
        <v>8</v>
      </c>
      <c r="Z390" s="19"/>
      <c r="AA390" s="28">
        <f>SUM(E390+J390+O390+T390+Y390)</f>
        <v>40</v>
      </c>
      <c r="AB390" s="298"/>
      <c r="AC390" s="4"/>
      <c r="AD390" s="4"/>
      <c r="AE390" s="4"/>
      <c r="AF390" s="19"/>
      <c r="AG390" s="29"/>
      <c r="AH390" s="4"/>
      <c r="AI390" s="255"/>
      <c r="AK390" s="193"/>
      <c r="AL390" s="193"/>
      <c r="AM390" s="193"/>
      <c r="AN390" s="193"/>
      <c r="AO390" s="193"/>
      <c r="AP390" s="193"/>
    </row>
    <row r="391" spans="1:42" s="180" customFormat="1">
      <c r="B391" s="63" t="s">
        <v>62</v>
      </c>
      <c r="C391" s="12" t="s">
        <v>29</v>
      </c>
      <c r="D391" s="12" t="s">
        <v>29</v>
      </c>
      <c r="E391" s="19">
        <v>8</v>
      </c>
      <c r="F391" s="277"/>
      <c r="G391" s="60"/>
      <c r="H391" s="12" t="s">
        <v>29</v>
      </c>
      <c r="I391" s="12" t="s">
        <v>29</v>
      </c>
      <c r="J391" s="19">
        <v>8</v>
      </c>
      <c r="K391" s="277"/>
      <c r="L391" s="60"/>
      <c r="M391" s="12" t="s">
        <v>29</v>
      </c>
      <c r="N391" s="12" t="s">
        <v>29</v>
      </c>
      <c r="O391" s="19">
        <v>8</v>
      </c>
      <c r="P391" s="277"/>
      <c r="Q391" s="60"/>
      <c r="R391" s="12" t="s">
        <v>29</v>
      </c>
      <c r="S391" s="12" t="s">
        <v>29</v>
      </c>
      <c r="T391" s="19">
        <v>8</v>
      </c>
      <c r="U391" s="277"/>
      <c r="V391" s="60"/>
      <c r="W391" s="12" t="s">
        <v>29</v>
      </c>
      <c r="X391" s="12" t="s">
        <v>29</v>
      </c>
      <c r="Y391" s="19">
        <v>8</v>
      </c>
      <c r="Z391" s="277"/>
      <c r="AA391" s="28">
        <f>SUM(E391+J391+O391+T391+Y391)</f>
        <v>40</v>
      </c>
      <c r="AB391" s="282">
        <f t="shared" si="42"/>
        <v>0</v>
      </c>
      <c r="AC391" s="4"/>
      <c r="AD391" s="56"/>
      <c r="AE391" s="56"/>
      <c r="AF391" s="19"/>
      <c r="AG391" s="29">
        <v>0</v>
      </c>
      <c r="AH391" s="4"/>
      <c r="AI391" s="255"/>
      <c r="AK391" s="193"/>
      <c r="AL391" s="193"/>
      <c r="AM391" s="193"/>
      <c r="AN391" s="193"/>
      <c r="AO391" s="193"/>
      <c r="AP391" s="193"/>
    </row>
    <row r="392" spans="1:42" s="180" customFormat="1">
      <c r="B392" s="64" t="s">
        <v>61</v>
      </c>
      <c r="C392" s="64"/>
      <c r="D392" s="64"/>
      <c r="E392" s="167">
        <f>SUM(E367:E391)</f>
        <v>129.5</v>
      </c>
      <c r="F392" s="277">
        <f>SUM(F367:F387)</f>
        <v>0</v>
      </c>
      <c r="G392" s="64"/>
      <c r="H392" s="64"/>
      <c r="I392" s="64"/>
      <c r="J392" s="64">
        <f>SUM(J367:J391)</f>
        <v>150.5</v>
      </c>
      <c r="K392" s="277">
        <f>SUM(K367:K387)</f>
        <v>0</v>
      </c>
      <c r="L392" s="64"/>
      <c r="M392" s="64"/>
      <c r="N392" s="64"/>
      <c r="O392" s="167">
        <f>SUM(O367:O391)</f>
        <v>129.75</v>
      </c>
      <c r="P392" s="277">
        <f>SUM(P367:P389)</f>
        <v>0</v>
      </c>
      <c r="Q392" s="64"/>
      <c r="R392" s="64"/>
      <c r="S392" s="64"/>
      <c r="T392" s="167">
        <f>SUM(T367:T391)</f>
        <v>126.25</v>
      </c>
      <c r="U392" s="277">
        <f>SUM(U367:U389)</f>
        <v>0</v>
      </c>
      <c r="V392" s="64"/>
      <c r="W392" s="64"/>
      <c r="X392" s="64"/>
      <c r="Y392" s="167">
        <f>SUM(Y367:Y391)</f>
        <v>115.75</v>
      </c>
      <c r="Z392" s="277">
        <f>SUM(Z367:Z387)</f>
        <v>0</v>
      </c>
      <c r="AA392" s="370">
        <f>SUM(AA367:AA391)</f>
        <v>651.75</v>
      </c>
      <c r="AB392" s="284">
        <f>SUM(AB367:AB389)</f>
        <v>0</v>
      </c>
      <c r="AC392" s="4"/>
      <c r="AD392" s="64"/>
      <c r="AE392" s="64"/>
      <c r="AF392" s="64"/>
      <c r="AG392" s="370">
        <f>SUM(AG367:AG387)</f>
        <v>34.5</v>
      </c>
      <c r="AH392" s="4"/>
      <c r="AI392" s="255"/>
      <c r="AK392" s="193"/>
      <c r="AL392" s="193"/>
      <c r="AM392" s="193"/>
      <c r="AN392" s="193"/>
      <c r="AO392" s="193"/>
      <c r="AP392" s="193"/>
    </row>
    <row r="393" spans="1:42" s="180" customFormat="1">
      <c r="B393" s="63" t="s">
        <v>64</v>
      </c>
      <c r="C393" s="56"/>
      <c r="D393" s="56"/>
      <c r="E393" s="19">
        <v>8</v>
      </c>
      <c r="F393" s="291">
        <v>0.5</v>
      </c>
      <c r="G393" s="60"/>
      <c r="H393" s="56"/>
      <c r="I393" s="56"/>
      <c r="J393" s="19">
        <v>8</v>
      </c>
      <c r="K393" s="291">
        <v>1</v>
      </c>
      <c r="L393" s="60"/>
      <c r="M393" s="56"/>
      <c r="N393" s="56"/>
      <c r="O393" s="19">
        <v>8</v>
      </c>
      <c r="P393" s="19">
        <v>1</v>
      </c>
      <c r="Q393" s="60"/>
      <c r="R393" s="56"/>
      <c r="S393" s="56"/>
      <c r="T393" s="19">
        <v>8</v>
      </c>
      <c r="U393" s="19">
        <v>1.25</v>
      </c>
      <c r="V393" s="60"/>
      <c r="W393" s="56"/>
      <c r="X393" s="56"/>
      <c r="Y393" s="19">
        <v>8</v>
      </c>
      <c r="Z393" s="19">
        <v>1.25</v>
      </c>
      <c r="AA393" s="28">
        <f>SUM(E393+J393+O393+T393+Y393)</f>
        <v>40</v>
      </c>
      <c r="AB393" s="282">
        <f>Z393+U393+P393+K393+F393</f>
        <v>5</v>
      </c>
      <c r="AC393" s="4"/>
      <c r="AD393" s="56"/>
      <c r="AE393" s="56"/>
      <c r="AF393" s="19">
        <f>0.75+1.25+1</f>
        <v>3</v>
      </c>
      <c r="AG393" s="29">
        <f>AF393</f>
        <v>3</v>
      </c>
      <c r="AH393" s="4"/>
      <c r="AI393" s="255"/>
      <c r="AK393" s="193"/>
      <c r="AL393" s="193"/>
      <c r="AM393" s="193"/>
      <c r="AN393" s="193"/>
      <c r="AO393" s="193"/>
      <c r="AP393" s="193"/>
    </row>
    <row r="394" spans="1:42" s="180" customFormat="1" ht="14.25" thickBot="1">
      <c r="B394" s="268" t="s">
        <v>65</v>
      </c>
      <c r="C394" s="75"/>
      <c r="D394" s="75"/>
      <c r="E394" s="77">
        <v>0</v>
      </c>
      <c r="F394" s="292"/>
      <c r="G394" s="81"/>
      <c r="H394" s="75"/>
      <c r="I394" s="75"/>
      <c r="J394" s="77">
        <v>0</v>
      </c>
      <c r="K394" s="292"/>
      <c r="L394" s="81"/>
      <c r="M394" s="75"/>
      <c r="N394" s="75"/>
      <c r="O394" s="77">
        <v>0</v>
      </c>
      <c r="P394" s="77"/>
      <c r="Q394" s="81"/>
      <c r="R394" s="75"/>
      <c r="S394" s="75"/>
      <c r="T394" s="77">
        <v>0</v>
      </c>
      <c r="U394" s="77"/>
      <c r="V394" s="81"/>
      <c r="W394" s="75"/>
      <c r="X394" s="75"/>
      <c r="Y394" s="77">
        <v>0</v>
      </c>
      <c r="Z394" s="77"/>
      <c r="AA394" s="80">
        <f>SUM(E394+J394+O394+T394+Y394)</f>
        <v>0</v>
      </c>
      <c r="AB394" s="294">
        <f>Z394+U394+P394+K394+F394</f>
        <v>0</v>
      </c>
      <c r="AC394" s="4"/>
      <c r="AD394" s="75"/>
      <c r="AE394" s="75"/>
      <c r="AF394" s="77"/>
      <c r="AG394" s="276">
        <v>0</v>
      </c>
      <c r="AH394" s="4"/>
      <c r="AI394" s="255"/>
      <c r="AK394" s="193"/>
      <c r="AL394" s="193"/>
      <c r="AM394" s="193"/>
      <c r="AN394" s="193"/>
      <c r="AO394" s="193"/>
      <c r="AP394" s="193"/>
    </row>
    <row r="395" spans="1:42" s="180" customFormat="1" ht="14.25" thickTop="1">
      <c r="B395" s="71" t="s">
        <v>66</v>
      </c>
      <c r="C395" s="371"/>
      <c r="D395" s="371"/>
      <c r="E395" s="71">
        <f>SUM(E393:E394)</f>
        <v>8</v>
      </c>
      <c r="F395" s="372"/>
      <c r="G395" s="372"/>
      <c r="H395" s="371"/>
      <c r="I395" s="371"/>
      <c r="J395" s="71">
        <f>SUM(J393:J394)</f>
        <v>8</v>
      </c>
      <c r="K395" s="372"/>
      <c r="L395" s="372"/>
      <c r="M395" s="371"/>
      <c r="N395" s="371"/>
      <c r="O395" s="71">
        <f>SUM(O393:O394)</f>
        <v>8</v>
      </c>
      <c r="P395" s="372"/>
      <c r="Q395" s="372"/>
      <c r="R395" s="371"/>
      <c r="S395" s="371"/>
      <c r="T395" s="71">
        <f>SUM(T393:T394)</f>
        <v>8</v>
      </c>
      <c r="U395" s="372"/>
      <c r="V395" s="372"/>
      <c r="W395" s="371"/>
      <c r="X395" s="371"/>
      <c r="Y395" s="66">
        <f>SUM(Y393:Y394)</f>
        <v>8</v>
      </c>
      <c r="Z395" s="372"/>
      <c r="AA395" s="370">
        <f>SUM(AA393:AA394)</f>
        <v>40</v>
      </c>
      <c r="AB395" s="370">
        <f>SUM(AB393:AB394)</f>
        <v>5</v>
      </c>
      <c r="AC395" s="4"/>
      <c r="AG395" s="370">
        <f>SUM(AG393:AG394)</f>
        <v>3</v>
      </c>
      <c r="AH395" s="4"/>
      <c r="AI395" s="255"/>
      <c r="AK395" s="193"/>
      <c r="AL395" s="193"/>
      <c r="AM395" s="193"/>
      <c r="AN395" s="193"/>
      <c r="AO395" s="193"/>
      <c r="AP395" s="193"/>
    </row>
    <row r="396" spans="1:42" s="180" customFormat="1">
      <c r="B396" s="217" t="s">
        <v>67</v>
      </c>
      <c r="C396" s="207">
        <f>C397+C398</f>
        <v>60</v>
      </c>
      <c r="D396" s="207"/>
      <c r="E396" s="209"/>
      <c r="F396" s="209"/>
      <c r="G396" s="207"/>
      <c r="H396" s="209"/>
      <c r="I396" s="209"/>
      <c r="J396" s="209"/>
      <c r="K396" s="209"/>
      <c r="L396" s="207"/>
      <c r="M396" s="207"/>
      <c r="N396" s="207"/>
      <c r="O396" s="207"/>
      <c r="P396" s="209"/>
      <c r="Q396" s="207"/>
      <c r="R396" s="207"/>
      <c r="S396" s="207"/>
      <c r="T396" s="207"/>
      <c r="U396" s="209"/>
      <c r="V396" s="207"/>
      <c r="W396" s="207"/>
      <c r="X396" s="207"/>
      <c r="Y396" s="210"/>
      <c r="Z396" s="209"/>
      <c r="AA396" s="211"/>
      <c r="AB396" s="209"/>
      <c r="AC396" s="211"/>
      <c r="AD396" s="211"/>
      <c r="AE396" s="211"/>
      <c r="AF396" s="211"/>
      <c r="AG396" s="211"/>
      <c r="AH396" s="4"/>
      <c r="AI396" s="255"/>
      <c r="AK396" s="193"/>
      <c r="AL396" s="193"/>
      <c r="AM396" s="193"/>
      <c r="AN396" s="193"/>
      <c r="AO396" s="193"/>
      <c r="AP396" s="193"/>
    </row>
    <row r="397" spans="1:42" s="180" customFormat="1">
      <c r="B397" s="238" t="s">
        <v>68</v>
      </c>
      <c r="C397" s="239">
        <f>5+13+13+13+11+5</f>
        <v>60</v>
      </c>
      <c r="D397" s="207"/>
      <c r="E397" s="209"/>
      <c r="F397" s="209"/>
      <c r="G397" s="207"/>
      <c r="H397" s="209"/>
      <c r="I397" s="209"/>
      <c r="J397" s="209"/>
      <c r="K397" s="209"/>
      <c r="L397" s="207"/>
      <c r="M397" s="207"/>
      <c r="N397" s="207"/>
      <c r="O397" s="207"/>
      <c r="P397" s="209"/>
      <c r="Q397" s="207"/>
      <c r="R397" s="207"/>
      <c r="S397" s="207"/>
      <c r="T397" s="207"/>
      <c r="U397" s="209"/>
      <c r="V397" s="207"/>
      <c r="W397" s="207"/>
      <c r="X397" s="207"/>
      <c r="Y397" s="210"/>
      <c r="Z397" s="209"/>
      <c r="AA397" s="211"/>
      <c r="AB397" s="209"/>
      <c r="AC397" s="211"/>
      <c r="AD397" s="211"/>
      <c r="AE397" s="211"/>
      <c r="AF397" s="211"/>
      <c r="AG397" s="211"/>
      <c r="AH397" s="4"/>
      <c r="AI397" s="255"/>
      <c r="AK397" s="193"/>
      <c r="AL397" s="193"/>
      <c r="AM397" s="193"/>
      <c r="AN397" s="193"/>
      <c r="AO397" s="193"/>
      <c r="AP397" s="193"/>
    </row>
    <row r="398" spans="1:42" s="180" customFormat="1">
      <c r="A398" s="11"/>
      <c r="B398" s="238" t="s">
        <v>69</v>
      </c>
      <c r="C398" s="239"/>
      <c r="D398" s="207"/>
      <c r="E398" s="209"/>
      <c r="F398" s="209"/>
      <c r="G398" s="207"/>
      <c r="H398" s="209"/>
      <c r="I398" s="209"/>
      <c r="J398" s="209"/>
      <c r="K398" s="209"/>
      <c r="L398" s="207"/>
      <c r="M398" s="207"/>
      <c r="N398" s="207"/>
      <c r="O398" s="207"/>
      <c r="P398" s="209"/>
      <c r="Q398" s="207"/>
      <c r="R398" s="207"/>
      <c r="S398" s="207"/>
      <c r="T398" s="207"/>
      <c r="U398" s="209"/>
      <c r="V398" s="207"/>
      <c r="W398" s="207"/>
      <c r="X398" s="207"/>
      <c r="Y398" s="210"/>
      <c r="Z398" s="209"/>
      <c r="AA398" s="211"/>
      <c r="AB398" s="209"/>
      <c r="AC398" s="211"/>
      <c r="AD398" s="211"/>
      <c r="AE398" s="211"/>
      <c r="AF398" s="211"/>
      <c r="AG398" s="211"/>
      <c r="AH398" s="4"/>
      <c r="AI398" s="255"/>
      <c r="AK398" s="193"/>
      <c r="AL398" s="193"/>
      <c r="AM398" s="193"/>
      <c r="AN398" s="193"/>
      <c r="AO398" s="193"/>
      <c r="AP398" s="193"/>
    </row>
    <row r="399" spans="1:42" s="180" customFormat="1">
      <c r="E399" s="4"/>
      <c r="F399" s="4"/>
      <c r="G399" s="4"/>
      <c r="J399" s="4"/>
      <c r="K399" s="4"/>
      <c r="L399" s="4"/>
      <c r="O399" s="4"/>
      <c r="P399" s="4"/>
      <c r="Q399" s="4"/>
      <c r="T399" s="4"/>
      <c r="U399" s="4"/>
      <c r="V399" s="4"/>
      <c r="Y399" s="4"/>
      <c r="Z399" s="4"/>
      <c r="AA399" s="4"/>
      <c r="AB399" s="4"/>
      <c r="AC399" s="4"/>
      <c r="AH399" s="4"/>
    </row>
    <row r="400" spans="1:42" s="255" customFormat="1">
      <c r="A400" s="228"/>
      <c r="B400" s="229"/>
      <c r="C400" s="230"/>
      <c r="D400" s="230"/>
      <c r="E400" s="232"/>
      <c r="F400" s="232"/>
      <c r="G400" s="230"/>
      <c r="H400" s="232"/>
      <c r="I400" s="232"/>
      <c r="J400" s="232"/>
      <c r="K400" s="232"/>
      <c r="L400" s="230"/>
      <c r="M400" s="230"/>
      <c r="N400" s="230"/>
      <c r="O400" s="230"/>
      <c r="P400" s="232"/>
      <c r="Q400" s="230"/>
      <c r="R400" s="230"/>
      <c r="S400" s="230"/>
      <c r="T400" s="230"/>
      <c r="U400" s="232"/>
      <c r="V400" s="230"/>
      <c r="W400" s="230"/>
      <c r="X400" s="230"/>
      <c r="Y400" s="233"/>
      <c r="Z400" s="232"/>
      <c r="AA400" s="234"/>
      <c r="AB400" s="232"/>
      <c r="AC400" s="373"/>
      <c r="AD400" s="236"/>
      <c r="AH400" s="373"/>
    </row>
    <row r="401" spans="1:42" s="193" customFormat="1">
      <c r="A401" s="224"/>
      <c r="B401" s="214"/>
      <c r="C401" s="364"/>
      <c r="D401" s="364"/>
      <c r="E401" s="214"/>
      <c r="F401" s="214"/>
      <c r="G401" s="364"/>
      <c r="H401" s="214"/>
      <c r="I401" s="214"/>
      <c r="J401" s="214"/>
      <c r="K401" s="214"/>
      <c r="L401" s="364"/>
      <c r="M401" s="364"/>
      <c r="N401" s="364"/>
      <c r="O401" s="364"/>
      <c r="P401" s="214"/>
      <c r="Q401" s="364"/>
      <c r="R401" s="364"/>
      <c r="S401" s="364"/>
      <c r="T401" s="364"/>
      <c r="U401" s="214"/>
      <c r="V401" s="364"/>
      <c r="W401" s="364"/>
      <c r="X401" s="364"/>
      <c r="Y401" s="216"/>
      <c r="Z401" s="214"/>
      <c r="AA401" s="225"/>
      <c r="AB401" s="214"/>
      <c r="AC401" s="189"/>
      <c r="AH401" s="4"/>
      <c r="AI401" s="255"/>
      <c r="AJ401" s="180"/>
    </row>
    <row r="402" spans="1:42" s="180" customFormat="1">
      <c r="B402" s="1518" t="s">
        <v>18</v>
      </c>
      <c r="C402" s="1519">
        <v>45243</v>
      </c>
      <c r="D402" s="1519"/>
      <c r="E402" s="1519"/>
      <c r="F402" s="1519"/>
      <c r="G402" s="365"/>
      <c r="H402" s="1519">
        <v>45244</v>
      </c>
      <c r="I402" s="1519"/>
      <c r="J402" s="1519"/>
      <c r="K402" s="1519"/>
      <c r="L402" s="365"/>
      <c r="M402" s="1519">
        <v>45245</v>
      </c>
      <c r="N402" s="1519"/>
      <c r="O402" s="1519"/>
      <c r="P402" s="1519"/>
      <c r="Q402" s="365"/>
      <c r="R402" s="1519">
        <v>45246</v>
      </c>
      <c r="S402" s="1519"/>
      <c r="T402" s="1519"/>
      <c r="U402" s="1519"/>
      <c r="V402" s="365"/>
      <c r="W402" s="1519">
        <v>45247</v>
      </c>
      <c r="X402" s="1519"/>
      <c r="Y402" s="1519"/>
      <c r="Z402" s="1519"/>
      <c r="AA402" s="1517" t="s">
        <v>19</v>
      </c>
      <c r="AB402" s="1517" t="s">
        <v>20</v>
      </c>
      <c r="AC402" s="4"/>
      <c r="AD402" s="1519">
        <v>45248</v>
      </c>
      <c r="AE402" s="1519"/>
      <c r="AF402" s="1519"/>
      <c r="AG402" s="1517" t="s">
        <v>21</v>
      </c>
      <c r="AH402" s="4"/>
      <c r="AI402" s="255"/>
      <c r="AK402" s="194" t="s">
        <v>84</v>
      </c>
      <c r="AL402" s="366"/>
      <c r="AM402" s="366"/>
      <c r="AN402" s="366"/>
      <c r="AO402" s="366"/>
      <c r="AP402" s="366"/>
    </row>
    <row r="403" spans="1:42" s="367" customFormat="1">
      <c r="B403" s="1518"/>
      <c r="C403" s="21" t="s">
        <v>23</v>
      </c>
      <c r="D403" s="21" t="s">
        <v>24</v>
      </c>
      <c r="E403" s="205" t="s">
        <v>25</v>
      </c>
      <c r="F403" s="18" t="s">
        <v>14</v>
      </c>
      <c r="G403" s="4"/>
      <c r="H403" s="21" t="s">
        <v>23</v>
      </c>
      <c r="I403" s="21" t="s">
        <v>24</v>
      </c>
      <c r="J403" s="18" t="s">
        <v>25</v>
      </c>
      <c r="K403" s="18" t="s">
        <v>14</v>
      </c>
      <c r="L403" s="4"/>
      <c r="M403" s="21" t="s">
        <v>23</v>
      </c>
      <c r="N403" s="21" t="s">
        <v>24</v>
      </c>
      <c r="O403" s="18" t="s">
        <v>25</v>
      </c>
      <c r="P403" s="18" t="s">
        <v>14</v>
      </c>
      <c r="Q403" s="4"/>
      <c r="R403" s="21" t="s">
        <v>23</v>
      </c>
      <c r="S403" s="21" t="s">
        <v>24</v>
      </c>
      <c r="T403" s="18" t="s">
        <v>25</v>
      </c>
      <c r="U403" s="18" t="s">
        <v>14</v>
      </c>
      <c r="V403" s="4"/>
      <c r="W403" s="21" t="s">
        <v>23</v>
      </c>
      <c r="X403" s="21" t="s">
        <v>24</v>
      </c>
      <c r="Y403" s="18" t="s">
        <v>25</v>
      </c>
      <c r="Z403" s="18" t="s">
        <v>14</v>
      </c>
      <c r="AA403" s="1517"/>
      <c r="AB403" s="1517"/>
      <c r="AC403" s="4"/>
      <c r="AD403" s="21" t="s">
        <v>23</v>
      </c>
      <c r="AE403" s="21" t="s">
        <v>24</v>
      </c>
      <c r="AF403" s="18" t="s">
        <v>25</v>
      </c>
      <c r="AG403" s="1517"/>
      <c r="AH403" s="175"/>
      <c r="AI403" s="368"/>
      <c r="AK403" s="188" t="s">
        <v>26</v>
      </c>
      <c r="AL403" s="196">
        <f>AA430</f>
        <v>583</v>
      </c>
      <c r="AM403" s="193"/>
      <c r="AN403" s="193"/>
      <c r="AO403" s="193"/>
      <c r="AP403" s="193"/>
    </row>
    <row r="404" spans="1:42" s="367" customFormat="1">
      <c r="B404" s="171" t="s">
        <v>72</v>
      </c>
      <c r="C404" s="172">
        <v>0.375</v>
      </c>
      <c r="D404" s="172">
        <v>0.20833333333333334</v>
      </c>
      <c r="E404" s="173">
        <v>7</v>
      </c>
      <c r="F404" s="277"/>
      <c r="G404" s="4"/>
      <c r="H404" s="172">
        <v>0.38541666666666669</v>
      </c>
      <c r="I404" s="172">
        <v>0.20833333333333334</v>
      </c>
      <c r="J404" s="173">
        <v>6.75</v>
      </c>
      <c r="K404" s="277"/>
      <c r="L404" s="4"/>
      <c r="M404" s="12" t="s">
        <v>29</v>
      </c>
      <c r="N404" s="12" t="s">
        <v>29</v>
      </c>
      <c r="O404" s="173"/>
      <c r="P404" s="277"/>
      <c r="Q404" s="4"/>
      <c r="R404" s="172">
        <v>0.38541666666666669</v>
      </c>
      <c r="S404" s="172">
        <v>0.20833333333333334</v>
      </c>
      <c r="T404" s="173">
        <v>6.75</v>
      </c>
      <c r="U404" s="277"/>
      <c r="V404" s="4"/>
      <c r="W404" s="172">
        <v>0.39583333333333331</v>
      </c>
      <c r="X404" s="172">
        <v>0.20833333333333334</v>
      </c>
      <c r="Y404" s="173">
        <v>6.5</v>
      </c>
      <c r="Z404" s="277"/>
      <c r="AA404" s="28">
        <f>(E404+J404+O404+T404+Y404)</f>
        <v>27</v>
      </c>
      <c r="AB404" s="298">
        <f t="shared" ref="AB404:AB428" si="44">Z404+U404+P404+K404+F404</f>
        <v>0</v>
      </c>
      <c r="AC404" s="4"/>
      <c r="AD404" s="175">
        <v>0</v>
      </c>
      <c r="AE404" s="175">
        <v>0</v>
      </c>
      <c r="AF404" s="173">
        <v>0</v>
      </c>
      <c r="AG404" s="28">
        <f t="shared" ref="AG404:AG427" si="45">AF404</f>
        <v>0</v>
      </c>
      <c r="AH404" s="175"/>
      <c r="AI404" s="368"/>
      <c r="AK404" s="188" t="s">
        <v>30</v>
      </c>
      <c r="AL404" s="196">
        <f>AB430</f>
        <v>8</v>
      </c>
      <c r="AM404" s="193"/>
      <c r="AN404" s="193"/>
      <c r="AO404" s="193"/>
      <c r="AP404" s="193"/>
    </row>
    <row r="405" spans="1:42" s="367" customFormat="1">
      <c r="B405" s="171" t="s">
        <v>71</v>
      </c>
      <c r="C405" s="172">
        <v>0.39583333333333331</v>
      </c>
      <c r="D405" s="172">
        <v>0.20833333333333334</v>
      </c>
      <c r="E405" s="173">
        <v>6.5</v>
      </c>
      <c r="F405" s="277"/>
      <c r="G405" s="4"/>
      <c r="H405" s="172">
        <v>0.375</v>
      </c>
      <c r="I405" s="172">
        <v>0.20833333333333334</v>
      </c>
      <c r="J405" s="173">
        <v>7</v>
      </c>
      <c r="K405" s="277"/>
      <c r="L405" s="4"/>
      <c r="M405" s="172">
        <v>0.375</v>
      </c>
      <c r="N405" s="172">
        <v>0.20833333333333334</v>
      </c>
      <c r="O405" s="173">
        <v>7</v>
      </c>
      <c r="P405" s="277"/>
      <c r="Q405" s="4"/>
      <c r="R405" s="172">
        <v>0.375</v>
      </c>
      <c r="S405" s="172">
        <v>0.27083333333333331</v>
      </c>
      <c r="T405" s="173">
        <v>8</v>
      </c>
      <c r="U405" s="277">
        <v>0.5</v>
      </c>
      <c r="V405" s="4"/>
      <c r="W405" s="172">
        <v>0.375</v>
      </c>
      <c r="X405" s="172">
        <v>0.20833333333333334</v>
      </c>
      <c r="Y405" s="173">
        <v>7</v>
      </c>
      <c r="Z405" s="277"/>
      <c r="AA405" s="28">
        <f t="shared" ref="AA405:AA427" si="46">(E405+J405+O405+T405+Y405)</f>
        <v>35.5</v>
      </c>
      <c r="AB405" s="298">
        <f t="shared" si="44"/>
        <v>0.5</v>
      </c>
      <c r="AC405" s="4"/>
      <c r="AD405" s="172">
        <v>0.375</v>
      </c>
      <c r="AE405" s="172">
        <v>0.22916666666666666</v>
      </c>
      <c r="AF405" s="173">
        <v>8.5</v>
      </c>
      <c r="AG405" s="28">
        <f t="shared" si="45"/>
        <v>8.5</v>
      </c>
      <c r="AH405" s="175"/>
      <c r="AI405" s="368"/>
      <c r="AK405" s="188" t="s">
        <v>32</v>
      </c>
      <c r="AL405" s="196">
        <f>AG430</f>
        <v>48.25</v>
      </c>
      <c r="AM405" s="193"/>
      <c r="AN405" s="193"/>
      <c r="AO405" s="193"/>
      <c r="AP405" s="193"/>
    </row>
    <row r="406" spans="1:42" s="401" customFormat="1">
      <c r="B406" s="8" t="s">
        <v>46</v>
      </c>
      <c r="C406" s="314">
        <v>0.375</v>
      </c>
      <c r="D406" s="314">
        <v>0.20833333333333334</v>
      </c>
      <c r="E406" s="19">
        <v>7</v>
      </c>
      <c r="F406" s="277"/>
      <c r="G406" s="399"/>
      <c r="H406" s="314">
        <v>0.375</v>
      </c>
      <c r="I406" s="314">
        <v>0.20833333333333334</v>
      </c>
      <c r="J406" s="19">
        <v>7</v>
      </c>
      <c r="K406" s="277"/>
      <c r="L406" s="399"/>
      <c r="M406" s="47">
        <v>0.375</v>
      </c>
      <c r="N406" s="47">
        <v>0.25</v>
      </c>
      <c r="O406" s="319">
        <v>8</v>
      </c>
      <c r="P406" s="277"/>
      <c r="Q406" s="399"/>
      <c r="R406" s="314">
        <v>0.375</v>
      </c>
      <c r="S406" s="314">
        <v>0.20833333333333334</v>
      </c>
      <c r="T406" s="19">
        <v>7</v>
      </c>
      <c r="U406" s="277"/>
      <c r="V406" s="399"/>
      <c r="W406" s="314">
        <v>0.32291666666666669</v>
      </c>
      <c r="X406" s="47">
        <v>0.20833333333333334</v>
      </c>
      <c r="Y406" s="19">
        <v>8</v>
      </c>
      <c r="Z406" s="277">
        <v>2.5</v>
      </c>
      <c r="AA406" s="29">
        <f t="shared" si="46"/>
        <v>37</v>
      </c>
      <c r="AB406" s="298">
        <f t="shared" si="44"/>
        <v>2.5</v>
      </c>
      <c r="AC406" s="399"/>
      <c r="AD406" s="314">
        <v>0.375</v>
      </c>
      <c r="AE406" s="314">
        <v>0.20833333333333334</v>
      </c>
      <c r="AF406" s="19">
        <v>8</v>
      </c>
      <c r="AG406" s="29">
        <f t="shared" si="45"/>
        <v>8</v>
      </c>
      <c r="AH406" s="399"/>
      <c r="AI406" s="402"/>
      <c r="AK406" s="403" t="s">
        <v>34</v>
      </c>
      <c r="AL406" s="404">
        <f>AA432</f>
        <v>40</v>
      </c>
      <c r="AM406" s="405"/>
      <c r="AN406" s="405"/>
      <c r="AO406" s="405"/>
      <c r="AP406" s="405"/>
    </row>
    <row r="407" spans="1:42" s="180" customFormat="1">
      <c r="B407" s="13" t="s">
        <v>35</v>
      </c>
      <c r="C407" s="16">
        <v>0.39583333333333331</v>
      </c>
      <c r="D407" s="16">
        <v>0.20833333333333334</v>
      </c>
      <c r="E407" s="319">
        <v>6.5</v>
      </c>
      <c r="F407" s="277"/>
      <c r="G407" s="175"/>
      <c r="H407" s="47">
        <v>0.39583333333333331</v>
      </c>
      <c r="I407" s="47">
        <v>0.20833333333333334</v>
      </c>
      <c r="J407" s="319">
        <v>6.5</v>
      </c>
      <c r="K407" s="277"/>
      <c r="L407" s="175"/>
      <c r="M407" s="47">
        <v>0.375</v>
      </c>
      <c r="N407" s="47">
        <v>0.20833333333333334</v>
      </c>
      <c r="O407" s="319">
        <v>7</v>
      </c>
      <c r="P407" s="277"/>
      <c r="Q407" s="175"/>
      <c r="R407" s="47">
        <v>0.375</v>
      </c>
      <c r="S407" s="314">
        <v>0.20833333333333334</v>
      </c>
      <c r="T407" s="319">
        <v>7</v>
      </c>
      <c r="U407" s="277"/>
      <c r="V407" s="175"/>
      <c r="W407" s="47">
        <v>0.39583333333333331</v>
      </c>
      <c r="X407" s="47">
        <v>0.20833333333333334</v>
      </c>
      <c r="Y407" s="319">
        <v>6.5</v>
      </c>
      <c r="Z407" s="277"/>
      <c r="AA407" s="344">
        <f t="shared" si="46"/>
        <v>33.5</v>
      </c>
      <c r="AB407" s="298">
        <f t="shared" si="44"/>
        <v>0</v>
      </c>
      <c r="AC407" s="175"/>
      <c r="AD407" s="376">
        <v>0.38541666666666669</v>
      </c>
      <c r="AE407" s="314">
        <v>0.20833333333333334</v>
      </c>
      <c r="AF407" s="346">
        <v>7.75</v>
      </c>
      <c r="AG407" s="344">
        <f t="shared" si="45"/>
        <v>7.75</v>
      </c>
      <c r="AH407" s="4"/>
      <c r="AI407" s="255"/>
      <c r="AK407" s="188" t="s">
        <v>36</v>
      </c>
      <c r="AL407" s="196">
        <f>AB432</f>
        <v>7.75</v>
      </c>
      <c r="AM407" s="193"/>
      <c r="AN407" s="193"/>
      <c r="AO407" s="193"/>
      <c r="AP407" s="193"/>
    </row>
    <row r="408" spans="1:42" s="367" customFormat="1">
      <c r="B408" s="13" t="s">
        <v>37</v>
      </c>
      <c r="C408" s="47">
        <v>0.375</v>
      </c>
      <c r="D408" s="47">
        <v>0.20833333333333334</v>
      </c>
      <c r="E408" s="319">
        <v>7</v>
      </c>
      <c r="F408" s="277"/>
      <c r="G408" s="175"/>
      <c r="H408" s="47">
        <v>0.375</v>
      </c>
      <c r="I408" s="47">
        <v>0.20833333333333334</v>
      </c>
      <c r="J408" s="319">
        <v>7</v>
      </c>
      <c r="K408" s="277"/>
      <c r="L408" s="175"/>
      <c r="M408" s="47">
        <v>0.375</v>
      </c>
      <c r="N408" s="47">
        <v>0.20833333333333334</v>
      </c>
      <c r="O408" s="319">
        <v>7</v>
      </c>
      <c r="P408" s="277"/>
      <c r="Q408" s="175"/>
      <c r="R408" s="47">
        <v>0.375</v>
      </c>
      <c r="S408" s="314">
        <v>0.20833333333333334</v>
      </c>
      <c r="T408" s="319">
        <v>7</v>
      </c>
      <c r="U408" s="277"/>
      <c r="V408" s="175"/>
      <c r="W408" s="47">
        <v>0.375</v>
      </c>
      <c r="X408" s="47">
        <v>0.20833333333333334</v>
      </c>
      <c r="Y408" s="319">
        <v>7</v>
      </c>
      <c r="Z408" s="277"/>
      <c r="AA408" s="344">
        <f t="shared" si="46"/>
        <v>35</v>
      </c>
      <c r="AB408" s="298">
        <f t="shared" si="44"/>
        <v>0</v>
      </c>
      <c r="AC408" s="175"/>
      <c r="AD408" s="345">
        <v>0</v>
      </c>
      <c r="AE408" s="345">
        <v>0</v>
      </c>
      <c r="AF408" s="346">
        <v>0</v>
      </c>
      <c r="AG408" s="344">
        <f t="shared" si="45"/>
        <v>0</v>
      </c>
      <c r="AH408" s="175"/>
      <c r="AI408" s="368"/>
      <c r="AK408" s="188" t="s">
        <v>38</v>
      </c>
      <c r="AL408" s="196">
        <f>AG432</f>
        <v>2.5</v>
      </c>
      <c r="AM408" s="193"/>
      <c r="AN408" s="193"/>
      <c r="AO408" s="193"/>
      <c r="AP408" s="193"/>
    </row>
    <row r="409" spans="1:42" s="180" customFormat="1">
      <c r="B409" s="13" t="s">
        <v>39</v>
      </c>
      <c r="C409" s="16">
        <v>0.38541666666666669</v>
      </c>
      <c r="D409" s="16">
        <v>0.20833333333333334</v>
      </c>
      <c r="E409" s="19">
        <v>6.75</v>
      </c>
      <c r="F409" s="277"/>
      <c r="G409" s="4"/>
      <c r="H409" s="47">
        <v>0.4375</v>
      </c>
      <c r="I409" s="47">
        <v>0.20833333333333334</v>
      </c>
      <c r="J409" s="319">
        <v>5.5</v>
      </c>
      <c r="K409" s="277"/>
      <c r="L409" s="4"/>
      <c r="M409" s="47">
        <v>0.375</v>
      </c>
      <c r="N409" s="47">
        <v>0.20833333333333334</v>
      </c>
      <c r="O409" s="319">
        <v>7</v>
      </c>
      <c r="P409" s="277"/>
      <c r="Q409" s="4"/>
      <c r="R409" s="4">
        <v>0</v>
      </c>
      <c r="S409" s="4">
        <v>0</v>
      </c>
      <c r="T409" s="319">
        <v>0</v>
      </c>
      <c r="U409" s="277"/>
      <c r="V409" s="4"/>
      <c r="W409" s="47">
        <v>0.4375</v>
      </c>
      <c r="X409" s="47">
        <v>0.20833333333333334</v>
      </c>
      <c r="Y409" s="319">
        <v>5.5</v>
      </c>
      <c r="Z409" s="277"/>
      <c r="AA409" s="29">
        <f t="shared" si="46"/>
        <v>24.75</v>
      </c>
      <c r="AB409" s="298">
        <f t="shared" si="44"/>
        <v>0</v>
      </c>
      <c r="AC409" s="4"/>
      <c r="AD409" s="4">
        <v>0</v>
      </c>
      <c r="AE409" s="4">
        <v>0</v>
      </c>
      <c r="AF409" s="19">
        <v>0</v>
      </c>
      <c r="AG409" s="29">
        <f t="shared" si="45"/>
        <v>0</v>
      </c>
      <c r="AH409" s="4"/>
      <c r="AI409" s="255"/>
      <c r="AK409" s="188" t="s">
        <v>41</v>
      </c>
      <c r="AL409" s="196">
        <f>C433</f>
        <v>76</v>
      </c>
      <c r="AM409" s="369"/>
      <c r="AN409" s="369"/>
      <c r="AO409" s="369"/>
      <c r="AP409" s="369"/>
    </row>
    <row r="410" spans="1:42" s="180" customFormat="1">
      <c r="B410" s="164" t="s">
        <v>42</v>
      </c>
      <c r="C410" s="47">
        <v>0.375</v>
      </c>
      <c r="D410" s="47">
        <v>0.20833333333333334</v>
      </c>
      <c r="E410" s="19">
        <v>7</v>
      </c>
      <c r="F410" s="277"/>
      <c r="G410" s="4"/>
      <c r="H410" s="47">
        <v>0.375</v>
      </c>
      <c r="I410" s="47">
        <v>0.20833333333333334</v>
      </c>
      <c r="J410" s="319">
        <v>7</v>
      </c>
      <c r="K410" s="277"/>
      <c r="L410" s="4"/>
      <c r="M410" s="47">
        <v>0.39583333333333331</v>
      </c>
      <c r="N410" s="47">
        <v>0.20833333333333334</v>
      </c>
      <c r="O410" s="319">
        <v>6.5</v>
      </c>
      <c r="P410" s="277"/>
      <c r="Q410" s="4"/>
      <c r="R410" s="16">
        <v>0.375</v>
      </c>
      <c r="S410" s="314">
        <v>0.32291666666666669</v>
      </c>
      <c r="T410" s="319">
        <v>8</v>
      </c>
      <c r="U410" s="277">
        <v>1.75</v>
      </c>
      <c r="V410" s="4"/>
      <c r="W410" s="47">
        <v>0.375</v>
      </c>
      <c r="X410" s="47">
        <v>0.20833333333333334</v>
      </c>
      <c r="Y410" s="319">
        <v>7</v>
      </c>
      <c r="Z410" s="277"/>
      <c r="AA410" s="29">
        <f t="shared" si="46"/>
        <v>35.5</v>
      </c>
      <c r="AB410" s="298">
        <f t="shared" si="44"/>
        <v>1.75</v>
      </c>
      <c r="AC410" s="4"/>
      <c r="AD410" s="47">
        <v>0.375</v>
      </c>
      <c r="AE410" s="314">
        <v>0.20833333333333334</v>
      </c>
      <c r="AF410" s="19">
        <v>8</v>
      </c>
      <c r="AG410" s="29">
        <f t="shared" si="45"/>
        <v>8</v>
      </c>
      <c r="AH410" s="4"/>
      <c r="AI410" s="255"/>
      <c r="AK410" s="193"/>
      <c r="AL410" s="193"/>
      <c r="AM410" s="193"/>
      <c r="AN410" s="193"/>
      <c r="AO410" s="193"/>
      <c r="AP410" s="193"/>
    </row>
    <row r="411" spans="1:42" s="180" customFormat="1">
      <c r="B411" s="13" t="s">
        <v>43</v>
      </c>
      <c r="C411" s="47">
        <v>0.375</v>
      </c>
      <c r="D411" s="47">
        <v>0.20833333333333334</v>
      </c>
      <c r="E411" s="19">
        <v>7</v>
      </c>
      <c r="F411" s="277"/>
      <c r="G411" s="4"/>
      <c r="H411" s="47">
        <v>0.375</v>
      </c>
      <c r="I411" s="47">
        <v>0.20833333333333334</v>
      </c>
      <c r="J411" s="319">
        <v>7</v>
      </c>
      <c r="K411" s="277"/>
      <c r="L411" s="4"/>
      <c r="M411" s="47">
        <v>0.375</v>
      </c>
      <c r="N411" s="47">
        <v>0.20833333333333334</v>
      </c>
      <c r="O411" s="319">
        <v>7</v>
      </c>
      <c r="P411" s="277"/>
      <c r="Q411" s="4"/>
      <c r="R411" s="47">
        <v>0.375</v>
      </c>
      <c r="S411" s="314">
        <v>0.25</v>
      </c>
      <c r="T411" s="319">
        <v>8</v>
      </c>
      <c r="U411" s="277"/>
      <c r="V411" s="4"/>
      <c r="W411" s="47">
        <v>0.375</v>
      </c>
      <c r="X411" s="47"/>
      <c r="Y411" s="319"/>
      <c r="Z411" s="277"/>
      <c r="AA411" s="29">
        <f t="shared" si="46"/>
        <v>29</v>
      </c>
      <c r="AB411" s="298">
        <f t="shared" si="44"/>
        <v>0</v>
      </c>
      <c r="AC411" s="4"/>
      <c r="AD411" s="47">
        <v>0.375</v>
      </c>
      <c r="AE411" s="314">
        <v>0.20833333333333334</v>
      </c>
      <c r="AF411" s="19">
        <v>8</v>
      </c>
      <c r="AG411" s="29">
        <f t="shared" si="45"/>
        <v>8</v>
      </c>
      <c r="AH411" s="4"/>
      <c r="AI411" s="255"/>
      <c r="AK411" s="193"/>
      <c r="AL411" s="193"/>
      <c r="AM411" s="193"/>
      <c r="AN411" s="193"/>
      <c r="AO411" s="193"/>
      <c r="AP411" s="193"/>
    </row>
    <row r="412" spans="1:42" s="180" customFormat="1">
      <c r="B412" s="13" t="s">
        <v>44</v>
      </c>
      <c r="C412" s="4">
        <v>0</v>
      </c>
      <c r="D412" s="4">
        <v>0</v>
      </c>
      <c r="E412" s="19">
        <v>0</v>
      </c>
      <c r="F412" s="277"/>
      <c r="G412" s="4"/>
      <c r="H412" s="47">
        <v>0.38541666666666669</v>
      </c>
      <c r="I412" s="47">
        <v>0.20833333333333334</v>
      </c>
      <c r="J412" s="319">
        <v>6.75</v>
      </c>
      <c r="K412" s="277"/>
      <c r="L412" s="4"/>
      <c r="M412" s="47">
        <v>0.375</v>
      </c>
      <c r="N412" s="47">
        <v>0.20833333333333334</v>
      </c>
      <c r="O412" s="319">
        <v>7</v>
      </c>
      <c r="P412" s="277"/>
      <c r="Q412" s="4"/>
      <c r="R412" s="16">
        <v>0.375</v>
      </c>
      <c r="S412" s="314">
        <v>0.20833333333333334</v>
      </c>
      <c r="T412" s="319">
        <v>7</v>
      </c>
      <c r="U412" s="277"/>
      <c r="V412" s="4"/>
      <c r="W412" s="47">
        <v>0.375</v>
      </c>
      <c r="X412" s="47">
        <v>0.44791666666666669</v>
      </c>
      <c r="Y412" s="319">
        <v>1.75</v>
      </c>
      <c r="Z412" s="277"/>
      <c r="AA412" s="29">
        <f t="shared" si="46"/>
        <v>22.5</v>
      </c>
      <c r="AB412" s="298">
        <f t="shared" si="44"/>
        <v>0</v>
      </c>
      <c r="AC412" s="4"/>
      <c r="AD412" s="4">
        <v>0</v>
      </c>
      <c r="AE412" s="4">
        <v>0</v>
      </c>
      <c r="AF412" s="19">
        <v>0</v>
      </c>
      <c r="AG412" s="29">
        <f t="shared" si="45"/>
        <v>0</v>
      </c>
      <c r="AH412" s="4"/>
      <c r="AI412" s="255"/>
      <c r="AK412" s="193"/>
      <c r="AL412" s="193"/>
      <c r="AM412" s="193"/>
      <c r="AN412" s="193"/>
      <c r="AO412" s="193"/>
      <c r="AP412" s="193"/>
    </row>
    <row r="413" spans="1:42" s="180" customFormat="1">
      <c r="B413" s="13" t="s">
        <v>45</v>
      </c>
      <c r="C413" s="4">
        <v>0</v>
      </c>
      <c r="D413" s="4">
        <v>0</v>
      </c>
      <c r="E413" s="19">
        <v>0</v>
      </c>
      <c r="F413" s="277"/>
      <c r="G413" s="4"/>
      <c r="H413" s="4">
        <v>0</v>
      </c>
      <c r="I413" s="4">
        <v>0</v>
      </c>
      <c r="J413" s="319">
        <v>0</v>
      </c>
      <c r="K413" s="277"/>
      <c r="L413" s="4"/>
      <c r="M413" s="4">
        <v>0</v>
      </c>
      <c r="N413" s="4">
        <v>0</v>
      </c>
      <c r="O413" s="319"/>
      <c r="P413" s="277"/>
      <c r="Q413" s="4"/>
      <c r="R413" s="4">
        <v>0</v>
      </c>
      <c r="S413" s="4">
        <v>0</v>
      </c>
      <c r="T413" s="319">
        <v>0</v>
      </c>
      <c r="U413" s="277"/>
      <c r="V413" s="4"/>
      <c r="W413" s="4">
        <v>0</v>
      </c>
      <c r="X413" s="4">
        <v>0</v>
      </c>
      <c r="Y413" s="319">
        <v>0</v>
      </c>
      <c r="Z413" s="277"/>
      <c r="AA413" s="29">
        <f t="shared" si="46"/>
        <v>0</v>
      </c>
      <c r="AB413" s="298">
        <f t="shared" si="44"/>
        <v>0</v>
      </c>
      <c r="AC413" s="4"/>
      <c r="AD413" s="4">
        <v>0</v>
      </c>
      <c r="AE413" s="4">
        <v>0</v>
      </c>
      <c r="AF413" s="19">
        <v>0</v>
      </c>
      <c r="AG413" s="29">
        <f t="shared" si="45"/>
        <v>0</v>
      </c>
      <c r="AH413" s="4"/>
      <c r="AI413" s="255"/>
      <c r="AK413" s="193"/>
      <c r="AL413" s="193"/>
      <c r="AM413" s="193"/>
      <c r="AN413" s="193"/>
      <c r="AO413" s="193"/>
      <c r="AP413" s="193"/>
    </row>
    <row r="414" spans="1:42" s="180" customFormat="1">
      <c r="B414" s="13" t="s">
        <v>47</v>
      </c>
      <c r="C414" s="47">
        <v>0.375</v>
      </c>
      <c r="D414" s="47">
        <v>0.20833333333333334</v>
      </c>
      <c r="E414" s="19">
        <v>7</v>
      </c>
      <c r="F414" s="277"/>
      <c r="G414" s="4"/>
      <c r="H414" s="47">
        <v>0.375</v>
      </c>
      <c r="I414" s="47">
        <v>0.20833333333333334</v>
      </c>
      <c r="J414" s="319">
        <v>7</v>
      </c>
      <c r="K414" s="277"/>
      <c r="L414" s="4"/>
      <c r="M414" s="47">
        <v>0</v>
      </c>
      <c r="N414" s="47">
        <v>0</v>
      </c>
      <c r="O414" s="319">
        <v>0</v>
      </c>
      <c r="P414" s="277"/>
      <c r="Q414" s="4"/>
      <c r="R414" s="47">
        <v>0.375</v>
      </c>
      <c r="S414" s="314">
        <v>0.3125</v>
      </c>
      <c r="T414" s="319">
        <v>8</v>
      </c>
      <c r="U414" s="277">
        <v>2.5</v>
      </c>
      <c r="V414" s="4"/>
      <c r="W414" s="47">
        <v>0.375</v>
      </c>
      <c r="X414" s="47">
        <v>0.20833333333333334</v>
      </c>
      <c r="Y414" s="319">
        <v>7</v>
      </c>
      <c r="Z414" s="277"/>
      <c r="AA414" s="29">
        <f t="shared" si="46"/>
        <v>29</v>
      </c>
      <c r="AB414" s="298">
        <f t="shared" si="44"/>
        <v>2.5</v>
      </c>
      <c r="AC414" s="4"/>
      <c r="AD414" s="4">
        <v>0</v>
      </c>
      <c r="AE414" s="4">
        <v>0</v>
      </c>
      <c r="AF414" s="19">
        <v>0</v>
      </c>
      <c r="AG414" s="29">
        <f t="shared" si="45"/>
        <v>0</v>
      </c>
      <c r="AH414" s="4"/>
      <c r="AI414" s="255"/>
      <c r="AK414" s="193"/>
      <c r="AL414" s="193"/>
      <c r="AM414" s="193"/>
      <c r="AN414" s="193"/>
      <c r="AO414" s="193"/>
      <c r="AP414" s="193"/>
    </row>
    <row r="415" spans="1:42" s="180" customFormat="1">
      <c r="B415" s="13" t="s">
        <v>49</v>
      </c>
      <c r="C415" s="47">
        <v>0.375</v>
      </c>
      <c r="D415" s="47">
        <v>0.20833333333333334</v>
      </c>
      <c r="E415" s="19">
        <v>7</v>
      </c>
      <c r="F415" s="277"/>
      <c r="G415" s="4"/>
      <c r="H415" s="47">
        <v>0.375</v>
      </c>
      <c r="I415" s="47">
        <v>0.20833333333333334</v>
      </c>
      <c r="J415" s="319">
        <v>7</v>
      </c>
      <c r="K415" s="277"/>
      <c r="L415" s="4"/>
      <c r="M415" s="47">
        <v>0.38541666666666669</v>
      </c>
      <c r="N415" s="47">
        <v>0.20833333333333334</v>
      </c>
      <c r="O415" s="319">
        <v>6.75</v>
      </c>
      <c r="P415" s="277"/>
      <c r="Q415" s="4"/>
      <c r="R415" s="4">
        <v>0</v>
      </c>
      <c r="S415" s="4">
        <v>0</v>
      </c>
      <c r="T415" s="319">
        <v>0</v>
      </c>
      <c r="U415" s="277"/>
      <c r="V415" s="4"/>
      <c r="W415" s="4">
        <v>0</v>
      </c>
      <c r="X415" s="4">
        <v>0</v>
      </c>
      <c r="Y415" s="319">
        <v>0</v>
      </c>
      <c r="Z415" s="277"/>
      <c r="AA415" s="29">
        <f t="shared" si="46"/>
        <v>20.75</v>
      </c>
      <c r="AB415" s="298">
        <f t="shared" si="44"/>
        <v>0</v>
      </c>
      <c r="AC415" s="4"/>
      <c r="AD415" s="4">
        <v>0</v>
      </c>
      <c r="AE415" s="4">
        <v>0</v>
      </c>
      <c r="AF415" s="19">
        <v>0</v>
      </c>
      <c r="AG415" s="29">
        <f t="shared" si="45"/>
        <v>0</v>
      </c>
      <c r="AH415" s="4"/>
      <c r="AI415" s="255"/>
      <c r="AK415" s="193"/>
      <c r="AL415" s="193"/>
      <c r="AM415" s="193"/>
      <c r="AN415" s="193"/>
      <c r="AO415" s="193"/>
      <c r="AP415" s="193"/>
    </row>
    <row r="416" spans="1:42" s="180" customFormat="1">
      <c r="B416" s="13" t="s">
        <v>50</v>
      </c>
      <c r="C416" s="12" t="s">
        <v>29</v>
      </c>
      <c r="D416" s="12" t="s">
        <v>29</v>
      </c>
      <c r="E416" s="19">
        <v>0</v>
      </c>
      <c r="F416" s="277"/>
      <c r="G416" s="4"/>
      <c r="H416" s="12" t="s">
        <v>29</v>
      </c>
      <c r="I416" s="12" t="s">
        <v>29</v>
      </c>
      <c r="J416" s="19"/>
      <c r="K416" s="277"/>
      <c r="L416" s="4"/>
      <c r="M416" s="12" t="s">
        <v>29</v>
      </c>
      <c r="N416" s="12" t="s">
        <v>29</v>
      </c>
      <c r="O416" s="319"/>
      <c r="P416" s="277"/>
      <c r="Q416" s="4"/>
      <c r="R416" s="4">
        <v>0</v>
      </c>
      <c r="S416" s="4">
        <v>0</v>
      </c>
      <c r="T416" s="319">
        <v>0</v>
      </c>
      <c r="U416" s="277"/>
      <c r="V416" s="4"/>
      <c r="W416" s="47">
        <v>0.375</v>
      </c>
      <c r="X416" s="47">
        <v>0.20833333333333334</v>
      </c>
      <c r="Y416" s="319">
        <v>7</v>
      </c>
      <c r="Z416" s="277"/>
      <c r="AA416" s="29">
        <f t="shared" si="46"/>
        <v>7</v>
      </c>
      <c r="AB416" s="298">
        <f t="shared" si="44"/>
        <v>0</v>
      </c>
      <c r="AC416" s="4"/>
      <c r="AD416" s="47">
        <v>0.375</v>
      </c>
      <c r="AE416" s="314">
        <v>0.20833333333333334</v>
      </c>
      <c r="AF416" s="19">
        <v>8</v>
      </c>
      <c r="AG416" s="29">
        <f t="shared" si="45"/>
        <v>8</v>
      </c>
      <c r="AH416" s="4"/>
      <c r="AI416" s="255"/>
      <c r="AK416" s="193"/>
      <c r="AL416" s="193"/>
      <c r="AM416" s="193"/>
      <c r="AN416" s="193"/>
      <c r="AO416" s="193"/>
      <c r="AP416" s="193"/>
    </row>
    <row r="417" spans="2:42" s="180" customFormat="1">
      <c r="B417" s="13" t="s">
        <v>51</v>
      </c>
      <c r="C417" s="12" t="s">
        <v>29</v>
      </c>
      <c r="D417" s="12" t="s">
        <v>29</v>
      </c>
      <c r="E417" s="19">
        <v>0</v>
      </c>
      <c r="F417" s="277"/>
      <c r="G417" s="4"/>
      <c r="H417" s="47">
        <v>0.375</v>
      </c>
      <c r="I417" s="47">
        <v>0.20833333333333334</v>
      </c>
      <c r="J417" s="319">
        <v>7</v>
      </c>
      <c r="K417" s="277"/>
      <c r="L417" s="4"/>
      <c r="M417" s="47">
        <v>0.375</v>
      </c>
      <c r="N417" s="47">
        <v>0.20833333333333334</v>
      </c>
      <c r="O417" s="319">
        <v>7</v>
      </c>
      <c r="P417" s="277"/>
      <c r="Q417" s="4"/>
      <c r="R417" s="47">
        <v>0.375</v>
      </c>
      <c r="S417" s="314">
        <v>0.20833333333333334</v>
      </c>
      <c r="T417" s="319">
        <v>7</v>
      </c>
      <c r="U417" s="277"/>
      <c r="V417" s="4"/>
      <c r="W417" s="16">
        <v>0.32291666666666669</v>
      </c>
      <c r="X417" s="47">
        <v>0.20833333333333334</v>
      </c>
      <c r="Y417" s="319">
        <v>8</v>
      </c>
      <c r="Z417" s="277">
        <v>0.25</v>
      </c>
      <c r="AA417" s="29">
        <f t="shared" si="46"/>
        <v>29</v>
      </c>
      <c r="AB417" s="298">
        <f t="shared" si="44"/>
        <v>0.25</v>
      </c>
      <c r="AC417" s="4"/>
      <c r="AD417" s="4">
        <v>0</v>
      </c>
      <c r="AE417" s="4">
        <v>0</v>
      </c>
      <c r="AF417" s="19">
        <v>0</v>
      </c>
      <c r="AG417" s="29">
        <f t="shared" si="45"/>
        <v>0</v>
      </c>
      <c r="AH417" s="4"/>
      <c r="AI417" s="255"/>
      <c r="AK417" s="193"/>
      <c r="AL417" s="193"/>
      <c r="AM417" s="193"/>
      <c r="AN417" s="193"/>
      <c r="AO417" s="193"/>
      <c r="AP417" s="193"/>
    </row>
    <row r="418" spans="2:42" s="180" customFormat="1">
      <c r="B418" s="13" t="s">
        <v>52</v>
      </c>
      <c r="C418" s="12" t="s">
        <v>29</v>
      </c>
      <c r="D418" s="12" t="s">
        <v>29</v>
      </c>
      <c r="E418" s="19"/>
      <c r="F418" s="277"/>
      <c r="G418" s="4"/>
      <c r="H418" s="12" t="s">
        <v>29</v>
      </c>
      <c r="I418" s="12" t="s">
        <v>29</v>
      </c>
      <c r="J418" s="19"/>
      <c r="K418" s="277"/>
      <c r="L418" s="4"/>
      <c r="M418" s="47">
        <v>0.38541666666666669</v>
      </c>
      <c r="N418" s="47">
        <v>0.20833333333333334</v>
      </c>
      <c r="O418" s="319">
        <v>6.75</v>
      </c>
      <c r="P418" s="277"/>
      <c r="Q418" s="4"/>
      <c r="R418" s="16">
        <v>0.375</v>
      </c>
      <c r="S418" s="314">
        <v>0.20833333333333334</v>
      </c>
      <c r="T418" s="319">
        <v>7</v>
      </c>
      <c r="U418" s="277"/>
      <c r="V418" s="4"/>
      <c r="W418" s="47">
        <v>0.3125</v>
      </c>
      <c r="X418" s="47">
        <v>0.20833333333333334</v>
      </c>
      <c r="Y418" s="319">
        <v>8</v>
      </c>
      <c r="Z418" s="277">
        <v>0.5</v>
      </c>
      <c r="AA418" s="29">
        <f t="shared" si="46"/>
        <v>21.75</v>
      </c>
      <c r="AB418" s="298">
        <f t="shared" si="44"/>
        <v>0.5</v>
      </c>
      <c r="AC418" s="4"/>
      <c r="AD418" s="4">
        <v>0</v>
      </c>
      <c r="AE418" s="4">
        <v>0</v>
      </c>
      <c r="AF418" s="19">
        <v>0</v>
      </c>
      <c r="AG418" s="29">
        <f t="shared" si="45"/>
        <v>0</v>
      </c>
      <c r="AH418" s="4"/>
      <c r="AI418" s="255"/>
      <c r="AK418" s="193"/>
      <c r="AL418" s="193"/>
      <c r="AM418" s="193"/>
      <c r="AN418" s="193"/>
      <c r="AO418" s="193"/>
      <c r="AP418" s="193"/>
    </row>
    <row r="419" spans="2:42" s="180" customFormat="1">
      <c r="B419" s="13" t="s">
        <v>48</v>
      </c>
      <c r="C419" s="47">
        <v>0.35416666666666669</v>
      </c>
      <c r="D419" s="47">
        <v>0.20833333333333334</v>
      </c>
      <c r="E419" s="19">
        <v>7.5</v>
      </c>
      <c r="F419" s="277"/>
      <c r="G419" s="4"/>
      <c r="H419" s="47">
        <v>0.35416666666666669</v>
      </c>
      <c r="I419" s="47">
        <v>0.20833333333333334</v>
      </c>
      <c r="J419" s="19">
        <v>7.5</v>
      </c>
      <c r="K419" s="277"/>
      <c r="L419" s="4"/>
      <c r="M419" s="47">
        <v>0.35416666666666669</v>
      </c>
      <c r="N419" s="47">
        <v>0.20833333333333334</v>
      </c>
      <c r="O419" s="319">
        <v>7.5</v>
      </c>
      <c r="P419" s="277"/>
      <c r="Q419" s="4"/>
      <c r="R419" s="47">
        <v>0.35416666666666669</v>
      </c>
      <c r="S419" s="314">
        <v>0.20833333333333334</v>
      </c>
      <c r="T419" s="319">
        <v>7.5</v>
      </c>
      <c r="U419" s="277"/>
      <c r="V419" s="4"/>
      <c r="W419" s="47">
        <v>0.35416666666666669</v>
      </c>
      <c r="X419" s="47">
        <v>0.20833333333333334</v>
      </c>
      <c r="Y419" s="319">
        <v>7.5</v>
      </c>
      <c r="Z419" s="277"/>
      <c r="AA419" s="29">
        <f t="shared" si="46"/>
        <v>37.5</v>
      </c>
      <c r="AB419" s="298">
        <f t="shared" si="44"/>
        <v>0</v>
      </c>
      <c r="AC419" s="4"/>
      <c r="AD419" s="4">
        <v>0</v>
      </c>
      <c r="AE419" s="4">
        <v>0</v>
      </c>
      <c r="AF419" s="19">
        <v>0</v>
      </c>
      <c r="AG419" s="29">
        <f t="shared" si="45"/>
        <v>0</v>
      </c>
      <c r="AH419" s="4"/>
      <c r="AI419" s="255"/>
      <c r="AK419" s="193"/>
      <c r="AL419" s="193"/>
      <c r="AM419" s="193"/>
      <c r="AN419" s="193"/>
      <c r="AO419" s="193"/>
      <c r="AP419" s="193"/>
    </row>
    <row r="420" spans="2:42" s="180" customFormat="1">
      <c r="B420" s="13" t="s">
        <v>53</v>
      </c>
      <c r="C420" s="12" t="s">
        <v>29</v>
      </c>
      <c r="D420" s="12" t="s">
        <v>29</v>
      </c>
      <c r="E420" s="19"/>
      <c r="F420" s="277"/>
      <c r="G420" s="4"/>
      <c r="H420" s="47" t="s">
        <v>29</v>
      </c>
      <c r="I420" s="47" t="s">
        <v>29</v>
      </c>
      <c r="J420" s="19"/>
      <c r="K420" s="277"/>
      <c r="L420" s="4"/>
      <c r="M420" s="12" t="s">
        <v>29</v>
      </c>
      <c r="N420" s="12" t="s">
        <v>29</v>
      </c>
      <c r="O420" s="319"/>
      <c r="P420" s="277"/>
      <c r="Q420" s="4"/>
      <c r="R420" s="4">
        <v>0</v>
      </c>
      <c r="S420" s="4">
        <v>0</v>
      </c>
      <c r="T420" s="319">
        <v>0</v>
      </c>
      <c r="U420" s="277"/>
      <c r="V420" s="4"/>
      <c r="W420" s="47">
        <v>0.38541666666666669</v>
      </c>
      <c r="X420" s="47">
        <v>0.20833333333333334</v>
      </c>
      <c r="Y420" s="319">
        <v>6.75</v>
      </c>
      <c r="Z420" s="277"/>
      <c r="AA420" s="29">
        <f t="shared" si="46"/>
        <v>6.75</v>
      </c>
      <c r="AB420" s="298">
        <f t="shared" si="44"/>
        <v>0</v>
      </c>
      <c r="AC420" s="4"/>
      <c r="AD420" s="4">
        <v>0</v>
      </c>
      <c r="AE420" s="4">
        <v>0</v>
      </c>
      <c r="AF420" s="19">
        <v>0</v>
      </c>
      <c r="AG420" s="29">
        <f t="shared" si="45"/>
        <v>0</v>
      </c>
      <c r="AH420" s="4"/>
      <c r="AI420" s="255"/>
      <c r="AK420" s="193"/>
      <c r="AL420" s="193"/>
      <c r="AM420" s="193"/>
      <c r="AN420" s="193"/>
      <c r="AO420" s="193"/>
      <c r="AP420" s="193"/>
    </row>
    <row r="421" spans="2:42" s="180" customFormat="1">
      <c r="B421" s="13" t="s">
        <v>54</v>
      </c>
      <c r="C421" s="12" t="s">
        <v>29</v>
      </c>
      <c r="D421" s="12" t="s">
        <v>29</v>
      </c>
      <c r="E421" s="19"/>
      <c r="F421" s="277"/>
      <c r="G421" s="4"/>
      <c r="H421" s="12" t="s">
        <v>29</v>
      </c>
      <c r="I421" s="12" t="s">
        <v>29</v>
      </c>
      <c r="J421" s="19"/>
      <c r="K421" s="277"/>
      <c r="L421" s="4"/>
      <c r="M421" s="12" t="s">
        <v>29</v>
      </c>
      <c r="N421" s="12" t="s">
        <v>29</v>
      </c>
      <c r="O421" s="319"/>
      <c r="P421" s="277"/>
      <c r="Q421" s="4"/>
      <c r="R421" s="12" t="s">
        <v>29</v>
      </c>
      <c r="S421" s="12" t="s">
        <v>29</v>
      </c>
      <c r="T421" s="319">
        <v>0</v>
      </c>
      <c r="U421" s="277"/>
      <c r="V421" s="4"/>
      <c r="W421" s="12" t="s">
        <v>29</v>
      </c>
      <c r="X421" s="12" t="s">
        <v>29</v>
      </c>
      <c r="Y421" s="319">
        <v>0</v>
      </c>
      <c r="Z421" s="277"/>
      <c r="AA421" s="29">
        <f t="shared" si="46"/>
        <v>0</v>
      </c>
      <c r="AB421" s="298">
        <f t="shared" si="44"/>
        <v>0</v>
      </c>
      <c r="AC421" s="4"/>
      <c r="AD421" s="4">
        <v>0</v>
      </c>
      <c r="AE421" s="4">
        <v>0</v>
      </c>
      <c r="AF421" s="19">
        <v>0</v>
      </c>
      <c r="AG421" s="29">
        <f t="shared" si="45"/>
        <v>0</v>
      </c>
      <c r="AH421" s="4"/>
      <c r="AI421" s="255"/>
      <c r="AK421" s="193"/>
      <c r="AL421" s="193"/>
      <c r="AM421" s="193"/>
      <c r="AN421" s="193"/>
      <c r="AO421" s="193"/>
      <c r="AP421" s="193"/>
    </row>
    <row r="422" spans="2:42" s="180" customFormat="1">
      <c r="B422" s="13" t="s">
        <v>55</v>
      </c>
      <c r="C422" s="12" t="s">
        <v>29</v>
      </c>
      <c r="D422" s="12" t="s">
        <v>29</v>
      </c>
      <c r="E422" s="19"/>
      <c r="F422" s="277"/>
      <c r="G422" s="4"/>
      <c r="H422" s="12" t="s">
        <v>29</v>
      </c>
      <c r="I422" s="12" t="s">
        <v>29</v>
      </c>
      <c r="J422" s="19"/>
      <c r="K422" s="277"/>
      <c r="L422" s="4"/>
      <c r="M422" s="12" t="s">
        <v>29</v>
      </c>
      <c r="N422" s="12" t="s">
        <v>29</v>
      </c>
      <c r="O422" s="319"/>
      <c r="P422" s="277"/>
      <c r="Q422" s="4"/>
      <c r="R422" s="12" t="s">
        <v>29</v>
      </c>
      <c r="S422" s="12" t="s">
        <v>29</v>
      </c>
      <c r="T422" s="319">
        <v>0</v>
      </c>
      <c r="U422" s="277"/>
      <c r="V422" s="4"/>
      <c r="W422" s="12" t="s">
        <v>29</v>
      </c>
      <c r="X422" s="12" t="s">
        <v>29</v>
      </c>
      <c r="Y422" s="319">
        <v>0</v>
      </c>
      <c r="Z422" s="277"/>
      <c r="AA422" s="29">
        <f t="shared" si="46"/>
        <v>0</v>
      </c>
      <c r="AB422" s="298">
        <f t="shared" si="44"/>
        <v>0</v>
      </c>
      <c r="AC422" s="4"/>
      <c r="AD422" s="4">
        <v>0</v>
      </c>
      <c r="AE422" s="4">
        <v>0</v>
      </c>
      <c r="AF422" s="19">
        <v>0</v>
      </c>
      <c r="AG422" s="29">
        <f t="shared" si="45"/>
        <v>0</v>
      </c>
      <c r="AH422" s="4"/>
      <c r="AI422" s="255"/>
      <c r="AK422" s="193"/>
      <c r="AL422" s="193"/>
      <c r="AM422" s="193"/>
      <c r="AN422" s="193"/>
      <c r="AO422" s="193"/>
      <c r="AP422" s="193"/>
    </row>
    <row r="423" spans="2:42" s="180" customFormat="1">
      <c r="B423" s="406" t="s">
        <v>88</v>
      </c>
      <c r="C423" s="4">
        <v>0</v>
      </c>
      <c r="D423" s="4">
        <v>0</v>
      </c>
      <c r="E423" s="19">
        <v>0</v>
      </c>
      <c r="F423" s="277"/>
      <c r="G423" s="4"/>
      <c r="H423" s="4">
        <v>0</v>
      </c>
      <c r="I423" s="4">
        <v>0</v>
      </c>
      <c r="J423" s="19">
        <v>0</v>
      </c>
      <c r="K423" s="277"/>
      <c r="L423" s="4"/>
      <c r="M423" s="4">
        <v>0</v>
      </c>
      <c r="N423" s="4">
        <v>0</v>
      </c>
      <c r="O423" s="19">
        <v>0</v>
      </c>
      <c r="P423" s="277"/>
      <c r="Q423" s="4"/>
      <c r="R423" s="4">
        <v>0</v>
      </c>
      <c r="S423" s="4">
        <v>0</v>
      </c>
      <c r="T423" s="19">
        <v>0</v>
      </c>
      <c r="U423" s="277"/>
      <c r="V423" s="4"/>
      <c r="W423" s="16">
        <v>0.33333333333333331</v>
      </c>
      <c r="X423" s="16">
        <v>4.1666666666666664E-2</v>
      </c>
      <c r="Y423" s="319">
        <v>4</v>
      </c>
      <c r="Z423" s="277"/>
      <c r="AA423" s="29">
        <f t="shared" ref="AA423:AA425" si="47">(E423+J423+O423+T423+Y423)</f>
        <v>4</v>
      </c>
      <c r="AB423" s="298">
        <f t="shared" ref="AB423:AB425" si="48">Z423+U423+P423+K423+F423</f>
        <v>0</v>
      </c>
      <c r="AC423" s="4"/>
      <c r="AD423" s="4">
        <v>0</v>
      </c>
      <c r="AE423" s="4">
        <v>0</v>
      </c>
      <c r="AF423" s="19">
        <v>0</v>
      </c>
      <c r="AG423" s="29">
        <f t="shared" ref="AG423:AG425" si="49">AF423</f>
        <v>0</v>
      </c>
      <c r="AH423" s="4"/>
      <c r="AI423" s="255"/>
      <c r="AK423" s="193"/>
      <c r="AL423" s="193"/>
      <c r="AM423" s="193"/>
      <c r="AN423" s="193"/>
      <c r="AO423" s="193"/>
      <c r="AP423" s="193"/>
    </row>
    <row r="424" spans="2:42" s="180" customFormat="1">
      <c r="B424" s="406" t="s">
        <v>89</v>
      </c>
      <c r="C424" s="4">
        <v>0</v>
      </c>
      <c r="D424" s="4">
        <v>0</v>
      </c>
      <c r="E424" s="19">
        <v>0</v>
      </c>
      <c r="F424" s="277"/>
      <c r="G424" s="4"/>
      <c r="H424" s="4">
        <v>0</v>
      </c>
      <c r="I424" s="4">
        <v>0</v>
      </c>
      <c r="J424" s="19">
        <v>0</v>
      </c>
      <c r="K424" s="277"/>
      <c r="L424" s="4"/>
      <c r="M424" s="4">
        <v>0</v>
      </c>
      <c r="N424" s="4">
        <v>0</v>
      </c>
      <c r="O424" s="19">
        <v>0</v>
      </c>
      <c r="P424" s="277"/>
      <c r="Q424" s="4"/>
      <c r="R424" s="4">
        <v>0</v>
      </c>
      <c r="S424" s="4">
        <v>0</v>
      </c>
      <c r="T424" s="19">
        <v>0</v>
      </c>
      <c r="U424" s="277"/>
      <c r="V424" s="4"/>
      <c r="W424" s="16">
        <v>0.375</v>
      </c>
      <c r="X424" s="16">
        <v>0.45833333333333331</v>
      </c>
      <c r="Y424" s="319">
        <v>2</v>
      </c>
      <c r="Z424" s="277"/>
      <c r="AA424" s="29">
        <f t="shared" si="47"/>
        <v>2</v>
      </c>
      <c r="AB424" s="298">
        <f t="shared" si="48"/>
        <v>0</v>
      </c>
      <c r="AC424" s="4"/>
      <c r="AD424" s="4">
        <v>0</v>
      </c>
      <c r="AE424" s="4">
        <v>0</v>
      </c>
      <c r="AF424" s="19">
        <v>0</v>
      </c>
      <c r="AG424" s="29">
        <f t="shared" si="49"/>
        <v>0</v>
      </c>
      <c r="AH424" s="4"/>
      <c r="AI424" s="255"/>
      <c r="AK424" s="193"/>
      <c r="AL424" s="193"/>
      <c r="AM424" s="193"/>
      <c r="AN424" s="193"/>
      <c r="AO424" s="193"/>
      <c r="AP424" s="193"/>
    </row>
    <row r="425" spans="2:42" s="180" customFormat="1">
      <c r="B425" s="406" t="s">
        <v>90</v>
      </c>
      <c r="C425" s="4">
        <v>0</v>
      </c>
      <c r="D425" s="4">
        <v>0</v>
      </c>
      <c r="E425" s="19">
        <v>0</v>
      </c>
      <c r="F425" s="277"/>
      <c r="G425" s="4"/>
      <c r="H425" s="4">
        <v>0</v>
      </c>
      <c r="I425" s="4">
        <v>0</v>
      </c>
      <c r="J425" s="19">
        <v>0</v>
      </c>
      <c r="K425" s="277"/>
      <c r="L425" s="4"/>
      <c r="M425" s="4">
        <v>0</v>
      </c>
      <c r="N425" s="4">
        <v>0</v>
      </c>
      <c r="O425" s="19">
        <v>0</v>
      </c>
      <c r="P425" s="277"/>
      <c r="Q425" s="4"/>
      <c r="R425" s="4">
        <v>0</v>
      </c>
      <c r="S425" s="4">
        <v>0</v>
      </c>
      <c r="T425" s="19">
        <v>0</v>
      </c>
      <c r="U425" s="277"/>
      <c r="V425" s="4"/>
      <c r="W425" s="47">
        <v>0.375</v>
      </c>
      <c r="X425" s="47">
        <v>0.52083333333333337</v>
      </c>
      <c r="Y425" s="19">
        <v>3.5</v>
      </c>
      <c r="Z425" s="277"/>
      <c r="AA425" s="29">
        <f t="shared" si="47"/>
        <v>3.5</v>
      </c>
      <c r="AB425" s="298">
        <f t="shared" si="48"/>
        <v>0</v>
      </c>
      <c r="AC425" s="4"/>
      <c r="AD425" s="4">
        <v>0</v>
      </c>
      <c r="AE425" s="4">
        <v>0</v>
      </c>
      <c r="AF425" s="19">
        <v>0</v>
      </c>
      <c r="AG425" s="29">
        <f t="shared" si="49"/>
        <v>0</v>
      </c>
      <c r="AH425" s="4"/>
      <c r="AI425" s="255"/>
      <c r="AK425" s="193"/>
      <c r="AL425" s="193"/>
      <c r="AM425" s="193"/>
      <c r="AN425" s="193"/>
      <c r="AO425" s="193"/>
      <c r="AP425" s="193"/>
    </row>
    <row r="426" spans="2:42" s="180" customFormat="1">
      <c r="B426" s="138" t="s">
        <v>59</v>
      </c>
      <c r="C426" s="12" t="s">
        <v>29</v>
      </c>
      <c r="D426" s="12" t="s">
        <v>29</v>
      </c>
      <c r="E426" s="19">
        <v>8</v>
      </c>
      <c r="F426" s="277"/>
      <c r="G426" s="4"/>
      <c r="H426" s="12" t="s">
        <v>29</v>
      </c>
      <c r="I426" s="12" t="s">
        <v>29</v>
      </c>
      <c r="J426" s="19">
        <v>8</v>
      </c>
      <c r="K426" s="277"/>
      <c r="L426" s="4"/>
      <c r="M426" s="47">
        <v>0.375</v>
      </c>
      <c r="N426" s="47">
        <v>0.20833333333333334</v>
      </c>
      <c r="O426" s="319">
        <v>7</v>
      </c>
      <c r="P426" s="277"/>
      <c r="Q426" s="4"/>
      <c r="R426" s="16">
        <v>0.375</v>
      </c>
      <c r="S426" s="314">
        <v>0.20833333333333334</v>
      </c>
      <c r="T426" s="319">
        <v>7</v>
      </c>
      <c r="U426" s="277"/>
      <c r="V426" s="4"/>
      <c r="W426" s="12" t="s">
        <v>29</v>
      </c>
      <c r="X426" s="12" t="s">
        <v>29</v>
      </c>
      <c r="Y426" s="319">
        <v>8</v>
      </c>
      <c r="Z426" s="277"/>
      <c r="AA426" s="29">
        <f t="shared" si="46"/>
        <v>38</v>
      </c>
      <c r="AB426" s="298">
        <f t="shared" si="44"/>
        <v>0</v>
      </c>
      <c r="AC426" s="4"/>
      <c r="AD426" s="4">
        <v>0</v>
      </c>
      <c r="AE426" s="4">
        <v>0</v>
      </c>
      <c r="AF426" s="19">
        <v>0</v>
      </c>
      <c r="AG426" s="29">
        <f t="shared" si="45"/>
        <v>0</v>
      </c>
      <c r="AH426" s="4"/>
      <c r="AI426" s="255"/>
      <c r="AK426" s="193"/>
      <c r="AL426" s="193"/>
      <c r="AM426" s="193"/>
      <c r="AN426" s="193"/>
      <c r="AO426" s="193"/>
      <c r="AP426" s="193"/>
    </row>
    <row r="427" spans="2:42" s="180" customFormat="1">
      <c r="B427" s="138" t="s">
        <v>60</v>
      </c>
      <c r="C427" s="12" t="s">
        <v>29</v>
      </c>
      <c r="D427" s="12" t="s">
        <v>29</v>
      </c>
      <c r="E427" s="19">
        <v>8</v>
      </c>
      <c r="F427" s="277"/>
      <c r="G427" s="4"/>
      <c r="H427" s="12" t="s">
        <v>29</v>
      </c>
      <c r="I427" s="12" t="s">
        <v>29</v>
      </c>
      <c r="J427" s="19">
        <v>8</v>
      </c>
      <c r="K427" s="277"/>
      <c r="L427" s="4"/>
      <c r="M427" s="12" t="s">
        <v>29</v>
      </c>
      <c r="N427" s="12" t="s">
        <v>29</v>
      </c>
      <c r="O427" s="19">
        <v>8</v>
      </c>
      <c r="P427" s="277"/>
      <c r="Q427" s="4"/>
      <c r="R427" s="12" t="s">
        <v>29</v>
      </c>
      <c r="S427" s="12" t="s">
        <v>29</v>
      </c>
      <c r="T427" s="319">
        <v>8</v>
      </c>
      <c r="U427" s="277"/>
      <c r="V427" s="4"/>
      <c r="W427" s="12" t="s">
        <v>29</v>
      </c>
      <c r="X427" s="12" t="s">
        <v>29</v>
      </c>
      <c r="Y427" s="319">
        <v>8</v>
      </c>
      <c r="Z427" s="277"/>
      <c r="AA427" s="29">
        <f t="shared" si="46"/>
        <v>40</v>
      </c>
      <c r="AB427" s="298">
        <f t="shared" si="44"/>
        <v>0</v>
      </c>
      <c r="AC427" s="4"/>
      <c r="AD427" s="4">
        <v>0</v>
      </c>
      <c r="AE427" s="4">
        <v>0</v>
      </c>
      <c r="AF427" s="19">
        <v>0</v>
      </c>
      <c r="AG427" s="29">
        <f t="shared" si="45"/>
        <v>0</v>
      </c>
      <c r="AH427" s="4"/>
      <c r="AI427" s="255"/>
      <c r="AK427" s="193"/>
      <c r="AL427" s="193"/>
      <c r="AM427" s="193"/>
      <c r="AN427" s="193"/>
      <c r="AO427" s="193"/>
      <c r="AP427" s="193"/>
    </row>
    <row r="428" spans="2:42" s="180" customFormat="1">
      <c r="B428" s="63" t="s">
        <v>62</v>
      </c>
      <c r="C428" s="12" t="s">
        <v>29</v>
      </c>
      <c r="D428" s="12" t="s">
        <v>29</v>
      </c>
      <c r="E428" s="19">
        <v>8</v>
      </c>
      <c r="F428" s="277"/>
      <c r="G428" s="60"/>
      <c r="H428" s="12" t="s">
        <v>29</v>
      </c>
      <c r="I428" s="12" t="s">
        <v>29</v>
      </c>
      <c r="J428" s="19">
        <v>8</v>
      </c>
      <c r="K428" s="277"/>
      <c r="L428" s="60"/>
      <c r="M428" s="12" t="s">
        <v>29</v>
      </c>
      <c r="N428" s="12" t="s">
        <v>29</v>
      </c>
      <c r="O428" s="19">
        <v>8</v>
      </c>
      <c r="P428" s="277"/>
      <c r="Q428" s="60"/>
      <c r="R428" s="12" t="s">
        <v>29</v>
      </c>
      <c r="S428" s="12" t="s">
        <v>29</v>
      </c>
      <c r="T428" s="19">
        <v>8</v>
      </c>
      <c r="U428" s="277"/>
      <c r="V428" s="60"/>
      <c r="W428" s="12" t="s">
        <v>29</v>
      </c>
      <c r="X428" s="12" t="s">
        <v>29</v>
      </c>
      <c r="Y428" s="19">
        <v>8</v>
      </c>
      <c r="Z428" s="277"/>
      <c r="AA428" s="28">
        <f>SUM(E428+J428+O428+T428+Y428)</f>
        <v>40</v>
      </c>
      <c r="AB428" s="296">
        <f t="shared" si="44"/>
        <v>0</v>
      </c>
      <c r="AC428" s="4"/>
      <c r="AD428" s="56"/>
      <c r="AE428" s="56"/>
      <c r="AF428" s="19"/>
      <c r="AG428" s="29">
        <v>0</v>
      </c>
      <c r="AH428" s="4"/>
      <c r="AI428" s="255"/>
      <c r="AK428" s="193"/>
      <c r="AL428" s="193"/>
      <c r="AM428" s="193"/>
      <c r="AN428" s="193"/>
      <c r="AO428" s="193"/>
      <c r="AP428" s="193"/>
    </row>
    <row r="429" spans="2:42" s="180" customFormat="1">
      <c r="B429" s="63" t="s">
        <v>63</v>
      </c>
      <c r="C429" s="12" t="s">
        <v>29</v>
      </c>
      <c r="D429" s="12" t="s">
        <v>29</v>
      </c>
      <c r="E429" s="19">
        <v>8</v>
      </c>
      <c r="F429" s="277"/>
      <c r="G429" s="60"/>
      <c r="H429" s="12" t="s">
        <v>29</v>
      </c>
      <c r="I429" s="12" t="s">
        <v>29</v>
      </c>
      <c r="J429" s="19">
        <v>8</v>
      </c>
      <c r="K429" s="277"/>
      <c r="L429" s="60"/>
      <c r="M429" s="12" t="s">
        <v>29</v>
      </c>
      <c r="N429" s="12" t="s">
        <v>29</v>
      </c>
      <c r="O429" s="19">
        <v>8</v>
      </c>
      <c r="P429" s="277"/>
      <c r="Q429" s="60"/>
      <c r="R429" s="12" t="s">
        <v>29</v>
      </c>
      <c r="S429" s="12" t="s">
        <v>29</v>
      </c>
      <c r="T429" s="19">
        <v>0</v>
      </c>
      <c r="U429" s="277"/>
      <c r="V429" s="60"/>
      <c r="W429" s="12" t="s">
        <v>29</v>
      </c>
      <c r="X429" s="12" t="s">
        <v>29</v>
      </c>
      <c r="Y429" s="19">
        <v>0</v>
      </c>
      <c r="Z429" s="277"/>
      <c r="AA429" s="28">
        <f>SUM(E429+J429+O429+T429+Y429)</f>
        <v>24</v>
      </c>
      <c r="AB429" s="296">
        <f>Z429+U429+P429+K429+F429</f>
        <v>0</v>
      </c>
      <c r="AC429" s="4"/>
      <c r="AD429" s="56"/>
      <c r="AE429" s="56"/>
      <c r="AF429" s="19"/>
      <c r="AG429" s="29">
        <f>AF429</f>
        <v>0</v>
      </c>
      <c r="AH429" s="4"/>
      <c r="AI429" s="255"/>
      <c r="AK429" s="193"/>
      <c r="AL429" s="193"/>
      <c r="AM429" s="193"/>
      <c r="AN429" s="193"/>
      <c r="AO429" s="193"/>
      <c r="AP429" s="193"/>
    </row>
    <row r="430" spans="2:42" s="180" customFormat="1">
      <c r="B430" s="64" t="s">
        <v>61</v>
      </c>
      <c r="C430" s="64"/>
      <c r="D430" s="64"/>
      <c r="E430" s="167">
        <f>SUM(E404:E429)</f>
        <v>108.25</v>
      </c>
      <c r="F430" s="277">
        <f>SUM(F404:F422)</f>
        <v>0</v>
      </c>
      <c r="G430" s="64"/>
      <c r="H430" s="64"/>
      <c r="I430" s="64"/>
      <c r="J430" s="64">
        <f>SUM(J404:J429)</f>
        <v>121</v>
      </c>
      <c r="K430" s="277">
        <f>SUM(K404:K422)</f>
        <v>0</v>
      </c>
      <c r="L430" s="64"/>
      <c r="M430" s="64"/>
      <c r="N430" s="64"/>
      <c r="O430" s="167">
        <f>SUM(O404:O429)</f>
        <v>115.5</v>
      </c>
      <c r="P430" s="277">
        <f>SUM(P404:P427)</f>
        <v>0</v>
      </c>
      <c r="Q430" s="64"/>
      <c r="R430" s="64"/>
      <c r="S430" s="64"/>
      <c r="T430" s="167">
        <f>SUM(T404:T429)</f>
        <v>111.25</v>
      </c>
      <c r="U430" s="277">
        <f>SUM(U404:U427)</f>
        <v>4.75</v>
      </c>
      <c r="V430" s="64"/>
      <c r="W430" s="64"/>
      <c r="X430" s="64"/>
      <c r="Y430" s="167">
        <f>SUM(Y404:Y429)</f>
        <v>127</v>
      </c>
      <c r="Z430" s="277">
        <f>SUM(Z404:Z422)</f>
        <v>3.25</v>
      </c>
      <c r="AA430" s="370">
        <f>SUM(AA404:AA429)</f>
        <v>583</v>
      </c>
      <c r="AB430" s="284">
        <f>SUM(AB404:AB427)</f>
        <v>8</v>
      </c>
      <c r="AC430" s="4"/>
      <c r="AD430" s="64"/>
      <c r="AE430" s="64"/>
      <c r="AF430" s="64"/>
      <c r="AG430" s="370">
        <f>SUM(AG404:AG422)</f>
        <v>48.25</v>
      </c>
      <c r="AH430" s="4"/>
      <c r="AI430" s="255"/>
      <c r="AK430" s="193"/>
      <c r="AL430" s="193"/>
      <c r="AM430" s="193"/>
      <c r="AN430" s="193"/>
      <c r="AO430" s="193"/>
      <c r="AP430" s="193"/>
    </row>
    <row r="431" spans="2:42" s="180" customFormat="1">
      <c r="B431" s="63" t="s">
        <v>64</v>
      </c>
      <c r="C431" s="56"/>
      <c r="D431" s="56"/>
      <c r="E431" s="19">
        <v>8</v>
      </c>
      <c r="F431" s="291">
        <v>2</v>
      </c>
      <c r="G431" s="60"/>
      <c r="H431" s="56"/>
      <c r="I431" s="56"/>
      <c r="J431" s="19">
        <v>8</v>
      </c>
      <c r="K431" s="291">
        <v>1.25</v>
      </c>
      <c r="L431" s="60"/>
      <c r="M431" s="56"/>
      <c r="N431" s="56"/>
      <c r="O431" s="19">
        <v>8</v>
      </c>
      <c r="P431" s="19">
        <v>2.5</v>
      </c>
      <c r="Q431" s="60"/>
      <c r="R431" s="56"/>
      <c r="S431" s="56"/>
      <c r="T431" s="19">
        <v>8</v>
      </c>
      <c r="U431" s="19">
        <v>1</v>
      </c>
      <c r="V431" s="60"/>
      <c r="W431" s="56"/>
      <c r="X431" s="56"/>
      <c r="Y431" s="19">
        <v>8</v>
      </c>
      <c r="Z431" s="19">
        <v>1</v>
      </c>
      <c r="AA431" s="28">
        <f>SUM(E431+J431+O431+T431+Y431)</f>
        <v>40</v>
      </c>
      <c r="AB431" s="282">
        <f>Z431+U431+P431+K431+F431</f>
        <v>7.75</v>
      </c>
      <c r="AC431" s="4"/>
      <c r="AD431" s="56"/>
      <c r="AE431" s="56"/>
      <c r="AF431" s="19"/>
      <c r="AG431" s="29">
        <f>1.5+1</f>
        <v>2.5</v>
      </c>
      <c r="AH431" s="4"/>
      <c r="AI431" s="255"/>
      <c r="AK431" s="193"/>
      <c r="AL431" s="193"/>
      <c r="AM431" s="193"/>
      <c r="AN431" s="193"/>
      <c r="AO431" s="193"/>
      <c r="AP431" s="193"/>
    </row>
    <row r="432" spans="2:42" s="180" customFormat="1">
      <c r="B432" s="71" t="s">
        <v>66</v>
      </c>
      <c r="C432" s="371"/>
      <c r="D432" s="371"/>
      <c r="E432" s="71">
        <f>SUM(E431)</f>
        <v>8</v>
      </c>
      <c r="F432" s="372"/>
      <c r="G432" s="372"/>
      <c r="H432" s="371"/>
      <c r="I432" s="371"/>
      <c r="J432" s="71">
        <f>SUM(J431)</f>
        <v>8</v>
      </c>
      <c r="K432" s="372"/>
      <c r="L432" s="372"/>
      <c r="M432" s="371"/>
      <c r="N432" s="371"/>
      <c r="O432" s="71">
        <f>SUM(O431)</f>
        <v>8</v>
      </c>
      <c r="P432" s="372"/>
      <c r="Q432" s="372"/>
      <c r="R432" s="371"/>
      <c r="S432" s="371"/>
      <c r="T432" s="71">
        <f>SUM(T431)</f>
        <v>8</v>
      </c>
      <c r="U432" s="372"/>
      <c r="V432" s="372"/>
      <c r="W432" s="371"/>
      <c r="X432" s="371"/>
      <c r="Y432" s="71">
        <f>SUM(Y431)</f>
        <v>8</v>
      </c>
      <c r="Z432" s="372"/>
      <c r="AA432" s="370">
        <f>SUM(AA431)</f>
        <v>40</v>
      </c>
      <c r="AB432" s="370">
        <f>SUM(AB431)</f>
        <v>7.75</v>
      </c>
      <c r="AC432" s="4"/>
      <c r="AG432" s="370">
        <f>SUM(AG431:AG431)</f>
        <v>2.5</v>
      </c>
      <c r="AH432" s="4"/>
      <c r="AI432" s="255"/>
      <c r="AK432" s="193"/>
      <c r="AL432" s="193"/>
      <c r="AM432" s="193"/>
      <c r="AN432" s="193"/>
      <c r="AO432" s="193"/>
      <c r="AP432" s="193"/>
    </row>
    <row r="433" spans="1:42" s="180" customFormat="1">
      <c r="B433" s="217" t="s">
        <v>67</v>
      </c>
      <c r="C433" s="207">
        <f>C434+C435</f>
        <v>76</v>
      </c>
      <c r="D433" s="207"/>
      <c r="E433" s="209"/>
      <c r="F433" s="209"/>
      <c r="G433" s="207"/>
      <c r="H433" s="209"/>
      <c r="I433" s="209"/>
      <c r="J433" s="209"/>
      <c r="K433" s="209"/>
      <c r="L433" s="207"/>
      <c r="M433" s="207"/>
      <c r="N433" s="207"/>
      <c r="O433" s="207"/>
      <c r="P433" s="209"/>
      <c r="Q433" s="207"/>
      <c r="R433" s="207"/>
      <c r="S433" s="207"/>
      <c r="T433" s="207"/>
      <c r="U433" s="209"/>
      <c r="V433" s="207"/>
      <c r="W433" s="207"/>
      <c r="X433" s="207"/>
      <c r="Y433" s="210"/>
      <c r="Z433" s="209"/>
      <c r="AA433" s="211"/>
      <c r="AB433" s="209"/>
      <c r="AC433" s="211"/>
      <c r="AD433" s="211"/>
      <c r="AE433" s="211"/>
      <c r="AF433" s="211"/>
      <c r="AG433" s="211"/>
      <c r="AH433" s="4"/>
      <c r="AI433" s="255"/>
      <c r="AK433" s="193"/>
      <c r="AL433" s="193"/>
      <c r="AM433" s="193"/>
      <c r="AN433" s="193"/>
      <c r="AO433" s="193"/>
      <c r="AP433" s="193"/>
    </row>
    <row r="434" spans="1:42" s="180" customFormat="1">
      <c r="B434" s="238" t="s">
        <v>68</v>
      </c>
      <c r="C434" s="239">
        <f>11+13+14+13+19+6</f>
        <v>76</v>
      </c>
      <c r="D434" s="207"/>
      <c r="E434" s="209"/>
      <c r="F434" s="209"/>
      <c r="G434" s="207"/>
      <c r="H434" s="209"/>
      <c r="I434" s="209"/>
      <c r="J434" s="209"/>
      <c r="K434" s="209"/>
      <c r="L434" s="207"/>
      <c r="M434" s="207"/>
      <c r="N434" s="207"/>
      <c r="O434" s="207"/>
      <c r="P434" s="209"/>
      <c r="Q434" s="207"/>
      <c r="R434" s="207"/>
      <c r="S434" s="207"/>
      <c r="T434" s="207"/>
      <c r="U434" s="209"/>
      <c r="V434" s="207"/>
      <c r="W434" s="207"/>
      <c r="X434" s="207"/>
      <c r="Y434" s="210"/>
      <c r="Z434" s="209"/>
      <c r="AA434" s="211"/>
      <c r="AB434" s="209"/>
      <c r="AC434" s="211"/>
      <c r="AD434" s="211"/>
      <c r="AE434" s="211"/>
      <c r="AF434" s="211"/>
      <c r="AG434" s="211"/>
      <c r="AH434" s="4"/>
      <c r="AI434" s="255"/>
      <c r="AK434" s="193"/>
      <c r="AL434" s="193"/>
      <c r="AM434" s="193"/>
      <c r="AN434" s="193"/>
      <c r="AO434" s="193"/>
      <c r="AP434" s="193"/>
    </row>
    <row r="435" spans="1:42" s="180" customFormat="1">
      <c r="B435" s="238" t="s">
        <v>69</v>
      </c>
      <c r="C435" s="239"/>
      <c r="D435" s="207"/>
      <c r="E435" s="209"/>
      <c r="F435" s="209"/>
      <c r="G435" s="207"/>
      <c r="H435" s="209"/>
      <c r="I435" s="209"/>
      <c r="J435" s="209"/>
      <c r="K435" s="209"/>
      <c r="L435" s="207"/>
      <c r="M435" s="207"/>
      <c r="N435" s="207"/>
      <c r="O435" s="207"/>
      <c r="P435" s="209"/>
      <c r="Q435" s="207"/>
      <c r="R435" s="207"/>
      <c r="S435" s="207"/>
      <c r="T435" s="207"/>
      <c r="U435" s="209"/>
      <c r="V435" s="207"/>
      <c r="W435" s="207"/>
      <c r="X435" s="207"/>
      <c r="Y435" s="210"/>
      <c r="Z435" s="209"/>
      <c r="AA435" s="211"/>
      <c r="AB435" s="209"/>
      <c r="AC435" s="211"/>
      <c r="AD435" s="211"/>
      <c r="AE435" s="211"/>
      <c r="AF435" s="211"/>
      <c r="AG435" s="211"/>
      <c r="AH435" s="4"/>
      <c r="AI435" s="255"/>
      <c r="AK435" s="193"/>
      <c r="AL435" s="193"/>
      <c r="AM435" s="193"/>
      <c r="AN435" s="193"/>
      <c r="AO435" s="193"/>
      <c r="AP435" s="193"/>
    </row>
    <row r="436" spans="1:42" s="180" customFormat="1">
      <c r="AH436" s="4"/>
    </row>
    <row r="437" spans="1:42" s="255" customFormat="1">
      <c r="A437" s="228"/>
      <c r="B437" s="229"/>
      <c r="C437" s="230"/>
      <c r="D437" s="230"/>
      <c r="E437" s="232"/>
      <c r="F437" s="232"/>
      <c r="G437" s="230"/>
      <c r="H437" s="232"/>
      <c r="I437" s="232"/>
      <c r="J437" s="232"/>
      <c r="K437" s="232"/>
      <c r="L437" s="230"/>
      <c r="M437" s="230"/>
      <c r="N437" s="230"/>
      <c r="O437" s="230"/>
      <c r="P437" s="232"/>
      <c r="Q437" s="230"/>
      <c r="R437" s="230"/>
      <c r="S437" s="230"/>
      <c r="T437" s="230"/>
      <c r="U437" s="232"/>
      <c r="V437" s="230"/>
      <c r="W437" s="230"/>
      <c r="X437" s="230"/>
      <c r="Y437" s="233"/>
      <c r="Z437" s="232"/>
      <c r="AA437" s="234"/>
      <c r="AB437" s="232"/>
      <c r="AC437" s="373"/>
      <c r="AD437" s="236"/>
      <c r="AH437" s="373"/>
    </row>
    <row r="438" spans="1:42" s="193" customFormat="1">
      <c r="A438" s="224"/>
      <c r="B438" s="214"/>
      <c r="C438" s="364"/>
      <c r="D438" s="364"/>
      <c r="E438" s="214"/>
      <c r="F438" s="214"/>
      <c r="G438" s="364"/>
      <c r="H438" s="214"/>
      <c r="I438" s="214"/>
      <c r="J438" s="214"/>
      <c r="K438" s="214"/>
      <c r="L438" s="364"/>
      <c r="M438" s="364"/>
      <c r="N438" s="364"/>
      <c r="O438" s="364"/>
      <c r="P438" s="214"/>
      <c r="Q438" s="364"/>
      <c r="R438" s="364"/>
      <c r="S438" s="364"/>
      <c r="T438" s="364"/>
      <c r="U438" s="214"/>
      <c r="V438" s="364"/>
      <c r="W438" s="364"/>
      <c r="X438" s="364"/>
      <c r="Y438" s="216"/>
      <c r="Z438" s="214"/>
      <c r="AA438" s="225"/>
      <c r="AB438" s="214"/>
      <c r="AC438" s="189"/>
      <c r="AH438" s="4"/>
      <c r="AI438" s="255"/>
      <c r="AJ438" s="180"/>
    </row>
    <row r="439" spans="1:42" s="180" customFormat="1">
      <c r="B439" s="1518" t="s">
        <v>18</v>
      </c>
      <c r="C439" s="1519">
        <v>45250</v>
      </c>
      <c r="D439" s="1519"/>
      <c r="E439" s="1519"/>
      <c r="F439" s="1519"/>
      <c r="G439" s="365"/>
      <c r="H439" s="1519">
        <v>45251</v>
      </c>
      <c r="I439" s="1519"/>
      <c r="J439" s="1519"/>
      <c r="K439" s="1519"/>
      <c r="L439" s="365"/>
      <c r="M439" s="1519">
        <v>45252</v>
      </c>
      <c r="N439" s="1519"/>
      <c r="O439" s="1519"/>
      <c r="P439" s="1519"/>
      <c r="Q439" s="365"/>
      <c r="R439" s="1519">
        <v>45253</v>
      </c>
      <c r="S439" s="1519"/>
      <c r="T439" s="1519"/>
      <c r="U439" s="1519"/>
      <c r="V439" s="365"/>
      <c r="W439" s="1519">
        <v>45254</v>
      </c>
      <c r="X439" s="1519"/>
      <c r="Y439" s="1519"/>
      <c r="Z439" s="1519"/>
      <c r="AA439" s="1517" t="s">
        <v>19</v>
      </c>
      <c r="AB439" s="1517" t="s">
        <v>20</v>
      </c>
      <c r="AC439" s="4"/>
      <c r="AD439" s="1519">
        <v>45255</v>
      </c>
      <c r="AE439" s="1519"/>
      <c r="AF439" s="1519"/>
      <c r="AG439" s="1517" t="s">
        <v>21</v>
      </c>
      <c r="AH439" s="4"/>
      <c r="AI439" s="255"/>
      <c r="AK439" s="194" t="s">
        <v>84</v>
      </c>
      <c r="AL439" s="366"/>
      <c r="AM439" s="366"/>
      <c r="AN439" s="366"/>
      <c r="AO439" s="366"/>
      <c r="AP439" s="366"/>
    </row>
    <row r="440" spans="1:42" s="367" customFormat="1">
      <c r="B440" s="1518"/>
      <c r="C440" s="21" t="s">
        <v>23</v>
      </c>
      <c r="D440" s="21" t="s">
        <v>24</v>
      </c>
      <c r="E440" s="205" t="s">
        <v>25</v>
      </c>
      <c r="F440" s="18" t="s">
        <v>14</v>
      </c>
      <c r="G440" s="4"/>
      <c r="H440" s="21" t="s">
        <v>23</v>
      </c>
      <c r="I440" s="21" t="s">
        <v>24</v>
      </c>
      <c r="J440" s="18" t="s">
        <v>25</v>
      </c>
      <c r="K440" s="18" t="s">
        <v>14</v>
      </c>
      <c r="L440" s="4"/>
      <c r="M440" s="21" t="s">
        <v>23</v>
      </c>
      <c r="N440" s="21" t="s">
        <v>24</v>
      </c>
      <c r="O440" s="18" t="s">
        <v>25</v>
      </c>
      <c r="P440" s="18" t="s">
        <v>14</v>
      </c>
      <c r="Q440" s="4"/>
      <c r="R440" s="21" t="s">
        <v>23</v>
      </c>
      <c r="S440" s="21" t="s">
        <v>24</v>
      </c>
      <c r="T440" s="18" t="s">
        <v>25</v>
      </c>
      <c r="U440" s="18" t="s">
        <v>14</v>
      </c>
      <c r="V440" s="4"/>
      <c r="W440" s="21" t="s">
        <v>23</v>
      </c>
      <c r="X440" s="21" t="s">
        <v>24</v>
      </c>
      <c r="Y440" s="18" t="s">
        <v>25</v>
      </c>
      <c r="Z440" s="18" t="s">
        <v>14</v>
      </c>
      <c r="AA440" s="1517"/>
      <c r="AB440" s="1517"/>
      <c r="AC440" s="4"/>
      <c r="AD440" s="21" t="s">
        <v>23</v>
      </c>
      <c r="AE440" s="21" t="s">
        <v>24</v>
      </c>
      <c r="AF440" s="18" t="s">
        <v>25</v>
      </c>
      <c r="AG440" s="1517"/>
      <c r="AH440" s="175"/>
      <c r="AI440" s="368"/>
      <c r="AK440" s="188" t="s">
        <v>26</v>
      </c>
      <c r="AL440" s="196">
        <f>AA467</f>
        <v>24</v>
      </c>
      <c r="AM440" s="193"/>
      <c r="AN440" s="193"/>
      <c r="AO440" s="193"/>
      <c r="AP440" s="193"/>
    </row>
    <row r="441" spans="1:42" s="367" customFormat="1">
      <c r="B441" s="171" t="s">
        <v>72</v>
      </c>
      <c r="C441" s="172">
        <v>0.375</v>
      </c>
      <c r="D441" s="172">
        <v>0.20833333333333334</v>
      </c>
      <c r="E441" s="173">
        <v>7</v>
      </c>
      <c r="F441" s="277"/>
      <c r="G441" s="4"/>
      <c r="H441" s="172">
        <v>0.375</v>
      </c>
      <c r="I441" s="172">
        <v>0.20833333333333334</v>
      </c>
      <c r="J441" s="173">
        <v>7</v>
      </c>
      <c r="K441" s="277"/>
      <c r="L441" s="4"/>
      <c r="M441" s="47">
        <v>0.38541666666666669</v>
      </c>
      <c r="N441" s="47">
        <v>0.20833333333333334</v>
      </c>
      <c r="O441" s="173">
        <v>6.75</v>
      </c>
      <c r="P441" s="277"/>
      <c r="Q441" s="4"/>
      <c r="R441" s="4">
        <v>0</v>
      </c>
      <c r="S441" s="4">
        <v>0</v>
      </c>
      <c r="T441" s="19">
        <v>0</v>
      </c>
      <c r="U441" s="277"/>
      <c r="V441" s="4"/>
      <c r="W441" s="4">
        <v>0</v>
      </c>
      <c r="X441" s="4">
        <v>0</v>
      </c>
      <c r="Y441" s="19">
        <v>0</v>
      </c>
      <c r="Z441" s="277"/>
      <c r="AA441" s="28">
        <f t="shared" ref="AA441:AA464" si="50">(E441+J441+O441+T441+Y441)</f>
        <v>20.75</v>
      </c>
      <c r="AB441" s="298">
        <f t="shared" ref="AB441:AB467" si="51">Z441+U441+P441+K441+F441</f>
        <v>0</v>
      </c>
      <c r="AC441" s="4"/>
      <c r="AD441" s="175">
        <v>0</v>
      </c>
      <c r="AE441" s="175">
        <v>0</v>
      </c>
      <c r="AF441" s="173">
        <v>0</v>
      </c>
      <c r="AG441" s="28">
        <f t="shared" ref="AG441:AG464" si="52">AF441</f>
        <v>0</v>
      </c>
      <c r="AH441" s="175"/>
      <c r="AI441" s="368"/>
      <c r="AK441" s="188" t="s">
        <v>30</v>
      </c>
      <c r="AL441" s="196">
        <f>AB468</f>
        <v>6</v>
      </c>
      <c r="AM441" s="193"/>
      <c r="AN441" s="193"/>
      <c r="AO441" s="193"/>
      <c r="AP441" s="193"/>
    </row>
    <row r="442" spans="1:42" s="367" customFormat="1">
      <c r="B442" s="171" t="s">
        <v>71</v>
      </c>
      <c r="C442" s="172">
        <v>0.375</v>
      </c>
      <c r="D442" s="172">
        <v>0.20833333333333334</v>
      </c>
      <c r="E442" s="173">
        <v>7</v>
      </c>
      <c r="F442" s="277"/>
      <c r="G442" s="4"/>
      <c r="H442" s="172">
        <v>0.375</v>
      </c>
      <c r="I442" s="172">
        <v>0.20833333333333334</v>
      </c>
      <c r="J442" s="173">
        <v>7</v>
      </c>
      <c r="K442" s="277"/>
      <c r="L442" s="4"/>
      <c r="M442" s="172">
        <v>0.375</v>
      </c>
      <c r="N442" s="47">
        <v>0.20833333333333334</v>
      </c>
      <c r="O442" s="173">
        <v>7</v>
      </c>
      <c r="P442" s="277"/>
      <c r="Q442" s="4"/>
      <c r="R442" s="4">
        <v>0</v>
      </c>
      <c r="S442" s="4">
        <v>0</v>
      </c>
      <c r="T442" s="19">
        <v>0</v>
      </c>
      <c r="U442" s="277"/>
      <c r="V442" s="4"/>
      <c r="W442" s="4">
        <v>0</v>
      </c>
      <c r="X442" s="4">
        <v>0</v>
      </c>
      <c r="Y442" s="19">
        <v>0</v>
      </c>
      <c r="Z442" s="277"/>
      <c r="AA442" s="28">
        <f t="shared" si="50"/>
        <v>21</v>
      </c>
      <c r="AB442" s="298">
        <f t="shared" si="51"/>
        <v>0</v>
      </c>
      <c r="AC442" s="4"/>
      <c r="AD442" s="175">
        <v>0</v>
      </c>
      <c r="AE442" s="175">
        <v>0</v>
      </c>
      <c r="AF442" s="173">
        <v>0</v>
      </c>
      <c r="AG442" s="28">
        <f t="shared" si="52"/>
        <v>0</v>
      </c>
      <c r="AH442" s="175"/>
      <c r="AI442" s="368"/>
      <c r="AK442" s="188" t="s">
        <v>32</v>
      </c>
      <c r="AL442" s="196">
        <f>AG468</f>
        <v>5.5</v>
      </c>
      <c r="AM442" s="193"/>
      <c r="AN442" s="193"/>
      <c r="AO442" s="193"/>
      <c r="AP442" s="193"/>
    </row>
    <row r="443" spans="1:42" s="401" customFormat="1">
      <c r="B443" s="8" t="s">
        <v>46</v>
      </c>
      <c r="C443" s="314">
        <v>0.375</v>
      </c>
      <c r="D443" s="314">
        <v>0.20833333333333334</v>
      </c>
      <c r="E443" s="19">
        <v>7</v>
      </c>
      <c r="F443" s="277"/>
      <c r="G443" s="399"/>
      <c r="H443" s="314">
        <v>0.375</v>
      </c>
      <c r="I443" s="314">
        <v>0.20833333333333334</v>
      </c>
      <c r="J443" s="19">
        <v>7</v>
      </c>
      <c r="K443" s="277"/>
      <c r="L443" s="399"/>
      <c r="M443" s="47">
        <v>0.375</v>
      </c>
      <c r="N443" s="47">
        <v>0.20833333333333334</v>
      </c>
      <c r="O443" s="319">
        <v>7</v>
      </c>
      <c r="P443" s="277"/>
      <c r="Q443" s="399"/>
      <c r="R443" s="4">
        <v>0</v>
      </c>
      <c r="S443" s="4">
        <v>0</v>
      </c>
      <c r="T443" s="19">
        <v>0</v>
      </c>
      <c r="U443" s="277"/>
      <c r="V443" s="399"/>
      <c r="W443" s="4">
        <v>0</v>
      </c>
      <c r="X443" s="4">
        <v>0</v>
      </c>
      <c r="Y443" s="19">
        <v>0</v>
      </c>
      <c r="Z443" s="277"/>
      <c r="AA443" s="29">
        <f t="shared" si="50"/>
        <v>21</v>
      </c>
      <c r="AB443" s="298">
        <f t="shared" si="51"/>
        <v>0</v>
      </c>
      <c r="AC443" s="399"/>
      <c r="AD443" s="345">
        <v>0</v>
      </c>
      <c r="AE443" s="345">
        <v>0</v>
      </c>
      <c r="AF443" s="346">
        <v>0</v>
      </c>
      <c r="AG443" s="29">
        <f t="shared" si="52"/>
        <v>0</v>
      </c>
      <c r="AH443" s="399"/>
      <c r="AI443" s="402"/>
      <c r="AK443" s="403" t="s">
        <v>34</v>
      </c>
      <c r="AL443" s="404">
        <f>AA470</f>
        <v>25</v>
      </c>
      <c r="AM443" s="405"/>
      <c r="AN443" s="405"/>
      <c r="AO443" s="405"/>
      <c r="AP443" s="405"/>
    </row>
    <row r="444" spans="1:42" s="180" customFormat="1">
      <c r="B444" s="13" t="s">
        <v>35</v>
      </c>
      <c r="C444" s="47">
        <v>0.39583333333333331</v>
      </c>
      <c r="D444" s="47">
        <v>0.20833333333333334</v>
      </c>
      <c r="E444" s="319">
        <v>6.5</v>
      </c>
      <c r="F444" s="277"/>
      <c r="G444" s="175"/>
      <c r="H444" s="47">
        <v>0.375</v>
      </c>
      <c r="I444" s="314">
        <v>0.20833333333333334</v>
      </c>
      <c r="J444" s="319">
        <v>7</v>
      </c>
      <c r="K444" s="277"/>
      <c r="L444" s="175"/>
      <c r="M444" s="47">
        <v>0.375</v>
      </c>
      <c r="N444" s="47">
        <v>0.20833333333333334</v>
      </c>
      <c r="O444" s="319">
        <v>7</v>
      </c>
      <c r="P444" s="277"/>
      <c r="Q444" s="175"/>
      <c r="R444" s="4">
        <v>0</v>
      </c>
      <c r="S444" s="4">
        <v>0</v>
      </c>
      <c r="T444" s="19">
        <v>0</v>
      </c>
      <c r="U444" s="277"/>
      <c r="V444" s="175"/>
      <c r="W444" s="4">
        <v>0</v>
      </c>
      <c r="X444" s="4">
        <v>0</v>
      </c>
      <c r="Y444" s="19">
        <v>0</v>
      </c>
      <c r="Z444" s="277"/>
      <c r="AA444" s="344">
        <f t="shared" si="50"/>
        <v>20.5</v>
      </c>
      <c r="AB444" s="298">
        <f t="shared" si="51"/>
        <v>0</v>
      </c>
      <c r="AC444" s="175"/>
      <c r="AD444" s="345">
        <v>0</v>
      </c>
      <c r="AE444" s="345">
        <v>0</v>
      </c>
      <c r="AF444" s="346">
        <v>0</v>
      </c>
      <c r="AG444" s="344">
        <f t="shared" si="52"/>
        <v>0</v>
      </c>
      <c r="AH444" s="4"/>
      <c r="AI444" s="255"/>
      <c r="AK444" s="188" t="s">
        <v>36</v>
      </c>
      <c r="AL444" s="196">
        <f>AB470</f>
        <v>9</v>
      </c>
      <c r="AM444" s="193"/>
      <c r="AN444" s="193"/>
      <c r="AO444" s="193"/>
      <c r="AP444" s="193"/>
    </row>
    <row r="445" spans="1:42" s="367" customFormat="1">
      <c r="B445" s="13" t="s">
        <v>37</v>
      </c>
      <c r="C445" s="47">
        <v>0.375</v>
      </c>
      <c r="D445" s="47">
        <v>0.20833333333333334</v>
      </c>
      <c r="E445" s="319">
        <v>7</v>
      </c>
      <c r="F445" s="277"/>
      <c r="G445" s="175"/>
      <c r="H445" s="47">
        <v>0.38541666666666669</v>
      </c>
      <c r="I445" s="314">
        <v>0.20833333333333334</v>
      </c>
      <c r="J445" s="319">
        <v>6.75</v>
      </c>
      <c r="K445" s="277"/>
      <c r="L445" s="175"/>
      <c r="M445" s="4">
        <v>0</v>
      </c>
      <c r="N445" s="4">
        <v>0</v>
      </c>
      <c r="O445" s="319">
        <v>0</v>
      </c>
      <c r="P445" s="277"/>
      <c r="Q445" s="175"/>
      <c r="R445" s="4">
        <v>0</v>
      </c>
      <c r="S445" s="4">
        <v>0</v>
      </c>
      <c r="T445" s="19">
        <v>0</v>
      </c>
      <c r="U445" s="277"/>
      <c r="V445" s="175"/>
      <c r="W445" s="4">
        <v>0</v>
      </c>
      <c r="X445" s="4">
        <v>0</v>
      </c>
      <c r="Y445" s="19">
        <v>0</v>
      </c>
      <c r="Z445" s="277"/>
      <c r="AA445" s="344">
        <f t="shared" si="50"/>
        <v>13.75</v>
      </c>
      <c r="AB445" s="298">
        <f t="shared" si="51"/>
        <v>0</v>
      </c>
      <c r="AC445" s="175"/>
      <c r="AD445" s="345">
        <v>0</v>
      </c>
      <c r="AE445" s="345">
        <v>0</v>
      </c>
      <c r="AF445" s="346">
        <v>0</v>
      </c>
      <c r="AG445" s="344">
        <f t="shared" si="52"/>
        <v>0</v>
      </c>
      <c r="AH445" s="175"/>
      <c r="AI445" s="368"/>
      <c r="AK445" s="188" t="s">
        <v>38</v>
      </c>
      <c r="AL445" s="196">
        <f>AG470</f>
        <v>7</v>
      </c>
      <c r="AM445" s="193"/>
      <c r="AN445" s="193"/>
      <c r="AO445" s="193"/>
      <c r="AP445" s="193"/>
    </row>
    <row r="446" spans="1:42" s="180" customFormat="1">
      <c r="B446" s="13" t="s">
        <v>39</v>
      </c>
      <c r="C446" s="47">
        <v>0.39583333333333331</v>
      </c>
      <c r="D446" s="47">
        <v>0.20833333333333334</v>
      </c>
      <c r="E446" s="19">
        <v>6.5</v>
      </c>
      <c r="F446" s="277"/>
      <c r="G446" s="4"/>
      <c r="H446" s="47">
        <v>0.375</v>
      </c>
      <c r="I446" s="314">
        <v>0.20833333333333334</v>
      </c>
      <c r="J446" s="319">
        <v>7</v>
      </c>
      <c r="K446" s="277"/>
      <c r="L446" s="4"/>
      <c r="M446" s="47">
        <v>0.375</v>
      </c>
      <c r="N446" s="47">
        <v>0.20833333333333334</v>
      </c>
      <c r="O446" s="319">
        <v>7</v>
      </c>
      <c r="P446" s="277"/>
      <c r="Q446" s="4"/>
      <c r="R446" s="4">
        <v>0</v>
      </c>
      <c r="S446" s="4">
        <v>0</v>
      </c>
      <c r="T446" s="19">
        <v>0</v>
      </c>
      <c r="U446" s="277"/>
      <c r="V446" s="4"/>
      <c r="W446" s="4">
        <v>0</v>
      </c>
      <c r="X446" s="4">
        <v>0</v>
      </c>
      <c r="Y446" s="19">
        <v>0</v>
      </c>
      <c r="Z446" s="277"/>
      <c r="AA446" s="29">
        <f t="shared" si="50"/>
        <v>20.5</v>
      </c>
      <c r="AB446" s="298">
        <f t="shared" si="51"/>
        <v>0</v>
      </c>
      <c r="AC446" s="4"/>
      <c r="AD446" s="345">
        <v>0</v>
      </c>
      <c r="AE446" s="345">
        <v>0</v>
      </c>
      <c r="AF446" s="346">
        <v>0</v>
      </c>
      <c r="AG446" s="29">
        <f t="shared" si="52"/>
        <v>0</v>
      </c>
      <c r="AH446" s="4"/>
      <c r="AI446" s="255"/>
      <c r="AK446" s="188" t="s">
        <v>41</v>
      </c>
      <c r="AL446" s="196">
        <f>C471</f>
        <v>45</v>
      </c>
      <c r="AM446" s="369"/>
      <c r="AN446" s="369"/>
      <c r="AO446" s="369"/>
      <c r="AP446" s="369"/>
    </row>
    <row r="447" spans="1:42" s="180" customFormat="1">
      <c r="B447" s="164" t="s">
        <v>42</v>
      </c>
      <c r="C447" s="47">
        <v>0.375</v>
      </c>
      <c r="D447" s="47">
        <v>0.20833333333333334</v>
      </c>
      <c r="E447" s="19">
        <v>7</v>
      </c>
      <c r="F447" s="277"/>
      <c r="G447" s="4"/>
      <c r="H447" s="47">
        <v>0.375</v>
      </c>
      <c r="I447" s="314">
        <v>0.20833333333333334</v>
      </c>
      <c r="J447" s="319">
        <v>7</v>
      </c>
      <c r="K447" s="277"/>
      <c r="L447" s="4"/>
      <c r="M447" s="47">
        <v>0.375</v>
      </c>
      <c r="N447" s="47">
        <v>0.20833333333333334</v>
      </c>
      <c r="O447" s="319">
        <v>7</v>
      </c>
      <c r="P447" s="277"/>
      <c r="Q447" s="4"/>
      <c r="R447" s="4">
        <v>0</v>
      </c>
      <c r="S447" s="4">
        <v>0</v>
      </c>
      <c r="T447" s="19">
        <v>0</v>
      </c>
      <c r="U447" s="277"/>
      <c r="V447" s="4"/>
      <c r="W447" s="4">
        <v>0</v>
      </c>
      <c r="X447" s="4">
        <v>0</v>
      </c>
      <c r="Y447" s="19">
        <v>0</v>
      </c>
      <c r="Z447" s="277"/>
      <c r="AA447" s="29">
        <f t="shared" si="50"/>
        <v>21</v>
      </c>
      <c r="AB447" s="298">
        <f t="shared" si="51"/>
        <v>0</v>
      </c>
      <c r="AC447" s="4"/>
      <c r="AD447" s="345">
        <v>0</v>
      </c>
      <c r="AE447" s="345">
        <v>0</v>
      </c>
      <c r="AF447" s="346">
        <v>0</v>
      </c>
      <c r="AG447" s="29">
        <f t="shared" si="52"/>
        <v>0</v>
      </c>
      <c r="AH447" s="4"/>
      <c r="AI447" s="255"/>
      <c r="AK447" s="193"/>
      <c r="AL447" s="193"/>
      <c r="AM447" s="193"/>
      <c r="AN447" s="193"/>
      <c r="AO447" s="193"/>
      <c r="AP447" s="193"/>
    </row>
    <row r="448" spans="1:42" s="180" customFormat="1">
      <c r="B448" s="13" t="s">
        <v>43</v>
      </c>
      <c r="C448" s="47">
        <v>0.375</v>
      </c>
      <c r="D448" s="47">
        <v>0.27083333333333331</v>
      </c>
      <c r="E448" s="19">
        <v>8.5</v>
      </c>
      <c r="F448" s="277"/>
      <c r="G448" s="4"/>
      <c r="H448" s="47">
        <v>0.375</v>
      </c>
      <c r="I448" s="314">
        <v>0.20833333333333334</v>
      </c>
      <c r="J448" s="319">
        <v>7</v>
      </c>
      <c r="K448" s="277"/>
      <c r="L448" s="4"/>
      <c r="M448" s="47">
        <v>0.375</v>
      </c>
      <c r="N448" s="47">
        <v>0.20833333333333334</v>
      </c>
      <c r="O448" s="319">
        <v>7</v>
      </c>
      <c r="P448" s="277"/>
      <c r="Q448" s="4"/>
      <c r="R448" s="4">
        <v>0</v>
      </c>
      <c r="S448" s="4">
        <v>0</v>
      </c>
      <c r="T448" s="19">
        <v>0</v>
      </c>
      <c r="U448" s="277"/>
      <c r="V448" s="4"/>
      <c r="W448" s="4">
        <v>0</v>
      </c>
      <c r="X448" s="4">
        <v>0</v>
      </c>
      <c r="Y448" s="19">
        <v>0</v>
      </c>
      <c r="Z448" s="277"/>
      <c r="AA448" s="29">
        <f t="shared" si="50"/>
        <v>22.5</v>
      </c>
      <c r="AB448" s="298">
        <f t="shared" si="51"/>
        <v>0</v>
      </c>
      <c r="AC448" s="4"/>
      <c r="AD448" s="345">
        <v>0</v>
      </c>
      <c r="AE448" s="345">
        <v>0</v>
      </c>
      <c r="AF448" s="346">
        <v>0</v>
      </c>
      <c r="AG448" s="29">
        <f t="shared" si="52"/>
        <v>0</v>
      </c>
      <c r="AH448" s="4"/>
      <c r="AI448" s="255"/>
      <c r="AK448" s="193"/>
      <c r="AL448" s="193"/>
      <c r="AM448" s="193"/>
      <c r="AN448" s="193"/>
      <c r="AO448" s="193"/>
      <c r="AP448" s="193"/>
    </row>
    <row r="449" spans="2:42" s="180" customFormat="1">
      <c r="B449" s="13" t="s">
        <v>44</v>
      </c>
      <c r="C449" s="47">
        <v>0</v>
      </c>
      <c r="D449" s="47">
        <v>0</v>
      </c>
      <c r="E449" s="19">
        <v>0</v>
      </c>
      <c r="F449" s="277"/>
      <c r="G449" s="4"/>
      <c r="H449" s="47">
        <v>0.375</v>
      </c>
      <c r="I449" s="314">
        <v>0.20833333333333334</v>
      </c>
      <c r="J449" s="319">
        <v>7</v>
      </c>
      <c r="K449" s="277"/>
      <c r="L449" s="4"/>
      <c r="M449" s="47">
        <v>0.375</v>
      </c>
      <c r="N449" s="47">
        <v>0.20833333333333334</v>
      </c>
      <c r="O449" s="319">
        <v>7</v>
      </c>
      <c r="P449" s="277"/>
      <c r="Q449" s="4"/>
      <c r="R449" s="4">
        <v>0</v>
      </c>
      <c r="S449" s="4">
        <v>0</v>
      </c>
      <c r="T449" s="19">
        <v>0</v>
      </c>
      <c r="U449" s="277"/>
      <c r="V449" s="4"/>
      <c r="W449" s="4">
        <v>0</v>
      </c>
      <c r="X449" s="4">
        <v>0</v>
      </c>
      <c r="Y449" s="19">
        <v>0</v>
      </c>
      <c r="Z449" s="277"/>
      <c r="AA449" s="29">
        <f t="shared" si="50"/>
        <v>14</v>
      </c>
      <c r="AB449" s="298">
        <f t="shared" si="51"/>
        <v>0</v>
      </c>
      <c r="AC449" s="4"/>
      <c r="AD449" s="345">
        <v>0</v>
      </c>
      <c r="AE449" s="345">
        <v>0</v>
      </c>
      <c r="AF449" s="346">
        <v>0</v>
      </c>
      <c r="AG449" s="29">
        <f t="shared" si="52"/>
        <v>0</v>
      </c>
      <c r="AH449" s="4"/>
      <c r="AI449" s="255"/>
      <c r="AK449" s="193"/>
      <c r="AL449" s="193"/>
      <c r="AM449" s="193"/>
      <c r="AN449" s="193"/>
      <c r="AO449" s="193"/>
      <c r="AP449" s="193"/>
    </row>
    <row r="450" spans="2:42" s="180" customFormat="1">
      <c r="B450" s="13" t="s">
        <v>45</v>
      </c>
      <c r="C450" s="4">
        <v>0</v>
      </c>
      <c r="D450" s="4">
        <v>0</v>
      </c>
      <c r="E450" s="19">
        <v>0</v>
      </c>
      <c r="F450" s="277"/>
      <c r="G450" s="4"/>
      <c r="H450" s="12" t="s">
        <v>29</v>
      </c>
      <c r="I450" s="12" t="s">
        <v>29</v>
      </c>
      <c r="J450" s="319"/>
      <c r="K450" s="277"/>
      <c r="L450" s="4"/>
      <c r="M450" s="47">
        <v>0.41666666666666669</v>
      </c>
      <c r="N450" s="47">
        <v>0.20833333333333334</v>
      </c>
      <c r="O450" s="319">
        <v>6</v>
      </c>
      <c r="P450" s="277"/>
      <c r="Q450" s="4"/>
      <c r="R450" s="4">
        <v>0</v>
      </c>
      <c r="S450" s="4">
        <v>0</v>
      </c>
      <c r="T450" s="19">
        <v>0</v>
      </c>
      <c r="U450" s="277"/>
      <c r="V450" s="4"/>
      <c r="W450" s="4">
        <v>0</v>
      </c>
      <c r="X450" s="4">
        <v>0</v>
      </c>
      <c r="Y450" s="19">
        <v>0</v>
      </c>
      <c r="Z450" s="277"/>
      <c r="AA450" s="29">
        <f t="shared" si="50"/>
        <v>6</v>
      </c>
      <c r="AB450" s="298">
        <f t="shared" si="51"/>
        <v>0</v>
      </c>
      <c r="AC450" s="4"/>
      <c r="AD450" s="345">
        <v>0</v>
      </c>
      <c r="AE450" s="345">
        <v>0</v>
      </c>
      <c r="AF450" s="346">
        <v>0</v>
      </c>
      <c r="AG450" s="29">
        <f t="shared" si="52"/>
        <v>0</v>
      </c>
      <c r="AH450" s="4"/>
      <c r="AI450" s="255"/>
      <c r="AK450" s="193"/>
      <c r="AL450" s="193"/>
      <c r="AM450" s="193"/>
      <c r="AN450" s="193"/>
      <c r="AO450" s="193"/>
      <c r="AP450" s="193"/>
    </row>
    <row r="451" spans="2:42" s="180" customFormat="1" ht="11.25" customHeight="1">
      <c r="B451" s="13" t="s">
        <v>47</v>
      </c>
      <c r="C451" s="4">
        <v>0</v>
      </c>
      <c r="D451" s="4">
        <v>0</v>
      </c>
      <c r="E451" s="19">
        <v>0</v>
      </c>
      <c r="F451" s="277"/>
      <c r="G451" s="4"/>
      <c r="H451" s="47">
        <v>0.39583333333333331</v>
      </c>
      <c r="I451" s="314">
        <v>0.20833333333333334</v>
      </c>
      <c r="J451" s="319">
        <v>6.5</v>
      </c>
      <c r="K451" s="277"/>
      <c r="L451" s="4"/>
      <c r="M451" s="47">
        <v>0.375</v>
      </c>
      <c r="N451" s="47">
        <v>0.20833333333333334</v>
      </c>
      <c r="O451" s="319">
        <v>7</v>
      </c>
      <c r="P451" s="277"/>
      <c r="Q451" s="4"/>
      <c r="R451" s="4">
        <v>0</v>
      </c>
      <c r="S451" s="4">
        <v>0</v>
      </c>
      <c r="T451" s="19">
        <v>0</v>
      </c>
      <c r="U451" s="277"/>
      <c r="V451" s="4"/>
      <c r="W451" s="4">
        <v>0</v>
      </c>
      <c r="X451" s="4">
        <v>0</v>
      </c>
      <c r="Y451" s="19">
        <v>0</v>
      </c>
      <c r="Z451" s="277"/>
      <c r="AA451" s="29">
        <f t="shared" si="50"/>
        <v>13.5</v>
      </c>
      <c r="AB451" s="298">
        <f t="shared" si="51"/>
        <v>0</v>
      </c>
      <c r="AC451" s="4"/>
      <c r="AD451" s="345">
        <v>0</v>
      </c>
      <c r="AE451" s="345">
        <v>0</v>
      </c>
      <c r="AF451" s="346">
        <v>0</v>
      </c>
      <c r="AG451" s="29">
        <f t="shared" si="52"/>
        <v>0</v>
      </c>
      <c r="AH451" s="4"/>
      <c r="AI451" s="255"/>
      <c r="AK451" s="193"/>
      <c r="AL451" s="193"/>
      <c r="AM451" s="193"/>
      <c r="AN451" s="193"/>
      <c r="AO451" s="193"/>
      <c r="AP451" s="193"/>
    </row>
    <row r="452" spans="2:42" s="180" customFormat="1">
      <c r="B452" s="13" t="s">
        <v>49</v>
      </c>
      <c r="C452" s="4">
        <v>0</v>
      </c>
      <c r="D452" s="4">
        <v>0</v>
      </c>
      <c r="E452" s="19">
        <v>0</v>
      </c>
      <c r="F452" s="277"/>
      <c r="G452" s="4"/>
      <c r="H452" s="47">
        <v>0</v>
      </c>
      <c r="I452" s="47">
        <v>0</v>
      </c>
      <c r="J452" s="319">
        <v>0</v>
      </c>
      <c r="K452" s="277"/>
      <c r="L452" s="4"/>
      <c r="M452" s="4">
        <v>0</v>
      </c>
      <c r="N452" s="4">
        <v>0</v>
      </c>
      <c r="O452" s="319">
        <v>0</v>
      </c>
      <c r="P452" s="277"/>
      <c r="Q452" s="4"/>
      <c r="R452" s="4">
        <v>0</v>
      </c>
      <c r="S452" s="4">
        <v>0</v>
      </c>
      <c r="T452" s="19">
        <v>0</v>
      </c>
      <c r="U452" s="277"/>
      <c r="V452" s="4"/>
      <c r="W452" s="4">
        <v>0</v>
      </c>
      <c r="X452" s="4">
        <v>0</v>
      </c>
      <c r="Y452" s="19">
        <v>0</v>
      </c>
      <c r="Z452" s="277"/>
      <c r="AA452" s="29">
        <f t="shared" si="50"/>
        <v>0</v>
      </c>
      <c r="AB452" s="298">
        <f t="shared" si="51"/>
        <v>0</v>
      </c>
      <c r="AC452" s="4"/>
      <c r="AD452" s="345">
        <v>0</v>
      </c>
      <c r="AE452" s="345">
        <v>0</v>
      </c>
      <c r="AF452" s="346">
        <v>0</v>
      </c>
      <c r="AG452" s="29">
        <f t="shared" si="52"/>
        <v>0</v>
      </c>
      <c r="AH452" s="4"/>
      <c r="AI452" s="255"/>
      <c r="AK452" s="193"/>
      <c r="AL452" s="193"/>
      <c r="AM452" s="193"/>
      <c r="AN452" s="193"/>
      <c r="AO452" s="193"/>
      <c r="AP452" s="193"/>
    </row>
    <row r="453" spans="2:42" s="180" customFormat="1">
      <c r="B453" s="13" t="s">
        <v>50</v>
      </c>
      <c r="C453" s="4">
        <v>0</v>
      </c>
      <c r="D453" s="4">
        <v>0</v>
      </c>
      <c r="E453" s="19">
        <v>0</v>
      </c>
      <c r="F453" s="277"/>
      <c r="G453" s="4"/>
      <c r="H453" s="47">
        <v>0.375</v>
      </c>
      <c r="I453" s="314">
        <v>0.20833333333333334</v>
      </c>
      <c r="J453" s="19">
        <v>7</v>
      </c>
      <c r="K453" s="277"/>
      <c r="L453" s="4"/>
      <c r="M453" s="47">
        <v>0.375</v>
      </c>
      <c r="N453" s="47">
        <v>0.20833333333333334</v>
      </c>
      <c r="O453" s="319">
        <v>7</v>
      </c>
      <c r="P453" s="277"/>
      <c r="Q453" s="4"/>
      <c r="R453" s="4">
        <v>0</v>
      </c>
      <c r="S453" s="4">
        <v>0</v>
      </c>
      <c r="T453" s="19">
        <v>0</v>
      </c>
      <c r="U453" s="277"/>
      <c r="V453" s="4"/>
      <c r="W453" s="4">
        <v>0</v>
      </c>
      <c r="X453" s="4">
        <v>0</v>
      </c>
      <c r="Y453" s="19">
        <v>0</v>
      </c>
      <c r="Z453" s="277"/>
      <c r="AA453" s="29">
        <f t="shared" si="50"/>
        <v>14</v>
      </c>
      <c r="AB453" s="298">
        <f t="shared" si="51"/>
        <v>0</v>
      </c>
      <c r="AC453" s="4"/>
      <c r="AD453" s="345">
        <v>0</v>
      </c>
      <c r="AE453" s="345">
        <v>0</v>
      </c>
      <c r="AF453" s="346">
        <v>0</v>
      </c>
      <c r="AG453" s="29">
        <f t="shared" si="52"/>
        <v>0</v>
      </c>
      <c r="AH453" s="4"/>
      <c r="AI453" s="255"/>
      <c r="AK453" s="193"/>
      <c r="AL453" s="193"/>
      <c r="AM453" s="193"/>
      <c r="AN453" s="193"/>
      <c r="AO453" s="193"/>
      <c r="AP453" s="193"/>
    </row>
    <row r="454" spans="2:42" s="180" customFormat="1">
      <c r="B454" s="13" t="s">
        <v>51</v>
      </c>
      <c r="C454" s="16">
        <v>0.375</v>
      </c>
      <c r="D454" s="16">
        <v>0.20833333333333334</v>
      </c>
      <c r="E454" s="19">
        <v>7</v>
      </c>
      <c r="F454" s="277"/>
      <c r="G454" s="4"/>
      <c r="H454" s="47">
        <v>0.40625</v>
      </c>
      <c r="I454" s="314">
        <v>0.20833333333333334</v>
      </c>
      <c r="J454" s="319">
        <v>6.25</v>
      </c>
      <c r="K454" s="277"/>
      <c r="L454" s="4"/>
      <c r="M454" s="47">
        <v>0.38541666666666669</v>
      </c>
      <c r="N454" s="47">
        <v>0.20833333333333334</v>
      </c>
      <c r="O454" s="319">
        <v>6.75</v>
      </c>
      <c r="P454" s="277"/>
      <c r="Q454" s="4"/>
      <c r="R454" s="4">
        <v>0</v>
      </c>
      <c r="S454" s="4">
        <v>0</v>
      </c>
      <c r="T454" s="19">
        <v>0</v>
      </c>
      <c r="U454" s="277"/>
      <c r="V454" s="4"/>
      <c r="W454" s="4">
        <v>0</v>
      </c>
      <c r="X454" s="4">
        <v>0</v>
      </c>
      <c r="Y454" s="19">
        <v>0</v>
      </c>
      <c r="Z454" s="277"/>
      <c r="AA454" s="29">
        <f t="shared" si="50"/>
        <v>20</v>
      </c>
      <c r="AB454" s="298">
        <f t="shared" si="51"/>
        <v>0</v>
      </c>
      <c r="AC454" s="4"/>
      <c r="AD454" s="345">
        <v>0</v>
      </c>
      <c r="AE454" s="345">
        <v>0</v>
      </c>
      <c r="AF454" s="346">
        <v>0</v>
      </c>
      <c r="AG454" s="29">
        <f t="shared" si="52"/>
        <v>0</v>
      </c>
      <c r="AH454" s="4"/>
      <c r="AI454" s="255"/>
      <c r="AK454" s="193"/>
      <c r="AL454" s="193"/>
      <c r="AM454" s="193"/>
      <c r="AN454" s="193"/>
      <c r="AO454" s="193"/>
      <c r="AP454" s="193"/>
    </row>
    <row r="455" spans="2:42" s="180" customFormat="1">
      <c r="B455" s="13" t="s">
        <v>52</v>
      </c>
      <c r="C455" s="16">
        <v>0.375</v>
      </c>
      <c r="D455" s="16">
        <v>0.20833333333333334</v>
      </c>
      <c r="E455" s="19">
        <v>7</v>
      </c>
      <c r="F455" s="277"/>
      <c r="G455" s="4"/>
      <c r="H455" s="47">
        <v>0.375</v>
      </c>
      <c r="I455" s="47">
        <v>0.20833333333333334</v>
      </c>
      <c r="J455" s="19">
        <v>7</v>
      </c>
      <c r="K455" s="277"/>
      <c r="L455" s="4"/>
      <c r="M455" s="47">
        <v>0.375</v>
      </c>
      <c r="N455" s="47">
        <v>0.20833333333333334</v>
      </c>
      <c r="O455" s="319">
        <v>7</v>
      </c>
      <c r="P455" s="277"/>
      <c r="Q455" s="4"/>
      <c r="R455" s="4">
        <v>0</v>
      </c>
      <c r="S455" s="4">
        <v>0</v>
      </c>
      <c r="T455" s="19">
        <v>0</v>
      </c>
      <c r="U455" s="277"/>
      <c r="V455" s="4"/>
      <c r="W455" s="4">
        <v>0</v>
      </c>
      <c r="X455" s="4">
        <v>0</v>
      </c>
      <c r="Y455" s="19">
        <v>0</v>
      </c>
      <c r="Z455" s="277"/>
      <c r="AA455" s="29">
        <f t="shared" si="50"/>
        <v>21</v>
      </c>
      <c r="AB455" s="298">
        <f t="shared" si="51"/>
        <v>0</v>
      </c>
      <c r="AC455" s="4"/>
      <c r="AD455" s="4">
        <v>0</v>
      </c>
      <c r="AE455" s="4">
        <v>0</v>
      </c>
      <c r="AF455" s="19">
        <v>0</v>
      </c>
      <c r="AG455" s="29">
        <f t="shared" si="52"/>
        <v>0</v>
      </c>
      <c r="AH455" s="4"/>
      <c r="AI455" s="255"/>
      <c r="AK455" s="193"/>
      <c r="AL455" s="193"/>
      <c r="AM455" s="193"/>
      <c r="AN455" s="193"/>
      <c r="AO455" s="193"/>
      <c r="AP455" s="193"/>
    </row>
    <row r="456" spans="2:42" s="180" customFormat="1">
      <c r="B456" s="13" t="s">
        <v>48</v>
      </c>
      <c r="C456" s="47">
        <v>0.35416666666666669</v>
      </c>
      <c r="D456" s="47">
        <v>0.33333333333333331</v>
      </c>
      <c r="E456" s="19">
        <v>10.5</v>
      </c>
      <c r="F456" s="277">
        <v>2.5</v>
      </c>
      <c r="G456" s="4"/>
      <c r="H456" s="47">
        <v>0.35416666666666669</v>
      </c>
      <c r="I456" s="47">
        <v>0.35416666666666669</v>
      </c>
      <c r="J456" s="19">
        <v>11</v>
      </c>
      <c r="K456" s="277">
        <v>3</v>
      </c>
      <c r="L456" s="4"/>
      <c r="M456" s="47">
        <v>0.35416666666666669</v>
      </c>
      <c r="N456" s="47">
        <v>0.25</v>
      </c>
      <c r="O456" s="319">
        <v>8.5</v>
      </c>
      <c r="P456" s="277">
        <v>0.5</v>
      </c>
      <c r="Q456" s="4"/>
      <c r="R456" s="47">
        <v>0.375</v>
      </c>
      <c r="S456" s="47">
        <v>0.14583333333333334</v>
      </c>
      <c r="T456" s="19">
        <v>5.5</v>
      </c>
      <c r="U456" s="277"/>
      <c r="V456" s="4"/>
      <c r="W456" s="47">
        <v>0.39583333333333331</v>
      </c>
      <c r="X456" s="47">
        <v>0.14583333333333334</v>
      </c>
      <c r="Y456" s="19">
        <v>5</v>
      </c>
      <c r="Z456" s="277"/>
      <c r="AA456" s="29">
        <f t="shared" si="50"/>
        <v>40.5</v>
      </c>
      <c r="AB456" s="298">
        <f t="shared" si="51"/>
        <v>6</v>
      </c>
      <c r="AC456" s="4"/>
      <c r="AD456" s="47">
        <v>0.41666666666666669</v>
      </c>
      <c r="AE456" s="47">
        <v>0.1875</v>
      </c>
      <c r="AF456" s="19">
        <v>5.5</v>
      </c>
      <c r="AG456" s="29">
        <f t="shared" si="52"/>
        <v>5.5</v>
      </c>
      <c r="AH456" s="4"/>
      <c r="AI456" s="255"/>
      <c r="AK456" s="193"/>
      <c r="AL456" s="193"/>
      <c r="AM456" s="193"/>
      <c r="AN456" s="193"/>
      <c r="AO456" s="193"/>
      <c r="AP456" s="193"/>
    </row>
    <row r="457" spans="2:42" s="180" customFormat="1">
      <c r="B457" s="13" t="s">
        <v>53</v>
      </c>
      <c r="C457" s="12" t="s">
        <v>29</v>
      </c>
      <c r="D457" s="12" t="s">
        <v>29</v>
      </c>
      <c r="E457" s="19"/>
      <c r="F457" s="277"/>
      <c r="G457" s="4"/>
      <c r="H457" s="47"/>
      <c r="I457" s="47"/>
      <c r="J457" s="19"/>
      <c r="K457" s="277"/>
      <c r="L457" s="4"/>
      <c r="M457" s="47">
        <v>0.375</v>
      </c>
      <c r="N457" s="47">
        <v>0.20833333333333334</v>
      </c>
      <c r="O457" s="319">
        <v>7</v>
      </c>
      <c r="P457" s="277"/>
      <c r="Q457" s="4"/>
      <c r="R457" s="4">
        <v>0</v>
      </c>
      <c r="S457" s="4">
        <v>0</v>
      </c>
      <c r="T457" s="19">
        <v>0</v>
      </c>
      <c r="U457" s="277"/>
      <c r="V457" s="4"/>
      <c r="W457" s="4">
        <v>0</v>
      </c>
      <c r="X457" s="4">
        <v>0</v>
      </c>
      <c r="Y457" s="19">
        <v>0</v>
      </c>
      <c r="Z457" s="277"/>
      <c r="AA457" s="29">
        <f t="shared" si="50"/>
        <v>7</v>
      </c>
      <c r="AB457" s="298">
        <f t="shared" si="51"/>
        <v>0</v>
      </c>
      <c r="AC457" s="4"/>
      <c r="AD457" s="4">
        <v>0</v>
      </c>
      <c r="AE457" s="4">
        <v>0</v>
      </c>
      <c r="AF457" s="19">
        <v>0</v>
      </c>
      <c r="AG457" s="29">
        <f t="shared" si="52"/>
        <v>0</v>
      </c>
      <c r="AH457" s="4"/>
      <c r="AI457" s="255"/>
      <c r="AK457" s="193"/>
      <c r="AL457" s="193"/>
      <c r="AM457" s="193"/>
      <c r="AN457" s="193"/>
      <c r="AO457" s="193"/>
      <c r="AP457" s="193"/>
    </row>
    <row r="458" spans="2:42" s="180" customFormat="1">
      <c r="B458" s="13" t="s">
        <v>91</v>
      </c>
      <c r="C458" s="12" t="s">
        <v>29</v>
      </c>
      <c r="D458" s="12" t="s">
        <v>29</v>
      </c>
      <c r="E458" s="19"/>
      <c r="F458" s="277"/>
      <c r="G458" s="4"/>
      <c r="H458" s="47">
        <v>0.375</v>
      </c>
      <c r="I458" s="47">
        <v>0.20833333333333334</v>
      </c>
      <c r="J458" s="19">
        <v>7</v>
      </c>
      <c r="K458" s="277"/>
      <c r="L458" s="4"/>
      <c r="M458" s="47">
        <v>0.375</v>
      </c>
      <c r="N458" s="47">
        <v>0.20833333333333334</v>
      </c>
      <c r="O458" s="319">
        <v>7</v>
      </c>
      <c r="P458" s="277"/>
      <c r="Q458" s="4"/>
      <c r="R458" s="4">
        <v>0</v>
      </c>
      <c r="S458" s="4">
        <v>0</v>
      </c>
      <c r="T458" s="19">
        <v>0</v>
      </c>
      <c r="U458" s="277"/>
      <c r="V458" s="4"/>
      <c r="W458" s="4">
        <v>0</v>
      </c>
      <c r="X458" s="4">
        <v>0</v>
      </c>
      <c r="Y458" s="19">
        <v>0</v>
      </c>
      <c r="Z458" s="277"/>
      <c r="AA458" s="29">
        <f t="shared" ref="AA458:AA460" si="53">(E458+J458+O458+T458+Y458)</f>
        <v>14</v>
      </c>
      <c r="AB458" s="298">
        <f t="shared" si="51"/>
        <v>0</v>
      </c>
      <c r="AC458" s="4"/>
      <c r="AD458" s="4">
        <v>0</v>
      </c>
      <c r="AE458" s="4">
        <v>0</v>
      </c>
      <c r="AF458" s="19">
        <v>0</v>
      </c>
      <c r="AG458" s="29">
        <f t="shared" ref="AG458:AG460" si="54">AF458</f>
        <v>0</v>
      </c>
      <c r="AH458" s="4"/>
      <c r="AI458" s="255"/>
      <c r="AK458" s="193"/>
      <c r="AL458" s="193"/>
      <c r="AM458" s="193"/>
      <c r="AN458" s="193"/>
      <c r="AO458" s="193"/>
      <c r="AP458" s="193"/>
    </row>
    <row r="459" spans="2:42" s="180" customFormat="1">
      <c r="B459" s="13" t="s">
        <v>92</v>
      </c>
      <c r="C459" s="12" t="s">
        <v>29</v>
      </c>
      <c r="D459" s="12" t="s">
        <v>29</v>
      </c>
      <c r="E459" s="19"/>
      <c r="F459" s="277"/>
      <c r="G459" s="4"/>
      <c r="H459" s="47">
        <v>0.375</v>
      </c>
      <c r="I459" s="47">
        <v>0.20833333333333334</v>
      </c>
      <c r="J459" s="19">
        <v>7</v>
      </c>
      <c r="K459" s="277"/>
      <c r="L459" s="4"/>
      <c r="M459" s="47">
        <v>0.375</v>
      </c>
      <c r="N459" s="47">
        <v>0.20833333333333334</v>
      </c>
      <c r="O459" s="319">
        <v>7</v>
      </c>
      <c r="P459" s="277"/>
      <c r="Q459" s="4"/>
      <c r="R459" s="4">
        <v>0</v>
      </c>
      <c r="S459" s="4">
        <v>0</v>
      </c>
      <c r="T459" s="19">
        <v>0</v>
      </c>
      <c r="U459" s="277"/>
      <c r="V459" s="4"/>
      <c r="W459" s="4">
        <v>0</v>
      </c>
      <c r="X459" s="4">
        <v>0</v>
      </c>
      <c r="Y459" s="19">
        <v>0</v>
      </c>
      <c r="Z459" s="277"/>
      <c r="AA459" s="29">
        <f t="shared" si="53"/>
        <v>14</v>
      </c>
      <c r="AB459" s="298">
        <f t="shared" si="51"/>
        <v>0</v>
      </c>
      <c r="AC459" s="4"/>
      <c r="AD459" s="4">
        <v>0</v>
      </c>
      <c r="AE459" s="4">
        <v>0</v>
      </c>
      <c r="AF459" s="19">
        <v>0</v>
      </c>
      <c r="AG459" s="29">
        <f t="shared" si="54"/>
        <v>0</v>
      </c>
      <c r="AH459" s="4"/>
      <c r="AI459" s="255"/>
      <c r="AK459" s="193"/>
      <c r="AL459" s="193"/>
      <c r="AM459" s="193"/>
      <c r="AN459" s="193"/>
      <c r="AO459" s="193"/>
      <c r="AP459" s="193"/>
    </row>
    <row r="460" spans="2:42" s="180" customFormat="1">
      <c r="B460" s="13" t="s">
        <v>93</v>
      </c>
      <c r="C460" s="12" t="s">
        <v>29</v>
      </c>
      <c r="D460" s="12" t="s">
        <v>29</v>
      </c>
      <c r="E460" s="19"/>
      <c r="F460" s="277"/>
      <c r="G460" s="4"/>
      <c r="H460" s="47">
        <v>0.375</v>
      </c>
      <c r="I460" s="47">
        <v>0.20833333333333334</v>
      </c>
      <c r="J460" s="19">
        <v>7</v>
      </c>
      <c r="K460" s="277"/>
      <c r="L460" s="4"/>
      <c r="M460" s="47">
        <v>0.375</v>
      </c>
      <c r="N460" s="47">
        <v>0.20833333333333334</v>
      </c>
      <c r="O460" s="319">
        <v>7</v>
      </c>
      <c r="P460" s="277"/>
      <c r="Q460" s="4"/>
      <c r="R460" s="4">
        <v>0</v>
      </c>
      <c r="S460" s="4">
        <v>0</v>
      </c>
      <c r="T460" s="19">
        <v>0</v>
      </c>
      <c r="U460" s="277"/>
      <c r="V460" s="4"/>
      <c r="W460" s="4">
        <v>0</v>
      </c>
      <c r="X460" s="4">
        <v>0</v>
      </c>
      <c r="Y460" s="19">
        <v>0</v>
      </c>
      <c r="Z460" s="277"/>
      <c r="AA460" s="29">
        <f t="shared" si="53"/>
        <v>14</v>
      </c>
      <c r="AB460" s="298">
        <f t="shared" si="51"/>
        <v>0</v>
      </c>
      <c r="AC460" s="4"/>
      <c r="AD460" s="4">
        <v>0</v>
      </c>
      <c r="AE460" s="4">
        <v>0</v>
      </c>
      <c r="AF460" s="19">
        <v>0</v>
      </c>
      <c r="AG460" s="29">
        <f t="shared" si="54"/>
        <v>0</v>
      </c>
      <c r="AH460" s="4"/>
      <c r="AI460" s="255"/>
      <c r="AK460" s="193"/>
      <c r="AL460" s="193"/>
      <c r="AM460" s="193"/>
      <c r="AN460" s="193"/>
      <c r="AO460" s="193"/>
      <c r="AP460" s="193"/>
    </row>
    <row r="461" spans="2:42" s="180" customFormat="1">
      <c r="B461" s="13" t="s">
        <v>54</v>
      </c>
      <c r="C461" s="12" t="s">
        <v>29</v>
      </c>
      <c r="D461" s="12" t="s">
        <v>29</v>
      </c>
      <c r="E461" s="19"/>
      <c r="F461" s="277"/>
      <c r="G461" s="4"/>
      <c r="H461" s="12" t="s">
        <v>29</v>
      </c>
      <c r="I461" s="12" t="s">
        <v>29</v>
      </c>
      <c r="J461" s="19"/>
      <c r="K461" s="277"/>
      <c r="L461" s="4"/>
      <c r="M461" s="12"/>
      <c r="N461" s="47"/>
      <c r="O461" s="319"/>
      <c r="P461" s="277"/>
      <c r="Q461" s="4"/>
      <c r="R461" s="4">
        <v>0</v>
      </c>
      <c r="S461" s="4">
        <v>0</v>
      </c>
      <c r="T461" s="19">
        <v>0</v>
      </c>
      <c r="U461" s="277"/>
      <c r="V461" s="4"/>
      <c r="W461" s="4">
        <v>0</v>
      </c>
      <c r="X461" s="4">
        <v>0</v>
      </c>
      <c r="Y461" s="19">
        <v>0</v>
      </c>
      <c r="Z461" s="277"/>
      <c r="AA461" s="29">
        <f t="shared" si="50"/>
        <v>0</v>
      </c>
      <c r="AB461" s="298">
        <f t="shared" si="51"/>
        <v>0</v>
      </c>
      <c r="AC461" s="4"/>
      <c r="AD461" s="4">
        <v>0</v>
      </c>
      <c r="AE461" s="4">
        <v>0</v>
      </c>
      <c r="AF461" s="19">
        <v>0</v>
      </c>
      <c r="AG461" s="29">
        <f t="shared" si="52"/>
        <v>0</v>
      </c>
      <c r="AH461" s="4"/>
      <c r="AI461" s="255"/>
      <c r="AK461" s="193"/>
      <c r="AL461" s="193"/>
      <c r="AM461" s="193"/>
      <c r="AN461" s="193"/>
      <c r="AO461" s="193"/>
      <c r="AP461" s="193"/>
    </row>
    <row r="462" spans="2:42" s="180" customFormat="1">
      <c r="B462" s="13" t="s">
        <v>55</v>
      </c>
      <c r="C462" s="12" t="s">
        <v>29</v>
      </c>
      <c r="D462" s="12" t="s">
        <v>29</v>
      </c>
      <c r="E462" s="19"/>
      <c r="F462" s="277"/>
      <c r="G462" s="4"/>
      <c r="H462" s="12" t="s">
        <v>29</v>
      </c>
      <c r="I462" s="12" t="s">
        <v>29</v>
      </c>
      <c r="J462" s="19"/>
      <c r="K462" s="277"/>
      <c r="L462" s="4"/>
      <c r="M462" s="12"/>
      <c r="N462" s="47"/>
      <c r="O462" s="319"/>
      <c r="P462" s="277"/>
      <c r="Q462" s="4"/>
      <c r="R462" s="4">
        <v>0</v>
      </c>
      <c r="S462" s="4">
        <v>0</v>
      </c>
      <c r="T462" s="19">
        <v>0</v>
      </c>
      <c r="U462" s="277"/>
      <c r="V462" s="4"/>
      <c r="W462" s="4">
        <v>0</v>
      </c>
      <c r="X462" s="4">
        <v>0</v>
      </c>
      <c r="Y462" s="19">
        <v>0</v>
      </c>
      <c r="Z462" s="277"/>
      <c r="AA462" s="29">
        <f t="shared" si="50"/>
        <v>0</v>
      </c>
      <c r="AB462" s="298">
        <f t="shared" si="51"/>
        <v>0</v>
      </c>
      <c r="AC462" s="4"/>
      <c r="AD462" s="4">
        <v>0</v>
      </c>
      <c r="AE462" s="4">
        <v>0</v>
      </c>
      <c r="AF462" s="19">
        <v>0</v>
      </c>
      <c r="AG462" s="29">
        <f t="shared" si="52"/>
        <v>0</v>
      </c>
      <c r="AH462" s="4"/>
      <c r="AI462" s="255"/>
      <c r="AK462" s="193"/>
      <c r="AL462" s="193"/>
      <c r="AM462" s="193"/>
      <c r="AN462" s="193"/>
      <c r="AO462" s="193"/>
      <c r="AP462" s="193"/>
    </row>
    <row r="463" spans="2:42" s="180" customFormat="1">
      <c r="B463" s="138" t="s">
        <v>59</v>
      </c>
      <c r="C463" s="47">
        <v>0.375</v>
      </c>
      <c r="D463" s="12" t="s">
        <v>29</v>
      </c>
      <c r="E463" s="19">
        <v>8</v>
      </c>
      <c r="F463" s="277"/>
      <c r="G463" s="4"/>
      <c r="H463" s="47">
        <v>0.375</v>
      </c>
      <c r="I463" s="47" t="s">
        <v>29</v>
      </c>
      <c r="J463" s="19">
        <v>8</v>
      </c>
      <c r="K463" s="277"/>
      <c r="L463" s="4"/>
      <c r="M463" s="47">
        <v>0.375</v>
      </c>
      <c r="N463" s="47" t="s">
        <v>29</v>
      </c>
      <c r="O463" s="19">
        <v>8</v>
      </c>
      <c r="P463" s="277"/>
      <c r="Q463" s="4"/>
      <c r="R463" s="4">
        <v>0</v>
      </c>
      <c r="S463" s="4">
        <v>0</v>
      </c>
      <c r="T463" s="19">
        <v>0</v>
      </c>
      <c r="U463" s="277"/>
      <c r="V463" s="4"/>
      <c r="W463" s="4">
        <v>0</v>
      </c>
      <c r="X463" s="4">
        <v>0</v>
      </c>
      <c r="Y463" s="19">
        <v>0</v>
      </c>
      <c r="Z463" s="277"/>
      <c r="AA463" s="29">
        <f t="shared" si="50"/>
        <v>24</v>
      </c>
      <c r="AB463" s="298">
        <f t="shared" si="51"/>
        <v>0</v>
      </c>
      <c r="AC463" s="4"/>
      <c r="AD463" s="4">
        <v>0</v>
      </c>
      <c r="AE463" s="4">
        <v>0</v>
      </c>
      <c r="AF463" s="19">
        <v>0</v>
      </c>
      <c r="AG463" s="29">
        <f t="shared" si="52"/>
        <v>0</v>
      </c>
      <c r="AH463" s="4"/>
      <c r="AI463" s="255"/>
      <c r="AK463" s="193"/>
      <c r="AL463" s="193"/>
      <c r="AM463" s="193"/>
      <c r="AN463" s="193"/>
      <c r="AO463" s="193"/>
      <c r="AP463" s="193"/>
    </row>
    <row r="464" spans="2:42" s="180" customFormat="1">
      <c r="B464" s="138" t="s">
        <v>60</v>
      </c>
      <c r="C464" s="12" t="s">
        <v>29</v>
      </c>
      <c r="D464" s="12" t="s">
        <v>29</v>
      </c>
      <c r="E464" s="19">
        <v>8</v>
      </c>
      <c r="F464" s="277"/>
      <c r="G464" s="4"/>
      <c r="H464" s="12" t="s">
        <v>29</v>
      </c>
      <c r="I464" s="12" t="s">
        <v>29</v>
      </c>
      <c r="J464" s="19">
        <v>8</v>
      </c>
      <c r="K464" s="277"/>
      <c r="L464" s="4"/>
      <c r="M464" s="12" t="s">
        <v>29</v>
      </c>
      <c r="N464" s="12" t="s">
        <v>29</v>
      </c>
      <c r="O464" s="19">
        <v>8</v>
      </c>
      <c r="P464" s="277"/>
      <c r="Q464" s="4"/>
      <c r="R464" s="4">
        <v>0</v>
      </c>
      <c r="S464" s="4">
        <v>0</v>
      </c>
      <c r="T464" s="19">
        <v>0</v>
      </c>
      <c r="U464" s="277"/>
      <c r="V464" s="4"/>
      <c r="W464" s="4">
        <v>0</v>
      </c>
      <c r="X464" s="4">
        <v>0</v>
      </c>
      <c r="Y464" s="19">
        <v>0</v>
      </c>
      <c r="Z464" s="277"/>
      <c r="AA464" s="29">
        <f t="shared" si="50"/>
        <v>24</v>
      </c>
      <c r="AB464" s="298">
        <f t="shared" si="51"/>
        <v>0</v>
      </c>
      <c r="AC464" s="4"/>
      <c r="AD464" s="4">
        <v>0</v>
      </c>
      <c r="AE464" s="4">
        <v>0</v>
      </c>
      <c r="AF464" s="19">
        <v>0</v>
      </c>
      <c r="AG464" s="29">
        <f t="shared" si="52"/>
        <v>0</v>
      </c>
      <c r="AH464" s="4"/>
      <c r="AI464" s="255"/>
      <c r="AK464" s="193"/>
      <c r="AL464" s="193"/>
      <c r="AM464" s="193"/>
      <c r="AN464" s="193"/>
      <c r="AO464" s="193"/>
      <c r="AP464" s="193"/>
    </row>
    <row r="465" spans="1:47" s="180" customFormat="1">
      <c r="B465" s="63" t="s">
        <v>94</v>
      </c>
      <c r="C465" s="12"/>
      <c r="D465" s="12"/>
      <c r="E465" s="19"/>
      <c r="F465" s="277"/>
      <c r="G465" s="4"/>
      <c r="H465" s="12"/>
      <c r="I465" s="12"/>
      <c r="J465" s="19">
        <v>3</v>
      </c>
      <c r="K465" s="277"/>
      <c r="L465" s="4"/>
      <c r="M465" s="12"/>
      <c r="N465" s="12"/>
      <c r="O465" s="19">
        <v>3</v>
      </c>
      <c r="P465" s="277"/>
      <c r="Q465" s="4"/>
      <c r="R465" s="4"/>
      <c r="S465" s="4"/>
      <c r="T465" s="19"/>
      <c r="U465" s="277"/>
      <c r="V465" s="4"/>
      <c r="W465" s="4"/>
      <c r="X465" s="4"/>
      <c r="Y465" s="19"/>
      <c r="Z465" s="277"/>
      <c r="AA465" s="29"/>
      <c r="AB465" s="298"/>
      <c r="AC465" s="4"/>
      <c r="AD465" s="4"/>
      <c r="AE465" s="4"/>
      <c r="AF465" s="19"/>
      <c r="AG465" s="29"/>
      <c r="AH465" s="4"/>
      <c r="AI465" s="255"/>
      <c r="AK465" s="193"/>
      <c r="AL465" s="193"/>
      <c r="AM465" s="193"/>
      <c r="AN465" s="193"/>
      <c r="AO465" s="193"/>
      <c r="AP465" s="193"/>
    </row>
    <row r="466" spans="1:47" s="180" customFormat="1">
      <c r="B466" s="63" t="s">
        <v>62</v>
      </c>
      <c r="C466" s="12" t="s">
        <v>29</v>
      </c>
      <c r="D466" s="12" t="s">
        <v>29</v>
      </c>
      <c r="E466" s="19">
        <v>8</v>
      </c>
      <c r="F466" s="277">
        <v>2.75</v>
      </c>
      <c r="G466" s="60"/>
      <c r="H466" s="12" t="s">
        <v>29</v>
      </c>
      <c r="I466" s="12" t="s">
        <v>29</v>
      </c>
      <c r="J466" s="19">
        <v>8</v>
      </c>
      <c r="K466" s="277">
        <v>2.5</v>
      </c>
      <c r="L466" s="60"/>
      <c r="M466" s="12" t="s">
        <v>29</v>
      </c>
      <c r="N466" s="12" t="s">
        <v>29</v>
      </c>
      <c r="O466" s="19">
        <v>8</v>
      </c>
      <c r="P466" s="277">
        <v>2</v>
      </c>
      <c r="Q466" s="60"/>
      <c r="R466" s="4">
        <v>0</v>
      </c>
      <c r="S466" s="4">
        <v>0</v>
      </c>
      <c r="T466" s="19">
        <v>8</v>
      </c>
      <c r="U466" s="277"/>
      <c r="V466" s="60"/>
      <c r="W466" s="4">
        <v>0</v>
      </c>
      <c r="X466" s="4">
        <v>0</v>
      </c>
      <c r="Y466" s="19">
        <v>8</v>
      </c>
      <c r="Z466" s="277"/>
      <c r="AA466" s="28">
        <f>SUM(E466+J466+O466+T466+Y466)</f>
        <v>40</v>
      </c>
      <c r="AB466" s="298">
        <f t="shared" si="51"/>
        <v>7.25</v>
      </c>
      <c r="AC466" s="4"/>
      <c r="AD466" s="56"/>
      <c r="AE466" s="56"/>
      <c r="AF466" s="19">
        <v>0</v>
      </c>
      <c r="AG466" s="29">
        <v>0</v>
      </c>
      <c r="AH466" s="4"/>
      <c r="AI466" s="255"/>
      <c r="AK466" s="193"/>
      <c r="AL466" s="193"/>
      <c r="AM466" s="193"/>
      <c r="AN466" s="193"/>
      <c r="AO466" s="193"/>
      <c r="AP466" s="193"/>
    </row>
    <row r="467" spans="1:47" s="180" customFormat="1">
      <c r="B467" s="63" t="s">
        <v>63</v>
      </c>
      <c r="C467" s="57" t="s">
        <v>29</v>
      </c>
      <c r="D467" s="57" t="s">
        <v>29</v>
      </c>
      <c r="E467" s="19">
        <v>8</v>
      </c>
      <c r="F467" s="277"/>
      <c r="G467" s="60"/>
      <c r="H467" s="57" t="s">
        <v>29</v>
      </c>
      <c r="I467" s="57" t="s">
        <v>29</v>
      </c>
      <c r="J467" s="19">
        <v>8</v>
      </c>
      <c r="K467" s="277"/>
      <c r="L467" s="60"/>
      <c r="M467" s="57" t="s">
        <v>29</v>
      </c>
      <c r="N467" s="57" t="s">
        <v>29</v>
      </c>
      <c r="O467" s="19">
        <v>8</v>
      </c>
      <c r="P467" s="277"/>
      <c r="Q467" s="60"/>
      <c r="R467" s="4">
        <v>0</v>
      </c>
      <c r="S467" s="4">
        <v>0</v>
      </c>
      <c r="T467" s="19">
        <v>0</v>
      </c>
      <c r="U467" s="277"/>
      <c r="V467" s="60"/>
      <c r="W467" s="4">
        <v>0</v>
      </c>
      <c r="X467" s="4">
        <v>0</v>
      </c>
      <c r="Y467" s="19">
        <v>0</v>
      </c>
      <c r="Z467" s="277"/>
      <c r="AA467" s="28">
        <f>SUM(E467+J467+O467+T467+Y467)</f>
        <v>24</v>
      </c>
      <c r="AB467" s="298">
        <f t="shared" si="51"/>
        <v>0</v>
      </c>
      <c r="AC467" s="4"/>
      <c r="AD467" s="56"/>
      <c r="AE467" s="56"/>
      <c r="AF467" s="19">
        <v>0</v>
      </c>
      <c r="AG467" s="29">
        <f>AF467</f>
        <v>0</v>
      </c>
      <c r="AH467" s="4"/>
      <c r="AI467" s="255"/>
      <c r="AK467" s="193"/>
      <c r="AL467" s="193"/>
      <c r="AM467" s="193"/>
      <c r="AN467" s="193"/>
      <c r="AO467" s="193"/>
      <c r="AP467" s="193"/>
    </row>
    <row r="468" spans="1:47" s="180" customFormat="1">
      <c r="B468" s="64" t="s">
        <v>61</v>
      </c>
      <c r="C468" s="64"/>
      <c r="D468" s="64"/>
      <c r="E468" s="167">
        <f>SUM(E441:E467)</f>
        <v>113</v>
      </c>
      <c r="F468" s="277">
        <f>SUM(F441:F467)</f>
        <v>5.25</v>
      </c>
      <c r="G468" s="64"/>
      <c r="H468" s="64"/>
      <c r="I468" s="64"/>
      <c r="J468" s="64">
        <f>SUM(J441:J467)</f>
        <v>156.5</v>
      </c>
      <c r="K468" s="277">
        <f>SUM(K441:K462)</f>
        <v>3</v>
      </c>
      <c r="L468" s="64"/>
      <c r="M468" s="64"/>
      <c r="N468" s="64"/>
      <c r="O468" s="167">
        <f>SUM(O441:O467)</f>
        <v>161</v>
      </c>
      <c r="P468" s="277">
        <f>SUM(P441:P467)</f>
        <v>2.5</v>
      </c>
      <c r="Q468" s="64"/>
      <c r="R468" s="64"/>
      <c r="S468" s="64"/>
      <c r="T468" s="167">
        <f>SUM(T441:T466)</f>
        <v>13.5</v>
      </c>
      <c r="U468" s="277">
        <f>SUM(U441:U467)</f>
        <v>0</v>
      </c>
      <c r="V468" s="64"/>
      <c r="W468" s="64"/>
      <c r="X468" s="64"/>
      <c r="Y468" s="167">
        <f>SUM(Y441:Y467)</f>
        <v>13</v>
      </c>
      <c r="Z468" s="277">
        <f>SUM(Z441:Z467)</f>
        <v>0</v>
      </c>
      <c r="AA468" s="370">
        <f>SUM(AA441:AA467)</f>
        <v>451</v>
      </c>
      <c r="AB468" s="289">
        <f>SUM(AB441:AB464)</f>
        <v>6</v>
      </c>
      <c r="AC468" s="4"/>
      <c r="AD468" s="64"/>
      <c r="AE468" s="64"/>
      <c r="AF468" s="167">
        <f>SUM(AF441:AF467)</f>
        <v>5.5</v>
      </c>
      <c r="AG468" s="370">
        <f>SUM(AG441:AG462)</f>
        <v>5.5</v>
      </c>
      <c r="AH468" s="4"/>
      <c r="AI468" s="255"/>
      <c r="AK468" s="193"/>
      <c r="AL468" s="193"/>
      <c r="AM468" s="193"/>
      <c r="AN468" s="193"/>
      <c r="AO468" s="193"/>
      <c r="AP468" s="193"/>
    </row>
    <row r="469" spans="1:47" s="180" customFormat="1">
      <c r="B469" s="63" t="s">
        <v>64</v>
      </c>
      <c r="C469" s="56"/>
      <c r="D469" s="56"/>
      <c r="E469" s="19">
        <v>7</v>
      </c>
      <c r="F469" s="291">
        <v>2</v>
      </c>
      <c r="G469" s="60"/>
      <c r="H469" s="56"/>
      <c r="I469" s="56"/>
      <c r="J469" s="19">
        <v>7</v>
      </c>
      <c r="K469" s="291">
        <v>3</v>
      </c>
      <c r="L469" s="60"/>
      <c r="M469" s="56"/>
      <c r="N469" s="56"/>
      <c r="O469" s="19">
        <v>7</v>
      </c>
      <c r="P469" s="19">
        <v>4</v>
      </c>
      <c r="Q469" s="60"/>
      <c r="R469" s="56"/>
      <c r="S469" s="56"/>
      <c r="T469" s="19">
        <v>0</v>
      </c>
      <c r="U469" s="19"/>
      <c r="V469" s="60"/>
      <c r="W469" s="56"/>
      <c r="X469" s="56"/>
      <c r="Y469" s="19">
        <v>4</v>
      </c>
      <c r="Z469" s="19"/>
      <c r="AA469" s="28">
        <f>SUM(E469+J469+O469+T469+Y469)</f>
        <v>25</v>
      </c>
      <c r="AB469" s="296">
        <f>Z469+U469+P469+K469+F469</f>
        <v>9</v>
      </c>
      <c r="AC469" s="4"/>
      <c r="AD469" s="56"/>
      <c r="AE469" s="56"/>
      <c r="AF469" s="19">
        <f>5+2</f>
        <v>7</v>
      </c>
      <c r="AG469" s="29">
        <f>AF469</f>
        <v>7</v>
      </c>
      <c r="AH469" s="4"/>
      <c r="AI469" s="255"/>
      <c r="AK469" s="193"/>
      <c r="AL469" s="193"/>
      <c r="AM469" s="193"/>
      <c r="AN469" s="193"/>
      <c r="AO469" s="193"/>
      <c r="AP469" s="193"/>
    </row>
    <row r="470" spans="1:47" s="180" customFormat="1">
      <c r="B470" s="71" t="s">
        <v>66</v>
      </c>
      <c r="C470" s="371"/>
      <c r="D470" s="371"/>
      <c r="E470" s="71">
        <f>SUM(E469)</f>
        <v>7</v>
      </c>
      <c r="F470" s="372"/>
      <c r="G470" s="372"/>
      <c r="H470" s="371"/>
      <c r="I470" s="371"/>
      <c r="J470" s="71">
        <f>SUM(J469)</f>
        <v>7</v>
      </c>
      <c r="K470" s="372"/>
      <c r="L470" s="372"/>
      <c r="M470" s="371"/>
      <c r="N470" s="371"/>
      <c r="O470" s="71">
        <f>SUM(O469)</f>
        <v>7</v>
      </c>
      <c r="P470" s="372"/>
      <c r="Q470" s="372"/>
      <c r="R470" s="371"/>
      <c r="S470" s="371"/>
      <c r="T470" s="71">
        <f>SUM(T469)</f>
        <v>0</v>
      </c>
      <c r="U470" s="372"/>
      <c r="V470" s="372"/>
      <c r="W470" s="371"/>
      <c r="X470" s="371"/>
      <c r="Y470" s="71">
        <f>SUM(Y469)</f>
        <v>4</v>
      </c>
      <c r="Z470" s="372"/>
      <c r="AA470" s="370">
        <f>SUM(AA469)</f>
        <v>25</v>
      </c>
      <c r="AB470" s="370">
        <f>SUM(AB469)</f>
        <v>9</v>
      </c>
      <c r="AC470" s="4"/>
      <c r="AG470" s="370">
        <f>SUM(AG469:AG469)</f>
        <v>7</v>
      </c>
      <c r="AH470" s="4"/>
      <c r="AI470" s="255"/>
      <c r="AK470" s="193"/>
      <c r="AL470" s="193"/>
      <c r="AM470" s="193"/>
      <c r="AN470" s="193"/>
      <c r="AO470" s="193"/>
      <c r="AP470" s="193"/>
    </row>
    <row r="471" spans="1:47" s="180" customFormat="1">
      <c r="B471" s="217" t="s">
        <v>67</v>
      </c>
      <c r="C471" s="207">
        <f>C472+C473</f>
        <v>45</v>
      </c>
      <c r="D471" s="207"/>
      <c r="E471" s="209"/>
      <c r="F471" s="209"/>
      <c r="G471" s="207"/>
      <c r="H471" s="209"/>
      <c r="I471" s="209"/>
      <c r="J471" s="209"/>
      <c r="K471" s="209"/>
      <c r="L471" s="207"/>
      <c r="M471" s="207"/>
      <c r="N471" s="207"/>
      <c r="O471" s="207"/>
      <c r="P471" s="209"/>
      <c r="Q471" s="207"/>
      <c r="R471" s="207"/>
      <c r="S471" s="207"/>
      <c r="T471" s="207"/>
      <c r="U471" s="209"/>
      <c r="V471" s="207"/>
      <c r="W471" s="207"/>
      <c r="X471" s="207"/>
      <c r="Y471" s="210"/>
      <c r="Z471" s="209"/>
      <c r="AA471" s="211"/>
      <c r="AB471" s="209"/>
      <c r="AC471" s="211"/>
      <c r="AD471" s="211"/>
      <c r="AE471" s="211"/>
      <c r="AF471" s="211"/>
      <c r="AG471" s="211"/>
      <c r="AH471" s="4"/>
      <c r="AI471" s="255"/>
      <c r="AK471" s="193"/>
      <c r="AL471" s="193"/>
      <c r="AM471" s="193"/>
      <c r="AN471" s="193"/>
      <c r="AO471" s="193"/>
      <c r="AP471" s="193"/>
    </row>
    <row r="472" spans="1:47" s="180" customFormat="1">
      <c r="B472" s="238" t="s">
        <v>68</v>
      </c>
      <c r="C472" s="239">
        <f>12+14+19</f>
        <v>45</v>
      </c>
      <c r="D472" s="207"/>
      <c r="E472" s="209"/>
      <c r="F472" s="209"/>
      <c r="G472" s="207"/>
      <c r="H472" s="209"/>
      <c r="I472" s="209"/>
      <c r="J472" s="209"/>
      <c r="K472" s="209"/>
      <c r="L472" s="207"/>
      <c r="M472" s="207"/>
      <c r="N472" s="207"/>
      <c r="O472" s="207"/>
      <c r="P472" s="209"/>
      <c r="Q472" s="207"/>
      <c r="R472" s="207"/>
      <c r="S472" s="207"/>
      <c r="T472" s="207"/>
      <c r="U472" s="209"/>
      <c r="V472" s="207"/>
      <c r="W472" s="207"/>
      <c r="X472" s="207"/>
      <c r="Y472" s="210"/>
      <c r="Z472" s="209"/>
      <c r="AA472" s="211"/>
      <c r="AB472" s="209"/>
      <c r="AC472" s="211"/>
      <c r="AD472" s="211"/>
      <c r="AE472" s="211"/>
      <c r="AF472" s="211"/>
      <c r="AG472" s="211"/>
      <c r="AH472" s="4"/>
      <c r="AI472" s="255"/>
      <c r="AK472" s="193"/>
      <c r="AL472" s="193"/>
      <c r="AM472" s="193"/>
      <c r="AN472" s="193"/>
      <c r="AO472" s="193"/>
      <c r="AP472" s="193"/>
    </row>
    <row r="473" spans="1:47" s="180" customFormat="1">
      <c r="B473" s="238" t="s">
        <v>69</v>
      </c>
      <c r="C473" s="239"/>
      <c r="D473" s="207"/>
      <c r="E473" s="209"/>
      <c r="F473" s="209"/>
      <c r="G473" s="207"/>
      <c r="H473" s="209"/>
      <c r="I473" s="209"/>
      <c r="J473" s="209"/>
      <c r="K473" s="209"/>
      <c r="L473" s="207"/>
      <c r="M473" s="207"/>
      <c r="N473" s="207"/>
      <c r="O473" s="207"/>
      <c r="P473" s="209"/>
      <c r="Q473" s="207"/>
      <c r="R473" s="207"/>
      <c r="S473" s="207"/>
      <c r="T473" s="207"/>
      <c r="U473" s="209"/>
      <c r="V473" s="207"/>
      <c r="W473" s="207"/>
      <c r="X473" s="207"/>
      <c r="Y473" s="210"/>
      <c r="Z473" s="209"/>
      <c r="AA473" s="211"/>
      <c r="AB473" s="209"/>
      <c r="AC473" s="211"/>
      <c r="AD473" s="211"/>
      <c r="AE473" s="211"/>
      <c r="AF473" s="211"/>
      <c r="AG473" s="211"/>
      <c r="AH473" s="4"/>
      <c r="AI473" s="255"/>
      <c r="AK473" s="193"/>
      <c r="AL473" s="193"/>
      <c r="AM473" s="193"/>
      <c r="AN473" s="193"/>
      <c r="AO473" s="193"/>
      <c r="AP473" s="193"/>
    </row>
    <row r="474" spans="1:47" s="180" customFormat="1">
      <c r="AH474" s="4"/>
    </row>
    <row r="475" spans="1:47" s="255" customFormat="1">
      <c r="A475" s="228"/>
      <c r="B475" s="229"/>
      <c r="C475" s="230"/>
      <c r="D475" s="230"/>
      <c r="E475" s="232"/>
      <c r="F475" s="232"/>
      <c r="G475" s="230"/>
      <c r="H475" s="232"/>
      <c r="I475" s="232"/>
      <c r="J475" s="232"/>
      <c r="K475" s="232"/>
      <c r="L475" s="230"/>
      <c r="M475" s="230"/>
      <c r="N475" s="230"/>
      <c r="O475" s="230"/>
      <c r="P475" s="232"/>
      <c r="Q475" s="230"/>
      <c r="R475" s="230"/>
      <c r="S475" s="230"/>
      <c r="T475" s="230"/>
      <c r="U475" s="232"/>
      <c r="V475" s="230"/>
      <c r="W475" s="230"/>
      <c r="X475" s="230"/>
      <c r="Y475" s="233"/>
      <c r="Z475" s="232"/>
      <c r="AA475" s="234"/>
      <c r="AB475" s="232"/>
      <c r="AC475" s="373"/>
      <c r="AD475" s="236"/>
      <c r="AH475" s="373"/>
    </row>
    <row r="476" spans="1:47" s="193" customFormat="1">
      <c r="A476" s="224"/>
      <c r="B476" s="214"/>
      <c r="C476" s="364"/>
      <c r="D476" s="364"/>
      <c r="E476" s="214"/>
      <c r="F476" s="214"/>
      <c r="G476" s="364"/>
      <c r="H476" s="214"/>
      <c r="I476" s="214"/>
      <c r="J476" s="214"/>
      <c r="K476" s="214"/>
      <c r="L476" s="364"/>
      <c r="M476" s="364"/>
      <c r="N476" s="364"/>
      <c r="O476" s="364"/>
      <c r="P476" s="214"/>
      <c r="Q476" s="364"/>
      <c r="R476" s="364"/>
      <c r="S476" s="364"/>
      <c r="T476" s="364"/>
      <c r="U476" s="214"/>
      <c r="V476" s="364"/>
      <c r="W476" s="364"/>
      <c r="X476" s="364"/>
      <c r="Y476" s="216"/>
      <c r="Z476" s="214"/>
      <c r="AA476" s="225"/>
      <c r="AB476" s="214"/>
      <c r="AC476" s="189"/>
      <c r="AH476" s="4"/>
      <c r="AI476" s="255"/>
      <c r="AJ476" s="180"/>
    </row>
    <row r="477" spans="1:47" s="180" customFormat="1">
      <c r="B477" s="1518" t="s">
        <v>18</v>
      </c>
      <c r="C477" s="1519">
        <v>45257</v>
      </c>
      <c r="D477" s="1519"/>
      <c r="E477" s="1519"/>
      <c r="F477" s="1519"/>
      <c r="G477" s="365"/>
      <c r="H477" s="1519">
        <v>45258</v>
      </c>
      <c r="I477" s="1519"/>
      <c r="J477" s="1519"/>
      <c r="K477" s="1519"/>
      <c r="L477" s="365"/>
      <c r="M477" s="1519">
        <v>45259</v>
      </c>
      <c r="N477" s="1519"/>
      <c r="O477" s="1519"/>
      <c r="P477" s="1519"/>
      <c r="Q477" s="365"/>
      <c r="R477" s="1519">
        <v>45260</v>
      </c>
      <c r="S477" s="1519"/>
      <c r="T477" s="1519"/>
      <c r="U477" s="1519"/>
      <c r="V477" s="365"/>
      <c r="W477" s="1519">
        <v>45261</v>
      </c>
      <c r="X477" s="1519"/>
      <c r="Y477" s="1519"/>
      <c r="Z477" s="1519"/>
      <c r="AA477" s="1517" t="s">
        <v>19</v>
      </c>
      <c r="AB477" s="1517" t="s">
        <v>20</v>
      </c>
      <c r="AC477" s="4"/>
      <c r="AD477" s="1519">
        <v>45262</v>
      </c>
      <c r="AE477" s="1519"/>
      <c r="AF477" s="1519"/>
      <c r="AG477" s="1517" t="s">
        <v>21</v>
      </c>
      <c r="AH477" s="4"/>
      <c r="AI477" s="255"/>
      <c r="AK477" s="194" t="s">
        <v>84</v>
      </c>
      <c r="AL477" s="366"/>
      <c r="AM477" s="366"/>
      <c r="AN477" s="366"/>
      <c r="AO477" s="366"/>
      <c r="AP477" s="366"/>
    </row>
    <row r="478" spans="1:47" s="367" customFormat="1">
      <c r="B478" s="1518"/>
      <c r="C478" s="21" t="s">
        <v>23</v>
      </c>
      <c r="D478" s="21" t="s">
        <v>24</v>
      </c>
      <c r="E478" s="18" t="s">
        <v>95</v>
      </c>
      <c r="F478" s="18" t="s">
        <v>14</v>
      </c>
      <c r="G478" s="4"/>
      <c r="H478" s="21" t="s">
        <v>23</v>
      </c>
      <c r="I478" s="21" t="s">
        <v>24</v>
      </c>
      <c r="J478" s="18" t="s">
        <v>25</v>
      </c>
      <c r="K478" s="18" t="s">
        <v>95</v>
      </c>
      <c r="L478" s="4"/>
      <c r="M478" s="21" t="s">
        <v>23</v>
      </c>
      <c r="N478" s="21" t="s">
        <v>24</v>
      </c>
      <c r="O478" s="18" t="s">
        <v>95</v>
      </c>
      <c r="P478" s="18" t="s">
        <v>14</v>
      </c>
      <c r="Q478" s="4"/>
      <c r="R478" s="21" t="s">
        <v>23</v>
      </c>
      <c r="S478" s="21" t="s">
        <v>24</v>
      </c>
      <c r="T478" s="18" t="s">
        <v>95</v>
      </c>
      <c r="U478" s="18" t="s">
        <v>14</v>
      </c>
      <c r="V478" s="4"/>
      <c r="W478" s="21" t="s">
        <v>23</v>
      </c>
      <c r="X478" s="21" t="s">
        <v>24</v>
      </c>
      <c r="Y478" s="18" t="s">
        <v>95</v>
      </c>
      <c r="Z478" s="18" t="s">
        <v>14</v>
      </c>
      <c r="AA478" s="1517"/>
      <c r="AB478" s="1517"/>
      <c r="AC478" s="4"/>
      <c r="AD478" s="21" t="s">
        <v>23</v>
      </c>
      <c r="AE478" s="21" t="s">
        <v>24</v>
      </c>
      <c r="AF478" s="18" t="s">
        <v>25</v>
      </c>
      <c r="AG478" s="1517"/>
      <c r="AH478" s="175"/>
      <c r="AI478" s="368"/>
      <c r="AK478" s="188" t="s">
        <v>26</v>
      </c>
      <c r="AL478" s="196">
        <f>AA516</f>
        <v>806.5</v>
      </c>
      <c r="AM478" s="193"/>
      <c r="AN478" s="193"/>
      <c r="AO478" s="193"/>
      <c r="AP478" s="193"/>
    </row>
    <row r="479" spans="1:47" s="367" customFormat="1">
      <c r="B479" s="171" t="s">
        <v>72</v>
      </c>
      <c r="C479" s="172">
        <v>0.375</v>
      </c>
      <c r="D479" s="172">
        <v>0.20833333333333334</v>
      </c>
      <c r="E479" s="173">
        <v>7</v>
      </c>
      <c r="F479" s="277"/>
      <c r="G479" s="4"/>
      <c r="H479" s="172">
        <v>0.375</v>
      </c>
      <c r="I479" s="172">
        <v>0.20833333333333334</v>
      </c>
      <c r="J479" s="173">
        <v>7</v>
      </c>
      <c r="K479" s="277"/>
      <c r="L479" s="4"/>
      <c r="M479" s="47">
        <v>0.375</v>
      </c>
      <c r="N479" s="47">
        <v>0.20833333333333334</v>
      </c>
      <c r="O479" s="173">
        <v>7</v>
      </c>
      <c r="P479" s="277"/>
      <c r="Q479" s="4"/>
      <c r="R479" s="47">
        <v>0.29166666666666669</v>
      </c>
      <c r="S479" s="47">
        <v>0.20833333333333334</v>
      </c>
      <c r="T479" s="19">
        <v>8</v>
      </c>
      <c r="U479" s="277">
        <v>1</v>
      </c>
      <c r="V479" s="4"/>
      <c r="W479" s="47">
        <v>0.375</v>
      </c>
      <c r="X479" s="47">
        <v>0.20833333333333334</v>
      </c>
      <c r="Y479" s="19">
        <v>7</v>
      </c>
      <c r="Z479" s="277"/>
      <c r="AA479" s="28">
        <f t="shared" ref="AA479:AA505" si="55">(E479+J479+O479+T479+Y479)</f>
        <v>36</v>
      </c>
      <c r="AB479" s="298">
        <f t="shared" ref="AB479:AB515" si="56">Z479+U479+P479+K479+F479</f>
        <v>1</v>
      </c>
      <c r="AC479" s="4"/>
      <c r="AD479" s="4">
        <v>0</v>
      </c>
      <c r="AE479" s="4">
        <v>0</v>
      </c>
      <c r="AF479" s="19">
        <v>0</v>
      </c>
      <c r="AG479" s="28">
        <f t="shared" ref="AG479:AG498" si="57">AF479</f>
        <v>0</v>
      </c>
      <c r="AH479" s="175"/>
      <c r="AI479" s="368"/>
      <c r="AK479" s="188" t="s">
        <v>30</v>
      </c>
      <c r="AL479" s="196">
        <f>AB516</f>
        <v>136.5</v>
      </c>
      <c r="AM479" s="193"/>
      <c r="AN479" s="193"/>
      <c r="AO479" s="193"/>
      <c r="AP479" s="193"/>
      <c r="AU479" s="19"/>
    </row>
    <row r="480" spans="1:47" s="367" customFormat="1">
      <c r="B480" s="171" t="s">
        <v>71</v>
      </c>
      <c r="C480" s="172">
        <v>0.375</v>
      </c>
      <c r="D480" s="172">
        <v>0.23958333333333334</v>
      </c>
      <c r="E480" s="173">
        <v>8.75</v>
      </c>
      <c r="F480" s="277">
        <v>0.75</v>
      </c>
      <c r="G480" s="4"/>
      <c r="H480" s="172">
        <v>0.375</v>
      </c>
      <c r="I480" s="172">
        <v>0.20833333333333334</v>
      </c>
      <c r="J480" s="173">
        <v>7</v>
      </c>
      <c r="K480" s="277"/>
      <c r="L480" s="4"/>
      <c r="M480" s="172">
        <v>0.375</v>
      </c>
      <c r="N480" s="47">
        <v>0.20833333333333334</v>
      </c>
      <c r="O480" s="173">
        <v>7</v>
      </c>
      <c r="P480" s="277"/>
      <c r="Q480" s="4"/>
      <c r="R480" s="47">
        <v>0.375</v>
      </c>
      <c r="S480" s="47">
        <v>0.375</v>
      </c>
      <c r="T480" s="19">
        <v>8</v>
      </c>
      <c r="U480" s="277">
        <v>3</v>
      </c>
      <c r="V480" s="4"/>
      <c r="W480" s="47">
        <v>0.39583333333333331</v>
      </c>
      <c r="X480" s="47">
        <v>0.27083333333333331</v>
      </c>
      <c r="Y480" s="19">
        <v>8</v>
      </c>
      <c r="Z480" s="277"/>
      <c r="AA480" s="28">
        <f t="shared" si="55"/>
        <v>38.75</v>
      </c>
      <c r="AB480" s="298">
        <f t="shared" si="56"/>
        <v>3.75</v>
      </c>
      <c r="AC480" s="4"/>
      <c r="AD480" s="4">
        <v>0</v>
      </c>
      <c r="AE480" s="4">
        <v>0</v>
      </c>
      <c r="AF480" s="19">
        <v>0</v>
      </c>
      <c r="AG480" s="28">
        <f t="shared" si="57"/>
        <v>0</v>
      </c>
      <c r="AH480" s="175"/>
      <c r="AI480" s="368"/>
      <c r="AK480" s="188" t="s">
        <v>32</v>
      </c>
      <c r="AL480" s="196">
        <f>AG516</f>
        <v>238.75</v>
      </c>
      <c r="AM480" s="193"/>
      <c r="AN480" s="193"/>
      <c r="AO480" s="193"/>
      <c r="AP480" s="193"/>
      <c r="AU480" s="19"/>
    </row>
    <row r="481" spans="2:48" s="401" customFormat="1">
      <c r="B481" s="8" t="s">
        <v>46</v>
      </c>
      <c r="C481" s="314">
        <v>0.375</v>
      </c>
      <c r="D481" s="314">
        <v>0.20833333333333334</v>
      </c>
      <c r="E481" s="19">
        <v>7</v>
      </c>
      <c r="F481" s="277"/>
      <c r="G481" s="399"/>
      <c r="H481" s="314">
        <v>0.4375</v>
      </c>
      <c r="I481" s="314">
        <v>0.41666666666666669</v>
      </c>
      <c r="J481" s="19">
        <v>8</v>
      </c>
      <c r="K481" s="277">
        <v>2.5</v>
      </c>
      <c r="L481" s="399"/>
      <c r="M481" s="47">
        <v>0.41666666666666669</v>
      </c>
      <c r="N481" s="47">
        <v>0.20833333333333334</v>
      </c>
      <c r="O481" s="319">
        <v>6</v>
      </c>
      <c r="P481" s="277"/>
      <c r="Q481" s="399"/>
      <c r="R481" s="47">
        <v>0.375</v>
      </c>
      <c r="S481" s="47">
        <v>0.375</v>
      </c>
      <c r="T481" s="19">
        <v>8</v>
      </c>
      <c r="U481" s="277">
        <v>3</v>
      </c>
      <c r="V481" s="399"/>
      <c r="W481" s="47">
        <v>0.375</v>
      </c>
      <c r="X481" s="47">
        <v>0.20833333333333334</v>
      </c>
      <c r="Y481" s="19">
        <v>7</v>
      </c>
      <c r="Z481" s="277"/>
      <c r="AA481" s="29">
        <f t="shared" si="55"/>
        <v>36</v>
      </c>
      <c r="AB481" s="298">
        <f t="shared" si="56"/>
        <v>5.5</v>
      </c>
      <c r="AC481" s="399"/>
      <c r="AD481" s="4" t="s">
        <v>29</v>
      </c>
      <c r="AE481" s="4" t="s">
        <v>29</v>
      </c>
      <c r="AF481" s="346">
        <f>8+4</f>
        <v>12</v>
      </c>
      <c r="AG481" s="411">
        <f t="shared" si="57"/>
        <v>12</v>
      </c>
      <c r="AH481" s="399"/>
      <c r="AI481" s="402"/>
      <c r="AK481" s="403" t="s">
        <v>34</v>
      </c>
      <c r="AL481" s="404">
        <f>AA517</f>
        <v>40</v>
      </c>
      <c r="AM481" s="405"/>
      <c r="AN481" s="405"/>
      <c r="AO481" s="405"/>
      <c r="AP481" s="405"/>
      <c r="AU481" s="346"/>
      <c r="AV481" s="367"/>
    </row>
    <row r="482" spans="2:48" s="180" customFormat="1">
      <c r="B482" s="13" t="s">
        <v>35</v>
      </c>
      <c r="C482" s="4">
        <v>0</v>
      </c>
      <c r="D482" s="4">
        <v>0</v>
      </c>
      <c r="E482" s="319">
        <v>0</v>
      </c>
      <c r="F482" s="277"/>
      <c r="G482" s="175"/>
      <c r="H482" s="4">
        <v>0</v>
      </c>
      <c r="I482" s="4">
        <v>0</v>
      </c>
      <c r="J482" s="319">
        <v>0</v>
      </c>
      <c r="K482" s="277"/>
      <c r="L482" s="175"/>
      <c r="M482" s="4">
        <v>0</v>
      </c>
      <c r="N482" s="4">
        <v>0</v>
      </c>
      <c r="O482" s="319">
        <v>0</v>
      </c>
      <c r="P482" s="277"/>
      <c r="Q482" s="175"/>
      <c r="R482" s="4">
        <v>0</v>
      </c>
      <c r="S482" s="4">
        <v>0</v>
      </c>
      <c r="T482" s="19">
        <v>0</v>
      </c>
      <c r="U482" s="277"/>
      <c r="V482" s="175"/>
      <c r="W482" s="4">
        <v>0</v>
      </c>
      <c r="X482" s="4">
        <v>0</v>
      </c>
      <c r="Y482" s="19">
        <v>0</v>
      </c>
      <c r="Z482" s="277"/>
      <c r="AA482" s="344">
        <f t="shared" si="55"/>
        <v>0</v>
      </c>
      <c r="AB482" s="298">
        <f t="shared" si="56"/>
        <v>0</v>
      </c>
      <c r="AC482" s="175"/>
      <c r="AD482" s="4">
        <v>0</v>
      </c>
      <c r="AE482" s="4">
        <v>0</v>
      </c>
      <c r="AF482" s="19">
        <v>0</v>
      </c>
      <c r="AG482" s="344">
        <f t="shared" si="57"/>
        <v>0</v>
      </c>
      <c r="AH482" s="4"/>
      <c r="AI482" s="255"/>
      <c r="AK482" s="188" t="s">
        <v>36</v>
      </c>
      <c r="AL482" s="196">
        <f>AB517</f>
        <v>13.75</v>
      </c>
      <c r="AM482" s="193"/>
      <c r="AN482" s="193"/>
      <c r="AO482" s="193"/>
      <c r="AP482" s="193"/>
      <c r="AU482" s="19"/>
      <c r="AV482" s="367"/>
    </row>
    <row r="483" spans="2:48" s="367" customFormat="1">
      <c r="B483" s="13" t="s">
        <v>37</v>
      </c>
      <c r="C483" s="4">
        <v>0</v>
      </c>
      <c r="D483" s="4">
        <v>0</v>
      </c>
      <c r="E483" s="319">
        <v>0</v>
      </c>
      <c r="F483" s="277"/>
      <c r="G483" s="175"/>
      <c r="H483" s="47">
        <v>0.375</v>
      </c>
      <c r="I483" s="314">
        <v>0.20833333333333334</v>
      </c>
      <c r="J483" s="319">
        <v>7</v>
      </c>
      <c r="K483" s="277"/>
      <c r="L483" s="175"/>
      <c r="M483" s="47">
        <v>0.375</v>
      </c>
      <c r="N483" s="47">
        <v>0.33333333333333331</v>
      </c>
      <c r="O483" s="319">
        <v>8</v>
      </c>
      <c r="P483" s="277">
        <v>2</v>
      </c>
      <c r="Q483" s="175"/>
      <c r="R483" s="47">
        <v>0.375</v>
      </c>
      <c r="S483" s="47">
        <v>0.27083333333333331</v>
      </c>
      <c r="T483" s="19">
        <v>8</v>
      </c>
      <c r="U483" s="277">
        <v>0.5</v>
      </c>
      <c r="V483" s="175"/>
      <c r="W483" s="47">
        <v>0.375</v>
      </c>
      <c r="X483" s="47">
        <v>0.26041666666666669</v>
      </c>
      <c r="Y483" s="19">
        <v>8</v>
      </c>
      <c r="Z483" s="277"/>
      <c r="AA483" s="344">
        <f t="shared" si="55"/>
        <v>31</v>
      </c>
      <c r="AB483" s="298">
        <f t="shared" si="56"/>
        <v>2.5</v>
      </c>
      <c r="AC483" s="175"/>
      <c r="AD483" s="4">
        <v>0</v>
      </c>
      <c r="AE483" s="4">
        <v>0</v>
      </c>
      <c r="AF483" s="19">
        <v>0</v>
      </c>
      <c r="AG483" s="344">
        <f t="shared" si="57"/>
        <v>0</v>
      </c>
      <c r="AH483" s="175"/>
      <c r="AI483" s="368"/>
      <c r="AK483" s="188" t="s">
        <v>38</v>
      </c>
      <c r="AL483" s="196">
        <f>AG517</f>
        <v>29</v>
      </c>
      <c r="AM483" s="193"/>
      <c r="AN483" s="193"/>
      <c r="AO483" s="193"/>
      <c r="AP483" s="193"/>
      <c r="AU483" s="19"/>
    </row>
    <row r="484" spans="2:48" s="180" customFormat="1">
      <c r="B484" s="13" t="s">
        <v>39</v>
      </c>
      <c r="C484" s="47">
        <v>0.39583333333333331</v>
      </c>
      <c r="D484" s="47">
        <v>0.20833333333333334</v>
      </c>
      <c r="E484" s="19">
        <v>6.5</v>
      </c>
      <c r="F484" s="277"/>
      <c r="G484" s="4"/>
      <c r="H484" s="47">
        <v>0.375</v>
      </c>
      <c r="I484" s="314">
        <v>0.20833333333333334</v>
      </c>
      <c r="J484" s="319">
        <v>7</v>
      </c>
      <c r="K484" s="277"/>
      <c r="L484" s="4"/>
      <c r="M484" s="47">
        <v>0.375</v>
      </c>
      <c r="N484" s="47">
        <v>0.20833333333333334</v>
      </c>
      <c r="O484" s="319">
        <v>7</v>
      </c>
      <c r="P484" s="277"/>
      <c r="Q484" s="4"/>
      <c r="R484" s="47">
        <v>0.39583333333333331</v>
      </c>
      <c r="S484" s="47">
        <v>0.34375</v>
      </c>
      <c r="T484" s="19">
        <v>8</v>
      </c>
      <c r="U484" s="277">
        <v>1.25</v>
      </c>
      <c r="V484" s="4"/>
      <c r="W484" s="47">
        <v>0.40625</v>
      </c>
      <c r="X484" s="47">
        <v>0.375</v>
      </c>
      <c r="Y484" s="19">
        <v>8</v>
      </c>
      <c r="Z484" s="277">
        <v>2</v>
      </c>
      <c r="AA484" s="29">
        <f t="shared" si="55"/>
        <v>36.5</v>
      </c>
      <c r="AB484" s="298">
        <f t="shared" si="56"/>
        <v>3.25</v>
      </c>
      <c r="AC484" s="4"/>
      <c r="AD484" s="4">
        <v>0</v>
      </c>
      <c r="AE484" s="4">
        <v>0</v>
      </c>
      <c r="AF484" s="19">
        <v>12.5</v>
      </c>
      <c r="AG484" s="411">
        <f t="shared" si="57"/>
        <v>12.5</v>
      </c>
      <c r="AH484" s="4"/>
      <c r="AI484" s="255"/>
      <c r="AK484" s="188" t="s">
        <v>41</v>
      </c>
      <c r="AL484" s="196">
        <f>C520</f>
        <v>109</v>
      </c>
      <c r="AM484" s="369"/>
      <c r="AN484" s="369"/>
      <c r="AO484" s="369"/>
      <c r="AP484" s="369"/>
      <c r="AU484" s="19"/>
      <c r="AV484" s="367"/>
    </row>
    <row r="485" spans="2:48" s="180" customFormat="1">
      <c r="B485" s="164" t="s">
        <v>42</v>
      </c>
      <c r="C485" s="47">
        <v>0.375</v>
      </c>
      <c r="D485" s="47">
        <v>0.20833333333333334</v>
      </c>
      <c r="E485" s="19">
        <v>7</v>
      </c>
      <c r="F485" s="277"/>
      <c r="G485" s="4"/>
      <c r="H485" s="47">
        <v>0.375</v>
      </c>
      <c r="I485" s="314">
        <v>0.20833333333333334</v>
      </c>
      <c r="J485" s="319">
        <v>7</v>
      </c>
      <c r="K485" s="277"/>
      <c r="L485" s="4"/>
      <c r="M485" s="47">
        <v>0.375</v>
      </c>
      <c r="N485" s="47">
        <v>0.20833333333333334</v>
      </c>
      <c r="O485" s="319">
        <v>7</v>
      </c>
      <c r="P485" s="277"/>
      <c r="Q485" s="4"/>
      <c r="R485" s="47">
        <v>0.375</v>
      </c>
      <c r="S485" s="47">
        <v>0.20833333333333334</v>
      </c>
      <c r="T485" s="19">
        <v>7</v>
      </c>
      <c r="U485" s="277"/>
      <c r="V485" s="4"/>
      <c r="W485" s="47">
        <v>0.375</v>
      </c>
      <c r="X485" s="47">
        <v>0.20833333333333334</v>
      </c>
      <c r="Y485" s="19">
        <v>7</v>
      </c>
      <c r="Z485" s="277"/>
      <c r="AA485" s="29">
        <f t="shared" si="55"/>
        <v>35</v>
      </c>
      <c r="AB485" s="298">
        <f t="shared" si="56"/>
        <v>0</v>
      </c>
      <c r="AC485" s="4"/>
      <c r="AD485" s="4" t="s">
        <v>29</v>
      </c>
      <c r="AE485" s="4" t="s">
        <v>29</v>
      </c>
      <c r="AF485" s="346">
        <f>8+5</f>
        <v>13</v>
      </c>
      <c r="AG485" s="411">
        <f t="shared" si="57"/>
        <v>13</v>
      </c>
      <c r="AH485" s="4"/>
      <c r="AI485" s="255"/>
      <c r="AK485" s="193"/>
      <c r="AL485" s="193"/>
      <c r="AM485" s="193"/>
      <c r="AN485" s="193"/>
      <c r="AO485" s="193"/>
      <c r="AP485" s="193"/>
      <c r="AU485" s="346"/>
      <c r="AV485" s="367"/>
    </row>
    <row r="486" spans="2:48" s="180" customFormat="1">
      <c r="B486" s="13" t="s">
        <v>43</v>
      </c>
      <c r="C486" s="47">
        <v>0.375</v>
      </c>
      <c r="D486" s="47">
        <v>0.30208333333333331</v>
      </c>
      <c r="E486" s="19">
        <v>9.25</v>
      </c>
      <c r="F486" s="277">
        <v>1.25</v>
      </c>
      <c r="G486" s="4"/>
      <c r="H486" s="47">
        <v>0.375</v>
      </c>
      <c r="I486" s="314">
        <v>0.375</v>
      </c>
      <c r="J486" s="319">
        <v>8</v>
      </c>
      <c r="K486" s="277">
        <v>3</v>
      </c>
      <c r="L486" s="4"/>
      <c r="M486" s="47">
        <v>0.375</v>
      </c>
      <c r="N486" s="47">
        <v>0.30208333333333331</v>
      </c>
      <c r="O486" s="319">
        <v>8</v>
      </c>
      <c r="P486" s="277">
        <v>1.25</v>
      </c>
      <c r="Q486" s="4"/>
      <c r="R486" s="47">
        <v>0.375</v>
      </c>
      <c r="S486" s="47">
        <v>0.375</v>
      </c>
      <c r="T486" s="19">
        <v>8</v>
      </c>
      <c r="U486" s="277">
        <v>3</v>
      </c>
      <c r="V486" s="4"/>
      <c r="W486" s="47">
        <v>0.375</v>
      </c>
      <c r="X486" s="47">
        <v>0.375</v>
      </c>
      <c r="Y486" s="19">
        <v>8</v>
      </c>
      <c r="Z486" s="277">
        <v>3</v>
      </c>
      <c r="AA486" s="29">
        <f t="shared" si="55"/>
        <v>41.25</v>
      </c>
      <c r="AB486" s="298">
        <f t="shared" si="56"/>
        <v>11.5</v>
      </c>
      <c r="AC486" s="4"/>
      <c r="AD486" s="4">
        <v>0</v>
      </c>
      <c r="AE486" s="4">
        <v>0</v>
      </c>
      <c r="AF486" s="19">
        <v>20</v>
      </c>
      <c r="AG486" s="411">
        <f t="shared" si="57"/>
        <v>20</v>
      </c>
      <c r="AH486" s="4"/>
      <c r="AI486" s="255"/>
      <c r="AK486" s="193"/>
      <c r="AL486" s="193"/>
      <c r="AM486" s="193"/>
      <c r="AN486" s="193"/>
      <c r="AO486" s="193"/>
      <c r="AP486" s="193"/>
      <c r="AU486" s="19"/>
      <c r="AV486" s="367"/>
    </row>
    <row r="487" spans="2:48" s="180" customFormat="1">
      <c r="B487" s="13" t="s">
        <v>44</v>
      </c>
      <c r="C487" s="47">
        <v>0.375</v>
      </c>
      <c r="D487" s="47">
        <v>0.29166666666666669</v>
      </c>
      <c r="E487" s="19">
        <v>9</v>
      </c>
      <c r="F487" s="277">
        <v>1</v>
      </c>
      <c r="G487" s="4"/>
      <c r="H487" s="47">
        <v>0.375</v>
      </c>
      <c r="I487" s="314">
        <v>0.20833333333333334</v>
      </c>
      <c r="J487" s="319">
        <v>7</v>
      </c>
      <c r="K487" s="277"/>
      <c r="L487" s="4"/>
      <c r="M487" s="47">
        <v>0.39583333333333331</v>
      </c>
      <c r="N487" s="47">
        <v>0.5</v>
      </c>
      <c r="O487" s="319">
        <v>8</v>
      </c>
      <c r="P487" s="277">
        <v>5.5</v>
      </c>
      <c r="Q487" s="4"/>
      <c r="R487" s="47">
        <v>0.40625</v>
      </c>
      <c r="S487" s="47">
        <v>0.27083333333333331</v>
      </c>
      <c r="T487" s="19">
        <v>8</v>
      </c>
      <c r="U487" s="277">
        <v>0.25</v>
      </c>
      <c r="V487" s="4"/>
      <c r="W487" s="47">
        <v>0.375</v>
      </c>
      <c r="X487" s="47">
        <v>0.26041666666666669</v>
      </c>
      <c r="Y487" s="19">
        <v>8</v>
      </c>
      <c r="Z487" s="277">
        <v>0.25</v>
      </c>
      <c r="AA487" s="29">
        <f t="shared" si="55"/>
        <v>40</v>
      </c>
      <c r="AB487" s="298">
        <f t="shared" si="56"/>
        <v>7</v>
      </c>
      <c r="AC487" s="4"/>
      <c r="AD487" s="4">
        <v>0</v>
      </c>
      <c r="AE487" s="4">
        <v>0</v>
      </c>
      <c r="AF487" s="19">
        <v>0</v>
      </c>
      <c r="AG487" s="29">
        <f t="shared" si="57"/>
        <v>0</v>
      </c>
      <c r="AH487" s="4"/>
      <c r="AI487" s="255"/>
      <c r="AK487" s="193"/>
      <c r="AL487" s="193"/>
      <c r="AM487" s="193"/>
      <c r="AN487" s="193"/>
      <c r="AO487" s="193"/>
      <c r="AP487" s="193"/>
      <c r="AU487" s="19"/>
      <c r="AV487" s="367"/>
    </row>
    <row r="488" spans="2:48" s="180" customFormat="1">
      <c r="B488" s="13" t="s">
        <v>45</v>
      </c>
      <c r="C488" s="47">
        <v>0.375</v>
      </c>
      <c r="D488" s="47">
        <v>0.20833333333333334</v>
      </c>
      <c r="E488" s="19">
        <v>7</v>
      </c>
      <c r="F488" s="277"/>
      <c r="G488" s="4"/>
      <c r="H488" s="47">
        <v>0.375</v>
      </c>
      <c r="I488" s="16">
        <v>0.20833333333333334</v>
      </c>
      <c r="J488" s="319">
        <v>7</v>
      </c>
      <c r="K488" s="277"/>
      <c r="L488" s="4"/>
      <c r="M488" s="47">
        <v>0.375</v>
      </c>
      <c r="N488" s="47">
        <v>0.3125</v>
      </c>
      <c r="O488" s="319">
        <v>8</v>
      </c>
      <c r="P488" s="277">
        <v>1.5</v>
      </c>
      <c r="Q488" s="4"/>
      <c r="R488" s="47">
        <v>0.375</v>
      </c>
      <c r="S488" s="47">
        <v>0.20833333333333334</v>
      </c>
      <c r="T488" s="19">
        <v>7</v>
      </c>
      <c r="U488" s="277"/>
      <c r="V488" s="4"/>
      <c r="W488" s="4">
        <v>0</v>
      </c>
      <c r="X488" s="4">
        <v>0</v>
      </c>
      <c r="Y488" s="19">
        <v>0</v>
      </c>
      <c r="Z488" s="277"/>
      <c r="AA488" s="29">
        <f t="shared" si="55"/>
        <v>29</v>
      </c>
      <c r="AB488" s="298">
        <f t="shared" si="56"/>
        <v>1.5</v>
      </c>
      <c r="AC488" s="4"/>
      <c r="AD488" s="4">
        <v>0</v>
      </c>
      <c r="AE488" s="4">
        <v>0</v>
      </c>
      <c r="AF488" s="19">
        <v>0</v>
      </c>
      <c r="AG488" s="29">
        <f t="shared" si="57"/>
        <v>0</v>
      </c>
      <c r="AH488" s="4"/>
      <c r="AI488" s="255"/>
      <c r="AK488" s="193"/>
      <c r="AL488" s="193"/>
      <c r="AM488" s="193"/>
      <c r="AN488" s="193"/>
      <c r="AO488" s="193"/>
      <c r="AP488" s="193"/>
      <c r="AT488" s="259"/>
      <c r="AU488" s="19"/>
      <c r="AV488" s="367"/>
    </row>
    <row r="489" spans="2:48" s="180" customFormat="1">
      <c r="B489" s="13" t="s">
        <v>47</v>
      </c>
      <c r="C489" s="4">
        <v>0</v>
      </c>
      <c r="D489" s="4">
        <v>0</v>
      </c>
      <c r="E489" s="19">
        <v>0</v>
      </c>
      <c r="F489" s="277"/>
      <c r="G489" s="4"/>
      <c r="H489" s="4">
        <v>0</v>
      </c>
      <c r="I489" s="4">
        <v>0</v>
      </c>
      <c r="J489" s="319">
        <v>0</v>
      </c>
      <c r="K489" s="277"/>
      <c r="L489" s="4"/>
      <c r="M489" s="4">
        <v>0</v>
      </c>
      <c r="N489" s="4">
        <v>0</v>
      </c>
      <c r="O489" s="19">
        <v>0</v>
      </c>
      <c r="P489" s="277"/>
      <c r="Q489" s="4"/>
      <c r="R489" s="4">
        <v>0</v>
      </c>
      <c r="S489" s="4">
        <v>0</v>
      </c>
      <c r="T489" s="19">
        <v>0</v>
      </c>
      <c r="U489" s="277"/>
      <c r="V489" s="4"/>
      <c r="W489" s="4">
        <v>0</v>
      </c>
      <c r="X489" s="4">
        <v>0</v>
      </c>
      <c r="Y489" s="19">
        <v>0</v>
      </c>
      <c r="Z489" s="277"/>
      <c r="AA489" s="29">
        <f t="shared" si="55"/>
        <v>0</v>
      </c>
      <c r="AB489" s="298">
        <f t="shared" si="56"/>
        <v>0</v>
      </c>
      <c r="AC489" s="4"/>
      <c r="AD489" s="4">
        <v>0</v>
      </c>
      <c r="AE489" s="4">
        <v>0</v>
      </c>
      <c r="AF489" s="19">
        <v>0</v>
      </c>
      <c r="AG489" s="29">
        <f t="shared" si="57"/>
        <v>0</v>
      </c>
      <c r="AH489" s="4"/>
      <c r="AI489" s="255"/>
      <c r="AK489" s="193"/>
      <c r="AL489" s="193"/>
      <c r="AM489" s="193"/>
      <c r="AN489" s="193"/>
      <c r="AO489" s="193"/>
      <c r="AP489" s="193"/>
      <c r="AU489" s="19"/>
      <c r="AV489" s="367"/>
    </row>
    <row r="490" spans="2:48" s="180" customFormat="1">
      <c r="B490" s="13" t="s">
        <v>49</v>
      </c>
      <c r="C490" s="47">
        <v>0.375</v>
      </c>
      <c r="D490" s="47">
        <v>0.20833333333333334</v>
      </c>
      <c r="E490" s="19">
        <v>7</v>
      </c>
      <c r="F490" s="277"/>
      <c r="G490" s="4"/>
      <c r="H490" s="47">
        <v>0.375</v>
      </c>
      <c r="I490" s="47">
        <v>0.20833333333333334</v>
      </c>
      <c r="J490" s="319">
        <v>7</v>
      </c>
      <c r="K490" s="277"/>
      <c r="L490" s="4"/>
      <c r="M490" s="47">
        <v>0.375</v>
      </c>
      <c r="N490" s="47">
        <v>0.20833333333333334</v>
      </c>
      <c r="O490" s="319">
        <v>7</v>
      </c>
      <c r="P490" s="277"/>
      <c r="Q490" s="4"/>
      <c r="R490" s="47">
        <v>0.29166666666666669</v>
      </c>
      <c r="S490" s="47">
        <v>0.20833333333333334</v>
      </c>
      <c r="T490" s="19">
        <v>8</v>
      </c>
      <c r="U490" s="277">
        <v>1</v>
      </c>
      <c r="V490" s="4"/>
      <c r="W490" s="47">
        <v>0.375</v>
      </c>
      <c r="X490" s="47">
        <v>0.20833333333333334</v>
      </c>
      <c r="Y490" s="19">
        <v>7</v>
      </c>
      <c r="Z490" s="277"/>
      <c r="AA490" s="29">
        <f t="shared" si="55"/>
        <v>36</v>
      </c>
      <c r="AB490" s="298">
        <f t="shared" si="56"/>
        <v>1</v>
      </c>
      <c r="AC490" s="4"/>
      <c r="AD490" s="4">
        <v>0</v>
      </c>
      <c r="AE490" s="4">
        <v>0</v>
      </c>
      <c r="AF490" s="19">
        <v>7</v>
      </c>
      <c r="AG490" s="411">
        <f>AF490</f>
        <v>7</v>
      </c>
      <c r="AH490" s="4"/>
      <c r="AI490" s="255"/>
      <c r="AK490" s="193"/>
      <c r="AL490" s="193"/>
      <c r="AM490" s="193"/>
      <c r="AN490" s="193"/>
      <c r="AO490" s="193"/>
      <c r="AP490" s="193"/>
      <c r="AU490" s="19"/>
      <c r="AV490" s="367"/>
    </row>
    <row r="491" spans="2:48" s="180" customFormat="1">
      <c r="B491" s="13" t="s">
        <v>50</v>
      </c>
      <c r="C491" s="4">
        <v>0</v>
      </c>
      <c r="D491" s="4">
        <v>0</v>
      </c>
      <c r="E491" s="19">
        <v>0</v>
      </c>
      <c r="F491" s="277"/>
      <c r="G491" s="4"/>
      <c r="H491" s="47">
        <v>0.40625</v>
      </c>
      <c r="I491" s="314">
        <v>0.20833333333333334</v>
      </c>
      <c r="J491" s="19">
        <v>6.25</v>
      </c>
      <c r="K491" s="277"/>
      <c r="L491" s="4"/>
      <c r="M491" s="4">
        <v>0</v>
      </c>
      <c r="N491" s="4">
        <v>0</v>
      </c>
      <c r="O491" s="19">
        <v>0</v>
      </c>
      <c r="P491" s="277"/>
      <c r="Q491" s="4"/>
      <c r="R491" s="47">
        <v>0.375</v>
      </c>
      <c r="S491" s="47">
        <v>0.20833333333333334</v>
      </c>
      <c r="T491" s="19">
        <v>7</v>
      </c>
      <c r="U491" s="277"/>
      <c r="V491" s="4"/>
      <c r="W491" s="47">
        <v>0.375</v>
      </c>
      <c r="X491" s="47">
        <v>0.20833333333333334</v>
      </c>
      <c r="Y491" s="19">
        <v>7</v>
      </c>
      <c r="Z491" s="277"/>
      <c r="AA491" s="29">
        <f t="shared" si="55"/>
        <v>20.25</v>
      </c>
      <c r="AB491" s="298">
        <f t="shared" si="56"/>
        <v>0</v>
      </c>
      <c r="AC491" s="4"/>
      <c r="AD491" s="4" t="s">
        <v>29</v>
      </c>
      <c r="AE491" s="4" t="s">
        <v>29</v>
      </c>
      <c r="AF491" s="346">
        <v>7</v>
      </c>
      <c r="AG491" s="411">
        <f>AF491</f>
        <v>7</v>
      </c>
      <c r="AH491" s="4"/>
      <c r="AI491" s="255"/>
      <c r="AK491" s="193"/>
      <c r="AL491" s="193"/>
      <c r="AM491" s="193"/>
      <c r="AN491" s="193"/>
      <c r="AO491" s="193"/>
      <c r="AP491" s="193"/>
      <c r="AU491" s="346"/>
      <c r="AV491" s="367"/>
    </row>
    <row r="492" spans="2:48" s="180" customFormat="1">
      <c r="B492" s="13" t="s">
        <v>51</v>
      </c>
      <c r="C492" s="47">
        <v>0.375</v>
      </c>
      <c r="D492" s="47">
        <v>0.20833333333333334</v>
      </c>
      <c r="E492" s="19">
        <v>7</v>
      </c>
      <c r="F492" s="277"/>
      <c r="G492" s="4"/>
      <c r="H492" s="47">
        <v>0.39583333333333331</v>
      </c>
      <c r="I492" s="314">
        <v>0.20833333333333334</v>
      </c>
      <c r="J492" s="319">
        <v>6.5</v>
      </c>
      <c r="K492" s="277"/>
      <c r="L492" s="4"/>
      <c r="M492" s="4">
        <v>0</v>
      </c>
      <c r="N492" s="4">
        <v>0</v>
      </c>
      <c r="O492" s="19">
        <v>0</v>
      </c>
      <c r="P492" s="277"/>
      <c r="Q492" s="4"/>
      <c r="R492" s="4">
        <v>0</v>
      </c>
      <c r="S492" s="4">
        <v>0</v>
      </c>
      <c r="T492" s="19">
        <v>0</v>
      </c>
      <c r="U492" s="277"/>
      <c r="V492" s="4"/>
      <c r="W492" s="47">
        <v>0.38541666666666669</v>
      </c>
      <c r="X492" s="47">
        <v>0.20833333333333334</v>
      </c>
      <c r="Y492" s="19">
        <v>7</v>
      </c>
      <c r="Z492" s="277"/>
      <c r="AA492" s="29">
        <f t="shared" si="55"/>
        <v>20.5</v>
      </c>
      <c r="AB492" s="298">
        <f t="shared" si="56"/>
        <v>0</v>
      </c>
      <c r="AC492" s="4"/>
      <c r="AD492" s="4">
        <v>0</v>
      </c>
      <c r="AE492" s="4">
        <v>0</v>
      </c>
      <c r="AF492" s="19">
        <v>0</v>
      </c>
      <c r="AG492" s="29">
        <f t="shared" si="57"/>
        <v>0</v>
      </c>
      <c r="AH492" s="4"/>
      <c r="AI492" s="255"/>
      <c r="AK492" s="193"/>
      <c r="AL492" s="193"/>
      <c r="AM492" s="193"/>
      <c r="AN492" s="193"/>
      <c r="AO492" s="193"/>
      <c r="AP492" s="193"/>
      <c r="AU492" s="19"/>
      <c r="AV492" s="367"/>
    </row>
    <row r="493" spans="2:48" s="180" customFormat="1">
      <c r="B493" s="13" t="s">
        <v>52</v>
      </c>
      <c r="C493" s="47">
        <v>0.375</v>
      </c>
      <c r="D493" s="47">
        <v>0.20833333333333334</v>
      </c>
      <c r="E493" s="19">
        <v>7</v>
      </c>
      <c r="F493" s="277"/>
      <c r="G493" s="4"/>
      <c r="H493" s="4">
        <v>0</v>
      </c>
      <c r="I493" s="4">
        <v>0</v>
      </c>
      <c r="J493" s="19">
        <v>0</v>
      </c>
      <c r="K493" s="277"/>
      <c r="L493" s="4"/>
      <c r="M493" s="47">
        <v>0.375</v>
      </c>
      <c r="N493" s="47">
        <v>0.3125</v>
      </c>
      <c r="O493" s="319">
        <v>8</v>
      </c>
      <c r="P493" s="277">
        <v>1.5</v>
      </c>
      <c r="Q493" s="4"/>
      <c r="R493" s="47">
        <v>0.375</v>
      </c>
      <c r="S493" s="47">
        <v>0.34375</v>
      </c>
      <c r="T493" s="19">
        <v>8</v>
      </c>
      <c r="U493" s="277">
        <v>1.75</v>
      </c>
      <c r="V493" s="4"/>
      <c r="W493" s="47">
        <v>0.375</v>
      </c>
      <c r="X493" s="47">
        <v>0.35416666666666669</v>
      </c>
      <c r="Y493" s="19">
        <v>8</v>
      </c>
      <c r="Z493" s="277">
        <v>2.5</v>
      </c>
      <c r="AA493" s="29">
        <f t="shared" si="55"/>
        <v>31</v>
      </c>
      <c r="AB493" s="298">
        <f t="shared" si="56"/>
        <v>5.75</v>
      </c>
      <c r="AC493" s="4"/>
      <c r="AD493" s="4" t="s">
        <v>29</v>
      </c>
      <c r="AE493" s="4" t="s">
        <v>29</v>
      </c>
      <c r="AF493" s="346">
        <v>12.5</v>
      </c>
      <c r="AG493" s="411">
        <f>AF493</f>
        <v>12.5</v>
      </c>
      <c r="AH493" s="4"/>
      <c r="AI493" s="255"/>
      <c r="AK493" s="193"/>
      <c r="AL493" s="193"/>
      <c r="AM493" s="193"/>
      <c r="AN493" s="193"/>
      <c r="AO493" s="193"/>
      <c r="AP493" s="193"/>
      <c r="AU493" s="346"/>
      <c r="AV493" s="367"/>
    </row>
    <row r="494" spans="2:48" s="180" customFormat="1">
      <c r="B494" s="13" t="s">
        <v>48</v>
      </c>
      <c r="C494" s="47">
        <v>0.35416666666666669</v>
      </c>
      <c r="D494" s="47">
        <v>0.34375</v>
      </c>
      <c r="E494" s="19">
        <v>10.75</v>
      </c>
      <c r="F494" s="277">
        <v>2.75</v>
      </c>
      <c r="G494" s="4"/>
      <c r="H494" s="47">
        <v>0.35416666666666669</v>
      </c>
      <c r="I494" s="47">
        <v>0.375</v>
      </c>
      <c r="J494" s="19">
        <v>8</v>
      </c>
      <c r="K494" s="277">
        <v>3.5</v>
      </c>
      <c r="L494" s="4"/>
      <c r="M494" s="47">
        <v>0.35416666666666669</v>
      </c>
      <c r="N494" s="47">
        <v>0.41666666666666669</v>
      </c>
      <c r="O494" s="319">
        <v>8</v>
      </c>
      <c r="P494" s="277">
        <v>4.5</v>
      </c>
      <c r="Q494" s="4"/>
      <c r="R494" s="47">
        <v>0.35416666666666669</v>
      </c>
      <c r="S494" s="47">
        <v>0.4375</v>
      </c>
      <c r="T494" s="19">
        <v>8</v>
      </c>
      <c r="U494" s="277">
        <v>6</v>
      </c>
      <c r="V494" s="4"/>
      <c r="W494" s="47">
        <v>0.35416666666666669</v>
      </c>
      <c r="X494" s="47">
        <v>0.45833333333333331</v>
      </c>
      <c r="Y494" s="19">
        <v>8</v>
      </c>
      <c r="Z494" s="277">
        <v>5.5</v>
      </c>
      <c r="AA494" s="29">
        <f t="shared" si="55"/>
        <v>42.75</v>
      </c>
      <c r="AB494" s="298">
        <f t="shared" si="56"/>
        <v>22.25</v>
      </c>
      <c r="AC494" s="4"/>
      <c r="AD494" s="4">
        <v>0</v>
      </c>
      <c r="AE494" s="4">
        <v>0</v>
      </c>
      <c r="AF494" s="19">
        <v>27.5</v>
      </c>
      <c r="AG494" s="411">
        <f t="shared" si="57"/>
        <v>27.5</v>
      </c>
      <c r="AH494" s="4"/>
      <c r="AI494" s="255"/>
      <c r="AK494" s="193"/>
      <c r="AL494" s="193"/>
      <c r="AM494" s="193"/>
      <c r="AN494" s="193"/>
      <c r="AO494" s="193"/>
      <c r="AP494" s="193"/>
      <c r="AU494" s="19"/>
      <c r="AV494" s="367"/>
    </row>
    <row r="495" spans="2:48" s="180" customFormat="1">
      <c r="B495" s="13" t="s">
        <v>53</v>
      </c>
      <c r="C495" s="47">
        <v>0.39583333333333331</v>
      </c>
      <c r="D495" s="47">
        <v>0.20833333333333334</v>
      </c>
      <c r="E495" s="19">
        <v>0</v>
      </c>
      <c r="F495" s="277"/>
      <c r="G495" s="4"/>
      <c r="H495" s="4">
        <v>0</v>
      </c>
      <c r="I495" s="4">
        <v>0</v>
      </c>
      <c r="J495" s="19">
        <v>0</v>
      </c>
      <c r="K495" s="277"/>
      <c r="L495" s="4"/>
      <c r="M495" s="47">
        <v>0.375</v>
      </c>
      <c r="N495" s="47">
        <v>0.20833333333333334</v>
      </c>
      <c r="O495" s="319">
        <v>7</v>
      </c>
      <c r="P495" s="277"/>
      <c r="Q495" s="4"/>
      <c r="R495" s="47">
        <v>0.375</v>
      </c>
      <c r="S495" s="47">
        <v>0.20833333333333334</v>
      </c>
      <c r="T495" s="19">
        <v>7</v>
      </c>
      <c r="U495" s="277"/>
      <c r="V495" s="4"/>
      <c r="W495" s="4">
        <v>0</v>
      </c>
      <c r="X495" s="4">
        <v>0</v>
      </c>
      <c r="Y495" s="19">
        <v>0</v>
      </c>
      <c r="Z495" s="277"/>
      <c r="AA495" s="29">
        <f t="shared" si="55"/>
        <v>14</v>
      </c>
      <c r="AB495" s="298">
        <f t="shared" si="56"/>
        <v>0</v>
      </c>
      <c r="AC495" s="4"/>
      <c r="AD495" s="4">
        <v>0</v>
      </c>
      <c r="AE495" s="4">
        <v>0</v>
      </c>
      <c r="AF495" s="19">
        <v>0</v>
      </c>
      <c r="AG495" s="29">
        <f t="shared" si="57"/>
        <v>0</v>
      </c>
      <c r="AH495" s="4"/>
      <c r="AI495" s="255"/>
      <c r="AK495" s="193"/>
      <c r="AL495" s="193"/>
      <c r="AM495" s="193"/>
      <c r="AN495" s="193"/>
      <c r="AO495" s="193"/>
      <c r="AP495" s="193"/>
      <c r="AU495" s="19"/>
      <c r="AV495" s="367"/>
    </row>
    <row r="496" spans="2:48" s="180" customFormat="1">
      <c r="B496" s="13" t="s">
        <v>91</v>
      </c>
      <c r="C496" s="47">
        <v>0.375</v>
      </c>
      <c r="D496" s="47">
        <v>0.20833333333333334</v>
      </c>
      <c r="E496" s="19">
        <v>7</v>
      </c>
      <c r="F496" s="277"/>
      <c r="G496" s="4"/>
      <c r="H496" s="47">
        <v>0.375</v>
      </c>
      <c r="I496" s="47">
        <v>0.20833333333333334</v>
      </c>
      <c r="J496" s="19">
        <v>7</v>
      </c>
      <c r="K496" s="277"/>
      <c r="L496" s="4"/>
      <c r="M496" s="47">
        <v>0.375</v>
      </c>
      <c r="N496" s="47">
        <v>0.20833333333333334</v>
      </c>
      <c r="O496" s="319">
        <v>7</v>
      </c>
      <c r="P496" s="277"/>
      <c r="Q496" s="4"/>
      <c r="R496" s="47">
        <v>0.375</v>
      </c>
      <c r="S496" s="47">
        <v>0.20833333333333334</v>
      </c>
      <c r="T496" s="19">
        <v>7</v>
      </c>
      <c r="U496" s="277"/>
      <c r="V496" s="4"/>
      <c r="W496" s="47">
        <v>0.375</v>
      </c>
      <c r="X496" s="47">
        <v>0.20833333333333334</v>
      </c>
      <c r="Y496" s="19">
        <v>7</v>
      </c>
      <c r="Z496" s="277"/>
      <c r="AA496" s="29">
        <f t="shared" si="55"/>
        <v>35</v>
      </c>
      <c r="AB496" s="298">
        <f t="shared" si="56"/>
        <v>0</v>
      </c>
      <c r="AC496" s="4"/>
      <c r="AD496" s="4">
        <v>0</v>
      </c>
      <c r="AE496" s="4">
        <v>0</v>
      </c>
      <c r="AF496" s="19">
        <v>12.5</v>
      </c>
      <c r="AG496" s="411">
        <f>AF496</f>
        <v>12.5</v>
      </c>
      <c r="AH496" s="4"/>
      <c r="AI496" s="255"/>
      <c r="AK496" s="193"/>
      <c r="AL496" s="193"/>
      <c r="AM496" s="193"/>
      <c r="AN496" s="193"/>
      <c r="AO496" s="193"/>
      <c r="AP496" s="193"/>
      <c r="AU496" s="19"/>
      <c r="AV496" s="367"/>
    </row>
    <row r="497" spans="2:48" s="180" customFormat="1">
      <c r="B497" s="13" t="s">
        <v>92</v>
      </c>
      <c r="C497" s="47">
        <v>0.375</v>
      </c>
      <c r="D497" s="47">
        <v>0.20833333333333334</v>
      </c>
      <c r="E497" s="19">
        <v>3</v>
      </c>
      <c r="F497" s="277"/>
      <c r="G497" s="4"/>
      <c r="H497" s="47">
        <v>0.375</v>
      </c>
      <c r="I497" s="47">
        <v>0.20833333333333334</v>
      </c>
      <c r="J497" s="19">
        <v>7</v>
      </c>
      <c r="K497" s="277"/>
      <c r="L497" s="4"/>
      <c r="M497" s="47">
        <v>0.375</v>
      </c>
      <c r="N497" s="47">
        <v>0.20833333333333334</v>
      </c>
      <c r="O497" s="319">
        <v>7</v>
      </c>
      <c r="P497" s="277"/>
      <c r="Q497" s="4"/>
      <c r="R497" s="47">
        <v>0.375</v>
      </c>
      <c r="S497" s="47">
        <v>0.20833333333333334</v>
      </c>
      <c r="T497" s="19">
        <v>7</v>
      </c>
      <c r="U497" s="277"/>
      <c r="V497" s="4"/>
      <c r="W497" s="47">
        <v>0.375</v>
      </c>
      <c r="X497" s="47">
        <v>0.35416666666666669</v>
      </c>
      <c r="Y497" s="19">
        <v>8</v>
      </c>
      <c r="Z497" s="277">
        <v>2.5</v>
      </c>
      <c r="AA497" s="29">
        <f t="shared" si="55"/>
        <v>32</v>
      </c>
      <c r="AB497" s="298">
        <f t="shared" si="56"/>
        <v>2.5</v>
      </c>
      <c r="AC497" s="4"/>
      <c r="AD497" s="4">
        <v>0</v>
      </c>
      <c r="AE497" s="4">
        <v>0</v>
      </c>
      <c r="AF497" s="19">
        <v>0</v>
      </c>
      <c r="AG497" s="29">
        <f t="shared" si="57"/>
        <v>0</v>
      </c>
      <c r="AH497" s="4"/>
      <c r="AI497" s="255"/>
      <c r="AK497" s="193"/>
      <c r="AL497" s="193"/>
      <c r="AM497" s="193"/>
      <c r="AN497" s="193"/>
      <c r="AO497" s="193"/>
      <c r="AP497" s="193"/>
      <c r="AU497" s="19"/>
      <c r="AV497" s="367"/>
    </row>
    <row r="498" spans="2:48" s="180" customFormat="1">
      <c r="B498" s="13" t="s">
        <v>93</v>
      </c>
      <c r="C498" s="47">
        <v>0.375</v>
      </c>
      <c r="D498" s="47">
        <v>0.20833333333333334</v>
      </c>
      <c r="E498" s="19">
        <v>7</v>
      </c>
      <c r="F498" s="277"/>
      <c r="G498" s="4"/>
      <c r="H498" s="47">
        <v>0.375</v>
      </c>
      <c r="I498" s="47">
        <v>0.20833333333333334</v>
      </c>
      <c r="J498" s="19">
        <v>7</v>
      </c>
      <c r="K498" s="277"/>
      <c r="L498" s="4"/>
      <c r="M498" s="47">
        <v>0.375</v>
      </c>
      <c r="N498" s="47">
        <v>0.5</v>
      </c>
      <c r="O498" s="319">
        <v>8</v>
      </c>
      <c r="P498" s="277">
        <v>6</v>
      </c>
      <c r="Q498" s="4"/>
      <c r="R498" s="47">
        <v>0.375</v>
      </c>
      <c r="S498" s="47">
        <v>0.27083333333333331</v>
      </c>
      <c r="T498" s="19">
        <v>8</v>
      </c>
      <c r="U498" s="277">
        <v>0.5</v>
      </c>
      <c r="V498" s="4"/>
      <c r="W498" s="47">
        <v>0.375</v>
      </c>
      <c r="X498" s="47">
        <v>0.26041666666666669</v>
      </c>
      <c r="Y498" s="19">
        <v>8</v>
      </c>
      <c r="Z498" s="277">
        <v>0.25</v>
      </c>
      <c r="AA498" s="29">
        <f t="shared" si="55"/>
        <v>38</v>
      </c>
      <c r="AB498" s="298">
        <f t="shared" si="56"/>
        <v>6.75</v>
      </c>
      <c r="AC498" s="4"/>
      <c r="AD498" s="4">
        <v>0</v>
      </c>
      <c r="AE498" s="4">
        <v>0</v>
      </c>
      <c r="AF498" s="19">
        <v>0</v>
      </c>
      <c r="AG498" s="29">
        <f t="shared" si="57"/>
        <v>0</v>
      </c>
      <c r="AH498" s="4"/>
      <c r="AI498" s="255"/>
      <c r="AK498" s="193"/>
      <c r="AL498" s="193"/>
      <c r="AM498" s="193"/>
      <c r="AN498" s="193"/>
      <c r="AO498" s="193"/>
      <c r="AP498" s="193"/>
      <c r="AU498" s="19"/>
      <c r="AV498" s="367"/>
    </row>
    <row r="499" spans="2:48" s="180" customFormat="1">
      <c r="B499" s="13" t="s">
        <v>96</v>
      </c>
      <c r="C499" s="12" t="s">
        <v>29</v>
      </c>
      <c r="D499" s="12" t="s">
        <v>29</v>
      </c>
      <c r="E499" s="19">
        <v>0</v>
      </c>
      <c r="F499" s="277"/>
      <c r="G499" s="4"/>
      <c r="H499" s="12" t="s">
        <v>29</v>
      </c>
      <c r="I499" s="12" t="s">
        <v>29</v>
      </c>
      <c r="J499" s="19">
        <v>0</v>
      </c>
      <c r="K499" s="277"/>
      <c r="L499" s="4"/>
      <c r="M499" s="12" t="s">
        <v>29</v>
      </c>
      <c r="N499" s="12" t="s">
        <v>29</v>
      </c>
      <c r="O499" s="19">
        <v>0</v>
      </c>
      <c r="P499" s="277"/>
      <c r="Q499" s="4"/>
      <c r="R499" s="47">
        <v>0.375</v>
      </c>
      <c r="S499" s="47">
        <v>0.20833333333333334</v>
      </c>
      <c r="T499" s="19">
        <v>7</v>
      </c>
      <c r="U499" s="277"/>
      <c r="V499" s="4"/>
      <c r="W499" s="4">
        <v>0</v>
      </c>
      <c r="X499" s="4">
        <v>0</v>
      </c>
      <c r="Y499" s="19"/>
      <c r="Z499" s="277"/>
      <c r="AA499" s="29">
        <f>(E499+J499+O499+T499+Y499)</f>
        <v>7</v>
      </c>
      <c r="AB499" s="298">
        <f>Z499+U499+P499+K499+F499</f>
        <v>0</v>
      </c>
      <c r="AC499" s="4"/>
      <c r="AD499" s="4" t="s">
        <v>29</v>
      </c>
      <c r="AE499" s="4" t="s">
        <v>29</v>
      </c>
      <c r="AF499" s="19">
        <f>8+4</f>
        <v>12</v>
      </c>
      <c r="AG499" s="411">
        <f>AF499</f>
        <v>12</v>
      </c>
      <c r="AH499" s="4"/>
      <c r="AI499" s="255"/>
      <c r="AK499" s="193"/>
      <c r="AL499" s="193"/>
      <c r="AM499" s="193"/>
      <c r="AN499" s="193"/>
      <c r="AO499" s="193"/>
      <c r="AP499" s="193"/>
      <c r="AU499" s="19"/>
      <c r="AV499" s="367"/>
    </row>
    <row r="500" spans="2:48" s="180" customFormat="1">
      <c r="B500" s="13" t="s">
        <v>97</v>
      </c>
      <c r="C500" s="12" t="s">
        <v>29</v>
      </c>
      <c r="D500" s="12" t="s">
        <v>29</v>
      </c>
      <c r="E500" s="19">
        <v>0</v>
      </c>
      <c r="F500" s="277"/>
      <c r="G500" s="4"/>
      <c r="H500" s="12" t="s">
        <v>29</v>
      </c>
      <c r="I500" s="12" t="s">
        <v>29</v>
      </c>
      <c r="J500" s="19">
        <v>0</v>
      </c>
      <c r="K500" s="277"/>
      <c r="L500" s="4"/>
      <c r="M500" s="12" t="s">
        <v>29</v>
      </c>
      <c r="N500" s="12" t="s">
        <v>29</v>
      </c>
      <c r="O500" s="19">
        <v>0</v>
      </c>
      <c r="P500" s="277"/>
      <c r="Q500" s="4"/>
      <c r="R500" s="47">
        <v>0.375</v>
      </c>
      <c r="S500" s="47">
        <v>0.27083333333333331</v>
      </c>
      <c r="T500" s="19">
        <v>8</v>
      </c>
      <c r="U500" s="277">
        <v>0.5</v>
      </c>
      <c r="V500" s="4"/>
      <c r="W500" s="47">
        <v>0.375</v>
      </c>
      <c r="X500" s="47">
        <v>0.26041666666666669</v>
      </c>
      <c r="Y500" s="19">
        <v>8</v>
      </c>
      <c r="Z500" s="277">
        <v>0.25</v>
      </c>
      <c r="AA500" s="29">
        <f>(E500+J500+O500+T500+Y500)</f>
        <v>16</v>
      </c>
      <c r="AB500" s="298">
        <f>Z500+U500+P500+K500+F500</f>
        <v>0.75</v>
      </c>
      <c r="AC500" s="4"/>
      <c r="AD500" s="4">
        <v>0</v>
      </c>
      <c r="AE500" s="4">
        <v>0</v>
      </c>
      <c r="AF500" s="19">
        <v>0</v>
      </c>
      <c r="AG500" s="29">
        <f t="shared" ref="AG500:AG513" si="58">AF500</f>
        <v>0</v>
      </c>
      <c r="AH500" s="4"/>
      <c r="AI500" s="255"/>
      <c r="AK500" s="193"/>
      <c r="AL500" s="193"/>
      <c r="AM500" s="193"/>
      <c r="AN500" s="193"/>
      <c r="AO500" s="193"/>
      <c r="AP500" s="193"/>
      <c r="AU500" s="19"/>
      <c r="AV500" s="367"/>
    </row>
    <row r="501" spans="2:48" s="180" customFormat="1">
      <c r="B501" s="409" t="s">
        <v>98</v>
      </c>
      <c r="C501" s="12" t="s">
        <v>29</v>
      </c>
      <c r="D501" s="12" t="s">
        <v>29</v>
      </c>
      <c r="E501" s="19">
        <v>0</v>
      </c>
      <c r="F501" s="277"/>
      <c r="G501" s="4"/>
      <c r="H501" s="12" t="s">
        <v>29</v>
      </c>
      <c r="I501" s="12" t="s">
        <v>29</v>
      </c>
      <c r="J501" s="19">
        <v>0</v>
      </c>
      <c r="K501" s="277"/>
      <c r="L501" s="4"/>
      <c r="M501" s="12" t="s">
        <v>29</v>
      </c>
      <c r="N501" s="12" t="s">
        <v>29</v>
      </c>
      <c r="O501" s="19">
        <v>0</v>
      </c>
      <c r="P501" s="277"/>
      <c r="Q501" s="4"/>
      <c r="R501" s="47">
        <v>0.39583333333333331</v>
      </c>
      <c r="S501" s="47">
        <v>0.20833333333333334</v>
      </c>
      <c r="T501" s="19">
        <v>6.5</v>
      </c>
      <c r="U501" s="277"/>
      <c r="V501" s="4"/>
      <c r="W501" s="4"/>
      <c r="X501" s="4"/>
      <c r="Y501" s="19"/>
      <c r="Z501" s="277"/>
      <c r="AA501" s="29">
        <f>(E501+J501+O501+T501+Y501)</f>
        <v>6.5</v>
      </c>
      <c r="AB501" s="298">
        <f>Z501+U501+P501+K501+F501</f>
        <v>0</v>
      </c>
      <c r="AC501" s="4"/>
      <c r="AD501" s="4">
        <v>0</v>
      </c>
      <c r="AE501" s="4">
        <v>0</v>
      </c>
      <c r="AF501" s="19">
        <v>0</v>
      </c>
      <c r="AG501" s="29">
        <f t="shared" si="58"/>
        <v>0</v>
      </c>
      <c r="AH501" s="4"/>
      <c r="AI501" s="255"/>
      <c r="AK501" s="193"/>
      <c r="AL501" s="193"/>
      <c r="AM501" s="193"/>
      <c r="AN501" s="193"/>
      <c r="AO501" s="193"/>
      <c r="AP501" s="193"/>
      <c r="AU501" s="19"/>
      <c r="AV501" s="367"/>
    </row>
    <row r="502" spans="2:48" s="180" customFormat="1">
      <c r="B502" s="13" t="s">
        <v>54</v>
      </c>
      <c r="C502" s="12" t="s">
        <v>29</v>
      </c>
      <c r="D502" s="12" t="s">
        <v>29</v>
      </c>
      <c r="E502" s="19">
        <v>0</v>
      </c>
      <c r="F502" s="277"/>
      <c r="G502" s="4"/>
      <c r="H502" s="12" t="s">
        <v>29</v>
      </c>
      <c r="I502" s="12" t="s">
        <v>29</v>
      </c>
      <c r="J502" s="19">
        <v>0</v>
      </c>
      <c r="K502" s="277"/>
      <c r="L502" s="4"/>
      <c r="M502" s="12" t="s">
        <v>29</v>
      </c>
      <c r="N502" s="12" t="s">
        <v>29</v>
      </c>
      <c r="O502" s="19">
        <v>0</v>
      </c>
      <c r="P502" s="277"/>
      <c r="Q502" s="4"/>
      <c r="R502" s="4" t="s">
        <v>29</v>
      </c>
      <c r="S502" s="4" t="s">
        <v>29</v>
      </c>
      <c r="T502" s="19">
        <v>0</v>
      </c>
      <c r="U502" s="277"/>
      <c r="V502" s="4"/>
      <c r="W502" s="4"/>
      <c r="X502" s="4"/>
      <c r="Y502" s="19"/>
      <c r="Z502" s="277"/>
      <c r="AA502" s="29">
        <f t="shared" si="55"/>
        <v>0</v>
      </c>
      <c r="AB502" s="298">
        <f>Z502+U502+P502+K502+F502</f>
        <v>0</v>
      </c>
      <c r="AC502" s="4"/>
      <c r="AD502" s="47">
        <v>0.35416666666666669</v>
      </c>
      <c r="AE502" s="47">
        <v>0.20833333333333334</v>
      </c>
      <c r="AF502" s="19">
        <f>8.5</f>
        <v>8.5</v>
      </c>
      <c r="AG502" s="411">
        <f t="shared" si="58"/>
        <v>8.5</v>
      </c>
      <c r="AH502" s="4"/>
      <c r="AI502" s="255"/>
      <c r="AK502" s="193"/>
      <c r="AL502" s="193"/>
      <c r="AM502" s="193"/>
      <c r="AN502" s="193"/>
      <c r="AO502" s="193"/>
      <c r="AP502" s="193"/>
      <c r="AU502" s="19"/>
      <c r="AV502" s="367"/>
    </row>
    <row r="503" spans="2:48" s="180" customFormat="1">
      <c r="B503" s="13" t="s">
        <v>55</v>
      </c>
      <c r="C503" s="12" t="s">
        <v>29</v>
      </c>
      <c r="D503" s="12" t="s">
        <v>29</v>
      </c>
      <c r="E503" s="19">
        <v>0</v>
      </c>
      <c r="F503" s="277"/>
      <c r="G503" s="4"/>
      <c r="H503" s="12" t="s">
        <v>29</v>
      </c>
      <c r="I503" s="12" t="s">
        <v>29</v>
      </c>
      <c r="J503" s="19">
        <v>0</v>
      </c>
      <c r="K503" s="277"/>
      <c r="L503" s="4"/>
      <c r="M503" s="12" t="s">
        <v>29</v>
      </c>
      <c r="N503" s="12" t="s">
        <v>29</v>
      </c>
      <c r="O503" s="19">
        <v>0</v>
      </c>
      <c r="P503" s="277"/>
      <c r="Q503" s="4"/>
      <c r="R503" s="4" t="s">
        <v>29</v>
      </c>
      <c r="S503" s="4" t="s">
        <v>29</v>
      </c>
      <c r="T503" s="19">
        <v>0</v>
      </c>
      <c r="U503" s="277"/>
      <c r="V503" s="4"/>
      <c r="W503" s="4"/>
      <c r="X503" s="4"/>
      <c r="Y503" s="19"/>
      <c r="Z503" s="277"/>
      <c r="AA503" s="29">
        <f t="shared" si="55"/>
        <v>0</v>
      </c>
      <c r="AB503" s="298">
        <f t="shared" si="56"/>
        <v>0</v>
      </c>
      <c r="AC503" s="4"/>
      <c r="AD503" s="47">
        <v>0.375</v>
      </c>
      <c r="AE503" s="47">
        <v>0.21875</v>
      </c>
      <c r="AF503" s="19">
        <v>8</v>
      </c>
      <c r="AG503" s="411">
        <v>8.25</v>
      </c>
      <c r="AH503" s="4"/>
      <c r="AI503" s="255"/>
      <c r="AK503" s="193"/>
      <c r="AL503" s="193"/>
      <c r="AM503" s="193"/>
      <c r="AN503" s="193"/>
      <c r="AO503" s="193"/>
      <c r="AP503" s="193"/>
      <c r="AU503" s="19"/>
      <c r="AV503" s="367"/>
    </row>
    <row r="504" spans="2:48" s="180" customFormat="1">
      <c r="B504" s="138" t="s">
        <v>59</v>
      </c>
      <c r="C504" s="47">
        <v>0.375</v>
      </c>
      <c r="D504" s="12" t="s">
        <v>29</v>
      </c>
      <c r="E504" s="19">
        <v>8</v>
      </c>
      <c r="F504" s="277"/>
      <c r="G504" s="4"/>
      <c r="H504" s="47">
        <v>0.375</v>
      </c>
      <c r="I504" s="16">
        <v>0.41666666666666669</v>
      </c>
      <c r="J504" s="19">
        <v>12</v>
      </c>
      <c r="K504" s="277">
        <v>4</v>
      </c>
      <c r="L504" s="4"/>
      <c r="M504" s="16">
        <v>0.375</v>
      </c>
      <c r="N504" s="16">
        <v>0.33333333333333331</v>
      </c>
      <c r="O504" s="19">
        <v>8</v>
      </c>
      <c r="P504" s="277"/>
      <c r="Q504" s="4"/>
      <c r="R504" s="47">
        <v>0.375</v>
      </c>
      <c r="S504" s="47">
        <v>0.40625</v>
      </c>
      <c r="T504" s="19">
        <v>8</v>
      </c>
      <c r="U504" s="277">
        <v>3.75</v>
      </c>
      <c r="V504" s="4"/>
      <c r="W504" s="47">
        <v>0.375</v>
      </c>
      <c r="X504" s="47">
        <v>0.5</v>
      </c>
      <c r="Y504" s="19">
        <v>8</v>
      </c>
      <c r="Z504" s="277">
        <v>6</v>
      </c>
      <c r="AA504" s="29">
        <f t="shared" si="55"/>
        <v>44</v>
      </c>
      <c r="AB504" s="298">
        <f t="shared" si="56"/>
        <v>13.75</v>
      </c>
      <c r="AC504" s="4"/>
      <c r="AD504" s="4" t="s">
        <v>29</v>
      </c>
      <c r="AE504" s="4" t="s">
        <v>29</v>
      </c>
      <c r="AF504" s="19">
        <v>25.75</v>
      </c>
      <c r="AG504" s="411">
        <f t="shared" si="58"/>
        <v>25.75</v>
      </c>
      <c r="AH504" s="4"/>
      <c r="AI504" s="255"/>
      <c r="AK504" s="407"/>
      <c r="AL504" s="193"/>
      <c r="AM504" s="193"/>
      <c r="AN504" s="193"/>
      <c r="AO504" s="193"/>
      <c r="AP504" s="193"/>
      <c r="AU504" s="19"/>
      <c r="AV504" s="367"/>
    </row>
    <row r="505" spans="2:48" s="180" customFormat="1">
      <c r="B505" s="138" t="s">
        <v>60</v>
      </c>
      <c r="C505" s="16">
        <v>0.375</v>
      </c>
      <c r="D505" s="16">
        <v>0.29166666666666669</v>
      </c>
      <c r="E505" s="19">
        <v>8</v>
      </c>
      <c r="F505" s="277">
        <v>1</v>
      </c>
      <c r="G505" s="4"/>
      <c r="H505" s="16">
        <v>0.375</v>
      </c>
      <c r="I505" s="16">
        <v>8.3333333333333329E-2</v>
      </c>
      <c r="J505" s="19">
        <v>16</v>
      </c>
      <c r="K505" s="277">
        <v>8</v>
      </c>
      <c r="L505" s="4"/>
      <c r="M505" s="16">
        <v>0.375</v>
      </c>
      <c r="N505" s="16">
        <v>0.41666666666666669</v>
      </c>
      <c r="O505" s="19">
        <v>11</v>
      </c>
      <c r="P505" s="277">
        <v>3</v>
      </c>
      <c r="Q505" s="4"/>
      <c r="R505" s="47">
        <v>0.375</v>
      </c>
      <c r="S505" s="47">
        <v>0.51041666666666663</v>
      </c>
      <c r="T505" s="19">
        <v>8</v>
      </c>
      <c r="U505" s="277">
        <v>6.25</v>
      </c>
      <c r="V505" s="4"/>
      <c r="W505" s="47">
        <v>0.375</v>
      </c>
      <c r="X505" s="47">
        <v>0.41666666666666669</v>
      </c>
      <c r="Y505" s="19">
        <v>8</v>
      </c>
      <c r="Z505" s="277">
        <v>4</v>
      </c>
      <c r="AA505" s="29">
        <f t="shared" si="55"/>
        <v>51</v>
      </c>
      <c r="AB505" s="298">
        <f t="shared" si="56"/>
        <v>22.25</v>
      </c>
      <c r="AC505" s="4"/>
      <c r="AD505" s="4" t="s">
        <v>29</v>
      </c>
      <c r="AE505" s="4" t="s">
        <v>29</v>
      </c>
      <c r="AF505" s="19">
        <f>10+10.75</f>
        <v>20.75</v>
      </c>
      <c r="AG505" s="411">
        <f t="shared" si="58"/>
        <v>20.75</v>
      </c>
      <c r="AH505" s="4"/>
      <c r="AI505" s="255"/>
      <c r="AK505" s="193"/>
      <c r="AL505" s="193"/>
      <c r="AM505" s="193"/>
      <c r="AN505" s="193"/>
      <c r="AO505" s="193"/>
      <c r="AP505" s="193"/>
      <c r="AU505" s="19"/>
      <c r="AV505" s="367"/>
    </row>
    <row r="506" spans="2:48" s="180" customFormat="1">
      <c r="B506" s="408" t="s">
        <v>99</v>
      </c>
      <c r="C506" s="12" t="s">
        <v>29</v>
      </c>
      <c r="D506" s="12" t="s">
        <v>29</v>
      </c>
      <c r="E506" s="19">
        <v>0</v>
      </c>
      <c r="F506" s="277"/>
      <c r="G506" s="4"/>
      <c r="H506" s="12" t="s">
        <v>29</v>
      </c>
      <c r="I506" s="12" t="s">
        <v>29</v>
      </c>
      <c r="J506" s="19">
        <v>0</v>
      </c>
      <c r="K506" s="277"/>
      <c r="L506" s="4"/>
      <c r="M506" s="12" t="s">
        <v>29</v>
      </c>
      <c r="N506" s="12" t="s">
        <v>29</v>
      </c>
      <c r="O506" s="19">
        <v>0</v>
      </c>
      <c r="P506" s="277"/>
      <c r="Q506" s="4"/>
      <c r="R506" s="47">
        <v>0.16666666666666666</v>
      </c>
      <c r="S506" s="47">
        <v>0.25</v>
      </c>
      <c r="T506" s="19">
        <v>0</v>
      </c>
      <c r="U506" s="277">
        <v>2</v>
      </c>
      <c r="V506" s="4"/>
      <c r="W506" s="47">
        <v>0.16666666666666666</v>
      </c>
      <c r="X506" s="47">
        <v>0.20833333333333334</v>
      </c>
      <c r="Y506" s="19">
        <v>1</v>
      </c>
      <c r="Z506" s="277"/>
      <c r="AA506" s="29">
        <f t="shared" ref="AA506:AA512" si="59">(E506+J506+O506+T506+Y506)</f>
        <v>1</v>
      </c>
      <c r="AB506" s="298">
        <f>Y506+U506+P506+K506+F506</f>
        <v>3</v>
      </c>
      <c r="AC506" s="4"/>
      <c r="AD506" s="4">
        <v>0</v>
      </c>
      <c r="AE506" s="4">
        <v>0</v>
      </c>
      <c r="AF506" s="19">
        <v>0</v>
      </c>
      <c r="AG506" s="29">
        <f t="shared" si="58"/>
        <v>0</v>
      </c>
      <c r="AH506" s="4"/>
      <c r="AI506" s="255"/>
      <c r="AK506" s="193"/>
      <c r="AL506" s="193"/>
      <c r="AM506" s="193"/>
      <c r="AN506" s="193"/>
      <c r="AO506" s="193"/>
      <c r="AP506" s="193"/>
      <c r="AU506" s="19"/>
      <c r="AV506" s="367"/>
    </row>
    <row r="507" spans="2:48" s="180" customFormat="1">
      <c r="B507" s="408" t="s">
        <v>89</v>
      </c>
      <c r="C507" s="12" t="s">
        <v>29</v>
      </c>
      <c r="D507" s="12" t="s">
        <v>29</v>
      </c>
      <c r="E507" s="19">
        <v>0</v>
      </c>
      <c r="F507" s="277"/>
      <c r="G507" s="4"/>
      <c r="H507" s="12" t="s">
        <v>29</v>
      </c>
      <c r="I507" s="12" t="s">
        <v>29</v>
      </c>
      <c r="J507" s="19">
        <v>0</v>
      </c>
      <c r="K507" s="277"/>
      <c r="L507" s="4"/>
      <c r="M507" s="12" t="s">
        <v>29</v>
      </c>
      <c r="N507" s="12" t="s">
        <v>29</v>
      </c>
      <c r="O507" s="19">
        <v>0</v>
      </c>
      <c r="P507" s="277"/>
      <c r="Q507" s="4"/>
      <c r="R507" s="47">
        <v>0.16666666666666666</v>
      </c>
      <c r="S507" s="47">
        <v>0.25</v>
      </c>
      <c r="T507" s="19">
        <v>0</v>
      </c>
      <c r="U507" s="277">
        <v>2</v>
      </c>
      <c r="V507" s="4"/>
      <c r="W507" s="47">
        <v>0.16666666666666666</v>
      </c>
      <c r="X507" s="47">
        <v>0.20833333333333334</v>
      </c>
      <c r="Y507" s="19">
        <v>1</v>
      </c>
      <c r="Z507" s="277"/>
      <c r="AA507" s="29">
        <f t="shared" si="59"/>
        <v>1</v>
      </c>
      <c r="AB507" s="298">
        <f>Y507+U507+P507+K507+F507</f>
        <v>3</v>
      </c>
      <c r="AC507" s="4"/>
      <c r="AD507" s="4">
        <v>0</v>
      </c>
      <c r="AE507" s="4">
        <v>0</v>
      </c>
      <c r="AF507" s="19">
        <v>0</v>
      </c>
      <c r="AG507" s="29">
        <f t="shared" si="58"/>
        <v>0</v>
      </c>
      <c r="AH507" s="4"/>
      <c r="AI507" s="255"/>
      <c r="AK507" s="193"/>
      <c r="AL507" s="193"/>
      <c r="AM507" s="193"/>
      <c r="AN507" s="193"/>
      <c r="AO507" s="193"/>
      <c r="AP507" s="193"/>
      <c r="AU507" s="19"/>
      <c r="AV507" s="367"/>
    </row>
    <row r="508" spans="2:48" s="180" customFormat="1">
      <c r="B508" s="408" t="s">
        <v>100</v>
      </c>
      <c r="C508" s="12" t="s">
        <v>29</v>
      </c>
      <c r="D508" s="12" t="s">
        <v>29</v>
      </c>
      <c r="E508" s="19">
        <v>0</v>
      </c>
      <c r="F508" s="277"/>
      <c r="G508" s="4"/>
      <c r="H508" s="12" t="s">
        <v>29</v>
      </c>
      <c r="I508" s="12" t="s">
        <v>29</v>
      </c>
      <c r="J508" s="19">
        <v>0</v>
      </c>
      <c r="K508" s="277"/>
      <c r="L508" s="4"/>
      <c r="M508" s="12" t="s">
        <v>29</v>
      </c>
      <c r="N508" s="12" t="s">
        <v>29</v>
      </c>
      <c r="O508" s="19">
        <v>0</v>
      </c>
      <c r="P508" s="277"/>
      <c r="Q508" s="4"/>
      <c r="R508" s="47"/>
      <c r="S508" s="47"/>
      <c r="T508" s="19"/>
      <c r="U508" s="277"/>
      <c r="V508" s="4"/>
      <c r="W508" s="4"/>
      <c r="X508" s="4"/>
      <c r="Y508" s="19"/>
      <c r="Z508" s="277"/>
      <c r="AA508" s="29">
        <f t="shared" si="59"/>
        <v>0</v>
      </c>
      <c r="AB508" s="298">
        <f>Z508+U508+P508+K508+F508</f>
        <v>0</v>
      </c>
      <c r="AC508" s="4"/>
      <c r="AD508" s="4" t="s">
        <v>29</v>
      </c>
      <c r="AE508" s="4" t="s">
        <v>29</v>
      </c>
      <c r="AF508" s="19">
        <f>8+4</f>
        <v>12</v>
      </c>
      <c r="AG508" s="411">
        <f t="shared" si="58"/>
        <v>12</v>
      </c>
      <c r="AH508" s="4"/>
      <c r="AI508" s="255"/>
      <c r="AK508" s="193"/>
      <c r="AL508" s="193"/>
      <c r="AM508" s="193"/>
      <c r="AN508" s="193"/>
      <c r="AO508" s="193"/>
      <c r="AP508" s="193"/>
      <c r="AU508" s="19"/>
      <c r="AV508" s="367"/>
    </row>
    <row r="509" spans="2:48" s="180" customFormat="1">
      <c r="B509" s="408" t="s">
        <v>101</v>
      </c>
      <c r="C509" s="12" t="s">
        <v>29</v>
      </c>
      <c r="D509" s="12" t="s">
        <v>29</v>
      </c>
      <c r="E509" s="19">
        <v>0</v>
      </c>
      <c r="F509" s="277"/>
      <c r="G509" s="4"/>
      <c r="H509" s="12" t="s">
        <v>29</v>
      </c>
      <c r="I509" s="12" t="s">
        <v>29</v>
      </c>
      <c r="J509" s="19">
        <v>0</v>
      </c>
      <c r="K509" s="277"/>
      <c r="L509" s="4"/>
      <c r="M509" s="12" t="s">
        <v>29</v>
      </c>
      <c r="N509" s="12" t="s">
        <v>29</v>
      </c>
      <c r="O509" s="19">
        <v>0</v>
      </c>
      <c r="P509" s="277"/>
      <c r="Q509" s="4"/>
      <c r="R509" s="47"/>
      <c r="S509" s="47"/>
      <c r="T509" s="19"/>
      <c r="U509" s="277"/>
      <c r="V509" s="4"/>
      <c r="W509" s="4"/>
      <c r="X509" s="4"/>
      <c r="Y509" s="19"/>
      <c r="Z509" s="277"/>
      <c r="AA509" s="29">
        <f t="shared" si="59"/>
        <v>0</v>
      </c>
      <c r="AB509" s="298">
        <f>Z509+U509+P509+K509+F509</f>
        <v>0</v>
      </c>
      <c r="AC509" s="4"/>
      <c r="AD509" s="4" t="s">
        <v>29</v>
      </c>
      <c r="AE509" s="4" t="s">
        <v>29</v>
      </c>
      <c r="AF509" s="19">
        <v>6</v>
      </c>
      <c r="AG509" s="411">
        <f t="shared" si="58"/>
        <v>6</v>
      </c>
      <c r="AH509" s="4"/>
      <c r="AI509" s="255"/>
      <c r="AK509" s="193"/>
      <c r="AL509" s="193"/>
      <c r="AM509" s="193"/>
      <c r="AN509" s="193"/>
      <c r="AO509" s="193"/>
      <c r="AP509" s="193"/>
      <c r="AU509" s="19"/>
      <c r="AV509" s="367"/>
    </row>
    <row r="510" spans="2:48" s="180" customFormat="1">
      <c r="B510" s="408" t="s">
        <v>102</v>
      </c>
      <c r="C510" s="12" t="s">
        <v>29</v>
      </c>
      <c r="D510" s="12" t="s">
        <v>29</v>
      </c>
      <c r="E510" s="19">
        <v>0</v>
      </c>
      <c r="F510" s="277"/>
      <c r="G510" s="4"/>
      <c r="H510" s="12" t="s">
        <v>29</v>
      </c>
      <c r="I510" s="12" t="s">
        <v>29</v>
      </c>
      <c r="J510" s="19">
        <v>0</v>
      </c>
      <c r="K510" s="277"/>
      <c r="L510" s="4"/>
      <c r="M510" s="12" t="s">
        <v>29</v>
      </c>
      <c r="N510" s="12" t="s">
        <v>29</v>
      </c>
      <c r="O510" s="19">
        <v>0</v>
      </c>
      <c r="P510" s="277"/>
      <c r="Q510" s="4"/>
      <c r="R510" s="47" t="s">
        <v>29</v>
      </c>
      <c r="S510" s="47" t="s">
        <v>29</v>
      </c>
      <c r="T510" s="19">
        <v>1</v>
      </c>
      <c r="U510" s="277"/>
      <c r="V510" s="4"/>
      <c r="W510" s="4" t="s">
        <v>29</v>
      </c>
      <c r="X510" s="4" t="s">
        <v>29</v>
      </c>
      <c r="Y510" s="19">
        <v>1</v>
      </c>
      <c r="Z510" s="277"/>
      <c r="AA510" s="29">
        <f t="shared" si="59"/>
        <v>2</v>
      </c>
      <c r="AB510" s="298">
        <f>Z510+U510+P510+K510+F510</f>
        <v>0</v>
      </c>
      <c r="AC510" s="4"/>
      <c r="AD510" s="4" t="s">
        <v>29</v>
      </c>
      <c r="AE510" s="4" t="s">
        <v>29</v>
      </c>
      <c r="AF510" s="19">
        <f>6+4.5</f>
        <v>10.5</v>
      </c>
      <c r="AG510" s="411">
        <f t="shared" si="58"/>
        <v>10.5</v>
      </c>
      <c r="AH510" s="4"/>
      <c r="AI510" s="255"/>
      <c r="AK510" s="193"/>
      <c r="AL510" s="193"/>
      <c r="AM510" s="193"/>
      <c r="AN510" s="193"/>
      <c r="AO510" s="193"/>
      <c r="AP510" s="193"/>
      <c r="AU510" s="19"/>
      <c r="AV510" s="367"/>
    </row>
    <row r="511" spans="2:48" s="180" customFormat="1">
      <c r="B511" s="408" t="s">
        <v>103</v>
      </c>
      <c r="C511" s="12" t="s">
        <v>29</v>
      </c>
      <c r="D511" s="12" t="s">
        <v>29</v>
      </c>
      <c r="E511" s="19">
        <v>0</v>
      </c>
      <c r="F511" s="277"/>
      <c r="G511" s="4"/>
      <c r="H511" s="12" t="s">
        <v>29</v>
      </c>
      <c r="I511" s="12" t="s">
        <v>29</v>
      </c>
      <c r="J511" s="19">
        <v>0</v>
      </c>
      <c r="K511" s="277"/>
      <c r="L511" s="4"/>
      <c r="M511" s="12" t="s">
        <v>29</v>
      </c>
      <c r="N511" s="12" t="s">
        <v>29</v>
      </c>
      <c r="O511" s="19">
        <v>0</v>
      </c>
      <c r="P511" s="277"/>
      <c r="Q511" s="4"/>
      <c r="R511" s="12" t="s">
        <v>29</v>
      </c>
      <c r="S511" s="12" t="s">
        <v>29</v>
      </c>
      <c r="T511" s="19">
        <v>0</v>
      </c>
      <c r="U511" s="277"/>
      <c r="V511" s="4"/>
      <c r="W511" s="4"/>
      <c r="X511" s="4"/>
      <c r="Y511" s="19"/>
      <c r="Z511" s="277"/>
      <c r="AA511" s="29">
        <f t="shared" si="59"/>
        <v>0</v>
      </c>
      <c r="AB511" s="298">
        <f>Z511+U511+P511+K511+F511</f>
        <v>0</v>
      </c>
      <c r="AC511" s="4"/>
      <c r="AD511" s="4">
        <v>0</v>
      </c>
      <c r="AE511" s="4">
        <v>0</v>
      </c>
      <c r="AF511" s="19">
        <v>0</v>
      </c>
      <c r="AG511" s="29">
        <f t="shared" si="58"/>
        <v>0</v>
      </c>
      <c r="AH511" s="4"/>
      <c r="AI511" s="255"/>
      <c r="AK511" s="193"/>
      <c r="AL511" s="193"/>
      <c r="AM511" s="193"/>
      <c r="AN511" s="193"/>
      <c r="AO511" s="193"/>
      <c r="AP511" s="193"/>
      <c r="AU511" s="19"/>
      <c r="AV511" s="367"/>
    </row>
    <row r="512" spans="2:48" s="180" customFormat="1">
      <c r="B512" s="408" t="s">
        <v>104</v>
      </c>
      <c r="C512" s="12" t="s">
        <v>29</v>
      </c>
      <c r="D512" s="12" t="s">
        <v>29</v>
      </c>
      <c r="E512" s="19">
        <v>0</v>
      </c>
      <c r="F512" s="277"/>
      <c r="G512" s="4"/>
      <c r="H512" s="12" t="s">
        <v>29</v>
      </c>
      <c r="I512" s="12" t="s">
        <v>29</v>
      </c>
      <c r="J512" s="19">
        <v>0</v>
      </c>
      <c r="K512" s="277"/>
      <c r="L512" s="4"/>
      <c r="M512" s="12" t="s">
        <v>29</v>
      </c>
      <c r="N512" s="12" t="s">
        <v>29</v>
      </c>
      <c r="O512" s="19">
        <v>0</v>
      </c>
      <c r="P512" s="277"/>
      <c r="Q512" s="4"/>
      <c r="R512" s="12" t="s">
        <v>29</v>
      </c>
      <c r="S512" s="12" t="s">
        <v>29</v>
      </c>
      <c r="T512" s="19">
        <v>0</v>
      </c>
      <c r="U512" s="277"/>
      <c r="V512" s="4"/>
      <c r="W512" s="4"/>
      <c r="X512" s="4"/>
      <c r="Y512" s="19"/>
      <c r="Z512" s="277"/>
      <c r="AA512" s="29">
        <f t="shared" si="59"/>
        <v>0</v>
      </c>
      <c r="AB512" s="298">
        <f>Z512+U512+P512+K512+F512</f>
        <v>0</v>
      </c>
      <c r="AC512" s="4"/>
      <c r="AD512" s="4">
        <v>0</v>
      </c>
      <c r="AE512" s="4">
        <v>0</v>
      </c>
      <c r="AF512" s="19">
        <v>0</v>
      </c>
      <c r="AG512" s="29">
        <f t="shared" si="58"/>
        <v>0</v>
      </c>
      <c r="AH512" s="4"/>
      <c r="AI512" s="255"/>
      <c r="AK512" s="193"/>
      <c r="AL512" s="193"/>
      <c r="AM512" s="193"/>
      <c r="AN512" s="193"/>
      <c r="AO512" s="193"/>
      <c r="AP512" s="193"/>
      <c r="AU512" s="19"/>
      <c r="AV512" s="367"/>
    </row>
    <row r="513" spans="1:48" s="180" customFormat="1">
      <c r="B513" s="63" t="s">
        <v>63</v>
      </c>
      <c r="C513" s="12" t="s">
        <v>29</v>
      </c>
      <c r="D513" s="12" t="s">
        <v>29</v>
      </c>
      <c r="E513" s="19">
        <v>8</v>
      </c>
      <c r="F513" s="277">
        <v>2</v>
      </c>
      <c r="G513" s="60"/>
      <c r="H513" s="12" t="s">
        <v>29</v>
      </c>
      <c r="I513" s="12" t="s">
        <v>29</v>
      </c>
      <c r="J513" s="19">
        <v>8</v>
      </c>
      <c r="K513" s="277">
        <v>2</v>
      </c>
      <c r="L513" s="60"/>
      <c r="M513" s="16" t="s">
        <v>29</v>
      </c>
      <c r="N513" s="16" t="s">
        <v>29</v>
      </c>
      <c r="O513" s="19">
        <v>8</v>
      </c>
      <c r="P513" s="277">
        <v>2</v>
      </c>
      <c r="Q513" s="60"/>
      <c r="R513" s="16" t="s">
        <v>29</v>
      </c>
      <c r="S513" s="16" t="s">
        <v>29</v>
      </c>
      <c r="T513" s="19">
        <v>8</v>
      </c>
      <c r="U513" s="277">
        <v>2</v>
      </c>
      <c r="V513" s="60"/>
      <c r="W513" s="16" t="s">
        <v>29</v>
      </c>
      <c r="X513" s="16" t="s">
        <v>29</v>
      </c>
      <c r="Y513" s="19">
        <v>8</v>
      </c>
      <c r="Z513" s="277">
        <v>3</v>
      </c>
      <c r="AA513" s="28">
        <f>SUM(E513+J513+O513+T513+Y513)</f>
        <v>40</v>
      </c>
      <c r="AB513" s="298">
        <f t="shared" ref="AB513" si="60">Z513+U513+P513+K513+F513</f>
        <v>11</v>
      </c>
      <c r="AC513" s="4"/>
      <c r="AD513" s="56"/>
      <c r="AE513" s="56"/>
      <c r="AF513" s="19">
        <v>7</v>
      </c>
      <c r="AG513" s="411">
        <f t="shared" si="58"/>
        <v>7</v>
      </c>
      <c r="AH513" s="4"/>
      <c r="AI513" s="255"/>
      <c r="AK513" s="193"/>
      <c r="AL513" s="193"/>
      <c r="AM513" s="193"/>
      <c r="AN513" s="193"/>
      <c r="AO513" s="193"/>
      <c r="AP513" s="193"/>
      <c r="AU513" s="19"/>
      <c r="AV513" s="367"/>
    </row>
    <row r="514" spans="1:48" s="180" customFormat="1">
      <c r="B514" s="63" t="s">
        <v>62</v>
      </c>
      <c r="C514" s="12" t="s">
        <v>29</v>
      </c>
      <c r="D514" s="12" t="s">
        <v>29</v>
      </c>
      <c r="E514" s="19">
        <v>8</v>
      </c>
      <c r="F514" s="277">
        <v>0.75</v>
      </c>
      <c r="G514" s="60"/>
      <c r="H514" s="12" t="s">
        <v>29</v>
      </c>
      <c r="I514" s="16">
        <v>0.41666666666666669</v>
      </c>
      <c r="J514" s="19">
        <v>8</v>
      </c>
      <c r="K514" s="277">
        <v>5.5</v>
      </c>
      <c r="L514" s="60"/>
      <c r="M514" s="16" t="s">
        <v>29</v>
      </c>
      <c r="N514" s="16" t="s">
        <v>29</v>
      </c>
      <c r="O514" s="19">
        <v>8</v>
      </c>
      <c r="P514" s="277">
        <v>1.75</v>
      </c>
      <c r="Q514" s="60"/>
      <c r="R514" s="4"/>
      <c r="S514" s="4"/>
      <c r="T514" s="19">
        <v>8</v>
      </c>
      <c r="U514" s="277">
        <v>0.5</v>
      </c>
      <c r="V514" s="60"/>
      <c r="W514" s="4"/>
      <c r="X514" s="4"/>
      <c r="Y514" s="19"/>
      <c r="Z514" s="277"/>
      <c r="AA514" s="28">
        <f>SUM(E514+J514+O514+T514+Y514)</f>
        <v>32</v>
      </c>
      <c r="AB514" s="298">
        <f t="shared" si="56"/>
        <v>8.5</v>
      </c>
      <c r="AC514" s="4"/>
      <c r="AD514" s="4" t="s">
        <v>29</v>
      </c>
      <c r="AE514" s="4" t="s">
        <v>29</v>
      </c>
      <c r="AF514" s="19">
        <v>0</v>
      </c>
      <c r="AG514" s="29">
        <v>0</v>
      </c>
      <c r="AH514" s="4"/>
      <c r="AI514" s="255"/>
      <c r="AK514" s="193"/>
      <c r="AL514" s="193"/>
      <c r="AM514" s="193"/>
      <c r="AN514" s="193"/>
      <c r="AO514" s="193"/>
      <c r="AP514" s="193"/>
      <c r="AU514" s="19"/>
      <c r="AV514" s="367"/>
    </row>
    <row r="515" spans="1:48" s="180" customFormat="1">
      <c r="B515" s="63" t="s">
        <v>94</v>
      </c>
      <c r="C515" s="12" t="s">
        <v>29</v>
      </c>
      <c r="D515" s="12" t="s">
        <v>29</v>
      </c>
      <c r="E515" s="19">
        <v>3</v>
      </c>
      <c r="F515" s="277"/>
      <c r="G515" s="60"/>
      <c r="H515" s="12" t="s">
        <v>29</v>
      </c>
      <c r="I515" s="12" t="s">
        <v>29</v>
      </c>
      <c r="J515" s="19">
        <v>6</v>
      </c>
      <c r="K515" s="277"/>
      <c r="L515" s="60"/>
      <c r="M515" s="16" t="s">
        <v>29</v>
      </c>
      <c r="N515" s="16" t="s">
        <v>29</v>
      </c>
      <c r="O515" s="19">
        <v>4</v>
      </c>
      <c r="P515" s="277"/>
      <c r="Q515" s="60"/>
      <c r="R515" s="4"/>
      <c r="S515" s="4"/>
      <c r="T515" s="19"/>
      <c r="U515" s="277"/>
      <c r="V515" s="60"/>
      <c r="W515" s="4"/>
      <c r="X515" s="4"/>
      <c r="Y515" s="19"/>
      <c r="Z515" s="277"/>
      <c r="AA515" s="28">
        <f>SUM(E515+J515+O515+T515+Y515)</f>
        <v>13</v>
      </c>
      <c r="AB515" s="298">
        <f t="shared" si="56"/>
        <v>0</v>
      </c>
      <c r="AC515" s="4"/>
      <c r="AD515" s="56"/>
      <c r="AE515" s="56"/>
      <c r="AF515" s="19">
        <v>4</v>
      </c>
      <c r="AG515" s="411">
        <f>AF515</f>
        <v>4</v>
      </c>
      <c r="AH515" s="4"/>
      <c r="AI515" s="255"/>
      <c r="AK515" s="193"/>
      <c r="AL515" s="193"/>
      <c r="AM515" s="193"/>
      <c r="AN515" s="193"/>
      <c r="AO515" s="193"/>
      <c r="AP515" s="193"/>
      <c r="AU515" s="19"/>
      <c r="AV515" s="367"/>
    </row>
    <row r="516" spans="1:48" s="180" customFormat="1">
      <c r="B516" s="64" t="s">
        <v>61</v>
      </c>
      <c r="C516" s="64"/>
      <c r="D516" s="64"/>
      <c r="E516" s="167">
        <f>SUM(E479:E515)</f>
        <v>145.25</v>
      </c>
      <c r="F516" s="277">
        <f>SUM(F479:F515)</f>
        <v>9.5</v>
      </c>
      <c r="G516" s="64"/>
      <c r="H516" s="64"/>
      <c r="I516" s="64"/>
      <c r="J516" s="64">
        <f>SUM(J479:J515)</f>
        <v>163.75</v>
      </c>
      <c r="K516" s="277">
        <f>SUM(K479:K515)</f>
        <v>28.5</v>
      </c>
      <c r="L516" s="64"/>
      <c r="M516" s="64"/>
      <c r="N516" s="64"/>
      <c r="O516" s="167">
        <f>SUM(O479:O515)</f>
        <v>157</v>
      </c>
      <c r="P516" s="277">
        <f>SUM(P479:P515)</f>
        <v>29</v>
      </c>
      <c r="Q516" s="64"/>
      <c r="R516" s="64"/>
      <c r="S516" s="64"/>
      <c r="T516" s="167">
        <f>SUM(T479:T515)</f>
        <v>184.5</v>
      </c>
      <c r="U516" s="277">
        <f>SUM(U479:U515)</f>
        <v>38.25</v>
      </c>
      <c r="V516" s="64"/>
      <c r="W516" s="64"/>
      <c r="X516" s="64"/>
      <c r="Y516" s="167">
        <f>SUM(Y479:Y515)</f>
        <v>156</v>
      </c>
      <c r="Z516" s="277">
        <f>SUM(Z479:Z503)</f>
        <v>16.25</v>
      </c>
      <c r="AA516" s="370">
        <f>SUM(AA479:AA515)</f>
        <v>806.5</v>
      </c>
      <c r="AB516" s="289">
        <f>SUM(AB479:AB515)</f>
        <v>136.5</v>
      </c>
      <c r="AC516" s="4"/>
      <c r="AD516" s="64"/>
      <c r="AE516" s="64"/>
      <c r="AF516" s="167">
        <f>SUM(AF479:AF515)</f>
        <v>238.5</v>
      </c>
      <c r="AG516" s="370">
        <f>SUM(AG479:AG515)</f>
        <v>238.75</v>
      </c>
      <c r="AH516" s="4"/>
      <c r="AI516" s="255"/>
      <c r="AK516" s="193"/>
      <c r="AL516" s="193"/>
      <c r="AM516" s="193"/>
      <c r="AN516" s="193"/>
      <c r="AO516" s="193"/>
      <c r="AP516" s="193"/>
      <c r="AU516" s="167"/>
      <c r="AV516" s="367"/>
    </row>
    <row r="517" spans="1:48" s="180" customFormat="1">
      <c r="B517" s="63" t="s">
        <v>64</v>
      </c>
      <c r="C517" s="56"/>
      <c r="D517" s="56"/>
      <c r="E517" s="19">
        <v>8</v>
      </c>
      <c r="F517" s="291">
        <v>2</v>
      </c>
      <c r="G517" s="60"/>
      <c r="H517" s="56"/>
      <c r="I517" s="56"/>
      <c r="J517" s="19">
        <v>8</v>
      </c>
      <c r="K517" s="291">
        <f>1.25+1.25+2</f>
        <v>4.5</v>
      </c>
      <c r="L517" s="60"/>
      <c r="M517" s="56"/>
      <c r="N517" s="56"/>
      <c r="O517" s="19">
        <v>8</v>
      </c>
      <c r="P517" s="19">
        <v>2</v>
      </c>
      <c r="Q517" s="60"/>
      <c r="R517" s="56"/>
      <c r="S517" s="56"/>
      <c r="T517" s="19">
        <v>8</v>
      </c>
      <c r="U517" s="19">
        <f>1.25+2</f>
        <v>3.25</v>
      </c>
      <c r="V517" s="60"/>
      <c r="W517" s="56"/>
      <c r="X517" s="56"/>
      <c r="Y517" s="19">
        <v>8</v>
      </c>
      <c r="Z517" s="19">
        <v>2</v>
      </c>
      <c r="AA517" s="28">
        <f>SUM(E517+J517+O517+T517+Y517)</f>
        <v>40</v>
      </c>
      <c r="AB517" s="296">
        <f>Z517+U517+P517+K517+F517</f>
        <v>13.75</v>
      </c>
      <c r="AC517" s="4"/>
      <c r="AD517" s="56"/>
      <c r="AE517" s="56"/>
      <c r="AF517" s="19">
        <f>14.75+14.25</f>
        <v>29</v>
      </c>
      <c r="AG517" s="411">
        <f>AF517</f>
        <v>29</v>
      </c>
      <c r="AH517" s="4"/>
      <c r="AI517" s="255"/>
      <c r="AK517" s="411" t="s">
        <v>105</v>
      </c>
      <c r="AL517" s="193"/>
      <c r="AM517" s="193"/>
      <c r="AN517" s="193"/>
      <c r="AO517" s="193"/>
      <c r="AP517" s="193"/>
      <c r="AU517" s="19"/>
      <c r="AV517" s="367"/>
    </row>
    <row r="518" spans="1:48" s="180" customFormat="1">
      <c r="B518" s="63" t="s">
        <v>106</v>
      </c>
      <c r="C518" s="56"/>
      <c r="D518" s="56"/>
      <c r="E518" s="19"/>
      <c r="F518" s="291"/>
      <c r="G518" s="60"/>
      <c r="H518" s="56"/>
      <c r="I518" s="56"/>
      <c r="J518" s="19"/>
      <c r="K518" s="291"/>
      <c r="L518" s="60"/>
      <c r="M518" s="56"/>
      <c r="N518" s="56"/>
      <c r="O518" s="19">
        <v>4</v>
      </c>
      <c r="P518" s="19"/>
      <c r="Q518" s="60"/>
      <c r="R518" s="56"/>
      <c r="S518" s="56"/>
      <c r="T518" s="19">
        <v>4</v>
      </c>
      <c r="U518" s="19"/>
      <c r="V518" s="60"/>
      <c r="W518" s="56"/>
      <c r="X518" s="56"/>
      <c r="Y518" s="19">
        <v>4</v>
      </c>
      <c r="Z518" s="19"/>
      <c r="AA518" s="28">
        <f>SUM(E518+J518+O518+T518+Y518)</f>
        <v>12</v>
      </c>
      <c r="AB518" s="296">
        <f>Z518+U518+P518+K518+F518</f>
        <v>0</v>
      </c>
      <c r="AC518" s="4"/>
      <c r="AD518" s="56"/>
      <c r="AE518" s="56"/>
      <c r="AF518" s="19">
        <v>12</v>
      </c>
      <c r="AG518" s="29">
        <f>AF518</f>
        <v>12</v>
      </c>
      <c r="AH518" s="4"/>
      <c r="AI518" s="255"/>
      <c r="AK518" s="193"/>
      <c r="AL518" s="193"/>
      <c r="AM518" s="193"/>
      <c r="AN518" s="193"/>
      <c r="AO518" s="193"/>
      <c r="AP518" s="193"/>
      <c r="AU518" s="19"/>
      <c r="AV518" s="367"/>
    </row>
    <row r="519" spans="1:48" s="180" customFormat="1">
      <c r="B519" s="71" t="s">
        <v>66</v>
      </c>
      <c r="C519" s="371"/>
      <c r="D519" s="371"/>
      <c r="E519" s="71">
        <f t="shared" ref="E519:AB519" si="61">SUM(E517:E518)</f>
        <v>8</v>
      </c>
      <c r="F519" s="71">
        <f t="shared" si="61"/>
        <v>2</v>
      </c>
      <c r="G519" s="71">
        <f t="shared" si="61"/>
        <v>0</v>
      </c>
      <c r="H519" s="71">
        <f t="shared" si="61"/>
        <v>0</v>
      </c>
      <c r="I519" s="71">
        <f t="shared" si="61"/>
        <v>0</v>
      </c>
      <c r="J519" s="71">
        <f t="shared" si="61"/>
        <v>8</v>
      </c>
      <c r="K519" s="71">
        <f t="shared" si="61"/>
        <v>4.5</v>
      </c>
      <c r="L519" s="71">
        <f t="shared" si="61"/>
        <v>0</v>
      </c>
      <c r="M519" s="71">
        <f t="shared" si="61"/>
        <v>0</v>
      </c>
      <c r="N519" s="71">
        <f t="shared" si="61"/>
        <v>0</v>
      </c>
      <c r="O519" s="71">
        <f t="shared" si="61"/>
        <v>12</v>
      </c>
      <c r="P519" s="71">
        <f t="shared" si="61"/>
        <v>2</v>
      </c>
      <c r="Q519" s="71">
        <f t="shared" si="61"/>
        <v>0</v>
      </c>
      <c r="R519" s="71">
        <f t="shared" si="61"/>
        <v>0</v>
      </c>
      <c r="S519" s="71">
        <f t="shared" si="61"/>
        <v>0</v>
      </c>
      <c r="T519" s="71">
        <f t="shared" si="61"/>
        <v>12</v>
      </c>
      <c r="U519" s="71">
        <f t="shared" si="61"/>
        <v>3.25</v>
      </c>
      <c r="V519" s="71">
        <f t="shared" si="61"/>
        <v>0</v>
      </c>
      <c r="W519" s="71">
        <f t="shared" si="61"/>
        <v>0</v>
      </c>
      <c r="X519" s="71">
        <f t="shared" si="61"/>
        <v>0</v>
      </c>
      <c r="Y519" s="71">
        <f t="shared" si="61"/>
        <v>12</v>
      </c>
      <c r="Z519" s="71">
        <f t="shared" si="61"/>
        <v>2</v>
      </c>
      <c r="AA519" s="370">
        <f t="shared" si="61"/>
        <v>52</v>
      </c>
      <c r="AB519" s="370">
        <f t="shared" si="61"/>
        <v>13.75</v>
      </c>
      <c r="AC519" s="4"/>
      <c r="AG519" s="370">
        <f>SUM(AG517:AG518)</f>
        <v>41</v>
      </c>
      <c r="AH519" s="4"/>
      <c r="AI519" s="255"/>
      <c r="AK519" s="193"/>
      <c r="AL519" s="193"/>
      <c r="AM519" s="193"/>
      <c r="AN519" s="193"/>
      <c r="AO519" s="193"/>
      <c r="AP519" s="193"/>
    </row>
    <row r="520" spans="1:48" s="180" customFormat="1">
      <c r="B520" s="217" t="s">
        <v>67</v>
      </c>
      <c r="C520" s="207">
        <f>C521+C522</f>
        <v>109</v>
      </c>
      <c r="D520" s="207"/>
      <c r="E520" s="209"/>
      <c r="F520" s="209"/>
      <c r="G520" s="207"/>
      <c r="H520" s="209"/>
      <c r="I520" s="209"/>
      <c r="J520" s="209"/>
      <c r="K520" s="209"/>
      <c r="L520" s="207"/>
      <c r="M520" s="207"/>
      <c r="N520" s="207"/>
      <c r="O520" s="207"/>
      <c r="P520" s="209"/>
      <c r="Q520" s="207"/>
      <c r="R520" s="207"/>
      <c r="S520" s="207"/>
      <c r="T520" s="207"/>
      <c r="U520" s="209"/>
      <c r="V520" s="207"/>
      <c r="W520" s="207"/>
      <c r="X520" s="207"/>
      <c r="Y520" s="210"/>
      <c r="Z520" s="209"/>
      <c r="AA520" s="211"/>
      <c r="AB520" s="209"/>
      <c r="AC520" s="211"/>
      <c r="AD520" s="211"/>
      <c r="AE520" s="211"/>
      <c r="AF520" s="211"/>
      <c r="AG520" s="211"/>
      <c r="AH520" s="4"/>
      <c r="AI520" s="255"/>
      <c r="AK520" s="193"/>
      <c r="AL520" s="193"/>
      <c r="AM520" s="193"/>
      <c r="AN520" s="193"/>
      <c r="AO520" s="193"/>
      <c r="AP520" s="193"/>
    </row>
    <row r="521" spans="1:48" s="180" customFormat="1">
      <c r="B521" s="238" t="s">
        <v>68</v>
      </c>
      <c r="C521" s="239">
        <f>17+17+19+22+19+15</f>
        <v>109</v>
      </c>
      <c r="D521" s="207"/>
      <c r="E521" s="209"/>
      <c r="F521" s="209"/>
      <c r="G521" s="207"/>
      <c r="H521" s="209"/>
      <c r="I521" s="209"/>
      <c r="J521" s="209"/>
      <c r="K521" s="209"/>
      <c r="L521" s="207"/>
      <c r="M521" s="207"/>
      <c r="N521" s="207"/>
      <c r="O521" s="207"/>
      <c r="P521" s="209"/>
      <c r="Q521" s="207"/>
      <c r="R521" s="207"/>
      <c r="S521" s="207"/>
      <c r="T521" s="207"/>
      <c r="U521" s="209"/>
      <c r="V521" s="207"/>
      <c r="W521" s="207"/>
      <c r="X521" s="207"/>
      <c r="Y521" s="210"/>
      <c r="Z521" s="209"/>
      <c r="AA521" s="211"/>
      <c r="AB521" s="209"/>
      <c r="AC521" s="211"/>
      <c r="AD521" s="211"/>
      <c r="AE521" s="211"/>
      <c r="AF521" s="211"/>
      <c r="AG521" s="211"/>
      <c r="AH521" s="4"/>
      <c r="AI521" s="255"/>
      <c r="AK521" s="193"/>
      <c r="AL521" s="193"/>
      <c r="AM521" s="193"/>
      <c r="AN521" s="193"/>
      <c r="AO521" s="193"/>
      <c r="AP521" s="193"/>
    </row>
    <row r="522" spans="1:48" s="180" customFormat="1">
      <c r="B522" s="238" t="s">
        <v>69</v>
      </c>
      <c r="C522" s="239"/>
      <c r="D522" s="207"/>
      <c r="E522" s="209"/>
      <c r="F522" s="209"/>
      <c r="G522" s="207"/>
      <c r="H522" s="209"/>
      <c r="I522" s="209"/>
      <c r="J522" s="209"/>
      <c r="K522" s="209"/>
      <c r="L522" s="207"/>
      <c r="M522" s="207"/>
      <c r="N522" s="207"/>
      <c r="O522" s="207"/>
      <c r="P522" s="209"/>
      <c r="Q522" s="207"/>
      <c r="R522" s="207"/>
      <c r="S522" s="207"/>
      <c r="T522" s="207"/>
      <c r="U522" s="209"/>
      <c r="V522" s="207"/>
      <c r="W522" s="207"/>
      <c r="X522" s="207"/>
      <c r="Y522" s="210"/>
      <c r="Z522" s="209"/>
      <c r="AA522" s="211"/>
      <c r="AB522" s="209"/>
      <c r="AC522" s="211"/>
      <c r="AD522" s="211"/>
      <c r="AE522" s="211"/>
      <c r="AF522" s="211"/>
      <c r="AG522" s="211"/>
      <c r="AH522" s="4"/>
      <c r="AI522" s="255"/>
      <c r="AK522" s="193"/>
      <c r="AL522" s="193"/>
      <c r="AM522" s="193"/>
      <c r="AN522" s="193"/>
      <c r="AO522" s="193"/>
      <c r="AP522" s="193"/>
    </row>
    <row r="523" spans="1:48" s="180" customFormat="1">
      <c r="E523" s="4"/>
      <c r="F523" s="4"/>
      <c r="G523" s="4"/>
      <c r="J523" s="4"/>
      <c r="K523" s="4"/>
      <c r="L523" s="4"/>
      <c r="O523" s="4"/>
      <c r="P523" s="4"/>
      <c r="Q523" s="4"/>
      <c r="T523" s="4"/>
      <c r="U523" s="4"/>
      <c r="V523" s="4"/>
      <c r="Y523" s="4"/>
      <c r="Z523" s="4"/>
      <c r="AA523" s="4"/>
      <c r="AB523" s="4"/>
      <c r="AC523" s="4"/>
      <c r="AH523" s="4"/>
    </row>
    <row r="524" spans="1:48" s="255" customFormat="1">
      <c r="A524" s="228"/>
      <c r="B524" s="229"/>
      <c r="C524" s="230"/>
      <c r="D524" s="230"/>
      <c r="E524" s="232"/>
      <c r="F524" s="232"/>
      <c r="G524" s="230"/>
      <c r="H524" s="232"/>
      <c r="I524" s="232"/>
      <c r="J524" s="232"/>
      <c r="K524" s="232"/>
      <c r="L524" s="230"/>
      <c r="M524" s="230"/>
      <c r="N524" s="230"/>
      <c r="O524" s="230"/>
      <c r="P524" s="232"/>
      <c r="Q524" s="230"/>
      <c r="R524" s="230"/>
      <c r="S524" s="230"/>
      <c r="T524" s="230"/>
      <c r="U524" s="232"/>
      <c r="V524" s="230"/>
      <c r="W524" s="230"/>
      <c r="X524" s="230"/>
      <c r="Y524" s="233"/>
      <c r="Z524" s="232"/>
      <c r="AA524" s="234"/>
      <c r="AB524" s="232"/>
      <c r="AC524" s="373"/>
      <c r="AD524" s="236"/>
      <c r="AH524" s="373"/>
    </row>
    <row r="525" spans="1:48" s="193" customFormat="1">
      <c r="A525" s="224"/>
      <c r="B525" s="214"/>
      <c r="C525" s="364"/>
      <c r="D525" s="364"/>
      <c r="E525" s="214"/>
      <c r="F525" s="214"/>
      <c r="G525" s="364"/>
      <c r="H525" s="214"/>
      <c r="I525" s="214"/>
      <c r="J525" s="214"/>
      <c r="K525" s="214"/>
      <c r="L525" s="364"/>
      <c r="M525" s="364"/>
      <c r="N525" s="364"/>
      <c r="O525" s="364"/>
      <c r="P525" s="214"/>
      <c r="Q525" s="364"/>
      <c r="R525" s="364"/>
      <c r="S525" s="364"/>
      <c r="T525" s="364"/>
      <c r="U525" s="214"/>
      <c r="V525" s="364"/>
      <c r="W525" s="364"/>
      <c r="X525" s="364"/>
      <c r="Y525" s="216"/>
      <c r="Z525" s="214"/>
      <c r="AA525" s="225"/>
      <c r="AB525" s="214"/>
      <c r="AC525" s="189"/>
      <c r="AH525" s="4"/>
      <c r="AI525" s="255"/>
      <c r="AJ525" s="180"/>
    </row>
    <row r="526" spans="1:48" s="180" customFormat="1">
      <c r="B526" s="1518" t="s">
        <v>18</v>
      </c>
      <c r="C526" s="1519">
        <v>45264</v>
      </c>
      <c r="D526" s="1519"/>
      <c r="E526" s="1519"/>
      <c r="F526" s="1519"/>
      <c r="G526" s="365"/>
      <c r="H526" s="1519">
        <v>45265</v>
      </c>
      <c r="I526" s="1519"/>
      <c r="J526" s="1519"/>
      <c r="K526" s="1519"/>
      <c r="L526" s="365"/>
      <c r="M526" s="1519">
        <v>45266</v>
      </c>
      <c r="N526" s="1519"/>
      <c r="O526" s="1519"/>
      <c r="P526" s="1519"/>
      <c r="Q526" s="365"/>
      <c r="R526" s="1519">
        <v>45267</v>
      </c>
      <c r="S526" s="1519"/>
      <c r="T526" s="1519"/>
      <c r="U526" s="1519"/>
      <c r="V526" s="365"/>
      <c r="W526" s="1519">
        <v>45268</v>
      </c>
      <c r="X526" s="1519"/>
      <c r="Y526" s="1519"/>
      <c r="Z526" s="1519"/>
      <c r="AA526" s="1517" t="s">
        <v>19</v>
      </c>
      <c r="AB526" s="1517" t="s">
        <v>20</v>
      </c>
      <c r="AC526" s="4"/>
      <c r="AD526" s="1519">
        <v>45269</v>
      </c>
      <c r="AE526" s="1519"/>
      <c r="AF526" s="1519"/>
      <c r="AG526" s="1517" t="s">
        <v>21</v>
      </c>
      <c r="AH526" s="4"/>
      <c r="AI526" s="255"/>
      <c r="AK526" s="194" t="s">
        <v>84</v>
      </c>
      <c r="AL526" s="366"/>
      <c r="AM526" s="366"/>
      <c r="AN526" s="366"/>
      <c r="AO526" s="366"/>
      <c r="AP526" s="366"/>
    </row>
    <row r="527" spans="1:48" s="367" customFormat="1">
      <c r="B527" s="1518"/>
      <c r="C527" s="21" t="s">
        <v>23</v>
      </c>
      <c r="D527" s="21" t="s">
        <v>24</v>
      </c>
      <c r="E527" s="205" t="s">
        <v>25</v>
      </c>
      <c r="F527" s="18" t="s">
        <v>14</v>
      </c>
      <c r="G527" s="4"/>
      <c r="H527" s="21" t="s">
        <v>23</v>
      </c>
      <c r="I527" s="21" t="s">
        <v>24</v>
      </c>
      <c r="J527" s="18" t="s">
        <v>25</v>
      </c>
      <c r="K527" s="18" t="s">
        <v>14</v>
      </c>
      <c r="L527" s="4"/>
      <c r="M527" s="21" t="s">
        <v>23</v>
      </c>
      <c r="N527" s="21" t="s">
        <v>24</v>
      </c>
      <c r="O527" s="18" t="s">
        <v>25</v>
      </c>
      <c r="P527" s="18" t="s">
        <v>14</v>
      </c>
      <c r="Q527" s="4"/>
      <c r="R527" s="21" t="s">
        <v>23</v>
      </c>
      <c r="S527" s="21" t="s">
        <v>24</v>
      </c>
      <c r="T527" s="18" t="s">
        <v>25</v>
      </c>
      <c r="U527" s="18" t="s">
        <v>14</v>
      </c>
      <c r="V527" s="4"/>
      <c r="W527" s="21" t="s">
        <v>23</v>
      </c>
      <c r="X527" s="21" t="s">
        <v>24</v>
      </c>
      <c r="Y527" s="18" t="s">
        <v>25</v>
      </c>
      <c r="Z527" s="18" t="s">
        <v>14</v>
      </c>
      <c r="AA527" s="1517"/>
      <c r="AB527" s="1517"/>
      <c r="AC527" s="4"/>
      <c r="AD527" s="21" t="s">
        <v>23</v>
      </c>
      <c r="AE527" s="21" t="s">
        <v>24</v>
      </c>
      <c r="AF527" s="18" t="s">
        <v>25</v>
      </c>
      <c r="AG527" s="1517"/>
      <c r="AH527" s="175"/>
      <c r="AI527" s="368"/>
      <c r="AK527" s="188" t="s">
        <v>26</v>
      </c>
      <c r="AL527" s="196">
        <f>AA559</f>
        <v>917.25</v>
      </c>
      <c r="AM527" s="193"/>
      <c r="AN527" s="193"/>
      <c r="AO527" s="193"/>
      <c r="AP527" s="193"/>
    </row>
    <row r="528" spans="1:48" s="367" customFormat="1">
      <c r="B528" s="171" t="s">
        <v>72</v>
      </c>
      <c r="C528" s="172">
        <v>0.375</v>
      </c>
      <c r="D528" s="172">
        <v>0.25</v>
      </c>
      <c r="E528" s="173">
        <f>18-9-1</f>
        <v>8</v>
      </c>
      <c r="F528" s="277"/>
      <c r="G528" s="4"/>
      <c r="H528" s="172">
        <v>0.35416666666666669</v>
      </c>
      <c r="I528" s="172">
        <v>0.25</v>
      </c>
      <c r="J528" s="173">
        <v>8</v>
      </c>
      <c r="K528" s="277">
        <v>1.5</v>
      </c>
      <c r="L528" s="4"/>
      <c r="M528" s="47">
        <v>0.35416666666666669</v>
      </c>
      <c r="N528" s="47">
        <v>0.25</v>
      </c>
      <c r="O528" s="173">
        <v>8</v>
      </c>
      <c r="P528" s="277">
        <v>1.5</v>
      </c>
      <c r="Q528" s="4"/>
      <c r="R528" s="47">
        <v>0.35416666666666669</v>
      </c>
      <c r="S528" s="47">
        <v>0.25</v>
      </c>
      <c r="T528" s="19">
        <v>8</v>
      </c>
      <c r="U528" s="277">
        <v>0.5</v>
      </c>
      <c r="V528" s="4"/>
      <c r="W528" s="47">
        <v>0.36458333333333331</v>
      </c>
      <c r="X528" s="47">
        <v>0.25</v>
      </c>
      <c r="Y528" s="19">
        <v>8</v>
      </c>
      <c r="Z528" s="277">
        <v>0.25</v>
      </c>
      <c r="AA528" s="28">
        <f t="shared" ref="AA528:AA555" si="62">(E528+J528+O528+T528+Y528)</f>
        <v>40</v>
      </c>
      <c r="AB528" s="298">
        <f t="shared" ref="AB528:AB558" si="63">Z528+U528+P528+K528+F528</f>
        <v>3.75</v>
      </c>
      <c r="AC528" s="4"/>
      <c r="AD528" s="175"/>
      <c r="AE528" s="175"/>
      <c r="AF528" s="173"/>
      <c r="AG528" s="28">
        <f t="shared" ref="AG528:AG555" si="64">AF528</f>
        <v>0</v>
      </c>
      <c r="AH528" s="175"/>
      <c r="AI528" s="368"/>
      <c r="AK528" s="188" t="s">
        <v>30</v>
      </c>
      <c r="AL528" s="196">
        <f>AB559</f>
        <v>59.75</v>
      </c>
      <c r="AM528" s="193"/>
      <c r="AN528" s="193"/>
      <c r="AO528" s="193"/>
      <c r="AP528" s="193"/>
    </row>
    <row r="529" spans="2:42" s="367" customFormat="1">
      <c r="B529" s="171" t="s">
        <v>71</v>
      </c>
      <c r="C529" s="172">
        <v>0.375</v>
      </c>
      <c r="D529" s="172">
        <v>0.25</v>
      </c>
      <c r="E529" s="173">
        <v>8</v>
      </c>
      <c r="F529" s="277"/>
      <c r="G529" s="4"/>
      <c r="H529" s="172">
        <v>0.34375</v>
      </c>
      <c r="I529" s="172">
        <v>0.25</v>
      </c>
      <c r="J529" s="173">
        <v>8</v>
      </c>
      <c r="K529" s="277">
        <v>1.75</v>
      </c>
      <c r="L529" s="4"/>
      <c r="M529" s="172">
        <v>0.34375</v>
      </c>
      <c r="N529" s="47">
        <v>0.20833333333333334</v>
      </c>
      <c r="O529" s="173">
        <v>8</v>
      </c>
      <c r="P529" s="277">
        <v>0.75</v>
      </c>
      <c r="Q529" s="4"/>
      <c r="R529" s="47">
        <v>0.33333333333333331</v>
      </c>
      <c r="S529" s="47">
        <v>0.20833333333333334</v>
      </c>
      <c r="T529" s="19">
        <v>8</v>
      </c>
      <c r="U529" s="277"/>
      <c r="V529" s="4"/>
      <c r="W529" s="47">
        <v>0.33333333333333331</v>
      </c>
      <c r="X529" s="47">
        <v>0.25</v>
      </c>
      <c r="Y529" s="19">
        <v>8</v>
      </c>
      <c r="Z529" s="277"/>
      <c r="AA529" s="28">
        <f t="shared" si="62"/>
        <v>40</v>
      </c>
      <c r="AB529" s="298">
        <f t="shared" si="63"/>
        <v>2.5</v>
      </c>
      <c r="AC529" s="4"/>
      <c r="AD529" s="175"/>
      <c r="AE529" s="175"/>
      <c r="AF529" s="173"/>
      <c r="AG529" s="28">
        <f t="shared" si="64"/>
        <v>0</v>
      </c>
      <c r="AH529" s="175"/>
      <c r="AI529" s="368"/>
      <c r="AK529" s="188" t="s">
        <v>32</v>
      </c>
      <c r="AL529" s="196">
        <f>AG559</f>
        <v>13.5</v>
      </c>
      <c r="AM529" s="193"/>
      <c r="AN529" s="193"/>
      <c r="AO529" s="193"/>
      <c r="AP529" s="193"/>
    </row>
    <row r="530" spans="2:42" s="401" customFormat="1">
      <c r="B530" s="8" t="s">
        <v>46</v>
      </c>
      <c r="C530" s="314">
        <v>0.375</v>
      </c>
      <c r="D530" s="314">
        <v>0.25</v>
      </c>
      <c r="E530" s="19">
        <v>8</v>
      </c>
      <c r="F530" s="277"/>
      <c r="G530" s="399"/>
      <c r="H530" s="314">
        <v>0.36458333333333331</v>
      </c>
      <c r="I530" s="314">
        <v>0.25</v>
      </c>
      <c r="J530" s="19">
        <v>8</v>
      </c>
      <c r="K530" s="277">
        <v>1.25</v>
      </c>
      <c r="L530" s="399"/>
      <c r="M530" s="47">
        <v>0.375</v>
      </c>
      <c r="N530" s="47">
        <v>0.25</v>
      </c>
      <c r="O530" s="319">
        <v>8</v>
      </c>
      <c r="P530" s="277"/>
      <c r="Q530" s="399"/>
      <c r="R530" s="47">
        <v>0.38541666666666669</v>
      </c>
      <c r="S530" s="47">
        <v>0.25</v>
      </c>
      <c r="T530" s="19">
        <f>18-9.75-1</f>
        <v>7.25</v>
      </c>
      <c r="U530" s="277"/>
      <c r="V530" s="399"/>
      <c r="W530" s="47">
        <v>0.375</v>
      </c>
      <c r="X530" s="47">
        <v>0.33333333333333331</v>
      </c>
      <c r="Y530" s="19">
        <v>8</v>
      </c>
      <c r="Z530" s="277"/>
      <c r="AA530" s="29">
        <f t="shared" si="62"/>
        <v>39.25</v>
      </c>
      <c r="AB530" s="298">
        <f t="shared" si="63"/>
        <v>1.25</v>
      </c>
      <c r="AC530" s="399"/>
      <c r="AD530" s="345"/>
      <c r="AE530" s="345"/>
      <c r="AF530" s="346"/>
      <c r="AG530" s="29">
        <f t="shared" si="64"/>
        <v>0</v>
      </c>
      <c r="AH530" s="399"/>
      <c r="AI530" s="402"/>
      <c r="AK530" s="403" t="s">
        <v>34</v>
      </c>
      <c r="AL530" s="404">
        <f>AA560</f>
        <v>16</v>
      </c>
      <c r="AM530" s="405"/>
      <c r="AN530" s="405"/>
      <c r="AO530" s="405"/>
      <c r="AP530" s="405"/>
    </row>
    <row r="531" spans="2:42" s="180" customFormat="1">
      <c r="B531" s="13" t="s">
        <v>35</v>
      </c>
      <c r="C531" s="4">
        <v>0</v>
      </c>
      <c r="D531" s="4">
        <v>0</v>
      </c>
      <c r="E531" s="319">
        <v>0</v>
      </c>
      <c r="F531" s="277"/>
      <c r="G531" s="175"/>
      <c r="H531" s="4">
        <v>0</v>
      </c>
      <c r="I531" s="4">
        <v>0</v>
      </c>
      <c r="J531" s="319">
        <v>0</v>
      </c>
      <c r="K531" s="277"/>
      <c r="L531" s="175"/>
      <c r="M531" s="4">
        <v>0</v>
      </c>
      <c r="N531" s="4">
        <v>0</v>
      </c>
      <c r="O531" s="319"/>
      <c r="P531" s="277"/>
      <c r="Q531" s="175"/>
      <c r="R531" s="4">
        <v>0</v>
      </c>
      <c r="S531" s="4">
        <v>0</v>
      </c>
      <c r="T531" s="19">
        <v>0</v>
      </c>
      <c r="U531" s="277"/>
      <c r="V531" s="175"/>
      <c r="W531" s="4">
        <v>0</v>
      </c>
      <c r="X531" s="4">
        <v>0</v>
      </c>
      <c r="Y531" s="19">
        <v>0</v>
      </c>
      <c r="Z531" s="277"/>
      <c r="AA531" s="344">
        <f t="shared" si="62"/>
        <v>0</v>
      </c>
      <c r="AB531" s="298">
        <f t="shared" si="63"/>
        <v>0</v>
      </c>
      <c r="AC531" s="175"/>
      <c r="AD531" s="345"/>
      <c r="AE531" s="345"/>
      <c r="AF531" s="346"/>
      <c r="AG531" s="344">
        <f t="shared" si="64"/>
        <v>0</v>
      </c>
      <c r="AH531" s="4"/>
      <c r="AI531" s="255"/>
      <c r="AK531" s="188" t="s">
        <v>36</v>
      </c>
      <c r="AL531" s="196">
        <f>AB560</f>
        <v>0</v>
      </c>
      <c r="AM531" s="193"/>
      <c r="AN531" s="193"/>
      <c r="AO531" s="193"/>
      <c r="AP531" s="193"/>
    </row>
    <row r="532" spans="2:42" s="367" customFormat="1">
      <c r="B532" s="13" t="s">
        <v>37</v>
      </c>
      <c r="C532" s="47">
        <v>0.41666666666666669</v>
      </c>
      <c r="D532" s="47">
        <v>0.25</v>
      </c>
      <c r="E532" s="319">
        <f>18-10-1</f>
        <v>7</v>
      </c>
      <c r="F532" s="277"/>
      <c r="G532" s="175"/>
      <c r="H532" s="47">
        <v>0.375</v>
      </c>
      <c r="I532" s="314">
        <v>0.25</v>
      </c>
      <c r="J532" s="319">
        <v>8</v>
      </c>
      <c r="K532" s="277"/>
      <c r="L532" s="175"/>
      <c r="M532" s="47">
        <v>0.36458333333333331</v>
      </c>
      <c r="N532" s="47">
        <v>0.25</v>
      </c>
      <c r="O532" s="319">
        <v>8</v>
      </c>
      <c r="P532" s="277">
        <v>0.25</v>
      </c>
      <c r="Q532" s="175"/>
      <c r="R532" s="47">
        <v>0.375</v>
      </c>
      <c r="S532" s="47">
        <v>0.25</v>
      </c>
      <c r="T532" s="19">
        <v>8</v>
      </c>
      <c r="U532" s="277"/>
      <c r="V532" s="175"/>
      <c r="W532" s="4">
        <v>0</v>
      </c>
      <c r="X532" s="4">
        <v>0</v>
      </c>
      <c r="Y532" s="19">
        <v>0</v>
      </c>
      <c r="Z532" s="277"/>
      <c r="AA532" s="344">
        <f t="shared" si="62"/>
        <v>31</v>
      </c>
      <c r="AB532" s="298">
        <f t="shared" si="63"/>
        <v>0.25</v>
      </c>
      <c r="AC532" s="175"/>
      <c r="AD532" s="345"/>
      <c r="AE532" s="345"/>
      <c r="AF532" s="346"/>
      <c r="AG532" s="344">
        <f t="shared" si="64"/>
        <v>0</v>
      </c>
      <c r="AH532" s="175"/>
      <c r="AI532" s="368"/>
      <c r="AK532" s="188" t="s">
        <v>38</v>
      </c>
      <c r="AL532" s="196">
        <f>AG560</f>
        <v>0</v>
      </c>
      <c r="AM532" s="193"/>
      <c r="AN532" s="193"/>
      <c r="AO532" s="193"/>
      <c r="AP532" s="193"/>
    </row>
    <row r="533" spans="2:42" s="180" customFormat="1">
      <c r="B533" s="13" t="s">
        <v>39</v>
      </c>
      <c r="C533" s="47">
        <v>0.41666666666666669</v>
      </c>
      <c r="D533" s="47">
        <v>0.27083333333333331</v>
      </c>
      <c r="E533" s="19">
        <v>7.5</v>
      </c>
      <c r="F533" s="277"/>
      <c r="G533" s="4"/>
      <c r="H533" s="47">
        <v>0.40625</v>
      </c>
      <c r="I533" s="314">
        <v>0.25</v>
      </c>
      <c r="J533" s="319">
        <v>7.25</v>
      </c>
      <c r="K533" s="277"/>
      <c r="L533" s="4"/>
      <c r="M533" s="47">
        <v>0.375</v>
      </c>
      <c r="N533" s="47">
        <v>0.25</v>
      </c>
      <c r="O533" s="319">
        <v>8</v>
      </c>
      <c r="P533" s="277"/>
      <c r="Q533" s="4"/>
      <c r="R533" s="47">
        <v>0.38541666666666669</v>
      </c>
      <c r="S533" s="47">
        <v>0.27083333333333331</v>
      </c>
      <c r="T533" s="19">
        <v>7.75</v>
      </c>
      <c r="U533" s="277"/>
      <c r="V533" s="4"/>
      <c r="W533" s="47">
        <v>0.39583333333333331</v>
      </c>
      <c r="X533" s="47">
        <v>0.41666666666666669</v>
      </c>
      <c r="Y533" s="19">
        <v>8</v>
      </c>
      <c r="Z533" s="277">
        <v>3.5</v>
      </c>
      <c r="AA533" s="29">
        <f t="shared" si="62"/>
        <v>38.5</v>
      </c>
      <c r="AB533" s="298">
        <f t="shared" si="63"/>
        <v>3.5</v>
      </c>
      <c r="AC533" s="4"/>
      <c r="AD533" s="345"/>
      <c r="AE533" s="345"/>
      <c r="AF533" s="346"/>
      <c r="AG533" s="29">
        <f t="shared" si="64"/>
        <v>0</v>
      </c>
      <c r="AH533" s="4"/>
      <c r="AI533" s="255"/>
      <c r="AK533" s="188" t="s">
        <v>41</v>
      </c>
      <c r="AL533" s="196">
        <f>C563</f>
        <v>85</v>
      </c>
      <c r="AM533" s="369"/>
      <c r="AN533" s="369"/>
      <c r="AO533" s="369"/>
      <c r="AP533" s="369"/>
    </row>
    <row r="534" spans="2:42" s="180" customFormat="1">
      <c r="B534" s="164" t="s">
        <v>42</v>
      </c>
      <c r="C534" s="47">
        <v>0.375</v>
      </c>
      <c r="D534" s="47">
        <v>0.25</v>
      </c>
      <c r="E534" s="19">
        <v>8</v>
      </c>
      <c r="F534" s="277"/>
      <c r="G534" s="4"/>
      <c r="H534" s="47">
        <v>0.36458333333333331</v>
      </c>
      <c r="I534" s="314">
        <v>0.27083333333333331</v>
      </c>
      <c r="J534" s="319">
        <v>8</v>
      </c>
      <c r="K534" s="277">
        <v>0.75</v>
      </c>
      <c r="L534" s="4"/>
      <c r="M534" s="47">
        <v>0.36458333333333331</v>
      </c>
      <c r="N534" s="47">
        <v>0.25</v>
      </c>
      <c r="O534" s="319">
        <v>8</v>
      </c>
      <c r="P534" s="277">
        <v>0.25</v>
      </c>
      <c r="Q534" s="4"/>
      <c r="R534" s="47">
        <v>0.375</v>
      </c>
      <c r="S534" s="47">
        <v>0.25</v>
      </c>
      <c r="T534" s="19">
        <v>8</v>
      </c>
      <c r="U534" s="277"/>
      <c r="V534" s="4"/>
      <c r="W534" s="47">
        <v>0.375</v>
      </c>
      <c r="X534" s="47">
        <v>0.25</v>
      </c>
      <c r="Y534" s="19">
        <v>8</v>
      </c>
      <c r="Z534" s="277"/>
      <c r="AA534" s="29">
        <f t="shared" si="62"/>
        <v>40</v>
      </c>
      <c r="AB534" s="298">
        <f t="shared" si="63"/>
        <v>1</v>
      </c>
      <c r="AC534" s="4"/>
      <c r="AD534" s="345"/>
      <c r="AE534" s="345"/>
      <c r="AF534" s="346"/>
      <c r="AG534" s="29">
        <f t="shared" si="64"/>
        <v>0</v>
      </c>
      <c r="AH534" s="4"/>
      <c r="AI534" s="255"/>
      <c r="AK534" s="193"/>
      <c r="AL534" s="193"/>
      <c r="AM534" s="193"/>
      <c r="AN534" s="193"/>
      <c r="AO534" s="193"/>
      <c r="AP534" s="193"/>
    </row>
    <row r="535" spans="2:42" s="180" customFormat="1">
      <c r="B535" s="13" t="s">
        <v>43</v>
      </c>
      <c r="C535" s="47">
        <v>0.375</v>
      </c>
      <c r="D535" s="47">
        <v>0.25</v>
      </c>
      <c r="E535" s="19">
        <v>8</v>
      </c>
      <c r="F535" s="277"/>
      <c r="G535" s="4"/>
      <c r="H535" s="47">
        <v>0.33333333333333331</v>
      </c>
      <c r="I535" s="314">
        <v>0.25</v>
      </c>
      <c r="J535" s="319">
        <v>8</v>
      </c>
      <c r="K535" s="277">
        <v>1</v>
      </c>
      <c r="L535" s="4"/>
      <c r="M535" s="47">
        <v>0.35416666666666669</v>
      </c>
      <c r="N535" s="47">
        <v>0.20833333333333334</v>
      </c>
      <c r="O535" s="319">
        <v>8</v>
      </c>
      <c r="P535" s="277">
        <v>0.5</v>
      </c>
      <c r="Q535" s="4"/>
      <c r="R535" s="47">
        <v>0.33333333333333331</v>
      </c>
      <c r="S535" s="47">
        <v>0.25</v>
      </c>
      <c r="T535" s="19">
        <v>8</v>
      </c>
      <c r="U535" s="277"/>
      <c r="V535" s="4"/>
      <c r="W535" s="47">
        <v>0.375</v>
      </c>
      <c r="X535" s="47">
        <v>0.25</v>
      </c>
      <c r="Y535" s="19">
        <v>8</v>
      </c>
      <c r="Z535" s="277"/>
      <c r="AA535" s="29">
        <f t="shared" si="62"/>
        <v>40</v>
      </c>
      <c r="AB535" s="298">
        <f t="shared" si="63"/>
        <v>1.5</v>
      </c>
      <c r="AC535" s="4"/>
      <c r="AD535" s="345"/>
      <c r="AE535" s="345"/>
      <c r="AF535" s="346"/>
      <c r="AG535" s="29">
        <f t="shared" si="64"/>
        <v>0</v>
      </c>
      <c r="AH535" s="4"/>
      <c r="AI535" s="255"/>
      <c r="AK535" s="193"/>
      <c r="AL535" s="193"/>
      <c r="AM535" s="193"/>
      <c r="AN535" s="193"/>
      <c r="AO535" s="193"/>
      <c r="AP535" s="193"/>
    </row>
    <row r="536" spans="2:42" s="180" customFormat="1">
      <c r="B536" s="13" t="s">
        <v>44</v>
      </c>
      <c r="C536" s="47">
        <v>0.39583333333333331</v>
      </c>
      <c r="D536" s="47">
        <v>0.25</v>
      </c>
      <c r="E536" s="19">
        <v>7.5</v>
      </c>
      <c r="F536" s="277"/>
      <c r="G536" s="4"/>
      <c r="H536" s="47">
        <v>0</v>
      </c>
      <c r="I536" s="314">
        <v>0</v>
      </c>
      <c r="J536" s="319">
        <v>0</v>
      </c>
      <c r="K536" s="277"/>
      <c r="L536" s="4"/>
      <c r="M536" s="47">
        <v>0</v>
      </c>
      <c r="N536" s="47">
        <v>0</v>
      </c>
      <c r="O536" s="319">
        <v>0</v>
      </c>
      <c r="P536" s="277"/>
      <c r="Q536" s="4"/>
      <c r="R536" s="47">
        <v>0.38541666666666669</v>
      </c>
      <c r="S536" s="47">
        <v>0.25</v>
      </c>
      <c r="T536" s="19">
        <v>7.75</v>
      </c>
      <c r="U536" s="277"/>
      <c r="V536" s="4"/>
      <c r="W536" s="47">
        <v>0.375</v>
      </c>
      <c r="X536" s="47">
        <v>0.33333333333333331</v>
      </c>
      <c r="Y536" s="19">
        <v>0</v>
      </c>
      <c r="Z536" s="277"/>
      <c r="AA536" s="29">
        <f t="shared" si="62"/>
        <v>15.25</v>
      </c>
      <c r="AB536" s="298">
        <f t="shared" si="63"/>
        <v>0</v>
      </c>
      <c r="AC536" s="4"/>
      <c r="AD536" s="345"/>
      <c r="AE536" s="345"/>
      <c r="AF536" s="346"/>
      <c r="AG536" s="29">
        <f t="shared" si="64"/>
        <v>0</v>
      </c>
      <c r="AH536" s="4"/>
      <c r="AI536" s="255"/>
      <c r="AK536" s="193"/>
      <c r="AL536" s="193"/>
      <c r="AM536" s="193"/>
      <c r="AN536" s="193"/>
      <c r="AO536" s="193"/>
      <c r="AP536" s="193"/>
    </row>
    <row r="537" spans="2:42" s="180" customFormat="1">
      <c r="B537" s="13" t="s">
        <v>45</v>
      </c>
      <c r="C537" s="47">
        <v>0</v>
      </c>
      <c r="D537" s="47">
        <v>0</v>
      </c>
      <c r="E537" s="19">
        <v>0</v>
      </c>
      <c r="F537" s="277"/>
      <c r="G537" s="4"/>
      <c r="H537" s="47">
        <v>0.375</v>
      </c>
      <c r="I537" s="16">
        <v>0.25</v>
      </c>
      <c r="J537" s="319">
        <v>8</v>
      </c>
      <c r="K537" s="277">
        <v>0</v>
      </c>
      <c r="L537" s="4"/>
      <c r="M537" s="47">
        <v>0.35416666666666669</v>
      </c>
      <c r="N537" s="47">
        <v>0.22916666666666666</v>
      </c>
      <c r="O537" s="319">
        <v>8</v>
      </c>
      <c r="P537" s="277"/>
      <c r="Q537" s="4"/>
      <c r="R537" s="47">
        <v>0.375</v>
      </c>
      <c r="S537" s="47">
        <v>0.25</v>
      </c>
      <c r="T537" s="19">
        <v>8</v>
      </c>
      <c r="U537" s="277"/>
      <c r="V537" s="4"/>
      <c r="W537" s="4"/>
      <c r="X537" s="4"/>
      <c r="Y537" s="19">
        <v>0</v>
      </c>
      <c r="Z537" s="277"/>
      <c r="AA537" s="29">
        <f t="shared" si="62"/>
        <v>24</v>
      </c>
      <c r="AB537" s="298">
        <f t="shared" si="63"/>
        <v>0</v>
      </c>
      <c r="AC537" s="4"/>
      <c r="AD537" s="345"/>
      <c r="AE537" s="345"/>
      <c r="AF537" s="346"/>
      <c r="AG537" s="29">
        <f t="shared" si="64"/>
        <v>0</v>
      </c>
      <c r="AH537" s="4"/>
      <c r="AI537" s="255"/>
      <c r="AK537" s="193"/>
      <c r="AL537" s="193"/>
      <c r="AM537" s="193"/>
      <c r="AN537" s="193"/>
      <c r="AO537" s="193"/>
      <c r="AP537" s="193"/>
    </row>
    <row r="538" spans="2:42" s="180" customFormat="1">
      <c r="B538" s="13" t="s">
        <v>49</v>
      </c>
      <c r="C538" s="47">
        <v>0.39583333333333331</v>
      </c>
      <c r="D538" s="47">
        <v>0.25</v>
      </c>
      <c r="E538" s="19">
        <v>7.5</v>
      </c>
      <c r="F538" s="277"/>
      <c r="G538" s="4"/>
      <c r="H538" s="47">
        <v>0.375</v>
      </c>
      <c r="I538" s="47">
        <v>0.25</v>
      </c>
      <c r="J538" s="319">
        <v>8</v>
      </c>
      <c r="K538" s="277"/>
      <c r="L538" s="4"/>
      <c r="M538" s="47">
        <v>0.36458333333333331</v>
      </c>
      <c r="N538" s="47">
        <v>0.25</v>
      </c>
      <c r="O538" s="319">
        <v>8</v>
      </c>
      <c r="P538" s="277">
        <v>0.25</v>
      </c>
      <c r="Q538" s="4"/>
      <c r="R538" s="47">
        <v>0.375</v>
      </c>
      <c r="S538" s="47">
        <v>0.25</v>
      </c>
      <c r="T538" s="19">
        <v>8</v>
      </c>
      <c r="U538" s="277"/>
      <c r="V538" s="4"/>
      <c r="W538" s="4">
        <v>0</v>
      </c>
      <c r="X538" s="4"/>
      <c r="Y538" s="19">
        <v>0</v>
      </c>
      <c r="Z538" s="277"/>
      <c r="AA538" s="29">
        <f t="shared" si="62"/>
        <v>31.5</v>
      </c>
      <c r="AB538" s="298">
        <f t="shared" si="63"/>
        <v>0.25</v>
      </c>
      <c r="AC538" s="4"/>
      <c r="AD538" s="345"/>
      <c r="AE538" s="345"/>
      <c r="AF538" s="346"/>
      <c r="AG538" s="29">
        <f t="shared" si="64"/>
        <v>0</v>
      </c>
      <c r="AH538" s="4"/>
      <c r="AI538" s="255"/>
      <c r="AK538" s="193"/>
      <c r="AL538" s="193"/>
      <c r="AM538" s="193"/>
      <c r="AN538" s="193"/>
      <c r="AO538" s="193"/>
      <c r="AP538" s="193"/>
    </row>
    <row r="539" spans="2:42" s="180" customFormat="1">
      <c r="B539" s="13" t="s">
        <v>50</v>
      </c>
      <c r="C539" s="47">
        <v>0.41666666666666669</v>
      </c>
      <c r="D539" s="47">
        <v>0.25</v>
      </c>
      <c r="E539" s="19">
        <v>7</v>
      </c>
      <c r="F539" s="277"/>
      <c r="G539" s="4"/>
      <c r="H539" s="47">
        <v>0.375</v>
      </c>
      <c r="I539" s="314">
        <v>0.25</v>
      </c>
      <c r="J539" s="19">
        <v>8</v>
      </c>
      <c r="K539" s="277"/>
      <c r="L539" s="4"/>
      <c r="M539" s="47">
        <v>0.375</v>
      </c>
      <c r="N539" s="47">
        <v>0.25</v>
      </c>
      <c r="O539" s="319">
        <v>8</v>
      </c>
      <c r="P539" s="277"/>
      <c r="Q539" s="4"/>
      <c r="R539" s="47">
        <v>0.40625</v>
      </c>
      <c r="S539" s="47">
        <v>0.25</v>
      </c>
      <c r="T539" s="19">
        <f>18-9.75-1</f>
        <v>7.25</v>
      </c>
      <c r="U539" s="277"/>
      <c r="V539" s="4"/>
      <c r="W539" s="47">
        <v>0.39583333333333331</v>
      </c>
      <c r="X539" s="47">
        <v>0.25</v>
      </c>
      <c r="Y539" s="19">
        <v>7.5</v>
      </c>
      <c r="Z539" s="277"/>
      <c r="AA539" s="29">
        <f t="shared" si="62"/>
        <v>37.75</v>
      </c>
      <c r="AB539" s="298">
        <f t="shared" si="63"/>
        <v>0</v>
      </c>
      <c r="AC539" s="4"/>
      <c r="AD539" s="345"/>
      <c r="AE539" s="345"/>
      <c r="AF539" s="346"/>
      <c r="AG539" s="29">
        <f t="shared" si="64"/>
        <v>0</v>
      </c>
      <c r="AH539" s="4"/>
      <c r="AI539" s="255"/>
      <c r="AK539" s="193"/>
      <c r="AL539" s="193"/>
      <c r="AM539" s="193"/>
      <c r="AN539" s="193"/>
      <c r="AO539" s="193"/>
      <c r="AP539" s="193"/>
    </row>
    <row r="540" spans="2:42" s="180" customFormat="1">
      <c r="B540" s="13" t="s">
        <v>51</v>
      </c>
      <c r="C540" s="47">
        <v>0.375</v>
      </c>
      <c r="D540" s="47">
        <v>0.25</v>
      </c>
      <c r="E540" s="19">
        <v>8</v>
      </c>
      <c r="F540" s="277"/>
      <c r="G540" s="4"/>
      <c r="H540" s="47">
        <v>0.38541666666666669</v>
      </c>
      <c r="I540" s="314">
        <v>0.20833333333333334</v>
      </c>
      <c r="J540" s="319">
        <v>6.75</v>
      </c>
      <c r="K540" s="277"/>
      <c r="L540" s="4"/>
      <c r="M540" s="47">
        <v>0.38541666666666669</v>
      </c>
      <c r="N540" s="47">
        <v>0.25</v>
      </c>
      <c r="O540" s="319">
        <v>7.75</v>
      </c>
      <c r="P540" s="277"/>
      <c r="Q540" s="4"/>
      <c r="R540" s="4"/>
      <c r="S540" s="47"/>
      <c r="T540" s="19">
        <v>0</v>
      </c>
      <c r="U540" s="277"/>
      <c r="V540" s="4"/>
      <c r="W540" s="47">
        <v>0.375</v>
      </c>
      <c r="X540" s="47">
        <v>0.25</v>
      </c>
      <c r="Y540" s="19">
        <v>8</v>
      </c>
      <c r="Z540" s="277"/>
      <c r="AA540" s="29">
        <f t="shared" si="62"/>
        <v>30.5</v>
      </c>
      <c r="AB540" s="298">
        <f t="shared" si="63"/>
        <v>0</v>
      </c>
      <c r="AC540" s="4"/>
      <c r="AD540" s="345"/>
      <c r="AE540" s="345"/>
      <c r="AF540" s="346"/>
      <c r="AG540" s="29">
        <f t="shared" si="64"/>
        <v>0</v>
      </c>
      <c r="AH540" s="4"/>
      <c r="AI540" s="255"/>
      <c r="AK540" s="193"/>
      <c r="AL540" s="193"/>
      <c r="AM540" s="193"/>
      <c r="AN540" s="193"/>
      <c r="AO540" s="193"/>
      <c r="AP540" s="193"/>
    </row>
    <row r="541" spans="2:42" s="180" customFormat="1">
      <c r="B541" s="13" t="s">
        <v>52</v>
      </c>
      <c r="C541" s="47">
        <v>0.375</v>
      </c>
      <c r="D541" s="47">
        <v>0.27083333333333331</v>
      </c>
      <c r="E541" s="19">
        <v>7.5</v>
      </c>
      <c r="F541" s="277"/>
      <c r="G541" s="4"/>
      <c r="H541" s="47">
        <v>0.35416666666666669</v>
      </c>
      <c r="I541" s="47">
        <v>0.27083333333333331</v>
      </c>
      <c r="J541" s="19">
        <v>8</v>
      </c>
      <c r="K541" s="277">
        <v>1</v>
      </c>
      <c r="L541" s="4"/>
      <c r="M541" s="47">
        <v>0.36458333333333331</v>
      </c>
      <c r="N541" s="47">
        <v>0.25</v>
      </c>
      <c r="O541" s="319">
        <v>8</v>
      </c>
      <c r="P541" s="277">
        <v>0.25</v>
      </c>
      <c r="Q541" s="4"/>
      <c r="R541" s="47">
        <v>0.36458333333333331</v>
      </c>
      <c r="S541" s="47">
        <v>0.25</v>
      </c>
      <c r="T541" s="19">
        <v>8</v>
      </c>
      <c r="U541" s="277">
        <v>0.25</v>
      </c>
      <c r="V541" s="4"/>
      <c r="W541" s="47">
        <v>0.34375</v>
      </c>
      <c r="X541" s="47">
        <v>0.4375</v>
      </c>
      <c r="Y541" s="19">
        <v>8</v>
      </c>
      <c r="Z541" s="277">
        <v>5.25</v>
      </c>
      <c r="AA541" s="29">
        <f t="shared" si="62"/>
        <v>39.5</v>
      </c>
      <c r="AB541" s="298">
        <f t="shared" si="63"/>
        <v>6.75</v>
      </c>
      <c r="AC541" s="4"/>
      <c r="AD541" s="4"/>
      <c r="AE541" s="4"/>
      <c r="AF541" s="19"/>
      <c r="AG541" s="29">
        <f t="shared" si="64"/>
        <v>0</v>
      </c>
      <c r="AH541" s="4"/>
      <c r="AI541" s="255"/>
      <c r="AK541" s="193"/>
      <c r="AL541" s="193"/>
      <c r="AM541" s="193"/>
      <c r="AN541" s="193"/>
      <c r="AO541" s="193"/>
      <c r="AP541" s="193"/>
    </row>
    <row r="542" spans="2:42" s="180" customFormat="1">
      <c r="B542" s="13" t="s">
        <v>48</v>
      </c>
      <c r="C542" s="47">
        <v>0.375</v>
      </c>
      <c r="D542" s="47">
        <v>0.41666666666666669</v>
      </c>
      <c r="E542" s="19">
        <v>8</v>
      </c>
      <c r="F542" s="277">
        <v>4</v>
      </c>
      <c r="G542" s="4"/>
      <c r="H542" s="47">
        <v>0.35416666666666669</v>
      </c>
      <c r="I542" s="47">
        <v>0.27083333333333331</v>
      </c>
      <c r="J542" s="19">
        <v>8</v>
      </c>
      <c r="K542" s="277"/>
      <c r="L542" s="4"/>
      <c r="M542" s="47">
        <v>0.35416666666666669</v>
      </c>
      <c r="N542" s="47">
        <v>0.41666666666666669</v>
      </c>
      <c r="O542" s="319">
        <v>8</v>
      </c>
      <c r="P542" s="277">
        <v>5.5</v>
      </c>
      <c r="Q542" s="4"/>
      <c r="R542" s="47">
        <v>0.35416666666666669</v>
      </c>
      <c r="S542" s="47">
        <v>0.35416666666666669</v>
      </c>
      <c r="T542" s="19"/>
      <c r="U542" s="277">
        <v>0.5</v>
      </c>
      <c r="V542" s="4"/>
      <c r="W542" s="47">
        <v>0.35416666666666669</v>
      </c>
      <c r="X542" s="47">
        <v>0.3125</v>
      </c>
      <c r="Y542" s="19">
        <v>8</v>
      </c>
      <c r="Z542" s="277">
        <v>2</v>
      </c>
      <c r="AA542" s="29">
        <f t="shared" si="62"/>
        <v>32</v>
      </c>
      <c r="AB542" s="298">
        <f t="shared" si="63"/>
        <v>12</v>
      </c>
      <c r="AC542" s="4"/>
      <c r="AD542" s="4"/>
      <c r="AE542" s="4"/>
      <c r="AF542" s="19"/>
      <c r="AG542" s="29">
        <f t="shared" si="64"/>
        <v>0</v>
      </c>
      <c r="AH542" s="4"/>
      <c r="AI542" s="255"/>
      <c r="AK542" s="193"/>
      <c r="AL542" s="193"/>
      <c r="AM542" s="193"/>
      <c r="AN542" s="193"/>
      <c r="AO542" s="193"/>
      <c r="AP542" s="193"/>
    </row>
    <row r="543" spans="2:42" s="180" customFormat="1">
      <c r="B543" s="13" t="s">
        <v>53</v>
      </c>
      <c r="C543" s="47">
        <v>0</v>
      </c>
      <c r="D543" s="47">
        <v>0</v>
      </c>
      <c r="E543" s="19">
        <v>0</v>
      </c>
      <c r="F543" s="277"/>
      <c r="G543" s="4"/>
      <c r="H543" s="4">
        <v>0</v>
      </c>
      <c r="I543" s="4">
        <v>0</v>
      </c>
      <c r="J543" s="19">
        <v>0</v>
      </c>
      <c r="K543" s="277"/>
      <c r="L543" s="4"/>
      <c r="M543" s="47">
        <v>0</v>
      </c>
      <c r="N543" s="47">
        <v>0</v>
      </c>
      <c r="O543" s="319">
        <v>0</v>
      </c>
      <c r="P543" s="277"/>
      <c r="Q543" s="4"/>
      <c r="R543" s="4">
        <v>0</v>
      </c>
      <c r="S543" s="4">
        <v>0</v>
      </c>
      <c r="T543" s="19">
        <v>0</v>
      </c>
      <c r="U543" s="277"/>
      <c r="V543" s="4"/>
      <c r="W543" s="4">
        <v>0</v>
      </c>
      <c r="X543" s="4">
        <v>0</v>
      </c>
      <c r="Y543" s="19">
        <v>0</v>
      </c>
      <c r="Z543" s="277"/>
      <c r="AA543" s="29">
        <f t="shared" si="62"/>
        <v>0</v>
      </c>
      <c r="AB543" s="298">
        <f t="shared" si="63"/>
        <v>0</v>
      </c>
      <c r="AC543" s="4"/>
      <c r="AD543" s="4"/>
      <c r="AE543" s="4"/>
      <c r="AF543" s="19"/>
      <c r="AG543" s="29">
        <f t="shared" si="64"/>
        <v>0</v>
      </c>
      <c r="AH543" s="4"/>
      <c r="AI543" s="255"/>
      <c r="AK543" s="193"/>
      <c r="AL543" s="193"/>
      <c r="AM543" s="193"/>
      <c r="AN543" s="193"/>
      <c r="AO543" s="193"/>
      <c r="AP543" s="193"/>
    </row>
    <row r="544" spans="2:42" s="180" customFormat="1">
      <c r="B544" s="13" t="s">
        <v>91</v>
      </c>
      <c r="C544" s="47">
        <v>0.375</v>
      </c>
      <c r="D544" s="47">
        <v>0.27083333333333331</v>
      </c>
      <c r="E544" s="19">
        <v>8</v>
      </c>
      <c r="F544" s="277">
        <v>0.5</v>
      </c>
      <c r="G544" s="4"/>
      <c r="H544" s="47">
        <v>0.36458333333333331</v>
      </c>
      <c r="I544" s="47">
        <v>0.27083333333333331</v>
      </c>
      <c r="J544" s="19">
        <v>8</v>
      </c>
      <c r="K544" s="277">
        <v>0.75</v>
      </c>
      <c r="L544" s="4"/>
      <c r="M544" s="47">
        <v>0.36458333333333331</v>
      </c>
      <c r="N544" s="47">
        <v>0.27083333333333331</v>
      </c>
      <c r="O544" s="319">
        <v>8</v>
      </c>
      <c r="P544" s="277">
        <v>0.75</v>
      </c>
      <c r="Q544" s="4"/>
      <c r="R544" s="47">
        <v>0.35416666666666669</v>
      </c>
      <c r="S544" s="47">
        <v>0.27083333333333331</v>
      </c>
      <c r="T544" s="19">
        <v>8</v>
      </c>
      <c r="U544" s="277">
        <v>1</v>
      </c>
      <c r="V544" s="4"/>
      <c r="W544" s="47">
        <v>0.35416666666666669</v>
      </c>
      <c r="X544" s="47">
        <v>0.25</v>
      </c>
      <c r="Y544" s="19">
        <v>8</v>
      </c>
      <c r="Z544" s="277">
        <v>0.5</v>
      </c>
      <c r="AA544" s="29">
        <f t="shared" si="62"/>
        <v>40</v>
      </c>
      <c r="AB544" s="298">
        <f t="shared" si="63"/>
        <v>3.5</v>
      </c>
      <c r="AC544" s="4"/>
      <c r="AD544" s="4"/>
      <c r="AE544" s="4"/>
      <c r="AF544" s="19"/>
      <c r="AG544" s="29">
        <f t="shared" si="64"/>
        <v>0</v>
      </c>
      <c r="AH544" s="4"/>
      <c r="AI544" s="255"/>
      <c r="AK544" s="193"/>
      <c r="AL544" s="193"/>
      <c r="AM544" s="193"/>
      <c r="AN544" s="193"/>
      <c r="AO544" s="193"/>
      <c r="AP544" s="193"/>
    </row>
    <row r="545" spans="2:42" s="180" customFormat="1">
      <c r="B545" s="13" t="s">
        <v>92</v>
      </c>
      <c r="C545" s="47">
        <v>0.375</v>
      </c>
      <c r="D545" s="47">
        <v>0.27083333333333331</v>
      </c>
      <c r="E545" s="19">
        <v>8</v>
      </c>
      <c r="F545" s="277">
        <v>0.5</v>
      </c>
      <c r="G545" s="4"/>
      <c r="H545" s="47">
        <v>0.35416666666666669</v>
      </c>
      <c r="I545" s="47">
        <v>0.27083333333333331</v>
      </c>
      <c r="J545" s="19">
        <v>8</v>
      </c>
      <c r="K545" s="277">
        <v>0.5</v>
      </c>
      <c r="L545" s="4"/>
      <c r="M545" s="47">
        <v>0.35416666666666669</v>
      </c>
      <c r="N545" s="47">
        <v>0.27083333333333331</v>
      </c>
      <c r="O545" s="319">
        <v>8</v>
      </c>
      <c r="P545" s="277">
        <v>1</v>
      </c>
      <c r="Q545" s="4"/>
      <c r="R545" s="47">
        <v>0.35416666666666669</v>
      </c>
      <c r="S545" s="47">
        <v>0.27083333333333331</v>
      </c>
      <c r="T545" s="19">
        <v>8</v>
      </c>
      <c r="U545" s="277">
        <v>1</v>
      </c>
      <c r="V545" s="4"/>
      <c r="W545" s="47">
        <v>0.35416666666666669</v>
      </c>
      <c r="X545" s="47">
        <v>0.25</v>
      </c>
      <c r="Y545" s="19">
        <v>8</v>
      </c>
      <c r="Z545" s="277">
        <v>0.5</v>
      </c>
      <c r="AA545" s="29">
        <f t="shared" si="62"/>
        <v>40</v>
      </c>
      <c r="AB545" s="298">
        <f t="shared" si="63"/>
        <v>3.5</v>
      </c>
      <c r="AC545" s="4"/>
      <c r="AD545" s="4"/>
      <c r="AE545" s="4"/>
      <c r="AF545" s="19"/>
      <c r="AG545" s="29">
        <f t="shared" si="64"/>
        <v>0</v>
      </c>
      <c r="AH545" s="4"/>
      <c r="AI545" s="255"/>
      <c r="AK545" s="193"/>
      <c r="AL545" s="193"/>
      <c r="AM545" s="193"/>
      <c r="AN545" s="193"/>
      <c r="AO545" s="193"/>
      <c r="AP545" s="193"/>
    </row>
    <row r="546" spans="2:42" s="180" customFormat="1">
      <c r="B546" s="13" t="s">
        <v>93</v>
      </c>
      <c r="C546" s="47">
        <v>0.375</v>
      </c>
      <c r="D546" s="47">
        <v>0.25</v>
      </c>
      <c r="E546" s="19">
        <v>8</v>
      </c>
      <c r="F546" s="277"/>
      <c r="G546" s="4"/>
      <c r="H546" s="47">
        <v>0.33333333333333331</v>
      </c>
      <c r="I546" s="47">
        <v>0.25</v>
      </c>
      <c r="J546" s="19">
        <v>8</v>
      </c>
      <c r="K546" s="277">
        <v>1</v>
      </c>
      <c r="L546" s="4"/>
      <c r="M546" s="47">
        <v>0.33333333333333331</v>
      </c>
      <c r="N546" s="47">
        <v>0.25</v>
      </c>
      <c r="O546" s="319">
        <v>8</v>
      </c>
      <c r="P546" s="277">
        <v>1</v>
      </c>
      <c r="Q546" s="4"/>
      <c r="R546" s="47">
        <v>0.33333333333333331</v>
      </c>
      <c r="S546" s="47">
        <v>0.25</v>
      </c>
      <c r="T546" s="19">
        <v>8</v>
      </c>
      <c r="U546" s="277">
        <v>1</v>
      </c>
      <c r="V546" s="4"/>
      <c r="W546" s="47">
        <v>0.33333333333333331</v>
      </c>
      <c r="X546" s="47">
        <v>0.25</v>
      </c>
      <c r="Y546" s="19">
        <v>8</v>
      </c>
      <c r="Z546" s="277">
        <v>1</v>
      </c>
      <c r="AA546" s="29">
        <f t="shared" si="62"/>
        <v>40</v>
      </c>
      <c r="AB546" s="298">
        <f t="shared" si="63"/>
        <v>4</v>
      </c>
      <c r="AC546" s="4"/>
      <c r="AD546" s="4"/>
      <c r="AE546" s="4"/>
      <c r="AF546" s="19"/>
      <c r="AG546" s="29">
        <f t="shared" si="64"/>
        <v>0</v>
      </c>
      <c r="AH546" s="4"/>
      <c r="AI546" s="255"/>
      <c r="AK546" s="193"/>
      <c r="AL546" s="193"/>
      <c r="AM546" s="193"/>
      <c r="AN546" s="193"/>
      <c r="AO546" s="193"/>
      <c r="AP546" s="193"/>
    </row>
    <row r="547" spans="2:42" s="180" customFormat="1">
      <c r="B547" s="13" t="s">
        <v>96</v>
      </c>
      <c r="C547" s="47">
        <v>0.375</v>
      </c>
      <c r="D547" s="16">
        <v>0.25</v>
      </c>
      <c r="E547" s="19">
        <v>8</v>
      </c>
      <c r="F547" s="277"/>
      <c r="G547" s="4"/>
      <c r="H547" s="16">
        <v>0.36458333333333331</v>
      </c>
      <c r="I547" s="16">
        <v>0.25</v>
      </c>
      <c r="J547" s="19">
        <v>8</v>
      </c>
      <c r="K547" s="277">
        <v>0.25</v>
      </c>
      <c r="L547" s="4"/>
      <c r="M547" s="16">
        <v>0.35416666666666669</v>
      </c>
      <c r="N547" s="47">
        <v>0.25</v>
      </c>
      <c r="O547" s="19">
        <v>8</v>
      </c>
      <c r="P547" s="277">
        <v>0.5</v>
      </c>
      <c r="Q547" s="4"/>
      <c r="R547" s="47">
        <v>0.35416666666666669</v>
      </c>
      <c r="S547" s="47">
        <v>0.25</v>
      </c>
      <c r="T547" s="19">
        <v>8</v>
      </c>
      <c r="U547" s="277">
        <v>0.5</v>
      </c>
      <c r="V547" s="4"/>
      <c r="W547" s="47">
        <v>0.34375</v>
      </c>
      <c r="X547" s="47">
        <v>0.25</v>
      </c>
      <c r="Y547" s="19">
        <v>8</v>
      </c>
      <c r="Z547" s="277">
        <v>0.75</v>
      </c>
      <c r="AA547" s="29">
        <f t="shared" ref="AA547:AA548" si="65">(E547+J547+O547+T547+Y547)</f>
        <v>40</v>
      </c>
      <c r="AB547" s="298">
        <f>Z547+U547+P547+K547+F547</f>
        <v>2</v>
      </c>
      <c r="AC547" s="4"/>
      <c r="AD547" s="410"/>
      <c r="AE547" s="4"/>
      <c r="AF547" s="19"/>
      <c r="AG547" s="29">
        <f t="shared" ref="AG547:AG548" si="66">AF547</f>
        <v>0</v>
      </c>
      <c r="AH547" s="4"/>
      <c r="AI547" s="255"/>
      <c r="AK547" s="193"/>
      <c r="AL547" s="193"/>
      <c r="AM547" s="193"/>
      <c r="AN547" s="193"/>
      <c r="AO547" s="193"/>
      <c r="AP547" s="193"/>
    </row>
    <row r="548" spans="2:42" s="180" customFormat="1">
      <c r="B548" s="13" t="s">
        <v>97</v>
      </c>
      <c r="C548" s="47">
        <v>0.375</v>
      </c>
      <c r="D548" s="47">
        <v>0.25</v>
      </c>
      <c r="E548" s="19">
        <v>8</v>
      </c>
      <c r="F548" s="277"/>
      <c r="G548" s="4"/>
      <c r="H548" s="47">
        <v>0.33333333333333331</v>
      </c>
      <c r="I548" s="16">
        <v>0.25</v>
      </c>
      <c r="J548" s="19">
        <v>8</v>
      </c>
      <c r="K548" s="277">
        <v>1</v>
      </c>
      <c r="L548" s="4"/>
      <c r="M548" s="16">
        <v>0.33333333333333331</v>
      </c>
      <c r="N548" s="16">
        <v>0.20833333333333334</v>
      </c>
      <c r="O548" s="19">
        <v>8</v>
      </c>
      <c r="P548" s="277"/>
      <c r="Q548" s="4"/>
      <c r="R548" s="47">
        <v>0</v>
      </c>
      <c r="S548" s="47">
        <v>0</v>
      </c>
      <c r="T548" s="19">
        <v>0</v>
      </c>
      <c r="U548" s="277"/>
      <c r="V548" s="4"/>
      <c r="W548" s="47">
        <v>0</v>
      </c>
      <c r="X548" s="47">
        <v>0</v>
      </c>
      <c r="Y548" s="19">
        <v>0</v>
      </c>
      <c r="Z548" s="277"/>
      <c r="AA548" s="29">
        <f t="shared" si="65"/>
        <v>24</v>
      </c>
      <c r="AB548" s="298">
        <f>Z548+U548+P548+K548+F548</f>
        <v>1</v>
      </c>
      <c r="AC548" s="4"/>
      <c r="AD548" s="4"/>
      <c r="AE548" s="4"/>
      <c r="AF548" s="19"/>
      <c r="AG548" s="29">
        <f t="shared" si="66"/>
        <v>0</v>
      </c>
      <c r="AH548" s="4"/>
      <c r="AI548" s="255"/>
      <c r="AK548" s="193"/>
      <c r="AL548" s="193"/>
      <c r="AM548" s="193"/>
      <c r="AN548" s="193"/>
      <c r="AO548" s="193"/>
      <c r="AP548" s="193"/>
    </row>
    <row r="549" spans="2:42" s="180" customFormat="1">
      <c r="B549" s="13" t="s">
        <v>107</v>
      </c>
      <c r="C549" s="12" t="s">
        <v>29</v>
      </c>
      <c r="D549" s="12" t="s">
        <v>29</v>
      </c>
      <c r="E549" s="19">
        <v>0</v>
      </c>
      <c r="F549" s="277"/>
      <c r="G549" s="4"/>
      <c r="H549" s="47">
        <v>0.375</v>
      </c>
      <c r="I549" s="16">
        <v>0.25</v>
      </c>
      <c r="J549" s="19">
        <v>8</v>
      </c>
      <c r="K549" s="277"/>
      <c r="L549" s="4"/>
      <c r="M549" s="16">
        <v>0.33333333333333331</v>
      </c>
      <c r="N549" s="47">
        <v>0.25</v>
      </c>
      <c r="O549" s="19">
        <v>8</v>
      </c>
      <c r="P549" s="277">
        <v>1</v>
      </c>
      <c r="Q549" s="4"/>
      <c r="R549" s="47">
        <v>0.33333333333333331</v>
      </c>
      <c r="S549" s="47">
        <v>0.25</v>
      </c>
      <c r="T549" s="19">
        <v>8</v>
      </c>
      <c r="U549" s="277">
        <v>1</v>
      </c>
      <c r="V549" s="4"/>
      <c r="W549" s="47">
        <v>0.33333333333333331</v>
      </c>
      <c r="X549" s="47">
        <v>0.25</v>
      </c>
      <c r="Y549" s="19">
        <v>8</v>
      </c>
      <c r="Z549" s="277">
        <v>1</v>
      </c>
      <c r="AA549" s="29">
        <f t="shared" ref="AA549:AA551" si="67">(E549+J549+O549+T549+Y549)</f>
        <v>32</v>
      </c>
      <c r="AB549" s="298">
        <f t="shared" ref="AB549:AB551" si="68">Z549+U549+P549+K549+F549</f>
        <v>3</v>
      </c>
      <c r="AC549" s="4"/>
      <c r="AD549" s="4"/>
      <c r="AE549" s="4"/>
      <c r="AF549" s="19"/>
      <c r="AG549" s="29">
        <f t="shared" ref="AG549:AG551" si="69">AF549</f>
        <v>0</v>
      </c>
      <c r="AH549" s="4"/>
      <c r="AI549" s="255"/>
      <c r="AK549" s="193"/>
      <c r="AL549" s="193"/>
      <c r="AM549" s="193"/>
      <c r="AN549" s="193"/>
      <c r="AO549" s="193"/>
      <c r="AP549" s="193"/>
    </row>
    <row r="550" spans="2:42" s="180" customFormat="1">
      <c r="B550" s="13" t="s">
        <v>108</v>
      </c>
      <c r="C550" s="12" t="s">
        <v>29</v>
      </c>
      <c r="D550" s="12" t="s">
        <v>29</v>
      </c>
      <c r="E550" s="19">
        <v>0</v>
      </c>
      <c r="F550" s="277"/>
      <c r="G550" s="4"/>
      <c r="H550" s="47">
        <v>0.375</v>
      </c>
      <c r="I550" s="16">
        <v>0.25</v>
      </c>
      <c r="J550" s="19">
        <v>8</v>
      </c>
      <c r="K550" s="277"/>
      <c r="L550" s="4"/>
      <c r="M550" s="16">
        <v>0.36458333333333331</v>
      </c>
      <c r="N550" s="47">
        <v>0.25</v>
      </c>
      <c r="O550" s="19">
        <v>8</v>
      </c>
      <c r="P550" s="277">
        <v>0.25</v>
      </c>
      <c r="Q550" s="4"/>
      <c r="R550" s="47">
        <v>0.35416666666666669</v>
      </c>
      <c r="S550" s="47">
        <v>0.25</v>
      </c>
      <c r="T550" s="19">
        <v>8</v>
      </c>
      <c r="U550" s="277">
        <v>0.5</v>
      </c>
      <c r="V550" s="4"/>
      <c r="W550" s="47">
        <v>0.35416666666666669</v>
      </c>
      <c r="X550" s="47">
        <v>0.25</v>
      </c>
      <c r="Y550" s="19">
        <v>8</v>
      </c>
      <c r="Z550" s="277">
        <v>0.5</v>
      </c>
      <c r="AA550" s="29">
        <f t="shared" ref="AA550" si="70">(E550+J550+O550+T550+Y550)</f>
        <v>32</v>
      </c>
      <c r="AB550" s="298">
        <f t="shared" ref="AB550" si="71">Z550+U550+P550+K550+F550</f>
        <v>1.25</v>
      </c>
      <c r="AC550" s="4"/>
      <c r="AD550" s="4"/>
      <c r="AE550" s="4"/>
      <c r="AF550" s="19"/>
      <c r="AG550" s="29">
        <f t="shared" ref="AG550" si="72">AF550</f>
        <v>0</v>
      </c>
      <c r="AH550" s="4"/>
      <c r="AI550" s="255"/>
      <c r="AK550" s="193"/>
      <c r="AL550" s="193"/>
      <c r="AM550" s="193"/>
      <c r="AN550" s="193"/>
      <c r="AO550" s="193"/>
      <c r="AP550" s="193"/>
    </row>
    <row r="551" spans="2:42" s="180" customFormat="1">
      <c r="B551" s="13" t="s">
        <v>109</v>
      </c>
      <c r="C551" s="12" t="s">
        <v>29</v>
      </c>
      <c r="D551" s="12" t="s">
        <v>29</v>
      </c>
      <c r="E551" s="19">
        <v>0</v>
      </c>
      <c r="F551" s="277"/>
      <c r="G551" s="4"/>
      <c r="H551" s="47">
        <v>0.375</v>
      </c>
      <c r="I551" s="16">
        <v>0.25</v>
      </c>
      <c r="J551" s="19">
        <v>8</v>
      </c>
      <c r="K551" s="277"/>
      <c r="L551" s="4"/>
      <c r="M551" s="16">
        <v>0.35416666666666669</v>
      </c>
      <c r="N551" s="47">
        <v>0.25</v>
      </c>
      <c r="O551" s="19">
        <v>8</v>
      </c>
      <c r="P551" s="277">
        <v>0.5</v>
      </c>
      <c r="Q551" s="4"/>
      <c r="R551" s="47">
        <v>0.36458333333333331</v>
      </c>
      <c r="S551" s="47">
        <v>0.25</v>
      </c>
      <c r="T551" s="19">
        <v>8</v>
      </c>
      <c r="U551" s="277">
        <v>0.25</v>
      </c>
      <c r="V551" s="4"/>
      <c r="W551" s="47">
        <v>0.36458333333333331</v>
      </c>
      <c r="X551" s="47">
        <v>0.25</v>
      </c>
      <c r="Y551" s="19">
        <v>8</v>
      </c>
      <c r="Z551" s="277">
        <v>0.25</v>
      </c>
      <c r="AA551" s="29">
        <f t="shared" si="67"/>
        <v>32</v>
      </c>
      <c r="AB551" s="298">
        <f t="shared" si="68"/>
        <v>1</v>
      </c>
      <c r="AC551" s="4"/>
      <c r="AD551" s="4"/>
      <c r="AE551" s="4"/>
      <c r="AF551" s="19"/>
      <c r="AG551" s="29">
        <f t="shared" si="69"/>
        <v>0</v>
      </c>
      <c r="AH551" s="4"/>
      <c r="AI551" s="255"/>
      <c r="AK551" s="193"/>
      <c r="AL551" s="193"/>
      <c r="AM551" s="193"/>
      <c r="AN551" s="193"/>
      <c r="AO551" s="193"/>
      <c r="AP551" s="193"/>
    </row>
    <row r="552" spans="2:42" s="180" customFormat="1">
      <c r="B552" s="13" t="s">
        <v>54</v>
      </c>
      <c r="C552" s="12"/>
      <c r="D552" s="12"/>
      <c r="E552" s="19"/>
      <c r="F552" s="277"/>
      <c r="G552" s="4"/>
      <c r="H552" s="12"/>
      <c r="I552" s="12"/>
      <c r="J552" s="19"/>
      <c r="K552" s="277"/>
      <c r="L552" s="4"/>
      <c r="M552" s="4"/>
      <c r="N552" s="47"/>
      <c r="O552" s="319"/>
      <c r="P552" s="277"/>
      <c r="Q552" s="4"/>
      <c r="R552" s="4"/>
      <c r="S552" s="4"/>
      <c r="T552" s="19"/>
      <c r="U552" s="277"/>
      <c r="V552" s="4"/>
      <c r="W552" s="4"/>
      <c r="X552" s="4"/>
      <c r="Y552" s="19"/>
      <c r="Z552" s="277"/>
      <c r="AA552" s="29">
        <f t="shared" si="62"/>
        <v>0</v>
      </c>
      <c r="AB552" s="298">
        <f t="shared" si="63"/>
        <v>0</v>
      </c>
      <c r="AC552" s="4"/>
      <c r="AD552" s="4"/>
      <c r="AE552" s="4"/>
      <c r="AF552" s="19"/>
      <c r="AG552" s="29">
        <f t="shared" si="64"/>
        <v>0</v>
      </c>
      <c r="AH552" s="4"/>
      <c r="AI552" s="255"/>
      <c r="AK552" s="193"/>
      <c r="AL552" s="193"/>
      <c r="AM552" s="193"/>
      <c r="AN552" s="193"/>
      <c r="AO552" s="193"/>
      <c r="AP552" s="193"/>
    </row>
    <row r="553" spans="2:42" s="180" customFormat="1">
      <c r="B553" s="13" t="s">
        <v>55</v>
      </c>
      <c r="C553" s="12"/>
      <c r="D553" s="12"/>
      <c r="E553" s="19"/>
      <c r="F553" s="277"/>
      <c r="G553" s="4"/>
      <c r="H553" s="12"/>
      <c r="I553" s="12"/>
      <c r="J553" s="19"/>
      <c r="K553" s="277"/>
      <c r="L553" s="4"/>
      <c r="M553" s="4"/>
      <c r="N553" s="47"/>
      <c r="O553" s="319"/>
      <c r="P553" s="277"/>
      <c r="Q553" s="4"/>
      <c r="R553" s="4"/>
      <c r="S553" s="4"/>
      <c r="T553" s="19"/>
      <c r="U553" s="277"/>
      <c r="V553" s="4"/>
      <c r="W553" s="4"/>
      <c r="X553" s="4"/>
      <c r="Y553" s="19"/>
      <c r="Z553" s="277"/>
      <c r="AA553" s="29">
        <f t="shared" si="62"/>
        <v>0</v>
      </c>
      <c r="AB553" s="298">
        <f t="shared" si="63"/>
        <v>0</v>
      </c>
      <c r="AC553" s="4"/>
      <c r="AD553" s="4"/>
      <c r="AE553" s="4"/>
      <c r="AF553" s="19"/>
      <c r="AG553" s="29">
        <f t="shared" si="64"/>
        <v>0</v>
      </c>
      <c r="AH553" s="4"/>
      <c r="AI553" s="255"/>
      <c r="AK553" s="193"/>
      <c r="AL553" s="193"/>
      <c r="AM553" s="193"/>
      <c r="AN553" s="193"/>
      <c r="AO553" s="193"/>
      <c r="AP553" s="193"/>
    </row>
    <row r="554" spans="2:42" s="180" customFormat="1">
      <c r="B554" s="138" t="s">
        <v>59</v>
      </c>
      <c r="C554" s="12" t="s">
        <v>29</v>
      </c>
      <c r="D554" s="12" t="s">
        <v>29</v>
      </c>
      <c r="E554" s="19">
        <v>4</v>
      </c>
      <c r="F554" s="277"/>
      <c r="G554" s="4"/>
      <c r="H554" s="12" t="s">
        <v>29</v>
      </c>
      <c r="I554" s="12" t="s">
        <v>29</v>
      </c>
      <c r="J554" s="19">
        <v>8</v>
      </c>
      <c r="K554" s="277"/>
      <c r="L554" s="4"/>
      <c r="M554" s="12" t="s">
        <v>29</v>
      </c>
      <c r="N554" s="12" t="s">
        <v>29</v>
      </c>
      <c r="O554" s="19">
        <v>8</v>
      </c>
      <c r="P554" s="277">
        <v>0.5</v>
      </c>
      <c r="Q554" s="4"/>
      <c r="R554" s="12" t="s">
        <v>29</v>
      </c>
      <c r="S554" s="12" t="s">
        <v>29</v>
      </c>
      <c r="T554" s="19">
        <v>8</v>
      </c>
      <c r="U554" s="277"/>
      <c r="V554" s="4"/>
      <c r="W554" s="12" t="s">
        <v>29</v>
      </c>
      <c r="X554" s="12" t="s">
        <v>29</v>
      </c>
      <c r="Y554" s="19">
        <v>8</v>
      </c>
      <c r="Z554" s="277"/>
      <c r="AA554" s="29">
        <f t="shared" si="62"/>
        <v>36</v>
      </c>
      <c r="AB554" s="298">
        <f t="shared" si="63"/>
        <v>0.5</v>
      </c>
      <c r="AC554" s="4"/>
      <c r="AD554" s="4"/>
      <c r="AE554" s="4"/>
      <c r="AF554" s="19">
        <v>8.5</v>
      </c>
      <c r="AG554" s="29">
        <f t="shared" si="64"/>
        <v>8.5</v>
      </c>
      <c r="AH554" s="4"/>
      <c r="AI554" s="255"/>
      <c r="AK554" s="407"/>
      <c r="AL554" s="193"/>
      <c r="AM554" s="193"/>
      <c r="AN554" s="193"/>
      <c r="AO554" s="193"/>
      <c r="AP554" s="193"/>
    </row>
    <row r="555" spans="2:42" s="180" customFormat="1">
      <c r="B555" s="138" t="s">
        <v>60</v>
      </c>
      <c r="C555" s="12" t="s">
        <v>29</v>
      </c>
      <c r="D555" s="12" t="s">
        <v>29</v>
      </c>
      <c r="E555" s="19">
        <v>8</v>
      </c>
      <c r="F555" s="277"/>
      <c r="G555" s="4"/>
      <c r="H555" s="12" t="s">
        <v>29</v>
      </c>
      <c r="I555" s="12" t="s">
        <v>29</v>
      </c>
      <c r="J555" s="19">
        <v>8</v>
      </c>
      <c r="K555" s="277"/>
      <c r="L555" s="4"/>
      <c r="M555" s="12" t="s">
        <v>29</v>
      </c>
      <c r="N555" s="12" t="s">
        <v>29</v>
      </c>
      <c r="O555" s="19">
        <v>8</v>
      </c>
      <c r="P555" s="277"/>
      <c r="Q555" s="4"/>
      <c r="R555" s="12" t="s">
        <v>29</v>
      </c>
      <c r="S555" s="12" t="s">
        <v>29</v>
      </c>
      <c r="T555" s="19">
        <v>8</v>
      </c>
      <c r="U555" s="277">
        <v>1.25</v>
      </c>
      <c r="V555" s="4"/>
      <c r="W555" s="12" t="s">
        <v>29</v>
      </c>
      <c r="X555" s="12" t="s">
        <v>29</v>
      </c>
      <c r="Y555" s="19">
        <v>8</v>
      </c>
      <c r="Z555" s="277"/>
      <c r="AA555" s="29">
        <f t="shared" si="62"/>
        <v>40</v>
      </c>
      <c r="AB555" s="298">
        <f t="shared" si="63"/>
        <v>1.25</v>
      </c>
      <c r="AC555" s="4"/>
      <c r="AD555" s="4"/>
      <c r="AE555" s="4"/>
      <c r="AF555" s="19"/>
      <c r="AG555" s="29">
        <f t="shared" si="64"/>
        <v>0</v>
      </c>
      <c r="AH555" s="4"/>
      <c r="AI555" s="255"/>
      <c r="AK555" s="193"/>
      <c r="AL555" s="193"/>
      <c r="AM555" s="193"/>
      <c r="AN555" s="193"/>
      <c r="AO555" s="193"/>
      <c r="AP555" s="193"/>
    </row>
    <row r="556" spans="2:42" s="180" customFormat="1">
      <c r="B556" s="63" t="s">
        <v>63</v>
      </c>
      <c r="C556" s="12" t="s">
        <v>29</v>
      </c>
      <c r="D556" s="12" t="s">
        <v>29</v>
      </c>
      <c r="E556" s="19">
        <v>8</v>
      </c>
      <c r="F556" s="277">
        <v>1</v>
      </c>
      <c r="G556" s="60"/>
      <c r="H556" s="12" t="s">
        <v>29</v>
      </c>
      <c r="I556" s="12" t="s">
        <v>29</v>
      </c>
      <c r="J556" s="19">
        <v>8</v>
      </c>
      <c r="K556" s="277">
        <v>1</v>
      </c>
      <c r="L556" s="60"/>
      <c r="M556" s="16" t="s">
        <v>29</v>
      </c>
      <c r="N556" s="16" t="s">
        <v>29</v>
      </c>
      <c r="O556" s="19">
        <v>8</v>
      </c>
      <c r="P556" s="277">
        <v>1</v>
      </c>
      <c r="Q556" s="60"/>
      <c r="R556" s="12" t="s">
        <v>29</v>
      </c>
      <c r="S556" s="12" t="s">
        <v>29</v>
      </c>
      <c r="T556" s="19">
        <v>8</v>
      </c>
      <c r="U556" s="277">
        <v>1</v>
      </c>
      <c r="V556" s="60"/>
      <c r="W556" s="12" t="s">
        <v>29</v>
      </c>
      <c r="X556" s="12" t="s">
        <v>29</v>
      </c>
      <c r="Y556" s="19">
        <v>8</v>
      </c>
      <c r="Z556" s="277">
        <v>2</v>
      </c>
      <c r="AA556" s="28">
        <f>SUM(E556+J556+O556+T556+Y556)</f>
        <v>40</v>
      </c>
      <c r="AB556" s="298">
        <f t="shared" si="63"/>
        <v>6</v>
      </c>
      <c r="AC556" s="4"/>
      <c r="AD556" s="56"/>
      <c r="AE556" s="56"/>
      <c r="AF556" s="19"/>
      <c r="AG556" s="29">
        <f>AF556</f>
        <v>0</v>
      </c>
      <c r="AH556" s="4"/>
      <c r="AI556" s="255"/>
      <c r="AK556" s="193"/>
      <c r="AL556" s="193"/>
      <c r="AM556" s="193"/>
      <c r="AN556" s="193"/>
      <c r="AO556" s="193"/>
      <c r="AP556" s="193"/>
    </row>
    <row r="557" spans="2:42" s="180" customFormat="1">
      <c r="B557" s="63" t="s">
        <v>62</v>
      </c>
      <c r="C557" s="12" t="s">
        <v>29</v>
      </c>
      <c r="D557" s="12" t="s">
        <v>29</v>
      </c>
      <c r="E557" s="19">
        <v>8</v>
      </c>
      <c r="F557" s="277"/>
      <c r="G557" s="60"/>
      <c r="H557" s="12" t="s">
        <v>29</v>
      </c>
      <c r="I557" s="16"/>
      <c r="J557" s="19">
        <v>8</v>
      </c>
      <c r="K557" s="277"/>
      <c r="L557" s="60"/>
      <c r="M557" s="16" t="s">
        <v>29</v>
      </c>
      <c r="N557" s="16" t="s">
        <v>29</v>
      </c>
      <c r="O557" s="19">
        <v>8</v>
      </c>
      <c r="P557" s="277"/>
      <c r="Q557" s="60"/>
      <c r="R557" s="12" t="s">
        <v>29</v>
      </c>
      <c r="S557" s="12" t="s">
        <v>29</v>
      </c>
      <c r="T557" s="19"/>
      <c r="U557" s="277"/>
      <c r="V557" s="60"/>
      <c r="W557" s="12" t="s">
        <v>29</v>
      </c>
      <c r="X557" s="12" t="s">
        <v>29</v>
      </c>
      <c r="Y557" s="19"/>
      <c r="Z557" s="277"/>
      <c r="AA557" s="28">
        <f>SUM(E557+J557+O557+T557+Y557)</f>
        <v>24</v>
      </c>
      <c r="AB557" s="298">
        <f t="shared" si="63"/>
        <v>0</v>
      </c>
      <c r="AC557" s="4"/>
      <c r="AD557" s="56"/>
      <c r="AE557" s="56"/>
      <c r="AF557" s="19"/>
      <c r="AG557" s="29">
        <v>0</v>
      </c>
      <c r="AH557" s="4"/>
      <c r="AI557" s="255"/>
      <c r="AK557" s="193"/>
      <c r="AL557" s="193"/>
      <c r="AM557" s="193"/>
      <c r="AN557" s="193"/>
      <c r="AO557" s="193"/>
      <c r="AP557" s="193"/>
    </row>
    <row r="558" spans="2:42" s="180" customFormat="1">
      <c r="B558" s="63" t="s">
        <v>94</v>
      </c>
      <c r="C558" s="12" t="s">
        <v>29</v>
      </c>
      <c r="D558" s="12" t="s">
        <v>29</v>
      </c>
      <c r="E558" s="19">
        <v>5</v>
      </c>
      <c r="F558" s="277"/>
      <c r="G558" s="60"/>
      <c r="H558" s="12" t="s">
        <v>29</v>
      </c>
      <c r="I558" s="12" t="s">
        <v>29</v>
      </c>
      <c r="J558" s="19">
        <v>3</v>
      </c>
      <c r="K558" s="277"/>
      <c r="L558" s="60"/>
      <c r="M558" s="16" t="s">
        <v>29</v>
      </c>
      <c r="N558" s="16" t="s">
        <v>29</v>
      </c>
      <c r="O558" s="19">
        <v>3</v>
      </c>
      <c r="P558" s="277"/>
      <c r="Q558" s="60"/>
      <c r="R558" s="12" t="s">
        <v>29</v>
      </c>
      <c r="S558" s="12" t="s">
        <v>29</v>
      </c>
      <c r="T558" s="19">
        <v>3</v>
      </c>
      <c r="U558" s="277"/>
      <c r="V558" s="60"/>
      <c r="W558" s="12" t="s">
        <v>29</v>
      </c>
      <c r="X558" s="12" t="s">
        <v>29</v>
      </c>
      <c r="Y558" s="19">
        <v>4</v>
      </c>
      <c r="Z558" s="277"/>
      <c r="AA558" s="28">
        <f>SUM(E558+J558+O558+T558+Y558)</f>
        <v>18</v>
      </c>
      <c r="AB558" s="298">
        <f t="shared" si="63"/>
        <v>0</v>
      </c>
      <c r="AC558" s="4"/>
      <c r="AD558" s="56"/>
      <c r="AE558" s="56"/>
      <c r="AF558" s="19">
        <v>5</v>
      </c>
      <c r="AG558" s="29">
        <f>AF558</f>
        <v>5</v>
      </c>
      <c r="AH558" s="4"/>
      <c r="AI558" s="255"/>
      <c r="AK558" s="193"/>
      <c r="AL558" s="193"/>
      <c r="AM558" s="193"/>
      <c r="AN558" s="193"/>
      <c r="AO558" s="193"/>
      <c r="AP558" s="193"/>
    </row>
    <row r="559" spans="2:42" s="180" customFormat="1">
      <c r="B559" s="64" t="s">
        <v>61</v>
      </c>
      <c r="C559" s="64"/>
      <c r="D559" s="64"/>
      <c r="E559" s="167">
        <f>SUM(E528:E558)</f>
        <v>173</v>
      </c>
      <c r="F559" s="277">
        <f>SUM(F528:F558)</f>
        <v>6</v>
      </c>
      <c r="G559" s="64"/>
      <c r="H559" s="64"/>
      <c r="I559" s="64"/>
      <c r="J559" s="64">
        <f>SUM(J528:J558)</f>
        <v>201</v>
      </c>
      <c r="K559" s="277">
        <f>SUM(K528:K558)</f>
        <v>11.75</v>
      </c>
      <c r="L559" s="64"/>
      <c r="M559" s="64"/>
      <c r="N559" s="64"/>
      <c r="O559" s="167">
        <f>SUM(O528:O558)</f>
        <v>202.75</v>
      </c>
      <c r="P559" s="277">
        <f>SUM(P528:P558)</f>
        <v>15.75</v>
      </c>
      <c r="Q559" s="64"/>
      <c r="R559" s="64"/>
      <c r="S559" s="64"/>
      <c r="T559" s="167">
        <f>SUM(T528:T558)</f>
        <v>177</v>
      </c>
      <c r="U559" s="277">
        <f>SUM(U528:U558)</f>
        <v>8.75</v>
      </c>
      <c r="V559" s="64"/>
      <c r="W559" s="64"/>
      <c r="X559" s="64"/>
      <c r="Y559" s="167">
        <f>SUM(Y528:Y558)</f>
        <v>163.5</v>
      </c>
      <c r="Z559" s="277">
        <f>SUM(Z528:Z558)</f>
        <v>17.5</v>
      </c>
      <c r="AA559" s="370">
        <f>SUM(AA528:AA558)</f>
        <v>917.25</v>
      </c>
      <c r="AB559" s="289">
        <f>SUM(AB528:AB558)</f>
        <v>59.75</v>
      </c>
      <c r="AC559" s="4"/>
      <c r="AD559" s="64"/>
      <c r="AE559" s="64"/>
      <c r="AF559" s="167">
        <f>SUM(AF528:AF558)</f>
        <v>13.5</v>
      </c>
      <c r="AG559" s="370">
        <f>SUM(AG528:AG558)</f>
        <v>13.5</v>
      </c>
      <c r="AH559" s="4"/>
      <c r="AI559" s="255"/>
      <c r="AK559" s="193"/>
      <c r="AL559" s="193"/>
      <c r="AM559" s="193"/>
      <c r="AN559" s="193"/>
      <c r="AO559" s="193"/>
      <c r="AP559" s="193"/>
    </row>
    <row r="560" spans="2:42" s="180" customFormat="1">
      <c r="B560" s="63" t="s">
        <v>64</v>
      </c>
      <c r="C560" s="56"/>
      <c r="D560" s="56"/>
      <c r="E560" s="19">
        <v>8</v>
      </c>
      <c r="F560" s="291"/>
      <c r="G560" s="60"/>
      <c r="H560" s="56"/>
      <c r="I560" s="56"/>
      <c r="J560" s="19">
        <v>8</v>
      </c>
      <c r="K560" s="291"/>
      <c r="L560" s="60"/>
      <c r="M560" s="56"/>
      <c r="N560" s="56"/>
      <c r="O560" s="19"/>
      <c r="P560" s="19"/>
      <c r="Q560" s="60"/>
      <c r="R560" s="56"/>
      <c r="S560" s="56"/>
      <c r="T560" s="19"/>
      <c r="U560" s="19"/>
      <c r="V560" s="60"/>
      <c r="W560" s="56"/>
      <c r="X560" s="56"/>
      <c r="Y560" s="19"/>
      <c r="Z560" s="19"/>
      <c r="AA560" s="28">
        <f>SUM(E560+J560+O560+T560+Y560)</f>
        <v>16</v>
      </c>
      <c r="AB560" s="296">
        <f>Z560+U560+P560+K560+F560</f>
        <v>0</v>
      </c>
      <c r="AC560" s="4"/>
      <c r="AD560" s="56"/>
      <c r="AE560" s="56"/>
      <c r="AF560" s="19"/>
      <c r="AG560" s="29">
        <f>AF560</f>
        <v>0</v>
      </c>
      <c r="AH560" s="4"/>
      <c r="AI560" s="255"/>
      <c r="AK560" s="193"/>
      <c r="AL560" s="193"/>
      <c r="AM560" s="193"/>
      <c r="AN560" s="193"/>
      <c r="AO560" s="193"/>
      <c r="AP560" s="193"/>
    </row>
    <row r="561" spans="1:42" s="180" customFormat="1">
      <c r="B561" s="63" t="s">
        <v>110</v>
      </c>
      <c r="C561" s="56"/>
      <c r="D561" s="56"/>
      <c r="E561" s="19">
        <v>2</v>
      </c>
      <c r="F561" s="291">
        <v>0</v>
      </c>
      <c r="G561" s="60"/>
      <c r="H561" s="56"/>
      <c r="I561" s="56"/>
      <c r="J561" s="19">
        <v>4</v>
      </c>
      <c r="K561" s="291">
        <v>0</v>
      </c>
      <c r="L561" s="60"/>
      <c r="M561" s="56"/>
      <c r="N561" s="56"/>
      <c r="O561" s="19">
        <v>8</v>
      </c>
      <c r="P561" s="19">
        <v>1</v>
      </c>
      <c r="Q561" s="60"/>
      <c r="R561" s="56"/>
      <c r="S561" s="56"/>
      <c r="T561" s="19">
        <v>8</v>
      </c>
      <c r="U561" s="19">
        <v>0</v>
      </c>
      <c r="V561" s="60"/>
      <c r="W561" s="56"/>
      <c r="X561" s="56"/>
      <c r="Y561" s="19">
        <v>8</v>
      </c>
      <c r="Z561" s="19">
        <v>0.5</v>
      </c>
      <c r="AA561" s="28">
        <f>SUM(E561+J561+O561+T561+Y561)</f>
        <v>30</v>
      </c>
      <c r="AB561" s="296">
        <f>Z561+U561+P561+K561+F561</f>
        <v>1.5</v>
      </c>
      <c r="AC561" s="4"/>
      <c r="AD561" s="56"/>
      <c r="AE561" s="56"/>
      <c r="AF561" s="19"/>
      <c r="AG561" s="29">
        <f>AF561</f>
        <v>0</v>
      </c>
      <c r="AH561" s="4"/>
      <c r="AI561" s="255"/>
      <c r="AK561" s="193"/>
      <c r="AL561" s="193"/>
      <c r="AM561" s="193"/>
      <c r="AN561" s="193"/>
      <c r="AO561" s="193"/>
      <c r="AP561" s="193"/>
    </row>
    <row r="562" spans="1:42" s="180" customFormat="1">
      <c r="B562" s="71" t="s">
        <v>66</v>
      </c>
      <c r="C562" s="371"/>
      <c r="D562" s="371"/>
      <c r="E562" s="71">
        <f t="shared" ref="E562:AB562" si="73">SUM(E560:E561)</f>
        <v>10</v>
      </c>
      <c r="F562" s="71">
        <f t="shared" si="73"/>
        <v>0</v>
      </c>
      <c r="G562" s="71">
        <f t="shared" si="73"/>
        <v>0</v>
      </c>
      <c r="H562" s="71">
        <f t="shared" si="73"/>
        <v>0</v>
      </c>
      <c r="I562" s="71">
        <f t="shared" si="73"/>
        <v>0</v>
      </c>
      <c r="J562" s="71">
        <f t="shared" si="73"/>
        <v>12</v>
      </c>
      <c r="K562" s="71">
        <f t="shared" si="73"/>
        <v>0</v>
      </c>
      <c r="L562" s="71">
        <f t="shared" si="73"/>
        <v>0</v>
      </c>
      <c r="M562" s="71">
        <f t="shared" si="73"/>
        <v>0</v>
      </c>
      <c r="N562" s="71">
        <f t="shared" si="73"/>
        <v>0</v>
      </c>
      <c r="O562" s="71">
        <f t="shared" si="73"/>
        <v>8</v>
      </c>
      <c r="P562" s="71">
        <f t="shared" si="73"/>
        <v>1</v>
      </c>
      <c r="Q562" s="71">
        <f t="shared" si="73"/>
        <v>0</v>
      </c>
      <c r="R562" s="71">
        <f t="shared" si="73"/>
        <v>0</v>
      </c>
      <c r="S562" s="71">
        <f t="shared" si="73"/>
        <v>0</v>
      </c>
      <c r="T562" s="71">
        <f t="shared" si="73"/>
        <v>8</v>
      </c>
      <c r="U562" s="71">
        <f t="shared" si="73"/>
        <v>0</v>
      </c>
      <c r="V562" s="71">
        <f t="shared" si="73"/>
        <v>0</v>
      </c>
      <c r="W562" s="71">
        <f t="shared" si="73"/>
        <v>0</v>
      </c>
      <c r="X562" s="71">
        <f t="shared" si="73"/>
        <v>0</v>
      </c>
      <c r="Y562" s="71">
        <f t="shared" si="73"/>
        <v>8</v>
      </c>
      <c r="Z562" s="71">
        <f t="shared" si="73"/>
        <v>0.5</v>
      </c>
      <c r="AA562" s="370">
        <f t="shared" si="73"/>
        <v>46</v>
      </c>
      <c r="AB562" s="370">
        <f t="shared" si="73"/>
        <v>1.5</v>
      </c>
      <c r="AC562" s="4"/>
      <c r="AG562" s="370">
        <f>SUM(AG560:AG561)</f>
        <v>0</v>
      </c>
      <c r="AH562" s="4"/>
      <c r="AI562" s="255"/>
      <c r="AK562" s="193"/>
      <c r="AL562" s="193"/>
      <c r="AM562" s="193"/>
      <c r="AN562" s="193"/>
      <c r="AO562" s="193"/>
      <c r="AP562" s="193"/>
    </row>
    <row r="563" spans="1:42" s="180" customFormat="1">
      <c r="B563" s="217" t="s">
        <v>67</v>
      </c>
      <c r="C563" s="207">
        <f>C564+C565</f>
        <v>85</v>
      </c>
      <c r="D563" s="207"/>
      <c r="E563" s="209"/>
      <c r="F563" s="209"/>
      <c r="G563" s="207"/>
      <c r="H563" s="209"/>
      <c r="I563" s="209"/>
      <c r="J563" s="209"/>
      <c r="K563" s="209"/>
      <c r="L563" s="207"/>
      <c r="M563" s="207"/>
      <c r="N563" s="207"/>
      <c r="O563" s="207"/>
      <c r="P563" s="209"/>
      <c r="Q563" s="207"/>
      <c r="R563" s="207"/>
      <c r="S563" s="207"/>
      <c r="T563" s="207"/>
      <c r="U563" s="209"/>
      <c r="V563" s="207"/>
      <c r="W563" s="207"/>
      <c r="X563" s="207"/>
      <c r="Y563" s="210"/>
      <c r="Z563" s="209"/>
      <c r="AA563" s="211"/>
      <c r="AB563" s="209"/>
      <c r="AC563" s="211"/>
      <c r="AD563" s="211"/>
      <c r="AE563" s="211"/>
      <c r="AF563" s="211"/>
      <c r="AG563" s="211"/>
      <c r="AH563" s="4"/>
      <c r="AI563" s="255"/>
      <c r="AK563" s="193"/>
      <c r="AL563" s="193"/>
      <c r="AM563" s="193"/>
      <c r="AN563" s="193"/>
      <c r="AO563" s="193"/>
      <c r="AP563" s="193"/>
    </row>
    <row r="564" spans="1:42" s="180" customFormat="1">
      <c r="B564" s="238" t="s">
        <v>68</v>
      </c>
      <c r="C564" s="239">
        <f>17+17+15+19+17</f>
        <v>85</v>
      </c>
      <c r="D564" s="207"/>
      <c r="E564" s="209"/>
      <c r="F564" s="209"/>
      <c r="G564" s="207"/>
      <c r="H564" s="209"/>
      <c r="I564" s="209"/>
      <c r="J564" s="209"/>
      <c r="K564" s="209"/>
      <c r="L564" s="207"/>
      <c r="M564" s="207"/>
      <c r="N564" s="207"/>
      <c r="O564" s="207"/>
      <c r="P564" s="209"/>
      <c r="Q564" s="207"/>
      <c r="R564" s="207"/>
      <c r="S564" s="207"/>
      <c r="T564" s="207"/>
      <c r="U564" s="209"/>
      <c r="V564" s="207"/>
      <c r="W564" s="207"/>
      <c r="X564" s="207"/>
      <c r="Y564" s="210"/>
      <c r="Z564" s="209"/>
      <c r="AA564" s="211"/>
      <c r="AB564" s="209"/>
      <c r="AC564" s="211"/>
      <c r="AD564" s="211"/>
      <c r="AE564" s="211"/>
      <c r="AF564" s="211"/>
      <c r="AG564" s="211"/>
      <c r="AH564" s="4"/>
      <c r="AI564" s="255"/>
      <c r="AK564" s="193"/>
      <c r="AL564" s="193"/>
      <c r="AM564" s="193"/>
      <c r="AN564" s="193"/>
      <c r="AO564" s="193"/>
      <c r="AP564" s="193"/>
    </row>
    <row r="565" spans="1:42" s="180" customFormat="1">
      <c r="B565" s="238" t="s">
        <v>69</v>
      </c>
      <c r="C565" s="239"/>
      <c r="D565" s="207"/>
      <c r="E565" s="209"/>
      <c r="F565" s="209"/>
      <c r="G565" s="207"/>
      <c r="H565" s="209"/>
      <c r="I565" s="209"/>
      <c r="J565" s="209"/>
      <c r="K565" s="209"/>
      <c r="L565" s="207"/>
      <c r="M565" s="207"/>
      <c r="N565" s="207"/>
      <c r="O565" s="207"/>
      <c r="P565" s="209"/>
      <c r="Q565" s="207"/>
      <c r="R565" s="207"/>
      <c r="S565" s="207"/>
      <c r="T565" s="207"/>
      <c r="U565" s="209"/>
      <c r="V565" s="207"/>
      <c r="W565" s="207"/>
      <c r="X565" s="207"/>
      <c r="Y565" s="210"/>
      <c r="Z565" s="209"/>
      <c r="AA565" s="211"/>
      <c r="AB565" s="209"/>
      <c r="AC565" s="211"/>
      <c r="AD565" s="211"/>
      <c r="AE565" s="211"/>
      <c r="AF565" s="211"/>
      <c r="AG565" s="211"/>
      <c r="AH565" s="4"/>
      <c r="AI565" s="255"/>
      <c r="AK565" s="193"/>
      <c r="AL565" s="193"/>
      <c r="AM565" s="193"/>
      <c r="AN565" s="193"/>
      <c r="AO565" s="193"/>
      <c r="AP565" s="193"/>
    </row>
    <row r="566" spans="1:42" s="313" customFormat="1">
      <c r="B566" s="412"/>
      <c r="C566" s="413"/>
      <c r="D566" s="414"/>
      <c r="E566" s="415"/>
      <c r="F566" s="415"/>
      <c r="G566" s="414"/>
      <c r="H566" s="415"/>
      <c r="I566" s="415"/>
      <c r="J566" s="415"/>
      <c r="K566" s="415"/>
      <c r="L566" s="414"/>
      <c r="M566" s="414"/>
      <c r="N566" s="414"/>
      <c r="O566" s="414"/>
      <c r="P566" s="415"/>
      <c r="Q566" s="414"/>
      <c r="R566" s="414"/>
      <c r="S566" s="414"/>
      <c r="T566" s="414"/>
      <c r="U566" s="415"/>
      <c r="V566" s="414"/>
      <c r="W566" s="414"/>
      <c r="X566" s="414"/>
      <c r="Y566" s="416"/>
      <c r="Z566" s="415"/>
      <c r="AA566" s="417"/>
      <c r="AB566" s="415"/>
      <c r="AC566" s="417"/>
      <c r="AD566" s="417"/>
      <c r="AE566" s="417"/>
      <c r="AF566" s="417"/>
      <c r="AG566" s="417"/>
      <c r="AH566" s="374"/>
    </row>
    <row r="567" spans="1:42" s="255" customFormat="1">
      <c r="A567" s="228"/>
      <c r="B567" s="229"/>
      <c r="C567" s="230"/>
      <c r="D567" s="230"/>
      <c r="E567" s="232"/>
      <c r="F567" s="232"/>
      <c r="G567" s="230"/>
      <c r="H567" s="232"/>
      <c r="I567" s="232"/>
      <c r="J567" s="232"/>
      <c r="K567" s="232"/>
      <c r="L567" s="230"/>
      <c r="M567" s="230"/>
      <c r="N567" s="230"/>
      <c r="O567" s="230"/>
      <c r="P567" s="232"/>
      <c r="Q567" s="230"/>
      <c r="R567" s="230"/>
      <c r="S567" s="230"/>
      <c r="T567" s="230"/>
      <c r="U567" s="232"/>
      <c r="V567" s="230"/>
      <c r="W567" s="230"/>
      <c r="X567" s="230"/>
      <c r="Y567" s="233"/>
      <c r="Z567" s="232"/>
      <c r="AA567" s="234"/>
      <c r="AB567" s="232"/>
      <c r="AC567" s="373"/>
      <c r="AD567" s="236"/>
      <c r="AH567" s="373"/>
    </row>
    <row r="568" spans="1:42" s="193" customFormat="1">
      <c r="A568" s="224"/>
      <c r="B568" s="214"/>
      <c r="C568" s="364"/>
      <c r="D568" s="364"/>
      <c r="E568" s="214"/>
      <c r="F568" s="214"/>
      <c r="G568" s="364"/>
      <c r="H568" s="214"/>
      <c r="I568" s="214"/>
      <c r="J568" s="214"/>
      <c r="K568" s="214"/>
      <c r="L568" s="364"/>
      <c r="M568" s="364"/>
      <c r="N568" s="364"/>
      <c r="O568" s="364"/>
      <c r="P568" s="214"/>
      <c r="Q568" s="364"/>
      <c r="R568" s="364"/>
      <c r="S568" s="364"/>
      <c r="T568" s="364"/>
      <c r="U568" s="214"/>
      <c r="V568" s="364"/>
      <c r="W568" s="364"/>
      <c r="X568" s="364"/>
      <c r="Y568" s="216"/>
      <c r="Z568" s="214"/>
      <c r="AA568" s="225"/>
      <c r="AB568" s="214"/>
      <c r="AC568" s="189"/>
      <c r="AH568" s="4"/>
      <c r="AI568" s="255"/>
      <c r="AJ568" s="180"/>
    </row>
    <row r="569" spans="1:42" s="180" customFormat="1">
      <c r="B569" s="1518" t="s">
        <v>18</v>
      </c>
      <c r="C569" s="1519">
        <v>45271</v>
      </c>
      <c r="D569" s="1519"/>
      <c r="E569" s="1519"/>
      <c r="F569" s="1519"/>
      <c r="G569" s="365"/>
      <c r="H569" s="1519">
        <v>45272</v>
      </c>
      <c r="I569" s="1519"/>
      <c r="J569" s="1519"/>
      <c r="K569" s="1519"/>
      <c r="L569" s="365"/>
      <c r="M569" s="1519">
        <v>45273</v>
      </c>
      <c r="N569" s="1519"/>
      <c r="O569" s="1519"/>
      <c r="P569" s="1519"/>
      <c r="Q569" s="365"/>
      <c r="R569" s="1519">
        <v>45274</v>
      </c>
      <c r="S569" s="1519"/>
      <c r="T569" s="1519"/>
      <c r="U569" s="1519"/>
      <c r="V569" s="365"/>
      <c r="W569" s="1519">
        <v>45275</v>
      </c>
      <c r="X569" s="1519"/>
      <c r="Y569" s="1519"/>
      <c r="Z569" s="1519"/>
      <c r="AA569" s="1517" t="s">
        <v>19</v>
      </c>
      <c r="AB569" s="1517" t="s">
        <v>20</v>
      </c>
      <c r="AC569" s="4"/>
      <c r="AD569" s="1519">
        <v>45276</v>
      </c>
      <c r="AE569" s="1519"/>
      <c r="AF569" s="1519"/>
      <c r="AG569" s="1517" t="s">
        <v>21</v>
      </c>
      <c r="AH569" s="4"/>
      <c r="AI569" s="255"/>
      <c r="AK569" s="194" t="s">
        <v>84</v>
      </c>
      <c r="AL569" s="366"/>
      <c r="AM569" s="366"/>
      <c r="AN569" s="366"/>
      <c r="AO569" s="366"/>
      <c r="AP569" s="366"/>
    </row>
    <row r="570" spans="1:42" s="367" customFormat="1">
      <c r="B570" s="1518"/>
      <c r="C570" s="21" t="s">
        <v>23</v>
      </c>
      <c r="D570" s="21" t="s">
        <v>24</v>
      </c>
      <c r="E570" s="205" t="s">
        <v>25</v>
      </c>
      <c r="F570" s="18" t="s">
        <v>14</v>
      </c>
      <c r="G570" s="4"/>
      <c r="H570" s="21" t="s">
        <v>23</v>
      </c>
      <c r="I570" s="21" t="s">
        <v>24</v>
      </c>
      <c r="J570" s="18" t="s">
        <v>25</v>
      </c>
      <c r="K570" s="18" t="s">
        <v>14</v>
      </c>
      <c r="L570" s="4"/>
      <c r="M570" s="21" t="s">
        <v>23</v>
      </c>
      <c r="N570" s="21" t="s">
        <v>24</v>
      </c>
      <c r="O570" s="18" t="s">
        <v>25</v>
      </c>
      <c r="P570" s="18" t="s">
        <v>14</v>
      </c>
      <c r="Q570" s="4"/>
      <c r="R570" s="21" t="s">
        <v>23</v>
      </c>
      <c r="S570" s="21" t="s">
        <v>24</v>
      </c>
      <c r="T570" s="18" t="s">
        <v>25</v>
      </c>
      <c r="U570" s="18" t="s">
        <v>14</v>
      </c>
      <c r="V570" s="4"/>
      <c r="W570" s="21" t="s">
        <v>23</v>
      </c>
      <c r="X570" s="21" t="s">
        <v>24</v>
      </c>
      <c r="Y570" s="18" t="s">
        <v>25</v>
      </c>
      <c r="Z570" s="18" t="s">
        <v>14</v>
      </c>
      <c r="AA570" s="1517"/>
      <c r="AB570" s="1517"/>
      <c r="AC570" s="4"/>
      <c r="AD570" s="21" t="s">
        <v>23</v>
      </c>
      <c r="AE570" s="21" t="s">
        <v>24</v>
      </c>
      <c r="AF570" s="18" t="s">
        <v>25</v>
      </c>
      <c r="AG570" s="1517"/>
      <c r="AH570" s="175"/>
      <c r="AI570" s="368"/>
      <c r="AK570" s="188" t="s">
        <v>26</v>
      </c>
      <c r="AL570" s="196">
        <f>AA604</f>
        <v>786</v>
      </c>
      <c r="AM570" s="193"/>
      <c r="AN570" s="193"/>
      <c r="AO570" s="193"/>
      <c r="AP570" s="193"/>
    </row>
    <row r="571" spans="1:42" s="367" customFormat="1">
      <c r="B571" s="171" t="s">
        <v>72</v>
      </c>
      <c r="C571" s="172">
        <v>0.375</v>
      </c>
      <c r="D571" s="172">
        <v>0.25</v>
      </c>
      <c r="E571" s="173">
        <v>8</v>
      </c>
      <c r="F571" s="277"/>
      <c r="G571" s="4"/>
      <c r="H571" s="172">
        <v>0.375</v>
      </c>
      <c r="I571" s="172">
        <v>0.25</v>
      </c>
      <c r="J571" s="173">
        <v>8</v>
      </c>
      <c r="K571" s="277"/>
      <c r="L571" s="4"/>
      <c r="M571" s="47">
        <v>0.36458333333333331</v>
      </c>
      <c r="N571" s="47">
        <v>0.25</v>
      </c>
      <c r="O571" s="173">
        <v>8</v>
      </c>
      <c r="P571" s="277">
        <v>0.25</v>
      </c>
      <c r="Q571" s="4"/>
      <c r="R571" s="47">
        <v>0.36458333333333331</v>
      </c>
      <c r="S571" s="47">
        <v>0.35416666666666669</v>
      </c>
      <c r="T571" s="19">
        <v>8</v>
      </c>
      <c r="U571" s="277">
        <v>2.5</v>
      </c>
      <c r="V571" s="4"/>
      <c r="W571" s="47">
        <v>0.36458333333333331</v>
      </c>
      <c r="X571" s="47">
        <v>0.20833333333333334</v>
      </c>
      <c r="Y571" s="19">
        <v>7.25</v>
      </c>
      <c r="Z571" s="277"/>
      <c r="AA571" s="28">
        <f t="shared" ref="AA571:AA600" si="74">(E571+J571+O571+T571+Y571)</f>
        <v>39.25</v>
      </c>
      <c r="AB571" s="298">
        <f t="shared" ref="AB571:AB588" si="75">Z571+U571+P571+K571+F571</f>
        <v>2.75</v>
      </c>
      <c r="AC571" s="4"/>
      <c r="AD571" s="175"/>
      <c r="AE571" s="175"/>
      <c r="AF571" s="173"/>
      <c r="AG571" s="28">
        <f t="shared" ref="AG571:AG600" si="76">AF571</f>
        <v>0</v>
      </c>
      <c r="AH571" s="175"/>
      <c r="AI571" s="368"/>
      <c r="AK571" s="188" t="s">
        <v>30</v>
      </c>
      <c r="AL571" s="196">
        <f>AB604</f>
        <v>20</v>
      </c>
      <c r="AM571" s="193"/>
      <c r="AN571" s="193"/>
      <c r="AO571" s="193"/>
      <c r="AP571" s="193"/>
    </row>
    <row r="572" spans="1:42" s="367" customFormat="1">
      <c r="B572" s="171" t="s">
        <v>71</v>
      </c>
      <c r="C572" s="172">
        <v>0.35416666666666669</v>
      </c>
      <c r="D572" s="172">
        <v>0.25</v>
      </c>
      <c r="E572" s="173">
        <v>8</v>
      </c>
      <c r="F572" s="277">
        <v>0.5</v>
      </c>
      <c r="G572" s="4"/>
      <c r="H572" s="172">
        <v>0.34375</v>
      </c>
      <c r="I572" s="172">
        <v>0.25</v>
      </c>
      <c r="J572" s="173">
        <v>8</v>
      </c>
      <c r="K572" s="277">
        <v>0.75</v>
      </c>
      <c r="L572" s="4"/>
      <c r="M572" s="172">
        <v>0.33333333333333331</v>
      </c>
      <c r="N572" s="47">
        <v>0.25</v>
      </c>
      <c r="O572" s="173">
        <v>8</v>
      </c>
      <c r="P572" s="277">
        <v>1</v>
      </c>
      <c r="Q572" s="4"/>
      <c r="R572" s="47">
        <v>0.33333333333333331</v>
      </c>
      <c r="S572" s="47">
        <v>0.35416666666666669</v>
      </c>
      <c r="T572" s="19">
        <v>8</v>
      </c>
      <c r="U572" s="277">
        <v>3.5</v>
      </c>
      <c r="V572" s="4"/>
      <c r="W572" s="47">
        <v>0.36458333333333331</v>
      </c>
      <c r="X572" s="47">
        <v>0.20833333333333334</v>
      </c>
      <c r="Y572" s="19">
        <v>7.25</v>
      </c>
      <c r="Z572" s="277"/>
      <c r="AA572" s="28">
        <f t="shared" si="74"/>
        <v>39.25</v>
      </c>
      <c r="AB572" s="298">
        <f t="shared" si="75"/>
        <v>5.75</v>
      </c>
      <c r="AC572" s="4"/>
      <c r="AD572" s="175"/>
      <c r="AE572" s="175"/>
      <c r="AF572" s="173"/>
      <c r="AG572" s="28">
        <f t="shared" si="76"/>
        <v>0</v>
      </c>
      <c r="AH572" s="175"/>
      <c r="AI572" s="368"/>
      <c r="AK572" s="188" t="s">
        <v>32</v>
      </c>
      <c r="AL572" s="196">
        <f>AG604</f>
        <v>0</v>
      </c>
      <c r="AM572" s="193"/>
      <c r="AN572" s="193"/>
      <c r="AO572" s="193"/>
      <c r="AP572" s="193"/>
    </row>
    <row r="573" spans="1:42" s="401" customFormat="1">
      <c r="B573" s="8" t="s">
        <v>46</v>
      </c>
      <c r="C573" s="314">
        <v>0.375</v>
      </c>
      <c r="D573" s="314">
        <v>0.25</v>
      </c>
      <c r="E573" s="19">
        <v>8</v>
      </c>
      <c r="F573" s="277"/>
      <c r="G573" s="399"/>
      <c r="H573" s="314">
        <v>0.35416666666666669</v>
      </c>
      <c r="I573" s="314">
        <v>0.25</v>
      </c>
      <c r="J573" s="19">
        <v>8</v>
      </c>
      <c r="K573" s="277"/>
      <c r="L573" s="399"/>
      <c r="M573" s="47">
        <v>0.375</v>
      </c>
      <c r="N573" s="47">
        <v>0.27083333333333331</v>
      </c>
      <c r="O573" s="319">
        <v>8</v>
      </c>
      <c r="P573" s="277">
        <v>0.5</v>
      </c>
      <c r="Q573" s="399"/>
      <c r="R573" s="47">
        <v>0.36458333333333331</v>
      </c>
      <c r="S573" s="47">
        <v>0.25</v>
      </c>
      <c r="T573" s="19">
        <v>8</v>
      </c>
      <c r="U573" s="277"/>
      <c r="V573" s="399"/>
      <c r="W573" s="47">
        <v>0.375</v>
      </c>
      <c r="X573" s="47">
        <v>0.20833333333333334</v>
      </c>
      <c r="Y573" s="19">
        <v>7</v>
      </c>
      <c r="Z573" s="277"/>
      <c r="AA573" s="29">
        <f t="shared" si="74"/>
        <v>39</v>
      </c>
      <c r="AB573" s="298">
        <f t="shared" si="75"/>
        <v>0.5</v>
      </c>
      <c r="AC573" s="399"/>
      <c r="AD573" s="345"/>
      <c r="AE573" s="345"/>
      <c r="AF573" s="346"/>
      <c r="AG573" s="29">
        <f t="shared" si="76"/>
        <v>0</v>
      </c>
      <c r="AH573" s="399"/>
      <c r="AI573" s="402"/>
      <c r="AK573" s="403" t="s">
        <v>34</v>
      </c>
      <c r="AL573" s="404">
        <f>AA607</f>
        <v>36</v>
      </c>
      <c r="AM573" s="405"/>
      <c r="AN573" s="405"/>
      <c r="AO573" s="405"/>
      <c r="AP573" s="405"/>
    </row>
    <row r="574" spans="1:42" s="180" customFormat="1">
      <c r="B574" s="13" t="s">
        <v>35</v>
      </c>
      <c r="C574" s="47">
        <v>0</v>
      </c>
      <c r="D574" s="47">
        <v>0</v>
      </c>
      <c r="E574" s="319">
        <v>0</v>
      </c>
      <c r="F574" s="277"/>
      <c r="G574" s="175"/>
      <c r="H574" s="4">
        <v>0</v>
      </c>
      <c r="I574" s="4">
        <v>0</v>
      </c>
      <c r="J574" s="319">
        <v>0</v>
      </c>
      <c r="K574" s="277"/>
      <c r="L574" s="175"/>
      <c r="M574" s="4">
        <v>0</v>
      </c>
      <c r="N574" s="4">
        <v>0</v>
      </c>
      <c r="O574" s="319">
        <v>0</v>
      </c>
      <c r="P574" s="277"/>
      <c r="Q574" s="175"/>
      <c r="R574" s="4">
        <v>0</v>
      </c>
      <c r="S574" s="4">
        <v>0</v>
      </c>
      <c r="T574" s="19">
        <v>0</v>
      </c>
      <c r="U574" s="277"/>
      <c r="V574" s="175"/>
      <c r="W574" s="4">
        <v>0</v>
      </c>
      <c r="X574" s="4">
        <v>0</v>
      </c>
      <c r="Y574" s="19">
        <v>0</v>
      </c>
      <c r="Z574" s="277"/>
      <c r="AA574" s="344">
        <f t="shared" si="74"/>
        <v>0</v>
      </c>
      <c r="AB574" s="298">
        <f t="shared" si="75"/>
        <v>0</v>
      </c>
      <c r="AC574" s="175"/>
      <c r="AD574" s="345"/>
      <c r="AE574" s="345"/>
      <c r="AF574" s="346"/>
      <c r="AG574" s="344">
        <f t="shared" si="76"/>
        <v>0</v>
      </c>
      <c r="AH574" s="4"/>
      <c r="AI574" s="255"/>
      <c r="AK574" s="188" t="s">
        <v>36</v>
      </c>
      <c r="AL574" s="196">
        <f>AB607</f>
        <v>1</v>
      </c>
      <c r="AM574" s="193"/>
      <c r="AN574" s="193"/>
      <c r="AO574" s="193"/>
      <c r="AP574" s="193"/>
    </row>
    <row r="575" spans="1:42" s="367" customFormat="1">
      <c r="B575" s="13" t="s">
        <v>37</v>
      </c>
      <c r="C575" s="47">
        <v>0</v>
      </c>
      <c r="D575" s="47">
        <v>0</v>
      </c>
      <c r="E575" s="319">
        <v>0</v>
      </c>
      <c r="F575" s="277"/>
      <c r="G575" s="175"/>
      <c r="H575" s="47">
        <v>0.375</v>
      </c>
      <c r="I575" s="314">
        <v>0.25</v>
      </c>
      <c r="J575" s="319">
        <v>8</v>
      </c>
      <c r="K575" s="277"/>
      <c r="L575" s="175"/>
      <c r="M575" s="47">
        <v>0</v>
      </c>
      <c r="N575" s="47">
        <v>0</v>
      </c>
      <c r="O575" s="319">
        <v>0</v>
      </c>
      <c r="P575" s="277"/>
      <c r="Q575" s="175"/>
      <c r="R575" s="47">
        <v>0</v>
      </c>
      <c r="S575" s="4">
        <v>0</v>
      </c>
      <c r="T575" s="19">
        <v>0</v>
      </c>
      <c r="U575" s="277"/>
      <c r="V575" s="175"/>
      <c r="W575" s="4">
        <v>0</v>
      </c>
      <c r="X575" s="4">
        <v>0</v>
      </c>
      <c r="Y575" s="19">
        <v>0</v>
      </c>
      <c r="Z575" s="277"/>
      <c r="AA575" s="344">
        <f t="shared" si="74"/>
        <v>8</v>
      </c>
      <c r="AB575" s="298">
        <f t="shared" si="75"/>
        <v>0</v>
      </c>
      <c r="AC575" s="175"/>
      <c r="AD575" s="345"/>
      <c r="AE575" s="345"/>
      <c r="AF575" s="346"/>
      <c r="AG575" s="344">
        <f t="shared" si="76"/>
        <v>0</v>
      </c>
      <c r="AH575" s="175"/>
      <c r="AI575" s="368"/>
      <c r="AK575" s="188" t="s">
        <v>38</v>
      </c>
      <c r="AL575" s="196">
        <f>AG607</f>
        <v>0</v>
      </c>
      <c r="AM575" s="193"/>
      <c r="AN575" s="193"/>
      <c r="AO575" s="193"/>
      <c r="AP575" s="193"/>
    </row>
    <row r="576" spans="1:42" s="180" customFormat="1">
      <c r="B576" s="13" t="s">
        <v>39</v>
      </c>
      <c r="C576" s="47">
        <v>0</v>
      </c>
      <c r="D576" s="47">
        <v>0</v>
      </c>
      <c r="E576" s="19">
        <v>0</v>
      </c>
      <c r="F576" s="277"/>
      <c r="G576" s="4"/>
      <c r="H576" s="47">
        <v>0.40625</v>
      </c>
      <c r="I576" s="314">
        <v>0.25</v>
      </c>
      <c r="J576" s="319">
        <v>7.25</v>
      </c>
      <c r="K576" s="277"/>
      <c r="L576" s="4"/>
      <c r="M576" s="47">
        <v>0.39583333333333331</v>
      </c>
      <c r="N576" s="47">
        <v>0.27083333333333331</v>
      </c>
      <c r="O576" s="319">
        <v>8</v>
      </c>
      <c r="P576" s="277"/>
      <c r="Q576" s="4"/>
      <c r="R576" s="47">
        <v>0.38541666666666669</v>
      </c>
      <c r="S576" s="47">
        <v>0.25</v>
      </c>
      <c r="T576" s="19">
        <v>8</v>
      </c>
      <c r="U576" s="277"/>
      <c r="V576" s="4"/>
      <c r="W576" s="47">
        <v>0.38541666666666669</v>
      </c>
      <c r="X576" s="47">
        <v>0.20833333333333334</v>
      </c>
      <c r="Y576" s="19">
        <v>6.75</v>
      </c>
      <c r="Z576" s="277"/>
      <c r="AA576" s="29">
        <f t="shared" si="74"/>
        <v>30</v>
      </c>
      <c r="AB576" s="298">
        <f t="shared" si="75"/>
        <v>0</v>
      </c>
      <c r="AC576" s="4"/>
      <c r="AD576" s="345"/>
      <c r="AE576" s="345"/>
      <c r="AF576" s="346"/>
      <c r="AG576" s="29">
        <f t="shared" si="76"/>
        <v>0</v>
      </c>
      <c r="AH576" s="4"/>
      <c r="AI576" s="255"/>
      <c r="AK576" s="188" t="s">
        <v>41</v>
      </c>
      <c r="AL576" s="196">
        <f>C608</f>
        <v>89</v>
      </c>
      <c r="AM576" s="369"/>
      <c r="AN576" s="369"/>
      <c r="AO576" s="369"/>
      <c r="AP576" s="369"/>
    </row>
    <row r="577" spans="2:42" s="180" customFormat="1">
      <c r="B577" s="164" t="s">
        <v>42</v>
      </c>
      <c r="C577" s="47">
        <v>0.41666666666666669</v>
      </c>
      <c r="D577" s="314">
        <v>0.25</v>
      </c>
      <c r="E577" s="19">
        <v>7</v>
      </c>
      <c r="F577" s="277"/>
      <c r="G577" s="4"/>
      <c r="H577" s="47">
        <v>0.375</v>
      </c>
      <c r="I577" s="314">
        <v>0.25</v>
      </c>
      <c r="J577" s="319">
        <v>8</v>
      </c>
      <c r="K577" s="277"/>
      <c r="L577" s="4"/>
      <c r="M577" s="47">
        <v>0.33333333333333331</v>
      </c>
      <c r="N577" s="47">
        <v>0.25</v>
      </c>
      <c r="O577" s="319">
        <v>8</v>
      </c>
      <c r="P577" s="277"/>
      <c r="Q577" s="4"/>
      <c r="R577" s="47">
        <v>0.375</v>
      </c>
      <c r="S577" s="47">
        <v>0.25</v>
      </c>
      <c r="T577" s="19">
        <v>8</v>
      </c>
      <c r="U577" s="277"/>
      <c r="V577" s="4"/>
      <c r="W577" s="47">
        <v>0</v>
      </c>
      <c r="X577" s="4">
        <v>0</v>
      </c>
      <c r="Y577" s="19">
        <v>0</v>
      </c>
      <c r="Z577" s="277"/>
      <c r="AA577" s="29">
        <f t="shared" si="74"/>
        <v>31</v>
      </c>
      <c r="AB577" s="298">
        <f t="shared" si="75"/>
        <v>0</v>
      </c>
      <c r="AC577" s="4"/>
      <c r="AD577" s="345"/>
      <c r="AE577" s="345"/>
      <c r="AF577" s="346"/>
      <c r="AG577" s="29">
        <f t="shared" si="76"/>
        <v>0</v>
      </c>
      <c r="AH577" s="4"/>
      <c r="AI577" s="255"/>
      <c r="AK577" s="193"/>
      <c r="AL577" s="193"/>
      <c r="AM577" s="193"/>
      <c r="AN577" s="193"/>
      <c r="AO577" s="193"/>
      <c r="AP577" s="193"/>
    </row>
    <row r="578" spans="2:42" s="180" customFormat="1">
      <c r="B578" s="13" t="s">
        <v>43</v>
      </c>
      <c r="C578" s="47">
        <v>0</v>
      </c>
      <c r="D578" s="47">
        <v>0</v>
      </c>
      <c r="E578" s="19">
        <v>0</v>
      </c>
      <c r="F578" s="277"/>
      <c r="G578" s="4"/>
      <c r="H578" s="47">
        <v>0</v>
      </c>
      <c r="I578" s="314">
        <v>0</v>
      </c>
      <c r="J578" s="319">
        <v>0</v>
      </c>
      <c r="K578" s="277"/>
      <c r="L578" s="4"/>
      <c r="M578" s="47">
        <v>0</v>
      </c>
      <c r="N578" s="47">
        <v>0</v>
      </c>
      <c r="O578" s="319">
        <v>0</v>
      </c>
      <c r="P578" s="277"/>
      <c r="Q578" s="4"/>
      <c r="R578" s="47">
        <v>0</v>
      </c>
      <c r="S578" s="4">
        <v>0</v>
      </c>
      <c r="T578" s="19">
        <v>0</v>
      </c>
      <c r="U578" s="277"/>
      <c r="V578" s="4"/>
      <c r="W578" s="47">
        <v>0</v>
      </c>
      <c r="X578" s="4">
        <v>0</v>
      </c>
      <c r="Y578" s="19">
        <v>0</v>
      </c>
      <c r="Z578" s="277"/>
      <c r="AA578" s="29">
        <f t="shared" si="74"/>
        <v>0</v>
      </c>
      <c r="AB578" s="298">
        <f t="shared" si="75"/>
        <v>0</v>
      </c>
      <c r="AC578" s="4"/>
      <c r="AD578" s="345"/>
      <c r="AE578" s="345"/>
      <c r="AF578" s="346"/>
      <c r="AG578" s="29">
        <f t="shared" si="76"/>
        <v>0</v>
      </c>
      <c r="AH578" s="4"/>
      <c r="AI578" s="255"/>
      <c r="AK578" s="193"/>
      <c r="AL578" s="193"/>
      <c r="AM578" s="193"/>
      <c r="AN578" s="193"/>
      <c r="AO578" s="193"/>
      <c r="AP578" s="193"/>
    </row>
    <row r="579" spans="2:42" s="180" customFormat="1">
      <c r="B579" s="13" t="s">
        <v>44</v>
      </c>
      <c r="C579" s="47">
        <v>0.39583333333333331</v>
      </c>
      <c r="D579" s="314">
        <v>0.25</v>
      </c>
      <c r="E579" s="19">
        <v>7.5</v>
      </c>
      <c r="F579" s="277"/>
      <c r="G579" s="4"/>
      <c r="H579" s="47">
        <v>0.375</v>
      </c>
      <c r="I579" s="314">
        <v>0.25</v>
      </c>
      <c r="J579" s="319">
        <v>8</v>
      </c>
      <c r="K579" s="277"/>
      <c r="L579" s="4"/>
      <c r="M579" s="47">
        <v>0.375</v>
      </c>
      <c r="N579" s="47">
        <v>0.25</v>
      </c>
      <c r="O579" s="319">
        <v>8</v>
      </c>
      <c r="P579" s="277"/>
      <c r="Q579" s="4"/>
      <c r="R579" s="47">
        <v>0.38541666666666669</v>
      </c>
      <c r="S579" s="47">
        <v>0.25</v>
      </c>
      <c r="T579" s="19">
        <v>8</v>
      </c>
      <c r="U579" s="277"/>
      <c r="V579" s="4"/>
      <c r="W579" s="47">
        <v>0.39583333333333331</v>
      </c>
      <c r="X579" s="47">
        <v>0.20833333333333334</v>
      </c>
      <c r="Y579" s="19">
        <v>6.5</v>
      </c>
      <c r="Z579" s="277"/>
      <c r="AA579" s="29">
        <f t="shared" si="74"/>
        <v>38</v>
      </c>
      <c r="AB579" s="298">
        <f t="shared" si="75"/>
        <v>0</v>
      </c>
      <c r="AC579" s="4"/>
      <c r="AD579" s="345"/>
      <c r="AE579" s="345"/>
      <c r="AF579" s="346"/>
      <c r="AG579" s="29">
        <f t="shared" si="76"/>
        <v>0</v>
      </c>
      <c r="AH579" s="4"/>
      <c r="AI579" s="255"/>
      <c r="AK579" s="193"/>
      <c r="AL579" s="193"/>
      <c r="AM579" s="193"/>
      <c r="AN579" s="193"/>
      <c r="AO579" s="193"/>
      <c r="AP579" s="193"/>
    </row>
    <row r="580" spans="2:42" s="180" customFormat="1">
      <c r="B580" s="13" t="s">
        <v>45</v>
      </c>
      <c r="C580" s="47">
        <v>0.35416666666666669</v>
      </c>
      <c r="D580" s="314">
        <v>0.25</v>
      </c>
      <c r="E580" s="19">
        <v>8</v>
      </c>
      <c r="F580" s="277">
        <v>0.5</v>
      </c>
      <c r="G580" s="4"/>
      <c r="H580" s="47">
        <v>0.35416666666666669</v>
      </c>
      <c r="I580" s="314">
        <v>0.25</v>
      </c>
      <c r="J580" s="319">
        <v>8</v>
      </c>
      <c r="K580" s="277">
        <v>0.5</v>
      </c>
      <c r="L580" s="4"/>
      <c r="M580" s="47">
        <v>0.36458333333333331</v>
      </c>
      <c r="N580" s="47">
        <v>0.25</v>
      </c>
      <c r="O580" s="319">
        <v>8</v>
      </c>
      <c r="P580" s="277">
        <v>0.25</v>
      </c>
      <c r="Q580" s="4"/>
      <c r="R580" s="47">
        <v>0</v>
      </c>
      <c r="S580" s="4">
        <v>0</v>
      </c>
      <c r="T580" s="19">
        <v>0</v>
      </c>
      <c r="U580" s="277"/>
      <c r="V580" s="4"/>
      <c r="W580" s="47">
        <v>0.34375</v>
      </c>
      <c r="X580" s="47">
        <v>0.20833333333333334</v>
      </c>
      <c r="Y580" s="19">
        <v>7.75</v>
      </c>
      <c r="Z580" s="277"/>
      <c r="AA580" s="29">
        <f t="shared" si="74"/>
        <v>31.75</v>
      </c>
      <c r="AB580" s="298">
        <f t="shared" si="75"/>
        <v>1.25</v>
      </c>
      <c r="AC580" s="4"/>
      <c r="AD580" s="345"/>
      <c r="AE580" s="345"/>
      <c r="AF580" s="346"/>
      <c r="AG580" s="29">
        <f t="shared" si="76"/>
        <v>0</v>
      </c>
      <c r="AH580" s="4"/>
      <c r="AI580" s="255"/>
      <c r="AK580" s="193"/>
      <c r="AL580" s="193"/>
      <c r="AM580" s="193"/>
      <c r="AN580" s="193"/>
      <c r="AO580" s="193"/>
      <c r="AP580" s="193"/>
    </row>
    <row r="581" spans="2:42" s="180" customFormat="1">
      <c r="B581" s="13" t="s">
        <v>49</v>
      </c>
      <c r="C581" s="47">
        <v>0.375</v>
      </c>
      <c r="D581" s="314">
        <v>0.25</v>
      </c>
      <c r="E581" s="19">
        <v>8</v>
      </c>
      <c r="F581" s="277"/>
      <c r="G581" s="4"/>
      <c r="H581" s="47">
        <v>0.375</v>
      </c>
      <c r="I581" s="314">
        <v>0.25</v>
      </c>
      <c r="J581" s="319">
        <v>8</v>
      </c>
      <c r="K581" s="277"/>
      <c r="L581" s="4"/>
      <c r="M581" s="47">
        <v>0.39583333333333331</v>
      </c>
      <c r="N581" s="47">
        <v>0.25</v>
      </c>
      <c r="O581" s="319">
        <v>7.5</v>
      </c>
      <c r="P581" s="277"/>
      <c r="Q581" s="4"/>
      <c r="R581" s="47">
        <v>0.38541666666666669</v>
      </c>
      <c r="S581" s="47">
        <v>0.25</v>
      </c>
      <c r="T581" s="19">
        <v>8</v>
      </c>
      <c r="U581" s="277"/>
      <c r="V581" s="4"/>
      <c r="W581" s="47">
        <v>0.39583333333333331</v>
      </c>
      <c r="X581" s="47">
        <v>0.20833333333333334</v>
      </c>
      <c r="Y581" s="19">
        <v>6.5</v>
      </c>
      <c r="Z581" s="277"/>
      <c r="AA581" s="29">
        <f t="shared" si="74"/>
        <v>38</v>
      </c>
      <c r="AB581" s="298">
        <f t="shared" si="75"/>
        <v>0</v>
      </c>
      <c r="AC581" s="4"/>
      <c r="AD581" s="345"/>
      <c r="AE581" s="345"/>
      <c r="AF581" s="346"/>
      <c r="AG581" s="29">
        <f t="shared" si="76"/>
        <v>0</v>
      </c>
      <c r="AH581" s="4"/>
      <c r="AI581" s="255"/>
      <c r="AK581" s="193"/>
      <c r="AL581" s="193"/>
      <c r="AM581" s="193"/>
      <c r="AN581" s="193"/>
      <c r="AO581" s="193"/>
      <c r="AP581" s="193"/>
    </row>
    <row r="582" spans="2:42" s="180" customFormat="1">
      <c r="B582" s="13" t="s">
        <v>50</v>
      </c>
      <c r="C582" s="47">
        <v>0</v>
      </c>
      <c r="D582" s="47">
        <v>0</v>
      </c>
      <c r="E582" s="319">
        <v>0</v>
      </c>
      <c r="F582" s="277"/>
      <c r="G582" s="4"/>
      <c r="H582" s="47">
        <v>0.39583333333333331</v>
      </c>
      <c r="I582" s="314">
        <v>0.25</v>
      </c>
      <c r="J582" s="19">
        <v>7.5</v>
      </c>
      <c r="K582" s="277"/>
      <c r="L582" s="4"/>
      <c r="M582" s="47">
        <v>0</v>
      </c>
      <c r="N582" s="47">
        <v>0</v>
      </c>
      <c r="O582" s="319">
        <v>0</v>
      </c>
      <c r="P582" s="277"/>
      <c r="Q582" s="4"/>
      <c r="R582" s="47">
        <v>0.38541666666666669</v>
      </c>
      <c r="S582" s="47">
        <v>0.25</v>
      </c>
      <c r="T582" s="19">
        <v>8</v>
      </c>
      <c r="U582" s="277"/>
      <c r="V582" s="4"/>
      <c r="W582" s="47">
        <v>0.41666666666666669</v>
      </c>
      <c r="X582" s="47">
        <v>0.20833333333333334</v>
      </c>
      <c r="Y582" s="19">
        <v>6</v>
      </c>
      <c r="Z582" s="277"/>
      <c r="AA582" s="29">
        <f t="shared" si="74"/>
        <v>21.5</v>
      </c>
      <c r="AB582" s="298">
        <f t="shared" si="75"/>
        <v>0</v>
      </c>
      <c r="AC582" s="4"/>
      <c r="AD582" s="345"/>
      <c r="AE582" s="345"/>
      <c r="AF582" s="346"/>
      <c r="AG582" s="29">
        <f t="shared" si="76"/>
        <v>0</v>
      </c>
      <c r="AH582" s="4"/>
      <c r="AI582" s="255"/>
      <c r="AK582" s="193"/>
      <c r="AL582" s="193"/>
      <c r="AM582" s="193"/>
      <c r="AN582" s="193"/>
      <c r="AO582" s="193"/>
      <c r="AP582" s="193"/>
    </row>
    <row r="583" spans="2:42" s="180" customFormat="1">
      <c r="B583" s="13" t="s">
        <v>51</v>
      </c>
      <c r="C583" s="47">
        <v>0</v>
      </c>
      <c r="D583" s="47">
        <v>0</v>
      </c>
      <c r="E583" s="319">
        <v>0</v>
      </c>
      <c r="F583" s="277"/>
      <c r="G583" s="4"/>
      <c r="H583" s="47">
        <v>0.375</v>
      </c>
      <c r="I583" s="314">
        <v>0.25</v>
      </c>
      <c r="J583" s="319">
        <v>8</v>
      </c>
      <c r="K583" s="277"/>
      <c r="L583" s="4"/>
      <c r="M583" s="47">
        <v>0.375</v>
      </c>
      <c r="N583" s="47">
        <v>0.25</v>
      </c>
      <c r="O583" s="319">
        <v>8</v>
      </c>
      <c r="P583" s="277"/>
      <c r="Q583" s="4"/>
      <c r="R583" s="47">
        <v>0.375</v>
      </c>
      <c r="S583" s="47">
        <v>0.25</v>
      </c>
      <c r="T583" s="19">
        <v>8</v>
      </c>
      <c r="U583" s="277"/>
      <c r="V583" s="4"/>
      <c r="W583" s="47">
        <v>0.39583333333333331</v>
      </c>
      <c r="X583" s="47">
        <v>0.20833333333333334</v>
      </c>
      <c r="Y583" s="19">
        <v>6.5</v>
      </c>
      <c r="Z583" s="277"/>
      <c r="AA583" s="29">
        <f t="shared" si="74"/>
        <v>30.5</v>
      </c>
      <c r="AB583" s="298">
        <f t="shared" si="75"/>
        <v>0</v>
      </c>
      <c r="AC583" s="4"/>
      <c r="AD583" s="345"/>
      <c r="AE583" s="345"/>
      <c r="AF583" s="346"/>
      <c r="AG583" s="29">
        <f t="shared" si="76"/>
        <v>0</v>
      </c>
      <c r="AH583" s="4"/>
      <c r="AI583" s="255"/>
      <c r="AK583" s="193"/>
      <c r="AL583" s="193"/>
      <c r="AM583" s="193"/>
      <c r="AN583" s="193"/>
      <c r="AO583" s="193"/>
      <c r="AP583" s="193"/>
    </row>
    <row r="584" spans="2:42" s="180" customFormat="1">
      <c r="B584" s="13" t="s">
        <v>52</v>
      </c>
      <c r="C584" s="47">
        <v>0.36458333333333331</v>
      </c>
      <c r="D584" s="314">
        <v>0.25</v>
      </c>
      <c r="E584" s="19">
        <v>8</v>
      </c>
      <c r="F584" s="277">
        <v>0.25</v>
      </c>
      <c r="G584" s="4"/>
      <c r="H584" s="47">
        <v>0.375</v>
      </c>
      <c r="I584" s="314">
        <v>0.25</v>
      </c>
      <c r="J584" s="19">
        <v>8</v>
      </c>
      <c r="K584" s="277"/>
      <c r="L584" s="4"/>
      <c r="M584" s="47">
        <v>0.36458333333333331</v>
      </c>
      <c r="N584" s="47">
        <v>0.25</v>
      </c>
      <c r="O584" s="319">
        <v>8</v>
      </c>
      <c r="P584" s="277">
        <v>0.25</v>
      </c>
      <c r="Q584" s="4"/>
      <c r="R584" s="47">
        <v>0.36458333333333331</v>
      </c>
      <c r="S584" s="47">
        <v>0.25</v>
      </c>
      <c r="T584" s="19">
        <v>8</v>
      </c>
      <c r="U584" s="277"/>
      <c r="V584" s="4"/>
      <c r="W584" s="47">
        <v>0.39583333333333331</v>
      </c>
      <c r="X584" s="47">
        <v>0.20833333333333334</v>
      </c>
      <c r="Y584" s="19">
        <v>6.5</v>
      </c>
      <c r="Z584" s="277"/>
      <c r="AA584" s="29">
        <f t="shared" si="74"/>
        <v>38.5</v>
      </c>
      <c r="AB584" s="298">
        <f t="shared" si="75"/>
        <v>0.5</v>
      </c>
      <c r="AC584" s="4"/>
      <c r="AD584" s="4"/>
      <c r="AE584" s="4"/>
      <c r="AF584" s="19"/>
      <c r="AG584" s="29">
        <f t="shared" si="76"/>
        <v>0</v>
      </c>
      <c r="AH584" s="4"/>
      <c r="AI584" s="255"/>
      <c r="AK584" s="193"/>
      <c r="AL584" s="193"/>
      <c r="AM584" s="193"/>
      <c r="AN584" s="193"/>
      <c r="AO584" s="193"/>
      <c r="AP584" s="193"/>
    </row>
    <row r="585" spans="2:42" s="180" customFormat="1">
      <c r="B585" s="13" t="s">
        <v>53</v>
      </c>
      <c r="C585" s="47">
        <v>0.375</v>
      </c>
      <c r="D585" s="314">
        <v>0.25</v>
      </c>
      <c r="E585" s="19">
        <v>8</v>
      </c>
      <c r="F585" s="277"/>
      <c r="G585" s="4"/>
      <c r="H585" s="4">
        <v>0</v>
      </c>
      <c r="I585" s="4">
        <v>0</v>
      </c>
      <c r="J585" s="19">
        <v>0</v>
      </c>
      <c r="K585" s="277"/>
      <c r="L585" s="4"/>
      <c r="M585" s="47">
        <v>0.375</v>
      </c>
      <c r="N585" s="47">
        <v>0.25</v>
      </c>
      <c r="O585" s="319">
        <v>8</v>
      </c>
      <c r="P585" s="277"/>
      <c r="Q585" s="4"/>
      <c r="R585" s="4">
        <v>0</v>
      </c>
      <c r="S585" s="4">
        <v>0</v>
      </c>
      <c r="T585" s="19">
        <v>0</v>
      </c>
      <c r="U585" s="277"/>
      <c r="V585" s="4"/>
      <c r="W585" s="4">
        <v>0</v>
      </c>
      <c r="X585" s="4">
        <v>0</v>
      </c>
      <c r="Y585" s="19">
        <v>0</v>
      </c>
      <c r="Z585" s="277"/>
      <c r="AA585" s="29">
        <f t="shared" si="74"/>
        <v>16</v>
      </c>
      <c r="AB585" s="298">
        <f t="shared" si="75"/>
        <v>0</v>
      </c>
      <c r="AC585" s="4"/>
      <c r="AD585" s="4"/>
      <c r="AE585" s="4"/>
      <c r="AF585" s="19"/>
      <c r="AG585" s="29">
        <f t="shared" si="76"/>
        <v>0</v>
      </c>
      <c r="AH585" s="4"/>
      <c r="AI585" s="255"/>
      <c r="AK585" s="193"/>
      <c r="AL585" s="193"/>
      <c r="AM585" s="193"/>
      <c r="AN585" s="193"/>
      <c r="AO585" s="193"/>
      <c r="AP585" s="193"/>
    </row>
    <row r="586" spans="2:42" s="180" customFormat="1">
      <c r="B586" s="13" t="s">
        <v>91</v>
      </c>
      <c r="C586" s="47">
        <v>0.375</v>
      </c>
      <c r="D586" s="314">
        <v>0.25</v>
      </c>
      <c r="E586" s="19">
        <v>8</v>
      </c>
      <c r="F586" s="277"/>
      <c r="G586" s="4"/>
      <c r="H586" s="47">
        <v>0.375</v>
      </c>
      <c r="I586" s="314">
        <v>0.25</v>
      </c>
      <c r="J586" s="19">
        <v>8</v>
      </c>
      <c r="K586" s="277"/>
      <c r="L586" s="4"/>
      <c r="M586" s="47">
        <v>0.375</v>
      </c>
      <c r="N586" s="47">
        <v>0.25</v>
      </c>
      <c r="O586" s="319">
        <v>8</v>
      </c>
      <c r="P586" s="277"/>
      <c r="Q586" s="4"/>
      <c r="R586" s="47">
        <v>0.36458333333333331</v>
      </c>
      <c r="S586" s="47">
        <v>0.25</v>
      </c>
      <c r="T586" s="19">
        <v>8</v>
      </c>
      <c r="U586" s="277"/>
      <c r="V586" s="4"/>
      <c r="W586" s="47">
        <v>0.35416666666666669</v>
      </c>
      <c r="X586" s="47">
        <v>0.20833333333333334</v>
      </c>
      <c r="Y586" s="19">
        <v>7.5</v>
      </c>
      <c r="Z586" s="277"/>
      <c r="AA586" s="29">
        <f t="shared" si="74"/>
        <v>39.5</v>
      </c>
      <c r="AB586" s="298">
        <f t="shared" si="75"/>
        <v>0</v>
      </c>
      <c r="AC586" s="4"/>
      <c r="AD586" s="4"/>
      <c r="AE586" s="4"/>
      <c r="AF586" s="19"/>
      <c r="AG586" s="29">
        <f t="shared" si="76"/>
        <v>0</v>
      </c>
      <c r="AH586" s="4"/>
      <c r="AI586" s="255"/>
      <c r="AK586" s="193"/>
      <c r="AL586" s="193"/>
      <c r="AM586" s="193"/>
      <c r="AN586" s="193"/>
      <c r="AO586" s="193"/>
      <c r="AP586" s="193"/>
    </row>
    <row r="587" spans="2:42" s="180" customFormat="1">
      <c r="B587" s="13" t="s">
        <v>111</v>
      </c>
      <c r="C587" s="47">
        <v>0.41666666666666669</v>
      </c>
      <c r="D587" s="314">
        <v>0.25</v>
      </c>
      <c r="E587" s="19">
        <v>7</v>
      </c>
      <c r="F587" s="277"/>
      <c r="G587" s="4"/>
      <c r="H587" s="47">
        <v>0.375</v>
      </c>
      <c r="I587" s="314">
        <v>0.25</v>
      </c>
      <c r="J587" s="19">
        <v>8</v>
      </c>
      <c r="K587" s="277"/>
      <c r="L587" s="4"/>
      <c r="M587" s="47">
        <v>0.375</v>
      </c>
      <c r="N587" s="47">
        <v>0.25</v>
      </c>
      <c r="O587" s="319">
        <v>8</v>
      </c>
      <c r="P587" s="277"/>
      <c r="Q587" s="4"/>
      <c r="R587" s="47">
        <v>0.375</v>
      </c>
      <c r="S587" s="47">
        <v>0.25</v>
      </c>
      <c r="T587" s="19">
        <v>8</v>
      </c>
      <c r="U587" s="277"/>
      <c r="V587" s="4"/>
      <c r="W587" s="47">
        <v>0.375</v>
      </c>
      <c r="X587" s="47">
        <v>0.20833333333333334</v>
      </c>
      <c r="Y587" s="19">
        <v>7</v>
      </c>
      <c r="Z587" s="277"/>
      <c r="AA587" s="29">
        <f t="shared" si="74"/>
        <v>38</v>
      </c>
      <c r="AB587" s="298">
        <f t="shared" si="75"/>
        <v>0</v>
      </c>
      <c r="AC587" s="4"/>
      <c r="AD587" s="4"/>
      <c r="AE587" s="4"/>
      <c r="AF587" s="19"/>
      <c r="AG587" s="29">
        <f t="shared" si="76"/>
        <v>0</v>
      </c>
      <c r="AH587" s="4"/>
      <c r="AI587" s="255"/>
      <c r="AK587" s="193"/>
      <c r="AL587" s="193"/>
      <c r="AM587" s="193"/>
      <c r="AN587" s="193"/>
      <c r="AO587" s="193"/>
      <c r="AP587" s="193"/>
    </row>
    <row r="588" spans="2:42" s="180" customFormat="1">
      <c r="B588" s="13" t="s">
        <v>93</v>
      </c>
      <c r="C588" s="47">
        <v>0</v>
      </c>
      <c r="D588" s="47">
        <v>0</v>
      </c>
      <c r="E588" s="319">
        <v>0</v>
      </c>
      <c r="F588" s="277"/>
      <c r="G588" s="4"/>
      <c r="H588" s="47">
        <v>0</v>
      </c>
      <c r="I588" s="47">
        <v>0</v>
      </c>
      <c r="J588" s="19">
        <v>0</v>
      </c>
      <c r="K588" s="277"/>
      <c r="L588" s="4"/>
      <c r="M588" s="47">
        <v>0.35416666666666669</v>
      </c>
      <c r="N588" s="47">
        <v>0.25</v>
      </c>
      <c r="O588" s="319">
        <v>8</v>
      </c>
      <c r="P588" s="277">
        <v>0.5</v>
      </c>
      <c r="Q588" s="4"/>
      <c r="R588" s="47">
        <v>0.33333333333333331</v>
      </c>
      <c r="S588" s="47">
        <v>0.25</v>
      </c>
      <c r="T588" s="19">
        <v>8</v>
      </c>
      <c r="U588" s="277">
        <v>1</v>
      </c>
      <c r="V588" s="4"/>
      <c r="W588" s="47">
        <v>0.33333333333333331</v>
      </c>
      <c r="X588" s="47">
        <v>0.20833333333333334</v>
      </c>
      <c r="Y588" s="19">
        <v>8</v>
      </c>
      <c r="Z588" s="277"/>
      <c r="AA588" s="29">
        <f t="shared" si="74"/>
        <v>24</v>
      </c>
      <c r="AB588" s="298">
        <f t="shared" si="75"/>
        <v>1.5</v>
      </c>
      <c r="AC588" s="4"/>
      <c r="AD588" s="4"/>
      <c r="AE588" s="4"/>
      <c r="AF588" s="19"/>
      <c r="AG588" s="29">
        <f t="shared" si="76"/>
        <v>0</v>
      </c>
      <c r="AH588" s="4"/>
      <c r="AI588" s="255"/>
      <c r="AK588" s="193"/>
      <c r="AL588" s="193"/>
      <c r="AM588" s="193"/>
      <c r="AN588" s="193"/>
      <c r="AO588" s="193"/>
      <c r="AP588" s="193"/>
    </row>
    <row r="589" spans="2:42" s="180" customFormat="1">
      <c r="B589" s="13" t="s">
        <v>96</v>
      </c>
      <c r="C589" s="47">
        <v>0.375</v>
      </c>
      <c r="D589" s="314">
        <v>0.25</v>
      </c>
      <c r="E589" s="19">
        <v>8</v>
      </c>
      <c r="F589" s="277"/>
      <c r="G589" s="4"/>
      <c r="H589" s="16">
        <v>0</v>
      </c>
      <c r="I589" s="16">
        <v>0</v>
      </c>
      <c r="J589" s="19">
        <v>0</v>
      </c>
      <c r="K589" s="277"/>
      <c r="L589" s="4"/>
      <c r="M589" s="16">
        <v>0.36458333333333331</v>
      </c>
      <c r="N589" s="47">
        <v>0.25</v>
      </c>
      <c r="O589" s="19">
        <v>8</v>
      </c>
      <c r="P589" s="277">
        <v>0.25</v>
      </c>
      <c r="Q589" s="4"/>
      <c r="R589" s="47">
        <v>0.35416666666666669</v>
      </c>
      <c r="S589" s="47">
        <v>0.25</v>
      </c>
      <c r="T589" s="19">
        <v>8</v>
      </c>
      <c r="U589" s="277"/>
      <c r="V589" s="4"/>
      <c r="W589" s="47">
        <v>0.35416666666666669</v>
      </c>
      <c r="X589" s="47">
        <v>0.20833333333333334</v>
      </c>
      <c r="Y589" s="19">
        <v>7.5</v>
      </c>
      <c r="Z589" s="277"/>
      <c r="AA589" s="29">
        <f t="shared" si="74"/>
        <v>31.5</v>
      </c>
      <c r="AB589" s="298">
        <f>Z589+U589+P589+K589+F589</f>
        <v>0.25</v>
      </c>
      <c r="AC589" s="4"/>
      <c r="AD589" s="410"/>
      <c r="AE589" s="4"/>
      <c r="AF589" s="19"/>
      <c r="AG589" s="29">
        <f t="shared" si="76"/>
        <v>0</v>
      </c>
      <c r="AH589" s="4"/>
      <c r="AI589" s="255"/>
      <c r="AK589" s="193"/>
      <c r="AL589" s="193"/>
      <c r="AM589" s="193"/>
      <c r="AN589" s="193"/>
      <c r="AO589" s="193"/>
      <c r="AP589" s="193"/>
    </row>
    <row r="590" spans="2:42" s="180" customFormat="1">
      <c r="B590" s="13" t="s">
        <v>97</v>
      </c>
      <c r="C590" s="47">
        <v>0.35416666666666669</v>
      </c>
      <c r="D590" s="314">
        <v>0.25</v>
      </c>
      <c r="E590" s="19">
        <v>8</v>
      </c>
      <c r="F590" s="277">
        <v>0.5</v>
      </c>
      <c r="G590" s="4"/>
      <c r="H590" s="47">
        <v>0.34375</v>
      </c>
      <c r="I590" s="314">
        <v>0.25</v>
      </c>
      <c r="J590" s="19">
        <v>8</v>
      </c>
      <c r="K590" s="277">
        <v>0.75</v>
      </c>
      <c r="L590" s="4"/>
      <c r="M590" s="16">
        <v>0.33333333333333331</v>
      </c>
      <c r="N590" s="47">
        <v>0.25</v>
      </c>
      <c r="O590" s="19">
        <v>8</v>
      </c>
      <c r="P590" s="277"/>
      <c r="Q590" s="4"/>
      <c r="R590" s="47">
        <v>0.33333333333333331</v>
      </c>
      <c r="S590" s="47">
        <v>0.25</v>
      </c>
      <c r="T590" s="19">
        <v>8</v>
      </c>
      <c r="U590" s="277">
        <v>1</v>
      </c>
      <c r="V590" s="4"/>
      <c r="W590" s="47">
        <v>0.36458333333333331</v>
      </c>
      <c r="X590" s="47">
        <v>0.20833333333333334</v>
      </c>
      <c r="Y590" s="19">
        <v>7.25</v>
      </c>
      <c r="Z590" s="277"/>
      <c r="AA590" s="29">
        <f t="shared" si="74"/>
        <v>39.25</v>
      </c>
      <c r="AB590" s="298">
        <f>Z590+U590+P590+K590+F590</f>
        <v>2.25</v>
      </c>
      <c r="AC590" s="4"/>
      <c r="AD590" s="4"/>
      <c r="AE590" s="4"/>
      <c r="AF590" s="19"/>
      <c r="AG590" s="29">
        <f t="shared" si="76"/>
        <v>0</v>
      </c>
      <c r="AH590" s="4"/>
      <c r="AI590" s="255"/>
      <c r="AK590" s="193"/>
      <c r="AL590" s="193"/>
      <c r="AM590" s="193"/>
      <c r="AN590" s="193"/>
      <c r="AO590" s="193"/>
      <c r="AP590" s="193"/>
    </row>
    <row r="591" spans="2:42" s="180" customFormat="1">
      <c r="B591" s="13" t="s">
        <v>107</v>
      </c>
      <c r="C591" s="16">
        <v>0.35416666666666669</v>
      </c>
      <c r="D591" s="314">
        <v>0.25</v>
      </c>
      <c r="E591" s="19">
        <v>8</v>
      </c>
      <c r="F591" s="277">
        <v>0.5</v>
      </c>
      <c r="G591" s="4"/>
      <c r="H591" s="47">
        <v>0</v>
      </c>
      <c r="I591" s="16">
        <v>0</v>
      </c>
      <c r="J591" s="19">
        <v>0</v>
      </c>
      <c r="K591" s="277"/>
      <c r="L591" s="4"/>
      <c r="M591" s="16">
        <v>0.375</v>
      </c>
      <c r="N591" s="47">
        <v>0.25</v>
      </c>
      <c r="O591" s="19">
        <v>8</v>
      </c>
      <c r="P591" s="277"/>
      <c r="Q591" s="4"/>
      <c r="R591" s="47">
        <v>0.36458333333333331</v>
      </c>
      <c r="S591" s="47">
        <v>0.25</v>
      </c>
      <c r="T591" s="19">
        <v>8</v>
      </c>
      <c r="U591" s="277"/>
      <c r="V591" s="4"/>
      <c r="W591" s="47">
        <v>0.33333333333333331</v>
      </c>
      <c r="X591" s="47">
        <v>0.20833333333333334</v>
      </c>
      <c r="Y591" s="19">
        <v>8</v>
      </c>
      <c r="Z591" s="277"/>
      <c r="AA591" s="29">
        <f t="shared" si="74"/>
        <v>32</v>
      </c>
      <c r="AB591" s="298">
        <f t="shared" ref="AB591:AB593" si="77">Z591+U591+P591+K591+F591</f>
        <v>0.5</v>
      </c>
      <c r="AC591" s="4"/>
      <c r="AD591" s="4"/>
      <c r="AE591" s="4"/>
      <c r="AF591" s="19"/>
      <c r="AG591" s="29">
        <f t="shared" si="76"/>
        <v>0</v>
      </c>
      <c r="AH591" s="4"/>
      <c r="AI591" s="255"/>
      <c r="AK591" s="193"/>
      <c r="AL591" s="193"/>
      <c r="AM591" s="193"/>
      <c r="AN591" s="193"/>
      <c r="AO591" s="193"/>
      <c r="AP591" s="193"/>
    </row>
    <row r="592" spans="2:42" s="180" customFormat="1">
      <c r="B592" s="13" t="s">
        <v>108</v>
      </c>
      <c r="C592" s="16">
        <v>0.41666666666666669</v>
      </c>
      <c r="D592" s="314">
        <v>0.25</v>
      </c>
      <c r="E592" s="19">
        <v>7</v>
      </c>
      <c r="F592" s="277"/>
      <c r="G592" s="4"/>
      <c r="H592" s="47">
        <v>0.375</v>
      </c>
      <c r="I592" s="314">
        <v>0.25</v>
      </c>
      <c r="J592" s="19">
        <v>8</v>
      </c>
      <c r="K592" s="277"/>
      <c r="L592" s="4"/>
      <c r="M592" s="16">
        <v>0.34375</v>
      </c>
      <c r="N592" s="47">
        <v>0.25</v>
      </c>
      <c r="O592" s="19">
        <v>8</v>
      </c>
      <c r="P592" s="277">
        <v>0.75</v>
      </c>
      <c r="Q592" s="4"/>
      <c r="R592" s="47">
        <v>0.38541666666666669</v>
      </c>
      <c r="S592" s="47">
        <v>0.25</v>
      </c>
      <c r="T592" s="19">
        <v>8</v>
      </c>
      <c r="U592" s="277"/>
      <c r="V592" s="4"/>
      <c r="W592" s="47">
        <v>0.375</v>
      </c>
      <c r="X592" s="47">
        <v>0.20833333333333334</v>
      </c>
      <c r="Y592" s="19">
        <v>7</v>
      </c>
      <c r="Z592" s="277"/>
      <c r="AA592" s="29">
        <f t="shared" si="74"/>
        <v>38</v>
      </c>
      <c r="AB592" s="298">
        <f t="shared" si="77"/>
        <v>0.75</v>
      </c>
      <c r="AC592" s="4"/>
      <c r="AD592" s="4"/>
      <c r="AE592" s="4"/>
      <c r="AF592" s="19"/>
      <c r="AG592" s="29">
        <f t="shared" si="76"/>
        <v>0</v>
      </c>
      <c r="AH592" s="4"/>
      <c r="AI592" s="255"/>
      <c r="AK592" s="193"/>
      <c r="AL592" s="193"/>
      <c r="AM592" s="193"/>
      <c r="AN592" s="193"/>
      <c r="AO592" s="193"/>
      <c r="AP592" s="193"/>
    </row>
    <row r="593" spans="2:42" s="180" customFormat="1">
      <c r="B593" s="13" t="s">
        <v>109</v>
      </c>
      <c r="C593" s="16">
        <v>0.36458333333333331</v>
      </c>
      <c r="D593" s="314">
        <v>0.25</v>
      </c>
      <c r="E593" s="19">
        <v>8</v>
      </c>
      <c r="F593" s="277">
        <v>0.25</v>
      </c>
      <c r="G593" s="4"/>
      <c r="H593" s="47">
        <v>0.36458333333333331</v>
      </c>
      <c r="I593" s="314">
        <v>0.25</v>
      </c>
      <c r="J593" s="19">
        <v>8</v>
      </c>
      <c r="K593" s="277">
        <v>0.25</v>
      </c>
      <c r="L593" s="4"/>
      <c r="M593" s="16">
        <v>0.35416666666666669</v>
      </c>
      <c r="N593" s="47">
        <v>0.25</v>
      </c>
      <c r="O593" s="19">
        <v>8</v>
      </c>
      <c r="P593" s="277">
        <v>0.5</v>
      </c>
      <c r="Q593" s="4"/>
      <c r="R593" s="47">
        <v>0.34375</v>
      </c>
      <c r="S593" s="47">
        <v>0.25</v>
      </c>
      <c r="T593" s="19">
        <v>8</v>
      </c>
      <c r="U593" s="277">
        <v>1</v>
      </c>
      <c r="V593" s="4"/>
      <c r="W593" s="47">
        <v>0.35416666666666669</v>
      </c>
      <c r="X593" s="47">
        <v>0.20833333333333334</v>
      </c>
      <c r="Y593" s="19">
        <v>7.5</v>
      </c>
      <c r="Z593" s="277"/>
      <c r="AA593" s="29">
        <f t="shared" si="74"/>
        <v>39.5</v>
      </c>
      <c r="AB593" s="298">
        <f t="shared" si="77"/>
        <v>2</v>
      </c>
      <c r="AC593" s="4"/>
      <c r="AD593" s="4"/>
      <c r="AE593" s="4"/>
      <c r="AF593" s="19"/>
      <c r="AG593" s="29">
        <f t="shared" si="76"/>
        <v>0</v>
      </c>
      <c r="AH593" s="4"/>
      <c r="AI593" s="255"/>
      <c r="AK593" s="193"/>
      <c r="AL593" s="193"/>
      <c r="AM593" s="193"/>
      <c r="AN593" s="193"/>
      <c r="AO593" s="193"/>
      <c r="AP593" s="193"/>
    </row>
    <row r="594" spans="2:42" s="180" customFormat="1">
      <c r="B594" s="13" t="s">
        <v>112</v>
      </c>
      <c r="C594" s="16" t="s">
        <v>29</v>
      </c>
      <c r="D594" s="16" t="s">
        <v>29</v>
      </c>
      <c r="E594" s="19">
        <v>0</v>
      </c>
      <c r="F594" s="277"/>
      <c r="G594" s="4"/>
      <c r="H594" s="16" t="s">
        <v>29</v>
      </c>
      <c r="I594" s="16" t="s">
        <v>29</v>
      </c>
      <c r="J594" s="19">
        <v>0</v>
      </c>
      <c r="K594" s="277"/>
      <c r="L594" s="4"/>
      <c r="M594" s="16" t="s">
        <v>29</v>
      </c>
      <c r="N594" s="16" t="s">
        <v>29</v>
      </c>
      <c r="O594" s="19">
        <v>0</v>
      </c>
      <c r="P594" s="277"/>
      <c r="Q594" s="4"/>
      <c r="R594" s="47"/>
      <c r="S594" s="47"/>
      <c r="T594" s="19"/>
      <c r="U594" s="277"/>
      <c r="V594" s="4"/>
      <c r="W594" s="47">
        <v>0.39583333333333331</v>
      </c>
      <c r="X594" s="47">
        <v>0.20833333333333334</v>
      </c>
      <c r="Y594" s="19">
        <v>6.5</v>
      </c>
      <c r="Z594" s="277"/>
      <c r="AA594" s="29">
        <f>(E594+J594+O594+T594+Y594)</f>
        <v>6.5</v>
      </c>
      <c r="AB594" s="298">
        <f>Z594+U594+P594+K594+F594</f>
        <v>0</v>
      </c>
      <c r="AC594" s="4"/>
      <c r="AD594" s="4"/>
      <c r="AE594" s="4"/>
      <c r="AF594" s="19"/>
      <c r="AG594" s="29"/>
      <c r="AH594" s="4"/>
      <c r="AI594" s="255"/>
      <c r="AK594" s="193"/>
      <c r="AL594" s="193"/>
      <c r="AM594" s="193"/>
      <c r="AN594" s="193"/>
      <c r="AO594" s="193"/>
      <c r="AP594" s="193"/>
    </row>
    <row r="595" spans="2:42" s="180" customFormat="1">
      <c r="B595" s="13" t="s">
        <v>113</v>
      </c>
      <c r="C595" s="16" t="s">
        <v>29</v>
      </c>
      <c r="D595" s="16" t="s">
        <v>29</v>
      </c>
      <c r="E595" s="19">
        <v>0</v>
      </c>
      <c r="F595" s="277"/>
      <c r="G595" s="4"/>
      <c r="H595" s="16" t="s">
        <v>29</v>
      </c>
      <c r="I595" s="16" t="s">
        <v>29</v>
      </c>
      <c r="J595" s="19">
        <v>0</v>
      </c>
      <c r="K595" s="277"/>
      <c r="L595" s="4"/>
      <c r="M595" s="16" t="s">
        <v>29</v>
      </c>
      <c r="N595" s="16" t="s">
        <v>29</v>
      </c>
      <c r="O595" s="19">
        <v>0</v>
      </c>
      <c r="P595" s="277"/>
      <c r="Q595" s="4"/>
      <c r="R595" s="47"/>
      <c r="S595" s="47"/>
      <c r="T595" s="19"/>
      <c r="U595" s="277"/>
      <c r="V595" s="4"/>
      <c r="W595" s="47">
        <v>0.375</v>
      </c>
      <c r="X595" s="47">
        <v>0.20833333333333334</v>
      </c>
      <c r="Y595" s="19">
        <v>7</v>
      </c>
      <c r="Z595" s="277"/>
      <c r="AA595" s="29">
        <f>(E595+J595+O595+T595+Y595)</f>
        <v>7</v>
      </c>
      <c r="AB595" s="298">
        <f>Z595+U595+P595+K595+F595</f>
        <v>0</v>
      </c>
      <c r="AC595" s="4"/>
      <c r="AD595" s="4"/>
      <c r="AE595" s="4"/>
      <c r="AF595" s="19"/>
      <c r="AG595" s="29"/>
      <c r="AH595" s="4"/>
      <c r="AI595" s="255"/>
      <c r="AK595" s="193"/>
      <c r="AL595" s="193"/>
      <c r="AM595" s="193"/>
      <c r="AN595" s="193"/>
      <c r="AO595" s="193"/>
      <c r="AP595" s="193"/>
    </row>
    <row r="596" spans="2:42" s="180" customFormat="1">
      <c r="B596" s="13" t="s">
        <v>54</v>
      </c>
      <c r="C596" s="12"/>
      <c r="D596" s="12"/>
      <c r="E596" s="19"/>
      <c r="F596" s="277"/>
      <c r="G596" s="4"/>
      <c r="H596" s="12"/>
      <c r="I596" s="12"/>
      <c r="J596" s="19"/>
      <c r="K596" s="277"/>
      <c r="L596" s="4"/>
      <c r="M596" s="4"/>
      <c r="N596" s="47"/>
      <c r="O596" s="319"/>
      <c r="P596" s="277"/>
      <c r="Q596" s="4"/>
      <c r="R596" s="4"/>
      <c r="S596" s="4"/>
      <c r="T596" s="19"/>
      <c r="U596" s="277"/>
      <c r="V596" s="4"/>
      <c r="W596" s="4"/>
      <c r="X596" s="4"/>
      <c r="Y596" s="19"/>
      <c r="Z596" s="277"/>
      <c r="AA596" s="29">
        <f t="shared" si="74"/>
        <v>0</v>
      </c>
      <c r="AB596" s="298">
        <f t="shared" ref="AB596:AB603" si="78">Z596+U596+P596+K596+F596</f>
        <v>0</v>
      </c>
      <c r="AC596" s="4"/>
      <c r="AD596" s="4"/>
      <c r="AE596" s="4"/>
      <c r="AF596" s="19"/>
      <c r="AG596" s="29">
        <f t="shared" si="76"/>
        <v>0</v>
      </c>
      <c r="AH596" s="4"/>
      <c r="AI596" s="255"/>
      <c r="AK596" s="193"/>
      <c r="AL596" s="193"/>
      <c r="AM596" s="193"/>
      <c r="AN596" s="193"/>
      <c r="AO596" s="193"/>
      <c r="AP596" s="193"/>
    </row>
    <row r="597" spans="2:42" s="180" customFormat="1">
      <c r="B597" s="13" t="s">
        <v>55</v>
      </c>
      <c r="C597" s="12"/>
      <c r="D597" s="12"/>
      <c r="E597" s="19"/>
      <c r="F597" s="277"/>
      <c r="G597" s="4"/>
      <c r="H597" s="12"/>
      <c r="I597" s="12"/>
      <c r="J597" s="19"/>
      <c r="K597" s="277"/>
      <c r="L597" s="4"/>
      <c r="M597" s="4"/>
      <c r="N597" s="47"/>
      <c r="O597" s="319"/>
      <c r="P597" s="277"/>
      <c r="Q597" s="4"/>
      <c r="R597" s="4"/>
      <c r="S597" s="4"/>
      <c r="T597" s="19"/>
      <c r="U597" s="277"/>
      <c r="V597" s="4"/>
      <c r="W597" s="4"/>
      <c r="X597" s="4"/>
      <c r="Y597" s="19"/>
      <c r="Z597" s="277"/>
      <c r="AA597" s="29">
        <f t="shared" si="74"/>
        <v>0</v>
      </c>
      <c r="AB597" s="298">
        <f t="shared" si="78"/>
        <v>0</v>
      </c>
      <c r="AC597" s="4"/>
      <c r="AD597" s="4"/>
      <c r="AE597" s="4"/>
      <c r="AF597" s="19"/>
      <c r="AG597" s="29">
        <f t="shared" si="76"/>
        <v>0</v>
      </c>
      <c r="AH597" s="4"/>
      <c r="AI597" s="255"/>
      <c r="AK597" s="193"/>
      <c r="AL597" s="193"/>
      <c r="AM597" s="193"/>
      <c r="AN597" s="193"/>
      <c r="AO597" s="193"/>
      <c r="AP597" s="193"/>
    </row>
    <row r="598" spans="2:42" s="180" customFormat="1">
      <c r="B598" s="166" t="s">
        <v>48</v>
      </c>
      <c r="C598" s="47">
        <v>0.35416666666666669</v>
      </c>
      <c r="D598" s="47"/>
      <c r="E598" s="19"/>
      <c r="F598" s="277"/>
      <c r="G598" s="4"/>
      <c r="H598" s="47"/>
      <c r="I598" s="47"/>
      <c r="J598" s="19"/>
      <c r="K598" s="277"/>
      <c r="L598" s="4"/>
      <c r="M598" s="47"/>
      <c r="N598" s="47"/>
      <c r="O598" s="319"/>
      <c r="P598" s="277"/>
      <c r="Q598" s="4"/>
      <c r="R598" s="4"/>
      <c r="S598" s="4"/>
      <c r="T598" s="19"/>
      <c r="U598" s="277"/>
      <c r="V598" s="4"/>
      <c r="W598" s="4"/>
      <c r="X598" s="4"/>
      <c r="Y598" s="19"/>
      <c r="Z598" s="277"/>
      <c r="AA598" s="29">
        <f t="shared" ref="AA598" si="79">(E598+J598+O598+T598+Y598)</f>
        <v>0</v>
      </c>
      <c r="AB598" s="298">
        <f t="shared" si="78"/>
        <v>0</v>
      </c>
      <c r="AC598" s="4"/>
      <c r="AD598" s="4"/>
      <c r="AE598" s="4"/>
      <c r="AF598" s="19"/>
      <c r="AG598" s="29">
        <f t="shared" ref="AG598" si="80">AF598</f>
        <v>0</v>
      </c>
      <c r="AH598" s="4"/>
      <c r="AI598" s="255"/>
      <c r="AK598" s="193"/>
      <c r="AL598" s="193"/>
      <c r="AM598" s="193"/>
      <c r="AN598" s="193"/>
      <c r="AO598" s="193"/>
      <c r="AP598" s="193"/>
    </row>
    <row r="599" spans="2:42" s="180" customFormat="1">
      <c r="B599" s="166" t="s">
        <v>59</v>
      </c>
      <c r="C599" s="47"/>
      <c r="D599" s="12"/>
      <c r="E599" s="19"/>
      <c r="F599" s="277"/>
      <c r="G599" s="4"/>
      <c r="H599" s="47"/>
      <c r="I599" s="16"/>
      <c r="J599" s="19"/>
      <c r="K599" s="277"/>
      <c r="L599" s="4"/>
      <c r="M599" s="16"/>
      <c r="N599" s="16"/>
      <c r="O599" s="19"/>
      <c r="P599" s="277"/>
      <c r="Q599" s="4"/>
      <c r="R599" s="4"/>
      <c r="S599" s="4"/>
      <c r="T599" s="19"/>
      <c r="U599" s="277"/>
      <c r="V599" s="4"/>
      <c r="W599" s="4"/>
      <c r="X599" s="4"/>
      <c r="Y599" s="19"/>
      <c r="Z599" s="277"/>
      <c r="AA599" s="29">
        <f t="shared" si="74"/>
        <v>0</v>
      </c>
      <c r="AB599" s="298">
        <f t="shared" si="78"/>
        <v>0</v>
      </c>
      <c r="AC599" s="4"/>
      <c r="AD599" s="4"/>
      <c r="AE599" s="4"/>
      <c r="AF599" s="19"/>
      <c r="AG599" s="29">
        <f t="shared" si="76"/>
        <v>0</v>
      </c>
      <c r="AH599" s="4"/>
      <c r="AI599" s="255"/>
      <c r="AK599" s="407"/>
      <c r="AL599" s="193"/>
      <c r="AM599" s="193"/>
      <c r="AN599" s="193"/>
      <c r="AO599" s="193"/>
      <c r="AP599" s="193"/>
    </row>
    <row r="600" spans="2:42" s="180" customFormat="1">
      <c r="B600" s="166" t="s">
        <v>60</v>
      </c>
      <c r="C600" s="16"/>
      <c r="D600" s="16"/>
      <c r="E600" s="19"/>
      <c r="F600" s="277"/>
      <c r="G600" s="4"/>
      <c r="H600" s="16"/>
      <c r="I600" s="16"/>
      <c r="J600" s="19"/>
      <c r="K600" s="277"/>
      <c r="L600" s="4"/>
      <c r="M600" s="16"/>
      <c r="N600" s="16"/>
      <c r="O600" s="19"/>
      <c r="P600" s="277"/>
      <c r="Q600" s="4"/>
      <c r="R600" s="4"/>
      <c r="S600" s="4"/>
      <c r="T600" s="19"/>
      <c r="U600" s="277"/>
      <c r="V600" s="4"/>
      <c r="W600" s="4"/>
      <c r="X600" s="4"/>
      <c r="Y600" s="19"/>
      <c r="Z600" s="277"/>
      <c r="AA600" s="29">
        <f t="shared" si="74"/>
        <v>0</v>
      </c>
      <c r="AB600" s="298">
        <f t="shared" si="78"/>
        <v>0</v>
      </c>
      <c r="AC600" s="4"/>
      <c r="AD600" s="4"/>
      <c r="AE600" s="4"/>
      <c r="AF600" s="19"/>
      <c r="AG600" s="29">
        <f t="shared" si="76"/>
        <v>0</v>
      </c>
      <c r="AH600" s="4"/>
      <c r="AI600" s="255"/>
      <c r="AK600" s="193"/>
      <c r="AL600" s="193"/>
      <c r="AM600" s="193"/>
      <c r="AN600" s="193"/>
      <c r="AO600" s="193"/>
      <c r="AP600" s="193"/>
    </row>
    <row r="601" spans="2:42" s="180" customFormat="1">
      <c r="B601" s="63" t="s">
        <v>63</v>
      </c>
      <c r="C601" s="12" t="s">
        <v>29</v>
      </c>
      <c r="D601" s="12" t="s">
        <v>29</v>
      </c>
      <c r="E601" s="19">
        <v>8</v>
      </c>
      <c r="F601" s="277">
        <v>1</v>
      </c>
      <c r="G601" s="60"/>
      <c r="H601" s="12" t="s">
        <v>29</v>
      </c>
      <c r="I601" s="12" t="s">
        <v>29</v>
      </c>
      <c r="J601" s="19">
        <v>8</v>
      </c>
      <c r="K601" s="277">
        <v>1</v>
      </c>
      <c r="L601" s="60"/>
      <c r="M601" s="16" t="s">
        <v>29</v>
      </c>
      <c r="N601" s="16" t="s">
        <v>29</v>
      </c>
      <c r="O601" s="19">
        <v>8</v>
      </c>
      <c r="P601" s="277"/>
      <c r="Q601" s="60"/>
      <c r="R601" s="16" t="s">
        <v>29</v>
      </c>
      <c r="S601" s="16" t="s">
        <v>29</v>
      </c>
      <c r="T601" s="19">
        <v>8</v>
      </c>
      <c r="U601" s="277"/>
      <c r="V601" s="60"/>
      <c r="W601" s="16" t="s">
        <v>29</v>
      </c>
      <c r="X601" s="16" t="s">
        <v>29</v>
      </c>
      <c r="Y601" s="19">
        <v>8</v>
      </c>
      <c r="Z601" s="277"/>
      <c r="AA601" s="28">
        <f>SUM(E601+J601+O601+T601+Y601)</f>
        <v>40</v>
      </c>
      <c r="AB601" s="298">
        <f t="shared" si="78"/>
        <v>2</v>
      </c>
      <c r="AC601" s="4"/>
      <c r="AD601" s="56"/>
      <c r="AE601" s="56"/>
      <c r="AF601" s="19"/>
      <c r="AG601" s="29">
        <f>AF601</f>
        <v>0</v>
      </c>
      <c r="AH601" s="4"/>
      <c r="AI601" s="255"/>
      <c r="AK601" s="193"/>
      <c r="AL601" s="193"/>
      <c r="AM601" s="193"/>
      <c r="AN601" s="193"/>
      <c r="AO601" s="193"/>
      <c r="AP601" s="193"/>
    </row>
    <row r="602" spans="2:42" s="180" customFormat="1">
      <c r="B602" s="63" t="s">
        <v>62</v>
      </c>
      <c r="C602" s="12" t="s">
        <v>29</v>
      </c>
      <c r="D602" s="12" t="s">
        <v>29</v>
      </c>
      <c r="E602" s="19">
        <v>8</v>
      </c>
      <c r="F602" s="277"/>
      <c r="G602" s="60"/>
      <c r="H602" s="12" t="s">
        <v>29</v>
      </c>
      <c r="I602" s="16"/>
      <c r="J602" s="19">
        <v>8</v>
      </c>
      <c r="K602" s="277"/>
      <c r="L602" s="60"/>
      <c r="M602" s="16" t="s">
        <v>29</v>
      </c>
      <c r="N602" s="16" t="s">
        <v>29</v>
      </c>
      <c r="O602" s="19">
        <v>8</v>
      </c>
      <c r="P602" s="277"/>
      <c r="Q602" s="60"/>
      <c r="R602" s="16" t="s">
        <v>29</v>
      </c>
      <c r="S602" s="16" t="s">
        <v>29</v>
      </c>
      <c r="T602" s="19">
        <v>8</v>
      </c>
      <c r="U602" s="277"/>
      <c r="V602" s="60"/>
      <c r="W602" s="16" t="s">
        <v>29</v>
      </c>
      <c r="X602" s="16" t="s">
        <v>29</v>
      </c>
      <c r="Y602" s="19">
        <v>8</v>
      </c>
      <c r="Z602" s="277"/>
      <c r="AA602" s="28">
        <f>SUM(E602+J602+O602+T602+Y602)</f>
        <v>40</v>
      </c>
      <c r="AB602" s="298">
        <f t="shared" si="78"/>
        <v>0</v>
      </c>
      <c r="AC602" s="4"/>
      <c r="AD602" s="56"/>
      <c r="AE602" s="56"/>
      <c r="AF602" s="19"/>
      <c r="AG602" s="29">
        <v>0</v>
      </c>
      <c r="AH602" s="4"/>
      <c r="AI602" s="255"/>
      <c r="AK602" s="193"/>
      <c r="AL602" s="193"/>
      <c r="AM602" s="193"/>
      <c r="AN602" s="193"/>
      <c r="AO602" s="193"/>
      <c r="AP602" s="193"/>
    </row>
    <row r="603" spans="2:42" s="180" customFormat="1">
      <c r="B603" s="63" t="s">
        <v>94</v>
      </c>
      <c r="C603" s="12" t="s">
        <v>29</v>
      </c>
      <c r="D603" s="12" t="s">
        <v>29</v>
      </c>
      <c r="E603" s="19">
        <v>2</v>
      </c>
      <c r="F603" s="277"/>
      <c r="G603" s="60"/>
      <c r="H603" s="12" t="s">
        <v>29</v>
      </c>
      <c r="I603" s="12" t="s">
        <v>29</v>
      </c>
      <c r="J603" s="19">
        <v>2</v>
      </c>
      <c r="K603" s="277"/>
      <c r="L603" s="60"/>
      <c r="M603" s="16" t="s">
        <v>29</v>
      </c>
      <c r="N603" s="16" t="s">
        <v>29</v>
      </c>
      <c r="O603" s="19">
        <v>2</v>
      </c>
      <c r="P603" s="277"/>
      <c r="Q603" s="60"/>
      <c r="R603" s="16" t="s">
        <v>29</v>
      </c>
      <c r="S603" s="16" t="s">
        <v>29</v>
      </c>
      <c r="T603" s="19">
        <v>2</v>
      </c>
      <c r="U603" s="277"/>
      <c r="V603" s="60"/>
      <c r="W603" s="16" t="s">
        <v>29</v>
      </c>
      <c r="X603" s="16" t="s">
        <v>29</v>
      </c>
      <c r="Y603" s="19">
        <v>2</v>
      </c>
      <c r="Z603" s="277"/>
      <c r="AA603" s="28">
        <f>SUM(E603+J603+O603+T603+Y603)</f>
        <v>10</v>
      </c>
      <c r="AB603" s="298">
        <f t="shared" si="78"/>
        <v>0</v>
      </c>
      <c r="AC603" s="4"/>
      <c r="AD603" s="56"/>
      <c r="AE603" s="56"/>
      <c r="AF603" s="19"/>
      <c r="AG603" s="29">
        <f>AF603</f>
        <v>0</v>
      </c>
      <c r="AH603" s="4"/>
      <c r="AI603" s="255"/>
      <c r="AK603" s="193"/>
      <c r="AL603" s="193"/>
      <c r="AM603" s="193"/>
      <c r="AN603" s="193"/>
      <c r="AO603" s="193"/>
      <c r="AP603" s="193"/>
    </row>
    <row r="604" spans="2:42" s="180" customFormat="1">
      <c r="B604" s="64" t="s">
        <v>61</v>
      </c>
      <c r="C604" s="64"/>
      <c r="D604" s="64"/>
      <c r="E604" s="167">
        <f>SUM(E571:E603)</f>
        <v>142.5</v>
      </c>
      <c r="F604" s="277">
        <f>SUM(F571:F603)</f>
        <v>3.5</v>
      </c>
      <c r="G604" s="64"/>
      <c r="H604" s="64"/>
      <c r="I604" s="64"/>
      <c r="J604" s="64">
        <f>SUM(J571:J603)</f>
        <v>152.75</v>
      </c>
      <c r="K604" s="277">
        <f>SUM(K571:K603)</f>
        <v>3.25</v>
      </c>
      <c r="L604" s="64"/>
      <c r="M604" s="64"/>
      <c r="N604" s="64"/>
      <c r="O604" s="167">
        <f>SUM(O571:O603)</f>
        <v>169.5</v>
      </c>
      <c r="P604" s="277">
        <f>SUM(P571:P603)</f>
        <v>4.25</v>
      </c>
      <c r="Q604" s="64"/>
      <c r="R604" s="64"/>
      <c r="S604" s="64"/>
      <c r="T604" s="167">
        <f>SUM(T571:T603)</f>
        <v>162</v>
      </c>
      <c r="U604" s="277">
        <f>SUM(U571:U603)</f>
        <v>9</v>
      </c>
      <c r="V604" s="64"/>
      <c r="W604" s="64"/>
      <c r="X604" s="64"/>
      <c r="Y604" s="167">
        <f>SUM(Y571:Y603)</f>
        <v>159.25</v>
      </c>
      <c r="Z604" s="277">
        <f>SUM(Z571:Z603)</f>
        <v>0</v>
      </c>
      <c r="AA604" s="370">
        <f>SUM(AA571:AA603)</f>
        <v>786</v>
      </c>
      <c r="AB604" s="289">
        <f>SUM(AB571:AB603)</f>
        <v>20</v>
      </c>
      <c r="AC604" s="4"/>
      <c r="AD604" s="64"/>
      <c r="AE604" s="64"/>
      <c r="AF604" s="167">
        <f>SUM(AF571:AF603)</f>
        <v>0</v>
      </c>
      <c r="AG604" s="370">
        <f>SUM(AG571:AG597)</f>
        <v>0</v>
      </c>
      <c r="AH604" s="4"/>
      <c r="AI604" s="255"/>
      <c r="AK604" s="193"/>
      <c r="AL604" s="193"/>
      <c r="AM604" s="193"/>
      <c r="AN604" s="193"/>
      <c r="AO604" s="193"/>
      <c r="AP604" s="193"/>
    </row>
    <row r="605" spans="2:42" s="180" customFormat="1">
      <c r="B605" s="63" t="s">
        <v>64</v>
      </c>
      <c r="C605" s="56"/>
      <c r="D605" s="56"/>
      <c r="E605" s="19"/>
      <c r="F605" s="291"/>
      <c r="G605" s="60"/>
      <c r="H605" s="56"/>
      <c r="I605" s="56"/>
      <c r="J605" s="19"/>
      <c r="K605" s="291"/>
      <c r="L605" s="60"/>
      <c r="M605" s="56"/>
      <c r="N605" s="56"/>
      <c r="O605" s="19"/>
      <c r="P605" s="19"/>
      <c r="Q605" s="60"/>
      <c r="R605" s="56"/>
      <c r="S605" s="56"/>
      <c r="T605" s="19"/>
      <c r="U605" s="19"/>
      <c r="V605" s="60"/>
      <c r="W605" s="56"/>
      <c r="X605" s="56"/>
      <c r="Y605" s="19"/>
      <c r="Z605" s="19"/>
      <c r="AA605" s="28">
        <f>SUM(E605+J605+O605+T605+Y605)</f>
        <v>0</v>
      </c>
      <c r="AB605" s="296">
        <f>Z605+U605+P605+K605+F605</f>
        <v>0</v>
      </c>
      <c r="AC605" s="4"/>
      <c r="AD605" s="56"/>
      <c r="AE605" s="56"/>
      <c r="AF605" s="19"/>
      <c r="AG605" s="29">
        <f>AF605</f>
        <v>0</v>
      </c>
      <c r="AH605" s="4"/>
      <c r="AI605" s="255"/>
      <c r="AK605" s="193"/>
      <c r="AL605" s="193"/>
      <c r="AM605" s="193"/>
      <c r="AN605" s="193"/>
      <c r="AO605" s="193"/>
      <c r="AP605" s="193"/>
    </row>
    <row r="606" spans="2:42" s="180" customFormat="1">
      <c r="B606" s="63" t="s">
        <v>110</v>
      </c>
      <c r="C606" s="56"/>
      <c r="D606" s="56"/>
      <c r="E606" s="19">
        <v>8</v>
      </c>
      <c r="F606" s="291">
        <v>0.5</v>
      </c>
      <c r="G606" s="60"/>
      <c r="H606" s="56"/>
      <c r="I606" s="56"/>
      <c r="J606" s="19">
        <v>4</v>
      </c>
      <c r="K606" s="291"/>
      <c r="L606" s="60"/>
      <c r="M606" s="56"/>
      <c r="N606" s="56"/>
      <c r="O606" s="19">
        <v>8</v>
      </c>
      <c r="P606" s="19">
        <v>0.5</v>
      </c>
      <c r="Q606" s="60"/>
      <c r="R606" s="56"/>
      <c r="S606" s="56"/>
      <c r="T606" s="19">
        <v>8</v>
      </c>
      <c r="U606" s="19">
        <v>0</v>
      </c>
      <c r="V606" s="60"/>
      <c r="W606" s="56"/>
      <c r="X606" s="56"/>
      <c r="Y606" s="19">
        <v>8</v>
      </c>
      <c r="Z606" s="19">
        <v>0</v>
      </c>
      <c r="AA606" s="28">
        <f>SUM(E606+J606+O606+T606+Y606)</f>
        <v>36</v>
      </c>
      <c r="AB606" s="296">
        <f>Z606+U606+P606+K606+F606</f>
        <v>1</v>
      </c>
      <c r="AC606" s="4"/>
      <c r="AD606" s="56"/>
      <c r="AE606" s="56"/>
      <c r="AF606" s="19"/>
      <c r="AG606" s="29">
        <f>AF606</f>
        <v>0</v>
      </c>
      <c r="AH606" s="4"/>
      <c r="AI606" s="255"/>
      <c r="AK606" s="193"/>
      <c r="AL606" s="193"/>
      <c r="AM606" s="193"/>
      <c r="AN606" s="193"/>
      <c r="AO606" s="193"/>
      <c r="AP606" s="193"/>
    </row>
    <row r="607" spans="2:42" s="180" customFormat="1">
      <c r="B607" s="71" t="s">
        <v>66</v>
      </c>
      <c r="C607" s="371"/>
      <c r="D607" s="371"/>
      <c r="E607" s="71">
        <f t="shared" ref="E607:AB607" si="81">SUM(E605:E606)</f>
        <v>8</v>
      </c>
      <c r="F607" s="71">
        <f t="shared" si="81"/>
        <v>0.5</v>
      </c>
      <c r="G607" s="71">
        <f t="shared" si="81"/>
        <v>0</v>
      </c>
      <c r="H607" s="71">
        <f t="shared" si="81"/>
        <v>0</v>
      </c>
      <c r="I607" s="71">
        <f t="shared" si="81"/>
        <v>0</v>
      </c>
      <c r="J607" s="71">
        <f t="shared" si="81"/>
        <v>4</v>
      </c>
      <c r="K607" s="71">
        <f t="shared" si="81"/>
        <v>0</v>
      </c>
      <c r="L607" s="71">
        <f t="shared" si="81"/>
        <v>0</v>
      </c>
      <c r="M607" s="71">
        <f t="shared" si="81"/>
        <v>0</v>
      </c>
      <c r="N607" s="71">
        <f t="shared" si="81"/>
        <v>0</v>
      </c>
      <c r="O607" s="71">
        <f t="shared" si="81"/>
        <v>8</v>
      </c>
      <c r="P607" s="71">
        <f t="shared" si="81"/>
        <v>0.5</v>
      </c>
      <c r="Q607" s="71">
        <f t="shared" si="81"/>
        <v>0</v>
      </c>
      <c r="R607" s="71">
        <f t="shared" si="81"/>
        <v>0</v>
      </c>
      <c r="S607" s="71">
        <f t="shared" si="81"/>
        <v>0</v>
      </c>
      <c r="T607" s="71">
        <f t="shared" si="81"/>
        <v>8</v>
      </c>
      <c r="U607" s="71">
        <f t="shared" si="81"/>
        <v>0</v>
      </c>
      <c r="V607" s="71">
        <f t="shared" si="81"/>
        <v>0</v>
      </c>
      <c r="W607" s="71">
        <f t="shared" si="81"/>
        <v>0</v>
      </c>
      <c r="X607" s="71">
        <f t="shared" si="81"/>
        <v>0</v>
      </c>
      <c r="Y607" s="71">
        <f t="shared" si="81"/>
        <v>8</v>
      </c>
      <c r="Z607" s="71">
        <f t="shared" si="81"/>
        <v>0</v>
      </c>
      <c r="AA607" s="370">
        <f t="shared" si="81"/>
        <v>36</v>
      </c>
      <c r="AB607" s="370">
        <f t="shared" si="81"/>
        <v>1</v>
      </c>
      <c r="AC607" s="4"/>
      <c r="AG607" s="370">
        <f>SUM(AG605:AG606)</f>
        <v>0</v>
      </c>
      <c r="AH607" s="4"/>
      <c r="AI607" s="255"/>
      <c r="AK607" s="193"/>
      <c r="AL607" s="193"/>
      <c r="AM607" s="193"/>
      <c r="AN607" s="193"/>
      <c r="AO607" s="193"/>
      <c r="AP607" s="193"/>
    </row>
    <row r="608" spans="2:42" s="180" customFormat="1">
      <c r="B608" s="217" t="s">
        <v>67</v>
      </c>
      <c r="C608" s="207">
        <f>C609+C610</f>
        <v>89</v>
      </c>
      <c r="D608" s="207"/>
      <c r="E608" s="209"/>
      <c r="F608" s="209"/>
      <c r="G608" s="207"/>
      <c r="H608" s="209"/>
      <c r="I608" s="209"/>
      <c r="J608" s="209"/>
      <c r="K608" s="209"/>
      <c r="L608" s="207"/>
      <c r="M608" s="207"/>
      <c r="N608" s="207"/>
      <c r="O608" s="207"/>
      <c r="P608" s="209"/>
      <c r="Q608" s="207"/>
      <c r="R608" s="207"/>
      <c r="S608" s="207"/>
      <c r="T608" s="207"/>
      <c r="U608" s="209"/>
      <c r="V608" s="207"/>
      <c r="W608" s="207"/>
      <c r="X608" s="207"/>
      <c r="Y608" s="210"/>
      <c r="Z608" s="209"/>
      <c r="AA608" s="211"/>
      <c r="AB608" s="209"/>
      <c r="AC608" s="211"/>
      <c r="AD608" s="211"/>
      <c r="AE608" s="211"/>
      <c r="AF608" s="211"/>
      <c r="AG608" s="211"/>
      <c r="AH608" s="4"/>
      <c r="AI608" s="255"/>
      <c r="AK608" s="193"/>
      <c r="AL608" s="193"/>
      <c r="AM608" s="193"/>
      <c r="AN608" s="193"/>
      <c r="AO608" s="193"/>
      <c r="AP608" s="193"/>
    </row>
    <row r="609" spans="1:42" s="180" customFormat="1">
      <c r="B609" s="238" t="s">
        <v>68</v>
      </c>
      <c r="C609" s="239">
        <f>15+17+19+18+20</f>
        <v>89</v>
      </c>
      <c r="D609" s="207"/>
      <c r="E609" s="209"/>
      <c r="F609" s="209"/>
      <c r="G609" s="207"/>
      <c r="H609" s="209"/>
      <c r="I609" s="209"/>
      <c r="J609" s="209"/>
      <c r="K609" s="209"/>
      <c r="L609" s="207"/>
      <c r="M609" s="207"/>
      <c r="N609" s="207"/>
      <c r="O609" s="207"/>
      <c r="P609" s="209"/>
      <c r="Q609" s="207"/>
      <c r="R609" s="207"/>
      <c r="S609" s="207"/>
      <c r="T609" s="207"/>
      <c r="U609" s="209"/>
      <c r="V609" s="207"/>
      <c r="W609" s="207"/>
      <c r="X609" s="207"/>
      <c r="Y609" s="210"/>
      <c r="Z609" s="209"/>
      <c r="AA609" s="211"/>
      <c r="AB609" s="209"/>
      <c r="AC609" s="211"/>
      <c r="AD609" s="211"/>
      <c r="AE609" s="211"/>
      <c r="AF609" s="211"/>
      <c r="AG609" s="211"/>
      <c r="AH609" s="4"/>
      <c r="AI609" s="255"/>
      <c r="AK609" s="193"/>
      <c r="AL609" s="193"/>
      <c r="AM609" s="193"/>
      <c r="AN609" s="193"/>
      <c r="AO609" s="193"/>
      <c r="AP609" s="193"/>
    </row>
    <row r="610" spans="1:42" s="180" customFormat="1">
      <c r="B610" s="238" t="s">
        <v>69</v>
      </c>
      <c r="C610" s="239"/>
      <c r="D610" s="207"/>
      <c r="E610" s="209"/>
      <c r="F610" s="209"/>
      <c r="G610" s="207"/>
      <c r="H610" s="209"/>
      <c r="I610" s="209"/>
      <c r="J610" s="209"/>
      <c r="K610" s="209"/>
      <c r="L610" s="207"/>
      <c r="M610" s="207"/>
      <c r="N610" s="207"/>
      <c r="O610" s="207"/>
      <c r="P610" s="209"/>
      <c r="Q610" s="207"/>
      <c r="R610" s="207"/>
      <c r="S610" s="207"/>
      <c r="T610" s="207"/>
      <c r="U610" s="209"/>
      <c r="V610" s="207"/>
      <c r="W610" s="207"/>
      <c r="X610" s="207"/>
      <c r="Y610" s="210"/>
      <c r="Z610" s="209"/>
      <c r="AA610" s="211"/>
      <c r="AB610" s="209"/>
      <c r="AC610" s="211"/>
      <c r="AD610" s="211"/>
      <c r="AE610" s="211"/>
      <c r="AF610" s="211"/>
      <c r="AG610" s="211"/>
      <c r="AH610" s="4"/>
      <c r="AI610" s="255"/>
      <c r="AK610" s="193"/>
      <c r="AL610" s="193"/>
      <c r="AM610" s="193"/>
      <c r="AN610" s="193"/>
      <c r="AO610" s="193"/>
      <c r="AP610" s="193"/>
    </row>
    <row r="611" spans="1:42" s="180" customFormat="1">
      <c r="E611" s="4"/>
      <c r="F611" s="4"/>
      <c r="G611" s="4"/>
      <c r="J611" s="4"/>
      <c r="K611" s="4"/>
      <c r="L611" s="4"/>
      <c r="O611" s="4"/>
      <c r="P611" s="4"/>
      <c r="Q611" s="4"/>
      <c r="T611" s="4"/>
      <c r="U611" s="4"/>
      <c r="V611" s="4"/>
      <c r="Y611" s="4"/>
      <c r="Z611" s="4"/>
      <c r="AA611" s="4"/>
      <c r="AB611" s="4"/>
      <c r="AC611" s="4"/>
      <c r="AH611" s="4"/>
    </row>
    <row r="612" spans="1:42" s="255" customFormat="1">
      <c r="A612" s="228"/>
      <c r="B612" s="229"/>
      <c r="C612" s="230"/>
      <c r="D612" s="230"/>
      <c r="E612" s="232"/>
      <c r="F612" s="232"/>
      <c r="G612" s="230"/>
      <c r="H612" s="232"/>
      <c r="I612" s="232"/>
      <c r="J612" s="232"/>
      <c r="K612" s="232"/>
      <c r="L612" s="230"/>
      <c r="M612" s="230"/>
      <c r="N612" s="230"/>
      <c r="O612" s="230"/>
      <c r="P612" s="232"/>
      <c r="Q612" s="230"/>
      <c r="R612" s="230"/>
      <c r="S612" s="230"/>
      <c r="T612" s="230"/>
      <c r="U612" s="232"/>
      <c r="V612" s="230"/>
      <c r="W612" s="230"/>
      <c r="X612" s="230"/>
      <c r="Y612" s="233"/>
      <c r="Z612" s="232"/>
      <c r="AA612" s="234"/>
      <c r="AB612" s="232"/>
      <c r="AC612" s="373"/>
      <c r="AD612" s="236"/>
      <c r="AH612" s="373"/>
    </row>
    <row r="613" spans="1:42" s="180" customFormat="1">
      <c r="E613" s="4"/>
      <c r="F613" s="4"/>
      <c r="G613" s="4"/>
      <c r="J613" s="4"/>
      <c r="K613" s="4"/>
      <c r="L613" s="4"/>
      <c r="O613" s="4"/>
      <c r="P613" s="4"/>
      <c r="Q613" s="4"/>
      <c r="T613" s="4"/>
      <c r="U613" s="4"/>
      <c r="V613" s="4"/>
      <c r="Y613" s="4"/>
      <c r="Z613" s="4"/>
      <c r="AA613" s="4"/>
      <c r="AB613" s="4"/>
      <c r="AC613" s="4"/>
      <c r="AH613" s="4"/>
    </row>
    <row r="614" spans="1:42" s="180" customFormat="1">
      <c r="B614" s="1518" t="s">
        <v>18</v>
      </c>
      <c r="C614" s="1519">
        <v>45278</v>
      </c>
      <c r="D614" s="1519"/>
      <c r="E614" s="1519"/>
      <c r="F614" s="1519"/>
      <c r="G614" s="365"/>
      <c r="H614" s="1519">
        <v>45279</v>
      </c>
      <c r="I614" s="1519"/>
      <c r="J614" s="1519"/>
      <c r="K614" s="1519"/>
      <c r="L614" s="365"/>
      <c r="M614" s="1519">
        <v>45280</v>
      </c>
      <c r="N614" s="1519"/>
      <c r="O614" s="1519"/>
      <c r="P614" s="1519"/>
      <c r="Q614" s="365"/>
      <c r="R614" s="1519">
        <v>45281</v>
      </c>
      <c r="S614" s="1519"/>
      <c r="T614" s="1519"/>
      <c r="U614" s="1519"/>
      <c r="V614" s="365"/>
      <c r="W614" s="1519">
        <v>45282</v>
      </c>
      <c r="X614" s="1519"/>
      <c r="Y614" s="1519"/>
      <c r="Z614" s="1519"/>
      <c r="AA614" s="1517" t="s">
        <v>19</v>
      </c>
      <c r="AB614" s="1517" t="s">
        <v>20</v>
      </c>
      <c r="AC614" s="4"/>
      <c r="AD614" s="1519">
        <v>45283</v>
      </c>
      <c r="AE614" s="1519"/>
      <c r="AF614" s="1519"/>
      <c r="AG614" s="1517" t="s">
        <v>21</v>
      </c>
      <c r="AH614" s="4"/>
      <c r="AI614" s="255"/>
      <c r="AK614" s="194" t="s">
        <v>84</v>
      </c>
      <c r="AL614" s="366"/>
      <c r="AM614" s="366"/>
      <c r="AN614" s="366"/>
      <c r="AO614" s="366"/>
      <c r="AP614" s="366"/>
    </row>
    <row r="615" spans="1:42" s="367" customFormat="1">
      <c r="B615" s="1518"/>
      <c r="C615" s="21" t="s">
        <v>23</v>
      </c>
      <c r="D615" s="21" t="s">
        <v>24</v>
      </c>
      <c r="E615" s="205" t="s">
        <v>25</v>
      </c>
      <c r="F615" s="18" t="s">
        <v>14</v>
      </c>
      <c r="G615" s="4"/>
      <c r="H615" s="21" t="s">
        <v>23</v>
      </c>
      <c r="I615" s="21" t="s">
        <v>24</v>
      </c>
      <c r="J615" s="18" t="s">
        <v>25</v>
      </c>
      <c r="K615" s="18" t="s">
        <v>14</v>
      </c>
      <c r="L615" s="4"/>
      <c r="M615" s="21" t="s">
        <v>23</v>
      </c>
      <c r="N615" s="21" t="s">
        <v>24</v>
      </c>
      <c r="O615" s="18" t="s">
        <v>25</v>
      </c>
      <c r="P615" s="18" t="s">
        <v>14</v>
      </c>
      <c r="Q615" s="4"/>
      <c r="R615" s="21" t="s">
        <v>23</v>
      </c>
      <c r="S615" s="21" t="s">
        <v>24</v>
      </c>
      <c r="T615" s="18" t="s">
        <v>25</v>
      </c>
      <c r="U615" s="18" t="s">
        <v>14</v>
      </c>
      <c r="V615" s="4"/>
      <c r="W615" s="21" t="s">
        <v>23</v>
      </c>
      <c r="X615" s="21" t="s">
        <v>24</v>
      </c>
      <c r="Y615" s="18" t="s">
        <v>25</v>
      </c>
      <c r="Z615" s="18" t="s">
        <v>14</v>
      </c>
      <c r="AA615" s="1517"/>
      <c r="AB615" s="1517"/>
      <c r="AC615" s="4"/>
      <c r="AD615" s="21" t="s">
        <v>23</v>
      </c>
      <c r="AE615" s="21" t="s">
        <v>24</v>
      </c>
      <c r="AF615" s="18" t="s">
        <v>25</v>
      </c>
      <c r="AG615" s="1517"/>
      <c r="AH615" s="175"/>
      <c r="AI615" s="368"/>
      <c r="AK615" s="188" t="s">
        <v>26</v>
      </c>
      <c r="AL615" s="196">
        <f>AA648</f>
        <v>831.75</v>
      </c>
      <c r="AM615" s="193"/>
      <c r="AN615" s="193"/>
      <c r="AO615" s="193"/>
      <c r="AP615" s="193"/>
    </row>
    <row r="616" spans="1:42" s="367" customFormat="1">
      <c r="B616" s="171" t="s">
        <v>72</v>
      </c>
      <c r="C616" s="172">
        <v>0.36458333333333331</v>
      </c>
      <c r="D616" s="172">
        <v>0.25</v>
      </c>
      <c r="E616" s="173">
        <v>8</v>
      </c>
      <c r="F616" s="277">
        <v>0.25</v>
      </c>
      <c r="G616" s="4"/>
      <c r="H616" s="172">
        <v>0.375</v>
      </c>
      <c r="I616" s="172">
        <v>0.25</v>
      </c>
      <c r="J616" s="173">
        <v>8</v>
      </c>
      <c r="K616" s="277"/>
      <c r="L616" s="4"/>
      <c r="M616" s="47">
        <v>0.35416666666666669</v>
      </c>
      <c r="N616" s="172">
        <v>0.25</v>
      </c>
      <c r="O616" s="173">
        <v>8</v>
      </c>
      <c r="P616" s="277">
        <v>0.5</v>
      </c>
      <c r="Q616" s="4"/>
      <c r="R616" s="47">
        <v>0.35416666666666669</v>
      </c>
      <c r="S616" s="172">
        <v>0.25</v>
      </c>
      <c r="T616" s="19">
        <v>8</v>
      </c>
      <c r="U616" s="277">
        <v>0.5</v>
      </c>
      <c r="V616" s="4"/>
      <c r="W616" s="47">
        <v>0.36458333333333331</v>
      </c>
      <c r="X616" s="172">
        <v>0.25</v>
      </c>
      <c r="Y616" s="19">
        <v>8</v>
      </c>
      <c r="Z616" s="277">
        <v>0.25</v>
      </c>
      <c r="AA616" s="28">
        <f t="shared" ref="AA616:AA644" si="82">(E616+J616+O616+T616+Y616)</f>
        <v>40</v>
      </c>
      <c r="AB616" s="298">
        <f t="shared" ref="AB616:AB632" si="83">Z616+U616+P616+K616+F616</f>
        <v>1.5</v>
      </c>
      <c r="AC616" s="4"/>
      <c r="AD616" s="175"/>
      <c r="AE616" s="175"/>
      <c r="AF616" s="173"/>
      <c r="AG616" s="28">
        <f t="shared" ref="AG616:AG644" si="84">AF616</f>
        <v>0</v>
      </c>
      <c r="AH616" s="175"/>
      <c r="AI616" s="368"/>
      <c r="AK616" s="188" t="s">
        <v>30</v>
      </c>
      <c r="AL616" s="196">
        <f>AB648</f>
        <v>19</v>
      </c>
      <c r="AM616" s="193"/>
      <c r="AN616" s="193"/>
      <c r="AO616" s="193"/>
      <c r="AP616" s="193"/>
    </row>
    <row r="617" spans="1:42" s="367" customFormat="1">
      <c r="B617" s="171" t="s">
        <v>71</v>
      </c>
      <c r="C617" s="172">
        <v>0.33333333333333331</v>
      </c>
      <c r="D617" s="172">
        <v>0.25</v>
      </c>
      <c r="E617" s="173">
        <v>8</v>
      </c>
      <c r="F617" s="277">
        <v>1</v>
      </c>
      <c r="G617" s="4"/>
      <c r="H617" s="172">
        <v>0.33333333333333331</v>
      </c>
      <c r="I617" s="172">
        <v>0.25</v>
      </c>
      <c r="J617" s="173">
        <v>8</v>
      </c>
      <c r="K617" s="277">
        <v>1</v>
      </c>
      <c r="L617" s="4"/>
      <c r="M617" s="172">
        <v>0.33333333333333331</v>
      </c>
      <c r="N617" s="172">
        <v>0.25</v>
      </c>
      <c r="O617" s="173">
        <v>8</v>
      </c>
      <c r="P617" s="277">
        <v>1</v>
      </c>
      <c r="Q617" s="4"/>
      <c r="R617" s="16" t="s">
        <v>29</v>
      </c>
      <c r="S617" s="16" t="s">
        <v>29</v>
      </c>
      <c r="T617" s="19">
        <v>0</v>
      </c>
      <c r="U617" s="277"/>
      <c r="V617" s="4"/>
      <c r="W617" s="16" t="s">
        <v>29</v>
      </c>
      <c r="X617" s="16" t="s">
        <v>29</v>
      </c>
      <c r="Y617" s="19">
        <v>0</v>
      </c>
      <c r="Z617" s="277"/>
      <c r="AA617" s="28">
        <f t="shared" si="82"/>
        <v>24</v>
      </c>
      <c r="AB617" s="298">
        <f t="shared" si="83"/>
        <v>3</v>
      </c>
      <c r="AC617" s="4"/>
      <c r="AD617" s="175"/>
      <c r="AE617" s="175"/>
      <c r="AF617" s="173"/>
      <c r="AG617" s="28">
        <f t="shared" si="84"/>
        <v>0</v>
      </c>
      <c r="AH617" s="175"/>
      <c r="AI617" s="368"/>
      <c r="AK617" s="188" t="s">
        <v>32</v>
      </c>
      <c r="AL617" s="196">
        <f>AG648</f>
        <v>0</v>
      </c>
      <c r="AM617" s="193"/>
      <c r="AN617" s="193"/>
      <c r="AO617" s="193"/>
      <c r="AP617" s="193"/>
    </row>
    <row r="618" spans="1:42" s="401" customFormat="1">
      <c r="B618" s="13" t="s">
        <v>109</v>
      </c>
      <c r="C618" s="314">
        <v>0.375</v>
      </c>
      <c r="D618" s="314">
        <v>0.25</v>
      </c>
      <c r="E618" s="19">
        <v>8</v>
      </c>
      <c r="F618" s="277"/>
      <c r="G618" s="399"/>
      <c r="H618" s="314">
        <v>0.375</v>
      </c>
      <c r="I618" s="172">
        <v>0.25</v>
      </c>
      <c r="J618" s="19">
        <v>8</v>
      </c>
      <c r="K618" s="277"/>
      <c r="L618" s="399"/>
      <c r="M618" s="47">
        <v>0.36458333333333331</v>
      </c>
      <c r="N618" s="172">
        <v>0.25</v>
      </c>
      <c r="O618" s="319">
        <v>8</v>
      </c>
      <c r="P618" s="277">
        <v>0.25</v>
      </c>
      <c r="Q618" s="399"/>
      <c r="R618" s="47">
        <v>0.375</v>
      </c>
      <c r="S618" s="172">
        <v>0.25</v>
      </c>
      <c r="T618" s="19">
        <v>8</v>
      </c>
      <c r="U618" s="277"/>
      <c r="V618" s="399"/>
      <c r="W618" s="47">
        <v>0.375</v>
      </c>
      <c r="X618" s="172">
        <v>0.25</v>
      </c>
      <c r="Y618" s="19">
        <v>8</v>
      </c>
      <c r="Z618" s="277"/>
      <c r="AA618" s="29">
        <f t="shared" si="82"/>
        <v>40</v>
      </c>
      <c r="AB618" s="298">
        <f t="shared" si="83"/>
        <v>0.25</v>
      </c>
      <c r="AC618" s="399"/>
      <c r="AD618" s="345"/>
      <c r="AE618" s="345"/>
      <c r="AF618" s="346"/>
      <c r="AG618" s="29">
        <f t="shared" si="84"/>
        <v>0</v>
      </c>
      <c r="AH618" s="399"/>
      <c r="AI618" s="402"/>
      <c r="AK618" s="403" t="s">
        <v>34</v>
      </c>
      <c r="AL618" s="404">
        <f>AA651</f>
        <v>40</v>
      </c>
      <c r="AM618" s="405"/>
      <c r="AN618" s="405"/>
      <c r="AO618" s="405"/>
      <c r="AP618" s="405"/>
    </row>
    <row r="619" spans="1:42" s="180" customFormat="1">
      <c r="B619" s="13" t="s">
        <v>93</v>
      </c>
      <c r="C619" s="47">
        <v>0.38541666666666669</v>
      </c>
      <c r="D619" s="314">
        <v>0.25</v>
      </c>
      <c r="E619" s="319">
        <v>7</v>
      </c>
      <c r="F619" s="277"/>
      <c r="G619" s="175"/>
      <c r="H619" s="47">
        <v>0.33333333333333331</v>
      </c>
      <c r="I619" s="172">
        <v>0.25</v>
      </c>
      <c r="J619" s="319">
        <v>8</v>
      </c>
      <c r="K619" s="277">
        <v>1</v>
      </c>
      <c r="L619" s="175"/>
      <c r="M619" s="47">
        <v>0.33333333333333331</v>
      </c>
      <c r="N619" s="172">
        <v>0.25</v>
      </c>
      <c r="O619" s="319">
        <v>8</v>
      </c>
      <c r="P619" s="277">
        <v>1</v>
      </c>
      <c r="Q619" s="175"/>
      <c r="R619" s="47" t="s">
        <v>114</v>
      </c>
      <c r="S619" s="16" t="s">
        <v>29</v>
      </c>
      <c r="T619" s="19">
        <v>0</v>
      </c>
      <c r="U619" s="277"/>
      <c r="V619" s="175"/>
      <c r="W619" s="47" t="s">
        <v>114</v>
      </c>
      <c r="X619" s="16" t="s">
        <v>29</v>
      </c>
      <c r="Y619" s="19">
        <v>0</v>
      </c>
      <c r="Z619" s="277"/>
      <c r="AA619" s="344">
        <f t="shared" si="82"/>
        <v>23</v>
      </c>
      <c r="AB619" s="298">
        <f t="shared" si="83"/>
        <v>2</v>
      </c>
      <c r="AC619" s="175"/>
      <c r="AD619" s="345"/>
      <c r="AE619" s="345"/>
      <c r="AF619" s="346"/>
      <c r="AG619" s="344">
        <f t="shared" si="84"/>
        <v>0</v>
      </c>
      <c r="AH619" s="4"/>
      <c r="AI619" s="255"/>
      <c r="AK619" s="188" t="s">
        <v>36</v>
      </c>
      <c r="AL619" s="196">
        <f>AB651</f>
        <v>0</v>
      </c>
      <c r="AM619" s="193"/>
      <c r="AN619" s="193"/>
      <c r="AO619" s="193"/>
      <c r="AP619" s="193"/>
    </row>
    <row r="620" spans="1:42" s="367" customFormat="1">
      <c r="B620" s="13" t="s">
        <v>97</v>
      </c>
      <c r="C620" s="47">
        <v>0.375</v>
      </c>
      <c r="D620" s="314">
        <v>0.25</v>
      </c>
      <c r="E620" s="319">
        <v>8</v>
      </c>
      <c r="F620" s="277"/>
      <c r="G620" s="175"/>
      <c r="H620" s="47">
        <v>0.34375</v>
      </c>
      <c r="I620" s="172">
        <v>0.25</v>
      </c>
      <c r="J620" s="319">
        <v>8</v>
      </c>
      <c r="K620" s="277">
        <v>0.75</v>
      </c>
      <c r="L620" s="175"/>
      <c r="M620" s="47">
        <v>0.36458333333333331</v>
      </c>
      <c r="N620" s="172">
        <v>0.25</v>
      </c>
      <c r="O620" s="319">
        <v>8</v>
      </c>
      <c r="P620" s="277">
        <v>0.25</v>
      </c>
      <c r="Q620" s="175"/>
      <c r="R620" s="47">
        <v>0.35416666666666669</v>
      </c>
      <c r="S620" s="172">
        <v>0.25</v>
      </c>
      <c r="T620" s="19">
        <v>8</v>
      </c>
      <c r="U620" s="277">
        <v>0.5</v>
      </c>
      <c r="V620" s="175"/>
      <c r="W620" s="4">
        <v>0</v>
      </c>
      <c r="X620" s="4">
        <v>0</v>
      </c>
      <c r="Y620" s="19">
        <v>0</v>
      </c>
      <c r="Z620" s="277"/>
      <c r="AA620" s="344">
        <f t="shared" si="82"/>
        <v>32</v>
      </c>
      <c r="AB620" s="298">
        <f t="shared" si="83"/>
        <v>1.5</v>
      </c>
      <c r="AC620" s="175"/>
      <c r="AD620" s="345"/>
      <c r="AE620" s="345"/>
      <c r="AF620" s="346"/>
      <c r="AG620" s="344">
        <f t="shared" si="84"/>
        <v>0</v>
      </c>
      <c r="AH620" s="175"/>
      <c r="AI620" s="368"/>
      <c r="AK620" s="188" t="s">
        <v>38</v>
      </c>
      <c r="AL620" s="196">
        <f>AG649</f>
        <v>0</v>
      </c>
      <c r="AM620" s="193"/>
      <c r="AN620" s="193"/>
      <c r="AO620" s="193"/>
      <c r="AP620" s="193"/>
    </row>
    <row r="621" spans="1:42" s="180" customFormat="1">
      <c r="B621" s="13" t="s">
        <v>49</v>
      </c>
      <c r="C621" s="47">
        <v>0</v>
      </c>
      <c r="D621" s="47">
        <v>0</v>
      </c>
      <c r="E621" s="19">
        <v>0</v>
      </c>
      <c r="F621" s="277"/>
      <c r="G621" s="4"/>
      <c r="H621" s="47">
        <v>0.375</v>
      </c>
      <c r="I621" s="172">
        <v>0.25</v>
      </c>
      <c r="J621" s="319">
        <v>8</v>
      </c>
      <c r="K621" s="277"/>
      <c r="L621" s="4"/>
      <c r="M621" s="47">
        <v>0.375</v>
      </c>
      <c r="N621" s="172">
        <v>0.25</v>
      </c>
      <c r="O621" s="319">
        <v>8</v>
      </c>
      <c r="P621" s="277"/>
      <c r="Q621" s="4"/>
      <c r="R621" s="47" t="s">
        <v>114</v>
      </c>
      <c r="S621" s="47" t="s">
        <v>29</v>
      </c>
      <c r="T621" s="19">
        <v>0</v>
      </c>
      <c r="U621" s="277"/>
      <c r="V621" s="4"/>
      <c r="W621" s="47">
        <v>0</v>
      </c>
      <c r="X621" s="4">
        <v>0</v>
      </c>
      <c r="Y621" s="19">
        <v>0</v>
      </c>
      <c r="Z621" s="277"/>
      <c r="AA621" s="29">
        <f t="shared" si="82"/>
        <v>16</v>
      </c>
      <c r="AB621" s="298">
        <f t="shared" si="83"/>
        <v>0</v>
      </c>
      <c r="AC621" s="4"/>
      <c r="AD621" s="345"/>
      <c r="AE621" s="345"/>
      <c r="AF621" s="346"/>
      <c r="AG621" s="29">
        <f t="shared" si="84"/>
        <v>0</v>
      </c>
      <c r="AH621" s="4"/>
      <c r="AI621" s="255"/>
      <c r="AK621" s="188" t="s">
        <v>41</v>
      </c>
      <c r="AL621" s="196">
        <f>C652</f>
        <v>74</v>
      </c>
      <c r="AM621" s="369"/>
      <c r="AN621" s="369"/>
      <c r="AO621" s="369"/>
      <c r="AP621" s="369"/>
    </row>
    <row r="622" spans="1:42" s="180" customFormat="1">
      <c r="B622" s="13" t="s">
        <v>51</v>
      </c>
      <c r="C622" s="47">
        <v>0.38541666666666669</v>
      </c>
      <c r="D622" s="314">
        <v>0.25</v>
      </c>
      <c r="E622" s="19">
        <v>7.75</v>
      </c>
      <c r="F622" s="277"/>
      <c r="G622" s="4"/>
      <c r="H622" s="47">
        <v>0.39583333333333331</v>
      </c>
      <c r="I622" s="172">
        <v>0.25</v>
      </c>
      <c r="J622" s="319">
        <v>7.5</v>
      </c>
      <c r="K622" s="277"/>
      <c r="L622" s="4"/>
      <c r="M622" s="47">
        <v>0</v>
      </c>
      <c r="N622" s="47">
        <v>0</v>
      </c>
      <c r="O622" s="319">
        <v>0</v>
      </c>
      <c r="P622" s="277"/>
      <c r="Q622" s="4"/>
      <c r="R622" s="16" t="s">
        <v>29</v>
      </c>
      <c r="S622" s="16" t="s">
        <v>29</v>
      </c>
      <c r="T622" s="19">
        <v>0</v>
      </c>
      <c r="U622" s="277"/>
      <c r="V622" s="4"/>
      <c r="W622" s="47" t="s">
        <v>29</v>
      </c>
      <c r="X622" s="4" t="s">
        <v>29</v>
      </c>
      <c r="Y622" s="19">
        <v>0</v>
      </c>
      <c r="Z622" s="277"/>
      <c r="AA622" s="29">
        <f t="shared" si="82"/>
        <v>15.25</v>
      </c>
      <c r="AB622" s="298">
        <f t="shared" si="83"/>
        <v>0</v>
      </c>
      <c r="AC622" s="4"/>
      <c r="AD622" s="345"/>
      <c r="AE622" s="345"/>
      <c r="AF622" s="346"/>
      <c r="AG622" s="29">
        <f t="shared" si="84"/>
        <v>0</v>
      </c>
      <c r="AH622" s="4"/>
      <c r="AI622" s="255"/>
      <c r="AK622" s="193"/>
      <c r="AL622" s="193"/>
      <c r="AM622" s="193"/>
      <c r="AN622" s="193"/>
      <c r="AO622" s="193"/>
      <c r="AP622" s="193"/>
    </row>
    <row r="623" spans="1:42" s="180" customFormat="1">
      <c r="B623" s="13" t="s">
        <v>53</v>
      </c>
      <c r="C623" s="47">
        <v>0.38541666666666669</v>
      </c>
      <c r="D623" s="314">
        <v>0.25</v>
      </c>
      <c r="E623" s="19">
        <v>7.75</v>
      </c>
      <c r="F623" s="277"/>
      <c r="G623" s="4"/>
      <c r="H623" s="47">
        <v>0</v>
      </c>
      <c r="I623" s="314">
        <v>0</v>
      </c>
      <c r="J623" s="319">
        <v>0</v>
      </c>
      <c r="K623" s="277"/>
      <c r="L623" s="4"/>
      <c r="M623" s="47">
        <v>0.38541666666666669</v>
      </c>
      <c r="N623" s="172">
        <v>0.25</v>
      </c>
      <c r="O623" s="319">
        <v>7.75</v>
      </c>
      <c r="P623" s="277"/>
      <c r="Q623" s="4"/>
      <c r="R623" s="16" t="s">
        <v>29</v>
      </c>
      <c r="S623" s="16" t="s">
        <v>29</v>
      </c>
      <c r="T623" s="19">
        <v>0</v>
      </c>
      <c r="U623" s="277"/>
      <c r="V623" s="4"/>
      <c r="W623" s="47" t="s">
        <v>29</v>
      </c>
      <c r="X623" s="4" t="s">
        <v>29</v>
      </c>
      <c r="Y623" s="19">
        <v>0</v>
      </c>
      <c r="Z623" s="277"/>
      <c r="AA623" s="29">
        <f t="shared" si="82"/>
        <v>15.5</v>
      </c>
      <c r="AB623" s="298">
        <f t="shared" si="83"/>
        <v>0</v>
      </c>
      <c r="AC623" s="4"/>
      <c r="AD623" s="345"/>
      <c r="AE623" s="345"/>
      <c r="AF623" s="346"/>
      <c r="AG623" s="29">
        <f t="shared" si="84"/>
        <v>0</v>
      </c>
      <c r="AH623" s="4"/>
      <c r="AI623" s="255"/>
      <c r="AK623" s="193"/>
      <c r="AL623" s="193"/>
      <c r="AM623" s="193"/>
      <c r="AN623" s="193"/>
      <c r="AO623" s="193"/>
      <c r="AP623" s="193"/>
    </row>
    <row r="624" spans="1:42" s="180" customFormat="1">
      <c r="B624" s="13" t="s">
        <v>91</v>
      </c>
      <c r="C624" s="47">
        <v>0.375</v>
      </c>
      <c r="D624" s="314">
        <v>0.25</v>
      </c>
      <c r="E624" s="19">
        <v>8</v>
      </c>
      <c r="F624" s="277"/>
      <c r="G624" s="4"/>
      <c r="H624" s="47">
        <v>0.36458333333333331</v>
      </c>
      <c r="I624" s="172">
        <v>0.25</v>
      </c>
      <c r="J624" s="319">
        <v>8</v>
      </c>
      <c r="K624" s="277">
        <v>0.25</v>
      </c>
      <c r="L624" s="4"/>
      <c r="M624" s="47">
        <v>0.375</v>
      </c>
      <c r="N624" s="172">
        <v>0.25</v>
      </c>
      <c r="O624" s="319">
        <v>8</v>
      </c>
      <c r="P624" s="277"/>
      <c r="Q624" s="4"/>
      <c r="R624" s="47" t="s">
        <v>114</v>
      </c>
      <c r="S624" s="4" t="s">
        <v>29</v>
      </c>
      <c r="T624" s="19">
        <v>0</v>
      </c>
      <c r="U624" s="277"/>
      <c r="V624" s="4"/>
      <c r="W624" s="47" t="s">
        <v>114</v>
      </c>
      <c r="X624" s="16" t="s">
        <v>29</v>
      </c>
      <c r="Y624" s="19">
        <v>0</v>
      </c>
      <c r="Z624" s="277"/>
      <c r="AA624" s="29">
        <f t="shared" si="82"/>
        <v>24</v>
      </c>
      <c r="AB624" s="298">
        <f t="shared" si="83"/>
        <v>0.25</v>
      </c>
      <c r="AC624" s="4"/>
      <c r="AD624" s="345"/>
      <c r="AE624" s="345"/>
      <c r="AF624" s="346"/>
      <c r="AG624" s="29">
        <f t="shared" si="84"/>
        <v>0</v>
      </c>
      <c r="AH624" s="4"/>
      <c r="AI624" s="255"/>
      <c r="AK624" s="193"/>
      <c r="AL624" s="193"/>
      <c r="AM624" s="193"/>
      <c r="AN624" s="193"/>
      <c r="AO624" s="193"/>
      <c r="AP624" s="193"/>
    </row>
    <row r="625" spans="2:42" s="180" customFormat="1">
      <c r="B625" s="13" t="s">
        <v>35</v>
      </c>
      <c r="C625" s="47">
        <v>0</v>
      </c>
      <c r="D625" s="47">
        <v>0</v>
      </c>
      <c r="E625" s="19">
        <v>0</v>
      </c>
      <c r="F625" s="277"/>
      <c r="G625" s="4"/>
      <c r="H625" s="47">
        <v>0</v>
      </c>
      <c r="I625" s="47">
        <v>0</v>
      </c>
      <c r="J625" s="319">
        <v>0</v>
      </c>
      <c r="K625" s="277"/>
      <c r="L625" s="4"/>
      <c r="M625" s="47">
        <v>0</v>
      </c>
      <c r="N625" s="47">
        <v>0</v>
      </c>
      <c r="O625" s="319">
        <v>0</v>
      </c>
      <c r="P625" s="277"/>
      <c r="Q625" s="4"/>
      <c r="R625" s="47">
        <v>0.35416666666666669</v>
      </c>
      <c r="S625" s="172">
        <v>0.25</v>
      </c>
      <c r="T625" s="19">
        <v>8</v>
      </c>
      <c r="U625" s="277">
        <v>0.5</v>
      </c>
      <c r="V625" s="4"/>
      <c r="W625" s="47">
        <v>0.35416666666666669</v>
      </c>
      <c r="X625" s="172">
        <v>0.25</v>
      </c>
      <c r="Y625" s="19">
        <v>8</v>
      </c>
      <c r="Z625" s="277">
        <v>0.5</v>
      </c>
      <c r="AA625" s="29">
        <f t="shared" si="82"/>
        <v>16</v>
      </c>
      <c r="AB625" s="298">
        <f t="shared" si="83"/>
        <v>1</v>
      </c>
      <c r="AC625" s="4"/>
      <c r="AD625" s="345"/>
      <c r="AE625" s="345"/>
      <c r="AF625" s="346"/>
      <c r="AG625" s="29">
        <f t="shared" si="84"/>
        <v>0</v>
      </c>
      <c r="AH625" s="4"/>
      <c r="AI625" s="255"/>
      <c r="AK625" s="193"/>
      <c r="AL625" s="193"/>
      <c r="AM625" s="193"/>
      <c r="AN625" s="193"/>
      <c r="AO625" s="193"/>
      <c r="AP625" s="193"/>
    </row>
    <row r="626" spans="2:42" s="180" customFormat="1">
      <c r="B626" s="8" t="s">
        <v>46</v>
      </c>
      <c r="C626" s="47">
        <v>0.375</v>
      </c>
      <c r="D626" s="314">
        <v>0.25</v>
      </c>
      <c r="E626" s="19">
        <v>8</v>
      </c>
      <c r="F626" s="277"/>
      <c r="G626" s="4"/>
      <c r="H626" s="47">
        <v>0.35416666666666669</v>
      </c>
      <c r="I626" s="172">
        <v>0.25</v>
      </c>
      <c r="J626" s="319">
        <v>8</v>
      </c>
      <c r="K626" s="277">
        <v>0.5</v>
      </c>
      <c r="L626" s="4"/>
      <c r="M626" s="47">
        <v>0.375</v>
      </c>
      <c r="N626" s="172">
        <v>0.25</v>
      </c>
      <c r="O626" s="319">
        <v>8</v>
      </c>
      <c r="P626" s="277"/>
      <c r="Q626" s="4"/>
      <c r="R626" s="47">
        <v>0.35416666666666669</v>
      </c>
      <c r="S626" s="172">
        <v>0.25</v>
      </c>
      <c r="T626" s="19">
        <v>8</v>
      </c>
      <c r="U626" s="277">
        <v>0.5</v>
      </c>
      <c r="V626" s="4"/>
      <c r="W626" s="47">
        <v>0.35416666666666669</v>
      </c>
      <c r="X626" s="172">
        <v>0.25</v>
      </c>
      <c r="Y626" s="19">
        <v>8</v>
      </c>
      <c r="Z626" s="277">
        <v>0.5</v>
      </c>
      <c r="AA626" s="29">
        <f t="shared" si="82"/>
        <v>40</v>
      </c>
      <c r="AB626" s="298">
        <f t="shared" si="83"/>
        <v>1.5</v>
      </c>
      <c r="AC626" s="4"/>
      <c r="AD626" s="345"/>
      <c r="AE626" s="345"/>
      <c r="AF626" s="346"/>
      <c r="AG626" s="29">
        <f t="shared" si="84"/>
        <v>0</v>
      </c>
      <c r="AH626" s="4"/>
      <c r="AI626" s="255"/>
      <c r="AK626" s="193"/>
      <c r="AL626" s="193"/>
      <c r="AM626" s="193"/>
      <c r="AN626" s="193"/>
      <c r="AO626" s="193"/>
      <c r="AP626" s="193"/>
    </row>
    <row r="627" spans="2:42" s="180" customFormat="1">
      <c r="B627" s="13" t="s">
        <v>50</v>
      </c>
      <c r="C627" s="47">
        <v>0.39583333333333331</v>
      </c>
      <c r="D627" s="314">
        <v>0.25</v>
      </c>
      <c r="E627" s="19">
        <v>7.5</v>
      </c>
      <c r="F627" s="277"/>
      <c r="G627" s="4"/>
      <c r="H627" s="47">
        <v>0.39583333333333331</v>
      </c>
      <c r="I627" s="172">
        <v>0.25</v>
      </c>
      <c r="J627" s="19">
        <v>8</v>
      </c>
      <c r="K627" s="277"/>
      <c r="L627" s="4"/>
      <c r="M627" s="47">
        <v>0.38541666666666669</v>
      </c>
      <c r="N627" s="172">
        <v>0.25</v>
      </c>
      <c r="O627" s="319">
        <v>7.75</v>
      </c>
      <c r="P627" s="277"/>
      <c r="Q627" s="4"/>
      <c r="R627" s="47" t="s">
        <v>29</v>
      </c>
      <c r="S627" s="4" t="s">
        <v>29</v>
      </c>
      <c r="T627" s="19">
        <v>0</v>
      </c>
      <c r="U627" s="277"/>
      <c r="V627" s="4"/>
      <c r="W627" s="47" t="s">
        <v>29</v>
      </c>
      <c r="X627" s="4" t="s">
        <v>29</v>
      </c>
      <c r="Y627" s="19">
        <v>0</v>
      </c>
      <c r="Z627" s="277"/>
      <c r="AA627" s="29">
        <f t="shared" si="82"/>
        <v>23.25</v>
      </c>
      <c r="AB627" s="298">
        <f t="shared" si="83"/>
        <v>0</v>
      </c>
      <c r="AC627" s="4"/>
      <c r="AD627" s="345"/>
      <c r="AE627" s="345"/>
      <c r="AF627" s="346"/>
      <c r="AG627" s="29">
        <f t="shared" si="84"/>
        <v>0</v>
      </c>
      <c r="AH627" s="4"/>
      <c r="AI627" s="255"/>
      <c r="AK627" s="193"/>
      <c r="AL627" s="193"/>
      <c r="AM627" s="193"/>
      <c r="AN627" s="193"/>
      <c r="AO627" s="193"/>
      <c r="AP627" s="193"/>
    </row>
    <row r="628" spans="2:42" s="180" customFormat="1">
      <c r="B628" s="13" t="s">
        <v>43</v>
      </c>
      <c r="C628" s="47">
        <v>0</v>
      </c>
      <c r="D628" s="47">
        <v>0</v>
      </c>
      <c r="E628" s="19">
        <v>0</v>
      </c>
      <c r="F628" s="277"/>
      <c r="G628" s="4"/>
      <c r="H628" s="47">
        <v>0</v>
      </c>
      <c r="I628" s="314">
        <v>0</v>
      </c>
      <c r="J628" s="319">
        <v>0</v>
      </c>
      <c r="K628" s="277"/>
      <c r="L628" s="4"/>
      <c r="M628" s="47">
        <v>0</v>
      </c>
      <c r="N628" s="47">
        <v>0</v>
      </c>
      <c r="O628" s="319">
        <v>0</v>
      </c>
      <c r="P628" s="277"/>
      <c r="Q628" s="4"/>
      <c r="R628" s="16" t="s">
        <v>29</v>
      </c>
      <c r="S628" s="16" t="s">
        <v>29</v>
      </c>
      <c r="T628" s="19">
        <v>0</v>
      </c>
      <c r="U628" s="277"/>
      <c r="V628" s="4"/>
      <c r="W628" s="47" t="s">
        <v>29</v>
      </c>
      <c r="X628" s="4" t="s">
        <v>29</v>
      </c>
      <c r="Y628" s="19">
        <v>0</v>
      </c>
      <c r="Z628" s="277"/>
      <c r="AA628" s="29">
        <f t="shared" si="82"/>
        <v>0</v>
      </c>
      <c r="AB628" s="298">
        <f t="shared" si="83"/>
        <v>0</v>
      </c>
      <c r="AC628" s="4"/>
      <c r="AD628" s="345"/>
      <c r="AE628" s="345"/>
      <c r="AF628" s="346"/>
      <c r="AG628" s="29">
        <f t="shared" si="84"/>
        <v>0</v>
      </c>
      <c r="AH628" s="4"/>
      <c r="AI628" s="255"/>
      <c r="AK628" s="193"/>
      <c r="AL628" s="193"/>
      <c r="AM628" s="193"/>
      <c r="AN628" s="193"/>
      <c r="AO628" s="193"/>
      <c r="AP628" s="193"/>
    </row>
    <row r="629" spans="2:42" s="180" customFormat="1">
      <c r="B629" s="13" t="s">
        <v>113</v>
      </c>
      <c r="C629" s="47">
        <v>0.35416666666666669</v>
      </c>
      <c r="D629" s="314">
        <v>0.25</v>
      </c>
      <c r="E629" s="19">
        <v>8</v>
      </c>
      <c r="F629" s="277">
        <v>0.5</v>
      </c>
      <c r="G629" s="4"/>
      <c r="H629" s="47">
        <v>0.34375</v>
      </c>
      <c r="I629" s="172">
        <v>0.25</v>
      </c>
      <c r="J629" s="19">
        <v>8</v>
      </c>
      <c r="K629" s="277">
        <v>0.75</v>
      </c>
      <c r="L629" s="4"/>
      <c r="M629" s="47">
        <v>0.33333333333333331</v>
      </c>
      <c r="N629" s="172">
        <v>0.25</v>
      </c>
      <c r="O629" s="319">
        <v>8</v>
      </c>
      <c r="P629" s="277">
        <v>1</v>
      </c>
      <c r="Q629" s="4"/>
      <c r="R629" s="47">
        <v>0.35416666666666669</v>
      </c>
      <c r="S629" s="172">
        <v>0.25</v>
      </c>
      <c r="T629" s="19">
        <v>8</v>
      </c>
      <c r="U629" s="277">
        <v>0.5</v>
      </c>
      <c r="V629" s="4"/>
      <c r="W629" s="47">
        <v>0.34375</v>
      </c>
      <c r="X629" s="172">
        <v>0.25</v>
      </c>
      <c r="Y629" s="19">
        <v>8</v>
      </c>
      <c r="Z629" s="277">
        <v>0.75</v>
      </c>
      <c r="AA629" s="29">
        <f t="shared" si="82"/>
        <v>40</v>
      </c>
      <c r="AB629" s="298">
        <f t="shared" si="83"/>
        <v>3.5</v>
      </c>
      <c r="AC629" s="4"/>
      <c r="AD629" s="4"/>
      <c r="AE629" s="4"/>
      <c r="AF629" s="19"/>
      <c r="AG629" s="29">
        <f t="shared" si="84"/>
        <v>0</v>
      </c>
      <c r="AH629" s="4"/>
      <c r="AI629" s="255"/>
      <c r="AK629" s="193"/>
      <c r="AL629" s="193"/>
      <c r="AM629" s="193"/>
      <c r="AN629" s="193"/>
      <c r="AO629" s="193"/>
      <c r="AP629" s="193"/>
    </row>
    <row r="630" spans="2:42" s="180" customFormat="1">
      <c r="B630" s="13" t="s">
        <v>108</v>
      </c>
      <c r="C630" s="47">
        <v>0.39583333333333331</v>
      </c>
      <c r="D630" s="314">
        <v>0.25</v>
      </c>
      <c r="E630" s="19">
        <v>7.5</v>
      </c>
      <c r="F630" s="277"/>
      <c r="G630" s="4"/>
      <c r="H630" s="47">
        <v>0.36458333333333331</v>
      </c>
      <c r="I630" s="172">
        <v>0.25</v>
      </c>
      <c r="J630" s="19">
        <v>8</v>
      </c>
      <c r="K630" s="277">
        <v>0.25</v>
      </c>
      <c r="L630" s="4"/>
      <c r="M630" s="47">
        <v>0.36458333333333331</v>
      </c>
      <c r="N630" s="172">
        <v>0.25</v>
      </c>
      <c r="O630" s="319">
        <v>8</v>
      </c>
      <c r="P630" s="277"/>
      <c r="Q630" s="4"/>
      <c r="R630" s="16" t="s">
        <v>29</v>
      </c>
      <c r="S630" s="16" t="s">
        <v>29</v>
      </c>
      <c r="T630" s="19">
        <v>0</v>
      </c>
      <c r="U630" s="277"/>
      <c r="V630" s="4"/>
      <c r="W630" s="4" t="s">
        <v>29</v>
      </c>
      <c r="X630" s="4" t="s">
        <v>29</v>
      </c>
      <c r="Y630" s="19">
        <v>0</v>
      </c>
      <c r="Z630" s="277"/>
      <c r="AA630" s="29">
        <f t="shared" si="82"/>
        <v>23.5</v>
      </c>
      <c r="AB630" s="298">
        <f t="shared" si="83"/>
        <v>0.25</v>
      </c>
      <c r="AC630" s="4"/>
      <c r="AD630" s="4"/>
      <c r="AE630" s="4"/>
      <c r="AF630" s="19"/>
      <c r="AG630" s="29">
        <f t="shared" si="84"/>
        <v>0</v>
      </c>
      <c r="AH630" s="4"/>
      <c r="AI630" s="255"/>
      <c r="AK630" s="193"/>
      <c r="AL630" s="193"/>
      <c r="AM630" s="193"/>
      <c r="AN630" s="193"/>
      <c r="AO630" s="193"/>
      <c r="AP630" s="193"/>
    </row>
    <row r="631" spans="2:42" s="180" customFormat="1">
      <c r="B631" s="13" t="s">
        <v>44</v>
      </c>
      <c r="C631" s="47">
        <v>0.45833333333333331</v>
      </c>
      <c r="D631" s="314">
        <v>0.25</v>
      </c>
      <c r="E631" s="19">
        <v>6</v>
      </c>
      <c r="F631" s="277"/>
      <c r="G631" s="4"/>
      <c r="H631" s="47">
        <v>0.41666666666666669</v>
      </c>
      <c r="I631" s="172">
        <v>0.25</v>
      </c>
      <c r="J631" s="19">
        <v>7</v>
      </c>
      <c r="K631" s="277"/>
      <c r="L631" s="4"/>
      <c r="M631" s="47">
        <v>0.38541666666666669</v>
      </c>
      <c r="N631" s="172">
        <v>0.25</v>
      </c>
      <c r="O631" s="319">
        <v>7.75</v>
      </c>
      <c r="P631" s="277"/>
      <c r="Q631" s="4"/>
      <c r="R631" s="47" t="s">
        <v>29</v>
      </c>
      <c r="S631" s="4" t="s">
        <v>29</v>
      </c>
      <c r="T631" s="19">
        <v>0</v>
      </c>
      <c r="U631" s="277"/>
      <c r="V631" s="4"/>
      <c r="W631" s="47" t="s">
        <v>29</v>
      </c>
      <c r="X631" s="4" t="s">
        <v>29</v>
      </c>
      <c r="Y631" s="19">
        <v>0</v>
      </c>
      <c r="Z631" s="277"/>
      <c r="AA631" s="29">
        <f t="shared" si="82"/>
        <v>20.75</v>
      </c>
      <c r="AB631" s="298">
        <f t="shared" si="83"/>
        <v>0</v>
      </c>
      <c r="AC631" s="4"/>
      <c r="AD631" s="4"/>
      <c r="AE631" s="4"/>
      <c r="AF631" s="19"/>
      <c r="AG631" s="29">
        <f t="shared" si="84"/>
        <v>0</v>
      </c>
      <c r="AH631" s="4"/>
      <c r="AI631" s="255"/>
      <c r="AK631" s="193"/>
      <c r="AL631" s="193"/>
      <c r="AM631" s="193"/>
      <c r="AN631" s="193"/>
      <c r="AO631" s="193"/>
      <c r="AP631" s="193"/>
    </row>
    <row r="632" spans="2:42" s="180" customFormat="1">
      <c r="B632" s="13" t="s">
        <v>45</v>
      </c>
      <c r="C632" s="47">
        <v>0.38541666666666669</v>
      </c>
      <c r="D632" s="314">
        <v>0.25</v>
      </c>
      <c r="E632" s="19">
        <v>7.75</v>
      </c>
      <c r="F632" s="277"/>
      <c r="G632" s="4"/>
      <c r="H632" s="47">
        <v>0</v>
      </c>
      <c r="I632" s="47">
        <v>0</v>
      </c>
      <c r="J632" s="19">
        <v>0</v>
      </c>
      <c r="K632" s="277"/>
      <c r="L632" s="4"/>
      <c r="M632" s="47">
        <v>0.34375</v>
      </c>
      <c r="N632" s="172">
        <v>0.25</v>
      </c>
      <c r="O632" s="319">
        <v>8</v>
      </c>
      <c r="P632" s="277">
        <v>0.75</v>
      </c>
      <c r="Q632" s="4"/>
      <c r="R632" s="47">
        <v>0.35416666666666669</v>
      </c>
      <c r="S632" s="172">
        <v>0.25</v>
      </c>
      <c r="T632" s="19">
        <v>8</v>
      </c>
      <c r="U632" s="277">
        <v>0.5</v>
      </c>
      <c r="V632" s="4"/>
      <c r="W632" s="47">
        <v>0.34375</v>
      </c>
      <c r="X632" s="47">
        <v>0.25</v>
      </c>
      <c r="Y632" s="19">
        <v>8</v>
      </c>
      <c r="Z632" s="277">
        <v>0.75</v>
      </c>
      <c r="AA632" s="29">
        <f t="shared" si="82"/>
        <v>31.75</v>
      </c>
      <c r="AB632" s="298">
        <f t="shared" si="83"/>
        <v>2</v>
      </c>
      <c r="AC632" s="4"/>
      <c r="AD632" s="4"/>
      <c r="AE632" s="4"/>
      <c r="AF632" s="19"/>
      <c r="AG632" s="29">
        <f t="shared" si="84"/>
        <v>0</v>
      </c>
      <c r="AH632" s="4"/>
      <c r="AI632" s="255"/>
      <c r="AK632" s="193"/>
      <c r="AL632" s="193"/>
      <c r="AM632" s="193"/>
      <c r="AN632" s="193"/>
      <c r="AO632" s="193"/>
      <c r="AP632" s="193"/>
    </row>
    <row r="633" spans="2:42" s="180" customFormat="1">
      <c r="B633" s="13" t="s">
        <v>112</v>
      </c>
      <c r="C633" s="47">
        <v>0.375</v>
      </c>
      <c r="D633" s="314">
        <v>0.25</v>
      </c>
      <c r="E633" s="19">
        <v>8</v>
      </c>
      <c r="F633" s="277"/>
      <c r="G633" s="4"/>
      <c r="H633" s="47">
        <v>0.375</v>
      </c>
      <c r="I633" s="172">
        <v>0.25</v>
      </c>
      <c r="J633" s="19">
        <v>8</v>
      </c>
      <c r="K633" s="277"/>
      <c r="L633" s="4"/>
      <c r="M633" s="16">
        <v>0.375</v>
      </c>
      <c r="N633" s="172">
        <v>0.25</v>
      </c>
      <c r="O633" s="19">
        <v>8</v>
      </c>
      <c r="P633" s="277"/>
      <c r="Q633" s="4"/>
      <c r="R633" s="47" t="s">
        <v>29</v>
      </c>
      <c r="S633" s="47" t="s">
        <v>29</v>
      </c>
      <c r="T633" s="19">
        <v>0</v>
      </c>
      <c r="U633" s="277"/>
      <c r="V633" s="4"/>
      <c r="W633" s="47" t="s">
        <v>29</v>
      </c>
      <c r="X633" s="4" t="s">
        <v>29</v>
      </c>
      <c r="Y633" s="19">
        <v>0</v>
      </c>
      <c r="Z633" s="277"/>
      <c r="AA633" s="29">
        <f t="shared" si="82"/>
        <v>24</v>
      </c>
      <c r="AB633" s="298">
        <f>Z633+U633+P633+K633+F633</f>
        <v>0</v>
      </c>
      <c r="AC633" s="4"/>
      <c r="AD633" s="410"/>
      <c r="AE633" s="4"/>
      <c r="AF633" s="19"/>
      <c r="AG633" s="29">
        <f t="shared" si="84"/>
        <v>0</v>
      </c>
      <c r="AH633" s="4"/>
      <c r="AI633" s="255"/>
      <c r="AK633" s="193"/>
      <c r="AL633" s="193"/>
      <c r="AM633" s="193"/>
      <c r="AN633" s="193"/>
      <c r="AO633" s="193"/>
      <c r="AP633" s="193"/>
    </row>
    <row r="634" spans="2:42" s="180" customFormat="1">
      <c r="B634" s="13" t="s">
        <v>52</v>
      </c>
      <c r="C634" s="47">
        <v>0.38541666666666669</v>
      </c>
      <c r="D634" s="314">
        <v>0.25</v>
      </c>
      <c r="E634" s="19">
        <v>7.75</v>
      </c>
      <c r="F634" s="277"/>
      <c r="G634" s="4"/>
      <c r="H634" s="47">
        <v>0.38541666666666669</v>
      </c>
      <c r="I634" s="172">
        <v>0.25</v>
      </c>
      <c r="J634" s="19">
        <v>7.75</v>
      </c>
      <c r="K634" s="277"/>
      <c r="L634" s="4"/>
      <c r="M634" s="47" t="s">
        <v>29</v>
      </c>
      <c r="N634" s="4" t="s">
        <v>29</v>
      </c>
      <c r="O634" s="19">
        <v>8</v>
      </c>
      <c r="P634" s="277"/>
      <c r="Q634" s="4"/>
      <c r="R634" s="47">
        <v>0</v>
      </c>
      <c r="S634" s="47">
        <v>0</v>
      </c>
      <c r="T634" s="19">
        <v>0</v>
      </c>
      <c r="U634" s="277"/>
      <c r="V634" s="4"/>
      <c r="W634" s="47">
        <v>0.375</v>
      </c>
      <c r="X634" s="172">
        <v>0.25</v>
      </c>
      <c r="Y634" s="19">
        <v>8</v>
      </c>
      <c r="Z634" s="277"/>
      <c r="AA634" s="29">
        <f t="shared" si="82"/>
        <v>31.5</v>
      </c>
      <c r="AB634" s="298">
        <f>Z634+U634+P634+K634+F634</f>
        <v>0</v>
      </c>
      <c r="AC634" s="4"/>
      <c r="AD634" s="4"/>
      <c r="AE634" s="4"/>
      <c r="AF634" s="19"/>
      <c r="AG634" s="29">
        <f t="shared" si="84"/>
        <v>0</v>
      </c>
      <c r="AH634" s="4"/>
      <c r="AI634" s="255"/>
      <c r="AK634" s="193"/>
      <c r="AL634" s="193"/>
      <c r="AM634" s="193"/>
      <c r="AN634" s="193"/>
      <c r="AO634" s="193"/>
      <c r="AP634" s="193"/>
    </row>
    <row r="635" spans="2:42" s="180" customFormat="1">
      <c r="B635" s="13" t="s">
        <v>92</v>
      </c>
      <c r="C635" s="47">
        <v>0.375</v>
      </c>
      <c r="D635" s="314">
        <v>0.25</v>
      </c>
      <c r="E635" s="19">
        <v>8</v>
      </c>
      <c r="F635" s="277"/>
      <c r="G635" s="4"/>
      <c r="H635" s="47">
        <v>0.375</v>
      </c>
      <c r="I635" s="172">
        <v>0.25</v>
      </c>
      <c r="J635" s="19">
        <v>8</v>
      </c>
      <c r="K635" s="277"/>
      <c r="L635" s="4"/>
      <c r="M635" s="16">
        <v>0.375</v>
      </c>
      <c r="N635" s="172">
        <v>0.25</v>
      </c>
      <c r="O635" s="19">
        <v>8</v>
      </c>
      <c r="P635" s="277"/>
      <c r="Q635" s="4"/>
      <c r="R635" s="47">
        <v>0.33333333333333331</v>
      </c>
      <c r="S635" s="172">
        <v>0.25</v>
      </c>
      <c r="T635" s="19">
        <v>8</v>
      </c>
      <c r="U635" s="277"/>
      <c r="V635" s="4"/>
      <c r="W635" s="47">
        <v>0.375</v>
      </c>
      <c r="X635" s="172">
        <v>0.25</v>
      </c>
      <c r="Y635" s="19">
        <v>8</v>
      </c>
      <c r="Z635" s="277"/>
      <c r="AA635" s="29">
        <f t="shared" si="82"/>
        <v>40</v>
      </c>
      <c r="AB635" s="298">
        <f t="shared" ref="AB635:AB647" si="85">Z635+U635+P635+K635+F635</f>
        <v>0</v>
      </c>
      <c r="AC635" s="4"/>
      <c r="AD635" s="4"/>
      <c r="AE635" s="4"/>
      <c r="AF635" s="19"/>
      <c r="AG635" s="29">
        <f t="shared" si="84"/>
        <v>0</v>
      </c>
      <c r="AH635" s="4"/>
      <c r="AI635" s="255"/>
      <c r="AK635" s="193"/>
      <c r="AL635" s="193"/>
      <c r="AM635" s="193"/>
      <c r="AN635" s="193"/>
      <c r="AO635" s="193"/>
      <c r="AP635" s="193"/>
    </row>
    <row r="636" spans="2:42" s="180" customFormat="1">
      <c r="B636" s="13" t="s">
        <v>39</v>
      </c>
      <c r="C636" s="47">
        <v>0.38541666666666669</v>
      </c>
      <c r="D636" s="314">
        <v>0.25</v>
      </c>
      <c r="E636" s="19">
        <v>7.75</v>
      </c>
      <c r="F636" s="277"/>
      <c r="G636" s="4"/>
      <c r="H636" s="47">
        <v>0.38541666666666669</v>
      </c>
      <c r="I636" s="172">
        <v>0.25</v>
      </c>
      <c r="J636" s="19">
        <v>7.75</v>
      </c>
      <c r="K636" s="277"/>
      <c r="L636" s="4"/>
      <c r="M636" s="16">
        <v>0.375</v>
      </c>
      <c r="N636" s="172">
        <v>0.25</v>
      </c>
      <c r="O636" s="19">
        <v>8</v>
      </c>
      <c r="P636" s="277"/>
      <c r="Q636" s="4"/>
      <c r="R636" s="47" t="s">
        <v>29</v>
      </c>
      <c r="S636" s="47" t="s">
        <v>29</v>
      </c>
      <c r="T636" s="19">
        <v>0</v>
      </c>
      <c r="U636" s="277"/>
      <c r="V636" s="4"/>
      <c r="W636" s="47" t="s">
        <v>29</v>
      </c>
      <c r="X636" s="47" t="s">
        <v>29</v>
      </c>
      <c r="Y636" s="19">
        <v>0</v>
      </c>
      <c r="Z636" s="277"/>
      <c r="AA636" s="29">
        <f t="shared" si="82"/>
        <v>23.5</v>
      </c>
      <c r="AB636" s="298">
        <f t="shared" si="85"/>
        <v>0</v>
      </c>
      <c r="AC636" s="4"/>
      <c r="AD636" s="4"/>
      <c r="AE636" s="4"/>
      <c r="AF636" s="19"/>
      <c r="AG636" s="29">
        <f t="shared" si="84"/>
        <v>0</v>
      </c>
      <c r="AH636" s="4"/>
      <c r="AI636" s="255"/>
      <c r="AK636" s="193"/>
      <c r="AL636" s="193"/>
      <c r="AM636" s="193"/>
      <c r="AN636" s="193"/>
      <c r="AO636" s="193"/>
      <c r="AP636" s="193"/>
    </row>
    <row r="637" spans="2:42" s="180" customFormat="1">
      <c r="B637" s="13" t="s">
        <v>96</v>
      </c>
      <c r="C637" s="4">
        <v>0</v>
      </c>
      <c r="D637" s="4">
        <v>0</v>
      </c>
      <c r="E637" s="19">
        <v>0</v>
      </c>
      <c r="F637" s="277"/>
      <c r="G637" s="4"/>
      <c r="H637" s="47">
        <v>0.35416666666666669</v>
      </c>
      <c r="I637" s="172">
        <v>0.25</v>
      </c>
      <c r="J637" s="19">
        <v>8</v>
      </c>
      <c r="K637" s="277">
        <v>0.5</v>
      </c>
      <c r="L637" s="4"/>
      <c r="M637" s="16">
        <v>0.35416666666666669</v>
      </c>
      <c r="N637" s="172">
        <v>0.25</v>
      </c>
      <c r="O637" s="19">
        <v>8</v>
      </c>
      <c r="P637" s="277">
        <v>0.5</v>
      </c>
      <c r="Q637" s="4"/>
      <c r="R637" s="47">
        <v>0.36458333333333331</v>
      </c>
      <c r="S637" s="172">
        <v>0.25</v>
      </c>
      <c r="T637" s="19">
        <v>8</v>
      </c>
      <c r="U637" s="277">
        <v>0.25</v>
      </c>
      <c r="V637" s="4"/>
      <c r="W637" s="47">
        <v>0.34375</v>
      </c>
      <c r="X637" s="172">
        <v>0.25</v>
      </c>
      <c r="Y637" s="19">
        <v>8</v>
      </c>
      <c r="Z637" s="277">
        <v>0.75</v>
      </c>
      <c r="AA637" s="29">
        <f t="shared" si="82"/>
        <v>32</v>
      </c>
      <c r="AB637" s="298">
        <f t="shared" si="85"/>
        <v>2</v>
      </c>
      <c r="AC637" s="4"/>
      <c r="AD637" s="4"/>
      <c r="AE637" s="4"/>
      <c r="AF637" s="19"/>
      <c r="AG637" s="29"/>
      <c r="AH637" s="4"/>
      <c r="AI637" s="255"/>
      <c r="AK637" s="193"/>
      <c r="AL637" s="193"/>
      <c r="AM637" s="193"/>
      <c r="AN637" s="193"/>
      <c r="AO637" s="193"/>
      <c r="AP637" s="193"/>
    </row>
    <row r="638" spans="2:42" s="180" customFormat="1">
      <c r="B638" s="164" t="s">
        <v>42</v>
      </c>
      <c r="C638" s="4">
        <v>0</v>
      </c>
      <c r="D638" s="4">
        <v>0</v>
      </c>
      <c r="E638" s="19">
        <v>0</v>
      </c>
      <c r="F638" s="277"/>
      <c r="G638" s="4"/>
      <c r="H638" s="47">
        <v>0.38541666666666669</v>
      </c>
      <c r="I638" s="172">
        <v>0.25</v>
      </c>
      <c r="J638" s="19">
        <v>7.75</v>
      </c>
      <c r="K638" s="277"/>
      <c r="L638" s="4"/>
      <c r="M638" s="16">
        <v>0.36458333333333331</v>
      </c>
      <c r="N638" s="172">
        <v>0.25</v>
      </c>
      <c r="O638" s="19">
        <v>8</v>
      </c>
      <c r="P638" s="277">
        <v>0.25</v>
      </c>
      <c r="Q638" s="4"/>
      <c r="R638" s="47" t="s">
        <v>29</v>
      </c>
      <c r="S638" s="47" t="s">
        <v>29</v>
      </c>
      <c r="T638" s="19"/>
      <c r="U638" s="277"/>
      <c r="V638" s="4"/>
      <c r="W638" s="47" t="s">
        <v>29</v>
      </c>
      <c r="X638" s="47" t="s">
        <v>29</v>
      </c>
      <c r="Y638" s="19">
        <v>0</v>
      </c>
      <c r="Z638" s="277"/>
      <c r="AA638" s="29">
        <f t="shared" si="82"/>
        <v>15.75</v>
      </c>
      <c r="AB638" s="298">
        <f t="shared" si="85"/>
        <v>0.25</v>
      </c>
      <c r="AC638" s="4"/>
      <c r="AD638" s="4"/>
      <c r="AE638" s="4"/>
      <c r="AF638" s="19"/>
      <c r="AG638" s="29">
        <f t="shared" si="84"/>
        <v>0</v>
      </c>
      <c r="AH638" s="4"/>
      <c r="AI638" s="255"/>
      <c r="AK638" s="193"/>
      <c r="AL638" s="193"/>
      <c r="AM638" s="193"/>
      <c r="AN638" s="193"/>
      <c r="AO638" s="193"/>
      <c r="AP638" s="193"/>
    </row>
    <row r="639" spans="2:42" s="180" customFormat="1">
      <c r="B639" s="13" t="s">
        <v>54</v>
      </c>
      <c r="C639" s="12"/>
      <c r="D639" s="12"/>
      <c r="E639" s="19"/>
      <c r="F639" s="277"/>
      <c r="G639" s="4"/>
      <c r="H639" s="12"/>
      <c r="I639" s="12"/>
      <c r="J639" s="19"/>
      <c r="K639" s="277"/>
      <c r="L639" s="4"/>
      <c r="M639" s="4"/>
      <c r="N639" s="47"/>
      <c r="O639" s="319"/>
      <c r="P639" s="277"/>
      <c r="Q639" s="4"/>
      <c r="R639" s="4"/>
      <c r="S639" s="4"/>
      <c r="T639" s="19"/>
      <c r="U639" s="277"/>
      <c r="V639" s="4"/>
      <c r="W639" s="4"/>
      <c r="X639" s="4"/>
      <c r="Y639" s="19"/>
      <c r="Z639" s="277"/>
      <c r="AA639" s="29">
        <f t="shared" si="82"/>
        <v>0</v>
      </c>
      <c r="AB639" s="298">
        <f t="shared" si="85"/>
        <v>0</v>
      </c>
      <c r="AC639" s="4"/>
      <c r="AD639" s="4"/>
      <c r="AE639" s="4"/>
      <c r="AF639" s="19"/>
      <c r="AG639" s="29">
        <f t="shared" si="84"/>
        <v>0</v>
      </c>
      <c r="AH639" s="4"/>
      <c r="AI639" s="255"/>
      <c r="AK639" s="193"/>
      <c r="AL639" s="193"/>
      <c r="AM639" s="193"/>
      <c r="AN639" s="193"/>
      <c r="AO639" s="193"/>
      <c r="AP639" s="193"/>
    </row>
    <row r="640" spans="2:42" s="180" customFormat="1">
      <c r="B640" s="13" t="s">
        <v>55</v>
      </c>
      <c r="C640" s="12"/>
      <c r="D640" s="12"/>
      <c r="E640" s="19"/>
      <c r="F640" s="277"/>
      <c r="G640" s="4"/>
      <c r="H640" s="12"/>
      <c r="I640" s="12"/>
      <c r="J640" s="19"/>
      <c r="K640" s="277"/>
      <c r="L640" s="4"/>
      <c r="M640" s="4"/>
      <c r="N640" s="47"/>
      <c r="O640" s="319"/>
      <c r="P640" s="277"/>
      <c r="Q640" s="4"/>
      <c r="R640" s="4"/>
      <c r="S640" s="4"/>
      <c r="T640" s="19"/>
      <c r="U640" s="277"/>
      <c r="V640" s="4"/>
      <c r="W640" s="4"/>
      <c r="X640" s="4"/>
      <c r="Y640" s="19"/>
      <c r="Z640" s="277"/>
      <c r="AA640" s="29">
        <f t="shared" si="82"/>
        <v>0</v>
      </c>
      <c r="AB640" s="298">
        <f t="shared" si="85"/>
        <v>0</v>
      </c>
      <c r="AC640" s="4"/>
      <c r="AD640" s="4"/>
      <c r="AE640" s="4"/>
      <c r="AF640" s="19"/>
      <c r="AG640" s="29">
        <f t="shared" si="84"/>
        <v>0</v>
      </c>
      <c r="AH640" s="4"/>
      <c r="AI640" s="255"/>
      <c r="AK640" s="193"/>
      <c r="AL640" s="193"/>
      <c r="AM640" s="193"/>
      <c r="AN640" s="193"/>
      <c r="AO640" s="193"/>
      <c r="AP640" s="193"/>
    </row>
    <row r="641" spans="1:42" s="180" customFormat="1">
      <c r="B641" s="166" t="s">
        <v>107</v>
      </c>
      <c r="C641" s="12" t="s">
        <v>29</v>
      </c>
      <c r="D641" s="12" t="s">
        <v>29</v>
      </c>
      <c r="E641" s="19">
        <v>8</v>
      </c>
      <c r="F641" s="277"/>
      <c r="G641" s="4"/>
      <c r="H641" s="12" t="s">
        <v>29</v>
      </c>
      <c r="I641" s="12" t="s">
        <v>29</v>
      </c>
      <c r="J641" s="19">
        <v>8</v>
      </c>
      <c r="K641" s="277"/>
      <c r="L641" s="4"/>
      <c r="M641" s="12" t="s">
        <v>29</v>
      </c>
      <c r="N641" s="12" t="s">
        <v>29</v>
      </c>
      <c r="O641" s="19">
        <v>8</v>
      </c>
      <c r="P641" s="277"/>
      <c r="Q641" s="4"/>
      <c r="R641" s="12" t="s">
        <v>29</v>
      </c>
      <c r="S641" s="12" t="s">
        <v>29</v>
      </c>
      <c r="T641" s="19">
        <v>8</v>
      </c>
      <c r="U641" s="277"/>
      <c r="V641" s="4"/>
      <c r="W641" s="12" t="s">
        <v>29</v>
      </c>
      <c r="X641" s="12" t="s">
        <v>29</v>
      </c>
      <c r="Y641" s="19">
        <v>8</v>
      </c>
      <c r="Z641" s="277"/>
      <c r="AA641" s="29">
        <f>(E641+J641+O641+T641+Y641)</f>
        <v>40</v>
      </c>
      <c r="AB641" s="298">
        <f>Z641+U641+P641+K641+F641</f>
        <v>0</v>
      </c>
      <c r="AC641" s="4"/>
      <c r="AD641" s="4"/>
      <c r="AE641" s="4"/>
      <c r="AF641" s="19"/>
      <c r="AG641" s="29">
        <f>AF641</f>
        <v>0</v>
      </c>
      <c r="AH641" s="4"/>
      <c r="AI641" s="255"/>
      <c r="AK641" s="193"/>
      <c r="AL641" s="193"/>
      <c r="AM641" s="193"/>
      <c r="AN641" s="193"/>
      <c r="AO641" s="193"/>
      <c r="AP641" s="193"/>
    </row>
    <row r="642" spans="1:42" s="180" customFormat="1">
      <c r="B642" s="166" t="s">
        <v>48</v>
      </c>
      <c r="C642" s="12" t="s">
        <v>29</v>
      </c>
      <c r="D642" s="12" t="s">
        <v>29</v>
      </c>
      <c r="E642" s="19">
        <v>8</v>
      </c>
      <c r="F642" s="277"/>
      <c r="G642" s="4"/>
      <c r="H642" s="12" t="s">
        <v>29</v>
      </c>
      <c r="I642" s="12" t="s">
        <v>29</v>
      </c>
      <c r="J642" s="19">
        <v>8</v>
      </c>
      <c r="K642" s="277"/>
      <c r="L642" s="4"/>
      <c r="M642" s="12" t="s">
        <v>29</v>
      </c>
      <c r="N642" s="12" t="s">
        <v>29</v>
      </c>
      <c r="O642" s="19">
        <v>8</v>
      </c>
      <c r="P642" s="277"/>
      <c r="Q642" s="4"/>
      <c r="R642" s="12" t="s">
        <v>29</v>
      </c>
      <c r="S642" s="12" t="s">
        <v>29</v>
      </c>
      <c r="T642" s="19">
        <v>8</v>
      </c>
      <c r="U642" s="277"/>
      <c r="V642" s="4"/>
      <c r="W642" s="12" t="s">
        <v>29</v>
      </c>
      <c r="X642" s="12" t="s">
        <v>29</v>
      </c>
      <c r="Y642" s="19">
        <v>8</v>
      </c>
      <c r="Z642" s="277"/>
      <c r="AA642" s="29">
        <f t="shared" si="82"/>
        <v>40</v>
      </c>
      <c r="AB642" s="298">
        <f t="shared" si="85"/>
        <v>0</v>
      </c>
      <c r="AC642" s="4"/>
      <c r="AD642" s="4"/>
      <c r="AE642" s="4"/>
      <c r="AF642" s="19"/>
      <c r="AG642" s="29">
        <f t="shared" si="84"/>
        <v>0</v>
      </c>
      <c r="AH642" s="4"/>
      <c r="AI642" s="255"/>
      <c r="AK642" s="193"/>
      <c r="AL642" s="193"/>
      <c r="AM642" s="193"/>
      <c r="AN642" s="193"/>
      <c r="AO642" s="193"/>
      <c r="AP642" s="193"/>
    </row>
    <row r="643" spans="1:42" s="180" customFormat="1">
      <c r="B643" s="166" t="s">
        <v>59</v>
      </c>
      <c r="C643" s="12" t="s">
        <v>29</v>
      </c>
      <c r="D643" s="12" t="s">
        <v>29</v>
      </c>
      <c r="E643" s="19">
        <v>8</v>
      </c>
      <c r="F643" s="277"/>
      <c r="G643" s="4"/>
      <c r="H643" s="12" t="s">
        <v>29</v>
      </c>
      <c r="I643" s="12" t="s">
        <v>29</v>
      </c>
      <c r="J643" s="19">
        <v>8</v>
      </c>
      <c r="K643" s="277"/>
      <c r="L643" s="4"/>
      <c r="M643" s="12" t="s">
        <v>29</v>
      </c>
      <c r="N643" s="12" t="s">
        <v>29</v>
      </c>
      <c r="O643" s="19">
        <v>8</v>
      </c>
      <c r="P643" s="277"/>
      <c r="Q643" s="4"/>
      <c r="R643" s="12" t="s">
        <v>29</v>
      </c>
      <c r="S643" s="12" t="s">
        <v>29</v>
      </c>
      <c r="T643" s="19">
        <v>8</v>
      </c>
      <c r="U643" s="277"/>
      <c r="V643" s="4"/>
      <c r="W643" s="12" t="s">
        <v>29</v>
      </c>
      <c r="X643" s="12" t="s">
        <v>29</v>
      </c>
      <c r="Y643" s="19">
        <v>8</v>
      </c>
      <c r="Z643" s="277"/>
      <c r="AA643" s="29">
        <f t="shared" si="82"/>
        <v>40</v>
      </c>
      <c r="AB643" s="298">
        <f t="shared" si="85"/>
        <v>0</v>
      </c>
      <c r="AC643" s="4"/>
      <c r="AD643" s="4"/>
      <c r="AE643" s="4"/>
      <c r="AF643" s="19"/>
      <c r="AG643" s="29">
        <f t="shared" si="84"/>
        <v>0</v>
      </c>
      <c r="AH643" s="4"/>
      <c r="AI643" s="255"/>
      <c r="AK643" s="407"/>
      <c r="AL643" s="193"/>
      <c r="AM643" s="193"/>
      <c r="AN643" s="193"/>
      <c r="AO643" s="193"/>
      <c r="AP643" s="193"/>
    </row>
    <row r="644" spans="1:42" s="180" customFormat="1">
      <c r="B644" s="166" t="s">
        <v>60</v>
      </c>
      <c r="C644" s="12" t="s">
        <v>29</v>
      </c>
      <c r="D644" s="12" t="s">
        <v>29</v>
      </c>
      <c r="E644" s="19">
        <v>8</v>
      </c>
      <c r="F644" s="277"/>
      <c r="G644" s="4"/>
      <c r="H644" s="12" t="s">
        <v>29</v>
      </c>
      <c r="I644" s="12" t="s">
        <v>29</v>
      </c>
      <c r="J644" s="19">
        <v>8</v>
      </c>
      <c r="K644" s="277"/>
      <c r="L644" s="4"/>
      <c r="M644" s="12" t="s">
        <v>29</v>
      </c>
      <c r="N644" s="12" t="s">
        <v>29</v>
      </c>
      <c r="O644" s="19">
        <v>8</v>
      </c>
      <c r="P644" s="277"/>
      <c r="Q644" s="4"/>
      <c r="R644" s="12" t="s">
        <v>29</v>
      </c>
      <c r="S644" s="12" t="s">
        <v>29</v>
      </c>
      <c r="T644" s="19">
        <v>8</v>
      </c>
      <c r="U644" s="277"/>
      <c r="V644" s="4"/>
      <c r="W644" s="12" t="s">
        <v>29</v>
      </c>
      <c r="X644" s="12" t="s">
        <v>29</v>
      </c>
      <c r="Y644" s="19">
        <v>8</v>
      </c>
      <c r="Z644" s="277"/>
      <c r="AA644" s="29">
        <f t="shared" si="82"/>
        <v>40</v>
      </c>
      <c r="AB644" s="298">
        <f t="shared" si="85"/>
        <v>0</v>
      </c>
      <c r="AC644" s="4"/>
      <c r="AD644" s="4"/>
      <c r="AE644" s="4"/>
      <c r="AF644" s="19"/>
      <c r="AG644" s="29">
        <f t="shared" si="84"/>
        <v>0</v>
      </c>
      <c r="AH644" s="4"/>
      <c r="AI644" s="255"/>
      <c r="AK644" s="193"/>
      <c r="AL644" s="193"/>
      <c r="AM644" s="193"/>
      <c r="AN644" s="193"/>
      <c r="AO644" s="193"/>
      <c r="AP644" s="193"/>
    </row>
    <row r="645" spans="1:42" s="180" customFormat="1">
      <c r="B645" s="63" t="s">
        <v>63</v>
      </c>
      <c r="C645" s="12" t="s">
        <v>29</v>
      </c>
      <c r="D645" s="12" t="s">
        <v>29</v>
      </c>
      <c r="E645" s="19">
        <v>8</v>
      </c>
      <c r="F645" s="277"/>
      <c r="G645" s="60"/>
      <c r="H645" s="12" t="s">
        <v>29</v>
      </c>
      <c r="I645" s="12" t="s">
        <v>29</v>
      </c>
      <c r="J645" s="19">
        <v>8</v>
      </c>
      <c r="K645" s="277"/>
      <c r="L645" s="60"/>
      <c r="M645" s="16" t="s">
        <v>29</v>
      </c>
      <c r="N645" s="16" t="s">
        <v>29</v>
      </c>
      <c r="O645" s="19">
        <v>8</v>
      </c>
      <c r="P645" s="277"/>
      <c r="Q645" s="60"/>
      <c r="R645" s="12" t="s">
        <v>29</v>
      </c>
      <c r="S645" s="12" t="s">
        <v>29</v>
      </c>
      <c r="T645" s="19">
        <v>8</v>
      </c>
      <c r="U645" s="277"/>
      <c r="V645" s="60"/>
      <c r="W645" s="12" t="s">
        <v>29</v>
      </c>
      <c r="X645" s="12" t="s">
        <v>29</v>
      </c>
      <c r="Y645" s="19">
        <v>8</v>
      </c>
      <c r="Z645" s="277"/>
      <c r="AA645" s="28">
        <f>SUM(E645+J645+O645+T645+Y645)</f>
        <v>40</v>
      </c>
      <c r="AB645" s="298">
        <f t="shared" si="85"/>
        <v>0</v>
      </c>
      <c r="AC645" s="4"/>
      <c r="AD645" s="56"/>
      <c r="AE645" s="56"/>
      <c r="AF645" s="19"/>
      <c r="AG645" s="29">
        <f>AF645</f>
        <v>0</v>
      </c>
      <c r="AH645" s="4"/>
      <c r="AI645" s="255"/>
      <c r="AK645" s="193"/>
      <c r="AL645" s="193"/>
      <c r="AM645" s="193"/>
      <c r="AN645" s="193"/>
      <c r="AO645" s="193"/>
      <c r="AP645" s="193"/>
    </row>
    <row r="646" spans="1:42" s="180" customFormat="1">
      <c r="B646" s="63" t="s">
        <v>62</v>
      </c>
      <c r="C646" s="12" t="s">
        <v>29</v>
      </c>
      <c r="D646" s="12" t="s">
        <v>29</v>
      </c>
      <c r="E646" s="19">
        <v>8</v>
      </c>
      <c r="F646" s="277"/>
      <c r="G646" s="60"/>
      <c r="H646" s="12" t="s">
        <v>29</v>
      </c>
      <c r="I646" s="16"/>
      <c r="J646" s="19">
        <v>8</v>
      </c>
      <c r="K646" s="277"/>
      <c r="L646" s="60"/>
      <c r="M646" s="16" t="s">
        <v>29</v>
      </c>
      <c r="N646" s="16" t="s">
        <v>29</v>
      </c>
      <c r="O646" s="19">
        <v>8</v>
      </c>
      <c r="P646" s="277"/>
      <c r="Q646" s="60"/>
      <c r="R646" s="12" t="s">
        <v>29</v>
      </c>
      <c r="S646" s="12" t="s">
        <v>29</v>
      </c>
      <c r="T646" s="19">
        <v>8</v>
      </c>
      <c r="U646" s="277"/>
      <c r="V646" s="60"/>
      <c r="W646" s="12" t="s">
        <v>29</v>
      </c>
      <c r="X646" s="12" t="s">
        <v>29</v>
      </c>
      <c r="Y646" s="19">
        <v>8</v>
      </c>
      <c r="Z646" s="277"/>
      <c r="AA646" s="28">
        <f>SUM(E646+J646+O646+T646+Y646)</f>
        <v>40</v>
      </c>
      <c r="AB646" s="298">
        <f t="shared" si="85"/>
        <v>0</v>
      </c>
      <c r="AC646" s="4"/>
      <c r="AD646" s="56"/>
      <c r="AE646" s="56"/>
      <c r="AF646" s="19"/>
      <c r="AG646" s="29">
        <v>0</v>
      </c>
      <c r="AH646" s="4"/>
      <c r="AI646" s="255"/>
      <c r="AK646" s="193"/>
      <c r="AL646" s="193"/>
      <c r="AM646" s="193"/>
      <c r="AN646" s="193"/>
      <c r="AO646" s="193"/>
      <c r="AP646" s="193"/>
    </row>
    <row r="647" spans="1:42" s="180" customFormat="1" ht="7.5" customHeight="1">
      <c r="B647" s="63"/>
      <c r="C647" s="12" t="s">
        <v>29</v>
      </c>
      <c r="D647" s="12" t="s">
        <v>29</v>
      </c>
      <c r="E647" s="19"/>
      <c r="F647" s="277"/>
      <c r="G647" s="60"/>
      <c r="H647" s="12" t="s">
        <v>29</v>
      </c>
      <c r="I647" s="12" t="s">
        <v>29</v>
      </c>
      <c r="J647" s="19"/>
      <c r="K647" s="277"/>
      <c r="L647" s="60"/>
      <c r="M647" s="16" t="s">
        <v>29</v>
      </c>
      <c r="N647" s="16" t="s">
        <v>29</v>
      </c>
      <c r="O647" s="19"/>
      <c r="P647" s="277"/>
      <c r="Q647" s="60"/>
      <c r="R647" s="4"/>
      <c r="S647" s="4"/>
      <c r="T647" s="19"/>
      <c r="U647" s="277"/>
      <c r="V647" s="60"/>
      <c r="W647" s="4"/>
      <c r="X647" s="4"/>
      <c r="Y647" s="19"/>
      <c r="Z647" s="277"/>
      <c r="AA647" s="28">
        <f>SUM(E647+J647+O647+T647+Y647)</f>
        <v>0</v>
      </c>
      <c r="AB647" s="298">
        <f t="shared" si="85"/>
        <v>0</v>
      </c>
      <c r="AC647" s="4"/>
      <c r="AD647" s="56"/>
      <c r="AE647" s="56"/>
      <c r="AF647" s="19"/>
      <c r="AG647" s="29">
        <f>AF647</f>
        <v>0</v>
      </c>
      <c r="AH647" s="4"/>
      <c r="AI647" s="255"/>
      <c r="AK647" s="193"/>
      <c r="AL647" s="193"/>
      <c r="AM647" s="193"/>
      <c r="AN647" s="193"/>
      <c r="AO647" s="193"/>
      <c r="AP647" s="193"/>
    </row>
    <row r="648" spans="1:42" s="180" customFormat="1">
      <c r="B648" s="64" t="s">
        <v>61</v>
      </c>
      <c r="C648" s="64"/>
      <c r="D648" s="64"/>
      <c r="E648" s="167">
        <f>SUM(E616:E647)</f>
        <v>186.75</v>
      </c>
      <c r="F648" s="277">
        <f>SUM(F616:F647)</f>
        <v>1.75</v>
      </c>
      <c r="G648" s="64"/>
      <c r="H648" s="64"/>
      <c r="I648" s="64"/>
      <c r="J648" s="64">
        <f>SUM(J616:J647)</f>
        <v>197.75</v>
      </c>
      <c r="K648" s="277">
        <f>SUM(K616:K647)</f>
        <v>5</v>
      </c>
      <c r="L648" s="64"/>
      <c r="M648" s="64"/>
      <c r="N648" s="64"/>
      <c r="O648" s="167">
        <f>SUM(O616:O647)</f>
        <v>207.25</v>
      </c>
      <c r="P648" s="277">
        <f>SUM(P616:P647)</f>
        <v>5.5</v>
      </c>
      <c r="Q648" s="64"/>
      <c r="R648" s="64"/>
      <c r="S648" s="64"/>
      <c r="T648" s="167">
        <f>SUM(T616:T647)</f>
        <v>120</v>
      </c>
      <c r="U648" s="277">
        <f>SUM(U616:U647)</f>
        <v>3.25</v>
      </c>
      <c r="V648" s="64"/>
      <c r="W648" s="64"/>
      <c r="X648" s="64"/>
      <c r="Y648" s="167">
        <f>SUM(Y616:Y647)</f>
        <v>120</v>
      </c>
      <c r="Z648" s="277">
        <f>SUM(Z616:Z647)</f>
        <v>3.5</v>
      </c>
      <c r="AA648" s="370">
        <f>SUM(AA616:AA647)</f>
        <v>831.75</v>
      </c>
      <c r="AB648" s="289">
        <f>SUM(AB616:AB647)</f>
        <v>19</v>
      </c>
      <c r="AC648" s="4"/>
      <c r="AD648" s="64"/>
      <c r="AE648" s="64"/>
      <c r="AF648" s="167">
        <f>SUM(AF616:AF647)</f>
        <v>0</v>
      </c>
      <c r="AG648" s="370">
        <f>SUM(AG616:AG647)</f>
        <v>0</v>
      </c>
      <c r="AH648" s="4"/>
      <c r="AI648" s="255"/>
      <c r="AK648" s="193"/>
      <c r="AL648" s="193"/>
      <c r="AM648" s="193"/>
      <c r="AN648" s="193"/>
      <c r="AO648" s="193"/>
      <c r="AP648" s="193"/>
    </row>
    <row r="649" spans="1:42" s="180" customFormat="1">
      <c r="B649" s="63" t="s">
        <v>64</v>
      </c>
      <c r="C649" s="56"/>
      <c r="D649" s="56"/>
      <c r="E649" s="19"/>
      <c r="F649" s="291"/>
      <c r="G649" s="60"/>
      <c r="H649" s="56"/>
      <c r="I649" s="56"/>
      <c r="J649" s="19"/>
      <c r="K649" s="291"/>
      <c r="L649" s="60"/>
      <c r="M649" s="56"/>
      <c r="N649" s="56"/>
      <c r="O649" s="19"/>
      <c r="P649" s="19"/>
      <c r="Q649" s="60"/>
      <c r="R649" s="56"/>
      <c r="S649" s="56"/>
      <c r="T649" s="19"/>
      <c r="U649" s="19"/>
      <c r="V649" s="60"/>
      <c r="W649" s="56"/>
      <c r="X649" s="56"/>
      <c r="Y649" s="19"/>
      <c r="Z649" s="19"/>
      <c r="AA649" s="28">
        <f>SUM(E649+J649+O649+T649+Y649)</f>
        <v>0</v>
      </c>
      <c r="AB649" s="296">
        <f>Z649+U649+P649+K649+F649</f>
        <v>0</v>
      </c>
      <c r="AC649" s="4"/>
      <c r="AD649" s="56"/>
      <c r="AE649" s="56"/>
      <c r="AF649" s="19"/>
      <c r="AG649" s="29">
        <f>AF649</f>
        <v>0</v>
      </c>
      <c r="AH649" s="4"/>
      <c r="AI649" s="255"/>
      <c r="AK649" s="193"/>
      <c r="AL649" s="193"/>
      <c r="AM649" s="193"/>
      <c r="AN649" s="193"/>
      <c r="AO649" s="193"/>
      <c r="AP649" s="193"/>
    </row>
    <row r="650" spans="1:42" s="180" customFormat="1">
      <c r="B650" s="63" t="s">
        <v>110</v>
      </c>
      <c r="C650" s="56"/>
      <c r="D650" s="56"/>
      <c r="E650" s="19">
        <v>8</v>
      </c>
      <c r="F650" s="291">
        <v>0</v>
      </c>
      <c r="G650" s="60"/>
      <c r="H650" s="56"/>
      <c r="I650" s="56"/>
      <c r="J650" s="19">
        <v>8</v>
      </c>
      <c r="K650" s="291">
        <v>0</v>
      </c>
      <c r="L650" s="60"/>
      <c r="M650" s="56"/>
      <c r="N650" s="56"/>
      <c r="O650" s="19">
        <v>8</v>
      </c>
      <c r="P650" s="19"/>
      <c r="Q650" s="60"/>
      <c r="R650" s="56"/>
      <c r="S650" s="56"/>
      <c r="T650" s="19">
        <v>8</v>
      </c>
      <c r="U650" s="19">
        <v>0</v>
      </c>
      <c r="V650" s="60"/>
      <c r="W650" s="56"/>
      <c r="X650" s="56"/>
      <c r="Y650" s="19">
        <v>8</v>
      </c>
      <c r="Z650" s="19">
        <v>0</v>
      </c>
      <c r="AA650" s="28">
        <f>SUM(E650+J650+O650+T650+Y650)</f>
        <v>40</v>
      </c>
      <c r="AB650" s="296">
        <f>Z650+U650+P650+K650+F650</f>
        <v>0</v>
      </c>
      <c r="AC650" s="4"/>
      <c r="AD650" s="56"/>
      <c r="AE650" s="56"/>
      <c r="AF650" s="19"/>
      <c r="AG650" s="29">
        <f>AF650</f>
        <v>0</v>
      </c>
      <c r="AH650" s="4"/>
      <c r="AI650" s="255"/>
      <c r="AK650" s="193"/>
      <c r="AL650" s="193"/>
      <c r="AM650" s="193"/>
      <c r="AN650" s="193"/>
      <c r="AO650" s="193"/>
      <c r="AP650" s="193"/>
    </row>
    <row r="651" spans="1:42" s="180" customFormat="1">
      <c r="B651" s="71" t="s">
        <v>66</v>
      </c>
      <c r="C651" s="371"/>
      <c r="D651" s="371"/>
      <c r="E651" s="71">
        <f t="shared" ref="E651:Z651" si="86">SUM(E649:E650)</f>
        <v>8</v>
      </c>
      <c r="F651" s="71">
        <f t="shared" si="86"/>
        <v>0</v>
      </c>
      <c r="G651" s="71">
        <f t="shared" si="86"/>
        <v>0</v>
      </c>
      <c r="H651" s="71">
        <f t="shared" si="86"/>
        <v>0</v>
      </c>
      <c r="I651" s="71">
        <f t="shared" si="86"/>
        <v>0</v>
      </c>
      <c r="J651" s="71">
        <f t="shared" si="86"/>
        <v>8</v>
      </c>
      <c r="K651" s="71">
        <f t="shared" si="86"/>
        <v>0</v>
      </c>
      <c r="L651" s="71">
        <f t="shared" si="86"/>
        <v>0</v>
      </c>
      <c r="M651" s="71">
        <f t="shared" si="86"/>
        <v>0</v>
      </c>
      <c r="N651" s="71">
        <f t="shared" si="86"/>
        <v>0</v>
      </c>
      <c r="O651" s="71">
        <f t="shared" si="86"/>
        <v>8</v>
      </c>
      <c r="P651" s="71">
        <f t="shared" si="86"/>
        <v>0</v>
      </c>
      <c r="Q651" s="71">
        <f t="shared" si="86"/>
        <v>0</v>
      </c>
      <c r="R651" s="71">
        <f t="shared" si="86"/>
        <v>0</v>
      </c>
      <c r="S651" s="71">
        <f t="shared" si="86"/>
        <v>0</v>
      </c>
      <c r="T651" s="71">
        <f t="shared" si="86"/>
        <v>8</v>
      </c>
      <c r="U651" s="71">
        <f t="shared" si="86"/>
        <v>0</v>
      </c>
      <c r="V651" s="71">
        <f t="shared" si="86"/>
        <v>0</v>
      </c>
      <c r="W651" s="71">
        <f t="shared" si="86"/>
        <v>0</v>
      </c>
      <c r="X651" s="71">
        <f t="shared" si="86"/>
        <v>0</v>
      </c>
      <c r="Y651" s="71">
        <f t="shared" si="86"/>
        <v>8</v>
      </c>
      <c r="Z651" s="71">
        <f t="shared" si="86"/>
        <v>0</v>
      </c>
      <c r="AA651" s="370">
        <f>SUM(AA649:AA650)</f>
        <v>40</v>
      </c>
      <c r="AB651" s="370">
        <f>SUM(AB649:AB650)</f>
        <v>0</v>
      </c>
      <c r="AC651" s="4"/>
      <c r="AG651" s="370">
        <f>SUM(AG649:AG650)</f>
        <v>0</v>
      </c>
      <c r="AH651" s="4"/>
      <c r="AI651" s="255"/>
      <c r="AK651" s="193"/>
      <c r="AL651" s="193"/>
      <c r="AM651" s="193"/>
      <c r="AN651" s="193"/>
      <c r="AO651" s="193"/>
      <c r="AP651" s="193"/>
    </row>
    <row r="652" spans="1:42" s="180" customFormat="1">
      <c r="B652" s="217" t="s">
        <v>67</v>
      </c>
      <c r="C652" s="207">
        <f>C653+C654</f>
        <v>74</v>
      </c>
      <c r="D652" s="207"/>
      <c r="E652" s="209"/>
      <c r="F652" s="209"/>
      <c r="G652" s="207"/>
      <c r="H652" s="209"/>
      <c r="I652" s="209"/>
      <c r="J652" s="209"/>
      <c r="K652" s="209"/>
      <c r="L652" s="207"/>
      <c r="M652" s="207"/>
      <c r="N652" s="207"/>
      <c r="O652" s="207"/>
      <c r="P652" s="209"/>
      <c r="Q652" s="207"/>
      <c r="R652" s="207"/>
      <c r="S652" s="207"/>
      <c r="T652" s="207"/>
      <c r="U652" s="209"/>
      <c r="V652" s="207"/>
      <c r="W652" s="207"/>
      <c r="X652" s="207"/>
      <c r="Y652" s="210"/>
      <c r="Z652" s="209"/>
      <c r="AA652" s="211"/>
      <c r="AB652" s="209"/>
      <c r="AC652" s="211"/>
      <c r="AD652" s="211"/>
      <c r="AE652" s="211"/>
      <c r="AF652" s="211"/>
      <c r="AG652" s="211"/>
      <c r="AH652" s="4"/>
      <c r="AI652" s="255"/>
      <c r="AK652" s="193"/>
      <c r="AL652" s="193"/>
      <c r="AM652" s="193"/>
      <c r="AN652" s="193"/>
      <c r="AO652" s="193"/>
      <c r="AP652" s="193"/>
    </row>
    <row r="653" spans="1:42" s="180" customFormat="1">
      <c r="B653" s="238" t="s">
        <v>68</v>
      </c>
      <c r="C653" s="239">
        <f>16+19+19+10+10</f>
        <v>74</v>
      </c>
      <c r="D653" s="207"/>
      <c r="E653" s="209"/>
      <c r="F653" s="209"/>
      <c r="G653" s="207"/>
      <c r="H653" s="209"/>
      <c r="I653" s="209"/>
      <c r="J653" s="209"/>
      <c r="K653" s="209"/>
      <c r="L653" s="207"/>
      <c r="M653" s="207"/>
      <c r="N653" s="207"/>
      <c r="O653" s="207"/>
      <c r="P653" s="209"/>
      <c r="Q653" s="207"/>
      <c r="R653" s="207"/>
      <c r="S653" s="207"/>
      <c r="T653" s="207"/>
      <c r="U653" s="209"/>
      <c r="V653" s="207"/>
      <c r="W653" s="207"/>
      <c r="X653" s="207"/>
      <c r="Y653" s="210"/>
      <c r="Z653" s="209"/>
      <c r="AA653" s="211"/>
      <c r="AB653" s="209"/>
      <c r="AC653" s="211"/>
      <c r="AD653" s="211"/>
      <c r="AE653" s="211"/>
      <c r="AF653" s="211"/>
      <c r="AG653" s="211"/>
      <c r="AH653" s="4"/>
      <c r="AI653" s="255"/>
      <c r="AK653" s="193"/>
      <c r="AL653" s="193"/>
      <c r="AM653" s="193"/>
      <c r="AN653" s="193"/>
      <c r="AO653" s="193"/>
      <c r="AP653" s="193"/>
    </row>
    <row r="654" spans="1:42" s="180" customFormat="1">
      <c r="B654" s="238" t="s">
        <v>69</v>
      </c>
      <c r="C654" s="239"/>
      <c r="D654" s="207"/>
      <c r="E654" s="209"/>
      <c r="F654" s="209"/>
      <c r="G654" s="207"/>
      <c r="H654" s="209"/>
      <c r="I654" s="209"/>
      <c r="J654" s="209"/>
      <c r="K654" s="209"/>
      <c r="L654" s="207"/>
      <c r="M654" s="207"/>
      <c r="N654" s="207"/>
      <c r="O654" s="207"/>
      <c r="P654" s="209"/>
      <c r="Q654" s="207"/>
      <c r="R654" s="207"/>
      <c r="S654" s="207"/>
      <c r="T654" s="207"/>
      <c r="U654" s="209"/>
      <c r="V654" s="207"/>
      <c r="W654" s="207"/>
      <c r="X654" s="207"/>
      <c r="Y654" s="210"/>
      <c r="Z654" s="209"/>
      <c r="AA654" s="211"/>
      <c r="AB654" s="209"/>
      <c r="AC654" s="211"/>
      <c r="AD654" s="211"/>
      <c r="AE654" s="211"/>
      <c r="AF654" s="211"/>
      <c r="AG654" s="211"/>
      <c r="AH654" s="4"/>
      <c r="AI654" s="255"/>
      <c r="AK654" s="193"/>
      <c r="AL654" s="193"/>
      <c r="AM654" s="193"/>
      <c r="AN654" s="193"/>
      <c r="AO654" s="193"/>
      <c r="AP654" s="193"/>
    </row>
    <row r="655" spans="1:42" s="180" customFormat="1">
      <c r="E655" s="4"/>
      <c r="F655" s="4"/>
      <c r="G655" s="4"/>
      <c r="J655" s="4"/>
      <c r="K655" s="4"/>
      <c r="L655" s="4"/>
      <c r="O655" s="4"/>
      <c r="P655" s="4"/>
      <c r="Q655" s="4"/>
      <c r="T655" s="4"/>
      <c r="U655" s="4"/>
      <c r="V655" s="4"/>
      <c r="Y655" s="4"/>
      <c r="Z655" s="4"/>
      <c r="AA655" s="4"/>
      <c r="AB655" s="4"/>
      <c r="AC655" s="4"/>
      <c r="AH655" s="4"/>
    </row>
    <row r="656" spans="1:42" s="255" customFormat="1">
      <c r="A656" s="228"/>
      <c r="B656" s="229"/>
      <c r="C656" s="230"/>
      <c r="D656" s="230"/>
      <c r="E656" s="232"/>
      <c r="F656" s="232"/>
      <c r="G656" s="230"/>
      <c r="H656" s="232"/>
      <c r="I656" s="232"/>
      <c r="J656" s="232"/>
      <c r="K656" s="232"/>
      <c r="L656" s="230"/>
      <c r="M656" s="230"/>
      <c r="N656" s="230"/>
      <c r="O656" s="230"/>
      <c r="P656" s="232"/>
      <c r="Q656" s="230"/>
      <c r="R656" s="230"/>
      <c r="S656" s="230"/>
      <c r="T656" s="230"/>
      <c r="U656" s="232"/>
      <c r="V656" s="230"/>
      <c r="W656" s="230"/>
      <c r="X656" s="230"/>
      <c r="Y656" s="233"/>
      <c r="Z656" s="232"/>
      <c r="AA656" s="234"/>
      <c r="AB656" s="232"/>
      <c r="AC656" s="373"/>
      <c r="AD656" s="236"/>
      <c r="AH656" s="373"/>
    </row>
    <row r="657" spans="2:42" s="180" customFormat="1">
      <c r="E657" s="4"/>
      <c r="F657" s="4"/>
      <c r="G657" s="4"/>
      <c r="J657" s="4"/>
      <c r="K657" s="4"/>
      <c r="L657" s="4"/>
      <c r="O657" s="4"/>
      <c r="P657" s="4"/>
      <c r="Q657" s="4"/>
      <c r="T657" s="4"/>
      <c r="U657" s="4"/>
      <c r="V657" s="4"/>
      <c r="Y657" s="4"/>
      <c r="Z657" s="4"/>
      <c r="AA657" s="4"/>
      <c r="AB657" s="4"/>
      <c r="AC657" s="4"/>
      <c r="AH657" s="4"/>
    </row>
    <row r="658" spans="2:42" s="180" customFormat="1">
      <c r="B658" s="1518" t="s">
        <v>18</v>
      </c>
      <c r="C658" s="1519">
        <v>45285</v>
      </c>
      <c r="D658" s="1519"/>
      <c r="E658" s="1519"/>
      <c r="F658" s="1519"/>
      <c r="G658" s="365"/>
      <c r="H658" s="1519">
        <v>45286</v>
      </c>
      <c r="I658" s="1519"/>
      <c r="J658" s="1519"/>
      <c r="K658" s="1519"/>
      <c r="L658" s="365"/>
      <c r="M658" s="1519">
        <v>45287</v>
      </c>
      <c r="N658" s="1519"/>
      <c r="O658" s="1519"/>
      <c r="P658" s="1519"/>
      <c r="Q658" s="365"/>
      <c r="R658" s="1519">
        <v>45288</v>
      </c>
      <c r="S658" s="1519"/>
      <c r="T658" s="1519"/>
      <c r="U658" s="1519"/>
      <c r="V658" s="365"/>
      <c r="W658" s="1519">
        <v>45289</v>
      </c>
      <c r="X658" s="1519"/>
      <c r="Y658" s="1519"/>
      <c r="Z658" s="1519"/>
      <c r="AA658" s="1517" t="s">
        <v>19</v>
      </c>
      <c r="AB658" s="1517" t="s">
        <v>20</v>
      </c>
      <c r="AC658" s="4"/>
      <c r="AD658" s="1519">
        <v>45290</v>
      </c>
      <c r="AE658" s="1519"/>
      <c r="AF658" s="1519"/>
      <c r="AG658" s="1517" t="s">
        <v>21</v>
      </c>
      <c r="AH658" s="4"/>
      <c r="AI658" s="255"/>
      <c r="AK658" s="194" t="s">
        <v>84</v>
      </c>
      <c r="AL658" s="366"/>
      <c r="AM658" s="366"/>
      <c r="AN658" s="366"/>
      <c r="AO658" s="366"/>
      <c r="AP658" s="366"/>
    </row>
    <row r="659" spans="2:42" s="367" customFormat="1">
      <c r="B659" s="1518"/>
      <c r="C659" s="21" t="s">
        <v>23</v>
      </c>
      <c r="D659" s="21" t="s">
        <v>24</v>
      </c>
      <c r="E659" s="205" t="s">
        <v>25</v>
      </c>
      <c r="F659" s="18" t="s">
        <v>14</v>
      </c>
      <c r="G659" s="4"/>
      <c r="H659" s="21" t="s">
        <v>23</v>
      </c>
      <c r="I659" s="21" t="s">
        <v>24</v>
      </c>
      <c r="J659" s="18" t="s">
        <v>25</v>
      </c>
      <c r="K659" s="18" t="s">
        <v>14</v>
      </c>
      <c r="L659" s="4"/>
      <c r="M659" s="21" t="s">
        <v>23</v>
      </c>
      <c r="N659" s="21" t="s">
        <v>24</v>
      </c>
      <c r="O659" s="18" t="s">
        <v>25</v>
      </c>
      <c r="P659" s="18" t="s">
        <v>14</v>
      </c>
      <c r="Q659" s="4"/>
      <c r="R659" s="21" t="s">
        <v>23</v>
      </c>
      <c r="S659" s="21" t="s">
        <v>24</v>
      </c>
      <c r="T659" s="18" t="s">
        <v>25</v>
      </c>
      <c r="U659" s="18" t="s">
        <v>14</v>
      </c>
      <c r="V659" s="4"/>
      <c r="W659" s="21" t="s">
        <v>23</v>
      </c>
      <c r="X659" s="21" t="s">
        <v>24</v>
      </c>
      <c r="Y659" s="18" t="s">
        <v>25</v>
      </c>
      <c r="Z659" s="18" t="s">
        <v>14</v>
      </c>
      <c r="AA659" s="1517"/>
      <c r="AB659" s="1517"/>
      <c r="AC659" s="4"/>
      <c r="AD659" s="21" t="s">
        <v>23</v>
      </c>
      <c r="AE659" s="21" t="s">
        <v>24</v>
      </c>
      <c r="AF659" s="18" t="s">
        <v>25</v>
      </c>
      <c r="AG659" s="1517"/>
      <c r="AH659" s="175"/>
      <c r="AI659" s="368"/>
      <c r="AK659" s="188" t="s">
        <v>26</v>
      </c>
      <c r="AL659" s="196">
        <f>AA692</f>
        <v>458.75</v>
      </c>
      <c r="AM659" s="193"/>
      <c r="AN659" s="193"/>
      <c r="AO659" s="193"/>
      <c r="AP659" s="193"/>
    </row>
    <row r="660" spans="2:42" s="367" customFormat="1">
      <c r="B660" s="171" t="s">
        <v>72</v>
      </c>
      <c r="C660" s="172" t="s">
        <v>29</v>
      </c>
      <c r="D660" s="172" t="s">
        <v>29</v>
      </c>
      <c r="E660" s="173"/>
      <c r="F660" s="277"/>
      <c r="G660" s="4"/>
      <c r="H660" s="172">
        <v>0.25</v>
      </c>
      <c r="I660" s="172">
        <v>0.25</v>
      </c>
      <c r="J660" s="173">
        <v>8</v>
      </c>
      <c r="K660" s="277">
        <v>3</v>
      </c>
      <c r="L660" s="4"/>
      <c r="M660" s="47">
        <v>0.35416666666666669</v>
      </c>
      <c r="N660" s="47">
        <v>0.25</v>
      </c>
      <c r="O660" s="173">
        <v>8</v>
      </c>
      <c r="P660" s="277">
        <v>1.5</v>
      </c>
      <c r="Q660" s="4"/>
      <c r="R660" s="47" t="s">
        <v>114</v>
      </c>
      <c r="S660" s="47" t="s">
        <v>29</v>
      </c>
      <c r="T660" s="319">
        <v>0</v>
      </c>
      <c r="U660" s="277"/>
      <c r="V660" s="4"/>
      <c r="W660" s="47" t="s">
        <v>114</v>
      </c>
      <c r="X660" s="47" t="s">
        <v>29</v>
      </c>
      <c r="Y660" s="319">
        <v>0</v>
      </c>
      <c r="Z660" s="277"/>
      <c r="AA660" s="28">
        <f t="shared" ref="AA660:AA688" si="87">(E660+J660+O660+T660+Y660)</f>
        <v>16</v>
      </c>
      <c r="AB660" s="298">
        <f t="shared" ref="AB660:AB671" si="88">Z660+U660+P660+K660+F660</f>
        <v>4.5</v>
      </c>
      <c r="AC660" s="4"/>
      <c r="AD660" s="175"/>
      <c r="AE660" s="175"/>
      <c r="AF660" s="173"/>
      <c r="AG660" s="28">
        <f t="shared" ref="AG660:AG688" si="89">AF660</f>
        <v>0</v>
      </c>
      <c r="AH660" s="175"/>
      <c r="AI660" s="368"/>
      <c r="AK660" s="188" t="s">
        <v>30</v>
      </c>
      <c r="AL660" s="196">
        <f>AB692</f>
        <v>27.5</v>
      </c>
      <c r="AM660" s="193"/>
      <c r="AN660" s="193"/>
      <c r="AO660" s="193"/>
      <c r="AP660" s="193"/>
    </row>
    <row r="661" spans="2:42" s="367" customFormat="1">
      <c r="B661" s="171" t="s">
        <v>71</v>
      </c>
      <c r="C661" s="12" t="s">
        <v>29</v>
      </c>
      <c r="D661" s="12" t="s">
        <v>29</v>
      </c>
      <c r="E661" s="173"/>
      <c r="F661" s="277"/>
      <c r="G661" s="4"/>
      <c r="H661" s="47" t="s">
        <v>114</v>
      </c>
      <c r="I661" s="47" t="s">
        <v>29</v>
      </c>
      <c r="J661" s="173">
        <v>0</v>
      </c>
      <c r="K661" s="277"/>
      <c r="L661" s="4"/>
      <c r="M661" s="172" t="s">
        <v>114</v>
      </c>
      <c r="N661" s="47" t="s">
        <v>29</v>
      </c>
      <c r="O661" s="319">
        <v>0</v>
      </c>
      <c r="P661" s="277"/>
      <c r="Q661" s="4"/>
      <c r="R661" s="47">
        <v>6.25E-2</v>
      </c>
      <c r="S661" s="47">
        <v>0.25</v>
      </c>
      <c r="T661" s="19">
        <v>4.5</v>
      </c>
      <c r="U661" s="277"/>
      <c r="V661" s="4"/>
      <c r="W661" s="47">
        <v>0.375</v>
      </c>
      <c r="X661" s="4"/>
      <c r="Y661" s="19">
        <v>8</v>
      </c>
      <c r="Z661" s="277"/>
      <c r="AA661" s="28">
        <f t="shared" si="87"/>
        <v>12.5</v>
      </c>
      <c r="AB661" s="298">
        <f t="shared" si="88"/>
        <v>0</v>
      </c>
      <c r="AC661" s="4"/>
      <c r="AD661" s="175"/>
      <c r="AE661" s="175"/>
      <c r="AF661" s="173"/>
      <c r="AG661" s="28">
        <f t="shared" si="89"/>
        <v>0</v>
      </c>
      <c r="AH661" s="175"/>
      <c r="AI661" s="368"/>
      <c r="AK661" s="188" t="s">
        <v>32</v>
      </c>
      <c r="AL661" s="196">
        <f>AG692</f>
        <v>0</v>
      </c>
      <c r="AM661" s="193"/>
      <c r="AN661" s="193"/>
      <c r="AO661" s="193"/>
      <c r="AP661" s="193"/>
    </row>
    <row r="662" spans="2:42" s="401" customFormat="1">
      <c r="B662" s="13" t="s">
        <v>109</v>
      </c>
      <c r="C662" s="172" t="s">
        <v>29</v>
      </c>
      <c r="D662" s="172" t="s">
        <v>29</v>
      </c>
      <c r="E662" s="19"/>
      <c r="F662" s="277"/>
      <c r="G662" s="399"/>
      <c r="H662" s="47">
        <v>0</v>
      </c>
      <c r="I662" s="47">
        <v>0</v>
      </c>
      <c r="J662" s="19">
        <v>0</v>
      </c>
      <c r="K662" s="277"/>
      <c r="L662" s="399"/>
      <c r="M662" s="47">
        <v>0.35416666666666669</v>
      </c>
      <c r="N662" s="47">
        <v>0.25</v>
      </c>
      <c r="O662" s="319">
        <v>8</v>
      </c>
      <c r="P662" s="277">
        <v>1.5</v>
      </c>
      <c r="Q662" s="399"/>
      <c r="R662" s="47" t="s">
        <v>114</v>
      </c>
      <c r="S662" s="47" t="s">
        <v>29</v>
      </c>
      <c r="T662" s="319">
        <v>0</v>
      </c>
      <c r="U662" s="277"/>
      <c r="V662" s="399"/>
      <c r="W662" s="47">
        <v>0.33333333333333331</v>
      </c>
      <c r="X662" s="4"/>
      <c r="Y662" s="19">
        <v>8</v>
      </c>
      <c r="Z662" s="277">
        <v>1</v>
      </c>
      <c r="AA662" s="29">
        <f t="shared" si="87"/>
        <v>16</v>
      </c>
      <c r="AB662" s="298">
        <f t="shared" si="88"/>
        <v>2.5</v>
      </c>
      <c r="AC662" s="399"/>
      <c r="AD662" s="345"/>
      <c r="AE662" s="345"/>
      <c r="AF662" s="346"/>
      <c r="AG662" s="29">
        <f t="shared" si="89"/>
        <v>0</v>
      </c>
      <c r="AH662" s="399"/>
      <c r="AI662" s="402"/>
      <c r="AK662" s="403" t="s">
        <v>34</v>
      </c>
      <c r="AL662" s="404">
        <f>AA693</f>
        <v>0</v>
      </c>
      <c r="AM662" s="405"/>
      <c r="AN662" s="405"/>
      <c r="AO662" s="405"/>
      <c r="AP662" s="405"/>
    </row>
    <row r="663" spans="2:42" s="180" customFormat="1">
      <c r="B663" s="13" t="s">
        <v>93</v>
      </c>
      <c r="C663" s="172" t="s">
        <v>29</v>
      </c>
      <c r="D663" s="172" t="s">
        <v>29</v>
      </c>
      <c r="E663" s="319"/>
      <c r="F663" s="277"/>
      <c r="G663" s="175"/>
      <c r="H663" s="47" t="s">
        <v>114</v>
      </c>
      <c r="I663" s="47" t="s">
        <v>29</v>
      </c>
      <c r="J663" s="319">
        <v>0</v>
      </c>
      <c r="K663" s="277">
        <v>1</v>
      </c>
      <c r="L663" s="175"/>
      <c r="M663" s="47" t="s">
        <v>114</v>
      </c>
      <c r="N663" s="4" t="s">
        <v>29</v>
      </c>
      <c r="O663" s="319">
        <v>0</v>
      </c>
      <c r="P663" s="277"/>
      <c r="Q663" s="175"/>
      <c r="R663" s="47" t="s">
        <v>114</v>
      </c>
      <c r="S663" s="47" t="s">
        <v>29</v>
      </c>
      <c r="T663" s="319">
        <v>0</v>
      </c>
      <c r="U663" s="277"/>
      <c r="V663" s="175"/>
      <c r="W663" s="47" t="s">
        <v>114</v>
      </c>
      <c r="X663" s="47" t="s">
        <v>29</v>
      </c>
      <c r="Y663" s="319">
        <v>0</v>
      </c>
      <c r="Z663" s="277"/>
      <c r="AA663" s="344">
        <f t="shared" si="87"/>
        <v>0</v>
      </c>
      <c r="AB663" s="298">
        <f t="shared" si="88"/>
        <v>1</v>
      </c>
      <c r="AC663" s="175"/>
      <c r="AD663" s="345"/>
      <c r="AE663" s="345"/>
      <c r="AF663" s="346"/>
      <c r="AG663" s="344">
        <f t="shared" si="89"/>
        <v>0</v>
      </c>
      <c r="AH663" s="4"/>
      <c r="AI663" s="255"/>
      <c r="AK663" s="188" t="s">
        <v>36</v>
      </c>
      <c r="AL663" s="196">
        <f>AB693</f>
        <v>0</v>
      </c>
      <c r="AM663" s="193"/>
      <c r="AN663" s="193"/>
      <c r="AO663" s="193"/>
      <c r="AP663" s="193"/>
    </row>
    <row r="664" spans="2:42" s="367" customFormat="1">
      <c r="B664" s="13" t="s">
        <v>97</v>
      </c>
      <c r="C664" s="172" t="s">
        <v>29</v>
      </c>
      <c r="D664" s="172" t="s">
        <v>29</v>
      </c>
      <c r="E664" s="319"/>
      <c r="F664" s="277"/>
      <c r="G664" s="175"/>
      <c r="H664" s="47">
        <v>0.33333333333333331</v>
      </c>
      <c r="I664" s="314">
        <v>0.25</v>
      </c>
      <c r="J664" s="319">
        <v>8</v>
      </c>
      <c r="K664" s="277"/>
      <c r="L664" s="175"/>
      <c r="M664" s="47">
        <v>0.35416666666666669</v>
      </c>
      <c r="N664" s="47">
        <v>0.25</v>
      </c>
      <c r="O664" s="319">
        <v>8</v>
      </c>
      <c r="P664" s="277">
        <v>1.5</v>
      </c>
      <c r="Q664" s="175"/>
      <c r="R664" s="47" t="s">
        <v>114</v>
      </c>
      <c r="S664" s="47" t="s">
        <v>29</v>
      </c>
      <c r="T664" s="319">
        <v>0</v>
      </c>
      <c r="U664" s="277"/>
      <c r="V664" s="175"/>
      <c r="W664" s="47" t="s">
        <v>114</v>
      </c>
      <c r="X664" s="47" t="s">
        <v>29</v>
      </c>
      <c r="Y664" s="319">
        <v>0</v>
      </c>
      <c r="Z664" s="277"/>
      <c r="AA664" s="344">
        <f t="shared" si="87"/>
        <v>16</v>
      </c>
      <c r="AB664" s="298">
        <f t="shared" si="88"/>
        <v>1.5</v>
      </c>
      <c r="AC664" s="175"/>
      <c r="AD664" s="345"/>
      <c r="AE664" s="345"/>
      <c r="AF664" s="346"/>
      <c r="AG664" s="344">
        <f t="shared" si="89"/>
        <v>0</v>
      </c>
      <c r="AH664" s="175"/>
      <c r="AI664" s="368"/>
      <c r="AK664" s="188" t="s">
        <v>38</v>
      </c>
      <c r="AL664" s="196">
        <f>AG693</f>
        <v>0</v>
      </c>
      <c r="AM664" s="193"/>
      <c r="AN664" s="193"/>
      <c r="AO664" s="193"/>
      <c r="AP664" s="193"/>
    </row>
    <row r="665" spans="2:42" s="180" customFormat="1">
      <c r="B665" s="13" t="s">
        <v>51</v>
      </c>
      <c r="C665" s="172" t="s">
        <v>29</v>
      </c>
      <c r="D665" s="172" t="s">
        <v>29</v>
      </c>
      <c r="E665" s="19"/>
      <c r="F665" s="277"/>
      <c r="G665" s="4"/>
      <c r="H665" s="47" t="s">
        <v>114</v>
      </c>
      <c r="I665" s="47" t="s">
        <v>29</v>
      </c>
      <c r="J665" s="319">
        <v>0</v>
      </c>
      <c r="K665" s="277"/>
      <c r="L665" s="4"/>
      <c r="M665" s="47" t="s">
        <v>114</v>
      </c>
      <c r="N665" s="47" t="s">
        <v>29</v>
      </c>
      <c r="O665" s="319">
        <v>0</v>
      </c>
      <c r="P665" s="277"/>
      <c r="Q665" s="4"/>
      <c r="R665" s="47" t="s">
        <v>114</v>
      </c>
      <c r="S665" s="47" t="s">
        <v>29</v>
      </c>
      <c r="T665" s="319">
        <v>0</v>
      </c>
      <c r="U665" s="277"/>
      <c r="V665" s="4"/>
      <c r="W665" s="47" t="s">
        <v>114</v>
      </c>
      <c r="X665" s="47" t="s">
        <v>29</v>
      </c>
      <c r="Y665" s="319">
        <v>0</v>
      </c>
      <c r="Z665" s="277"/>
      <c r="AA665" s="344">
        <f>(E665+J665+O665+T665+Y665)</f>
        <v>0</v>
      </c>
      <c r="AB665" s="298">
        <f>Z665+U665+P665+K665+F665</f>
        <v>0</v>
      </c>
      <c r="AC665" s="4"/>
      <c r="AD665" s="345"/>
      <c r="AE665" s="345"/>
      <c r="AF665" s="346"/>
      <c r="AG665" s="29">
        <f t="shared" si="89"/>
        <v>0</v>
      </c>
      <c r="AH665" s="4"/>
      <c r="AI665" s="255"/>
      <c r="AK665" s="188" t="s">
        <v>41</v>
      </c>
      <c r="AL665" s="196">
        <f>C696</f>
        <v>40</v>
      </c>
      <c r="AM665" s="369"/>
      <c r="AN665" s="369"/>
      <c r="AO665" s="369"/>
      <c r="AP665" s="369"/>
    </row>
    <row r="666" spans="2:42" s="180" customFormat="1">
      <c r="B666" s="13" t="s">
        <v>53</v>
      </c>
      <c r="C666" s="172" t="s">
        <v>29</v>
      </c>
      <c r="D666" s="172" t="s">
        <v>29</v>
      </c>
      <c r="E666" s="19"/>
      <c r="F666" s="277"/>
      <c r="G666" s="4"/>
      <c r="H666" s="47" t="s">
        <v>114</v>
      </c>
      <c r="I666" s="47" t="s">
        <v>29</v>
      </c>
      <c r="J666" s="319">
        <v>0</v>
      </c>
      <c r="K666" s="277"/>
      <c r="L666" s="4"/>
      <c r="M666" s="47" t="s">
        <v>114</v>
      </c>
      <c r="N666" s="47" t="s">
        <v>29</v>
      </c>
      <c r="O666" s="319">
        <v>0</v>
      </c>
      <c r="P666" s="277"/>
      <c r="Q666" s="4"/>
      <c r="R666" s="47" t="s">
        <v>114</v>
      </c>
      <c r="S666" s="47" t="s">
        <v>29</v>
      </c>
      <c r="T666" s="319">
        <v>0</v>
      </c>
      <c r="U666" s="277"/>
      <c r="V666" s="4"/>
      <c r="W666" s="47" t="s">
        <v>114</v>
      </c>
      <c r="X666" s="47" t="s">
        <v>29</v>
      </c>
      <c r="Y666" s="319">
        <v>0</v>
      </c>
      <c r="Z666" s="277"/>
      <c r="AA666" s="29">
        <f>(E665+J666+O666+T666+Y666)</f>
        <v>0</v>
      </c>
      <c r="AB666" s="298">
        <f>Z666+U666+P666+K666+F665</f>
        <v>0</v>
      </c>
      <c r="AC666" s="4"/>
      <c r="AD666" s="345"/>
      <c r="AE666" s="345"/>
      <c r="AF666" s="346"/>
      <c r="AG666" s="29">
        <f t="shared" si="89"/>
        <v>0</v>
      </c>
      <c r="AH666" s="4"/>
      <c r="AI666" s="255"/>
      <c r="AK666" s="193"/>
      <c r="AL666" s="193"/>
      <c r="AM666" s="193"/>
      <c r="AN666" s="193"/>
      <c r="AO666" s="193"/>
      <c r="AP666" s="193"/>
    </row>
    <row r="667" spans="2:42" s="180" customFormat="1">
      <c r="B667" s="13" t="s">
        <v>91</v>
      </c>
      <c r="C667" s="172" t="s">
        <v>29</v>
      </c>
      <c r="D667" s="172" t="s">
        <v>29</v>
      </c>
      <c r="E667" s="19"/>
      <c r="F667" s="277"/>
      <c r="G667" s="4"/>
      <c r="H667" s="47" t="s">
        <v>114</v>
      </c>
      <c r="I667" s="47" t="s">
        <v>29</v>
      </c>
      <c r="J667" s="319">
        <v>0</v>
      </c>
      <c r="K667" s="277"/>
      <c r="L667" s="4"/>
      <c r="M667" s="47" t="s">
        <v>114</v>
      </c>
      <c r="N667" s="47" t="s">
        <v>29</v>
      </c>
      <c r="O667" s="319">
        <v>0</v>
      </c>
      <c r="P667" s="277"/>
      <c r="Q667" s="4"/>
      <c r="R667" s="47">
        <v>7.2916666666666671E-2</v>
      </c>
      <c r="S667" s="47">
        <v>0.25</v>
      </c>
      <c r="T667" s="19">
        <v>4.25</v>
      </c>
      <c r="U667" s="277"/>
      <c r="V667" s="4"/>
      <c r="W667" s="47">
        <v>0.375</v>
      </c>
      <c r="X667" s="4"/>
      <c r="Y667" s="19">
        <v>8</v>
      </c>
      <c r="Z667" s="277"/>
      <c r="AA667" s="29">
        <f>(E666+J667+O667+T667+Y667)</f>
        <v>12.25</v>
      </c>
      <c r="AB667" s="298">
        <f>Z667+U667+P667+K667+F666</f>
        <v>0</v>
      </c>
      <c r="AC667" s="4"/>
      <c r="AD667" s="345"/>
      <c r="AE667" s="345"/>
      <c r="AF667" s="346"/>
      <c r="AG667" s="29">
        <f t="shared" si="89"/>
        <v>0</v>
      </c>
      <c r="AH667" s="4"/>
      <c r="AI667" s="255"/>
      <c r="AK667" s="193"/>
      <c r="AL667" s="193"/>
      <c r="AM667" s="193"/>
      <c r="AN667" s="193"/>
      <c r="AO667" s="193"/>
      <c r="AP667" s="193"/>
    </row>
    <row r="668" spans="2:42" s="180" customFormat="1">
      <c r="B668" s="13" t="s">
        <v>35</v>
      </c>
      <c r="C668" s="172" t="s">
        <v>29</v>
      </c>
      <c r="D668" s="172" t="s">
        <v>29</v>
      </c>
      <c r="E668" s="19"/>
      <c r="F668" s="277"/>
      <c r="G668" s="4"/>
      <c r="H668" s="47">
        <v>0.38541666666666669</v>
      </c>
      <c r="I668" s="47">
        <v>0.25</v>
      </c>
      <c r="J668" s="319">
        <v>7.75</v>
      </c>
      <c r="K668" s="277"/>
      <c r="L668" s="4"/>
      <c r="M668" s="47">
        <v>0.36458333333333331</v>
      </c>
      <c r="N668" s="47">
        <v>0.25</v>
      </c>
      <c r="O668" s="319">
        <v>8</v>
      </c>
      <c r="P668" s="277">
        <v>1.25</v>
      </c>
      <c r="Q668" s="4"/>
      <c r="R668" s="47">
        <v>7.2916666666666671E-2</v>
      </c>
      <c r="S668" s="47">
        <v>0.25</v>
      </c>
      <c r="T668" s="19">
        <v>4.25</v>
      </c>
      <c r="U668" s="277"/>
      <c r="V668" s="4"/>
      <c r="W668" s="47">
        <v>0.375</v>
      </c>
      <c r="X668" s="4"/>
      <c r="Y668" s="19">
        <v>8</v>
      </c>
      <c r="Z668" s="277"/>
      <c r="AA668" s="29">
        <f>(E667+J668+O668+T668+Y668)</f>
        <v>28</v>
      </c>
      <c r="AB668" s="298">
        <f>Z668+U668+P668+K668+F667</f>
        <v>1.25</v>
      </c>
      <c r="AC668" s="4"/>
      <c r="AD668" s="345"/>
      <c r="AE668" s="345"/>
      <c r="AF668" s="346"/>
      <c r="AG668" s="29">
        <f t="shared" si="89"/>
        <v>0</v>
      </c>
      <c r="AH668" s="4"/>
      <c r="AI668" s="255"/>
      <c r="AK668" s="193"/>
      <c r="AL668" s="193"/>
      <c r="AM668" s="193"/>
      <c r="AN668" s="193"/>
      <c r="AO668" s="193"/>
      <c r="AP668" s="193"/>
    </row>
    <row r="669" spans="2:42" s="180" customFormat="1">
      <c r="B669" s="13" t="s">
        <v>46</v>
      </c>
      <c r="C669" s="172" t="s">
        <v>29</v>
      </c>
      <c r="D669" s="172" t="s">
        <v>29</v>
      </c>
      <c r="E669" s="19"/>
      <c r="F669" s="277"/>
      <c r="G669" s="4"/>
      <c r="H669" s="47">
        <v>0.34375</v>
      </c>
      <c r="I669" s="47">
        <v>0.25</v>
      </c>
      <c r="J669" s="319">
        <v>8</v>
      </c>
      <c r="K669" s="277"/>
      <c r="L669" s="4"/>
      <c r="M669" s="47">
        <v>0.35416666666666669</v>
      </c>
      <c r="N669" s="47">
        <v>0.25</v>
      </c>
      <c r="O669" s="319">
        <v>8</v>
      </c>
      <c r="P669" s="277">
        <v>1.5</v>
      </c>
      <c r="Q669" s="4"/>
      <c r="R669" s="47">
        <v>6.25E-2</v>
      </c>
      <c r="S669" s="47">
        <v>0.25</v>
      </c>
      <c r="T669" s="19">
        <v>4.5</v>
      </c>
      <c r="U669" s="277"/>
      <c r="V669" s="4"/>
      <c r="W669" s="47" t="s">
        <v>114</v>
      </c>
      <c r="X669" s="47" t="s">
        <v>29</v>
      </c>
      <c r="Y669" s="319">
        <v>0</v>
      </c>
      <c r="Z669" s="277"/>
      <c r="AA669" s="29">
        <f t="shared" si="87"/>
        <v>20.5</v>
      </c>
      <c r="AB669" s="298">
        <f t="shared" si="88"/>
        <v>1.5</v>
      </c>
      <c r="AC669" s="4"/>
      <c r="AD669" s="345"/>
      <c r="AE669" s="345"/>
      <c r="AF669" s="346"/>
      <c r="AG669" s="29">
        <f t="shared" si="89"/>
        <v>0</v>
      </c>
      <c r="AH669" s="4"/>
      <c r="AI669" s="255"/>
      <c r="AK669" s="193"/>
      <c r="AL669" s="193"/>
      <c r="AM669" s="193"/>
      <c r="AN669" s="193"/>
      <c r="AO669" s="193"/>
      <c r="AP669" s="193"/>
    </row>
    <row r="670" spans="2:42" s="180" customFormat="1">
      <c r="B670" s="13" t="s">
        <v>50</v>
      </c>
      <c r="C670" s="172" t="s">
        <v>29</v>
      </c>
      <c r="D670" s="172" t="s">
        <v>29</v>
      </c>
      <c r="E670" s="19"/>
      <c r="F670" s="277"/>
      <c r="G670" s="4"/>
      <c r="H670" s="47" t="s">
        <v>114</v>
      </c>
      <c r="I670" s="47" t="s">
        <v>29</v>
      </c>
      <c r="J670" s="319">
        <v>0</v>
      </c>
      <c r="K670" s="277"/>
      <c r="L670" s="4"/>
      <c r="M670" s="47" t="s">
        <v>114</v>
      </c>
      <c r="N670" s="47" t="s">
        <v>29</v>
      </c>
      <c r="O670" s="319">
        <v>0</v>
      </c>
      <c r="P670" s="277"/>
      <c r="Q670" s="4"/>
      <c r="R670" s="47" t="s">
        <v>114</v>
      </c>
      <c r="S670" s="47" t="s">
        <v>29</v>
      </c>
      <c r="T670" s="319">
        <v>0</v>
      </c>
      <c r="U670" s="277"/>
      <c r="V670" s="4"/>
      <c r="W670" s="47" t="s">
        <v>114</v>
      </c>
      <c r="X670" s="47" t="s">
        <v>29</v>
      </c>
      <c r="Y670" s="319">
        <v>0</v>
      </c>
      <c r="Z670" s="277"/>
      <c r="AA670" s="29">
        <f t="shared" si="87"/>
        <v>0</v>
      </c>
      <c r="AB670" s="298">
        <f t="shared" si="88"/>
        <v>0</v>
      </c>
      <c r="AC670" s="4"/>
      <c r="AD670" s="345"/>
      <c r="AE670" s="345"/>
      <c r="AF670" s="346"/>
      <c r="AG670" s="29">
        <f t="shared" si="89"/>
        <v>0</v>
      </c>
      <c r="AH670" s="4"/>
      <c r="AI670" s="255"/>
      <c r="AK670" s="193"/>
      <c r="AL670" s="193"/>
      <c r="AM670" s="193"/>
      <c r="AN670" s="193"/>
      <c r="AO670" s="193"/>
      <c r="AP670" s="193"/>
    </row>
    <row r="671" spans="2:42" s="180" customFormat="1">
      <c r="B671" s="8" t="s">
        <v>43</v>
      </c>
      <c r="C671" s="172" t="s">
        <v>29</v>
      </c>
      <c r="D671" s="172" t="s">
        <v>29</v>
      </c>
      <c r="E671" s="19"/>
      <c r="F671" s="277"/>
      <c r="G671" s="4"/>
      <c r="H671" s="47" t="s">
        <v>114</v>
      </c>
      <c r="I671" s="314" t="s">
        <v>29</v>
      </c>
      <c r="J671" s="319">
        <v>0</v>
      </c>
      <c r="K671" s="277"/>
      <c r="L671" s="4"/>
      <c r="M671" s="47" t="s">
        <v>114</v>
      </c>
      <c r="N671" s="47" t="s">
        <v>29</v>
      </c>
      <c r="O671" s="319">
        <v>0</v>
      </c>
      <c r="P671" s="277"/>
      <c r="Q671" s="4"/>
      <c r="R671" s="47">
        <v>7.2916666666666671E-2</v>
      </c>
      <c r="S671" s="47">
        <v>0.25</v>
      </c>
      <c r="T671" s="19">
        <v>4.25</v>
      </c>
      <c r="U671" s="277"/>
      <c r="V671" s="4"/>
      <c r="W671" s="47">
        <v>0.375</v>
      </c>
      <c r="X671" s="4"/>
      <c r="Y671" s="19">
        <v>8</v>
      </c>
      <c r="Z671" s="277"/>
      <c r="AA671" s="29">
        <f t="shared" si="87"/>
        <v>12.25</v>
      </c>
      <c r="AB671" s="298">
        <f t="shared" si="88"/>
        <v>0</v>
      </c>
      <c r="AC671" s="4"/>
      <c r="AD671" s="345"/>
      <c r="AE671" s="345"/>
      <c r="AF671" s="346"/>
      <c r="AG671" s="29">
        <f t="shared" si="89"/>
        <v>0</v>
      </c>
      <c r="AH671" s="4"/>
      <c r="AI671" s="255"/>
      <c r="AK671" s="193"/>
      <c r="AL671" s="193"/>
      <c r="AM671" s="193"/>
      <c r="AN671" s="193"/>
      <c r="AO671" s="193"/>
      <c r="AP671" s="193"/>
    </row>
    <row r="672" spans="2:42" s="180" customFormat="1">
      <c r="B672" s="8" t="s">
        <v>113</v>
      </c>
      <c r="C672" s="172" t="s">
        <v>29</v>
      </c>
      <c r="D672" s="172" t="s">
        <v>29</v>
      </c>
      <c r="E672" s="19"/>
      <c r="F672" s="277"/>
      <c r="G672" s="4"/>
      <c r="H672" s="47">
        <v>0.33333333333333331</v>
      </c>
      <c r="I672" s="314"/>
      <c r="J672" s="319">
        <v>0</v>
      </c>
      <c r="K672" s="277"/>
      <c r="L672" s="4"/>
      <c r="M672" s="47">
        <v>0.35416666666666669</v>
      </c>
      <c r="N672" s="47">
        <v>0.25</v>
      </c>
      <c r="O672" s="319">
        <v>8</v>
      </c>
      <c r="P672" s="277">
        <v>0.5</v>
      </c>
      <c r="Q672" s="4"/>
      <c r="R672" s="47" t="s">
        <v>114</v>
      </c>
      <c r="S672" s="47" t="s">
        <v>29</v>
      </c>
      <c r="T672" s="319">
        <v>0</v>
      </c>
      <c r="U672" s="277"/>
      <c r="V672" s="4"/>
      <c r="W672" s="47">
        <v>0.375</v>
      </c>
      <c r="X672" s="47"/>
      <c r="Y672" s="19">
        <v>8</v>
      </c>
      <c r="Z672" s="277"/>
      <c r="AA672" s="29">
        <f t="shared" ref="AA672:AA678" si="90">(E672+J672+O672+T672+Y672)</f>
        <v>16</v>
      </c>
      <c r="AB672" s="298">
        <f t="shared" ref="AB672:AB680" si="91">Z672+U672+P672+K672+F672</f>
        <v>0.5</v>
      </c>
      <c r="AC672" s="4"/>
      <c r="AD672" s="345"/>
      <c r="AE672" s="345"/>
      <c r="AF672" s="346"/>
      <c r="AG672" s="29">
        <f t="shared" ref="AG672:AG678" si="92">AF672</f>
        <v>0</v>
      </c>
      <c r="AH672" s="4"/>
      <c r="AI672" s="255"/>
      <c r="AK672" s="193"/>
      <c r="AL672" s="193"/>
      <c r="AM672" s="193"/>
      <c r="AN672" s="193"/>
      <c r="AO672" s="193"/>
      <c r="AP672" s="193"/>
    </row>
    <row r="673" spans="2:42" s="180" customFormat="1">
      <c r="B673" s="13" t="s">
        <v>108</v>
      </c>
      <c r="C673" s="172" t="s">
        <v>29</v>
      </c>
      <c r="D673" s="172" t="s">
        <v>29</v>
      </c>
      <c r="E673" s="19"/>
      <c r="F673" s="277"/>
      <c r="G673" s="4"/>
      <c r="H673" s="47" t="s">
        <v>114</v>
      </c>
      <c r="I673" s="314" t="s">
        <v>29</v>
      </c>
      <c r="J673" s="319">
        <v>0</v>
      </c>
      <c r="K673" s="277"/>
      <c r="L673" s="4"/>
      <c r="M673" s="47" t="s">
        <v>114</v>
      </c>
      <c r="N673" s="47" t="s">
        <v>29</v>
      </c>
      <c r="O673" s="319">
        <v>0</v>
      </c>
      <c r="P673" s="277"/>
      <c r="Q673" s="4"/>
      <c r="R673" s="47" t="s">
        <v>114</v>
      </c>
      <c r="S673" s="47" t="s">
        <v>29</v>
      </c>
      <c r="T673" s="319">
        <v>0</v>
      </c>
      <c r="U673" s="277"/>
      <c r="V673" s="4"/>
      <c r="W673" s="47" t="s">
        <v>114</v>
      </c>
      <c r="X673" s="47" t="s">
        <v>29</v>
      </c>
      <c r="Y673" s="319">
        <v>0</v>
      </c>
      <c r="Z673" s="277"/>
      <c r="AA673" s="29">
        <f t="shared" si="90"/>
        <v>0</v>
      </c>
      <c r="AB673" s="298">
        <f t="shared" si="91"/>
        <v>0</v>
      </c>
      <c r="AC673" s="4"/>
      <c r="AD673" s="345"/>
      <c r="AE673" s="345"/>
      <c r="AF673" s="346"/>
      <c r="AG673" s="29">
        <f t="shared" si="92"/>
        <v>0</v>
      </c>
      <c r="AH673" s="4"/>
      <c r="AI673" s="255"/>
      <c r="AK673" s="193"/>
      <c r="AL673" s="193"/>
      <c r="AM673" s="193"/>
      <c r="AN673" s="193"/>
      <c r="AO673" s="193"/>
      <c r="AP673" s="193"/>
    </row>
    <row r="674" spans="2:42" s="180" customFormat="1">
      <c r="B674" s="13" t="s">
        <v>44</v>
      </c>
      <c r="C674" s="172" t="s">
        <v>29</v>
      </c>
      <c r="D674" s="172" t="s">
        <v>29</v>
      </c>
      <c r="E674" s="19"/>
      <c r="F674" s="277"/>
      <c r="G674" s="4"/>
      <c r="H674" s="47" t="s">
        <v>114</v>
      </c>
      <c r="I674" s="47" t="s">
        <v>29</v>
      </c>
      <c r="J674" s="319">
        <v>0</v>
      </c>
      <c r="K674" s="277"/>
      <c r="L674" s="4"/>
      <c r="M674" s="47" t="s">
        <v>114</v>
      </c>
      <c r="N674" s="47" t="s">
        <v>29</v>
      </c>
      <c r="O674" s="319">
        <v>0</v>
      </c>
      <c r="P674" s="277"/>
      <c r="Q674" s="4"/>
      <c r="R674" s="47" t="s">
        <v>114</v>
      </c>
      <c r="S674" s="47" t="s">
        <v>29</v>
      </c>
      <c r="T674" s="319">
        <v>0</v>
      </c>
      <c r="U674" s="277"/>
      <c r="V674" s="4"/>
      <c r="W674" s="47" t="s">
        <v>114</v>
      </c>
      <c r="X674" s="47" t="s">
        <v>29</v>
      </c>
      <c r="Y674" s="319">
        <v>0</v>
      </c>
      <c r="Z674" s="277"/>
      <c r="AA674" s="29">
        <f t="shared" si="90"/>
        <v>0</v>
      </c>
      <c r="AB674" s="298">
        <f t="shared" si="91"/>
        <v>0</v>
      </c>
      <c r="AC674" s="4"/>
      <c r="AD674" s="345"/>
      <c r="AE674" s="345"/>
      <c r="AF674" s="346"/>
      <c r="AG674" s="29">
        <f t="shared" si="92"/>
        <v>0</v>
      </c>
      <c r="AH674" s="4"/>
      <c r="AI674" s="255"/>
      <c r="AK674" s="193"/>
      <c r="AL674" s="193"/>
      <c r="AM674" s="193"/>
      <c r="AN674" s="193"/>
      <c r="AO674" s="193"/>
      <c r="AP674" s="193"/>
    </row>
    <row r="675" spans="2:42" s="180" customFormat="1">
      <c r="B675" s="13" t="s">
        <v>45</v>
      </c>
      <c r="C675" s="172" t="s">
        <v>29</v>
      </c>
      <c r="D675" s="172" t="s">
        <v>29</v>
      </c>
      <c r="E675" s="19"/>
      <c r="F675" s="277"/>
      <c r="G675" s="4"/>
      <c r="H675" s="47">
        <v>0.27083333333333331</v>
      </c>
      <c r="I675" s="47">
        <v>0.25</v>
      </c>
      <c r="J675" s="19">
        <v>8</v>
      </c>
      <c r="K675" s="277">
        <v>2.5</v>
      </c>
      <c r="L675" s="4"/>
      <c r="M675" s="47">
        <v>0.35416666666666669</v>
      </c>
      <c r="N675" s="47">
        <v>0.25</v>
      </c>
      <c r="O675" s="319">
        <v>8</v>
      </c>
      <c r="P675" s="277">
        <v>1.5</v>
      </c>
      <c r="Q675" s="4"/>
      <c r="R675" s="47" t="s">
        <v>114</v>
      </c>
      <c r="S675" s="47" t="s">
        <v>29</v>
      </c>
      <c r="T675" s="319">
        <v>0</v>
      </c>
      <c r="U675" s="277"/>
      <c r="V675" s="4"/>
      <c r="W675" s="47" t="s">
        <v>114</v>
      </c>
      <c r="X675" s="47" t="s">
        <v>29</v>
      </c>
      <c r="Y675" s="319">
        <v>0</v>
      </c>
      <c r="Z675" s="277"/>
      <c r="AA675" s="29">
        <f t="shared" si="90"/>
        <v>16</v>
      </c>
      <c r="AB675" s="298">
        <f t="shared" si="91"/>
        <v>4</v>
      </c>
      <c r="AC675" s="4"/>
      <c r="AD675" s="345"/>
      <c r="AE675" s="345"/>
      <c r="AF675" s="346"/>
      <c r="AG675" s="29">
        <f t="shared" si="92"/>
        <v>0</v>
      </c>
      <c r="AH675" s="4"/>
      <c r="AI675" s="255"/>
      <c r="AK675" s="193"/>
      <c r="AL675" s="193"/>
      <c r="AM675" s="193"/>
      <c r="AN675" s="193"/>
      <c r="AO675" s="193"/>
      <c r="AP675" s="193"/>
    </row>
    <row r="676" spans="2:42" s="180" customFormat="1">
      <c r="B676" s="13" t="s">
        <v>112</v>
      </c>
      <c r="C676" s="172" t="s">
        <v>29</v>
      </c>
      <c r="D676" s="172" t="s">
        <v>29</v>
      </c>
      <c r="E676" s="19"/>
      <c r="F676" s="277"/>
      <c r="G676" s="4"/>
      <c r="H676" s="47" t="s">
        <v>114</v>
      </c>
      <c r="I676" s="47" t="s">
        <v>29</v>
      </c>
      <c r="J676" s="319">
        <v>0</v>
      </c>
      <c r="K676" s="277"/>
      <c r="L676" s="4"/>
      <c r="M676" s="47" t="s">
        <v>114</v>
      </c>
      <c r="N676" s="47" t="s">
        <v>29</v>
      </c>
      <c r="O676" s="319">
        <v>0</v>
      </c>
      <c r="P676" s="277"/>
      <c r="Q676" s="4"/>
      <c r="R676" s="47" t="s">
        <v>114</v>
      </c>
      <c r="S676" s="47" t="s">
        <v>29</v>
      </c>
      <c r="T676" s="319">
        <v>0</v>
      </c>
      <c r="U676" s="277"/>
      <c r="V676" s="4"/>
      <c r="W676" s="47">
        <v>0.375</v>
      </c>
      <c r="X676" s="4"/>
      <c r="Y676" s="19">
        <v>8</v>
      </c>
      <c r="Z676" s="277"/>
      <c r="AA676" s="29">
        <f t="shared" si="90"/>
        <v>8</v>
      </c>
      <c r="AB676" s="298">
        <f t="shared" si="91"/>
        <v>0</v>
      </c>
      <c r="AC676" s="4"/>
      <c r="AD676" s="345"/>
      <c r="AE676" s="345"/>
      <c r="AF676" s="346"/>
      <c r="AG676" s="29">
        <f t="shared" si="92"/>
        <v>0</v>
      </c>
      <c r="AH676" s="4"/>
      <c r="AI676" s="255"/>
      <c r="AK676" s="193"/>
      <c r="AL676" s="193"/>
      <c r="AM676" s="193"/>
      <c r="AN676" s="193"/>
      <c r="AO676" s="193"/>
      <c r="AP676" s="193"/>
    </row>
    <row r="677" spans="2:42" s="180" customFormat="1">
      <c r="B677" s="13" t="s">
        <v>52</v>
      </c>
      <c r="C677" s="172" t="s">
        <v>29</v>
      </c>
      <c r="D677" s="172" t="s">
        <v>29</v>
      </c>
      <c r="E677" s="19"/>
      <c r="F677" s="277"/>
      <c r="G677" s="4"/>
      <c r="H677" s="47">
        <v>0.25</v>
      </c>
      <c r="I677" s="47">
        <v>0.25</v>
      </c>
      <c r="J677" s="19">
        <v>8</v>
      </c>
      <c r="K677" s="277">
        <v>3</v>
      </c>
      <c r="L677" s="4"/>
      <c r="M677" s="47">
        <v>0</v>
      </c>
      <c r="N677" s="47">
        <v>0</v>
      </c>
      <c r="O677" s="319">
        <v>0</v>
      </c>
      <c r="P677" s="277"/>
      <c r="Q677" s="4"/>
      <c r="R677" s="47">
        <v>0</v>
      </c>
      <c r="S677" s="47">
        <v>0</v>
      </c>
      <c r="T677" s="19">
        <v>0</v>
      </c>
      <c r="U677" s="277"/>
      <c r="V677" s="4"/>
      <c r="W677" s="47">
        <v>0</v>
      </c>
      <c r="X677" s="4">
        <v>0</v>
      </c>
      <c r="Y677" s="19">
        <v>0</v>
      </c>
      <c r="Z677" s="277"/>
      <c r="AA677" s="29">
        <f t="shared" si="90"/>
        <v>8</v>
      </c>
      <c r="AB677" s="298">
        <f t="shared" si="91"/>
        <v>3</v>
      </c>
      <c r="AC677" s="4"/>
      <c r="AD677" s="345"/>
      <c r="AE677" s="345"/>
      <c r="AF677" s="346"/>
      <c r="AG677" s="29">
        <f t="shared" si="92"/>
        <v>0</v>
      </c>
      <c r="AH677" s="4"/>
      <c r="AI677" s="255"/>
      <c r="AK677" s="193"/>
      <c r="AL677" s="193"/>
      <c r="AM677" s="193"/>
      <c r="AN677" s="193"/>
      <c r="AO677" s="193"/>
      <c r="AP677" s="193"/>
    </row>
    <row r="678" spans="2:42" s="180" customFormat="1">
      <c r="B678" s="13" t="s">
        <v>92</v>
      </c>
      <c r="C678" s="172" t="s">
        <v>29</v>
      </c>
      <c r="D678" s="172" t="s">
        <v>29</v>
      </c>
      <c r="E678" s="19"/>
      <c r="F678" s="277"/>
      <c r="G678" s="4"/>
      <c r="H678" s="47">
        <v>0.27083333333333331</v>
      </c>
      <c r="I678" s="47">
        <v>0.25</v>
      </c>
      <c r="J678" s="19">
        <v>8</v>
      </c>
      <c r="K678" s="277">
        <v>2.5</v>
      </c>
      <c r="L678" s="4"/>
      <c r="M678" s="47">
        <v>0.375</v>
      </c>
      <c r="N678" s="47">
        <v>0.25</v>
      </c>
      <c r="O678" s="319">
        <v>8</v>
      </c>
      <c r="P678" s="277"/>
      <c r="Q678" s="4"/>
      <c r="R678" s="47">
        <v>7.2916666666666671E-2</v>
      </c>
      <c r="S678" s="47">
        <v>0.25</v>
      </c>
      <c r="T678" s="19">
        <v>4.25</v>
      </c>
      <c r="U678" s="277"/>
      <c r="V678" s="4"/>
      <c r="W678" s="47">
        <v>0.34375</v>
      </c>
      <c r="X678" s="4"/>
      <c r="Y678" s="19">
        <v>8</v>
      </c>
      <c r="Z678" s="277">
        <v>0.75</v>
      </c>
      <c r="AA678" s="29">
        <f t="shared" si="90"/>
        <v>28.25</v>
      </c>
      <c r="AB678" s="298">
        <f t="shared" si="91"/>
        <v>3.25</v>
      </c>
      <c r="AC678" s="4"/>
      <c r="AD678" s="345"/>
      <c r="AE678" s="345"/>
      <c r="AF678" s="346"/>
      <c r="AG678" s="29">
        <f t="shared" si="92"/>
        <v>0</v>
      </c>
      <c r="AH678" s="4"/>
      <c r="AI678" s="255"/>
      <c r="AK678" s="193"/>
      <c r="AL678" s="193"/>
      <c r="AM678" s="193"/>
      <c r="AN678" s="193"/>
      <c r="AO678" s="193"/>
      <c r="AP678" s="193"/>
    </row>
    <row r="679" spans="2:42" s="180" customFormat="1">
      <c r="B679" s="13" t="s">
        <v>39</v>
      </c>
      <c r="C679" s="172" t="s">
        <v>29</v>
      </c>
      <c r="D679" s="172" t="s">
        <v>29</v>
      </c>
      <c r="E679" s="19"/>
      <c r="F679" s="277"/>
      <c r="G679" s="4"/>
      <c r="H679" s="16" t="s">
        <v>114</v>
      </c>
      <c r="I679" s="16" t="s">
        <v>29</v>
      </c>
      <c r="J679" s="319">
        <v>0</v>
      </c>
      <c r="K679" s="277"/>
      <c r="L679" s="4"/>
      <c r="M679" s="47" t="s">
        <v>114</v>
      </c>
      <c r="N679" s="47" t="s">
        <v>29</v>
      </c>
      <c r="O679" s="319">
        <v>0</v>
      </c>
      <c r="P679" s="277"/>
      <c r="Q679" s="4"/>
      <c r="R679" s="47">
        <v>6.25E-2</v>
      </c>
      <c r="S679" s="47">
        <v>0.25</v>
      </c>
      <c r="T679" s="19">
        <v>4.5</v>
      </c>
      <c r="U679" s="277"/>
      <c r="V679" s="4"/>
      <c r="W679" s="47">
        <v>0.375</v>
      </c>
      <c r="X679" s="4"/>
      <c r="Y679" s="19">
        <v>8</v>
      </c>
      <c r="Z679" s="277"/>
      <c r="AA679" s="29">
        <f t="shared" si="87"/>
        <v>12.5</v>
      </c>
      <c r="AB679" s="298">
        <f t="shared" si="91"/>
        <v>0</v>
      </c>
      <c r="AC679" s="4"/>
      <c r="AD679" s="410"/>
      <c r="AE679" s="4"/>
      <c r="AF679" s="19"/>
      <c r="AG679" s="29">
        <f t="shared" si="89"/>
        <v>0</v>
      </c>
      <c r="AH679" s="4"/>
      <c r="AI679" s="255"/>
      <c r="AK679" s="193"/>
      <c r="AL679" s="193"/>
      <c r="AM679" s="193"/>
      <c r="AN679" s="193"/>
      <c r="AO679" s="193"/>
      <c r="AP679" s="193"/>
    </row>
    <row r="680" spans="2:42" s="180" customFormat="1">
      <c r="B680" s="13" t="s">
        <v>96</v>
      </c>
      <c r="C680" s="172" t="s">
        <v>29</v>
      </c>
      <c r="D680" s="172" t="s">
        <v>29</v>
      </c>
      <c r="E680" s="19"/>
      <c r="F680" s="277"/>
      <c r="G680" s="4"/>
      <c r="H680" s="47">
        <v>0.25</v>
      </c>
      <c r="I680" s="47">
        <v>0.25</v>
      </c>
      <c r="J680" s="19">
        <v>8</v>
      </c>
      <c r="K680" s="277">
        <v>3</v>
      </c>
      <c r="L680" s="4"/>
      <c r="M680" s="47">
        <v>0.33333333333333331</v>
      </c>
      <c r="N680" s="16">
        <v>0.25</v>
      </c>
      <c r="O680" s="19">
        <v>8</v>
      </c>
      <c r="P680" s="277">
        <v>1</v>
      </c>
      <c r="Q680" s="4"/>
      <c r="R680" s="47" t="s">
        <v>114</v>
      </c>
      <c r="S680" s="47" t="s">
        <v>29</v>
      </c>
      <c r="T680" s="319">
        <v>0</v>
      </c>
      <c r="U680" s="277"/>
      <c r="V680" s="4"/>
      <c r="W680" s="47">
        <v>0.35416666666666669</v>
      </c>
      <c r="X680" s="47"/>
      <c r="Y680" s="19">
        <v>8</v>
      </c>
      <c r="Z680" s="277">
        <v>0.5</v>
      </c>
      <c r="AA680" s="29">
        <f t="shared" si="87"/>
        <v>24</v>
      </c>
      <c r="AB680" s="298">
        <f t="shared" si="91"/>
        <v>4.5</v>
      </c>
      <c r="AC680" s="4"/>
      <c r="AD680" s="4"/>
      <c r="AE680" s="4"/>
      <c r="AF680" s="19"/>
      <c r="AG680" s="29">
        <f t="shared" si="89"/>
        <v>0</v>
      </c>
      <c r="AH680" s="4"/>
      <c r="AI680" s="255"/>
      <c r="AK680" s="193"/>
      <c r="AL680" s="193"/>
      <c r="AM680" s="193"/>
      <c r="AN680" s="193"/>
      <c r="AO680" s="193"/>
      <c r="AP680" s="193"/>
    </row>
    <row r="681" spans="2:42" s="180" customFormat="1">
      <c r="B681" s="13" t="s">
        <v>42</v>
      </c>
      <c r="C681" s="172" t="s">
        <v>29</v>
      </c>
      <c r="D681" s="172" t="s">
        <v>29</v>
      </c>
      <c r="E681" s="19"/>
      <c r="F681" s="277"/>
      <c r="G681" s="4"/>
      <c r="H681" s="47" t="s">
        <v>114</v>
      </c>
      <c r="I681" s="47" t="s">
        <v>29</v>
      </c>
      <c r="J681" s="319">
        <v>0</v>
      </c>
      <c r="K681" s="277"/>
      <c r="L681" s="4"/>
      <c r="M681" s="47" t="s">
        <v>114</v>
      </c>
      <c r="N681" s="47" t="s">
        <v>29</v>
      </c>
      <c r="O681" s="319">
        <v>0</v>
      </c>
      <c r="P681" s="277"/>
      <c r="Q681" s="4"/>
      <c r="R681" s="47">
        <v>6.25E-2</v>
      </c>
      <c r="S681" s="47">
        <v>0.25</v>
      </c>
      <c r="T681" s="19">
        <v>4.5</v>
      </c>
      <c r="U681" s="277"/>
      <c r="V681" s="4"/>
      <c r="W681" s="47">
        <v>0</v>
      </c>
      <c r="X681" s="47">
        <v>0</v>
      </c>
      <c r="Y681" s="19">
        <v>0</v>
      </c>
      <c r="Z681" s="277"/>
      <c r="AA681" s="29">
        <f t="shared" si="87"/>
        <v>4.5</v>
      </c>
      <c r="AB681" s="298">
        <f t="shared" ref="AB681:AB691" si="93">Z681+U681+P681+K681+F681</f>
        <v>0</v>
      </c>
      <c r="AC681" s="4"/>
      <c r="AD681" s="4"/>
      <c r="AE681" s="4"/>
      <c r="AF681" s="19"/>
      <c r="AG681" s="29">
        <f t="shared" si="89"/>
        <v>0</v>
      </c>
      <c r="AH681" s="4"/>
      <c r="AI681" s="255"/>
      <c r="AK681" s="193"/>
      <c r="AL681" s="193"/>
      <c r="AM681" s="193"/>
      <c r="AN681" s="193"/>
      <c r="AO681" s="193"/>
      <c r="AP681" s="193"/>
    </row>
    <row r="682" spans="2:42" s="180" customFormat="1">
      <c r="B682" s="13" t="s">
        <v>54</v>
      </c>
      <c r="C682" s="172" t="s">
        <v>29</v>
      </c>
      <c r="D682" s="172" t="s">
        <v>29</v>
      </c>
      <c r="E682" s="19"/>
      <c r="F682" s="277"/>
      <c r="G682" s="4"/>
      <c r="H682" s="12"/>
      <c r="I682" s="12"/>
      <c r="J682" s="319">
        <v>0</v>
      </c>
      <c r="K682" s="277"/>
      <c r="L682" s="4"/>
      <c r="M682" s="4"/>
      <c r="N682" s="47"/>
      <c r="O682" s="319">
        <v>0</v>
      </c>
      <c r="P682" s="277"/>
      <c r="Q682" s="4"/>
      <c r="R682" s="4"/>
      <c r="S682" s="4"/>
      <c r="T682" s="319">
        <v>0</v>
      </c>
      <c r="U682" s="277"/>
      <c r="V682" s="4"/>
      <c r="W682" s="4"/>
      <c r="X682" s="4"/>
      <c r="Y682" s="319">
        <v>0</v>
      </c>
      <c r="Z682" s="277"/>
      <c r="AA682" s="29">
        <f t="shared" si="87"/>
        <v>0</v>
      </c>
      <c r="AB682" s="298">
        <f t="shared" si="93"/>
        <v>0</v>
      </c>
      <c r="AC682" s="4"/>
      <c r="AD682" s="4"/>
      <c r="AE682" s="4"/>
      <c r="AF682" s="19"/>
      <c r="AG682" s="29">
        <f t="shared" si="89"/>
        <v>0</v>
      </c>
      <c r="AH682" s="4"/>
      <c r="AI682" s="255"/>
      <c r="AK682" s="193"/>
      <c r="AL682" s="193"/>
      <c r="AM682" s="193"/>
      <c r="AN682" s="193"/>
      <c r="AO682" s="193"/>
      <c r="AP682" s="193"/>
    </row>
    <row r="683" spans="2:42" s="180" customFormat="1">
      <c r="B683" s="13" t="s">
        <v>55</v>
      </c>
      <c r="C683" s="172" t="s">
        <v>29</v>
      </c>
      <c r="D683" s="172" t="s">
        <v>29</v>
      </c>
      <c r="E683" s="19"/>
      <c r="F683" s="277"/>
      <c r="G683" s="4"/>
      <c r="H683" s="12"/>
      <c r="I683" s="12"/>
      <c r="J683" s="319">
        <v>0</v>
      </c>
      <c r="K683" s="277"/>
      <c r="L683" s="4"/>
      <c r="M683" s="4"/>
      <c r="N683" s="47"/>
      <c r="O683" s="319">
        <v>0</v>
      </c>
      <c r="P683" s="277"/>
      <c r="Q683" s="4"/>
      <c r="R683" s="4"/>
      <c r="S683" s="4"/>
      <c r="T683" s="319">
        <v>0</v>
      </c>
      <c r="U683" s="277"/>
      <c r="V683" s="4"/>
      <c r="W683" s="4"/>
      <c r="X683" s="4"/>
      <c r="Y683" s="319">
        <v>0</v>
      </c>
      <c r="Z683" s="277"/>
      <c r="AA683" s="29">
        <f t="shared" si="87"/>
        <v>0</v>
      </c>
      <c r="AB683" s="298">
        <f t="shared" si="93"/>
        <v>0</v>
      </c>
      <c r="AC683" s="4"/>
      <c r="AD683" s="4"/>
      <c r="AE683" s="4"/>
      <c r="AF683" s="19"/>
      <c r="AG683" s="29">
        <f t="shared" si="89"/>
        <v>0</v>
      </c>
      <c r="AH683" s="4"/>
      <c r="AI683" s="255"/>
      <c r="AK683" s="193"/>
      <c r="AL683" s="193"/>
      <c r="AM683" s="193"/>
      <c r="AN683" s="193"/>
      <c r="AO683" s="193"/>
      <c r="AP683" s="193"/>
    </row>
    <row r="684" spans="2:42" s="180" customFormat="1">
      <c r="B684" s="166" t="s">
        <v>48</v>
      </c>
      <c r="C684" s="172" t="s">
        <v>29</v>
      </c>
      <c r="D684" s="172" t="s">
        <v>29</v>
      </c>
      <c r="E684" s="19"/>
      <c r="F684" s="277"/>
      <c r="G684" s="4"/>
      <c r="H684" s="16" t="s">
        <v>29</v>
      </c>
      <c r="I684" s="16" t="s">
        <v>29</v>
      </c>
      <c r="J684" s="19">
        <v>8</v>
      </c>
      <c r="K684" s="277"/>
      <c r="L684" s="4"/>
      <c r="M684" s="16" t="s">
        <v>29</v>
      </c>
      <c r="N684" s="16" t="s">
        <v>29</v>
      </c>
      <c r="O684" s="19">
        <v>8</v>
      </c>
      <c r="P684" s="277"/>
      <c r="Q684" s="4"/>
      <c r="R684" s="16" t="s">
        <v>29</v>
      </c>
      <c r="S684" s="16" t="s">
        <v>29</v>
      </c>
      <c r="T684" s="19">
        <v>8</v>
      </c>
      <c r="U684" s="277"/>
      <c r="V684" s="4"/>
      <c r="W684" s="16" t="s">
        <v>29</v>
      </c>
      <c r="X684" s="16" t="s">
        <v>29</v>
      </c>
      <c r="Y684" s="19">
        <v>8</v>
      </c>
      <c r="Z684" s="277"/>
      <c r="AA684" s="29">
        <f t="shared" si="87"/>
        <v>32</v>
      </c>
      <c r="AB684" s="298">
        <f t="shared" si="93"/>
        <v>0</v>
      </c>
      <c r="AC684" s="4"/>
      <c r="AD684" s="4"/>
      <c r="AE684" s="4"/>
      <c r="AF684" s="19"/>
      <c r="AG684" s="29">
        <f t="shared" si="89"/>
        <v>0</v>
      </c>
      <c r="AH684" s="4"/>
      <c r="AI684" s="255"/>
      <c r="AK684" s="193"/>
      <c r="AL684" s="193"/>
      <c r="AM684" s="193"/>
      <c r="AN684" s="193"/>
      <c r="AO684" s="193"/>
      <c r="AP684" s="193"/>
    </row>
    <row r="685" spans="2:42" s="180" customFormat="1">
      <c r="B685" s="166" t="s">
        <v>49</v>
      </c>
      <c r="C685" s="172" t="s">
        <v>29</v>
      </c>
      <c r="D685" s="172" t="s">
        <v>29</v>
      </c>
      <c r="E685" s="19"/>
      <c r="F685" s="277"/>
      <c r="G685" s="4"/>
      <c r="H685" s="47" t="s">
        <v>29</v>
      </c>
      <c r="I685" s="47" t="s">
        <v>29</v>
      </c>
      <c r="J685" s="19">
        <v>8</v>
      </c>
      <c r="K685" s="277"/>
      <c r="L685" s="4"/>
      <c r="M685" s="47" t="s">
        <v>29</v>
      </c>
      <c r="N685" s="47" t="s">
        <v>29</v>
      </c>
      <c r="O685" s="19">
        <v>8</v>
      </c>
      <c r="P685" s="277"/>
      <c r="Q685" s="4"/>
      <c r="R685" s="47" t="s">
        <v>29</v>
      </c>
      <c r="S685" s="47" t="s">
        <v>29</v>
      </c>
      <c r="T685" s="19">
        <v>8</v>
      </c>
      <c r="U685" s="277"/>
      <c r="V685" s="4"/>
      <c r="W685" s="47" t="s">
        <v>29</v>
      </c>
      <c r="X685" s="47" t="s">
        <v>29</v>
      </c>
      <c r="Y685" s="19">
        <v>8</v>
      </c>
      <c r="Z685" s="277"/>
      <c r="AA685" s="29">
        <f>(E685+J685+O685+T685+Y685)</f>
        <v>32</v>
      </c>
      <c r="AB685" s="298">
        <f>Z685+U685+P685+K685+F685</f>
        <v>0</v>
      </c>
      <c r="AC685" s="4"/>
      <c r="AD685" s="4"/>
      <c r="AE685" s="4"/>
      <c r="AF685" s="19"/>
      <c r="AG685" s="29">
        <f>AF685</f>
        <v>0</v>
      </c>
      <c r="AH685" s="4"/>
      <c r="AI685" s="255"/>
      <c r="AK685" s="193"/>
      <c r="AL685" s="193"/>
      <c r="AM685" s="193"/>
      <c r="AN685" s="193"/>
      <c r="AO685" s="193"/>
      <c r="AP685" s="193"/>
    </row>
    <row r="686" spans="2:42" s="180" customFormat="1">
      <c r="B686" s="166" t="s">
        <v>107</v>
      </c>
      <c r="C686" s="172" t="s">
        <v>29</v>
      </c>
      <c r="D686" s="172" t="s">
        <v>29</v>
      </c>
      <c r="E686" s="19"/>
      <c r="F686" s="277"/>
      <c r="G686" s="4"/>
      <c r="H686" s="47" t="s">
        <v>29</v>
      </c>
      <c r="I686" s="47" t="s">
        <v>29</v>
      </c>
      <c r="J686" s="19">
        <v>8</v>
      </c>
      <c r="K686" s="277"/>
      <c r="L686" s="4"/>
      <c r="M686" s="47" t="s">
        <v>29</v>
      </c>
      <c r="N686" s="47" t="s">
        <v>29</v>
      </c>
      <c r="O686" s="19">
        <v>8</v>
      </c>
      <c r="P686" s="277"/>
      <c r="Q686" s="4"/>
      <c r="R686" s="47" t="s">
        <v>29</v>
      </c>
      <c r="S686" s="47" t="s">
        <v>29</v>
      </c>
      <c r="T686" s="19">
        <v>8</v>
      </c>
      <c r="U686" s="277"/>
      <c r="V686" s="4"/>
      <c r="W686" s="47" t="s">
        <v>29</v>
      </c>
      <c r="X686" s="47" t="s">
        <v>29</v>
      </c>
      <c r="Y686" s="19">
        <v>8</v>
      </c>
      <c r="Z686" s="277"/>
      <c r="AA686" s="29">
        <f>(E686+J686+O686+T686+Y686)</f>
        <v>32</v>
      </c>
      <c r="AB686" s="298">
        <f>Z686+U686+P686+K686+F686</f>
        <v>0</v>
      </c>
      <c r="AC686" s="4"/>
      <c r="AD686" s="4"/>
      <c r="AE686" s="4"/>
      <c r="AF686" s="19"/>
      <c r="AG686" s="29">
        <f>AF686</f>
        <v>0</v>
      </c>
      <c r="AH686" s="4"/>
      <c r="AI686" s="255"/>
      <c r="AK686" s="193"/>
      <c r="AL686" s="193"/>
      <c r="AM686" s="193"/>
      <c r="AN686" s="193"/>
      <c r="AO686" s="193"/>
      <c r="AP686" s="193"/>
    </row>
    <row r="687" spans="2:42" s="180" customFormat="1">
      <c r="B687" s="166" t="s">
        <v>59</v>
      </c>
      <c r="C687" s="172" t="s">
        <v>29</v>
      </c>
      <c r="D687" s="172" t="s">
        <v>29</v>
      </c>
      <c r="E687" s="19"/>
      <c r="F687" s="277"/>
      <c r="G687" s="4"/>
      <c r="H687" s="47" t="s">
        <v>29</v>
      </c>
      <c r="I687" s="16" t="s">
        <v>29</v>
      </c>
      <c r="J687" s="19">
        <v>8</v>
      </c>
      <c r="K687" s="277"/>
      <c r="L687" s="4"/>
      <c r="M687" s="47" t="s">
        <v>29</v>
      </c>
      <c r="N687" s="16" t="s">
        <v>29</v>
      </c>
      <c r="O687" s="19">
        <v>8</v>
      </c>
      <c r="P687" s="277"/>
      <c r="Q687" s="4"/>
      <c r="R687" s="47" t="s">
        <v>29</v>
      </c>
      <c r="S687" s="16" t="s">
        <v>29</v>
      </c>
      <c r="T687" s="19">
        <v>8</v>
      </c>
      <c r="U687" s="277"/>
      <c r="V687" s="4"/>
      <c r="W687" s="47" t="s">
        <v>29</v>
      </c>
      <c r="X687" s="16" t="s">
        <v>29</v>
      </c>
      <c r="Y687" s="19">
        <v>8</v>
      </c>
      <c r="Z687" s="277"/>
      <c r="AA687" s="29">
        <f t="shared" si="87"/>
        <v>32</v>
      </c>
      <c r="AB687" s="298">
        <f t="shared" si="93"/>
        <v>0</v>
      </c>
      <c r="AC687" s="4"/>
      <c r="AD687" s="4"/>
      <c r="AE687" s="4"/>
      <c r="AF687" s="19"/>
      <c r="AG687" s="29">
        <f t="shared" si="89"/>
        <v>0</v>
      </c>
      <c r="AH687" s="4"/>
      <c r="AI687" s="255"/>
      <c r="AK687" s="407"/>
      <c r="AL687" s="193"/>
      <c r="AM687" s="193"/>
      <c r="AN687" s="193"/>
      <c r="AO687" s="193"/>
      <c r="AP687" s="193"/>
    </row>
    <row r="688" spans="2:42" s="180" customFormat="1">
      <c r="B688" s="166" t="s">
        <v>60</v>
      </c>
      <c r="C688" s="172" t="s">
        <v>29</v>
      </c>
      <c r="D688" s="172" t="s">
        <v>29</v>
      </c>
      <c r="E688" s="19"/>
      <c r="F688" s="277"/>
      <c r="G688" s="4"/>
      <c r="H688" s="16" t="s">
        <v>29</v>
      </c>
      <c r="I688" s="16" t="s">
        <v>29</v>
      </c>
      <c r="J688" s="19">
        <v>8</v>
      </c>
      <c r="K688" s="277"/>
      <c r="L688" s="4"/>
      <c r="M688" s="16" t="s">
        <v>29</v>
      </c>
      <c r="N688" s="16" t="s">
        <v>29</v>
      </c>
      <c r="O688" s="19">
        <v>8</v>
      </c>
      <c r="P688" s="277"/>
      <c r="Q688" s="4"/>
      <c r="R688" s="16" t="s">
        <v>29</v>
      </c>
      <c r="S688" s="16" t="s">
        <v>29</v>
      </c>
      <c r="T688" s="19">
        <v>8</v>
      </c>
      <c r="U688" s="277"/>
      <c r="V688" s="4"/>
      <c r="W688" s="16" t="s">
        <v>29</v>
      </c>
      <c r="X688" s="16" t="s">
        <v>29</v>
      </c>
      <c r="Y688" s="19">
        <v>8</v>
      </c>
      <c r="Z688" s="277"/>
      <c r="AA688" s="29">
        <f t="shared" si="87"/>
        <v>32</v>
      </c>
      <c r="AB688" s="298">
        <f t="shared" si="93"/>
        <v>0</v>
      </c>
      <c r="AC688" s="4"/>
      <c r="AD688" s="4"/>
      <c r="AE688" s="4"/>
      <c r="AF688" s="19"/>
      <c r="AG688" s="29">
        <f t="shared" si="89"/>
        <v>0</v>
      </c>
      <c r="AH688" s="4"/>
      <c r="AI688" s="255"/>
      <c r="AK688" s="193"/>
      <c r="AL688" s="193"/>
      <c r="AM688" s="193"/>
      <c r="AN688" s="193"/>
      <c r="AO688" s="193"/>
      <c r="AP688" s="193"/>
    </row>
    <row r="689" spans="1:42" s="180" customFormat="1">
      <c r="B689" s="63" t="s">
        <v>63</v>
      </c>
      <c r="C689" s="12" t="s">
        <v>29</v>
      </c>
      <c r="D689" s="12" t="s">
        <v>29</v>
      </c>
      <c r="E689" s="19">
        <v>0</v>
      </c>
      <c r="F689" s="277"/>
      <c r="G689" s="60"/>
      <c r="H689" s="12" t="s">
        <v>29</v>
      </c>
      <c r="I689" s="12" t="s">
        <v>29</v>
      </c>
      <c r="J689" s="19">
        <v>0</v>
      </c>
      <c r="K689" s="277"/>
      <c r="L689" s="60"/>
      <c r="M689" s="16" t="s">
        <v>29</v>
      </c>
      <c r="N689" s="16" t="s">
        <v>29</v>
      </c>
      <c r="O689" s="19">
        <v>0</v>
      </c>
      <c r="P689" s="277"/>
      <c r="Q689" s="60"/>
      <c r="R689" s="16" t="s">
        <v>29</v>
      </c>
      <c r="S689" s="16" t="s">
        <v>29</v>
      </c>
      <c r="T689" s="19">
        <v>8</v>
      </c>
      <c r="U689" s="277"/>
      <c r="V689" s="60"/>
      <c r="W689" s="16" t="s">
        <v>29</v>
      </c>
      <c r="X689" s="16" t="s">
        <v>29</v>
      </c>
      <c r="Y689" s="19">
        <v>8</v>
      </c>
      <c r="Z689" s="277"/>
      <c r="AA689" s="28">
        <f>SUM(E689+J689+O689+T689+Y689)</f>
        <v>16</v>
      </c>
      <c r="AB689" s="298">
        <f t="shared" si="93"/>
        <v>0</v>
      </c>
      <c r="AC689" s="4"/>
      <c r="AD689" s="56"/>
      <c r="AE689" s="56"/>
      <c r="AF689" s="19"/>
      <c r="AG689" s="29">
        <f>AF689</f>
        <v>0</v>
      </c>
      <c r="AH689" s="4"/>
      <c r="AI689" s="255"/>
      <c r="AK689" s="193"/>
      <c r="AL689" s="193"/>
      <c r="AM689" s="193"/>
      <c r="AN689" s="193"/>
      <c r="AO689" s="193"/>
      <c r="AP689" s="193"/>
    </row>
    <row r="690" spans="1:42" s="180" customFormat="1">
      <c r="B690" s="63" t="s">
        <v>62</v>
      </c>
      <c r="C690" s="12" t="s">
        <v>29</v>
      </c>
      <c r="D690" s="12" t="s">
        <v>29</v>
      </c>
      <c r="E690" s="19">
        <v>0</v>
      </c>
      <c r="F690" s="277"/>
      <c r="G690" s="60"/>
      <c r="H690" s="16" t="s">
        <v>29</v>
      </c>
      <c r="I690" s="16" t="s">
        <v>29</v>
      </c>
      <c r="J690" s="19">
        <v>8</v>
      </c>
      <c r="K690" s="277"/>
      <c r="L690" s="60"/>
      <c r="M690" s="16" t="s">
        <v>29</v>
      </c>
      <c r="N690" s="16" t="s">
        <v>29</v>
      </c>
      <c r="O690" s="19">
        <v>8</v>
      </c>
      <c r="P690" s="277"/>
      <c r="Q690" s="60"/>
      <c r="R690" s="16" t="s">
        <v>29</v>
      </c>
      <c r="S690" s="16" t="s">
        <v>29</v>
      </c>
      <c r="T690" s="19">
        <v>8</v>
      </c>
      <c r="U690" s="277"/>
      <c r="V690" s="60"/>
      <c r="W690" s="16" t="s">
        <v>29</v>
      </c>
      <c r="X690" s="16" t="s">
        <v>29</v>
      </c>
      <c r="Y690" s="19">
        <v>8</v>
      </c>
      <c r="Z690" s="277"/>
      <c r="AA690" s="28">
        <f>SUM(E690+J690+O690+T690+Y690)</f>
        <v>32</v>
      </c>
      <c r="AB690" s="298">
        <f t="shared" si="93"/>
        <v>0</v>
      </c>
      <c r="AC690" s="4"/>
      <c r="AD690" s="56"/>
      <c r="AE690" s="56"/>
      <c r="AF690" s="19"/>
      <c r="AG690" s="29">
        <v>0</v>
      </c>
      <c r="AH690" s="4"/>
      <c r="AI690" s="255"/>
      <c r="AK690" s="193"/>
      <c r="AL690" s="193"/>
      <c r="AM690" s="193"/>
      <c r="AN690" s="193"/>
      <c r="AO690" s="193"/>
      <c r="AP690" s="193"/>
    </row>
    <row r="691" spans="1:42" s="180" customFormat="1">
      <c r="B691" s="63"/>
      <c r="C691" s="12"/>
      <c r="D691" s="12"/>
      <c r="E691" s="19"/>
      <c r="F691" s="277"/>
      <c r="G691" s="60"/>
      <c r="H691" s="12"/>
      <c r="I691" s="12"/>
      <c r="J691" s="19"/>
      <c r="K691" s="277"/>
      <c r="L691" s="60"/>
      <c r="M691" s="16"/>
      <c r="N691" s="16"/>
      <c r="O691" s="19"/>
      <c r="P691" s="277"/>
      <c r="Q691" s="60"/>
      <c r="R691" s="4"/>
      <c r="S691" s="4"/>
      <c r="T691" s="19"/>
      <c r="U691" s="277"/>
      <c r="V691" s="60"/>
      <c r="W691" s="4"/>
      <c r="X691" s="4"/>
      <c r="Y691" s="19"/>
      <c r="Z691" s="277"/>
      <c r="AA691" s="28">
        <f>SUM(E691+J691+O691+T691+Y691)</f>
        <v>0</v>
      </c>
      <c r="AB691" s="298">
        <f t="shared" si="93"/>
        <v>0</v>
      </c>
      <c r="AC691" s="4"/>
      <c r="AD691" s="56"/>
      <c r="AE691" s="56"/>
      <c r="AF691" s="19"/>
      <c r="AG691" s="29">
        <f>AF691</f>
        <v>0</v>
      </c>
      <c r="AH691" s="4"/>
      <c r="AI691" s="255"/>
      <c r="AK691" s="193"/>
      <c r="AL691" s="193"/>
      <c r="AM691" s="193"/>
      <c r="AN691" s="193"/>
      <c r="AO691" s="193"/>
      <c r="AP691" s="193"/>
    </row>
    <row r="692" spans="1:42" s="180" customFormat="1">
      <c r="B692" s="64" t="s">
        <v>61</v>
      </c>
      <c r="C692" s="64"/>
      <c r="D692" s="64"/>
      <c r="E692" s="167">
        <f>SUM(E660:E691)</f>
        <v>0</v>
      </c>
      <c r="F692" s="277">
        <f>SUM(F660:F683)</f>
        <v>0</v>
      </c>
      <c r="G692" s="64"/>
      <c r="H692" s="64"/>
      <c r="I692" s="64"/>
      <c r="J692" s="64">
        <f>SUM(J660:J691)</f>
        <v>111.75</v>
      </c>
      <c r="K692" s="277">
        <f>SUM(K660:K683)</f>
        <v>15</v>
      </c>
      <c r="L692" s="64"/>
      <c r="M692" s="64"/>
      <c r="N692" s="64"/>
      <c r="O692" s="167">
        <f>SUM(O660:O691)</f>
        <v>120</v>
      </c>
      <c r="P692" s="277">
        <f>SUM(P660:P688)</f>
        <v>10.25</v>
      </c>
      <c r="Q692" s="64"/>
      <c r="R692" s="64"/>
      <c r="S692" s="64"/>
      <c r="T692" s="167">
        <f>SUM(T660:T691)</f>
        <v>91</v>
      </c>
      <c r="U692" s="277">
        <f>SUM(U660:U688)</f>
        <v>0</v>
      </c>
      <c r="V692" s="64"/>
      <c r="W692" s="64"/>
      <c r="X692" s="64"/>
      <c r="Y692" s="167">
        <f>SUM(Y660:Y691)</f>
        <v>136</v>
      </c>
      <c r="Z692" s="277">
        <f>SUM(Z660:Z683)</f>
        <v>2.25</v>
      </c>
      <c r="AA692" s="370">
        <f>SUM(AA660:AA691)</f>
        <v>458.75</v>
      </c>
      <c r="AB692" s="289">
        <f>SUM(AB660:AB691)</f>
        <v>27.5</v>
      </c>
      <c r="AC692" s="4"/>
      <c r="AD692" s="64"/>
      <c r="AE692" s="64"/>
      <c r="AF692" s="167">
        <f>SUM(AF660:AF691)</f>
        <v>0</v>
      </c>
      <c r="AG692" s="370">
        <f>SUM(AG660:AG683)</f>
        <v>0</v>
      </c>
      <c r="AH692" s="4"/>
      <c r="AI692" s="255"/>
      <c r="AK692" s="193"/>
      <c r="AL692" s="193"/>
      <c r="AM692" s="193"/>
      <c r="AN692" s="193"/>
      <c r="AO692" s="193"/>
      <c r="AP692" s="193"/>
    </row>
    <row r="693" spans="1:42" s="180" customFormat="1">
      <c r="B693" s="63" t="s">
        <v>64</v>
      </c>
      <c r="C693" s="56"/>
      <c r="D693" s="56"/>
      <c r="E693" s="19"/>
      <c r="F693" s="291"/>
      <c r="G693" s="60"/>
      <c r="H693" s="56"/>
      <c r="I693" s="56"/>
      <c r="J693" s="19"/>
      <c r="K693" s="291"/>
      <c r="L693" s="60"/>
      <c r="M693" s="56"/>
      <c r="N693" s="56"/>
      <c r="O693" s="19"/>
      <c r="P693" s="19"/>
      <c r="Q693" s="60"/>
      <c r="R693" s="56"/>
      <c r="S693" s="56"/>
      <c r="T693" s="19"/>
      <c r="U693" s="19"/>
      <c r="V693" s="60"/>
      <c r="W693" s="56"/>
      <c r="X693" s="56"/>
      <c r="Y693" s="19"/>
      <c r="Z693" s="19"/>
      <c r="AA693" s="28">
        <f>SUM(E693+J693+O693+T693+Y693)</f>
        <v>0</v>
      </c>
      <c r="AB693" s="296">
        <f>Z693+U693+P693+K693+F693</f>
        <v>0</v>
      </c>
      <c r="AC693" s="4"/>
      <c r="AD693" s="56"/>
      <c r="AE693" s="56"/>
      <c r="AF693" s="19"/>
      <c r="AG693" s="29">
        <f>AF693</f>
        <v>0</v>
      </c>
      <c r="AH693" s="4"/>
      <c r="AI693" s="255"/>
      <c r="AK693" s="193"/>
      <c r="AL693" s="193"/>
      <c r="AM693" s="193"/>
      <c r="AN693" s="193"/>
      <c r="AO693" s="193"/>
      <c r="AP693" s="193"/>
    </row>
    <row r="694" spans="1:42" s="180" customFormat="1">
      <c r="B694" s="63" t="s">
        <v>110</v>
      </c>
      <c r="C694" s="56"/>
      <c r="D694" s="56"/>
      <c r="E694" s="19">
        <v>0</v>
      </c>
      <c r="F694" s="291">
        <v>0</v>
      </c>
      <c r="G694" s="60"/>
      <c r="H694" s="56"/>
      <c r="I694" s="56"/>
      <c r="J694" s="19">
        <v>8</v>
      </c>
      <c r="K694" s="291">
        <v>0</v>
      </c>
      <c r="L694" s="60"/>
      <c r="M694" s="56"/>
      <c r="N694" s="56"/>
      <c r="O694" s="19">
        <v>8</v>
      </c>
      <c r="P694" s="19">
        <v>0</v>
      </c>
      <c r="Q694" s="60"/>
      <c r="R694" s="56"/>
      <c r="S694" s="56"/>
      <c r="T694" s="19">
        <v>8</v>
      </c>
      <c r="U694" s="19">
        <v>0</v>
      </c>
      <c r="V694" s="60"/>
      <c r="W694" s="56"/>
      <c r="X694" s="56"/>
      <c r="Y694" s="19">
        <v>0</v>
      </c>
      <c r="Z694" s="19">
        <v>0</v>
      </c>
      <c r="AA694" s="28">
        <f>SUM(E694+J694+O694+T694+Y694)</f>
        <v>24</v>
      </c>
      <c r="AB694" s="296">
        <f>Z694+U694+P694+K694+F694</f>
        <v>0</v>
      </c>
      <c r="AC694" s="4"/>
      <c r="AD694" s="56"/>
      <c r="AE694" s="56"/>
      <c r="AF694" s="19"/>
      <c r="AG694" s="29">
        <f>AF694</f>
        <v>0</v>
      </c>
      <c r="AH694" s="4"/>
      <c r="AI694" s="255"/>
      <c r="AK694" s="193"/>
      <c r="AL694" s="193"/>
      <c r="AM694" s="193"/>
      <c r="AN694" s="193"/>
      <c r="AO694" s="193"/>
      <c r="AP694" s="193"/>
    </row>
    <row r="695" spans="1:42" s="180" customFormat="1">
      <c r="B695" s="71" t="s">
        <v>66</v>
      </c>
      <c r="C695" s="371"/>
      <c r="D695" s="371"/>
      <c r="E695" s="71">
        <f t="shared" ref="E695:AB695" si="94">SUM(E693:E694)</f>
        <v>0</v>
      </c>
      <c r="F695" s="71">
        <f t="shared" si="94"/>
        <v>0</v>
      </c>
      <c r="G695" s="71">
        <f t="shared" si="94"/>
        <v>0</v>
      </c>
      <c r="H695" s="71">
        <f t="shared" si="94"/>
        <v>0</v>
      </c>
      <c r="I695" s="71">
        <f t="shared" si="94"/>
        <v>0</v>
      </c>
      <c r="J695" s="71">
        <f t="shared" si="94"/>
        <v>8</v>
      </c>
      <c r="K695" s="71">
        <f t="shared" si="94"/>
        <v>0</v>
      </c>
      <c r="L695" s="71">
        <f t="shared" si="94"/>
        <v>0</v>
      </c>
      <c r="M695" s="71">
        <f t="shared" si="94"/>
        <v>0</v>
      </c>
      <c r="N695" s="71">
        <f t="shared" si="94"/>
        <v>0</v>
      </c>
      <c r="O695" s="71">
        <f t="shared" si="94"/>
        <v>8</v>
      </c>
      <c r="P695" s="71">
        <f t="shared" si="94"/>
        <v>0</v>
      </c>
      <c r="Q695" s="71">
        <f t="shared" si="94"/>
        <v>0</v>
      </c>
      <c r="R695" s="71">
        <f t="shared" si="94"/>
        <v>0</v>
      </c>
      <c r="S695" s="71">
        <f t="shared" si="94"/>
        <v>0</v>
      </c>
      <c r="T695" s="71">
        <f t="shared" si="94"/>
        <v>8</v>
      </c>
      <c r="U695" s="71">
        <f t="shared" si="94"/>
        <v>0</v>
      </c>
      <c r="V695" s="71">
        <f t="shared" si="94"/>
        <v>0</v>
      </c>
      <c r="W695" s="71">
        <f t="shared" si="94"/>
        <v>0</v>
      </c>
      <c r="X695" s="71">
        <f t="shared" si="94"/>
        <v>0</v>
      </c>
      <c r="Y695" s="71">
        <f t="shared" si="94"/>
        <v>0</v>
      </c>
      <c r="Z695" s="71">
        <f t="shared" si="94"/>
        <v>0</v>
      </c>
      <c r="AA695" s="370">
        <f t="shared" si="94"/>
        <v>24</v>
      </c>
      <c r="AB695" s="370">
        <f t="shared" si="94"/>
        <v>0</v>
      </c>
      <c r="AC695" s="4"/>
      <c r="AG695" s="370">
        <f>SUM(AG693:AG694)</f>
        <v>0</v>
      </c>
      <c r="AH695" s="4"/>
      <c r="AI695" s="255"/>
      <c r="AK695" s="193"/>
      <c r="AL695" s="193"/>
      <c r="AM695" s="193"/>
      <c r="AN695" s="193"/>
      <c r="AO695" s="193"/>
      <c r="AP695" s="193"/>
    </row>
    <row r="696" spans="1:42" s="180" customFormat="1">
      <c r="B696" s="217" t="s">
        <v>67</v>
      </c>
      <c r="C696" s="207">
        <f>C697+C698</f>
        <v>40</v>
      </c>
      <c r="D696" s="207"/>
      <c r="E696" s="209"/>
      <c r="F696" s="209"/>
      <c r="G696" s="207"/>
      <c r="H696" s="209"/>
      <c r="I696" s="209"/>
      <c r="J696" s="209"/>
      <c r="K696" s="209"/>
      <c r="L696" s="207"/>
      <c r="M696" s="207"/>
      <c r="N696" s="207"/>
      <c r="O696" s="207"/>
      <c r="P696" s="209"/>
      <c r="Q696" s="207"/>
      <c r="R696" s="207"/>
      <c r="S696" s="207"/>
      <c r="T696" s="207"/>
      <c r="U696" s="209"/>
      <c r="V696" s="207"/>
      <c r="W696" s="207"/>
      <c r="X696" s="207"/>
      <c r="Y696" s="210"/>
      <c r="Z696" s="209"/>
      <c r="AA696" s="211"/>
      <c r="AB696" s="209"/>
      <c r="AC696" s="211"/>
      <c r="AD696" s="211"/>
      <c r="AE696" s="211"/>
      <c r="AF696" s="211"/>
      <c r="AG696" s="211"/>
      <c r="AH696" s="4"/>
      <c r="AI696" s="255"/>
      <c r="AK696" s="193"/>
      <c r="AL696" s="193"/>
      <c r="AM696" s="193"/>
      <c r="AN696" s="193"/>
      <c r="AO696" s="193"/>
      <c r="AP696" s="193"/>
    </row>
    <row r="697" spans="1:42" s="180" customFormat="1">
      <c r="B697" s="238" t="s">
        <v>68</v>
      </c>
      <c r="C697" s="239">
        <v>40</v>
      </c>
      <c r="D697" s="207"/>
      <c r="E697" s="209"/>
      <c r="F697" s="209"/>
      <c r="G697" s="207"/>
      <c r="H697" s="209"/>
      <c r="I697" s="209"/>
      <c r="J697" s="209"/>
      <c r="K697" s="209"/>
      <c r="L697" s="207"/>
      <c r="M697" s="207"/>
      <c r="N697" s="207"/>
      <c r="O697" s="207"/>
      <c r="P697" s="209"/>
      <c r="Q697" s="207"/>
      <c r="R697" s="207"/>
      <c r="S697" s="207"/>
      <c r="T697" s="207"/>
      <c r="U697" s="209"/>
      <c r="V697" s="207"/>
      <c r="W697" s="207"/>
      <c r="X697" s="207"/>
      <c r="Y697" s="210"/>
      <c r="Z697" s="209"/>
      <c r="AA697" s="211"/>
      <c r="AB697" s="209"/>
      <c r="AC697" s="211"/>
      <c r="AD697" s="211"/>
      <c r="AE697" s="211"/>
      <c r="AF697" s="211"/>
      <c r="AG697" s="211"/>
      <c r="AH697" s="4"/>
      <c r="AI697" s="255"/>
      <c r="AK697" s="193"/>
      <c r="AL697" s="193"/>
      <c r="AM697" s="193"/>
      <c r="AN697" s="193"/>
      <c r="AO697" s="193"/>
      <c r="AP697" s="193"/>
    </row>
    <row r="698" spans="1:42" s="180" customFormat="1">
      <c r="B698" s="238" t="s">
        <v>69</v>
      </c>
      <c r="C698" s="239"/>
      <c r="D698" s="207"/>
      <c r="E698" s="209"/>
      <c r="F698" s="209"/>
      <c r="G698" s="207"/>
      <c r="H698" s="209"/>
      <c r="I698" s="209"/>
      <c r="J698" s="209"/>
      <c r="K698" s="209"/>
      <c r="L698" s="207"/>
      <c r="M698" s="207"/>
      <c r="N698" s="207"/>
      <c r="O698" s="207"/>
      <c r="P698" s="209"/>
      <c r="Q698" s="207"/>
      <c r="R698" s="207"/>
      <c r="S698" s="207"/>
      <c r="T698" s="207"/>
      <c r="U698" s="209"/>
      <c r="V698" s="207"/>
      <c r="W698" s="207"/>
      <c r="X698" s="207"/>
      <c r="Y698" s="210"/>
      <c r="Z698" s="209"/>
      <c r="AA698" s="211"/>
      <c r="AB698" s="209"/>
      <c r="AC698" s="211"/>
      <c r="AD698" s="211"/>
      <c r="AE698" s="211"/>
      <c r="AF698" s="211"/>
      <c r="AG698" s="211"/>
      <c r="AH698" s="4"/>
      <c r="AI698" s="255"/>
      <c r="AK698" s="193"/>
      <c r="AL698" s="193"/>
      <c r="AM698" s="193"/>
      <c r="AN698" s="193"/>
      <c r="AO698" s="193"/>
      <c r="AP698" s="193"/>
    </row>
    <row r="699" spans="1:42" s="180" customFormat="1">
      <c r="E699" s="4"/>
      <c r="F699" s="4"/>
      <c r="G699" s="4"/>
      <c r="J699" s="4"/>
      <c r="K699" s="4"/>
      <c r="L699" s="4"/>
      <c r="O699" s="4"/>
      <c r="P699" s="4"/>
      <c r="Q699" s="4"/>
      <c r="T699" s="4"/>
      <c r="U699" s="4"/>
      <c r="V699" s="4"/>
      <c r="Y699" s="4"/>
      <c r="Z699" s="4"/>
      <c r="AA699" s="4"/>
      <c r="AB699" s="4"/>
      <c r="AC699" s="4"/>
      <c r="AH699" s="4"/>
    </row>
    <row r="700" spans="1:42" s="255" customFormat="1">
      <c r="A700" s="228"/>
      <c r="B700" s="229"/>
      <c r="C700" s="230"/>
      <c r="D700" s="230"/>
      <c r="E700" s="232"/>
      <c r="F700" s="232"/>
      <c r="G700" s="230"/>
      <c r="H700" s="232"/>
      <c r="I700" s="232"/>
      <c r="J700" s="232"/>
      <c r="K700" s="232"/>
      <c r="L700" s="230"/>
      <c r="M700" s="230"/>
      <c r="N700" s="230"/>
      <c r="O700" s="230"/>
      <c r="P700" s="232"/>
      <c r="Q700" s="230"/>
      <c r="R700" s="230"/>
      <c r="S700" s="230"/>
      <c r="T700" s="230"/>
      <c r="U700" s="232"/>
      <c r="V700" s="230"/>
      <c r="W700" s="230"/>
      <c r="X700" s="230"/>
      <c r="Y700" s="233"/>
      <c r="Z700" s="232"/>
      <c r="AA700" s="234"/>
      <c r="AB700" s="232"/>
      <c r="AC700" s="373"/>
      <c r="AD700" s="236"/>
      <c r="AH700" s="373"/>
    </row>
    <row r="701" spans="1:42" s="180" customFormat="1">
      <c r="E701" s="4"/>
      <c r="F701" s="4"/>
      <c r="G701" s="4"/>
      <c r="J701" s="4"/>
      <c r="K701" s="4"/>
      <c r="L701" s="4"/>
      <c r="O701" s="4"/>
      <c r="P701" s="4"/>
      <c r="Q701" s="4"/>
      <c r="T701" s="4"/>
      <c r="U701" s="4"/>
      <c r="V701" s="4"/>
      <c r="Y701" s="4"/>
      <c r="Z701" s="4"/>
      <c r="AA701" s="4"/>
      <c r="AB701" s="4"/>
      <c r="AC701" s="4"/>
      <c r="AH701" s="4"/>
    </row>
    <row r="702" spans="1:42" s="180" customFormat="1">
      <c r="B702" s="1518" t="s">
        <v>18</v>
      </c>
      <c r="C702" s="1519">
        <v>45292</v>
      </c>
      <c r="D702" s="1519"/>
      <c r="E702" s="1519"/>
      <c r="F702" s="1519"/>
      <c r="G702" s="365"/>
      <c r="H702" s="1519">
        <v>45293</v>
      </c>
      <c r="I702" s="1519"/>
      <c r="J702" s="1519"/>
      <c r="K702" s="1519"/>
      <c r="L702" s="365"/>
      <c r="M702" s="1519">
        <v>45294</v>
      </c>
      <c r="N702" s="1519"/>
      <c r="O702" s="1519"/>
      <c r="P702" s="1519"/>
      <c r="Q702" s="365"/>
      <c r="R702" s="1519">
        <v>45295</v>
      </c>
      <c r="S702" s="1519"/>
      <c r="T702" s="1519"/>
      <c r="U702" s="1519"/>
      <c r="V702" s="365"/>
      <c r="W702" s="1519">
        <v>45296</v>
      </c>
      <c r="X702" s="1519"/>
      <c r="Y702" s="1519"/>
      <c r="Z702" s="1519"/>
      <c r="AA702" s="1517" t="s">
        <v>19</v>
      </c>
      <c r="AB702" s="1517" t="s">
        <v>20</v>
      </c>
      <c r="AC702" s="4"/>
      <c r="AD702" s="1519">
        <v>45297</v>
      </c>
      <c r="AE702" s="1519"/>
      <c r="AF702" s="1519"/>
      <c r="AG702" s="1517" t="s">
        <v>21</v>
      </c>
      <c r="AH702" s="4"/>
      <c r="AI702" s="255"/>
      <c r="AK702" s="194" t="s">
        <v>84</v>
      </c>
      <c r="AL702" s="366"/>
      <c r="AM702" s="366"/>
      <c r="AN702" s="366"/>
      <c r="AO702" s="366"/>
      <c r="AP702" s="366"/>
    </row>
    <row r="703" spans="1:42" s="367" customFormat="1">
      <c r="B703" s="1518"/>
      <c r="C703" s="21" t="s">
        <v>23</v>
      </c>
      <c r="D703" s="21" t="s">
        <v>24</v>
      </c>
      <c r="E703" s="205" t="s">
        <v>25</v>
      </c>
      <c r="F703" s="18" t="s">
        <v>14</v>
      </c>
      <c r="G703" s="4"/>
      <c r="H703" s="21" t="s">
        <v>23</v>
      </c>
      <c r="I703" s="21" t="s">
        <v>24</v>
      </c>
      <c r="J703" s="18" t="s">
        <v>25</v>
      </c>
      <c r="K703" s="18" t="s">
        <v>14</v>
      </c>
      <c r="L703" s="4"/>
      <c r="M703" s="21" t="s">
        <v>23</v>
      </c>
      <c r="N703" s="21" t="s">
        <v>24</v>
      </c>
      <c r="O703" s="18" t="s">
        <v>25</v>
      </c>
      <c r="P703" s="18" t="s">
        <v>14</v>
      </c>
      <c r="Q703" s="4"/>
      <c r="R703" s="21" t="s">
        <v>23</v>
      </c>
      <c r="S703" s="21" t="s">
        <v>24</v>
      </c>
      <c r="T703" s="18" t="s">
        <v>25</v>
      </c>
      <c r="U703" s="18" t="s">
        <v>14</v>
      </c>
      <c r="V703" s="4"/>
      <c r="W703" s="21" t="s">
        <v>23</v>
      </c>
      <c r="X703" s="21" t="s">
        <v>24</v>
      </c>
      <c r="Y703" s="18" t="s">
        <v>25</v>
      </c>
      <c r="Z703" s="18" t="s">
        <v>14</v>
      </c>
      <c r="AA703" s="1517"/>
      <c r="AB703" s="1517"/>
      <c r="AC703" s="4"/>
      <c r="AD703" s="21" t="s">
        <v>23</v>
      </c>
      <c r="AE703" s="21" t="s">
        <v>24</v>
      </c>
      <c r="AF703" s="18" t="s">
        <v>25</v>
      </c>
      <c r="AG703" s="1517"/>
      <c r="AH703" s="175"/>
      <c r="AI703" s="368"/>
      <c r="AK703" s="188" t="s">
        <v>26</v>
      </c>
      <c r="AL703" s="196">
        <f>AA737</f>
        <v>529</v>
      </c>
      <c r="AM703" s="193"/>
      <c r="AN703" s="193"/>
      <c r="AO703" s="193"/>
      <c r="AP703" s="193"/>
    </row>
    <row r="704" spans="1:42" s="367" customFormat="1">
      <c r="B704" s="171" t="s">
        <v>72</v>
      </c>
      <c r="C704" s="172" t="s">
        <v>29</v>
      </c>
      <c r="D704" s="172" t="s">
        <v>29</v>
      </c>
      <c r="E704" s="173"/>
      <c r="F704" s="277"/>
      <c r="G704" s="4"/>
      <c r="H704" s="172">
        <v>0.375</v>
      </c>
      <c r="I704" s="172">
        <v>0.25</v>
      </c>
      <c r="J704" s="173">
        <v>8</v>
      </c>
      <c r="K704" s="277"/>
      <c r="L704" s="4"/>
      <c r="M704" s="47" t="s">
        <v>114</v>
      </c>
      <c r="N704" s="47" t="s">
        <v>29</v>
      </c>
      <c r="O704" s="173">
        <v>0</v>
      </c>
      <c r="P704" s="277"/>
      <c r="Q704" s="4"/>
      <c r="R704" s="47" t="s">
        <v>114</v>
      </c>
      <c r="S704" s="47" t="s">
        <v>29</v>
      </c>
      <c r="T704" s="19">
        <v>0</v>
      </c>
      <c r="U704" s="277"/>
      <c r="V704" s="4"/>
      <c r="W704" s="47">
        <v>0.375</v>
      </c>
      <c r="X704" s="47">
        <v>0.25</v>
      </c>
      <c r="Y704" s="19">
        <v>8</v>
      </c>
      <c r="Z704" s="277"/>
      <c r="AA704" s="28">
        <f t="shared" ref="AA704:AA708" si="95">(E704+J704+O704+T704+Y704)</f>
        <v>16</v>
      </c>
      <c r="AB704" s="298">
        <f t="shared" ref="AB704:AB708" si="96">Z704+U704+P704+K704+F704</f>
        <v>0</v>
      </c>
      <c r="AC704" s="4"/>
      <c r="AD704" s="175"/>
      <c r="AE704" s="175"/>
      <c r="AF704" s="173"/>
      <c r="AG704" s="28">
        <f t="shared" ref="AG704:AG715" si="97">AF704</f>
        <v>0</v>
      </c>
      <c r="AH704" s="175"/>
      <c r="AI704" s="368"/>
      <c r="AK704" s="188" t="s">
        <v>30</v>
      </c>
      <c r="AL704" s="196">
        <f>AB737</f>
        <v>0</v>
      </c>
      <c r="AM704" s="193"/>
      <c r="AN704" s="193"/>
      <c r="AO704" s="193"/>
      <c r="AP704" s="193"/>
    </row>
    <row r="705" spans="2:42" s="367" customFormat="1">
      <c r="B705" s="171" t="s">
        <v>71</v>
      </c>
      <c r="C705" s="12" t="s">
        <v>29</v>
      </c>
      <c r="D705" s="12" t="s">
        <v>29</v>
      </c>
      <c r="E705" s="173"/>
      <c r="F705" s="277"/>
      <c r="G705" s="4"/>
      <c r="H705" s="47">
        <v>0.375</v>
      </c>
      <c r="I705" s="47">
        <v>0.25</v>
      </c>
      <c r="J705" s="173">
        <v>8</v>
      </c>
      <c r="K705" s="277"/>
      <c r="L705" s="4"/>
      <c r="M705" s="172">
        <v>0.375</v>
      </c>
      <c r="N705" s="47">
        <v>0.25</v>
      </c>
      <c r="O705" s="173">
        <v>8</v>
      </c>
      <c r="P705" s="277"/>
      <c r="Q705" s="4"/>
      <c r="R705" s="47">
        <v>0.375</v>
      </c>
      <c r="S705" s="47">
        <v>0.25</v>
      </c>
      <c r="T705" s="19">
        <v>8</v>
      </c>
      <c r="U705" s="277"/>
      <c r="V705" s="4"/>
      <c r="W705" s="47">
        <v>0.375</v>
      </c>
      <c r="X705" s="47">
        <v>0.25</v>
      </c>
      <c r="Y705" s="19">
        <v>8</v>
      </c>
      <c r="Z705" s="277"/>
      <c r="AA705" s="28">
        <f t="shared" si="95"/>
        <v>32</v>
      </c>
      <c r="AB705" s="298">
        <f t="shared" si="96"/>
        <v>0</v>
      </c>
      <c r="AC705" s="4"/>
      <c r="AD705" s="175"/>
      <c r="AE705" s="175"/>
      <c r="AF705" s="173"/>
      <c r="AG705" s="28">
        <f t="shared" si="97"/>
        <v>0</v>
      </c>
      <c r="AH705" s="175"/>
      <c r="AI705" s="368"/>
      <c r="AK705" s="188" t="s">
        <v>32</v>
      </c>
      <c r="AL705" s="196">
        <f>AG737</f>
        <v>0</v>
      </c>
      <c r="AM705" s="193"/>
      <c r="AN705" s="193"/>
      <c r="AO705" s="193"/>
      <c r="AP705" s="193"/>
    </row>
    <row r="706" spans="2:42" s="401" customFormat="1">
      <c r="B706" s="13" t="s">
        <v>109</v>
      </c>
      <c r="C706" s="172" t="s">
        <v>29</v>
      </c>
      <c r="D706" s="172" t="s">
        <v>29</v>
      </c>
      <c r="E706" s="19"/>
      <c r="F706" s="277"/>
      <c r="G706" s="399"/>
      <c r="H706" s="47">
        <v>0.375</v>
      </c>
      <c r="I706" s="47">
        <v>0.25</v>
      </c>
      <c r="J706" s="19">
        <v>8</v>
      </c>
      <c r="K706" s="277"/>
      <c r="L706" s="399"/>
      <c r="M706" s="47">
        <v>0.375</v>
      </c>
      <c r="N706" s="47">
        <v>0.25</v>
      </c>
      <c r="O706" s="319">
        <v>8</v>
      </c>
      <c r="P706" s="277"/>
      <c r="Q706" s="399"/>
      <c r="R706" s="47">
        <v>0.375</v>
      </c>
      <c r="S706" s="47">
        <v>0.25</v>
      </c>
      <c r="T706" s="19">
        <v>8</v>
      </c>
      <c r="U706" s="277"/>
      <c r="V706" s="399"/>
      <c r="W706" s="47" t="s">
        <v>114</v>
      </c>
      <c r="X706" s="4" t="s">
        <v>29</v>
      </c>
      <c r="Y706" s="19">
        <v>0</v>
      </c>
      <c r="Z706" s="277"/>
      <c r="AA706" s="29">
        <f t="shared" si="95"/>
        <v>24</v>
      </c>
      <c r="AB706" s="298">
        <f t="shared" si="96"/>
        <v>0</v>
      </c>
      <c r="AC706" s="399"/>
      <c r="AD706" s="345"/>
      <c r="AE706" s="345"/>
      <c r="AF706" s="346"/>
      <c r="AG706" s="29">
        <f t="shared" si="97"/>
        <v>0</v>
      </c>
      <c r="AH706" s="399"/>
      <c r="AI706" s="402"/>
      <c r="AK706" s="403" t="s">
        <v>34</v>
      </c>
      <c r="AL706" s="404">
        <f>AA738</f>
        <v>32</v>
      </c>
      <c r="AM706" s="405"/>
      <c r="AN706" s="405"/>
      <c r="AO706" s="405"/>
      <c r="AP706" s="405"/>
    </row>
    <row r="707" spans="2:42" s="180" customFormat="1">
      <c r="B707" s="13" t="s">
        <v>93</v>
      </c>
      <c r="C707" s="172" t="s">
        <v>29</v>
      </c>
      <c r="D707" s="172" t="s">
        <v>29</v>
      </c>
      <c r="E707" s="319"/>
      <c r="F707" s="277"/>
      <c r="G707" s="175"/>
      <c r="H707" s="172" t="s">
        <v>114</v>
      </c>
      <c r="I707" s="172" t="s">
        <v>29</v>
      </c>
      <c r="J707" s="319">
        <v>0</v>
      </c>
      <c r="K707" s="277"/>
      <c r="L707" s="175"/>
      <c r="M707" s="47" t="s">
        <v>114</v>
      </c>
      <c r="N707" s="4" t="s">
        <v>29</v>
      </c>
      <c r="O707" s="319">
        <v>0</v>
      </c>
      <c r="P707" s="277"/>
      <c r="Q707" s="175"/>
      <c r="R707" s="47">
        <v>0.375</v>
      </c>
      <c r="S707" s="47">
        <v>0.25</v>
      </c>
      <c r="T707" s="19">
        <v>8</v>
      </c>
      <c r="U707" s="277"/>
      <c r="V707" s="175"/>
      <c r="W707" s="47" t="s">
        <v>114</v>
      </c>
      <c r="X707" s="4" t="s">
        <v>29</v>
      </c>
      <c r="Y707" s="19">
        <v>0</v>
      </c>
      <c r="Z707" s="277"/>
      <c r="AA707" s="344">
        <f t="shared" si="95"/>
        <v>8</v>
      </c>
      <c r="AB707" s="298">
        <f t="shared" si="96"/>
        <v>0</v>
      </c>
      <c r="AC707" s="175"/>
      <c r="AD707" s="345"/>
      <c r="AE707" s="345"/>
      <c r="AF707" s="346"/>
      <c r="AG707" s="344">
        <f t="shared" si="97"/>
        <v>0</v>
      </c>
      <c r="AH707" s="4"/>
      <c r="AI707" s="255"/>
      <c r="AK707" s="188" t="s">
        <v>36</v>
      </c>
      <c r="AL707" s="196">
        <f>AB738</f>
        <v>1.25</v>
      </c>
      <c r="AM707" s="193"/>
      <c r="AN707" s="193"/>
      <c r="AO707" s="193"/>
      <c r="AP707" s="193"/>
    </row>
    <row r="708" spans="2:42" s="367" customFormat="1">
      <c r="B708" s="13" t="s">
        <v>97</v>
      </c>
      <c r="C708" s="172" t="s">
        <v>29</v>
      </c>
      <c r="D708" s="172" t="s">
        <v>29</v>
      </c>
      <c r="E708" s="319"/>
      <c r="F708" s="277"/>
      <c r="G708" s="175"/>
      <c r="H708" s="47">
        <v>0.375</v>
      </c>
      <c r="I708" s="314">
        <v>0.25</v>
      </c>
      <c r="J708" s="319">
        <v>8</v>
      </c>
      <c r="K708" s="277"/>
      <c r="L708" s="175"/>
      <c r="M708" s="47">
        <v>0.38541666666666669</v>
      </c>
      <c r="N708" s="47">
        <v>0.25</v>
      </c>
      <c r="O708" s="319">
        <v>7.75</v>
      </c>
      <c r="P708" s="277"/>
      <c r="Q708" s="175"/>
      <c r="R708" s="47">
        <v>0.375</v>
      </c>
      <c r="S708" s="47">
        <v>0.25</v>
      </c>
      <c r="T708" s="19">
        <v>8</v>
      </c>
      <c r="U708" s="277"/>
      <c r="V708" s="175"/>
      <c r="W708" s="47" t="s">
        <v>114</v>
      </c>
      <c r="X708" s="4" t="s">
        <v>29</v>
      </c>
      <c r="Y708" s="19">
        <v>0</v>
      </c>
      <c r="Z708" s="277"/>
      <c r="AA708" s="344">
        <f t="shared" si="95"/>
        <v>23.75</v>
      </c>
      <c r="AB708" s="298">
        <f t="shared" si="96"/>
        <v>0</v>
      </c>
      <c r="AC708" s="175"/>
      <c r="AD708" s="345"/>
      <c r="AE708" s="345"/>
      <c r="AF708" s="346"/>
      <c r="AG708" s="344">
        <f t="shared" si="97"/>
        <v>0</v>
      </c>
      <c r="AH708" s="175"/>
      <c r="AI708" s="368"/>
      <c r="AK708" s="188" t="s">
        <v>38</v>
      </c>
      <c r="AL708" s="196">
        <f>AG738</f>
        <v>0</v>
      </c>
      <c r="AM708" s="193"/>
      <c r="AN708" s="193"/>
      <c r="AO708" s="193"/>
      <c r="AP708" s="193"/>
    </row>
    <row r="709" spans="2:42" s="180" customFormat="1">
      <c r="B709" s="13" t="s">
        <v>51</v>
      </c>
      <c r="C709" s="172" t="s">
        <v>29</v>
      </c>
      <c r="D709" s="172" t="s">
        <v>29</v>
      </c>
      <c r="E709" s="19"/>
      <c r="F709" s="277"/>
      <c r="G709" s="4"/>
      <c r="H709" s="47" t="s">
        <v>114</v>
      </c>
      <c r="I709" s="47" t="s">
        <v>29</v>
      </c>
      <c r="J709" s="319">
        <v>0</v>
      </c>
      <c r="K709" s="277"/>
      <c r="L709" s="4"/>
      <c r="M709" s="47">
        <v>0</v>
      </c>
      <c r="N709" s="47"/>
      <c r="O709" s="319">
        <v>0</v>
      </c>
      <c r="P709" s="277"/>
      <c r="Q709" s="4"/>
      <c r="R709" s="47" t="s">
        <v>114</v>
      </c>
      <c r="S709" s="47" t="s">
        <v>29</v>
      </c>
      <c r="T709" s="19">
        <v>0</v>
      </c>
      <c r="U709" s="277"/>
      <c r="V709" s="4"/>
      <c r="W709" s="47" t="s">
        <v>114</v>
      </c>
      <c r="X709" s="4" t="s">
        <v>29</v>
      </c>
      <c r="Y709" s="19">
        <v>0</v>
      </c>
      <c r="Z709" s="277"/>
      <c r="AA709" s="344">
        <f>(E709+J709+O709+T709+Y709)</f>
        <v>0</v>
      </c>
      <c r="AB709" s="298">
        <f>Z709+U709+P709+K709+F709</f>
        <v>0</v>
      </c>
      <c r="AC709" s="4"/>
      <c r="AD709" s="345"/>
      <c r="AE709" s="345"/>
      <c r="AF709" s="346"/>
      <c r="AG709" s="29">
        <f t="shared" si="97"/>
        <v>0</v>
      </c>
      <c r="AH709" s="4"/>
      <c r="AI709" s="255"/>
      <c r="AK709" s="188" t="s">
        <v>41</v>
      </c>
      <c r="AL709" s="196">
        <f>C741</f>
        <v>39</v>
      </c>
      <c r="AM709" s="369"/>
      <c r="AN709" s="369"/>
      <c r="AO709" s="369"/>
      <c r="AP709" s="369"/>
    </row>
    <row r="710" spans="2:42" s="180" customFormat="1">
      <c r="B710" s="13" t="s">
        <v>53</v>
      </c>
      <c r="C710" s="172" t="s">
        <v>29</v>
      </c>
      <c r="D710" s="172" t="s">
        <v>29</v>
      </c>
      <c r="E710" s="19"/>
      <c r="F710" s="277"/>
      <c r="G710" s="4"/>
      <c r="H710" s="47" t="s">
        <v>114</v>
      </c>
      <c r="I710" s="47" t="s">
        <v>29</v>
      </c>
      <c r="J710" s="319">
        <v>0</v>
      </c>
      <c r="K710" s="277"/>
      <c r="L710" s="4"/>
      <c r="M710" s="47">
        <v>0</v>
      </c>
      <c r="N710" s="47"/>
      <c r="O710" s="319">
        <v>0</v>
      </c>
      <c r="P710" s="277"/>
      <c r="Q710" s="4"/>
      <c r="R710" s="47" t="s">
        <v>114</v>
      </c>
      <c r="S710" s="47" t="s">
        <v>29</v>
      </c>
      <c r="T710" s="19">
        <v>0</v>
      </c>
      <c r="U710" s="277"/>
      <c r="V710" s="4"/>
      <c r="W710" s="47">
        <v>0.375</v>
      </c>
      <c r="X710" s="47">
        <v>0.25</v>
      </c>
      <c r="Y710" s="19">
        <v>8</v>
      </c>
      <c r="Z710" s="277"/>
      <c r="AA710" s="29">
        <f>(E709+J710+O710+T710+Y710)</f>
        <v>8</v>
      </c>
      <c r="AB710" s="298">
        <f>Z710+U710+P710+K710+F709</f>
        <v>0</v>
      </c>
      <c r="AC710" s="4"/>
      <c r="AD710" s="345"/>
      <c r="AE710" s="345"/>
      <c r="AF710" s="346"/>
      <c r="AG710" s="29">
        <f t="shared" si="97"/>
        <v>0</v>
      </c>
      <c r="AH710" s="4"/>
      <c r="AI710" s="255"/>
      <c r="AK710" s="193"/>
      <c r="AL710" s="193"/>
      <c r="AM710" s="193"/>
      <c r="AN710" s="193"/>
      <c r="AO710" s="193"/>
      <c r="AP710" s="193"/>
    </row>
    <row r="711" spans="2:42" s="180" customFormat="1">
      <c r="B711" s="13" t="s">
        <v>91</v>
      </c>
      <c r="C711" s="172" t="s">
        <v>29</v>
      </c>
      <c r="D711" s="172" t="s">
        <v>29</v>
      </c>
      <c r="E711" s="19"/>
      <c r="F711" s="277"/>
      <c r="G711" s="4"/>
      <c r="H711" s="47">
        <v>0.40625</v>
      </c>
      <c r="I711" s="47">
        <v>0.25</v>
      </c>
      <c r="J711" s="319">
        <v>7.25</v>
      </c>
      <c r="K711" s="277"/>
      <c r="L711" s="4"/>
      <c r="M711" s="47">
        <v>0.375</v>
      </c>
      <c r="N711" s="47">
        <v>0.25</v>
      </c>
      <c r="O711" s="319">
        <v>8</v>
      </c>
      <c r="P711" s="277"/>
      <c r="Q711" s="4"/>
      <c r="R711" s="47">
        <v>0.375</v>
      </c>
      <c r="S711" s="47">
        <v>0.25</v>
      </c>
      <c r="T711" s="19">
        <v>8</v>
      </c>
      <c r="U711" s="277"/>
      <c r="V711" s="4"/>
      <c r="W711" s="47">
        <v>0.375</v>
      </c>
      <c r="X711" s="47">
        <v>0.25</v>
      </c>
      <c r="Y711" s="19">
        <v>8</v>
      </c>
      <c r="Z711" s="277"/>
      <c r="AA711" s="29">
        <f>(E710+J711+O711+T711+Y711)</f>
        <v>31.25</v>
      </c>
      <c r="AB711" s="298">
        <f>Z711+U711+P711+K711+F710</f>
        <v>0</v>
      </c>
      <c r="AC711" s="4"/>
      <c r="AD711" s="345"/>
      <c r="AE711" s="345"/>
      <c r="AF711" s="346"/>
      <c r="AG711" s="29">
        <f t="shared" si="97"/>
        <v>0</v>
      </c>
      <c r="AH711" s="4"/>
      <c r="AI711" s="255"/>
      <c r="AK711" s="193"/>
      <c r="AL711" s="193"/>
      <c r="AM711" s="193"/>
      <c r="AN711" s="193"/>
      <c r="AO711" s="193"/>
      <c r="AP711" s="193"/>
    </row>
    <row r="712" spans="2:42" s="180" customFormat="1">
      <c r="B712" s="13" t="s">
        <v>35</v>
      </c>
      <c r="C712" s="172" t="s">
        <v>29</v>
      </c>
      <c r="D712" s="172" t="s">
        <v>29</v>
      </c>
      <c r="E712" s="19"/>
      <c r="F712" s="277"/>
      <c r="G712" s="4"/>
      <c r="H712" s="47">
        <v>0.375</v>
      </c>
      <c r="I712" s="47">
        <v>0.25</v>
      </c>
      <c r="J712" s="319">
        <v>8</v>
      </c>
      <c r="K712" s="277"/>
      <c r="L712" s="4"/>
      <c r="M712" s="47">
        <v>0.39583333333333331</v>
      </c>
      <c r="N712" s="47">
        <v>0.25</v>
      </c>
      <c r="O712" s="319">
        <v>7.5</v>
      </c>
      <c r="P712" s="277"/>
      <c r="Q712" s="4"/>
      <c r="R712" s="47" t="s">
        <v>114</v>
      </c>
      <c r="S712" s="47" t="s">
        <v>29</v>
      </c>
      <c r="T712" s="19">
        <v>0</v>
      </c>
      <c r="U712" s="277"/>
      <c r="V712" s="4"/>
      <c r="W712" s="47" t="s">
        <v>114</v>
      </c>
      <c r="X712" s="4" t="s">
        <v>29</v>
      </c>
      <c r="Y712" s="19">
        <v>0</v>
      </c>
      <c r="Z712" s="277"/>
      <c r="AA712" s="29">
        <f>(E711+J712+O712+T712+Y712)</f>
        <v>15.5</v>
      </c>
      <c r="AB712" s="298">
        <f>Z712+U712+P712+K712+F711</f>
        <v>0</v>
      </c>
      <c r="AC712" s="4"/>
      <c r="AD712" s="345"/>
      <c r="AE712" s="345"/>
      <c r="AF712" s="346"/>
      <c r="AG712" s="29">
        <f t="shared" si="97"/>
        <v>0</v>
      </c>
      <c r="AH712" s="4"/>
      <c r="AI712" s="255"/>
      <c r="AK712" s="193"/>
      <c r="AL712" s="193"/>
      <c r="AM712" s="193"/>
      <c r="AN712" s="193"/>
      <c r="AO712" s="193"/>
      <c r="AP712" s="193"/>
    </row>
    <row r="713" spans="2:42" s="180" customFormat="1">
      <c r="B713" s="13" t="s">
        <v>46</v>
      </c>
      <c r="C713" s="172" t="s">
        <v>29</v>
      </c>
      <c r="D713" s="172" t="s">
        <v>29</v>
      </c>
      <c r="E713" s="19"/>
      <c r="F713" s="277"/>
      <c r="G713" s="4"/>
      <c r="H713" s="47">
        <v>0.39583333333333331</v>
      </c>
      <c r="I713" s="47">
        <v>0.25</v>
      </c>
      <c r="J713" s="319">
        <v>7.5</v>
      </c>
      <c r="K713" s="277"/>
      <c r="L713" s="4"/>
      <c r="M713" s="47">
        <v>0.375</v>
      </c>
      <c r="N713" s="47">
        <v>0.25</v>
      </c>
      <c r="O713" s="319">
        <v>8</v>
      </c>
      <c r="P713" s="277"/>
      <c r="Q713" s="4"/>
      <c r="R713" s="47">
        <v>0.375</v>
      </c>
      <c r="S713" s="47">
        <v>0.25</v>
      </c>
      <c r="T713" s="19">
        <v>8</v>
      </c>
      <c r="U713" s="277"/>
      <c r="V713" s="4"/>
      <c r="W713" s="47" t="s">
        <v>114</v>
      </c>
      <c r="X713" s="4" t="s">
        <v>29</v>
      </c>
      <c r="Y713" s="19">
        <v>0</v>
      </c>
      <c r="Z713" s="277"/>
      <c r="AA713" s="29">
        <f t="shared" ref="AA713:AA715" si="98">(E713+J713+O713+T713+Y713)</f>
        <v>23.5</v>
      </c>
      <c r="AB713" s="298">
        <f t="shared" ref="AB713:AB715" si="99">Z713+U713+P713+K713+F713</f>
        <v>0</v>
      </c>
      <c r="AC713" s="4"/>
      <c r="AD713" s="345"/>
      <c r="AE713" s="345"/>
      <c r="AF713" s="346"/>
      <c r="AG713" s="29">
        <f t="shared" si="97"/>
        <v>0</v>
      </c>
      <c r="AH713" s="4"/>
      <c r="AI713" s="255"/>
      <c r="AK713" s="193"/>
      <c r="AL713" s="193"/>
      <c r="AM713" s="193"/>
      <c r="AN713" s="193"/>
      <c r="AO713" s="193"/>
      <c r="AP713" s="193"/>
    </row>
    <row r="714" spans="2:42" s="180" customFormat="1">
      <c r="B714" s="13" t="s">
        <v>50</v>
      </c>
      <c r="C714" s="172" t="s">
        <v>29</v>
      </c>
      <c r="D714" s="172" t="s">
        <v>29</v>
      </c>
      <c r="E714" s="19"/>
      <c r="F714" s="277"/>
      <c r="G714" s="4"/>
      <c r="H714" s="47" t="s">
        <v>114</v>
      </c>
      <c r="I714" s="47" t="s">
        <v>29</v>
      </c>
      <c r="J714" s="319">
        <v>0</v>
      </c>
      <c r="K714" s="277"/>
      <c r="L714" s="4"/>
      <c r="M714" s="47">
        <v>0</v>
      </c>
      <c r="N714" s="47">
        <v>0</v>
      </c>
      <c r="O714" s="319">
        <v>0</v>
      </c>
      <c r="P714" s="277"/>
      <c r="Q714" s="4"/>
      <c r="R714" s="47" t="s">
        <v>114</v>
      </c>
      <c r="S714" s="47" t="s">
        <v>29</v>
      </c>
      <c r="T714" s="19">
        <v>0</v>
      </c>
      <c r="U714" s="277"/>
      <c r="V714" s="4"/>
      <c r="W714" s="47" t="s">
        <v>114</v>
      </c>
      <c r="X714" s="4" t="s">
        <v>29</v>
      </c>
      <c r="Y714" s="19">
        <v>0</v>
      </c>
      <c r="Z714" s="277"/>
      <c r="AA714" s="29">
        <f t="shared" si="98"/>
        <v>0</v>
      </c>
      <c r="AB714" s="298">
        <f t="shared" si="99"/>
        <v>0</v>
      </c>
      <c r="AC714" s="4"/>
      <c r="AD714" s="345"/>
      <c r="AE714" s="345"/>
      <c r="AF714" s="346"/>
      <c r="AG714" s="29">
        <f t="shared" si="97"/>
        <v>0</v>
      </c>
      <c r="AH714" s="4"/>
      <c r="AI714" s="255"/>
      <c r="AK714" s="193"/>
      <c r="AL714" s="193"/>
      <c r="AM714" s="193"/>
      <c r="AN714" s="193"/>
      <c r="AO714" s="193"/>
      <c r="AP714" s="193"/>
    </row>
    <row r="715" spans="2:42" s="180" customFormat="1">
      <c r="B715" s="8" t="s">
        <v>43</v>
      </c>
      <c r="C715" s="172" t="s">
        <v>29</v>
      </c>
      <c r="D715" s="172" t="s">
        <v>29</v>
      </c>
      <c r="E715" s="19"/>
      <c r="F715" s="277"/>
      <c r="G715" s="4"/>
      <c r="H715" s="47">
        <v>0</v>
      </c>
      <c r="I715" s="314">
        <v>0</v>
      </c>
      <c r="J715" s="19">
        <v>0</v>
      </c>
      <c r="K715" s="277"/>
      <c r="L715" s="4"/>
      <c r="M715" s="47">
        <v>0</v>
      </c>
      <c r="N715" s="47"/>
      <c r="O715" s="319">
        <v>0</v>
      </c>
      <c r="P715" s="277"/>
      <c r="Q715" s="4"/>
      <c r="R715" s="47">
        <v>0</v>
      </c>
      <c r="S715" s="47">
        <v>0</v>
      </c>
      <c r="T715" s="19">
        <v>0</v>
      </c>
      <c r="U715" s="277"/>
      <c r="V715" s="4"/>
      <c r="W715" s="47">
        <v>0</v>
      </c>
      <c r="X715" s="4">
        <v>0</v>
      </c>
      <c r="Y715" s="19">
        <v>0</v>
      </c>
      <c r="Z715" s="277"/>
      <c r="AA715" s="29">
        <f t="shared" si="98"/>
        <v>0</v>
      </c>
      <c r="AB715" s="298">
        <f t="shared" si="99"/>
        <v>0</v>
      </c>
      <c r="AC715" s="4"/>
      <c r="AD715" s="345"/>
      <c r="AE715" s="345"/>
      <c r="AF715" s="346"/>
      <c r="AG715" s="29">
        <f t="shared" si="97"/>
        <v>0</v>
      </c>
      <c r="AH715" s="4"/>
      <c r="AI715" s="255"/>
      <c r="AK715" s="193"/>
      <c r="AL715" s="193"/>
      <c r="AM715" s="193"/>
      <c r="AN715" s="193"/>
      <c r="AO715" s="193"/>
      <c r="AP715" s="193"/>
    </row>
    <row r="716" spans="2:42" s="180" customFormat="1">
      <c r="B716" s="8" t="s">
        <v>113</v>
      </c>
      <c r="C716" s="172" t="s">
        <v>29</v>
      </c>
      <c r="D716" s="172" t="s">
        <v>29</v>
      </c>
      <c r="E716" s="19"/>
      <c r="F716" s="277"/>
      <c r="G716" s="4"/>
      <c r="H716" s="172">
        <v>0.4375</v>
      </c>
      <c r="I716" s="172">
        <v>0.25</v>
      </c>
      <c r="J716" s="19">
        <v>6.5</v>
      </c>
      <c r="K716" s="277"/>
      <c r="L716" s="4"/>
      <c r="M716" s="47" t="s">
        <v>114</v>
      </c>
      <c r="N716" s="47" t="s">
        <v>29</v>
      </c>
      <c r="O716" s="319">
        <v>0</v>
      </c>
      <c r="P716" s="277"/>
      <c r="Q716" s="4"/>
      <c r="R716" s="47">
        <v>0.375</v>
      </c>
      <c r="S716" s="47">
        <v>0.25</v>
      </c>
      <c r="T716" s="19">
        <v>8</v>
      </c>
      <c r="U716" s="277"/>
      <c r="V716" s="4"/>
      <c r="W716" s="47" t="s">
        <v>114</v>
      </c>
      <c r="X716" s="4" t="s">
        <v>29</v>
      </c>
      <c r="Y716" s="19">
        <v>0</v>
      </c>
      <c r="Z716" s="277"/>
      <c r="AA716" s="29">
        <f t="shared" ref="AA716:AA722" si="100">(E716+J716+O716+T716+Y716)</f>
        <v>14.5</v>
      </c>
      <c r="AB716" s="298">
        <f t="shared" ref="AB716:AB724" si="101">Z716+U716+P716+K716+F716</f>
        <v>0</v>
      </c>
      <c r="AC716" s="4"/>
      <c r="AD716" s="345"/>
      <c r="AE716" s="345"/>
      <c r="AF716" s="346"/>
      <c r="AG716" s="29">
        <f t="shared" ref="AG716:AG722" si="102">AF716</f>
        <v>0</v>
      </c>
      <c r="AH716" s="4"/>
      <c r="AI716" s="255"/>
      <c r="AK716" s="193"/>
      <c r="AL716" s="193"/>
      <c r="AM716" s="193"/>
      <c r="AN716" s="193"/>
      <c r="AO716" s="193"/>
      <c r="AP716" s="193"/>
    </row>
    <row r="717" spans="2:42" s="180" customFormat="1">
      <c r="B717" s="13" t="s">
        <v>108</v>
      </c>
      <c r="C717" s="172" t="s">
        <v>29</v>
      </c>
      <c r="D717" s="172" t="s">
        <v>29</v>
      </c>
      <c r="E717" s="19"/>
      <c r="F717" s="277"/>
      <c r="G717" s="4"/>
      <c r="H717" s="172" t="s">
        <v>114</v>
      </c>
      <c r="I717" s="172" t="s">
        <v>29</v>
      </c>
      <c r="J717" s="319">
        <v>0</v>
      </c>
      <c r="K717" s="277"/>
      <c r="L717" s="4"/>
      <c r="M717" s="47" t="s">
        <v>114</v>
      </c>
      <c r="N717" s="47" t="s">
        <v>29</v>
      </c>
      <c r="O717" s="319">
        <v>0</v>
      </c>
      <c r="P717" s="277"/>
      <c r="Q717" s="4"/>
      <c r="R717" s="47" t="s">
        <v>114</v>
      </c>
      <c r="S717" s="47" t="s">
        <v>29</v>
      </c>
      <c r="T717" s="19">
        <v>0</v>
      </c>
      <c r="U717" s="277"/>
      <c r="V717" s="4"/>
      <c r="W717" s="47" t="s">
        <v>114</v>
      </c>
      <c r="X717" s="4" t="s">
        <v>29</v>
      </c>
      <c r="Y717" s="19">
        <v>0</v>
      </c>
      <c r="Z717" s="277"/>
      <c r="AA717" s="29">
        <f t="shared" si="100"/>
        <v>0</v>
      </c>
      <c r="AB717" s="298">
        <f t="shared" si="101"/>
        <v>0</v>
      </c>
      <c r="AC717" s="4"/>
      <c r="AD717" s="345"/>
      <c r="AE717" s="345"/>
      <c r="AF717" s="346"/>
      <c r="AG717" s="29">
        <f t="shared" si="102"/>
        <v>0</v>
      </c>
      <c r="AH717" s="4"/>
      <c r="AI717" s="255"/>
      <c r="AK717" s="193"/>
      <c r="AL717" s="193"/>
      <c r="AM717" s="193"/>
      <c r="AN717" s="193"/>
      <c r="AO717" s="193"/>
      <c r="AP717" s="193"/>
    </row>
    <row r="718" spans="2:42" s="180" customFormat="1">
      <c r="B718" s="13" t="s">
        <v>44</v>
      </c>
      <c r="C718" s="172" t="s">
        <v>29</v>
      </c>
      <c r="D718" s="172" t="s">
        <v>29</v>
      </c>
      <c r="E718" s="19"/>
      <c r="F718" s="277"/>
      <c r="G718" s="4"/>
      <c r="H718" s="47">
        <v>0.375</v>
      </c>
      <c r="I718" s="47">
        <v>0.25</v>
      </c>
      <c r="J718" s="19">
        <v>8</v>
      </c>
      <c r="K718" s="277"/>
      <c r="L718" s="4"/>
      <c r="M718" s="47">
        <v>0.38541666666666669</v>
      </c>
      <c r="N718" s="47">
        <v>0.25</v>
      </c>
      <c r="O718" s="319">
        <v>7.75</v>
      </c>
      <c r="P718" s="277"/>
      <c r="Q718" s="4"/>
      <c r="R718" s="47">
        <v>0.375</v>
      </c>
      <c r="S718" s="47">
        <v>0.25</v>
      </c>
      <c r="T718" s="19">
        <v>8</v>
      </c>
      <c r="U718" s="277"/>
      <c r="V718" s="4"/>
      <c r="W718" s="47" t="s">
        <v>114</v>
      </c>
      <c r="X718" s="4" t="s">
        <v>29</v>
      </c>
      <c r="Y718" s="19">
        <v>0</v>
      </c>
      <c r="Z718" s="277"/>
      <c r="AA718" s="29">
        <f t="shared" si="100"/>
        <v>23.75</v>
      </c>
      <c r="AB718" s="298">
        <f t="shared" si="101"/>
        <v>0</v>
      </c>
      <c r="AC718" s="4"/>
      <c r="AD718" s="345"/>
      <c r="AE718" s="345"/>
      <c r="AF718" s="346"/>
      <c r="AG718" s="29">
        <f t="shared" si="102"/>
        <v>0</v>
      </c>
      <c r="AH718" s="4"/>
      <c r="AI718" s="255"/>
      <c r="AK718" s="193"/>
      <c r="AL718" s="193"/>
      <c r="AM718" s="193"/>
      <c r="AN718" s="193"/>
      <c r="AO718" s="193"/>
      <c r="AP718" s="193"/>
    </row>
    <row r="719" spans="2:42" s="180" customFormat="1">
      <c r="B719" s="13" t="s">
        <v>45</v>
      </c>
      <c r="C719" s="172" t="s">
        <v>29</v>
      </c>
      <c r="D719" s="172" t="s">
        <v>29</v>
      </c>
      <c r="E719" s="19"/>
      <c r="F719" s="277"/>
      <c r="G719" s="4"/>
      <c r="H719" s="47" t="s">
        <v>114</v>
      </c>
      <c r="I719" s="47" t="s">
        <v>29</v>
      </c>
      <c r="J719" s="19">
        <v>0</v>
      </c>
      <c r="K719" s="277"/>
      <c r="L719" s="4"/>
      <c r="M719" s="47">
        <v>0.375</v>
      </c>
      <c r="N719" s="47">
        <v>0.25</v>
      </c>
      <c r="O719" s="319">
        <v>8</v>
      </c>
      <c r="P719" s="277"/>
      <c r="Q719" s="4"/>
      <c r="R719" s="47" t="s">
        <v>114</v>
      </c>
      <c r="S719" s="47" t="s">
        <v>29</v>
      </c>
      <c r="T719" s="19">
        <v>0</v>
      </c>
      <c r="U719" s="277"/>
      <c r="V719" s="4"/>
      <c r="W719" s="47" t="s">
        <v>114</v>
      </c>
      <c r="X719" s="4" t="s">
        <v>29</v>
      </c>
      <c r="Y719" s="19">
        <v>0</v>
      </c>
      <c r="Z719" s="277"/>
      <c r="AA719" s="29">
        <f t="shared" si="100"/>
        <v>8</v>
      </c>
      <c r="AB719" s="298">
        <f t="shared" si="101"/>
        <v>0</v>
      </c>
      <c r="AC719" s="4"/>
      <c r="AD719" s="345"/>
      <c r="AE719" s="345"/>
      <c r="AF719" s="346"/>
      <c r="AG719" s="29">
        <f t="shared" si="102"/>
        <v>0</v>
      </c>
      <c r="AH719" s="4"/>
      <c r="AI719" s="255"/>
      <c r="AK719" s="193"/>
      <c r="AL719" s="193"/>
      <c r="AM719" s="193"/>
      <c r="AN719" s="193"/>
      <c r="AO719" s="193"/>
      <c r="AP719" s="193"/>
    </row>
    <row r="720" spans="2:42" s="180" customFormat="1">
      <c r="B720" s="13" t="s">
        <v>112</v>
      </c>
      <c r="C720" s="172" t="s">
        <v>29</v>
      </c>
      <c r="D720" s="172" t="s">
        <v>29</v>
      </c>
      <c r="E720" s="19"/>
      <c r="F720" s="277"/>
      <c r="G720" s="4"/>
      <c r="H720" s="172" t="s">
        <v>114</v>
      </c>
      <c r="I720" s="172" t="s">
        <v>29</v>
      </c>
      <c r="J720" s="19">
        <v>0</v>
      </c>
      <c r="K720" s="277"/>
      <c r="L720" s="4"/>
      <c r="M720" s="47" t="s">
        <v>114</v>
      </c>
      <c r="N720" s="47" t="s">
        <v>29</v>
      </c>
      <c r="O720" s="319">
        <v>0</v>
      </c>
      <c r="P720" s="277"/>
      <c r="Q720" s="4"/>
      <c r="R720" s="47" t="s">
        <v>114</v>
      </c>
      <c r="S720" s="4" t="s">
        <v>29</v>
      </c>
      <c r="T720" s="19">
        <v>0</v>
      </c>
      <c r="U720" s="277"/>
      <c r="V720" s="4"/>
      <c r="W720" s="47" t="s">
        <v>114</v>
      </c>
      <c r="X720" s="4" t="s">
        <v>29</v>
      </c>
      <c r="Y720" s="19">
        <v>0</v>
      </c>
      <c r="Z720" s="277"/>
      <c r="AA720" s="29">
        <f t="shared" si="100"/>
        <v>0</v>
      </c>
      <c r="AB720" s="298">
        <f t="shared" si="101"/>
        <v>0</v>
      </c>
      <c r="AC720" s="4"/>
      <c r="AD720" s="345"/>
      <c r="AE720" s="345"/>
      <c r="AF720" s="346"/>
      <c r="AG720" s="29">
        <f t="shared" si="102"/>
        <v>0</v>
      </c>
      <c r="AH720" s="4"/>
      <c r="AI720" s="255"/>
      <c r="AK720" s="193"/>
      <c r="AL720" s="193"/>
      <c r="AM720" s="193"/>
      <c r="AN720" s="193"/>
      <c r="AO720" s="193"/>
      <c r="AP720" s="193"/>
    </row>
    <row r="721" spans="2:42" s="180" customFormat="1">
      <c r="B721" s="13" t="s">
        <v>52</v>
      </c>
      <c r="C721" s="172" t="s">
        <v>29</v>
      </c>
      <c r="D721" s="172" t="s">
        <v>29</v>
      </c>
      <c r="E721" s="19"/>
      <c r="F721" s="277"/>
      <c r="G721" s="4"/>
      <c r="H721" s="172">
        <v>0.375</v>
      </c>
      <c r="I721" s="172">
        <v>0.25</v>
      </c>
      <c r="J721" s="19">
        <v>8</v>
      </c>
      <c r="K721" s="277"/>
      <c r="L721" s="4"/>
      <c r="M721" s="47" t="s">
        <v>114</v>
      </c>
      <c r="N721" s="47" t="s">
        <v>29</v>
      </c>
      <c r="O721" s="319">
        <v>0</v>
      </c>
      <c r="P721" s="277"/>
      <c r="Q721" s="4"/>
      <c r="R721" s="47">
        <v>0.375</v>
      </c>
      <c r="S721" s="47">
        <v>0.25</v>
      </c>
      <c r="T721" s="19">
        <v>8</v>
      </c>
      <c r="U721" s="277"/>
      <c r="V721" s="4"/>
      <c r="W721" s="47" t="s">
        <v>114</v>
      </c>
      <c r="X721" s="4" t="s">
        <v>29</v>
      </c>
      <c r="Y721" s="19">
        <v>0</v>
      </c>
      <c r="Z721" s="277"/>
      <c r="AA721" s="29">
        <f t="shared" si="100"/>
        <v>16</v>
      </c>
      <c r="AB721" s="298">
        <f t="shared" si="101"/>
        <v>0</v>
      </c>
      <c r="AC721" s="4"/>
      <c r="AD721" s="345"/>
      <c r="AE721" s="345"/>
      <c r="AF721" s="346"/>
      <c r="AG721" s="29">
        <f t="shared" si="102"/>
        <v>0</v>
      </c>
      <c r="AH721" s="4"/>
      <c r="AI721" s="255"/>
      <c r="AK721" s="193"/>
      <c r="AL721" s="193"/>
      <c r="AM721" s="193"/>
      <c r="AN721" s="193"/>
      <c r="AO721" s="193"/>
      <c r="AP721" s="193"/>
    </row>
    <row r="722" spans="2:42" s="180" customFormat="1">
      <c r="B722" s="13" t="s">
        <v>92</v>
      </c>
      <c r="C722" s="172" t="s">
        <v>29</v>
      </c>
      <c r="D722" s="172" t="s">
        <v>29</v>
      </c>
      <c r="E722" s="19"/>
      <c r="F722" s="277"/>
      <c r="G722" s="4"/>
      <c r="H722" s="47">
        <v>0.375</v>
      </c>
      <c r="I722" s="47">
        <v>0.25</v>
      </c>
      <c r="J722" s="19">
        <v>8</v>
      </c>
      <c r="K722" s="277"/>
      <c r="L722" s="4"/>
      <c r="M722" s="47">
        <v>0.38541666666666669</v>
      </c>
      <c r="N722" s="47">
        <v>0.25</v>
      </c>
      <c r="O722" s="319">
        <v>7.75</v>
      </c>
      <c r="P722" s="277"/>
      <c r="Q722" s="4"/>
      <c r="R722" s="47">
        <v>0.375</v>
      </c>
      <c r="S722" s="47">
        <v>0.25</v>
      </c>
      <c r="T722" s="19">
        <v>8</v>
      </c>
      <c r="U722" s="277"/>
      <c r="V722" s="4"/>
      <c r="W722" s="47" t="s">
        <v>114</v>
      </c>
      <c r="X722" s="4" t="s">
        <v>29</v>
      </c>
      <c r="Y722" s="19">
        <v>0</v>
      </c>
      <c r="Z722" s="277"/>
      <c r="AA722" s="29">
        <f t="shared" si="100"/>
        <v>23.75</v>
      </c>
      <c r="AB722" s="298">
        <f t="shared" si="101"/>
        <v>0</v>
      </c>
      <c r="AC722" s="4"/>
      <c r="AD722" s="345"/>
      <c r="AE722" s="345"/>
      <c r="AF722" s="346"/>
      <c r="AG722" s="29">
        <f t="shared" si="102"/>
        <v>0</v>
      </c>
      <c r="AH722" s="4"/>
      <c r="AI722" s="255"/>
      <c r="AK722" s="193"/>
      <c r="AL722" s="193"/>
      <c r="AM722" s="193"/>
      <c r="AN722" s="193"/>
      <c r="AO722" s="193"/>
      <c r="AP722" s="193"/>
    </row>
    <row r="723" spans="2:42" s="180" customFormat="1">
      <c r="B723" s="13" t="s">
        <v>39</v>
      </c>
      <c r="C723" s="172" t="s">
        <v>29</v>
      </c>
      <c r="D723" s="172" t="s">
        <v>29</v>
      </c>
      <c r="E723" s="19"/>
      <c r="F723" s="277"/>
      <c r="G723" s="4"/>
      <c r="H723" s="47">
        <v>0.4375</v>
      </c>
      <c r="I723" s="47">
        <v>0.25</v>
      </c>
      <c r="J723" s="19">
        <v>6.5</v>
      </c>
      <c r="K723" s="277"/>
      <c r="L723" s="4"/>
      <c r="M723" s="47">
        <v>0.375</v>
      </c>
      <c r="N723" s="47">
        <v>0.25</v>
      </c>
      <c r="O723" s="19">
        <v>8</v>
      </c>
      <c r="P723" s="277"/>
      <c r="Q723" s="4"/>
      <c r="R723" s="47" t="s">
        <v>114</v>
      </c>
      <c r="S723" s="47" t="s">
        <v>29</v>
      </c>
      <c r="T723" s="19">
        <v>0</v>
      </c>
      <c r="U723" s="277"/>
      <c r="V723" s="4"/>
      <c r="W723" s="47" t="s">
        <v>114</v>
      </c>
      <c r="X723" s="4" t="s">
        <v>29</v>
      </c>
      <c r="Y723" s="19">
        <v>0</v>
      </c>
      <c r="Z723" s="277"/>
      <c r="AA723" s="29">
        <f t="shared" ref="AA723:AA729" si="103">(E723+J723+O723+T723+Y723)</f>
        <v>14.5</v>
      </c>
      <c r="AB723" s="298">
        <f t="shared" si="101"/>
        <v>0</v>
      </c>
      <c r="AC723" s="4"/>
      <c r="AD723" s="410"/>
      <c r="AE723" s="4"/>
      <c r="AF723" s="19"/>
      <c r="AG723" s="29">
        <f t="shared" ref="AG723:AG729" si="104">AF723</f>
        <v>0</v>
      </c>
      <c r="AH723" s="4"/>
      <c r="AI723" s="255"/>
      <c r="AK723" s="193"/>
      <c r="AL723" s="193"/>
      <c r="AM723" s="193"/>
      <c r="AN723" s="193"/>
      <c r="AO723" s="193"/>
      <c r="AP723" s="193"/>
    </row>
    <row r="724" spans="2:42" s="180" customFormat="1">
      <c r="B724" s="13" t="s">
        <v>96</v>
      </c>
      <c r="C724" s="172" t="s">
        <v>29</v>
      </c>
      <c r="D724" s="172" t="s">
        <v>29</v>
      </c>
      <c r="E724" s="19"/>
      <c r="F724" s="277"/>
      <c r="G724" s="4"/>
      <c r="H724" s="172" t="s">
        <v>114</v>
      </c>
      <c r="I724" s="172" t="s">
        <v>29</v>
      </c>
      <c r="J724" s="19">
        <v>0</v>
      </c>
      <c r="K724" s="277"/>
      <c r="L724" s="4"/>
      <c r="M724" s="47" t="s">
        <v>114</v>
      </c>
      <c r="N724" s="16" t="s">
        <v>29</v>
      </c>
      <c r="O724" s="19">
        <v>0</v>
      </c>
      <c r="P724" s="277"/>
      <c r="Q724" s="4"/>
      <c r="R724" s="47" t="s">
        <v>114</v>
      </c>
      <c r="S724" s="47" t="s">
        <v>29</v>
      </c>
      <c r="T724" s="19">
        <v>0</v>
      </c>
      <c r="U724" s="277"/>
      <c r="V724" s="4"/>
      <c r="W724" s="47" t="s">
        <v>114</v>
      </c>
      <c r="X724" s="4" t="s">
        <v>29</v>
      </c>
      <c r="Y724" s="19">
        <v>0</v>
      </c>
      <c r="Z724" s="277"/>
      <c r="AA724" s="29">
        <f t="shared" si="103"/>
        <v>0</v>
      </c>
      <c r="AB724" s="298">
        <f t="shared" si="101"/>
        <v>0</v>
      </c>
      <c r="AC724" s="4"/>
      <c r="AD724" s="4"/>
      <c r="AE724" s="4"/>
      <c r="AF724" s="19"/>
      <c r="AG724" s="29">
        <f t="shared" si="104"/>
        <v>0</v>
      </c>
      <c r="AH724" s="4"/>
      <c r="AI724" s="255"/>
      <c r="AK724" s="193"/>
      <c r="AL724" s="193"/>
      <c r="AM724" s="193"/>
      <c r="AN724" s="193"/>
      <c r="AO724" s="193"/>
      <c r="AP724" s="193"/>
    </row>
    <row r="725" spans="2:42" s="180" customFormat="1">
      <c r="B725" s="13" t="s">
        <v>42</v>
      </c>
      <c r="C725" s="12" t="s">
        <v>29</v>
      </c>
      <c r="D725" s="12" t="s">
        <v>29</v>
      </c>
      <c r="E725" s="19"/>
      <c r="F725" s="277"/>
      <c r="G725" s="4"/>
      <c r="H725" s="47">
        <v>0.4375</v>
      </c>
      <c r="I725" s="47">
        <v>0.25</v>
      </c>
      <c r="J725" s="19">
        <v>6.5</v>
      </c>
      <c r="K725" s="277"/>
      <c r="L725" s="4"/>
      <c r="M725" s="47">
        <v>0.375</v>
      </c>
      <c r="N725" s="47">
        <v>0.25</v>
      </c>
      <c r="O725" s="19">
        <v>8</v>
      </c>
      <c r="P725" s="277"/>
      <c r="Q725" s="4"/>
      <c r="R725" s="47" t="s">
        <v>114</v>
      </c>
      <c r="S725" s="4" t="s">
        <v>29</v>
      </c>
      <c r="T725" s="19">
        <v>0</v>
      </c>
      <c r="U725" s="277"/>
      <c r="V725" s="4"/>
      <c r="W725" s="47">
        <v>0.375</v>
      </c>
      <c r="X725" s="47">
        <v>0.25</v>
      </c>
      <c r="Y725" s="19">
        <v>8</v>
      </c>
      <c r="Z725" s="277"/>
      <c r="AA725" s="29">
        <f t="shared" si="103"/>
        <v>22.5</v>
      </c>
      <c r="AB725" s="298">
        <f t="shared" ref="AB725:AB729" si="105">Z725+U725+P725+K725+F725</f>
        <v>0</v>
      </c>
      <c r="AC725" s="4"/>
      <c r="AD725" s="4"/>
      <c r="AE725" s="4"/>
      <c r="AF725" s="19"/>
      <c r="AG725" s="29">
        <f t="shared" si="104"/>
        <v>0</v>
      </c>
      <c r="AH725" s="4"/>
      <c r="AI725" s="255"/>
      <c r="AK725" s="193"/>
      <c r="AL725" s="193"/>
      <c r="AM725" s="193"/>
      <c r="AN725" s="193"/>
      <c r="AO725" s="193"/>
      <c r="AP725" s="193"/>
    </row>
    <row r="726" spans="2:42" s="180" customFormat="1">
      <c r="B726" s="13" t="s">
        <v>115</v>
      </c>
      <c r="C726" s="172" t="s">
        <v>29</v>
      </c>
      <c r="D726" s="172" t="s">
        <v>29</v>
      </c>
      <c r="E726" s="19"/>
      <c r="F726" s="277"/>
      <c r="G726" s="4"/>
      <c r="H726" s="172" t="s">
        <v>114</v>
      </c>
      <c r="I726" s="172" t="s">
        <v>29</v>
      </c>
      <c r="J726" s="19">
        <v>0</v>
      </c>
      <c r="K726" s="277"/>
      <c r="L726" s="4"/>
      <c r="M726" s="172" t="s">
        <v>114</v>
      </c>
      <c r="N726" s="172" t="s">
        <v>29</v>
      </c>
      <c r="O726" s="19">
        <v>0</v>
      </c>
      <c r="P726" s="277"/>
      <c r="Q726" s="4"/>
      <c r="R726" s="47" t="s">
        <v>114</v>
      </c>
      <c r="S726" s="4" t="s">
        <v>29</v>
      </c>
      <c r="T726" s="19">
        <v>0</v>
      </c>
      <c r="U726" s="277"/>
      <c r="V726" s="4"/>
      <c r="W726" s="47" t="s">
        <v>114</v>
      </c>
      <c r="X726" s="47" t="s">
        <v>29</v>
      </c>
      <c r="Y726" s="19">
        <v>0</v>
      </c>
      <c r="Z726" s="277"/>
      <c r="AA726" s="29">
        <f>(E726+J726+O726+T726+Y726)</f>
        <v>0</v>
      </c>
      <c r="AB726" s="298">
        <f>Z726+U726+P726+K726+F726</f>
        <v>0</v>
      </c>
      <c r="AC726" s="4"/>
      <c r="AD726" s="4"/>
      <c r="AE726" s="4"/>
      <c r="AF726" s="19"/>
      <c r="AG726" s="29">
        <f>AF726</f>
        <v>0</v>
      </c>
      <c r="AH726" s="4"/>
      <c r="AI726" s="255"/>
      <c r="AK726" s="193"/>
      <c r="AL726" s="193"/>
      <c r="AM726" s="193"/>
      <c r="AN726" s="193"/>
      <c r="AO726" s="193"/>
      <c r="AP726" s="193"/>
    </row>
    <row r="727" spans="2:42" s="180" customFormat="1">
      <c r="B727" s="13" t="s">
        <v>54</v>
      </c>
      <c r="C727" s="172" t="s">
        <v>29</v>
      </c>
      <c r="D727" s="172" t="s">
        <v>29</v>
      </c>
      <c r="E727" s="19"/>
      <c r="F727" s="277"/>
      <c r="G727" s="4"/>
      <c r="H727" s="172" t="s">
        <v>29</v>
      </c>
      <c r="I727" s="172" t="s">
        <v>29</v>
      </c>
      <c r="J727" s="19"/>
      <c r="K727" s="277"/>
      <c r="L727" s="4"/>
      <c r="M727" s="172" t="s">
        <v>29</v>
      </c>
      <c r="N727" s="172" t="s">
        <v>29</v>
      </c>
      <c r="O727" s="319">
        <v>0</v>
      </c>
      <c r="P727" s="277"/>
      <c r="Q727" s="4"/>
      <c r="R727" s="172" t="s">
        <v>29</v>
      </c>
      <c r="S727" s="172" t="s">
        <v>29</v>
      </c>
      <c r="T727" s="19"/>
      <c r="U727" s="277"/>
      <c r="V727" s="4"/>
      <c r="W727" s="172" t="s">
        <v>29</v>
      </c>
      <c r="X727" s="172" t="s">
        <v>29</v>
      </c>
      <c r="Y727" s="19"/>
      <c r="Z727" s="277"/>
      <c r="AA727" s="29">
        <f t="shared" si="103"/>
        <v>0</v>
      </c>
      <c r="AB727" s="298">
        <f t="shared" si="105"/>
        <v>0</v>
      </c>
      <c r="AC727" s="4"/>
      <c r="AD727" s="4"/>
      <c r="AE727" s="4"/>
      <c r="AF727" s="19"/>
      <c r="AG727" s="29">
        <f t="shared" si="104"/>
        <v>0</v>
      </c>
      <c r="AH727" s="4"/>
      <c r="AI727" s="255"/>
      <c r="AK727" s="193"/>
      <c r="AL727" s="193"/>
      <c r="AM727" s="193"/>
      <c r="AN727" s="193"/>
      <c r="AO727" s="193"/>
      <c r="AP727" s="193"/>
    </row>
    <row r="728" spans="2:42" s="180" customFormat="1">
      <c r="B728" s="13" t="s">
        <v>55</v>
      </c>
      <c r="C728" s="172" t="s">
        <v>29</v>
      </c>
      <c r="D728" s="172" t="s">
        <v>29</v>
      </c>
      <c r="E728" s="19"/>
      <c r="F728" s="277"/>
      <c r="G728" s="4"/>
      <c r="H728" s="172" t="s">
        <v>29</v>
      </c>
      <c r="I728" s="172" t="s">
        <v>29</v>
      </c>
      <c r="J728" s="19"/>
      <c r="K728" s="277"/>
      <c r="L728" s="4"/>
      <c r="M728" s="172" t="s">
        <v>29</v>
      </c>
      <c r="N728" s="172" t="s">
        <v>29</v>
      </c>
      <c r="O728" s="319">
        <v>0</v>
      </c>
      <c r="P728" s="277"/>
      <c r="Q728" s="4"/>
      <c r="R728" s="172" t="s">
        <v>29</v>
      </c>
      <c r="S728" s="172" t="s">
        <v>29</v>
      </c>
      <c r="T728" s="19"/>
      <c r="U728" s="277"/>
      <c r="V728" s="4"/>
      <c r="W728" s="172" t="s">
        <v>29</v>
      </c>
      <c r="X728" s="172" t="s">
        <v>29</v>
      </c>
      <c r="Y728" s="19"/>
      <c r="Z728" s="277"/>
      <c r="AA728" s="29">
        <f t="shared" si="103"/>
        <v>0</v>
      </c>
      <c r="AB728" s="298">
        <f t="shared" si="105"/>
        <v>0</v>
      </c>
      <c r="AC728" s="4"/>
      <c r="AD728" s="4"/>
      <c r="AE728" s="4"/>
      <c r="AF728" s="19"/>
      <c r="AG728" s="29">
        <f t="shared" si="104"/>
        <v>0</v>
      </c>
      <c r="AH728" s="4"/>
      <c r="AI728" s="255"/>
      <c r="AK728" s="193"/>
      <c r="AL728" s="193"/>
      <c r="AM728" s="193"/>
      <c r="AN728" s="193"/>
      <c r="AO728" s="193"/>
      <c r="AP728" s="193"/>
    </row>
    <row r="729" spans="2:42" s="180" customFormat="1">
      <c r="B729" s="166" t="s">
        <v>48</v>
      </c>
      <c r="C729" s="16" t="s">
        <v>29</v>
      </c>
      <c r="D729" s="16" t="s">
        <v>29</v>
      </c>
      <c r="E729" s="19"/>
      <c r="F729" s="277"/>
      <c r="G729" s="4"/>
      <c r="H729" s="16" t="s">
        <v>29</v>
      </c>
      <c r="I729" s="16" t="s">
        <v>29</v>
      </c>
      <c r="J729" s="19">
        <v>8</v>
      </c>
      <c r="K729" s="277"/>
      <c r="L729" s="4"/>
      <c r="M729" s="16" t="s">
        <v>29</v>
      </c>
      <c r="N729" s="16" t="s">
        <v>29</v>
      </c>
      <c r="O729" s="19">
        <v>8</v>
      </c>
      <c r="P729" s="277"/>
      <c r="Q729" s="4"/>
      <c r="R729" s="16" t="s">
        <v>29</v>
      </c>
      <c r="S729" s="16" t="s">
        <v>29</v>
      </c>
      <c r="T729" s="19">
        <v>8</v>
      </c>
      <c r="U729" s="277"/>
      <c r="V729" s="4"/>
      <c r="W729" s="16" t="s">
        <v>29</v>
      </c>
      <c r="X729" s="16" t="s">
        <v>29</v>
      </c>
      <c r="Y729" s="19">
        <v>8</v>
      </c>
      <c r="Z729" s="277"/>
      <c r="AA729" s="29">
        <f t="shared" si="103"/>
        <v>32</v>
      </c>
      <c r="AB729" s="298">
        <f t="shared" si="105"/>
        <v>0</v>
      </c>
      <c r="AC729" s="4"/>
      <c r="AD729" s="4"/>
      <c r="AE729" s="4"/>
      <c r="AF729" s="19"/>
      <c r="AG729" s="29">
        <f t="shared" si="104"/>
        <v>0</v>
      </c>
      <c r="AH729" s="4"/>
      <c r="AI729" s="255"/>
      <c r="AK729" s="193"/>
      <c r="AL729" s="193"/>
      <c r="AM729" s="193"/>
      <c r="AN729" s="193"/>
      <c r="AO729" s="193"/>
      <c r="AP729" s="193"/>
    </row>
    <row r="730" spans="2:42" s="180" customFormat="1">
      <c r="B730" s="166" t="s">
        <v>49</v>
      </c>
      <c r="C730" s="47" t="s">
        <v>29</v>
      </c>
      <c r="D730" s="47" t="s">
        <v>29</v>
      </c>
      <c r="E730" s="19"/>
      <c r="F730" s="277"/>
      <c r="G730" s="4"/>
      <c r="H730" s="47" t="s">
        <v>29</v>
      </c>
      <c r="I730" s="47" t="s">
        <v>29</v>
      </c>
      <c r="J730" s="19">
        <v>8</v>
      </c>
      <c r="K730" s="277"/>
      <c r="L730" s="4"/>
      <c r="M730" s="47" t="s">
        <v>29</v>
      </c>
      <c r="N730" s="47" t="s">
        <v>29</v>
      </c>
      <c r="O730" s="19">
        <v>8</v>
      </c>
      <c r="P730" s="277"/>
      <c r="Q730" s="4"/>
      <c r="R730" s="47" t="s">
        <v>29</v>
      </c>
      <c r="S730" s="47" t="s">
        <v>29</v>
      </c>
      <c r="T730" s="19">
        <v>8</v>
      </c>
      <c r="U730" s="277"/>
      <c r="V730" s="4"/>
      <c r="W730" s="47" t="s">
        <v>29</v>
      </c>
      <c r="X730" s="47" t="s">
        <v>29</v>
      </c>
      <c r="Y730" s="19">
        <v>8</v>
      </c>
      <c r="Z730" s="277"/>
      <c r="AA730" s="29">
        <f>(E730+J730+O730+T730+Y730)</f>
        <v>32</v>
      </c>
      <c r="AB730" s="298">
        <f>Z730+U730+P730+K730+F730</f>
        <v>0</v>
      </c>
      <c r="AC730" s="4"/>
      <c r="AD730" s="4"/>
      <c r="AE730" s="4"/>
      <c r="AF730" s="19"/>
      <c r="AG730" s="29">
        <f>AF730</f>
        <v>0</v>
      </c>
      <c r="AH730" s="4"/>
      <c r="AI730" s="255"/>
      <c r="AK730" s="193"/>
      <c r="AL730" s="193"/>
      <c r="AM730" s="193"/>
      <c r="AN730" s="193"/>
      <c r="AO730" s="193"/>
      <c r="AP730" s="193"/>
    </row>
    <row r="731" spans="2:42" s="180" customFormat="1">
      <c r="B731" s="166" t="s">
        <v>107</v>
      </c>
      <c r="C731" s="47" t="s">
        <v>29</v>
      </c>
      <c r="D731" s="47" t="s">
        <v>29</v>
      </c>
      <c r="E731" s="19"/>
      <c r="F731" s="277"/>
      <c r="G731" s="4"/>
      <c r="H731" s="47" t="s">
        <v>29</v>
      </c>
      <c r="I731" s="47" t="s">
        <v>29</v>
      </c>
      <c r="J731" s="19">
        <v>8</v>
      </c>
      <c r="K731" s="277"/>
      <c r="L731" s="4"/>
      <c r="M731" s="47" t="s">
        <v>29</v>
      </c>
      <c r="N731" s="47" t="s">
        <v>29</v>
      </c>
      <c r="O731" s="19">
        <v>8</v>
      </c>
      <c r="P731" s="277"/>
      <c r="Q731" s="4"/>
      <c r="R731" s="47" t="s">
        <v>29</v>
      </c>
      <c r="S731" s="47" t="s">
        <v>29</v>
      </c>
      <c r="T731" s="19">
        <v>8</v>
      </c>
      <c r="U731" s="277"/>
      <c r="V731" s="4"/>
      <c r="W731" s="47" t="s">
        <v>29</v>
      </c>
      <c r="X731" s="47" t="s">
        <v>29</v>
      </c>
      <c r="Y731" s="19">
        <v>8</v>
      </c>
      <c r="Z731" s="277"/>
      <c r="AA731" s="29">
        <f>(E731+J731+O731+T731+Y731)</f>
        <v>32</v>
      </c>
      <c r="AB731" s="298">
        <f>Z731+U731+P731+K731+F731</f>
        <v>0</v>
      </c>
      <c r="AC731" s="4"/>
      <c r="AD731" s="4"/>
      <c r="AE731" s="4"/>
      <c r="AF731" s="19"/>
      <c r="AG731" s="29">
        <f>AF731</f>
        <v>0</v>
      </c>
      <c r="AH731" s="4"/>
      <c r="AI731" s="255"/>
      <c r="AK731" s="193"/>
      <c r="AL731" s="193"/>
      <c r="AM731" s="193"/>
      <c r="AN731" s="193"/>
      <c r="AO731" s="193"/>
      <c r="AP731" s="193"/>
    </row>
    <row r="732" spans="2:42" s="180" customFormat="1">
      <c r="B732" s="166" t="s">
        <v>59</v>
      </c>
      <c r="C732" s="47" t="s">
        <v>29</v>
      </c>
      <c r="D732" s="16" t="s">
        <v>29</v>
      </c>
      <c r="E732" s="19"/>
      <c r="F732" s="277"/>
      <c r="G732" s="4"/>
      <c r="H732" s="47" t="s">
        <v>29</v>
      </c>
      <c r="I732" s="16" t="s">
        <v>29</v>
      </c>
      <c r="J732" s="19">
        <v>8</v>
      </c>
      <c r="K732" s="277"/>
      <c r="L732" s="4"/>
      <c r="M732" s="47" t="s">
        <v>29</v>
      </c>
      <c r="N732" s="16" t="s">
        <v>29</v>
      </c>
      <c r="O732" s="19">
        <v>8</v>
      </c>
      <c r="P732" s="277"/>
      <c r="Q732" s="4"/>
      <c r="R732" s="47" t="s">
        <v>29</v>
      </c>
      <c r="S732" s="16" t="s">
        <v>29</v>
      </c>
      <c r="T732" s="19">
        <v>8</v>
      </c>
      <c r="U732" s="277"/>
      <c r="V732" s="4"/>
      <c r="W732" s="47" t="s">
        <v>29</v>
      </c>
      <c r="X732" s="16" t="s">
        <v>29</v>
      </c>
      <c r="Y732" s="19">
        <v>8</v>
      </c>
      <c r="Z732" s="277"/>
      <c r="AA732" s="29">
        <f t="shared" ref="AA732:AA733" si="106">(E732+J732+O732+T732+Y732)</f>
        <v>32</v>
      </c>
      <c r="AB732" s="298">
        <f t="shared" ref="AB732:AB736" si="107">Z732+U732+P732+K732+F732</f>
        <v>0</v>
      </c>
      <c r="AC732" s="4"/>
      <c r="AD732" s="4"/>
      <c r="AE732" s="4"/>
      <c r="AF732" s="19"/>
      <c r="AG732" s="29">
        <f t="shared" ref="AG732:AG733" si="108">AF732</f>
        <v>0</v>
      </c>
      <c r="AH732" s="4"/>
      <c r="AI732" s="255"/>
      <c r="AK732" s="407"/>
      <c r="AL732" s="193"/>
      <c r="AM732" s="193"/>
      <c r="AN732" s="193"/>
      <c r="AO732" s="193"/>
      <c r="AP732" s="193"/>
    </row>
    <row r="733" spans="2:42" s="180" customFormat="1">
      <c r="B733" s="166" t="s">
        <v>60</v>
      </c>
      <c r="C733" s="16" t="s">
        <v>29</v>
      </c>
      <c r="D733" s="16" t="s">
        <v>29</v>
      </c>
      <c r="E733" s="19"/>
      <c r="F733" s="277"/>
      <c r="G733" s="4"/>
      <c r="H733" s="16" t="s">
        <v>29</v>
      </c>
      <c r="I733" s="16" t="s">
        <v>29</v>
      </c>
      <c r="J733" s="19">
        <v>8</v>
      </c>
      <c r="K733" s="277"/>
      <c r="L733" s="4"/>
      <c r="M733" s="16" t="s">
        <v>29</v>
      </c>
      <c r="N733" s="16" t="s">
        <v>29</v>
      </c>
      <c r="O733" s="19">
        <v>8</v>
      </c>
      <c r="P733" s="277"/>
      <c r="Q733" s="4"/>
      <c r="R733" s="16" t="s">
        <v>29</v>
      </c>
      <c r="S733" s="16" t="s">
        <v>29</v>
      </c>
      <c r="T733" s="19">
        <v>8</v>
      </c>
      <c r="U733" s="277"/>
      <c r="V733" s="4"/>
      <c r="W733" s="16" t="s">
        <v>29</v>
      </c>
      <c r="X733" s="16" t="s">
        <v>29</v>
      </c>
      <c r="Y733" s="19">
        <v>8</v>
      </c>
      <c r="Z733" s="277"/>
      <c r="AA733" s="29">
        <f t="shared" si="106"/>
        <v>32</v>
      </c>
      <c r="AB733" s="298">
        <f t="shared" si="107"/>
        <v>0</v>
      </c>
      <c r="AC733" s="4"/>
      <c r="AD733" s="4"/>
      <c r="AE733" s="4"/>
      <c r="AF733" s="19"/>
      <c r="AG733" s="29">
        <f t="shared" si="108"/>
        <v>0</v>
      </c>
      <c r="AH733" s="4"/>
      <c r="AI733" s="255"/>
      <c r="AK733" s="193"/>
      <c r="AL733" s="193"/>
      <c r="AM733" s="193"/>
      <c r="AN733" s="193"/>
      <c r="AO733" s="193"/>
      <c r="AP733" s="193"/>
    </row>
    <row r="734" spans="2:42" s="180" customFormat="1">
      <c r="B734" s="63" t="s">
        <v>63</v>
      </c>
      <c r="C734" s="12" t="s">
        <v>29</v>
      </c>
      <c r="D734" s="12" t="s">
        <v>29</v>
      </c>
      <c r="E734" s="19"/>
      <c r="F734" s="277"/>
      <c r="G734" s="60"/>
      <c r="H734" s="12" t="s">
        <v>29</v>
      </c>
      <c r="I734" s="12" t="s">
        <v>29</v>
      </c>
      <c r="J734" s="19">
        <v>8</v>
      </c>
      <c r="K734" s="277"/>
      <c r="L734" s="60"/>
      <c r="M734" s="16" t="s">
        <v>29</v>
      </c>
      <c r="N734" s="16" t="s">
        <v>29</v>
      </c>
      <c r="O734" s="19">
        <v>8</v>
      </c>
      <c r="P734" s="277"/>
      <c r="Q734" s="60"/>
      <c r="R734" s="16" t="s">
        <v>29</v>
      </c>
      <c r="S734" s="16" t="s">
        <v>29</v>
      </c>
      <c r="T734" s="19">
        <v>8</v>
      </c>
      <c r="U734" s="277"/>
      <c r="V734" s="60"/>
      <c r="W734" s="16" t="s">
        <v>29</v>
      </c>
      <c r="X734" s="16" t="s">
        <v>29</v>
      </c>
      <c r="Y734" s="19">
        <v>8</v>
      </c>
      <c r="Z734" s="277"/>
      <c r="AA734" s="28">
        <f>SUM(E734+J734+O734+T734+Y734)</f>
        <v>32</v>
      </c>
      <c r="AB734" s="298">
        <f t="shared" si="107"/>
        <v>0</v>
      </c>
      <c r="AC734" s="4"/>
      <c r="AD734" s="56"/>
      <c r="AE734" s="56"/>
      <c r="AF734" s="19"/>
      <c r="AG734" s="29">
        <f>AF734</f>
        <v>0</v>
      </c>
      <c r="AH734" s="4"/>
      <c r="AI734" s="255"/>
      <c r="AK734" s="193"/>
      <c r="AL734" s="193"/>
      <c r="AM734" s="193"/>
      <c r="AN734" s="193"/>
      <c r="AO734" s="193"/>
      <c r="AP734" s="193"/>
    </row>
    <row r="735" spans="2:42" s="180" customFormat="1">
      <c r="B735" s="63" t="s">
        <v>62</v>
      </c>
      <c r="C735" s="16" t="s">
        <v>29</v>
      </c>
      <c r="D735" s="16" t="s">
        <v>29</v>
      </c>
      <c r="E735" s="19"/>
      <c r="F735" s="277"/>
      <c r="G735" s="60"/>
      <c r="H735" s="16" t="s">
        <v>29</v>
      </c>
      <c r="I735" s="16" t="s">
        <v>29</v>
      </c>
      <c r="J735" s="19">
        <v>8</v>
      </c>
      <c r="K735" s="277"/>
      <c r="L735" s="60"/>
      <c r="M735" s="16" t="s">
        <v>29</v>
      </c>
      <c r="N735" s="16" t="s">
        <v>29</v>
      </c>
      <c r="O735" s="19">
        <v>8</v>
      </c>
      <c r="P735" s="277"/>
      <c r="Q735" s="60"/>
      <c r="R735" s="16" t="s">
        <v>29</v>
      </c>
      <c r="S735" s="16" t="s">
        <v>29</v>
      </c>
      <c r="T735" s="19">
        <v>8</v>
      </c>
      <c r="U735" s="277"/>
      <c r="V735" s="60"/>
      <c r="W735" s="16" t="s">
        <v>29</v>
      </c>
      <c r="X735" s="16" t="s">
        <v>29</v>
      </c>
      <c r="Y735" s="19">
        <v>8</v>
      </c>
      <c r="Z735" s="277"/>
      <c r="AA735" s="28">
        <f>SUM(E735+J735+O735+T735+Y735)</f>
        <v>32</v>
      </c>
      <c r="AB735" s="298">
        <f t="shared" si="107"/>
        <v>0</v>
      </c>
      <c r="AC735" s="4"/>
      <c r="AD735" s="56"/>
      <c r="AE735" s="56"/>
      <c r="AF735" s="19"/>
      <c r="AG735" s="29">
        <v>0</v>
      </c>
      <c r="AH735" s="4"/>
      <c r="AI735" s="255"/>
      <c r="AK735" s="193"/>
      <c r="AL735" s="193"/>
      <c r="AM735" s="193"/>
      <c r="AN735" s="193"/>
      <c r="AO735" s="193"/>
      <c r="AP735" s="193"/>
    </row>
    <row r="736" spans="2:42" s="180" customFormat="1">
      <c r="B736" s="63"/>
      <c r="C736" s="12"/>
      <c r="D736" s="12"/>
      <c r="E736" s="19"/>
      <c r="F736" s="277"/>
      <c r="G736" s="60"/>
      <c r="H736" s="12"/>
      <c r="I736" s="12"/>
      <c r="J736" s="19"/>
      <c r="K736" s="277"/>
      <c r="L736" s="60"/>
      <c r="M736" s="16"/>
      <c r="N736" s="16"/>
      <c r="O736" s="19"/>
      <c r="P736" s="277"/>
      <c r="Q736" s="60"/>
      <c r="R736" s="4"/>
      <c r="S736" s="4"/>
      <c r="T736" s="19"/>
      <c r="U736" s="277"/>
      <c r="V736" s="60"/>
      <c r="W736" s="4"/>
      <c r="X736" s="4"/>
      <c r="Y736" s="19"/>
      <c r="Z736" s="277"/>
      <c r="AA736" s="28">
        <f>SUM(E736+J736+O736+T736+Y736)</f>
        <v>0</v>
      </c>
      <c r="AB736" s="298">
        <f t="shared" si="107"/>
        <v>0</v>
      </c>
      <c r="AC736" s="4"/>
      <c r="AD736" s="56"/>
      <c r="AE736" s="56"/>
      <c r="AF736" s="19"/>
      <c r="AG736" s="29">
        <f>AF736</f>
        <v>0</v>
      </c>
      <c r="AH736" s="4"/>
      <c r="AI736" s="255"/>
      <c r="AK736" s="193"/>
      <c r="AL736" s="193"/>
      <c r="AM736" s="193"/>
      <c r="AN736" s="193"/>
      <c r="AO736" s="193"/>
      <c r="AP736" s="193"/>
    </row>
    <row r="737" spans="1:42" s="180" customFormat="1">
      <c r="B737" s="64" t="s">
        <v>61</v>
      </c>
      <c r="C737" s="64"/>
      <c r="D737" s="64"/>
      <c r="E737" s="167">
        <f>SUM(E704:E736)</f>
        <v>0</v>
      </c>
      <c r="F737" s="277">
        <f>SUM(F704:F728)</f>
        <v>0</v>
      </c>
      <c r="G737" s="64"/>
      <c r="H737" s="64"/>
      <c r="I737" s="64"/>
      <c r="J737" s="64">
        <f>SUM(J704:J736)</f>
        <v>154.25</v>
      </c>
      <c r="K737" s="277">
        <f>SUM(K704:K728)</f>
        <v>0</v>
      </c>
      <c r="L737" s="64"/>
      <c r="M737" s="64"/>
      <c r="N737" s="64"/>
      <c r="O737" s="167">
        <f>SUM(O704:O736)</f>
        <v>142.75</v>
      </c>
      <c r="P737" s="277">
        <f>SUM(P704:P733)</f>
        <v>0</v>
      </c>
      <c r="Q737" s="64"/>
      <c r="R737" s="64"/>
      <c r="S737" s="64"/>
      <c r="T737" s="167">
        <f>SUM(T704:T736)</f>
        <v>136</v>
      </c>
      <c r="U737" s="277">
        <f>SUM(U704:U733)</f>
        <v>0</v>
      </c>
      <c r="V737" s="64"/>
      <c r="W737" s="64"/>
      <c r="X737" s="64"/>
      <c r="Y737" s="167">
        <f>SUM(Y704:Y736)</f>
        <v>96</v>
      </c>
      <c r="Z737" s="277">
        <f>SUM(Z704:Z728)</f>
        <v>0</v>
      </c>
      <c r="AA737" s="370">
        <f>SUM(AA704:AA736)</f>
        <v>529</v>
      </c>
      <c r="AB737" s="289">
        <f>SUM(AB704:AB736)</f>
        <v>0</v>
      </c>
      <c r="AC737" s="4"/>
      <c r="AD737" s="64"/>
      <c r="AE737" s="64"/>
      <c r="AF737" s="167">
        <f>SUM(AF704:AF736)</f>
        <v>0</v>
      </c>
      <c r="AG737" s="370">
        <f>SUM(AG704:AG728)</f>
        <v>0</v>
      </c>
      <c r="AH737" s="4"/>
      <c r="AI737" s="255"/>
      <c r="AK737" s="193"/>
      <c r="AL737" s="193"/>
      <c r="AM737" s="193"/>
      <c r="AN737" s="193"/>
      <c r="AO737" s="193"/>
      <c r="AP737" s="193"/>
    </row>
    <row r="738" spans="1:42" s="180" customFormat="1">
      <c r="B738" s="63" t="s">
        <v>64</v>
      </c>
      <c r="C738" s="56"/>
      <c r="D738" s="56"/>
      <c r="E738" s="19"/>
      <c r="F738" s="291"/>
      <c r="G738" s="60"/>
      <c r="H738" s="56"/>
      <c r="I738" s="56"/>
      <c r="J738" s="19">
        <v>8</v>
      </c>
      <c r="K738" s="291">
        <v>0.25</v>
      </c>
      <c r="L738" s="60"/>
      <c r="M738" s="56"/>
      <c r="N738" s="56"/>
      <c r="O738" s="19">
        <v>8</v>
      </c>
      <c r="P738" s="19"/>
      <c r="Q738" s="60"/>
      <c r="R738" s="56"/>
      <c r="S738" s="56"/>
      <c r="T738" s="19">
        <v>8</v>
      </c>
      <c r="U738" s="19">
        <v>1</v>
      </c>
      <c r="V738" s="60"/>
      <c r="W738" s="56"/>
      <c r="X738" s="56"/>
      <c r="Y738" s="19">
        <v>8</v>
      </c>
      <c r="Z738" s="19"/>
      <c r="AA738" s="28">
        <f>SUM(E738+J738+O738+T738+Y738)</f>
        <v>32</v>
      </c>
      <c r="AB738" s="296">
        <f>Z738+U738+P738+K738+F738</f>
        <v>1.25</v>
      </c>
      <c r="AC738" s="4"/>
      <c r="AD738" s="56"/>
      <c r="AE738" s="56"/>
      <c r="AF738" s="19"/>
      <c r="AG738" s="29">
        <f>AF738</f>
        <v>0</v>
      </c>
      <c r="AH738" s="4"/>
      <c r="AI738" s="255"/>
      <c r="AK738" s="193"/>
      <c r="AL738" s="193"/>
      <c r="AM738" s="193"/>
      <c r="AN738" s="193"/>
      <c r="AO738" s="193"/>
      <c r="AP738" s="193"/>
    </row>
    <row r="739" spans="1:42" s="180" customFormat="1">
      <c r="B739" s="63" t="s">
        <v>110</v>
      </c>
      <c r="C739" s="56"/>
      <c r="D739" s="56"/>
      <c r="E739" s="19">
        <v>0</v>
      </c>
      <c r="F739" s="291">
        <v>0</v>
      </c>
      <c r="G739" s="60"/>
      <c r="H739" s="56"/>
      <c r="I739" s="56"/>
      <c r="J739" s="19">
        <v>4</v>
      </c>
      <c r="K739" s="291">
        <v>0</v>
      </c>
      <c r="L739" s="60"/>
      <c r="M739" s="56"/>
      <c r="N739" s="56"/>
      <c r="O739" s="19">
        <v>8</v>
      </c>
      <c r="P739" s="19">
        <v>0</v>
      </c>
      <c r="Q739" s="60"/>
      <c r="R739" s="56"/>
      <c r="S739" s="56"/>
      <c r="T739" s="19">
        <v>7</v>
      </c>
      <c r="U739" s="19">
        <v>0</v>
      </c>
      <c r="V739" s="60"/>
      <c r="W739" s="56"/>
      <c r="X739" s="56"/>
      <c r="Y739" s="19">
        <v>6</v>
      </c>
      <c r="Z739" s="19">
        <v>0</v>
      </c>
      <c r="AA739" s="28">
        <f>SUM(E739+J739+O739+T739+Y739)</f>
        <v>25</v>
      </c>
      <c r="AB739" s="296">
        <f>Z739+U739+P739+K739+F739</f>
        <v>0</v>
      </c>
      <c r="AC739" s="4"/>
      <c r="AD739" s="56"/>
      <c r="AE739" s="56"/>
      <c r="AF739" s="19"/>
      <c r="AG739" s="29">
        <f>AF739</f>
        <v>0</v>
      </c>
      <c r="AH739" s="4"/>
      <c r="AI739" s="255"/>
      <c r="AK739" s="193"/>
      <c r="AL739" s="193"/>
      <c r="AM739" s="193"/>
      <c r="AN739" s="193"/>
      <c r="AO739" s="193"/>
      <c r="AP739" s="193"/>
    </row>
    <row r="740" spans="1:42" s="180" customFormat="1">
      <c r="B740" s="71" t="s">
        <v>66</v>
      </c>
      <c r="C740" s="371"/>
      <c r="D740" s="371"/>
      <c r="E740" s="71"/>
      <c r="F740" s="71"/>
      <c r="G740" s="71"/>
      <c r="H740" s="71"/>
      <c r="I740" s="71"/>
      <c r="J740" s="71">
        <f t="shared" ref="J740:AB740" si="109">SUM(J738:J739)</f>
        <v>12</v>
      </c>
      <c r="K740" s="71">
        <f t="shared" si="109"/>
        <v>0.25</v>
      </c>
      <c r="L740" s="71">
        <f t="shared" si="109"/>
        <v>0</v>
      </c>
      <c r="M740" s="71"/>
      <c r="N740" s="71"/>
      <c r="O740" s="71">
        <f t="shared" si="109"/>
        <v>16</v>
      </c>
      <c r="P740" s="71"/>
      <c r="Q740" s="71"/>
      <c r="R740" s="71"/>
      <c r="S740" s="71"/>
      <c r="T740" s="71">
        <f t="shared" si="109"/>
        <v>15</v>
      </c>
      <c r="U740" s="71">
        <f t="shared" si="109"/>
        <v>1</v>
      </c>
      <c r="V740" s="71">
        <f t="shared" si="109"/>
        <v>0</v>
      </c>
      <c r="W740" s="71"/>
      <c r="X740" s="71"/>
      <c r="Y740" s="71">
        <f t="shared" si="109"/>
        <v>14</v>
      </c>
      <c r="Z740" s="71"/>
      <c r="AA740" s="370">
        <f t="shared" si="109"/>
        <v>57</v>
      </c>
      <c r="AB740" s="370">
        <f t="shared" si="109"/>
        <v>1.25</v>
      </c>
      <c r="AC740" s="4"/>
      <c r="AG740" s="370">
        <f>SUM(AG738:AG739)</f>
        <v>0</v>
      </c>
      <c r="AH740" s="4"/>
      <c r="AI740" s="255"/>
      <c r="AK740" s="193"/>
      <c r="AL740" s="193"/>
      <c r="AM740" s="193"/>
      <c r="AN740" s="193"/>
      <c r="AO740" s="193"/>
      <c r="AP740" s="193"/>
    </row>
    <row r="741" spans="1:42" s="180" customFormat="1">
      <c r="B741" s="217" t="s">
        <v>67</v>
      </c>
      <c r="C741" s="207">
        <f>C742+C743</f>
        <v>39</v>
      </c>
      <c r="D741" s="207"/>
      <c r="E741" s="209"/>
      <c r="F741" s="209"/>
      <c r="G741" s="207"/>
      <c r="H741" s="209"/>
      <c r="I741" s="209"/>
      <c r="J741" s="209"/>
      <c r="K741" s="209"/>
      <c r="L741" s="207"/>
      <c r="M741" s="207"/>
      <c r="N741" s="207"/>
      <c r="O741" s="207"/>
      <c r="P741" s="209"/>
      <c r="Q741" s="207"/>
      <c r="R741" s="207"/>
      <c r="S741" s="207"/>
      <c r="T741" s="207"/>
      <c r="U741" s="209"/>
      <c r="V741" s="207"/>
      <c r="W741" s="207"/>
      <c r="X741" s="207"/>
      <c r="Y741" s="210"/>
      <c r="Z741" s="209"/>
      <c r="AA741" s="211"/>
      <c r="AB741" s="209"/>
      <c r="AC741" s="211"/>
      <c r="AD741" s="211"/>
      <c r="AE741" s="211"/>
      <c r="AF741" s="211"/>
      <c r="AG741" s="211"/>
      <c r="AH741" s="4"/>
      <c r="AI741" s="255"/>
      <c r="AK741" s="193"/>
      <c r="AL741" s="193"/>
      <c r="AM741" s="193"/>
      <c r="AN741" s="193"/>
      <c r="AO741" s="193"/>
      <c r="AP741" s="193"/>
    </row>
    <row r="742" spans="1:42" s="180" customFormat="1">
      <c r="B742" s="238" t="s">
        <v>68</v>
      </c>
      <c r="C742" s="239"/>
      <c r="D742" s="207"/>
      <c r="E742" s="209"/>
      <c r="F742" s="209"/>
      <c r="G742" s="207"/>
      <c r="H742" s="209"/>
      <c r="I742" s="209"/>
      <c r="J742" s="209"/>
      <c r="K742" s="209"/>
      <c r="L742" s="207"/>
      <c r="M742" s="207"/>
      <c r="N742" s="207"/>
      <c r="O742" s="207"/>
      <c r="P742" s="209"/>
      <c r="Q742" s="207"/>
      <c r="R742" s="207"/>
      <c r="S742" s="207"/>
      <c r="T742" s="207"/>
      <c r="U742" s="209"/>
      <c r="V742" s="207"/>
      <c r="W742" s="207"/>
      <c r="X742" s="207"/>
      <c r="Y742" s="210"/>
      <c r="Z742" s="209"/>
      <c r="AA742" s="211"/>
      <c r="AB742" s="209"/>
      <c r="AC742" s="211"/>
      <c r="AD742" s="211"/>
      <c r="AE742" s="211"/>
      <c r="AF742" s="211"/>
      <c r="AG742" s="211"/>
      <c r="AH742" s="4"/>
      <c r="AI742" s="255"/>
      <c r="AK742" s="193"/>
      <c r="AL742" s="193"/>
      <c r="AM742" s="193"/>
      <c r="AN742" s="193"/>
      <c r="AO742" s="193"/>
      <c r="AP742" s="193"/>
    </row>
    <row r="743" spans="1:42" s="180" customFormat="1">
      <c r="B743" s="238" t="s">
        <v>69</v>
      </c>
      <c r="C743" s="239">
        <f>13+11+10+5</f>
        <v>39</v>
      </c>
      <c r="D743" s="207"/>
      <c r="E743" s="209"/>
      <c r="F743" s="209"/>
      <c r="G743" s="207"/>
      <c r="H743" s="209"/>
      <c r="I743" s="209"/>
      <c r="J743" s="209"/>
      <c r="K743" s="209"/>
      <c r="L743" s="207"/>
      <c r="M743" s="207"/>
      <c r="N743" s="207"/>
      <c r="O743" s="207"/>
      <c r="P743" s="209"/>
      <c r="Q743" s="207"/>
      <c r="R743" s="207"/>
      <c r="S743" s="207"/>
      <c r="T743" s="207"/>
      <c r="U743" s="209"/>
      <c r="V743" s="207"/>
      <c r="W743" s="207"/>
      <c r="X743" s="207"/>
      <c r="Y743" s="210"/>
      <c r="Z743" s="209"/>
      <c r="AA743" s="211"/>
      <c r="AB743" s="209"/>
      <c r="AC743" s="211"/>
      <c r="AD743" s="211"/>
      <c r="AE743" s="211"/>
      <c r="AF743" s="211"/>
      <c r="AG743" s="211"/>
      <c r="AH743" s="4"/>
      <c r="AI743" s="255"/>
      <c r="AK743" s="193"/>
      <c r="AL743" s="193"/>
      <c r="AM743" s="193"/>
      <c r="AN743" s="193"/>
      <c r="AO743" s="193"/>
      <c r="AP743" s="193"/>
    </row>
    <row r="744" spans="1:42" s="180" customFormat="1">
      <c r="E744" s="4"/>
      <c r="F744" s="4"/>
      <c r="G744" s="4"/>
      <c r="J744" s="4"/>
      <c r="K744" s="4"/>
      <c r="L744" s="4"/>
      <c r="O744" s="4"/>
      <c r="P744" s="4"/>
      <c r="Q744" s="4"/>
      <c r="T744" s="4"/>
      <c r="U744" s="4"/>
      <c r="V744" s="4"/>
      <c r="Y744" s="4"/>
      <c r="Z744" s="4"/>
      <c r="AA744" s="4"/>
      <c r="AB744" s="4"/>
      <c r="AC744" s="4"/>
      <c r="AH744" s="4"/>
    </row>
    <row r="745" spans="1:42" s="255" customFormat="1">
      <c r="A745" s="228"/>
      <c r="B745" s="229"/>
      <c r="C745" s="230"/>
      <c r="D745" s="230"/>
      <c r="E745" s="232"/>
      <c r="F745" s="232"/>
      <c r="G745" s="230"/>
      <c r="H745" s="232"/>
      <c r="I745" s="232"/>
      <c r="J745" s="232"/>
      <c r="K745" s="232"/>
      <c r="L745" s="230"/>
      <c r="M745" s="230"/>
      <c r="N745" s="230"/>
      <c r="O745" s="230"/>
      <c r="P745" s="232"/>
      <c r="Q745" s="230"/>
      <c r="R745" s="230"/>
      <c r="S745" s="230"/>
      <c r="T745" s="230"/>
      <c r="U745" s="232"/>
      <c r="V745" s="230"/>
      <c r="W745" s="230"/>
      <c r="X745" s="230"/>
      <c r="Y745" s="233"/>
      <c r="Z745" s="232"/>
      <c r="AA745" s="234"/>
      <c r="AB745" s="232"/>
      <c r="AC745" s="373"/>
      <c r="AD745" s="236"/>
      <c r="AH745" s="373"/>
    </row>
    <row r="746" spans="1:42" s="180" customFormat="1">
      <c r="E746" s="4"/>
      <c r="F746" s="4"/>
      <c r="G746" s="4"/>
      <c r="J746" s="4"/>
      <c r="K746" s="4"/>
      <c r="L746" s="4"/>
      <c r="O746" s="4"/>
      <c r="P746" s="4"/>
      <c r="Q746" s="4"/>
      <c r="T746" s="4"/>
      <c r="U746" s="4"/>
      <c r="V746" s="4"/>
      <c r="Y746" s="4"/>
      <c r="Z746" s="4"/>
      <c r="AA746" s="4"/>
      <c r="AB746" s="4"/>
      <c r="AC746" s="4"/>
      <c r="AH746" s="4"/>
    </row>
    <row r="747" spans="1:42" s="180" customFormat="1">
      <c r="B747" s="1518" t="s">
        <v>18</v>
      </c>
      <c r="C747" s="1519">
        <v>45299</v>
      </c>
      <c r="D747" s="1519"/>
      <c r="E747" s="1519"/>
      <c r="F747" s="1519"/>
      <c r="G747" s="365"/>
      <c r="H747" s="1519">
        <v>45300</v>
      </c>
      <c r="I747" s="1519"/>
      <c r="J747" s="1519"/>
      <c r="K747" s="1519"/>
      <c r="L747" s="365"/>
      <c r="M747" s="1519">
        <v>45301</v>
      </c>
      <c r="N747" s="1519"/>
      <c r="O747" s="1519"/>
      <c r="P747" s="1519"/>
      <c r="Q747" s="365"/>
      <c r="R747" s="1519">
        <v>45302</v>
      </c>
      <c r="S747" s="1519"/>
      <c r="T747" s="1519"/>
      <c r="U747" s="1519"/>
      <c r="V747" s="365"/>
      <c r="W747" s="1519">
        <v>45303</v>
      </c>
      <c r="X747" s="1519"/>
      <c r="Y747" s="1519"/>
      <c r="Z747" s="1519"/>
      <c r="AA747" s="1517" t="s">
        <v>19</v>
      </c>
      <c r="AB747" s="1517" t="s">
        <v>20</v>
      </c>
      <c r="AC747" s="4"/>
      <c r="AD747" s="1519">
        <v>45304</v>
      </c>
      <c r="AE747" s="1519"/>
      <c r="AF747" s="1519"/>
      <c r="AG747" s="1517" t="s">
        <v>21</v>
      </c>
      <c r="AH747" s="4"/>
      <c r="AI747" s="255"/>
      <c r="AK747" s="194" t="s">
        <v>84</v>
      </c>
      <c r="AL747" s="366"/>
      <c r="AM747" s="366"/>
      <c r="AN747" s="366"/>
      <c r="AO747" s="366"/>
      <c r="AP747" s="366"/>
    </row>
    <row r="748" spans="1:42" s="367" customFormat="1">
      <c r="B748" s="1518"/>
      <c r="C748" s="21" t="s">
        <v>23</v>
      </c>
      <c r="D748" s="21" t="s">
        <v>24</v>
      </c>
      <c r="E748" s="205" t="s">
        <v>25</v>
      </c>
      <c r="F748" s="18" t="s">
        <v>14</v>
      </c>
      <c r="G748" s="4"/>
      <c r="H748" s="21" t="s">
        <v>23</v>
      </c>
      <c r="I748" s="21" t="s">
        <v>24</v>
      </c>
      <c r="J748" s="18" t="s">
        <v>25</v>
      </c>
      <c r="K748" s="18" t="s">
        <v>14</v>
      </c>
      <c r="L748" s="4"/>
      <c r="M748" s="21" t="s">
        <v>23</v>
      </c>
      <c r="N748" s="21" t="s">
        <v>24</v>
      </c>
      <c r="O748" s="18" t="s">
        <v>25</v>
      </c>
      <c r="P748" s="18" t="s">
        <v>14</v>
      </c>
      <c r="Q748" s="4"/>
      <c r="R748" s="21" t="s">
        <v>23</v>
      </c>
      <c r="S748" s="21" t="s">
        <v>24</v>
      </c>
      <c r="T748" s="18" t="s">
        <v>25</v>
      </c>
      <c r="U748" s="18" t="s">
        <v>14</v>
      </c>
      <c r="V748" s="4"/>
      <c r="W748" s="21" t="s">
        <v>23</v>
      </c>
      <c r="X748" s="21" t="s">
        <v>24</v>
      </c>
      <c r="Y748" s="18" t="s">
        <v>25</v>
      </c>
      <c r="Z748" s="18" t="s">
        <v>14</v>
      </c>
      <c r="AA748" s="1517"/>
      <c r="AB748" s="1517"/>
      <c r="AC748" s="4"/>
      <c r="AD748" s="21" t="s">
        <v>23</v>
      </c>
      <c r="AE748" s="21" t="s">
        <v>24</v>
      </c>
      <c r="AF748" s="18" t="s">
        <v>25</v>
      </c>
      <c r="AG748" s="1517"/>
      <c r="AH748" s="175"/>
      <c r="AI748" s="368"/>
      <c r="AK748" s="188" t="s">
        <v>26</v>
      </c>
      <c r="AL748" s="196">
        <f>AA782</f>
        <v>1056.75</v>
      </c>
      <c r="AM748" s="193"/>
      <c r="AN748" s="193"/>
      <c r="AO748" s="193"/>
      <c r="AP748" s="193"/>
    </row>
    <row r="749" spans="1:42" s="367" customFormat="1">
      <c r="B749" s="171" t="s">
        <v>71</v>
      </c>
      <c r="C749" s="172">
        <v>0.375</v>
      </c>
      <c r="D749" s="172">
        <v>0.25</v>
      </c>
      <c r="E749" s="173">
        <v>8</v>
      </c>
      <c r="F749" s="277"/>
      <c r="G749" s="4"/>
      <c r="H749" s="172">
        <v>0.34375</v>
      </c>
      <c r="I749" s="172">
        <v>0.16666666666666666</v>
      </c>
      <c r="J749" s="173">
        <v>6.75</v>
      </c>
      <c r="K749" s="277"/>
      <c r="L749" s="4"/>
      <c r="M749" s="47">
        <v>0.35416666666666669</v>
      </c>
      <c r="N749" s="47">
        <v>0.25</v>
      </c>
      <c r="O749" s="173">
        <v>8</v>
      </c>
      <c r="P749" s="277"/>
      <c r="Q749" s="4"/>
      <c r="R749" s="47">
        <v>0.35416666666666669</v>
      </c>
      <c r="S749" s="47">
        <v>0.25</v>
      </c>
      <c r="T749" s="19">
        <v>8</v>
      </c>
      <c r="U749" s="277"/>
      <c r="V749" s="4"/>
      <c r="W749" s="47">
        <v>0.35416666666666669</v>
      </c>
      <c r="X749" s="47">
        <v>0.25</v>
      </c>
      <c r="Y749" s="19">
        <v>8</v>
      </c>
      <c r="Z749" s="277"/>
      <c r="AA749" s="28">
        <f t="shared" ref="AA749:AA754" si="110">(E749+J749+O749+T749+Y749)</f>
        <v>38.75</v>
      </c>
      <c r="AB749" s="298">
        <f t="shared" ref="AB749:AB754" si="111">Z749+U749+P749+K749+F749</f>
        <v>0</v>
      </c>
      <c r="AC749" s="4"/>
      <c r="AD749" s="175"/>
      <c r="AE749" s="175"/>
      <c r="AF749" s="173"/>
      <c r="AG749" s="28">
        <f t="shared" ref="AG749:AG756" si="112">AF749</f>
        <v>0</v>
      </c>
      <c r="AH749" s="175"/>
      <c r="AI749" s="368"/>
      <c r="AK749" s="188" t="s">
        <v>30</v>
      </c>
      <c r="AL749" s="196">
        <f>AB782</f>
        <v>12</v>
      </c>
      <c r="AM749" s="193"/>
      <c r="AN749" s="193"/>
      <c r="AO749" s="193"/>
      <c r="AP749" s="193"/>
    </row>
    <row r="750" spans="1:42" s="367" customFormat="1">
      <c r="B750" s="171" t="s">
        <v>72</v>
      </c>
      <c r="C750" s="16">
        <v>0.375</v>
      </c>
      <c r="D750" s="172">
        <v>0.25</v>
      </c>
      <c r="E750" s="173">
        <v>8</v>
      </c>
      <c r="F750" s="277"/>
      <c r="G750" s="4"/>
      <c r="H750" s="47">
        <v>0.38541666666666669</v>
      </c>
      <c r="I750" s="172">
        <v>0.16666666666666666</v>
      </c>
      <c r="J750" s="173">
        <v>5.75</v>
      </c>
      <c r="K750" s="277"/>
      <c r="L750" s="4"/>
      <c r="M750" s="172">
        <v>0.375</v>
      </c>
      <c r="N750" s="47">
        <v>0.25</v>
      </c>
      <c r="O750" s="173">
        <v>8</v>
      </c>
      <c r="P750" s="277"/>
      <c r="Q750" s="4"/>
      <c r="R750" s="47">
        <v>0.36458333333333331</v>
      </c>
      <c r="S750" s="47">
        <v>0.25</v>
      </c>
      <c r="T750" s="19">
        <v>8</v>
      </c>
      <c r="U750" s="277"/>
      <c r="V750" s="4"/>
      <c r="W750" s="47">
        <v>0.375</v>
      </c>
      <c r="X750" s="4">
        <v>0.25</v>
      </c>
      <c r="Y750" s="19">
        <v>8</v>
      </c>
      <c r="Z750" s="277"/>
      <c r="AA750" s="28">
        <f t="shared" si="110"/>
        <v>37.75</v>
      </c>
      <c r="AB750" s="298">
        <f t="shared" si="111"/>
        <v>0</v>
      </c>
      <c r="AC750" s="4"/>
      <c r="AD750" s="175"/>
      <c r="AE750" s="175"/>
      <c r="AF750" s="173"/>
      <c r="AG750" s="28">
        <f t="shared" si="112"/>
        <v>0</v>
      </c>
      <c r="AH750" s="175"/>
      <c r="AI750" s="368"/>
      <c r="AK750" s="188" t="s">
        <v>32</v>
      </c>
      <c r="AL750" s="196">
        <f>AG782</f>
        <v>0</v>
      </c>
      <c r="AM750" s="193"/>
      <c r="AN750" s="193"/>
      <c r="AO750" s="193"/>
      <c r="AP750" s="193"/>
    </row>
    <row r="751" spans="1:42" s="401" customFormat="1">
      <c r="B751" s="171" t="s">
        <v>91</v>
      </c>
      <c r="C751" s="172">
        <v>0.375</v>
      </c>
      <c r="D751" s="172">
        <v>0.25</v>
      </c>
      <c r="E751" s="19">
        <v>8</v>
      </c>
      <c r="F751" s="277"/>
      <c r="G751" s="399"/>
      <c r="H751" s="47">
        <v>0.38541666666666669</v>
      </c>
      <c r="I751" s="172">
        <v>0.16666666666666666</v>
      </c>
      <c r="J751" s="19">
        <v>5.75</v>
      </c>
      <c r="K751" s="277"/>
      <c r="L751" s="399"/>
      <c r="M751" s="47">
        <v>0</v>
      </c>
      <c r="N751" s="47">
        <v>0</v>
      </c>
      <c r="O751" s="319">
        <v>0</v>
      </c>
      <c r="P751" s="277"/>
      <c r="Q751" s="399"/>
      <c r="R751" s="47">
        <v>0</v>
      </c>
      <c r="S751" s="47">
        <v>0</v>
      </c>
      <c r="T751" s="19">
        <v>0</v>
      </c>
      <c r="U751" s="277"/>
      <c r="V751" s="399"/>
      <c r="W751" s="47">
        <v>0</v>
      </c>
      <c r="X751" s="4">
        <v>0</v>
      </c>
      <c r="Y751" s="19">
        <v>0</v>
      </c>
      <c r="Z751" s="277"/>
      <c r="AA751" s="29">
        <f t="shared" si="110"/>
        <v>13.75</v>
      </c>
      <c r="AB751" s="298">
        <f t="shared" si="111"/>
        <v>0</v>
      </c>
      <c r="AC751" s="399"/>
      <c r="AD751" s="345"/>
      <c r="AE751" s="345"/>
      <c r="AF751" s="346"/>
      <c r="AG751" s="29">
        <f t="shared" si="112"/>
        <v>0</v>
      </c>
      <c r="AH751" s="399"/>
      <c r="AI751" s="402"/>
      <c r="AK751" s="403" t="s">
        <v>34</v>
      </c>
      <c r="AL751" s="404">
        <f>AA783</f>
        <v>40</v>
      </c>
      <c r="AM751" s="405"/>
      <c r="AN751" s="405"/>
      <c r="AO751" s="405"/>
      <c r="AP751" s="405"/>
    </row>
    <row r="752" spans="1:42" s="180" customFormat="1">
      <c r="B752" s="171" t="s">
        <v>50</v>
      </c>
      <c r="C752" s="172">
        <v>0.375</v>
      </c>
      <c r="D752" s="172">
        <v>0.25</v>
      </c>
      <c r="E752" s="319">
        <v>8</v>
      </c>
      <c r="F752" s="277"/>
      <c r="G752" s="175"/>
      <c r="H752" s="47">
        <v>0.375</v>
      </c>
      <c r="I752" s="172">
        <v>0.16666666666666666</v>
      </c>
      <c r="J752" s="319">
        <v>6</v>
      </c>
      <c r="K752" s="277"/>
      <c r="L752" s="175"/>
      <c r="M752" s="47">
        <v>0.375</v>
      </c>
      <c r="N752" s="47">
        <v>0.25</v>
      </c>
      <c r="O752" s="319">
        <v>8</v>
      </c>
      <c r="P752" s="277"/>
      <c r="Q752" s="175"/>
      <c r="R752" s="47">
        <v>0.40625</v>
      </c>
      <c r="S752" s="47">
        <v>0.5</v>
      </c>
      <c r="T752" s="19">
        <v>2.25</v>
      </c>
      <c r="U752" s="277"/>
      <c r="V752" s="175"/>
      <c r="W752" s="47">
        <v>0</v>
      </c>
      <c r="X752" s="47">
        <v>0</v>
      </c>
      <c r="Y752" s="19">
        <v>0</v>
      </c>
      <c r="Z752" s="277"/>
      <c r="AA752" s="344">
        <f t="shared" si="110"/>
        <v>24.25</v>
      </c>
      <c r="AB752" s="298">
        <f t="shared" si="111"/>
        <v>0</v>
      </c>
      <c r="AC752" s="175"/>
      <c r="AD752" s="345"/>
      <c r="AE752" s="345"/>
      <c r="AF752" s="346"/>
      <c r="AG752" s="344">
        <f t="shared" si="112"/>
        <v>0</v>
      </c>
      <c r="AH752" s="4"/>
      <c r="AI752" s="255"/>
      <c r="AK752" s="188" t="s">
        <v>36</v>
      </c>
      <c r="AL752" s="196">
        <f>AB783</f>
        <v>0</v>
      </c>
      <c r="AM752" s="193"/>
      <c r="AN752" s="193"/>
      <c r="AO752" s="193"/>
      <c r="AP752" s="193"/>
    </row>
    <row r="753" spans="2:42" s="367" customFormat="1">
      <c r="B753" s="171" t="s">
        <v>52</v>
      </c>
      <c r="C753" s="172">
        <v>0.41666666666666669</v>
      </c>
      <c r="D753" s="172">
        <v>0.25</v>
      </c>
      <c r="E753" s="319">
        <v>7</v>
      </c>
      <c r="F753" s="277"/>
      <c r="G753" s="175"/>
      <c r="H753" s="47">
        <v>0.36458333333333331</v>
      </c>
      <c r="I753" s="172">
        <v>0.16666666666666666</v>
      </c>
      <c r="J753" s="319">
        <v>6.25</v>
      </c>
      <c r="K753" s="277"/>
      <c r="L753" s="175"/>
      <c r="M753" s="47">
        <v>0.375</v>
      </c>
      <c r="N753" s="47">
        <v>0.25</v>
      </c>
      <c r="O753" s="319">
        <v>8</v>
      </c>
      <c r="P753" s="277"/>
      <c r="Q753" s="175"/>
      <c r="R753" s="47">
        <v>0</v>
      </c>
      <c r="S753" s="47">
        <v>0</v>
      </c>
      <c r="T753" s="19">
        <v>0</v>
      </c>
      <c r="U753" s="277"/>
      <c r="V753" s="175"/>
      <c r="W753" s="47">
        <v>0</v>
      </c>
      <c r="X753" s="47">
        <v>0</v>
      </c>
      <c r="Y753" s="19">
        <v>0</v>
      </c>
      <c r="Z753" s="277"/>
      <c r="AA753" s="344">
        <f t="shared" si="110"/>
        <v>21.25</v>
      </c>
      <c r="AB753" s="298">
        <f t="shared" si="111"/>
        <v>0</v>
      </c>
      <c r="AC753" s="175"/>
      <c r="AD753" s="345"/>
      <c r="AE753" s="345"/>
      <c r="AF753" s="346"/>
      <c r="AG753" s="344">
        <f t="shared" si="112"/>
        <v>0</v>
      </c>
      <c r="AH753" s="175"/>
      <c r="AI753" s="368"/>
      <c r="AK753" s="188" t="s">
        <v>38</v>
      </c>
      <c r="AL753" s="196">
        <f>AG783</f>
        <v>0</v>
      </c>
      <c r="AM753" s="193"/>
      <c r="AN753" s="193"/>
      <c r="AO753" s="193"/>
      <c r="AP753" s="193"/>
    </row>
    <row r="754" spans="2:42" s="180" customFormat="1">
      <c r="B754" s="171" t="s">
        <v>92</v>
      </c>
      <c r="C754" s="172">
        <v>0.36458333333333331</v>
      </c>
      <c r="D754" s="172">
        <v>0.25</v>
      </c>
      <c r="E754" s="19">
        <v>8</v>
      </c>
      <c r="F754" s="277"/>
      <c r="G754" s="4"/>
      <c r="H754" s="47">
        <v>0.34375</v>
      </c>
      <c r="I754" s="172">
        <v>0.16666666666666666</v>
      </c>
      <c r="J754" s="319">
        <v>6.75</v>
      </c>
      <c r="K754" s="277"/>
      <c r="L754" s="4"/>
      <c r="M754" s="47">
        <v>0.35416666666666669</v>
      </c>
      <c r="N754" s="47">
        <v>0.25</v>
      </c>
      <c r="O754" s="319">
        <v>8</v>
      </c>
      <c r="P754" s="277"/>
      <c r="Q754" s="4"/>
      <c r="R754" s="47">
        <v>0</v>
      </c>
      <c r="S754" s="47">
        <v>0</v>
      </c>
      <c r="T754" s="19">
        <v>0</v>
      </c>
      <c r="U754" s="277"/>
      <c r="V754" s="4"/>
      <c r="W754" s="47">
        <v>0.375</v>
      </c>
      <c r="X754" s="47">
        <v>0.25</v>
      </c>
      <c r="Y754" s="19">
        <v>8</v>
      </c>
      <c r="Z754" s="277"/>
      <c r="AA754" s="344">
        <f t="shared" si="110"/>
        <v>30.75</v>
      </c>
      <c r="AB754" s="298">
        <f t="shared" si="111"/>
        <v>0</v>
      </c>
      <c r="AC754" s="4"/>
      <c r="AD754" s="345"/>
      <c r="AE754" s="345"/>
      <c r="AF754" s="346"/>
      <c r="AG754" s="29">
        <f t="shared" si="112"/>
        <v>0</v>
      </c>
      <c r="AH754" s="4"/>
      <c r="AI754" s="255"/>
      <c r="AK754" s="188" t="s">
        <v>41</v>
      </c>
      <c r="AL754" s="196">
        <f>C786</f>
        <v>105</v>
      </c>
      <c r="AM754" s="369"/>
      <c r="AN754" s="369"/>
      <c r="AO754" s="369"/>
      <c r="AP754" s="369"/>
    </row>
    <row r="755" spans="2:42" s="180" customFormat="1">
      <c r="B755" s="171" t="s">
        <v>39</v>
      </c>
      <c r="C755" s="172">
        <v>0.38541666666666669</v>
      </c>
      <c r="D755" s="172">
        <v>0.25</v>
      </c>
      <c r="E755" s="19">
        <v>7.75</v>
      </c>
      <c r="F755" s="277"/>
      <c r="G755" s="4"/>
      <c r="H755" s="47">
        <v>0.375</v>
      </c>
      <c r="I755" s="172">
        <v>0.16666666666666666</v>
      </c>
      <c r="J755" s="319">
        <v>7</v>
      </c>
      <c r="K755" s="277"/>
      <c r="L755" s="4"/>
      <c r="M755" s="47">
        <v>0.375</v>
      </c>
      <c r="N755" s="47">
        <v>0.25</v>
      </c>
      <c r="O755" s="319">
        <v>8</v>
      </c>
      <c r="P755" s="277"/>
      <c r="Q755" s="4"/>
      <c r="R755" s="47">
        <v>0.39583333333333331</v>
      </c>
      <c r="S755" s="47">
        <v>0.20833333333333334</v>
      </c>
      <c r="T755" s="19">
        <v>6.5</v>
      </c>
      <c r="U755" s="277"/>
      <c r="V755" s="4"/>
      <c r="W755" s="47">
        <v>0</v>
      </c>
      <c r="X755" s="47">
        <v>0</v>
      </c>
      <c r="Y755" s="19">
        <v>0</v>
      </c>
      <c r="Z755" s="277"/>
      <c r="AA755" s="29">
        <f>(E754+J755+O755+T755+Y755)</f>
        <v>29.5</v>
      </c>
      <c r="AB755" s="298">
        <f t="shared" ref="AB755:AB762" si="113">Z755+U755+P755+K755+F754</f>
        <v>0</v>
      </c>
      <c r="AC755" s="4"/>
      <c r="AD755" s="345"/>
      <c r="AE755" s="345"/>
      <c r="AF755" s="346"/>
      <c r="AG755" s="29">
        <f t="shared" si="112"/>
        <v>0</v>
      </c>
      <c r="AH755" s="4"/>
      <c r="AI755" s="255"/>
      <c r="AK755" s="193"/>
      <c r="AL755" s="193"/>
      <c r="AM755" s="193"/>
      <c r="AN755" s="193"/>
      <c r="AO755" s="193"/>
      <c r="AP755" s="193"/>
    </row>
    <row r="756" spans="2:42" s="180" customFormat="1">
      <c r="B756" s="418" t="s">
        <v>109</v>
      </c>
      <c r="C756" s="172">
        <v>0.375</v>
      </c>
      <c r="D756" s="172">
        <v>0.25</v>
      </c>
      <c r="E756" s="19">
        <v>8</v>
      </c>
      <c r="F756" s="277"/>
      <c r="G756" s="4"/>
      <c r="H756" s="47">
        <v>0.22916666666666666</v>
      </c>
      <c r="I756" s="172">
        <v>0.16666666666666666</v>
      </c>
      <c r="J756" s="319">
        <v>7</v>
      </c>
      <c r="K756" s="277">
        <v>2.5</v>
      </c>
      <c r="L756" s="4"/>
      <c r="M756" s="47">
        <v>0.36458333333333331</v>
      </c>
      <c r="N756" s="47">
        <v>0.25</v>
      </c>
      <c r="O756" s="319">
        <v>8</v>
      </c>
      <c r="P756" s="277"/>
      <c r="Q756" s="4"/>
      <c r="R756" s="47">
        <v>0.36458333333333331</v>
      </c>
      <c r="S756" s="47">
        <v>0.25</v>
      </c>
      <c r="T756" s="19">
        <v>8</v>
      </c>
      <c r="U756" s="277"/>
      <c r="V756" s="4"/>
      <c r="W756" s="47">
        <v>0.375</v>
      </c>
      <c r="X756" s="47">
        <v>0.25</v>
      </c>
      <c r="Y756" s="19">
        <v>8</v>
      </c>
      <c r="Z756" s="277"/>
      <c r="AA756" s="29">
        <f>(E755+J756+O756+T756+Y756)</f>
        <v>38.75</v>
      </c>
      <c r="AB756" s="298">
        <f t="shared" si="113"/>
        <v>2.5</v>
      </c>
      <c r="AC756" s="4"/>
      <c r="AD756" s="345"/>
      <c r="AE756" s="345"/>
      <c r="AF756" s="346"/>
      <c r="AG756" s="29">
        <f t="shared" si="112"/>
        <v>0</v>
      </c>
      <c r="AH756" s="4"/>
      <c r="AI756" s="255"/>
      <c r="AK756" s="193"/>
      <c r="AL756" s="193"/>
      <c r="AM756" s="193"/>
      <c r="AN756" s="193"/>
      <c r="AO756" s="193"/>
      <c r="AP756" s="193"/>
    </row>
    <row r="757" spans="2:42" s="180" customFormat="1">
      <c r="B757" s="418" t="s">
        <v>93</v>
      </c>
      <c r="C757" s="172">
        <v>0.36458333333333331</v>
      </c>
      <c r="D757" s="172">
        <v>0.25</v>
      </c>
      <c r="E757" s="19">
        <v>8</v>
      </c>
      <c r="F757" s="277"/>
      <c r="G757" s="4"/>
      <c r="H757" s="47">
        <v>0.36458333333333331</v>
      </c>
      <c r="I757" s="172">
        <v>0.16666666666666666</v>
      </c>
      <c r="J757" s="319">
        <v>6.25</v>
      </c>
      <c r="K757" s="277"/>
      <c r="L757" s="4"/>
      <c r="M757" s="47">
        <v>0.36458333333333331</v>
      </c>
      <c r="N757" s="47">
        <v>0.25</v>
      </c>
      <c r="O757" s="319">
        <v>8</v>
      </c>
      <c r="P757" s="277"/>
      <c r="Q757" s="4"/>
      <c r="R757" s="47">
        <v>0.36458333333333331</v>
      </c>
      <c r="S757" s="47">
        <v>0.25</v>
      </c>
      <c r="T757" s="19">
        <v>8</v>
      </c>
      <c r="U757" s="277"/>
      <c r="V757" s="4"/>
      <c r="W757" s="47">
        <v>0.36458333333333331</v>
      </c>
      <c r="X757" s="47">
        <v>0.25</v>
      </c>
      <c r="Y757" s="19">
        <v>8</v>
      </c>
      <c r="Z757" s="277"/>
      <c r="AA757" s="29">
        <f>(E756+J757+O757+T757+Y757)</f>
        <v>38.25</v>
      </c>
      <c r="AB757" s="298">
        <f t="shared" si="113"/>
        <v>0</v>
      </c>
      <c r="AC757" s="4"/>
      <c r="AD757" s="345"/>
      <c r="AE757" s="345"/>
      <c r="AF757" s="346"/>
      <c r="AG757" s="29">
        <f>AF757</f>
        <v>0</v>
      </c>
      <c r="AH757" s="4"/>
      <c r="AI757" s="255"/>
      <c r="AK757" s="193"/>
      <c r="AL757" s="193"/>
      <c r="AM757" s="193"/>
      <c r="AN757" s="193"/>
      <c r="AO757" s="193"/>
      <c r="AP757" s="193"/>
    </row>
    <row r="758" spans="2:42" s="180" customFormat="1">
      <c r="B758" s="418" t="s">
        <v>97</v>
      </c>
      <c r="C758" s="172">
        <v>0.36458333333333331</v>
      </c>
      <c r="D758" s="172">
        <v>0.25</v>
      </c>
      <c r="E758" s="19">
        <v>8</v>
      </c>
      <c r="F758" s="277"/>
      <c r="G758" s="4"/>
      <c r="H758" s="47">
        <v>0.22916666666666666</v>
      </c>
      <c r="I758" s="172">
        <v>0.16666666666666666</v>
      </c>
      <c r="J758" s="319">
        <v>7</v>
      </c>
      <c r="K758" s="277">
        <v>2.5</v>
      </c>
      <c r="L758" s="4"/>
      <c r="M758" s="47">
        <v>0.36458333333333331</v>
      </c>
      <c r="N758" s="47">
        <v>0.25</v>
      </c>
      <c r="O758" s="319">
        <v>8</v>
      </c>
      <c r="P758" s="277"/>
      <c r="Q758" s="4"/>
      <c r="R758" s="47">
        <v>0.36458333333333331</v>
      </c>
      <c r="S758" s="47">
        <v>0.25</v>
      </c>
      <c r="T758" s="19">
        <v>8</v>
      </c>
      <c r="U758" s="277"/>
      <c r="V758" s="4"/>
      <c r="W758" s="47">
        <v>0</v>
      </c>
      <c r="X758" s="4">
        <v>0</v>
      </c>
      <c r="Y758" s="19">
        <v>0</v>
      </c>
      <c r="Z758" s="277"/>
      <c r="AA758" s="29">
        <f>(E756+J758+O758+T758+Y758)</f>
        <v>31</v>
      </c>
      <c r="AB758" s="298">
        <f t="shared" si="113"/>
        <v>2.5</v>
      </c>
      <c r="AC758" s="4"/>
      <c r="AD758" s="345"/>
      <c r="AE758" s="345"/>
      <c r="AF758" s="346"/>
      <c r="AG758" s="29">
        <f>AF758</f>
        <v>0</v>
      </c>
      <c r="AH758" s="4"/>
      <c r="AI758" s="255"/>
      <c r="AK758" s="193"/>
      <c r="AL758" s="193"/>
      <c r="AM758" s="193"/>
      <c r="AN758" s="193"/>
      <c r="AO758" s="193"/>
      <c r="AP758" s="193"/>
    </row>
    <row r="759" spans="2:42" s="180" customFormat="1">
      <c r="B759" s="418" t="s">
        <v>51</v>
      </c>
      <c r="C759" s="172">
        <v>0.36458333333333331</v>
      </c>
      <c r="D759" s="172">
        <v>0.25</v>
      </c>
      <c r="E759" s="19">
        <v>8</v>
      </c>
      <c r="F759" s="277"/>
      <c r="G759" s="4"/>
      <c r="H759" s="47">
        <v>0.375</v>
      </c>
      <c r="I759" s="172">
        <v>0.16666666666666666</v>
      </c>
      <c r="J759" s="319">
        <v>6</v>
      </c>
      <c r="K759" s="277"/>
      <c r="L759" s="4"/>
      <c r="M759" s="47">
        <v>0.375</v>
      </c>
      <c r="N759" s="47">
        <v>0.25</v>
      </c>
      <c r="O759" s="319">
        <v>8</v>
      </c>
      <c r="P759" s="277"/>
      <c r="Q759" s="4"/>
      <c r="R759" s="47">
        <v>0.375</v>
      </c>
      <c r="S759" s="47">
        <v>4.1666666666666664E-2</v>
      </c>
      <c r="T759" s="19">
        <v>4</v>
      </c>
      <c r="U759" s="277"/>
      <c r="V759" s="4"/>
      <c r="W759" s="47">
        <v>0.375</v>
      </c>
      <c r="X759" s="47">
        <v>8.3333333333333329E-2</v>
      </c>
      <c r="Y759" s="19">
        <v>5</v>
      </c>
      <c r="Z759" s="277"/>
      <c r="AA759" s="29">
        <f>(E759+J759+O759+T759+Y759)</f>
        <v>31</v>
      </c>
      <c r="AB759" s="298">
        <f t="shared" si="113"/>
        <v>0</v>
      </c>
      <c r="AC759" s="4"/>
      <c r="AD759" s="345"/>
      <c r="AE759" s="345"/>
      <c r="AF759" s="346"/>
      <c r="AG759" s="29">
        <f>AF759</f>
        <v>0</v>
      </c>
      <c r="AH759" s="4"/>
      <c r="AI759" s="255"/>
      <c r="AK759" s="193"/>
      <c r="AL759" s="193"/>
      <c r="AM759" s="193"/>
      <c r="AN759" s="193"/>
      <c r="AO759" s="193"/>
      <c r="AP759" s="193"/>
    </row>
    <row r="760" spans="2:42" s="180" customFormat="1">
      <c r="B760" s="418" t="s">
        <v>53</v>
      </c>
      <c r="C760" s="172">
        <v>0.34375</v>
      </c>
      <c r="D760" s="172">
        <v>0.25</v>
      </c>
      <c r="E760" s="19">
        <v>8</v>
      </c>
      <c r="F760" s="277"/>
      <c r="G760" s="4"/>
      <c r="H760" s="47">
        <v>0.375</v>
      </c>
      <c r="I760" s="172">
        <v>0.16666666666666666</v>
      </c>
      <c r="J760" s="319">
        <v>6</v>
      </c>
      <c r="K760" s="277"/>
      <c r="L760" s="4"/>
      <c r="M760" s="47">
        <v>0</v>
      </c>
      <c r="N760" s="47">
        <v>0</v>
      </c>
      <c r="O760" s="319">
        <v>0</v>
      </c>
      <c r="P760" s="277"/>
      <c r="Q760" s="4"/>
      <c r="R760" s="47">
        <v>0.36458333333333331</v>
      </c>
      <c r="S760" s="47">
        <v>0.25</v>
      </c>
      <c r="T760" s="19">
        <v>8</v>
      </c>
      <c r="U760" s="277"/>
      <c r="V760" s="4"/>
      <c r="W760" s="47">
        <v>0.35416666666666669</v>
      </c>
      <c r="X760" s="47">
        <v>0.25</v>
      </c>
      <c r="Y760" s="19">
        <v>8</v>
      </c>
      <c r="Z760" s="277"/>
      <c r="AA760" s="29">
        <f>(E760+J760+O760+T760+Y760)</f>
        <v>30</v>
      </c>
      <c r="AB760" s="298">
        <f t="shared" si="113"/>
        <v>0</v>
      </c>
      <c r="AC760" s="4"/>
      <c r="AD760" s="345"/>
      <c r="AE760" s="345"/>
      <c r="AF760" s="346"/>
      <c r="AG760" s="29">
        <f>AF760</f>
        <v>0</v>
      </c>
      <c r="AH760" s="4"/>
      <c r="AI760" s="255"/>
      <c r="AK760" s="193"/>
      <c r="AL760" s="193"/>
      <c r="AM760" s="193"/>
      <c r="AN760" s="193"/>
      <c r="AO760" s="193"/>
      <c r="AP760" s="193"/>
    </row>
    <row r="761" spans="2:42" s="180" customFormat="1">
      <c r="B761" s="418" t="s">
        <v>35</v>
      </c>
      <c r="C761" s="172">
        <v>0.36458333333333331</v>
      </c>
      <c r="D761" s="172">
        <v>0.25</v>
      </c>
      <c r="E761" s="19">
        <v>8</v>
      </c>
      <c r="F761" s="277"/>
      <c r="G761" s="4"/>
      <c r="H761" s="47">
        <v>0.33333333333333331</v>
      </c>
      <c r="I761" s="172">
        <v>0.16666666666666666</v>
      </c>
      <c r="J761" s="319">
        <v>7</v>
      </c>
      <c r="K761" s="277"/>
      <c r="L761" s="4"/>
      <c r="M761" s="47">
        <v>0.38541666666666669</v>
      </c>
      <c r="N761" s="47">
        <v>0.25</v>
      </c>
      <c r="O761" s="319">
        <v>7.75</v>
      </c>
      <c r="P761" s="277"/>
      <c r="Q761" s="4"/>
      <c r="R761" s="47">
        <v>0.36458333333333331</v>
      </c>
      <c r="S761" s="47">
        <v>0.25</v>
      </c>
      <c r="T761" s="19">
        <v>8</v>
      </c>
      <c r="U761" s="277"/>
      <c r="V761" s="4"/>
      <c r="W761" s="47">
        <v>0.375</v>
      </c>
      <c r="X761" s="47">
        <v>0.25</v>
      </c>
      <c r="Y761" s="19">
        <v>8</v>
      </c>
      <c r="Z761" s="277"/>
      <c r="AA761" s="29">
        <f>(E760+J761+O761+T761+Y761)</f>
        <v>38.75</v>
      </c>
      <c r="AB761" s="298">
        <f t="shared" si="113"/>
        <v>0</v>
      </c>
      <c r="AC761" s="4"/>
      <c r="AD761" s="345"/>
      <c r="AE761" s="345"/>
      <c r="AF761" s="346"/>
      <c r="AG761" s="29">
        <f>AF761</f>
        <v>0</v>
      </c>
      <c r="AH761" s="4"/>
      <c r="AI761" s="255"/>
      <c r="AK761" s="193"/>
      <c r="AL761" s="193"/>
      <c r="AM761" s="193"/>
      <c r="AN761" s="193"/>
      <c r="AO761" s="193"/>
      <c r="AP761" s="193"/>
    </row>
    <row r="762" spans="2:42" s="180" customFormat="1">
      <c r="B762" s="418" t="s">
        <v>115</v>
      </c>
      <c r="C762" s="172">
        <v>0.375</v>
      </c>
      <c r="D762" s="172">
        <v>0.25</v>
      </c>
      <c r="E762" s="19">
        <v>8</v>
      </c>
      <c r="F762" s="277"/>
      <c r="G762" s="4"/>
      <c r="H762" s="47">
        <v>0.36458333333333331</v>
      </c>
      <c r="I762" s="172">
        <v>0.16666666666666666</v>
      </c>
      <c r="J762" s="19">
        <v>6.25</v>
      </c>
      <c r="K762" s="277"/>
      <c r="L762" s="4"/>
      <c r="M762" s="47">
        <v>0.34375</v>
      </c>
      <c r="N762" s="47">
        <v>0.25</v>
      </c>
      <c r="O762" s="319">
        <v>8</v>
      </c>
      <c r="P762" s="277"/>
      <c r="Q762" s="4"/>
      <c r="R762" s="47">
        <v>0.35416666666666669</v>
      </c>
      <c r="S762" s="47">
        <v>0.25</v>
      </c>
      <c r="T762" s="19">
        <v>8</v>
      </c>
      <c r="U762" s="277"/>
      <c r="V762" s="4"/>
      <c r="W762" s="47">
        <v>0.35416666666666669</v>
      </c>
      <c r="X762" s="47">
        <v>0.25</v>
      </c>
      <c r="Y762" s="19">
        <v>8</v>
      </c>
      <c r="Z762" s="277"/>
      <c r="AA762" s="29">
        <f t="shared" ref="AA762:AA778" si="114">(E762+J762+O762+T762+Y762)</f>
        <v>38.25</v>
      </c>
      <c r="AB762" s="298">
        <f t="shared" si="113"/>
        <v>0</v>
      </c>
      <c r="AC762" s="4"/>
      <c r="AD762" s="345"/>
      <c r="AE762" s="345"/>
      <c r="AF762" s="346"/>
      <c r="AG762" s="29">
        <f t="shared" ref="AG762:AG779" si="115">AF762</f>
        <v>0</v>
      </c>
      <c r="AH762" s="4"/>
      <c r="AI762" s="255"/>
      <c r="AK762" s="193"/>
      <c r="AL762" s="193"/>
      <c r="AM762" s="193"/>
      <c r="AN762" s="193"/>
      <c r="AO762" s="193"/>
      <c r="AP762" s="193"/>
    </row>
    <row r="763" spans="2:42" s="180" customFormat="1">
      <c r="B763" s="418" t="s">
        <v>46</v>
      </c>
      <c r="C763" s="172">
        <v>0.36458333333333331</v>
      </c>
      <c r="D763" s="172">
        <v>0.25</v>
      </c>
      <c r="E763" s="19">
        <v>8</v>
      </c>
      <c r="F763" s="277"/>
      <c r="G763" s="4"/>
      <c r="H763" s="47">
        <v>0.25</v>
      </c>
      <c r="I763" s="172">
        <v>0.16666666666666666</v>
      </c>
      <c r="J763" s="319">
        <v>7</v>
      </c>
      <c r="K763" s="277">
        <v>2</v>
      </c>
      <c r="L763" s="4"/>
      <c r="M763" s="47">
        <v>0.36458333333333331</v>
      </c>
      <c r="N763" s="47">
        <v>0.25</v>
      </c>
      <c r="O763" s="319">
        <v>8</v>
      </c>
      <c r="P763" s="277"/>
      <c r="Q763" s="4"/>
      <c r="R763" s="47">
        <v>0.35416666666666669</v>
      </c>
      <c r="S763" s="47">
        <v>0.25</v>
      </c>
      <c r="T763" s="19">
        <v>8</v>
      </c>
      <c r="U763" s="277"/>
      <c r="V763" s="4"/>
      <c r="W763" s="47">
        <v>0.38541666666666669</v>
      </c>
      <c r="X763" s="47">
        <v>0.25</v>
      </c>
      <c r="Y763" s="19">
        <v>7.75</v>
      </c>
      <c r="Z763" s="277"/>
      <c r="AA763" s="29">
        <f t="shared" si="114"/>
        <v>38.75</v>
      </c>
      <c r="AB763" s="298">
        <f t="shared" ref="AB763:AB781" si="116">Z763+U763+P763+K763+F763</f>
        <v>2</v>
      </c>
      <c r="AC763" s="4"/>
      <c r="AD763" s="345"/>
      <c r="AE763" s="345"/>
      <c r="AF763" s="346"/>
      <c r="AG763" s="29">
        <f t="shared" si="115"/>
        <v>0</v>
      </c>
      <c r="AH763" s="4"/>
      <c r="AI763" s="255"/>
      <c r="AK763" s="193"/>
      <c r="AL763" s="193"/>
      <c r="AM763" s="193"/>
      <c r="AN763" s="193"/>
      <c r="AO763" s="193"/>
      <c r="AP763" s="193"/>
    </row>
    <row r="764" spans="2:42" s="180" customFormat="1">
      <c r="B764" s="419" t="s">
        <v>43</v>
      </c>
      <c r="C764" s="172">
        <v>0.33333333333333331</v>
      </c>
      <c r="D764" s="172">
        <v>0.25</v>
      </c>
      <c r="E764" s="19">
        <v>8</v>
      </c>
      <c r="F764" s="277"/>
      <c r="G764" s="4"/>
      <c r="H764" s="47">
        <v>0.375</v>
      </c>
      <c r="I764" s="172">
        <v>0.16666666666666666</v>
      </c>
      <c r="J764" s="19">
        <v>7</v>
      </c>
      <c r="K764" s="277"/>
      <c r="L764" s="4"/>
      <c r="M764" s="47">
        <v>0.33333333333333331</v>
      </c>
      <c r="N764" s="47">
        <v>0.25</v>
      </c>
      <c r="O764" s="319">
        <v>8</v>
      </c>
      <c r="P764" s="277"/>
      <c r="Q764" s="4"/>
      <c r="R764" s="47">
        <v>0.35416666666666669</v>
      </c>
      <c r="S764" s="47">
        <v>0.25</v>
      </c>
      <c r="T764" s="19">
        <v>8</v>
      </c>
      <c r="U764" s="277"/>
      <c r="V764" s="4"/>
      <c r="W764" s="47">
        <v>0.36458333333333331</v>
      </c>
      <c r="X764" s="47">
        <v>0.25</v>
      </c>
      <c r="Y764" s="19">
        <v>8</v>
      </c>
      <c r="Z764" s="277"/>
      <c r="AA764" s="29">
        <f t="shared" si="114"/>
        <v>39</v>
      </c>
      <c r="AB764" s="298">
        <f t="shared" si="116"/>
        <v>0</v>
      </c>
      <c r="AC764" s="4"/>
      <c r="AD764" s="345"/>
      <c r="AE764" s="345"/>
      <c r="AF764" s="346"/>
      <c r="AG764" s="29">
        <f t="shared" si="115"/>
        <v>0</v>
      </c>
      <c r="AH764" s="4"/>
      <c r="AI764" s="255"/>
      <c r="AK764" s="193"/>
      <c r="AL764" s="193"/>
      <c r="AM764" s="193"/>
      <c r="AN764" s="193"/>
      <c r="AO764" s="193"/>
      <c r="AP764" s="193"/>
    </row>
    <row r="765" spans="2:42" s="180" customFormat="1">
      <c r="B765" s="419" t="s">
        <v>113</v>
      </c>
      <c r="C765" s="172">
        <v>0.36458333333333331</v>
      </c>
      <c r="D765" s="172">
        <v>0.25</v>
      </c>
      <c r="E765" s="19">
        <v>8</v>
      </c>
      <c r="F765" s="277"/>
      <c r="G765" s="4"/>
      <c r="H765" s="47">
        <v>0.38541666666666669</v>
      </c>
      <c r="I765" s="172">
        <v>0.16666666666666666</v>
      </c>
      <c r="J765" s="19">
        <v>5.75</v>
      </c>
      <c r="K765" s="277"/>
      <c r="L765" s="4"/>
      <c r="M765" s="47">
        <v>0.36458333333333331</v>
      </c>
      <c r="N765" s="47">
        <v>0.25</v>
      </c>
      <c r="O765" s="319">
        <v>8</v>
      </c>
      <c r="P765" s="277"/>
      <c r="Q765" s="4"/>
      <c r="R765" s="47">
        <v>0.375</v>
      </c>
      <c r="S765" s="47">
        <v>0.25</v>
      </c>
      <c r="T765" s="19">
        <v>8</v>
      </c>
      <c r="U765" s="277"/>
      <c r="V765" s="4"/>
      <c r="W765" s="47">
        <v>0.38541666666666669</v>
      </c>
      <c r="X765" s="47">
        <v>0.25</v>
      </c>
      <c r="Y765" s="19">
        <v>7.75</v>
      </c>
      <c r="Z765" s="277"/>
      <c r="AA765" s="29">
        <f t="shared" si="114"/>
        <v>37.5</v>
      </c>
      <c r="AB765" s="298">
        <f t="shared" si="116"/>
        <v>0</v>
      </c>
      <c r="AC765" s="4"/>
      <c r="AD765" s="345"/>
      <c r="AE765" s="345"/>
      <c r="AF765" s="346"/>
      <c r="AG765" s="29">
        <f t="shared" si="115"/>
        <v>0</v>
      </c>
      <c r="AH765" s="4"/>
      <c r="AI765" s="255"/>
      <c r="AK765" s="193"/>
      <c r="AL765" s="193"/>
      <c r="AM765" s="193"/>
      <c r="AN765" s="193"/>
      <c r="AO765" s="193"/>
      <c r="AP765" s="193"/>
    </row>
    <row r="766" spans="2:42" s="180" customFormat="1">
      <c r="B766" s="418" t="s">
        <v>108</v>
      </c>
      <c r="C766" s="172">
        <v>0.375</v>
      </c>
      <c r="D766" s="172">
        <v>0.25</v>
      </c>
      <c r="E766" s="19">
        <v>8</v>
      </c>
      <c r="F766" s="277"/>
      <c r="G766" s="4"/>
      <c r="H766" s="47">
        <v>0.36458333333333331</v>
      </c>
      <c r="I766" s="172">
        <v>0.16666666666666666</v>
      </c>
      <c r="J766" s="19">
        <v>6.25</v>
      </c>
      <c r="K766" s="277"/>
      <c r="L766" s="4"/>
      <c r="M766" s="47">
        <v>0.375</v>
      </c>
      <c r="N766" s="47">
        <v>0.25</v>
      </c>
      <c r="O766" s="319">
        <v>8</v>
      </c>
      <c r="P766" s="277"/>
      <c r="Q766" s="4"/>
      <c r="R766" s="47">
        <v>0.35416666666666669</v>
      </c>
      <c r="S766" s="47">
        <v>0.25</v>
      </c>
      <c r="T766" s="19">
        <v>8</v>
      </c>
      <c r="U766" s="277"/>
      <c r="V766" s="4"/>
      <c r="W766" s="47">
        <v>0.36458333333333331</v>
      </c>
      <c r="X766" s="47">
        <v>0.25</v>
      </c>
      <c r="Y766" s="19">
        <v>8</v>
      </c>
      <c r="Z766" s="277"/>
      <c r="AA766" s="29">
        <f t="shared" si="114"/>
        <v>38.25</v>
      </c>
      <c r="AB766" s="298">
        <f t="shared" si="116"/>
        <v>0</v>
      </c>
      <c r="AC766" s="4"/>
      <c r="AD766" s="345"/>
      <c r="AE766" s="345"/>
      <c r="AF766" s="346"/>
      <c r="AG766" s="29">
        <f t="shared" si="115"/>
        <v>0</v>
      </c>
      <c r="AH766" s="4"/>
      <c r="AI766" s="255"/>
      <c r="AK766" s="193"/>
      <c r="AL766" s="193"/>
      <c r="AM766" s="193"/>
      <c r="AN766" s="193"/>
      <c r="AO766" s="193"/>
      <c r="AP766" s="193"/>
    </row>
    <row r="767" spans="2:42" s="180" customFormat="1">
      <c r="B767" s="418" t="s">
        <v>44</v>
      </c>
      <c r="C767" s="172">
        <v>0.38541666666666669</v>
      </c>
      <c r="D767" s="172">
        <v>0.25</v>
      </c>
      <c r="E767" s="19">
        <v>7.75</v>
      </c>
      <c r="F767" s="277"/>
      <c r="G767" s="4"/>
      <c r="H767" s="47">
        <v>0.375</v>
      </c>
      <c r="I767" s="172">
        <v>0.16666666666666666</v>
      </c>
      <c r="J767" s="19">
        <v>6</v>
      </c>
      <c r="K767" s="277"/>
      <c r="L767" s="4"/>
      <c r="M767" s="47">
        <v>0.375</v>
      </c>
      <c r="N767" s="47">
        <v>0.25</v>
      </c>
      <c r="O767" s="319">
        <v>8</v>
      </c>
      <c r="P767" s="277"/>
      <c r="Q767" s="4"/>
      <c r="R767" s="47">
        <v>0</v>
      </c>
      <c r="S767" s="47">
        <v>0</v>
      </c>
      <c r="T767" s="19">
        <v>0</v>
      </c>
      <c r="U767" s="277"/>
      <c r="V767" s="4"/>
      <c r="W767" s="47">
        <v>0.39583333333333331</v>
      </c>
      <c r="X767" s="47">
        <v>0.25</v>
      </c>
      <c r="Y767" s="19">
        <v>7.5</v>
      </c>
      <c r="Z767" s="277"/>
      <c r="AA767" s="29">
        <f t="shared" si="114"/>
        <v>29.25</v>
      </c>
      <c r="AB767" s="298">
        <f t="shared" si="116"/>
        <v>0</v>
      </c>
      <c r="AC767" s="4"/>
      <c r="AD767" s="345"/>
      <c r="AE767" s="345"/>
      <c r="AF767" s="346"/>
      <c r="AG767" s="29">
        <f t="shared" si="115"/>
        <v>0</v>
      </c>
      <c r="AH767" s="4"/>
      <c r="AI767" s="255"/>
      <c r="AK767" s="193"/>
      <c r="AL767" s="193"/>
      <c r="AM767" s="193"/>
      <c r="AN767" s="193"/>
      <c r="AO767" s="193"/>
      <c r="AP767" s="193"/>
    </row>
    <row r="768" spans="2:42" s="180" customFormat="1">
      <c r="B768" s="418" t="s">
        <v>45</v>
      </c>
      <c r="C768" s="172">
        <v>0.36458333333333331</v>
      </c>
      <c r="D768" s="172">
        <v>0.25</v>
      </c>
      <c r="E768" s="19">
        <v>8</v>
      </c>
      <c r="F768" s="277"/>
      <c r="G768" s="4"/>
      <c r="H768" s="47">
        <v>0.22916666666666666</v>
      </c>
      <c r="I768" s="172">
        <v>0.16666666666666666</v>
      </c>
      <c r="J768" s="19">
        <v>7</v>
      </c>
      <c r="K768" s="277">
        <v>2.5</v>
      </c>
      <c r="L768" s="4"/>
      <c r="M768" s="47">
        <v>0.375</v>
      </c>
      <c r="N768" s="47">
        <v>0.25</v>
      </c>
      <c r="O768" s="319">
        <v>8</v>
      </c>
      <c r="P768" s="277"/>
      <c r="Q768" s="4"/>
      <c r="R768" s="47">
        <v>0.375</v>
      </c>
      <c r="S768" s="47">
        <v>0.25</v>
      </c>
      <c r="T768" s="19">
        <v>8</v>
      </c>
      <c r="U768" s="277"/>
      <c r="V768" s="4"/>
      <c r="W768" s="47">
        <v>0.38541666666666669</v>
      </c>
      <c r="X768" s="47">
        <v>0.25</v>
      </c>
      <c r="Y768" s="19">
        <v>7.75</v>
      </c>
      <c r="Z768" s="277"/>
      <c r="AA768" s="29">
        <f t="shared" si="114"/>
        <v>38.75</v>
      </c>
      <c r="AB768" s="298">
        <f t="shared" si="116"/>
        <v>2.5</v>
      </c>
      <c r="AC768" s="4"/>
      <c r="AD768" s="345"/>
      <c r="AE768" s="345"/>
      <c r="AF768" s="346"/>
      <c r="AG768" s="29">
        <f t="shared" si="115"/>
        <v>0</v>
      </c>
      <c r="AH768" s="4"/>
      <c r="AI768" s="255"/>
      <c r="AK768" s="193"/>
      <c r="AL768" s="193"/>
      <c r="AM768" s="193"/>
      <c r="AN768" s="193"/>
      <c r="AO768" s="193"/>
      <c r="AP768" s="193"/>
    </row>
    <row r="769" spans="2:42" s="180" customFormat="1">
      <c r="B769" s="418" t="s">
        <v>112</v>
      </c>
      <c r="C769" s="172">
        <v>0.38541666666666669</v>
      </c>
      <c r="D769" s="172">
        <v>0.25</v>
      </c>
      <c r="E769" s="19">
        <v>7.75</v>
      </c>
      <c r="F769" s="277"/>
      <c r="G769" s="4"/>
      <c r="H769" s="47">
        <v>0.375</v>
      </c>
      <c r="I769" s="172">
        <v>0.16666666666666666</v>
      </c>
      <c r="J769" s="19">
        <v>6</v>
      </c>
      <c r="K769" s="277"/>
      <c r="L769" s="4"/>
      <c r="M769" s="47">
        <v>0.375</v>
      </c>
      <c r="N769" s="47">
        <v>0.25</v>
      </c>
      <c r="O769" s="19">
        <v>8</v>
      </c>
      <c r="P769" s="277"/>
      <c r="Q769" s="4"/>
      <c r="R769" s="47">
        <v>0.38541666666666669</v>
      </c>
      <c r="S769" s="47">
        <v>0.22916666666666666</v>
      </c>
      <c r="T769" s="19">
        <v>7.25</v>
      </c>
      <c r="U769" s="277"/>
      <c r="V769" s="4"/>
      <c r="W769" s="47">
        <v>0.38541666666666669</v>
      </c>
      <c r="X769" s="47">
        <v>0.20833333333333334</v>
      </c>
      <c r="Y769" s="19">
        <v>6.75</v>
      </c>
      <c r="Z769" s="277"/>
      <c r="AA769" s="29">
        <f t="shared" si="114"/>
        <v>35.75</v>
      </c>
      <c r="AB769" s="298">
        <f t="shared" si="116"/>
        <v>0</v>
      </c>
      <c r="AC769" s="4"/>
      <c r="AD769" s="410"/>
      <c r="AE769" s="4"/>
      <c r="AF769" s="19"/>
      <c r="AG769" s="29">
        <f t="shared" si="115"/>
        <v>0</v>
      </c>
      <c r="AH769" s="4"/>
      <c r="AI769" s="255"/>
      <c r="AK769" s="193"/>
      <c r="AL769" s="193"/>
      <c r="AM769" s="193"/>
      <c r="AN769" s="193"/>
      <c r="AO769" s="193"/>
      <c r="AP769" s="193"/>
    </row>
    <row r="770" spans="2:42" s="180" customFormat="1">
      <c r="B770" s="418" t="s">
        <v>96</v>
      </c>
      <c r="C770" s="172">
        <v>0.36458333333333331</v>
      </c>
      <c r="D770" s="172">
        <v>0.25</v>
      </c>
      <c r="E770" s="19">
        <v>8</v>
      </c>
      <c r="F770" s="277"/>
      <c r="G770" s="4"/>
      <c r="H770" s="47">
        <v>0.32291666666666669</v>
      </c>
      <c r="I770" s="172">
        <v>0.16666666666666666</v>
      </c>
      <c r="J770" s="19">
        <v>7.25</v>
      </c>
      <c r="K770" s="277"/>
      <c r="L770" s="4"/>
      <c r="M770" s="47">
        <v>0.34375</v>
      </c>
      <c r="N770" s="47">
        <v>0.25</v>
      </c>
      <c r="O770" s="19">
        <v>8</v>
      </c>
      <c r="P770" s="277"/>
      <c r="Q770" s="4"/>
      <c r="R770" s="47">
        <v>0.35416666666666669</v>
      </c>
      <c r="S770" s="47">
        <v>0.25</v>
      </c>
      <c r="T770" s="19">
        <v>8</v>
      </c>
      <c r="U770" s="277"/>
      <c r="V770" s="4"/>
      <c r="W770" s="47">
        <v>0.40625</v>
      </c>
      <c r="X770" s="47">
        <v>0.25</v>
      </c>
      <c r="Y770" s="19">
        <v>7.25</v>
      </c>
      <c r="Z770" s="277"/>
      <c r="AA770" s="29">
        <f t="shared" si="114"/>
        <v>38.5</v>
      </c>
      <c r="AB770" s="298">
        <f t="shared" si="116"/>
        <v>0</v>
      </c>
      <c r="AC770" s="4"/>
      <c r="AD770" s="4"/>
      <c r="AE770" s="4"/>
      <c r="AF770" s="19"/>
      <c r="AG770" s="29">
        <f t="shared" si="115"/>
        <v>0</v>
      </c>
      <c r="AH770" s="4"/>
      <c r="AI770" s="255"/>
      <c r="AK770" s="193"/>
      <c r="AL770" s="193"/>
      <c r="AM770" s="193"/>
      <c r="AN770" s="193"/>
      <c r="AO770" s="193"/>
      <c r="AP770" s="193"/>
    </row>
    <row r="771" spans="2:42" s="180" customFormat="1">
      <c r="B771" s="418" t="s">
        <v>42</v>
      </c>
      <c r="C771" s="172">
        <v>0.36458333333333331</v>
      </c>
      <c r="D771" s="172">
        <v>0.25</v>
      </c>
      <c r="E771" s="19">
        <v>8</v>
      </c>
      <c r="F771" s="277"/>
      <c r="G771" s="4"/>
      <c r="H771" s="47">
        <v>0.22916666666666666</v>
      </c>
      <c r="I771" s="172">
        <v>0.16666666666666666</v>
      </c>
      <c r="J771" s="19">
        <v>7</v>
      </c>
      <c r="K771" s="277">
        <v>2.5</v>
      </c>
      <c r="L771" s="4"/>
      <c r="M771" s="47">
        <v>0.35416666666666669</v>
      </c>
      <c r="N771" s="47">
        <v>0.25</v>
      </c>
      <c r="O771" s="19">
        <v>8</v>
      </c>
      <c r="P771" s="277"/>
      <c r="Q771" s="4"/>
      <c r="R771" s="47">
        <v>0.35416666666666669</v>
      </c>
      <c r="S771" s="47">
        <v>0.25</v>
      </c>
      <c r="T771" s="19">
        <v>8</v>
      </c>
      <c r="U771" s="277"/>
      <c r="V771" s="4"/>
      <c r="W771" s="47">
        <v>0.35416666666666669</v>
      </c>
      <c r="X771" s="47">
        <v>0.25</v>
      </c>
      <c r="Y771" s="19">
        <v>8</v>
      </c>
      <c r="Z771" s="277"/>
      <c r="AA771" s="29">
        <f t="shared" si="114"/>
        <v>39</v>
      </c>
      <c r="AB771" s="298">
        <f t="shared" si="116"/>
        <v>2.5</v>
      </c>
      <c r="AC771" s="4"/>
      <c r="AD771" s="4"/>
      <c r="AE771" s="4"/>
      <c r="AF771" s="19"/>
      <c r="AG771" s="29">
        <f t="shared" si="115"/>
        <v>0</v>
      </c>
      <c r="AH771" s="4"/>
      <c r="AI771" s="255"/>
      <c r="AK771" s="193"/>
      <c r="AL771" s="193"/>
      <c r="AM771" s="193"/>
      <c r="AN771" s="193"/>
      <c r="AO771" s="193"/>
      <c r="AP771" s="193"/>
    </row>
    <row r="772" spans="2:42" s="180" customFormat="1">
      <c r="B772" s="13" t="s">
        <v>54</v>
      </c>
      <c r="C772" s="172" t="s">
        <v>29</v>
      </c>
      <c r="D772" s="172" t="s">
        <v>29</v>
      </c>
      <c r="E772" s="19"/>
      <c r="F772" s="277"/>
      <c r="G772" s="4"/>
      <c r="H772" s="4"/>
      <c r="I772" s="4"/>
      <c r="J772" s="19"/>
      <c r="K772" s="277"/>
      <c r="L772" s="4"/>
      <c r="M772" s="4"/>
      <c r="N772" s="47"/>
      <c r="O772" s="319"/>
      <c r="P772" s="277"/>
      <c r="Q772" s="4"/>
      <c r="R772" s="4"/>
      <c r="S772" s="4"/>
      <c r="T772" s="19"/>
      <c r="U772" s="277"/>
      <c r="V772" s="4"/>
      <c r="W772" s="4"/>
      <c r="X772" s="4"/>
      <c r="Y772" s="19"/>
      <c r="Z772" s="277"/>
      <c r="AA772" s="29">
        <f t="shared" si="114"/>
        <v>0</v>
      </c>
      <c r="AB772" s="298">
        <f t="shared" si="116"/>
        <v>0</v>
      </c>
      <c r="AC772" s="4"/>
      <c r="AD772" s="4"/>
      <c r="AE772" s="4"/>
      <c r="AF772" s="19"/>
      <c r="AG772" s="29">
        <f t="shared" si="115"/>
        <v>0</v>
      </c>
      <c r="AH772" s="4"/>
      <c r="AI772" s="255"/>
      <c r="AK772" s="193"/>
      <c r="AL772" s="193"/>
      <c r="AM772" s="193"/>
      <c r="AN772" s="193"/>
      <c r="AO772" s="193"/>
      <c r="AP772" s="193"/>
    </row>
    <row r="773" spans="2:42" s="180" customFormat="1">
      <c r="B773" s="13" t="s">
        <v>55</v>
      </c>
      <c r="C773" s="172" t="s">
        <v>29</v>
      </c>
      <c r="D773" s="172" t="s">
        <v>29</v>
      </c>
      <c r="E773" s="19"/>
      <c r="F773" s="277"/>
      <c r="G773" s="4"/>
      <c r="H773" s="4"/>
      <c r="I773" s="4"/>
      <c r="J773" s="19"/>
      <c r="K773" s="277"/>
      <c r="L773" s="4"/>
      <c r="M773" s="4"/>
      <c r="N773" s="47"/>
      <c r="O773" s="319"/>
      <c r="P773" s="277"/>
      <c r="Q773" s="4"/>
      <c r="R773" s="4"/>
      <c r="S773" s="4"/>
      <c r="T773" s="19"/>
      <c r="U773" s="277"/>
      <c r="V773" s="4"/>
      <c r="W773" s="4"/>
      <c r="X773" s="4"/>
      <c r="Y773" s="19"/>
      <c r="Z773" s="277"/>
      <c r="AA773" s="29">
        <f t="shared" si="114"/>
        <v>0</v>
      </c>
      <c r="AB773" s="298">
        <f t="shared" si="116"/>
        <v>0</v>
      </c>
      <c r="AC773" s="4"/>
      <c r="AD773" s="4"/>
      <c r="AE773" s="4"/>
      <c r="AF773" s="19"/>
      <c r="AG773" s="29">
        <f t="shared" si="115"/>
        <v>0</v>
      </c>
      <c r="AH773" s="4"/>
      <c r="AI773" s="255"/>
      <c r="AK773" s="193"/>
      <c r="AL773" s="193"/>
      <c r="AM773" s="193"/>
      <c r="AN773" s="193"/>
      <c r="AO773" s="193"/>
      <c r="AP773" s="193"/>
    </row>
    <row r="774" spans="2:42" s="180" customFormat="1">
      <c r="B774" s="166" t="s">
        <v>48</v>
      </c>
      <c r="C774" s="16" t="s">
        <v>29</v>
      </c>
      <c r="D774" s="16" t="s">
        <v>29</v>
      </c>
      <c r="E774" s="19">
        <v>8</v>
      </c>
      <c r="F774" s="277"/>
      <c r="G774" s="4"/>
      <c r="H774" s="16" t="s">
        <v>29</v>
      </c>
      <c r="I774" s="16" t="s">
        <v>29</v>
      </c>
      <c r="J774" s="19">
        <v>8</v>
      </c>
      <c r="K774" s="277"/>
      <c r="L774" s="4"/>
      <c r="M774" s="16" t="s">
        <v>29</v>
      </c>
      <c r="N774" s="16" t="s">
        <v>29</v>
      </c>
      <c r="O774" s="19">
        <v>8</v>
      </c>
      <c r="P774" s="277"/>
      <c r="Q774" s="4"/>
      <c r="R774" s="16" t="s">
        <v>29</v>
      </c>
      <c r="S774" s="16" t="s">
        <v>29</v>
      </c>
      <c r="T774" s="19">
        <v>8</v>
      </c>
      <c r="U774" s="277"/>
      <c r="V774" s="4"/>
      <c r="W774" s="16" t="s">
        <v>29</v>
      </c>
      <c r="X774" s="16" t="s">
        <v>29</v>
      </c>
      <c r="Y774" s="19">
        <v>8</v>
      </c>
      <c r="Z774" s="277"/>
      <c r="AA774" s="29">
        <f t="shared" si="114"/>
        <v>40</v>
      </c>
      <c r="AB774" s="298">
        <f t="shared" si="116"/>
        <v>0</v>
      </c>
      <c r="AC774" s="4"/>
      <c r="AD774" s="4"/>
      <c r="AE774" s="4"/>
      <c r="AF774" s="19"/>
      <c r="AG774" s="29">
        <f t="shared" si="115"/>
        <v>0</v>
      </c>
      <c r="AH774" s="4"/>
      <c r="AI774" s="255"/>
      <c r="AK774" s="193"/>
      <c r="AL774" s="193"/>
      <c r="AM774" s="193"/>
      <c r="AN774" s="193"/>
      <c r="AO774" s="193"/>
      <c r="AP774" s="193"/>
    </row>
    <row r="775" spans="2:42" s="180" customFormat="1">
      <c r="B775" s="166" t="s">
        <v>49</v>
      </c>
      <c r="C775" s="47" t="s">
        <v>29</v>
      </c>
      <c r="D775" s="47" t="s">
        <v>29</v>
      </c>
      <c r="E775" s="19">
        <v>8</v>
      </c>
      <c r="F775" s="277"/>
      <c r="G775" s="4"/>
      <c r="H775" s="47" t="s">
        <v>29</v>
      </c>
      <c r="I775" s="47" t="s">
        <v>29</v>
      </c>
      <c r="J775" s="19">
        <v>8</v>
      </c>
      <c r="K775" s="277"/>
      <c r="L775" s="4"/>
      <c r="M775" s="47" t="s">
        <v>29</v>
      </c>
      <c r="N775" s="47" t="s">
        <v>29</v>
      </c>
      <c r="O775" s="19">
        <v>8</v>
      </c>
      <c r="P775" s="277"/>
      <c r="Q775" s="4"/>
      <c r="R775" s="47" t="s">
        <v>29</v>
      </c>
      <c r="S775" s="47" t="s">
        <v>29</v>
      </c>
      <c r="T775" s="19">
        <v>8</v>
      </c>
      <c r="U775" s="277"/>
      <c r="V775" s="4"/>
      <c r="W775" s="47" t="s">
        <v>29</v>
      </c>
      <c r="X775" s="47" t="s">
        <v>29</v>
      </c>
      <c r="Y775" s="19">
        <v>8</v>
      </c>
      <c r="Z775" s="277"/>
      <c r="AA775" s="29">
        <f t="shared" si="114"/>
        <v>40</v>
      </c>
      <c r="AB775" s="298">
        <f t="shared" si="116"/>
        <v>0</v>
      </c>
      <c r="AC775" s="4"/>
      <c r="AD775" s="4"/>
      <c r="AE775" s="4"/>
      <c r="AF775" s="19"/>
      <c r="AG775" s="29">
        <f t="shared" si="115"/>
        <v>0</v>
      </c>
      <c r="AH775" s="4"/>
      <c r="AI775" s="255"/>
      <c r="AK775" s="193"/>
      <c r="AL775" s="193"/>
      <c r="AM775" s="193"/>
      <c r="AN775" s="193"/>
      <c r="AO775" s="193"/>
      <c r="AP775" s="193"/>
    </row>
    <row r="776" spans="2:42" s="180" customFormat="1">
      <c r="B776" s="166" t="s">
        <v>107</v>
      </c>
      <c r="C776" s="47" t="s">
        <v>29</v>
      </c>
      <c r="D776" s="47" t="s">
        <v>29</v>
      </c>
      <c r="E776" s="19">
        <v>8</v>
      </c>
      <c r="F776" s="277"/>
      <c r="G776" s="4"/>
      <c r="H776" s="47" t="s">
        <v>29</v>
      </c>
      <c r="I776" s="47" t="s">
        <v>29</v>
      </c>
      <c r="J776" s="19">
        <v>8</v>
      </c>
      <c r="K776" s="277"/>
      <c r="L776" s="4"/>
      <c r="M776" s="47" t="s">
        <v>29</v>
      </c>
      <c r="N776" s="47" t="s">
        <v>29</v>
      </c>
      <c r="O776" s="19">
        <v>8</v>
      </c>
      <c r="P776" s="277"/>
      <c r="Q776" s="4"/>
      <c r="R776" s="47" t="s">
        <v>29</v>
      </c>
      <c r="S776" s="47" t="s">
        <v>29</v>
      </c>
      <c r="T776" s="19">
        <v>8</v>
      </c>
      <c r="U776" s="277"/>
      <c r="V776" s="4"/>
      <c r="W776" s="47" t="s">
        <v>29</v>
      </c>
      <c r="X776" s="47" t="s">
        <v>29</v>
      </c>
      <c r="Y776" s="19">
        <v>8</v>
      </c>
      <c r="Z776" s="277"/>
      <c r="AA776" s="29">
        <f t="shared" si="114"/>
        <v>40</v>
      </c>
      <c r="AB776" s="298">
        <f t="shared" si="116"/>
        <v>0</v>
      </c>
      <c r="AC776" s="4"/>
      <c r="AD776" s="4"/>
      <c r="AE776" s="4"/>
      <c r="AF776" s="19"/>
      <c r="AG776" s="29">
        <f t="shared" si="115"/>
        <v>0</v>
      </c>
      <c r="AH776" s="4"/>
      <c r="AI776" s="255"/>
      <c r="AK776" s="193"/>
      <c r="AL776" s="193"/>
      <c r="AM776" s="193"/>
      <c r="AN776" s="193"/>
      <c r="AO776" s="193"/>
      <c r="AP776" s="193"/>
    </row>
    <row r="777" spans="2:42" s="180" customFormat="1">
      <c r="B777" s="166" t="s">
        <v>59</v>
      </c>
      <c r="C777" s="47" t="s">
        <v>29</v>
      </c>
      <c r="D777" s="16" t="s">
        <v>29</v>
      </c>
      <c r="E777" s="19">
        <v>8</v>
      </c>
      <c r="F777" s="277"/>
      <c r="G777" s="4"/>
      <c r="H777" s="47" t="s">
        <v>29</v>
      </c>
      <c r="I777" s="16" t="s">
        <v>29</v>
      </c>
      <c r="J777" s="19">
        <v>8</v>
      </c>
      <c r="K777" s="277"/>
      <c r="L777" s="4"/>
      <c r="M777" s="47" t="s">
        <v>29</v>
      </c>
      <c r="N777" s="16" t="s">
        <v>29</v>
      </c>
      <c r="O777" s="19">
        <v>8</v>
      </c>
      <c r="P777" s="277"/>
      <c r="Q777" s="4"/>
      <c r="R777" s="47" t="s">
        <v>29</v>
      </c>
      <c r="S777" s="16" t="s">
        <v>29</v>
      </c>
      <c r="T777" s="19">
        <v>8</v>
      </c>
      <c r="U777" s="277"/>
      <c r="V777" s="4"/>
      <c r="W777" s="47" t="s">
        <v>29</v>
      </c>
      <c r="X777" s="16" t="s">
        <v>29</v>
      </c>
      <c r="Y777" s="19">
        <v>8</v>
      </c>
      <c r="Z777" s="277"/>
      <c r="AA777" s="29">
        <f t="shared" si="114"/>
        <v>40</v>
      </c>
      <c r="AB777" s="298">
        <f t="shared" si="116"/>
        <v>0</v>
      </c>
      <c r="AC777" s="4"/>
      <c r="AD777" s="4"/>
      <c r="AE777" s="4"/>
      <c r="AF777" s="19"/>
      <c r="AG777" s="29">
        <f t="shared" si="115"/>
        <v>0</v>
      </c>
      <c r="AH777" s="4"/>
      <c r="AI777" s="255"/>
      <c r="AK777" s="407"/>
      <c r="AL777" s="193"/>
      <c r="AM777" s="193"/>
      <c r="AN777" s="193"/>
      <c r="AO777" s="193"/>
      <c r="AP777" s="193"/>
    </row>
    <row r="778" spans="2:42" s="180" customFormat="1">
      <c r="B778" s="166" t="s">
        <v>60</v>
      </c>
      <c r="C778" s="16" t="s">
        <v>29</v>
      </c>
      <c r="D778" s="16" t="s">
        <v>29</v>
      </c>
      <c r="E778" s="19">
        <v>8</v>
      </c>
      <c r="F778" s="277"/>
      <c r="G778" s="4"/>
      <c r="H778" s="16" t="s">
        <v>29</v>
      </c>
      <c r="I778" s="16" t="s">
        <v>29</v>
      </c>
      <c r="J778" s="19">
        <v>8</v>
      </c>
      <c r="K778" s="277"/>
      <c r="L778" s="4"/>
      <c r="M778" s="16" t="s">
        <v>29</v>
      </c>
      <c r="N778" s="16" t="s">
        <v>29</v>
      </c>
      <c r="O778" s="19">
        <v>8</v>
      </c>
      <c r="P778" s="277"/>
      <c r="Q778" s="4"/>
      <c r="R778" s="16" t="s">
        <v>29</v>
      </c>
      <c r="S778" s="16" t="s">
        <v>29</v>
      </c>
      <c r="T778" s="19">
        <v>8</v>
      </c>
      <c r="U778" s="277"/>
      <c r="V778" s="4"/>
      <c r="W778" s="16" t="s">
        <v>29</v>
      </c>
      <c r="X778" s="16" t="s">
        <v>29</v>
      </c>
      <c r="Y778" s="19">
        <v>8</v>
      </c>
      <c r="Z778" s="277"/>
      <c r="AA778" s="29">
        <f t="shared" si="114"/>
        <v>40</v>
      </c>
      <c r="AB778" s="298">
        <f t="shared" si="116"/>
        <v>0</v>
      </c>
      <c r="AC778" s="4"/>
      <c r="AD778" s="4"/>
      <c r="AE778" s="4"/>
      <c r="AF778" s="19"/>
      <c r="AG778" s="29">
        <f t="shared" si="115"/>
        <v>0</v>
      </c>
      <c r="AH778" s="4"/>
      <c r="AI778" s="255"/>
      <c r="AK778" s="193"/>
      <c r="AL778" s="193"/>
      <c r="AM778" s="193"/>
      <c r="AN778" s="193"/>
      <c r="AO778" s="193"/>
      <c r="AP778" s="193"/>
    </row>
    <row r="779" spans="2:42" s="180" customFormat="1">
      <c r="B779" s="63" t="s">
        <v>63</v>
      </c>
      <c r="C779" s="12" t="s">
        <v>29</v>
      </c>
      <c r="D779" s="12" t="s">
        <v>29</v>
      </c>
      <c r="E779" s="19">
        <v>8</v>
      </c>
      <c r="F779" s="277"/>
      <c r="G779" s="60"/>
      <c r="H779" s="12" t="s">
        <v>29</v>
      </c>
      <c r="I779" s="12" t="s">
        <v>29</v>
      </c>
      <c r="J779" s="19">
        <v>8</v>
      </c>
      <c r="K779" s="277"/>
      <c r="L779" s="60"/>
      <c r="M779" s="16" t="s">
        <v>29</v>
      </c>
      <c r="N779" s="16" t="s">
        <v>29</v>
      </c>
      <c r="O779" s="19">
        <v>8</v>
      </c>
      <c r="P779" s="277"/>
      <c r="Q779" s="60"/>
      <c r="R779" s="16" t="s">
        <v>29</v>
      </c>
      <c r="S779" s="16" t="s">
        <v>29</v>
      </c>
      <c r="T779" s="19">
        <v>8</v>
      </c>
      <c r="U779" s="277"/>
      <c r="V779" s="60"/>
      <c r="W779" s="16" t="s">
        <v>29</v>
      </c>
      <c r="X779" s="16" t="s">
        <v>29</v>
      </c>
      <c r="Y779" s="19">
        <v>8</v>
      </c>
      <c r="Z779" s="277"/>
      <c r="AA779" s="28">
        <f>SUM(E779+J779+O779+T779+Y779)</f>
        <v>40</v>
      </c>
      <c r="AB779" s="298">
        <f t="shared" si="116"/>
        <v>0</v>
      </c>
      <c r="AC779" s="4"/>
      <c r="AD779" s="56"/>
      <c r="AE779" s="56"/>
      <c r="AF779" s="19"/>
      <c r="AG779" s="29">
        <f t="shared" si="115"/>
        <v>0</v>
      </c>
      <c r="AH779" s="4"/>
      <c r="AI779" s="255"/>
      <c r="AK779" s="193"/>
      <c r="AL779" s="193"/>
      <c r="AM779" s="193"/>
      <c r="AN779" s="193"/>
      <c r="AO779" s="193"/>
      <c r="AP779" s="193"/>
    </row>
    <row r="780" spans="2:42" s="180" customFormat="1">
      <c r="B780" s="63" t="s">
        <v>62</v>
      </c>
      <c r="C780" s="16" t="s">
        <v>29</v>
      </c>
      <c r="D780" s="16" t="s">
        <v>29</v>
      </c>
      <c r="E780" s="19">
        <v>8</v>
      </c>
      <c r="F780" s="277"/>
      <c r="G780" s="60"/>
      <c r="H780" s="16" t="s">
        <v>29</v>
      </c>
      <c r="I780" s="16" t="s">
        <v>29</v>
      </c>
      <c r="J780" s="19">
        <v>8</v>
      </c>
      <c r="K780" s="277"/>
      <c r="L780" s="60"/>
      <c r="M780" s="16" t="s">
        <v>29</v>
      </c>
      <c r="N780" s="16" t="s">
        <v>29</v>
      </c>
      <c r="O780" s="19">
        <v>8</v>
      </c>
      <c r="P780" s="277"/>
      <c r="Q780" s="60"/>
      <c r="R780" s="16" t="s">
        <v>29</v>
      </c>
      <c r="S780" s="16" t="s">
        <v>29</v>
      </c>
      <c r="T780" s="19">
        <v>8</v>
      </c>
      <c r="U780" s="277"/>
      <c r="V780" s="60"/>
      <c r="W780" s="16" t="s">
        <v>29</v>
      </c>
      <c r="X780" s="16" t="s">
        <v>29</v>
      </c>
      <c r="Y780" s="19">
        <v>8</v>
      </c>
      <c r="Z780" s="277"/>
      <c r="AA780" s="28">
        <f>SUM(E780+J780+O780+T780+Y780)</f>
        <v>40</v>
      </c>
      <c r="AB780" s="298">
        <f t="shared" si="116"/>
        <v>0</v>
      </c>
      <c r="AC780" s="4"/>
      <c r="AD780" s="56"/>
      <c r="AE780" s="56"/>
      <c r="AF780" s="19"/>
      <c r="AG780" s="29">
        <v>0</v>
      </c>
      <c r="AH780" s="4"/>
      <c r="AI780" s="255"/>
      <c r="AK780" s="193"/>
      <c r="AL780" s="193"/>
      <c r="AM780" s="193"/>
      <c r="AN780" s="193"/>
      <c r="AO780" s="193"/>
      <c r="AP780" s="193"/>
    </row>
    <row r="781" spans="2:42" s="180" customFormat="1">
      <c r="B781" s="63"/>
      <c r="C781" s="4"/>
      <c r="D781" s="4"/>
      <c r="E781" s="19"/>
      <c r="F781" s="277"/>
      <c r="G781" s="60"/>
      <c r="H781" s="4"/>
      <c r="I781" s="4"/>
      <c r="J781" s="19"/>
      <c r="K781" s="277"/>
      <c r="L781" s="60"/>
      <c r="M781" s="47"/>
      <c r="N781" s="47"/>
      <c r="O781" s="19"/>
      <c r="P781" s="277"/>
      <c r="Q781" s="60"/>
      <c r="R781" s="4"/>
      <c r="S781" s="4"/>
      <c r="T781" s="19"/>
      <c r="U781" s="277"/>
      <c r="V781" s="60"/>
      <c r="W781" s="4"/>
      <c r="X781" s="4"/>
      <c r="Y781" s="19"/>
      <c r="Z781" s="277"/>
      <c r="AA781" s="28">
        <f>SUM(E781+J781+O781+T781+Y781)</f>
        <v>0</v>
      </c>
      <c r="AB781" s="298">
        <f t="shared" si="116"/>
        <v>0</v>
      </c>
      <c r="AC781" s="4"/>
      <c r="AD781" s="56"/>
      <c r="AE781" s="56"/>
      <c r="AF781" s="19"/>
      <c r="AG781" s="29">
        <f>AF781</f>
        <v>0</v>
      </c>
      <c r="AH781" s="4"/>
      <c r="AI781" s="255"/>
      <c r="AK781" s="193"/>
      <c r="AL781" s="193"/>
      <c r="AM781" s="193"/>
      <c r="AN781" s="193"/>
      <c r="AO781" s="193"/>
      <c r="AP781" s="193"/>
    </row>
    <row r="782" spans="2:42" s="180" customFormat="1">
      <c r="B782" s="64" t="s">
        <v>61</v>
      </c>
      <c r="C782" s="64"/>
      <c r="D782" s="64"/>
      <c r="E782" s="167">
        <f>SUM(E749:E781)</f>
        <v>238.25</v>
      </c>
      <c r="F782" s="277">
        <f>SUM(F749:F773)</f>
        <v>0</v>
      </c>
      <c r="G782" s="64"/>
      <c r="H782" s="64"/>
      <c r="I782" s="64"/>
      <c r="J782" s="64">
        <f>SUM(J749:J781)</f>
        <v>205</v>
      </c>
      <c r="K782" s="277">
        <f>SUM(K749:K773)</f>
        <v>12</v>
      </c>
      <c r="L782" s="64"/>
      <c r="M782" s="64"/>
      <c r="N782" s="64"/>
      <c r="O782" s="167">
        <f>SUM(O749:O781)</f>
        <v>223.75</v>
      </c>
      <c r="P782" s="277">
        <f>SUM(P749:P778)</f>
        <v>0</v>
      </c>
      <c r="Q782" s="64"/>
      <c r="R782" s="64"/>
      <c r="S782" s="64"/>
      <c r="T782" s="167">
        <f>SUM(T749:T781)</f>
        <v>196</v>
      </c>
      <c r="U782" s="277">
        <f>SUM(U749:U778)</f>
        <v>0</v>
      </c>
      <c r="V782" s="64"/>
      <c r="W782" s="64"/>
      <c r="X782" s="64"/>
      <c r="Y782" s="167">
        <f>SUM(Y749:Y781)</f>
        <v>193.75</v>
      </c>
      <c r="Z782" s="277">
        <f>SUM(Z749:Z773)</f>
        <v>0</v>
      </c>
      <c r="AA782" s="370">
        <f>SUM(AA749:AA781)</f>
        <v>1056.75</v>
      </c>
      <c r="AB782" s="289">
        <f>SUM(AB749:AB781)</f>
        <v>12</v>
      </c>
      <c r="AC782" s="4"/>
      <c r="AD782" s="64"/>
      <c r="AE782" s="64"/>
      <c r="AF782" s="167">
        <f>SUM(AF749:AF781)</f>
        <v>0</v>
      </c>
      <c r="AG782" s="370">
        <f>SUM(AG749:AG773)</f>
        <v>0</v>
      </c>
      <c r="AH782" s="4"/>
      <c r="AI782" s="255"/>
      <c r="AK782" s="193"/>
      <c r="AL782" s="193"/>
      <c r="AM782" s="193"/>
      <c r="AN782" s="193"/>
      <c r="AO782" s="193"/>
      <c r="AP782" s="193"/>
    </row>
    <row r="783" spans="2:42" s="180" customFormat="1">
      <c r="B783" s="63" t="s">
        <v>64</v>
      </c>
      <c r="C783" s="56"/>
      <c r="D783" s="56"/>
      <c r="E783" s="19">
        <v>8</v>
      </c>
      <c r="F783" s="291"/>
      <c r="G783" s="60"/>
      <c r="H783" s="56"/>
      <c r="I783" s="56"/>
      <c r="J783" s="19">
        <v>8</v>
      </c>
      <c r="K783" s="291"/>
      <c r="L783" s="60"/>
      <c r="M783" s="56"/>
      <c r="N783" s="56"/>
      <c r="O783" s="19">
        <v>8</v>
      </c>
      <c r="P783" s="19"/>
      <c r="Q783" s="60"/>
      <c r="R783" s="56"/>
      <c r="S783" s="56"/>
      <c r="T783" s="19">
        <v>8</v>
      </c>
      <c r="U783" s="19"/>
      <c r="V783" s="60"/>
      <c r="W783" s="56"/>
      <c r="X783" s="56"/>
      <c r="Y783" s="19">
        <v>8</v>
      </c>
      <c r="Z783" s="19"/>
      <c r="AA783" s="28">
        <f>SUM(E783+J783+O783+T783+Y783)</f>
        <v>40</v>
      </c>
      <c r="AB783" s="296">
        <f>Z783+U783+P783+K783+F783</f>
        <v>0</v>
      </c>
      <c r="AC783" s="4"/>
      <c r="AD783" s="56"/>
      <c r="AE783" s="56"/>
      <c r="AF783" s="19"/>
      <c r="AG783" s="29">
        <f>AF783</f>
        <v>0</v>
      </c>
      <c r="AH783" s="4"/>
      <c r="AI783" s="255"/>
      <c r="AK783" s="193"/>
      <c r="AL783" s="193"/>
      <c r="AM783" s="193"/>
      <c r="AN783" s="193"/>
      <c r="AO783" s="193"/>
      <c r="AP783" s="193"/>
    </row>
    <row r="784" spans="2:42" s="180" customFormat="1">
      <c r="B784" s="63" t="s">
        <v>110</v>
      </c>
      <c r="C784" s="56"/>
      <c r="D784" s="56"/>
      <c r="E784" s="19">
        <v>5.5</v>
      </c>
      <c r="F784" s="291">
        <v>0</v>
      </c>
      <c r="G784" s="60"/>
      <c r="H784" s="56"/>
      <c r="I784" s="56"/>
      <c r="J784" s="19">
        <v>3.5</v>
      </c>
      <c r="K784" s="291">
        <v>0</v>
      </c>
      <c r="L784" s="60"/>
      <c r="M784" s="56"/>
      <c r="N784" s="56"/>
      <c r="O784" s="19">
        <v>6</v>
      </c>
      <c r="P784" s="19">
        <v>0</v>
      </c>
      <c r="Q784" s="60"/>
      <c r="R784" s="56"/>
      <c r="S784" s="56"/>
      <c r="T784" s="19">
        <v>6</v>
      </c>
      <c r="U784" s="19">
        <v>0</v>
      </c>
      <c r="V784" s="60"/>
      <c r="W784" s="56"/>
      <c r="X784" s="56"/>
      <c r="Y784" s="19">
        <v>6</v>
      </c>
      <c r="Z784" s="19">
        <v>0</v>
      </c>
      <c r="AA784" s="28">
        <f>SUM(E784+J784+O784+T784+Y784)</f>
        <v>27</v>
      </c>
      <c r="AB784" s="296">
        <f>Z784+U784+P784+K784+F784</f>
        <v>0</v>
      </c>
      <c r="AC784" s="4"/>
      <c r="AD784" s="56"/>
      <c r="AE784" s="56"/>
      <c r="AF784" s="19"/>
      <c r="AG784" s="29">
        <f>AF784</f>
        <v>0</v>
      </c>
      <c r="AH784" s="4"/>
      <c r="AI784" s="255"/>
      <c r="AK784" s="193"/>
      <c r="AL784" s="193"/>
      <c r="AM784" s="193"/>
      <c r="AN784" s="193"/>
      <c r="AO784" s="193"/>
      <c r="AP784" s="193"/>
    </row>
    <row r="785" spans="1:42" s="180" customFormat="1">
      <c r="B785" s="71" t="s">
        <v>66</v>
      </c>
      <c r="C785" s="371"/>
      <c r="D785" s="371"/>
      <c r="E785" s="71">
        <f t="shared" ref="E785:AB785" si="117">SUM(E783:E784)</f>
        <v>13.5</v>
      </c>
      <c r="F785" s="71">
        <f t="shared" si="117"/>
        <v>0</v>
      </c>
      <c r="G785" s="71">
        <f t="shared" si="117"/>
        <v>0</v>
      </c>
      <c r="H785" s="71">
        <f t="shared" si="117"/>
        <v>0</v>
      </c>
      <c r="I785" s="71">
        <f t="shared" si="117"/>
        <v>0</v>
      </c>
      <c r="J785" s="71">
        <f t="shared" si="117"/>
        <v>11.5</v>
      </c>
      <c r="K785" s="71">
        <f t="shared" si="117"/>
        <v>0</v>
      </c>
      <c r="L785" s="71">
        <f t="shared" si="117"/>
        <v>0</v>
      </c>
      <c r="M785" s="71">
        <f t="shared" si="117"/>
        <v>0</v>
      </c>
      <c r="N785" s="71">
        <f t="shared" si="117"/>
        <v>0</v>
      </c>
      <c r="O785" s="71">
        <f t="shared" si="117"/>
        <v>14</v>
      </c>
      <c r="P785" s="71">
        <f t="shared" si="117"/>
        <v>0</v>
      </c>
      <c r="Q785" s="71">
        <f t="shared" si="117"/>
        <v>0</v>
      </c>
      <c r="R785" s="71">
        <f t="shared" si="117"/>
        <v>0</v>
      </c>
      <c r="S785" s="71">
        <f t="shared" si="117"/>
        <v>0</v>
      </c>
      <c r="T785" s="71">
        <f t="shared" si="117"/>
        <v>14</v>
      </c>
      <c r="U785" s="71">
        <f t="shared" si="117"/>
        <v>0</v>
      </c>
      <c r="V785" s="71">
        <f t="shared" si="117"/>
        <v>0</v>
      </c>
      <c r="W785" s="71">
        <f t="shared" si="117"/>
        <v>0</v>
      </c>
      <c r="X785" s="71">
        <f t="shared" si="117"/>
        <v>0</v>
      </c>
      <c r="Y785" s="71">
        <f t="shared" si="117"/>
        <v>14</v>
      </c>
      <c r="Z785" s="71">
        <f t="shared" si="117"/>
        <v>0</v>
      </c>
      <c r="AA785" s="370">
        <f t="shared" si="117"/>
        <v>67</v>
      </c>
      <c r="AB785" s="370">
        <f t="shared" si="117"/>
        <v>0</v>
      </c>
      <c r="AC785" s="4"/>
      <c r="AG785" s="370">
        <f>SUM(AG783:AG784)</f>
        <v>0</v>
      </c>
      <c r="AH785" s="4"/>
      <c r="AI785" s="255"/>
      <c r="AK785" s="193"/>
      <c r="AL785" s="193"/>
      <c r="AM785" s="193"/>
      <c r="AN785" s="193"/>
      <c r="AO785" s="193"/>
      <c r="AP785" s="193"/>
    </row>
    <row r="786" spans="1:42" s="180" customFormat="1">
      <c r="B786" s="217" t="s">
        <v>67</v>
      </c>
      <c r="C786" s="207">
        <f>C787+C788</f>
        <v>105</v>
      </c>
      <c r="D786" s="207"/>
      <c r="E786" s="209"/>
      <c r="F786" s="209"/>
      <c r="G786" s="207"/>
      <c r="H786" s="209"/>
      <c r="I786" s="209"/>
      <c r="J786" s="209"/>
      <c r="K786" s="209"/>
      <c r="L786" s="207"/>
      <c r="M786" s="207"/>
      <c r="N786" s="207"/>
      <c r="O786" s="207"/>
      <c r="P786" s="209"/>
      <c r="Q786" s="207"/>
      <c r="R786" s="207"/>
      <c r="S786" s="207"/>
      <c r="T786" s="207"/>
      <c r="U786" s="209"/>
      <c r="V786" s="207"/>
      <c r="W786" s="207"/>
      <c r="X786" s="207"/>
      <c r="Y786" s="210"/>
      <c r="Z786" s="209"/>
      <c r="AA786" s="211"/>
      <c r="AB786" s="209"/>
      <c r="AC786" s="211"/>
      <c r="AD786" s="211"/>
      <c r="AE786" s="211"/>
      <c r="AF786" s="211"/>
      <c r="AG786" s="211"/>
      <c r="AH786" s="4"/>
      <c r="AI786" s="255"/>
      <c r="AK786" s="193"/>
      <c r="AL786" s="193"/>
      <c r="AM786" s="193"/>
      <c r="AN786" s="193"/>
      <c r="AO786" s="193"/>
      <c r="AP786" s="193"/>
    </row>
    <row r="787" spans="1:42" s="180" customFormat="1">
      <c r="B787" s="238" t="s">
        <v>68</v>
      </c>
      <c r="C787" s="239">
        <f>16+16+16+16+15</f>
        <v>79</v>
      </c>
      <c r="D787" s="207"/>
      <c r="E787" s="209"/>
      <c r="F787" s="209"/>
      <c r="G787" s="207"/>
      <c r="H787" s="209"/>
      <c r="I787" s="209"/>
      <c r="J787" s="209"/>
      <c r="K787" s="209"/>
      <c r="L787" s="207"/>
      <c r="M787" s="207"/>
      <c r="N787" s="207"/>
      <c r="O787" s="207"/>
      <c r="P787" s="209"/>
      <c r="Q787" s="207"/>
      <c r="R787" s="207"/>
      <c r="S787" s="207"/>
      <c r="T787" s="207"/>
      <c r="U787" s="209"/>
      <c r="V787" s="207"/>
      <c r="W787" s="207"/>
      <c r="X787" s="207"/>
      <c r="Y787" s="210"/>
      <c r="Z787" s="209"/>
      <c r="AA787" s="211"/>
      <c r="AB787" s="209"/>
      <c r="AC787" s="211"/>
      <c r="AD787" s="211"/>
      <c r="AE787" s="211"/>
      <c r="AF787" s="211"/>
      <c r="AG787" s="211"/>
      <c r="AH787" s="4"/>
      <c r="AI787" s="255"/>
      <c r="AK787" s="193"/>
      <c r="AL787" s="193"/>
      <c r="AM787" s="193"/>
      <c r="AN787" s="193"/>
      <c r="AO787" s="193"/>
      <c r="AP787" s="193"/>
    </row>
    <row r="788" spans="1:42" s="180" customFormat="1">
      <c r="B788" s="238" t="s">
        <v>69</v>
      </c>
      <c r="C788" s="239">
        <f>7+7+6+4+2</f>
        <v>26</v>
      </c>
      <c r="D788" s="207"/>
      <c r="E788" s="209"/>
      <c r="F788" s="209"/>
      <c r="G788" s="207"/>
      <c r="H788" s="209"/>
      <c r="I788" s="209"/>
      <c r="J788" s="209"/>
      <c r="K788" s="209"/>
      <c r="L788" s="207"/>
      <c r="M788" s="207"/>
      <c r="N788" s="207"/>
      <c r="O788" s="207"/>
      <c r="P788" s="209"/>
      <c r="Q788" s="207"/>
      <c r="R788" s="207"/>
      <c r="S788" s="207"/>
      <c r="T788" s="207"/>
      <c r="U788" s="209"/>
      <c r="V788" s="207"/>
      <c r="W788" s="207"/>
      <c r="X788" s="207"/>
      <c r="Y788" s="210"/>
      <c r="Z788" s="209"/>
      <c r="AA788" s="211"/>
      <c r="AB788" s="209"/>
      <c r="AC788" s="211"/>
      <c r="AD788" s="211"/>
      <c r="AE788" s="211"/>
      <c r="AF788" s="211"/>
      <c r="AG788" s="211"/>
      <c r="AH788" s="4"/>
      <c r="AI788" s="255"/>
      <c r="AK788" s="193"/>
      <c r="AL788" s="193"/>
      <c r="AM788" s="193"/>
      <c r="AN788" s="193"/>
      <c r="AO788" s="193"/>
      <c r="AP788" s="193"/>
    </row>
    <row r="789" spans="1:42" s="180" customFormat="1">
      <c r="E789" s="4"/>
      <c r="F789" s="4"/>
      <c r="G789" s="4"/>
      <c r="J789" s="4"/>
      <c r="K789" s="4"/>
      <c r="L789" s="4"/>
      <c r="O789" s="4"/>
      <c r="P789" s="4"/>
      <c r="Q789" s="4"/>
      <c r="T789" s="4"/>
      <c r="U789" s="4"/>
      <c r="V789" s="4"/>
      <c r="Y789" s="4"/>
      <c r="Z789" s="4"/>
      <c r="AA789" s="4"/>
      <c r="AB789" s="4"/>
      <c r="AC789" s="4"/>
      <c r="AH789" s="4"/>
    </row>
    <row r="791" spans="1:42" s="255" customFormat="1">
      <c r="A791" s="228"/>
      <c r="B791" s="229"/>
      <c r="C791" s="230"/>
      <c r="D791" s="230"/>
      <c r="E791" s="232"/>
      <c r="F791" s="232"/>
      <c r="G791" s="230"/>
      <c r="H791" s="232"/>
      <c r="I791" s="232"/>
      <c r="J791" s="232"/>
      <c r="K791" s="232"/>
      <c r="L791" s="230"/>
      <c r="M791" s="230"/>
      <c r="N791" s="230"/>
      <c r="O791" s="230"/>
      <c r="P791" s="232"/>
      <c r="Q791" s="230"/>
      <c r="R791" s="230"/>
      <c r="S791" s="230"/>
      <c r="T791" s="230"/>
      <c r="U791" s="232"/>
      <c r="V791" s="230"/>
      <c r="W791" s="230"/>
      <c r="X791" s="230"/>
      <c r="Y791" s="233"/>
      <c r="Z791" s="232"/>
      <c r="AA791" s="234"/>
      <c r="AB791" s="232"/>
      <c r="AC791" s="373"/>
      <c r="AD791" s="236"/>
      <c r="AH791" s="373"/>
    </row>
    <row r="792" spans="1:42" s="180" customFormat="1">
      <c r="E792" s="4"/>
      <c r="F792" s="4"/>
      <c r="G792" s="4"/>
      <c r="J792" s="4"/>
      <c r="K792" s="4"/>
      <c r="L792" s="4"/>
      <c r="O792" s="4"/>
      <c r="P792" s="4"/>
      <c r="Q792" s="4"/>
      <c r="T792" s="4"/>
      <c r="U792" s="4"/>
      <c r="V792" s="4"/>
      <c r="Y792" s="4"/>
      <c r="Z792" s="4"/>
      <c r="AA792" s="4"/>
      <c r="AB792" s="4"/>
      <c r="AC792" s="4"/>
      <c r="AH792" s="4"/>
    </row>
    <row r="793" spans="1:42" s="180" customFormat="1">
      <c r="B793" s="1518" t="s">
        <v>18</v>
      </c>
      <c r="C793" s="1519">
        <v>45306</v>
      </c>
      <c r="D793" s="1519"/>
      <c r="E793" s="1519"/>
      <c r="F793" s="1519"/>
      <c r="G793" s="365"/>
      <c r="H793" s="1519">
        <v>45307</v>
      </c>
      <c r="I793" s="1519"/>
      <c r="J793" s="1519"/>
      <c r="K793" s="1519"/>
      <c r="L793" s="365"/>
      <c r="M793" s="1519">
        <v>45308</v>
      </c>
      <c r="N793" s="1519"/>
      <c r="O793" s="1519"/>
      <c r="P793" s="1519"/>
      <c r="Q793" s="365"/>
      <c r="R793" s="1519">
        <v>45309</v>
      </c>
      <c r="S793" s="1519"/>
      <c r="T793" s="1519"/>
      <c r="U793" s="1519"/>
      <c r="V793" s="365"/>
      <c r="W793" s="1519">
        <v>45310</v>
      </c>
      <c r="X793" s="1519"/>
      <c r="Y793" s="1519"/>
      <c r="Z793" s="1519"/>
      <c r="AA793" s="1517" t="s">
        <v>19</v>
      </c>
      <c r="AB793" s="1517" t="s">
        <v>20</v>
      </c>
      <c r="AC793" s="4"/>
      <c r="AD793" s="1519">
        <v>45311</v>
      </c>
      <c r="AE793" s="1519"/>
      <c r="AF793" s="1519"/>
      <c r="AG793" s="1517" t="s">
        <v>21</v>
      </c>
      <c r="AH793" s="4"/>
      <c r="AI793" s="255"/>
      <c r="AK793" s="194" t="s">
        <v>84</v>
      </c>
      <c r="AL793" s="366"/>
      <c r="AM793" s="366"/>
      <c r="AN793" s="366"/>
      <c r="AO793" s="366"/>
      <c r="AP793" s="366"/>
    </row>
    <row r="794" spans="1:42" s="367" customFormat="1">
      <c r="B794" s="1518"/>
      <c r="C794" s="21" t="s">
        <v>23</v>
      </c>
      <c r="D794" s="21" t="s">
        <v>24</v>
      </c>
      <c r="E794" s="205" t="s">
        <v>25</v>
      </c>
      <c r="F794" s="18" t="s">
        <v>14</v>
      </c>
      <c r="G794" s="4"/>
      <c r="H794" s="21" t="s">
        <v>23</v>
      </c>
      <c r="I794" s="21" t="s">
        <v>24</v>
      </c>
      <c r="J794" s="18" t="s">
        <v>25</v>
      </c>
      <c r="K794" s="18" t="s">
        <v>14</v>
      </c>
      <c r="L794" s="4"/>
      <c r="M794" s="21" t="s">
        <v>23</v>
      </c>
      <c r="N794" s="21" t="s">
        <v>24</v>
      </c>
      <c r="O794" s="18" t="s">
        <v>25</v>
      </c>
      <c r="P794" s="18" t="s">
        <v>14</v>
      </c>
      <c r="Q794" s="4"/>
      <c r="R794" s="21" t="s">
        <v>23</v>
      </c>
      <c r="S794" s="21" t="s">
        <v>24</v>
      </c>
      <c r="T794" s="18" t="s">
        <v>25</v>
      </c>
      <c r="U794" s="18" t="s">
        <v>14</v>
      </c>
      <c r="V794" s="4"/>
      <c r="W794" s="21" t="s">
        <v>23</v>
      </c>
      <c r="X794" s="21" t="s">
        <v>24</v>
      </c>
      <c r="Y794" s="18" t="s">
        <v>25</v>
      </c>
      <c r="Z794" s="18" t="s">
        <v>14</v>
      </c>
      <c r="AA794" s="1517"/>
      <c r="AB794" s="1517"/>
      <c r="AC794" s="4"/>
      <c r="AD794" s="21" t="s">
        <v>23</v>
      </c>
      <c r="AE794" s="21" t="s">
        <v>24</v>
      </c>
      <c r="AF794" s="18" t="s">
        <v>25</v>
      </c>
      <c r="AG794" s="1517"/>
      <c r="AH794" s="175"/>
      <c r="AI794" s="368"/>
      <c r="AK794" s="188" t="s">
        <v>26</v>
      </c>
      <c r="AL794" s="196">
        <f>AA828</f>
        <v>867.25</v>
      </c>
      <c r="AM794" s="193"/>
      <c r="AN794" s="193"/>
      <c r="AO794" s="193"/>
      <c r="AP794" s="193"/>
    </row>
    <row r="795" spans="1:42" s="367" customFormat="1">
      <c r="B795" s="171" t="s">
        <v>71</v>
      </c>
      <c r="C795" s="172" t="s">
        <v>29</v>
      </c>
      <c r="D795" s="172" t="s">
        <v>29</v>
      </c>
      <c r="E795" s="173"/>
      <c r="F795" s="277"/>
      <c r="G795" s="4"/>
      <c r="H795" s="172">
        <v>0.34375</v>
      </c>
      <c r="I795" s="47">
        <v>0.25</v>
      </c>
      <c r="J795" s="173">
        <v>8</v>
      </c>
      <c r="K795" s="277"/>
      <c r="L795" s="4"/>
      <c r="M795" s="47">
        <v>0.375</v>
      </c>
      <c r="N795" s="47">
        <v>0.25</v>
      </c>
      <c r="O795" s="173">
        <v>8</v>
      </c>
      <c r="P795" s="277"/>
      <c r="Q795" s="4"/>
      <c r="R795" s="47">
        <v>0.35416666666666669</v>
      </c>
      <c r="S795" s="47">
        <v>0.25</v>
      </c>
      <c r="T795" s="19">
        <v>8</v>
      </c>
      <c r="U795" s="277"/>
      <c r="V795" s="4"/>
      <c r="W795" s="16" t="s">
        <v>114</v>
      </c>
      <c r="X795" s="16" t="s">
        <v>29</v>
      </c>
      <c r="Y795" s="19">
        <v>0</v>
      </c>
      <c r="Z795" s="277"/>
      <c r="AA795" s="28">
        <f t="shared" ref="AA795:AA800" si="118">(E795+J795+O795+T795+Y795)</f>
        <v>24</v>
      </c>
      <c r="AB795" s="298">
        <f t="shared" ref="AB795:AB800" si="119">Z795+U795+P795+K795+F795</f>
        <v>0</v>
      </c>
      <c r="AC795" s="4"/>
      <c r="AD795" s="175"/>
      <c r="AE795" s="175"/>
      <c r="AF795" s="173"/>
      <c r="AG795" s="28">
        <f t="shared" ref="AG795:AG802" si="120">AF795</f>
        <v>0</v>
      </c>
      <c r="AH795" s="175"/>
      <c r="AI795" s="368"/>
      <c r="AK795" s="188" t="s">
        <v>30</v>
      </c>
      <c r="AL795" s="196">
        <f>AB828</f>
        <v>0</v>
      </c>
      <c r="AM795" s="193"/>
      <c r="AN795" s="193"/>
      <c r="AO795" s="193"/>
      <c r="AP795" s="193"/>
    </row>
    <row r="796" spans="1:42" s="367" customFormat="1">
      <c r="B796" s="171" t="s">
        <v>72</v>
      </c>
      <c r="C796" s="172" t="s">
        <v>29</v>
      </c>
      <c r="D796" s="172" t="s">
        <v>29</v>
      </c>
      <c r="E796" s="173"/>
      <c r="F796" s="277"/>
      <c r="G796" s="4"/>
      <c r="H796" s="47">
        <v>0.36458333333333331</v>
      </c>
      <c r="I796" s="47">
        <v>0.25</v>
      </c>
      <c r="J796" s="173">
        <v>8</v>
      </c>
      <c r="K796" s="277"/>
      <c r="L796" s="4"/>
      <c r="M796" s="172">
        <v>0.36458333333333331</v>
      </c>
      <c r="N796" s="47">
        <v>0.25</v>
      </c>
      <c r="O796" s="173">
        <v>8</v>
      </c>
      <c r="P796" s="277"/>
      <c r="Q796" s="4"/>
      <c r="R796" s="16" t="s">
        <v>114</v>
      </c>
      <c r="S796" s="16" t="s">
        <v>29</v>
      </c>
      <c r="T796" s="19">
        <v>8</v>
      </c>
      <c r="U796" s="277"/>
      <c r="V796" s="4"/>
      <c r="W796" s="47">
        <v>0.35416666666666669</v>
      </c>
      <c r="X796" s="47">
        <v>0.25</v>
      </c>
      <c r="Y796" s="19">
        <v>8</v>
      </c>
      <c r="Z796" s="277"/>
      <c r="AA796" s="28">
        <f t="shared" si="118"/>
        <v>32</v>
      </c>
      <c r="AB796" s="298">
        <f t="shared" si="119"/>
        <v>0</v>
      </c>
      <c r="AC796" s="4"/>
      <c r="AD796" s="175"/>
      <c r="AE796" s="175"/>
      <c r="AF796" s="173"/>
      <c r="AG796" s="28">
        <f t="shared" si="120"/>
        <v>0</v>
      </c>
      <c r="AH796" s="175"/>
      <c r="AI796" s="368"/>
      <c r="AK796" s="188" t="s">
        <v>32</v>
      </c>
      <c r="AL796" s="196">
        <f>AG828</f>
        <v>28.25</v>
      </c>
      <c r="AM796" s="193"/>
      <c r="AN796" s="193"/>
      <c r="AO796" s="193"/>
      <c r="AP796" s="193"/>
    </row>
    <row r="797" spans="1:42" s="401" customFormat="1">
      <c r="B797" s="171" t="s">
        <v>91</v>
      </c>
      <c r="C797" s="172" t="s">
        <v>29</v>
      </c>
      <c r="D797" s="172" t="s">
        <v>29</v>
      </c>
      <c r="E797" s="19"/>
      <c r="F797" s="277"/>
      <c r="G797" s="399"/>
      <c r="H797" s="47">
        <v>0.39583333333333331</v>
      </c>
      <c r="I797" s="47">
        <v>0.25</v>
      </c>
      <c r="J797" s="19">
        <v>7.5</v>
      </c>
      <c r="K797" s="277"/>
      <c r="L797" s="399"/>
      <c r="M797" s="47">
        <v>0.36458333333333331</v>
      </c>
      <c r="N797" s="47">
        <v>0.25</v>
      </c>
      <c r="O797" s="319">
        <v>8</v>
      </c>
      <c r="P797" s="277"/>
      <c r="Q797" s="399"/>
      <c r="R797" s="47">
        <v>0.375</v>
      </c>
      <c r="S797" s="47">
        <v>0.25</v>
      </c>
      <c r="T797" s="19">
        <v>8</v>
      </c>
      <c r="U797" s="277"/>
      <c r="V797" s="399"/>
      <c r="W797" s="47">
        <v>0.36458333333333331</v>
      </c>
      <c r="X797" s="47">
        <v>0.25</v>
      </c>
      <c r="Y797" s="19">
        <v>8</v>
      </c>
      <c r="Z797" s="277"/>
      <c r="AA797" s="29">
        <f t="shared" si="118"/>
        <v>31.5</v>
      </c>
      <c r="AB797" s="298">
        <f t="shared" si="119"/>
        <v>0</v>
      </c>
      <c r="AC797" s="399"/>
      <c r="AD797" s="345"/>
      <c r="AE797" s="345"/>
      <c r="AF797" s="346"/>
      <c r="AG797" s="29">
        <f t="shared" si="120"/>
        <v>0</v>
      </c>
      <c r="AH797" s="399"/>
      <c r="AI797" s="402"/>
      <c r="AK797" s="403" t="s">
        <v>34</v>
      </c>
      <c r="AL797" s="404">
        <f>AA829</f>
        <v>32</v>
      </c>
      <c r="AM797" s="405"/>
      <c r="AN797" s="405"/>
      <c r="AO797" s="405"/>
      <c r="AP797" s="405"/>
    </row>
    <row r="798" spans="1:42" s="180" customFormat="1">
      <c r="B798" s="171" t="s">
        <v>50</v>
      </c>
      <c r="C798" s="172" t="s">
        <v>29</v>
      </c>
      <c r="D798" s="172" t="s">
        <v>29</v>
      </c>
      <c r="E798" s="319"/>
      <c r="F798" s="277"/>
      <c r="G798" s="175"/>
      <c r="H798" s="47">
        <v>0.375</v>
      </c>
      <c r="I798" s="47">
        <v>0.25</v>
      </c>
      <c r="J798" s="319">
        <v>8</v>
      </c>
      <c r="K798" s="277"/>
      <c r="L798" s="175"/>
      <c r="M798" s="47">
        <v>0.375</v>
      </c>
      <c r="N798" s="47">
        <v>0.25</v>
      </c>
      <c r="O798" s="319">
        <v>8</v>
      </c>
      <c r="P798" s="277"/>
      <c r="Q798" s="175"/>
      <c r="R798" s="47">
        <v>0.39583333333333331</v>
      </c>
      <c r="S798" s="47">
        <v>0.25</v>
      </c>
      <c r="T798" s="19">
        <v>7.5</v>
      </c>
      <c r="U798" s="277"/>
      <c r="V798" s="175"/>
      <c r="W798" s="47">
        <v>0.38541666666666669</v>
      </c>
      <c r="X798" s="47">
        <v>0.25</v>
      </c>
      <c r="Y798" s="19">
        <v>7.75</v>
      </c>
      <c r="Z798" s="277"/>
      <c r="AA798" s="344">
        <f t="shared" si="118"/>
        <v>31.25</v>
      </c>
      <c r="AB798" s="298">
        <f t="shared" si="119"/>
        <v>0</v>
      </c>
      <c r="AC798" s="175"/>
      <c r="AD798" s="345"/>
      <c r="AE798" s="345"/>
      <c r="AF798" s="346"/>
      <c r="AG798" s="344">
        <f t="shared" si="120"/>
        <v>0</v>
      </c>
      <c r="AH798" s="4"/>
      <c r="AI798" s="255"/>
      <c r="AK798" s="188" t="s">
        <v>36</v>
      </c>
      <c r="AL798" s="196">
        <f>AB829</f>
        <v>0</v>
      </c>
      <c r="AM798" s="193"/>
      <c r="AN798" s="193"/>
      <c r="AO798" s="193"/>
      <c r="AP798" s="193"/>
    </row>
    <row r="799" spans="1:42" s="367" customFormat="1">
      <c r="B799" s="171" t="s">
        <v>52</v>
      </c>
      <c r="C799" s="172" t="s">
        <v>29</v>
      </c>
      <c r="D799" s="172" t="s">
        <v>29</v>
      </c>
      <c r="E799" s="319"/>
      <c r="F799" s="277"/>
      <c r="G799" s="175"/>
      <c r="H799" s="47">
        <v>0</v>
      </c>
      <c r="I799" s="314">
        <v>0</v>
      </c>
      <c r="J799" s="319">
        <v>0</v>
      </c>
      <c r="K799" s="277"/>
      <c r="L799" s="175"/>
      <c r="M799" s="47">
        <v>0.375</v>
      </c>
      <c r="N799" s="47">
        <v>0.25</v>
      </c>
      <c r="O799" s="319">
        <v>8</v>
      </c>
      <c r="P799" s="277"/>
      <c r="Q799" s="175"/>
      <c r="R799" s="16" t="s">
        <v>114</v>
      </c>
      <c r="S799" s="16" t="s">
        <v>29</v>
      </c>
      <c r="T799" s="19">
        <v>8</v>
      </c>
      <c r="U799" s="277"/>
      <c r="V799" s="175"/>
      <c r="W799" s="16" t="s">
        <v>114</v>
      </c>
      <c r="X799" s="16" t="s">
        <v>29</v>
      </c>
      <c r="Y799" s="19">
        <v>0</v>
      </c>
      <c r="Z799" s="277"/>
      <c r="AA799" s="344">
        <f t="shared" si="118"/>
        <v>16</v>
      </c>
      <c r="AB799" s="298">
        <f t="shared" si="119"/>
        <v>0</v>
      </c>
      <c r="AC799" s="175"/>
      <c r="AD799" s="345"/>
      <c r="AE799" s="345"/>
      <c r="AF799" s="346"/>
      <c r="AG799" s="344">
        <f t="shared" si="120"/>
        <v>0</v>
      </c>
      <c r="AH799" s="175"/>
      <c r="AI799" s="368"/>
      <c r="AK799" s="188" t="s">
        <v>38</v>
      </c>
      <c r="AL799" s="196">
        <f>AG829</f>
        <v>0</v>
      </c>
      <c r="AM799" s="193"/>
      <c r="AN799" s="193"/>
      <c r="AO799" s="193"/>
      <c r="AP799" s="193"/>
    </row>
    <row r="800" spans="1:42" s="180" customFormat="1">
      <c r="B800" s="171" t="s">
        <v>92</v>
      </c>
      <c r="C800" s="172" t="s">
        <v>29</v>
      </c>
      <c r="D800" s="172" t="s">
        <v>29</v>
      </c>
      <c r="E800" s="19"/>
      <c r="F800" s="277"/>
      <c r="G800" s="4"/>
      <c r="H800" s="47">
        <v>0.38541666666666669</v>
      </c>
      <c r="I800" s="47">
        <v>0.25</v>
      </c>
      <c r="J800" s="319">
        <v>7.75</v>
      </c>
      <c r="K800" s="277"/>
      <c r="L800" s="4"/>
      <c r="M800" s="47">
        <v>0.375</v>
      </c>
      <c r="N800" s="47">
        <v>0.25</v>
      </c>
      <c r="O800" s="319">
        <v>8</v>
      </c>
      <c r="P800" s="277"/>
      <c r="Q800" s="4"/>
      <c r="R800" s="47">
        <v>0.38541666666666669</v>
      </c>
      <c r="S800" s="47">
        <v>0.25</v>
      </c>
      <c r="T800" s="19">
        <v>7.75</v>
      </c>
      <c r="U800" s="277"/>
      <c r="V800" s="4"/>
      <c r="W800" s="47">
        <v>0.375</v>
      </c>
      <c r="X800" s="47">
        <v>0.25</v>
      </c>
      <c r="Y800" s="19">
        <v>7</v>
      </c>
      <c r="Z800" s="277"/>
      <c r="AA800" s="344">
        <f t="shared" si="118"/>
        <v>30.5</v>
      </c>
      <c r="AB800" s="298">
        <f t="shared" si="119"/>
        <v>0</v>
      </c>
      <c r="AC800" s="4"/>
      <c r="AD800" s="345"/>
      <c r="AE800" s="345"/>
      <c r="AF800" s="346"/>
      <c r="AG800" s="29">
        <f t="shared" si="120"/>
        <v>0</v>
      </c>
      <c r="AH800" s="4"/>
      <c r="AI800" s="255"/>
      <c r="AK800" s="188" t="s">
        <v>41</v>
      </c>
      <c r="AL800" s="196">
        <f>C832</f>
        <v>88</v>
      </c>
      <c r="AM800" s="369"/>
      <c r="AN800" s="369"/>
      <c r="AO800" s="369"/>
      <c r="AP800" s="369"/>
    </row>
    <row r="801" spans="2:42" s="180" customFormat="1">
      <c r="B801" s="171" t="s">
        <v>39</v>
      </c>
      <c r="C801" s="172" t="s">
        <v>29</v>
      </c>
      <c r="D801" s="172" t="s">
        <v>29</v>
      </c>
      <c r="E801" s="19"/>
      <c r="F801" s="277"/>
      <c r="G801" s="4"/>
      <c r="H801" s="16" t="s">
        <v>114</v>
      </c>
      <c r="I801" s="16" t="s">
        <v>29</v>
      </c>
      <c r="J801" s="319">
        <v>8</v>
      </c>
      <c r="K801" s="277"/>
      <c r="L801" s="4"/>
      <c r="M801" s="16" t="s">
        <v>114</v>
      </c>
      <c r="N801" s="16" t="s">
        <v>29</v>
      </c>
      <c r="O801" s="319">
        <v>8</v>
      </c>
      <c r="P801" s="277"/>
      <c r="Q801" s="4"/>
      <c r="R801" s="16" t="s">
        <v>114</v>
      </c>
      <c r="S801" s="16" t="s">
        <v>29</v>
      </c>
      <c r="T801" s="19">
        <v>8</v>
      </c>
      <c r="U801" s="277"/>
      <c r="V801" s="4"/>
      <c r="W801" s="16" t="s">
        <v>114</v>
      </c>
      <c r="X801" s="16" t="s">
        <v>29</v>
      </c>
      <c r="Y801" s="19">
        <v>8</v>
      </c>
      <c r="Z801" s="277"/>
      <c r="AA801" s="29">
        <f>(E800+J801+O801+T801+Y801)</f>
        <v>32</v>
      </c>
      <c r="AB801" s="298">
        <f t="shared" ref="AB801:AB807" si="121">Z801+U801+P801+K801+F800</f>
        <v>0</v>
      </c>
      <c r="AC801" s="4"/>
      <c r="AD801" s="345"/>
      <c r="AE801" s="345"/>
      <c r="AF801" s="346"/>
      <c r="AG801" s="29">
        <f t="shared" si="120"/>
        <v>0</v>
      </c>
      <c r="AH801" s="4"/>
      <c r="AI801" s="255"/>
      <c r="AK801" s="193"/>
      <c r="AL801" s="193"/>
      <c r="AM801" s="193"/>
      <c r="AN801" s="193"/>
      <c r="AO801" s="193"/>
      <c r="AP801" s="193"/>
    </row>
    <row r="802" spans="2:42" s="180" customFormat="1">
      <c r="B802" s="418" t="s">
        <v>109</v>
      </c>
      <c r="C802" s="172" t="s">
        <v>29</v>
      </c>
      <c r="D802" s="172" t="s">
        <v>29</v>
      </c>
      <c r="E802" s="19"/>
      <c r="F802" s="277"/>
      <c r="G802" s="4"/>
      <c r="H802" s="47">
        <v>0.36458333333333331</v>
      </c>
      <c r="I802" s="47">
        <v>0.25</v>
      </c>
      <c r="J802" s="319">
        <v>8</v>
      </c>
      <c r="K802" s="277"/>
      <c r="L802" s="4"/>
      <c r="M802" s="47">
        <v>0.36458333333333331</v>
      </c>
      <c r="N802" s="47">
        <v>0.25</v>
      </c>
      <c r="O802" s="319">
        <v>8</v>
      </c>
      <c r="P802" s="277"/>
      <c r="Q802" s="4"/>
      <c r="R802" s="47">
        <v>0.375</v>
      </c>
      <c r="S802" s="47">
        <v>0.25</v>
      </c>
      <c r="T802" s="19">
        <v>8</v>
      </c>
      <c r="U802" s="277"/>
      <c r="V802" s="4"/>
      <c r="W802" s="47">
        <v>0.36458333333333331</v>
      </c>
      <c r="X802" s="47">
        <v>0.25</v>
      </c>
      <c r="Y802" s="19">
        <v>8</v>
      </c>
      <c r="Z802" s="277"/>
      <c r="AA802" s="29">
        <f>(E801+J802+O802+T802+Y802)</f>
        <v>32</v>
      </c>
      <c r="AB802" s="298">
        <f t="shared" si="121"/>
        <v>0</v>
      </c>
      <c r="AC802" s="4"/>
      <c r="AD802" s="345"/>
      <c r="AE802" s="345"/>
      <c r="AF802" s="346"/>
      <c r="AG802" s="29">
        <f t="shared" si="120"/>
        <v>0</v>
      </c>
      <c r="AH802" s="4"/>
      <c r="AI802" s="255"/>
      <c r="AK802" s="193"/>
      <c r="AL802" s="193"/>
      <c r="AM802" s="193"/>
      <c r="AN802" s="193"/>
      <c r="AO802" s="193"/>
      <c r="AP802" s="193"/>
    </row>
    <row r="803" spans="2:42" s="180" customFormat="1">
      <c r="B803" s="418" t="s">
        <v>93</v>
      </c>
      <c r="C803" s="172" t="s">
        <v>29</v>
      </c>
      <c r="D803" s="172" t="s">
        <v>29</v>
      </c>
      <c r="E803" s="19"/>
      <c r="F803" s="277"/>
      <c r="G803" s="4"/>
      <c r="H803" s="47">
        <v>0.33333333333333331</v>
      </c>
      <c r="I803" s="47">
        <v>0.25</v>
      </c>
      <c r="J803" s="319">
        <v>8</v>
      </c>
      <c r="K803" s="277"/>
      <c r="L803" s="4"/>
      <c r="M803" s="47">
        <v>0.35416666666666669</v>
      </c>
      <c r="N803" s="47">
        <v>0.25</v>
      </c>
      <c r="O803" s="319">
        <v>8</v>
      </c>
      <c r="P803" s="277"/>
      <c r="Q803" s="4"/>
      <c r="R803" s="47">
        <v>0.35416666666666669</v>
      </c>
      <c r="S803" s="47">
        <v>0.25</v>
      </c>
      <c r="T803" s="19">
        <v>8</v>
      </c>
      <c r="U803" s="277"/>
      <c r="V803" s="4"/>
      <c r="W803" s="47">
        <v>0.35416666666666669</v>
      </c>
      <c r="X803" s="47">
        <v>0.25</v>
      </c>
      <c r="Y803" s="19">
        <v>8</v>
      </c>
      <c r="Z803" s="277"/>
      <c r="AA803" s="29">
        <f>(E802+J803+O803+T803+Y803)</f>
        <v>32</v>
      </c>
      <c r="AB803" s="298">
        <f t="shared" si="121"/>
        <v>0</v>
      </c>
      <c r="AC803" s="4"/>
      <c r="AD803" s="345"/>
      <c r="AE803" s="345"/>
      <c r="AF803" s="346"/>
      <c r="AG803" s="29">
        <f t="shared" ref="AG803:AG811" si="122">AF803</f>
        <v>0</v>
      </c>
      <c r="AH803" s="4"/>
      <c r="AI803" s="255"/>
      <c r="AK803" s="193"/>
      <c r="AL803" s="193"/>
      <c r="AM803" s="193"/>
      <c r="AN803" s="193"/>
      <c r="AO803" s="193"/>
      <c r="AP803" s="193"/>
    </row>
    <row r="804" spans="2:42" s="180" customFormat="1">
      <c r="B804" s="418" t="s">
        <v>97</v>
      </c>
      <c r="C804" s="172" t="s">
        <v>29</v>
      </c>
      <c r="D804" s="172" t="s">
        <v>29</v>
      </c>
      <c r="E804" s="19"/>
      <c r="F804" s="277"/>
      <c r="G804" s="4"/>
      <c r="H804" s="47">
        <v>0.375</v>
      </c>
      <c r="I804" s="47">
        <v>0.25</v>
      </c>
      <c r="J804" s="319">
        <v>8</v>
      </c>
      <c r="K804" s="277"/>
      <c r="L804" s="4"/>
      <c r="M804" s="47">
        <v>0.375</v>
      </c>
      <c r="N804" s="47">
        <v>0.25</v>
      </c>
      <c r="O804" s="319">
        <v>8</v>
      </c>
      <c r="P804" s="277"/>
      <c r="Q804" s="4"/>
      <c r="R804" s="47">
        <v>0.375</v>
      </c>
      <c r="S804" s="47">
        <v>0.25</v>
      </c>
      <c r="T804" s="19">
        <v>8</v>
      </c>
      <c r="U804" s="277"/>
      <c r="V804" s="4"/>
      <c r="W804" s="47">
        <v>0.375</v>
      </c>
      <c r="X804" s="4">
        <v>0</v>
      </c>
      <c r="Y804" s="19">
        <v>8</v>
      </c>
      <c r="Z804" s="277"/>
      <c r="AA804" s="29">
        <f>(E802+J804+O804+T804+Y804)</f>
        <v>32</v>
      </c>
      <c r="AB804" s="298">
        <f t="shared" si="121"/>
        <v>0</v>
      </c>
      <c r="AC804" s="4"/>
      <c r="AD804" s="345"/>
      <c r="AE804" s="345"/>
      <c r="AF804" s="346"/>
      <c r="AG804" s="29">
        <f t="shared" si="122"/>
        <v>0</v>
      </c>
      <c r="AH804" s="4"/>
      <c r="AI804" s="255"/>
      <c r="AK804" s="193"/>
      <c r="AL804" s="193"/>
      <c r="AM804" s="193"/>
      <c r="AN804" s="193"/>
      <c r="AO804" s="193"/>
      <c r="AP804" s="193"/>
    </row>
    <row r="805" spans="2:42" s="180" customFormat="1">
      <c r="B805" s="418" t="s">
        <v>51</v>
      </c>
      <c r="C805" s="172" t="s">
        <v>29</v>
      </c>
      <c r="D805" s="172" t="s">
        <v>29</v>
      </c>
      <c r="E805" s="19"/>
      <c r="F805" s="277"/>
      <c r="G805" s="4"/>
      <c r="H805" s="47">
        <v>0</v>
      </c>
      <c r="I805" s="47">
        <v>0</v>
      </c>
      <c r="J805" s="319">
        <v>0</v>
      </c>
      <c r="K805" s="277"/>
      <c r="L805" s="4"/>
      <c r="M805" s="47">
        <v>0</v>
      </c>
      <c r="N805" s="47">
        <v>0</v>
      </c>
      <c r="O805" s="319">
        <v>0</v>
      </c>
      <c r="P805" s="277"/>
      <c r="Q805" s="4"/>
      <c r="R805" s="16" t="s">
        <v>114</v>
      </c>
      <c r="S805" s="16" t="s">
        <v>29</v>
      </c>
      <c r="T805" s="19">
        <v>8</v>
      </c>
      <c r="U805" s="277"/>
      <c r="V805" s="4"/>
      <c r="W805" s="47">
        <v>0</v>
      </c>
      <c r="X805" s="47">
        <v>0</v>
      </c>
      <c r="Y805" s="19">
        <v>0</v>
      </c>
      <c r="Z805" s="277"/>
      <c r="AA805" s="29">
        <f>(E805+J805+O805+T805+Y805)</f>
        <v>8</v>
      </c>
      <c r="AB805" s="298">
        <f t="shared" si="121"/>
        <v>0</v>
      </c>
      <c r="AC805" s="4"/>
      <c r="AD805" s="345"/>
      <c r="AE805" s="345"/>
      <c r="AF805" s="346"/>
      <c r="AG805" s="29">
        <f t="shared" si="122"/>
        <v>0</v>
      </c>
      <c r="AH805" s="4"/>
      <c r="AI805" s="255"/>
      <c r="AK805" s="193"/>
      <c r="AL805" s="193"/>
      <c r="AM805" s="193"/>
      <c r="AN805" s="193"/>
      <c r="AO805" s="193"/>
      <c r="AP805" s="193"/>
    </row>
    <row r="806" spans="2:42" s="180" customFormat="1">
      <c r="B806" s="418" t="s">
        <v>53</v>
      </c>
      <c r="C806" s="172" t="s">
        <v>29</v>
      </c>
      <c r="D806" s="172" t="s">
        <v>29</v>
      </c>
      <c r="E806" s="19"/>
      <c r="F806" s="277"/>
      <c r="G806" s="4"/>
      <c r="H806" s="47">
        <v>0</v>
      </c>
      <c r="I806" s="47">
        <v>0</v>
      </c>
      <c r="J806" s="319">
        <v>0</v>
      </c>
      <c r="K806" s="277"/>
      <c r="L806" s="4"/>
      <c r="M806" s="47">
        <v>0.375</v>
      </c>
      <c r="N806" s="47">
        <v>0.25</v>
      </c>
      <c r="O806" s="319">
        <v>8</v>
      </c>
      <c r="P806" s="277"/>
      <c r="Q806" s="4"/>
      <c r="R806" s="47">
        <v>0.35416666666666669</v>
      </c>
      <c r="S806" s="47">
        <v>0.25</v>
      </c>
      <c r="T806" s="19">
        <v>8</v>
      </c>
      <c r="U806" s="277"/>
      <c r="V806" s="4"/>
      <c r="W806" s="47">
        <v>0</v>
      </c>
      <c r="X806" s="47">
        <v>0</v>
      </c>
      <c r="Y806" s="19">
        <v>0</v>
      </c>
      <c r="Z806" s="277"/>
      <c r="AA806" s="29">
        <f>(E806+J806+O806+T806+Y806)</f>
        <v>16</v>
      </c>
      <c r="AB806" s="298">
        <f t="shared" si="121"/>
        <v>0</v>
      </c>
      <c r="AC806" s="4"/>
      <c r="AD806" s="345"/>
      <c r="AE806" s="345"/>
      <c r="AF806" s="346"/>
      <c r="AG806" s="29">
        <f t="shared" si="122"/>
        <v>0</v>
      </c>
      <c r="AH806" s="4"/>
      <c r="AI806" s="255"/>
      <c r="AK806" s="193"/>
      <c r="AL806" s="193"/>
      <c r="AM806" s="193"/>
      <c r="AN806" s="193"/>
      <c r="AO806" s="193"/>
      <c r="AP806" s="193"/>
    </row>
    <row r="807" spans="2:42" s="180" customFormat="1">
      <c r="B807" s="418" t="s">
        <v>35</v>
      </c>
      <c r="C807" s="172" t="s">
        <v>29</v>
      </c>
      <c r="D807" s="172" t="s">
        <v>29</v>
      </c>
      <c r="E807" s="19"/>
      <c r="F807" s="277"/>
      <c r="G807" s="4"/>
      <c r="H807" s="47">
        <v>0.40625</v>
      </c>
      <c r="I807" s="47">
        <v>0.25</v>
      </c>
      <c r="J807" s="319">
        <v>7.25</v>
      </c>
      <c r="K807" s="277"/>
      <c r="L807" s="4"/>
      <c r="M807" s="47">
        <v>0.375</v>
      </c>
      <c r="N807" s="47">
        <v>0.25</v>
      </c>
      <c r="O807" s="319">
        <v>8</v>
      </c>
      <c r="P807" s="277"/>
      <c r="Q807" s="4"/>
      <c r="R807" s="47">
        <v>0.36458333333333331</v>
      </c>
      <c r="S807" s="47">
        <v>0.25</v>
      </c>
      <c r="T807" s="19">
        <v>8</v>
      </c>
      <c r="U807" s="277"/>
      <c r="V807" s="4"/>
      <c r="W807" s="47">
        <v>0.39583333333333331</v>
      </c>
      <c r="X807" s="47">
        <v>0.25</v>
      </c>
      <c r="Y807" s="19">
        <v>7.5</v>
      </c>
      <c r="Z807" s="277"/>
      <c r="AA807" s="29">
        <f>(E807+J807+O807+T807+Y807)</f>
        <v>30.75</v>
      </c>
      <c r="AB807" s="298">
        <f t="shared" si="121"/>
        <v>0</v>
      </c>
      <c r="AC807" s="4"/>
      <c r="AD807" s="376">
        <v>0.41666666666666669</v>
      </c>
      <c r="AE807" s="376">
        <v>0.20833333333333334</v>
      </c>
      <c r="AF807" s="346">
        <v>6</v>
      </c>
      <c r="AG807" s="29">
        <f t="shared" si="122"/>
        <v>6</v>
      </c>
      <c r="AH807" s="4"/>
      <c r="AI807" s="255"/>
      <c r="AK807" s="193"/>
      <c r="AL807" s="193"/>
      <c r="AM807" s="193"/>
      <c r="AN807" s="193"/>
      <c r="AO807" s="193"/>
      <c r="AP807" s="193"/>
    </row>
    <row r="808" spans="2:42" s="180" customFormat="1">
      <c r="B808" s="418" t="s">
        <v>115</v>
      </c>
      <c r="C808" s="172" t="s">
        <v>29</v>
      </c>
      <c r="D808" s="172" t="s">
        <v>29</v>
      </c>
      <c r="E808" s="19"/>
      <c r="F808" s="277"/>
      <c r="G808" s="4"/>
      <c r="H808" s="47">
        <v>0.36458333333333331</v>
      </c>
      <c r="I808" s="47">
        <v>0.25</v>
      </c>
      <c r="J808" s="19">
        <v>8</v>
      </c>
      <c r="K808" s="277"/>
      <c r="L808" s="4"/>
      <c r="M808" s="47">
        <v>0.36458333333333331</v>
      </c>
      <c r="N808" s="47">
        <v>0.25</v>
      </c>
      <c r="O808" s="319">
        <v>8</v>
      </c>
      <c r="P808" s="277"/>
      <c r="Q808" s="4"/>
      <c r="R808" s="47">
        <v>0.36458333333333331</v>
      </c>
      <c r="S808" s="47">
        <v>0.25</v>
      </c>
      <c r="T808" s="19">
        <v>8</v>
      </c>
      <c r="U808" s="277"/>
      <c r="V808" s="4"/>
      <c r="W808" s="47">
        <v>0.36458333333333331</v>
      </c>
      <c r="X808" s="47">
        <v>0.25</v>
      </c>
      <c r="Y808" s="19">
        <v>8</v>
      </c>
      <c r="Z808" s="277"/>
      <c r="AA808" s="29">
        <f t="shared" ref="AA808:AA824" si="123">(E808+J808+O808+T808+Y808)</f>
        <v>32</v>
      </c>
      <c r="AB808" s="298">
        <f t="shared" ref="AB808:AB827" si="124">Z808+U808+P808+K808+F808</f>
        <v>0</v>
      </c>
      <c r="AC808" s="4"/>
      <c r="AD808" s="345"/>
      <c r="AE808" s="345"/>
      <c r="AF808" s="346"/>
      <c r="AG808" s="29">
        <f t="shared" si="122"/>
        <v>0</v>
      </c>
      <c r="AH808" s="4"/>
      <c r="AI808" s="255"/>
      <c r="AK808" s="193"/>
      <c r="AL808" s="193"/>
      <c r="AM808" s="193"/>
      <c r="AN808" s="193"/>
      <c r="AO808" s="193"/>
      <c r="AP808" s="193"/>
    </row>
    <row r="809" spans="2:42" s="180" customFormat="1">
      <c r="B809" s="418" t="s">
        <v>46</v>
      </c>
      <c r="C809" s="172" t="s">
        <v>29</v>
      </c>
      <c r="D809" s="172" t="s">
        <v>29</v>
      </c>
      <c r="E809" s="19"/>
      <c r="F809" s="277"/>
      <c r="G809" s="4"/>
      <c r="H809" s="47">
        <v>0.38541666666666669</v>
      </c>
      <c r="I809" s="47">
        <v>0.25</v>
      </c>
      <c r="J809" s="319">
        <v>7.75</v>
      </c>
      <c r="K809" s="277"/>
      <c r="L809" s="4"/>
      <c r="M809" s="47">
        <v>0.375</v>
      </c>
      <c r="N809" s="47">
        <v>0.25</v>
      </c>
      <c r="O809" s="319">
        <v>8</v>
      </c>
      <c r="P809" s="277"/>
      <c r="Q809" s="4"/>
      <c r="R809" s="47">
        <v>0.35416666666666669</v>
      </c>
      <c r="S809" s="47">
        <v>0.25</v>
      </c>
      <c r="T809" s="19">
        <v>8</v>
      </c>
      <c r="U809" s="277"/>
      <c r="V809" s="4"/>
      <c r="W809" s="47">
        <v>0.34375</v>
      </c>
      <c r="X809" s="47">
        <v>0.25</v>
      </c>
      <c r="Y809" s="19">
        <v>8</v>
      </c>
      <c r="Z809" s="277"/>
      <c r="AA809" s="29">
        <f t="shared" si="123"/>
        <v>31.75</v>
      </c>
      <c r="AB809" s="298">
        <f t="shared" si="124"/>
        <v>0</v>
      </c>
      <c r="AC809" s="4"/>
      <c r="AD809" s="376">
        <v>0.35416666666666669</v>
      </c>
      <c r="AE809" s="376">
        <v>0.20833333333333334</v>
      </c>
      <c r="AF809" s="346">
        <v>7.5</v>
      </c>
      <c r="AG809" s="29">
        <f t="shared" si="122"/>
        <v>7.5</v>
      </c>
      <c r="AH809" s="4"/>
      <c r="AI809" s="255"/>
      <c r="AK809" s="193"/>
      <c r="AL809" s="193"/>
      <c r="AM809" s="193"/>
      <c r="AN809" s="193"/>
      <c r="AO809" s="193"/>
      <c r="AP809" s="193"/>
    </row>
    <row r="810" spans="2:42" s="180" customFormat="1">
      <c r="B810" s="419" t="s">
        <v>43</v>
      </c>
      <c r="C810" s="172" t="s">
        <v>29</v>
      </c>
      <c r="D810" s="172" t="s">
        <v>29</v>
      </c>
      <c r="E810" s="19"/>
      <c r="F810" s="277"/>
      <c r="G810" s="4"/>
      <c r="H810" s="47">
        <v>0.35416666666666669</v>
      </c>
      <c r="I810" s="47">
        <v>0.25</v>
      </c>
      <c r="J810" s="19">
        <v>8</v>
      </c>
      <c r="K810" s="277"/>
      <c r="L810" s="4"/>
      <c r="M810" s="47">
        <v>0.34375</v>
      </c>
      <c r="N810" s="47">
        <v>0.25</v>
      </c>
      <c r="O810" s="319">
        <v>8</v>
      </c>
      <c r="P810" s="277"/>
      <c r="Q810" s="4"/>
      <c r="R810" s="47">
        <v>0.34375</v>
      </c>
      <c r="S810" s="47">
        <v>0.25</v>
      </c>
      <c r="T810" s="19">
        <v>8</v>
      </c>
      <c r="U810" s="277"/>
      <c r="V810" s="4"/>
      <c r="W810" s="47">
        <v>0.34375</v>
      </c>
      <c r="X810" s="47">
        <v>0.25</v>
      </c>
      <c r="Y810" s="19">
        <v>8</v>
      </c>
      <c r="Z810" s="277"/>
      <c r="AA810" s="29">
        <f t="shared" si="123"/>
        <v>32</v>
      </c>
      <c r="AB810" s="298">
        <f t="shared" si="124"/>
        <v>0</v>
      </c>
      <c r="AC810" s="4"/>
      <c r="AD810" s="345"/>
      <c r="AE810" s="345"/>
      <c r="AF810" s="346"/>
      <c r="AG810" s="29">
        <f t="shared" si="122"/>
        <v>0</v>
      </c>
      <c r="AH810" s="4"/>
      <c r="AI810" s="255"/>
      <c r="AK810" s="193"/>
      <c r="AL810" s="193"/>
      <c r="AM810" s="193"/>
      <c r="AN810" s="193"/>
      <c r="AO810" s="193"/>
      <c r="AP810" s="193"/>
    </row>
    <row r="811" spans="2:42" s="180" customFormat="1">
      <c r="B811" s="419" t="s">
        <v>113</v>
      </c>
      <c r="C811" s="172" t="s">
        <v>29</v>
      </c>
      <c r="D811" s="172" t="s">
        <v>29</v>
      </c>
      <c r="E811" s="19"/>
      <c r="F811" s="277"/>
      <c r="G811" s="4"/>
      <c r="H811" s="47">
        <v>0.375</v>
      </c>
      <c r="I811" s="47">
        <v>0.25</v>
      </c>
      <c r="J811" s="19">
        <v>8</v>
      </c>
      <c r="K811" s="277"/>
      <c r="L811" s="4"/>
      <c r="M811" s="47">
        <v>0.34375</v>
      </c>
      <c r="N811" s="47">
        <v>0.25</v>
      </c>
      <c r="O811" s="319">
        <v>8</v>
      </c>
      <c r="P811" s="277"/>
      <c r="Q811" s="4"/>
      <c r="R811" s="47">
        <v>0.36458333333333331</v>
      </c>
      <c r="S811" s="47">
        <v>0.25</v>
      </c>
      <c r="T811" s="19">
        <v>8</v>
      </c>
      <c r="U811" s="277"/>
      <c r="V811" s="4"/>
      <c r="W811" s="47">
        <v>0.375</v>
      </c>
      <c r="X811" s="47">
        <v>0.25</v>
      </c>
      <c r="Y811" s="19">
        <v>8</v>
      </c>
      <c r="Z811" s="277"/>
      <c r="AA811" s="29">
        <f t="shared" si="123"/>
        <v>32</v>
      </c>
      <c r="AB811" s="298">
        <f t="shared" si="124"/>
        <v>0</v>
      </c>
      <c r="AC811" s="4"/>
      <c r="AD811" s="376">
        <v>0.38541666666666669</v>
      </c>
      <c r="AE811" s="376">
        <v>0.20833333333333334</v>
      </c>
      <c r="AF811" s="346"/>
      <c r="AG811" s="29">
        <f t="shared" si="122"/>
        <v>0</v>
      </c>
      <c r="AH811" s="4"/>
      <c r="AI811" s="255"/>
      <c r="AK811" s="193"/>
      <c r="AL811" s="193"/>
      <c r="AM811" s="193"/>
      <c r="AN811" s="193"/>
      <c r="AO811" s="193"/>
      <c r="AP811" s="193"/>
    </row>
    <row r="812" spans="2:42" s="180" customFormat="1">
      <c r="B812" s="418" t="s">
        <v>108</v>
      </c>
      <c r="C812" s="172" t="s">
        <v>29</v>
      </c>
      <c r="D812" s="172" t="s">
        <v>29</v>
      </c>
      <c r="E812" s="19"/>
      <c r="F812" s="277"/>
      <c r="G812" s="4"/>
      <c r="H812" s="47">
        <v>0.35416666666666669</v>
      </c>
      <c r="I812" s="47">
        <v>0.25</v>
      </c>
      <c r="J812" s="19">
        <v>8</v>
      </c>
      <c r="K812" s="277"/>
      <c r="L812" s="4"/>
      <c r="M812" s="47">
        <v>0.375</v>
      </c>
      <c r="N812" s="47">
        <v>0.25</v>
      </c>
      <c r="O812" s="319">
        <v>8</v>
      </c>
      <c r="P812" s="277"/>
      <c r="Q812" s="4"/>
      <c r="R812" s="47">
        <v>0.34375</v>
      </c>
      <c r="S812" s="47">
        <v>0.25</v>
      </c>
      <c r="T812" s="19">
        <v>8</v>
      </c>
      <c r="U812" s="277"/>
      <c r="V812" s="4"/>
      <c r="W812" s="47">
        <v>0.34375</v>
      </c>
      <c r="X812" s="47">
        <v>0.25</v>
      </c>
      <c r="Y812" s="19">
        <v>8</v>
      </c>
      <c r="Z812" s="277"/>
      <c r="AA812" s="29">
        <f t="shared" si="123"/>
        <v>32</v>
      </c>
      <c r="AB812" s="298">
        <f t="shared" si="124"/>
        <v>0</v>
      </c>
      <c r="AC812" s="4"/>
      <c r="AD812" s="376">
        <v>0.34375</v>
      </c>
      <c r="AE812" s="376">
        <v>0.20833333333333334</v>
      </c>
      <c r="AF812" s="346">
        <v>7.75</v>
      </c>
      <c r="AG812" s="29">
        <f t="shared" ref="AG812:AG825" si="125">AF812</f>
        <v>7.75</v>
      </c>
      <c r="AH812" s="4"/>
      <c r="AI812" s="255"/>
      <c r="AK812" s="193"/>
      <c r="AL812" s="193"/>
      <c r="AM812" s="193"/>
      <c r="AN812" s="193"/>
      <c r="AO812" s="193"/>
      <c r="AP812" s="193"/>
    </row>
    <row r="813" spans="2:42" s="180" customFormat="1">
      <c r="B813" s="418" t="s">
        <v>44</v>
      </c>
      <c r="C813" s="172" t="s">
        <v>29</v>
      </c>
      <c r="D813" s="172" t="s">
        <v>29</v>
      </c>
      <c r="E813" s="19"/>
      <c r="F813" s="277"/>
      <c r="G813" s="4"/>
      <c r="H813" s="47">
        <v>0</v>
      </c>
      <c r="I813" s="47">
        <v>0</v>
      </c>
      <c r="J813" s="19">
        <v>0</v>
      </c>
      <c r="K813" s="277"/>
      <c r="L813" s="4"/>
      <c r="M813" s="47">
        <v>0.38541666666666669</v>
      </c>
      <c r="N813" s="47">
        <v>0.25</v>
      </c>
      <c r="O813" s="319">
        <v>7.75</v>
      </c>
      <c r="P813" s="277"/>
      <c r="Q813" s="4"/>
      <c r="R813" s="47">
        <v>0.375</v>
      </c>
      <c r="S813" s="47">
        <v>0.25</v>
      </c>
      <c r="T813" s="19">
        <v>8</v>
      </c>
      <c r="U813" s="277"/>
      <c r="V813" s="4"/>
      <c r="W813" s="47">
        <v>0.375</v>
      </c>
      <c r="X813" s="47">
        <v>0.25</v>
      </c>
      <c r="Y813" s="19">
        <v>8</v>
      </c>
      <c r="Z813" s="277"/>
      <c r="AA813" s="29">
        <f t="shared" si="123"/>
        <v>23.75</v>
      </c>
      <c r="AB813" s="298">
        <f t="shared" si="124"/>
        <v>0</v>
      </c>
      <c r="AC813" s="4"/>
      <c r="AD813" s="345"/>
      <c r="AE813" s="345"/>
      <c r="AF813" s="346"/>
      <c r="AG813" s="29">
        <f t="shared" si="125"/>
        <v>0</v>
      </c>
      <c r="AH813" s="4"/>
      <c r="AI813" s="255"/>
      <c r="AK813" s="193"/>
      <c r="AL813" s="193"/>
      <c r="AM813" s="193"/>
      <c r="AN813" s="193"/>
      <c r="AO813" s="193"/>
      <c r="AP813" s="193"/>
    </row>
    <row r="814" spans="2:42" s="180" customFormat="1">
      <c r="B814" s="418" t="s">
        <v>45</v>
      </c>
      <c r="C814" s="172" t="s">
        <v>29</v>
      </c>
      <c r="D814" s="172" t="s">
        <v>29</v>
      </c>
      <c r="E814" s="19"/>
      <c r="F814" s="277"/>
      <c r="G814" s="4"/>
      <c r="H814" s="47">
        <v>0</v>
      </c>
      <c r="I814" s="47">
        <v>0</v>
      </c>
      <c r="J814" s="19">
        <v>0</v>
      </c>
      <c r="K814" s="277"/>
      <c r="L814" s="4"/>
      <c r="M814" s="47">
        <v>0.375</v>
      </c>
      <c r="N814" s="47">
        <v>0.25</v>
      </c>
      <c r="O814" s="319">
        <v>8</v>
      </c>
      <c r="P814" s="277"/>
      <c r="Q814" s="4"/>
      <c r="R814" s="47">
        <v>0.38541666666666669</v>
      </c>
      <c r="S814" s="47">
        <v>0.25</v>
      </c>
      <c r="T814" s="19">
        <v>7.75</v>
      </c>
      <c r="U814" s="277"/>
      <c r="V814" s="4"/>
      <c r="W814" s="47">
        <v>0.375</v>
      </c>
      <c r="X814" s="47">
        <v>0.25</v>
      </c>
      <c r="Y814" s="19">
        <v>8</v>
      </c>
      <c r="Z814" s="277"/>
      <c r="AA814" s="29">
        <f t="shared" si="123"/>
        <v>23.75</v>
      </c>
      <c r="AB814" s="298">
        <f t="shared" si="124"/>
        <v>0</v>
      </c>
      <c r="AC814" s="4"/>
      <c r="AD814" s="345"/>
      <c r="AE814" s="345"/>
      <c r="AF814" s="346"/>
      <c r="AG814" s="29">
        <f t="shared" si="125"/>
        <v>0</v>
      </c>
      <c r="AH814" s="4"/>
      <c r="AI814" s="255"/>
      <c r="AK814" s="193"/>
      <c r="AL814" s="193"/>
      <c r="AM814" s="193"/>
      <c r="AN814" s="193"/>
      <c r="AO814" s="193"/>
      <c r="AP814" s="193"/>
    </row>
    <row r="815" spans="2:42" s="180" customFormat="1">
      <c r="B815" s="418" t="s">
        <v>112</v>
      </c>
      <c r="C815" s="172" t="s">
        <v>29</v>
      </c>
      <c r="D815" s="172" t="s">
        <v>29</v>
      </c>
      <c r="E815" s="19"/>
      <c r="F815" s="277"/>
      <c r="G815" s="4"/>
      <c r="H815" s="47">
        <v>0.375</v>
      </c>
      <c r="I815" s="47">
        <v>0.25</v>
      </c>
      <c r="J815" s="19">
        <v>8</v>
      </c>
      <c r="K815" s="277"/>
      <c r="L815" s="4"/>
      <c r="M815" s="47">
        <v>0.375</v>
      </c>
      <c r="N815" s="47">
        <v>0.25</v>
      </c>
      <c r="O815" s="19">
        <v>8</v>
      </c>
      <c r="P815" s="277"/>
      <c r="Q815" s="4"/>
      <c r="R815" s="47">
        <v>0.375</v>
      </c>
      <c r="S815" s="47">
        <v>0.25</v>
      </c>
      <c r="T815" s="19">
        <v>8</v>
      </c>
      <c r="U815" s="277"/>
      <c r="V815" s="4"/>
      <c r="W815" s="47">
        <v>0.375</v>
      </c>
      <c r="X815" s="47">
        <v>0.25</v>
      </c>
      <c r="Y815" s="19">
        <v>8</v>
      </c>
      <c r="Z815" s="277"/>
      <c r="AA815" s="29">
        <f t="shared" si="123"/>
        <v>32</v>
      </c>
      <c r="AB815" s="298">
        <f t="shared" si="124"/>
        <v>0</v>
      </c>
      <c r="AC815" s="4"/>
      <c r="AD815" s="410"/>
      <c r="AE815" s="4"/>
      <c r="AF815" s="19"/>
      <c r="AG815" s="29">
        <f t="shared" si="125"/>
        <v>0</v>
      </c>
      <c r="AH815" s="4"/>
      <c r="AI815" s="255"/>
      <c r="AK815" s="193"/>
      <c r="AL815" s="193"/>
      <c r="AM815" s="193"/>
      <c r="AN815" s="193"/>
      <c r="AO815" s="193"/>
      <c r="AP815" s="193"/>
    </row>
    <row r="816" spans="2:42" s="180" customFormat="1">
      <c r="B816" s="418" t="s">
        <v>96</v>
      </c>
      <c r="C816" s="172" t="s">
        <v>29</v>
      </c>
      <c r="D816" s="172" t="s">
        <v>29</v>
      </c>
      <c r="E816" s="19"/>
      <c r="F816" s="277"/>
      <c r="G816" s="4"/>
      <c r="H816" s="47">
        <v>0.35416666666666669</v>
      </c>
      <c r="I816" s="47">
        <v>0.25</v>
      </c>
      <c r="J816" s="19">
        <v>8</v>
      </c>
      <c r="K816" s="277"/>
      <c r="L816" s="4"/>
      <c r="M816" s="47">
        <v>0.375</v>
      </c>
      <c r="N816" s="47">
        <v>0.25</v>
      </c>
      <c r="O816" s="19">
        <v>8</v>
      </c>
      <c r="P816" s="277"/>
      <c r="Q816" s="4"/>
      <c r="R816" s="47">
        <v>0.36458333333333331</v>
      </c>
      <c r="S816" s="47">
        <v>0.25</v>
      </c>
      <c r="T816" s="19">
        <v>8</v>
      </c>
      <c r="U816" s="277"/>
      <c r="V816" s="4"/>
      <c r="W816" s="47">
        <v>0</v>
      </c>
      <c r="X816" s="47">
        <v>0</v>
      </c>
      <c r="Y816" s="19">
        <v>0</v>
      </c>
      <c r="Z816" s="277"/>
      <c r="AA816" s="29">
        <f t="shared" si="123"/>
        <v>24</v>
      </c>
      <c r="AB816" s="298">
        <f t="shared" si="124"/>
        <v>0</v>
      </c>
      <c r="AC816" s="4"/>
      <c r="AD816" s="4"/>
      <c r="AE816" s="4"/>
      <c r="AF816" s="19"/>
      <c r="AG816" s="29">
        <f t="shared" si="125"/>
        <v>0</v>
      </c>
      <c r="AH816" s="4"/>
      <c r="AI816" s="255"/>
      <c r="AK816" s="193"/>
      <c r="AL816" s="193"/>
      <c r="AM816" s="193"/>
      <c r="AN816" s="193"/>
      <c r="AO816" s="193"/>
      <c r="AP816" s="193"/>
    </row>
    <row r="817" spans="2:42" s="180" customFormat="1">
      <c r="B817" s="418" t="s">
        <v>42</v>
      </c>
      <c r="C817" s="172" t="s">
        <v>29</v>
      </c>
      <c r="D817" s="172" t="s">
        <v>29</v>
      </c>
      <c r="E817" s="19"/>
      <c r="F817" s="277"/>
      <c r="G817" s="4"/>
      <c r="H817" s="47">
        <v>0.36458333333333331</v>
      </c>
      <c r="I817" s="47">
        <v>0.25</v>
      </c>
      <c r="J817" s="19">
        <v>8</v>
      </c>
      <c r="K817" s="277"/>
      <c r="L817" s="4"/>
      <c r="M817" s="47">
        <v>0.36458333333333331</v>
      </c>
      <c r="N817" s="47">
        <v>0.25</v>
      </c>
      <c r="O817" s="19">
        <v>8</v>
      </c>
      <c r="P817" s="277"/>
      <c r="Q817" s="4"/>
      <c r="R817" s="47">
        <v>0.375</v>
      </c>
      <c r="S817" s="47">
        <v>0.25</v>
      </c>
      <c r="T817" s="19">
        <v>8</v>
      </c>
      <c r="U817" s="277"/>
      <c r="V817" s="4"/>
      <c r="W817" s="47">
        <v>0.35416666666666669</v>
      </c>
      <c r="X817" s="47">
        <v>0.25</v>
      </c>
      <c r="Y817" s="19">
        <v>8</v>
      </c>
      <c r="Z817" s="277"/>
      <c r="AA817" s="29">
        <f t="shared" si="123"/>
        <v>32</v>
      </c>
      <c r="AB817" s="298">
        <f t="shared" si="124"/>
        <v>0</v>
      </c>
      <c r="AC817" s="4"/>
      <c r="AD817" s="47">
        <v>0.375</v>
      </c>
      <c r="AE817" s="47">
        <v>0.20833333333333334</v>
      </c>
      <c r="AF817" s="19">
        <v>7</v>
      </c>
      <c r="AG817" s="29">
        <f t="shared" si="125"/>
        <v>7</v>
      </c>
      <c r="AH817" s="4"/>
      <c r="AI817" s="255"/>
      <c r="AK817" s="193"/>
      <c r="AL817" s="193"/>
      <c r="AM817" s="193"/>
      <c r="AN817" s="193"/>
      <c r="AO817" s="193"/>
      <c r="AP817" s="193"/>
    </row>
    <row r="818" spans="2:42" s="180" customFormat="1">
      <c r="B818" s="13" t="s">
        <v>54</v>
      </c>
      <c r="C818" s="172" t="s">
        <v>29</v>
      </c>
      <c r="D818" s="172" t="s">
        <v>29</v>
      </c>
      <c r="E818" s="19"/>
      <c r="F818" s="277"/>
      <c r="G818" s="4"/>
      <c r="H818" s="16" t="s">
        <v>29</v>
      </c>
      <c r="I818" s="16" t="s">
        <v>29</v>
      </c>
      <c r="J818" s="19">
        <v>0</v>
      </c>
      <c r="K818" s="277"/>
      <c r="L818" s="4"/>
      <c r="M818" s="16" t="s">
        <v>29</v>
      </c>
      <c r="N818" s="16" t="s">
        <v>29</v>
      </c>
      <c r="O818" s="19">
        <v>0</v>
      </c>
      <c r="P818" s="277"/>
      <c r="Q818" s="4"/>
      <c r="R818" s="16" t="s">
        <v>29</v>
      </c>
      <c r="S818" s="16" t="s">
        <v>29</v>
      </c>
      <c r="T818" s="19">
        <v>0</v>
      </c>
      <c r="U818" s="277"/>
      <c r="V818" s="4"/>
      <c r="W818" s="16" t="s">
        <v>29</v>
      </c>
      <c r="X818" s="16" t="s">
        <v>29</v>
      </c>
      <c r="Y818" s="19">
        <v>0</v>
      </c>
      <c r="Z818" s="277"/>
      <c r="AA818" s="29">
        <f t="shared" si="123"/>
        <v>0</v>
      </c>
      <c r="AB818" s="298">
        <f t="shared" si="124"/>
        <v>0</v>
      </c>
      <c r="AC818" s="4"/>
      <c r="AD818" s="4"/>
      <c r="AE818" s="4"/>
      <c r="AF818" s="19"/>
      <c r="AG818" s="29">
        <f t="shared" si="125"/>
        <v>0</v>
      </c>
      <c r="AH818" s="4"/>
      <c r="AI818" s="255"/>
      <c r="AK818" s="193"/>
      <c r="AL818" s="193"/>
      <c r="AM818" s="193"/>
      <c r="AN818" s="193"/>
      <c r="AO818" s="193"/>
      <c r="AP818" s="193"/>
    </row>
    <row r="819" spans="2:42" s="180" customFormat="1">
      <c r="B819" s="13" t="s">
        <v>55</v>
      </c>
      <c r="C819" s="172" t="s">
        <v>29</v>
      </c>
      <c r="D819" s="172" t="s">
        <v>29</v>
      </c>
      <c r="E819" s="19"/>
      <c r="F819" s="277"/>
      <c r="G819" s="4"/>
      <c r="H819" s="16" t="s">
        <v>29</v>
      </c>
      <c r="I819" s="16" t="s">
        <v>29</v>
      </c>
      <c r="J819" s="19">
        <v>0</v>
      </c>
      <c r="K819" s="277"/>
      <c r="L819" s="4"/>
      <c r="M819" s="16" t="s">
        <v>29</v>
      </c>
      <c r="N819" s="16" t="s">
        <v>29</v>
      </c>
      <c r="O819" s="19">
        <v>0</v>
      </c>
      <c r="P819" s="277"/>
      <c r="Q819" s="4"/>
      <c r="R819" s="16" t="s">
        <v>29</v>
      </c>
      <c r="S819" s="16" t="s">
        <v>29</v>
      </c>
      <c r="T819" s="19">
        <v>0</v>
      </c>
      <c r="U819" s="277"/>
      <c r="V819" s="4"/>
      <c r="W819" s="16" t="s">
        <v>29</v>
      </c>
      <c r="X819" s="16" t="s">
        <v>29</v>
      </c>
      <c r="Y819" s="19">
        <v>0</v>
      </c>
      <c r="Z819" s="277"/>
      <c r="AA819" s="29">
        <f t="shared" si="123"/>
        <v>0</v>
      </c>
      <c r="AB819" s="298">
        <f t="shared" si="124"/>
        <v>0</v>
      </c>
      <c r="AC819" s="4"/>
      <c r="AD819" s="4"/>
      <c r="AE819" s="4"/>
      <c r="AF819" s="19"/>
      <c r="AG819" s="29">
        <f t="shared" si="125"/>
        <v>0</v>
      </c>
      <c r="AH819" s="4"/>
      <c r="AI819" s="255"/>
      <c r="AK819" s="193"/>
      <c r="AL819" s="193"/>
      <c r="AM819" s="193"/>
      <c r="AN819" s="193"/>
      <c r="AO819" s="193"/>
      <c r="AP819" s="193"/>
    </row>
    <row r="820" spans="2:42" s="180" customFormat="1">
      <c r="B820" s="166" t="s">
        <v>48</v>
      </c>
      <c r="C820" s="16" t="s">
        <v>29</v>
      </c>
      <c r="D820" s="16" t="s">
        <v>29</v>
      </c>
      <c r="E820" s="19"/>
      <c r="F820" s="277"/>
      <c r="G820" s="4"/>
      <c r="H820" s="16" t="s">
        <v>29</v>
      </c>
      <c r="I820" s="16" t="s">
        <v>29</v>
      </c>
      <c r="J820" s="19">
        <v>8</v>
      </c>
      <c r="K820" s="277"/>
      <c r="L820" s="4"/>
      <c r="M820" s="16" t="s">
        <v>29</v>
      </c>
      <c r="N820" s="16" t="s">
        <v>29</v>
      </c>
      <c r="O820" s="19">
        <v>8</v>
      </c>
      <c r="P820" s="277"/>
      <c r="Q820" s="4"/>
      <c r="R820" s="16" t="s">
        <v>29</v>
      </c>
      <c r="S820" s="16" t="s">
        <v>29</v>
      </c>
      <c r="T820" s="19">
        <v>8</v>
      </c>
      <c r="U820" s="277"/>
      <c r="V820" s="4"/>
      <c r="W820" s="16" t="s">
        <v>29</v>
      </c>
      <c r="X820" s="16" t="s">
        <v>29</v>
      </c>
      <c r="Y820" s="19">
        <v>8</v>
      </c>
      <c r="Z820" s="277"/>
      <c r="AA820" s="29">
        <f t="shared" si="123"/>
        <v>32</v>
      </c>
      <c r="AB820" s="298">
        <f t="shared" si="124"/>
        <v>0</v>
      </c>
      <c r="AC820" s="4"/>
      <c r="AD820" s="4"/>
      <c r="AE820" s="4"/>
      <c r="AF820" s="19"/>
      <c r="AG820" s="29">
        <f t="shared" si="125"/>
        <v>0</v>
      </c>
      <c r="AH820" s="4"/>
      <c r="AI820" s="255"/>
      <c r="AK820" s="193"/>
      <c r="AL820" s="193"/>
      <c r="AM820" s="193"/>
      <c r="AN820" s="193"/>
      <c r="AO820" s="193"/>
      <c r="AP820" s="193"/>
    </row>
    <row r="821" spans="2:42" s="180" customFormat="1">
      <c r="B821" s="166" t="s">
        <v>49</v>
      </c>
      <c r="C821" s="47" t="s">
        <v>29</v>
      </c>
      <c r="D821" s="47" t="s">
        <v>29</v>
      </c>
      <c r="E821" s="19"/>
      <c r="F821" s="277"/>
      <c r="G821" s="4"/>
      <c r="H821" s="47" t="s">
        <v>29</v>
      </c>
      <c r="I821" s="47" t="s">
        <v>29</v>
      </c>
      <c r="J821" s="19">
        <v>8</v>
      </c>
      <c r="K821" s="277"/>
      <c r="L821" s="4"/>
      <c r="M821" s="47" t="s">
        <v>29</v>
      </c>
      <c r="N821" s="47" t="s">
        <v>29</v>
      </c>
      <c r="O821" s="19">
        <v>8</v>
      </c>
      <c r="P821" s="277"/>
      <c r="Q821" s="4"/>
      <c r="R821" s="47" t="s">
        <v>29</v>
      </c>
      <c r="S821" s="47" t="s">
        <v>29</v>
      </c>
      <c r="T821" s="19">
        <v>8</v>
      </c>
      <c r="U821" s="277"/>
      <c r="V821" s="4"/>
      <c r="W821" s="47" t="s">
        <v>29</v>
      </c>
      <c r="X821" s="47" t="s">
        <v>29</v>
      </c>
      <c r="Y821" s="19">
        <v>8</v>
      </c>
      <c r="Z821" s="277"/>
      <c r="AA821" s="29">
        <f t="shared" si="123"/>
        <v>32</v>
      </c>
      <c r="AB821" s="298">
        <f t="shared" si="124"/>
        <v>0</v>
      </c>
      <c r="AC821" s="4"/>
      <c r="AD821" s="4"/>
      <c r="AE821" s="4"/>
      <c r="AF821" s="19"/>
      <c r="AG821" s="29">
        <f t="shared" si="125"/>
        <v>0</v>
      </c>
      <c r="AH821" s="4"/>
      <c r="AI821" s="255"/>
      <c r="AK821" s="193"/>
      <c r="AL821" s="193"/>
      <c r="AM821" s="193"/>
      <c r="AN821" s="193"/>
      <c r="AO821" s="193"/>
      <c r="AP821" s="193"/>
    </row>
    <row r="822" spans="2:42" s="180" customFormat="1">
      <c r="B822" s="166" t="s">
        <v>107</v>
      </c>
      <c r="C822" s="47" t="s">
        <v>29</v>
      </c>
      <c r="D822" s="47" t="s">
        <v>29</v>
      </c>
      <c r="E822" s="19"/>
      <c r="F822" s="277"/>
      <c r="G822" s="4"/>
      <c r="H822" s="47" t="s">
        <v>29</v>
      </c>
      <c r="I822" s="47" t="s">
        <v>29</v>
      </c>
      <c r="J822" s="19">
        <v>8</v>
      </c>
      <c r="K822" s="277"/>
      <c r="L822" s="4"/>
      <c r="M822" s="47" t="s">
        <v>29</v>
      </c>
      <c r="N822" s="47" t="s">
        <v>29</v>
      </c>
      <c r="O822" s="19">
        <v>8</v>
      </c>
      <c r="P822" s="277"/>
      <c r="Q822" s="4"/>
      <c r="R822" s="47" t="s">
        <v>29</v>
      </c>
      <c r="S822" s="47" t="s">
        <v>29</v>
      </c>
      <c r="T822" s="19">
        <v>8</v>
      </c>
      <c r="U822" s="277"/>
      <c r="V822" s="4"/>
      <c r="W822" s="47" t="s">
        <v>29</v>
      </c>
      <c r="X822" s="47" t="s">
        <v>29</v>
      </c>
      <c r="Y822" s="19">
        <v>8</v>
      </c>
      <c r="Z822" s="277"/>
      <c r="AA822" s="29">
        <f t="shared" si="123"/>
        <v>32</v>
      </c>
      <c r="AB822" s="298">
        <f t="shared" si="124"/>
        <v>0</v>
      </c>
      <c r="AC822" s="4"/>
      <c r="AD822" s="4"/>
      <c r="AE822" s="4"/>
      <c r="AF822" s="19"/>
      <c r="AG822" s="29">
        <f t="shared" si="125"/>
        <v>0</v>
      </c>
      <c r="AH822" s="4"/>
      <c r="AI822" s="255"/>
      <c r="AK822" s="193"/>
      <c r="AL822" s="193"/>
      <c r="AM822" s="193"/>
      <c r="AN822" s="193"/>
      <c r="AO822" s="193"/>
      <c r="AP822" s="193"/>
    </row>
    <row r="823" spans="2:42" s="180" customFormat="1">
      <c r="B823" s="166" t="s">
        <v>59</v>
      </c>
      <c r="C823" s="47" t="s">
        <v>29</v>
      </c>
      <c r="D823" s="16" t="s">
        <v>29</v>
      </c>
      <c r="E823" s="19"/>
      <c r="F823" s="277"/>
      <c r="G823" s="4"/>
      <c r="H823" s="47" t="s">
        <v>29</v>
      </c>
      <c r="I823" s="16" t="s">
        <v>29</v>
      </c>
      <c r="J823" s="19">
        <v>8</v>
      </c>
      <c r="K823" s="277"/>
      <c r="L823" s="4"/>
      <c r="M823" s="47" t="s">
        <v>29</v>
      </c>
      <c r="N823" s="16" t="s">
        <v>29</v>
      </c>
      <c r="O823" s="19">
        <v>8</v>
      </c>
      <c r="P823" s="277"/>
      <c r="Q823" s="4"/>
      <c r="R823" s="47" t="s">
        <v>29</v>
      </c>
      <c r="S823" s="16" t="s">
        <v>29</v>
      </c>
      <c r="T823" s="19">
        <v>8</v>
      </c>
      <c r="U823" s="277"/>
      <c r="V823" s="4"/>
      <c r="W823" s="47" t="s">
        <v>29</v>
      </c>
      <c r="X823" s="16" t="s">
        <v>29</v>
      </c>
      <c r="Y823" s="19">
        <v>8</v>
      </c>
      <c r="Z823" s="277"/>
      <c r="AA823" s="29">
        <f t="shared" si="123"/>
        <v>32</v>
      </c>
      <c r="AB823" s="298">
        <f t="shared" si="124"/>
        <v>0</v>
      </c>
      <c r="AC823" s="4"/>
      <c r="AD823" s="4"/>
      <c r="AE823" s="4"/>
      <c r="AF823" s="19"/>
      <c r="AG823" s="29">
        <f t="shared" si="125"/>
        <v>0</v>
      </c>
      <c r="AH823" s="4"/>
      <c r="AI823" s="255"/>
      <c r="AK823" s="407"/>
      <c r="AL823" s="193"/>
      <c r="AM823" s="193"/>
      <c r="AN823" s="193"/>
      <c r="AO823" s="193"/>
      <c r="AP823" s="193"/>
    </row>
    <row r="824" spans="2:42" s="180" customFormat="1">
      <c r="B824" s="166" t="s">
        <v>60</v>
      </c>
      <c r="C824" s="16" t="s">
        <v>29</v>
      </c>
      <c r="D824" s="16" t="s">
        <v>29</v>
      </c>
      <c r="E824" s="19"/>
      <c r="F824" s="277"/>
      <c r="G824" s="4"/>
      <c r="H824" s="16" t="s">
        <v>29</v>
      </c>
      <c r="I824" s="16" t="s">
        <v>29</v>
      </c>
      <c r="J824" s="19">
        <v>8</v>
      </c>
      <c r="K824" s="277"/>
      <c r="L824" s="4"/>
      <c r="M824" s="16" t="s">
        <v>29</v>
      </c>
      <c r="N824" s="16" t="s">
        <v>29</v>
      </c>
      <c r="O824" s="19">
        <v>8</v>
      </c>
      <c r="P824" s="277"/>
      <c r="Q824" s="4"/>
      <c r="R824" s="16" t="s">
        <v>29</v>
      </c>
      <c r="S824" s="16" t="s">
        <v>29</v>
      </c>
      <c r="T824" s="19">
        <v>8</v>
      </c>
      <c r="U824" s="277"/>
      <c r="V824" s="4"/>
      <c r="W824" s="16" t="s">
        <v>29</v>
      </c>
      <c r="X824" s="16" t="s">
        <v>29</v>
      </c>
      <c r="Y824" s="19">
        <v>8</v>
      </c>
      <c r="Z824" s="277"/>
      <c r="AA824" s="29">
        <f t="shared" si="123"/>
        <v>32</v>
      </c>
      <c r="AB824" s="298">
        <f t="shared" si="124"/>
        <v>0</v>
      </c>
      <c r="AC824" s="4"/>
      <c r="AD824" s="4"/>
      <c r="AE824" s="4"/>
      <c r="AF824" s="19"/>
      <c r="AG824" s="29">
        <f t="shared" si="125"/>
        <v>0</v>
      </c>
      <c r="AH824" s="4"/>
      <c r="AI824" s="255"/>
      <c r="AK824" s="193"/>
      <c r="AL824" s="193"/>
      <c r="AM824" s="193"/>
      <c r="AN824" s="193"/>
      <c r="AO824" s="193"/>
      <c r="AP824" s="193"/>
    </row>
    <row r="825" spans="2:42" s="180" customFormat="1">
      <c r="B825" s="63" t="s">
        <v>63</v>
      </c>
      <c r="C825" s="12" t="s">
        <v>29</v>
      </c>
      <c r="D825" s="12" t="s">
        <v>29</v>
      </c>
      <c r="E825" s="19"/>
      <c r="F825" s="277"/>
      <c r="G825" s="60"/>
      <c r="H825" s="12" t="s">
        <v>29</v>
      </c>
      <c r="I825" s="12" t="s">
        <v>29</v>
      </c>
      <c r="J825" s="19">
        <v>8</v>
      </c>
      <c r="K825" s="277"/>
      <c r="L825" s="60"/>
      <c r="M825" s="16" t="s">
        <v>29</v>
      </c>
      <c r="N825" s="16" t="s">
        <v>29</v>
      </c>
      <c r="O825" s="19">
        <v>8</v>
      </c>
      <c r="P825" s="277"/>
      <c r="Q825" s="60"/>
      <c r="R825" s="16" t="s">
        <v>29</v>
      </c>
      <c r="S825" s="16" t="s">
        <v>29</v>
      </c>
      <c r="T825" s="19">
        <v>8</v>
      </c>
      <c r="U825" s="277"/>
      <c r="V825" s="60"/>
      <c r="W825" s="16" t="s">
        <v>29</v>
      </c>
      <c r="X825" s="16" t="s">
        <v>29</v>
      </c>
      <c r="Y825" s="19">
        <v>8</v>
      </c>
      <c r="Z825" s="277"/>
      <c r="AA825" s="28">
        <f>SUM(E825+J825+O825+T825+Y825)</f>
        <v>32</v>
      </c>
      <c r="AB825" s="298">
        <f t="shared" si="124"/>
        <v>0</v>
      </c>
      <c r="AC825" s="4"/>
      <c r="AD825" s="56"/>
      <c r="AE825" s="56"/>
      <c r="AF825" s="19"/>
      <c r="AG825" s="29">
        <f t="shared" si="125"/>
        <v>0</v>
      </c>
      <c r="AH825" s="4"/>
      <c r="AI825" s="255"/>
      <c r="AK825" s="193"/>
      <c r="AL825" s="193"/>
      <c r="AM825" s="193"/>
      <c r="AN825" s="193"/>
      <c r="AO825" s="193"/>
      <c r="AP825" s="193"/>
    </row>
    <row r="826" spans="2:42" s="180" customFormat="1">
      <c r="B826" s="63" t="s">
        <v>62</v>
      </c>
      <c r="C826" s="16" t="s">
        <v>29</v>
      </c>
      <c r="D826" s="16" t="s">
        <v>29</v>
      </c>
      <c r="E826" s="19"/>
      <c r="F826" s="277"/>
      <c r="G826" s="60"/>
      <c r="H826" s="16" t="s">
        <v>29</v>
      </c>
      <c r="I826" s="16" t="s">
        <v>29</v>
      </c>
      <c r="J826" s="19">
        <v>8</v>
      </c>
      <c r="K826" s="277"/>
      <c r="L826" s="60"/>
      <c r="M826" s="16" t="s">
        <v>29</v>
      </c>
      <c r="N826" s="16" t="s">
        <v>29</v>
      </c>
      <c r="O826" s="19">
        <v>8</v>
      </c>
      <c r="P826" s="277"/>
      <c r="Q826" s="60"/>
      <c r="R826" s="16" t="s">
        <v>29</v>
      </c>
      <c r="S826" s="16" t="s">
        <v>29</v>
      </c>
      <c r="T826" s="19">
        <v>8</v>
      </c>
      <c r="U826" s="277"/>
      <c r="V826" s="60"/>
      <c r="W826" s="16" t="s">
        <v>29</v>
      </c>
      <c r="X826" s="16" t="s">
        <v>29</v>
      </c>
      <c r="Y826" s="19">
        <v>8</v>
      </c>
      <c r="Z826" s="277"/>
      <c r="AA826" s="28">
        <f>SUM(E826+J826+O826+T826+Y826)</f>
        <v>32</v>
      </c>
      <c r="AB826" s="298">
        <f t="shared" si="124"/>
        <v>0</v>
      </c>
      <c r="AC826" s="4"/>
      <c r="AD826" s="56"/>
      <c r="AE826" s="56"/>
      <c r="AF826" s="19"/>
      <c r="AG826" s="29">
        <v>0</v>
      </c>
      <c r="AH826" s="4"/>
      <c r="AI826" s="255"/>
      <c r="AK826" s="193"/>
      <c r="AL826" s="193"/>
      <c r="AM826" s="193"/>
      <c r="AN826" s="193"/>
      <c r="AO826" s="193"/>
      <c r="AP826" s="193"/>
    </row>
    <row r="827" spans="2:42" s="180" customFormat="1">
      <c r="B827" s="63"/>
      <c r="C827" s="4"/>
      <c r="D827" s="4"/>
      <c r="E827" s="19"/>
      <c r="F827" s="277"/>
      <c r="G827" s="60"/>
      <c r="H827" s="4"/>
      <c r="I827" s="4"/>
      <c r="J827" s="19"/>
      <c r="K827" s="277"/>
      <c r="L827" s="60"/>
      <c r="M827" s="47"/>
      <c r="N827" s="47"/>
      <c r="O827" s="19"/>
      <c r="P827" s="277"/>
      <c r="Q827" s="60"/>
      <c r="R827" s="4"/>
      <c r="S827" s="4"/>
      <c r="T827" s="19"/>
      <c r="U827" s="277"/>
      <c r="V827" s="60"/>
      <c r="W827" s="4"/>
      <c r="X827" s="4"/>
      <c r="Y827" s="19"/>
      <c r="Z827" s="277"/>
      <c r="AA827" s="28">
        <f>SUM(E827+J827+O827+T827+Y827)</f>
        <v>0</v>
      </c>
      <c r="AB827" s="298">
        <f t="shared" si="124"/>
        <v>0</v>
      </c>
      <c r="AC827" s="4"/>
      <c r="AD827" s="56"/>
      <c r="AE827" s="56"/>
      <c r="AF827" s="19"/>
      <c r="AG827" s="29">
        <f>AF827</f>
        <v>0</v>
      </c>
      <c r="AH827" s="4"/>
      <c r="AI827" s="255"/>
      <c r="AK827" s="193"/>
      <c r="AL827" s="193"/>
      <c r="AM827" s="193"/>
      <c r="AN827" s="193"/>
      <c r="AO827" s="193"/>
      <c r="AP827" s="193"/>
    </row>
    <row r="828" spans="2:42" s="180" customFormat="1">
      <c r="B828" s="64" t="s">
        <v>61</v>
      </c>
      <c r="C828" s="64"/>
      <c r="D828" s="64"/>
      <c r="E828" s="167">
        <f>SUM(E795:E827)</f>
        <v>0</v>
      </c>
      <c r="F828" s="277">
        <f>SUM(F795:F819)</f>
        <v>0</v>
      </c>
      <c r="G828" s="64"/>
      <c r="H828" s="64"/>
      <c r="I828" s="64"/>
      <c r="J828" s="64">
        <f>SUM(J795:J827)</f>
        <v>198.25</v>
      </c>
      <c r="K828" s="277">
        <f>SUM(K795:K819)</f>
        <v>0</v>
      </c>
      <c r="L828" s="64"/>
      <c r="M828" s="64"/>
      <c r="N828" s="64"/>
      <c r="O828" s="167">
        <f>SUM(O795:O827)</f>
        <v>231.75</v>
      </c>
      <c r="P828" s="277">
        <f>SUM(P795:P824)</f>
        <v>0</v>
      </c>
      <c r="Q828" s="64"/>
      <c r="R828" s="64"/>
      <c r="S828" s="64"/>
      <c r="T828" s="167">
        <f>SUM(T795:T827)</f>
        <v>239</v>
      </c>
      <c r="U828" s="277">
        <f>SUM(U795:U824)</f>
        <v>0</v>
      </c>
      <c r="V828" s="64"/>
      <c r="W828" s="64"/>
      <c r="X828" s="64"/>
      <c r="Y828" s="167">
        <f>SUM(Y795:Y827)</f>
        <v>198.25</v>
      </c>
      <c r="Z828" s="277">
        <f>SUM(Z795:Z819)</f>
        <v>0</v>
      </c>
      <c r="AA828" s="370">
        <f>SUM(AA795:AA827)</f>
        <v>867.25</v>
      </c>
      <c r="AB828" s="289">
        <f>SUM(AB795:AB827)</f>
        <v>0</v>
      </c>
      <c r="AC828" s="4"/>
      <c r="AD828" s="64"/>
      <c r="AE828" s="64"/>
      <c r="AF828" s="167">
        <f>SUM(AF795:AF827)</f>
        <v>28.25</v>
      </c>
      <c r="AG828" s="370">
        <f>SUM(AG795:AG819)</f>
        <v>28.25</v>
      </c>
      <c r="AH828" s="4"/>
      <c r="AI828" s="255"/>
      <c r="AK828" s="193"/>
      <c r="AL828" s="193"/>
      <c r="AM828" s="193"/>
      <c r="AN828" s="193"/>
      <c r="AO828" s="193"/>
      <c r="AP828" s="193"/>
    </row>
    <row r="829" spans="2:42" s="180" customFormat="1">
      <c r="B829" s="63" t="s">
        <v>64</v>
      </c>
      <c r="C829" s="56"/>
      <c r="D829" s="56"/>
      <c r="E829" s="19">
        <v>0</v>
      </c>
      <c r="F829" s="291">
        <v>0</v>
      </c>
      <c r="G829" s="60"/>
      <c r="H829" s="56"/>
      <c r="I829" s="56"/>
      <c r="J829" s="19">
        <v>8</v>
      </c>
      <c r="K829" s="291"/>
      <c r="L829" s="60"/>
      <c r="M829" s="56"/>
      <c r="N829" s="56"/>
      <c r="O829" s="19">
        <v>8</v>
      </c>
      <c r="P829" s="19"/>
      <c r="Q829" s="60"/>
      <c r="R829" s="56"/>
      <c r="S829" s="56"/>
      <c r="T829" s="19">
        <v>8</v>
      </c>
      <c r="U829" s="19"/>
      <c r="V829" s="60"/>
      <c r="W829" s="56"/>
      <c r="X829" s="56"/>
      <c r="Y829" s="19">
        <v>8</v>
      </c>
      <c r="Z829" s="19"/>
      <c r="AA829" s="28">
        <f>SUM(E829+J829+O829+T829+Y829)</f>
        <v>32</v>
      </c>
      <c r="AB829" s="296">
        <f>Z829+U829+P829+K829+F829</f>
        <v>0</v>
      </c>
      <c r="AC829" s="4"/>
      <c r="AD829" s="56"/>
      <c r="AE829" s="56"/>
      <c r="AF829" s="19"/>
      <c r="AG829" s="29">
        <f>AF829</f>
        <v>0</v>
      </c>
      <c r="AH829" s="4"/>
      <c r="AI829" s="255"/>
      <c r="AK829" s="193"/>
      <c r="AL829" s="193"/>
      <c r="AM829" s="193"/>
      <c r="AN829" s="193"/>
      <c r="AO829" s="193"/>
      <c r="AP829" s="193"/>
    </row>
    <row r="830" spans="2:42" s="180" customFormat="1">
      <c r="B830" s="63" t="s">
        <v>110</v>
      </c>
      <c r="C830" s="56"/>
      <c r="D830" s="56"/>
      <c r="E830" s="19">
        <v>0</v>
      </c>
      <c r="F830" s="291">
        <v>0</v>
      </c>
      <c r="G830" s="60"/>
      <c r="H830" s="56"/>
      <c r="I830" s="56"/>
      <c r="J830" s="19">
        <v>3.5</v>
      </c>
      <c r="K830" s="291">
        <v>0</v>
      </c>
      <c r="L830" s="60"/>
      <c r="M830" s="56"/>
      <c r="N830" s="56"/>
      <c r="O830" s="19">
        <v>6</v>
      </c>
      <c r="P830" s="19">
        <v>0</v>
      </c>
      <c r="Q830" s="60"/>
      <c r="R830" s="56"/>
      <c r="S830" s="56"/>
      <c r="T830" s="19">
        <v>5</v>
      </c>
      <c r="U830" s="19">
        <v>0</v>
      </c>
      <c r="V830" s="60"/>
      <c r="W830" s="56"/>
      <c r="X830" s="56"/>
      <c r="Y830" s="19">
        <v>6</v>
      </c>
      <c r="Z830" s="19">
        <v>0</v>
      </c>
      <c r="AA830" s="28">
        <f>SUM(E830+J830+O830+T830+Y830)</f>
        <v>20.5</v>
      </c>
      <c r="AB830" s="296">
        <f>Z830+U830+P830+K830+F830</f>
        <v>0</v>
      </c>
      <c r="AC830" s="4"/>
      <c r="AD830" s="56"/>
      <c r="AE830" s="56"/>
      <c r="AF830" s="19"/>
      <c r="AG830" s="29">
        <f>AF830</f>
        <v>0</v>
      </c>
      <c r="AH830" s="4"/>
      <c r="AI830" s="255"/>
      <c r="AK830" s="193"/>
      <c r="AL830" s="193"/>
      <c r="AM830" s="193"/>
      <c r="AN830" s="193"/>
      <c r="AO830" s="193"/>
      <c r="AP830" s="193"/>
    </row>
    <row r="831" spans="2:42" s="180" customFormat="1">
      <c r="B831" s="71" t="s">
        <v>66</v>
      </c>
      <c r="C831" s="371"/>
      <c r="D831" s="371"/>
      <c r="E831" s="71">
        <f t="shared" ref="E831:AB831" si="126">SUM(E829:E830)</f>
        <v>0</v>
      </c>
      <c r="F831" s="71">
        <f t="shared" si="126"/>
        <v>0</v>
      </c>
      <c r="G831" s="71">
        <f t="shared" si="126"/>
        <v>0</v>
      </c>
      <c r="H831" s="71">
        <f t="shared" si="126"/>
        <v>0</v>
      </c>
      <c r="I831" s="71">
        <f t="shared" si="126"/>
        <v>0</v>
      </c>
      <c r="J831" s="71">
        <f>SUM(J829:J830)</f>
        <v>11.5</v>
      </c>
      <c r="K831" s="71">
        <f t="shared" si="126"/>
        <v>0</v>
      </c>
      <c r="L831" s="71">
        <f t="shared" si="126"/>
        <v>0</v>
      </c>
      <c r="M831" s="71">
        <f t="shared" si="126"/>
        <v>0</v>
      </c>
      <c r="N831" s="71">
        <f t="shared" si="126"/>
        <v>0</v>
      </c>
      <c r="O831" s="71">
        <f t="shared" si="126"/>
        <v>14</v>
      </c>
      <c r="P831" s="71">
        <f t="shared" si="126"/>
        <v>0</v>
      </c>
      <c r="Q831" s="71">
        <f t="shared" si="126"/>
        <v>0</v>
      </c>
      <c r="R831" s="71">
        <f t="shared" si="126"/>
        <v>0</v>
      </c>
      <c r="S831" s="71">
        <f t="shared" si="126"/>
        <v>0</v>
      </c>
      <c r="T831" s="71">
        <f t="shared" si="126"/>
        <v>13</v>
      </c>
      <c r="U831" s="71">
        <f t="shared" si="126"/>
        <v>0</v>
      </c>
      <c r="V831" s="71">
        <f t="shared" si="126"/>
        <v>0</v>
      </c>
      <c r="W831" s="71">
        <f t="shared" si="126"/>
        <v>0</v>
      </c>
      <c r="X831" s="71">
        <f t="shared" si="126"/>
        <v>0</v>
      </c>
      <c r="Y831" s="71">
        <f t="shared" si="126"/>
        <v>14</v>
      </c>
      <c r="Z831" s="71">
        <f t="shared" si="126"/>
        <v>0</v>
      </c>
      <c r="AA831" s="370">
        <f t="shared" si="126"/>
        <v>52.5</v>
      </c>
      <c r="AB831" s="370">
        <f t="shared" si="126"/>
        <v>0</v>
      </c>
      <c r="AC831" s="4"/>
      <c r="AG831" s="370">
        <f>SUM(AG829:AG830)</f>
        <v>0</v>
      </c>
      <c r="AH831" s="4"/>
      <c r="AI831" s="255"/>
      <c r="AK831" s="193"/>
      <c r="AL831" s="193"/>
      <c r="AM831" s="193"/>
      <c r="AN831" s="193"/>
      <c r="AO831" s="193"/>
      <c r="AP831" s="193"/>
    </row>
    <row r="832" spans="2:42" s="180" customFormat="1">
      <c r="B832" s="217" t="s">
        <v>67</v>
      </c>
      <c r="C832" s="207">
        <f>C833+C834</f>
        <v>88</v>
      </c>
      <c r="D832" s="207"/>
      <c r="E832" s="209"/>
      <c r="F832" s="209"/>
      <c r="G832" s="207"/>
      <c r="H832" s="209"/>
      <c r="I832" s="209"/>
      <c r="J832" s="209"/>
      <c r="K832" s="209"/>
      <c r="L832" s="207"/>
      <c r="M832" s="207"/>
      <c r="N832" s="207"/>
      <c r="O832" s="207"/>
      <c r="P832" s="209"/>
      <c r="Q832" s="207"/>
      <c r="R832" s="207"/>
      <c r="S832" s="207"/>
      <c r="T832" s="207"/>
      <c r="U832" s="209"/>
      <c r="V832" s="207"/>
      <c r="W832" s="207"/>
      <c r="X832" s="207"/>
      <c r="Y832" s="210"/>
      <c r="Z832" s="209"/>
      <c r="AA832" s="211"/>
      <c r="AB832" s="209"/>
      <c r="AC832" s="211"/>
      <c r="AD832" s="211"/>
      <c r="AE832" s="211"/>
      <c r="AF832" s="211"/>
      <c r="AG832" s="211"/>
      <c r="AH832" s="4"/>
      <c r="AI832" s="255"/>
      <c r="AK832" s="193"/>
      <c r="AL832" s="193"/>
      <c r="AM832" s="193"/>
      <c r="AN832" s="193"/>
      <c r="AO832" s="193"/>
      <c r="AP832" s="193"/>
    </row>
    <row r="833" spans="1:42" s="180" customFormat="1">
      <c r="B833" s="238" t="s">
        <v>68</v>
      </c>
      <c r="C833" s="239">
        <f>15+18+15+16+5</f>
        <v>69</v>
      </c>
      <c r="D833" s="207"/>
      <c r="E833" s="209"/>
      <c r="F833" s="209"/>
      <c r="G833" s="207"/>
      <c r="H833" s="209"/>
      <c r="I833" s="209"/>
      <c r="J833" s="209"/>
      <c r="K833" s="209"/>
      <c r="L833" s="207"/>
      <c r="M833" s="207"/>
      <c r="N833" s="207"/>
      <c r="O833" s="207"/>
      <c r="P833" s="209"/>
      <c r="Q833" s="207"/>
      <c r="R833" s="207"/>
      <c r="S833" s="207"/>
      <c r="T833" s="207"/>
      <c r="U833" s="209"/>
      <c r="V833" s="207"/>
      <c r="W833" s="207"/>
      <c r="X833" s="207"/>
      <c r="Y833" s="210"/>
      <c r="Z833" s="209"/>
      <c r="AA833" s="211"/>
      <c r="AB833" s="209"/>
      <c r="AC833" s="211"/>
      <c r="AD833" s="211"/>
      <c r="AE833" s="211"/>
      <c r="AF833" s="211"/>
      <c r="AG833" s="211"/>
      <c r="AH833" s="4"/>
      <c r="AI833" s="255"/>
      <c r="AK833" s="193"/>
      <c r="AL833" s="193"/>
      <c r="AM833" s="193"/>
      <c r="AN833" s="193"/>
      <c r="AO833" s="193"/>
      <c r="AP833" s="193"/>
    </row>
    <row r="834" spans="1:42" s="180" customFormat="1">
      <c r="B834" s="238" t="s">
        <v>69</v>
      </c>
      <c r="C834" s="239">
        <v>19</v>
      </c>
      <c r="D834" s="207"/>
      <c r="E834" s="209"/>
      <c r="F834" s="209"/>
      <c r="G834" s="207"/>
      <c r="H834" s="209"/>
      <c r="I834" s="209"/>
      <c r="J834" s="209"/>
      <c r="K834" s="209"/>
      <c r="L834" s="207"/>
      <c r="M834" s="207"/>
      <c r="N834" s="207"/>
      <c r="O834" s="207"/>
      <c r="P834" s="209"/>
      <c r="Q834" s="207"/>
      <c r="R834" s="207"/>
      <c r="S834" s="207"/>
      <c r="T834" s="207"/>
      <c r="U834" s="209"/>
      <c r="V834" s="207"/>
      <c r="W834" s="207"/>
      <c r="X834" s="207"/>
      <c r="Y834" s="210"/>
      <c r="Z834" s="209"/>
      <c r="AA834" s="211"/>
      <c r="AB834" s="209"/>
      <c r="AC834" s="211"/>
      <c r="AD834" s="211"/>
      <c r="AE834" s="211"/>
      <c r="AF834" s="211"/>
      <c r="AG834" s="211"/>
      <c r="AH834" s="4"/>
      <c r="AI834" s="255"/>
      <c r="AK834" s="193"/>
      <c r="AL834" s="193"/>
      <c r="AM834" s="193"/>
      <c r="AN834" s="193"/>
      <c r="AO834" s="193"/>
      <c r="AP834" s="193"/>
    </row>
    <row r="835" spans="1:42">
      <c r="B835" s="180"/>
      <c r="E835" s="4"/>
      <c r="F835" s="4"/>
      <c r="G835" s="4"/>
      <c r="J835" s="4"/>
      <c r="K835" s="4"/>
      <c r="L835" s="4"/>
      <c r="O835" s="4"/>
      <c r="P835" s="4"/>
      <c r="T835" s="4"/>
      <c r="U835" s="4"/>
      <c r="Y835" s="4"/>
      <c r="Z835" s="4"/>
      <c r="AA835" s="4"/>
      <c r="AB835" s="4"/>
      <c r="AC835" s="4"/>
    </row>
    <row r="836" spans="1:42" s="255" customFormat="1">
      <c r="A836" s="228"/>
      <c r="B836" s="229"/>
      <c r="C836" s="230"/>
      <c r="D836" s="230"/>
      <c r="E836" s="232"/>
      <c r="F836" s="232"/>
      <c r="G836" s="230"/>
      <c r="H836" s="232"/>
      <c r="I836" s="232"/>
      <c r="J836" s="232"/>
      <c r="K836" s="232"/>
      <c r="L836" s="230"/>
      <c r="M836" s="230"/>
      <c r="N836" s="230"/>
      <c r="O836" s="230"/>
      <c r="P836" s="232"/>
      <c r="Q836" s="230"/>
      <c r="R836" s="230"/>
      <c r="S836" s="230"/>
      <c r="T836" s="230"/>
      <c r="U836" s="232"/>
      <c r="V836" s="230"/>
      <c r="W836" s="230"/>
      <c r="X836" s="230"/>
      <c r="Y836" s="233"/>
      <c r="Z836" s="232"/>
      <c r="AA836" s="234"/>
      <c r="AB836" s="232"/>
      <c r="AC836" s="373"/>
      <c r="AD836" s="236"/>
      <c r="AH836" s="373"/>
    </row>
    <row r="837" spans="1:42" s="180" customFormat="1">
      <c r="E837" s="4"/>
      <c r="F837" s="4"/>
      <c r="G837" s="4"/>
      <c r="J837" s="4"/>
      <c r="K837" s="4"/>
      <c r="L837" s="4"/>
      <c r="O837" s="4"/>
      <c r="P837" s="4"/>
      <c r="Q837" s="4"/>
      <c r="T837" s="4"/>
      <c r="U837" s="4"/>
      <c r="V837" s="4"/>
      <c r="Y837" s="4"/>
      <c r="Z837" s="4"/>
      <c r="AA837" s="4"/>
      <c r="AB837" s="4"/>
      <c r="AC837" s="4"/>
      <c r="AH837" s="4"/>
    </row>
    <row r="838" spans="1:42" s="180" customFormat="1">
      <c r="B838" s="1518" t="s">
        <v>18</v>
      </c>
      <c r="C838" s="1519">
        <v>45313</v>
      </c>
      <c r="D838" s="1519"/>
      <c r="E838" s="1519"/>
      <c r="F838" s="1519"/>
      <c r="G838" s="365"/>
      <c r="H838" s="1519">
        <v>45314</v>
      </c>
      <c r="I838" s="1519"/>
      <c r="J838" s="1519"/>
      <c r="K838" s="1519"/>
      <c r="L838" s="365"/>
      <c r="M838" s="1519">
        <v>45315</v>
      </c>
      <c r="N838" s="1519"/>
      <c r="O838" s="1519"/>
      <c r="P838" s="1519"/>
      <c r="Q838" s="365"/>
      <c r="R838" s="1519">
        <v>45316</v>
      </c>
      <c r="S838" s="1519"/>
      <c r="T838" s="1519"/>
      <c r="U838" s="1519"/>
      <c r="V838" s="365"/>
      <c r="W838" s="1519">
        <v>45317</v>
      </c>
      <c r="X838" s="1519"/>
      <c r="Y838" s="1519"/>
      <c r="Z838" s="1519"/>
      <c r="AA838" s="1517" t="s">
        <v>19</v>
      </c>
      <c r="AB838" s="1517" t="s">
        <v>20</v>
      </c>
      <c r="AC838" s="4"/>
      <c r="AD838" s="1519">
        <v>45318</v>
      </c>
      <c r="AE838" s="1519"/>
      <c r="AF838" s="1519"/>
      <c r="AG838" s="1517" t="s">
        <v>21</v>
      </c>
      <c r="AH838" s="4"/>
      <c r="AI838" s="255"/>
      <c r="AK838" s="194" t="s">
        <v>84</v>
      </c>
      <c r="AL838" s="366"/>
      <c r="AM838" s="366"/>
      <c r="AN838" s="366"/>
      <c r="AO838" s="366"/>
      <c r="AP838" s="366"/>
    </row>
    <row r="839" spans="1:42" s="367" customFormat="1">
      <c r="B839" s="1518"/>
      <c r="C839" s="21" t="s">
        <v>23</v>
      </c>
      <c r="D839" s="21" t="s">
        <v>24</v>
      </c>
      <c r="E839" s="205" t="s">
        <v>25</v>
      </c>
      <c r="F839" s="18" t="s">
        <v>14</v>
      </c>
      <c r="G839" s="4"/>
      <c r="H839" s="21" t="s">
        <v>23</v>
      </c>
      <c r="I839" s="21" t="s">
        <v>24</v>
      </c>
      <c r="J839" s="18" t="s">
        <v>25</v>
      </c>
      <c r="K839" s="18" t="s">
        <v>14</v>
      </c>
      <c r="L839" s="4"/>
      <c r="M839" s="21" t="s">
        <v>23</v>
      </c>
      <c r="N839" s="21" t="s">
        <v>24</v>
      </c>
      <c r="O839" s="18" t="s">
        <v>25</v>
      </c>
      <c r="P839" s="18" t="s">
        <v>14</v>
      </c>
      <c r="Q839" s="4"/>
      <c r="R839" s="21" t="s">
        <v>23</v>
      </c>
      <c r="S839" s="21" t="s">
        <v>24</v>
      </c>
      <c r="T839" s="18" t="s">
        <v>25</v>
      </c>
      <c r="U839" s="18" t="s">
        <v>14</v>
      </c>
      <c r="V839" s="4"/>
      <c r="W839" s="21" t="s">
        <v>23</v>
      </c>
      <c r="X839" s="21" t="s">
        <v>24</v>
      </c>
      <c r="Y839" s="18" t="s">
        <v>25</v>
      </c>
      <c r="Z839" s="18" t="s">
        <v>14</v>
      </c>
      <c r="AA839" s="1517"/>
      <c r="AB839" s="1517"/>
      <c r="AC839" s="4"/>
      <c r="AD839" s="21" t="s">
        <v>23</v>
      </c>
      <c r="AE839" s="21" t="s">
        <v>24</v>
      </c>
      <c r="AF839" s="18" t="s">
        <v>25</v>
      </c>
      <c r="AG839" s="1517"/>
      <c r="AH839" s="175"/>
      <c r="AI839" s="368"/>
      <c r="AK839" s="188" t="s">
        <v>26</v>
      </c>
      <c r="AL839" s="196">
        <f>AA871</f>
        <v>750</v>
      </c>
      <c r="AM839" s="193"/>
      <c r="AN839" s="193"/>
      <c r="AO839" s="193"/>
      <c r="AP839" s="193"/>
    </row>
    <row r="840" spans="1:42" s="367" customFormat="1">
      <c r="B840" s="171" t="s">
        <v>71</v>
      </c>
      <c r="C840" s="172" t="s">
        <v>114</v>
      </c>
      <c r="D840" s="172" t="s">
        <v>29</v>
      </c>
      <c r="E840" s="173">
        <v>8</v>
      </c>
      <c r="F840" s="277"/>
      <c r="G840" s="4"/>
      <c r="H840" s="172">
        <v>0.36458333333333331</v>
      </c>
      <c r="I840" s="172">
        <v>0.21875</v>
      </c>
      <c r="J840" s="173">
        <v>7.25</v>
      </c>
      <c r="K840" s="277"/>
      <c r="L840" s="4"/>
      <c r="M840" s="47">
        <v>0.375</v>
      </c>
      <c r="N840" s="47">
        <v>0.25</v>
      </c>
      <c r="O840" s="19">
        <v>8</v>
      </c>
      <c r="P840" s="277"/>
      <c r="Q840" s="4"/>
      <c r="R840" s="47">
        <v>0.38541666666666669</v>
      </c>
      <c r="S840" s="47">
        <v>0.25</v>
      </c>
      <c r="T840" s="19">
        <v>7.75</v>
      </c>
      <c r="U840" s="277"/>
      <c r="V840" s="4"/>
      <c r="W840" s="47"/>
      <c r="X840" s="47"/>
      <c r="Y840" s="19"/>
      <c r="Z840" s="277"/>
      <c r="AA840" s="28">
        <f t="shared" ref="AA840:AA843" si="127">(E840+J840+O840+T840+Y840)</f>
        <v>31</v>
      </c>
      <c r="AB840" s="298">
        <f t="shared" ref="AB840:AB843" si="128">Z840+U840+P840+K840+F840</f>
        <v>0</v>
      </c>
      <c r="AC840" s="4"/>
      <c r="AD840" s="175"/>
      <c r="AE840" s="175"/>
      <c r="AF840" s="173"/>
      <c r="AG840" s="28">
        <f t="shared" ref="AG840:AG845" si="129">AF840</f>
        <v>0</v>
      </c>
      <c r="AH840" s="175"/>
      <c r="AI840" s="368"/>
      <c r="AK840" s="188" t="s">
        <v>30</v>
      </c>
      <c r="AL840" s="196">
        <f>AB871</f>
        <v>0</v>
      </c>
      <c r="AM840" s="193"/>
      <c r="AN840" s="193"/>
      <c r="AO840" s="193"/>
      <c r="AP840" s="193"/>
    </row>
    <row r="841" spans="1:42" s="367" customFormat="1">
      <c r="B841" s="171" t="s">
        <v>72</v>
      </c>
      <c r="C841" s="172" t="s">
        <v>114</v>
      </c>
      <c r="D841" s="172" t="s">
        <v>29</v>
      </c>
      <c r="E841" s="173">
        <v>8</v>
      </c>
      <c r="F841" s="277"/>
      <c r="G841" s="4"/>
      <c r="H841" s="47">
        <v>0.35416666666666669</v>
      </c>
      <c r="I841" s="172">
        <v>0.21875</v>
      </c>
      <c r="J841" s="173">
        <v>7.25</v>
      </c>
      <c r="K841" s="277"/>
      <c r="L841" s="4"/>
      <c r="M841" s="172">
        <v>0.36458333333333331</v>
      </c>
      <c r="N841" s="47">
        <v>0.25</v>
      </c>
      <c r="O841" s="19">
        <v>8</v>
      </c>
      <c r="P841" s="277"/>
      <c r="Q841" s="4"/>
      <c r="R841" s="47">
        <v>0.35416666666666669</v>
      </c>
      <c r="S841" s="47">
        <v>0.25</v>
      </c>
      <c r="T841" s="19">
        <v>8</v>
      </c>
      <c r="U841" s="277"/>
      <c r="V841" s="4"/>
      <c r="W841" s="47"/>
      <c r="X841" s="47"/>
      <c r="Y841" s="19"/>
      <c r="Z841" s="277"/>
      <c r="AA841" s="28">
        <f t="shared" si="127"/>
        <v>31.25</v>
      </c>
      <c r="AB841" s="298">
        <f t="shared" si="128"/>
        <v>0</v>
      </c>
      <c r="AC841" s="4"/>
      <c r="AD841" s="175"/>
      <c r="AE841" s="175"/>
      <c r="AF841" s="173"/>
      <c r="AG841" s="28">
        <f t="shared" si="129"/>
        <v>0</v>
      </c>
      <c r="AH841" s="175"/>
      <c r="AI841" s="368"/>
      <c r="AK841" s="188" t="s">
        <v>32</v>
      </c>
      <c r="AL841" s="196">
        <f>AG871</f>
        <v>0</v>
      </c>
      <c r="AM841" s="193"/>
      <c r="AN841" s="193"/>
      <c r="AO841" s="193"/>
      <c r="AP841" s="193"/>
    </row>
    <row r="842" spans="1:42" s="401" customFormat="1">
      <c r="B842" s="171" t="s">
        <v>91</v>
      </c>
      <c r="C842" s="172">
        <v>0.375</v>
      </c>
      <c r="D842" s="172">
        <v>0.16666666666666666</v>
      </c>
      <c r="E842" s="19">
        <v>6</v>
      </c>
      <c r="F842" s="277"/>
      <c r="G842" s="399"/>
      <c r="H842" s="47">
        <v>0.375</v>
      </c>
      <c r="I842" s="172">
        <v>0.21875</v>
      </c>
      <c r="J842" s="19">
        <v>7.25</v>
      </c>
      <c r="K842" s="277"/>
      <c r="L842" s="399"/>
      <c r="M842" s="47">
        <v>0.38541666666666669</v>
      </c>
      <c r="N842" s="47">
        <v>0.25</v>
      </c>
      <c r="O842" s="19">
        <v>7.75</v>
      </c>
      <c r="P842" s="277"/>
      <c r="Q842" s="399"/>
      <c r="R842" s="47">
        <v>0.375</v>
      </c>
      <c r="S842" s="47">
        <v>0.25</v>
      </c>
      <c r="T842" s="19">
        <v>8</v>
      </c>
      <c r="U842" s="277"/>
      <c r="V842" s="399"/>
      <c r="W842" s="47"/>
      <c r="X842" s="47"/>
      <c r="Y842" s="19"/>
      <c r="Z842" s="277"/>
      <c r="AA842" s="29">
        <f t="shared" si="127"/>
        <v>29</v>
      </c>
      <c r="AB842" s="298">
        <f t="shared" si="128"/>
        <v>0</v>
      </c>
      <c r="AC842" s="399"/>
      <c r="AD842" s="345"/>
      <c r="AE842" s="345"/>
      <c r="AF842" s="346"/>
      <c r="AG842" s="29">
        <f t="shared" si="129"/>
        <v>0</v>
      </c>
      <c r="AH842" s="399"/>
      <c r="AI842" s="402"/>
      <c r="AK842" s="403" t="s">
        <v>34</v>
      </c>
      <c r="AL842" s="404">
        <f>AA872</f>
        <v>28.5</v>
      </c>
      <c r="AM842" s="405"/>
      <c r="AN842" s="405"/>
      <c r="AO842" s="405"/>
      <c r="AP842" s="405"/>
    </row>
    <row r="843" spans="1:42" s="180" customFormat="1">
      <c r="B843" s="171" t="s">
        <v>52</v>
      </c>
      <c r="C843" s="172" t="s">
        <v>114</v>
      </c>
      <c r="D843" s="172" t="s">
        <v>29</v>
      </c>
      <c r="E843" s="319">
        <v>8</v>
      </c>
      <c r="F843" s="277"/>
      <c r="G843" s="175"/>
      <c r="H843" s="47">
        <v>0</v>
      </c>
      <c r="I843" s="314">
        <v>0</v>
      </c>
      <c r="J843" s="319">
        <v>0</v>
      </c>
      <c r="K843" s="277"/>
      <c r="L843" s="175"/>
      <c r="M843" s="47">
        <v>0.35416666666666669</v>
      </c>
      <c r="N843" s="47">
        <v>0.25</v>
      </c>
      <c r="O843" s="19">
        <v>8</v>
      </c>
      <c r="P843" s="277"/>
      <c r="Q843" s="175"/>
      <c r="R843" s="47">
        <v>0.38541666666666669</v>
      </c>
      <c r="S843" s="47">
        <v>0.25</v>
      </c>
      <c r="T843" s="19">
        <v>7.75</v>
      </c>
      <c r="U843" s="277"/>
      <c r="V843" s="175"/>
      <c r="W843" s="47"/>
      <c r="X843" s="47"/>
      <c r="Y843" s="19"/>
      <c r="Z843" s="277"/>
      <c r="AA843" s="344">
        <f t="shared" si="127"/>
        <v>23.75</v>
      </c>
      <c r="AB843" s="298">
        <f t="shared" si="128"/>
        <v>0</v>
      </c>
      <c r="AC843" s="175"/>
      <c r="AD843" s="345"/>
      <c r="AE843" s="345"/>
      <c r="AF843" s="346"/>
      <c r="AG843" s="344">
        <f t="shared" si="129"/>
        <v>0</v>
      </c>
      <c r="AH843" s="4"/>
      <c r="AI843" s="255"/>
      <c r="AK843" s="188" t="s">
        <v>36</v>
      </c>
      <c r="AL843" s="196">
        <f>AB872</f>
        <v>0</v>
      </c>
      <c r="AM843" s="193"/>
      <c r="AN843" s="193"/>
      <c r="AO843" s="193"/>
      <c r="AP843" s="193"/>
    </row>
    <row r="844" spans="1:42" s="367" customFormat="1">
      <c r="B844" s="171" t="s">
        <v>39</v>
      </c>
      <c r="C844" s="172" t="s">
        <v>29</v>
      </c>
      <c r="D844" s="172" t="s">
        <v>29</v>
      </c>
      <c r="E844" s="19">
        <v>0</v>
      </c>
      <c r="F844" s="277"/>
      <c r="G844" s="4"/>
      <c r="H844" s="47">
        <v>0.375</v>
      </c>
      <c r="I844" s="314">
        <v>0.21875</v>
      </c>
      <c r="J844" s="319">
        <v>7.25</v>
      </c>
      <c r="K844" s="277"/>
      <c r="L844" s="4"/>
      <c r="M844" s="47">
        <v>0.375</v>
      </c>
      <c r="N844" s="47">
        <v>0.25</v>
      </c>
      <c r="O844" s="19">
        <v>8</v>
      </c>
      <c r="P844" s="277"/>
      <c r="Q844" s="4"/>
      <c r="R844" s="47">
        <v>0.375</v>
      </c>
      <c r="S844" s="47">
        <v>0.25</v>
      </c>
      <c r="T844" s="19">
        <v>8</v>
      </c>
      <c r="U844" s="277"/>
      <c r="V844" s="4"/>
      <c r="W844" s="47"/>
      <c r="X844" s="47"/>
      <c r="Y844" s="19"/>
      <c r="Z844" s="277"/>
      <c r="AA844" s="344">
        <f>(E844+J844+O844+T844+Y844)</f>
        <v>23.25</v>
      </c>
      <c r="AB844" s="298">
        <f>Z844+U844+P844+K844+F844</f>
        <v>0</v>
      </c>
      <c r="AC844" s="4"/>
      <c r="AD844" s="345"/>
      <c r="AE844" s="345"/>
      <c r="AF844" s="346"/>
      <c r="AG844" s="29">
        <f t="shared" si="129"/>
        <v>0</v>
      </c>
      <c r="AH844" s="175"/>
      <c r="AI844" s="368"/>
      <c r="AK844" s="188" t="s">
        <v>38</v>
      </c>
      <c r="AL844" s="196">
        <f>AG872</f>
        <v>0</v>
      </c>
      <c r="AM844" s="193"/>
      <c r="AN844" s="193"/>
      <c r="AO844" s="193"/>
      <c r="AP844" s="193"/>
    </row>
    <row r="845" spans="1:42" s="180" customFormat="1">
      <c r="B845" s="418" t="s">
        <v>109</v>
      </c>
      <c r="C845" s="172" t="s">
        <v>116</v>
      </c>
      <c r="D845" s="172">
        <v>0</v>
      </c>
      <c r="E845" s="19">
        <v>0</v>
      </c>
      <c r="F845" s="277"/>
      <c r="G845" s="4"/>
      <c r="H845" s="47">
        <v>0.36458333333333331</v>
      </c>
      <c r="I845" s="314">
        <v>0.21875</v>
      </c>
      <c r="J845" s="319">
        <v>7.25</v>
      </c>
      <c r="K845" s="277"/>
      <c r="L845" s="4"/>
      <c r="M845" s="47">
        <v>0.36458333333333331</v>
      </c>
      <c r="N845" s="47">
        <v>0.25</v>
      </c>
      <c r="O845" s="19">
        <v>8</v>
      </c>
      <c r="P845" s="277"/>
      <c r="Q845" s="4"/>
      <c r="R845" s="47" t="s">
        <v>116</v>
      </c>
      <c r="S845" s="47">
        <v>0</v>
      </c>
      <c r="T845" s="19">
        <v>0</v>
      </c>
      <c r="U845" s="277"/>
      <c r="V845" s="4"/>
      <c r="W845" s="47"/>
      <c r="X845" s="47"/>
      <c r="Y845" s="19"/>
      <c r="Z845" s="277"/>
      <c r="AA845" s="29">
        <f t="shared" ref="AA845:AA858" si="130">(E844+J845+O845+T845+Y845)</f>
        <v>15.25</v>
      </c>
      <c r="AB845" s="298">
        <f t="shared" ref="AB845:AB858" si="131">Z845+U845+P845+K845+F844</f>
        <v>0</v>
      </c>
      <c r="AC845" s="4"/>
      <c r="AD845" s="345"/>
      <c r="AE845" s="345"/>
      <c r="AF845" s="346"/>
      <c r="AG845" s="29">
        <f t="shared" si="129"/>
        <v>0</v>
      </c>
      <c r="AH845" s="4"/>
      <c r="AI845" s="255"/>
      <c r="AK845" s="188" t="s">
        <v>41</v>
      </c>
      <c r="AL845" s="196">
        <f>C875</f>
        <v>68</v>
      </c>
      <c r="AM845" s="369"/>
      <c r="AN845" s="369"/>
      <c r="AO845" s="369"/>
      <c r="AP845" s="369"/>
    </row>
    <row r="846" spans="1:42" s="180" customFormat="1">
      <c r="B846" s="418" t="s">
        <v>93</v>
      </c>
      <c r="C846" s="172" t="s">
        <v>116</v>
      </c>
      <c r="D846" s="172">
        <v>0</v>
      </c>
      <c r="E846" s="19">
        <v>0</v>
      </c>
      <c r="F846" s="277"/>
      <c r="G846" s="4"/>
      <c r="H846" s="47" t="s">
        <v>116</v>
      </c>
      <c r="I846" s="314">
        <v>0</v>
      </c>
      <c r="J846" s="319">
        <v>0</v>
      </c>
      <c r="K846" s="277"/>
      <c r="L846" s="4"/>
      <c r="M846" s="47" t="s">
        <v>116</v>
      </c>
      <c r="N846" s="314">
        <v>0</v>
      </c>
      <c r="O846" s="19">
        <v>0</v>
      </c>
      <c r="P846" s="277"/>
      <c r="Q846" s="4"/>
      <c r="R846" s="47" t="s">
        <v>116</v>
      </c>
      <c r="S846" s="314">
        <v>0</v>
      </c>
      <c r="T846" s="19">
        <v>0</v>
      </c>
      <c r="U846" s="277"/>
      <c r="V846" s="4"/>
      <c r="W846" s="47"/>
      <c r="X846" s="47"/>
      <c r="Y846" s="19"/>
      <c r="Z846" s="277"/>
      <c r="AA846" s="29">
        <f t="shared" si="130"/>
        <v>0</v>
      </c>
      <c r="AB846" s="298">
        <f t="shared" si="131"/>
        <v>0</v>
      </c>
      <c r="AC846" s="4"/>
      <c r="AD846" s="345"/>
      <c r="AE846" s="345"/>
      <c r="AF846" s="346"/>
      <c r="AG846" s="29">
        <f t="shared" ref="AG846:AG855" si="132">AF846</f>
        <v>0</v>
      </c>
      <c r="AH846" s="4"/>
      <c r="AI846" s="255"/>
      <c r="AK846" s="193"/>
      <c r="AL846" s="193"/>
      <c r="AM846" s="193"/>
      <c r="AN846" s="193"/>
      <c r="AO846" s="193"/>
      <c r="AP846" s="193"/>
    </row>
    <row r="847" spans="1:42" s="180" customFormat="1">
      <c r="B847" s="418" t="s">
        <v>97</v>
      </c>
      <c r="C847" s="172">
        <v>0.35416666666666669</v>
      </c>
      <c r="D847" s="172">
        <v>0.16666666666666666</v>
      </c>
      <c r="E847" s="19">
        <v>6.5</v>
      </c>
      <c r="F847" s="277"/>
      <c r="G847" s="4"/>
      <c r="H847" s="47">
        <v>0.36458333333333331</v>
      </c>
      <c r="I847" s="314">
        <v>0.21875</v>
      </c>
      <c r="J847" s="319">
        <v>7.25</v>
      </c>
      <c r="K847" s="277"/>
      <c r="L847" s="4"/>
      <c r="M847" s="47">
        <v>0.375</v>
      </c>
      <c r="N847" s="47">
        <v>0.25</v>
      </c>
      <c r="O847" s="19">
        <v>8</v>
      </c>
      <c r="P847" s="277"/>
      <c r="Q847" s="4"/>
      <c r="R847" s="47">
        <v>0.375</v>
      </c>
      <c r="S847" s="47">
        <v>0.25</v>
      </c>
      <c r="T847" s="19">
        <v>8</v>
      </c>
      <c r="U847" s="277"/>
      <c r="V847" s="4"/>
      <c r="W847" s="47"/>
      <c r="X847" s="47"/>
      <c r="Y847" s="19"/>
      <c r="Z847" s="277"/>
      <c r="AA847" s="29">
        <f>(E847+J847+O847+T847+Y847)</f>
        <v>29.75</v>
      </c>
      <c r="AB847" s="298">
        <f t="shared" si="131"/>
        <v>0</v>
      </c>
      <c r="AC847" s="4"/>
      <c r="AD847" s="345"/>
      <c r="AE847" s="345"/>
      <c r="AF847" s="346"/>
      <c r="AG847" s="29">
        <f t="shared" si="132"/>
        <v>0</v>
      </c>
      <c r="AH847" s="4"/>
      <c r="AI847" s="255"/>
      <c r="AK847" s="193"/>
      <c r="AL847" s="193"/>
      <c r="AM847" s="193"/>
      <c r="AN847" s="193"/>
      <c r="AO847" s="193"/>
      <c r="AP847" s="193"/>
    </row>
    <row r="848" spans="1:42" s="180" customFormat="1">
      <c r="B848" s="418" t="s">
        <v>53</v>
      </c>
      <c r="C848" s="172">
        <v>0</v>
      </c>
      <c r="D848" s="172">
        <v>0</v>
      </c>
      <c r="E848" s="19">
        <v>0</v>
      </c>
      <c r="F848" s="277"/>
      <c r="G848" s="4"/>
      <c r="H848" s="47">
        <v>0</v>
      </c>
      <c r="I848" s="47">
        <v>0</v>
      </c>
      <c r="J848" s="319">
        <v>0</v>
      </c>
      <c r="K848" s="277"/>
      <c r="L848" s="4"/>
      <c r="M848" s="47">
        <v>0.36458333333333331</v>
      </c>
      <c r="N848" s="47">
        <v>0.25</v>
      </c>
      <c r="O848" s="19">
        <v>8</v>
      </c>
      <c r="P848" s="277"/>
      <c r="Q848" s="4"/>
      <c r="R848" s="47">
        <v>0</v>
      </c>
      <c r="S848" s="47">
        <v>0</v>
      </c>
      <c r="T848" s="19">
        <v>0</v>
      </c>
      <c r="U848" s="277"/>
      <c r="V848" s="4"/>
      <c r="W848" s="47"/>
      <c r="X848" s="47"/>
      <c r="Y848" s="19"/>
      <c r="Z848" s="277"/>
      <c r="AA848" s="29">
        <f t="shared" si="130"/>
        <v>14.5</v>
      </c>
      <c r="AB848" s="298">
        <f t="shared" si="131"/>
        <v>0</v>
      </c>
      <c r="AC848" s="4"/>
      <c r="AD848" s="345"/>
      <c r="AE848" s="345"/>
      <c r="AF848" s="346"/>
      <c r="AG848" s="29">
        <f t="shared" si="132"/>
        <v>0</v>
      </c>
      <c r="AH848" s="4"/>
      <c r="AI848" s="255"/>
      <c r="AK848" s="193"/>
      <c r="AL848" s="193"/>
      <c r="AM848" s="193"/>
      <c r="AN848" s="193"/>
      <c r="AO848" s="193"/>
      <c r="AP848" s="193"/>
    </row>
    <row r="849" spans="2:42" s="180" customFormat="1">
      <c r="B849" s="418" t="s">
        <v>35</v>
      </c>
      <c r="C849" s="172">
        <v>0.40625</v>
      </c>
      <c r="D849" s="172">
        <v>0.16666666666666666</v>
      </c>
      <c r="E849" s="19">
        <v>5.25</v>
      </c>
      <c r="F849" s="277"/>
      <c r="G849" s="4"/>
      <c r="H849" s="47">
        <v>0.39583333333333331</v>
      </c>
      <c r="I849" s="314">
        <v>0.21875</v>
      </c>
      <c r="J849" s="319">
        <v>6.75</v>
      </c>
      <c r="K849" s="277"/>
      <c r="L849" s="4"/>
      <c r="M849" s="47">
        <v>0.38541666666666669</v>
      </c>
      <c r="N849" s="47">
        <v>0.25</v>
      </c>
      <c r="O849" s="19">
        <v>7.75</v>
      </c>
      <c r="P849" s="277"/>
      <c r="Q849" s="4"/>
      <c r="R849" s="47">
        <v>0.41666666666666669</v>
      </c>
      <c r="S849" s="47">
        <v>0.25</v>
      </c>
      <c r="T849" s="19">
        <v>7</v>
      </c>
      <c r="U849" s="277"/>
      <c r="V849" s="4"/>
      <c r="W849" s="47"/>
      <c r="X849" s="47"/>
      <c r="Y849" s="19"/>
      <c r="Z849" s="277"/>
      <c r="AA849" s="29">
        <f t="shared" si="130"/>
        <v>21.5</v>
      </c>
      <c r="AB849" s="298">
        <f t="shared" si="131"/>
        <v>0</v>
      </c>
      <c r="AC849" s="4"/>
      <c r="AD849" s="345"/>
      <c r="AE849" s="345"/>
      <c r="AF849" s="346"/>
      <c r="AG849" s="29">
        <f t="shared" si="132"/>
        <v>0</v>
      </c>
      <c r="AH849" s="4"/>
      <c r="AI849" s="255"/>
      <c r="AK849" s="193"/>
      <c r="AL849" s="193"/>
      <c r="AM849" s="193"/>
      <c r="AN849" s="193"/>
      <c r="AO849" s="193"/>
      <c r="AP849" s="193"/>
    </row>
    <row r="850" spans="2:42" s="180" customFormat="1">
      <c r="B850" s="418" t="s">
        <v>115</v>
      </c>
      <c r="C850" s="172">
        <v>0.36458333333333331</v>
      </c>
      <c r="D850" s="172">
        <v>0.16666666666666666</v>
      </c>
      <c r="E850" s="19">
        <v>6.25</v>
      </c>
      <c r="F850" s="277"/>
      <c r="G850" s="4"/>
      <c r="H850" s="47">
        <v>0.375</v>
      </c>
      <c r="I850" s="314">
        <v>0.21875</v>
      </c>
      <c r="J850" s="19">
        <v>7.25</v>
      </c>
      <c r="K850" s="277"/>
      <c r="L850" s="4"/>
      <c r="M850" s="47">
        <v>0.375</v>
      </c>
      <c r="N850" s="47">
        <v>0.25</v>
      </c>
      <c r="O850" s="19">
        <v>8</v>
      </c>
      <c r="P850" s="277"/>
      <c r="Q850" s="4"/>
      <c r="R850" s="47">
        <v>0.375</v>
      </c>
      <c r="S850" s="47">
        <v>0.25</v>
      </c>
      <c r="T850" s="19">
        <v>8</v>
      </c>
      <c r="U850" s="277"/>
      <c r="V850" s="4"/>
      <c r="W850" s="47"/>
      <c r="X850" s="47"/>
      <c r="Y850" s="19"/>
      <c r="Z850" s="277"/>
      <c r="AA850" s="29">
        <f t="shared" si="130"/>
        <v>28.5</v>
      </c>
      <c r="AB850" s="298">
        <f t="shared" si="131"/>
        <v>0</v>
      </c>
      <c r="AC850" s="4"/>
      <c r="AD850" s="345"/>
      <c r="AE850" s="345"/>
      <c r="AF850" s="346"/>
      <c r="AG850" s="29">
        <f t="shared" si="132"/>
        <v>0</v>
      </c>
      <c r="AH850" s="4"/>
      <c r="AI850" s="255"/>
      <c r="AK850" s="193"/>
      <c r="AL850" s="193"/>
      <c r="AM850" s="193"/>
      <c r="AN850" s="193"/>
      <c r="AO850" s="193"/>
      <c r="AP850" s="193"/>
    </row>
    <row r="851" spans="2:42" s="180" customFormat="1">
      <c r="B851" s="418" t="s">
        <v>46</v>
      </c>
      <c r="C851" s="172">
        <v>0.33333333333333331</v>
      </c>
      <c r="D851" s="172">
        <v>0.16666666666666666</v>
      </c>
      <c r="E851" s="19">
        <v>7</v>
      </c>
      <c r="F851" s="277"/>
      <c r="G851" s="4"/>
      <c r="H851" s="47" t="s">
        <v>117</v>
      </c>
      <c r="I851" s="314">
        <v>0.21875</v>
      </c>
      <c r="J851" s="319">
        <v>7.25</v>
      </c>
      <c r="K851" s="277"/>
      <c r="L851" s="4"/>
      <c r="M851" s="47">
        <v>0.40625</v>
      </c>
      <c r="N851" s="47">
        <v>0.25</v>
      </c>
      <c r="O851" s="19">
        <v>7.25</v>
      </c>
      <c r="P851" s="277"/>
      <c r="Q851" s="4"/>
      <c r="R851" s="47">
        <v>0.36458333333333331</v>
      </c>
      <c r="S851" s="47">
        <v>0.25</v>
      </c>
      <c r="T851" s="19">
        <v>8</v>
      </c>
      <c r="U851" s="277"/>
      <c r="V851" s="4"/>
      <c r="W851" s="47"/>
      <c r="X851" s="47"/>
      <c r="Y851" s="19"/>
      <c r="Z851" s="277"/>
      <c r="AA851" s="29">
        <f t="shared" si="130"/>
        <v>28.75</v>
      </c>
      <c r="AB851" s="298">
        <f t="shared" si="131"/>
        <v>0</v>
      </c>
      <c r="AC851" s="4"/>
      <c r="AD851" s="345"/>
      <c r="AE851" s="345"/>
      <c r="AF851" s="346"/>
      <c r="AG851" s="29">
        <f t="shared" si="132"/>
        <v>0</v>
      </c>
      <c r="AH851" s="4"/>
      <c r="AI851" s="255"/>
      <c r="AK851" s="193"/>
      <c r="AL851" s="193"/>
      <c r="AM851" s="193"/>
      <c r="AN851" s="193"/>
      <c r="AO851" s="193"/>
      <c r="AP851" s="193"/>
    </row>
    <row r="852" spans="2:42" s="180" customFormat="1">
      <c r="B852" s="418" t="s">
        <v>50</v>
      </c>
      <c r="C852" s="172">
        <v>0.375</v>
      </c>
      <c r="D852" s="172">
        <v>0.16666666666666666</v>
      </c>
      <c r="E852" s="19">
        <v>6</v>
      </c>
      <c r="F852" s="277"/>
      <c r="G852" s="4"/>
      <c r="H852" s="47">
        <v>0.375</v>
      </c>
      <c r="I852" s="314">
        <v>0.21875</v>
      </c>
      <c r="J852" s="319">
        <v>7.25</v>
      </c>
      <c r="K852" s="277"/>
      <c r="L852" s="4"/>
      <c r="M852" s="47">
        <v>0.39583333333333331</v>
      </c>
      <c r="N852" s="47">
        <v>0.25</v>
      </c>
      <c r="O852" s="19">
        <v>7.5</v>
      </c>
      <c r="P852" s="277"/>
      <c r="Q852" s="4"/>
      <c r="R852" s="47">
        <v>0.40625</v>
      </c>
      <c r="S852" s="47">
        <v>0.25</v>
      </c>
      <c r="T852" s="19">
        <v>7.25</v>
      </c>
      <c r="U852" s="277"/>
      <c r="V852" s="4"/>
      <c r="W852" s="47"/>
      <c r="X852" s="47"/>
      <c r="Y852" s="19"/>
      <c r="Z852" s="277"/>
      <c r="AA852" s="29">
        <f t="shared" si="130"/>
        <v>29</v>
      </c>
      <c r="AB852" s="298">
        <f t="shared" si="131"/>
        <v>0</v>
      </c>
      <c r="AC852" s="4"/>
      <c r="AD852" s="345"/>
      <c r="AE852" s="345"/>
      <c r="AF852" s="346"/>
      <c r="AG852" s="29">
        <f t="shared" si="132"/>
        <v>0</v>
      </c>
      <c r="AH852" s="4"/>
      <c r="AI852" s="255"/>
      <c r="AK852" s="193"/>
      <c r="AL852" s="193"/>
      <c r="AM852" s="193"/>
      <c r="AN852" s="193"/>
      <c r="AO852" s="193"/>
      <c r="AP852" s="193"/>
    </row>
    <row r="853" spans="2:42" s="180" customFormat="1">
      <c r="B853" s="419" t="s">
        <v>43</v>
      </c>
      <c r="C853" s="172">
        <v>0.34375</v>
      </c>
      <c r="D853" s="172">
        <v>0.16666666666666666</v>
      </c>
      <c r="E853" s="19">
        <v>6.75</v>
      </c>
      <c r="F853" s="277"/>
      <c r="G853" s="4"/>
      <c r="H853" s="47">
        <v>0.36458333333333331</v>
      </c>
      <c r="I853" s="314">
        <v>0.21875</v>
      </c>
      <c r="J853" s="19">
        <v>7.25</v>
      </c>
      <c r="K853" s="277"/>
      <c r="L853" s="4"/>
      <c r="M853" s="47">
        <v>0.375</v>
      </c>
      <c r="N853" s="47">
        <v>0.25</v>
      </c>
      <c r="O853" s="19">
        <v>8</v>
      </c>
      <c r="P853" s="277"/>
      <c r="Q853" s="4"/>
      <c r="R853" s="47">
        <v>0.35416666666666669</v>
      </c>
      <c r="S853" s="47">
        <v>0.25</v>
      </c>
      <c r="T853" s="19">
        <v>8</v>
      </c>
      <c r="U853" s="277"/>
      <c r="V853" s="4"/>
      <c r="W853" s="47"/>
      <c r="X853" s="47"/>
      <c r="Y853" s="19"/>
      <c r="Z853" s="277"/>
      <c r="AA853" s="29">
        <f t="shared" si="130"/>
        <v>29.25</v>
      </c>
      <c r="AB853" s="298">
        <f t="shared" si="131"/>
        <v>0</v>
      </c>
      <c r="AC853" s="4"/>
      <c r="AD853" s="345"/>
      <c r="AE853" s="345"/>
      <c r="AF853" s="346"/>
      <c r="AG853" s="29">
        <f t="shared" si="132"/>
        <v>0</v>
      </c>
      <c r="AH853" s="4"/>
      <c r="AI853" s="255"/>
      <c r="AK853" s="193"/>
      <c r="AL853" s="193"/>
      <c r="AM853" s="193"/>
      <c r="AN853" s="193"/>
      <c r="AO853" s="193"/>
      <c r="AP853" s="193"/>
    </row>
    <row r="854" spans="2:42" s="180" customFormat="1">
      <c r="B854" s="419" t="s">
        <v>113</v>
      </c>
      <c r="C854" s="172">
        <v>0.36458333333333331</v>
      </c>
      <c r="D854" s="172">
        <v>0.16666666666666666</v>
      </c>
      <c r="E854" s="19">
        <v>6.25</v>
      </c>
      <c r="F854" s="277"/>
      <c r="G854" s="4"/>
      <c r="H854" s="47">
        <v>0.38541666666666669</v>
      </c>
      <c r="I854" s="314">
        <v>0.21875</v>
      </c>
      <c r="J854" s="19">
        <v>7</v>
      </c>
      <c r="K854" s="277"/>
      <c r="L854" s="4"/>
      <c r="M854" s="47">
        <v>0.36458333333333331</v>
      </c>
      <c r="N854" s="47">
        <v>0.25</v>
      </c>
      <c r="O854" s="19">
        <v>8</v>
      </c>
      <c r="P854" s="277"/>
      <c r="Q854" s="4"/>
      <c r="R854" s="47">
        <v>0.375</v>
      </c>
      <c r="S854" s="47">
        <v>0.25</v>
      </c>
      <c r="T854" s="19">
        <v>8</v>
      </c>
      <c r="U854" s="277"/>
      <c r="V854" s="4"/>
      <c r="W854" s="47"/>
      <c r="X854" s="47"/>
      <c r="Y854" s="19"/>
      <c r="Z854" s="277"/>
      <c r="AA854" s="29">
        <f t="shared" si="130"/>
        <v>29.75</v>
      </c>
      <c r="AB854" s="298">
        <f t="shared" si="131"/>
        <v>0</v>
      </c>
      <c r="AC854" s="4"/>
      <c r="AD854" s="345"/>
      <c r="AE854" s="345"/>
      <c r="AF854" s="346"/>
      <c r="AG854" s="29">
        <f t="shared" si="132"/>
        <v>0</v>
      </c>
      <c r="AH854" s="4"/>
      <c r="AI854" s="255"/>
      <c r="AK854" s="193"/>
      <c r="AL854" s="193"/>
      <c r="AM854" s="193"/>
      <c r="AN854" s="193"/>
      <c r="AO854" s="193"/>
      <c r="AP854" s="193"/>
    </row>
    <row r="855" spans="2:42" s="180" customFormat="1">
      <c r="B855" s="418" t="s">
        <v>108</v>
      </c>
      <c r="C855" s="172">
        <v>0.35416666666666669</v>
      </c>
      <c r="D855" s="172">
        <v>0.16666666666666666</v>
      </c>
      <c r="E855" s="19">
        <v>6.5</v>
      </c>
      <c r="F855" s="277"/>
      <c r="G855" s="4"/>
      <c r="H855" s="47" t="s">
        <v>116</v>
      </c>
      <c r="I855" s="314">
        <v>0</v>
      </c>
      <c r="J855" s="19">
        <v>0</v>
      </c>
      <c r="K855" s="277"/>
      <c r="L855" s="4"/>
      <c r="M855" s="47">
        <v>0.375</v>
      </c>
      <c r="N855" s="47">
        <v>0.25</v>
      </c>
      <c r="O855" s="19">
        <v>8</v>
      </c>
      <c r="P855" s="277"/>
      <c r="Q855" s="4"/>
      <c r="R855" s="47">
        <v>0.375</v>
      </c>
      <c r="S855" s="47">
        <v>0.25</v>
      </c>
      <c r="T855" s="19">
        <v>8</v>
      </c>
      <c r="U855" s="277"/>
      <c r="V855" s="4"/>
      <c r="W855" s="47"/>
      <c r="X855" s="47"/>
      <c r="Y855" s="19"/>
      <c r="Z855" s="277"/>
      <c r="AA855" s="29">
        <f t="shared" si="130"/>
        <v>22.25</v>
      </c>
      <c r="AB855" s="298">
        <f t="shared" si="131"/>
        <v>0</v>
      </c>
      <c r="AC855" s="4"/>
      <c r="AD855" s="345"/>
      <c r="AE855" s="345"/>
      <c r="AF855" s="346"/>
      <c r="AG855" s="29">
        <f t="shared" si="132"/>
        <v>0</v>
      </c>
      <c r="AH855" s="4"/>
      <c r="AI855" s="255"/>
      <c r="AK855" s="193"/>
      <c r="AL855" s="193"/>
      <c r="AM855" s="193"/>
      <c r="AN855" s="193"/>
      <c r="AO855" s="193"/>
      <c r="AP855" s="193"/>
    </row>
    <row r="856" spans="2:42" s="180" customFormat="1">
      <c r="B856" s="418" t="s">
        <v>44</v>
      </c>
      <c r="C856" s="172">
        <v>0.375</v>
      </c>
      <c r="D856" s="172">
        <v>0.16666666666666666</v>
      </c>
      <c r="E856" s="19">
        <v>6</v>
      </c>
      <c r="F856" s="277"/>
      <c r="G856" s="4"/>
      <c r="H856" s="47">
        <v>0.375</v>
      </c>
      <c r="I856" s="314">
        <v>0.21875</v>
      </c>
      <c r="J856" s="19">
        <v>7.25</v>
      </c>
      <c r="K856" s="277"/>
      <c r="L856" s="4"/>
      <c r="M856" s="47">
        <v>0.375</v>
      </c>
      <c r="N856" s="47">
        <v>0.25</v>
      </c>
      <c r="O856" s="19">
        <v>8</v>
      </c>
      <c r="P856" s="277"/>
      <c r="Q856" s="4"/>
      <c r="R856" s="47">
        <v>0.375</v>
      </c>
      <c r="S856" s="47">
        <v>0.25</v>
      </c>
      <c r="T856" s="19">
        <v>8</v>
      </c>
      <c r="U856" s="277"/>
      <c r="V856" s="4"/>
      <c r="W856" s="47"/>
      <c r="X856" s="47"/>
      <c r="Y856" s="19"/>
      <c r="Z856" s="277"/>
      <c r="AA856" s="29">
        <f t="shared" si="130"/>
        <v>29.75</v>
      </c>
      <c r="AB856" s="298">
        <f t="shared" si="131"/>
        <v>0</v>
      </c>
      <c r="AC856" s="4"/>
      <c r="AD856" s="345"/>
      <c r="AE856" s="345"/>
      <c r="AF856" s="346"/>
      <c r="AG856" s="29">
        <f t="shared" ref="AG856:AG868" si="133">AF856</f>
        <v>0</v>
      </c>
      <c r="AH856" s="4"/>
      <c r="AI856" s="255"/>
      <c r="AK856" s="193"/>
      <c r="AL856" s="193"/>
      <c r="AM856" s="193"/>
      <c r="AN856" s="193"/>
      <c r="AO856" s="193"/>
      <c r="AP856" s="193"/>
    </row>
    <row r="857" spans="2:42" s="180" customFormat="1">
      <c r="B857" s="418" t="s">
        <v>45</v>
      </c>
      <c r="C857" s="172">
        <v>0.40625</v>
      </c>
      <c r="D857" s="172">
        <v>0.16666666666666666</v>
      </c>
      <c r="E857" s="19">
        <v>5.25</v>
      </c>
      <c r="F857" s="277"/>
      <c r="G857" s="4"/>
      <c r="H857" s="47"/>
      <c r="I857" s="47"/>
      <c r="J857" s="19"/>
      <c r="K857" s="277"/>
      <c r="L857" s="4"/>
      <c r="M857" s="47">
        <v>0.38541666666666669</v>
      </c>
      <c r="N857" s="47">
        <v>0.25</v>
      </c>
      <c r="O857" s="19">
        <v>7.75</v>
      </c>
      <c r="P857" s="277"/>
      <c r="Q857" s="4"/>
      <c r="R857" s="47">
        <v>0.35416666666666669</v>
      </c>
      <c r="S857" s="47">
        <v>0.25</v>
      </c>
      <c r="T857" s="19">
        <v>8</v>
      </c>
      <c r="U857" s="277"/>
      <c r="V857" s="4"/>
      <c r="W857" s="47"/>
      <c r="X857" s="47"/>
      <c r="Y857" s="19"/>
      <c r="Z857" s="277"/>
      <c r="AA857" s="29">
        <f t="shared" si="130"/>
        <v>21.75</v>
      </c>
      <c r="AB857" s="298">
        <f t="shared" si="131"/>
        <v>0</v>
      </c>
      <c r="AC857" s="4"/>
      <c r="AD857" s="345"/>
      <c r="AE857" s="345"/>
      <c r="AF857" s="346"/>
      <c r="AG857" s="29">
        <f t="shared" si="133"/>
        <v>0</v>
      </c>
      <c r="AH857" s="4"/>
      <c r="AI857" s="255"/>
      <c r="AK857" s="193"/>
      <c r="AL857" s="193"/>
      <c r="AM857" s="193"/>
      <c r="AN857" s="193"/>
      <c r="AO857" s="193"/>
      <c r="AP857" s="193"/>
    </row>
    <row r="858" spans="2:42" s="180" customFormat="1">
      <c r="B858" s="418" t="s">
        <v>112</v>
      </c>
      <c r="C858" s="172">
        <v>0.375</v>
      </c>
      <c r="D858" s="172">
        <v>0.16666666666666666</v>
      </c>
      <c r="E858" s="19">
        <v>6</v>
      </c>
      <c r="F858" s="277"/>
      <c r="G858" s="4"/>
      <c r="H858" s="47">
        <v>0.375</v>
      </c>
      <c r="I858" s="314">
        <v>0.21875</v>
      </c>
      <c r="J858" s="19">
        <v>7.25</v>
      </c>
      <c r="K858" s="277"/>
      <c r="L858" s="4"/>
      <c r="M858" s="47">
        <v>0.375</v>
      </c>
      <c r="N858" s="47">
        <v>0.25</v>
      </c>
      <c r="O858" s="19">
        <v>8</v>
      </c>
      <c r="P858" s="277"/>
      <c r="Q858" s="4"/>
      <c r="R858" s="47">
        <v>0.375</v>
      </c>
      <c r="S858" s="47">
        <v>0.25</v>
      </c>
      <c r="T858" s="19">
        <v>8</v>
      </c>
      <c r="U858" s="277"/>
      <c r="V858" s="4"/>
      <c r="W858" s="47"/>
      <c r="X858" s="47"/>
      <c r="Y858" s="19"/>
      <c r="Z858" s="277"/>
      <c r="AA858" s="29">
        <f t="shared" si="130"/>
        <v>28.5</v>
      </c>
      <c r="AB858" s="298">
        <f t="shared" si="131"/>
        <v>0</v>
      </c>
      <c r="AC858" s="4"/>
      <c r="AD858" s="410"/>
      <c r="AE858" s="4"/>
      <c r="AF858" s="19"/>
      <c r="AG858" s="29">
        <f t="shared" si="133"/>
        <v>0</v>
      </c>
      <c r="AH858" s="4"/>
      <c r="AI858" s="255"/>
      <c r="AK858" s="193"/>
      <c r="AL858" s="193"/>
      <c r="AM858" s="193"/>
      <c r="AN858" s="193"/>
      <c r="AO858" s="193"/>
      <c r="AP858" s="193"/>
    </row>
    <row r="859" spans="2:42" s="180" customFormat="1">
      <c r="B859" s="418" t="s">
        <v>96</v>
      </c>
      <c r="C859" s="172">
        <v>0.34375</v>
      </c>
      <c r="D859" s="172">
        <v>0.16666666666666666</v>
      </c>
      <c r="E859" s="19">
        <v>6.75</v>
      </c>
      <c r="F859" s="277"/>
      <c r="G859" s="4"/>
      <c r="H859" s="47">
        <v>0.35416666666666669</v>
      </c>
      <c r="I859" s="314">
        <v>0.21875</v>
      </c>
      <c r="J859" s="19">
        <v>7.25</v>
      </c>
      <c r="K859" s="277"/>
      <c r="L859" s="4"/>
      <c r="M859" s="47">
        <v>0.375</v>
      </c>
      <c r="N859" s="47">
        <v>0.25</v>
      </c>
      <c r="O859" s="19">
        <v>8</v>
      </c>
      <c r="P859" s="277"/>
      <c r="Q859" s="4"/>
      <c r="R859" s="47">
        <v>0.35416666666666669</v>
      </c>
      <c r="S859" s="47">
        <v>0.25</v>
      </c>
      <c r="T859" s="19">
        <v>8</v>
      </c>
      <c r="U859" s="277"/>
      <c r="V859" s="4"/>
      <c r="W859" s="47"/>
      <c r="X859" s="47"/>
      <c r="Y859" s="19"/>
      <c r="Z859" s="277"/>
      <c r="AA859" s="29">
        <f t="shared" ref="AA859:AA867" si="134">(E859+J859+O859+T859+Y859)</f>
        <v>30</v>
      </c>
      <c r="AB859" s="298">
        <f t="shared" ref="AB859:AB870" si="135">Z859+U859+P859+K859+F859</f>
        <v>0</v>
      </c>
      <c r="AC859" s="4"/>
      <c r="AD859" s="4"/>
      <c r="AE859" s="4"/>
      <c r="AF859" s="19"/>
      <c r="AG859" s="29">
        <f t="shared" si="133"/>
        <v>0</v>
      </c>
      <c r="AH859" s="4"/>
      <c r="AI859" s="255"/>
      <c r="AK859" s="193"/>
      <c r="AL859" s="193"/>
      <c r="AM859" s="193"/>
      <c r="AN859" s="193"/>
      <c r="AO859" s="193"/>
      <c r="AP859" s="193"/>
    </row>
    <row r="860" spans="2:42" s="180" customFormat="1">
      <c r="B860" s="418" t="s">
        <v>42</v>
      </c>
      <c r="C860" s="172">
        <v>0.375</v>
      </c>
      <c r="D860" s="172">
        <v>0.16666666666666666</v>
      </c>
      <c r="E860" s="19">
        <v>6</v>
      </c>
      <c r="F860" s="277"/>
      <c r="G860" s="4"/>
      <c r="H860" s="47">
        <v>0.36458333333333331</v>
      </c>
      <c r="I860" s="314">
        <v>0.21875</v>
      </c>
      <c r="J860" s="19">
        <v>7.25</v>
      </c>
      <c r="K860" s="277"/>
      <c r="L860" s="4"/>
      <c r="M860" s="47">
        <v>0.36458333333333331</v>
      </c>
      <c r="N860" s="47">
        <v>0.25</v>
      </c>
      <c r="O860" s="19">
        <v>8</v>
      </c>
      <c r="P860" s="277"/>
      <c r="Q860" s="4"/>
      <c r="R860" s="47">
        <v>0.35416666666666669</v>
      </c>
      <c r="S860" s="47">
        <v>0.25</v>
      </c>
      <c r="T860" s="19">
        <v>8</v>
      </c>
      <c r="U860" s="277"/>
      <c r="V860" s="4"/>
      <c r="W860" s="47"/>
      <c r="X860" s="47"/>
      <c r="Y860" s="19"/>
      <c r="Z860" s="277"/>
      <c r="AA860" s="29">
        <f t="shared" si="134"/>
        <v>29.25</v>
      </c>
      <c r="AB860" s="298">
        <f t="shared" si="135"/>
        <v>0</v>
      </c>
      <c r="AC860" s="4"/>
      <c r="AD860" s="4"/>
      <c r="AE860" s="4"/>
      <c r="AF860" s="19"/>
      <c r="AG860" s="29">
        <f t="shared" si="133"/>
        <v>0</v>
      </c>
      <c r="AH860" s="4"/>
      <c r="AI860" s="255"/>
      <c r="AK860" s="193"/>
      <c r="AL860" s="193"/>
      <c r="AM860" s="193"/>
      <c r="AN860" s="193"/>
      <c r="AO860" s="193"/>
      <c r="AP860" s="193"/>
    </row>
    <row r="861" spans="2:42" s="180" customFormat="1">
      <c r="B861" s="13" t="s">
        <v>54</v>
      </c>
      <c r="C861" s="172" t="s">
        <v>29</v>
      </c>
      <c r="D861" s="172" t="s">
        <v>29</v>
      </c>
      <c r="E861" s="19">
        <v>0</v>
      </c>
      <c r="F861" s="277"/>
      <c r="G861" s="4"/>
      <c r="H861" s="4"/>
      <c r="I861" s="4"/>
      <c r="J861" s="19"/>
      <c r="K861" s="277"/>
      <c r="L861" s="4"/>
      <c r="M861" s="4"/>
      <c r="N861" s="47"/>
      <c r="O861" s="319"/>
      <c r="P861" s="277"/>
      <c r="Q861" s="4"/>
      <c r="R861" s="4"/>
      <c r="S861" s="4"/>
      <c r="T861" s="19"/>
      <c r="U861" s="277"/>
      <c r="V861" s="4"/>
      <c r="W861" s="4"/>
      <c r="X861" s="4"/>
      <c r="Y861" s="19"/>
      <c r="Z861" s="277"/>
      <c r="AA861" s="29">
        <f t="shared" si="134"/>
        <v>0</v>
      </c>
      <c r="AB861" s="298">
        <f t="shared" si="135"/>
        <v>0</v>
      </c>
      <c r="AC861" s="4"/>
      <c r="AD861" s="4"/>
      <c r="AE861" s="4"/>
      <c r="AF861" s="19"/>
      <c r="AG861" s="29">
        <f t="shared" si="133"/>
        <v>0</v>
      </c>
      <c r="AH861" s="4"/>
      <c r="AI861" s="255"/>
      <c r="AK861" s="193"/>
      <c r="AL861" s="193"/>
      <c r="AM861" s="193"/>
      <c r="AN861" s="193"/>
      <c r="AO861" s="193"/>
      <c r="AP861" s="193"/>
    </row>
    <row r="862" spans="2:42" s="180" customFormat="1">
      <c r="B862" s="13" t="s">
        <v>55</v>
      </c>
      <c r="C862" s="172" t="s">
        <v>29</v>
      </c>
      <c r="D862" s="172" t="s">
        <v>29</v>
      </c>
      <c r="E862" s="19">
        <v>0</v>
      </c>
      <c r="F862" s="277"/>
      <c r="G862" s="4"/>
      <c r="H862" s="4"/>
      <c r="I862" s="4"/>
      <c r="J862" s="19"/>
      <c r="K862" s="277"/>
      <c r="L862" s="4"/>
      <c r="M862" s="4"/>
      <c r="N862" s="47"/>
      <c r="O862" s="319"/>
      <c r="P862" s="277"/>
      <c r="Q862" s="4"/>
      <c r="R862" s="4"/>
      <c r="S862" s="4"/>
      <c r="T862" s="19"/>
      <c r="U862" s="277"/>
      <c r="V862" s="4"/>
      <c r="W862" s="4"/>
      <c r="X862" s="4"/>
      <c r="Y862" s="19"/>
      <c r="Z862" s="277"/>
      <c r="AA862" s="29">
        <f t="shared" si="134"/>
        <v>0</v>
      </c>
      <c r="AB862" s="298">
        <f t="shared" si="135"/>
        <v>0</v>
      </c>
      <c r="AC862" s="4"/>
      <c r="AD862" s="4"/>
      <c r="AE862" s="4"/>
      <c r="AF862" s="19"/>
      <c r="AG862" s="29">
        <f t="shared" si="133"/>
        <v>0</v>
      </c>
      <c r="AH862" s="4"/>
      <c r="AI862" s="255"/>
      <c r="AK862" s="193"/>
      <c r="AL862" s="193"/>
      <c r="AM862" s="193"/>
      <c r="AN862" s="193"/>
      <c r="AO862" s="193"/>
      <c r="AP862" s="193"/>
    </row>
    <row r="863" spans="2:42" s="180" customFormat="1">
      <c r="B863" s="166" t="s">
        <v>48</v>
      </c>
      <c r="C863" s="16" t="s">
        <v>29</v>
      </c>
      <c r="D863" s="16" t="s">
        <v>29</v>
      </c>
      <c r="E863" s="19">
        <v>8</v>
      </c>
      <c r="F863" s="277"/>
      <c r="G863" s="4"/>
      <c r="H863" s="16" t="s">
        <v>29</v>
      </c>
      <c r="I863" s="16" t="s">
        <v>29</v>
      </c>
      <c r="J863" s="19">
        <v>8</v>
      </c>
      <c r="K863" s="277"/>
      <c r="L863" s="4"/>
      <c r="M863" s="16" t="s">
        <v>29</v>
      </c>
      <c r="N863" s="16" t="s">
        <v>29</v>
      </c>
      <c r="O863" s="19">
        <v>8</v>
      </c>
      <c r="P863" s="277"/>
      <c r="Q863" s="4"/>
      <c r="R863" s="16" t="s">
        <v>29</v>
      </c>
      <c r="S863" s="16" t="s">
        <v>29</v>
      </c>
      <c r="T863" s="19">
        <v>8</v>
      </c>
      <c r="U863" s="277"/>
      <c r="V863" s="4"/>
      <c r="W863" s="16"/>
      <c r="X863" s="16"/>
      <c r="Y863" s="19"/>
      <c r="Z863" s="277"/>
      <c r="AA863" s="29">
        <f t="shared" si="134"/>
        <v>32</v>
      </c>
      <c r="AB863" s="298">
        <f t="shared" si="135"/>
        <v>0</v>
      </c>
      <c r="AC863" s="4"/>
      <c r="AD863" s="4"/>
      <c r="AE863" s="4"/>
      <c r="AF863" s="19"/>
      <c r="AG863" s="29">
        <f t="shared" si="133"/>
        <v>0</v>
      </c>
      <c r="AH863" s="4"/>
      <c r="AI863" s="255"/>
      <c r="AK863" s="193"/>
      <c r="AL863" s="193"/>
      <c r="AM863" s="193"/>
      <c r="AN863" s="193"/>
      <c r="AO863" s="193"/>
      <c r="AP863" s="193"/>
    </row>
    <row r="864" spans="2:42" s="180" customFormat="1">
      <c r="B864" s="166" t="s">
        <v>49</v>
      </c>
      <c r="C864" s="47" t="s">
        <v>29</v>
      </c>
      <c r="D864" s="47" t="s">
        <v>29</v>
      </c>
      <c r="E864" s="19">
        <v>8</v>
      </c>
      <c r="F864" s="277"/>
      <c r="G864" s="4"/>
      <c r="H864" s="47" t="s">
        <v>29</v>
      </c>
      <c r="I864" s="47" t="s">
        <v>29</v>
      </c>
      <c r="J864" s="19">
        <v>8</v>
      </c>
      <c r="K864" s="277"/>
      <c r="L864" s="4"/>
      <c r="M864" s="47" t="s">
        <v>29</v>
      </c>
      <c r="N864" s="47" t="s">
        <v>29</v>
      </c>
      <c r="O864" s="19">
        <v>8</v>
      </c>
      <c r="P864" s="277"/>
      <c r="Q864" s="4"/>
      <c r="R864" s="47" t="s">
        <v>29</v>
      </c>
      <c r="S864" s="47" t="s">
        <v>29</v>
      </c>
      <c r="T864" s="19">
        <v>8</v>
      </c>
      <c r="U864" s="277"/>
      <c r="V864" s="4"/>
      <c r="W864" s="47"/>
      <c r="X864" s="47"/>
      <c r="Y864" s="19"/>
      <c r="Z864" s="277"/>
      <c r="AA864" s="29">
        <f t="shared" si="134"/>
        <v>32</v>
      </c>
      <c r="AB864" s="298">
        <f t="shared" si="135"/>
        <v>0</v>
      </c>
      <c r="AC864" s="4"/>
      <c r="AD864" s="4"/>
      <c r="AE864" s="4"/>
      <c r="AF864" s="19"/>
      <c r="AG864" s="29">
        <f t="shared" si="133"/>
        <v>0</v>
      </c>
      <c r="AH864" s="4"/>
      <c r="AI864" s="255"/>
      <c r="AK864" s="193"/>
      <c r="AL864" s="193"/>
      <c r="AM864" s="193"/>
      <c r="AN864" s="193"/>
      <c r="AO864" s="193"/>
      <c r="AP864" s="193"/>
    </row>
    <row r="865" spans="2:42" s="180" customFormat="1">
      <c r="B865" s="166" t="s">
        <v>107</v>
      </c>
      <c r="C865" s="47" t="s">
        <v>29</v>
      </c>
      <c r="D865" s="47" t="s">
        <v>29</v>
      </c>
      <c r="E865" s="19">
        <v>8</v>
      </c>
      <c r="F865" s="277"/>
      <c r="G865" s="4"/>
      <c r="H865" s="47" t="s">
        <v>29</v>
      </c>
      <c r="I865" s="47" t="s">
        <v>29</v>
      </c>
      <c r="J865" s="19">
        <v>8</v>
      </c>
      <c r="K865" s="277"/>
      <c r="L865" s="4"/>
      <c r="M865" s="47" t="s">
        <v>29</v>
      </c>
      <c r="N865" s="47" t="s">
        <v>29</v>
      </c>
      <c r="O865" s="19">
        <v>8</v>
      </c>
      <c r="P865" s="277"/>
      <c r="Q865" s="4"/>
      <c r="R865" s="47" t="s">
        <v>29</v>
      </c>
      <c r="S865" s="47" t="s">
        <v>29</v>
      </c>
      <c r="T865" s="19">
        <v>8</v>
      </c>
      <c r="U865" s="277"/>
      <c r="V865" s="4"/>
      <c r="W865" s="47"/>
      <c r="X865" s="47"/>
      <c r="Y865" s="19"/>
      <c r="Z865" s="277"/>
      <c r="AA865" s="29">
        <f t="shared" si="134"/>
        <v>32</v>
      </c>
      <c r="AB865" s="298">
        <f t="shared" si="135"/>
        <v>0</v>
      </c>
      <c r="AC865" s="4"/>
      <c r="AD865" s="4"/>
      <c r="AE865" s="4"/>
      <c r="AF865" s="19"/>
      <c r="AG865" s="29">
        <f t="shared" si="133"/>
        <v>0</v>
      </c>
      <c r="AH865" s="4"/>
      <c r="AI865" s="255"/>
      <c r="AK865" s="193"/>
      <c r="AL865" s="193"/>
      <c r="AM865" s="193"/>
      <c r="AN865" s="193"/>
      <c r="AO865" s="193"/>
      <c r="AP865" s="193"/>
    </row>
    <row r="866" spans="2:42" s="180" customFormat="1">
      <c r="B866" s="166" t="s">
        <v>59</v>
      </c>
      <c r="C866" s="47" t="s">
        <v>29</v>
      </c>
      <c r="D866" s="16" t="s">
        <v>29</v>
      </c>
      <c r="E866" s="19">
        <v>8</v>
      </c>
      <c r="F866" s="277"/>
      <c r="G866" s="4"/>
      <c r="H866" s="47" t="s">
        <v>29</v>
      </c>
      <c r="I866" s="16" t="s">
        <v>29</v>
      </c>
      <c r="J866" s="19">
        <v>8</v>
      </c>
      <c r="K866" s="277"/>
      <c r="L866" s="4"/>
      <c r="M866" s="47" t="s">
        <v>29</v>
      </c>
      <c r="N866" s="16" t="s">
        <v>29</v>
      </c>
      <c r="O866" s="19">
        <v>8</v>
      </c>
      <c r="P866" s="277"/>
      <c r="Q866" s="4"/>
      <c r="R866" s="47" t="s">
        <v>29</v>
      </c>
      <c r="S866" s="16" t="s">
        <v>29</v>
      </c>
      <c r="T866" s="19">
        <v>8</v>
      </c>
      <c r="U866" s="277"/>
      <c r="V866" s="4"/>
      <c r="W866" s="47"/>
      <c r="X866" s="16"/>
      <c r="Y866" s="19"/>
      <c r="Z866" s="277"/>
      <c r="AA866" s="29">
        <f t="shared" si="134"/>
        <v>32</v>
      </c>
      <c r="AB866" s="298">
        <f t="shared" si="135"/>
        <v>0</v>
      </c>
      <c r="AC866" s="4"/>
      <c r="AD866" s="4"/>
      <c r="AE866" s="4"/>
      <c r="AF866" s="19"/>
      <c r="AG866" s="29">
        <f t="shared" si="133"/>
        <v>0</v>
      </c>
      <c r="AH866" s="4"/>
      <c r="AI866" s="255"/>
      <c r="AK866" s="193"/>
      <c r="AL866" s="193"/>
      <c r="AM866" s="193"/>
      <c r="AN866" s="193"/>
      <c r="AO866" s="193"/>
      <c r="AP866" s="193"/>
    </row>
    <row r="867" spans="2:42" s="180" customFormat="1">
      <c r="B867" s="166" t="s">
        <v>60</v>
      </c>
      <c r="C867" s="16" t="s">
        <v>29</v>
      </c>
      <c r="D867" s="16" t="s">
        <v>29</v>
      </c>
      <c r="E867" s="19">
        <v>8</v>
      </c>
      <c r="F867" s="277"/>
      <c r="G867" s="4"/>
      <c r="H867" s="16" t="s">
        <v>29</v>
      </c>
      <c r="I867" s="16" t="s">
        <v>29</v>
      </c>
      <c r="J867" s="19">
        <v>8</v>
      </c>
      <c r="K867" s="277"/>
      <c r="L867" s="4"/>
      <c r="M867" s="16" t="s">
        <v>29</v>
      </c>
      <c r="N867" s="16" t="s">
        <v>29</v>
      </c>
      <c r="O867" s="19">
        <v>8</v>
      </c>
      <c r="P867" s="277"/>
      <c r="Q867" s="4"/>
      <c r="R867" s="16" t="s">
        <v>29</v>
      </c>
      <c r="S867" s="16" t="s">
        <v>29</v>
      </c>
      <c r="T867" s="19">
        <v>8</v>
      </c>
      <c r="U867" s="277"/>
      <c r="V867" s="4"/>
      <c r="W867" s="16"/>
      <c r="X867" s="16"/>
      <c r="Y867" s="19"/>
      <c r="Z867" s="277"/>
      <c r="AA867" s="29">
        <f t="shared" si="134"/>
        <v>32</v>
      </c>
      <c r="AB867" s="298">
        <f t="shared" si="135"/>
        <v>0</v>
      </c>
      <c r="AC867" s="4"/>
      <c r="AD867" s="4"/>
      <c r="AE867" s="4"/>
      <c r="AF867" s="19"/>
      <c r="AG867" s="29">
        <f t="shared" si="133"/>
        <v>0</v>
      </c>
      <c r="AH867" s="4"/>
      <c r="AI867" s="255"/>
      <c r="AK867" s="193"/>
      <c r="AL867" s="193"/>
      <c r="AM867" s="193"/>
      <c r="AN867" s="193"/>
      <c r="AO867" s="193"/>
      <c r="AP867" s="193"/>
    </row>
    <row r="868" spans="2:42" s="180" customFormat="1">
      <c r="B868" s="63" t="s">
        <v>63</v>
      </c>
      <c r="C868" s="12" t="s">
        <v>29</v>
      </c>
      <c r="D868" s="12" t="s">
        <v>29</v>
      </c>
      <c r="E868" s="19">
        <v>8</v>
      </c>
      <c r="F868" s="277"/>
      <c r="G868" s="60"/>
      <c r="H868" s="12" t="s">
        <v>29</v>
      </c>
      <c r="I868" s="12" t="s">
        <v>29</v>
      </c>
      <c r="J868" s="19">
        <v>8</v>
      </c>
      <c r="K868" s="277"/>
      <c r="L868" s="60"/>
      <c r="M868" s="16" t="s">
        <v>29</v>
      </c>
      <c r="N868" s="16" t="s">
        <v>29</v>
      </c>
      <c r="O868" s="19">
        <v>8</v>
      </c>
      <c r="P868" s="277"/>
      <c r="Q868" s="60"/>
      <c r="R868" s="16" t="s">
        <v>29</v>
      </c>
      <c r="S868" s="16" t="s">
        <v>29</v>
      </c>
      <c r="T868" s="19">
        <v>8</v>
      </c>
      <c r="U868" s="277"/>
      <c r="V868" s="60"/>
      <c r="W868" s="16"/>
      <c r="X868" s="16"/>
      <c r="Y868" s="19"/>
      <c r="Z868" s="277"/>
      <c r="AA868" s="28">
        <f>SUM(E868+J868+O868+T868+Y868)</f>
        <v>32</v>
      </c>
      <c r="AB868" s="298">
        <f t="shared" si="135"/>
        <v>0</v>
      </c>
      <c r="AC868" s="4"/>
      <c r="AD868" s="56"/>
      <c r="AE868" s="56"/>
      <c r="AF868" s="19"/>
      <c r="AG868" s="29">
        <f t="shared" si="133"/>
        <v>0</v>
      </c>
      <c r="AH868" s="4"/>
      <c r="AI868" s="255"/>
      <c r="AK868" s="407"/>
      <c r="AL868" s="193"/>
      <c r="AM868" s="193"/>
      <c r="AN868" s="193"/>
      <c r="AO868" s="193"/>
      <c r="AP868" s="193"/>
    </row>
    <row r="869" spans="2:42" s="180" customFormat="1">
      <c r="B869" s="63" t="s">
        <v>62</v>
      </c>
      <c r="C869" s="16" t="s">
        <v>29</v>
      </c>
      <c r="D869" s="16" t="s">
        <v>29</v>
      </c>
      <c r="E869" s="19">
        <v>8</v>
      </c>
      <c r="F869" s="277"/>
      <c r="G869" s="60"/>
      <c r="H869" s="16" t="s">
        <v>29</v>
      </c>
      <c r="I869" s="16" t="s">
        <v>29</v>
      </c>
      <c r="J869" s="19">
        <v>8</v>
      </c>
      <c r="K869" s="277"/>
      <c r="L869" s="60"/>
      <c r="M869" s="16" t="s">
        <v>29</v>
      </c>
      <c r="N869" s="16" t="s">
        <v>29</v>
      </c>
      <c r="O869" s="19">
        <v>8</v>
      </c>
      <c r="P869" s="277"/>
      <c r="Q869" s="60"/>
      <c r="R869" s="16" t="s">
        <v>29</v>
      </c>
      <c r="S869" s="16" t="s">
        <v>29</v>
      </c>
      <c r="T869" s="19">
        <v>8</v>
      </c>
      <c r="U869" s="277"/>
      <c r="V869" s="60"/>
      <c r="W869" s="16"/>
      <c r="X869" s="16"/>
      <c r="Y869" s="19"/>
      <c r="Z869" s="277"/>
      <c r="AA869" s="28">
        <f>SUM(E869+J869+O869+T869+Y869)</f>
        <v>32</v>
      </c>
      <c r="AB869" s="298">
        <f t="shared" si="135"/>
        <v>0</v>
      </c>
      <c r="AC869" s="4"/>
      <c r="AD869" s="56"/>
      <c r="AE869" s="56"/>
      <c r="AF869" s="19"/>
      <c r="AG869" s="29">
        <v>0</v>
      </c>
      <c r="AH869" s="4"/>
      <c r="AI869" s="255"/>
      <c r="AK869" s="193"/>
      <c r="AL869" s="193"/>
      <c r="AM869" s="193"/>
      <c r="AN869" s="193"/>
      <c r="AO869" s="193"/>
      <c r="AP869" s="193"/>
    </row>
    <row r="870" spans="2:42" s="180" customFormat="1">
      <c r="B870" s="63"/>
      <c r="C870" s="4"/>
      <c r="D870" s="4"/>
      <c r="E870" s="19"/>
      <c r="F870" s="277"/>
      <c r="G870" s="60"/>
      <c r="H870" s="4"/>
      <c r="I870" s="4"/>
      <c r="J870" s="19"/>
      <c r="K870" s="277"/>
      <c r="L870" s="60"/>
      <c r="M870" s="47"/>
      <c r="N870" s="47"/>
      <c r="O870" s="19"/>
      <c r="P870" s="277"/>
      <c r="Q870" s="60"/>
      <c r="R870" s="4"/>
      <c r="S870" s="4"/>
      <c r="T870" s="19"/>
      <c r="U870" s="277"/>
      <c r="V870" s="60"/>
      <c r="W870" s="4"/>
      <c r="X870" s="4"/>
      <c r="Y870" s="19"/>
      <c r="Z870" s="277"/>
      <c r="AA870" s="28">
        <f>SUM(E870+J870+O870+T870+Y870)</f>
        <v>0</v>
      </c>
      <c r="AB870" s="298">
        <f t="shared" si="135"/>
        <v>0</v>
      </c>
      <c r="AC870" s="4"/>
      <c r="AD870" s="56"/>
      <c r="AE870" s="56"/>
      <c r="AF870" s="19"/>
      <c r="AG870" s="29">
        <f>AF870</f>
        <v>0</v>
      </c>
      <c r="AH870" s="4"/>
      <c r="AI870" s="255"/>
      <c r="AK870" s="193"/>
      <c r="AL870" s="193"/>
      <c r="AM870" s="193"/>
      <c r="AN870" s="193"/>
      <c r="AO870" s="193"/>
      <c r="AP870" s="193"/>
    </row>
    <row r="871" spans="2:42" s="180" customFormat="1">
      <c r="B871" s="64" t="s">
        <v>61</v>
      </c>
      <c r="C871" s="64"/>
      <c r="D871" s="64"/>
      <c r="E871" s="167">
        <f>SUM(E840:E870)</f>
        <v>166.5</v>
      </c>
      <c r="F871" s="277">
        <f>SUM(F840:F862)</f>
        <v>0</v>
      </c>
      <c r="G871" s="64"/>
      <c r="H871" s="64"/>
      <c r="I871" s="64"/>
      <c r="J871" s="64">
        <f>SUM(J840:J870)</f>
        <v>171.25</v>
      </c>
      <c r="K871" s="277">
        <f>SUM(K840:K862)</f>
        <v>0</v>
      </c>
      <c r="L871" s="64"/>
      <c r="M871" s="64"/>
      <c r="N871" s="64"/>
      <c r="O871" s="167">
        <f>SUM(O840:O870)</f>
        <v>214</v>
      </c>
      <c r="P871" s="277">
        <f>SUM(P840:P867)</f>
        <v>0</v>
      </c>
      <c r="Q871" s="64"/>
      <c r="R871" s="64"/>
      <c r="S871" s="64"/>
      <c r="T871" s="167">
        <f>SUM(T840:T870)</f>
        <v>197.75</v>
      </c>
      <c r="U871" s="277">
        <f>SUM(U840:U867)</f>
        <v>0</v>
      </c>
      <c r="V871" s="64"/>
      <c r="W871" s="64"/>
      <c r="X871" s="64"/>
      <c r="Y871" s="167"/>
      <c r="Z871" s="277">
        <f>SUM(Z840:Z862)</f>
        <v>0</v>
      </c>
      <c r="AA871" s="370">
        <f>SUM(AA840:AA870)</f>
        <v>750</v>
      </c>
      <c r="AB871" s="289">
        <f>SUM(AB840:AB870)</f>
        <v>0</v>
      </c>
      <c r="AC871" s="4"/>
      <c r="AD871" s="64"/>
      <c r="AE871" s="64"/>
      <c r="AF871" s="167">
        <f>SUM(AF840:AF870)</f>
        <v>0</v>
      </c>
      <c r="AG871" s="370">
        <f>SUM(AG840:AG862)</f>
        <v>0</v>
      </c>
      <c r="AH871" s="4"/>
      <c r="AI871" s="255"/>
      <c r="AK871" s="193"/>
      <c r="AL871" s="193"/>
      <c r="AM871" s="193"/>
      <c r="AN871" s="193"/>
      <c r="AO871" s="193"/>
      <c r="AP871" s="193"/>
    </row>
    <row r="872" spans="2:42" s="180" customFormat="1">
      <c r="B872" s="63" t="s">
        <v>64</v>
      </c>
      <c r="C872" s="56"/>
      <c r="D872" s="56"/>
      <c r="E872" s="19">
        <v>7.5</v>
      </c>
      <c r="F872" s="291"/>
      <c r="G872" s="60"/>
      <c r="H872" s="56"/>
      <c r="I872" s="56"/>
      <c r="J872" s="19">
        <v>7.5</v>
      </c>
      <c r="K872" s="291"/>
      <c r="L872" s="60"/>
      <c r="M872" s="56"/>
      <c r="N872" s="56"/>
      <c r="O872" s="19">
        <v>7</v>
      </c>
      <c r="P872" s="19"/>
      <c r="Q872" s="60"/>
      <c r="R872" s="56"/>
      <c r="S872" s="56"/>
      <c r="T872" s="19">
        <v>6.5</v>
      </c>
      <c r="U872" s="19"/>
      <c r="V872" s="60"/>
      <c r="W872" s="56"/>
      <c r="X872" s="56"/>
      <c r="Y872" s="19"/>
      <c r="Z872" s="19"/>
      <c r="AA872" s="28">
        <f>SUM(E872+J872+O872+T872+Y872)</f>
        <v>28.5</v>
      </c>
      <c r="AB872" s="296">
        <f>Z872+U872+P872+K872+F872</f>
        <v>0</v>
      </c>
      <c r="AC872" s="4"/>
      <c r="AD872" s="56"/>
      <c r="AE872" s="56"/>
      <c r="AF872" s="19"/>
      <c r="AG872" s="29">
        <f>AF872</f>
        <v>0</v>
      </c>
      <c r="AH872" s="4"/>
      <c r="AI872" s="255"/>
      <c r="AK872" s="193"/>
      <c r="AL872" s="193"/>
      <c r="AM872" s="193"/>
      <c r="AN872" s="193"/>
      <c r="AO872" s="193"/>
      <c r="AP872" s="193"/>
    </row>
    <row r="873" spans="2:42" s="180" customFormat="1">
      <c r="B873" s="63" t="s">
        <v>110</v>
      </c>
      <c r="C873" s="56"/>
      <c r="D873" s="56"/>
      <c r="E873" s="19">
        <v>5</v>
      </c>
      <c r="F873" s="291">
        <v>0</v>
      </c>
      <c r="G873" s="60"/>
      <c r="H873" s="56"/>
      <c r="I873" s="56"/>
      <c r="J873" s="19">
        <v>2.5</v>
      </c>
      <c r="K873" s="291">
        <v>0</v>
      </c>
      <c r="L873" s="60"/>
      <c r="M873" s="56"/>
      <c r="N873" s="56"/>
      <c r="O873" s="19">
        <v>4.5</v>
      </c>
      <c r="P873" s="19">
        <v>0</v>
      </c>
      <c r="Q873" s="60"/>
      <c r="R873" s="56"/>
      <c r="S873" s="56"/>
      <c r="T873" s="19">
        <v>4.5</v>
      </c>
      <c r="U873" s="19">
        <v>0</v>
      </c>
      <c r="V873" s="60"/>
      <c r="W873" s="56"/>
      <c r="X873" s="56"/>
      <c r="Y873" s="19"/>
      <c r="Z873" s="19">
        <v>0</v>
      </c>
      <c r="AA873" s="28">
        <f>SUM(E873+J873+O873+T873+Y873)</f>
        <v>16.5</v>
      </c>
      <c r="AB873" s="296">
        <f>Z873+U873+P873+K873+F873</f>
        <v>0</v>
      </c>
      <c r="AC873" s="4"/>
      <c r="AD873" s="56"/>
      <c r="AE873" s="56"/>
      <c r="AF873" s="19"/>
      <c r="AG873" s="29">
        <f>AF873</f>
        <v>0</v>
      </c>
      <c r="AH873" s="4"/>
      <c r="AI873" s="255"/>
      <c r="AK873" s="193"/>
      <c r="AL873" s="193"/>
      <c r="AM873" s="193"/>
      <c r="AN873" s="193"/>
      <c r="AO873" s="193"/>
      <c r="AP873" s="193"/>
    </row>
    <row r="874" spans="2:42" s="180" customFormat="1">
      <c r="B874" s="71" t="s">
        <v>66</v>
      </c>
      <c r="C874" s="371"/>
      <c r="D874" s="371"/>
      <c r="E874" s="71">
        <f t="shared" ref="E874:AB874" si="136">SUM(E872:E873)</f>
        <v>12.5</v>
      </c>
      <c r="F874" s="71">
        <f t="shared" si="136"/>
        <v>0</v>
      </c>
      <c r="G874" s="71">
        <f t="shared" si="136"/>
        <v>0</v>
      </c>
      <c r="H874" s="71">
        <f t="shared" si="136"/>
        <v>0</v>
      </c>
      <c r="I874" s="71">
        <f t="shared" si="136"/>
        <v>0</v>
      </c>
      <c r="J874" s="71">
        <f t="shared" si="136"/>
        <v>10</v>
      </c>
      <c r="K874" s="71">
        <f t="shared" si="136"/>
        <v>0</v>
      </c>
      <c r="L874" s="71">
        <f t="shared" si="136"/>
        <v>0</v>
      </c>
      <c r="M874" s="71">
        <f t="shared" si="136"/>
        <v>0</v>
      </c>
      <c r="N874" s="71">
        <f t="shared" si="136"/>
        <v>0</v>
      </c>
      <c r="O874" s="71">
        <f t="shared" si="136"/>
        <v>11.5</v>
      </c>
      <c r="P874" s="71">
        <f t="shared" si="136"/>
        <v>0</v>
      </c>
      <c r="Q874" s="71">
        <f t="shared" si="136"/>
        <v>0</v>
      </c>
      <c r="R874" s="71">
        <f t="shared" si="136"/>
        <v>0</v>
      </c>
      <c r="S874" s="71">
        <f t="shared" si="136"/>
        <v>0</v>
      </c>
      <c r="T874" s="71">
        <f t="shared" si="136"/>
        <v>11</v>
      </c>
      <c r="U874" s="71">
        <f t="shared" si="136"/>
        <v>0</v>
      </c>
      <c r="V874" s="71">
        <f t="shared" si="136"/>
        <v>0</v>
      </c>
      <c r="W874" s="71">
        <f t="shared" si="136"/>
        <v>0</v>
      </c>
      <c r="X874" s="71">
        <f t="shared" si="136"/>
        <v>0</v>
      </c>
      <c r="Y874" s="71">
        <f t="shared" si="136"/>
        <v>0</v>
      </c>
      <c r="Z874" s="71">
        <f t="shared" si="136"/>
        <v>0</v>
      </c>
      <c r="AA874" s="370">
        <f t="shared" si="136"/>
        <v>45</v>
      </c>
      <c r="AB874" s="370">
        <f t="shared" si="136"/>
        <v>0</v>
      </c>
      <c r="AC874" s="4"/>
      <c r="AG874" s="370">
        <f>SUM(AG872:AG873)</f>
        <v>0</v>
      </c>
      <c r="AH874" s="4"/>
      <c r="AI874" s="255"/>
      <c r="AK874" s="193"/>
      <c r="AL874" s="193"/>
      <c r="AM874" s="193"/>
      <c r="AN874" s="193"/>
      <c r="AO874" s="193"/>
      <c r="AP874" s="193"/>
    </row>
    <row r="875" spans="2:42" s="180" customFormat="1">
      <c r="B875" s="217" t="s">
        <v>67</v>
      </c>
      <c r="C875" s="207">
        <f>C876+C877</f>
        <v>68</v>
      </c>
      <c r="D875" s="207"/>
      <c r="E875" s="209"/>
      <c r="F875" s="209"/>
      <c r="G875" s="207"/>
      <c r="H875" s="209"/>
      <c r="I875" s="209"/>
      <c r="J875" s="209"/>
      <c r="K875" s="209"/>
      <c r="L875" s="207"/>
      <c r="M875" s="207"/>
      <c r="N875" s="207"/>
      <c r="O875" s="207"/>
      <c r="P875" s="209"/>
      <c r="Q875" s="207"/>
      <c r="R875" s="207"/>
      <c r="S875" s="207"/>
      <c r="T875" s="207"/>
      <c r="U875" s="209"/>
      <c r="V875" s="207"/>
      <c r="W875" s="207"/>
      <c r="X875" s="207"/>
      <c r="Y875" s="210"/>
      <c r="Z875" s="209"/>
      <c r="AA875" s="211"/>
      <c r="AB875" s="209"/>
      <c r="AC875" s="211"/>
      <c r="AD875" s="211"/>
      <c r="AE875" s="211"/>
      <c r="AF875" s="211"/>
      <c r="AG875" s="211"/>
      <c r="AH875" s="4"/>
      <c r="AI875" s="255"/>
      <c r="AK875" s="193"/>
      <c r="AL875" s="193"/>
      <c r="AM875" s="193"/>
      <c r="AN875" s="193"/>
      <c r="AO875" s="193"/>
      <c r="AP875" s="193"/>
    </row>
    <row r="876" spans="2:42" s="180" customFormat="1">
      <c r="B876" s="238" t="s">
        <v>68</v>
      </c>
      <c r="C876" s="239">
        <f>14+16+20+18</f>
        <v>68</v>
      </c>
      <c r="D876" s="207"/>
      <c r="E876" s="209"/>
      <c r="F876" s="209"/>
      <c r="G876" s="207"/>
      <c r="H876" s="209"/>
      <c r="I876" s="209"/>
      <c r="J876" s="209"/>
      <c r="K876" s="209"/>
      <c r="L876" s="207"/>
      <c r="M876" s="207"/>
      <c r="N876" s="207"/>
      <c r="O876" s="207"/>
      <c r="P876" s="209"/>
      <c r="Q876" s="207"/>
      <c r="R876" s="207"/>
      <c r="S876" s="207"/>
      <c r="T876" s="207"/>
      <c r="U876" s="209"/>
      <c r="V876" s="207"/>
      <c r="W876" s="207"/>
      <c r="X876" s="207"/>
      <c r="Y876" s="210"/>
      <c r="Z876" s="209"/>
      <c r="AA876" s="211"/>
      <c r="AB876" s="209"/>
      <c r="AC876" s="211"/>
      <c r="AD876" s="211"/>
      <c r="AE876" s="211"/>
      <c r="AF876" s="211"/>
      <c r="AG876" s="211"/>
      <c r="AH876" s="4"/>
      <c r="AI876" s="255"/>
      <c r="AK876" s="193"/>
      <c r="AL876" s="193"/>
      <c r="AM876" s="193"/>
      <c r="AN876" s="193"/>
      <c r="AO876" s="193"/>
      <c r="AP876" s="193"/>
    </row>
    <row r="877" spans="2:42" s="180" customFormat="1">
      <c r="B877" s="238" t="s">
        <v>69</v>
      </c>
      <c r="C877" s="239"/>
      <c r="D877" s="207"/>
      <c r="E877" s="209"/>
      <c r="F877" s="209"/>
      <c r="G877" s="207"/>
      <c r="H877" s="209"/>
      <c r="I877" s="209"/>
      <c r="J877" s="209"/>
      <c r="K877" s="209"/>
      <c r="L877" s="207"/>
      <c r="M877" s="207"/>
      <c r="N877" s="207"/>
      <c r="O877" s="207"/>
      <c r="P877" s="209"/>
      <c r="Q877" s="207"/>
      <c r="R877" s="207"/>
      <c r="S877" s="207"/>
      <c r="T877" s="207"/>
      <c r="U877" s="209"/>
      <c r="V877" s="207"/>
      <c r="W877" s="207"/>
      <c r="X877" s="207"/>
      <c r="Y877" s="210"/>
      <c r="Z877" s="209"/>
      <c r="AA877" s="211"/>
      <c r="AB877" s="209"/>
      <c r="AC877" s="211"/>
      <c r="AD877" s="211"/>
      <c r="AE877" s="211"/>
      <c r="AF877" s="211"/>
      <c r="AG877" s="211"/>
      <c r="AH877" s="4"/>
      <c r="AI877" s="255"/>
      <c r="AK877" s="193"/>
      <c r="AL877" s="193"/>
      <c r="AM877" s="193"/>
      <c r="AN877" s="193"/>
      <c r="AO877" s="193"/>
      <c r="AP877" s="193"/>
    </row>
    <row r="878" spans="2:42" s="180" customFormat="1">
      <c r="B878" s="313"/>
      <c r="E878" s="374"/>
      <c r="F878" s="374"/>
      <c r="G878" s="374"/>
      <c r="J878" s="374"/>
      <c r="K878" s="374"/>
      <c r="L878" s="374"/>
      <c r="O878" s="374"/>
      <c r="P878" s="374"/>
      <c r="Q878" s="4"/>
      <c r="T878" s="374"/>
      <c r="U878" s="374"/>
      <c r="V878" s="4"/>
      <c r="Y878" s="374"/>
      <c r="Z878" s="374"/>
      <c r="AA878" s="374"/>
      <c r="AB878" s="374"/>
      <c r="AC878" s="374"/>
      <c r="AH878" s="4"/>
      <c r="AI878" s="255"/>
      <c r="AK878" s="193"/>
      <c r="AL878" s="193"/>
      <c r="AM878" s="193"/>
      <c r="AN878" s="193"/>
      <c r="AO878" s="193"/>
      <c r="AP878" s="193"/>
    </row>
  </sheetData>
  <mergeCells count="214">
    <mergeCell ref="AG793:AG794"/>
    <mergeCell ref="B838:B839"/>
    <mergeCell ref="C838:F838"/>
    <mergeCell ref="H838:K838"/>
    <mergeCell ref="M838:P838"/>
    <mergeCell ref="R838:U838"/>
    <mergeCell ref="W838:Z838"/>
    <mergeCell ref="AA838:AA839"/>
    <mergeCell ref="AB838:AB839"/>
    <mergeCell ref="AD838:AF838"/>
    <mergeCell ref="AG838:AG839"/>
    <mergeCell ref="B793:B794"/>
    <mergeCell ref="C793:F793"/>
    <mergeCell ref="H793:K793"/>
    <mergeCell ref="M793:P793"/>
    <mergeCell ref="R793:U793"/>
    <mergeCell ref="W793:Z793"/>
    <mergeCell ref="AA793:AA794"/>
    <mergeCell ref="AB793:AB794"/>
    <mergeCell ref="AD793:AF793"/>
    <mergeCell ref="AG747:AG748"/>
    <mergeCell ref="B747:B748"/>
    <mergeCell ref="C747:F747"/>
    <mergeCell ref="H747:K747"/>
    <mergeCell ref="M747:P747"/>
    <mergeCell ref="R747:U747"/>
    <mergeCell ref="W747:Z747"/>
    <mergeCell ref="AA747:AA748"/>
    <mergeCell ref="AB747:AB748"/>
    <mergeCell ref="AD747:AF747"/>
    <mergeCell ref="AG658:AG659"/>
    <mergeCell ref="B658:B659"/>
    <mergeCell ref="C658:F658"/>
    <mergeCell ref="H658:K658"/>
    <mergeCell ref="M658:P658"/>
    <mergeCell ref="R658:U658"/>
    <mergeCell ref="W658:Z658"/>
    <mergeCell ref="AA658:AA659"/>
    <mergeCell ref="AB658:AB659"/>
    <mergeCell ref="AD658:AF658"/>
    <mergeCell ref="AG569:AG570"/>
    <mergeCell ref="B614:B615"/>
    <mergeCell ref="C614:F614"/>
    <mergeCell ref="H614:K614"/>
    <mergeCell ref="M614:P614"/>
    <mergeCell ref="R614:U614"/>
    <mergeCell ref="W614:Z614"/>
    <mergeCell ref="AA614:AA615"/>
    <mergeCell ref="AB614:AB615"/>
    <mergeCell ref="AD614:AF614"/>
    <mergeCell ref="AG614:AG615"/>
    <mergeCell ref="B569:B570"/>
    <mergeCell ref="C569:F569"/>
    <mergeCell ref="H569:K569"/>
    <mergeCell ref="M569:P569"/>
    <mergeCell ref="R569:U569"/>
    <mergeCell ref="W569:Z569"/>
    <mergeCell ref="AA569:AA570"/>
    <mergeCell ref="AB569:AB570"/>
    <mergeCell ref="AD569:AF569"/>
    <mergeCell ref="AG439:AG440"/>
    <mergeCell ref="B477:B478"/>
    <mergeCell ref="C477:F477"/>
    <mergeCell ref="H477:K477"/>
    <mergeCell ref="M477:P477"/>
    <mergeCell ref="R477:U477"/>
    <mergeCell ref="W477:Z477"/>
    <mergeCell ref="AA477:AA478"/>
    <mergeCell ref="AB477:AB478"/>
    <mergeCell ref="AD477:AF477"/>
    <mergeCell ref="AG477:AG478"/>
    <mergeCell ref="B439:B440"/>
    <mergeCell ref="C439:F439"/>
    <mergeCell ref="H439:K439"/>
    <mergeCell ref="M439:P439"/>
    <mergeCell ref="R439:U439"/>
    <mergeCell ref="W439:Z439"/>
    <mergeCell ref="AA439:AA440"/>
    <mergeCell ref="AB439:AB440"/>
    <mergeCell ref="AD439:AF439"/>
    <mergeCell ref="W365:Z365"/>
    <mergeCell ref="AA365:AA366"/>
    <mergeCell ref="AB365:AB366"/>
    <mergeCell ref="AD365:AF365"/>
    <mergeCell ref="AG365:AG366"/>
    <mergeCell ref="B365:B366"/>
    <mergeCell ref="C365:F365"/>
    <mergeCell ref="H365:K365"/>
    <mergeCell ref="M365:P365"/>
    <mergeCell ref="R365:U365"/>
    <mergeCell ref="W169:Z169"/>
    <mergeCell ref="AA169:AA170"/>
    <mergeCell ref="AB169:AB170"/>
    <mergeCell ref="AD169:AF169"/>
    <mergeCell ref="AG169:AG170"/>
    <mergeCell ref="B169:B170"/>
    <mergeCell ref="C169:F169"/>
    <mergeCell ref="H169:K169"/>
    <mergeCell ref="M169:P169"/>
    <mergeCell ref="R169:U169"/>
    <mergeCell ref="S1:AG1"/>
    <mergeCell ref="AK1:AP1"/>
    <mergeCell ref="AK2:AP2"/>
    <mergeCell ref="C13:E38"/>
    <mergeCell ref="W51:Z51"/>
    <mergeCell ref="W11:Z11"/>
    <mergeCell ref="AA51:AA52"/>
    <mergeCell ref="AB51:AB52"/>
    <mergeCell ref="AD51:AF51"/>
    <mergeCell ref="AG51:AG52"/>
    <mergeCell ref="AA11:AA12"/>
    <mergeCell ref="AB11:AB12"/>
    <mergeCell ref="AD11:AF11"/>
    <mergeCell ref="AG11:AG12"/>
    <mergeCell ref="B11:B12"/>
    <mergeCell ref="C11:F11"/>
    <mergeCell ref="H11:K11"/>
    <mergeCell ref="M11:P11"/>
    <mergeCell ref="R11:U11"/>
    <mergeCell ref="B51:B52"/>
    <mergeCell ref="C51:F51"/>
    <mergeCell ref="H51:K51"/>
    <mergeCell ref="M51:P51"/>
    <mergeCell ref="R51:U51"/>
    <mergeCell ref="AG90:AG91"/>
    <mergeCell ref="B129:B130"/>
    <mergeCell ref="C129:F129"/>
    <mergeCell ref="H129:K129"/>
    <mergeCell ref="M129:P129"/>
    <mergeCell ref="R129:U129"/>
    <mergeCell ref="W129:Z129"/>
    <mergeCell ref="AA129:AA130"/>
    <mergeCell ref="AB129:AB130"/>
    <mergeCell ref="AD129:AF129"/>
    <mergeCell ref="AG129:AG130"/>
    <mergeCell ref="B90:B91"/>
    <mergeCell ref="C90:F90"/>
    <mergeCell ref="H90:K90"/>
    <mergeCell ref="M90:P90"/>
    <mergeCell ref="R90:U90"/>
    <mergeCell ref="W90:Z90"/>
    <mergeCell ref="AA90:AA91"/>
    <mergeCell ref="AB90:AB91"/>
    <mergeCell ref="AD90:AF90"/>
    <mergeCell ref="AG209:AG210"/>
    <mergeCell ref="B249:B250"/>
    <mergeCell ref="C249:F249"/>
    <mergeCell ref="H249:K249"/>
    <mergeCell ref="M249:P249"/>
    <mergeCell ref="R249:U249"/>
    <mergeCell ref="W249:Z249"/>
    <mergeCell ref="AA249:AA250"/>
    <mergeCell ref="AB249:AB250"/>
    <mergeCell ref="AD249:AF249"/>
    <mergeCell ref="AG249:AG250"/>
    <mergeCell ref="B209:B210"/>
    <mergeCell ref="C209:F209"/>
    <mergeCell ref="H209:K209"/>
    <mergeCell ref="M209:P209"/>
    <mergeCell ref="R209:U209"/>
    <mergeCell ref="W209:Z209"/>
    <mergeCell ref="AA209:AA210"/>
    <mergeCell ref="AB209:AB210"/>
    <mergeCell ref="AD209:AF209"/>
    <mergeCell ref="AG288:AG289"/>
    <mergeCell ref="B327:B328"/>
    <mergeCell ref="C327:F327"/>
    <mergeCell ref="H327:K327"/>
    <mergeCell ref="M327:P327"/>
    <mergeCell ref="R327:U327"/>
    <mergeCell ref="W327:Z327"/>
    <mergeCell ref="AA327:AA328"/>
    <mergeCell ref="AB327:AB328"/>
    <mergeCell ref="AD327:AF327"/>
    <mergeCell ref="AG327:AG328"/>
    <mergeCell ref="B288:B289"/>
    <mergeCell ref="C288:F288"/>
    <mergeCell ref="H288:K288"/>
    <mergeCell ref="M288:P288"/>
    <mergeCell ref="R288:U288"/>
    <mergeCell ref="W288:Z288"/>
    <mergeCell ref="AA288:AA289"/>
    <mergeCell ref="AB288:AB289"/>
    <mergeCell ref="AD288:AF288"/>
    <mergeCell ref="AG402:AG403"/>
    <mergeCell ref="B402:B403"/>
    <mergeCell ref="C402:F402"/>
    <mergeCell ref="H402:K402"/>
    <mergeCell ref="M402:P402"/>
    <mergeCell ref="R402:U402"/>
    <mergeCell ref="W402:Z402"/>
    <mergeCell ref="AA402:AA403"/>
    <mergeCell ref="AB402:AB403"/>
    <mergeCell ref="AD402:AF402"/>
    <mergeCell ref="AG526:AG527"/>
    <mergeCell ref="B526:B527"/>
    <mergeCell ref="C526:F526"/>
    <mergeCell ref="H526:K526"/>
    <mergeCell ref="M526:P526"/>
    <mergeCell ref="R526:U526"/>
    <mergeCell ref="W526:Z526"/>
    <mergeCell ref="AA526:AA527"/>
    <mergeCell ref="AB526:AB527"/>
    <mergeCell ref="AD526:AF526"/>
    <mergeCell ref="AG702:AG703"/>
    <mergeCell ref="B702:B703"/>
    <mergeCell ref="C702:F702"/>
    <mergeCell ref="H702:K702"/>
    <mergeCell ref="M702:P702"/>
    <mergeCell ref="R702:U702"/>
    <mergeCell ref="W702:Z702"/>
    <mergeCell ref="AA702:AA703"/>
    <mergeCell ref="AB702:AB703"/>
    <mergeCell ref="AD702:AF702"/>
  </mergeCells>
  <pageMargins left="0.7" right="0.7" top="0.75" bottom="0.75" header="0.3" footer="0.3"/>
  <pageSetup orientation="portrait"/>
  <ignoredErrors>
    <ignoredError sqref="AB430 AG430 AB468 Z516" formula="1"/>
  </ignoredErrors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W1101"/>
  <sheetViews>
    <sheetView topLeftCell="B1" zoomScale="110" zoomScaleNormal="110" workbookViewId="0">
      <pane xSplit="1" topLeftCell="C1" activePane="topRight" state="frozen"/>
      <selection pane="topRight" activeCell="B2" sqref="B2"/>
      <selection activeCell="B2" sqref="B2"/>
    </sheetView>
  </sheetViews>
  <sheetFormatPr defaultRowHeight="13.5"/>
  <cols>
    <col min="1" max="1" width="12.5703125" hidden="1" customWidth="1"/>
    <col min="2" max="2" width="24.42578125" customWidth="1"/>
    <col min="3" max="4" width="7.42578125" style="1" customWidth="1"/>
    <col min="5" max="6" width="6.42578125" style="2" customWidth="1"/>
    <col min="7" max="7" width="1" style="2" customWidth="1"/>
    <col min="8" max="9" width="6.42578125" style="1" customWidth="1"/>
    <col min="10" max="11" width="6.42578125" style="2" customWidth="1"/>
    <col min="12" max="12" width="1" style="2" customWidth="1"/>
    <col min="13" max="14" width="7.42578125" style="1" customWidth="1"/>
    <col min="15" max="16" width="6.42578125" style="2" customWidth="1"/>
    <col min="17" max="17" width="1" style="3" customWidth="1"/>
    <col min="18" max="19" width="7.42578125" style="1" customWidth="1"/>
    <col min="20" max="21" width="6.42578125" style="2" customWidth="1"/>
    <col min="22" max="22" width="1" style="3" customWidth="1"/>
    <col min="23" max="24" width="6.42578125" style="1" customWidth="1"/>
    <col min="25" max="25" width="6.42578125" style="2" customWidth="1"/>
    <col min="26" max="26" width="6" style="2" customWidth="1"/>
    <col min="27" max="27" width="7" style="2" customWidth="1"/>
    <col min="28" max="28" width="7.42578125" style="2" customWidth="1"/>
    <col min="29" max="29" width="1" style="2" customWidth="1"/>
    <col min="30" max="32" width="6.42578125" style="1" customWidth="1"/>
    <col min="33" max="33" width="7.5703125" style="1" customWidth="1"/>
    <col min="34" max="34" width="2.42578125" style="3" customWidth="1"/>
    <col min="35" max="35" width="2.42578125" style="227" customWidth="1"/>
    <col min="36" max="36" width="1.42578125" style="1" customWidth="1"/>
    <col min="37" max="37" width="13.5703125" style="187" bestFit="1" customWidth="1"/>
    <col min="38" max="42" width="9.42578125" style="187"/>
    <col min="43" max="49" width="9.42578125" style="1"/>
  </cols>
  <sheetData>
    <row r="1" spans="1:42" s="1" customFormat="1" ht="33" customHeight="1">
      <c r="E1" s="3"/>
      <c r="F1" s="3"/>
      <c r="G1" s="3"/>
      <c r="J1" s="3"/>
      <c r="K1" s="3"/>
      <c r="L1" s="3"/>
      <c r="O1" s="3"/>
      <c r="P1" s="3"/>
      <c r="Q1" s="3"/>
      <c r="S1" s="1527" t="s">
        <v>0</v>
      </c>
      <c r="T1" s="1527"/>
      <c r="U1" s="1527"/>
      <c r="V1" s="1527"/>
      <c r="W1" s="1527"/>
      <c r="X1" s="1527"/>
      <c r="Y1" s="1527"/>
      <c r="Z1" s="1527"/>
      <c r="AA1" s="1527"/>
      <c r="AB1" s="1527"/>
      <c r="AC1" s="1527"/>
      <c r="AD1" s="1527"/>
      <c r="AE1" s="1527"/>
      <c r="AF1" s="1527"/>
      <c r="AG1" s="1527"/>
      <c r="AH1" s="3"/>
      <c r="AI1" s="227"/>
      <c r="AK1" s="1526" t="s">
        <v>118</v>
      </c>
      <c r="AL1" s="1526"/>
      <c r="AM1" s="1526"/>
      <c r="AN1" s="1526"/>
      <c r="AO1" s="1526"/>
      <c r="AP1" s="1526"/>
    </row>
    <row r="2" spans="1:42" s="180" customFormat="1" ht="13.5" customHeight="1">
      <c r="E2" s="4"/>
      <c r="F2" s="4"/>
      <c r="G2" s="4"/>
      <c r="J2" s="4"/>
      <c r="K2" s="4"/>
      <c r="L2" s="4"/>
      <c r="O2" s="4"/>
      <c r="P2" s="4"/>
      <c r="Q2" s="4"/>
      <c r="S2" s="258"/>
      <c r="T2" s="258"/>
      <c r="U2" s="4"/>
      <c r="V2" s="258"/>
      <c r="W2" s="258"/>
      <c r="X2" s="258"/>
      <c r="Y2" s="258" t="s">
        <v>2</v>
      </c>
      <c r="Z2" s="4"/>
      <c r="AA2" s="260">
        <v>11695</v>
      </c>
      <c r="AB2" s="4"/>
      <c r="AC2" s="258"/>
      <c r="AD2" s="266" t="s">
        <v>3</v>
      </c>
      <c r="AE2" s="262">
        <f>AA2-(AA5+AE5)</f>
        <v>3988.6499999999996</v>
      </c>
      <c r="AH2" s="4"/>
      <c r="AI2" s="255"/>
      <c r="AK2" s="1521" t="s">
        <v>4</v>
      </c>
      <c r="AL2" s="1521"/>
      <c r="AM2" s="1521"/>
      <c r="AN2" s="1521"/>
      <c r="AO2" s="1521"/>
      <c r="AP2" s="1521"/>
    </row>
    <row r="3" spans="1:42" s="180" customFormat="1" ht="13.5" customHeight="1">
      <c r="E3" s="4"/>
      <c r="F3" s="4"/>
      <c r="G3" s="4"/>
      <c r="J3" s="4"/>
      <c r="K3" s="4"/>
      <c r="L3" s="4"/>
      <c r="O3" s="4"/>
      <c r="P3" s="4"/>
      <c r="Q3" s="4"/>
      <c r="S3" s="258"/>
      <c r="T3" s="258"/>
      <c r="U3" s="4"/>
      <c r="V3" s="258"/>
      <c r="W3" s="258"/>
      <c r="X3" s="258"/>
      <c r="Y3" s="258" t="s">
        <v>5</v>
      </c>
      <c r="Z3" s="4"/>
      <c r="AA3" s="261">
        <v>1162</v>
      </c>
      <c r="AB3" s="4"/>
      <c r="AC3" s="258"/>
      <c r="AD3" s="266" t="s">
        <v>3</v>
      </c>
      <c r="AE3" s="350">
        <f>AA3-(AA6+AE6)</f>
        <v>-333.70000000000005</v>
      </c>
      <c r="AH3" s="4"/>
      <c r="AI3" s="255"/>
      <c r="AK3" s="192" t="s">
        <v>6</v>
      </c>
      <c r="AL3" s="193"/>
      <c r="AM3" s="193"/>
      <c r="AN3" s="193"/>
      <c r="AO3" s="193"/>
      <c r="AP3" s="193"/>
    </row>
    <row r="4" spans="1:42" s="180" customFormat="1" ht="13.5" customHeight="1">
      <c r="E4" s="4"/>
      <c r="F4" s="4"/>
      <c r="G4" s="4"/>
      <c r="J4" s="4"/>
      <c r="K4" s="4"/>
      <c r="L4" s="4"/>
      <c r="O4" s="4"/>
      <c r="P4" s="4"/>
      <c r="Q4" s="4"/>
      <c r="S4" s="258"/>
      <c r="T4" s="258"/>
      <c r="U4" s="4"/>
      <c r="V4" s="258"/>
      <c r="W4" s="258"/>
      <c r="X4" s="258"/>
      <c r="Y4" s="258" t="s">
        <v>7</v>
      </c>
      <c r="Z4" s="4"/>
      <c r="AA4" s="260">
        <v>1680</v>
      </c>
      <c r="AB4" s="4"/>
      <c r="AC4" s="258"/>
      <c r="AD4" s="266" t="s">
        <v>3</v>
      </c>
      <c r="AE4" s="262">
        <f>AA4-AA7</f>
        <v>786</v>
      </c>
      <c r="AH4" s="4"/>
      <c r="AI4" s="255"/>
      <c r="AK4" s="193" t="s">
        <v>8</v>
      </c>
      <c r="AL4" s="193"/>
      <c r="AM4" s="193"/>
      <c r="AN4" s="193"/>
      <c r="AO4" s="193"/>
      <c r="AP4" s="193"/>
    </row>
    <row r="5" spans="1:42" s="180" customFormat="1" ht="13.5" customHeight="1">
      <c r="E5" s="4"/>
      <c r="F5" s="4"/>
      <c r="G5" s="4"/>
      <c r="J5" s="4"/>
      <c r="K5" s="4"/>
      <c r="L5" s="4"/>
      <c r="O5" s="4"/>
      <c r="P5" s="263"/>
      <c r="Q5" s="4"/>
      <c r="S5" s="258"/>
      <c r="T5" s="258"/>
      <c r="U5" s="4"/>
      <c r="V5" s="258"/>
      <c r="W5" s="258"/>
      <c r="Y5" s="258" t="s">
        <v>9</v>
      </c>
      <c r="Z5" s="4"/>
      <c r="AA5" s="265">
        <f>AA16+AA34+AA54+AA76+AA100+AA124+AG124+AA149+AA183+AA184+AG183+AA217+AG217+AA250+AA283+AA323+AA363+AA403+AA444+AA485</f>
        <v>7440.1</v>
      </c>
      <c r="AB5" s="4"/>
      <c r="AD5" s="264" t="s">
        <v>10</v>
      </c>
      <c r="AE5" s="263">
        <f>AG100+AG124+AG183+AG217+AB217+AG250+AB250+AG283+AB283+AB100+AB124+AB149+AB323+AG323+AB363+AG363+AB403+AG403</f>
        <v>266.25</v>
      </c>
      <c r="AH5" s="4"/>
      <c r="AI5" s="255"/>
      <c r="AK5" s="193" t="s">
        <v>11</v>
      </c>
      <c r="AL5" s="193"/>
      <c r="AM5" s="193"/>
      <c r="AN5" s="193"/>
      <c r="AO5" s="193"/>
      <c r="AP5" s="193"/>
    </row>
    <row r="6" spans="1:42" s="180" customFormat="1" ht="13.5" customHeight="1">
      <c r="E6" s="4"/>
      <c r="F6" s="4"/>
      <c r="G6" s="4"/>
      <c r="J6" s="4"/>
      <c r="K6" s="4"/>
      <c r="L6" s="4"/>
      <c r="O6" s="4"/>
      <c r="P6" s="4"/>
      <c r="Q6" s="4"/>
      <c r="S6" s="258"/>
      <c r="U6" s="4"/>
      <c r="V6" s="258"/>
      <c r="Y6" s="258" t="s">
        <v>12</v>
      </c>
      <c r="Z6" s="4"/>
      <c r="AA6" s="265">
        <f>AA19+AA37+AA57+AA79+AA103+AA127+AA154+AA189+AA222+AA255+AA288+AA328+AA368+AA408+AA449+AA490</f>
        <v>1353.2</v>
      </c>
      <c r="AB6" s="4"/>
      <c r="AD6" s="264" t="s">
        <v>13</v>
      </c>
      <c r="AE6" s="263">
        <f>AG103+AG127+AB127+AB154+AB189+AB222+AB255+AG255+AB103+AB288+AG288+AB328+AG328+AB368+AG368+AB408+AG408</f>
        <v>142.5</v>
      </c>
      <c r="AH6" s="4"/>
      <c r="AI6" s="255"/>
      <c r="AK6" s="310" t="s">
        <v>14</v>
      </c>
      <c r="AL6" s="193"/>
      <c r="AM6" s="193"/>
      <c r="AN6" s="193"/>
      <c r="AO6" s="193"/>
      <c r="AP6" s="193"/>
    </row>
    <row r="7" spans="1:42" s="180" customFormat="1" ht="13.5" customHeight="1">
      <c r="E7" s="4"/>
      <c r="F7" s="4"/>
      <c r="G7" s="4"/>
      <c r="J7" s="4"/>
      <c r="K7" s="4"/>
      <c r="L7" s="4"/>
      <c r="O7" s="4"/>
      <c r="P7" s="4"/>
      <c r="Q7" s="4"/>
      <c r="S7" s="258"/>
      <c r="U7" s="4"/>
      <c r="V7" s="258"/>
      <c r="Y7" s="258" t="s">
        <v>15</v>
      </c>
      <c r="Z7" s="4"/>
      <c r="AA7" s="265">
        <f>C22+C40+C60+C80+C104+C130+C155+C190+C223+C256+C289+C329+C369+C409+C450+C491</f>
        <v>894</v>
      </c>
      <c r="AB7" s="4"/>
      <c r="AE7" s="259"/>
      <c r="AH7" s="4"/>
      <c r="AI7" s="255"/>
      <c r="AK7" s="202" t="s">
        <v>16</v>
      </c>
      <c r="AL7" s="193"/>
      <c r="AM7" s="193"/>
      <c r="AN7" s="193"/>
      <c r="AO7" s="193"/>
      <c r="AP7" s="193"/>
    </row>
    <row r="8" spans="1:42" s="180" customFormat="1" ht="13.5" customHeight="1">
      <c r="E8" s="4"/>
      <c r="F8" s="4"/>
      <c r="G8" s="4"/>
      <c r="J8" s="4"/>
      <c r="K8" s="4"/>
      <c r="L8" s="4"/>
      <c r="O8" s="4"/>
      <c r="P8" s="4"/>
      <c r="Q8" s="4"/>
      <c r="S8" s="258"/>
      <c r="U8" s="4"/>
      <c r="V8" s="258"/>
      <c r="Z8" s="4"/>
      <c r="AB8" s="4"/>
      <c r="AH8" s="4"/>
      <c r="AI8" s="255"/>
      <c r="AK8" s="203" t="s">
        <v>17</v>
      </c>
      <c r="AL8" s="193"/>
      <c r="AM8" s="193"/>
      <c r="AN8" s="193"/>
      <c r="AO8" s="193"/>
      <c r="AP8" s="193"/>
    </row>
    <row r="9" spans="1:42" s="1" customFormat="1" ht="6.75" customHeight="1">
      <c r="E9" s="3"/>
      <c r="F9" s="3"/>
      <c r="G9" s="3"/>
      <c r="J9" s="3"/>
      <c r="K9" s="3"/>
      <c r="L9" s="3"/>
      <c r="O9" s="3"/>
      <c r="P9" s="3"/>
      <c r="Q9" s="3"/>
      <c r="S9" s="100"/>
      <c r="T9" s="100"/>
      <c r="U9" s="3"/>
      <c r="V9" s="100"/>
      <c r="X9" s="100"/>
      <c r="Y9" s="101"/>
      <c r="Z9" s="3"/>
      <c r="AA9" s="123"/>
      <c r="AB9" s="3"/>
      <c r="AC9" s="100"/>
      <c r="AD9" s="124"/>
      <c r="AG9" s="53"/>
      <c r="AH9" s="3"/>
      <c r="AI9" s="227"/>
      <c r="AK9" s="187"/>
      <c r="AL9" s="187"/>
      <c r="AM9" s="187"/>
      <c r="AN9" s="187"/>
      <c r="AO9" s="187"/>
      <c r="AP9" s="187"/>
    </row>
    <row r="10" spans="1:42" ht="13.5" customHeight="1">
      <c r="A10" s="1528" t="s">
        <v>119</v>
      </c>
      <c r="B10" s="1518" t="s">
        <v>18</v>
      </c>
      <c r="C10" s="1524">
        <v>45063</v>
      </c>
      <c r="D10" s="1524"/>
      <c r="E10" s="1524"/>
      <c r="F10" s="1524"/>
      <c r="G10" s="22"/>
      <c r="H10" s="1524">
        <v>45064</v>
      </c>
      <c r="I10" s="1524"/>
      <c r="J10" s="1524"/>
      <c r="K10" s="1524"/>
      <c r="L10" s="22"/>
      <c r="M10" s="1525" t="s">
        <v>120</v>
      </c>
      <c r="N10" s="1525"/>
      <c r="O10" s="1525"/>
      <c r="P10" s="1525"/>
      <c r="R10" s="1525" t="s">
        <v>120</v>
      </c>
      <c r="S10" s="1525"/>
      <c r="T10" s="1525"/>
      <c r="U10" s="1525"/>
      <c r="W10" s="1525" t="s">
        <v>120</v>
      </c>
      <c r="X10" s="1525"/>
      <c r="Y10" s="1525"/>
      <c r="Z10" s="1525"/>
      <c r="AA10" s="1517" t="s">
        <v>19</v>
      </c>
      <c r="AB10" s="1517" t="s">
        <v>20</v>
      </c>
      <c r="AC10" s="22"/>
      <c r="AD10" s="1524">
        <v>45063</v>
      </c>
      <c r="AE10" s="1524"/>
      <c r="AF10" s="1524"/>
      <c r="AG10" s="1517" t="s">
        <v>21</v>
      </c>
      <c r="AK10" s="194" t="s">
        <v>121</v>
      </c>
      <c r="AL10" s="195"/>
      <c r="AM10" s="195"/>
      <c r="AN10" s="195"/>
      <c r="AO10" s="195"/>
      <c r="AP10" s="195"/>
    </row>
    <row r="11" spans="1:42" ht="14.25">
      <c r="A11" s="1528"/>
      <c r="B11" s="1518"/>
      <c r="C11" s="21" t="s">
        <v>23</v>
      </c>
      <c r="D11" s="21" t="s">
        <v>24</v>
      </c>
      <c r="E11" s="205" t="s">
        <v>122</v>
      </c>
      <c r="F11" s="18" t="s">
        <v>14</v>
      </c>
      <c r="G11" s="23"/>
      <c r="H11" s="21" t="s">
        <v>23</v>
      </c>
      <c r="I11" s="21" t="s">
        <v>24</v>
      </c>
      <c r="J11" s="205" t="s">
        <v>122</v>
      </c>
      <c r="K11" s="18" t="s">
        <v>14</v>
      </c>
      <c r="L11" s="23"/>
      <c r="M11" s="1525"/>
      <c r="N11" s="1525"/>
      <c r="O11" s="1525"/>
      <c r="P11" s="1525"/>
      <c r="R11" s="1525"/>
      <c r="S11" s="1525"/>
      <c r="T11" s="1525"/>
      <c r="U11" s="1525"/>
      <c r="W11" s="1525"/>
      <c r="X11" s="1525"/>
      <c r="Y11" s="1525"/>
      <c r="Z11" s="1525"/>
      <c r="AA11" s="1523"/>
      <c r="AB11" s="1517"/>
      <c r="AC11" s="23"/>
      <c r="AD11" s="21" t="s">
        <v>23</v>
      </c>
      <c r="AE11" s="21" t="s">
        <v>24</v>
      </c>
      <c r="AF11" s="21" t="s">
        <v>25</v>
      </c>
      <c r="AG11" s="1523"/>
      <c r="AK11" s="188" t="s">
        <v>26</v>
      </c>
      <c r="AL11" s="189">
        <f>AA16</f>
        <v>36.25</v>
      </c>
    </row>
    <row r="12" spans="1:42" ht="13.5" customHeight="1">
      <c r="A12" s="8" t="s">
        <v>123</v>
      </c>
      <c r="B12" s="13" t="s">
        <v>124</v>
      </c>
      <c r="C12" s="12" t="s">
        <v>125</v>
      </c>
      <c r="D12" s="12" t="s">
        <v>126</v>
      </c>
      <c r="E12" s="19">
        <v>6.5</v>
      </c>
      <c r="F12" s="277"/>
      <c r="G12" s="24"/>
      <c r="H12" s="12" t="s">
        <v>127</v>
      </c>
      <c r="I12" s="12" t="s">
        <v>128</v>
      </c>
      <c r="J12" s="19">
        <v>2.75</v>
      </c>
      <c r="K12" s="277"/>
      <c r="L12" s="24"/>
      <c r="M12" s="1525"/>
      <c r="N12" s="1525"/>
      <c r="O12" s="1525"/>
      <c r="P12" s="1525"/>
      <c r="R12" s="1525"/>
      <c r="S12" s="1525"/>
      <c r="T12" s="1525"/>
      <c r="U12" s="1525"/>
      <c r="W12" s="1525"/>
      <c r="X12" s="1525"/>
      <c r="Y12" s="1525"/>
      <c r="Z12" s="1525"/>
      <c r="AA12" s="29">
        <f>J12+E12</f>
        <v>9.25</v>
      </c>
      <c r="AB12" s="282"/>
      <c r="AC12" s="24"/>
      <c r="AD12" s="1525" t="s">
        <v>120</v>
      </c>
      <c r="AE12" s="1525"/>
      <c r="AF12" s="1525"/>
      <c r="AG12" s="1525"/>
      <c r="AK12" s="188" t="s">
        <v>30</v>
      </c>
      <c r="AL12" s="189">
        <f>C21</f>
        <v>0</v>
      </c>
    </row>
    <row r="13" spans="1:42" ht="13.5" customHeight="1">
      <c r="A13" s="8" t="s">
        <v>123</v>
      </c>
      <c r="B13" s="13" t="s">
        <v>129</v>
      </c>
      <c r="C13" s="12" t="s">
        <v>76</v>
      </c>
      <c r="D13" s="12" t="s">
        <v>126</v>
      </c>
      <c r="E13" s="20">
        <v>6</v>
      </c>
      <c r="F13" s="277"/>
      <c r="G13" s="25"/>
      <c r="H13" s="12" t="s">
        <v>130</v>
      </c>
      <c r="I13" s="12" t="s">
        <v>128</v>
      </c>
      <c r="J13" s="20">
        <v>2.5</v>
      </c>
      <c r="K13" s="277"/>
      <c r="L13" s="25"/>
      <c r="M13" s="1525"/>
      <c r="N13" s="1525"/>
      <c r="O13" s="1525"/>
      <c r="P13" s="1525"/>
      <c r="R13" s="1525"/>
      <c r="S13" s="1525"/>
      <c r="T13" s="1525"/>
      <c r="U13" s="1525"/>
      <c r="W13" s="1525"/>
      <c r="X13" s="1525"/>
      <c r="Y13" s="1525"/>
      <c r="Z13" s="1525"/>
      <c r="AA13" s="29">
        <f>J13+E13</f>
        <v>8.5</v>
      </c>
      <c r="AB13" s="299"/>
      <c r="AC13" s="25"/>
      <c r="AD13" s="1525"/>
      <c r="AE13" s="1525"/>
      <c r="AF13" s="1525"/>
      <c r="AG13" s="1525"/>
      <c r="AK13" s="188" t="s">
        <v>32</v>
      </c>
      <c r="AL13" s="189">
        <f>C21</f>
        <v>0</v>
      </c>
    </row>
    <row r="14" spans="1:42" ht="13.5" customHeight="1">
      <c r="A14" s="8" t="s">
        <v>123</v>
      </c>
      <c r="B14" s="13" t="s">
        <v>131</v>
      </c>
      <c r="C14" s="12" t="s">
        <v>125</v>
      </c>
      <c r="D14" s="12" t="s">
        <v>126</v>
      </c>
      <c r="E14" s="20">
        <v>6.5</v>
      </c>
      <c r="F14" s="277"/>
      <c r="G14" s="25"/>
      <c r="H14" s="12" t="s">
        <v>127</v>
      </c>
      <c r="I14" s="12" t="s">
        <v>128</v>
      </c>
      <c r="J14" s="20">
        <v>2.75</v>
      </c>
      <c r="K14" s="277"/>
      <c r="L14" s="25"/>
      <c r="M14" s="1525"/>
      <c r="N14" s="1525"/>
      <c r="O14" s="1525"/>
      <c r="P14" s="1525"/>
      <c r="R14" s="1525"/>
      <c r="S14" s="1525"/>
      <c r="T14" s="1525"/>
      <c r="U14" s="1525"/>
      <c r="W14" s="1525"/>
      <c r="X14" s="1525"/>
      <c r="Y14" s="1525"/>
      <c r="Z14" s="1525"/>
      <c r="AA14" s="29">
        <f t="shared" ref="AA14:AA15" si="0">J14+E14</f>
        <v>9.25</v>
      </c>
      <c r="AB14" s="299"/>
      <c r="AC14" s="25"/>
      <c r="AD14" s="1525"/>
      <c r="AE14" s="1525"/>
      <c r="AF14" s="1525"/>
      <c r="AG14" s="1525"/>
      <c r="AK14" s="188" t="s">
        <v>34</v>
      </c>
      <c r="AL14" s="190">
        <f>AA19</f>
        <v>15</v>
      </c>
    </row>
    <row r="15" spans="1:42" ht="13.5" customHeight="1">
      <c r="A15" s="8" t="s">
        <v>123</v>
      </c>
      <c r="B15" s="13" t="s">
        <v>132</v>
      </c>
      <c r="C15" s="12" t="s">
        <v>125</v>
      </c>
      <c r="D15" s="12" t="s">
        <v>126</v>
      </c>
      <c r="E15" s="20">
        <v>6.5</v>
      </c>
      <c r="F15" s="277"/>
      <c r="G15" s="25"/>
      <c r="H15" s="12" t="s">
        <v>127</v>
      </c>
      <c r="I15" s="12" t="s">
        <v>128</v>
      </c>
      <c r="J15" s="20">
        <v>2.75</v>
      </c>
      <c r="K15" s="277"/>
      <c r="L15" s="25"/>
      <c r="M15" s="1525"/>
      <c r="N15" s="1525"/>
      <c r="O15" s="1525"/>
      <c r="P15" s="1525"/>
      <c r="R15" s="1525"/>
      <c r="S15" s="1525"/>
      <c r="T15" s="1525"/>
      <c r="U15" s="1525"/>
      <c r="W15" s="1525"/>
      <c r="X15" s="1525"/>
      <c r="Y15" s="1525"/>
      <c r="Z15" s="1525"/>
      <c r="AA15" s="29">
        <f t="shared" si="0"/>
        <v>9.25</v>
      </c>
      <c r="AB15" s="299"/>
      <c r="AC15" s="25"/>
      <c r="AD15" s="1525"/>
      <c r="AE15" s="1525"/>
      <c r="AF15" s="1525"/>
      <c r="AG15" s="1525"/>
      <c r="AK15" s="188" t="s">
        <v>41</v>
      </c>
      <c r="AL15" s="189">
        <f>C22</f>
        <v>10</v>
      </c>
    </row>
    <row r="16" spans="1:42" ht="13.5" customHeight="1">
      <c r="A16" s="8"/>
      <c r="B16" s="64" t="s">
        <v>61</v>
      </c>
      <c r="C16" s="64"/>
      <c r="D16" s="64"/>
      <c r="E16" s="167">
        <f>SUM(E12:E15)</f>
        <v>25.5</v>
      </c>
      <c r="F16" s="277"/>
      <c r="G16" s="25"/>
      <c r="H16" s="167"/>
      <c r="I16" s="167"/>
      <c r="J16" s="167">
        <f>SUM(J12:J15)</f>
        <v>10.75</v>
      </c>
      <c r="K16" s="277"/>
      <c r="L16" s="25"/>
      <c r="M16" s="63"/>
      <c r="N16" s="63"/>
      <c r="O16" s="63"/>
      <c r="P16" s="63"/>
      <c r="R16" s="63"/>
      <c r="S16" s="63"/>
      <c r="T16" s="63"/>
      <c r="U16" s="63"/>
      <c r="W16" s="63"/>
      <c r="X16" s="63"/>
      <c r="Y16" s="63"/>
      <c r="Z16" s="63"/>
      <c r="AA16" s="247">
        <f>SUM(AA12:AA15)</f>
        <v>36.25</v>
      </c>
      <c r="AB16" s="283"/>
      <c r="AC16" s="25"/>
      <c r="AD16" s="1525"/>
      <c r="AE16" s="1525"/>
      <c r="AF16" s="1525"/>
      <c r="AG16" s="1525"/>
    </row>
    <row r="17" spans="1:42" ht="13.5" customHeight="1">
      <c r="A17" s="8"/>
      <c r="B17" s="31" t="s">
        <v>64</v>
      </c>
      <c r="C17" s="56"/>
      <c r="D17" s="57"/>
      <c r="E17" s="19">
        <v>3.5</v>
      </c>
      <c r="F17" s="280"/>
      <c r="G17" s="59"/>
      <c r="H17" s="57"/>
      <c r="I17" s="57"/>
      <c r="J17" s="19">
        <v>4.5</v>
      </c>
      <c r="K17" s="280"/>
      <c r="L17" s="59"/>
      <c r="M17" s="57"/>
      <c r="N17" s="57"/>
      <c r="O17" s="54"/>
      <c r="P17" s="280"/>
      <c r="Q17" s="59"/>
      <c r="R17" s="57"/>
      <c r="S17" s="57"/>
      <c r="T17" s="54"/>
      <c r="U17" s="280"/>
      <c r="V17" s="59"/>
      <c r="W17" s="57"/>
      <c r="X17" s="57"/>
      <c r="Y17" s="54"/>
      <c r="Z17" s="280"/>
      <c r="AA17" s="169">
        <f>SUM(E17:Y17)</f>
        <v>8</v>
      </c>
      <c r="AB17" s="286"/>
      <c r="AC17" s="25"/>
      <c r="AD17" s="1525"/>
      <c r="AE17" s="1525"/>
      <c r="AF17" s="1525"/>
      <c r="AG17" s="1525"/>
    </row>
    <row r="18" spans="1:42" ht="13.5" customHeight="1" thickBot="1">
      <c r="A18" s="8"/>
      <c r="B18" s="74" t="s">
        <v>65</v>
      </c>
      <c r="C18" s="75"/>
      <c r="D18" s="76"/>
      <c r="E18" s="77">
        <v>3</v>
      </c>
      <c r="F18" s="281"/>
      <c r="G18" s="78"/>
      <c r="H18" s="76"/>
      <c r="I18" s="76"/>
      <c r="J18" s="77">
        <v>4</v>
      </c>
      <c r="K18" s="281"/>
      <c r="L18" s="78"/>
      <c r="M18" s="76"/>
      <c r="N18" s="76"/>
      <c r="O18" s="79"/>
      <c r="P18" s="281"/>
      <c r="Q18" s="78"/>
      <c r="R18" s="76"/>
      <c r="S18" s="76"/>
      <c r="T18" s="79"/>
      <c r="U18" s="281"/>
      <c r="V18" s="78"/>
      <c r="W18" s="76"/>
      <c r="X18" s="76"/>
      <c r="Y18" s="79"/>
      <c r="Z18" s="281"/>
      <c r="AA18" s="170">
        <f>SUM(E18:Y18)</f>
        <v>7</v>
      </c>
      <c r="AB18" s="287"/>
      <c r="AC18" s="25"/>
      <c r="AD18" s="1525"/>
      <c r="AE18" s="1525"/>
      <c r="AF18" s="1525"/>
      <c r="AG18" s="1525"/>
    </row>
    <row r="19" spans="1:42" s="1" customFormat="1" ht="13.5" customHeight="1" thickTop="1">
      <c r="A19" s="11"/>
      <c r="B19" s="214" t="s">
        <v>66</v>
      </c>
      <c r="C19" s="215"/>
      <c r="D19" s="215"/>
      <c r="E19" s="214">
        <f>SUM(E17:E18)</f>
        <v>6.5</v>
      </c>
      <c r="F19" s="214"/>
      <c r="G19" s="215"/>
      <c r="H19" s="214"/>
      <c r="I19" s="214"/>
      <c r="J19" s="214">
        <f>SUM(J17:J18)</f>
        <v>8.5</v>
      </c>
      <c r="K19" s="214"/>
      <c r="L19" s="215"/>
      <c r="M19" s="215"/>
      <c r="N19" s="215"/>
      <c r="O19" s="215"/>
      <c r="P19" s="214"/>
      <c r="Q19" s="215"/>
      <c r="R19" s="215"/>
      <c r="S19" s="215"/>
      <c r="T19" s="215"/>
      <c r="U19" s="214"/>
      <c r="V19" s="215"/>
      <c r="W19" s="215"/>
      <c r="X19" s="215"/>
      <c r="Y19" s="216"/>
      <c r="Z19" s="214"/>
      <c r="AA19" s="247">
        <f>SUM(AA17:AA18)</f>
        <v>15</v>
      </c>
      <c r="AB19" s="247"/>
      <c r="AC19" s="3"/>
      <c r="AD19" s="1525"/>
      <c r="AE19" s="1525"/>
      <c r="AF19" s="1525"/>
      <c r="AG19" s="1525"/>
      <c r="AH19" s="3"/>
      <c r="AI19" s="227"/>
      <c r="AK19" s="187"/>
      <c r="AL19" s="187"/>
      <c r="AM19" s="187"/>
      <c r="AN19" s="187"/>
      <c r="AO19" s="187"/>
      <c r="AP19" s="187"/>
    </row>
    <row r="20" spans="1:42" s="1" customFormat="1" ht="13.5" customHeight="1">
      <c r="A20" s="11"/>
      <c r="B20" s="217" t="s">
        <v>133</v>
      </c>
      <c r="C20" s="207">
        <v>0</v>
      </c>
      <c r="D20" s="208"/>
      <c r="E20" s="209"/>
      <c r="F20" s="209"/>
      <c r="G20" s="208"/>
      <c r="H20" s="209"/>
      <c r="I20" s="209"/>
      <c r="J20" s="209"/>
      <c r="K20" s="209"/>
      <c r="L20" s="208"/>
      <c r="M20" s="208"/>
      <c r="N20" s="208"/>
      <c r="O20" s="208"/>
      <c r="P20" s="209"/>
      <c r="Q20" s="208"/>
      <c r="R20" s="208"/>
      <c r="S20" s="208"/>
      <c r="T20" s="208"/>
      <c r="U20" s="209"/>
      <c r="V20" s="208"/>
      <c r="W20" s="208"/>
      <c r="X20" s="208"/>
      <c r="Y20" s="210"/>
      <c r="Z20" s="209"/>
      <c r="AA20" s="211"/>
      <c r="AB20" s="209"/>
      <c r="AC20" s="211"/>
      <c r="AD20" s="211"/>
      <c r="AE20" s="211"/>
      <c r="AF20" s="211"/>
      <c r="AG20" s="211"/>
      <c r="AH20" s="3"/>
      <c r="AI20" s="227"/>
      <c r="AK20" s="187"/>
      <c r="AL20" s="187"/>
      <c r="AM20" s="187"/>
      <c r="AN20" s="187"/>
      <c r="AO20" s="187"/>
      <c r="AP20" s="187"/>
    </row>
    <row r="21" spans="1:42">
      <c r="B21" s="217" t="s">
        <v>134</v>
      </c>
      <c r="C21" s="207">
        <v>0</v>
      </c>
      <c r="D21" s="212"/>
      <c r="E21" s="213"/>
      <c r="F21" s="213"/>
      <c r="G21" s="213"/>
      <c r="H21" s="212"/>
      <c r="I21" s="212"/>
      <c r="J21" s="213"/>
      <c r="K21" s="213"/>
      <c r="L21" s="213"/>
      <c r="M21" s="212"/>
      <c r="N21" s="212"/>
      <c r="O21" s="213"/>
      <c r="P21" s="213"/>
      <c r="Q21" s="213"/>
      <c r="R21" s="212"/>
      <c r="S21" s="212"/>
      <c r="T21" s="213"/>
      <c r="U21" s="213"/>
      <c r="V21" s="213"/>
      <c r="W21" s="212"/>
      <c r="X21" s="212"/>
      <c r="Y21" s="213"/>
      <c r="Z21" s="213"/>
      <c r="AA21" s="213"/>
      <c r="AB21" s="213"/>
      <c r="AC21" s="213"/>
      <c r="AD21" s="213"/>
      <c r="AE21" s="213"/>
      <c r="AF21" s="213"/>
      <c r="AG21" s="213"/>
    </row>
    <row r="22" spans="1:42" s="1" customFormat="1" ht="13.5" customHeight="1">
      <c r="A22" s="11"/>
      <c r="B22" s="217" t="s">
        <v>67</v>
      </c>
      <c r="C22" s="207">
        <f>C23+C24</f>
        <v>10</v>
      </c>
      <c r="D22" s="208"/>
      <c r="E22" s="209"/>
      <c r="F22" s="209"/>
      <c r="G22" s="208"/>
      <c r="H22" s="209"/>
      <c r="I22" s="209"/>
      <c r="J22" s="209"/>
      <c r="K22" s="209"/>
      <c r="L22" s="208"/>
      <c r="M22" s="208"/>
      <c r="N22" s="208"/>
      <c r="O22" s="208"/>
      <c r="P22" s="209"/>
      <c r="Q22" s="208"/>
      <c r="R22" s="208"/>
      <c r="S22" s="208"/>
      <c r="T22" s="208"/>
      <c r="U22" s="209"/>
      <c r="V22" s="208"/>
      <c r="W22" s="208"/>
      <c r="X22" s="208"/>
      <c r="Y22" s="210"/>
      <c r="Z22" s="209"/>
      <c r="AA22" s="211"/>
      <c r="AB22" s="209"/>
      <c r="AC22" s="211"/>
      <c r="AD22" s="211"/>
      <c r="AE22" s="211"/>
      <c r="AF22" s="211"/>
      <c r="AG22" s="211"/>
      <c r="AH22" s="3"/>
      <c r="AI22" s="227"/>
      <c r="AK22" s="187"/>
      <c r="AL22" s="187"/>
      <c r="AM22" s="187"/>
      <c r="AN22" s="187"/>
      <c r="AO22" s="187"/>
      <c r="AP22" s="187"/>
    </row>
    <row r="23" spans="1:42" s="1" customFormat="1" ht="13.5" customHeight="1">
      <c r="A23" s="11"/>
      <c r="B23" s="238" t="s">
        <v>68</v>
      </c>
      <c r="C23" s="239">
        <v>10</v>
      </c>
      <c r="D23" s="208"/>
      <c r="E23" s="209"/>
      <c r="F23" s="209"/>
      <c r="G23" s="208"/>
      <c r="H23" s="209"/>
      <c r="I23" s="209"/>
      <c r="J23" s="209"/>
      <c r="K23" s="209"/>
      <c r="L23" s="208"/>
      <c r="M23" s="208"/>
      <c r="N23" s="208"/>
      <c r="O23" s="208"/>
      <c r="P23" s="209"/>
      <c r="Q23" s="208"/>
      <c r="R23" s="208"/>
      <c r="S23" s="208"/>
      <c r="T23" s="208"/>
      <c r="U23" s="209"/>
      <c r="V23" s="208"/>
      <c r="W23" s="208"/>
      <c r="X23" s="208"/>
      <c r="Y23" s="210"/>
      <c r="Z23" s="209"/>
      <c r="AA23" s="211"/>
      <c r="AB23" s="209"/>
      <c r="AC23" s="211"/>
      <c r="AD23" s="211"/>
      <c r="AE23" s="211"/>
      <c r="AF23" s="211"/>
      <c r="AG23" s="211"/>
      <c r="AH23" s="3"/>
      <c r="AI23" s="227"/>
      <c r="AK23" s="187"/>
      <c r="AL23" s="187"/>
      <c r="AM23" s="187"/>
      <c r="AN23" s="187"/>
      <c r="AO23" s="187"/>
      <c r="AP23" s="187"/>
    </row>
    <row r="24" spans="1:42" s="1" customFormat="1" ht="13.5" customHeight="1">
      <c r="A24" s="11"/>
      <c r="B24" s="238" t="s">
        <v>69</v>
      </c>
      <c r="C24" s="239">
        <v>0</v>
      </c>
      <c r="D24" s="208"/>
      <c r="E24" s="209"/>
      <c r="F24" s="209"/>
      <c r="G24" s="208"/>
      <c r="H24" s="209"/>
      <c r="I24" s="209"/>
      <c r="J24" s="209"/>
      <c r="K24" s="209"/>
      <c r="L24" s="208"/>
      <c r="M24" s="208"/>
      <c r="N24" s="208"/>
      <c r="O24" s="208"/>
      <c r="P24" s="209"/>
      <c r="Q24" s="208"/>
      <c r="R24" s="208"/>
      <c r="S24" s="208"/>
      <c r="T24" s="208"/>
      <c r="U24" s="209"/>
      <c r="V24" s="208"/>
      <c r="W24" s="208"/>
      <c r="X24" s="208"/>
      <c r="Y24" s="210"/>
      <c r="Z24" s="209"/>
      <c r="AA24" s="211"/>
      <c r="AB24" s="209"/>
      <c r="AC24" s="211"/>
      <c r="AD24" s="211"/>
      <c r="AE24" s="211"/>
      <c r="AF24" s="211"/>
      <c r="AG24" s="211"/>
      <c r="AH24" s="3"/>
      <c r="AI24" s="227"/>
      <c r="AK24" s="187"/>
      <c r="AL24" s="187"/>
      <c r="AM24" s="187"/>
      <c r="AN24" s="187"/>
      <c r="AO24" s="187"/>
      <c r="AP24" s="187"/>
    </row>
    <row r="25" spans="1:42" s="1" customFormat="1" ht="4.5" customHeight="1">
      <c r="A25" s="11"/>
      <c r="B25" s="218"/>
      <c r="C25" s="219"/>
      <c r="D25" s="220"/>
      <c r="E25" s="221"/>
      <c r="F25" s="221"/>
      <c r="G25" s="220"/>
      <c r="H25" s="221"/>
      <c r="I25" s="221"/>
      <c r="J25" s="221"/>
      <c r="K25" s="221"/>
      <c r="L25" s="220"/>
      <c r="M25" s="220"/>
      <c r="N25" s="220"/>
      <c r="O25" s="220"/>
      <c r="P25" s="221"/>
      <c r="Q25" s="220"/>
      <c r="R25" s="220"/>
      <c r="S25" s="220"/>
      <c r="T25" s="220"/>
      <c r="U25" s="221"/>
      <c r="V25" s="220"/>
      <c r="W25" s="220"/>
      <c r="X25" s="220"/>
      <c r="Y25" s="222"/>
      <c r="Z25" s="221"/>
      <c r="AA25" s="223"/>
      <c r="AB25" s="221"/>
      <c r="AC25" s="3"/>
      <c r="AD25" s="168"/>
      <c r="AH25" s="3"/>
      <c r="AI25" s="227"/>
      <c r="AK25" s="187"/>
      <c r="AL25" s="187"/>
      <c r="AM25" s="187"/>
      <c r="AN25" s="187"/>
      <c r="AO25" s="187"/>
      <c r="AP25" s="187"/>
    </row>
    <row r="26" spans="1:42" s="227" customFormat="1" ht="4.5" customHeight="1">
      <c r="A26" s="228"/>
      <c r="B26" s="229"/>
      <c r="C26" s="230"/>
      <c r="D26" s="231"/>
      <c r="E26" s="232"/>
      <c r="F26" s="232"/>
      <c r="G26" s="231"/>
      <c r="H26" s="232"/>
      <c r="I26" s="232"/>
      <c r="J26" s="232"/>
      <c r="K26" s="232"/>
      <c r="L26" s="231"/>
      <c r="M26" s="231"/>
      <c r="N26" s="231"/>
      <c r="O26" s="231"/>
      <c r="P26" s="232"/>
      <c r="Q26" s="231"/>
      <c r="R26" s="231"/>
      <c r="S26" s="231"/>
      <c r="T26" s="231"/>
      <c r="U26" s="232"/>
      <c r="V26" s="231"/>
      <c r="W26" s="231"/>
      <c r="X26" s="231"/>
      <c r="Y26" s="233"/>
      <c r="Z26" s="232"/>
      <c r="AA26" s="234"/>
      <c r="AB26" s="232"/>
      <c r="AC26" s="235"/>
      <c r="AD26" s="236"/>
      <c r="AH26" s="235"/>
    </row>
    <row r="27" spans="1:42" s="187" customFormat="1" ht="4.5" customHeight="1">
      <c r="A27" s="224"/>
      <c r="B27" s="214"/>
      <c r="C27" s="215"/>
      <c r="D27" s="215"/>
      <c r="E27" s="214"/>
      <c r="F27" s="214"/>
      <c r="G27" s="215"/>
      <c r="H27" s="214"/>
      <c r="I27" s="214"/>
      <c r="J27" s="214"/>
      <c r="K27" s="214"/>
      <c r="L27" s="215"/>
      <c r="M27" s="215"/>
      <c r="N27" s="215"/>
      <c r="O27" s="215"/>
      <c r="P27" s="214"/>
      <c r="Q27" s="215"/>
      <c r="R27" s="215"/>
      <c r="S27" s="215"/>
      <c r="T27" s="215"/>
      <c r="U27" s="214"/>
      <c r="V27" s="215"/>
      <c r="W27" s="215"/>
      <c r="X27" s="215"/>
      <c r="Y27" s="216"/>
      <c r="Z27" s="214"/>
      <c r="AA27" s="225"/>
      <c r="AB27" s="214"/>
      <c r="AC27" s="226"/>
      <c r="AH27" s="226"/>
      <c r="AI27" s="227"/>
    </row>
    <row r="28" spans="1:42" s="3" customFormat="1" ht="13.5" customHeight="1">
      <c r="B28" s="1518" t="s">
        <v>18</v>
      </c>
      <c r="C28" s="1524">
        <v>45068</v>
      </c>
      <c r="D28" s="1524"/>
      <c r="E28" s="1524"/>
      <c r="F28" s="1524"/>
      <c r="G28" s="22"/>
      <c r="H28" s="1524">
        <v>45069</v>
      </c>
      <c r="I28" s="1524"/>
      <c r="J28" s="1524"/>
      <c r="K28" s="1524"/>
      <c r="L28" s="22"/>
      <c r="M28" s="1524">
        <v>45070</v>
      </c>
      <c r="N28" s="1524"/>
      <c r="O28" s="1524"/>
      <c r="P28" s="1524"/>
      <c r="Q28" s="22"/>
      <c r="R28" s="1524">
        <v>45071</v>
      </c>
      <c r="S28" s="1524"/>
      <c r="T28" s="1524"/>
      <c r="U28" s="1524"/>
      <c r="V28" s="22"/>
      <c r="W28" s="1524">
        <v>45072</v>
      </c>
      <c r="X28" s="1524"/>
      <c r="Y28" s="1524"/>
      <c r="Z28" s="1524"/>
      <c r="AA28" s="1517" t="s">
        <v>19</v>
      </c>
      <c r="AB28" s="1517" t="s">
        <v>20</v>
      </c>
      <c r="AD28" s="1524">
        <v>45068</v>
      </c>
      <c r="AE28" s="1524"/>
      <c r="AF28" s="1524"/>
      <c r="AG28" s="1517" t="s">
        <v>21</v>
      </c>
      <c r="AI28" s="235"/>
      <c r="AK28" s="194" t="s">
        <v>135</v>
      </c>
      <c r="AL28" s="195"/>
      <c r="AM28" s="195"/>
      <c r="AN28" s="195"/>
      <c r="AO28" s="195"/>
      <c r="AP28" s="195"/>
    </row>
    <row r="29" spans="1:42" s="3" customFormat="1" ht="14.25">
      <c r="B29" s="1518"/>
      <c r="C29" s="21" t="s">
        <v>23</v>
      </c>
      <c r="D29" s="21" t="s">
        <v>24</v>
      </c>
      <c r="E29" s="205" t="s">
        <v>122</v>
      </c>
      <c r="F29" s="18" t="s">
        <v>14</v>
      </c>
      <c r="G29" s="23"/>
      <c r="H29" s="21" t="s">
        <v>23</v>
      </c>
      <c r="I29" s="21" t="s">
        <v>24</v>
      </c>
      <c r="J29" s="205" t="s">
        <v>122</v>
      </c>
      <c r="K29" s="18" t="s">
        <v>14</v>
      </c>
      <c r="L29" s="23"/>
      <c r="M29" s="21" t="s">
        <v>23</v>
      </c>
      <c r="N29" s="21" t="s">
        <v>24</v>
      </c>
      <c r="O29" s="205" t="s">
        <v>122</v>
      </c>
      <c r="P29" s="18" t="s">
        <v>14</v>
      </c>
      <c r="Q29" s="23"/>
      <c r="R29" s="21" t="s">
        <v>23</v>
      </c>
      <c r="S29" s="21" t="s">
        <v>24</v>
      </c>
      <c r="T29" s="205" t="s">
        <v>122</v>
      </c>
      <c r="U29" s="18" t="s">
        <v>14</v>
      </c>
      <c r="V29" s="23"/>
      <c r="W29" s="21" t="s">
        <v>23</v>
      </c>
      <c r="X29" s="21" t="s">
        <v>24</v>
      </c>
      <c r="Y29" s="205" t="s">
        <v>122</v>
      </c>
      <c r="Z29" s="18" t="s">
        <v>14</v>
      </c>
      <c r="AA29" s="1523"/>
      <c r="AB29" s="1517"/>
      <c r="AC29" s="5"/>
      <c r="AD29" s="21" t="s">
        <v>23</v>
      </c>
      <c r="AE29" s="21" t="s">
        <v>24</v>
      </c>
      <c r="AF29" s="21" t="s">
        <v>25</v>
      </c>
      <c r="AG29" s="1523"/>
      <c r="AI29" s="235"/>
      <c r="AK29" s="188" t="s">
        <v>26</v>
      </c>
      <c r="AL29" s="189">
        <f>AA34</f>
        <v>127.25</v>
      </c>
      <c r="AM29" s="187"/>
      <c r="AN29" s="187"/>
      <c r="AO29" s="187"/>
      <c r="AP29" s="187"/>
    </row>
    <row r="30" spans="1:42" s="3" customFormat="1" ht="14.25">
      <c r="B30" s="13" t="s">
        <v>124</v>
      </c>
      <c r="C30" s="12" t="s">
        <v>76</v>
      </c>
      <c r="D30" s="12" t="s">
        <v>136</v>
      </c>
      <c r="E30" s="19">
        <v>7.5</v>
      </c>
      <c r="F30" s="277"/>
      <c r="G30" s="24"/>
      <c r="H30" s="12" t="s">
        <v>75</v>
      </c>
      <c r="I30" s="16">
        <v>0.20833333333333334</v>
      </c>
      <c r="J30" s="19">
        <v>7</v>
      </c>
      <c r="K30" s="277"/>
      <c r="L30" s="24"/>
      <c r="M30" s="12" t="s">
        <v>75</v>
      </c>
      <c r="N30" s="16">
        <v>0.20833333333333334</v>
      </c>
      <c r="O30" s="19">
        <v>7</v>
      </c>
      <c r="P30" s="277"/>
      <c r="Q30" s="24"/>
      <c r="R30" s="12" t="s">
        <v>75</v>
      </c>
      <c r="S30" s="16">
        <v>0.20833333333333334</v>
      </c>
      <c r="T30" s="19">
        <v>7</v>
      </c>
      <c r="U30" s="277"/>
      <c r="V30" s="24"/>
      <c r="W30" s="12">
        <v>0</v>
      </c>
      <c r="X30" s="12">
        <v>0</v>
      </c>
      <c r="Y30" s="19" t="s">
        <v>137</v>
      </c>
      <c r="Z30" s="277"/>
      <c r="AA30" s="29">
        <f>J30+E30+O30+T30</f>
        <v>28.5</v>
      </c>
      <c r="AB30" s="282"/>
      <c r="AC30" s="5"/>
      <c r="AD30" s="1525" t="s">
        <v>120</v>
      </c>
      <c r="AE30" s="1525"/>
      <c r="AF30" s="1525"/>
      <c r="AG30" s="1525"/>
      <c r="AI30" s="235"/>
      <c r="AK30" s="188" t="s">
        <v>30</v>
      </c>
      <c r="AL30" s="189">
        <f>C39</f>
        <v>0</v>
      </c>
      <c r="AM30" s="187"/>
      <c r="AN30" s="187"/>
      <c r="AO30" s="187"/>
      <c r="AP30" s="187"/>
    </row>
    <row r="31" spans="1:42" s="3" customFormat="1" ht="14.25">
      <c r="B31" s="13" t="s">
        <v>129</v>
      </c>
      <c r="C31" s="12" t="s">
        <v>76</v>
      </c>
      <c r="D31" s="12" t="s">
        <v>136</v>
      </c>
      <c r="E31" s="20">
        <v>7.5</v>
      </c>
      <c r="F31" s="277"/>
      <c r="G31" s="25"/>
      <c r="H31" s="16">
        <v>0.375</v>
      </c>
      <c r="I31" s="16">
        <v>0.20833333333333334</v>
      </c>
      <c r="J31" s="20">
        <v>7</v>
      </c>
      <c r="K31" s="277"/>
      <c r="L31" s="25"/>
      <c r="M31" s="16">
        <v>0.375</v>
      </c>
      <c r="N31" s="16">
        <v>0.20833333333333334</v>
      </c>
      <c r="O31" s="20">
        <v>7</v>
      </c>
      <c r="P31" s="277"/>
      <c r="Q31" s="25"/>
      <c r="R31" s="16">
        <v>0.375</v>
      </c>
      <c r="S31" s="16">
        <v>0.20833333333333334</v>
      </c>
      <c r="T31" s="20">
        <v>7</v>
      </c>
      <c r="U31" s="277"/>
      <c r="V31" s="25"/>
      <c r="W31" s="16">
        <v>0.375</v>
      </c>
      <c r="X31" s="16">
        <v>0.17708333333333334</v>
      </c>
      <c r="Y31" s="20">
        <v>6.25</v>
      </c>
      <c r="Z31" s="277"/>
      <c r="AA31" s="29">
        <f>J31+E31+O31+T31+Y31</f>
        <v>34.75</v>
      </c>
      <c r="AB31" s="299"/>
      <c r="AD31" s="1525"/>
      <c r="AE31" s="1525"/>
      <c r="AF31" s="1525"/>
      <c r="AG31" s="1525"/>
      <c r="AI31" s="235"/>
      <c r="AK31" s="188" t="s">
        <v>32</v>
      </c>
      <c r="AL31" s="189">
        <f>C39</f>
        <v>0</v>
      </c>
      <c r="AM31" s="187"/>
      <c r="AN31" s="187"/>
      <c r="AO31" s="187"/>
      <c r="AP31" s="187"/>
    </row>
    <row r="32" spans="1:42" s="3" customFormat="1" ht="14.25">
      <c r="B32" s="13" t="s">
        <v>131</v>
      </c>
      <c r="C32" s="12" t="s">
        <v>83</v>
      </c>
      <c r="D32" s="12" t="s">
        <v>136</v>
      </c>
      <c r="E32" s="20">
        <v>6.5</v>
      </c>
      <c r="F32" s="277"/>
      <c r="G32" s="25"/>
      <c r="H32" s="16">
        <v>0.39583333333333331</v>
      </c>
      <c r="I32" s="16">
        <v>0.20833333333333334</v>
      </c>
      <c r="J32" s="20">
        <v>7</v>
      </c>
      <c r="K32" s="277"/>
      <c r="L32" s="25"/>
      <c r="M32" s="16">
        <v>0.39583333333333331</v>
      </c>
      <c r="N32" s="16">
        <v>0.20833333333333334</v>
      </c>
      <c r="O32" s="20">
        <v>6.5</v>
      </c>
      <c r="P32" s="277"/>
      <c r="Q32" s="25"/>
      <c r="R32" s="16">
        <v>0.38541666666666669</v>
      </c>
      <c r="S32" s="16">
        <v>0.20833333333333334</v>
      </c>
      <c r="T32" s="20">
        <v>6.75</v>
      </c>
      <c r="U32" s="277"/>
      <c r="V32" s="25"/>
      <c r="W32" s="16">
        <v>0.41666666666666669</v>
      </c>
      <c r="X32" s="16">
        <v>0.17708333333333334</v>
      </c>
      <c r="Y32" s="20">
        <v>5.25</v>
      </c>
      <c r="Z32" s="277"/>
      <c r="AA32" s="185">
        <f t="shared" ref="AA32:AA33" si="1">J32+E32+O32+T32+Y32</f>
        <v>32</v>
      </c>
      <c r="AB32" s="299"/>
      <c r="AD32" s="1525"/>
      <c r="AE32" s="1525"/>
      <c r="AF32" s="1525"/>
      <c r="AG32" s="1525"/>
      <c r="AI32" s="235"/>
      <c r="AK32" s="188" t="s">
        <v>34</v>
      </c>
      <c r="AL32" s="190">
        <f>AA37</f>
        <v>26</v>
      </c>
      <c r="AM32" s="187"/>
      <c r="AN32" s="187"/>
      <c r="AO32" s="187"/>
      <c r="AP32" s="187"/>
    </row>
    <row r="33" spans="1:42" s="3" customFormat="1" ht="14.25">
      <c r="B33" s="13" t="s">
        <v>132</v>
      </c>
      <c r="C33" s="12" t="s">
        <v>83</v>
      </c>
      <c r="D33" s="12" t="s">
        <v>136</v>
      </c>
      <c r="E33" s="20">
        <v>6.5</v>
      </c>
      <c r="F33" s="277"/>
      <c r="G33" s="25"/>
      <c r="H33" s="16">
        <v>0.39583333333333331</v>
      </c>
      <c r="I33" s="16">
        <v>0.20833333333333334</v>
      </c>
      <c r="J33" s="20">
        <v>7</v>
      </c>
      <c r="K33" s="277"/>
      <c r="L33" s="25"/>
      <c r="M33" s="16">
        <v>0.39583333333333331</v>
      </c>
      <c r="N33" s="16">
        <v>0.20833333333333334</v>
      </c>
      <c r="O33" s="20">
        <v>6.5</v>
      </c>
      <c r="P33" s="277"/>
      <c r="Q33" s="25"/>
      <c r="R33" s="16">
        <v>0.38541666666666669</v>
      </c>
      <c r="S33" s="16">
        <v>0.20833333333333334</v>
      </c>
      <c r="T33" s="20">
        <v>6.75</v>
      </c>
      <c r="U33" s="277"/>
      <c r="V33" s="25"/>
      <c r="W33" s="16">
        <v>0.41666666666666669</v>
      </c>
      <c r="X33" s="16">
        <v>0.17708333333333334</v>
      </c>
      <c r="Y33" s="20">
        <v>5.25</v>
      </c>
      <c r="Z33" s="277"/>
      <c r="AA33" s="185">
        <f t="shared" si="1"/>
        <v>32</v>
      </c>
      <c r="AB33" s="299"/>
      <c r="AD33" s="1525"/>
      <c r="AE33" s="1525"/>
      <c r="AF33" s="1525"/>
      <c r="AG33" s="1525"/>
      <c r="AI33" s="235"/>
      <c r="AK33" s="188" t="s">
        <v>41</v>
      </c>
      <c r="AL33" s="189">
        <f>C40</f>
        <v>30</v>
      </c>
      <c r="AM33" s="187"/>
      <c r="AN33" s="187"/>
      <c r="AO33" s="187"/>
      <c r="AP33" s="187"/>
    </row>
    <row r="34" spans="1:42" ht="13.5" customHeight="1">
      <c r="A34" s="8"/>
      <c r="B34" s="64" t="s">
        <v>61</v>
      </c>
      <c r="C34" s="64"/>
      <c r="D34" s="64"/>
      <c r="E34" s="167">
        <f>SUM(E30:E33)</f>
        <v>28</v>
      </c>
      <c r="F34" s="277"/>
      <c r="G34" s="25"/>
      <c r="H34" s="64"/>
      <c r="I34" s="64"/>
      <c r="J34" s="167">
        <f>SUM(J30:J33)</f>
        <v>28</v>
      </c>
      <c r="K34" s="277"/>
      <c r="L34" s="25"/>
      <c r="M34" s="64"/>
      <c r="N34" s="64"/>
      <c r="O34" s="167">
        <f>SUM(O30:O33)</f>
        <v>27</v>
      </c>
      <c r="P34" s="277"/>
      <c r="Q34" s="25"/>
      <c r="R34" s="64"/>
      <c r="S34" s="64"/>
      <c r="T34" s="167">
        <f>SUM(T30:T33)</f>
        <v>27.5</v>
      </c>
      <c r="U34" s="277"/>
      <c r="V34" s="25"/>
      <c r="W34" s="64"/>
      <c r="X34" s="64"/>
      <c r="Y34" s="167">
        <f>SUM(Y30:Y33)</f>
        <v>16.75</v>
      </c>
      <c r="Z34" s="277"/>
      <c r="AA34" s="247">
        <f>SUM(AA30:AA33)</f>
        <v>127.25</v>
      </c>
      <c r="AB34" s="283"/>
      <c r="AC34" s="25"/>
      <c r="AD34" s="1525"/>
      <c r="AE34" s="1525"/>
      <c r="AF34" s="1525"/>
      <c r="AG34" s="1525"/>
    </row>
    <row r="35" spans="1:42" ht="13.5" customHeight="1">
      <c r="A35" s="8"/>
      <c r="B35" s="31" t="s">
        <v>64</v>
      </c>
      <c r="C35" s="56"/>
      <c r="D35" s="56"/>
      <c r="E35" s="19">
        <v>1</v>
      </c>
      <c r="F35" s="291"/>
      <c r="G35" s="60"/>
      <c r="H35" s="56"/>
      <c r="I35" s="56"/>
      <c r="J35" s="19">
        <v>2.5</v>
      </c>
      <c r="K35" s="291"/>
      <c r="L35" s="25"/>
      <c r="M35" s="56"/>
      <c r="N35" s="56"/>
      <c r="O35" s="19">
        <v>3</v>
      </c>
      <c r="P35" s="291"/>
      <c r="Q35" s="60"/>
      <c r="R35" s="56"/>
      <c r="S35" s="56"/>
      <c r="T35" s="19">
        <v>5</v>
      </c>
      <c r="U35" s="291"/>
      <c r="V35" s="60"/>
      <c r="W35" s="56"/>
      <c r="X35" s="56"/>
      <c r="Y35" s="19">
        <v>2</v>
      </c>
      <c r="Z35" s="291"/>
      <c r="AA35" s="183">
        <f>SUM(E35:Y35)</f>
        <v>13.5</v>
      </c>
      <c r="AB35" s="282"/>
      <c r="AC35" s="25"/>
      <c r="AD35" s="1525"/>
      <c r="AE35" s="1525"/>
      <c r="AF35" s="1525"/>
      <c r="AG35" s="1525"/>
    </row>
    <row r="36" spans="1:42" ht="13.5" customHeight="1" thickBot="1">
      <c r="A36" s="8"/>
      <c r="B36" s="74" t="s">
        <v>65</v>
      </c>
      <c r="C36" s="75"/>
      <c r="D36" s="75"/>
      <c r="E36" s="77">
        <v>2.5</v>
      </c>
      <c r="F36" s="292"/>
      <c r="G36" s="81"/>
      <c r="H36" s="75"/>
      <c r="I36" s="75"/>
      <c r="J36" s="77">
        <v>2.5</v>
      </c>
      <c r="K36" s="292"/>
      <c r="L36" s="81"/>
      <c r="M36" s="75"/>
      <c r="N36" s="75"/>
      <c r="O36" s="77">
        <v>2.5</v>
      </c>
      <c r="P36" s="292"/>
      <c r="Q36" s="81"/>
      <c r="R36" s="75"/>
      <c r="S36" s="75"/>
      <c r="T36" s="77">
        <v>2.5</v>
      </c>
      <c r="U36" s="292"/>
      <c r="V36" s="81"/>
      <c r="W36" s="75"/>
      <c r="X36" s="75"/>
      <c r="Y36" s="77">
        <v>2.5</v>
      </c>
      <c r="Z36" s="292"/>
      <c r="AA36" s="186">
        <f>SUM(E36:Y36)</f>
        <v>12.5</v>
      </c>
      <c r="AB36" s="294"/>
      <c r="AC36" s="25"/>
      <c r="AD36" s="1525"/>
      <c r="AE36" s="1525"/>
      <c r="AF36" s="1525"/>
      <c r="AG36" s="1525"/>
    </row>
    <row r="37" spans="1:42" s="1" customFormat="1" ht="13.5" customHeight="1" thickTop="1">
      <c r="A37" s="11"/>
      <c r="B37" s="214" t="s">
        <v>66</v>
      </c>
      <c r="C37" s="215"/>
      <c r="D37" s="215"/>
      <c r="E37" s="214">
        <f>SUM(E35:E36)</f>
        <v>3.5</v>
      </c>
      <c r="F37" s="214"/>
      <c r="G37" s="215"/>
      <c r="H37" s="214"/>
      <c r="I37" s="214"/>
      <c r="J37" s="214">
        <f>SUM(J35:J36)</f>
        <v>5</v>
      </c>
      <c r="K37" s="214"/>
      <c r="L37" s="215"/>
      <c r="M37" s="215"/>
      <c r="N37" s="215"/>
      <c r="O37" s="214">
        <f>SUM(O35:O36)</f>
        <v>5.5</v>
      </c>
      <c r="P37" s="214"/>
      <c r="Q37" s="214"/>
      <c r="R37" s="214"/>
      <c r="S37" s="214"/>
      <c r="T37" s="214">
        <f>SUM(T35:T36)</f>
        <v>7.5</v>
      </c>
      <c r="U37" s="214"/>
      <c r="V37" s="214"/>
      <c r="W37" s="214"/>
      <c r="X37" s="214"/>
      <c r="Y37" s="214">
        <f>SUM(Y35:Y36)</f>
        <v>4.5</v>
      </c>
      <c r="Z37" s="214"/>
      <c r="AA37" s="247">
        <f>SUM(E37:Y37)</f>
        <v>26</v>
      </c>
      <c r="AB37" s="247"/>
      <c r="AC37" s="3"/>
      <c r="AD37" s="1525"/>
      <c r="AE37" s="1525"/>
      <c r="AF37" s="1525"/>
      <c r="AG37" s="1525"/>
      <c r="AH37" s="3"/>
      <c r="AI37" s="227"/>
      <c r="AK37" s="187"/>
      <c r="AL37" s="187"/>
      <c r="AM37" s="187"/>
      <c r="AN37" s="187"/>
      <c r="AO37" s="187"/>
      <c r="AP37" s="187"/>
    </row>
    <row r="38" spans="1:42" s="1" customFormat="1" ht="13.5" customHeight="1">
      <c r="A38" s="11"/>
      <c r="B38" s="217" t="s">
        <v>133</v>
      </c>
      <c r="C38" s="207">
        <v>0</v>
      </c>
      <c r="D38" s="208"/>
      <c r="E38" s="209"/>
      <c r="F38" s="209"/>
      <c r="G38" s="208"/>
      <c r="H38" s="209"/>
      <c r="I38" s="209"/>
      <c r="J38" s="209"/>
      <c r="K38" s="209"/>
      <c r="L38" s="208"/>
      <c r="M38" s="208"/>
      <c r="N38" s="208"/>
      <c r="O38" s="208"/>
      <c r="P38" s="209"/>
      <c r="Q38" s="208"/>
      <c r="R38" s="208"/>
      <c r="S38" s="208"/>
      <c r="T38" s="208"/>
      <c r="U38" s="209"/>
      <c r="V38" s="208"/>
      <c r="W38" s="208"/>
      <c r="X38" s="208"/>
      <c r="Y38" s="210"/>
      <c r="Z38" s="209"/>
      <c r="AA38" s="211"/>
      <c r="AB38" s="209"/>
      <c r="AC38" s="211"/>
      <c r="AD38" s="211"/>
      <c r="AE38" s="211"/>
      <c r="AF38" s="211"/>
      <c r="AG38" s="211"/>
      <c r="AH38" s="3"/>
      <c r="AI38" s="227"/>
      <c r="AK38" s="187"/>
      <c r="AL38" s="187"/>
      <c r="AM38" s="187"/>
      <c r="AN38" s="187"/>
      <c r="AO38" s="187"/>
      <c r="AP38" s="187"/>
    </row>
    <row r="39" spans="1:42">
      <c r="B39" s="217" t="s">
        <v>134</v>
      </c>
      <c r="C39" s="207">
        <v>0</v>
      </c>
      <c r="D39" s="212"/>
      <c r="E39" s="213"/>
      <c r="F39" s="213"/>
      <c r="G39" s="213"/>
      <c r="H39" s="212"/>
      <c r="I39" s="212"/>
      <c r="J39" s="213"/>
      <c r="K39" s="213"/>
      <c r="L39" s="213"/>
      <c r="M39" s="212"/>
      <c r="N39" s="212"/>
      <c r="O39" s="213"/>
      <c r="P39" s="213"/>
      <c r="Q39" s="213"/>
      <c r="R39" s="212"/>
      <c r="S39" s="212"/>
      <c r="T39" s="213"/>
      <c r="U39" s="213"/>
      <c r="V39" s="213"/>
      <c r="W39" s="212"/>
      <c r="X39" s="212"/>
      <c r="Y39" s="213"/>
      <c r="Z39" s="213"/>
      <c r="AA39" s="213"/>
      <c r="AB39" s="213"/>
      <c r="AC39" s="213"/>
      <c r="AD39" s="213"/>
      <c r="AE39" s="213"/>
      <c r="AF39" s="213"/>
      <c r="AG39" s="213"/>
    </row>
    <row r="40" spans="1:42" s="1" customFormat="1" ht="13.5" customHeight="1">
      <c r="A40" s="11"/>
      <c r="B40" s="217" t="s">
        <v>67</v>
      </c>
      <c r="C40" s="207">
        <f>C41+C42</f>
        <v>30</v>
      </c>
      <c r="D40" s="208"/>
      <c r="E40" s="209"/>
      <c r="F40" s="209"/>
      <c r="G40" s="208"/>
      <c r="H40" s="209"/>
      <c r="I40" s="209"/>
      <c r="J40" s="209"/>
      <c r="K40" s="209"/>
      <c r="L40" s="208"/>
      <c r="M40" s="208"/>
      <c r="N40" s="208"/>
      <c r="O40" s="208"/>
      <c r="P40" s="209"/>
      <c r="Q40" s="208"/>
      <c r="R40" s="208"/>
      <c r="S40" s="208"/>
      <c r="T40" s="208"/>
      <c r="U40" s="209"/>
      <c r="V40" s="208"/>
      <c r="W40" s="208"/>
      <c r="X40" s="208"/>
      <c r="Y40" s="210"/>
      <c r="Z40" s="209"/>
      <c r="AA40" s="211"/>
      <c r="AB40" s="209"/>
      <c r="AC40" s="211"/>
      <c r="AD40" s="211"/>
      <c r="AE40" s="211"/>
      <c r="AF40" s="211"/>
      <c r="AG40" s="211"/>
      <c r="AH40" s="3"/>
      <c r="AI40" s="227"/>
      <c r="AK40" s="187"/>
      <c r="AL40" s="187"/>
      <c r="AM40" s="187"/>
      <c r="AN40" s="187"/>
      <c r="AO40" s="187"/>
      <c r="AP40" s="187"/>
    </row>
    <row r="41" spans="1:42" s="1" customFormat="1" ht="13.5" customHeight="1">
      <c r="A41" s="11"/>
      <c r="B41" s="238" t="s">
        <v>68</v>
      </c>
      <c r="C41" s="239">
        <v>30</v>
      </c>
      <c r="D41" s="208"/>
      <c r="E41" s="209"/>
      <c r="F41" s="209"/>
      <c r="G41" s="208"/>
      <c r="H41" s="209"/>
      <c r="I41" s="209"/>
      <c r="J41" s="209"/>
      <c r="K41" s="209"/>
      <c r="L41" s="208"/>
      <c r="M41" s="208"/>
      <c r="N41" s="208"/>
      <c r="O41" s="208"/>
      <c r="P41" s="209"/>
      <c r="Q41" s="208"/>
      <c r="R41" s="208"/>
      <c r="S41" s="208"/>
      <c r="T41" s="208"/>
      <c r="U41" s="209"/>
      <c r="V41" s="208"/>
      <c r="W41" s="208"/>
      <c r="X41" s="208"/>
      <c r="Y41" s="210"/>
      <c r="Z41" s="209"/>
      <c r="AA41" s="211"/>
      <c r="AB41" s="209"/>
      <c r="AC41" s="211"/>
      <c r="AD41" s="211"/>
      <c r="AE41" s="211"/>
      <c r="AF41" s="211"/>
      <c r="AG41" s="211"/>
      <c r="AH41" s="3"/>
      <c r="AI41" s="227"/>
      <c r="AK41" s="187"/>
      <c r="AL41" s="187"/>
      <c r="AM41" s="187"/>
      <c r="AN41" s="187"/>
      <c r="AO41" s="187"/>
      <c r="AP41" s="187"/>
    </row>
    <row r="42" spans="1:42" s="1" customFormat="1" ht="13.5" customHeight="1">
      <c r="A42" s="11"/>
      <c r="B42" s="238" t="s">
        <v>69</v>
      </c>
      <c r="C42" s="239">
        <v>0</v>
      </c>
      <c r="D42" s="208"/>
      <c r="E42" s="209"/>
      <c r="F42" s="209"/>
      <c r="G42" s="208"/>
      <c r="H42" s="209"/>
      <c r="I42" s="209"/>
      <c r="J42" s="209"/>
      <c r="K42" s="209"/>
      <c r="L42" s="208"/>
      <c r="M42" s="208"/>
      <c r="N42" s="208"/>
      <c r="O42" s="208"/>
      <c r="P42" s="209"/>
      <c r="Q42" s="208"/>
      <c r="R42" s="208"/>
      <c r="S42" s="208"/>
      <c r="T42" s="208"/>
      <c r="U42" s="209"/>
      <c r="V42" s="208"/>
      <c r="W42" s="208"/>
      <c r="X42" s="208"/>
      <c r="Y42" s="210"/>
      <c r="Z42" s="209"/>
      <c r="AA42" s="211"/>
      <c r="AB42" s="209"/>
      <c r="AC42" s="211"/>
      <c r="AD42" s="211"/>
      <c r="AE42" s="211"/>
      <c r="AF42" s="211"/>
      <c r="AG42" s="211"/>
      <c r="AH42" s="3"/>
      <c r="AI42" s="227"/>
      <c r="AK42" s="187"/>
      <c r="AL42" s="187"/>
      <c r="AM42" s="187"/>
      <c r="AN42" s="187"/>
      <c r="AO42" s="187"/>
      <c r="AP42" s="187"/>
    </row>
    <row r="43" spans="1:42" s="1" customFormat="1" ht="4.5" customHeight="1">
      <c r="A43" s="11"/>
      <c r="B43" s="218"/>
      <c r="C43" s="219"/>
      <c r="D43" s="220"/>
      <c r="E43" s="221"/>
      <c r="F43" s="221"/>
      <c r="G43" s="220"/>
      <c r="H43" s="221"/>
      <c r="I43" s="221"/>
      <c r="J43" s="221"/>
      <c r="K43" s="221"/>
      <c r="L43" s="220"/>
      <c r="M43" s="220"/>
      <c r="N43" s="220"/>
      <c r="O43" s="220"/>
      <c r="P43" s="221"/>
      <c r="Q43" s="220"/>
      <c r="R43" s="220"/>
      <c r="S43" s="220"/>
      <c r="T43" s="220"/>
      <c r="U43" s="221"/>
      <c r="V43" s="220"/>
      <c r="W43" s="220"/>
      <c r="X43" s="220"/>
      <c r="Y43" s="222"/>
      <c r="Z43" s="221"/>
      <c r="AA43" s="223"/>
      <c r="AB43" s="221"/>
      <c r="AC43" s="3"/>
      <c r="AD43" s="168"/>
      <c r="AH43" s="3"/>
      <c r="AI43" s="227"/>
      <c r="AK43" s="187"/>
      <c r="AL43" s="187"/>
      <c r="AM43" s="187"/>
      <c r="AN43" s="187"/>
      <c r="AO43" s="187"/>
      <c r="AP43" s="187"/>
    </row>
    <row r="44" spans="1:42" s="227" customFormat="1" ht="4.5" customHeight="1">
      <c r="A44" s="228"/>
      <c r="B44" s="229"/>
      <c r="C44" s="230"/>
      <c r="D44" s="231"/>
      <c r="E44" s="232"/>
      <c r="F44" s="232"/>
      <c r="G44" s="231"/>
      <c r="H44" s="232"/>
      <c r="I44" s="232"/>
      <c r="J44" s="232"/>
      <c r="K44" s="232"/>
      <c r="L44" s="231"/>
      <c r="M44" s="231"/>
      <c r="N44" s="231"/>
      <c r="O44" s="231"/>
      <c r="P44" s="232"/>
      <c r="Q44" s="231"/>
      <c r="R44" s="231"/>
      <c r="S44" s="231"/>
      <c r="T44" s="231"/>
      <c r="U44" s="232"/>
      <c r="V44" s="231"/>
      <c r="W44" s="231"/>
      <c r="X44" s="231"/>
      <c r="Y44" s="233"/>
      <c r="Z44" s="232"/>
      <c r="AA44" s="234"/>
      <c r="AB44" s="232"/>
      <c r="AC44" s="235"/>
      <c r="AD44" s="236"/>
      <c r="AH44" s="235"/>
    </row>
    <row r="45" spans="1:42" s="187" customFormat="1" ht="4.5" customHeight="1">
      <c r="A45" s="224"/>
      <c r="B45" s="214"/>
      <c r="C45" s="215"/>
      <c r="D45" s="215"/>
      <c r="E45" s="214"/>
      <c r="F45" s="214"/>
      <c r="G45" s="215"/>
      <c r="H45" s="214"/>
      <c r="I45" s="214"/>
      <c r="J45" s="214"/>
      <c r="K45" s="214"/>
      <c r="L45" s="215"/>
      <c r="M45" s="215"/>
      <c r="N45" s="215"/>
      <c r="O45" s="215"/>
      <c r="P45" s="214"/>
      <c r="Q45" s="215"/>
      <c r="R45" s="215"/>
      <c r="S45" s="215"/>
      <c r="T45" s="215"/>
      <c r="U45" s="214"/>
      <c r="V45" s="215"/>
      <c r="W45" s="215"/>
      <c r="X45" s="215"/>
      <c r="Y45" s="216"/>
      <c r="Z45" s="214"/>
      <c r="AA45" s="225"/>
      <c r="AB45" s="214"/>
      <c r="AC45" s="226"/>
      <c r="AH45" s="226"/>
      <c r="AI45" s="227"/>
    </row>
    <row r="46" spans="1:42" s="1" customFormat="1" ht="13.5" customHeight="1">
      <c r="B46" s="1518" t="s">
        <v>18</v>
      </c>
      <c r="C46" s="1524">
        <v>45075</v>
      </c>
      <c r="D46" s="1524"/>
      <c r="E46" s="1524"/>
      <c r="F46" s="1524"/>
      <c r="G46" s="3"/>
      <c r="H46" s="1524">
        <v>45076</v>
      </c>
      <c r="I46" s="1524"/>
      <c r="J46" s="1524"/>
      <c r="K46" s="1524"/>
      <c r="L46" s="3"/>
      <c r="M46" s="1524">
        <v>45077</v>
      </c>
      <c r="N46" s="1524"/>
      <c r="O46" s="1524"/>
      <c r="P46" s="1524"/>
      <c r="Q46" s="3"/>
      <c r="R46" s="1524">
        <v>45078</v>
      </c>
      <c r="S46" s="1524"/>
      <c r="T46" s="1524"/>
      <c r="U46" s="1524"/>
      <c r="V46" s="3"/>
      <c r="W46" s="1524">
        <v>45079</v>
      </c>
      <c r="X46" s="1524"/>
      <c r="Y46" s="1524"/>
      <c r="Z46" s="1524"/>
      <c r="AA46" s="1517" t="s">
        <v>19</v>
      </c>
      <c r="AB46" s="1517" t="s">
        <v>20</v>
      </c>
      <c r="AC46" s="3"/>
      <c r="AD46" s="1524">
        <v>45075</v>
      </c>
      <c r="AE46" s="1524"/>
      <c r="AF46" s="1524"/>
      <c r="AG46" s="1517" t="s">
        <v>21</v>
      </c>
      <c r="AH46" s="3"/>
      <c r="AI46" s="227"/>
      <c r="AK46" s="194" t="s">
        <v>138</v>
      </c>
      <c r="AL46" s="195"/>
      <c r="AM46" s="195"/>
      <c r="AN46" s="195"/>
      <c r="AO46" s="195"/>
      <c r="AP46" s="195"/>
    </row>
    <row r="47" spans="1:42" s="1" customFormat="1" ht="14.25">
      <c r="B47" s="1518"/>
      <c r="C47" s="21" t="s">
        <v>23</v>
      </c>
      <c r="D47" s="21" t="s">
        <v>24</v>
      </c>
      <c r="E47" s="205" t="s">
        <v>122</v>
      </c>
      <c r="F47" s="18" t="s">
        <v>14</v>
      </c>
      <c r="G47" s="3"/>
      <c r="H47" s="21" t="s">
        <v>23</v>
      </c>
      <c r="I47" s="21" t="s">
        <v>24</v>
      </c>
      <c r="J47" s="205" t="s">
        <v>122</v>
      </c>
      <c r="K47" s="18" t="s">
        <v>14</v>
      </c>
      <c r="L47" s="3"/>
      <c r="M47" s="21" t="s">
        <v>23</v>
      </c>
      <c r="N47" s="21" t="s">
        <v>24</v>
      </c>
      <c r="O47" s="205" t="s">
        <v>122</v>
      </c>
      <c r="P47" s="18" t="s">
        <v>14</v>
      </c>
      <c r="Q47" s="3"/>
      <c r="R47" s="21" t="s">
        <v>23</v>
      </c>
      <c r="S47" s="21" t="s">
        <v>24</v>
      </c>
      <c r="T47" s="205" t="s">
        <v>122</v>
      </c>
      <c r="U47" s="18" t="s">
        <v>14</v>
      </c>
      <c r="V47" s="3"/>
      <c r="W47" s="21" t="s">
        <v>23</v>
      </c>
      <c r="X47" s="21" t="s">
        <v>24</v>
      </c>
      <c r="Y47" s="205" t="s">
        <v>122</v>
      </c>
      <c r="Z47" s="18" t="s">
        <v>14</v>
      </c>
      <c r="AA47" s="1523"/>
      <c r="AB47" s="1517"/>
      <c r="AC47" s="3"/>
      <c r="AD47" s="21" t="s">
        <v>23</v>
      </c>
      <c r="AE47" s="21" t="s">
        <v>24</v>
      </c>
      <c r="AF47" s="21" t="s">
        <v>25</v>
      </c>
      <c r="AG47" s="1523"/>
      <c r="AH47" s="3"/>
      <c r="AI47" s="227"/>
      <c r="AK47" s="188" t="s">
        <v>26</v>
      </c>
      <c r="AL47" s="199">
        <f>AA54</f>
        <v>133.5</v>
      </c>
      <c r="AM47" s="187"/>
      <c r="AN47" s="187"/>
      <c r="AO47" s="187"/>
      <c r="AP47" s="187"/>
    </row>
    <row r="48" spans="1:42" s="1" customFormat="1" ht="14.25">
      <c r="B48" s="13" t="s">
        <v>124</v>
      </c>
      <c r="C48" s="26">
        <v>0</v>
      </c>
      <c r="D48" s="26">
        <v>0</v>
      </c>
      <c r="E48" s="19">
        <v>0</v>
      </c>
      <c r="F48" s="277"/>
      <c r="G48" s="3"/>
      <c r="H48" s="12" t="s">
        <v>75</v>
      </c>
      <c r="I48" s="16">
        <v>0.20833333333333334</v>
      </c>
      <c r="J48" s="19">
        <v>8</v>
      </c>
      <c r="K48" s="277"/>
      <c r="L48" s="3"/>
      <c r="M48" s="12" t="s">
        <v>75</v>
      </c>
      <c r="N48" s="16">
        <v>0.20833333333333334</v>
      </c>
      <c r="O48" s="19">
        <v>8</v>
      </c>
      <c r="P48" s="277"/>
      <c r="Q48" s="3"/>
      <c r="R48" s="12" t="s">
        <v>75</v>
      </c>
      <c r="S48" s="47">
        <v>0.20833333333333334</v>
      </c>
      <c r="T48" s="19">
        <v>7.5</v>
      </c>
      <c r="U48" s="277"/>
      <c r="V48" s="3"/>
      <c r="W48" s="47">
        <v>0.375</v>
      </c>
      <c r="X48" s="47">
        <v>0.20833333333333334</v>
      </c>
      <c r="Y48" s="19">
        <v>8</v>
      </c>
      <c r="Z48" s="277"/>
      <c r="AA48" s="29">
        <f>(J48+O48+T48+Y48)</f>
        <v>31.5</v>
      </c>
      <c r="AB48" s="288"/>
      <c r="AC48" s="3"/>
      <c r="AD48" s="1525" t="s">
        <v>120</v>
      </c>
      <c r="AE48" s="1525"/>
      <c r="AF48" s="1525"/>
      <c r="AG48" s="1525"/>
      <c r="AH48" s="3"/>
      <c r="AI48" s="227"/>
      <c r="AK48" s="188" t="s">
        <v>30</v>
      </c>
      <c r="AL48" s="189">
        <f>C58</f>
        <v>0</v>
      </c>
      <c r="AM48" s="187"/>
      <c r="AN48" s="187"/>
      <c r="AO48" s="187"/>
      <c r="AP48" s="187"/>
    </row>
    <row r="49" spans="1:42" s="1" customFormat="1" ht="14.25">
      <c r="B49" s="13" t="s">
        <v>129</v>
      </c>
      <c r="C49" s="26">
        <v>0</v>
      </c>
      <c r="D49" s="26">
        <v>0</v>
      </c>
      <c r="E49" s="19">
        <v>0</v>
      </c>
      <c r="F49" s="277"/>
      <c r="G49" s="3"/>
      <c r="H49" s="12" t="s">
        <v>75</v>
      </c>
      <c r="I49" s="16">
        <v>0.20833333333333334</v>
      </c>
      <c r="J49" s="19">
        <v>8</v>
      </c>
      <c r="K49" s="277"/>
      <c r="L49" s="3"/>
      <c r="M49" s="12" t="s">
        <v>75</v>
      </c>
      <c r="N49" s="16">
        <v>0.20833333333333334</v>
      </c>
      <c r="O49" s="19">
        <v>8</v>
      </c>
      <c r="P49" s="277"/>
      <c r="Q49" s="3"/>
      <c r="R49" s="12" t="s">
        <v>75</v>
      </c>
      <c r="S49" s="47">
        <v>0.20833333333333334</v>
      </c>
      <c r="T49" s="19">
        <v>7.5</v>
      </c>
      <c r="U49" s="277"/>
      <c r="V49" s="3"/>
      <c r="W49" s="4">
        <v>0</v>
      </c>
      <c r="X49" s="4">
        <v>0</v>
      </c>
      <c r="Y49" s="19">
        <v>0</v>
      </c>
      <c r="Z49" s="277"/>
      <c r="AA49" s="29">
        <f t="shared" ref="AA49:AA53" si="2">(J49+O49+T49+Y49)</f>
        <v>23.5</v>
      </c>
      <c r="AB49" s="288"/>
      <c r="AC49" s="3"/>
      <c r="AD49" s="1525"/>
      <c r="AE49" s="1525"/>
      <c r="AF49" s="1525"/>
      <c r="AG49" s="1525"/>
      <c r="AH49" s="3"/>
      <c r="AI49" s="227"/>
      <c r="AK49" s="188" t="s">
        <v>32</v>
      </c>
      <c r="AL49" s="189">
        <f>C59</f>
        <v>0</v>
      </c>
      <c r="AM49" s="187"/>
      <c r="AN49" s="187"/>
      <c r="AO49" s="187"/>
      <c r="AP49" s="187"/>
    </row>
    <row r="50" spans="1:42" s="1" customFormat="1" ht="14.25">
      <c r="B50" s="13" t="s">
        <v>131</v>
      </c>
      <c r="C50" s="26">
        <v>0</v>
      </c>
      <c r="D50" s="26">
        <v>0</v>
      </c>
      <c r="E50" s="19">
        <v>0</v>
      </c>
      <c r="F50" s="277"/>
      <c r="G50" s="3"/>
      <c r="H50" s="12">
        <v>0</v>
      </c>
      <c r="I50" s="12">
        <v>0</v>
      </c>
      <c r="J50" s="19">
        <v>0</v>
      </c>
      <c r="K50" s="277"/>
      <c r="L50" s="3"/>
      <c r="M50" s="12">
        <v>0</v>
      </c>
      <c r="N50" s="4">
        <v>0</v>
      </c>
      <c r="O50" s="19">
        <v>0</v>
      </c>
      <c r="P50" s="277"/>
      <c r="Q50" s="3"/>
      <c r="R50" s="16">
        <v>0.41666666666666669</v>
      </c>
      <c r="S50" s="47">
        <v>0.20833333333333334</v>
      </c>
      <c r="T50" s="19">
        <v>6.5</v>
      </c>
      <c r="U50" s="277"/>
      <c r="V50" s="3"/>
      <c r="W50" s="47">
        <v>0.375</v>
      </c>
      <c r="X50" s="47">
        <v>0.20833333333333334</v>
      </c>
      <c r="Y50" s="19">
        <v>8</v>
      </c>
      <c r="Z50" s="277"/>
      <c r="AA50" s="29">
        <f>(J50+O50+T50+Y50)</f>
        <v>14.5</v>
      </c>
      <c r="AB50" s="288"/>
      <c r="AC50" s="3"/>
      <c r="AD50" s="1525"/>
      <c r="AE50" s="1525"/>
      <c r="AF50" s="1525"/>
      <c r="AG50" s="1525"/>
      <c r="AH50" s="3"/>
      <c r="AI50" s="227"/>
      <c r="AK50" s="188" t="s">
        <v>34</v>
      </c>
      <c r="AL50" s="190">
        <f>AA57</f>
        <v>28</v>
      </c>
      <c r="AM50" s="187"/>
      <c r="AN50" s="187"/>
      <c r="AO50" s="187"/>
      <c r="AP50" s="187"/>
    </row>
    <row r="51" spans="1:42" s="1" customFormat="1" ht="14.25">
      <c r="B51" s="13" t="s">
        <v>132</v>
      </c>
      <c r="C51" s="26">
        <v>0</v>
      </c>
      <c r="D51" s="26">
        <v>0</v>
      </c>
      <c r="E51" s="19">
        <v>0</v>
      </c>
      <c r="F51" s="277"/>
      <c r="G51" s="3"/>
      <c r="H51" s="16">
        <v>0.46875</v>
      </c>
      <c r="I51" s="16">
        <v>0.20833333333333334</v>
      </c>
      <c r="J51" s="19">
        <v>5.75</v>
      </c>
      <c r="K51" s="277"/>
      <c r="L51" s="3"/>
      <c r="M51" s="12" t="s">
        <v>75</v>
      </c>
      <c r="N51" s="16">
        <v>0.41666666666666669</v>
      </c>
      <c r="O51" s="19">
        <v>1</v>
      </c>
      <c r="P51" s="277"/>
      <c r="Q51" s="3"/>
      <c r="R51" s="16">
        <v>0.41666666666666669</v>
      </c>
      <c r="S51" s="47">
        <v>0.20833333333333334</v>
      </c>
      <c r="T51" s="19">
        <v>6.5</v>
      </c>
      <c r="U51" s="277"/>
      <c r="V51" s="3"/>
      <c r="W51" s="47">
        <v>0.375</v>
      </c>
      <c r="X51" s="47">
        <v>0.20833333333333334</v>
      </c>
      <c r="Y51" s="19">
        <v>8</v>
      </c>
      <c r="Z51" s="277"/>
      <c r="AA51" s="29">
        <f t="shared" si="2"/>
        <v>21.25</v>
      </c>
      <c r="AB51" s="288"/>
      <c r="AC51" s="3"/>
      <c r="AD51" s="1525"/>
      <c r="AE51" s="1525"/>
      <c r="AF51" s="1525"/>
      <c r="AG51" s="1525"/>
      <c r="AH51" s="3"/>
      <c r="AI51" s="227"/>
      <c r="AK51" s="188" t="s">
        <v>41</v>
      </c>
      <c r="AL51" s="189">
        <f>C60</f>
        <v>30</v>
      </c>
      <c r="AM51" s="187"/>
      <c r="AN51" s="187"/>
      <c r="AO51" s="187"/>
      <c r="AP51" s="187"/>
    </row>
    <row r="52" spans="1:42" s="1" customFormat="1" ht="14.25">
      <c r="B52" s="13" t="s">
        <v>35</v>
      </c>
      <c r="C52" s="26">
        <v>0</v>
      </c>
      <c r="D52" s="26">
        <v>0</v>
      </c>
      <c r="E52" s="19">
        <v>0</v>
      </c>
      <c r="F52" s="277"/>
      <c r="G52" s="3"/>
      <c r="H52" s="16">
        <v>0.46875</v>
      </c>
      <c r="I52" s="16">
        <v>0.20833333333333334</v>
      </c>
      <c r="J52" s="19">
        <v>5.75</v>
      </c>
      <c r="K52" s="277"/>
      <c r="L52" s="3"/>
      <c r="M52" s="4">
        <v>0</v>
      </c>
      <c r="N52" s="4">
        <v>0</v>
      </c>
      <c r="O52" s="19">
        <v>0</v>
      </c>
      <c r="P52" s="277"/>
      <c r="Q52" s="3"/>
      <c r="R52" s="16">
        <v>0.41666666666666669</v>
      </c>
      <c r="S52" s="47">
        <v>0.20833333333333334</v>
      </c>
      <c r="T52" s="19">
        <v>6.5</v>
      </c>
      <c r="U52" s="277"/>
      <c r="V52" s="3"/>
      <c r="W52" s="47">
        <v>0.375</v>
      </c>
      <c r="X52" s="47">
        <v>0.20833333333333334</v>
      </c>
      <c r="Y52" s="19">
        <v>8</v>
      </c>
      <c r="Z52" s="277"/>
      <c r="AA52" s="29">
        <f t="shared" si="2"/>
        <v>20.25</v>
      </c>
      <c r="AB52" s="288"/>
      <c r="AC52" s="3"/>
      <c r="AD52" s="1525"/>
      <c r="AE52" s="1525"/>
      <c r="AF52" s="1525"/>
      <c r="AG52" s="1525"/>
      <c r="AH52" s="3"/>
      <c r="AI52" s="227"/>
      <c r="AK52" s="187"/>
      <c r="AL52" s="187"/>
      <c r="AM52" s="187"/>
      <c r="AN52" s="187"/>
      <c r="AO52" s="187"/>
      <c r="AP52" s="187"/>
    </row>
    <row r="53" spans="1:42" s="1" customFormat="1" ht="14.25">
      <c r="B53" s="13" t="s">
        <v>37</v>
      </c>
      <c r="C53" s="26">
        <v>0</v>
      </c>
      <c r="D53" s="26">
        <v>0</v>
      </c>
      <c r="E53" s="19">
        <v>0</v>
      </c>
      <c r="F53" s="277"/>
      <c r="G53" s="3"/>
      <c r="H53" s="12">
        <v>0</v>
      </c>
      <c r="I53" s="12">
        <v>0</v>
      </c>
      <c r="J53" s="19">
        <v>0</v>
      </c>
      <c r="K53" s="277"/>
      <c r="L53" s="3"/>
      <c r="M53" s="12" t="s">
        <v>75</v>
      </c>
      <c r="N53" s="16">
        <v>0.20833333333333334</v>
      </c>
      <c r="O53" s="19">
        <v>8</v>
      </c>
      <c r="P53" s="277"/>
      <c r="Q53" s="3"/>
      <c r="R53" s="16">
        <v>0.41666666666666669</v>
      </c>
      <c r="S53" s="47">
        <v>0.20833333333333334</v>
      </c>
      <c r="T53" s="19">
        <v>6.5</v>
      </c>
      <c r="U53" s="277"/>
      <c r="V53" s="47">
        <v>0.375</v>
      </c>
      <c r="X53" s="47">
        <v>0.20833333333333334</v>
      </c>
      <c r="Y53" s="19">
        <v>8</v>
      </c>
      <c r="Z53" s="277"/>
      <c r="AA53" s="29">
        <f t="shared" si="2"/>
        <v>22.5</v>
      </c>
      <c r="AB53" s="288"/>
      <c r="AC53" s="3"/>
      <c r="AD53" s="1525"/>
      <c r="AE53" s="1525"/>
      <c r="AF53" s="1525"/>
      <c r="AG53" s="1525"/>
      <c r="AH53" s="3"/>
      <c r="AI53" s="227"/>
      <c r="AK53" s="187"/>
      <c r="AL53" s="187"/>
      <c r="AM53" s="187"/>
      <c r="AN53" s="187"/>
      <c r="AO53" s="187"/>
      <c r="AP53" s="187"/>
    </row>
    <row r="54" spans="1:42" ht="13.5" customHeight="1">
      <c r="A54" s="8"/>
      <c r="B54" s="64" t="s">
        <v>139</v>
      </c>
      <c r="C54" s="64"/>
      <c r="D54" s="64"/>
      <c r="E54" s="167">
        <f>SUM(E48:E53)</f>
        <v>0</v>
      </c>
      <c r="F54" s="277"/>
      <c r="G54" s="3"/>
      <c r="H54" s="64"/>
      <c r="I54" s="64"/>
      <c r="J54" s="167">
        <f>SUM(J48:J53)</f>
        <v>27.5</v>
      </c>
      <c r="K54" s="277"/>
      <c r="L54" s="3"/>
      <c r="M54" s="64"/>
      <c r="N54" s="64"/>
      <c r="O54" s="167">
        <f>SUM(O48:O53)</f>
        <v>25</v>
      </c>
      <c r="P54" s="277"/>
      <c r="R54" s="64"/>
      <c r="S54" s="64"/>
      <c r="T54" s="167">
        <f>SUM(T48:T53)</f>
        <v>41</v>
      </c>
      <c r="U54" s="277"/>
      <c r="V54" s="47">
        <v>0.41666666666666702</v>
      </c>
      <c r="W54" s="64"/>
      <c r="X54" s="64"/>
      <c r="Y54" s="167">
        <f>SUM(Y48:Y53)</f>
        <v>40</v>
      </c>
      <c r="Z54" s="277"/>
      <c r="AA54" s="247">
        <f>SUM(AA48:AA53)</f>
        <v>133.5</v>
      </c>
      <c r="AB54" s="283"/>
      <c r="AC54" s="25"/>
      <c r="AD54" s="1525"/>
      <c r="AE54" s="1525"/>
      <c r="AF54" s="1525"/>
      <c r="AG54" s="1525"/>
    </row>
    <row r="55" spans="1:42" ht="13.5" customHeight="1">
      <c r="A55" s="8"/>
      <c r="B55" s="31" t="s">
        <v>64</v>
      </c>
      <c r="C55" s="56"/>
      <c r="D55" s="56"/>
      <c r="E55" s="19">
        <v>0</v>
      </c>
      <c r="F55" s="291"/>
      <c r="G55" s="3"/>
      <c r="H55" s="56"/>
      <c r="I55" s="56"/>
      <c r="J55" s="19">
        <v>2</v>
      </c>
      <c r="K55" s="291"/>
      <c r="L55" s="3"/>
      <c r="M55" s="56"/>
      <c r="N55" s="56"/>
      <c r="O55" s="19">
        <v>4</v>
      </c>
      <c r="P55" s="291"/>
      <c r="R55" s="56"/>
      <c r="S55" s="56"/>
      <c r="T55" s="19">
        <v>3.5</v>
      </c>
      <c r="U55" s="291"/>
      <c r="V55" s="60"/>
      <c r="W55" s="56"/>
      <c r="X55" s="56"/>
      <c r="Y55" s="19">
        <v>6.5</v>
      </c>
      <c r="Z55" s="291"/>
      <c r="AA55" s="28">
        <f>SUM(E55:Y55)</f>
        <v>16</v>
      </c>
      <c r="AB55" s="282"/>
      <c r="AC55" s="25"/>
      <c r="AD55" s="1525"/>
      <c r="AE55" s="1525"/>
      <c r="AF55" s="1525"/>
      <c r="AG55" s="1525"/>
    </row>
    <row r="56" spans="1:42" ht="13.5" customHeight="1" thickBot="1">
      <c r="A56" s="8"/>
      <c r="B56" s="74" t="s">
        <v>65</v>
      </c>
      <c r="C56" s="75"/>
      <c r="D56" s="75"/>
      <c r="E56" s="77">
        <v>0</v>
      </c>
      <c r="F56" s="292"/>
      <c r="G56" s="81"/>
      <c r="H56" s="75"/>
      <c r="I56" s="75"/>
      <c r="J56" s="77">
        <v>3</v>
      </c>
      <c r="K56" s="292"/>
      <c r="L56" s="81"/>
      <c r="M56" s="75"/>
      <c r="N56" s="75"/>
      <c r="O56" s="77">
        <v>3</v>
      </c>
      <c r="P56" s="292"/>
      <c r="Q56" s="81"/>
      <c r="R56" s="75"/>
      <c r="S56" s="75"/>
      <c r="T56" s="77">
        <v>3</v>
      </c>
      <c r="U56" s="292"/>
      <c r="V56" s="81"/>
      <c r="W56" s="75"/>
      <c r="X56" s="75"/>
      <c r="Y56" s="77">
        <v>3</v>
      </c>
      <c r="Z56" s="292"/>
      <c r="AA56" s="80">
        <f>SUM(E56:Y56)</f>
        <v>12</v>
      </c>
      <c r="AB56" s="294"/>
      <c r="AC56" s="25"/>
      <c r="AD56" s="1525"/>
      <c r="AE56" s="1525"/>
      <c r="AF56" s="1525"/>
      <c r="AG56" s="1525"/>
    </row>
    <row r="57" spans="1:42" s="1" customFormat="1" ht="13.5" customHeight="1" thickTop="1">
      <c r="A57" s="11"/>
      <c r="B57" s="242" t="s">
        <v>66</v>
      </c>
      <c r="C57" s="243"/>
      <c r="D57" s="243"/>
      <c r="E57" s="214">
        <f>SUM(E55:E56)</f>
        <v>0</v>
      </c>
      <c r="F57" s="242"/>
      <c r="G57" s="243"/>
      <c r="H57" s="242"/>
      <c r="I57" s="242"/>
      <c r="J57" s="242">
        <f>SUM(J55:J56)</f>
        <v>5</v>
      </c>
      <c r="K57" s="242"/>
      <c r="L57" s="243"/>
      <c r="M57" s="243"/>
      <c r="N57" s="243"/>
      <c r="O57" s="242">
        <f>SUM(O55:O56)</f>
        <v>7</v>
      </c>
      <c r="P57" s="242"/>
      <c r="Q57" s="242"/>
      <c r="R57" s="242"/>
      <c r="S57" s="242"/>
      <c r="T57" s="242">
        <f>SUM(T55:T56)</f>
        <v>6.5</v>
      </c>
      <c r="U57" s="242"/>
      <c r="V57" s="242"/>
      <c r="W57" s="242"/>
      <c r="X57" s="242"/>
      <c r="Y57" s="242">
        <f>SUM(Y55:Y56)</f>
        <v>9.5</v>
      </c>
      <c r="Z57" s="242"/>
      <c r="AA57" s="247">
        <f>SUM(AA55:AA56)</f>
        <v>28</v>
      </c>
      <c r="AB57" s="247"/>
      <c r="AD57" s="1525"/>
      <c r="AE57" s="1525"/>
      <c r="AF57" s="1525"/>
      <c r="AG57" s="1525"/>
      <c r="AI57" s="227"/>
      <c r="AK57" s="187"/>
      <c r="AL57" s="187"/>
      <c r="AM57" s="187"/>
      <c r="AN57" s="187"/>
      <c r="AO57" s="187"/>
      <c r="AP57" s="187"/>
    </row>
    <row r="58" spans="1:42" s="1" customFormat="1" ht="13.5" customHeight="1">
      <c r="A58" s="11"/>
      <c r="B58" s="217" t="s">
        <v>133</v>
      </c>
      <c r="C58" s="207">
        <v>0</v>
      </c>
      <c r="D58" s="208"/>
      <c r="E58" s="209"/>
      <c r="F58" s="209"/>
      <c r="G58" s="208"/>
      <c r="H58" s="209"/>
      <c r="I58" s="209"/>
      <c r="J58" s="209"/>
      <c r="K58" s="209"/>
      <c r="L58" s="208"/>
      <c r="M58" s="208"/>
      <c r="N58" s="208"/>
      <c r="O58" s="208"/>
      <c r="P58" s="209"/>
      <c r="Q58" s="208"/>
      <c r="R58" s="208"/>
      <c r="S58" s="208"/>
      <c r="T58" s="208"/>
      <c r="U58" s="209"/>
      <c r="V58" s="208"/>
      <c r="W58" s="208"/>
      <c r="X58" s="208"/>
      <c r="Y58" s="210"/>
      <c r="Z58" s="209"/>
      <c r="AA58" s="211"/>
      <c r="AB58" s="209"/>
      <c r="AC58" s="211"/>
      <c r="AD58" s="211"/>
      <c r="AE58" s="211"/>
      <c r="AF58" s="211"/>
      <c r="AG58" s="211"/>
      <c r="AH58" s="3"/>
      <c r="AI58" s="227"/>
      <c r="AK58" s="187"/>
      <c r="AL58" s="187"/>
      <c r="AM58" s="187"/>
      <c r="AN58" s="187"/>
      <c r="AO58" s="187"/>
      <c r="AP58" s="187"/>
    </row>
    <row r="59" spans="1:42">
      <c r="B59" s="217" t="s">
        <v>134</v>
      </c>
      <c r="C59" s="207">
        <v>0</v>
      </c>
      <c r="D59" s="212"/>
      <c r="E59" s="213"/>
      <c r="F59" s="213"/>
      <c r="G59" s="213"/>
      <c r="H59" s="212"/>
      <c r="I59" s="212"/>
      <c r="J59" s="213"/>
      <c r="K59" s="213"/>
      <c r="L59" s="213"/>
      <c r="M59" s="212"/>
      <c r="N59" s="212"/>
      <c r="O59" s="213"/>
      <c r="P59" s="213"/>
      <c r="Q59" s="213"/>
      <c r="R59" s="212"/>
      <c r="S59" s="212"/>
      <c r="T59" s="213"/>
      <c r="U59" s="213"/>
      <c r="V59" s="213"/>
      <c r="W59" s="212"/>
      <c r="X59" s="212"/>
      <c r="Y59" s="213"/>
      <c r="Z59" s="213"/>
      <c r="AA59" s="213"/>
      <c r="AB59" s="213"/>
      <c r="AC59" s="213"/>
      <c r="AD59" s="213"/>
      <c r="AE59" s="213"/>
      <c r="AF59" s="213"/>
      <c r="AG59" s="213"/>
    </row>
    <row r="60" spans="1:42" s="1" customFormat="1" ht="13.5" customHeight="1">
      <c r="A60" s="11"/>
      <c r="B60" s="217" t="s">
        <v>67</v>
      </c>
      <c r="C60" s="207">
        <f>C61+C62</f>
        <v>30</v>
      </c>
      <c r="D60" s="208"/>
      <c r="E60" s="209"/>
      <c r="F60" s="209"/>
      <c r="G60" s="208"/>
      <c r="H60" s="209"/>
      <c r="I60" s="209"/>
      <c r="J60" s="209"/>
      <c r="K60" s="209"/>
      <c r="L60" s="208"/>
      <c r="M60" s="208"/>
      <c r="N60" s="208"/>
      <c r="O60" s="208"/>
      <c r="P60" s="209"/>
      <c r="Q60" s="208"/>
      <c r="R60" s="208"/>
      <c r="S60" s="208"/>
      <c r="T60" s="208"/>
      <c r="U60" s="209"/>
      <c r="V60" s="208"/>
      <c r="W60" s="208"/>
      <c r="X60" s="208"/>
      <c r="Y60" s="210"/>
      <c r="Z60" s="209"/>
      <c r="AA60" s="211"/>
      <c r="AB60" s="209"/>
      <c r="AC60" s="211"/>
      <c r="AD60" s="211"/>
      <c r="AE60" s="211"/>
      <c r="AF60" s="211"/>
      <c r="AG60" s="211"/>
      <c r="AH60" s="3"/>
      <c r="AI60" s="227"/>
      <c r="AK60" s="187"/>
      <c r="AL60" s="187"/>
      <c r="AM60" s="187"/>
      <c r="AN60" s="187"/>
      <c r="AO60" s="187"/>
      <c r="AP60" s="187"/>
    </row>
    <row r="61" spans="1:42" s="1" customFormat="1" ht="13.5" customHeight="1">
      <c r="A61" s="11"/>
      <c r="B61" s="238" t="s">
        <v>68</v>
      </c>
      <c r="C61" s="239">
        <v>30</v>
      </c>
      <c r="D61" s="208"/>
      <c r="E61" s="209"/>
      <c r="F61" s="209"/>
      <c r="G61" s="208"/>
      <c r="H61" s="209"/>
      <c r="I61" s="209"/>
      <c r="J61" s="209"/>
      <c r="K61" s="209"/>
      <c r="L61" s="208"/>
      <c r="M61" s="208"/>
      <c r="N61" s="208"/>
      <c r="O61" s="208"/>
      <c r="P61" s="209"/>
      <c r="Q61" s="208"/>
      <c r="R61" s="208"/>
      <c r="S61" s="208"/>
      <c r="T61" s="208"/>
      <c r="U61" s="209"/>
      <c r="V61" s="208"/>
      <c r="W61" s="208"/>
      <c r="X61" s="208"/>
      <c r="Y61" s="210"/>
      <c r="Z61" s="209"/>
      <c r="AA61" s="211"/>
      <c r="AB61" s="209"/>
      <c r="AC61" s="211"/>
      <c r="AD61" s="211"/>
      <c r="AE61" s="211"/>
      <c r="AF61" s="211"/>
      <c r="AG61" s="211"/>
      <c r="AH61" s="3"/>
      <c r="AI61" s="227"/>
      <c r="AK61" s="187"/>
      <c r="AL61" s="187"/>
      <c r="AM61" s="187"/>
      <c r="AN61" s="187"/>
      <c r="AO61" s="187"/>
      <c r="AP61" s="187"/>
    </row>
    <row r="62" spans="1:42" s="1" customFormat="1" ht="13.5" customHeight="1">
      <c r="A62" s="11"/>
      <c r="B62" s="238" t="s">
        <v>69</v>
      </c>
      <c r="C62" s="239">
        <v>0</v>
      </c>
      <c r="D62" s="208"/>
      <c r="E62" s="209"/>
      <c r="F62" s="209"/>
      <c r="G62" s="208"/>
      <c r="H62" s="209"/>
      <c r="I62" s="209"/>
      <c r="J62" s="209"/>
      <c r="K62" s="209"/>
      <c r="L62" s="208"/>
      <c r="M62" s="208"/>
      <c r="N62" s="208"/>
      <c r="O62" s="208"/>
      <c r="P62" s="209"/>
      <c r="Q62" s="208"/>
      <c r="R62" s="208"/>
      <c r="S62" s="208"/>
      <c r="T62" s="208"/>
      <c r="U62" s="209"/>
      <c r="V62" s="208"/>
      <c r="W62" s="208"/>
      <c r="X62" s="208"/>
      <c r="Y62" s="210"/>
      <c r="Z62" s="209"/>
      <c r="AA62" s="211"/>
      <c r="AB62" s="209"/>
      <c r="AC62" s="211"/>
      <c r="AD62" s="211"/>
      <c r="AE62" s="211"/>
      <c r="AF62" s="211"/>
      <c r="AG62" s="211"/>
      <c r="AH62" s="3"/>
      <c r="AI62" s="227"/>
      <c r="AK62" s="187"/>
      <c r="AL62" s="187"/>
      <c r="AM62" s="187"/>
      <c r="AN62" s="187"/>
      <c r="AO62" s="187"/>
      <c r="AP62" s="187"/>
    </row>
    <row r="63" spans="1:42" s="1" customFormat="1" ht="4.5" customHeight="1">
      <c r="A63" s="11"/>
      <c r="B63" s="218"/>
      <c r="C63" s="219"/>
      <c r="D63" s="220"/>
      <c r="E63" s="221"/>
      <c r="F63" s="221"/>
      <c r="G63" s="220"/>
      <c r="H63" s="221"/>
      <c r="I63" s="221"/>
      <c r="J63" s="221"/>
      <c r="K63" s="221"/>
      <c r="L63" s="220"/>
      <c r="M63" s="220"/>
      <c r="N63" s="220"/>
      <c r="O63" s="220"/>
      <c r="P63" s="221"/>
      <c r="Q63" s="220"/>
      <c r="R63" s="220"/>
      <c r="S63" s="220"/>
      <c r="T63" s="220"/>
      <c r="U63" s="221"/>
      <c r="V63" s="220"/>
      <c r="W63" s="220"/>
      <c r="X63" s="220"/>
      <c r="Y63" s="222"/>
      <c r="Z63" s="221"/>
      <c r="AA63" s="223"/>
      <c r="AB63" s="221"/>
      <c r="AC63" s="3"/>
      <c r="AD63" s="168"/>
      <c r="AH63" s="3"/>
      <c r="AI63" s="227"/>
      <c r="AK63" s="187"/>
      <c r="AL63" s="187"/>
      <c r="AM63" s="187"/>
      <c r="AN63" s="187"/>
      <c r="AO63" s="187"/>
      <c r="AP63" s="187"/>
    </row>
    <row r="64" spans="1:42" s="227" customFormat="1" ht="4.5" customHeight="1">
      <c r="A64" s="228"/>
      <c r="B64" s="229"/>
      <c r="C64" s="230"/>
      <c r="D64" s="231"/>
      <c r="E64" s="232"/>
      <c r="F64" s="232"/>
      <c r="G64" s="231"/>
      <c r="H64" s="232"/>
      <c r="I64" s="232"/>
      <c r="J64" s="232"/>
      <c r="K64" s="232"/>
      <c r="L64" s="231"/>
      <c r="M64" s="231"/>
      <c r="N64" s="231"/>
      <c r="O64" s="231"/>
      <c r="P64" s="232"/>
      <c r="Q64" s="231"/>
      <c r="R64" s="231"/>
      <c r="S64" s="231"/>
      <c r="T64" s="231"/>
      <c r="U64" s="232"/>
      <c r="V64" s="231"/>
      <c r="W64" s="231"/>
      <c r="X64" s="231"/>
      <c r="Y64" s="233"/>
      <c r="Z64" s="232"/>
      <c r="AA64" s="234"/>
      <c r="AB64" s="232"/>
      <c r="AC64" s="235"/>
      <c r="AD64" s="236"/>
      <c r="AH64" s="235"/>
    </row>
    <row r="65" spans="1:42" s="187" customFormat="1" ht="4.5" customHeight="1">
      <c r="A65" s="224"/>
      <c r="B65" s="214"/>
      <c r="C65" s="215"/>
      <c r="D65" s="215"/>
      <c r="E65" s="214"/>
      <c r="F65" s="214"/>
      <c r="G65" s="215"/>
      <c r="H65" s="214"/>
      <c r="I65" s="214"/>
      <c r="J65" s="214"/>
      <c r="K65" s="214"/>
      <c r="L65" s="215"/>
      <c r="M65" s="215"/>
      <c r="N65" s="215"/>
      <c r="O65" s="215"/>
      <c r="P65" s="214"/>
      <c r="Q65" s="215"/>
      <c r="R65" s="215"/>
      <c r="S65" s="215"/>
      <c r="T65" s="215"/>
      <c r="U65" s="214"/>
      <c r="V65" s="215"/>
      <c r="W65" s="215"/>
      <c r="X65" s="215"/>
      <c r="Y65" s="216"/>
      <c r="Z65" s="214"/>
      <c r="AA65" s="225"/>
      <c r="AB65" s="214"/>
      <c r="AC65" s="226"/>
      <c r="AH65" s="226"/>
      <c r="AI65" s="227"/>
    </row>
    <row r="66" spans="1:42" s="1" customFormat="1" ht="13.5" customHeight="1">
      <c r="B66" s="1518" t="s">
        <v>18</v>
      </c>
      <c r="C66" s="1524">
        <v>45082</v>
      </c>
      <c r="D66" s="1524"/>
      <c r="E66" s="1524"/>
      <c r="F66" s="1524"/>
      <c r="G66" s="22"/>
      <c r="H66" s="1524">
        <v>45083</v>
      </c>
      <c r="I66" s="1524"/>
      <c r="J66" s="1524"/>
      <c r="K66" s="204"/>
      <c r="L66" s="22"/>
      <c r="M66" s="1524">
        <v>45084</v>
      </c>
      <c r="N66" s="1524"/>
      <c r="O66" s="1524"/>
      <c r="P66" s="204"/>
      <c r="Q66" s="22"/>
      <c r="R66" s="1524">
        <v>45085</v>
      </c>
      <c r="S66" s="1524"/>
      <c r="T66" s="1524"/>
      <c r="U66" s="204"/>
      <c r="V66" s="22"/>
      <c r="W66" s="1524">
        <v>45086</v>
      </c>
      <c r="X66" s="1524"/>
      <c r="Y66" s="1524"/>
      <c r="Z66" s="204"/>
      <c r="AA66" s="1517" t="s">
        <v>19</v>
      </c>
      <c r="AB66" s="1517" t="s">
        <v>20</v>
      </c>
      <c r="AC66" s="3"/>
      <c r="AD66" s="1524">
        <v>45082</v>
      </c>
      <c r="AE66" s="1524"/>
      <c r="AF66" s="1524"/>
      <c r="AG66" s="1517" t="s">
        <v>21</v>
      </c>
      <c r="AH66" s="3"/>
      <c r="AI66" s="227"/>
      <c r="AK66" s="194" t="s">
        <v>140</v>
      </c>
      <c r="AL66" s="195"/>
      <c r="AM66" s="195"/>
      <c r="AN66" s="195"/>
      <c r="AO66" s="195"/>
      <c r="AP66" s="195"/>
    </row>
    <row r="67" spans="1:42" s="1" customFormat="1" ht="14.25">
      <c r="B67" s="1518"/>
      <c r="C67" s="21" t="s">
        <v>23</v>
      </c>
      <c r="D67" s="21" t="s">
        <v>24</v>
      </c>
      <c r="E67" s="205" t="s">
        <v>122</v>
      </c>
      <c r="F67" s="18" t="s">
        <v>14</v>
      </c>
      <c r="G67" s="3"/>
      <c r="H67" s="21" t="s">
        <v>23</v>
      </c>
      <c r="I67" s="21" t="s">
        <v>24</v>
      </c>
      <c r="J67" s="205" t="s">
        <v>122</v>
      </c>
      <c r="K67" s="18" t="s">
        <v>14</v>
      </c>
      <c r="L67" s="3"/>
      <c r="M67" s="21" t="s">
        <v>23</v>
      </c>
      <c r="N67" s="21" t="s">
        <v>24</v>
      </c>
      <c r="O67" s="205" t="s">
        <v>122</v>
      </c>
      <c r="P67" s="18" t="s">
        <v>14</v>
      </c>
      <c r="Q67" s="3"/>
      <c r="R67" s="21" t="s">
        <v>23</v>
      </c>
      <c r="S67" s="21" t="s">
        <v>24</v>
      </c>
      <c r="T67" s="205" t="s">
        <v>122</v>
      </c>
      <c r="U67" s="18" t="s">
        <v>14</v>
      </c>
      <c r="V67" s="3"/>
      <c r="W67" s="21" t="s">
        <v>23</v>
      </c>
      <c r="X67" s="21" t="s">
        <v>24</v>
      </c>
      <c r="Y67" s="205" t="s">
        <v>122</v>
      </c>
      <c r="Z67" s="18" t="s">
        <v>14</v>
      </c>
      <c r="AA67" s="1517"/>
      <c r="AB67" s="1517"/>
      <c r="AC67" s="3"/>
      <c r="AD67" s="21" t="s">
        <v>23</v>
      </c>
      <c r="AE67" s="21" t="s">
        <v>24</v>
      </c>
      <c r="AF67" s="21" t="s">
        <v>25</v>
      </c>
      <c r="AG67" s="1523"/>
      <c r="AH67" s="3"/>
      <c r="AI67" s="227"/>
      <c r="AK67" s="188" t="s">
        <v>26</v>
      </c>
      <c r="AL67" s="199">
        <f>AA76</f>
        <v>263.5</v>
      </c>
      <c r="AM67" s="187"/>
      <c r="AN67" s="187"/>
      <c r="AO67" s="187"/>
      <c r="AP67" s="187"/>
    </row>
    <row r="68" spans="1:42" s="1" customFormat="1" ht="14.25">
      <c r="B68" s="13" t="s">
        <v>124</v>
      </c>
      <c r="C68" s="61">
        <v>0.33333333333333331</v>
      </c>
      <c r="D68" s="47">
        <v>0.20833333333333334</v>
      </c>
      <c r="E68" s="19">
        <v>8</v>
      </c>
      <c r="F68" s="277">
        <v>1</v>
      </c>
      <c r="G68" s="3"/>
      <c r="H68" s="47">
        <v>0.29166666666666669</v>
      </c>
      <c r="I68" s="47">
        <v>0.125</v>
      </c>
      <c r="J68" s="19">
        <v>8</v>
      </c>
      <c r="K68" s="277"/>
      <c r="L68" s="3"/>
      <c r="M68" s="47">
        <v>0.29166666666666669</v>
      </c>
      <c r="N68" s="47">
        <v>0.125</v>
      </c>
      <c r="O68" s="19">
        <v>8</v>
      </c>
      <c r="P68" s="277"/>
      <c r="Q68" s="3"/>
      <c r="R68" s="47">
        <v>0.29166666666666669</v>
      </c>
      <c r="S68" s="47">
        <v>0.125</v>
      </c>
      <c r="T68" s="19">
        <v>8</v>
      </c>
      <c r="U68" s="277"/>
      <c r="V68" s="3"/>
      <c r="W68" s="47">
        <v>0.29166666666666669</v>
      </c>
      <c r="X68" s="47">
        <v>0.125</v>
      </c>
      <c r="Y68" s="19">
        <v>8</v>
      </c>
      <c r="Z68" s="277"/>
      <c r="AA68" s="29">
        <f>(E68+J68+O68+T68+Y68)</f>
        <v>40</v>
      </c>
      <c r="AB68" s="282">
        <f>Z68+U68+P68+K68+F68</f>
        <v>1</v>
      </c>
      <c r="AC68" s="3"/>
      <c r="AD68" s="1525" t="s">
        <v>120</v>
      </c>
      <c r="AE68" s="1525"/>
      <c r="AF68" s="1525"/>
      <c r="AG68" s="1525"/>
      <c r="AH68" s="3"/>
      <c r="AI68" s="227"/>
      <c r="AK68" s="188" t="s">
        <v>30</v>
      </c>
      <c r="AL68" s="189">
        <f>AB76</f>
        <v>10.5</v>
      </c>
      <c r="AM68" s="187"/>
      <c r="AN68" s="187"/>
      <c r="AO68" s="187"/>
      <c r="AP68" s="187"/>
    </row>
    <row r="69" spans="1:42" s="1" customFormat="1" ht="14.25">
      <c r="B69" s="13" t="s">
        <v>129</v>
      </c>
      <c r="C69" s="61" t="s">
        <v>75</v>
      </c>
      <c r="D69" s="47">
        <v>0.20833333333333334</v>
      </c>
      <c r="E69" s="19">
        <v>8</v>
      </c>
      <c r="F69" s="277"/>
      <c r="G69" s="3"/>
      <c r="H69" s="47">
        <v>0.375</v>
      </c>
      <c r="I69" s="47">
        <v>0.25</v>
      </c>
      <c r="J69" s="19">
        <v>8</v>
      </c>
      <c r="K69" s="277"/>
      <c r="L69" s="3"/>
      <c r="M69" s="47">
        <v>0.33333333333333331</v>
      </c>
      <c r="N69" s="47">
        <v>0.20833333333333334</v>
      </c>
      <c r="O69" s="19">
        <v>8</v>
      </c>
      <c r="P69" s="277"/>
      <c r="Q69" s="3"/>
      <c r="R69" s="47">
        <v>0.29166666666666669</v>
      </c>
      <c r="S69" s="47">
        <v>0.19791666666666666</v>
      </c>
      <c r="T69" s="19">
        <v>8</v>
      </c>
      <c r="U69" s="277">
        <v>0.75</v>
      </c>
      <c r="V69" s="3"/>
      <c r="W69" s="47">
        <v>0.33333333333333331</v>
      </c>
      <c r="X69" s="47">
        <v>0.20833333333333334</v>
      </c>
      <c r="Y69" s="19">
        <v>8</v>
      </c>
      <c r="Z69" s="277"/>
      <c r="AA69" s="29">
        <f t="shared" ref="AA69:AA75" si="3">(E69+J69+O69+T69+Y69)</f>
        <v>40</v>
      </c>
      <c r="AB69" s="282">
        <f t="shared" ref="AB69:AB75" si="4">Z69+U69+P69+K69+F69</f>
        <v>0.75</v>
      </c>
      <c r="AC69" s="3"/>
      <c r="AD69" s="1525"/>
      <c r="AE69" s="1525"/>
      <c r="AF69" s="1525"/>
      <c r="AG69" s="1525"/>
      <c r="AH69" s="3"/>
      <c r="AI69" s="227"/>
      <c r="AK69" s="188" t="s">
        <v>32</v>
      </c>
      <c r="AL69" s="189">
        <v>0</v>
      </c>
      <c r="AM69" s="187"/>
      <c r="AN69" s="187"/>
      <c r="AO69" s="187"/>
      <c r="AP69" s="187"/>
    </row>
    <row r="70" spans="1:42" s="1" customFormat="1" ht="14.25">
      <c r="B70" s="13" t="s">
        <v>131</v>
      </c>
      <c r="C70" s="61" t="s">
        <v>75</v>
      </c>
      <c r="D70" s="47">
        <v>0.20833333333333334</v>
      </c>
      <c r="E70" s="19">
        <v>8</v>
      </c>
      <c r="F70" s="277"/>
      <c r="G70" s="3"/>
      <c r="H70" s="47">
        <v>0.33333333333333331</v>
      </c>
      <c r="I70" s="47">
        <v>0.20833333333333334</v>
      </c>
      <c r="J70" s="19">
        <v>8</v>
      </c>
      <c r="K70" s="277"/>
      <c r="L70" s="3"/>
      <c r="M70" s="47">
        <v>0.33333333333333331</v>
      </c>
      <c r="N70" s="47">
        <v>0.29166666666666669</v>
      </c>
      <c r="O70" s="19">
        <v>8</v>
      </c>
      <c r="P70" s="277">
        <v>2</v>
      </c>
      <c r="Q70" s="3"/>
      <c r="R70" s="47">
        <v>0.33333333333333331</v>
      </c>
      <c r="S70" s="47">
        <v>0.20833333333333334</v>
      </c>
      <c r="T70" s="19">
        <v>8</v>
      </c>
      <c r="U70" s="277"/>
      <c r="V70" s="3"/>
      <c r="W70" s="47">
        <v>0.33333333333333331</v>
      </c>
      <c r="X70" s="47">
        <v>0.20833333333333334</v>
      </c>
      <c r="Y70" s="19">
        <v>8</v>
      </c>
      <c r="Z70" s="277"/>
      <c r="AA70" s="29">
        <f t="shared" si="3"/>
        <v>40</v>
      </c>
      <c r="AB70" s="282">
        <f t="shared" si="4"/>
        <v>2</v>
      </c>
      <c r="AC70" s="3"/>
      <c r="AD70" s="1525"/>
      <c r="AE70" s="1525"/>
      <c r="AF70" s="1525"/>
      <c r="AG70" s="1525"/>
      <c r="AH70" s="3"/>
      <c r="AI70" s="227"/>
      <c r="AK70" s="188" t="s">
        <v>34</v>
      </c>
      <c r="AL70" s="199">
        <f>AA79</f>
        <v>39.5</v>
      </c>
      <c r="AM70" s="187"/>
      <c r="AN70" s="187"/>
      <c r="AO70" s="187"/>
      <c r="AP70" s="187"/>
    </row>
    <row r="71" spans="1:42" s="1" customFormat="1" ht="14.25">
      <c r="B71" s="13" t="s">
        <v>132</v>
      </c>
      <c r="C71" s="61" t="s">
        <v>75</v>
      </c>
      <c r="D71" s="47">
        <v>0.20833333333333334</v>
      </c>
      <c r="E71" s="19">
        <v>8</v>
      </c>
      <c r="F71" s="277"/>
      <c r="G71" s="3"/>
      <c r="H71" s="47">
        <v>0.33333333333333331</v>
      </c>
      <c r="I71" s="47">
        <v>0.20833333333333334</v>
      </c>
      <c r="J71" s="19">
        <v>8</v>
      </c>
      <c r="K71" s="277"/>
      <c r="L71" s="3"/>
      <c r="M71" s="47">
        <v>0.33333333333333331</v>
      </c>
      <c r="N71" s="47">
        <v>0.29166666666666669</v>
      </c>
      <c r="O71" s="19">
        <v>8</v>
      </c>
      <c r="P71" s="277">
        <v>2</v>
      </c>
      <c r="Q71" s="3"/>
      <c r="R71" s="47">
        <v>0.33333333333333331</v>
      </c>
      <c r="S71" s="47">
        <v>0.20833333333333334</v>
      </c>
      <c r="T71" s="19">
        <v>8</v>
      </c>
      <c r="U71" s="277"/>
      <c r="V71" s="3"/>
      <c r="W71" s="4">
        <v>0</v>
      </c>
      <c r="X71" s="4">
        <v>0</v>
      </c>
      <c r="Y71" s="19">
        <v>0</v>
      </c>
      <c r="Z71" s="277"/>
      <c r="AA71" s="29">
        <f t="shared" si="3"/>
        <v>32</v>
      </c>
      <c r="AB71" s="282">
        <f t="shared" si="4"/>
        <v>2</v>
      </c>
      <c r="AC71" s="3"/>
      <c r="AD71" s="1525"/>
      <c r="AE71" s="1525"/>
      <c r="AF71" s="1525"/>
      <c r="AG71" s="1525"/>
      <c r="AH71" s="3"/>
      <c r="AI71" s="227"/>
      <c r="AK71" s="188" t="s">
        <v>38</v>
      </c>
      <c r="AL71" s="189">
        <v>0</v>
      </c>
      <c r="AM71" s="187"/>
      <c r="AN71" s="187"/>
      <c r="AO71" s="187"/>
      <c r="AP71" s="187"/>
    </row>
    <row r="72" spans="1:42" s="1" customFormat="1" ht="14.25">
      <c r="B72" s="13" t="s">
        <v>35</v>
      </c>
      <c r="C72" s="61" t="s">
        <v>75</v>
      </c>
      <c r="D72" s="47">
        <v>0.20833333333333334</v>
      </c>
      <c r="E72" s="19">
        <v>8</v>
      </c>
      <c r="F72" s="277"/>
      <c r="G72" s="3"/>
      <c r="H72" s="47">
        <v>0.33333333333333331</v>
      </c>
      <c r="I72" s="47">
        <v>0.20833333333333334</v>
      </c>
      <c r="J72" s="19">
        <v>8</v>
      </c>
      <c r="K72" s="277"/>
      <c r="L72" s="3"/>
      <c r="M72" s="47">
        <v>0.33333333333333331</v>
      </c>
      <c r="N72" s="47">
        <v>0.29166666666666669</v>
      </c>
      <c r="O72" s="19">
        <v>8</v>
      </c>
      <c r="P72" s="277">
        <v>2</v>
      </c>
      <c r="Q72" s="3"/>
      <c r="R72" s="47">
        <v>0.33333333333333331</v>
      </c>
      <c r="S72" s="47">
        <v>0.20833333333333334</v>
      </c>
      <c r="T72" s="19">
        <v>8</v>
      </c>
      <c r="U72" s="277"/>
      <c r="V72" s="3"/>
      <c r="W72" s="47">
        <v>0.33333333333333331</v>
      </c>
      <c r="X72" s="47">
        <v>0.20833333333333334</v>
      </c>
      <c r="Y72" s="19">
        <v>8</v>
      </c>
      <c r="Z72" s="277"/>
      <c r="AA72" s="29">
        <f t="shared" si="3"/>
        <v>40</v>
      </c>
      <c r="AB72" s="282">
        <f t="shared" si="4"/>
        <v>2</v>
      </c>
      <c r="AC72" s="3"/>
      <c r="AD72" s="1525"/>
      <c r="AE72" s="1525"/>
      <c r="AF72" s="1525"/>
      <c r="AG72" s="1525"/>
      <c r="AH72" s="3"/>
      <c r="AI72" s="227"/>
      <c r="AK72" s="188" t="s">
        <v>41</v>
      </c>
      <c r="AL72" s="189">
        <f>C80</f>
        <v>47</v>
      </c>
      <c r="AM72" s="187"/>
      <c r="AN72" s="187"/>
      <c r="AO72" s="187"/>
      <c r="AP72" s="187"/>
    </row>
    <row r="73" spans="1:42" s="1" customFormat="1" ht="14.25">
      <c r="B73" s="13" t="s">
        <v>37</v>
      </c>
      <c r="C73" s="61" t="s">
        <v>75</v>
      </c>
      <c r="D73" s="47">
        <v>0.20833333333333334</v>
      </c>
      <c r="E73" s="19">
        <v>8</v>
      </c>
      <c r="F73" s="277"/>
      <c r="G73" s="3"/>
      <c r="H73" s="47">
        <v>0.33333333333333331</v>
      </c>
      <c r="I73" s="47">
        <v>0.20833333333333334</v>
      </c>
      <c r="J73" s="19">
        <v>8</v>
      </c>
      <c r="K73" s="277"/>
      <c r="L73" s="3"/>
      <c r="M73" s="47">
        <v>0.33333333333333331</v>
      </c>
      <c r="N73" s="47">
        <v>0.29166666666666669</v>
      </c>
      <c r="O73" s="19">
        <v>8</v>
      </c>
      <c r="P73" s="277">
        <v>2</v>
      </c>
      <c r="Q73" s="3"/>
      <c r="R73" s="47">
        <v>0.33333333333333331</v>
      </c>
      <c r="S73" s="47">
        <v>0.20833333333333334</v>
      </c>
      <c r="T73" s="19">
        <v>8</v>
      </c>
      <c r="U73" s="277"/>
      <c r="V73" s="3"/>
      <c r="W73" s="47">
        <v>0.33333333333333331</v>
      </c>
      <c r="X73" s="47">
        <v>0.20833333333333334</v>
      </c>
      <c r="Y73" s="19">
        <v>8</v>
      </c>
      <c r="Z73" s="277"/>
      <c r="AA73" s="29">
        <f t="shared" si="3"/>
        <v>40</v>
      </c>
      <c r="AB73" s="282">
        <f t="shared" si="4"/>
        <v>2</v>
      </c>
      <c r="AC73" s="3"/>
      <c r="AD73" s="1525"/>
      <c r="AE73" s="1525"/>
      <c r="AF73" s="1525"/>
      <c r="AG73" s="1525"/>
      <c r="AH73" s="3"/>
      <c r="AI73" s="227"/>
      <c r="AK73" s="187"/>
      <c r="AL73" s="187"/>
      <c r="AM73" s="187"/>
      <c r="AN73" s="187"/>
      <c r="AO73" s="187"/>
      <c r="AP73" s="187"/>
    </row>
    <row r="74" spans="1:42" s="1" customFormat="1" ht="14.25">
      <c r="B74" s="13" t="s">
        <v>141</v>
      </c>
      <c r="C74" s="4">
        <v>0</v>
      </c>
      <c r="D74" s="4">
        <v>0</v>
      </c>
      <c r="E74" s="19">
        <v>0</v>
      </c>
      <c r="F74" s="277"/>
      <c r="G74" s="3"/>
      <c r="H74" s="4">
        <v>0</v>
      </c>
      <c r="I74" s="4">
        <v>0</v>
      </c>
      <c r="J74" s="19">
        <v>0</v>
      </c>
      <c r="K74" s="277"/>
      <c r="L74" s="3"/>
      <c r="M74" s="47">
        <v>0.33333333333333331</v>
      </c>
      <c r="N74" s="47">
        <v>0.20833333333333334</v>
      </c>
      <c r="O74" s="19">
        <v>8</v>
      </c>
      <c r="P74" s="277"/>
      <c r="Q74" s="3"/>
      <c r="R74" s="47">
        <v>0.29166666666666669</v>
      </c>
      <c r="S74" s="47">
        <v>0.19791666666666666</v>
      </c>
      <c r="T74" s="19">
        <v>8</v>
      </c>
      <c r="U74" s="277">
        <v>0.75</v>
      </c>
      <c r="V74" s="3"/>
      <c r="W74" s="47">
        <v>0.33333333333333331</v>
      </c>
      <c r="X74" s="47">
        <v>0.20833333333333334</v>
      </c>
      <c r="Y74" s="19">
        <v>8</v>
      </c>
      <c r="Z74" s="277"/>
      <c r="AA74" s="29">
        <f t="shared" si="3"/>
        <v>24</v>
      </c>
      <c r="AB74" s="282">
        <f t="shared" si="4"/>
        <v>0.75</v>
      </c>
      <c r="AC74" s="3"/>
      <c r="AD74" s="1525"/>
      <c r="AE74" s="1525"/>
      <c r="AF74" s="1525"/>
      <c r="AG74" s="1525"/>
      <c r="AH74" s="3"/>
      <c r="AI74" s="227"/>
      <c r="AK74" s="187"/>
      <c r="AL74" s="187"/>
      <c r="AM74" s="187"/>
      <c r="AN74" s="187"/>
      <c r="AO74" s="187"/>
      <c r="AP74" s="187"/>
    </row>
    <row r="75" spans="1:42" s="1" customFormat="1" ht="14.25">
      <c r="B75" s="13" t="s">
        <v>142</v>
      </c>
      <c r="C75" s="4">
        <v>0</v>
      </c>
      <c r="D75" s="4">
        <v>0</v>
      </c>
      <c r="E75" s="19">
        <v>0</v>
      </c>
      <c r="F75" s="277"/>
      <c r="G75" s="3"/>
      <c r="H75" s="4">
        <v>0</v>
      </c>
      <c r="I75" s="4">
        <v>0</v>
      </c>
      <c r="J75" s="19">
        <v>0</v>
      </c>
      <c r="K75" s="277"/>
      <c r="L75" s="3"/>
      <c r="M75" s="4">
        <v>0</v>
      </c>
      <c r="N75" s="4">
        <v>0</v>
      </c>
      <c r="O75" s="19">
        <v>0</v>
      </c>
      <c r="P75" s="277"/>
      <c r="Q75" s="3"/>
      <c r="R75" s="4">
        <v>0</v>
      </c>
      <c r="S75" s="4">
        <v>0</v>
      </c>
      <c r="T75" s="19">
        <v>0</v>
      </c>
      <c r="U75" s="277"/>
      <c r="V75" s="3"/>
      <c r="W75" s="197">
        <v>0.35416666666666669</v>
      </c>
      <c r="X75" s="197">
        <v>0.20833333333333334</v>
      </c>
      <c r="Y75" s="143">
        <v>7.5</v>
      </c>
      <c r="Z75" s="277"/>
      <c r="AA75" s="198">
        <f t="shared" si="3"/>
        <v>7.5</v>
      </c>
      <c r="AB75" s="282">
        <f t="shared" si="4"/>
        <v>0</v>
      </c>
      <c r="AC75" s="3"/>
      <c r="AD75" s="1525"/>
      <c r="AE75" s="1525"/>
      <c r="AF75" s="1525"/>
      <c r="AG75" s="1525"/>
      <c r="AH75" s="3"/>
      <c r="AI75" s="227"/>
      <c r="AK75" s="187"/>
      <c r="AL75" s="187"/>
      <c r="AM75" s="187"/>
      <c r="AN75" s="187"/>
      <c r="AO75" s="187"/>
      <c r="AP75" s="187"/>
    </row>
    <row r="76" spans="1:42" s="1" customFormat="1">
      <c r="B76" s="64" t="s">
        <v>61</v>
      </c>
      <c r="C76" s="64"/>
      <c r="D76" s="64"/>
      <c r="E76" s="167">
        <f>SUM(E68:E75)</f>
        <v>48</v>
      </c>
      <c r="F76" s="278">
        <f>SUM(F68:F75)</f>
        <v>1</v>
      </c>
      <c r="G76" s="3"/>
      <c r="H76" s="64"/>
      <c r="I76" s="64"/>
      <c r="J76" s="167">
        <f>SUM(J68:J75)</f>
        <v>48</v>
      </c>
      <c r="K76" s="278">
        <f>SUM(K68:K75)</f>
        <v>0</v>
      </c>
      <c r="L76" s="3"/>
      <c r="M76" s="64"/>
      <c r="N76" s="64"/>
      <c r="O76" s="167">
        <f>SUM(O68:O75)</f>
        <v>56</v>
      </c>
      <c r="P76" s="278">
        <f>SUM(P68:P75)</f>
        <v>8</v>
      </c>
      <c r="Q76" s="3"/>
      <c r="R76" s="64"/>
      <c r="S76" s="64"/>
      <c r="T76" s="167">
        <f>SUM(T68:T75)</f>
        <v>56</v>
      </c>
      <c r="U76" s="278">
        <f>SUM(U68:U75)</f>
        <v>1.5</v>
      </c>
      <c r="V76" s="3"/>
      <c r="W76" s="64"/>
      <c r="X76" s="64"/>
      <c r="Y76" s="285">
        <f>SUM(Y68:Y75)</f>
        <v>55.5</v>
      </c>
      <c r="Z76" s="278">
        <f>SUM(Z68:Z75)</f>
        <v>0</v>
      </c>
      <c r="AA76" s="182">
        <f>SUM(AA68:AA75)</f>
        <v>263.5</v>
      </c>
      <c r="AB76" s="284">
        <f>SUM(AB68:AB75)</f>
        <v>10.5</v>
      </c>
      <c r="AC76" s="3"/>
      <c r="AD76" s="1525"/>
      <c r="AE76" s="1525"/>
      <c r="AF76" s="1525"/>
      <c r="AG76" s="1525"/>
      <c r="AH76" s="3"/>
      <c r="AI76" s="227"/>
      <c r="AK76" s="187"/>
      <c r="AL76" s="187"/>
      <c r="AM76" s="187"/>
      <c r="AN76" s="187"/>
      <c r="AO76" s="187"/>
      <c r="AP76" s="187"/>
    </row>
    <row r="77" spans="1:42" s="1" customFormat="1">
      <c r="B77" s="31" t="s">
        <v>64</v>
      </c>
      <c r="C77" s="56"/>
      <c r="D77" s="57"/>
      <c r="E77" s="19">
        <f>0.25+0.25+0.25+0.25+1+0.5+0.5+0.25+0.5</f>
        <v>3.75</v>
      </c>
      <c r="F77" s="280">
        <v>0</v>
      </c>
      <c r="G77" s="59"/>
      <c r="H77" s="57"/>
      <c r="I77" s="57"/>
      <c r="J77" s="19">
        <v>4.25</v>
      </c>
      <c r="K77" s="280">
        <v>0</v>
      </c>
      <c r="L77" s="59"/>
      <c r="M77" s="57"/>
      <c r="N77" s="57"/>
      <c r="O77" s="19">
        <v>5.5</v>
      </c>
      <c r="P77" s="280">
        <v>0</v>
      </c>
      <c r="Q77" s="59"/>
      <c r="R77" s="57"/>
      <c r="S77" s="57"/>
      <c r="T77" s="19">
        <v>5</v>
      </c>
      <c r="U77" s="280">
        <v>0</v>
      </c>
      <c r="V77" s="59"/>
      <c r="W77" s="57"/>
      <c r="X77" s="57"/>
      <c r="Y77" s="19">
        <v>6</v>
      </c>
      <c r="Z77" s="280">
        <v>0</v>
      </c>
      <c r="AA77" s="28">
        <f>SUM(E77:Y77)</f>
        <v>24.5</v>
      </c>
      <c r="AB77" s="280">
        <v>0</v>
      </c>
      <c r="AD77" s="1525"/>
      <c r="AE77" s="1525"/>
      <c r="AF77" s="1525"/>
      <c r="AG77" s="1525"/>
      <c r="AH77" s="3"/>
      <c r="AI77" s="227"/>
      <c r="AK77" s="187"/>
      <c r="AL77" s="187"/>
      <c r="AM77" s="187"/>
      <c r="AN77" s="187"/>
      <c r="AO77" s="187"/>
      <c r="AP77" s="187"/>
    </row>
    <row r="78" spans="1:42" s="1" customFormat="1" ht="14.25" thickBot="1">
      <c r="B78" s="74" t="s">
        <v>65</v>
      </c>
      <c r="C78" s="75"/>
      <c r="D78" s="76"/>
      <c r="E78" s="77">
        <v>3</v>
      </c>
      <c r="F78" s="281">
        <v>0</v>
      </c>
      <c r="G78" s="78"/>
      <c r="H78" s="76"/>
      <c r="I78" s="76"/>
      <c r="J78" s="77">
        <v>3</v>
      </c>
      <c r="K78" s="281">
        <v>0</v>
      </c>
      <c r="L78" s="78"/>
      <c r="M78" s="76"/>
      <c r="N78" s="76"/>
      <c r="O78" s="77">
        <v>3</v>
      </c>
      <c r="P78" s="281">
        <v>0</v>
      </c>
      <c r="Q78" s="78"/>
      <c r="R78" s="76"/>
      <c r="S78" s="76"/>
      <c r="T78" s="77">
        <v>3</v>
      </c>
      <c r="U78" s="281">
        <v>0</v>
      </c>
      <c r="V78" s="78"/>
      <c r="W78" s="76"/>
      <c r="X78" s="76"/>
      <c r="Y78" s="77">
        <v>3</v>
      </c>
      <c r="Z78" s="281">
        <v>0</v>
      </c>
      <c r="AA78" s="80">
        <f>SUM(E78:Y78)</f>
        <v>15</v>
      </c>
      <c r="AB78" s="281">
        <v>0</v>
      </c>
      <c r="AD78" s="1525"/>
      <c r="AE78" s="1525"/>
      <c r="AF78" s="1525"/>
      <c r="AG78" s="1525"/>
      <c r="AH78" s="3"/>
      <c r="AI78" s="227"/>
      <c r="AK78" s="187"/>
      <c r="AL78" s="187"/>
      <c r="AM78" s="187"/>
      <c r="AN78" s="187"/>
      <c r="AO78" s="187"/>
      <c r="AP78" s="187"/>
    </row>
    <row r="79" spans="1:42" s="187" customFormat="1" ht="13.5" customHeight="1" thickTop="1">
      <c r="A79" s="224"/>
      <c r="B79" s="214" t="s">
        <v>66</v>
      </c>
      <c r="C79" s="215"/>
      <c r="D79" s="215"/>
      <c r="E79" s="214">
        <f>SUM(E77:E78)</f>
        <v>6.75</v>
      </c>
      <c r="F79" s="214"/>
      <c r="G79" s="215"/>
      <c r="H79" s="214"/>
      <c r="I79" s="214"/>
      <c r="J79" s="214">
        <f>SUM(J77:J78)</f>
        <v>7.25</v>
      </c>
      <c r="K79" s="214"/>
      <c r="L79" s="215"/>
      <c r="M79" s="215"/>
      <c r="N79" s="215"/>
      <c r="O79" s="214">
        <f>SUM(O77:O78)</f>
        <v>8.5</v>
      </c>
      <c r="P79" s="214"/>
      <c r="Q79" s="214"/>
      <c r="R79" s="214"/>
      <c r="S79" s="214"/>
      <c r="T79" s="214">
        <f>SUM(T77:T78)</f>
        <v>8</v>
      </c>
      <c r="U79" s="214"/>
      <c r="V79" s="214"/>
      <c r="W79" s="214"/>
      <c r="X79" s="214"/>
      <c r="Y79" s="214">
        <f>SUM(Y77:Y78)</f>
        <v>9</v>
      </c>
      <c r="Z79" s="214"/>
      <c r="AA79" s="247">
        <f>SUM(AA77:AA78)</f>
        <v>39.5</v>
      </c>
      <c r="AB79" s="247">
        <f>SUM(AB77:AB78)</f>
        <v>0</v>
      </c>
      <c r="AC79" s="1"/>
      <c r="AD79" s="1525"/>
      <c r="AE79" s="1525"/>
      <c r="AF79" s="1525"/>
      <c r="AG79" s="1525"/>
      <c r="AH79" s="3"/>
      <c r="AI79" s="227"/>
      <c r="AJ79" s="1"/>
    </row>
    <row r="80" spans="1:42" s="1" customFormat="1" ht="13.5" customHeight="1">
      <c r="A80" s="11"/>
      <c r="B80" s="217" t="s">
        <v>67</v>
      </c>
      <c r="C80" s="207">
        <f>C81+C82</f>
        <v>47</v>
      </c>
      <c r="D80" s="208"/>
      <c r="E80" s="209"/>
      <c r="F80" s="209"/>
      <c r="G80" s="208"/>
      <c r="H80" s="209"/>
      <c r="I80" s="209"/>
      <c r="J80" s="209"/>
      <c r="K80" s="209"/>
      <c r="L80" s="208"/>
      <c r="M80" s="208"/>
      <c r="N80" s="208"/>
      <c r="O80" s="208"/>
      <c r="P80" s="209"/>
      <c r="Q80" s="208"/>
      <c r="R80" s="208"/>
      <c r="S80" s="208"/>
      <c r="T80" s="208"/>
      <c r="U80" s="209"/>
      <c r="V80" s="208"/>
      <c r="W80" s="208"/>
      <c r="X80" s="208"/>
      <c r="Y80" s="210"/>
      <c r="Z80" s="209"/>
      <c r="AA80" s="211"/>
      <c r="AB80" s="209"/>
      <c r="AC80" s="211"/>
      <c r="AD80" s="211"/>
      <c r="AE80" s="211"/>
      <c r="AF80" s="211"/>
      <c r="AG80" s="211"/>
      <c r="AH80" s="3"/>
      <c r="AI80" s="227"/>
      <c r="AK80" s="187"/>
      <c r="AL80" s="187"/>
      <c r="AM80" s="187"/>
      <c r="AN80" s="187"/>
      <c r="AO80" s="187"/>
      <c r="AP80" s="187"/>
    </row>
    <row r="81" spans="1:42" s="1" customFormat="1" ht="13.5" customHeight="1">
      <c r="A81" s="11"/>
      <c r="B81" s="238" t="s">
        <v>68</v>
      </c>
      <c r="C81" s="239">
        <v>40</v>
      </c>
      <c r="D81" s="208"/>
      <c r="E81" s="209"/>
      <c r="F81" s="209"/>
      <c r="G81" s="208"/>
      <c r="H81" s="209"/>
      <c r="I81" s="209"/>
      <c r="J81" s="209"/>
      <c r="K81" s="209"/>
      <c r="L81" s="208"/>
      <c r="M81" s="208"/>
      <c r="N81" s="208"/>
      <c r="O81" s="208"/>
      <c r="P81" s="209"/>
      <c r="Q81" s="208"/>
      <c r="R81" s="208"/>
      <c r="S81" s="208"/>
      <c r="T81" s="208"/>
      <c r="U81" s="209"/>
      <c r="V81" s="208"/>
      <c r="W81" s="208"/>
      <c r="X81" s="208"/>
      <c r="Y81" s="210"/>
      <c r="Z81" s="209"/>
      <c r="AA81" s="211"/>
      <c r="AB81" s="209"/>
      <c r="AC81" s="211"/>
      <c r="AD81" s="211"/>
      <c r="AE81" s="211"/>
      <c r="AF81" s="211"/>
      <c r="AG81" s="211"/>
      <c r="AH81" s="3"/>
      <c r="AI81" s="227"/>
      <c r="AK81" s="187"/>
      <c r="AL81" s="187"/>
      <c r="AM81" s="187"/>
      <c r="AN81" s="187"/>
      <c r="AO81" s="187"/>
      <c r="AP81" s="187"/>
    </row>
    <row r="82" spans="1:42" s="1" customFormat="1" ht="13.5" customHeight="1">
      <c r="A82" s="11"/>
      <c r="B82" s="238" t="s">
        <v>69</v>
      </c>
      <c r="C82" s="239">
        <v>7</v>
      </c>
      <c r="D82" s="208"/>
      <c r="E82" s="209"/>
      <c r="F82" s="209"/>
      <c r="G82" s="208"/>
      <c r="H82" s="209"/>
      <c r="I82" s="209"/>
      <c r="J82" s="209"/>
      <c r="K82" s="209"/>
      <c r="L82" s="208"/>
      <c r="M82" s="208"/>
      <c r="N82" s="208"/>
      <c r="O82" s="208"/>
      <c r="P82" s="209"/>
      <c r="Q82" s="208"/>
      <c r="R82" s="208"/>
      <c r="S82" s="208"/>
      <c r="T82" s="208"/>
      <c r="U82" s="209"/>
      <c r="V82" s="208"/>
      <c r="W82" s="208"/>
      <c r="X82" s="208"/>
      <c r="Y82" s="210"/>
      <c r="Z82" s="209"/>
      <c r="AA82" s="211"/>
      <c r="AB82" s="209"/>
      <c r="AC82" s="211"/>
      <c r="AD82" s="211"/>
      <c r="AE82" s="211"/>
      <c r="AF82" s="211"/>
      <c r="AG82" s="211"/>
      <c r="AH82" s="3"/>
      <c r="AI82" s="227"/>
      <c r="AK82" s="187"/>
      <c r="AL82" s="187"/>
      <c r="AM82" s="187"/>
      <c r="AN82" s="187"/>
      <c r="AO82" s="187"/>
      <c r="AP82" s="187"/>
    </row>
    <row r="83" spans="1:42" s="1" customFormat="1" ht="4.5" customHeight="1">
      <c r="A83" s="11"/>
      <c r="B83" s="218"/>
      <c r="C83" s="219"/>
      <c r="D83" s="220"/>
      <c r="E83" s="221"/>
      <c r="F83" s="221"/>
      <c r="G83" s="220"/>
      <c r="H83" s="221"/>
      <c r="I83" s="221"/>
      <c r="J83" s="221"/>
      <c r="K83" s="221"/>
      <c r="L83" s="220"/>
      <c r="M83" s="220"/>
      <c r="N83" s="220"/>
      <c r="O83" s="220"/>
      <c r="P83" s="221"/>
      <c r="Q83" s="220"/>
      <c r="R83" s="220"/>
      <c r="S83" s="220"/>
      <c r="T83" s="220"/>
      <c r="U83" s="221"/>
      <c r="V83" s="220"/>
      <c r="W83" s="220"/>
      <c r="X83" s="220"/>
      <c r="Y83" s="222"/>
      <c r="Z83" s="221"/>
      <c r="AA83" s="223"/>
      <c r="AB83" s="221"/>
      <c r="AC83" s="3"/>
      <c r="AD83" s="168"/>
      <c r="AH83" s="3"/>
      <c r="AI83" s="227"/>
      <c r="AK83" s="187"/>
      <c r="AL83" s="187"/>
      <c r="AM83" s="187"/>
      <c r="AN83" s="187"/>
      <c r="AO83" s="187"/>
      <c r="AP83" s="187"/>
    </row>
    <row r="84" spans="1:42" s="227" customFormat="1" ht="4.5" customHeight="1">
      <c r="A84" s="228"/>
      <c r="B84" s="229"/>
      <c r="C84" s="230"/>
      <c r="D84" s="231"/>
      <c r="E84" s="232"/>
      <c r="F84" s="232"/>
      <c r="G84" s="231"/>
      <c r="H84" s="232"/>
      <c r="I84" s="232"/>
      <c r="J84" s="232"/>
      <c r="K84" s="232"/>
      <c r="L84" s="231"/>
      <c r="M84" s="231"/>
      <c r="N84" s="231"/>
      <c r="O84" s="231"/>
      <c r="P84" s="232"/>
      <c r="Q84" s="231"/>
      <c r="R84" s="231"/>
      <c r="S84" s="231"/>
      <c r="T84" s="231"/>
      <c r="U84" s="232"/>
      <c r="V84" s="231"/>
      <c r="W84" s="231"/>
      <c r="X84" s="231"/>
      <c r="Y84" s="233"/>
      <c r="Z84" s="232"/>
      <c r="AA84" s="234"/>
      <c r="AB84" s="232"/>
      <c r="AC84" s="235"/>
      <c r="AD84" s="236"/>
      <c r="AH84" s="235"/>
    </row>
    <row r="85" spans="1:42" s="187" customFormat="1" ht="4.5" customHeight="1">
      <c r="A85" s="224"/>
      <c r="B85" s="214"/>
      <c r="C85" s="215"/>
      <c r="D85" s="215"/>
      <c r="E85" s="214"/>
      <c r="F85" s="214"/>
      <c r="G85" s="215"/>
      <c r="H85" s="214"/>
      <c r="I85" s="214"/>
      <c r="J85" s="214"/>
      <c r="K85" s="214"/>
      <c r="L85" s="215"/>
      <c r="M85" s="215"/>
      <c r="N85" s="215"/>
      <c r="O85" s="215"/>
      <c r="P85" s="214"/>
      <c r="Q85" s="215"/>
      <c r="R85" s="215"/>
      <c r="S85" s="215"/>
      <c r="T85" s="215"/>
      <c r="U85" s="214"/>
      <c r="V85" s="215"/>
      <c r="W85" s="215"/>
      <c r="X85" s="215"/>
      <c r="Y85" s="216"/>
      <c r="Z85" s="214"/>
      <c r="AA85" s="225"/>
      <c r="AB85" s="214"/>
      <c r="AC85" s="226"/>
      <c r="AH85" s="226"/>
      <c r="AI85" s="227"/>
    </row>
    <row r="86" spans="1:42" s="1" customFormat="1" ht="13.5" customHeight="1">
      <c r="B86" s="1518" t="s">
        <v>18</v>
      </c>
      <c r="C86" s="1524">
        <v>45089</v>
      </c>
      <c r="D86" s="1524"/>
      <c r="E86" s="1524"/>
      <c r="F86" s="1524"/>
      <c r="G86" s="22"/>
      <c r="H86" s="1524">
        <v>45090</v>
      </c>
      <c r="I86" s="1524"/>
      <c r="J86" s="1524"/>
      <c r="K86" s="1524"/>
      <c r="L86" s="22"/>
      <c r="M86" s="1524">
        <v>45091</v>
      </c>
      <c r="N86" s="1524"/>
      <c r="O86" s="1524"/>
      <c r="P86" s="1524"/>
      <c r="Q86" s="22"/>
      <c r="R86" s="1524">
        <v>45092</v>
      </c>
      <c r="S86" s="1524"/>
      <c r="T86" s="1524"/>
      <c r="U86" s="1524"/>
      <c r="V86" s="22"/>
      <c r="W86" s="1524">
        <v>45093</v>
      </c>
      <c r="X86" s="1524"/>
      <c r="Y86" s="1524"/>
      <c r="Z86" s="1524"/>
      <c r="AA86" s="1517" t="s">
        <v>19</v>
      </c>
      <c r="AB86" s="1517" t="s">
        <v>20</v>
      </c>
      <c r="AC86" s="3"/>
      <c r="AD86" s="1524">
        <v>45094</v>
      </c>
      <c r="AE86" s="1524"/>
      <c r="AF86" s="1524"/>
      <c r="AG86" s="1517" t="s">
        <v>21</v>
      </c>
      <c r="AH86" s="3"/>
      <c r="AI86" s="227"/>
      <c r="AK86" s="194" t="s">
        <v>143</v>
      </c>
      <c r="AL86" s="195"/>
      <c r="AM86" s="195"/>
      <c r="AN86" s="195"/>
      <c r="AO86" s="195"/>
      <c r="AP86" s="195"/>
    </row>
    <row r="87" spans="1:42" s="1" customFormat="1" ht="14.25">
      <c r="B87" s="1518"/>
      <c r="C87" s="21" t="s">
        <v>23</v>
      </c>
      <c r="D87" s="21" t="s">
        <v>24</v>
      </c>
      <c r="E87" s="205" t="s">
        <v>144</v>
      </c>
      <c r="F87" s="18" t="s">
        <v>14</v>
      </c>
      <c r="G87" s="3"/>
      <c r="H87" s="21" t="s">
        <v>23</v>
      </c>
      <c r="I87" s="21" t="s">
        <v>24</v>
      </c>
      <c r="J87" s="18" t="s">
        <v>144</v>
      </c>
      <c r="K87" s="18" t="s">
        <v>14</v>
      </c>
      <c r="L87" s="3"/>
      <c r="M87" s="21" t="s">
        <v>23</v>
      </c>
      <c r="N87" s="21" t="s">
        <v>24</v>
      </c>
      <c r="O87" s="18" t="s">
        <v>144</v>
      </c>
      <c r="P87" s="18" t="s">
        <v>14</v>
      </c>
      <c r="Q87" s="3"/>
      <c r="R87" s="21" t="s">
        <v>23</v>
      </c>
      <c r="S87" s="21" t="s">
        <v>24</v>
      </c>
      <c r="T87" s="18" t="s">
        <v>25</v>
      </c>
      <c r="U87" s="18" t="s">
        <v>14</v>
      </c>
      <c r="V87" s="3"/>
      <c r="W87" s="21" t="s">
        <v>23</v>
      </c>
      <c r="X87" s="21" t="s">
        <v>24</v>
      </c>
      <c r="Y87" s="18" t="s">
        <v>25</v>
      </c>
      <c r="Z87" s="18" t="s">
        <v>14</v>
      </c>
      <c r="AA87" s="1523"/>
      <c r="AB87" s="1517"/>
      <c r="AC87" s="3"/>
      <c r="AD87" s="21" t="s">
        <v>23</v>
      </c>
      <c r="AE87" s="21" t="s">
        <v>24</v>
      </c>
      <c r="AF87" s="18" t="s">
        <v>25</v>
      </c>
      <c r="AG87" s="1523"/>
      <c r="AH87" s="3"/>
      <c r="AI87" s="227"/>
      <c r="AK87" s="188" t="s">
        <v>26</v>
      </c>
      <c r="AL87" s="196">
        <f>AA100</f>
        <v>298.25</v>
      </c>
      <c r="AM87" s="187"/>
      <c r="AN87" s="187"/>
      <c r="AO87" s="187"/>
      <c r="AP87" s="187"/>
    </row>
    <row r="88" spans="1:42" s="1" customFormat="1" ht="14.25">
      <c r="B88" s="13" t="s">
        <v>129</v>
      </c>
      <c r="C88" s="61">
        <v>0.29166666666666669</v>
      </c>
      <c r="D88" s="47">
        <v>0.16666666666666666</v>
      </c>
      <c r="E88" s="19">
        <v>8</v>
      </c>
      <c r="F88" s="277"/>
      <c r="G88" s="3"/>
      <c r="H88" s="47">
        <v>0.33333333333333331</v>
      </c>
      <c r="I88" s="47">
        <v>0.20833333333333334</v>
      </c>
      <c r="J88" s="19">
        <v>8</v>
      </c>
      <c r="K88" s="277">
        <v>1</v>
      </c>
      <c r="L88" s="3"/>
      <c r="M88" s="47">
        <v>0.33333333333333331</v>
      </c>
      <c r="N88" s="47">
        <v>0.20833333333333334</v>
      </c>
      <c r="O88" s="19">
        <v>8</v>
      </c>
      <c r="P88" s="278"/>
      <c r="Q88" s="3"/>
      <c r="R88" s="47">
        <v>0.33333333333333331</v>
      </c>
      <c r="S88" s="47">
        <v>0.20833333333333334</v>
      </c>
      <c r="T88" s="19">
        <v>8</v>
      </c>
      <c r="U88" s="278">
        <v>1</v>
      </c>
      <c r="V88" s="3"/>
      <c r="W88" s="47">
        <v>0.33333333333333331</v>
      </c>
      <c r="X88" s="47">
        <v>0.20833333333333334</v>
      </c>
      <c r="Y88" s="19">
        <v>8</v>
      </c>
      <c r="Z88" s="278"/>
      <c r="AA88" s="185">
        <f>(E88+J88+O88+T88+Y88)</f>
        <v>40</v>
      </c>
      <c r="AB88" s="282">
        <f>Z88+U88+P88+K88+F88</f>
        <v>2</v>
      </c>
      <c r="AC88" s="3"/>
      <c r="AD88" s="4">
        <v>0</v>
      </c>
      <c r="AE88" s="4">
        <v>0</v>
      </c>
      <c r="AF88" s="19">
        <v>0</v>
      </c>
      <c r="AG88" s="185">
        <f t="shared" ref="AG88:AG95" si="5">AF88</f>
        <v>0</v>
      </c>
      <c r="AH88" s="3"/>
      <c r="AI88" s="227"/>
      <c r="AK88" s="188" t="s">
        <v>30</v>
      </c>
      <c r="AL88" s="196">
        <f>AB100</f>
        <v>8</v>
      </c>
      <c r="AM88" s="187"/>
      <c r="AN88" s="187"/>
      <c r="AO88" s="187"/>
      <c r="AP88" s="187"/>
    </row>
    <row r="89" spans="1:42" s="1" customFormat="1" ht="14.25">
      <c r="B89" s="13" t="s">
        <v>131</v>
      </c>
      <c r="C89" s="61">
        <v>0.33333333333333331</v>
      </c>
      <c r="D89" s="47">
        <v>0.20833333333333334</v>
      </c>
      <c r="E89" s="19">
        <v>8</v>
      </c>
      <c r="F89" s="277"/>
      <c r="G89" s="3"/>
      <c r="H89" s="47">
        <v>0.44791666666666669</v>
      </c>
      <c r="I89" s="47">
        <v>0.20833333333333334</v>
      </c>
      <c r="J89" s="19">
        <v>6.25</v>
      </c>
      <c r="K89" s="277"/>
      <c r="L89" s="3"/>
      <c r="M89" s="47">
        <v>0.33333333333333331</v>
      </c>
      <c r="N89" s="47">
        <v>0.20833333333333334</v>
      </c>
      <c r="O89" s="19">
        <v>8</v>
      </c>
      <c r="P89" s="278"/>
      <c r="Q89" s="3"/>
      <c r="R89" s="4">
        <v>0</v>
      </c>
      <c r="S89" s="4">
        <v>0</v>
      </c>
      <c r="T89" s="19">
        <v>0</v>
      </c>
      <c r="U89" s="278"/>
      <c r="V89" s="3"/>
      <c r="W89" s="4">
        <v>0</v>
      </c>
      <c r="X89" s="4">
        <v>0</v>
      </c>
      <c r="Y89" s="19">
        <v>0</v>
      </c>
      <c r="Z89" s="278"/>
      <c r="AA89" s="29">
        <f>(E89+J89+O89+T89+Y89)</f>
        <v>22.25</v>
      </c>
      <c r="AB89" s="282">
        <f t="shared" ref="AB89:AB99" si="6">Z89+U89+P89+K89+F89</f>
        <v>0</v>
      </c>
      <c r="AC89" s="3"/>
      <c r="AD89" s="4">
        <v>0</v>
      </c>
      <c r="AE89" s="4">
        <v>0</v>
      </c>
      <c r="AF89" s="19">
        <v>0</v>
      </c>
      <c r="AG89" s="185">
        <f t="shared" si="5"/>
        <v>0</v>
      </c>
      <c r="AH89" s="3"/>
      <c r="AI89" s="227"/>
      <c r="AK89" s="188" t="s">
        <v>32</v>
      </c>
      <c r="AL89" s="190">
        <f>AG100</f>
        <v>25</v>
      </c>
      <c r="AM89" s="187"/>
      <c r="AN89" s="187"/>
      <c r="AO89" s="187"/>
      <c r="AP89" s="187"/>
    </row>
    <row r="90" spans="1:42" s="1" customFormat="1" ht="14.25">
      <c r="B90" s="13" t="s">
        <v>132</v>
      </c>
      <c r="C90" s="61">
        <v>0.33333333333333331</v>
      </c>
      <c r="D90" s="47">
        <v>0.20833333333333334</v>
      </c>
      <c r="E90" s="19">
        <v>8</v>
      </c>
      <c r="F90" s="277"/>
      <c r="G90" s="3"/>
      <c r="H90" s="47">
        <v>0.33333333333333331</v>
      </c>
      <c r="I90" s="47">
        <v>0.20833333333333334</v>
      </c>
      <c r="J90" s="19">
        <v>8</v>
      </c>
      <c r="K90" s="277">
        <v>1</v>
      </c>
      <c r="L90" s="3"/>
      <c r="M90" s="47">
        <v>0.33333333333333331</v>
      </c>
      <c r="N90" s="47">
        <v>0.20833333333333334</v>
      </c>
      <c r="O90" s="19">
        <v>8</v>
      </c>
      <c r="P90" s="278"/>
      <c r="Q90" s="3"/>
      <c r="R90" s="47">
        <v>0.33333333333333331</v>
      </c>
      <c r="S90" s="47">
        <v>0.20833333333333334</v>
      </c>
      <c r="T90" s="19">
        <v>8</v>
      </c>
      <c r="U90" s="278">
        <v>1</v>
      </c>
      <c r="V90" s="3"/>
      <c r="W90" s="47">
        <v>0.33333333333333331</v>
      </c>
      <c r="X90" s="47">
        <v>0.20833333333333334</v>
      </c>
      <c r="Y90" s="19">
        <v>8</v>
      </c>
      <c r="Z90" s="278"/>
      <c r="AA90" s="185">
        <f>(E90+J90+O90+T90+Y90)</f>
        <v>40</v>
      </c>
      <c r="AB90" s="282">
        <f t="shared" si="6"/>
        <v>2</v>
      </c>
      <c r="AC90" s="3"/>
      <c r="AD90" s="47">
        <v>0.375</v>
      </c>
      <c r="AE90" s="47">
        <v>0.20833333333333334</v>
      </c>
      <c r="AF90" s="19">
        <v>8</v>
      </c>
      <c r="AG90" s="185">
        <f t="shared" si="5"/>
        <v>8</v>
      </c>
      <c r="AH90" s="3"/>
      <c r="AI90" s="227"/>
      <c r="AK90" s="188" t="s">
        <v>34</v>
      </c>
      <c r="AL90" s="196">
        <f>AA103</f>
        <v>38.049999999999997</v>
      </c>
      <c r="AM90" s="187"/>
      <c r="AN90" s="187"/>
      <c r="AO90" s="187"/>
      <c r="AP90" s="187"/>
    </row>
    <row r="91" spans="1:42" s="1" customFormat="1" ht="14.25">
      <c r="B91" s="13" t="s">
        <v>35</v>
      </c>
      <c r="C91" s="4">
        <v>0</v>
      </c>
      <c r="D91" s="4">
        <v>0</v>
      </c>
      <c r="E91" s="19">
        <v>0</v>
      </c>
      <c r="F91" s="277"/>
      <c r="G91" s="3"/>
      <c r="H91" s="4">
        <v>0</v>
      </c>
      <c r="I91" s="4">
        <v>0</v>
      </c>
      <c r="J91" s="19">
        <v>0</v>
      </c>
      <c r="K91" s="277"/>
      <c r="L91" s="3"/>
      <c r="M91" s="47">
        <v>0.33333333333333331</v>
      </c>
      <c r="N91" s="47">
        <v>0.20833333333333334</v>
      </c>
      <c r="O91" s="19">
        <v>8</v>
      </c>
      <c r="P91" s="278"/>
      <c r="Q91" s="3"/>
      <c r="R91" s="47">
        <v>0.33333333333333331</v>
      </c>
      <c r="S91" s="47">
        <v>0.20833333333333334</v>
      </c>
      <c r="T91" s="19">
        <v>8</v>
      </c>
      <c r="U91" s="278">
        <v>1</v>
      </c>
      <c r="V91" s="3"/>
      <c r="W91" s="47">
        <v>0.33333333333333331</v>
      </c>
      <c r="X91" s="47">
        <v>0.20833333333333334</v>
      </c>
      <c r="Y91" s="19">
        <v>8</v>
      </c>
      <c r="Z91" s="278"/>
      <c r="AA91" s="185">
        <f>(E91+J91+O91+T91+Y91)</f>
        <v>24</v>
      </c>
      <c r="AB91" s="282">
        <f t="shared" si="6"/>
        <v>1</v>
      </c>
      <c r="AC91" s="3"/>
      <c r="AD91" s="47">
        <v>0.375</v>
      </c>
      <c r="AE91" s="47">
        <v>0.20833333333333334</v>
      </c>
      <c r="AF91" s="19">
        <v>8</v>
      </c>
      <c r="AG91" s="185">
        <f t="shared" si="5"/>
        <v>8</v>
      </c>
      <c r="AH91" s="3"/>
      <c r="AI91" s="227"/>
      <c r="AK91" s="188" t="s">
        <v>145</v>
      </c>
      <c r="AL91" s="196">
        <f>AB103</f>
        <v>0.75</v>
      </c>
      <c r="AM91" s="187"/>
      <c r="AN91" s="187"/>
      <c r="AO91" s="187"/>
      <c r="AP91" s="187"/>
    </row>
    <row r="92" spans="1:42" s="1" customFormat="1" ht="14.25">
      <c r="B92" s="13" t="s">
        <v>37</v>
      </c>
      <c r="C92" s="4">
        <v>0</v>
      </c>
      <c r="D92" s="4">
        <v>0</v>
      </c>
      <c r="E92" s="19">
        <v>0</v>
      </c>
      <c r="F92" s="277"/>
      <c r="G92" s="3"/>
      <c r="H92" s="47">
        <v>0.33333333333333331</v>
      </c>
      <c r="I92" s="47">
        <v>0.20833333333333334</v>
      </c>
      <c r="J92" s="19">
        <v>8</v>
      </c>
      <c r="K92" s="277">
        <v>1</v>
      </c>
      <c r="L92" s="3"/>
      <c r="M92" s="47">
        <v>0.33333333333333331</v>
      </c>
      <c r="N92" s="47">
        <v>0.20833333333333334</v>
      </c>
      <c r="O92" s="19">
        <v>8</v>
      </c>
      <c r="P92" s="278"/>
      <c r="Q92" s="3"/>
      <c r="R92" s="47">
        <v>0.33333333333333331</v>
      </c>
      <c r="S92" s="47">
        <v>0.20833333333333334</v>
      </c>
      <c r="T92" s="19">
        <v>8</v>
      </c>
      <c r="U92" s="278">
        <v>1</v>
      </c>
      <c r="V92" s="3"/>
      <c r="W92" s="47">
        <v>0.33333333333333331</v>
      </c>
      <c r="X92" s="47">
        <v>0.20833333333333334</v>
      </c>
      <c r="Y92" s="19">
        <v>8</v>
      </c>
      <c r="Z92" s="278"/>
      <c r="AA92" s="185">
        <f t="shared" ref="AA92" si="7">(E92+J92+O92+T92+Y92)</f>
        <v>32</v>
      </c>
      <c r="AB92" s="282">
        <f t="shared" si="6"/>
        <v>2</v>
      </c>
      <c r="AC92" s="3"/>
      <c r="AD92" s="4">
        <v>0</v>
      </c>
      <c r="AE92" s="4">
        <v>0</v>
      </c>
      <c r="AF92" s="19">
        <v>0</v>
      </c>
      <c r="AG92" s="185">
        <f t="shared" si="5"/>
        <v>0</v>
      </c>
      <c r="AH92" s="3"/>
      <c r="AI92" s="227"/>
      <c r="AK92" s="188" t="s">
        <v>38</v>
      </c>
      <c r="AL92" s="196">
        <f>AG103</f>
        <v>2.25</v>
      </c>
      <c r="AM92" s="187"/>
      <c r="AN92" s="187"/>
      <c r="AO92" s="187"/>
      <c r="AP92" s="187"/>
    </row>
    <row r="93" spans="1:42" s="1" customFormat="1" ht="14.25">
      <c r="B93" s="13" t="s">
        <v>141</v>
      </c>
      <c r="C93" s="47">
        <v>0.29166666666666669</v>
      </c>
      <c r="D93" s="47">
        <v>0.16666666666666666</v>
      </c>
      <c r="E93" s="19">
        <v>8</v>
      </c>
      <c r="F93" s="277"/>
      <c r="G93" s="3"/>
      <c r="H93" s="4">
        <v>0</v>
      </c>
      <c r="I93" s="4">
        <v>0</v>
      </c>
      <c r="J93" s="19">
        <v>0</v>
      </c>
      <c r="K93" s="277"/>
      <c r="L93" s="3"/>
      <c r="M93" s="47">
        <v>0.33333333333333331</v>
      </c>
      <c r="N93" s="47">
        <v>0.20833333333333334</v>
      </c>
      <c r="O93" s="19">
        <v>8</v>
      </c>
      <c r="P93" s="278"/>
      <c r="Q93" s="3"/>
      <c r="R93" s="47">
        <v>0.33333333333333331</v>
      </c>
      <c r="S93" s="47">
        <v>0.20833333333333334</v>
      </c>
      <c r="T93" s="19">
        <v>8</v>
      </c>
      <c r="U93" s="278">
        <v>1</v>
      </c>
      <c r="V93" s="3"/>
      <c r="W93" s="47">
        <v>0.33333333333333331</v>
      </c>
      <c r="X93" s="47">
        <v>0.10416666666666667</v>
      </c>
      <c r="Y93" s="19">
        <v>6.5</v>
      </c>
      <c r="Z93" s="278"/>
      <c r="AA93" s="184">
        <f t="shared" ref="AA93:AA99" si="8">(E93+J93+O93+T93+Y93)</f>
        <v>30.5</v>
      </c>
      <c r="AB93" s="282">
        <f t="shared" si="6"/>
        <v>1</v>
      </c>
      <c r="AC93" s="3"/>
      <c r="AD93" s="4">
        <v>0</v>
      </c>
      <c r="AE93" s="4">
        <v>0</v>
      </c>
      <c r="AF93" s="19">
        <v>0</v>
      </c>
      <c r="AG93" s="185">
        <f t="shared" si="5"/>
        <v>0</v>
      </c>
      <c r="AH93" s="3"/>
      <c r="AI93" s="227"/>
      <c r="AK93" s="188" t="s">
        <v>41</v>
      </c>
      <c r="AL93" s="189">
        <f>C104</f>
        <v>40</v>
      </c>
      <c r="AM93" s="187"/>
      <c r="AN93" s="187"/>
      <c r="AO93" s="187"/>
      <c r="AP93" s="187"/>
    </row>
    <row r="94" spans="1:42" s="1" customFormat="1" ht="14.25">
      <c r="B94" s="13" t="s">
        <v>142</v>
      </c>
      <c r="C94" s="47">
        <v>0.34375</v>
      </c>
      <c r="D94" s="47">
        <v>0.20833333333333334</v>
      </c>
      <c r="E94" s="19">
        <v>8</v>
      </c>
      <c r="F94" s="277"/>
      <c r="G94" s="3"/>
      <c r="H94" s="4">
        <v>0</v>
      </c>
      <c r="I94" s="4">
        <v>0</v>
      </c>
      <c r="J94" s="19">
        <v>0</v>
      </c>
      <c r="K94" s="277"/>
      <c r="L94" s="3"/>
      <c r="M94" s="4">
        <v>0</v>
      </c>
      <c r="N94" s="4">
        <v>0</v>
      </c>
      <c r="O94" s="19">
        <v>0</v>
      </c>
      <c r="P94" s="278"/>
      <c r="Q94" s="3"/>
      <c r="R94" s="4">
        <v>0</v>
      </c>
      <c r="S94" s="4">
        <v>0</v>
      </c>
      <c r="T94" s="19">
        <v>0</v>
      </c>
      <c r="U94" s="278"/>
      <c r="V94" s="3"/>
      <c r="W94" s="47">
        <v>0.375</v>
      </c>
      <c r="X94" s="47">
        <v>0.20833333333333334</v>
      </c>
      <c r="Y94" s="19">
        <v>8</v>
      </c>
      <c r="Z94" s="278"/>
      <c r="AA94" s="185">
        <f t="shared" si="8"/>
        <v>16</v>
      </c>
      <c r="AB94" s="282">
        <f t="shared" si="6"/>
        <v>0</v>
      </c>
      <c r="AC94" s="3"/>
      <c r="AD94" s="4">
        <v>0</v>
      </c>
      <c r="AE94" s="4">
        <v>0</v>
      </c>
      <c r="AF94" s="19">
        <v>0</v>
      </c>
      <c r="AG94" s="185">
        <f t="shared" si="5"/>
        <v>0</v>
      </c>
      <c r="AH94" s="3"/>
      <c r="AI94" s="227"/>
      <c r="AK94" s="187"/>
      <c r="AL94" s="187"/>
      <c r="AM94" s="187"/>
      <c r="AN94" s="187"/>
      <c r="AO94" s="187"/>
      <c r="AP94" s="187"/>
    </row>
    <row r="95" spans="1:42" s="1" customFormat="1" ht="14.25">
      <c r="B95" s="13" t="s">
        <v>55</v>
      </c>
      <c r="C95" s="4">
        <v>0</v>
      </c>
      <c r="D95" s="4">
        <v>0</v>
      </c>
      <c r="E95" s="19">
        <v>0</v>
      </c>
      <c r="F95" s="277"/>
      <c r="G95" s="3"/>
      <c r="H95" s="47">
        <v>0.35416666666666669</v>
      </c>
      <c r="I95" s="47">
        <v>0.5</v>
      </c>
      <c r="J95" s="19">
        <v>3.5</v>
      </c>
      <c r="K95" s="277"/>
      <c r="L95" s="3"/>
      <c r="M95" s="4">
        <v>0</v>
      </c>
      <c r="N95" s="4">
        <v>0</v>
      </c>
      <c r="O95" s="19">
        <v>0</v>
      </c>
      <c r="P95" s="278"/>
      <c r="Q95" s="3"/>
      <c r="R95" s="4">
        <v>0</v>
      </c>
      <c r="S95" s="4">
        <v>0</v>
      </c>
      <c r="T95" s="19">
        <v>0</v>
      </c>
      <c r="U95" s="278"/>
      <c r="V95" s="3"/>
      <c r="W95" s="4">
        <v>0</v>
      </c>
      <c r="X95" s="4">
        <v>0</v>
      </c>
      <c r="Y95" s="19">
        <v>0</v>
      </c>
      <c r="Z95" s="278"/>
      <c r="AA95" s="184">
        <f t="shared" si="8"/>
        <v>3.5</v>
      </c>
      <c r="AB95" s="282">
        <f t="shared" si="6"/>
        <v>0</v>
      </c>
      <c r="AC95" s="3"/>
      <c r="AD95" s="47">
        <v>0.33333333333333331</v>
      </c>
      <c r="AE95" s="47">
        <v>0.20833333333333334</v>
      </c>
      <c r="AF95" s="19">
        <v>9</v>
      </c>
      <c r="AG95" s="185">
        <f t="shared" si="5"/>
        <v>9</v>
      </c>
      <c r="AH95" s="3"/>
      <c r="AI95" s="227"/>
      <c r="AK95" s="187"/>
      <c r="AL95" s="187"/>
      <c r="AM95" s="187"/>
      <c r="AN95" s="187"/>
      <c r="AO95" s="187"/>
      <c r="AP95" s="187"/>
    </row>
    <row r="96" spans="1:42" s="1" customFormat="1" ht="14.25">
      <c r="B96" s="138" t="s">
        <v>31</v>
      </c>
      <c r="C96" s="47">
        <v>0.375</v>
      </c>
      <c r="D96" s="47">
        <v>0.125</v>
      </c>
      <c r="E96" s="19">
        <v>6</v>
      </c>
      <c r="F96" s="278"/>
      <c r="G96" s="3"/>
      <c r="H96" s="47">
        <v>0.375</v>
      </c>
      <c r="I96" s="47">
        <v>0.14583333333333334</v>
      </c>
      <c r="J96" s="19">
        <v>6</v>
      </c>
      <c r="K96" s="278"/>
      <c r="L96" s="3"/>
      <c r="M96" s="47">
        <v>0.375</v>
      </c>
      <c r="N96" s="47">
        <v>0.125</v>
      </c>
      <c r="O96" s="19">
        <v>6</v>
      </c>
      <c r="P96" s="278"/>
      <c r="Q96" s="3"/>
      <c r="R96" s="47">
        <v>0.375</v>
      </c>
      <c r="S96" s="47">
        <v>0.125</v>
      </c>
      <c r="T96" s="19">
        <v>6</v>
      </c>
      <c r="U96" s="278"/>
      <c r="V96" s="3"/>
      <c r="W96" s="47">
        <v>0.375</v>
      </c>
      <c r="X96" s="47">
        <v>0.125</v>
      </c>
      <c r="Y96" s="19">
        <v>6</v>
      </c>
      <c r="Z96" s="278"/>
      <c r="AA96" s="185">
        <f t="shared" si="8"/>
        <v>30</v>
      </c>
      <c r="AB96" s="282">
        <f t="shared" si="6"/>
        <v>0</v>
      </c>
      <c r="AC96" s="3"/>
      <c r="AD96" s="4">
        <v>0</v>
      </c>
      <c r="AE96" s="4">
        <v>0</v>
      </c>
      <c r="AF96" s="19">
        <v>0</v>
      </c>
      <c r="AG96" s="185">
        <f>AF96</f>
        <v>0</v>
      </c>
      <c r="AH96" s="3"/>
      <c r="AI96" s="227"/>
      <c r="AK96" s="187"/>
      <c r="AL96" s="187"/>
      <c r="AM96" s="187"/>
      <c r="AN96" s="187"/>
      <c r="AO96" s="187"/>
      <c r="AP96" s="187"/>
    </row>
    <row r="97" spans="1:42" s="1" customFormat="1" ht="14.25">
      <c r="B97" s="138" t="s">
        <v>39</v>
      </c>
      <c r="C97" s="4">
        <v>0</v>
      </c>
      <c r="D97" s="4">
        <v>0</v>
      </c>
      <c r="E97" s="19">
        <v>0</v>
      </c>
      <c r="F97" s="278"/>
      <c r="G97" s="3"/>
      <c r="H97" s="47">
        <v>0</v>
      </c>
      <c r="I97" s="4">
        <v>0</v>
      </c>
      <c r="J97" s="19">
        <v>0</v>
      </c>
      <c r="K97" s="278"/>
      <c r="L97" s="3"/>
      <c r="M97" s="47">
        <v>0</v>
      </c>
      <c r="N97" s="47">
        <v>0</v>
      </c>
      <c r="O97" s="19">
        <v>0</v>
      </c>
      <c r="P97" s="278"/>
      <c r="Q97" s="3"/>
      <c r="R97" s="47">
        <v>0</v>
      </c>
      <c r="S97" s="47">
        <v>0</v>
      </c>
      <c r="T97" s="19">
        <v>0</v>
      </c>
      <c r="U97" s="278"/>
      <c r="V97" s="3"/>
      <c r="W97" s="47">
        <v>0</v>
      </c>
      <c r="X97" s="47">
        <v>0</v>
      </c>
      <c r="Y97" s="19">
        <v>0</v>
      </c>
      <c r="Z97" s="278"/>
      <c r="AA97" s="185">
        <f t="shared" si="8"/>
        <v>0</v>
      </c>
      <c r="AB97" s="282">
        <f t="shared" si="6"/>
        <v>0</v>
      </c>
      <c r="AC97" s="3"/>
      <c r="AD97" s="4">
        <v>0</v>
      </c>
      <c r="AE97" s="4">
        <v>0</v>
      </c>
      <c r="AF97" s="19">
        <v>0</v>
      </c>
      <c r="AG97" s="185">
        <f>AF97</f>
        <v>0</v>
      </c>
      <c r="AH97" s="3"/>
      <c r="AI97" s="227"/>
      <c r="AK97" s="187"/>
      <c r="AL97" s="187"/>
      <c r="AM97" s="187"/>
      <c r="AN97" s="187"/>
      <c r="AO97" s="187"/>
      <c r="AP97" s="187"/>
    </row>
    <row r="98" spans="1:42" s="1" customFormat="1" ht="14.25">
      <c r="B98" s="138" t="s">
        <v>146</v>
      </c>
      <c r="C98" s="47">
        <v>0.375</v>
      </c>
      <c r="D98" s="47">
        <v>0.125</v>
      </c>
      <c r="E98" s="19">
        <v>6</v>
      </c>
      <c r="F98" s="278"/>
      <c r="G98" s="3"/>
      <c r="H98" s="47">
        <v>0.375</v>
      </c>
      <c r="I98" s="47">
        <v>0.125</v>
      </c>
      <c r="J98" s="19">
        <v>6</v>
      </c>
      <c r="K98" s="278"/>
      <c r="L98" s="3"/>
      <c r="M98" s="47">
        <v>0.375</v>
      </c>
      <c r="N98" s="47">
        <v>0.125</v>
      </c>
      <c r="O98" s="19">
        <v>6</v>
      </c>
      <c r="P98" s="278"/>
      <c r="Q98" s="3"/>
      <c r="R98" s="47">
        <v>0.375</v>
      </c>
      <c r="S98" s="47">
        <v>0.125</v>
      </c>
      <c r="T98" s="19">
        <v>6</v>
      </c>
      <c r="U98" s="278"/>
      <c r="V98" s="3"/>
      <c r="W98" s="47">
        <v>0.375</v>
      </c>
      <c r="X98" s="47">
        <v>0.125</v>
      </c>
      <c r="Y98" s="179">
        <v>6</v>
      </c>
      <c r="Z98" s="278"/>
      <c r="AA98" s="185">
        <f t="shared" si="8"/>
        <v>30</v>
      </c>
      <c r="AB98" s="282">
        <f t="shared" si="6"/>
        <v>0</v>
      </c>
      <c r="AC98" s="3"/>
      <c r="AD98" s="4">
        <v>0</v>
      </c>
      <c r="AE98" s="4">
        <v>0</v>
      </c>
      <c r="AF98" s="19">
        <v>0</v>
      </c>
      <c r="AG98" s="185">
        <f>AF98</f>
        <v>0</v>
      </c>
      <c r="AH98" s="3"/>
      <c r="AI98" s="227"/>
      <c r="AK98" s="187"/>
      <c r="AL98" s="187"/>
      <c r="AM98" s="187"/>
      <c r="AN98" s="187"/>
      <c r="AO98" s="187"/>
      <c r="AP98" s="187"/>
    </row>
    <row r="99" spans="1:42" s="1" customFormat="1" ht="14.25">
      <c r="B99" s="138" t="s">
        <v>147</v>
      </c>
      <c r="C99" s="47">
        <v>0.375</v>
      </c>
      <c r="D99" s="47">
        <v>0.125</v>
      </c>
      <c r="E99" s="19">
        <v>6</v>
      </c>
      <c r="F99" s="278"/>
      <c r="G99" s="3"/>
      <c r="H99" s="47">
        <v>0.375</v>
      </c>
      <c r="I99" s="47">
        <v>0.125</v>
      </c>
      <c r="J99" s="19">
        <v>6</v>
      </c>
      <c r="K99" s="278"/>
      <c r="L99" s="3"/>
      <c r="M99" s="47">
        <v>0.375</v>
      </c>
      <c r="N99" s="47">
        <v>0.125</v>
      </c>
      <c r="O99" s="19">
        <v>6</v>
      </c>
      <c r="P99" s="278"/>
      <c r="Q99" s="3"/>
      <c r="R99" s="47">
        <v>0.375</v>
      </c>
      <c r="S99" s="47">
        <v>0.125</v>
      </c>
      <c r="T99" s="19">
        <v>6</v>
      </c>
      <c r="U99" s="278"/>
      <c r="V99" s="3"/>
      <c r="W99" s="47">
        <v>0.375</v>
      </c>
      <c r="X99" s="47">
        <v>0.125</v>
      </c>
      <c r="Y99" s="179">
        <v>6</v>
      </c>
      <c r="Z99" s="278"/>
      <c r="AA99" s="185">
        <f t="shared" si="8"/>
        <v>30</v>
      </c>
      <c r="AB99" s="282">
        <f t="shared" si="6"/>
        <v>0</v>
      </c>
      <c r="AC99" s="3"/>
      <c r="AD99" s="4">
        <v>0</v>
      </c>
      <c r="AE99" s="4">
        <v>0</v>
      </c>
      <c r="AF99" s="19">
        <v>0</v>
      </c>
      <c r="AG99" s="185">
        <f>AF99</f>
        <v>0</v>
      </c>
      <c r="AH99" s="3"/>
      <c r="AI99" s="227"/>
      <c r="AK99" s="187"/>
      <c r="AL99" s="187"/>
      <c r="AM99" s="187"/>
      <c r="AN99" s="187"/>
      <c r="AO99" s="187"/>
      <c r="AP99" s="187"/>
    </row>
    <row r="100" spans="1:42" s="1" customFormat="1">
      <c r="B100" s="64" t="s">
        <v>61</v>
      </c>
      <c r="C100" s="64"/>
      <c r="D100" s="64"/>
      <c r="E100" s="167">
        <f>SUM(E88:E99)</f>
        <v>58</v>
      </c>
      <c r="F100" s="278">
        <f>SUM(F88:F99)</f>
        <v>0</v>
      </c>
      <c r="G100" s="3"/>
      <c r="H100" s="64"/>
      <c r="I100" s="64"/>
      <c r="J100" s="167">
        <f>SUM(J88:J99)</f>
        <v>51.75</v>
      </c>
      <c r="K100" s="278">
        <f>SUM(K88:K99)</f>
        <v>3</v>
      </c>
      <c r="L100" s="3"/>
      <c r="M100" s="64"/>
      <c r="N100" s="64"/>
      <c r="O100" s="167">
        <f>SUM(O88:O99)</f>
        <v>66</v>
      </c>
      <c r="P100" s="278">
        <f>SUM(P88:P99)</f>
        <v>0</v>
      </c>
      <c r="Q100" s="3"/>
      <c r="R100" s="64"/>
      <c r="S100" s="64"/>
      <c r="T100" s="167">
        <f>SUM(T88:T99)</f>
        <v>58</v>
      </c>
      <c r="U100" s="278">
        <f>SUM(U88:U99)</f>
        <v>5</v>
      </c>
      <c r="V100" s="3"/>
      <c r="W100" s="64"/>
      <c r="X100" s="64"/>
      <c r="Y100" s="285">
        <f>SUM(Y88:Y99)</f>
        <v>64.5</v>
      </c>
      <c r="Z100" s="278">
        <f>SUM(Z88:Z99)</f>
        <v>0</v>
      </c>
      <c r="AA100" s="182">
        <f>SUM(AA88:AA99)</f>
        <v>298.25</v>
      </c>
      <c r="AB100" s="289">
        <f>SUM(AB88:AB99)</f>
        <v>8</v>
      </c>
      <c r="AC100" s="3"/>
      <c r="AD100" s="64"/>
      <c r="AE100" s="64"/>
      <c r="AF100" s="64"/>
      <c r="AG100" s="249">
        <f>SUM(AG88:AG95)</f>
        <v>25</v>
      </c>
      <c r="AH100" s="3"/>
      <c r="AI100" s="227"/>
      <c r="AK100" s="187"/>
      <c r="AL100" s="187"/>
      <c r="AM100" s="187"/>
      <c r="AN100" s="187"/>
      <c r="AO100" s="187"/>
      <c r="AP100" s="187"/>
    </row>
    <row r="101" spans="1:42" s="1" customFormat="1">
      <c r="B101" s="31" t="s">
        <v>64</v>
      </c>
      <c r="C101" s="56"/>
      <c r="D101" s="57"/>
      <c r="E101" s="19">
        <f>2.25</f>
        <v>2.25</v>
      </c>
      <c r="F101" s="280"/>
      <c r="G101" s="3"/>
      <c r="H101" s="57"/>
      <c r="I101" s="57"/>
      <c r="J101" s="19">
        <v>4.75</v>
      </c>
      <c r="K101" s="280">
        <v>0</v>
      </c>
      <c r="L101" s="59"/>
      <c r="M101" s="57"/>
      <c r="N101" s="57"/>
      <c r="O101" s="19">
        <v>3.5</v>
      </c>
      <c r="P101" s="280">
        <v>0</v>
      </c>
      <c r="Q101" s="3"/>
      <c r="R101" s="57"/>
      <c r="S101" s="57"/>
      <c r="T101" s="19">
        <f>3+(1*1.5)</f>
        <v>4.5</v>
      </c>
      <c r="U101" s="280">
        <v>0</v>
      </c>
      <c r="V101" s="3"/>
      <c r="W101" s="57"/>
      <c r="X101" s="57"/>
      <c r="Y101" s="19">
        <f>5.5+(1.7*1.5)</f>
        <v>8.0500000000000007</v>
      </c>
      <c r="Z101" s="280">
        <v>0.75</v>
      </c>
      <c r="AA101" s="28">
        <f>SUM(E101:Y101)</f>
        <v>23.05</v>
      </c>
      <c r="AB101" s="290">
        <f>Z101+U101+P101+K101</f>
        <v>0.75</v>
      </c>
      <c r="AC101" s="3"/>
      <c r="AD101" s="56"/>
      <c r="AE101" s="56"/>
      <c r="AF101" s="19">
        <v>2.25</v>
      </c>
      <c r="AG101" s="29">
        <f>AF101</f>
        <v>2.25</v>
      </c>
      <c r="AH101" s="3"/>
      <c r="AI101" s="227"/>
      <c r="AK101" s="187"/>
      <c r="AL101" s="187"/>
      <c r="AM101" s="187"/>
      <c r="AN101" s="187"/>
      <c r="AO101" s="187"/>
      <c r="AP101" s="187"/>
    </row>
    <row r="102" spans="1:42" s="1" customFormat="1" ht="14.25" thickBot="1">
      <c r="B102" s="74" t="s">
        <v>65</v>
      </c>
      <c r="C102" s="75"/>
      <c r="D102" s="76"/>
      <c r="E102" s="77">
        <v>3</v>
      </c>
      <c r="F102" s="281"/>
      <c r="G102" s="78"/>
      <c r="H102" s="76"/>
      <c r="I102" s="76"/>
      <c r="J102" s="77">
        <v>3</v>
      </c>
      <c r="K102" s="281">
        <v>0</v>
      </c>
      <c r="L102" s="78"/>
      <c r="M102" s="76"/>
      <c r="N102" s="76"/>
      <c r="O102" s="77">
        <v>3</v>
      </c>
      <c r="P102" s="281">
        <v>0</v>
      </c>
      <c r="Q102" s="78"/>
      <c r="R102" s="76"/>
      <c r="S102" s="76"/>
      <c r="T102" s="77">
        <v>3</v>
      </c>
      <c r="U102" s="281">
        <v>0</v>
      </c>
      <c r="V102" s="78"/>
      <c r="W102" s="76"/>
      <c r="X102" s="76"/>
      <c r="Y102" s="77">
        <v>3</v>
      </c>
      <c r="Z102" s="281">
        <v>0</v>
      </c>
      <c r="AA102" s="80">
        <f>SUM(E102:Y102)</f>
        <v>15</v>
      </c>
      <c r="AB102" s="287">
        <v>0</v>
      </c>
      <c r="AC102" s="3"/>
      <c r="AD102" s="75"/>
      <c r="AE102" s="75"/>
      <c r="AF102" s="77"/>
      <c r="AG102" s="80"/>
      <c r="AH102" s="3"/>
      <c r="AI102" s="227"/>
      <c r="AK102" s="187"/>
      <c r="AL102" s="187"/>
      <c r="AM102" s="187"/>
      <c r="AN102" s="187"/>
      <c r="AO102" s="187"/>
      <c r="AP102" s="187"/>
    </row>
    <row r="103" spans="1:42" s="187" customFormat="1" ht="13.5" customHeight="1" thickTop="1">
      <c r="A103" s="224"/>
      <c r="B103" s="214" t="s">
        <v>66</v>
      </c>
      <c r="C103" s="215"/>
      <c r="D103" s="215"/>
      <c r="E103" s="214">
        <f>SUM(E101:E102)</f>
        <v>5.25</v>
      </c>
      <c r="F103" s="214"/>
      <c r="G103" s="215"/>
      <c r="H103" s="214"/>
      <c r="I103" s="214"/>
      <c r="J103" s="214">
        <f>SUM(J101:J102)</f>
        <v>7.75</v>
      </c>
      <c r="K103" s="214"/>
      <c r="L103" s="215"/>
      <c r="M103" s="215"/>
      <c r="N103" s="215"/>
      <c r="O103" s="214">
        <f>SUM(O101:O102)</f>
        <v>6.5</v>
      </c>
      <c r="P103" s="214"/>
      <c r="Q103" s="214"/>
      <c r="R103" s="214"/>
      <c r="S103" s="214"/>
      <c r="T103" s="214">
        <f>SUM(T101:T102)</f>
        <v>7.5</v>
      </c>
      <c r="U103" s="214"/>
      <c r="V103" s="214"/>
      <c r="W103" s="214"/>
      <c r="X103" s="214"/>
      <c r="Y103" s="214">
        <f>SUM(Y101:Y102)</f>
        <v>11.05</v>
      </c>
      <c r="Z103" s="214"/>
      <c r="AA103" s="247">
        <f>SUM(AA101:AA102)</f>
        <v>38.049999999999997</v>
      </c>
      <c r="AB103" s="247">
        <f>SUM(AB102+AB101)</f>
        <v>0.75</v>
      </c>
      <c r="AC103" s="226"/>
      <c r="AD103" s="241"/>
      <c r="AG103" s="247">
        <f>SUM(AG101:AG102)</f>
        <v>2.25</v>
      </c>
      <c r="AH103" s="3"/>
      <c r="AI103" s="227"/>
      <c r="AJ103" s="1"/>
    </row>
    <row r="104" spans="1:42" s="1" customFormat="1" ht="13.5" customHeight="1">
      <c r="A104" s="11"/>
      <c r="B104" s="217" t="s">
        <v>67</v>
      </c>
      <c r="C104" s="207">
        <f>C105+C106</f>
        <v>40</v>
      </c>
      <c r="D104" s="208"/>
      <c r="E104" s="209"/>
      <c r="F104" s="209"/>
      <c r="G104" s="208"/>
      <c r="H104" s="209"/>
      <c r="I104" s="209"/>
      <c r="J104" s="209"/>
      <c r="K104" s="209"/>
      <c r="L104" s="208"/>
      <c r="M104" s="208"/>
      <c r="N104" s="208"/>
      <c r="O104" s="208"/>
      <c r="P104" s="209"/>
      <c r="Q104" s="208"/>
      <c r="R104" s="208"/>
      <c r="S104" s="208"/>
      <c r="T104" s="208"/>
      <c r="U104" s="209"/>
      <c r="V104" s="208"/>
      <c r="W104" s="208"/>
      <c r="X104" s="208"/>
      <c r="Y104" s="210"/>
      <c r="Z104" s="209"/>
      <c r="AA104" s="211"/>
      <c r="AB104" s="211"/>
      <c r="AC104" s="211"/>
      <c r="AD104" s="211"/>
      <c r="AE104" s="211"/>
      <c r="AF104" s="211"/>
      <c r="AG104" s="211"/>
      <c r="AH104" s="3"/>
      <c r="AI104" s="227"/>
      <c r="AK104" s="187"/>
      <c r="AL104" s="187"/>
      <c r="AM104" s="187"/>
      <c r="AN104" s="187"/>
      <c r="AO104" s="187"/>
      <c r="AP104" s="187"/>
    </row>
    <row r="105" spans="1:42" s="1" customFormat="1" ht="13.5" customHeight="1">
      <c r="A105" s="11"/>
      <c r="B105" s="238" t="s">
        <v>68</v>
      </c>
      <c r="C105" s="239">
        <v>40</v>
      </c>
      <c r="D105" s="208"/>
      <c r="E105" s="209"/>
      <c r="F105" s="209"/>
      <c r="G105" s="208"/>
      <c r="H105" s="209"/>
      <c r="I105" s="209"/>
      <c r="J105" s="209"/>
      <c r="K105" s="209"/>
      <c r="L105" s="208"/>
      <c r="M105" s="208"/>
      <c r="N105" s="208"/>
      <c r="O105" s="208"/>
      <c r="P105" s="209"/>
      <c r="Q105" s="208"/>
      <c r="R105" s="208"/>
      <c r="S105" s="208"/>
      <c r="T105" s="208"/>
      <c r="U105" s="209"/>
      <c r="V105" s="208"/>
      <c r="W105" s="208"/>
      <c r="X105" s="208"/>
      <c r="Y105" s="210"/>
      <c r="Z105" s="209"/>
      <c r="AA105" s="211"/>
      <c r="AB105" s="209"/>
      <c r="AC105" s="211"/>
      <c r="AD105" s="211"/>
      <c r="AE105" s="211"/>
      <c r="AF105" s="211"/>
      <c r="AG105" s="211"/>
      <c r="AH105" s="3"/>
      <c r="AI105" s="227"/>
      <c r="AK105" s="187"/>
      <c r="AL105" s="187"/>
      <c r="AM105" s="187"/>
      <c r="AN105" s="187"/>
      <c r="AO105" s="187"/>
      <c r="AP105" s="187"/>
    </row>
    <row r="106" spans="1:42" s="1" customFormat="1" ht="13.5" customHeight="1">
      <c r="A106" s="11"/>
      <c r="B106" s="238" t="s">
        <v>69</v>
      </c>
      <c r="C106" s="239">
        <v>0</v>
      </c>
      <c r="D106" s="208"/>
      <c r="E106" s="209"/>
      <c r="F106" s="209"/>
      <c r="G106" s="208"/>
      <c r="H106" s="209"/>
      <c r="I106" s="209"/>
      <c r="J106" s="209"/>
      <c r="K106" s="209"/>
      <c r="L106" s="208"/>
      <c r="M106" s="208"/>
      <c r="N106" s="208"/>
      <c r="O106" s="208"/>
      <c r="P106" s="209"/>
      <c r="Q106" s="208"/>
      <c r="R106" s="208"/>
      <c r="S106" s="208"/>
      <c r="T106" s="208"/>
      <c r="U106" s="209"/>
      <c r="V106" s="208"/>
      <c r="W106" s="208"/>
      <c r="X106" s="208"/>
      <c r="Y106" s="210"/>
      <c r="Z106" s="209"/>
      <c r="AA106" s="211"/>
      <c r="AB106" s="209"/>
      <c r="AC106" s="211"/>
      <c r="AD106" s="211"/>
      <c r="AE106" s="211"/>
      <c r="AF106" s="211"/>
      <c r="AG106" s="211"/>
      <c r="AH106" s="3"/>
      <c r="AI106" s="227"/>
      <c r="AK106" s="187"/>
      <c r="AL106" s="187"/>
      <c r="AM106" s="187"/>
      <c r="AN106" s="187"/>
      <c r="AO106" s="187"/>
      <c r="AP106" s="187"/>
    </row>
    <row r="107" spans="1:42" s="1" customFormat="1" ht="4.5" customHeight="1">
      <c r="A107" s="11"/>
      <c r="B107" s="218"/>
      <c r="C107" s="219"/>
      <c r="D107" s="220"/>
      <c r="E107" s="221"/>
      <c r="F107" s="221"/>
      <c r="G107" s="220"/>
      <c r="H107" s="221"/>
      <c r="I107" s="221"/>
      <c r="J107" s="221"/>
      <c r="K107" s="221"/>
      <c r="L107" s="220"/>
      <c r="M107" s="220"/>
      <c r="N107" s="220"/>
      <c r="O107" s="220"/>
      <c r="P107" s="221"/>
      <c r="Q107" s="220"/>
      <c r="R107" s="220"/>
      <c r="S107" s="220"/>
      <c r="T107" s="220"/>
      <c r="U107" s="221"/>
      <c r="V107" s="220"/>
      <c r="W107" s="220"/>
      <c r="X107" s="220"/>
      <c r="Y107" s="222"/>
      <c r="Z107" s="221"/>
      <c r="AA107" s="223"/>
      <c r="AB107" s="221"/>
      <c r="AC107" s="3"/>
      <c r="AD107" s="168"/>
      <c r="AH107" s="3"/>
      <c r="AI107" s="227"/>
      <c r="AK107" s="187"/>
      <c r="AL107" s="187"/>
      <c r="AM107" s="187"/>
      <c r="AN107" s="187"/>
      <c r="AO107" s="187"/>
      <c r="AP107" s="187"/>
    </row>
    <row r="108" spans="1:42" s="227" customFormat="1" ht="4.5" customHeight="1">
      <c r="A108" s="228"/>
      <c r="B108" s="229"/>
      <c r="C108" s="230"/>
      <c r="D108" s="231"/>
      <c r="E108" s="232"/>
      <c r="F108" s="232"/>
      <c r="G108" s="231"/>
      <c r="H108" s="232"/>
      <c r="I108" s="232"/>
      <c r="J108" s="232"/>
      <c r="K108" s="232"/>
      <c r="L108" s="231"/>
      <c r="M108" s="231"/>
      <c r="N108" s="231"/>
      <c r="O108" s="231"/>
      <c r="P108" s="232"/>
      <c r="Q108" s="231"/>
      <c r="R108" s="231"/>
      <c r="S108" s="231"/>
      <c r="T108" s="231"/>
      <c r="U108" s="232"/>
      <c r="V108" s="231"/>
      <c r="W108" s="231"/>
      <c r="X108" s="231"/>
      <c r="Y108" s="233"/>
      <c r="Z108" s="232"/>
      <c r="AA108" s="234"/>
      <c r="AB108" s="232"/>
      <c r="AC108" s="235"/>
      <c r="AD108" s="236"/>
      <c r="AH108" s="235"/>
    </row>
    <row r="109" spans="1:42" s="187" customFormat="1" ht="4.5" customHeight="1">
      <c r="A109" s="224"/>
      <c r="B109" s="214"/>
      <c r="C109" s="215"/>
      <c r="D109" s="215"/>
      <c r="E109" s="214"/>
      <c r="F109" s="214"/>
      <c r="G109" s="215"/>
      <c r="H109" s="214"/>
      <c r="I109" s="214"/>
      <c r="J109" s="214"/>
      <c r="K109" s="214"/>
      <c r="L109" s="215"/>
      <c r="M109" s="215"/>
      <c r="N109" s="215"/>
      <c r="O109" s="215"/>
      <c r="P109" s="214"/>
      <c r="Q109" s="215"/>
      <c r="R109" s="215"/>
      <c r="S109" s="215"/>
      <c r="T109" s="215"/>
      <c r="U109" s="214"/>
      <c r="V109" s="215"/>
      <c r="W109" s="215"/>
      <c r="X109" s="215"/>
      <c r="Y109" s="216"/>
      <c r="Z109" s="214"/>
      <c r="AA109" s="225"/>
      <c r="AB109" s="214"/>
      <c r="AC109" s="226"/>
      <c r="AH109" s="226"/>
      <c r="AI109" s="227"/>
    </row>
    <row r="110" spans="1:42" s="1" customFormat="1" ht="13.35" customHeight="1">
      <c r="B110" s="1518" t="s">
        <v>18</v>
      </c>
      <c r="C110" s="1524">
        <v>45096</v>
      </c>
      <c r="D110" s="1524"/>
      <c r="E110" s="1524"/>
      <c r="F110" s="1524"/>
      <c r="G110" s="22"/>
      <c r="H110" s="1524">
        <v>45097</v>
      </c>
      <c r="I110" s="1524"/>
      <c r="J110" s="1524"/>
      <c r="K110" s="1524"/>
      <c r="L110" s="22"/>
      <c r="M110" s="1524">
        <v>45098</v>
      </c>
      <c r="N110" s="1524"/>
      <c r="O110" s="1524"/>
      <c r="P110" s="1524"/>
      <c r="Q110" s="22"/>
      <c r="R110" s="1524">
        <v>45099</v>
      </c>
      <c r="S110" s="1524"/>
      <c r="T110" s="1524"/>
      <c r="U110" s="1524"/>
      <c r="V110" s="22"/>
      <c r="W110" s="1524">
        <v>45100</v>
      </c>
      <c r="X110" s="1524"/>
      <c r="Y110" s="1524"/>
      <c r="Z110" s="1524"/>
      <c r="AA110" s="1517" t="s">
        <v>19</v>
      </c>
      <c r="AB110" s="1517" t="s">
        <v>20</v>
      </c>
      <c r="AC110" s="3"/>
      <c r="AD110" s="1524">
        <v>45101</v>
      </c>
      <c r="AE110" s="1524"/>
      <c r="AF110" s="1524"/>
      <c r="AG110" s="1517" t="s">
        <v>21</v>
      </c>
      <c r="AH110" s="3"/>
      <c r="AI110" s="227"/>
      <c r="AK110" s="194" t="s">
        <v>148</v>
      </c>
      <c r="AL110" s="195"/>
      <c r="AM110" s="195"/>
      <c r="AN110" s="195"/>
      <c r="AO110" s="195"/>
      <c r="AP110" s="195"/>
    </row>
    <row r="111" spans="1:42" s="1" customFormat="1" ht="14.25">
      <c r="B111" s="1518"/>
      <c r="C111" s="21" t="s">
        <v>23</v>
      </c>
      <c r="D111" s="21" t="s">
        <v>24</v>
      </c>
      <c r="E111" s="205" t="s">
        <v>144</v>
      </c>
      <c r="F111" s="18" t="s">
        <v>14</v>
      </c>
      <c r="G111" s="3"/>
      <c r="H111" s="21" t="s">
        <v>23</v>
      </c>
      <c r="I111" s="21" t="s">
        <v>24</v>
      </c>
      <c r="J111" s="205" t="s">
        <v>144</v>
      </c>
      <c r="K111" s="18" t="s">
        <v>14</v>
      </c>
      <c r="L111" s="3"/>
      <c r="M111" s="21" t="s">
        <v>23</v>
      </c>
      <c r="N111" s="21" t="s">
        <v>24</v>
      </c>
      <c r="O111" s="205" t="s">
        <v>144</v>
      </c>
      <c r="P111" s="18" t="s">
        <v>14</v>
      </c>
      <c r="Q111" s="3"/>
      <c r="R111" s="21" t="s">
        <v>23</v>
      </c>
      <c r="S111" s="21" t="s">
        <v>24</v>
      </c>
      <c r="T111" s="205" t="s">
        <v>144</v>
      </c>
      <c r="U111" s="18" t="s">
        <v>14</v>
      </c>
      <c r="V111" s="3"/>
      <c r="W111" s="21" t="s">
        <v>23</v>
      </c>
      <c r="X111" s="21" t="s">
        <v>24</v>
      </c>
      <c r="Y111" s="205" t="s">
        <v>144</v>
      </c>
      <c r="Z111" s="18" t="s">
        <v>14</v>
      </c>
      <c r="AA111" s="1523"/>
      <c r="AB111" s="1517"/>
      <c r="AC111" s="3"/>
      <c r="AD111" s="21" t="s">
        <v>23</v>
      </c>
      <c r="AE111" s="21" t="s">
        <v>24</v>
      </c>
      <c r="AF111" s="18" t="s">
        <v>25</v>
      </c>
      <c r="AG111" s="1523"/>
      <c r="AH111" s="3"/>
      <c r="AI111" s="227"/>
      <c r="AK111" s="188" t="s">
        <v>26</v>
      </c>
      <c r="AL111" s="196">
        <f>AA124</f>
        <v>345.5</v>
      </c>
      <c r="AM111" s="187"/>
      <c r="AN111" s="187"/>
      <c r="AO111" s="187"/>
      <c r="AP111" s="187"/>
    </row>
    <row r="112" spans="1:42" s="1" customFormat="1" ht="14.25">
      <c r="B112" s="13" t="s">
        <v>129</v>
      </c>
      <c r="C112" s="61">
        <v>0.33333333333333331</v>
      </c>
      <c r="D112" s="47">
        <v>0.20833333333333334</v>
      </c>
      <c r="E112" s="19">
        <v>8</v>
      </c>
      <c r="F112" s="277">
        <v>1</v>
      </c>
      <c r="G112" s="3"/>
      <c r="H112" s="47">
        <v>0.375</v>
      </c>
      <c r="I112" s="47">
        <v>0.25</v>
      </c>
      <c r="J112" s="19">
        <v>8</v>
      </c>
      <c r="K112" s="277"/>
      <c r="L112" s="3"/>
      <c r="M112" s="47">
        <v>0.375</v>
      </c>
      <c r="N112" s="47">
        <v>0.23958333333333334</v>
      </c>
      <c r="O112" s="19">
        <v>8.75</v>
      </c>
      <c r="P112" s="277">
        <v>0.75</v>
      </c>
      <c r="Q112" s="3"/>
      <c r="R112" s="47">
        <v>0.34375</v>
      </c>
      <c r="S112" s="47">
        <v>0.20833333333333334</v>
      </c>
      <c r="T112" s="19">
        <v>8</v>
      </c>
      <c r="U112" s="277"/>
      <c r="V112" s="3"/>
      <c r="W112" s="47">
        <v>0.33333333333333331</v>
      </c>
      <c r="X112" s="47">
        <v>0.20833333333333334</v>
      </c>
      <c r="Y112" s="19">
        <v>8</v>
      </c>
      <c r="Z112" s="277"/>
      <c r="AA112" s="29">
        <f t="shared" ref="AA112:AA119" si="9">(E112+J112+O112+T112+Y112)</f>
        <v>40.75</v>
      </c>
      <c r="AB112" s="282">
        <f>Z112+U112+P112+K112+F112</f>
        <v>1.75</v>
      </c>
      <c r="AC112" s="3"/>
      <c r="AD112" s="4">
        <v>0</v>
      </c>
      <c r="AE112" s="4">
        <v>0</v>
      </c>
      <c r="AF112" s="19">
        <v>0</v>
      </c>
      <c r="AG112" s="29">
        <f t="shared" ref="AG112:AG119" si="10">AF112</f>
        <v>0</v>
      </c>
      <c r="AH112" s="3"/>
      <c r="AI112" s="227"/>
      <c r="AK112" s="188" t="s">
        <v>30</v>
      </c>
      <c r="AL112" s="196">
        <f>AB124</f>
        <v>8.25</v>
      </c>
      <c r="AM112" s="187"/>
      <c r="AN112" s="187"/>
      <c r="AO112" s="187"/>
      <c r="AP112" s="187"/>
    </row>
    <row r="113" spans="1:42" s="1" customFormat="1" ht="14.25">
      <c r="B113" s="13" t="s">
        <v>131</v>
      </c>
      <c r="C113" s="47">
        <v>0.5</v>
      </c>
      <c r="D113" s="47">
        <v>0.20833333333333334</v>
      </c>
      <c r="E113" s="19">
        <v>5</v>
      </c>
      <c r="F113" s="277"/>
      <c r="G113" s="3"/>
      <c r="H113" s="47">
        <v>0.33333333333333331</v>
      </c>
      <c r="I113" s="47">
        <v>0.20833333333333334</v>
      </c>
      <c r="J113" s="19">
        <v>8</v>
      </c>
      <c r="K113" s="277"/>
      <c r="L113" s="3"/>
      <c r="M113" s="4">
        <v>0</v>
      </c>
      <c r="N113" s="4">
        <v>0</v>
      </c>
      <c r="O113" s="19">
        <v>0</v>
      </c>
      <c r="P113" s="277"/>
      <c r="Q113" s="3"/>
      <c r="R113" s="47">
        <v>0.33333333333333331</v>
      </c>
      <c r="S113" s="47">
        <v>0.20833333333333334</v>
      </c>
      <c r="T113" s="19">
        <v>8</v>
      </c>
      <c r="U113" s="277"/>
      <c r="V113" s="3"/>
      <c r="W113" s="47">
        <v>0.33333333333333331</v>
      </c>
      <c r="X113" s="47">
        <v>0.20833333333333334</v>
      </c>
      <c r="Y113" s="19">
        <v>8</v>
      </c>
      <c r="Z113" s="277"/>
      <c r="AA113" s="29">
        <f t="shared" si="9"/>
        <v>29</v>
      </c>
      <c r="AB113" s="282">
        <f t="shared" ref="AB113:AB121" si="11">Z113+U113+P113+K113+F113</f>
        <v>0</v>
      </c>
      <c r="AC113" s="3"/>
      <c r="AD113" s="4">
        <v>0</v>
      </c>
      <c r="AE113" s="4">
        <v>0</v>
      </c>
      <c r="AF113" s="19">
        <v>0</v>
      </c>
      <c r="AG113" s="29">
        <f t="shared" si="10"/>
        <v>0</v>
      </c>
      <c r="AH113" s="3"/>
      <c r="AI113" s="227"/>
      <c r="AK113" s="188" t="s">
        <v>32</v>
      </c>
      <c r="AL113" s="196">
        <f>AG124</f>
        <v>15.75</v>
      </c>
      <c r="AM113" s="187"/>
      <c r="AN113" s="187"/>
      <c r="AO113" s="187"/>
      <c r="AP113" s="187"/>
    </row>
    <row r="114" spans="1:42" s="1" customFormat="1" ht="14.25">
      <c r="B114" s="13" t="s">
        <v>132</v>
      </c>
      <c r="C114" s="61">
        <v>0.33333333333333331</v>
      </c>
      <c r="D114" s="47">
        <v>0.20833333333333334</v>
      </c>
      <c r="E114" s="19">
        <v>8</v>
      </c>
      <c r="F114" s="277">
        <v>1</v>
      </c>
      <c r="G114" s="3"/>
      <c r="H114" s="47">
        <v>0.33333333333333331</v>
      </c>
      <c r="I114" s="47">
        <v>0.20833333333333334</v>
      </c>
      <c r="J114" s="19">
        <v>8</v>
      </c>
      <c r="K114" s="277"/>
      <c r="L114" s="3"/>
      <c r="M114" s="47">
        <v>0.33333333333333331</v>
      </c>
      <c r="N114" s="47">
        <v>0.20833333333333334</v>
      </c>
      <c r="O114" s="19">
        <v>9</v>
      </c>
      <c r="P114" s="277">
        <v>1</v>
      </c>
      <c r="Q114" s="3"/>
      <c r="R114" s="47">
        <v>0.33333333333333331</v>
      </c>
      <c r="S114" s="47">
        <v>0.20833333333333334</v>
      </c>
      <c r="T114" s="19">
        <v>8</v>
      </c>
      <c r="U114" s="277"/>
      <c r="V114" s="3"/>
      <c r="W114" s="47">
        <v>0.33333333333333331</v>
      </c>
      <c r="X114" s="47">
        <v>0.20833333333333334</v>
      </c>
      <c r="Y114" s="19">
        <v>8</v>
      </c>
      <c r="Z114" s="277"/>
      <c r="AA114" s="29">
        <f t="shared" si="9"/>
        <v>41</v>
      </c>
      <c r="AB114" s="282">
        <f t="shared" si="11"/>
        <v>2</v>
      </c>
      <c r="AC114" s="3"/>
      <c r="AD114" s="4">
        <v>0</v>
      </c>
      <c r="AE114" s="4">
        <v>0</v>
      </c>
      <c r="AF114" s="19">
        <v>0</v>
      </c>
      <c r="AG114" s="29">
        <f t="shared" si="10"/>
        <v>0</v>
      </c>
      <c r="AH114" s="3"/>
      <c r="AI114" s="227"/>
      <c r="AK114" s="188" t="s">
        <v>34</v>
      </c>
      <c r="AL114" s="199">
        <f>AA127</f>
        <v>47.125</v>
      </c>
      <c r="AM114" s="187"/>
      <c r="AN114" s="187"/>
      <c r="AO114" s="187"/>
      <c r="AP114" s="187"/>
    </row>
    <row r="115" spans="1:42" s="1" customFormat="1" ht="14.25">
      <c r="B115" s="13" t="s">
        <v>35</v>
      </c>
      <c r="C115" s="47">
        <v>0.40625</v>
      </c>
      <c r="D115" s="47">
        <v>0.20833333333333334</v>
      </c>
      <c r="E115" s="19">
        <v>7.25</v>
      </c>
      <c r="F115" s="277"/>
      <c r="G115" s="3"/>
      <c r="H115" s="47">
        <v>0.33333333333333331</v>
      </c>
      <c r="I115" s="47">
        <v>0.20833333333333334</v>
      </c>
      <c r="J115" s="19">
        <v>8</v>
      </c>
      <c r="K115" s="277"/>
      <c r="L115" s="3"/>
      <c r="M115" s="47">
        <v>0.38541666666666669</v>
      </c>
      <c r="N115" s="47">
        <v>0.20833333333333334</v>
      </c>
      <c r="O115" s="19">
        <v>7.75</v>
      </c>
      <c r="P115" s="277"/>
      <c r="Q115" s="3"/>
      <c r="R115" s="47">
        <v>0.34375</v>
      </c>
      <c r="S115" s="47">
        <v>0.20833333333333334</v>
      </c>
      <c r="T115" s="19">
        <v>8</v>
      </c>
      <c r="U115" s="277"/>
      <c r="V115" s="3"/>
      <c r="W115" s="47">
        <v>0.33333333333333331</v>
      </c>
      <c r="X115" s="47">
        <v>0.20833333333333334</v>
      </c>
      <c r="Y115" s="19">
        <v>8</v>
      </c>
      <c r="Z115" s="277"/>
      <c r="AA115" s="29">
        <f t="shared" si="9"/>
        <v>39</v>
      </c>
      <c r="AB115" s="282">
        <f t="shared" si="11"/>
        <v>0</v>
      </c>
      <c r="AC115" s="3"/>
      <c r="AD115" s="4">
        <v>0</v>
      </c>
      <c r="AE115" s="4">
        <v>0</v>
      </c>
      <c r="AF115" s="19">
        <v>0</v>
      </c>
      <c r="AG115" s="29">
        <f t="shared" si="10"/>
        <v>0</v>
      </c>
      <c r="AH115" s="3"/>
      <c r="AI115" s="227"/>
      <c r="AK115" s="188" t="s">
        <v>149</v>
      </c>
      <c r="AL115" s="190">
        <f>AB127</f>
        <v>1</v>
      </c>
      <c r="AM115" s="187"/>
      <c r="AN115" s="187"/>
      <c r="AO115" s="187"/>
      <c r="AP115" s="187"/>
    </row>
    <row r="116" spans="1:42" s="1" customFormat="1" ht="14.25">
      <c r="B116" s="13" t="s">
        <v>37</v>
      </c>
      <c r="C116" s="61">
        <v>0.33333333333333331</v>
      </c>
      <c r="D116" s="47">
        <v>0.20833333333333334</v>
      </c>
      <c r="E116" s="19">
        <v>8</v>
      </c>
      <c r="F116" s="277">
        <v>1</v>
      </c>
      <c r="G116" s="3"/>
      <c r="H116" s="47">
        <v>0.33333333333333331</v>
      </c>
      <c r="I116" s="47">
        <v>0.20833333333333334</v>
      </c>
      <c r="J116" s="19">
        <v>8</v>
      </c>
      <c r="K116" s="277"/>
      <c r="L116" s="3"/>
      <c r="M116" s="47">
        <v>0.33333333333333331</v>
      </c>
      <c r="N116" s="47">
        <v>0.20833333333333334</v>
      </c>
      <c r="O116" s="19">
        <v>9</v>
      </c>
      <c r="P116" s="277">
        <v>1</v>
      </c>
      <c r="Q116" s="3"/>
      <c r="R116" s="47">
        <v>0.33333333333333331</v>
      </c>
      <c r="S116" s="47">
        <v>0.20833333333333334</v>
      </c>
      <c r="T116" s="19">
        <v>8</v>
      </c>
      <c r="U116" s="277"/>
      <c r="V116" s="3"/>
      <c r="W116" s="47">
        <v>0.33333333333333331</v>
      </c>
      <c r="X116" s="47">
        <v>0.20833333333333334</v>
      </c>
      <c r="Y116" s="19">
        <v>8</v>
      </c>
      <c r="Z116" s="277"/>
      <c r="AA116" s="29">
        <f t="shared" si="9"/>
        <v>41</v>
      </c>
      <c r="AB116" s="282">
        <f t="shared" si="11"/>
        <v>2</v>
      </c>
      <c r="AC116" s="3"/>
      <c r="AD116" s="4">
        <v>0</v>
      </c>
      <c r="AE116" s="4">
        <v>0</v>
      </c>
      <c r="AF116" s="19">
        <v>0</v>
      </c>
      <c r="AG116" s="29">
        <f t="shared" si="10"/>
        <v>0</v>
      </c>
      <c r="AH116" s="3"/>
      <c r="AI116" s="227"/>
      <c r="AK116" s="188" t="s">
        <v>38</v>
      </c>
      <c r="AL116" s="196">
        <f>AG127</f>
        <v>2.25</v>
      </c>
      <c r="AM116" s="187"/>
      <c r="AN116" s="187"/>
      <c r="AO116" s="187"/>
      <c r="AP116" s="187"/>
    </row>
    <row r="117" spans="1:42" s="1" customFormat="1" ht="14.25">
      <c r="B117" s="13" t="s">
        <v>141</v>
      </c>
      <c r="C117" s="4">
        <v>0</v>
      </c>
      <c r="D117" s="4">
        <v>0</v>
      </c>
      <c r="E117" s="19">
        <v>0</v>
      </c>
      <c r="F117" s="277"/>
      <c r="G117" s="3"/>
      <c r="H117" s="47">
        <v>0.33333333333333331</v>
      </c>
      <c r="I117" s="47">
        <v>0.20833333333333334</v>
      </c>
      <c r="J117" s="19">
        <v>8</v>
      </c>
      <c r="K117" s="277"/>
      <c r="L117" s="3"/>
      <c r="M117" s="47">
        <v>0.33333333333333331</v>
      </c>
      <c r="N117" s="47">
        <v>0.20833333333333334</v>
      </c>
      <c r="O117" s="19">
        <v>9</v>
      </c>
      <c r="P117" s="277">
        <v>1</v>
      </c>
      <c r="Q117" s="3"/>
      <c r="R117" s="47">
        <v>0.33333333333333331</v>
      </c>
      <c r="S117" s="47">
        <v>0.16666666666666666</v>
      </c>
      <c r="T117" s="19">
        <v>8</v>
      </c>
      <c r="U117" s="277"/>
      <c r="V117" s="3"/>
      <c r="W117" s="47">
        <v>0.33333333333333331</v>
      </c>
      <c r="X117" s="47">
        <v>0.125</v>
      </c>
      <c r="Y117" s="19">
        <v>7</v>
      </c>
      <c r="Z117" s="277"/>
      <c r="AA117" s="29">
        <f t="shared" si="9"/>
        <v>32</v>
      </c>
      <c r="AB117" s="282">
        <f t="shared" si="11"/>
        <v>1</v>
      </c>
      <c r="AC117" s="3"/>
      <c r="AD117" s="4">
        <v>0</v>
      </c>
      <c r="AE117" s="4">
        <v>0</v>
      </c>
      <c r="AF117" s="19">
        <v>0</v>
      </c>
      <c r="AG117" s="29">
        <f t="shared" si="10"/>
        <v>0</v>
      </c>
      <c r="AH117" s="3"/>
      <c r="AI117" s="227"/>
      <c r="AK117" s="188" t="s">
        <v>41</v>
      </c>
      <c r="AL117" s="189">
        <f>C130</f>
        <v>40</v>
      </c>
      <c r="AM117" s="187"/>
      <c r="AN117" s="187"/>
      <c r="AO117" s="187"/>
      <c r="AP117" s="187"/>
    </row>
    <row r="118" spans="1:42" s="1" customFormat="1" ht="14.25">
      <c r="B118" s="13" t="s">
        <v>142</v>
      </c>
      <c r="C118" s="61">
        <v>0.34375</v>
      </c>
      <c r="D118" s="47">
        <v>0.20833333333333334</v>
      </c>
      <c r="E118" s="19">
        <v>8</v>
      </c>
      <c r="F118" s="277">
        <v>0.75</v>
      </c>
      <c r="G118" s="3"/>
      <c r="H118" s="4">
        <v>0</v>
      </c>
      <c r="I118" s="4">
        <v>0</v>
      </c>
      <c r="J118" s="19">
        <v>0</v>
      </c>
      <c r="K118" s="277"/>
      <c r="L118" s="3"/>
      <c r="M118" s="4">
        <v>0</v>
      </c>
      <c r="N118" s="4">
        <v>0</v>
      </c>
      <c r="O118" s="19">
        <v>0</v>
      </c>
      <c r="P118" s="277"/>
      <c r="Q118" s="3"/>
      <c r="R118" s="4">
        <v>0</v>
      </c>
      <c r="S118" s="4">
        <v>0</v>
      </c>
      <c r="T118" s="19">
        <v>0</v>
      </c>
      <c r="U118" s="277"/>
      <c r="V118" s="3"/>
      <c r="W118" s="4">
        <v>0</v>
      </c>
      <c r="X118" s="4">
        <v>0</v>
      </c>
      <c r="Y118" s="19">
        <v>0</v>
      </c>
      <c r="Z118" s="277"/>
      <c r="AA118" s="29">
        <f t="shared" si="9"/>
        <v>8</v>
      </c>
      <c r="AB118" s="282">
        <f t="shared" si="11"/>
        <v>0.75</v>
      </c>
      <c r="AC118" s="3"/>
      <c r="AD118" s="4">
        <v>0</v>
      </c>
      <c r="AE118" s="4">
        <v>0</v>
      </c>
      <c r="AF118" s="19">
        <v>0</v>
      </c>
      <c r="AG118" s="29">
        <f t="shared" si="10"/>
        <v>0</v>
      </c>
      <c r="AH118" s="3"/>
      <c r="AI118" s="227"/>
      <c r="AK118" s="187"/>
      <c r="AL118" s="187"/>
      <c r="AM118" s="187"/>
      <c r="AN118" s="187"/>
      <c r="AO118" s="187"/>
      <c r="AP118" s="187"/>
    </row>
    <row r="119" spans="1:42" s="1" customFormat="1" ht="14.25">
      <c r="B119" s="13" t="s">
        <v>55</v>
      </c>
      <c r="C119" s="4">
        <v>0</v>
      </c>
      <c r="D119" s="4">
        <v>0</v>
      </c>
      <c r="E119" s="19">
        <v>0</v>
      </c>
      <c r="F119" s="277"/>
      <c r="G119" s="3"/>
      <c r="H119" s="4">
        <v>0</v>
      </c>
      <c r="I119" s="4">
        <v>0</v>
      </c>
      <c r="J119" s="19">
        <v>0</v>
      </c>
      <c r="K119" s="277"/>
      <c r="L119" s="3"/>
      <c r="M119" s="4">
        <v>0</v>
      </c>
      <c r="N119" s="4">
        <v>0</v>
      </c>
      <c r="O119" s="19">
        <v>0</v>
      </c>
      <c r="P119" s="277"/>
      <c r="Q119" s="3"/>
      <c r="R119" s="4">
        <v>0</v>
      </c>
      <c r="S119" s="4">
        <v>0</v>
      </c>
      <c r="T119" s="19">
        <v>0</v>
      </c>
      <c r="U119" s="277"/>
      <c r="V119" s="3"/>
      <c r="W119" s="4">
        <v>0</v>
      </c>
      <c r="X119" s="4">
        <v>0</v>
      </c>
      <c r="Y119" s="19">
        <v>0</v>
      </c>
      <c r="Z119" s="277"/>
      <c r="AA119" s="29">
        <f t="shared" si="9"/>
        <v>0</v>
      </c>
      <c r="AB119" s="282">
        <f t="shared" si="11"/>
        <v>0</v>
      </c>
      <c r="AC119" s="3"/>
      <c r="AD119" s="47">
        <v>0.33333333333333331</v>
      </c>
      <c r="AE119" s="47">
        <v>0.20833333333333334</v>
      </c>
      <c r="AF119" s="19">
        <v>8</v>
      </c>
      <c r="AG119" s="29">
        <f t="shared" si="10"/>
        <v>8</v>
      </c>
      <c r="AH119" s="3"/>
      <c r="AI119" s="227"/>
      <c r="AK119" s="187"/>
      <c r="AL119" s="187"/>
      <c r="AM119" s="187"/>
      <c r="AN119" s="187"/>
      <c r="AO119" s="187"/>
      <c r="AP119" s="187"/>
    </row>
    <row r="120" spans="1:42" s="1" customFormat="1" ht="14.25">
      <c r="B120" s="13" t="s">
        <v>31</v>
      </c>
      <c r="C120" s="4">
        <v>0</v>
      </c>
      <c r="D120" s="4">
        <v>0</v>
      </c>
      <c r="E120" s="19">
        <v>0</v>
      </c>
      <c r="F120" s="277"/>
      <c r="G120" s="3"/>
      <c r="H120" s="4">
        <v>0</v>
      </c>
      <c r="I120" s="4">
        <v>0</v>
      </c>
      <c r="J120" s="19">
        <v>0</v>
      </c>
      <c r="K120" s="277"/>
      <c r="L120" s="3"/>
      <c r="M120" s="47">
        <v>0.375</v>
      </c>
      <c r="N120" s="47">
        <v>0.23958333333333334</v>
      </c>
      <c r="O120" s="19">
        <v>8.75</v>
      </c>
      <c r="P120" s="277">
        <v>0.75</v>
      </c>
      <c r="Q120" s="3"/>
      <c r="R120" s="47">
        <v>0.33333333333333331</v>
      </c>
      <c r="S120" s="47">
        <v>0.20833333333333334</v>
      </c>
      <c r="T120" s="19">
        <v>8</v>
      </c>
      <c r="U120" s="277"/>
      <c r="V120" s="3"/>
      <c r="W120" s="47">
        <v>0.33333333333333331</v>
      </c>
      <c r="X120" s="47">
        <v>0.20833333333333334</v>
      </c>
      <c r="Y120" s="19">
        <v>8</v>
      </c>
      <c r="Z120" s="277"/>
      <c r="AA120" s="29">
        <f>(E120+J120+O120+T120+Y120)</f>
        <v>24.75</v>
      </c>
      <c r="AB120" s="282">
        <f t="shared" si="11"/>
        <v>0.75</v>
      </c>
      <c r="AC120" s="3"/>
      <c r="AD120" s="47">
        <v>0.38541666666666669</v>
      </c>
      <c r="AE120" s="47">
        <v>0.20833333333333334</v>
      </c>
      <c r="AF120" s="19">
        <v>7.75</v>
      </c>
      <c r="AG120" s="29">
        <f>AF120</f>
        <v>7.75</v>
      </c>
      <c r="AH120" s="3"/>
      <c r="AI120" s="227"/>
      <c r="AK120" s="187"/>
      <c r="AL120" s="187"/>
      <c r="AM120" s="187"/>
      <c r="AN120" s="187"/>
      <c r="AO120" s="187"/>
      <c r="AP120" s="187"/>
    </row>
    <row r="121" spans="1:42" s="1" customFormat="1" ht="14.25">
      <c r="B121" s="138" t="s">
        <v>39</v>
      </c>
      <c r="C121" s="47">
        <v>0.375</v>
      </c>
      <c r="D121" s="47">
        <v>0.125</v>
      </c>
      <c r="E121" s="19">
        <v>6</v>
      </c>
      <c r="F121" s="277"/>
      <c r="G121" s="3"/>
      <c r="H121" s="47">
        <v>0.375</v>
      </c>
      <c r="I121" s="47">
        <v>0.125</v>
      </c>
      <c r="J121" s="19">
        <v>6</v>
      </c>
      <c r="K121" s="277"/>
      <c r="L121" s="3"/>
      <c r="M121" s="47">
        <v>0.375</v>
      </c>
      <c r="N121" s="47">
        <v>0.125</v>
      </c>
      <c r="O121" s="19">
        <v>6</v>
      </c>
      <c r="P121" s="277"/>
      <c r="Q121" s="3"/>
      <c r="R121" s="47">
        <v>0.375</v>
      </c>
      <c r="S121" s="47">
        <v>0.125</v>
      </c>
      <c r="T121" s="19">
        <v>6</v>
      </c>
      <c r="U121" s="277"/>
      <c r="V121" s="3"/>
      <c r="W121" s="47">
        <v>0.375</v>
      </c>
      <c r="X121" s="47">
        <v>0.125</v>
      </c>
      <c r="Y121" s="19">
        <v>6</v>
      </c>
      <c r="Z121" s="277"/>
      <c r="AA121" s="29">
        <f>(E121+J121+O121+T121+Y121)</f>
        <v>30</v>
      </c>
      <c r="AB121" s="282">
        <f t="shared" si="11"/>
        <v>0</v>
      </c>
      <c r="AC121" s="3"/>
      <c r="AD121" s="4">
        <v>0</v>
      </c>
      <c r="AE121" s="4">
        <v>0</v>
      </c>
      <c r="AF121" s="19">
        <v>0</v>
      </c>
      <c r="AG121" s="29">
        <f>AF121</f>
        <v>0</v>
      </c>
      <c r="AH121" s="3"/>
      <c r="AI121" s="227"/>
      <c r="AK121" s="187"/>
      <c r="AL121" s="187"/>
      <c r="AM121" s="187"/>
      <c r="AN121" s="187"/>
      <c r="AO121" s="187"/>
      <c r="AP121" s="187"/>
    </row>
    <row r="122" spans="1:42" s="1" customFormat="1" ht="14.25">
      <c r="B122" s="138" t="s">
        <v>146</v>
      </c>
      <c r="C122" s="47">
        <v>0.375</v>
      </c>
      <c r="D122" s="47">
        <v>0.125</v>
      </c>
      <c r="E122" s="19">
        <v>6</v>
      </c>
      <c r="F122" s="277"/>
      <c r="G122" s="3"/>
      <c r="H122" s="47">
        <v>0.375</v>
      </c>
      <c r="I122" s="47">
        <v>0.125</v>
      </c>
      <c r="J122" s="19">
        <v>6</v>
      </c>
      <c r="K122" s="277"/>
      <c r="L122" s="3"/>
      <c r="M122" s="47">
        <v>0.375</v>
      </c>
      <c r="N122" s="47">
        <v>0.125</v>
      </c>
      <c r="O122" s="19">
        <v>6</v>
      </c>
      <c r="P122" s="277"/>
      <c r="Q122" s="3"/>
      <c r="R122" s="47">
        <v>0.375</v>
      </c>
      <c r="S122" s="47">
        <v>0.125</v>
      </c>
      <c r="T122" s="19">
        <v>6</v>
      </c>
      <c r="U122" s="277"/>
      <c r="V122" s="3"/>
      <c r="W122" s="47">
        <v>0.375</v>
      </c>
      <c r="X122" s="47">
        <v>0.125</v>
      </c>
      <c r="Y122" s="19">
        <v>6</v>
      </c>
      <c r="Z122" s="277"/>
      <c r="AA122" s="29">
        <f>(E122+J122+O122+T122+Y122)</f>
        <v>30</v>
      </c>
      <c r="AB122" s="282">
        <f>Z122+U122+P122+K122+F122</f>
        <v>0</v>
      </c>
      <c r="AC122" s="3"/>
      <c r="AD122" s="4">
        <v>0</v>
      </c>
      <c r="AE122" s="4">
        <v>0</v>
      </c>
      <c r="AF122" s="19">
        <v>0</v>
      </c>
      <c r="AG122" s="29">
        <f>AF122</f>
        <v>0</v>
      </c>
      <c r="AH122" s="3"/>
      <c r="AI122" s="227"/>
      <c r="AK122" s="187"/>
      <c r="AL122" s="187"/>
      <c r="AM122" s="187"/>
      <c r="AN122" s="187"/>
      <c r="AO122" s="187"/>
      <c r="AP122" s="187"/>
    </row>
    <row r="123" spans="1:42" s="1" customFormat="1" ht="14.25">
      <c r="B123" s="138" t="s">
        <v>147</v>
      </c>
      <c r="C123" s="47">
        <v>0.375</v>
      </c>
      <c r="D123" s="47">
        <v>0.125</v>
      </c>
      <c r="E123" s="19">
        <v>6</v>
      </c>
      <c r="F123" s="277"/>
      <c r="G123" s="3"/>
      <c r="H123" s="47">
        <v>0.375</v>
      </c>
      <c r="I123" s="47">
        <v>0.125</v>
      </c>
      <c r="J123" s="19">
        <v>6</v>
      </c>
      <c r="K123" s="277"/>
      <c r="L123" s="3"/>
      <c r="M123" s="47">
        <v>0.375</v>
      </c>
      <c r="N123" s="47">
        <v>0.125</v>
      </c>
      <c r="O123" s="19">
        <v>6</v>
      </c>
      <c r="P123" s="277"/>
      <c r="Q123" s="3"/>
      <c r="R123" s="47">
        <v>0.375</v>
      </c>
      <c r="S123" s="47">
        <v>0.125</v>
      </c>
      <c r="T123" s="19">
        <v>6</v>
      </c>
      <c r="U123" s="277"/>
      <c r="V123" s="3"/>
      <c r="W123" s="47">
        <v>0.375</v>
      </c>
      <c r="X123" s="47">
        <v>0.125</v>
      </c>
      <c r="Y123" s="19">
        <v>6</v>
      </c>
      <c r="Z123" s="277"/>
      <c r="AA123" s="29">
        <f>(E123+J123+O123+T123+Y123)</f>
        <v>30</v>
      </c>
      <c r="AB123" s="282">
        <f>Z123+U123+P123+K123+F123</f>
        <v>0</v>
      </c>
      <c r="AC123" s="3"/>
      <c r="AD123" s="4">
        <v>0</v>
      </c>
      <c r="AE123" s="4">
        <v>0</v>
      </c>
      <c r="AF123" s="19">
        <v>0</v>
      </c>
      <c r="AG123" s="29">
        <f>AF123</f>
        <v>0</v>
      </c>
      <c r="AH123" s="3"/>
      <c r="AI123" s="227"/>
      <c r="AK123" s="187"/>
      <c r="AL123" s="187"/>
      <c r="AM123" s="187"/>
      <c r="AN123" s="187"/>
      <c r="AO123" s="187"/>
      <c r="AP123" s="187"/>
    </row>
    <row r="124" spans="1:42" s="1" customFormat="1">
      <c r="B124" s="64" t="s">
        <v>61</v>
      </c>
      <c r="C124" s="64"/>
      <c r="D124" s="64"/>
      <c r="E124" s="167">
        <f>SUM(E112:E123)</f>
        <v>62.25</v>
      </c>
      <c r="F124" s="277">
        <f>SUM(F112:F123)</f>
        <v>3.75</v>
      </c>
      <c r="G124" s="3"/>
      <c r="H124" s="64"/>
      <c r="I124" s="64"/>
      <c r="J124" s="167">
        <f>SUM(J112:J123)</f>
        <v>66</v>
      </c>
      <c r="K124" s="277">
        <f>SUM(K112:K123)</f>
        <v>0</v>
      </c>
      <c r="L124" s="3"/>
      <c r="M124" s="64"/>
      <c r="N124" s="64"/>
      <c r="O124" s="167">
        <f>SUM(O112:O123)</f>
        <v>70.25</v>
      </c>
      <c r="P124" s="277">
        <f>SUM(P112:P123)</f>
        <v>4.5</v>
      </c>
      <c r="Q124" s="3"/>
      <c r="R124" s="64"/>
      <c r="S124" s="64"/>
      <c r="T124" s="167">
        <f>SUM(T112:T123)</f>
        <v>74</v>
      </c>
      <c r="U124" s="277">
        <f>SUM(U112:U123)</f>
        <v>0</v>
      </c>
      <c r="V124" s="3"/>
      <c r="W124" s="64"/>
      <c r="X124" s="64"/>
      <c r="Y124" s="167">
        <f>SUM(Y112:Y123)</f>
        <v>73</v>
      </c>
      <c r="Z124" s="277"/>
      <c r="AA124" s="247">
        <f>SUM(AA112:AA123)</f>
        <v>345.5</v>
      </c>
      <c r="AB124" s="289">
        <f>SUM(AB112:AB123)</f>
        <v>8.25</v>
      </c>
      <c r="AC124" s="3"/>
      <c r="AD124" s="64"/>
      <c r="AE124" s="64"/>
      <c r="AF124" s="64"/>
      <c r="AG124" s="247">
        <f>SUM(AG112:AG123)</f>
        <v>15.75</v>
      </c>
      <c r="AH124" s="3"/>
      <c r="AI124" s="227"/>
      <c r="AK124" s="187"/>
      <c r="AL124" s="187"/>
      <c r="AM124" s="187"/>
      <c r="AN124" s="187"/>
      <c r="AO124" s="187"/>
      <c r="AP124" s="187"/>
    </row>
    <row r="125" spans="1:42" s="1" customFormat="1">
      <c r="B125" s="31" t="s">
        <v>64</v>
      </c>
      <c r="C125" s="56"/>
      <c r="D125" s="56"/>
      <c r="E125" s="19">
        <v>5</v>
      </c>
      <c r="F125" s="280"/>
      <c r="G125" s="60"/>
      <c r="H125" s="56"/>
      <c r="I125" s="56"/>
      <c r="J125" s="143">
        <f>5.25+(1*1.5)</f>
        <v>6.75</v>
      </c>
      <c r="K125" s="280"/>
      <c r="L125" s="60"/>
      <c r="M125" s="56"/>
      <c r="N125" s="56"/>
      <c r="O125" s="19">
        <v>6.5</v>
      </c>
      <c r="P125" s="280"/>
      <c r="Q125" s="3"/>
      <c r="R125" s="56"/>
      <c r="S125" s="56"/>
      <c r="T125" s="19">
        <v>6</v>
      </c>
      <c r="U125" s="280"/>
      <c r="V125" s="60"/>
      <c r="W125" s="56"/>
      <c r="X125" s="56"/>
      <c r="Y125" s="143">
        <f>5.25+(1.75*1.5)</f>
        <v>7.875</v>
      </c>
      <c r="Z125" s="280">
        <v>1</v>
      </c>
      <c r="AA125" s="28">
        <f>SUM(E125:Y125)</f>
        <v>32.125</v>
      </c>
      <c r="AB125" s="290">
        <f>Z125</f>
        <v>1</v>
      </c>
      <c r="AC125" s="3"/>
      <c r="AD125" s="56"/>
      <c r="AE125" s="56"/>
      <c r="AF125" s="19">
        <v>2.25</v>
      </c>
      <c r="AG125" s="29">
        <f>AF125</f>
        <v>2.25</v>
      </c>
      <c r="AH125" s="3"/>
      <c r="AI125" s="227"/>
      <c r="AK125" s="187"/>
      <c r="AL125" s="187"/>
      <c r="AM125" s="187"/>
      <c r="AN125" s="187"/>
      <c r="AO125" s="187"/>
      <c r="AP125" s="187"/>
    </row>
    <row r="126" spans="1:42" s="1" customFormat="1" ht="15" thickBot="1">
      <c r="B126" s="74" t="s">
        <v>65</v>
      </c>
      <c r="C126" s="75"/>
      <c r="D126" s="75"/>
      <c r="E126" s="77">
        <v>3</v>
      </c>
      <c r="F126" s="77"/>
      <c r="G126" s="81"/>
      <c r="H126" s="75"/>
      <c r="I126" s="75"/>
      <c r="J126" s="77">
        <v>3</v>
      </c>
      <c r="K126" s="77"/>
      <c r="L126" s="81"/>
      <c r="M126" s="75"/>
      <c r="N126" s="75"/>
      <c r="O126" s="77">
        <v>3</v>
      </c>
      <c r="P126" s="77"/>
      <c r="Q126" s="81"/>
      <c r="R126" s="75"/>
      <c r="S126" s="75"/>
      <c r="T126" s="77">
        <v>3</v>
      </c>
      <c r="U126" s="77"/>
      <c r="V126" s="81"/>
      <c r="W126" s="75"/>
      <c r="X126" s="75"/>
      <c r="Y126" s="77">
        <v>3</v>
      </c>
      <c r="Z126" s="77"/>
      <c r="AA126" s="80">
        <f>SUM(E126:Y126)</f>
        <v>15</v>
      </c>
      <c r="AB126" s="287">
        <v>0</v>
      </c>
      <c r="AC126" s="3"/>
      <c r="AD126" s="75"/>
      <c r="AE126" s="75"/>
      <c r="AF126" s="77">
        <v>0</v>
      </c>
      <c r="AG126" s="244">
        <f>AF126</f>
        <v>0</v>
      </c>
      <c r="AH126" s="4"/>
      <c r="AI126" s="251"/>
      <c r="AK126" s="187"/>
      <c r="AL126" s="187"/>
      <c r="AM126" s="187"/>
      <c r="AN126" s="187"/>
      <c r="AO126" s="187"/>
      <c r="AP126" s="187"/>
    </row>
    <row r="127" spans="1:42" s="187" customFormat="1" ht="13.5" customHeight="1" thickTop="1">
      <c r="A127" s="224"/>
      <c r="B127" s="214" t="s">
        <v>66</v>
      </c>
      <c r="C127" s="215"/>
      <c r="D127" s="215"/>
      <c r="E127" s="214">
        <f>SUM(E125:E126)</f>
        <v>8</v>
      </c>
      <c r="F127" s="214"/>
      <c r="G127" s="215"/>
      <c r="H127" s="214"/>
      <c r="I127" s="214"/>
      <c r="J127" s="214">
        <f>SUM(J125:J126)</f>
        <v>9.75</v>
      </c>
      <c r="K127" s="214"/>
      <c r="L127" s="215"/>
      <c r="M127" s="215"/>
      <c r="N127" s="215"/>
      <c r="O127" s="214">
        <f>SUM(O125:O126)</f>
        <v>9.5</v>
      </c>
      <c r="P127" s="214"/>
      <c r="Q127" s="214"/>
      <c r="R127" s="214"/>
      <c r="S127" s="214"/>
      <c r="T127" s="214">
        <f>SUM(T125:T126)</f>
        <v>9</v>
      </c>
      <c r="U127" s="214"/>
      <c r="V127" s="214"/>
      <c r="W127" s="214"/>
      <c r="X127" s="214"/>
      <c r="Y127" s="214">
        <f>SUM(Y125:Y126)</f>
        <v>10.875</v>
      </c>
      <c r="Z127" s="214"/>
      <c r="AA127" s="247">
        <f>SUM(AA125:AA126)</f>
        <v>47.125</v>
      </c>
      <c r="AB127" s="249">
        <f>SUM(AB125:AB126)</f>
        <v>1</v>
      </c>
      <c r="AC127" s="226"/>
      <c r="AD127" s="241"/>
      <c r="AG127" s="247">
        <f>SUM(AG125:AG126)</f>
        <v>2.25</v>
      </c>
      <c r="AH127" s="4"/>
      <c r="AI127" s="251"/>
      <c r="AJ127" s="1"/>
    </row>
    <row r="128" spans="1:42" s="1" customFormat="1" ht="13.5" customHeight="1">
      <c r="A128" s="11"/>
      <c r="B128" s="217" t="s">
        <v>133</v>
      </c>
      <c r="C128" s="240">
        <v>0</v>
      </c>
      <c r="D128" s="208"/>
      <c r="E128" s="209"/>
      <c r="F128" s="209"/>
      <c r="G128" s="208"/>
      <c r="H128" s="209"/>
      <c r="I128" s="209"/>
      <c r="J128" s="209"/>
      <c r="K128" s="209"/>
      <c r="L128" s="208"/>
      <c r="M128" s="208"/>
      <c r="N128" s="208"/>
      <c r="O128" s="208"/>
      <c r="P128" s="209"/>
      <c r="Q128" s="208"/>
      <c r="R128" s="208"/>
      <c r="S128" s="208"/>
      <c r="T128" s="208"/>
      <c r="U128" s="209"/>
      <c r="V128" s="208"/>
      <c r="W128" s="208"/>
      <c r="X128" s="208"/>
      <c r="Y128" s="210"/>
      <c r="Z128" s="209"/>
      <c r="AA128" s="211"/>
      <c r="AB128" s="209"/>
      <c r="AC128" s="211"/>
      <c r="AD128" s="211"/>
      <c r="AE128" s="211"/>
      <c r="AF128" s="211"/>
      <c r="AG128" s="211"/>
      <c r="AH128" s="4"/>
      <c r="AI128" s="251"/>
      <c r="AK128" s="187"/>
      <c r="AL128" s="187"/>
      <c r="AM128" s="187"/>
      <c r="AN128" s="187"/>
      <c r="AO128" s="187"/>
      <c r="AP128" s="187"/>
    </row>
    <row r="129" spans="1:42">
      <c r="B129" s="217" t="s">
        <v>134</v>
      </c>
      <c r="C129" s="237">
        <f>AG124</f>
        <v>15.75</v>
      </c>
      <c r="D129" s="212"/>
      <c r="E129" s="213"/>
      <c r="F129" s="213"/>
      <c r="G129" s="213"/>
      <c r="H129" s="212"/>
      <c r="I129" s="212"/>
      <c r="J129" s="213"/>
      <c r="K129" s="213"/>
      <c r="L129" s="213"/>
      <c r="M129" s="212"/>
      <c r="N129" s="212"/>
      <c r="O129" s="213"/>
      <c r="P129" s="213"/>
      <c r="Q129" s="213"/>
      <c r="R129" s="212"/>
      <c r="S129" s="212"/>
      <c r="T129" s="213"/>
      <c r="U129" s="213"/>
      <c r="V129" s="213"/>
      <c r="W129" s="212"/>
      <c r="X129" s="212"/>
      <c r="Y129" s="213"/>
      <c r="Z129" s="213"/>
      <c r="AA129" s="213"/>
      <c r="AB129" s="213"/>
      <c r="AC129" s="213"/>
      <c r="AD129" s="213"/>
      <c r="AE129" s="213"/>
      <c r="AF129" s="213"/>
      <c r="AG129" s="213"/>
    </row>
    <row r="130" spans="1:42" s="1" customFormat="1" ht="13.5" customHeight="1">
      <c r="A130" s="11"/>
      <c r="B130" s="217" t="s">
        <v>67</v>
      </c>
      <c r="C130" s="207">
        <f>C131+C132</f>
        <v>40</v>
      </c>
      <c r="D130" s="208"/>
      <c r="E130" s="209"/>
      <c r="F130" s="209"/>
      <c r="G130" s="208"/>
      <c r="H130" s="209"/>
      <c r="I130" s="209"/>
      <c r="J130" s="209"/>
      <c r="K130" s="209"/>
      <c r="L130" s="208"/>
      <c r="M130" s="208"/>
      <c r="N130" s="208"/>
      <c r="O130" s="208"/>
      <c r="P130" s="209"/>
      <c r="Q130" s="208"/>
      <c r="R130" s="208"/>
      <c r="S130" s="208"/>
      <c r="T130" s="208"/>
      <c r="U130" s="209"/>
      <c r="V130" s="208"/>
      <c r="W130" s="208"/>
      <c r="X130" s="208"/>
      <c r="Y130" s="210"/>
      <c r="Z130" s="209"/>
      <c r="AA130" s="211"/>
      <c r="AB130" s="209"/>
      <c r="AC130" s="211"/>
      <c r="AD130" s="211"/>
      <c r="AE130" s="211"/>
      <c r="AF130" s="211"/>
      <c r="AG130" s="211"/>
      <c r="AH130" s="3"/>
      <c r="AI130" s="227"/>
      <c r="AK130" s="187"/>
      <c r="AL130" s="187"/>
      <c r="AM130" s="187"/>
      <c r="AN130" s="187"/>
      <c r="AO130" s="187"/>
      <c r="AP130" s="187"/>
    </row>
    <row r="131" spans="1:42" s="1" customFormat="1" ht="13.5" customHeight="1">
      <c r="A131" s="11"/>
      <c r="B131" s="238" t="s">
        <v>68</v>
      </c>
      <c r="C131" s="239">
        <v>40</v>
      </c>
      <c r="D131" s="208"/>
      <c r="E131" s="209"/>
      <c r="F131" s="209"/>
      <c r="G131" s="208"/>
      <c r="H131" s="209"/>
      <c r="I131" s="209"/>
      <c r="J131" s="209"/>
      <c r="K131" s="209"/>
      <c r="L131" s="208"/>
      <c r="M131" s="208"/>
      <c r="N131" s="208"/>
      <c r="O131" s="208"/>
      <c r="P131" s="209"/>
      <c r="Q131" s="208"/>
      <c r="R131" s="208"/>
      <c r="S131" s="208"/>
      <c r="T131" s="208"/>
      <c r="U131" s="209"/>
      <c r="V131" s="208"/>
      <c r="W131" s="208"/>
      <c r="X131" s="208"/>
      <c r="Y131" s="210"/>
      <c r="Z131" s="209"/>
      <c r="AA131" s="211"/>
      <c r="AB131" s="209"/>
      <c r="AC131" s="211"/>
      <c r="AD131" s="211"/>
      <c r="AE131" s="211"/>
      <c r="AF131" s="211"/>
      <c r="AG131" s="211"/>
      <c r="AH131" s="3"/>
      <c r="AI131" s="227"/>
      <c r="AK131" s="187"/>
      <c r="AL131" s="187"/>
      <c r="AM131" s="187"/>
      <c r="AN131" s="187"/>
      <c r="AO131" s="187"/>
      <c r="AP131" s="187"/>
    </row>
    <row r="132" spans="1:42" s="1" customFormat="1" ht="13.5" customHeight="1">
      <c r="A132" s="11"/>
      <c r="B132" s="238" t="s">
        <v>69</v>
      </c>
      <c r="C132" s="239">
        <v>0</v>
      </c>
      <c r="D132" s="208"/>
      <c r="E132" s="209"/>
      <c r="F132" s="209"/>
      <c r="G132" s="208"/>
      <c r="H132" s="209"/>
      <c r="I132" s="209"/>
      <c r="J132" s="209"/>
      <c r="K132" s="209"/>
      <c r="L132" s="208"/>
      <c r="M132" s="208"/>
      <c r="N132" s="208"/>
      <c r="O132" s="208"/>
      <c r="P132" s="209"/>
      <c r="Q132" s="208"/>
      <c r="R132" s="208"/>
      <c r="S132" s="208"/>
      <c r="T132" s="208"/>
      <c r="U132" s="209"/>
      <c r="V132" s="208"/>
      <c r="W132" s="208"/>
      <c r="X132" s="208"/>
      <c r="Y132" s="210"/>
      <c r="Z132" s="209"/>
      <c r="AA132" s="211"/>
      <c r="AB132" s="209"/>
      <c r="AC132" s="211"/>
      <c r="AD132" s="211"/>
      <c r="AE132" s="211"/>
      <c r="AF132" s="211"/>
      <c r="AG132" s="211"/>
      <c r="AH132" s="3"/>
      <c r="AI132" s="227"/>
      <c r="AK132" s="187"/>
      <c r="AL132" s="187"/>
      <c r="AM132" s="187"/>
      <c r="AN132" s="187"/>
      <c r="AO132" s="187"/>
      <c r="AP132" s="187"/>
    </row>
    <row r="133" spans="1:42" s="1" customFormat="1" ht="4.5" customHeight="1">
      <c r="A133" s="11"/>
      <c r="B133" s="218"/>
      <c r="C133" s="219"/>
      <c r="D133" s="220"/>
      <c r="E133" s="221"/>
      <c r="F133" s="221"/>
      <c r="G133" s="220"/>
      <c r="H133" s="221"/>
      <c r="I133" s="221"/>
      <c r="J133" s="221"/>
      <c r="K133" s="221"/>
      <c r="L133" s="220"/>
      <c r="M133" s="220"/>
      <c r="N133" s="220"/>
      <c r="O133" s="220"/>
      <c r="P133" s="221"/>
      <c r="Q133" s="220"/>
      <c r="R133" s="220"/>
      <c r="S133" s="220"/>
      <c r="T133" s="220"/>
      <c r="U133" s="221"/>
      <c r="V133" s="220"/>
      <c r="W133" s="220"/>
      <c r="X133" s="220"/>
      <c r="Y133" s="222"/>
      <c r="Z133" s="221"/>
      <c r="AA133" s="223"/>
      <c r="AB133" s="221"/>
      <c r="AC133" s="3"/>
      <c r="AD133" s="168"/>
      <c r="AH133" s="3"/>
      <c r="AI133" s="227"/>
      <c r="AK133" s="187"/>
      <c r="AL133" s="187"/>
      <c r="AM133" s="187"/>
      <c r="AN133" s="187"/>
      <c r="AO133" s="187"/>
      <c r="AP133" s="187"/>
    </row>
    <row r="134" spans="1:42" s="227" customFormat="1" ht="4.5" customHeight="1">
      <c r="A134" s="228"/>
      <c r="B134" s="229"/>
      <c r="C134" s="230"/>
      <c r="D134" s="231"/>
      <c r="E134" s="232"/>
      <c r="F134" s="232"/>
      <c r="G134" s="231"/>
      <c r="H134" s="232"/>
      <c r="I134" s="232"/>
      <c r="J134" s="232"/>
      <c r="K134" s="232"/>
      <c r="L134" s="231"/>
      <c r="M134" s="231"/>
      <c r="N134" s="231"/>
      <c r="O134" s="231"/>
      <c r="P134" s="232"/>
      <c r="Q134" s="231"/>
      <c r="R134" s="231"/>
      <c r="S134" s="231"/>
      <c r="T134" s="231"/>
      <c r="U134" s="232"/>
      <c r="V134" s="231"/>
      <c r="W134" s="231"/>
      <c r="X134" s="231"/>
      <c r="Y134" s="233"/>
      <c r="Z134" s="232"/>
      <c r="AA134" s="234"/>
      <c r="AB134" s="232"/>
      <c r="AC134" s="235"/>
      <c r="AD134" s="236"/>
      <c r="AH134" s="235"/>
    </row>
    <row r="135" spans="1:42" s="187" customFormat="1" ht="4.5" customHeight="1">
      <c r="A135" s="224"/>
      <c r="B135" s="214"/>
      <c r="C135" s="215"/>
      <c r="D135" s="215"/>
      <c r="E135" s="214"/>
      <c r="F135" s="214"/>
      <c r="G135" s="215"/>
      <c r="H135" s="214"/>
      <c r="I135" s="214"/>
      <c r="J135" s="214"/>
      <c r="K135" s="214"/>
      <c r="L135" s="215"/>
      <c r="M135" s="215"/>
      <c r="N135" s="215"/>
      <c r="O135" s="215"/>
      <c r="P135" s="214"/>
      <c r="Q135" s="215"/>
      <c r="R135" s="215"/>
      <c r="S135" s="215"/>
      <c r="T135" s="215"/>
      <c r="U135" s="214"/>
      <c r="V135" s="215"/>
      <c r="W135" s="215"/>
      <c r="X135" s="215"/>
      <c r="Y135" s="216"/>
      <c r="Z135" s="214"/>
      <c r="AA135" s="225"/>
      <c r="AB135" s="214"/>
      <c r="AC135" s="226"/>
      <c r="AH135" s="226"/>
      <c r="AI135" s="227"/>
    </row>
    <row r="136" spans="1:42" s="1" customFormat="1" ht="13.35" customHeight="1">
      <c r="B136" s="1518" t="s">
        <v>18</v>
      </c>
      <c r="C136" s="1524">
        <v>45103</v>
      </c>
      <c r="D136" s="1524"/>
      <c r="E136" s="1524"/>
      <c r="F136" s="1524"/>
      <c r="G136" s="22"/>
      <c r="H136" s="1524">
        <v>45104</v>
      </c>
      <c r="I136" s="1524"/>
      <c r="J136" s="1524"/>
      <c r="K136" s="204"/>
      <c r="L136" s="22"/>
      <c r="M136" s="1524">
        <v>45105</v>
      </c>
      <c r="N136" s="1524"/>
      <c r="O136" s="1524"/>
      <c r="P136" s="204"/>
      <c r="Q136" s="22"/>
      <c r="R136" s="1524">
        <v>45106</v>
      </c>
      <c r="S136" s="1524"/>
      <c r="T136" s="1524"/>
      <c r="U136" s="204"/>
      <c r="V136" s="22"/>
      <c r="W136" s="1524">
        <v>45107</v>
      </c>
      <c r="X136" s="1524"/>
      <c r="Y136" s="1524"/>
      <c r="Z136" s="204"/>
      <c r="AA136" s="1517" t="s">
        <v>19</v>
      </c>
      <c r="AB136" s="1517" t="s">
        <v>20</v>
      </c>
      <c r="AC136" s="3"/>
      <c r="AD136" s="1524">
        <v>45108</v>
      </c>
      <c r="AE136" s="1524"/>
      <c r="AF136" s="1524"/>
      <c r="AG136" s="1517" t="s">
        <v>21</v>
      </c>
      <c r="AH136" s="4"/>
      <c r="AI136" s="253"/>
      <c r="AK136" s="194" t="s">
        <v>150</v>
      </c>
      <c r="AL136" s="195"/>
      <c r="AM136" s="195"/>
      <c r="AN136" s="195"/>
      <c r="AO136" s="195"/>
      <c r="AP136" s="195"/>
    </row>
    <row r="137" spans="1:42" s="1" customFormat="1" ht="14.25">
      <c r="B137" s="1518"/>
      <c r="C137" s="21" t="s">
        <v>23</v>
      </c>
      <c r="D137" s="21" t="s">
        <v>24</v>
      </c>
      <c r="E137" s="205" t="s">
        <v>144</v>
      </c>
      <c r="F137" s="18" t="s">
        <v>14</v>
      </c>
      <c r="G137" s="3"/>
      <c r="H137" s="21" t="s">
        <v>23</v>
      </c>
      <c r="I137" s="21" t="s">
        <v>24</v>
      </c>
      <c r="J137" s="205" t="s">
        <v>144</v>
      </c>
      <c r="K137" s="18" t="s">
        <v>14</v>
      </c>
      <c r="L137" s="3"/>
      <c r="M137" s="21" t="s">
        <v>23</v>
      </c>
      <c r="N137" s="21" t="s">
        <v>24</v>
      </c>
      <c r="O137" s="205" t="s">
        <v>144</v>
      </c>
      <c r="P137" s="18" t="s">
        <v>14</v>
      </c>
      <c r="Q137" s="3"/>
      <c r="R137" s="21" t="s">
        <v>23</v>
      </c>
      <c r="S137" s="21" t="s">
        <v>24</v>
      </c>
      <c r="T137" s="205" t="s">
        <v>144</v>
      </c>
      <c r="U137" s="18" t="s">
        <v>14</v>
      </c>
      <c r="V137" s="3"/>
      <c r="W137" s="21" t="s">
        <v>23</v>
      </c>
      <c r="X137" s="21" t="s">
        <v>24</v>
      </c>
      <c r="Y137" s="205" t="s">
        <v>144</v>
      </c>
      <c r="Z137" s="18" t="s">
        <v>14</v>
      </c>
      <c r="AA137" s="1523"/>
      <c r="AB137" s="1517"/>
      <c r="AC137" s="3"/>
      <c r="AD137" s="21" t="s">
        <v>23</v>
      </c>
      <c r="AE137" s="21" t="s">
        <v>24</v>
      </c>
      <c r="AF137" s="18" t="s">
        <v>25</v>
      </c>
      <c r="AG137" s="1523"/>
      <c r="AH137" s="4"/>
      <c r="AI137" s="253"/>
      <c r="AK137" s="188" t="s">
        <v>26</v>
      </c>
      <c r="AL137" s="199">
        <f>AA149</f>
        <v>269.25</v>
      </c>
      <c r="AM137" s="187"/>
      <c r="AN137" s="187"/>
      <c r="AO137" s="187"/>
      <c r="AP137" s="187"/>
    </row>
    <row r="138" spans="1:42" s="1" customFormat="1" ht="14.25">
      <c r="B138" s="13" t="s">
        <v>129</v>
      </c>
      <c r="C138" s="4">
        <v>0</v>
      </c>
      <c r="D138" s="4">
        <v>0</v>
      </c>
      <c r="E138" s="19">
        <v>0</v>
      </c>
      <c r="F138" s="277"/>
      <c r="G138" s="3"/>
      <c r="H138" s="47">
        <v>0.33333333333333331</v>
      </c>
      <c r="I138" s="47">
        <v>0.20833333333333334</v>
      </c>
      <c r="J138" s="19">
        <v>8</v>
      </c>
      <c r="K138" s="277"/>
      <c r="L138" s="3"/>
      <c r="M138" s="47">
        <v>0.33333333333333331</v>
      </c>
      <c r="N138" s="47">
        <v>0.20833333333333334</v>
      </c>
      <c r="O138" s="19">
        <v>8</v>
      </c>
      <c r="P138" s="277"/>
      <c r="Q138" s="3"/>
      <c r="R138" s="47">
        <v>0.29166666666666669</v>
      </c>
      <c r="S138" s="47">
        <v>0.20833333333333334</v>
      </c>
      <c r="T138" s="19">
        <v>8</v>
      </c>
      <c r="U138" s="277">
        <v>1</v>
      </c>
      <c r="V138" s="3"/>
      <c r="W138" s="47">
        <v>0.33333333333333331</v>
      </c>
      <c r="X138" s="47">
        <v>0.20833333333333334</v>
      </c>
      <c r="Y138" s="19">
        <v>8</v>
      </c>
      <c r="Z138" s="277">
        <v>0.5</v>
      </c>
      <c r="AA138" s="29">
        <f t="shared" ref="AA138:AA147" si="12">(E138+J138+O138+T138+Y138)</f>
        <v>32</v>
      </c>
      <c r="AB138" s="282">
        <f>Z138+U138+P138+K138+F138</f>
        <v>1.5</v>
      </c>
      <c r="AC138" s="3"/>
      <c r="AD138" s="4">
        <v>0</v>
      </c>
      <c r="AE138" s="4">
        <v>0</v>
      </c>
      <c r="AF138" s="19">
        <v>0</v>
      </c>
      <c r="AG138" s="29">
        <f t="shared" ref="AG138:AG148" si="13">AF138</f>
        <v>0</v>
      </c>
      <c r="AH138" s="4"/>
      <c r="AI138" s="254"/>
      <c r="AK138" s="188" t="s">
        <v>30</v>
      </c>
      <c r="AL138" s="196">
        <f>AB149</f>
        <v>6.25</v>
      </c>
      <c r="AM138" s="187"/>
      <c r="AN138" s="187"/>
      <c r="AO138" s="187"/>
      <c r="AP138" s="187"/>
    </row>
    <row r="139" spans="1:42" s="1" customFormat="1" ht="14.25">
      <c r="B139" s="13" t="s">
        <v>131</v>
      </c>
      <c r="C139" s="47">
        <v>0.33333333333333331</v>
      </c>
      <c r="D139" s="47">
        <v>0.20833333333333334</v>
      </c>
      <c r="E139" s="19">
        <v>8</v>
      </c>
      <c r="F139" s="277">
        <v>1</v>
      </c>
      <c r="G139" s="3"/>
      <c r="H139" s="47">
        <v>0.33333333333333331</v>
      </c>
      <c r="I139" s="47">
        <v>0.20833333333333334</v>
      </c>
      <c r="J139" s="19">
        <v>8</v>
      </c>
      <c r="K139" s="277"/>
      <c r="L139" s="3"/>
      <c r="M139" s="4">
        <v>0</v>
      </c>
      <c r="N139" s="4">
        <v>0</v>
      </c>
      <c r="O139" s="19">
        <v>0</v>
      </c>
      <c r="P139" s="277"/>
      <c r="Q139" s="3"/>
      <c r="R139" s="4">
        <v>0</v>
      </c>
      <c r="S139" s="4">
        <v>0</v>
      </c>
      <c r="T139" s="19">
        <v>0</v>
      </c>
      <c r="U139" s="277"/>
      <c r="V139" s="3"/>
      <c r="W139" s="4">
        <v>0</v>
      </c>
      <c r="X139" s="4">
        <v>0</v>
      </c>
      <c r="Y139" s="19">
        <v>0</v>
      </c>
      <c r="Z139" s="277"/>
      <c r="AA139" s="29">
        <f t="shared" si="12"/>
        <v>16</v>
      </c>
      <c r="AB139" s="282">
        <f t="shared" ref="AB139:AB146" si="14">Z139+U139+P139+K139+F139</f>
        <v>1</v>
      </c>
      <c r="AC139" s="3"/>
      <c r="AD139" s="4">
        <v>0</v>
      </c>
      <c r="AE139" s="4">
        <v>0</v>
      </c>
      <c r="AF139" s="19">
        <v>0</v>
      </c>
      <c r="AG139" s="29">
        <f t="shared" si="13"/>
        <v>0</v>
      </c>
      <c r="AH139" s="4"/>
      <c r="AI139" s="252"/>
      <c r="AK139" s="188" t="s">
        <v>32</v>
      </c>
      <c r="AL139" s="190">
        <f>AG149</f>
        <v>0</v>
      </c>
      <c r="AM139" s="187"/>
      <c r="AN139" s="187"/>
      <c r="AO139" s="187"/>
      <c r="AP139" s="187"/>
    </row>
    <row r="140" spans="1:42" s="1" customFormat="1" ht="14.25">
      <c r="B140" s="13" t="s">
        <v>132</v>
      </c>
      <c r="C140" s="61" t="s">
        <v>151</v>
      </c>
      <c r="D140" s="47" t="s">
        <v>151</v>
      </c>
      <c r="E140" s="19">
        <v>0</v>
      </c>
      <c r="F140" s="277"/>
      <c r="G140" s="3"/>
      <c r="H140" s="47">
        <v>0.33333333333333331</v>
      </c>
      <c r="I140" s="47">
        <v>0.20833333333333334</v>
      </c>
      <c r="J140" s="19">
        <v>8</v>
      </c>
      <c r="K140" s="277"/>
      <c r="L140" s="3"/>
      <c r="M140" s="47">
        <v>0.33333333333333331</v>
      </c>
      <c r="N140" s="47">
        <v>0.20833333333333334</v>
      </c>
      <c r="O140" s="19">
        <v>8</v>
      </c>
      <c r="P140" s="277"/>
      <c r="Q140" s="3"/>
      <c r="R140" s="4">
        <v>0</v>
      </c>
      <c r="S140" s="4">
        <v>0</v>
      </c>
      <c r="T140" s="19">
        <v>0</v>
      </c>
      <c r="U140" s="277"/>
      <c r="V140" s="3"/>
      <c r="W140" s="4">
        <v>0</v>
      </c>
      <c r="X140" s="4">
        <v>0</v>
      </c>
      <c r="Y140" s="19">
        <v>0</v>
      </c>
      <c r="Z140" s="277"/>
      <c r="AA140" s="29">
        <f t="shared" si="12"/>
        <v>16</v>
      </c>
      <c r="AB140" s="282">
        <f t="shared" si="14"/>
        <v>0</v>
      </c>
      <c r="AC140" s="3"/>
      <c r="AD140" s="4">
        <v>0</v>
      </c>
      <c r="AE140" s="4">
        <v>0</v>
      </c>
      <c r="AF140" s="19">
        <v>0</v>
      </c>
      <c r="AG140" s="29">
        <f t="shared" si="13"/>
        <v>0</v>
      </c>
      <c r="AH140" s="4"/>
      <c r="AI140" s="255"/>
      <c r="AK140" s="188" t="s">
        <v>34</v>
      </c>
      <c r="AL140" s="200">
        <f>AA154</f>
        <v>114.9</v>
      </c>
      <c r="AM140" s="187"/>
      <c r="AN140" s="187"/>
      <c r="AO140" s="187"/>
      <c r="AP140" s="187"/>
    </row>
    <row r="141" spans="1:42" s="1" customFormat="1" ht="14.25">
      <c r="B141" s="13" t="s">
        <v>35</v>
      </c>
      <c r="C141" s="47">
        <v>0.36458333333333331</v>
      </c>
      <c r="D141" s="47">
        <v>0.20833333333333334</v>
      </c>
      <c r="E141" s="19">
        <v>8</v>
      </c>
      <c r="F141" s="277">
        <v>0.25</v>
      </c>
      <c r="G141" s="3"/>
      <c r="H141" s="47">
        <v>0.33333333333333331</v>
      </c>
      <c r="I141" s="47">
        <v>0.20833333333333334</v>
      </c>
      <c r="J141" s="19">
        <v>8</v>
      </c>
      <c r="K141" s="277"/>
      <c r="L141" s="3"/>
      <c r="M141" s="4">
        <v>0</v>
      </c>
      <c r="N141" s="4">
        <v>0</v>
      </c>
      <c r="O141" s="19">
        <v>0</v>
      </c>
      <c r="P141" s="277"/>
      <c r="Q141" s="3"/>
      <c r="R141" s="47">
        <v>0.375</v>
      </c>
      <c r="S141" s="47">
        <v>0.20833333333333334</v>
      </c>
      <c r="T141" s="19">
        <v>7</v>
      </c>
      <c r="U141" s="277"/>
      <c r="V141" s="3"/>
      <c r="W141" s="47">
        <v>0.33333333333333331</v>
      </c>
      <c r="X141" s="47">
        <v>0.20833333333333334</v>
      </c>
      <c r="Y141" s="19">
        <v>8</v>
      </c>
      <c r="Z141" s="277">
        <v>0.5</v>
      </c>
      <c r="AA141" s="29">
        <f t="shared" si="12"/>
        <v>31</v>
      </c>
      <c r="AB141" s="282">
        <f t="shared" si="14"/>
        <v>0.75</v>
      </c>
      <c r="AC141" s="3"/>
      <c r="AD141" s="4">
        <v>0</v>
      </c>
      <c r="AE141" s="4">
        <v>0</v>
      </c>
      <c r="AF141" s="19">
        <v>0</v>
      </c>
      <c r="AG141" s="29">
        <f t="shared" si="13"/>
        <v>0</v>
      </c>
      <c r="AH141" s="4"/>
      <c r="AI141" s="255"/>
      <c r="AK141" s="188" t="s">
        <v>38</v>
      </c>
      <c r="AL141" s="190">
        <f>AB154</f>
        <v>17</v>
      </c>
      <c r="AM141" s="187"/>
      <c r="AN141" s="187"/>
      <c r="AO141" s="187"/>
      <c r="AP141" s="187"/>
    </row>
    <row r="142" spans="1:42" s="1" customFormat="1" ht="14.25">
      <c r="B142" s="13" t="s">
        <v>37</v>
      </c>
      <c r="C142" s="47">
        <v>0.33333333333333331</v>
      </c>
      <c r="D142" s="47">
        <v>0.20833333333333334</v>
      </c>
      <c r="E142" s="19">
        <v>8</v>
      </c>
      <c r="F142" s="277">
        <v>1</v>
      </c>
      <c r="G142" s="3"/>
      <c r="H142" s="47">
        <v>0.33333333333333331</v>
      </c>
      <c r="I142" s="47">
        <v>0.20833333333333334</v>
      </c>
      <c r="J142" s="19">
        <v>8</v>
      </c>
      <c r="K142" s="277"/>
      <c r="L142" s="3"/>
      <c r="M142" s="4">
        <v>0</v>
      </c>
      <c r="N142" s="4">
        <v>0</v>
      </c>
      <c r="O142" s="19">
        <v>0</v>
      </c>
      <c r="P142" s="277"/>
      <c r="Q142" s="3"/>
      <c r="R142" s="47">
        <v>0.33333333333333331</v>
      </c>
      <c r="S142" s="47">
        <v>0.20833333333333334</v>
      </c>
      <c r="T142" s="19">
        <v>8</v>
      </c>
      <c r="U142" s="277"/>
      <c r="V142" s="3"/>
      <c r="W142" s="47">
        <v>0.33333333333333331</v>
      </c>
      <c r="X142" s="47">
        <v>0.20833333333333334</v>
      </c>
      <c r="Y142" s="19">
        <v>8</v>
      </c>
      <c r="Z142" s="277">
        <v>0.5</v>
      </c>
      <c r="AA142" s="29">
        <f>(E142+J142+O142+T142+Y142)</f>
        <v>32</v>
      </c>
      <c r="AB142" s="282">
        <f t="shared" si="14"/>
        <v>1.5</v>
      </c>
      <c r="AC142" s="3"/>
      <c r="AD142" s="4">
        <v>0</v>
      </c>
      <c r="AE142" s="4">
        <v>0</v>
      </c>
      <c r="AF142" s="19">
        <v>0</v>
      </c>
      <c r="AG142" s="29">
        <f t="shared" si="13"/>
        <v>0</v>
      </c>
      <c r="AH142" s="4"/>
      <c r="AI142" s="255"/>
      <c r="AK142" s="188" t="s">
        <v>41</v>
      </c>
      <c r="AL142" s="189">
        <f>C155</f>
        <v>44</v>
      </c>
      <c r="AM142" s="187"/>
      <c r="AN142" s="187"/>
      <c r="AO142" s="187"/>
      <c r="AP142" s="187"/>
    </row>
    <row r="143" spans="1:42" s="1" customFormat="1" ht="14.25">
      <c r="B143" s="171" t="s">
        <v>141</v>
      </c>
      <c r="C143" s="47">
        <v>0.33333333333333331</v>
      </c>
      <c r="D143" s="47">
        <v>0.20833333333333334</v>
      </c>
      <c r="E143" s="19">
        <v>8</v>
      </c>
      <c r="F143" s="277">
        <v>1</v>
      </c>
      <c r="G143" s="3"/>
      <c r="H143" s="47">
        <v>0.33333333333333331</v>
      </c>
      <c r="I143" s="47">
        <v>0.20833333333333334</v>
      </c>
      <c r="J143" s="19">
        <v>8</v>
      </c>
      <c r="K143" s="277"/>
      <c r="L143" s="3"/>
      <c r="M143" s="47">
        <v>0.33333333333333331</v>
      </c>
      <c r="N143" s="47">
        <v>0.20833333333333334</v>
      </c>
      <c r="O143" s="19">
        <v>8</v>
      </c>
      <c r="P143" s="277"/>
      <c r="Q143" s="3"/>
      <c r="R143" s="47">
        <v>0.33333333333333331</v>
      </c>
      <c r="S143" s="47">
        <v>0.20833333333333334</v>
      </c>
      <c r="T143" s="19">
        <v>8</v>
      </c>
      <c r="U143" s="277"/>
      <c r="V143" s="3"/>
      <c r="W143" s="47">
        <v>0.33333333333333331</v>
      </c>
      <c r="X143" s="47">
        <v>0.20833333333333334</v>
      </c>
      <c r="Y143" s="19">
        <v>8</v>
      </c>
      <c r="Z143" s="277">
        <v>0.5</v>
      </c>
      <c r="AA143" s="29">
        <f t="shared" si="12"/>
        <v>40</v>
      </c>
      <c r="AB143" s="282">
        <f t="shared" si="14"/>
        <v>1.5</v>
      </c>
      <c r="AC143" s="3"/>
      <c r="AD143" s="4">
        <v>0</v>
      </c>
      <c r="AE143" s="4">
        <v>0</v>
      </c>
      <c r="AF143" s="19">
        <v>0</v>
      </c>
      <c r="AG143" s="29">
        <f t="shared" si="13"/>
        <v>0</v>
      </c>
      <c r="AH143" s="4"/>
      <c r="AI143" s="255"/>
      <c r="AK143" s="187"/>
      <c r="AL143" s="187"/>
      <c r="AM143" s="187"/>
      <c r="AN143" s="187"/>
      <c r="AO143" s="187"/>
      <c r="AP143" s="187"/>
    </row>
    <row r="144" spans="1:42" s="1" customFormat="1" ht="14.25">
      <c r="B144" s="171" t="s">
        <v>142</v>
      </c>
      <c r="C144" s="61">
        <v>0.41666666666666669</v>
      </c>
      <c r="D144" s="47">
        <v>0.20833333333333334</v>
      </c>
      <c r="E144" s="19">
        <v>7</v>
      </c>
      <c r="F144" s="277"/>
      <c r="G144" s="3"/>
      <c r="H144" s="4">
        <v>0</v>
      </c>
      <c r="I144" s="4">
        <v>0</v>
      </c>
      <c r="J144" s="19">
        <v>0</v>
      </c>
      <c r="K144" s="277"/>
      <c r="L144" s="3"/>
      <c r="M144" s="4">
        <v>0</v>
      </c>
      <c r="N144" s="4">
        <v>0</v>
      </c>
      <c r="O144" s="19">
        <v>0</v>
      </c>
      <c r="P144" s="277"/>
      <c r="Q144" s="3"/>
      <c r="R144" s="4">
        <v>0</v>
      </c>
      <c r="S144" s="4">
        <v>0</v>
      </c>
      <c r="T144" s="19">
        <v>0</v>
      </c>
      <c r="U144" s="277"/>
      <c r="V144" s="3"/>
      <c r="W144" s="47">
        <v>0.40625</v>
      </c>
      <c r="X144" s="47">
        <v>0.20833333333333334</v>
      </c>
      <c r="Y144" s="19">
        <v>7.25</v>
      </c>
      <c r="Z144" s="277"/>
      <c r="AA144" s="29">
        <f t="shared" si="12"/>
        <v>14.25</v>
      </c>
      <c r="AB144" s="282"/>
      <c r="AC144" s="3"/>
      <c r="AD144" s="4">
        <v>0</v>
      </c>
      <c r="AE144" s="4">
        <v>0</v>
      </c>
      <c r="AF144" s="19">
        <v>0</v>
      </c>
      <c r="AG144" s="29">
        <f t="shared" si="13"/>
        <v>0</v>
      </c>
      <c r="AH144" s="4"/>
      <c r="AI144" s="255"/>
      <c r="AK144" s="187"/>
      <c r="AL144" s="187"/>
      <c r="AM144" s="187"/>
      <c r="AN144" s="187"/>
      <c r="AO144" s="187"/>
      <c r="AP144" s="187"/>
    </row>
    <row r="145" spans="1:42" s="1" customFormat="1" ht="14.25">
      <c r="B145" s="13" t="s">
        <v>55</v>
      </c>
      <c r="C145" s="4">
        <v>0</v>
      </c>
      <c r="D145" s="4">
        <v>0</v>
      </c>
      <c r="E145" s="19">
        <v>0</v>
      </c>
      <c r="F145" s="277"/>
      <c r="G145" s="3"/>
      <c r="H145" s="4">
        <v>0</v>
      </c>
      <c r="I145" s="4">
        <v>0</v>
      </c>
      <c r="J145" s="19">
        <v>0</v>
      </c>
      <c r="K145" s="277"/>
      <c r="L145" s="3"/>
      <c r="M145" s="4">
        <v>0</v>
      </c>
      <c r="N145" s="4">
        <v>0</v>
      </c>
      <c r="O145" s="19">
        <v>0</v>
      </c>
      <c r="P145" s="277"/>
      <c r="Q145" s="3"/>
      <c r="R145" s="4">
        <v>0</v>
      </c>
      <c r="S145" s="4">
        <v>0</v>
      </c>
      <c r="T145" s="19">
        <v>0</v>
      </c>
      <c r="U145" s="277"/>
      <c r="V145" s="3"/>
      <c r="W145" s="4">
        <v>0</v>
      </c>
      <c r="X145" s="4">
        <v>0</v>
      </c>
      <c r="Y145" s="19">
        <v>0</v>
      </c>
      <c r="Z145" s="277"/>
      <c r="AA145" s="29">
        <f t="shared" si="12"/>
        <v>0</v>
      </c>
      <c r="AB145" s="282"/>
      <c r="AC145" s="3"/>
      <c r="AD145" s="4">
        <v>0</v>
      </c>
      <c r="AE145" s="4">
        <v>0</v>
      </c>
      <c r="AF145" s="19">
        <v>0</v>
      </c>
      <c r="AG145" s="29">
        <f t="shared" si="13"/>
        <v>0</v>
      </c>
      <c r="AH145" s="4"/>
      <c r="AI145" s="255"/>
      <c r="AK145" s="187"/>
      <c r="AL145" s="187"/>
      <c r="AM145" s="187"/>
      <c r="AN145" s="187"/>
      <c r="AO145" s="187"/>
      <c r="AP145" s="187"/>
    </row>
    <row r="146" spans="1:42" s="1" customFormat="1" ht="14.25">
      <c r="B146" s="171" t="s">
        <v>31</v>
      </c>
      <c r="C146" s="4">
        <v>0</v>
      </c>
      <c r="D146" s="4">
        <v>0</v>
      </c>
      <c r="E146" s="19">
        <v>0</v>
      </c>
      <c r="F146" s="277"/>
      <c r="G146" s="3"/>
      <c r="H146" s="47">
        <v>0.33333333333333331</v>
      </c>
      <c r="I146" s="47">
        <v>0.20833333333333334</v>
      </c>
      <c r="J146" s="19">
        <v>8</v>
      </c>
      <c r="K146" s="277"/>
      <c r="L146" s="3"/>
      <c r="M146" s="4">
        <v>0</v>
      </c>
      <c r="N146" s="4">
        <v>0</v>
      </c>
      <c r="O146" s="19">
        <v>0</v>
      </c>
      <c r="P146" s="277"/>
      <c r="Q146" s="3"/>
      <c r="R146" s="47">
        <v>0.33333333333333331</v>
      </c>
      <c r="S146" s="47">
        <v>0.20833333333333334</v>
      </c>
      <c r="T146" s="19">
        <v>8</v>
      </c>
      <c r="U146" s="277"/>
      <c r="V146" s="3"/>
      <c r="W146" s="47">
        <v>0.33333333333333331</v>
      </c>
      <c r="X146" s="47">
        <v>0.20833333333333334</v>
      </c>
      <c r="Y146" s="19">
        <v>8</v>
      </c>
      <c r="Z146" s="277"/>
      <c r="AA146" s="29">
        <f t="shared" si="12"/>
        <v>24</v>
      </c>
      <c r="AB146" s="282">
        <f t="shared" si="14"/>
        <v>0</v>
      </c>
      <c r="AC146" s="3"/>
      <c r="AD146" s="4">
        <v>0</v>
      </c>
      <c r="AE146" s="4">
        <v>0</v>
      </c>
      <c r="AF146" s="19">
        <v>0</v>
      </c>
      <c r="AG146" s="29">
        <f t="shared" si="13"/>
        <v>0</v>
      </c>
      <c r="AH146" s="37"/>
      <c r="AI146" s="256"/>
      <c r="AK146" s="187"/>
      <c r="AL146" s="187"/>
      <c r="AM146" s="187"/>
      <c r="AN146" s="187"/>
      <c r="AO146" s="187"/>
      <c r="AP146" s="187"/>
    </row>
    <row r="147" spans="1:42" s="1" customFormat="1" ht="14.25">
      <c r="B147" s="13" t="s">
        <v>39</v>
      </c>
      <c r="C147" s="16" t="s">
        <v>29</v>
      </c>
      <c r="D147" s="16" t="s">
        <v>29</v>
      </c>
      <c r="E147" s="178">
        <v>8</v>
      </c>
      <c r="F147" s="277"/>
      <c r="G147" s="3"/>
      <c r="H147" s="47">
        <v>0.33333333333333331</v>
      </c>
      <c r="I147" s="47">
        <v>0.20833333333333334</v>
      </c>
      <c r="J147" s="19">
        <v>8</v>
      </c>
      <c r="K147" s="277"/>
      <c r="L147" s="3"/>
      <c r="M147" s="4">
        <v>0</v>
      </c>
      <c r="N147" s="4">
        <v>0</v>
      </c>
      <c r="O147" s="19">
        <v>0</v>
      </c>
      <c r="P147" s="277"/>
      <c r="Q147" s="3"/>
      <c r="R147" s="47">
        <v>0.39583333333333331</v>
      </c>
      <c r="S147" s="47">
        <v>0.20833333333333334</v>
      </c>
      <c r="T147" s="19">
        <v>8</v>
      </c>
      <c r="U147" s="277"/>
      <c r="V147" s="3"/>
      <c r="W147" s="4">
        <v>0</v>
      </c>
      <c r="X147" s="4">
        <v>0</v>
      </c>
      <c r="Y147" s="19">
        <v>8</v>
      </c>
      <c r="Z147" s="277"/>
      <c r="AA147" s="29">
        <f t="shared" si="12"/>
        <v>32</v>
      </c>
      <c r="AB147" s="282"/>
      <c r="AC147" s="3"/>
      <c r="AD147" s="4">
        <v>0</v>
      </c>
      <c r="AE147" s="4">
        <v>0</v>
      </c>
      <c r="AF147" s="19">
        <v>0</v>
      </c>
      <c r="AG147" s="29">
        <f t="shared" si="13"/>
        <v>0</v>
      </c>
      <c r="AH147" s="3"/>
      <c r="AI147" s="227"/>
      <c r="AK147" s="187"/>
      <c r="AL147" s="187"/>
      <c r="AM147" s="187"/>
      <c r="AN147" s="187"/>
      <c r="AO147" s="187"/>
      <c r="AP147" s="187"/>
    </row>
    <row r="148" spans="1:42" s="1" customFormat="1" ht="14.25">
      <c r="B148" s="138" t="s">
        <v>147</v>
      </c>
      <c r="C148" s="16" t="s">
        <v>29</v>
      </c>
      <c r="D148" s="16" t="s">
        <v>29</v>
      </c>
      <c r="E148" s="178">
        <v>8</v>
      </c>
      <c r="F148" s="277"/>
      <c r="G148" s="3"/>
      <c r="H148" s="16" t="s">
        <v>29</v>
      </c>
      <c r="I148" s="16" t="s">
        <v>29</v>
      </c>
      <c r="J148" s="179">
        <v>6</v>
      </c>
      <c r="K148" s="277"/>
      <c r="L148" s="3"/>
      <c r="M148" s="16" t="s">
        <v>29</v>
      </c>
      <c r="N148" s="16" t="s">
        <v>29</v>
      </c>
      <c r="O148" s="179">
        <v>6</v>
      </c>
      <c r="P148" s="277"/>
      <c r="Q148" s="3"/>
      <c r="R148" s="16" t="s">
        <v>29</v>
      </c>
      <c r="S148" s="16" t="s">
        <v>29</v>
      </c>
      <c r="T148" s="179">
        <v>6</v>
      </c>
      <c r="U148" s="277"/>
      <c r="V148" s="3"/>
      <c r="W148" s="16" t="s">
        <v>29</v>
      </c>
      <c r="X148" s="16" t="s">
        <v>29</v>
      </c>
      <c r="Y148" s="179">
        <v>6</v>
      </c>
      <c r="Z148" s="277"/>
      <c r="AA148" s="29">
        <f>(E148+J148+O148+T148+Y148)</f>
        <v>32</v>
      </c>
      <c r="AB148" s="282"/>
      <c r="AC148" s="3"/>
      <c r="AD148" s="4">
        <v>0</v>
      </c>
      <c r="AE148" s="4">
        <v>0</v>
      </c>
      <c r="AF148" s="19">
        <v>0</v>
      </c>
      <c r="AG148" s="29">
        <f t="shared" si="13"/>
        <v>0</v>
      </c>
      <c r="AH148" s="3"/>
      <c r="AI148" s="227"/>
      <c r="AK148" s="187"/>
      <c r="AL148" s="187"/>
      <c r="AM148" s="187"/>
      <c r="AN148" s="187"/>
      <c r="AO148" s="187"/>
      <c r="AP148" s="187"/>
    </row>
    <row r="149" spans="1:42" s="1" customFormat="1">
      <c r="B149" s="64" t="s">
        <v>61</v>
      </c>
      <c r="C149" s="64"/>
      <c r="D149" s="64"/>
      <c r="E149" s="167">
        <v>55</v>
      </c>
      <c r="F149" s="277">
        <f>SUM(F138:F148)</f>
        <v>3.25</v>
      </c>
      <c r="G149" s="3"/>
      <c r="H149" s="167"/>
      <c r="I149" s="167"/>
      <c r="J149" s="167">
        <f>SUM(J138:J148)</f>
        <v>70</v>
      </c>
      <c r="K149" s="277">
        <f>SUM(K138:K148)</f>
        <v>0</v>
      </c>
      <c r="L149" s="3"/>
      <c r="M149" s="167"/>
      <c r="N149" s="167"/>
      <c r="O149" s="167">
        <f>SUM(O138:O148)</f>
        <v>30</v>
      </c>
      <c r="P149" s="277">
        <f>SUM(P138:P148)</f>
        <v>0</v>
      </c>
      <c r="Q149" s="3"/>
      <c r="R149" s="167"/>
      <c r="S149" s="167"/>
      <c r="T149" s="167">
        <f>SUM(T138:T148)</f>
        <v>53</v>
      </c>
      <c r="U149" s="277">
        <f>SUM(U138:U148)</f>
        <v>1</v>
      </c>
      <c r="V149" s="3"/>
      <c r="W149" s="167"/>
      <c r="X149" s="167"/>
      <c r="Y149" s="167">
        <f>SUM(Y138:Y148)</f>
        <v>61.25</v>
      </c>
      <c r="Z149" s="277">
        <f>SUM(Z138:Z148)</f>
        <v>2</v>
      </c>
      <c r="AA149" s="247">
        <f>SUM(AA138:AA148)</f>
        <v>269.25</v>
      </c>
      <c r="AB149" s="293">
        <f>SUM(AB138:AB148)</f>
        <v>6.25</v>
      </c>
      <c r="AC149" s="3"/>
      <c r="AD149" s="64"/>
      <c r="AE149" s="64"/>
      <c r="AF149" s="64"/>
      <c r="AG149" s="249">
        <f>SUM(AG138:AG145)</f>
        <v>0</v>
      </c>
      <c r="AH149" s="3"/>
      <c r="AI149" s="227"/>
      <c r="AK149" s="187"/>
      <c r="AL149" s="187"/>
      <c r="AM149" s="187"/>
      <c r="AN149" s="187"/>
      <c r="AO149" s="187"/>
      <c r="AP149" s="187"/>
    </row>
    <row r="150" spans="1:42" s="1" customFormat="1">
      <c r="B150" s="63" t="s">
        <v>146</v>
      </c>
      <c r="C150" s="56"/>
      <c r="D150" s="56"/>
      <c r="E150" s="143">
        <v>8</v>
      </c>
      <c r="F150" s="291">
        <v>2</v>
      </c>
      <c r="G150" s="3"/>
      <c r="H150" s="56"/>
      <c r="I150" s="56"/>
      <c r="J150" s="143">
        <v>8</v>
      </c>
      <c r="K150" s="291">
        <v>3.5</v>
      </c>
      <c r="L150" s="3"/>
      <c r="M150" s="56"/>
      <c r="N150" s="56"/>
      <c r="O150" s="143">
        <v>8</v>
      </c>
      <c r="P150" s="291">
        <v>3.5</v>
      </c>
      <c r="Q150" s="3"/>
      <c r="R150" s="56"/>
      <c r="S150" s="56"/>
      <c r="T150" s="143">
        <v>8</v>
      </c>
      <c r="U150" s="291">
        <v>3.5</v>
      </c>
      <c r="V150" s="3"/>
      <c r="W150" s="56"/>
      <c r="X150" s="56"/>
      <c r="Y150" s="143">
        <v>8</v>
      </c>
      <c r="Z150" s="291">
        <v>3.5</v>
      </c>
      <c r="AA150" s="300">
        <f>SUM(E150:Y150)</f>
        <v>52.5</v>
      </c>
      <c r="AB150" s="282">
        <f>Z150+U150+P150+K150+F150</f>
        <v>16</v>
      </c>
      <c r="AC150" s="3"/>
      <c r="AD150" s="56"/>
      <c r="AE150" s="56"/>
      <c r="AF150" s="19"/>
      <c r="AG150" s="55">
        <v>0</v>
      </c>
      <c r="AH150" s="3"/>
      <c r="AI150" s="227"/>
      <c r="AK150" s="187"/>
      <c r="AL150" s="187"/>
      <c r="AM150" s="187"/>
      <c r="AN150" s="187"/>
      <c r="AO150" s="187"/>
      <c r="AP150" s="187"/>
    </row>
    <row r="151" spans="1:42" s="1" customFormat="1">
      <c r="B151" s="63" t="s">
        <v>63</v>
      </c>
      <c r="C151" s="56"/>
      <c r="D151" s="56"/>
      <c r="E151" s="19">
        <v>4</v>
      </c>
      <c r="F151" s="291">
        <v>0</v>
      </c>
      <c r="G151" s="60"/>
      <c r="H151" s="56"/>
      <c r="I151" s="56"/>
      <c r="J151" s="19">
        <v>4</v>
      </c>
      <c r="K151" s="291">
        <v>0</v>
      </c>
      <c r="L151" s="60"/>
      <c r="M151" s="56"/>
      <c r="N151" s="56"/>
      <c r="O151" s="19">
        <v>4</v>
      </c>
      <c r="P151" s="291">
        <v>0</v>
      </c>
      <c r="Q151" s="60"/>
      <c r="R151" s="56"/>
      <c r="S151" s="56"/>
      <c r="T151" s="19">
        <v>6</v>
      </c>
      <c r="U151" s="291">
        <v>0</v>
      </c>
      <c r="V151" s="60"/>
      <c r="W151" s="56"/>
      <c r="X151" s="56"/>
      <c r="Y151" s="19">
        <v>5</v>
      </c>
      <c r="Z151" s="291">
        <v>0</v>
      </c>
      <c r="AA151" s="301">
        <f>SUM(E151:Y151)</f>
        <v>23</v>
      </c>
      <c r="AB151" s="282">
        <f t="shared" ref="AB151:AB153" si="15">Z151+U151+P151+K151+F151</f>
        <v>0</v>
      </c>
      <c r="AC151" s="3"/>
      <c r="AD151" s="56"/>
      <c r="AE151" s="56"/>
      <c r="AF151" s="19"/>
      <c r="AG151" s="29">
        <f>AF151</f>
        <v>0</v>
      </c>
      <c r="AH151" s="3"/>
      <c r="AI151" s="227"/>
      <c r="AK151" s="187"/>
      <c r="AL151" s="187"/>
      <c r="AM151" s="187"/>
      <c r="AN151" s="187"/>
      <c r="AO151" s="187"/>
      <c r="AP151" s="187"/>
    </row>
    <row r="152" spans="1:42" s="1" customFormat="1">
      <c r="B152" s="267" t="s">
        <v>64</v>
      </c>
      <c r="C152" s="56"/>
      <c r="D152" s="56"/>
      <c r="E152" s="19">
        <v>6</v>
      </c>
      <c r="F152" s="291">
        <v>0</v>
      </c>
      <c r="G152" s="60"/>
      <c r="H152" s="56"/>
      <c r="I152" s="56"/>
      <c r="J152" s="19">
        <f>6+(1.25*1.5)</f>
        <v>7.875</v>
      </c>
      <c r="K152" s="291">
        <v>0</v>
      </c>
      <c r="L152" s="60"/>
      <c r="M152" s="56"/>
      <c r="N152" s="56"/>
      <c r="O152" s="19">
        <f>6+(1.25*1.5)</f>
        <v>7.875</v>
      </c>
      <c r="P152" s="291"/>
      <c r="Q152" s="60"/>
      <c r="R152" s="56"/>
      <c r="S152" s="56"/>
      <c r="T152" s="143">
        <f>6+(1*1.5)</f>
        <v>7.5</v>
      </c>
      <c r="U152" s="291">
        <v>0</v>
      </c>
      <c r="V152" s="60"/>
      <c r="W152" s="56"/>
      <c r="X152" s="56"/>
      <c r="Y152" s="19">
        <f>6*(0.85*1.5)</f>
        <v>7.6499999999999995</v>
      </c>
      <c r="Z152" s="291">
        <v>1</v>
      </c>
      <c r="AA152" s="300">
        <f>SUM(E152:Y152)</f>
        <v>36.9</v>
      </c>
      <c r="AB152" s="282">
        <f t="shared" si="15"/>
        <v>1</v>
      </c>
      <c r="AC152" s="3"/>
      <c r="AD152" s="56"/>
      <c r="AE152" s="56"/>
      <c r="AF152" s="19"/>
      <c r="AG152" s="29">
        <f>AF152</f>
        <v>0</v>
      </c>
      <c r="AH152" s="3"/>
      <c r="AI152" s="227"/>
      <c r="AK152" s="187"/>
      <c r="AL152" s="187"/>
      <c r="AM152" s="187"/>
      <c r="AN152" s="187"/>
      <c r="AO152" s="187"/>
      <c r="AP152" s="187"/>
    </row>
    <row r="153" spans="1:42" s="1" customFormat="1" ht="14.25" thickBot="1">
      <c r="B153" s="268" t="s">
        <v>65</v>
      </c>
      <c r="C153" s="75"/>
      <c r="D153" s="75"/>
      <c r="E153" s="77">
        <v>3</v>
      </c>
      <c r="F153" s="292">
        <v>0</v>
      </c>
      <c r="G153" s="81"/>
      <c r="H153" s="75"/>
      <c r="I153" s="75"/>
      <c r="J153" s="77">
        <v>3</v>
      </c>
      <c r="K153" s="292">
        <v>0</v>
      </c>
      <c r="L153" s="81"/>
      <c r="M153" s="75"/>
      <c r="N153" s="75"/>
      <c r="O153" s="77">
        <v>3</v>
      </c>
      <c r="P153" s="292">
        <v>0</v>
      </c>
      <c r="Q153" s="81"/>
      <c r="R153" s="75"/>
      <c r="S153" s="75"/>
      <c r="T153" s="77">
        <v>3</v>
      </c>
      <c r="U153" s="292">
        <v>0</v>
      </c>
      <c r="V153" s="81"/>
      <c r="W153" s="75"/>
      <c r="X153" s="75"/>
      <c r="Y153" s="77">
        <v>3</v>
      </c>
      <c r="Z153" s="292">
        <v>0</v>
      </c>
      <c r="AA153" s="302">
        <f>SUM(E153:Y153)</f>
        <v>15</v>
      </c>
      <c r="AB153" s="287">
        <f t="shared" si="15"/>
        <v>0</v>
      </c>
      <c r="AC153" s="3"/>
      <c r="AD153" s="75"/>
      <c r="AE153" s="75"/>
      <c r="AF153" s="77"/>
      <c r="AG153" s="80">
        <v>0</v>
      </c>
      <c r="AH153" s="3"/>
      <c r="AI153" s="227"/>
      <c r="AK153" s="187"/>
      <c r="AL153" s="187"/>
      <c r="AM153" s="187"/>
      <c r="AN153" s="187"/>
      <c r="AO153" s="187"/>
      <c r="AP153" s="187"/>
    </row>
    <row r="154" spans="1:42" s="187" customFormat="1" ht="13.5" customHeight="1" thickTop="1">
      <c r="A154" s="224"/>
      <c r="B154" s="214" t="s">
        <v>66</v>
      </c>
      <c r="C154" s="215"/>
      <c r="D154" s="215"/>
      <c r="E154" s="214">
        <f>SUM(E150:E153)</f>
        <v>21</v>
      </c>
      <c r="F154" s="214"/>
      <c r="G154" s="215"/>
      <c r="H154" s="214"/>
      <c r="I154" s="214"/>
      <c r="J154" s="214">
        <f>SUM(J150:J153)</f>
        <v>22.875</v>
      </c>
      <c r="K154" s="214"/>
      <c r="L154" s="215"/>
      <c r="M154" s="215"/>
      <c r="N154" s="215"/>
      <c r="O154" s="214">
        <f>SUM(O150:O153)</f>
        <v>22.875</v>
      </c>
      <c r="P154" s="214"/>
      <c r="Q154" s="214"/>
      <c r="R154" s="214"/>
      <c r="S154" s="214"/>
      <c r="T154" s="214">
        <f>SUM(T150:T153)</f>
        <v>24.5</v>
      </c>
      <c r="U154" s="214"/>
      <c r="V154" s="214"/>
      <c r="W154" s="214"/>
      <c r="X154" s="214"/>
      <c r="Y154" s="214">
        <f>SUM(Y150:Y153)</f>
        <v>23.65</v>
      </c>
      <c r="Z154" s="214"/>
      <c r="AA154" s="248">
        <f>E154+J154+O154+T154+Y154</f>
        <v>114.9</v>
      </c>
      <c r="AB154" s="249">
        <f>SUM(AB150:AB153)</f>
        <v>17</v>
      </c>
      <c r="AC154" s="226"/>
      <c r="AD154" s="241"/>
      <c r="AG154" s="249">
        <f>SUM(AG152:AG153)</f>
        <v>0</v>
      </c>
      <c r="AH154" s="3"/>
      <c r="AI154" s="227"/>
      <c r="AJ154" s="1"/>
    </row>
    <row r="155" spans="1:42" s="1" customFormat="1" ht="13.5" customHeight="1">
      <c r="A155" s="11"/>
      <c r="B155" s="217" t="s">
        <v>67</v>
      </c>
      <c r="C155" s="207">
        <f>C156+C157</f>
        <v>44</v>
      </c>
      <c r="D155" s="208"/>
      <c r="E155" s="209"/>
      <c r="F155" s="209"/>
      <c r="G155" s="208"/>
      <c r="H155" s="209"/>
      <c r="I155" s="209"/>
      <c r="J155" s="209"/>
      <c r="K155" s="209"/>
      <c r="L155" s="208"/>
      <c r="M155" s="208"/>
      <c r="N155" s="208"/>
      <c r="O155" s="208"/>
      <c r="P155" s="209"/>
      <c r="Q155" s="208"/>
      <c r="R155" s="208"/>
      <c r="S155" s="208"/>
      <c r="T155" s="208"/>
      <c r="U155" s="209"/>
      <c r="V155" s="208"/>
      <c r="W155" s="208"/>
      <c r="X155" s="208"/>
      <c r="Y155" s="210"/>
      <c r="Z155" s="209"/>
      <c r="AA155" s="211"/>
      <c r="AB155" s="209"/>
      <c r="AC155" s="211"/>
      <c r="AD155" s="211"/>
      <c r="AE155" s="211"/>
      <c r="AF155" s="211"/>
      <c r="AG155" s="211"/>
      <c r="AH155" s="3"/>
      <c r="AI155" s="227"/>
      <c r="AK155" s="187"/>
      <c r="AL155" s="187"/>
      <c r="AM155" s="187"/>
      <c r="AN155" s="187"/>
      <c r="AO155" s="187"/>
      <c r="AP155" s="187"/>
    </row>
    <row r="156" spans="1:42" s="1" customFormat="1" ht="13.5" customHeight="1">
      <c r="A156" s="11"/>
      <c r="B156" s="238" t="s">
        <v>68</v>
      </c>
      <c r="C156" s="239">
        <v>18</v>
      </c>
      <c r="D156" s="208"/>
      <c r="E156" s="209"/>
      <c r="F156" s="209"/>
      <c r="G156" s="208"/>
      <c r="H156" s="209"/>
      <c r="I156" s="209"/>
      <c r="J156" s="209"/>
      <c r="K156" s="209"/>
      <c r="L156" s="208"/>
      <c r="M156" s="208"/>
      <c r="N156" s="208"/>
      <c r="O156" s="208"/>
      <c r="P156" s="209"/>
      <c r="Q156" s="208"/>
      <c r="R156" s="208"/>
      <c r="S156" s="208"/>
      <c r="T156" s="208"/>
      <c r="U156" s="209"/>
      <c r="V156" s="208"/>
      <c r="W156" s="208"/>
      <c r="X156" s="208"/>
      <c r="Y156" s="210"/>
      <c r="Z156" s="209"/>
      <c r="AA156" s="211"/>
      <c r="AB156" s="209"/>
      <c r="AC156" s="211"/>
      <c r="AD156" s="211"/>
      <c r="AE156" s="211"/>
      <c r="AF156" s="211"/>
      <c r="AG156" s="211"/>
      <c r="AH156" s="3"/>
      <c r="AI156" s="227"/>
      <c r="AK156" s="187"/>
      <c r="AL156" s="187"/>
      <c r="AM156" s="187"/>
      <c r="AN156" s="187"/>
      <c r="AO156" s="187"/>
      <c r="AP156" s="187"/>
    </row>
    <row r="157" spans="1:42" s="1" customFormat="1" ht="13.5" customHeight="1">
      <c r="A157" s="11"/>
      <c r="B157" s="238" t="s">
        <v>69</v>
      </c>
      <c r="C157" s="239">
        <v>26</v>
      </c>
      <c r="D157" s="208"/>
      <c r="E157" s="209"/>
      <c r="F157" s="209"/>
      <c r="G157" s="208"/>
      <c r="H157" s="209"/>
      <c r="I157" s="209"/>
      <c r="J157" s="209"/>
      <c r="K157" s="209"/>
      <c r="L157" s="208"/>
      <c r="M157" s="208"/>
      <c r="N157" s="208"/>
      <c r="O157" s="208"/>
      <c r="P157" s="209"/>
      <c r="Q157" s="208"/>
      <c r="R157" s="208"/>
      <c r="S157" s="208"/>
      <c r="T157" s="208"/>
      <c r="U157" s="209"/>
      <c r="V157" s="208"/>
      <c r="W157" s="208"/>
      <c r="X157" s="208"/>
      <c r="Y157" s="210"/>
      <c r="Z157" s="209"/>
      <c r="AA157" s="211"/>
      <c r="AB157" s="209"/>
      <c r="AC157" s="211"/>
      <c r="AD157" s="211"/>
      <c r="AE157" s="211"/>
      <c r="AF157" s="211"/>
      <c r="AG157" s="211"/>
      <c r="AH157" s="3"/>
      <c r="AI157" s="227"/>
      <c r="AK157" s="187"/>
      <c r="AL157" s="187"/>
      <c r="AM157" s="187"/>
      <c r="AN157" s="187"/>
      <c r="AO157" s="187"/>
      <c r="AP157" s="187"/>
    </row>
    <row r="158" spans="1:42" s="1" customFormat="1" ht="4.5" customHeight="1">
      <c r="A158" s="11"/>
      <c r="B158" s="218"/>
      <c r="C158" s="219"/>
      <c r="D158" s="220"/>
      <c r="E158" s="221"/>
      <c r="F158" s="221"/>
      <c r="G158" s="220"/>
      <c r="H158" s="221"/>
      <c r="I158" s="221"/>
      <c r="J158" s="221"/>
      <c r="K158" s="221"/>
      <c r="L158" s="220"/>
      <c r="M158" s="220"/>
      <c r="N158" s="220"/>
      <c r="O158" s="220"/>
      <c r="P158" s="221"/>
      <c r="Q158" s="220"/>
      <c r="R158" s="220"/>
      <c r="S158" s="220"/>
      <c r="T158" s="220"/>
      <c r="U158" s="221"/>
      <c r="V158" s="220"/>
      <c r="W158" s="220"/>
      <c r="X158" s="220"/>
      <c r="Y158" s="222"/>
      <c r="Z158" s="221"/>
      <c r="AA158" s="223"/>
      <c r="AB158" s="221"/>
      <c r="AC158" s="3"/>
      <c r="AD158" s="168"/>
      <c r="AH158" s="3"/>
      <c r="AI158" s="227"/>
      <c r="AK158" s="187"/>
      <c r="AL158" s="187"/>
      <c r="AM158" s="187"/>
      <c r="AN158" s="187"/>
      <c r="AO158" s="187"/>
      <c r="AP158" s="187"/>
    </row>
    <row r="159" spans="1:42" s="227" customFormat="1" ht="4.5" customHeight="1">
      <c r="A159" s="228"/>
      <c r="B159" s="229"/>
      <c r="C159" s="230"/>
      <c r="D159" s="231"/>
      <c r="E159" s="232"/>
      <c r="F159" s="232"/>
      <c r="G159" s="231"/>
      <c r="H159" s="232"/>
      <c r="I159" s="232"/>
      <c r="J159" s="232"/>
      <c r="K159" s="232"/>
      <c r="L159" s="231"/>
      <c r="M159" s="231"/>
      <c r="N159" s="231"/>
      <c r="O159" s="231"/>
      <c r="P159" s="232"/>
      <c r="Q159" s="231"/>
      <c r="R159" s="231"/>
      <c r="S159" s="231"/>
      <c r="T159" s="231"/>
      <c r="U159" s="232"/>
      <c r="V159" s="231"/>
      <c r="W159" s="231"/>
      <c r="X159" s="231"/>
      <c r="Y159" s="233"/>
      <c r="Z159" s="232"/>
      <c r="AA159" s="234"/>
      <c r="AB159" s="232"/>
      <c r="AC159" s="235"/>
      <c r="AD159" s="236"/>
      <c r="AH159" s="235"/>
    </row>
    <row r="160" spans="1:42" s="187" customFormat="1" ht="4.5" customHeight="1">
      <c r="A160" s="224"/>
      <c r="B160" s="214"/>
      <c r="C160" s="215"/>
      <c r="D160" s="215"/>
      <c r="E160" s="214"/>
      <c r="F160" s="214"/>
      <c r="G160" s="215"/>
      <c r="H160" s="214"/>
      <c r="I160" s="214"/>
      <c r="J160" s="214"/>
      <c r="K160" s="214"/>
      <c r="L160" s="215"/>
      <c r="M160" s="215"/>
      <c r="N160" s="215"/>
      <c r="O160" s="215"/>
      <c r="P160" s="214"/>
      <c r="Q160" s="215"/>
      <c r="R160" s="215"/>
      <c r="S160" s="215"/>
      <c r="T160" s="215"/>
      <c r="U160" s="214"/>
      <c r="V160" s="215"/>
      <c r="W160" s="215"/>
      <c r="X160" s="215"/>
      <c r="Y160" s="216"/>
      <c r="Z160" s="214"/>
      <c r="AA160" s="225"/>
      <c r="AB160" s="214"/>
      <c r="AC160" s="226"/>
      <c r="AH160" s="226"/>
      <c r="AI160" s="227"/>
    </row>
    <row r="161" spans="2:42" s="1" customFormat="1" ht="13.35" customHeight="1">
      <c r="B161" s="1518" t="s">
        <v>18</v>
      </c>
      <c r="C161" s="1524">
        <v>45110</v>
      </c>
      <c r="D161" s="1524"/>
      <c r="E161" s="1524"/>
      <c r="F161" s="1524"/>
      <c r="G161" s="22"/>
      <c r="H161" s="1524">
        <v>45111</v>
      </c>
      <c r="I161" s="1524"/>
      <c r="J161" s="1524"/>
      <c r="K161" s="1524"/>
      <c r="L161" s="22"/>
      <c r="M161" s="1524">
        <v>45112</v>
      </c>
      <c r="N161" s="1524"/>
      <c r="O161" s="1524"/>
      <c r="P161" s="1524"/>
      <c r="Q161" s="22"/>
      <c r="R161" s="1524">
        <v>45113</v>
      </c>
      <c r="S161" s="1524"/>
      <c r="T161" s="1524"/>
      <c r="U161" s="1524"/>
      <c r="V161" s="22"/>
      <c r="W161" s="1524">
        <v>45114</v>
      </c>
      <c r="X161" s="1524"/>
      <c r="Y161" s="1524"/>
      <c r="Z161" s="1524"/>
      <c r="AA161" s="1517" t="s">
        <v>19</v>
      </c>
      <c r="AB161" s="1517" t="s">
        <v>20</v>
      </c>
      <c r="AC161" s="3"/>
      <c r="AD161" s="1524">
        <v>45115</v>
      </c>
      <c r="AE161" s="1524"/>
      <c r="AF161" s="1524"/>
      <c r="AG161" s="1517" t="s">
        <v>21</v>
      </c>
      <c r="AH161" s="3"/>
      <c r="AI161" s="227"/>
      <c r="AK161" s="194" t="s">
        <v>152</v>
      </c>
      <c r="AL161" s="195"/>
      <c r="AM161" s="195"/>
      <c r="AN161" s="195"/>
      <c r="AO161" s="195"/>
      <c r="AP161" s="195"/>
    </row>
    <row r="162" spans="2:42" s="1" customFormat="1" ht="14.25">
      <c r="B162" s="1518"/>
      <c r="C162" s="21" t="s">
        <v>23</v>
      </c>
      <c r="D162" s="21" t="s">
        <v>24</v>
      </c>
      <c r="E162" s="205" t="s">
        <v>144</v>
      </c>
      <c r="F162" s="18" t="s">
        <v>14</v>
      </c>
      <c r="G162" s="3"/>
      <c r="H162" s="21" t="s">
        <v>23</v>
      </c>
      <c r="I162" s="21" t="s">
        <v>24</v>
      </c>
      <c r="J162" s="205" t="s">
        <v>144</v>
      </c>
      <c r="K162" s="18" t="s">
        <v>14</v>
      </c>
      <c r="L162" s="3"/>
      <c r="M162" s="21" t="s">
        <v>23</v>
      </c>
      <c r="N162" s="21" t="s">
        <v>24</v>
      </c>
      <c r="O162" s="205" t="s">
        <v>144</v>
      </c>
      <c r="P162" s="18" t="s">
        <v>14</v>
      </c>
      <c r="Q162" s="3"/>
      <c r="R162" s="21" t="s">
        <v>23</v>
      </c>
      <c r="S162" s="21" t="s">
        <v>24</v>
      </c>
      <c r="T162" s="205" t="s">
        <v>144</v>
      </c>
      <c r="U162" s="18" t="s">
        <v>14</v>
      </c>
      <c r="V162" s="3"/>
      <c r="W162" s="21" t="s">
        <v>23</v>
      </c>
      <c r="X162" s="21" t="s">
        <v>24</v>
      </c>
      <c r="Y162" s="205" t="s">
        <v>144</v>
      </c>
      <c r="Z162" s="18" t="s">
        <v>14</v>
      </c>
      <c r="AA162" s="1523"/>
      <c r="AB162" s="1517"/>
      <c r="AC162" s="3"/>
      <c r="AD162" s="21" t="s">
        <v>23</v>
      </c>
      <c r="AE162" s="21" t="s">
        <v>24</v>
      </c>
      <c r="AF162" s="18" t="s">
        <v>25</v>
      </c>
      <c r="AG162" s="1523"/>
      <c r="AH162" s="3"/>
      <c r="AI162" s="227"/>
      <c r="AK162" s="188" t="s">
        <v>26</v>
      </c>
      <c r="AL162" s="269">
        <f>AA183+AA184</f>
        <v>420</v>
      </c>
      <c r="AM162" s="187"/>
      <c r="AN162" s="187"/>
      <c r="AO162" s="187"/>
      <c r="AP162" s="187"/>
    </row>
    <row r="163" spans="2:42" s="1" customFormat="1" ht="14.25">
      <c r="B163" s="13" t="s">
        <v>129</v>
      </c>
      <c r="C163" s="47">
        <v>0.33333333333333331</v>
      </c>
      <c r="D163" s="47">
        <v>0.20833333333333334</v>
      </c>
      <c r="E163" s="165" t="s">
        <v>153</v>
      </c>
      <c r="F163" s="277"/>
      <c r="G163" s="3"/>
      <c r="H163" s="26">
        <v>0</v>
      </c>
      <c r="I163" s="26">
        <v>0</v>
      </c>
      <c r="J163" s="19" t="str">
        <f>TEXT(I163-H163, "h")</f>
        <v>0</v>
      </c>
      <c r="K163" s="277"/>
      <c r="L163" s="3"/>
      <c r="M163" s="47">
        <v>0.33333333333333331</v>
      </c>
      <c r="N163" s="47">
        <v>0.70833333333333337</v>
      </c>
      <c r="O163" s="19">
        <v>8</v>
      </c>
      <c r="P163" s="277"/>
      <c r="Q163" s="3"/>
      <c r="R163" s="47">
        <v>0.33333333333333331</v>
      </c>
      <c r="S163" s="47">
        <v>0.70833333333333337</v>
      </c>
      <c r="T163" s="19">
        <v>8</v>
      </c>
      <c r="U163" s="277"/>
      <c r="V163" s="3"/>
      <c r="W163" s="47">
        <v>0.33333333333333331</v>
      </c>
      <c r="X163" s="47">
        <v>0.70833333333333337</v>
      </c>
      <c r="Y163" s="19">
        <v>8</v>
      </c>
      <c r="Z163" s="277"/>
      <c r="AA163" s="29">
        <f>SUM(E163+J163+O163+T163+Y163)</f>
        <v>32</v>
      </c>
      <c r="AB163" s="288"/>
      <c r="AC163" s="3"/>
      <c r="AD163" s="4">
        <v>0</v>
      </c>
      <c r="AE163" s="4">
        <v>0</v>
      </c>
      <c r="AF163" s="19" t="str">
        <f>TEXT(AE163-AD163, "h")</f>
        <v>0</v>
      </c>
      <c r="AG163" s="29" t="str">
        <f t="shared" ref="AG163:AG182" si="16">AF163</f>
        <v>0</v>
      </c>
      <c r="AH163" s="3"/>
      <c r="AI163" s="227"/>
      <c r="AK163" s="188" t="s">
        <v>30</v>
      </c>
      <c r="AL163" s="270">
        <f>AB183</f>
        <v>0</v>
      </c>
      <c r="AM163" s="187"/>
      <c r="AN163" s="187"/>
      <c r="AO163" s="187"/>
      <c r="AP163" s="187"/>
    </row>
    <row r="164" spans="2:42" s="1" customFormat="1" ht="14.25">
      <c r="B164" s="13" t="s">
        <v>132</v>
      </c>
      <c r="C164" s="61">
        <v>0</v>
      </c>
      <c r="D164" s="47">
        <v>0</v>
      </c>
      <c r="E164" s="165" t="s">
        <v>154</v>
      </c>
      <c r="F164" s="277"/>
      <c r="G164" s="3"/>
      <c r="H164" s="26">
        <v>0</v>
      </c>
      <c r="I164" s="26">
        <v>0</v>
      </c>
      <c r="J164" s="19" t="str">
        <f t="shared" ref="J164:J171" si="17">TEXT(I164-H164, "h")</f>
        <v>0</v>
      </c>
      <c r="K164" s="277"/>
      <c r="L164" s="3"/>
      <c r="M164" s="4">
        <v>0</v>
      </c>
      <c r="N164" s="4">
        <v>0</v>
      </c>
      <c r="O164" s="19" t="str">
        <f t="shared" ref="O164:O168" si="18">TEXT(N164-M164, "h")</f>
        <v>0</v>
      </c>
      <c r="P164" s="277"/>
      <c r="Q164" s="3"/>
      <c r="R164" s="4">
        <v>0</v>
      </c>
      <c r="S164" s="4">
        <v>0</v>
      </c>
      <c r="T164" s="19" t="str">
        <f t="shared" ref="T164:T171" si="19">TEXT(S164-R164, "h")</f>
        <v>0</v>
      </c>
      <c r="U164" s="277"/>
      <c r="V164" s="3"/>
      <c r="W164" s="47">
        <v>0.33333333333333331</v>
      </c>
      <c r="X164" s="47">
        <v>0.70833333333333337</v>
      </c>
      <c r="Y164" s="19">
        <v>8</v>
      </c>
      <c r="Z164" s="277"/>
      <c r="AA164" s="29">
        <f>(E164+J164+O164+T164+Y164)</f>
        <v>8</v>
      </c>
      <c r="AB164" s="288"/>
      <c r="AC164" s="3"/>
      <c r="AD164" s="47">
        <v>0.375</v>
      </c>
      <c r="AE164" s="47">
        <v>0.20833333333333334</v>
      </c>
      <c r="AF164" s="19">
        <v>8</v>
      </c>
      <c r="AG164" s="29">
        <f t="shared" si="16"/>
        <v>8</v>
      </c>
      <c r="AH164" s="3"/>
      <c r="AI164" s="227"/>
      <c r="AK164" s="188" t="s">
        <v>32</v>
      </c>
      <c r="AL164" s="196">
        <f>AG183</f>
        <v>32.25</v>
      </c>
      <c r="AM164" s="187"/>
      <c r="AN164" s="187"/>
      <c r="AO164" s="187"/>
      <c r="AP164" s="187"/>
    </row>
    <row r="165" spans="2:42" s="1" customFormat="1" ht="14.25">
      <c r="B165" s="13" t="s">
        <v>35</v>
      </c>
      <c r="C165" s="47">
        <v>0.36458333333333331</v>
      </c>
      <c r="D165" s="47">
        <v>0.20833333333333334</v>
      </c>
      <c r="E165" s="165" t="s">
        <v>153</v>
      </c>
      <c r="F165" s="277"/>
      <c r="G165" s="3"/>
      <c r="H165" s="26">
        <v>0</v>
      </c>
      <c r="I165" s="26">
        <v>0</v>
      </c>
      <c r="J165" s="19" t="str">
        <f t="shared" si="17"/>
        <v>0</v>
      </c>
      <c r="K165" s="277"/>
      <c r="L165" s="3"/>
      <c r="M165" s="47">
        <v>0.33333333333333331</v>
      </c>
      <c r="N165" s="47">
        <v>0.70833333333333337</v>
      </c>
      <c r="O165" s="19">
        <v>8</v>
      </c>
      <c r="P165" s="277"/>
      <c r="Q165" s="3"/>
      <c r="R165" s="47">
        <v>0.33333333333333331</v>
      </c>
      <c r="S165" s="47">
        <v>0.70833333333333337</v>
      </c>
      <c r="T165" s="19">
        <v>8</v>
      </c>
      <c r="U165" s="277"/>
      <c r="V165" s="3"/>
      <c r="W165" s="47">
        <v>0.33333333333333331</v>
      </c>
      <c r="X165" s="47">
        <v>0.70833333333333337</v>
      </c>
      <c r="Y165" s="19">
        <v>8</v>
      </c>
      <c r="Z165" s="277"/>
      <c r="AA165" s="29">
        <f>(E165+J165+O165+T165+Y165)</f>
        <v>32</v>
      </c>
      <c r="AB165" s="288"/>
      <c r="AC165" s="3"/>
      <c r="AD165" s="47">
        <v>0.39583333333333331</v>
      </c>
      <c r="AE165" s="47">
        <v>0.20833333333333334</v>
      </c>
      <c r="AF165" s="19">
        <v>7.5</v>
      </c>
      <c r="AG165" s="29">
        <f t="shared" si="16"/>
        <v>7.5</v>
      </c>
      <c r="AH165" s="3"/>
      <c r="AI165" s="227"/>
      <c r="AK165" s="188" t="s">
        <v>34</v>
      </c>
      <c r="AL165" s="199">
        <f>AA189</f>
        <v>74.5</v>
      </c>
      <c r="AM165" s="187"/>
      <c r="AN165" s="187"/>
      <c r="AO165" s="187"/>
      <c r="AP165" s="187"/>
    </row>
    <row r="166" spans="2:42" s="1" customFormat="1" ht="14.25">
      <c r="B166" s="13" t="s">
        <v>37</v>
      </c>
      <c r="C166" s="47">
        <v>0.33333333333333331</v>
      </c>
      <c r="D166" s="47">
        <v>0.20833333333333334</v>
      </c>
      <c r="E166" s="165" t="s">
        <v>153</v>
      </c>
      <c r="F166" s="277"/>
      <c r="G166" s="3"/>
      <c r="H166" s="26">
        <v>0</v>
      </c>
      <c r="I166" s="26">
        <v>0</v>
      </c>
      <c r="J166" s="19" t="str">
        <f t="shared" si="17"/>
        <v>0</v>
      </c>
      <c r="K166" s="277"/>
      <c r="L166" s="3"/>
      <c r="M166" s="47">
        <v>0.33333333333333331</v>
      </c>
      <c r="N166" s="47">
        <v>0.70833333333333337</v>
      </c>
      <c r="O166" s="19">
        <v>8</v>
      </c>
      <c r="P166" s="277"/>
      <c r="Q166" s="3"/>
      <c r="R166" s="47">
        <v>0.33333333333333331</v>
      </c>
      <c r="S166" s="47">
        <v>0.70833333333333337</v>
      </c>
      <c r="T166" s="19">
        <v>8</v>
      </c>
      <c r="U166" s="277"/>
      <c r="V166" s="3"/>
      <c r="W166" s="47">
        <v>0.33333333333333331</v>
      </c>
      <c r="X166" s="47">
        <v>0.70833333333333337</v>
      </c>
      <c r="Y166" s="19">
        <v>8</v>
      </c>
      <c r="Z166" s="277"/>
      <c r="AA166" s="29">
        <f t="shared" ref="AA166:AA182" si="20">(E166+J166+O166+T166+Y166)</f>
        <v>32</v>
      </c>
      <c r="AB166" s="288"/>
      <c r="AC166" s="3"/>
      <c r="AD166" s="4">
        <v>0</v>
      </c>
      <c r="AE166" s="4">
        <v>0</v>
      </c>
      <c r="AF166" s="19" t="str">
        <f t="shared" ref="AF166:AF182" si="21">TEXT(AE166-AD166, "h")</f>
        <v>0</v>
      </c>
      <c r="AG166" s="29" t="str">
        <f t="shared" si="16"/>
        <v>0</v>
      </c>
      <c r="AH166" s="3"/>
      <c r="AI166" s="227"/>
      <c r="AK166" s="188" t="s">
        <v>155</v>
      </c>
      <c r="AL166" s="190">
        <f>AB189</f>
        <v>29</v>
      </c>
      <c r="AM166" s="187"/>
      <c r="AN166" s="187"/>
      <c r="AO166" s="187"/>
      <c r="AP166" s="187"/>
    </row>
    <row r="167" spans="2:42" s="176" customFormat="1" ht="14.25">
      <c r="B167" s="171" t="s">
        <v>141</v>
      </c>
      <c r="C167" s="172">
        <v>0.33333333333333331</v>
      </c>
      <c r="D167" s="47">
        <v>0.125</v>
      </c>
      <c r="E167" s="201" t="s">
        <v>156</v>
      </c>
      <c r="F167" s="277"/>
      <c r="G167" s="174"/>
      <c r="H167" s="26">
        <v>0</v>
      </c>
      <c r="I167" s="26">
        <v>0</v>
      </c>
      <c r="J167" s="19" t="str">
        <f t="shared" si="17"/>
        <v>0</v>
      </c>
      <c r="K167" s="277"/>
      <c r="L167" s="174"/>
      <c r="M167" s="172">
        <v>0.33333333333333331</v>
      </c>
      <c r="N167" s="172">
        <v>0.70833333333333337</v>
      </c>
      <c r="O167" s="173">
        <v>8</v>
      </c>
      <c r="P167" s="277"/>
      <c r="Q167" s="174"/>
      <c r="R167" s="172">
        <v>0.33333333333333331</v>
      </c>
      <c r="S167" s="172">
        <v>0.70833333333333337</v>
      </c>
      <c r="T167" s="173">
        <v>8</v>
      </c>
      <c r="U167" s="277"/>
      <c r="V167" s="174"/>
      <c r="W167" s="172">
        <v>0.33333333333333331</v>
      </c>
      <c r="X167" s="172">
        <v>0.70833333333333337</v>
      </c>
      <c r="Y167" s="173">
        <v>8</v>
      </c>
      <c r="Z167" s="277"/>
      <c r="AA167" s="28">
        <f t="shared" si="20"/>
        <v>31</v>
      </c>
      <c r="AB167" s="295"/>
      <c r="AC167" s="174"/>
      <c r="AD167" s="175">
        <v>0</v>
      </c>
      <c r="AE167" s="175">
        <v>0</v>
      </c>
      <c r="AF167" s="173" t="str">
        <f t="shared" si="21"/>
        <v>0</v>
      </c>
      <c r="AG167" s="28" t="str">
        <f t="shared" si="16"/>
        <v>0</v>
      </c>
      <c r="AH167" s="174"/>
      <c r="AI167" s="257"/>
      <c r="AK167" s="188" t="s">
        <v>38</v>
      </c>
      <c r="AL167" s="190">
        <f>AG189</f>
        <v>0</v>
      </c>
      <c r="AM167" s="187"/>
      <c r="AN167" s="187"/>
      <c r="AO167" s="187"/>
      <c r="AP167" s="187"/>
    </row>
    <row r="168" spans="2:42" s="176" customFormat="1" ht="14.25">
      <c r="B168" s="171" t="s">
        <v>142</v>
      </c>
      <c r="C168" s="177">
        <v>0.375</v>
      </c>
      <c r="D168" s="47">
        <v>0.20833333333333334</v>
      </c>
      <c r="E168" s="201" t="s">
        <v>153</v>
      </c>
      <c r="F168" s="277"/>
      <c r="G168" s="174"/>
      <c r="H168" s="26">
        <v>0</v>
      </c>
      <c r="I168" s="26">
        <v>0</v>
      </c>
      <c r="J168" s="19" t="str">
        <f t="shared" si="17"/>
        <v>0</v>
      </c>
      <c r="K168" s="277"/>
      <c r="L168" s="174"/>
      <c r="M168" s="4">
        <v>0</v>
      </c>
      <c r="N168" s="4">
        <v>0</v>
      </c>
      <c r="O168" s="173" t="str">
        <f t="shared" si="18"/>
        <v>0</v>
      </c>
      <c r="P168" s="277"/>
      <c r="Q168" s="174"/>
      <c r="R168" s="172">
        <v>0.4375</v>
      </c>
      <c r="S168" s="172">
        <v>0.70833333333333337</v>
      </c>
      <c r="T168" s="173">
        <v>6.5</v>
      </c>
      <c r="U168" s="277"/>
      <c r="V168" s="174"/>
      <c r="W168" s="4">
        <v>0</v>
      </c>
      <c r="X168" s="4">
        <v>0</v>
      </c>
      <c r="Y168" s="173" t="str">
        <f t="shared" ref="Y168:Y171" si="22">TEXT(X168-W168, "h")</f>
        <v>0</v>
      </c>
      <c r="Z168" s="277"/>
      <c r="AA168" s="28">
        <f t="shared" si="20"/>
        <v>14.5</v>
      </c>
      <c r="AB168" s="295"/>
      <c r="AC168" s="174"/>
      <c r="AD168" s="175">
        <v>0</v>
      </c>
      <c r="AE168" s="175">
        <v>0</v>
      </c>
      <c r="AF168" s="173" t="str">
        <f t="shared" si="21"/>
        <v>0</v>
      </c>
      <c r="AG168" s="28" t="str">
        <f t="shared" si="16"/>
        <v>0</v>
      </c>
      <c r="AH168" s="174"/>
      <c r="AI168" s="257"/>
      <c r="AK168" s="188" t="s">
        <v>41</v>
      </c>
      <c r="AL168" s="189">
        <f>C190</f>
        <v>46</v>
      </c>
      <c r="AM168" s="191"/>
      <c r="AN168" s="191"/>
      <c r="AO168" s="191"/>
      <c r="AP168" s="191"/>
    </row>
    <row r="169" spans="2:42" s="1" customFormat="1" ht="14.25">
      <c r="B169" s="13" t="s">
        <v>55</v>
      </c>
      <c r="C169" s="4">
        <v>0</v>
      </c>
      <c r="D169" s="4">
        <v>0</v>
      </c>
      <c r="E169" s="165" t="s">
        <v>154</v>
      </c>
      <c r="F169" s="277"/>
      <c r="G169" s="3"/>
      <c r="H169" s="26">
        <v>0</v>
      </c>
      <c r="I169" s="26">
        <v>0</v>
      </c>
      <c r="J169" s="19" t="str">
        <f t="shared" si="17"/>
        <v>0</v>
      </c>
      <c r="K169" s="277"/>
      <c r="L169" s="3"/>
      <c r="M169" s="4">
        <v>0</v>
      </c>
      <c r="N169" s="4">
        <v>0</v>
      </c>
      <c r="O169" s="19">
        <v>0</v>
      </c>
      <c r="P169" s="277"/>
      <c r="Q169" s="3"/>
      <c r="R169" s="4">
        <v>0</v>
      </c>
      <c r="S169" s="4">
        <v>0</v>
      </c>
      <c r="T169" s="19">
        <v>0</v>
      </c>
      <c r="U169" s="277"/>
      <c r="V169" s="3"/>
      <c r="W169" s="4">
        <v>0</v>
      </c>
      <c r="X169" s="4">
        <v>0</v>
      </c>
      <c r="Y169" s="19">
        <v>0</v>
      </c>
      <c r="Z169" s="277"/>
      <c r="AA169" s="29">
        <f t="shared" si="20"/>
        <v>0</v>
      </c>
      <c r="AB169" s="288"/>
      <c r="AC169" s="3"/>
      <c r="AD169" s="47">
        <v>0.33333333333333331</v>
      </c>
      <c r="AE169" s="47">
        <v>0.20833333333333334</v>
      </c>
      <c r="AF169" s="19">
        <v>9</v>
      </c>
      <c r="AG169" s="29">
        <f t="shared" si="16"/>
        <v>9</v>
      </c>
      <c r="AH169" s="3"/>
      <c r="AI169" s="227"/>
      <c r="AK169" s="187"/>
      <c r="AL169" s="187"/>
      <c r="AM169" s="187"/>
      <c r="AN169" s="187"/>
      <c r="AO169" s="187"/>
      <c r="AP169" s="187"/>
    </row>
    <row r="170" spans="2:42" s="176" customFormat="1" ht="14.25">
      <c r="B170" s="171" t="s">
        <v>31</v>
      </c>
      <c r="C170" s="172">
        <v>0.33333333333333331</v>
      </c>
      <c r="D170" s="47">
        <v>0.20833333333333334</v>
      </c>
      <c r="E170" s="201" t="s">
        <v>153</v>
      </c>
      <c r="F170" s="277"/>
      <c r="G170" s="174"/>
      <c r="H170" s="26">
        <v>0</v>
      </c>
      <c r="I170" s="26">
        <v>0</v>
      </c>
      <c r="J170" s="19" t="str">
        <f t="shared" si="17"/>
        <v>0</v>
      </c>
      <c r="K170" s="277"/>
      <c r="L170" s="174"/>
      <c r="M170" s="172">
        <v>0.33333333333333331</v>
      </c>
      <c r="N170" s="172">
        <v>0.70833333333333337</v>
      </c>
      <c r="O170" s="173">
        <v>8</v>
      </c>
      <c r="P170" s="277"/>
      <c r="Q170" s="174"/>
      <c r="R170" s="172">
        <v>0.33333333333333331</v>
      </c>
      <c r="S170" s="172">
        <v>0.70833333333333337</v>
      </c>
      <c r="T170" s="173">
        <v>8</v>
      </c>
      <c r="U170" s="277"/>
      <c r="V170" s="174"/>
      <c r="W170" s="172">
        <v>0.33333333333333331</v>
      </c>
      <c r="X170" s="172">
        <v>0.70833333333333337</v>
      </c>
      <c r="Y170" s="173">
        <v>8</v>
      </c>
      <c r="Z170" s="277"/>
      <c r="AA170" s="28">
        <f t="shared" si="20"/>
        <v>32</v>
      </c>
      <c r="AB170" s="295"/>
      <c r="AC170" s="174"/>
      <c r="AD170" s="175">
        <v>0</v>
      </c>
      <c r="AE170" s="175">
        <v>0</v>
      </c>
      <c r="AF170" s="173" t="str">
        <f t="shared" si="21"/>
        <v>0</v>
      </c>
      <c r="AG170" s="28" t="str">
        <f t="shared" si="16"/>
        <v>0</v>
      </c>
      <c r="AH170" s="174"/>
      <c r="AI170" s="257"/>
      <c r="AK170" s="191"/>
      <c r="AL170" s="191"/>
      <c r="AM170" s="191"/>
      <c r="AN170" s="191"/>
      <c r="AO170" s="191"/>
      <c r="AP170" s="191"/>
    </row>
    <row r="171" spans="2:42" s="1" customFormat="1" ht="14.25">
      <c r="B171" s="13" t="s">
        <v>39</v>
      </c>
      <c r="C171" s="47">
        <v>0.3888888888888889</v>
      </c>
      <c r="D171" s="47">
        <v>0.20833333333333334</v>
      </c>
      <c r="E171" s="165" t="s">
        <v>156</v>
      </c>
      <c r="F171" s="277"/>
      <c r="G171" s="3"/>
      <c r="H171" s="26">
        <v>0</v>
      </c>
      <c r="I171" s="26">
        <v>0</v>
      </c>
      <c r="J171" s="19" t="str">
        <f t="shared" si="17"/>
        <v>0</v>
      </c>
      <c r="K171" s="277"/>
      <c r="L171" s="3"/>
      <c r="M171" s="47">
        <v>0.4375</v>
      </c>
      <c r="N171" s="47">
        <v>0.70833333333333337</v>
      </c>
      <c r="O171" s="19">
        <v>6.5</v>
      </c>
      <c r="P171" s="277"/>
      <c r="Q171" s="3"/>
      <c r="R171" s="4">
        <v>0</v>
      </c>
      <c r="S171" s="4">
        <v>0</v>
      </c>
      <c r="T171" s="19" t="str">
        <f t="shared" si="19"/>
        <v>0</v>
      </c>
      <c r="U171" s="277"/>
      <c r="V171" s="3"/>
      <c r="W171" s="4">
        <v>0</v>
      </c>
      <c r="X171" s="4">
        <v>0</v>
      </c>
      <c r="Y171" s="19" t="str">
        <f t="shared" si="22"/>
        <v>0</v>
      </c>
      <c r="Z171" s="277"/>
      <c r="AA171" s="29">
        <f t="shared" si="20"/>
        <v>13.5</v>
      </c>
      <c r="AB171" s="288"/>
      <c r="AC171" s="3"/>
      <c r="AD171" s="4">
        <v>0</v>
      </c>
      <c r="AE171" s="4">
        <v>0</v>
      </c>
      <c r="AF171" s="19" t="str">
        <f t="shared" si="21"/>
        <v>0</v>
      </c>
      <c r="AG171" s="29" t="str">
        <f t="shared" si="16"/>
        <v>0</v>
      </c>
      <c r="AH171" s="3"/>
      <c r="AI171" s="227"/>
      <c r="AK171" s="187"/>
      <c r="AL171" s="187"/>
      <c r="AM171" s="187"/>
      <c r="AN171" s="187"/>
      <c r="AO171" s="187"/>
      <c r="AP171" s="187"/>
    </row>
    <row r="172" spans="2:42" s="1" customFormat="1" ht="14.25">
      <c r="B172" s="13" t="s">
        <v>43</v>
      </c>
      <c r="C172" s="47">
        <v>0.33333333333333331</v>
      </c>
      <c r="D172" s="47">
        <v>0.20833333333333334</v>
      </c>
      <c r="E172" s="165" t="s">
        <v>153</v>
      </c>
      <c r="F172" s="277"/>
      <c r="G172" s="3"/>
      <c r="H172" s="26">
        <v>0</v>
      </c>
      <c r="I172" s="26">
        <v>0</v>
      </c>
      <c r="J172" s="19" t="str">
        <f t="shared" ref="J172:J182" si="23">TEXT(I172-H172, "h")</f>
        <v>0</v>
      </c>
      <c r="K172" s="277"/>
      <c r="L172" s="3"/>
      <c r="M172" s="47">
        <v>0.33333333333333331</v>
      </c>
      <c r="N172" s="47">
        <v>0.70833333333333337</v>
      </c>
      <c r="O172" s="19">
        <v>8</v>
      </c>
      <c r="P172" s="277"/>
      <c r="Q172" s="3"/>
      <c r="R172" s="47">
        <v>0.33333333333333331</v>
      </c>
      <c r="S172" s="47">
        <v>0.70833333333333337</v>
      </c>
      <c r="T172" s="19">
        <v>8</v>
      </c>
      <c r="U172" s="277"/>
      <c r="V172" s="3"/>
      <c r="W172" s="47">
        <v>0.33333333333333331</v>
      </c>
      <c r="X172" s="47">
        <v>0.70833333333333337</v>
      </c>
      <c r="Y172" s="19">
        <v>8</v>
      </c>
      <c r="Z172" s="277"/>
      <c r="AA172" s="29">
        <f t="shared" ref="AA172:AA175" si="24">(E172+J172+O172+T172+Y172)</f>
        <v>32</v>
      </c>
      <c r="AB172" s="288"/>
      <c r="AC172" s="3"/>
      <c r="AD172" s="4">
        <v>0</v>
      </c>
      <c r="AE172" s="4">
        <v>0</v>
      </c>
      <c r="AF172" s="19" t="str">
        <f>TEXT(AE172-AD172, "h")</f>
        <v>0</v>
      </c>
      <c r="AG172" s="29" t="str">
        <f t="shared" ref="AG172:AG174" si="25">AF172</f>
        <v>0</v>
      </c>
      <c r="AH172" s="3"/>
      <c r="AI172" s="227"/>
      <c r="AK172" s="187"/>
      <c r="AL172" s="187"/>
      <c r="AM172" s="187"/>
      <c r="AN172" s="187"/>
      <c r="AO172" s="187"/>
      <c r="AP172" s="187"/>
    </row>
    <row r="173" spans="2:42" s="1" customFormat="1" ht="14.25">
      <c r="B173" s="13" t="s">
        <v>157</v>
      </c>
      <c r="C173" s="47">
        <v>0.33333333333333331</v>
      </c>
      <c r="D173" s="47">
        <v>0.20833333333333334</v>
      </c>
      <c r="E173" s="165" t="s">
        <v>153</v>
      </c>
      <c r="F173" s="277"/>
      <c r="G173" s="3"/>
      <c r="H173" s="26">
        <v>0</v>
      </c>
      <c r="I173" s="26">
        <v>0</v>
      </c>
      <c r="J173" s="19" t="str">
        <f t="shared" si="23"/>
        <v>0</v>
      </c>
      <c r="K173" s="277"/>
      <c r="L173" s="3"/>
      <c r="M173" s="47">
        <v>0.33333333333333331</v>
      </c>
      <c r="N173" s="47">
        <v>0.70833333333333337</v>
      </c>
      <c r="O173" s="19">
        <v>8</v>
      </c>
      <c r="P173" s="277"/>
      <c r="Q173" s="3"/>
      <c r="R173" s="47">
        <v>0.33333333333333331</v>
      </c>
      <c r="S173" s="47">
        <v>0.70833333333333337</v>
      </c>
      <c r="T173" s="19">
        <v>8</v>
      </c>
      <c r="U173" s="277"/>
      <c r="V173" s="3"/>
      <c r="W173" s="47">
        <v>0.33333333333333331</v>
      </c>
      <c r="X173" s="47">
        <v>0.70833333333333337</v>
      </c>
      <c r="Y173" s="19">
        <v>8</v>
      </c>
      <c r="Z173" s="277"/>
      <c r="AA173" s="29">
        <f t="shared" si="24"/>
        <v>32</v>
      </c>
      <c r="AB173" s="288"/>
      <c r="AC173" s="3"/>
      <c r="AD173" s="4">
        <v>0</v>
      </c>
      <c r="AE173" s="4">
        <v>0</v>
      </c>
      <c r="AF173" s="19" t="str">
        <f t="shared" ref="AF173:AF174" si="26">TEXT(AE173-AD173, "h")</f>
        <v>0</v>
      </c>
      <c r="AG173" s="29" t="str">
        <f t="shared" si="25"/>
        <v>0</v>
      </c>
      <c r="AH173" s="3"/>
      <c r="AI173" s="227"/>
      <c r="AK173" s="187"/>
      <c r="AL173" s="187"/>
      <c r="AM173" s="187"/>
      <c r="AN173" s="187"/>
      <c r="AO173" s="187"/>
      <c r="AP173" s="187"/>
    </row>
    <row r="174" spans="2:42" s="1" customFormat="1" ht="14.25">
      <c r="B174" s="13" t="s">
        <v>40</v>
      </c>
      <c r="C174" s="47">
        <v>0</v>
      </c>
      <c r="D174" s="47">
        <v>0</v>
      </c>
      <c r="E174" s="165" t="s">
        <v>158</v>
      </c>
      <c r="F174" s="277"/>
      <c r="G174" s="3"/>
      <c r="H174" s="26">
        <v>0</v>
      </c>
      <c r="I174" s="26">
        <v>0</v>
      </c>
      <c r="J174" s="19" t="str">
        <f t="shared" si="23"/>
        <v>0</v>
      </c>
      <c r="K174" s="277"/>
      <c r="L174" s="3"/>
      <c r="M174" s="47">
        <v>0.33333333333333331</v>
      </c>
      <c r="N174" s="47">
        <v>0.70833333333333337</v>
      </c>
      <c r="O174" s="19">
        <v>8</v>
      </c>
      <c r="P174" s="277"/>
      <c r="Q174" s="3"/>
      <c r="R174" s="47">
        <v>0.33333333333333331</v>
      </c>
      <c r="S174" s="47">
        <v>0.70833333333333337</v>
      </c>
      <c r="T174" s="19">
        <v>8</v>
      </c>
      <c r="U174" s="277"/>
      <c r="V174" s="3"/>
      <c r="W174" s="4">
        <v>0</v>
      </c>
      <c r="X174" s="4">
        <v>0</v>
      </c>
      <c r="Y174" s="19" t="str">
        <f t="shared" ref="Y174" si="27">TEXT(X174-W174, "h")</f>
        <v>0</v>
      </c>
      <c r="Z174" s="277"/>
      <c r="AA174" s="29">
        <f t="shared" si="24"/>
        <v>21</v>
      </c>
      <c r="AB174" s="288"/>
      <c r="AC174" s="3"/>
      <c r="AD174" s="4">
        <v>0</v>
      </c>
      <c r="AE174" s="4">
        <v>0</v>
      </c>
      <c r="AF174" s="19" t="str">
        <f t="shared" si="26"/>
        <v>0</v>
      </c>
      <c r="AG174" s="29" t="str">
        <f t="shared" si="25"/>
        <v>0</v>
      </c>
      <c r="AH174" s="3"/>
      <c r="AI174" s="227"/>
      <c r="AK174" s="187"/>
      <c r="AL174" s="187"/>
      <c r="AM174" s="187"/>
      <c r="AN174" s="187"/>
      <c r="AO174" s="187"/>
      <c r="AP174" s="187"/>
    </row>
    <row r="175" spans="2:42" s="1" customFormat="1" ht="14.25">
      <c r="B175" s="13" t="s">
        <v>54</v>
      </c>
      <c r="C175" s="4">
        <v>0</v>
      </c>
      <c r="D175" s="4">
        <v>0</v>
      </c>
      <c r="E175" s="165" t="s">
        <v>154</v>
      </c>
      <c r="F175" s="277"/>
      <c r="G175" s="3"/>
      <c r="H175" s="26">
        <v>0</v>
      </c>
      <c r="I175" s="26">
        <v>0</v>
      </c>
      <c r="J175" s="19" t="s">
        <v>154</v>
      </c>
      <c r="K175" s="277"/>
      <c r="L175" s="3"/>
      <c r="M175" s="4">
        <v>0</v>
      </c>
      <c r="N175" s="4">
        <v>0</v>
      </c>
      <c r="O175" s="165" t="s">
        <v>154</v>
      </c>
      <c r="P175" s="277"/>
      <c r="Q175" s="3"/>
      <c r="R175" s="4">
        <v>0</v>
      </c>
      <c r="S175" s="4">
        <v>0</v>
      </c>
      <c r="T175" s="165" t="s">
        <v>154</v>
      </c>
      <c r="U175" s="277"/>
      <c r="V175" s="3"/>
      <c r="W175" s="4">
        <v>0</v>
      </c>
      <c r="X175" s="4">
        <v>0</v>
      </c>
      <c r="Y175" s="165" t="s">
        <v>154</v>
      </c>
      <c r="Z175" s="277"/>
      <c r="AA175" s="29">
        <f t="shared" si="24"/>
        <v>0</v>
      </c>
      <c r="AB175" s="288"/>
      <c r="AC175" s="3"/>
      <c r="AD175" s="47">
        <v>0.38194444444444442</v>
      </c>
      <c r="AE175" s="47">
        <v>0.20833333333333334</v>
      </c>
      <c r="AF175" s="19">
        <v>7.75</v>
      </c>
      <c r="AG175" s="29">
        <f>AF175</f>
        <v>7.75</v>
      </c>
      <c r="AH175" s="3"/>
      <c r="AI175" s="227"/>
      <c r="AK175" s="187"/>
      <c r="AL175" s="187"/>
      <c r="AM175" s="187"/>
      <c r="AN175" s="187"/>
      <c r="AO175" s="187"/>
      <c r="AP175" s="187"/>
    </row>
    <row r="176" spans="2:42" s="1" customFormat="1" ht="14.25">
      <c r="B176" s="166" t="s">
        <v>159</v>
      </c>
      <c r="C176" s="12" t="s">
        <v>29</v>
      </c>
      <c r="D176" s="12" t="s">
        <v>29</v>
      </c>
      <c r="E176" s="165">
        <v>6</v>
      </c>
      <c r="F176" s="277"/>
      <c r="G176" s="3"/>
      <c r="H176" s="26">
        <v>0</v>
      </c>
      <c r="I176" s="26">
        <v>0</v>
      </c>
      <c r="J176" s="19" t="str">
        <f t="shared" si="23"/>
        <v>0</v>
      </c>
      <c r="K176" s="277"/>
      <c r="L176" s="3"/>
      <c r="M176" s="12" t="s">
        <v>29</v>
      </c>
      <c r="N176" s="12" t="s">
        <v>29</v>
      </c>
      <c r="O176" s="19">
        <v>6</v>
      </c>
      <c r="P176" s="277"/>
      <c r="Q176" s="3"/>
      <c r="R176" s="12" t="s">
        <v>29</v>
      </c>
      <c r="S176" s="12" t="s">
        <v>29</v>
      </c>
      <c r="T176" s="19">
        <v>5</v>
      </c>
      <c r="U176" s="277"/>
      <c r="V176" s="3"/>
      <c r="W176" s="12" t="s">
        <v>29</v>
      </c>
      <c r="X176" s="12" t="s">
        <v>29</v>
      </c>
      <c r="Y176" s="19">
        <v>0</v>
      </c>
      <c r="Z176" s="277"/>
      <c r="AA176" s="29">
        <f t="shared" ref="AA176:AA181" si="28">(E176+J176+O176+T176+Y176)</f>
        <v>17</v>
      </c>
      <c r="AB176" s="288"/>
      <c r="AC176" s="3"/>
      <c r="AD176" s="4">
        <v>0</v>
      </c>
      <c r="AE176" s="4">
        <v>0</v>
      </c>
      <c r="AF176" s="19" t="str">
        <f t="shared" si="21"/>
        <v>0</v>
      </c>
      <c r="AG176" s="29" t="str">
        <f t="shared" si="16"/>
        <v>0</v>
      </c>
      <c r="AH176" s="3"/>
      <c r="AI176" s="227"/>
      <c r="AK176" s="187"/>
      <c r="AL176" s="187"/>
      <c r="AM176" s="187"/>
      <c r="AN176" s="187"/>
      <c r="AO176" s="187"/>
      <c r="AP176" s="187"/>
    </row>
    <row r="177" spans="1:42" s="1" customFormat="1" ht="14.25">
      <c r="B177" s="166" t="s">
        <v>42</v>
      </c>
      <c r="C177" s="12" t="s">
        <v>29</v>
      </c>
      <c r="D177" s="12" t="s">
        <v>29</v>
      </c>
      <c r="E177" s="165">
        <v>6</v>
      </c>
      <c r="F177" s="277"/>
      <c r="G177" s="3"/>
      <c r="H177" s="26">
        <v>0</v>
      </c>
      <c r="I177" s="26">
        <v>0</v>
      </c>
      <c r="J177" s="19" t="str">
        <f t="shared" si="23"/>
        <v>0</v>
      </c>
      <c r="K177" s="277"/>
      <c r="L177" s="3"/>
      <c r="M177" s="12" t="s">
        <v>29</v>
      </c>
      <c r="N177" s="12" t="s">
        <v>29</v>
      </c>
      <c r="O177" s="19">
        <v>5</v>
      </c>
      <c r="P177" s="277"/>
      <c r="Q177" s="3"/>
      <c r="R177" s="12" t="s">
        <v>29</v>
      </c>
      <c r="S177" s="12" t="s">
        <v>29</v>
      </c>
      <c r="T177" s="19">
        <v>6</v>
      </c>
      <c r="U177" s="277"/>
      <c r="V177" s="3"/>
      <c r="W177" s="12" t="s">
        <v>29</v>
      </c>
      <c r="X177" s="12" t="s">
        <v>29</v>
      </c>
      <c r="Y177" s="19">
        <v>0</v>
      </c>
      <c r="Z177" s="277"/>
      <c r="AA177" s="29">
        <f t="shared" si="28"/>
        <v>17</v>
      </c>
      <c r="AB177" s="288"/>
      <c r="AC177" s="3"/>
      <c r="AD177" s="4">
        <v>0</v>
      </c>
      <c r="AE177" s="4">
        <v>0</v>
      </c>
      <c r="AF177" s="19" t="str">
        <f t="shared" si="21"/>
        <v>0</v>
      </c>
      <c r="AG177" s="29" t="str">
        <f t="shared" si="16"/>
        <v>0</v>
      </c>
      <c r="AH177" s="3"/>
      <c r="AI177" s="227"/>
      <c r="AK177" s="187"/>
      <c r="AL177" s="187"/>
      <c r="AM177" s="187"/>
      <c r="AN177" s="187"/>
      <c r="AO177" s="187"/>
      <c r="AP177" s="187"/>
    </row>
    <row r="178" spans="1:42" s="1" customFormat="1" ht="14.25">
      <c r="B178" s="166" t="s">
        <v>53</v>
      </c>
      <c r="C178" s="12" t="s">
        <v>29</v>
      </c>
      <c r="D178" s="12" t="s">
        <v>29</v>
      </c>
      <c r="E178" s="165">
        <v>6</v>
      </c>
      <c r="F178" s="277"/>
      <c r="G178" s="3"/>
      <c r="H178" s="26">
        <v>0</v>
      </c>
      <c r="I178" s="26">
        <v>0</v>
      </c>
      <c r="J178" s="19" t="str">
        <f t="shared" si="23"/>
        <v>0</v>
      </c>
      <c r="K178" s="277"/>
      <c r="L178" s="3"/>
      <c r="M178" s="12" t="s">
        <v>29</v>
      </c>
      <c r="N178" s="12" t="s">
        <v>29</v>
      </c>
      <c r="O178" s="19">
        <v>6</v>
      </c>
      <c r="P178" s="277"/>
      <c r="Q178" s="3"/>
      <c r="R178" s="12" t="s">
        <v>29</v>
      </c>
      <c r="S178" s="12" t="s">
        <v>29</v>
      </c>
      <c r="T178" s="19">
        <v>5</v>
      </c>
      <c r="U178" s="277"/>
      <c r="V178" s="3"/>
      <c r="W178" s="12" t="s">
        <v>29</v>
      </c>
      <c r="X178" s="12" t="s">
        <v>29</v>
      </c>
      <c r="Y178" s="19">
        <v>0</v>
      </c>
      <c r="Z178" s="277"/>
      <c r="AA178" s="29">
        <f t="shared" si="28"/>
        <v>17</v>
      </c>
      <c r="AB178" s="288"/>
      <c r="AC178" s="3"/>
      <c r="AD178" s="4">
        <v>0</v>
      </c>
      <c r="AE178" s="4">
        <v>0</v>
      </c>
      <c r="AF178" s="19" t="str">
        <f t="shared" si="21"/>
        <v>0</v>
      </c>
      <c r="AG178" s="29" t="str">
        <f t="shared" si="16"/>
        <v>0</v>
      </c>
      <c r="AH178" s="3"/>
      <c r="AI178" s="227"/>
      <c r="AK178" s="187"/>
      <c r="AL178" s="187"/>
      <c r="AM178" s="187"/>
      <c r="AN178" s="187"/>
      <c r="AO178" s="187"/>
      <c r="AP178" s="187"/>
    </row>
    <row r="179" spans="1:42" s="1" customFormat="1" ht="14.25">
      <c r="B179" s="166" t="s">
        <v>160</v>
      </c>
      <c r="C179" s="12" t="s">
        <v>29</v>
      </c>
      <c r="D179" s="12" t="s">
        <v>29</v>
      </c>
      <c r="E179" s="165">
        <v>5</v>
      </c>
      <c r="F179" s="277"/>
      <c r="G179" s="3"/>
      <c r="H179" s="26">
        <v>0</v>
      </c>
      <c r="I179" s="26">
        <v>0</v>
      </c>
      <c r="J179" s="19" t="str">
        <f t="shared" si="23"/>
        <v>0</v>
      </c>
      <c r="K179" s="277"/>
      <c r="L179" s="3"/>
      <c r="M179" s="12" t="s">
        <v>29</v>
      </c>
      <c r="N179" s="12" t="s">
        <v>29</v>
      </c>
      <c r="O179" s="19">
        <v>6</v>
      </c>
      <c r="P179" s="277"/>
      <c r="Q179" s="3"/>
      <c r="R179" s="12" t="s">
        <v>29</v>
      </c>
      <c r="S179" s="12" t="s">
        <v>29</v>
      </c>
      <c r="T179" s="19">
        <v>6</v>
      </c>
      <c r="U179" s="277"/>
      <c r="V179" s="3"/>
      <c r="W179" s="12" t="s">
        <v>29</v>
      </c>
      <c r="X179" s="12" t="s">
        <v>29</v>
      </c>
      <c r="Y179" s="19">
        <v>0</v>
      </c>
      <c r="Z179" s="277"/>
      <c r="AA179" s="29">
        <f t="shared" si="28"/>
        <v>17</v>
      </c>
      <c r="AB179" s="288"/>
      <c r="AC179" s="3"/>
      <c r="AD179" s="4">
        <v>0</v>
      </c>
      <c r="AE179" s="4">
        <v>0</v>
      </c>
      <c r="AF179" s="19" t="str">
        <f t="shared" si="21"/>
        <v>0</v>
      </c>
      <c r="AG179" s="29" t="str">
        <f t="shared" si="16"/>
        <v>0</v>
      </c>
      <c r="AH179" s="3"/>
      <c r="AI179" s="227"/>
      <c r="AK179" s="187"/>
      <c r="AL179" s="187"/>
      <c r="AM179" s="187"/>
      <c r="AN179" s="187"/>
      <c r="AO179" s="187"/>
      <c r="AP179" s="187"/>
    </row>
    <row r="180" spans="1:42" s="1" customFormat="1" ht="14.25">
      <c r="B180" s="166" t="s">
        <v>46</v>
      </c>
      <c r="C180" s="12" t="s">
        <v>29</v>
      </c>
      <c r="D180" s="12" t="s">
        <v>29</v>
      </c>
      <c r="E180" s="165">
        <v>5</v>
      </c>
      <c r="F180" s="277"/>
      <c r="G180" s="3"/>
      <c r="H180" s="26">
        <v>0</v>
      </c>
      <c r="I180" s="26">
        <v>0</v>
      </c>
      <c r="J180" s="19" t="str">
        <f t="shared" si="23"/>
        <v>0</v>
      </c>
      <c r="K180" s="277"/>
      <c r="L180" s="3"/>
      <c r="M180" s="12" t="s">
        <v>29</v>
      </c>
      <c r="N180" s="12" t="s">
        <v>29</v>
      </c>
      <c r="O180" s="19">
        <v>6</v>
      </c>
      <c r="P180" s="277"/>
      <c r="Q180" s="3"/>
      <c r="R180" s="12" t="s">
        <v>29</v>
      </c>
      <c r="S180" s="12" t="s">
        <v>29</v>
      </c>
      <c r="T180" s="19">
        <v>5</v>
      </c>
      <c r="U180" s="277"/>
      <c r="V180" s="3"/>
      <c r="W180" s="12" t="s">
        <v>29</v>
      </c>
      <c r="X180" s="12" t="s">
        <v>29</v>
      </c>
      <c r="Y180" s="19">
        <v>6</v>
      </c>
      <c r="Z180" s="277"/>
      <c r="AA180" s="29">
        <f t="shared" si="28"/>
        <v>22</v>
      </c>
      <c r="AB180" s="288"/>
      <c r="AC180" s="3"/>
      <c r="AD180" s="4">
        <v>0</v>
      </c>
      <c r="AE180" s="4">
        <v>0</v>
      </c>
      <c r="AF180" s="19" t="str">
        <f t="shared" si="21"/>
        <v>0</v>
      </c>
      <c r="AG180" s="29" t="str">
        <f t="shared" si="16"/>
        <v>0</v>
      </c>
      <c r="AH180" s="3"/>
      <c r="AI180" s="227"/>
      <c r="AK180" s="187"/>
      <c r="AL180" s="187"/>
      <c r="AM180" s="187"/>
      <c r="AN180" s="187"/>
      <c r="AO180" s="187"/>
      <c r="AP180" s="187"/>
    </row>
    <row r="181" spans="1:42" s="1" customFormat="1" ht="14.25">
      <c r="B181" s="166" t="s">
        <v>161</v>
      </c>
      <c r="C181" s="12" t="s">
        <v>29</v>
      </c>
      <c r="D181" s="12" t="s">
        <v>29</v>
      </c>
      <c r="E181" s="165">
        <v>5</v>
      </c>
      <c r="F181" s="277"/>
      <c r="G181" s="3"/>
      <c r="H181" s="26">
        <v>0</v>
      </c>
      <c r="I181" s="26">
        <v>0</v>
      </c>
      <c r="J181" s="19" t="str">
        <f t="shared" si="23"/>
        <v>0</v>
      </c>
      <c r="K181" s="277"/>
      <c r="L181" s="3"/>
      <c r="M181" s="12" t="s">
        <v>29</v>
      </c>
      <c r="N181" s="12" t="s">
        <v>29</v>
      </c>
      <c r="O181" s="19">
        <v>4</v>
      </c>
      <c r="P181" s="277"/>
      <c r="Q181" s="3"/>
      <c r="R181" s="12" t="s">
        <v>29</v>
      </c>
      <c r="S181" s="12" t="s">
        <v>29</v>
      </c>
      <c r="T181" s="19">
        <v>6</v>
      </c>
      <c r="U181" s="277"/>
      <c r="V181" s="3"/>
      <c r="W181" s="12" t="s">
        <v>29</v>
      </c>
      <c r="X181" s="12" t="s">
        <v>29</v>
      </c>
      <c r="Y181" s="19">
        <v>6</v>
      </c>
      <c r="Z181" s="277"/>
      <c r="AA181" s="29">
        <f t="shared" si="28"/>
        <v>21</v>
      </c>
      <c r="AB181" s="288"/>
      <c r="AC181" s="3"/>
      <c r="AD181" s="4">
        <v>0</v>
      </c>
      <c r="AE181" s="4">
        <v>0</v>
      </c>
      <c r="AF181" s="19" t="str">
        <f t="shared" si="21"/>
        <v>0</v>
      </c>
      <c r="AG181" s="29" t="str">
        <f t="shared" si="16"/>
        <v>0</v>
      </c>
      <c r="AH181" s="3"/>
      <c r="AI181" s="227"/>
      <c r="AK181" s="187"/>
      <c r="AL181" s="187"/>
      <c r="AM181" s="187"/>
      <c r="AN181" s="187"/>
      <c r="AO181" s="187"/>
      <c r="AP181" s="187"/>
    </row>
    <row r="182" spans="1:42" s="1" customFormat="1" ht="14.25">
      <c r="B182" s="166" t="s">
        <v>147</v>
      </c>
      <c r="C182" s="12" t="s">
        <v>29</v>
      </c>
      <c r="D182" s="12" t="s">
        <v>29</v>
      </c>
      <c r="E182" s="165">
        <v>0</v>
      </c>
      <c r="F182" s="277"/>
      <c r="G182" s="3"/>
      <c r="H182" s="26">
        <v>0</v>
      </c>
      <c r="I182" s="26">
        <v>0</v>
      </c>
      <c r="J182" s="19" t="str">
        <f t="shared" si="23"/>
        <v>0</v>
      </c>
      <c r="K182" s="277"/>
      <c r="L182" s="3"/>
      <c r="M182" s="12" t="s">
        <v>29</v>
      </c>
      <c r="N182" s="12" t="s">
        <v>29</v>
      </c>
      <c r="O182" s="19">
        <v>0</v>
      </c>
      <c r="P182" s="277"/>
      <c r="Q182" s="3"/>
      <c r="R182" s="12" t="s">
        <v>29</v>
      </c>
      <c r="S182" s="12" t="s">
        <v>29</v>
      </c>
      <c r="T182" s="19">
        <v>0</v>
      </c>
      <c r="U182" s="277"/>
      <c r="V182" s="3"/>
      <c r="W182" s="12" t="s">
        <v>29</v>
      </c>
      <c r="X182" s="12" t="s">
        <v>29</v>
      </c>
      <c r="Y182" s="19">
        <v>0</v>
      </c>
      <c r="Z182" s="277"/>
      <c r="AA182" s="29">
        <f t="shared" si="20"/>
        <v>0</v>
      </c>
      <c r="AB182" s="288"/>
      <c r="AC182" s="3"/>
      <c r="AD182" s="4">
        <v>0</v>
      </c>
      <c r="AE182" s="4">
        <v>0</v>
      </c>
      <c r="AF182" s="19" t="str">
        <f t="shared" si="21"/>
        <v>0</v>
      </c>
      <c r="AG182" s="29" t="str">
        <f t="shared" si="16"/>
        <v>0</v>
      </c>
      <c r="AH182" s="3"/>
      <c r="AI182" s="227"/>
      <c r="AK182" s="187"/>
      <c r="AL182" s="187"/>
      <c r="AM182" s="187"/>
      <c r="AN182" s="187"/>
      <c r="AO182" s="187"/>
      <c r="AP182" s="187"/>
    </row>
    <row r="183" spans="1:42" s="1" customFormat="1">
      <c r="B183" s="64" t="s">
        <v>162</v>
      </c>
      <c r="C183" s="64"/>
      <c r="D183" s="64"/>
      <c r="E183" s="279" t="s">
        <v>163</v>
      </c>
      <c r="F183" s="277"/>
      <c r="G183" s="3"/>
      <c r="H183" s="64"/>
      <c r="I183" s="64"/>
      <c r="J183" s="167">
        <f>SUM(J163:J182)</f>
        <v>0</v>
      </c>
      <c r="K183" s="277"/>
      <c r="L183" s="3"/>
      <c r="M183" s="64"/>
      <c r="N183" s="64"/>
      <c r="O183" s="167">
        <v>78.5</v>
      </c>
      <c r="P183" s="277"/>
      <c r="Q183" s="3"/>
      <c r="R183" s="64"/>
      <c r="S183" s="64"/>
      <c r="T183" s="167">
        <v>78.5</v>
      </c>
      <c r="U183" s="277"/>
      <c r="V183" s="3"/>
      <c r="W183" s="64"/>
      <c r="X183" s="64"/>
      <c r="Y183" s="167">
        <v>72</v>
      </c>
      <c r="Z183" s="277"/>
      <c r="AA183" s="247">
        <v>309</v>
      </c>
      <c r="AB183" s="284">
        <v>0</v>
      </c>
      <c r="AC183" s="3"/>
      <c r="AD183" s="64"/>
      <c r="AE183" s="64"/>
      <c r="AF183" s="64"/>
      <c r="AG183" s="247">
        <f>SUM(AG163:AG175)</f>
        <v>32.25</v>
      </c>
      <c r="AH183" s="3"/>
      <c r="AI183" s="227"/>
      <c r="AK183" s="187"/>
      <c r="AL183" s="187"/>
      <c r="AM183" s="187"/>
      <c r="AN183" s="187"/>
      <c r="AO183" s="187"/>
      <c r="AP183" s="187"/>
    </row>
    <row r="184" spans="1:42" s="1" customFormat="1">
      <c r="B184" s="64" t="s">
        <v>164</v>
      </c>
      <c r="C184" s="64"/>
      <c r="D184" s="64"/>
      <c r="E184" s="279" t="s">
        <v>165</v>
      </c>
      <c r="F184" s="277"/>
      <c r="G184" s="3"/>
      <c r="H184" s="64"/>
      <c r="I184" s="64"/>
      <c r="J184" s="167">
        <f>SUM(J164:J182)</f>
        <v>0</v>
      </c>
      <c r="K184" s="277"/>
      <c r="L184" s="3"/>
      <c r="M184" s="64"/>
      <c r="N184" s="64"/>
      <c r="O184" s="167">
        <v>33</v>
      </c>
      <c r="P184" s="277"/>
      <c r="Q184" s="3"/>
      <c r="R184" s="64"/>
      <c r="S184" s="64"/>
      <c r="T184" s="167">
        <v>33</v>
      </c>
      <c r="U184" s="277"/>
      <c r="V184" s="3"/>
      <c r="W184" s="64"/>
      <c r="X184" s="64"/>
      <c r="Y184" s="167">
        <f>SUM(Y176:Y182)</f>
        <v>12</v>
      </c>
      <c r="Z184" s="277"/>
      <c r="AA184" s="247">
        <v>111</v>
      </c>
      <c r="AB184" s="284">
        <v>0</v>
      </c>
      <c r="AC184" s="3"/>
      <c r="AD184" s="64"/>
      <c r="AE184" s="64"/>
      <c r="AF184" s="64"/>
      <c r="AG184" s="55"/>
      <c r="AH184" s="3"/>
      <c r="AI184" s="227"/>
      <c r="AK184" s="187"/>
      <c r="AL184" s="187"/>
      <c r="AM184" s="187"/>
      <c r="AN184" s="187"/>
      <c r="AO184" s="187"/>
      <c r="AP184" s="187"/>
    </row>
    <row r="185" spans="1:42" s="1" customFormat="1">
      <c r="B185" s="63" t="s">
        <v>62</v>
      </c>
      <c r="C185" s="56"/>
      <c r="D185" s="56"/>
      <c r="E185" s="19">
        <v>8</v>
      </c>
      <c r="F185" s="291">
        <v>1</v>
      </c>
      <c r="G185" s="60"/>
      <c r="H185" s="56"/>
      <c r="I185" s="56"/>
      <c r="J185" s="19">
        <v>0</v>
      </c>
      <c r="K185" s="291"/>
      <c r="L185" s="60"/>
      <c r="M185" s="56"/>
      <c r="N185" s="56"/>
      <c r="O185" s="19">
        <v>7</v>
      </c>
      <c r="P185" s="291"/>
      <c r="Q185" s="60"/>
      <c r="R185" s="56"/>
      <c r="S185" s="56"/>
      <c r="T185" s="19">
        <v>7</v>
      </c>
      <c r="U185" s="291"/>
      <c r="V185" s="60"/>
      <c r="W185" s="56"/>
      <c r="X185" s="56"/>
      <c r="Y185" s="19">
        <v>0</v>
      </c>
      <c r="Z185" s="291"/>
      <c r="AA185" s="28">
        <f>SUM(E185:Y185)</f>
        <v>23</v>
      </c>
      <c r="AB185" s="282">
        <f>F185+K185+P185+U185+Z185</f>
        <v>1</v>
      </c>
      <c r="AC185" s="3"/>
      <c r="AD185" s="56"/>
      <c r="AE185" s="56"/>
      <c r="AF185" s="19">
        <v>0</v>
      </c>
      <c r="AG185" s="185">
        <f>AF185</f>
        <v>0</v>
      </c>
      <c r="AH185" s="3"/>
      <c r="AI185" s="227"/>
      <c r="AK185" s="187"/>
      <c r="AL185" s="187"/>
      <c r="AM185" s="187"/>
      <c r="AN185" s="187"/>
      <c r="AO185" s="187"/>
      <c r="AP185" s="187"/>
    </row>
    <row r="186" spans="1:42" s="1" customFormat="1">
      <c r="B186" s="63" t="s">
        <v>63</v>
      </c>
      <c r="C186" s="56"/>
      <c r="D186" s="56"/>
      <c r="E186" s="19">
        <v>3</v>
      </c>
      <c r="F186" s="291"/>
      <c r="G186" s="60"/>
      <c r="H186" s="56"/>
      <c r="I186" s="56"/>
      <c r="J186" s="19">
        <v>0</v>
      </c>
      <c r="K186" s="291"/>
      <c r="L186" s="60"/>
      <c r="M186" s="56"/>
      <c r="N186" s="56"/>
      <c r="O186" s="19">
        <v>5</v>
      </c>
      <c r="P186" s="291"/>
      <c r="Q186" s="60"/>
      <c r="R186" s="56"/>
      <c r="S186" s="56"/>
      <c r="T186" s="19">
        <v>5</v>
      </c>
      <c r="U186" s="291"/>
      <c r="V186" s="60"/>
      <c r="W186" s="56"/>
      <c r="X186" s="56"/>
      <c r="Y186" s="19">
        <v>5</v>
      </c>
      <c r="Z186" s="291"/>
      <c r="AA186" s="28">
        <f>SUM(E186:Y186)</f>
        <v>18</v>
      </c>
      <c r="AB186" s="282">
        <v>28</v>
      </c>
      <c r="AC186" s="3"/>
      <c r="AD186" s="56"/>
      <c r="AE186" s="56"/>
      <c r="AF186" s="19">
        <v>0</v>
      </c>
      <c r="AG186" s="185">
        <f>AF186</f>
        <v>0</v>
      </c>
      <c r="AH186" s="3"/>
      <c r="AI186" s="227"/>
      <c r="AK186" s="187"/>
      <c r="AL186" s="187"/>
      <c r="AM186" s="187"/>
      <c r="AN186" s="187"/>
      <c r="AO186" s="187"/>
      <c r="AP186" s="187"/>
    </row>
    <row r="187" spans="1:42" s="1" customFormat="1">
      <c r="B187" s="63" t="s">
        <v>64</v>
      </c>
      <c r="C187" s="56"/>
      <c r="D187" s="56"/>
      <c r="E187" s="19">
        <v>4.5</v>
      </c>
      <c r="F187" s="291"/>
      <c r="G187" s="60"/>
      <c r="H187" s="56"/>
      <c r="I187" s="56"/>
      <c r="J187" s="19" t="str">
        <f t="shared" ref="J187" si="29">TEXT(I187-H187, "h")</f>
        <v>0</v>
      </c>
      <c r="K187" s="291"/>
      <c r="L187" s="60"/>
      <c r="M187" s="56"/>
      <c r="N187" s="56"/>
      <c r="O187" s="19">
        <v>5</v>
      </c>
      <c r="P187" s="291"/>
      <c r="Q187" s="60"/>
      <c r="R187" s="56"/>
      <c r="S187" s="56"/>
      <c r="T187" s="19">
        <v>6</v>
      </c>
      <c r="U187" s="291"/>
      <c r="V187" s="60"/>
      <c r="W187" s="56"/>
      <c r="X187" s="56"/>
      <c r="Y187" s="19">
        <v>6</v>
      </c>
      <c r="Z187" s="291"/>
      <c r="AA187" s="28">
        <f>SUM(E187:Y187)</f>
        <v>21.5</v>
      </c>
      <c r="AB187" s="282">
        <f t="shared" ref="AB187:AB188" si="30">F187+K187+P187+U187+Z187</f>
        <v>0</v>
      </c>
      <c r="AC187" s="3"/>
      <c r="AD187" s="56"/>
      <c r="AE187" s="56"/>
      <c r="AF187" s="19">
        <v>0</v>
      </c>
      <c r="AG187" s="185">
        <f>AF187</f>
        <v>0</v>
      </c>
      <c r="AH187" s="3"/>
      <c r="AI187" s="227"/>
      <c r="AK187" s="187"/>
      <c r="AL187" s="187"/>
      <c r="AM187" s="187"/>
      <c r="AN187" s="187"/>
      <c r="AO187" s="187"/>
      <c r="AP187" s="187"/>
    </row>
    <row r="188" spans="1:42" s="1" customFormat="1" ht="14.25" thickBot="1">
      <c r="B188" s="268" t="s">
        <v>65</v>
      </c>
      <c r="C188" s="75"/>
      <c r="D188" s="75"/>
      <c r="E188" s="77">
        <v>3</v>
      </c>
      <c r="F188" s="292"/>
      <c r="G188" s="81"/>
      <c r="H188" s="75"/>
      <c r="I188" s="75"/>
      <c r="J188" s="77">
        <v>0</v>
      </c>
      <c r="K188" s="292"/>
      <c r="L188" s="81"/>
      <c r="M188" s="75"/>
      <c r="N188" s="75"/>
      <c r="O188" s="77">
        <v>3</v>
      </c>
      <c r="P188" s="292"/>
      <c r="Q188" s="81"/>
      <c r="R188" s="75"/>
      <c r="S188" s="75"/>
      <c r="T188" s="77">
        <v>3</v>
      </c>
      <c r="U188" s="292"/>
      <c r="V188" s="81"/>
      <c r="W188" s="75"/>
      <c r="X188" s="75"/>
      <c r="Y188" s="77">
        <v>3</v>
      </c>
      <c r="Z188" s="292"/>
      <c r="AA188" s="80">
        <f>SUM(E188:Y188)</f>
        <v>12</v>
      </c>
      <c r="AB188" s="287">
        <f t="shared" si="30"/>
        <v>0</v>
      </c>
      <c r="AC188" s="3"/>
      <c r="AD188" s="75"/>
      <c r="AE188" s="75"/>
      <c r="AF188" s="77">
        <v>0</v>
      </c>
      <c r="AG188" s="244">
        <f>AF188</f>
        <v>0</v>
      </c>
      <c r="AH188" s="3"/>
      <c r="AI188" s="227"/>
      <c r="AK188" s="187"/>
      <c r="AL188" s="187"/>
      <c r="AM188" s="187"/>
      <c r="AN188" s="187"/>
      <c r="AO188" s="187"/>
      <c r="AP188" s="187"/>
    </row>
    <row r="189" spans="1:42" s="187" customFormat="1" ht="13.5" customHeight="1" thickTop="1">
      <c r="A189" s="224"/>
      <c r="B189" s="214" t="s">
        <v>66</v>
      </c>
      <c r="C189" s="215"/>
      <c r="D189" s="215"/>
      <c r="E189" s="214">
        <f>SUM(E185:E188)</f>
        <v>18.5</v>
      </c>
      <c r="F189" s="214"/>
      <c r="G189" s="215"/>
      <c r="H189" s="214"/>
      <c r="I189" s="214"/>
      <c r="J189" s="214">
        <f>SUM(J185:J188)</f>
        <v>0</v>
      </c>
      <c r="K189" s="214"/>
      <c r="L189" s="215"/>
      <c r="M189" s="215"/>
      <c r="N189" s="215"/>
      <c r="O189" s="214">
        <f>SUM(O185:O188)</f>
        <v>20</v>
      </c>
      <c r="P189" s="214"/>
      <c r="Q189" s="214"/>
      <c r="R189" s="214"/>
      <c r="S189" s="214"/>
      <c r="T189" s="214">
        <f>SUM(T185:T188)</f>
        <v>21</v>
      </c>
      <c r="U189" s="214"/>
      <c r="V189" s="214"/>
      <c r="W189" s="214"/>
      <c r="X189" s="214"/>
      <c r="Y189" s="214">
        <f>SUM(Y185:Y188)</f>
        <v>14</v>
      </c>
      <c r="Z189" s="214"/>
      <c r="AA189" s="247">
        <f>SUM(AA185:AA188)</f>
        <v>74.5</v>
      </c>
      <c r="AB189" s="247">
        <f>SUM(AB185:AB188)</f>
        <v>29</v>
      </c>
      <c r="AC189" s="226"/>
      <c r="AD189" s="241"/>
      <c r="AG189" s="249">
        <f>SUM(AG187:AG188)</f>
        <v>0</v>
      </c>
      <c r="AH189" s="3"/>
      <c r="AI189" s="227"/>
      <c r="AJ189" s="1"/>
    </row>
    <row r="190" spans="1:42" s="1" customFormat="1" ht="13.5" customHeight="1">
      <c r="A190" s="11"/>
      <c r="B190" s="217" t="s">
        <v>67</v>
      </c>
      <c r="C190" s="207">
        <f>C191+C192</f>
        <v>46</v>
      </c>
      <c r="D190" s="208"/>
      <c r="E190" s="209"/>
      <c r="F190" s="209"/>
      <c r="G190" s="208"/>
      <c r="H190" s="209"/>
      <c r="I190" s="209"/>
      <c r="J190" s="209"/>
      <c r="K190" s="209"/>
      <c r="L190" s="208"/>
      <c r="M190" s="208"/>
      <c r="N190" s="208"/>
      <c r="O190" s="208"/>
      <c r="P190" s="209"/>
      <c r="Q190" s="208"/>
      <c r="R190" s="208"/>
      <c r="S190" s="208"/>
      <c r="T190" s="208"/>
      <c r="U190" s="209"/>
      <c r="V190" s="208"/>
      <c r="W190" s="208"/>
      <c r="X190" s="208"/>
      <c r="Y190" s="210"/>
      <c r="Z190" s="209"/>
      <c r="AA190" s="211"/>
      <c r="AB190" s="209"/>
      <c r="AC190" s="211"/>
      <c r="AD190" s="211"/>
      <c r="AE190" s="211"/>
      <c r="AF190" s="211"/>
      <c r="AG190" s="211"/>
      <c r="AH190" s="3"/>
      <c r="AI190" s="227"/>
      <c r="AK190" s="187"/>
      <c r="AL190" s="187"/>
      <c r="AM190" s="187"/>
      <c r="AN190" s="187"/>
      <c r="AO190" s="187"/>
      <c r="AP190" s="187"/>
    </row>
    <row r="191" spans="1:42" s="1" customFormat="1" ht="13.5" customHeight="1">
      <c r="A191" s="11"/>
      <c r="B191" s="238" t="s">
        <v>68</v>
      </c>
      <c r="C191" s="239">
        <v>29</v>
      </c>
      <c r="D191" s="208"/>
      <c r="E191" s="209"/>
      <c r="F191" s="209"/>
      <c r="G191" s="208"/>
      <c r="H191" s="209"/>
      <c r="I191" s="209"/>
      <c r="J191" s="209"/>
      <c r="K191" s="209"/>
      <c r="L191" s="208"/>
      <c r="M191" s="208"/>
      <c r="N191" s="208"/>
      <c r="O191" s="208"/>
      <c r="P191" s="209"/>
      <c r="Q191" s="208"/>
      <c r="R191" s="208"/>
      <c r="S191" s="208"/>
      <c r="T191" s="208"/>
      <c r="U191" s="209"/>
      <c r="V191" s="208"/>
      <c r="W191" s="208"/>
      <c r="X191" s="208"/>
      <c r="Y191" s="210"/>
      <c r="Z191" s="209"/>
      <c r="AA191" s="211"/>
      <c r="AB191" s="209"/>
      <c r="AC191" s="211"/>
      <c r="AD191" s="211"/>
      <c r="AE191" s="211"/>
      <c r="AF191" s="211"/>
      <c r="AG191" s="211"/>
      <c r="AH191" s="3"/>
      <c r="AI191" s="227"/>
      <c r="AK191" s="187"/>
      <c r="AL191" s="187"/>
      <c r="AM191" s="187"/>
      <c r="AN191" s="187"/>
      <c r="AO191" s="187"/>
      <c r="AP191" s="187"/>
    </row>
    <row r="192" spans="1:42" s="1" customFormat="1" ht="13.5" customHeight="1">
      <c r="A192" s="11"/>
      <c r="B192" s="238" t="s">
        <v>69</v>
      </c>
      <c r="C192" s="239">
        <v>17</v>
      </c>
      <c r="D192" s="208"/>
      <c r="E192" s="209"/>
      <c r="F192" s="209"/>
      <c r="G192" s="208"/>
      <c r="H192" s="209"/>
      <c r="I192" s="209"/>
      <c r="J192" s="209"/>
      <c r="K192" s="209"/>
      <c r="L192" s="208"/>
      <c r="M192" s="208"/>
      <c r="N192" s="208"/>
      <c r="O192" s="208"/>
      <c r="P192" s="209"/>
      <c r="Q192" s="208"/>
      <c r="R192" s="208"/>
      <c r="S192" s="208"/>
      <c r="T192" s="208"/>
      <c r="U192" s="209"/>
      <c r="V192" s="208"/>
      <c r="W192" s="208"/>
      <c r="X192" s="208"/>
      <c r="Y192" s="210"/>
      <c r="Z192" s="209"/>
      <c r="AA192" s="211"/>
      <c r="AB192" s="209"/>
      <c r="AC192" s="211"/>
      <c r="AD192" s="211"/>
      <c r="AE192" s="211"/>
      <c r="AF192" s="211"/>
      <c r="AG192" s="211"/>
      <c r="AH192" s="3"/>
      <c r="AI192" s="227"/>
      <c r="AK192" s="187"/>
      <c r="AL192" s="187"/>
      <c r="AM192" s="187"/>
      <c r="AN192" s="187"/>
      <c r="AO192" s="187"/>
      <c r="AP192" s="187"/>
    </row>
    <row r="193" spans="1:42" s="1" customFormat="1" ht="4.5" customHeight="1">
      <c r="A193" s="11"/>
      <c r="B193" s="218"/>
      <c r="C193" s="219"/>
      <c r="D193" s="220"/>
      <c r="E193" s="221"/>
      <c r="F193" s="221"/>
      <c r="G193" s="220"/>
      <c r="H193" s="221"/>
      <c r="I193" s="221"/>
      <c r="J193" s="221"/>
      <c r="K193" s="221"/>
      <c r="L193" s="220"/>
      <c r="M193" s="220"/>
      <c r="N193" s="220"/>
      <c r="O193" s="220"/>
      <c r="P193" s="221"/>
      <c r="Q193" s="220"/>
      <c r="R193" s="220"/>
      <c r="S193" s="220"/>
      <c r="T193" s="220"/>
      <c r="U193" s="221"/>
      <c r="V193" s="220"/>
      <c r="W193" s="220"/>
      <c r="X193" s="220"/>
      <c r="Y193" s="222"/>
      <c r="Z193" s="221"/>
      <c r="AA193" s="223"/>
      <c r="AB193" s="221"/>
      <c r="AC193" s="3"/>
      <c r="AD193" s="168"/>
      <c r="AH193" s="3"/>
      <c r="AI193" s="227"/>
      <c r="AK193" s="187"/>
      <c r="AL193" s="187"/>
      <c r="AM193" s="187"/>
      <c r="AN193" s="187"/>
      <c r="AO193" s="187"/>
      <c r="AP193" s="187"/>
    </row>
    <row r="194" spans="1:42" s="227" customFormat="1" ht="4.5" customHeight="1">
      <c r="A194" s="228"/>
      <c r="B194" s="229"/>
      <c r="C194" s="230"/>
      <c r="D194" s="231"/>
      <c r="E194" s="232"/>
      <c r="F194" s="232"/>
      <c r="G194" s="231"/>
      <c r="H194" s="232"/>
      <c r="I194" s="232"/>
      <c r="J194" s="232"/>
      <c r="K194" s="232"/>
      <c r="L194" s="231"/>
      <c r="M194" s="231"/>
      <c r="N194" s="231"/>
      <c r="O194" s="231"/>
      <c r="P194" s="232"/>
      <c r="Q194" s="231"/>
      <c r="R194" s="231"/>
      <c r="S194" s="231"/>
      <c r="T194" s="231"/>
      <c r="U194" s="232"/>
      <c r="V194" s="231"/>
      <c r="W194" s="231"/>
      <c r="X194" s="231"/>
      <c r="Y194" s="233"/>
      <c r="Z194" s="232"/>
      <c r="AA194" s="234"/>
      <c r="AB194" s="232"/>
      <c r="AC194" s="235"/>
      <c r="AD194" s="236"/>
      <c r="AH194" s="235"/>
    </row>
    <row r="195" spans="1:42" s="187" customFormat="1" ht="4.5" customHeight="1">
      <c r="A195" s="224"/>
      <c r="B195" s="214"/>
      <c r="C195" s="215"/>
      <c r="D195" s="215"/>
      <c r="E195" s="214"/>
      <c r="F195" s="214"/>
      <c r="G195" s="215"/>
      <c r="H195" s="214"/>
      <c r="I195" s="214"/>
      <c r="J195" s="214"/>
      <c r="K195" s="214"/>
      <c r="L195" s="215"/>
      <c r="M195" s="215"/>
      <c r="N195" s="215"/>
      <c r="O195" s="215"/>
      <c r="P195" s="214"/>
      <c r="Q195" s="215"/>
      <c r="R195" s="215"/>
      <c r="S195" s="215"/>
      <c r="T195" s="215"/>
      <c r="U195" s="214"/>
      <c r="V195" s="215"/>
      <c r="W195" s="215"/>
      <c r="X195" s="215"/>
      <c r="Y195" s="216"/>
      <c r="Z195" s="214"/>
      <c r="AA195" s="225"/>
      <c r="AB195" s="214"/>
      <c r="AC195" s="226"/>
      <c r="AH195" s="226"/>
      <c r="AI195" s="227"/>
    </row>
    <row r="196" spans="1:42" s="1" customFormat="1">
      <c r="B196" s="1518" t="s">
        <v>18</v>
      </c>
      <c r="C196" s="1524">
        <v>45117</v>
      </c>
      <c r="D196" s="1524"/>
      <c r="E196" s="1524"/>
      <c r="F196" s="1524"/>
      <c r="G196" s="22"/>
      <c r="H196" s="1524">
        <v>45118</v>
      </c>
      <c r="I196" s="1524"/>
      <c r="J196" s="1524"/>
      <c r="K196" s="1524"/>
      <c r="L196" s="22"/>
      <c r="M196" s="1524">
        <v>45119</v>
      </c>
      <c r="N196" s="1524"/>
      <c r="O196" s="1524"/>
      <c r="P196" s="1524"/>
      <c r="Q196" s="22"/>
      <c r="R196" s="1524">
        <v>45120</v>
      </c>
      <c r="S196" s="1524"/>
      <c r="T196" s="1524"/>
      <c r="U196" s="1524"/>
      <c r="V196" s="22"/>
      <c r="W196" s="1524">
        <v>45121</v>
      </c>
      <c r="X196" s="1524"/>
      <c r="Y196" s="1524"/>
      <c r="Z196" s="1524"/>
      <c r="AA196" s="1517" t="s">
        <v>19</v>
      </c>
      <c r="AB196" s="1517" t="s">
        <v>20</v>
      </c>
      <c r="AC196" s="3"/>
      <c r="AD196" s="1524">
        <v>45122</v>
      </c>
      <c r="AE196" s="1524"/>
      <c r="AF196" s="1524"/>
      <c r="AG196" s="1517" t="s">
        <v>21</v>
      </c>
      <c r="AH196" s="3"/>
      <c r="AI196" s="227"/>
      <c r="AK196" s="194" t="s">
        <v>166</v>
      </c>
      <c r="AL196" s="195"/>
      <c r="AM196" s="195"/>
      <c r="AN196" s="195"/>
      <c r="AO196" s="195"/>
      <c r="AP196" s="195"/>
    </row>
    <row r="197" spans="1:42" s="1" customFormat="1" ht="14.25">
      <c r="B197" s="1518"/>
      <c r="C197" s="21" t="s">
        <v>23</v>
      </c>
      <c r="D197" s="21" t="s">
        <v>24</v>
      </c>
      <c r="E197" s="205" t="s">
        <v>144</v>
      </c>
      <c r="F197" s="18" t="s">
        <v>14</v>
      </c>
      <c r="G197" s="3"/>
      <c r="H197" s="21" t="s">
        <v>23</v>
      </c>
      <c r="I197" s="21" t="s">
        <v>24</v>
      </c>
      <c r="J197" s="205" t="s">
        <v>144</v>
      </c>
      <c r="K197" s="18" t="s">
        <v>14</v>
      </c>
      <c r="L197" s="3"/>
      <c r="M197" s="21" t="s">
        <v>23</v>
      </c>
      <c r="N197" s="21" t="s">
        <v>24</v>
      </c>
      <c r="O197" s="205" t="s">
        <v>144</v>
      </c>
      <c r="P197" s="18" t="s">
        <v>14</v>
      </c>
      <c r="Q197" s="3"/>
      <c r="R197" s="21" t="s">
        <v>23</v>
      </c>
      <c r="S197" s="21" t="s">
        <v>24</v>
      </c>
      <c r="T197" s="205" t="s">
        <v>144</v>
      </c>
      <c r="U197" s="18" t="s">
        <v>14</v>
      </c>
      <c r="V197" s="3"/>
      <c r="W197" s="21" t="s">
        <v>23</v>
      </c>
      <c r="X197" s="21" t="s">
        <v>24</v>
      </c>
      <c r="Y197" s="205" t="s">
        <v>144</v>
      </c>
      <c r="Z197" s="18" t="s">
        <v>14</v>
      </c>
      <c r="AA197" s="1523"/>
      <c r="AB197" s="1517"/>
      <c r="AC197" s="3"/>
      <c r="AD197" s="21" t="s">
        <v>23</v>
      </c>
      <c r="AE197" s="21" t="s">
        <v>24</v>
      </c>
      <c r="AF197" s="18" t="s">
        <v>25</v>
      </c>
      <c r="AG197" s="1523"/>
      <c r="AH197" s="3"/>
      <c r="AI197" s="227"/>
      <c r="AK197" s="188" t="s">
        <v>26</v>
      </c>
      <c r="AL197" s="196">
        <f>AA217</f>
        <v>584</v>
      </c>
      <c r="AM197" s="187"/>
      <c r="AN197" s="187"/>
      <c r="AO197" s="187"/>
      <c r="AP197" s="187"/>
    </row>
    <row r="198" spans="1:42" s="1" customFormat="1" ht="14.25">
      <c r="B198" s="13" t="s">
        <v>129</v>
      </c>
      <c r="C198" s="47">
        <v>0.375</v>
      </c>
      <c r="D198" s="47">
        <v>0.22916666666666666</v>
      </c>
      <c r="E198" s="19">
        <v>7.5</v>
      </c>
      <c r="F198" s="277"/>
      <c r="G198" s="3"/>
      <c r="H198" s="47">
        <v>0.38194444444444442</v>
      </c>
      <c r="I198" s="47">
        <v>0.22916666666666666</v>
      </c>
      <c r="J198" s="19">
        <v>7.25</v>
      </c>
      <c r="K198" s="277"/>
      <c r="L198" s="3"/>
      <c r="M198" s="47">
        <v>0.35416666666666669</v>
      </c>
      <c r="N198" s="47">
        <v>0.22916666666666666</v>
      </c>
      <c r="O198" s="19">
        <v>8</v>
      </c>
      <c r="P198" s="277"/>
      <c r="Q198" s="3"/>
      <c r="R198" s="47">
        <v>0.3611111111111111</v>
      </c>
      <c r="S198" s="47">
        <v>0.22916666666666666</v>
      </c>
      <c r="T198" s="19">
        <v>7.75</v>
      </c>
      <c r="U198" s="277"/>
      <c r="V198" s="3"/>
      <c r="W198" s="47">
        <v>0.35416666666666669</v>
      </c>
      <c r="X198" s="47">
        <v>0.22916666666666666</v>
      </c>
      <c r="Y198" s="19">
        <v>8</v>
      </c>
      <c r="Z198" s="277"/>
      <c r="AA198" s="183">
        <f>(E198+J198+O198+T198+Y198)</f>
        <v>38.5</v>
      </c>
      <c r="AB198" s="282"/>
      <c r="AC198" s="3"/>
      <c r="AD198" s="4">
        <v>0</v>
      </c>
      <c r="AE198" s="4">
        <v>0</v>
      </c>
      <c r="AF198" s="19" t="str">
        <f>TEXT(AE198-AD198, "h")</f>
        <v>0</v>
      </c>
      <c r="AG198" s="29" t="str">
        <f t="shared" ref="AG198:AG213" si="31">AF198</f>
        <v>0</v>
      </c>
      <c r="AH198" s="3"/>
      <c r="AI198" s="227"/>
      <c r="AK198" s="188" t="s">
        <v>30</v>
      </c>
      <c r="AL198" s="196">
        <f>AB217</f>
        <v>2.75</v>
      </c>
      <c r="AM198" s="187"/>
      <c r="AN198" s="187"/>
      <c r="AO198" s="187"/>
      <c r="AP198" s="187"/>
    </row>
    <row r="199" spans="1:42" s="1" customFormat="1" ht="14.25">
      <c r="B199" s="13" t="s">
        <v>132</v>
      </c>
      <c r="C199" s="61">
        <v>0.39583333333333331</v>
      </c>
      <c r="D199" s="47">
        <v>0.22916666666666666</v>
      </c>
      <c r="E199" s="19">
        <v>7</v>
      </c>
      <c r="F199" s="277"/>
      <c r="G199" s="3"/>
      <c r="H199" s="47">
        <v>0.375</v>
      </c>
      <c r="I199" s="47">
        <v>0.22916666666666666</v>
      </c>
      <c r="J199" s="19">
        <v>7.5</v>
      </c>
      <c r="K199" s="277"/>
      <c r="L199" s="3"/>
      <c r="M199" s="4">
        <v>0</v>
      </c>
      <c r="N199" s="4">
        <v>0</v>
      </c>
      <c r="O199" s="19" t="str">
        <f t="shared" ref="O199" si="32">TEXT(N199-M199, "h")</f>
        <v>0</v>
      </c>
      <c r="P199" s="277"/>
      <c r="Q199" s="3"/>
      <c r="R199" s="4">
        <v>0</v>
      </c>
      <c r="S199" s="4">
        <v>0</v>
      </c>
      <c r="T199" s="19" t="str">
        <f t="shared" ref="T199:T204" si="33">TEXT(S199-R199, "h")</f>
        <v>0</v>
      </c>
      <c r="U199" s="277"/>
      <c r="V199" s="3"/>
      <c r="W199" s="4">
        <v>0</v>
      </c>
      <c r="X199" s="47">
        <v>0</v>
      </c>
      <c r="Y199" s="19" t="str">
        <f t="shared" ref="Y199:Y204" si="34">TEXT(X199-W199, "h")</f>
        <v>0</v>
      </c>
      <c r="Z199" s="277"/>
      <c r="AA199" s="183">
        <f t="shared" ref="AA199:AA216" si="35">(E199+J199+O199+T199+Y199)</f>
        <v>14.5</v>
      </c>
      <c r="AB199" s="282"/>
      <c r="AC199" s="3"/>
      <c r="AD199" s="4">
        <v>0</v>
      </c>
      <c r="AE199" s="4">
        <v>0</v>
      </c>
      <c r="AF199" s="19" t="str">
        <f t="shared" ref="AF199:AF206" si="36">TEXT(AE199-AD199, "h")</f>
        <v>0</v>
      </c>
      <c r="AG199" s="29" t="str">
        <f t="shared" si="31"/>
        <v>0</v>
      </c>
      <c r="AH199" s="3"/>
      <c r="AI199" s="227"/>
      <c r="AK199" s="188" t="s">
        <v>32</v>
      </c>
      <c r="AL199" s="196">
        <f>AG217</f>
        <v>31.25</v>
      </c>
      <c r="AM199" s="187"/>
      <c r="AN199" s="187"/>
      <c r="AO199" s="187"/>
      <c r="AP199" s="187"/>
    </row>
    <row r="200" spans="1:42" s="1" customFormat="1" ht="14.25">
      <c r="B200" s="13" t="s">
        <v>35</v>
      </c>
      <c r="C200" s="47">
        <v>0.3888888888888889</v>
      </c>
      <c r="D200" s="47">
        <v>0.22916666666666666</v>
      </c>
      <c r="E200" s="19">
        <v>7.25</v>
      </c>
      <c r="F200" s="277"/>
      <c r="G200" s="3"/>
      <c r="H200" s="47">
        <v>0.375</v>
      </c>
      <c r="I200" s="47">
        <v>0.22916666666666666</v>
      </c>
      <c r="J200" s="19">
        <v>7.5</v>
      </c>
      <c r="K200" s="277"/>
      <c r="L200" s="3"/>
      <c r="M200" s="47">
        <v>0.375</v>
      </c>
      <c r="N200" s="47">
        <v>0.22916666666666666</v>
      </c>
      <c r="O200" s="19">
        <v>7.5</v>
      </c>
      <c r="P200" s="277"/>
      <c r="Q200" s="3"/>
      <c r="R200" s="4">
        <v>0</v>
      </c>
      <c r="S200" s="4">
        <v>0</v>
      </c>
      <c r="T200" s="19" t="str">
        <f t="shared" ref="T200" si="37">TEXT(S200-R200, "h")</f>
        <v>0</v>
      </c>
      <c r="U200" s="277"/>
      <c r="V200" s="3"/>
      <c r="W200" s="47">
        <v>0.375</v>
      </c>
      <c r="X200" s="47">
        <v>0.22916666666666666</v>
      </c>
      <c r="Y200" s="19">
        <v>7.5</v>
      </c>
      <c r="Z200" s="277"/>
      <c r="AA200" s="28">
        <f t="shared" si="35"/>
        <v>29.75</v>
      </c>
      <c r="AB200" s="282"/>
      <c r="AC200" s="3"/>
      <c r="AD200" s="4">
        <v>0</v>
      </c>
      <c r="AE200" s="4">
        <v>0</v>
      </c>
      <c r="AF200" s="19" t="str">
        <f t="shared" si="36"/>
        <v>0</v>
      </c>
      <c r="AG200" s="29" t="str">
        <f t="shared" si="31"/>
        <v>0</v>
      </c>
      <c r="AH200" s="3"/>
      <c r="AI200" s="227"/>
      <c r="AK200" s="188" t="s">
        <v>34</v>
      </c>
      <c r="AL200" s="196">
        <f>AA222</f>
        <v>102.75</v>
      </c>
      <c r="AM200" s="187"/>
      <c r="AN200" s="187"/>
      <c r="AO200" s="187"/>
      <c r="AP200" s="187"/>
    </row>
    <row r="201" spans="1:42" s="176" customFormat="1" ht="14.25">
      <c r="B201" s="13" t="s">
        <v>37</v>
      </c>
      <c r="C201" s="47">
        <v>0.41666666666666669</v>
      </c>
      <c r="D201" s="47">
        <v>0.22916666666666666</v>
      </c>
      <c r="E201" s="19">
        <v>6.5</v>
      </c>
      <c r="F201" s="277"/>
      <c r="G201" s="3"/>
      <c r="H201" s="47">
        <v>0.35416666666666669</v>
      </c>
      <c r="I201" s="47">
        <v>0.22916666666666666</v>
      </c>
      <c r="J201" s="19">
        <v>8</v>
      </c>
      <c r="K201" s="277"/>
      <c r="L201" s="3"/>
      <c r="M201" s="47">
        <v>0.375</v>
      </c>
      <c r="N201" s="47">
        <v>0.22916666666666666</v>
      </c>
      <c r="O201" s="19">
        <v>7.5</v>
      </c>
      <c r="P201" s="277"/>
      <c r="Q201" s="3"/>
      <c r="R201" s="47">
        <v>0.3611111111111111</v>
      </c>
      <c r="S201" s="47">
        <v>0.22916666666666666</v>
      </c>
      <c r="T201" s="19">
        <v>7.75</v>
      </c>
      <c r="U201" s="277"/>
      <c r="V201" s="3"/>
      <c r="W201" s="47">
        <v>0.36458333333333331</v>
      </c>
      <c r="X201" s="47">
        <v>0.22916666666666666</v>
      </c>
      <c r="Y201" s="19">
        <v>7.75</v>
      </c>
      <c r="Z201" s="277"/>
      <c r="AA201" s="183">
        <f t="shared" si="35"/>
        <v>37.5</v>
      </c>
      <c r="AB201" s="282"/>
      <c r="AC201" s="3"/>
      <c r="AD201" s="4">
        <v>0</v>
      </c>
      <c r="AE201" s="4">
        <v>0</v>
      </c>
      <c r="AF201" s="19" t="str">
        <f t="shared" si="36"/>
        <v>0</v>
      </c>
      <c r="AG201" s="29" t="str">
        <f t="shared" si="31"/>
        <v>0</v>
      </c>
      <c r="AH201" s="174"/>
      <c r="AI201" s="257"/>
      <c r="AK201" s="188" t="s">
        <v>149</v>
      </c>
      <c r="AL201" s="196">
        <f>AB222</f>
        <v>18.75</v>
      </c>
      <c r="AM201" s="187"/>
      <c r="AN201" s="187"/>
      <c r="AO201" s="187"/>
      <c r="AP201" s="187"/>
    </row>
    <row r="202" spans="1:42" s="176" customFormat="1" ht="14.25">
      <c r="B202" s="171" t="s">
        <v>141</v>
      </c>
      <c r="C202" s="172">
        <v>0.34027777777777773</v>
      </c>
      <c r="D202" s="172">
        <v>0.1875</v>
      </c>
      <c r="E202" s="19">
        <v>8</v>
      </c>
      <c r="F202" s="277">
        <v>0.25</v>
      </c>
      <c r="G202" s="174"/>
      <c r="H202" s="172">
        <v>0.34027777777777773</v>
      </c>
      <c r="I202" s="172">
        <v>0.20833333333333334</v>
      </c>
      <c r="J202" s="173">
        <v>7.75</v>
      </c>
      <c r="K202" s="277"/>
      <c r="L202" s="174"/>
      <c r="M202" s="172">
        <v>0.33333333333333331</v>
      </c>
      <c r="N202" s="172">
        <v>0.20833333333333334</v>
      </c>
      <c r="O202" s="173">
        <v>8</v>
      </c>
      <c r="P202" s="277"/>
      <c r="Q202" s="174"/>
      <c r="R202" s="175">
        <v>0</v>
      </c>
      <c r="S202" s="175">
        <v>0</v>
      </c>
      <c r="T202" s="173" t="str">
        <f t="shared" si="33"/>
        <v>0</v>
      </c>
      <c r="U202" s="277"/>
      <c r="V202" s="174"/>
      <c r="W202" s="175">
        <v>0</v>
      </c>
      <c r="X202" s="175">
        <v>0</v>
      </c>
      <c r="Y202" s="173" t="str">
        <f t="shared" si="34"/>
        <v>0</v>
      </c>
      <c r="Z202" s="277"/>
      <c r="AA202" s="169">
        <f t="shared" si="35"/>
        <v>23.75</v>
      </c>
      <c r="AB202" s="282">
        <f t="shared" ref="AB202:AB211" si="38">Z202+U202+P202+K202+F202</f>
        <v>0.25</v>
      </c>
      <c r="AC202" s="174"/>
      <c r="AD202" s="175">
        <v>0</v>
      </c>
      <c r="AE202" s="175">
        <v>0</v>
      </c>
      <c r="AF202" s="173" t="str">
        <f t="shared" si="36"/>
        <v>0</v>
      </c>
      <c r="AG202" s="29" t="str">
        <f t="shared" si="31"/>
        <v>0</v>
      </c>
      <c r="AH202" s="174"/>
      <c r="AI202" s="257"/>
      <c r="AK202" s="188" t="s">
        <v>38</v>
      </c>
      <c r="AL202" s="190">
        <f>AG222</f>
        <v>0</v>
      </c>
      <c r="AM202" s="187"/>
      <c r="AN202" s="187"/>
      <c r="AO202" s="187"/>
      <c r="AP202" s="187"/>
    </row>
    <row r="203" spans="1:42" s="1" customFormat="1" ht="14.25">
      <c r="B203" s="171" t="s">
        <v>142</v>
      </c>
      <c r="C203" s="177">
        <v>0.40625</v>
      </c>
      <c r="D203" s="172">
        <v>0.27083333333333331</v>
      </c>
      <c r="E203" s="19">
        <v>8</v>
      </c>
      <c r="F203" s="277">
        <v>0.75</v>
      </c>
      <c r="G203" s="174"/>
      <c r="H203" s="172">
        <v>0.40625</v>
      </c>
      <c r="I203" s="172">
        <v>0.22916666666666666</v>
      </c>
      <c r="J203" s="173">
        <v>6.75</v>
      </c>
      <c r="K203" s="277"/>
      <c r="L203" s="174"/>
      <c r="M203" s="172">
        <v>0.40625</v>
      </c>
      <c r="N203" s="172">
        <v>0.22916666666666666</v>
      </c>
      <c r="O203" s="173">
        <v>7.75</v>
      </c>
      <c r="P203" s="277"/>
      <c r="Q203" s="174"/>
      <c r="R203" s="172">
        <v>0.39583333333333331</v>
      </c>
      <c r="S203" s="172">
        <v>0.20833333333333334</v>
      </c>
      <c r="T203" s="173">
        <v>8</v>
      </c>
      <c r="U203" s="277"/>
      <c r="V203" s="174"/>
      <c r="W203" s="172">
        <v>0.375</v>
      </c>
      <c r="X203" s="172">
        <v>0.22916666666666666</v>
      </c>
      <c r="Y203" s="173">
        <v>8</v>
      </c>
      <c r="Z203" s="277"/>
      <c r="AA203" s="28">
        <f t="shared" si="35"/>
        <v>38.5</v>
      </c>
      <c r="AB203" s="282">
        <f t="shared" si="38"/>
        <v>0.75</v>
      </c>
      <c r="AC203" s="174"/>
      <c r="AD203" s="175">
        <v>0</v>
      </c>
      <c r="AE203" s="175">
        <v>0</v>
      </c>
      <c r="AF203" s="173" t="str">
        <f t="shared" si="36"/>
        <v>0</v>
      </c>
      <c r="AG203" s="29" t="str">
        <f t="shared" si="31"/>
        <v>0</v>
      </c>
      <c r="AH203" s="3"/>
      <c r="AI203" s="227"/>
      <c r="AK203" s="188" t="s">
        <v>41</v>
      </c>
      <c r="AL203" s="189">
        <f>C223</f>
        <v>80</v>
      </c>
      <c r="AM203" s="191"/>
      <c r="AN203" s="191"/>
      <c r="AO203" s="191"/>
      <c r="AP203" s="191"/>
    </row>
    <row r="204" spans="1:42" s="176" customFormat="1" ht="14.25">
      <c r="B204" s="13" t="s">
        <v>55</v>
      </c>
      <c r="C204" s="4">
        <v>0</v>
      </c>
      <c r="D204" s="4">
        <v>0</v>
      </c>
      <c r="E204" s="19" t="str">
        <f t="shared" ref="E204" si="39">TEXT(D204-C204, "h")</f>
        <v>0</v>
      </c>
      <c r="F204" s="277"/>
      <c r="G204" s="3"/>
      <c r="H204" s="4">
        <v>0</v>
      </c>
      <c r="I204" s="4">
        <v>0</v>
      </c>
      <c r="J204" s="19" t="str">
        <f t="shared" ref="J204" si="40">TEXT(I204-H204, "h")</f>
        <v>0</v>
      </c>
      <c r="K204" s="277"/>
      <c r="L204" s="3"/>
      <c r="M204" s="4">
        <v>0</v>
      </c>
      <c r="N204" s="4">
        <v>0</v>
      </c>
      <c r="O204" s="19" t="str">
        <f t="shared" ref="O204" si="41">TEXT(N204-M204, "h")</f>
        <v>0</v>
      </c>
      <c r="P204" s="277"/>
      <c r="Q204" s="3"/>
      <c r="R204" s="4">
        <v>0</v>
      </c>
      <c r="S204" s="4">
        <v>0</v>
      </c>
      <c r="T204" s="19" t="str">
        <f t="shared" si="33"/>
        <v>0</v>
      </c>
      <c r="U204" s="277"/>
      <c r="V204" s="3"/>
      <c r="W204" s="4">
        <v>0</v>
      </c>
      <c r="X204" s="47">
        <v>0</v>
      </c>
      <c r="Y204" s="19" t="str">
        <f t="shared" si="34"/>
        <v>0</v>
      </c>
      <c r="Z204" s="277"/>
      <c r="AA204" s="169">
        <f t="shared" si="35"/>
        <v>0</v>
      </c>
      <c r="AB204" s="282"/>
      <c r="AC204" s="3"/>
      <c r="AD204" s="47">
        <v>0.35416666666666669</v>
      </c>
      <c r="AE204" s="47">
        <v>0.125</v>
      </c>
      <c r="AF204" s="19">
        <v>6.5</v>
      </c>
      <c r="AG204" s="29">
        <f t="shared" si="31"/>
        <v>6.5</v>
      </c>
      <c r="AH204" s="174"/>
      <c r="AI204" s="257"/>
      <c r="AK204" s="191"/>
      <c r="AL204" s="191"/>
      <c r="AM204" s="191"/>
      <c r="AN204" s="191"/>
      <c r="AO204" s="191"/>
      <c r="AP204" s="191"/>
    </row>
    <row r="205" spans="1:42" s="1" customFormat="1" ht="14.25">
      <c r="B205" s="171" t="s">
        <v>31</v>
      </c>
      <c r="C205" s="172">
        <v>0.33333333333333331</v>
      </c>
      <c r="D205" s="172">
        <v>0.20833333333333334</v>
      </c>
      <c r="E205" s="19">
        <v>8</v>
      </c>
      <c r="F205" s="277">
        <v>0.25</v>
      </c>
      <c r="G205" s="174"/>
      <c r="H205" s="172">
        <v>0.33333333333333331</v>
      </c>
      <c r="I205" s="172">
        <v>0.20833333333333334</v>
      </c>
      <c r="J205" s="19">
        <v>8</v>
      </c>
      <c r="K205" s="277">
        <v>0.5</v>
      </c>
      <c r="L205" s="174"/>
      <c r="M205" s="172">
        <v>0.33333333333333331</v>
      </c>
      <c r="N205" s="172">
        <v>0.20833333333333334</v>
      </c>
      <c r="O205" s="173">
        <v>8</v>
      </c>
      <c r="P205" s="277"/>
      <c r="Q205" s="174"/>
      <c r="R205" s="172">
        <v>0.33333333333333331</v>
      </c>
      <c r="S205" s="172">
        <v>0.20833333333333334</v>
      </c>
      <c r="T205" s="173">
        <v>8</v>
      </c>
      <c r="U205" s="277"/>
      <c r="V205" s="174"/>
      <c r="W205" s="172">
        <v>0.33333333333333331</v>
      </c>
      <c r="X205" s="172">
        <v>0.20833333333333334</v>
      </c>
      <c r="Y205" s="173">
        <v>8</v>
      </c>
      <c r="Z205" s="277"/>
      <c r="AA205" s="28">
        <f t="shared" si="35"/>
        <v>40</v>
      </c>
      <c r="AB205" s="282">
        <f t="shared" si="38"/>
        <v>0.75</v>
      </c>
      <c r="AC205" s="174"/>
      <c r="AD205" s="175">
        <v>0</v>
      </c>
      <c r="AE205" s="175">
        <v>0</v>
      </c>
      <c r="AF205" s="173" t="str">
        <f t="shared" si="36"/>
        <v>0</v>
      </c>
      <c r="AG205" s="29" t="str">
        <f t="shared" si="31"/>
        <v>0</v>
      </c>
      <c r="AH205" s="3"/>
      <c r="AI205" s="227"/>
      <c r="AK205" s="187"/>
      <c r="AL205" s="187"/>
      <c r="AM205" s="187"/>
      <c r="AN205" s="187"/>
      <c r="AO205" s="187"/>
      <c r="AP205" s="187"/>
    </row>
    <row r="206" spans="1:42" s="1" customFormat="1" ht="14.25">
      <c r="B206" s="13" t="s">
        <v>39</v>
      </c>
      <c r="C206" s="47">
        <v>0.41666666666666669</v>
      </c>
      <c r="D206" s="47">
        <v>0.22916666666666666</v>
      </c>
      <c r="E206" s="19">
        <v>6.5</v>
      </c>
      <c r="F206" s="277"/>
      <c r="G206" s="3"/>
      <c r="H206" s="47">
        <v>0.4375</v>
      </c>
      <c r="I206" s="47">
        <v>0.22916666666666666</v>
      </c>
      <c r="J206" s="19">
        <v>6</v>
      </c>
      <c r="K206" s="277"/>
      <c r="L206" s="3"/>
      <c r="M206" s="47">
        <v>0.40625</v>
      </c>
      <c r="N206" s="47">
        <v>0.22916666666666666</v>
      </c>
      <c r="O206" s="19">
        <v>7.75</v>
      </c>
      <c r="P206" s="277"/>
      <c r="Q206" s="3"/>
      <c r="R206" s="47">
        <v>0.41666666666666669</v>
      </c>
      <c r="S206" s="47">
        <v>0.22916666666666666</v>
      </c>
      <c r="T206" s="19">
        <v>6.5</v>
      </c>
      <c r="U206" s="277"/>
      <c r="V206" s="3"/>
      <c r="W206" s="47">
        <v>0.40625</v>
      </c>
      <c r="X206" s="47">
        <v>0.22916666666666666</v>
      </c>
      <c r="Y206" s="19">
        <v>6.75</v>
      </c>
      <c r="Z206" s="277"/>
      <c r="AA206" s="183">
        <f t="shared" si="35"/>
        <v>33.5</v>
      </c>
      <c r="AB206" s="282"/>
      <c r="AC206" s="3"/>
      <c r="AD206" s="4">
        <v>0</v>
      </c>
      <c r="AE206" s="4">
        <v>0</v>
      </c>
      <c r="AF206" s="19" t="str">
        <f t="shared" si="36"/>
        <v>0</v>
      </c>
      <c r="AG206" s="29" t="str">
        <f t="shared" si="31"/>
        <v>0</v>
      </c>
      <c r="AH206" s="3"/>
      <c r="AI206" s="227"/>
      <c r="AK206" s="187"/>
      <c r="AL206" s="187"/>
      <c r="AM206" s="187"/>
      <c r="AN206" s="187"/>
      <c r="AO206" s="187"/>
      <c r="AP206" s="187"/>
    </row>
    <row r="207" spans="1:42" s="1" customFormat="1" ht="14.25">
      <c r="B207" s="164" t="s">
        <v>40</v>
      </c>
      <c r="C207" s="47">
        <v>0.39583333333333331</v>
      </c>
      <c r="D207" s="47">
        <v>0.22916666666666666</v>
      </c>
      <c r="E207" s="19">
        <v>7</v>
      </c>
      <c r="F207" s="277"/>
      <c r="G207" s="3"/>
      <c r="H207" s="47">
        <v>0.375</v>
      </c>
      <c r="I207" s="47">
        <v>0.22916666666666666</v>
      </c>
      <c r="J207" s="19">
        <v>7.5</v>
      </c>
      <c r="K207" s="277"/>
      <c r="L207" s="3"/>
      <c r="M207" s="47">
        <v>0.35416666666666669</v>
      </c>
      <c r="N207" s="47">
        <v>0.22916666666666666</v>
      </c>
      <c r="O207" s="19">
        <v>8</v>
      </c>
      <c r="P207" s="277"/>
      <c r="Q207" s="3"/>
      <c r="R207" s="47">
        <v>0.3611111111111111</v>
      </c>
      <c r="S207" s="47">
        <v>0.22916666666666666</v>
      </c>
      <c r="T207" s="19">
        <v>7.75</v>
      </c>
      <c r="U207" s="277"/>
      <c r="V207" s="3"/>
      <c r="W207" s="47">
        <v>0.35416666666666669</v>
      </c>
      <c r="X207" s="47">
        <v>0.22916666666666666</v>
      </c>
      <c r="Y207" s="19">
        <v>8</v>
      </c>
      <c r="Z207" s="277"/>
      <c r="AA207" s="28">
        <f t="shared" si="35"/>
        <v>38.25</v>
      </c>
      <c r="AB207" s="282"/>
      <c r="AC207" s="3"/>
      <c r="AD207" s="47">
        <v>0.375</v>
      </c>
      <c r="AE207" s="47">
        <v>0.125</v>
      </c>
      <c r="AF207" s="19">
        <v>6</v>
      </c>
      <c r="AG207" s="29">
        <f t="shared" si="31"/>
        <v>6</v>
      </c>
      <c r="AH207" s="3"/>
      <c r="AI207" s="227"/>
      <c r="AK207" s="187"/>
      <c r="AL207" s="187"/>
      <c r="AM207" s="187"/>
      <c r="AN207" s="187"/>
      <c r="AO207" s="187"/>
      <c r="AP207" s="187"/>
    </row>
    <row r="208" spans="1:42" s="1" customFormat="1" ht="14.25">
      <c r="B208" s="164" t="s">
        <v>42</v>
      </c>
      <c r="C208" s="47">
        <v>0.375</v>
      </c>
      <c r="D208" s="47">
        <v>0.22916666666666666</v>
      </c>
      <c r="E208" s="19">
        <v>7.5</v>
      </c>
      <c r="F208" s="277"/>
      <c r="G208" s="3"/>
      <c r="H208" s="47">
        <v>0.375</v>
      </c>
      <c r="I208" s="47">
        <v>0.22916666666666666</v>
      </c>
      <c r="J208" s="19">
        <v>7.5</v>
      </c>
      <c r="K208" s="277"/>
      <c r="L208" s="3"/>
      <c r="M208" s="47">
        <v>0.35416666666666669</v>
      </c>
      <c r="N208" s="47">
        <v>0.22916666666666666</v>
      </c>
      <c r="O208" s="19">
        <v>8</v>
      </c>
      <c r="P208" s="277"/>
      <c r="Q208" s="3"/>
      <c r="R208" s="47">
        <v>0.35416666666666669</v>
      </c>
      <c r="S208" s="47">
        <v>0.22916666666666666</v>
      </c>
      <c r="T208" s="19">
        <v>8</v>
      </c>
      <c r="U208" s="277"/>
      <c r="V208" s="3"/>
      <c r="W208" s="47">
        <v>0.35416666666666669</v>
      </c>
      <c r="X208" s="47">
        <v>0.22916666666666666</v>
      </c>
      <c r="Y208" s="19">
        <v>8</v>
      </c>
      <c r="Z208" s="277"/>
      <c r="AA208" s="169">
        <f t="shared" si="35"/>
        <v>39</v>
      </c>
      <c r="AB208" s="282"/>
      <c r="AC208" s="3"/>
      <c r="AD208" s="4">
        <v>0</v>
      </c>
      <c r="AE208" s="4">
        <v>0</v>
      </c>
      <c r="AF208" s="19" t="str">
        <f t="shared" ref="AF208" si="42">TEXT(AE208-AD208, "h")</f>
        <v>0</v>
      </c>
      <c r="AG208" s="29" t="str">
        <f t="shared" si="31"/>
        <v>0</v>
      </c>
      <c r="AH208" s="3"/>
      <c r="AI208" s="227"/>
      <c r="AK208" s="187"/>
      <c r="AL208" s="187"/>
      <c r="AM208" s="187"/>
      <c r="AN208" s="187"/>
      <c r="AO208" s="187"/>
      <c r="AP208" s="187"/>
    </row>
    <row r="209" spans="1:42" s="1" customFormat="1" ht="14.25">
      <c r="B209" s="13" t="s">
        <v>43</v>
      </c>
      <c r="C209" s="47">
        <v>0.3888888888888889</v>
      </c>
      <c r="D209" s="47">
        <v>0.22916666666666666</v>
      </c>
      <c r="E209" s="19">
        <v>7.25</v>
      </c>
      <c r="F209" s="277"/>
      <c r="G209" s="3"/>
      <c r="H209" s="47">
        <v>0.38194444444444442</v>
      </c>
      <c r="I209" s="47">
        <v>0.22916666666666666</v>
      </c>
      <c r="J209" s="19">
        <v>7.25</v>
      </c>
      <c r="K209" s="277"/>
      <c r="L209" s="3"/>
      <c r="M209" s="47">
        <v>0.35416666666666669</v>
      </c>
      <c r="N209" s="47">
        <v>0.22916666666666666</v>
      </c>
      <c r="O209" s="19">
        <v>8</v>
      </c>
      <c r="P209" s="277"/>
      <c r="Q209" s="3"/>
      <c r="R209" s="47">
        <v>0.34375</v>
      </c>
      <c r="S209" s="47">
        <v>0.22916666666666666</v>
      </c>
      <c r="T209" s="19">
        <v>8</v>
      </c>
      <c r="U209" s="277">
        <v>0.25</v>
      </c>
      <c r="V209" s="3"/>
      <c r="W209" s="47">
        <v>0.33333333333333331</v>
      </c>
      <c r="X209" s="47">
        <v>0.22916666666666666</v>
      </c>
      <c r="Y209" s="19">
        <v>8</v>
      </c>
      <c r="Z209" s="277">
        <v>0.5</v>
      </c>
      <c r="AA209" s="28">
        <f t="shared" si="35"/>
        <v>38.5</v>
      </c>
      <c r="AB209" s="282">
        <f t="shared" si="38"/>
        <v>0.75</v>
      </c>
      <c r="AC209" s="3"/>
      <c r="AD209" s="4">
        <v>0</v>
      </c>
      <c r="AE209" s="4">
        <v>0</v>
      </c>
      <c r="AF209" s="19" t="str">
        <f t="shared" ref="AF209" si="43">TEXT(AE209-AD209, "h")</f>
        <v>0</v>
      </c>
      <c r="AG209" s="29" t="str">
        <f t="shared" si="31"/>
        <v>0</v>
      </c>
      <c r="AH209" s="3"/>
      <c r="AI209" s="227"/>
      <c r="AK209" s="187"/>
      <c r="AL209" s="187"/>
      <c r="AM209" s="187"/>
      <c r="AN209" s="187"/>
      <c r="AO209" s="187"/>
      <c r="AP209" s="187"/>
    </row>
    <row r="210" spans="1:42" s="1" customFormat="1" ht="14.25">
      <c r="B210" s="13" t="s">
        <v>157</v>
      </c>
      <c r="C210" s="47">
        <v>0.38194444444444442</v>
      </c>
      <c r="D210" s="47">
        <v>0.22916666666666666</v>
      </c>
      <c r="E210" s="19">
        <v>7.25</v>
      </c>
      <c r="F210" s="277"/>
      <c r="G210" s="3"/>
      <c r="H210" s="47">
        <v>0.36458333333333331</v>
      </c>
      <c r="I210" s="47">
        <v>0.22916666666666666</v>
      </c>
      <c r="J210" s="19">
        <v>7.75</v>
      </c>
      <c r="K210" s="277"/>
      <c r="L210" s="3"/>
      <c r="M210" s="47">
        <v>0.35416666666666669</v>
      </c>
      <c r="N210" s="47">
        <v>0.22916666666666666</v>
      </c>
      <c r="O210" s="19">
        <v>8</v>
      </c>
      <c r="P210" s="277"/>
      <c r="Q210" s="3"/>
      <c r="R210" s="47">
        <v>0.35416666666666669</v>
      </c>
      <c r="S210" s="47">
        <v>0.22916666666666666</v>
      </c>
      <c r="T210" s="19">
        <v>8</v>
      </c>
      <c r="U210" s="277"/>
      <c r="V210" s="3"/>
      <c r="W210" s="47">
        <v>0.36458333333333331</v>
      </c>
      <c r="X210" s="47">
        <v>0.22916666666666666</v>
      </c>
      <c r="Y210" s="19">
        <v>7.75</v>
      </c>
      <c r="Z210" s="277"/>
      <c r="AA210" s="28">
        <f t="shared" si="35"/>
        <v>38.75</v>
      </c>
      <c r="AB210" s="282"/>
      <c r="AC210" s="3"/>
      <c r="AD210" s="4">
        <v>0</v>
      </c>
      <c r="AE210" s="4">
        <v>0</v>
      </c>
      <c r="AF210" s="19" t="str">
        <f t="shared" ref="AF210" si="44">TEXT(AE210-AD210, "h")</f>
        <v>0</v>
      </c>
      <c r="AG210" s="29" t="str">
        <f t="shared" si="31"/>
        <v>0</v>
      </c>
      <c r="AH210" s="3"/>
      <c r="AI210" s="227"/>
      <c r="AK210" s="187"/>
      <c r="AL210" s="187"/>
      <c r="AM210" s="187"/>
      <c r="AN210" s="187"/>
      <c r="AO210" s="187"/>
      <c r="AP210" s="187"/>
    </row>
    <row r="211" spans="1:42" s="1" customFormat="1" ht="14.25">
      <c r="B211" s="13" t="s">
        <v>47</v>
      </c>
      <c r="C211" s="47">
        <v>0.375</v>
      </c>
      <c r="D211" s="47">
        <v>0.22916666666666666</v>
      </c>
      <c r="E211" s="19">
        <v>7.5</v>
      </c>
      <c r="F211" s="277"/>
      <c r="G211" s="3"/>
      <c r="H211" s="47">
        <v>0.35416666666666669</v>
      </c>
      <c r="I211" s="47">
        <v>0.22916666666666666</v>
      </c>
      <c r="J211" s="19">
        <v>8</v>
      </c>
      <c r="K211" s="277"/>
      <c r="L211" s="3"/>
      <c r="M211" s="47">
        <v>0.35416666666666669</v>
      </c>
      <c r="N211" s="47">
        <v>0.22916666666666666</v>
      </c>
      <c r="O211" s="19">
        <v>8</v>
      </c>
      <c r="P211" s="277"/>
      <c r="Q211" s="3"/>
      <c r="R211" s="47">
        <v>0.34375</v>
      </c>
      <c r="S211" s="47">
        <v>0.22916666666666666</v>
      </c>
      <c r="T211" s="19">
        <v>8</v>
      </c>
      <c r="U211" s="277">
        <v>0.25</v>
      </c>
      <c r="V211" s="3"/>
      <c r="W211" s="47">
        <v>0.35416666666666669</v>
      </c>
      <c r="X211" s="47">
        <v>0.22916666666666666</v>
      </c>
      <c r="Y211" s="19">
        <v>8</v>
      </c>
      <c r="Z211" s="277"/>
      <c r="AA211" s="28">
        <f t="shared" si="35"/>
        <v>39.5</v>
      </c>
      <c r="AB211" s="282">
        <f t="shared" si="38"/>
        <v>0.25</v>
      </c>
      <c r="AC211" s="3"/>
      <c r="AD211" s="47">
        <v>0.35416666666666669</v>
      </c>
      <c r="AE211" s="47">
        <v>0.125</v>
      </c>
      <c r="AF211" s="19">
        <v>6.5</v>
      </c>
      <c r="AG211" s="29">
        <f t="shared" si="31"/>
        <v>6.5</v>
      </c>
      <c r="AH211" s="3"/>
      <c r="AI211" s="227"/>
      <c r="AK211" s="187"/>
      <c r="AL211" s="187"/>
      <c r="AM211" s="187"/>
      <c r="AN211" s="187"/>
      <c r="AO211" s="187"/>
      <c r="AP211" s="187"/>
    </row>
    <row r="212" spans="1:42" s="1" customFormat="1" ht="14.25">
      <c r="B212" s="13" t="s">
        <v>46</v>
      </c>
      <c r="C212" s="12" t="s">
        <v>29</v>
      </c>
      <c r="D212" s="12" t="s">
        <v>29</v>
      </c>
      <c r="E212" s="19">
        <v>6</v>
      </c>
      <c r="F212" s="277"/>
      <c r="G212" s="3"/>
      <c r="H212" s="47">
        <v>0.35416666666666669</v>
      </c>
      <c r="I212" s="47">
        <v>0.22916666666666666</v>
      </c>
      <c r="J212" s="19">
        <v>8</v>
      </c>
      <c r="K212" s="277"/>
      <c r="L212" s="3"/>
      <c r="M212" s="47">
        <v>0.36458333333333331</v>
      </c>
      <c r="N212" s="47">
        <v>0.22916666666666666</v>
      </c>
      <c r="O212" s="19">
        <v>7.75</v>
      </c>
      <c r="P212" s="277"/>
      <c r="Q212" s="3"/>
      <c r="R212" s="47">
        <v>0.3611111111111111</v>
      </c>
      <c r="S212" s="47">
        <v>0.22916666666666666</v>
      </c>
      <c r="T212" s="19">
        <v>7.75</v>
      </c>
      <c r="U212" s="277"/>
      <c r="V212" s="3"/>
      <c r="W212" s="47">
        <v>0.375</v>
      </c>
      <c r="X212" s="47">
        <v>0.22916666666666666</v>
      </c>
      <c r="Y212" s="19">
        <v>7.5</v>
      </c>
      <c r="Z212" s="277"/>
      <c r="AA212" s="169">
        <f t="shared" si="35"/>
        <v>37</v>
      </c>
      <c r="AB212" s="282"/>
      <c r="AC212" s="3"/>
      <c r="AD212" s="47">
        <v>0.36458333333333331</v>
      </c>
      <c r="AE212" s="47">
        <v>0.125</v>
      </c>
      <c r="AF212" s="19">
        <v>6.25</v>
      </c>
      <c r="AG212" s="29">
        <f t="shared" si="31"/>
        <v>6.25</v>
      </c>
      <c r="AH212" s="3"/>
      <c r="AI212" s="227"/>
      <c r="AK212" s="187"/>
      <c r="AL212" s="187"/>
      <c r="AM212" s="187"/>
      <c r="AN212" s="187"/>
      <c r="AO212" s="187"/>
      <c r="AP212" s="187"/>
    </row>
    <row r="213" spans="1:42" s="1" customFormat="1" ht="14.25">
      <c r="B213" s="13" t="s">
        <v>33</v>
      </c>
      <c r="C213" s="12" t="s">
        <v>29</v>
      </c>
      <c r="D213" s="12" t="s">
        <v>29</v>
      </c>
      <c r="E213" s="19">
        <v>6</v>
      </c>
      <c r="F213" s="277"/>
      <c r="G213" s="3"/>
      <c r="H213" s="47">
        <v>0.375</v>
      </c>
      <c r="I213" s="47">
        <v>0.22916666666666666</v>
      </c>
      <c r="J213" s="19">
        <v>7.5</v>
      </c>
      <c r="K213" s="277"/>
      <c r="L213" s="3"/>
      <c r="M213" s="47">
        <v>0.36458333333333331</v>
      </c>
      <c r="N213" s="47">
        <v>0.22916666666666666</v>
      </c>
      <c r="O213" s="19">
        <v>7.75</v>
      </c>
      <c r="P213" s="277"/>
      <c r="Q213" s="3"/>
      <c r="R213" s="47">
        <v>0.3576388888888889</v>
      </c>
      <c r="S213" s="47">
        <v>0.22916666666666666</v>
      </c>
      <c r="T213" s="19">
        <v>8</v>
      </c>
      <c r="U213" s="277"/>
      <c r="V213" s="3"/>
      <c r="W213" s="47">
        <v>0.36458333333333331</v>
      </c>
      <c r="X213" s="47">
        <v>0.22916666666666666</v>
      </c>
      <c r="Y213" s="19">
        <v>7.75</v>
      </c>
      <c r="Z213" s="277"/>
      <c r="AA213" s="169">
        <f t="shared" si="35"/>
        <v>37</v>
      </c>
      <c r="AB213" s="282"/>
      <c r="AC213" s="3"/>
      <c r="AD213" s="4">
        <v>0</v>
      </c>
      <c r="AE213" s="4">
        <v>0</v>
      </c>
      <c r="AF213" s="19" t="str">
        <f t="shared" ref="AF213" si="45">TEXT(AE213-AD213, "h")</f>
        <v>0</v>
      </c>
      <c r="AG213" s="29" t="str">
        <f t="shared" si="31"/>
        <v>0</v>
      </c>
      <c r="AH213" s="3"/>
      <c r="AI213" s="227"/>
      <c r="AK213" s="187"/>
      <c r="AL213" s="187"/>
      <c r="AM213" s="187"/>
      <c r="AN213" s="187"/>
      <c r="AO213" s="187"/>
      <c r="AP213" s="187"/>
    </row>
    <row r="214" spans="1:42" s="1" customFormat="1" ht="14.25">
      <c r="B214" s="13" t="s">
        <v>54</v>
      </c>
      <c r="C214" s="4">
        <v>0</v>
      </c>
      <c r="D214" s="4">
        <v>0</v>
      </c>
      <c r="E214" s="19" t="s">
        <v>154</v>
      </c>
      <c r="F214" s="277"/>
      <c r="G214" s="3"/>
      <c r="H214" s="4">
        <v>0</v>
      </c>
      <c r="I214" s="4">
        <v>0</v>
      </c>
      <c r="J214" s="19" t="s">
        <v>154</v>
      </c>
      <c r="K214" s="277"/>
      <c r="L214" s="3"/>
      <c r="M214" s="4">
        <v>0</v>
      </c>
      <c r="N214" s="4">
        <v>0</v>
      </c>
      <c r="O214" s="165" t="s">
        <v>154</v>
      </c>
      <c r="P214" s="277"/>
      <c r="Q214" s="3"/>
      <c r="R214" s="4">
        <v>0</v>
      </c>
      <c r="S214" s="4">
        <v>0</v>
      </c>
      <c r="T214" s="165" t="s">
        <v>154</v>
      </c>
      <c r="U214" s="277"/>
      <c r="V214" s="3"/>
      <c r="W214" s="4">
        <v>0</v>
      </c>
      <c r="X214" s="4">
        <v>0</v>
      </c>
      <c r="Y214" s="165" t="s">
        <v>154</v>
      </c>
      <c r="Z214" s="277"/>
      <c r="AA214" s="169">
        <f t="shared" si="35"/>
        <v>0</v>
      </c>
      <c r="AB214" s="282"/>
      <c r="AC214" s="3"/>
      <c r="AD214" s="47">
        <v>0.375</v>
      </c>
      <c r="AE214" s="47">
        <v>0.125</v>
      </c>
      <c r="AF214" s="19">
        <v>6</v>
      </c>
      <c r="AG214" s="29">
        <f>AF214</f>
        <v>6</v>
      </c>
      <c r="AH214" s="3"/>
      <c r="AI214" s="227"/>
      <c r="AK214" s="187"/>
      <c r="AL214" s="187"/>
      <c r="AM214" s="187"/>
      <c r="AN214" s="187"/>
      <c r="AO214" s="187"/>
      <c r="AP214" s="187"/>
    </row>
    <row r="215" spans="1:42" s="1" customFormat="1" ht="14.25">
      <c r="B215" s="166" t="s">
        <v>167</v>
      </c>
      <c r="C215" s="12" t="s">
        <v>29</v>
      </c>
      <c r="D215" s="12" t="s">
        <v>29</v>
      </c>
      <c r="E215" s="19">
        <v>6</v>
      </c>
      <c r="F215" s="277"/>
      <c r="G215" s="3"/>
      <c r="H215" s="12" t="s">
        <v>29</v>
      </c>
      <c r="I215" s="12" t="s">
        <v>29</v>
      </c>
      <c r="J215" s="19">
        <v>6</v>
      </c>
      <c r="K215" s="277"/>
      <c r="L215" s="3"/>
      <c r="M215" s="12" t="s">
        <v>29</v>
      </c>
      <c r="N215" s="12" t="s">
        <v>29</v>
      </c>
      <c r="O215" s="19">
        <v>6</v>
      </c>
      <c r="P215" s="277"/>
      <c r="Q215" s="3"/>
      <c r="R215" s="12" t="s">
        <v>29</v>
      </c>
      <c r="S215" s="12" t="s">
        <v>29</v>
      </c>
      <c r="T215" s="19">
        <v>6</v>
      </c>
      <c r="U215" s="277"/>
      <c r="V215" s="3"/>
      <c r="W215" s="12" t="s">
        <v>29</v>
      </c>
      <c r="X215" s="12" t="s">
        <v>29</v>
      </c>
      <c r="Y215" s="19">
        <v>6</v>
      </c>
      <c r="Z215" s="277"/>
      <c r="AA215" s="169">
        <f t="shared" si="35"/>
        <v>30</v>
      </c>
      <c r="AB215" s="282"/>
      <c r="AC215" s="3"/>
      <c r="AD215" s="4">
        <v>0</v>
      </c>
      <c r="AE215" s="4">
        <v>0</v>
      </c>
      <c r="AF215" s="19" t="str">
        <f t="shared" ref="AF215:AF216" si="46">TEXT(AE215-AD215, "h")</f>
        <v>0</v>
      </c>
      <c r="AG215" s="29" t="str">
        <f t="shared" ref="AG215:AG216" si="47">AF215</f>
        <v>0</v>
      </c>
      <c r="AH215" s="3"/>
      <c r="AI215" s="227"/>
      <c r="AK215" s="187"/>
      <c r="AL215" s="187"/>
      <c r="AM215" s="187"/>
      <c r="AN215" s="187"/>
      <c r="AO215" s="187"/>
      <c r="AP215" s="187"/>
    </row>
    <row r="216" spans="1:42" s="1" customFormat="1" ht="14.25">
      <c r="B216" s="166" t="s">
        <v>53</v>
      </c>
      <c r="C216" s="12" t="s">
        <v>29</v>
      </c>
      <c r="D216" s="12" t="s">
        <v>29</v>
      </c>
      <c r="E216" s="19">
        <v>6</v>
      </c>
      <c r="F216" s="277"/>
      <c r="G216" s="3"/>
      <c r="H216" s="12" t="s">
        <v>29</v>
      </c>
      <c r="I216" s="12" t="s">
        <v>29</v>
      </c>
      <c r="J216" s="19">
        <v>6</v>
      </c>
      <c r="K216" s="277"/>
      <c r="L216" s="3"/>
      <c r="M216" s="12" t="s">
        <v>29</v>
      </c>
      <c r="N216" s="12" t="s">
        <v>29</v>
      </c>
      <c r="O216" s="19">
        <v>6</v>
      </c>
      <c r="P216" s="277"/>
      <c r="Q216" s="3"/>
      <c r="R216" s="12" t="s">
        <v>29</v>
      </c>
      <c r="S216" s="12" t="s">
        <v>29</v>
      </c>
      <c r="T216" s="19">
        <v>6</v>
      </c>
      <c r="U216" s="277"/>
      <c r="V216" s="3"/>
      <c r="W216" s="12" t="s">
        <v>29</v>
      </c>
      <c r="X216" s="12" t="s">
        <v>29</v>
      </c>
      <c r="Y216" s="19">
        <v>6</v>
      </c>
      <c r="Z216" s="277"/>
      <c r="AA216" s="169">
        <f t="shared" si="35"/>
        <v>30</v>
      </c>
      <c r="AB216" s="282"/>
      <c r="AC216" s="3"/>
      <c r="AD216" s="4">
        <v>0</v>
      </c>
      <c r="AE216" s="4">
        <v>0</v>
      </c>
      <c r="AF216" s="19" t="str">
        <f t="shared" si="46"/>
        <v>0</v>
      </c>
      <c r="AG216" s="29" t="str">
        <f t="shared" si="47"/>
        <v>0</v>
      </c>
      <c r="AH216" s="3"/>
      <c r="AI216" s="227"/>
      <c r="AK216" s="187"/>
      <c r="AL216" s="187"/>
      <c r="AM216" s="187"/>
      <c r="AN216" s="187"/>
      <c r="AO216" s="187"/>
      <c r="AP216" s="187"/>
    </row>
    <row r="217" spans="1:42" s="1" customFormat="1">
      <c r="B217" s="64" t="s">
        <v>61</v>
      </c>
      <c r="C217" s="64"/>
      <c r="D217" s="64"/>
      <c r="E217" s="167">
        <f>SUM(E198:E216)</f>
        <v>119.25</v>
      </c>
      <c r="F217" s="277">
        <f>SUM(F198:F216)</f>
        <v>1.25</v>
      </c>
      <c r="G217" s="3"/>
      <c r="H217" s="64"/>
      <c r="I217" s="64"/>
      <c r="J217" s="167">
        <f>SUM(J198:J216)</f>
        <v>124.25</v>
      </c>
      <c r="K217" s="277">
        <f>SUM(K198:K216)</f>
        <v>0.5</v>
      </c>
      <c r="L217" s="3"/>
      <c r="M217" s="64"/>
      <c r="N217" s="64"/>
      <c r="O217" s="167">
        <f>SUM(O198:O216)</f>
        <v>122</v>
      </c>
      <c r="P217" s="277">
        <f>SUM(P198:P216)</f>
        <v>0</v>
      </c>
      <c r="Q217" s="3"/>
      <c r="R217" s="64"/>
      <c r="S217" s="64"/>
      <c r="T217" s="167">
        <f>SUM(T198:T216)</f>
        <v>105.5</v>
      </c>
      <c r="U217" s="277">
        <f>SUM(U198:U216)</f>
        <v>0.5</v>
      </c>
      <c r="V217" s="3"/>
      <c r="W217" s="64"/>
      <c r="X217" s="64"/>
      <c r="Y217" s="304">
        <f>SUM(Y198:Y216)</f>
        <v>113</v>
      </c>
      <c r="Z217" s="277">
        <f>SUM(Z198:Z216)</f>
        <v>0.5</v>
      </c>
      <c r="AA217" s="247">
        <f>SUM(AA198:AA216)</f>
        <v>584</v>
      </c>
      <c r="AB217" s="296">
        <f>SUM(AB198:AB216)</f>
        <v>2.75</v>
      </c>
      <c r="AC217" s="3"/>
      <c r="AD217" s="64"/>
      <c r="AE217" s="64"/>
      <c r="AF217" s="181"/>
      <c r="AG217" s="247">
        <f>SUM(AG198:AG216)</f>
        <v>31.25</v>
      </c>
      <c r="AH217" s="3"/>
      <c r="AI217" s="227"/>
      <c r="AK217" s="187"/>
      <c r="AL217" s="187"/>
      <c r="AM217" s="187"/>
      <c r="AN217" s="187"/>
      <c r="AO217" s="187"/>
      <c r="AP217" s="187"/>
    </row>
    <row r="218" spans="1:42" s="1" customFormat="1">
      <c r="B218" s="63" t="s">
        <v>62</v>
      </c>
      <c r="C218" s="56"/>
      <c r="D218" s="56"/>
      <c r="E218" s="179">
        <v>8</v>
      </c>
      <c r="F218" s="291">
        <v>2.5</v>
      </c>
      <c r="G218" s="60"/>
      <c r="H218" s="56"/>
      <c r="I218" s="56"/>
      <c r="J218" s="179">
        <v>8</v>
      </c>
      <c r="K218" s="291">
        <v>2.75</v>
      </c>
      <c r="L218" s="3"/>
      <c r="M218" s="56"/>
      <c r="N218" s="56"/>
      <c r="O218" s="179">
        <v>8</v>
      </c>
      <c r="P218" s="291">
        <v>3.75</v>
      </c>
      <c r="Q218" s="3"/>
      <c r="R218" s="56"/>
      <c r="S218" s="56"/>
      <c r="T218" s="179">
        <v>8</v>
      </c>
      <c r="U218" s="291">
        <v>3.75</v>
      </c>
      <c r="V218" s="3"/>
      <c r="W218" s="56"/>
      <c r="X218" s="56"/>
      <c r="Y218" s="179">
        <v>8</v>
      </c>
      <c r="Z218" s="291">
        <v>2.25</v>
      </c>
      <c r="AA218" s="28">
        <f>SUM(E218+J218+O218+T218+Y218)</f>
        <v>40</v>
      </c>
      <c r="AB218" s="282">
        <f>Z218+U218+P218+K218+F218</f>
        <v>15</v>
      </c>
      <c r="AC218" s="3"/>
      <c r="AD218" s="56"/>
      <c r="AE218" s="56"/>
      <c r="AF218" s="19"/>
      <c r="AG218" s="245">
        <v>0</v>
      </c>
      <c r="AH218" s="3"/>
      <c r="AI218" s="227"/>
      <c r="AK218" s="187"/>
      <c r="AL218" s="187"/>
      <c r="AM218" s="187"/>
      <c r="AN218" s="187"/>
      <c r="AO218" s="187"/>
      <c r="AP218" s="187"/>
    </row>
    <row r="219" spans="1:42" s="1" customFormat="1">
      <c r="B219" s="63" t="s">
        <v>63</v>
      </c>
      <c r="C219" s="56"/>
      <c r="D219" s="56"/>
      <c r="E219" s="19" t="str">
        <f t="shared" ref="E219" si="48">TEXT(D219-C219, "h")</f>
        <v>0</v>
      </c>
      <c r="F219" s="291"/>
      <c r="G219" s="60"/>
      <c r="H219" s="56"/>
      <c r="I219" s="56"/>
      <c r="J219" s="19" t="str">
        <f t="shared" ref="J219" si="49">TEXT(I219-H219, "h")</f>
        <v>0</v>
      </c>
      <c r="K219" s="291"/>
      <c r="L219" s="60"/>
      <c r="M219" s="56"/>
      <c r="N219" s="56"/>
      <c r="O219" s="19" t="str">
        <f t="shared" ref="O219" si="50">TEXT(N219-M219, "h")</f>
        <v>0</v>
      </c>
      <c r="P219" s="291"/>
      <c r="Q219" s="60"/>
      <c r="R219" s="56"/>
      <c r="S219" s="56"/>
      <c r="T219" s="19">
        <v>7</v>
      </c>
      <c r="U219" s="291">
        <v>3.75</v>
      </c>
      <c r="V219" s="60"/>
      <c r="W219" s="56"/>
      <c r="X219" s="56"/>
      <c r="Y219" s="19">
        <v>7</v>
      </c>
      <c r="Z219" s="291"/>
      <c r="AA219" s="28">
        <f>SUM(E219+J219+O219+T219+Y219)</f>
        <v>14</v>
      </c>
      <c r="AB219" s="282">
        <f t="shared" ref="AB219:AB221" si="51">Z219+U219+P219+K219+F219</f>
        <v>3.75</v>
      </c>
      <c r="AC219" s="3"/>
      <c r="AD219" s="56"/>
      <c r="AE219" s="56"/>
      <c r="AF219" s="19"/>
      <c r="AG219" s="246">
        <f>AF219</f>
        <v>0</v>
      </c>
      <c r="AH219" s="3"/>
      <c r="AI219" s="227"/>
      <c r="AK219" s="187"/>
      <c r="AL219" s="187"/>
      <c r="AM219" s="187"/>
      <c r="AN219" s="187"/>
      <c r="AO219" s="187"/>
      <c r="AP219" s="187"/>
    </row>
    <row r="220" spans="1:42" s="1" customFormat="1">
      <c r="B220" s="63" t="s">
        <v>64</v>
      </c>
      <c r="C220" s="56"/>
      <c r="D220" s="56"/>
      <c r="E220" s="19">
        <v>7</v>
      </c>
      <c r="F220" s="291"/>
      <c r="G220" s="60"/>
      <c r="H220" s="56"/>
      <c r="I220" s="56"/>
      <c r="J220" s="19">
        <v>6.5</v>
      </c>
      <c r="K220" s="291"/>
      <c r="L220" s="60"/>
      <c r="M220" s="56"/>
      <c r="N220" s="56"/>
      <c r="O220" s="19">
        <v>7</v>
      </c>
      <c r="P220" s="291"/>
      <c r="Q220" s="60"/>
      <c r="R220" s="56"/>
      <c r="S220" s="56"/>
      <c r="T220" s="19">
        <v>6.5</v>
      </c>
      <c r="U220" s="291"/>
      <c r="V220" s="60"/>
      <c r="W220" s="56"/>
      <c r="X220" s="56"/>
      <c r="Y220" s="19">
        <v>6.75</v>
      </c>
      <c r="Z220" s="291"/>
      <c r="AA220" s="28">
        <f>SUM(E220+J220+O220+T220+Y220)</f>
        <v>33.75</v>
      </c>
      <c r="AB220" s="282">
        <f t="shared" si="51"/>
        <v>0</v>
      </c>
      <c r="AC220" s="3"/>
      <c r="AD220" s="56"/>
      <c r="AE220" s="56"/>
      <c r="AF220" s="19"/>
      <c r="AG220" s="246">
        <f>AF220</f>
        <v>0</v>
      </c>
      <c r="AH220" s="3"/>
      <c r="AI220" s="227"/>
      <c r="AK220" s="187"/>
      <c r="AL220" s="187"/>
      <c r="AM220" s="187"/>
      <c r="AN220" s="187"/>
      <c r="AO220" s="187"/>
      <c r="AP220" s="187"/>
    </row>
    <row r="221" spans="1:42" s="1" customFormat="1" ht="14.25" thickBot="1">
      <c r="B221" s="268" t="s">
        <v>65</v>
      </c>
      <c r="C221" s="75"/>
      <c r="D221" s="75"/>
      <c r="E221" s="77">
        <v>3</v>
      </c>
      <c r="F221" s="292"/>
      <c r="G221" s="81"/>
      <c r="H221" s="75"/>
      <c r="I221" s="75"/>
      <c r="J221" s="77">
        <v>3</v>
      </c>
      <c r="K221" s="292"/>
      <c r="L221" s="81"/>
      <c r="M221" s="75"/>
      <c r="N221" s="75"/>
      <c r="O221" s="77">
        <v>3</v>
      </c>
      <c r="P221" s="292"/>
      <c r="Q221" s="81"/>
      <c r="R221" s="75"/>
      <c r="S221" s="75"/>
      <c r="T221" s="77">
        <v>3</v>
      </c>
      <c r="U221" s="292"/>
      <c r="V221" s="81"/>
      <c r="W221" s="75"/>
      <c r="X221" s="75"/>
      <c r="Y221" s="77">
        <v>3</v>
      </c>
      <c r="Z221" s="292"/>
      <c r="AA221" s="28">
        <f>SUM(E221+J221+O221+T221+Y221)</f>
        <v>15</v>
      </c>
      <c r="AB221" s="287">
        <f t="shared" si="51"/>
        <v>0</v>
      </c>
      <c r="AC221" s="3"/>
      <c r="AD221" s="75"/>
      <c r="AE221" s="75"/>
      <c r="AF221" s="77"/>
      <c r="AG221" s="244">
        <v>0</v>
      </c>
      <c r="AH221" s="3"/>
      <c r="AI221" s="227"/>
      <c r="AK221" s="187"/>
      <c r="AL221" s="187"/>
      <c r="AM221" s="187"/>
      <c r="AN221" s="187"/>
      <c r="AO221" s="187"/>
      <c r="AP221" s="187"/>
    </row>
    <row r="222" spans="1:42" s="187" customFormat="1" ht="14.25" thickTop="1">
      <c r="B222" s="214" t="s">
        <v>66</v>
      </c>
      <c r="C222" s="243"/>
      <c r="D222" s="243"/>
      <c r="E222" s="214">
        <f>SUM(E218:E221)</f>
        <v>18</v>
      </c>
      <c r="F222" s="215"/>
      <c r="G222" s="215"/>
      <c r="H222" s="243"/>
      <c r="I222" s="243"/>
      <c r="J222" s="214">
        <f>SUM(J218:J221)</f>
        <v>17.5</v>
      </c>
      <c r="K222" s="215"/>
      <c r="L222" s="215"/>
      <c r="M222" s="243"/>
      <c r="N222" s="243"/>
      <c r="O222" s="214">
        <f>SUM(O218:O221)</f>
        <v>18</v>
      </c>
      <c r="P222" s="215"/>
      <c r="Q222" s="215"/>
      <c r="R222" s="243"/>
      <c r="S222" s="243"/>
      <c r="T222" s="214">
        <f>SUM(T218:T221)</f>
        <v>24.5</v>
      </c>
      <c r="U222" s="215"/>
      <c r="V222" s="215"/>
      <c r="W222" s="243"/>
      <c r="X222" s="243"/>
      <c r="Y222" s="214">
        <f>SUM(Y218:Y221)</f>
        <v>24.75</v>
      </c>
      <c r="Z222" s="215"/>
      <c r="AA222" s="247">
        <f>SUM(AA218:AA221)</f>
        <v>102.75</v>
      </c>
      <c r="AB222" s="247">
        <f>SUM(AB218:AB221)</f>
        <v>18.75</v>
      </c>
      <c r="AC222" s="226"/>
      <c r="AG222" s="249">
        <f>SUM(AG220:AG221)</f>
        <v>0</v>
      </c>
      <c r="AH222" s="3"/>
      <c r="AI222" s="227"/>
      <c r="AJ222" s="1"/>
    </row>
    <row r="223" spans="1:42" s="1" customFormat="1" ht="13.5" customHeight="1">
      <c r="A223" s="11"/>
      <c r="B223" s="217" t="s">
        <v>67</v>
      </c>
      <c r="C223" s="207">
        <f>C224+C225</f>
        <v>80</v>
      </c>
      <c r="D223" s="208"/>
      <c r="E223" s="209"/>
      <c r="F223" s="209"/>
      <c r="G223" s="208"/>
      <c r="H223" s="209"/>
      <c r="I223" s="209"/>
      <c r="J223" s="209"/>
      <c r="K223" s="209"/>
      <c r="L223" s="208"/>
      <c r="M223" s="208"/>
      <c r="N223" s="208"/>
      <c r="O223" s="208"/>
      <c r="P223" s="209"/>
      <c r="Q223" s="208"/>
      <c r="R223" s="208"/>
      <c r="S223" s="208"/>
      <c r="T223" s="208"/>
      <c r="U223" s="209"/>
      <c r="V223" s="208"/>
      <c r="W223" s="208"/>
      <c r="X223" s="208"/>
      <c r="Y223" s="210"/>
      <c r="Z223" s="209"/>
      <c r="AA223" s="211"/>
      <c r="AB223" s="209"/>
      <c r="AC223" s="211"/>
      <c r="AD223" s="211"/>
      <c r="AE223" s="211"/>
      <c r="AF223" s="211"/>
      <c r="AG223" s="211"/>
      <c r="AH223" s="3"/>
      <c r="AI223" s="227"/>
      <c r="AK223" s="187"/>
      <c r="AL223" s="187"/>
      <c r="AM223" s="187"/>
      <c r="AN223" s="187"/>
      <c r="AO223" s="187"/>
      <c r="AP223" s="187"/>
    </row>
    <row r="224" spans="1:42" s="1" customFormat="1" ht="13.5" customHeight="1">
      <c r="A224" s="11"/>
      <c r="B224" s="238" t="s">
        <v>68</v>
      </c>
      <c r="C224" s="239">
        <v>58</v>
      </c>
      <c r="D224" s="208"/>
      <c r="E224" s="209"/>
      <c r="F224" s="209"/>
      <c r="G224" s="208"/>
      <c r="H224" s="209"/>
      <c r="I224" s="209"/>
      <c r="J224" s="209"/>
      <c r="K224" s="209"/>
      <c r="L224" s="208"/>
      <c r="M224" s="208"/>
      <c r="N224" s="208"/>
      <c r="O224" s="208"/>
      <c r="P224" s="209"/>
      <c r="Q224" s="208"/>
      <c r="R224" s="208"/>
      <c r="S224" s="208"/>
      <c r="T224" s="208"/>
      <c r="U224" s="209"/>
      <c r="V224" s="208"/>
      <c r="W224" s="208"/>
      <c r="X224" s="208"/>
      <c r="Y224" s="210"/>
      <c r="Z224" s="209"/>
      <c r="AA224" s="211"/>
      <c r="AB224" s="209"/>
      <c r="AC224" s="211"/>
      <c r="AD224" s="211"/>
      <c r="AE224" s="211"/>
      <c r="AF224" s="211"/>
      <c r="AG224" s="211"/>
      <c r="AH224" s="3"/>
      <c r="AI224" s="227"/>
      <c r="AK224" s="187"/>
      <c r="AL224" s="187"/>
      <c r="AM224" s="187"/>
      <c r="AN224" s="187"/>
      <c r="AO224" s="187"/>
      <c r="AP224" s="187"/>
    </row>
    <row r="225" spans="1:42" s="1" customFormat="1" ht="13.5" customHeight="1">
      <c r="A225" s="11"/>
      <c r="B225" s="238" t="s">
        <v>69</v>
      </c>
      <c r="C225" s="239">
        <v>22</v>
      </c>
      <c r="D225" s="208"/>
      <c r="E225" s="209"/>
      <c r="F225" s="209"/>
      <c r="G225" s="208"/>
      <c r="H225" s="209"/>
      <c r="I225" s="209"/>
      <c r="J225" s="209"/>
      <c r="K225" s="209"/>
      <c r="L225" s="208"/>
      <c r="M225" s="208"/>
      <c r="N225" s="208"/>
      <c r="O225" s="208"/>
      <c r="P225" s="209"/>
      <c r="Q225" s="208"/>
      <c r="R225" s="208"/>
      <c r="S225" s="208"/>
      <c r="T225" s="208"/>
      <c r="U225" s="209"/>
      <c r="V225" s="208"/>
      <c r="W225" s="208"/>
      <c r="X225" s="208"/>
      <c r="Y225" s="210"/>
      <c r="Z225" s="209"/>
      <c r="AA225" s="211"/>
      <c r="AB225" s="209"/>
      <c r="AC225" s="211"/>
      <c r="AD225" s="211"/>
      <c r="AE225" s="211"/>
      <c r="AF225" s="211"/>
      <c r="AG225" s="211"/>
      <c r="AH225" s="3"/>
      <c r="AI225" s="227"/>
      <c r="AK225" s="187"/>
      <c r="AL225" s="187"/>
      <c r="AM225" s="187"/>
      <c r="AN225" s="187"/>
      <c r="AO225" s="187"/>
      <c r="AP225" s="187"/>
    </row>
    <row r="226" spans="1:42" s="1" customFormat="1" ht="4.5" customHeight="1">
      <c r="A226" s="11"/>
      <c r="B226" s="218"/>
      <c r="C226" s="219"/>
      <c r="D226" s="220"/>
      <c r="E226" s="221"/>
      <c r="F226" s="221"/>
      <c r="G226" s="220"/>
      <c r="H226" s="221"/>
      <c r="I226" s="221"/>
      <c r="J226" s="221"/>
      <c r="K226" s="221"/>
      <c r="L226" s="220"/>
      <c r="M226" s="220"/>
      <c r="N226" s="220"/>
      <c r="O226" s="220"/>
      <c r="P226" s="221"/>
      <c r="Q226" s="220"/>
      <c r="R226" s="220"/>
      <c r="S226" s="220"/>
      <c r="T226" s="220"/>
      <c r="U226" s="221"/>
      <c r="V226" s="220"/>
      <c r="W226" s="220"/>
      <c r="X226" s="220"/>
      <c r="Y226" s="222"/>
      <c r="Z226" s="221"/>
      <c r="AA226" s="223"/>
      <c r="AB226" s="221"/>
      <c r="AC226" s="3"/>
      <c r="AD226" s="168"/>
      <c r="AH226" s="3"/>
      <c r="AI226" s="227"/>
      <c r="AK226" s="187"/>
      <c r="AL226" s="187"/>
      <c r="AM226" s="187"/>
      <c r="AN226" s="187"/>
      <c r="AO226" s="187"/>
      <c r="AP226" s="187"/>
    </row>
    <row r="227" spans="1:42" s="227" customFormat="1" ht="4.5" customHeight="1">
      <c r="A227" s="228"/>
      <c r="B227" s="229"/>
      <c r="C227" s="230"/>
      <c r="D227" s="231"/>
      <c r="E227" s="232"/>
      <c r="F227" s="232"/>
      <c r="G227" s="231"/>
      <c r="H227" s="232"/>
      <c r="I227" s="232"/>
      <c r="J227" s="232"/>
      <c r="K227" s="232"/>
      <c r="L227" s="231"/>
      <c r="M227" s="231"/>
      <c r="N227" s="231"/>
      <c r="O227" s="231"/>
      <c r="P227" s="232"/>
      <c r="Q227" s="231"/>
      <c r="R227" s="231"/>
      <c r="S227" s="231"/>
      <c r="T227" s="231"/>
      <c r="U227" s="232"/>
      <c r="V227" s="231"/>
      <c r="W227" s="231"/>
      <c r="X227" s="231"/>
      <c r="Y227" s="233"/>
      <c r="Z227" s="232"/>
      <c r="AA227" s="234"/>
      <c r="AB227" s="232"/>
      <c r="AC227" s="235"/>
      <c r="AD227" s="236"/>
      <c r="AH227" s="235"/>
    </row>
    <row r="228" spans="1:42" s="187" customFormat="1" ht="4.5" customHeight="1">
      <c r="A228" s="224"/>
      <c r="B228" s="214"/>
      <c r="C228" s="215"/>
      <c r="D228" s="215"/>
      <c r="E228" s="214"/>
      <c r="F228" s="214"/>
      <c r="G228" s="215"/>
      <c r="H228" s="214"/>
      <c r="I228" s="214"/>
      <c r="J228" s="214"/>
      <c r="K228" s="214"/>
      <c r="L228" s="215"/>
      <c r="M228" s="215"/>
      <c r="N228" s="215"/>
      <c r="O228" s="215"/>
      <c r="P228" s="214"/>
      <c r="Q228" s="215"/>
      <c r="R228" s="215"/>
      <c r="S228" s="215"/>
      <c r="T228" s="215"/>
      <c r="U228" s="214"/>
      <c r="V228" s="215"/>
      <c r="W228" s="215"/>
      <c r="X228" s="215"/>
      <c r="Y228" s="216"/>
      <c r="Z228" s="214"/>
      <c r="AA228" s="225"/>
      <c r="AB228" s="214"/>
      <c r="AC228" s="226"/>
      <c r="AH228" s="226"/>
      <c r="AI228" s="227"/>
    </row>
    <row r="229" spans="1:42" s="1" customFormat="1">
      <c r="B229" s="1518" t="s">
        <v>18</v>
      </c>
      <c r="C229" s="1524">
        <v>45124</v>
      </c>
      <c r="D229" s="1524"/>
      <c r="E229" s="1524"/>
      <c r="F229" s="1524"/>
      <c r="G229" s="22"/>
      <c r="H229" s="1524">
        <v>45125</v>
      </c>
      <c r="I229" s="1524"/>
      <c r="J229" s="1524"/>
      <c r="K229" s="1524"/>
      <c r="L229" s="22"/>
      <c r="M229" s="1524">
        <v>45126</v>
      </c>
      <c r="N229" s="1524"/>
      <c r="O229" s="1524"/>
      <c r="P229" s="1524"/>
      <c r="Q229" s="22"/>
      <c r="R229" s="1524">
        <v>45127</v>
      </c>
      <c r="S229" s="1524"/>
      <c r="T229" s="1524"/>
      <c r="U229" s="1524"/>
      <c r="V229" s="22"/>
      <c r="W229" s="1524">
        <v>45128</v>
      </c>
      <c r="X229" s="1524"/>
      <c r="Y229" s="1524"/>
      <c r="Z229" s="1524"/>
      <c r="AA229" s="1517" t="s">
        <v>19</v>
      </c>
      <c r="AB229" s="1517" t="s">
        <v>20</v>
      </c>
      <c r="AC229" s="3"/>
      <c r="AD229" s="1524">
        <v>45129</v>
      </c>
      <c r="AE229" s="1524"/>
      <c r="AF229" s="1524"/>
      <c r="AG229" s="1517" t="s">
        <v>21</v>
      </c>
      <c r="AH229" s="3"/>
      <c r="AI229" s="227"/>
      <c r="AK229" s="194" t="s">
        <v>168</v>
      </c>
      <c r="AL229" s="195"/>
      <c r="AM229" s="195"/>
      <c r="AN229" s="195"/>
      <c r="AO229" s="195"/>
      <c r="AP229" s="195"/>
    </row>
    <row r="230" spans="1:42" s="176" customFormat="1" ht="14.25">
      <c r="B230" s="1518"/>
      <c r="C230" s="21" t="s">
        <v>23</v>
      </c>
      <c r="D230" s="21" t="s">
        <v>24</v>
      </c>
      <c r="E230" s="205" t="s">
        <v>144</v>
      </c>
      <c r="F230" s="18" t="s">
        <v>14</v>
      </c>
      <c r="G230" s="3"/>
      <c r="H230" s="21" t="s">
        <v>23</v>
      </c>
      <c r="I230" s="21" t="s">
        <v>24</v>
      </c>
      <c r="J230" s="205" t="s">
        <v>144</v>
      </c>
      <c r="K230" s="18" t="s">
        <v>14</v>
      </c>
      <c r="L230" s="3"/>
      <c r="M230" s="21" t="s">
        <v>23</v>
      </c>
      <c r="N230" s="21" t="s">
        <v>24</v>
      </c>
      <c r="O230" s="205" t="s">
        <v>144</v>
      </c>
      <c r="P230" s="18" t="s">
        <v>14</v>
      </c>
      <c r="Q230" s="3"/>
      <c r="R230" s="21" t="s">
        <v>23</v>
      </c>
      <c r="S230" s="21" t="s">
        <v>24</v>
      </c>
      <c r="T230" s="205" t="s">
        <v>144</v>
      </c>
      <c r="U230" s="18" t="s">
        <v>14</v>
      </c>
      <c r="V230" s="3"/>
      <c r="W230" s="21" t="s">
        <v>23</v>
      </c>
      <c r="X230" s="21" t="s">
        <v>24</v>
      </c>
      <c r="Y230" s="205" t="s">
        <v>144</v>
      </c>
      <c r="Z230" s="18" t="s">
        <v>14</v>
      </c>
      <c r="AA230" s="1523"/>
      <c r="AB230" s="1517"/>
      <c r="AC230" s="3"/>
      <c r="AD230" s="21" t="s">
        <v>23</v>
      </c>
      <c r="AE230" s="21" t="s">
        <v>24</v>
      </c>
      <c r="AF230" s="18" t="s">
        <v>25</v>
      </c>
      <c r="AG230" s="1523"/>
      <c r="AH230" s="174"/>
      <c r="AI230" s="257"/>
      <c r="AK230" s="188" t="s">
        <v>26</v>
      </c>
      <c r="AL230" s="196">
        <f>AA250</f>
        <v>619.29999999999995</v>
      </c>
      <c r="AM230" s="187"/>
      <c r="AN230" s="187"/>
      <c r="AO230" s="187"/>
      <c r="AP230" s="187"/>
    </row>
    <row r="231" spans="1:42" s="176" customFormat="1" ht="14.25">
      <c r="B231" s="171" t="s">
        <v>141</v>
      </c>
      <c r="C231" s="172">
        <v>0.33333333333333331</v>
      </c>
      <c r="D231" s="172">
        <v>0.20833333333333334</v>
      </c>
      <c r="E231" s="173">
        <v>8</v>
      </c>
      <c r="F231" s="277"/>
      <c r="G231" s="174"/>
      <c r="H231" s="172">
        <v>0.33333333333333331</v>
      </c>
      <c r="I231" s="172">
        <v>0.20833333333333334</v>
      </c>
      <c r="J231" s="173">
        <v>8</v>
      </c>
      <c r="K231" s="277"/>
      <c r="L231" s="174"/>
      <c r="M231" s="172">
        <v>0.34375</v>
      </c>
      <c r="N231" s="172">
        <v>0.125</v>
      </c>
      <c r="O231" s="173">
        <v>6.75</v>
      </c>
      <c r="P231" s="277"/>
      <c r="Q231" s="174"/>
      <c r="R231" s="172">
        <v>0.33333333333333331</v>
      </c>
      <c r="S231" s="172">
        <v>0.20833333333333334</v>
      </c>
      <c r="T231" s="173">
        <v>8</v>
      </c>
      <c r="U231" s="277"/>
      <c r="V231" s="174"/>
      <c r="W231" s="172">
        <v>0.34375</v>
      </c>
      <c r="X231" s="172">
        <v>0.20833333333333334</v>
      </c>
      <c r="Y231" s="173">
        <v>7.75</v>
      </c>
      <c r="Z231" s="277"/>
      <c r="AA231" s="28">
        <f t="shared" ref="AA231:AA236" si="52">(E231+J231+O231+T231+Y231)</f>
        <v>38.5</v>
      </c>
      <c r="AB231" s="297">
        <f>Z231+U231+P231+K231+F231</f>
        <v>0</v>
      </c>
      <c r="AC231" s="174"/>
      <c r="AD231" s="175">
        <v>0</v>
      </c>
      <c r="AE231" s="175">
        <v>0</v>
      </c>
      <c r="AF231" s="173" t="str">
        <f t="shared" ref="AF231:AF236" si="53">TEXT(AE231-AD231, "h")</f>
        <v>0</v>
      </c>
      <c r="AG231" s="28" t="str">
        <f t="shared" ref="AG231:AG236" si="54">AF231</f>
        <v>0</v>
      </c>
      <c r="AH231" s="174"/>
      <c r="AI231" s="257"/>
      <c r="AK231" s="188" t="s">
        <v>30</v>
      </c>
      <c r="AL231" s="196">
        <f>AB250</f>
        <v>18.25</v>
      </c>
      <c r="AM231" s="187"/>
      <c r="AN231" s="187"/>
      <c r="AO231" s="187"/>
      <c r="AP231" s="187"/>
    </row>
    <row r="232" spans="1:42" s="176" customFormat="1" ht="14.25">
      <c r="B232" s="171" t="s">
        <v>142</v>
      </c>
      <c r="C232" s="177">
        <v>0.40625</v>
      </c>
      <c r="D232" s="172">
        <v>0.20833333333333334</v>
      </c>
      <c r="E232" s="173">
        <v>6.25</v>
      </c>
      <c r="F232" s="277"/>
      <c r="G232" s="174"/>
      <c r="H232" s="172">
        <v>0.40625</v>
      </c>
      <c r="I232" s="172">
        <v>0.20833333333333334</v>
      </c>
      <c r="J232" s="173">
        <v>6.25</v>
      </c>
      <c r="K232" s="277"/>
      <c r="L232" s="174"/>
      <c r="M232" s="172">
        <v>0.40277777777777773</v>
      </c>
      <c r="N232" s="172">
        <v>0.20833333333333334</v>
      </c>
      <c r="O232" s="173">
        <v>6.3</v>
      </c>
      <c r="P232" s="277"/>
      <c r="Q232" s="174"/>
      <c r="R232" s="175">
        <v>0</v>
      </c>
      <c r="S232" s="175">
        <v>0</v>
      </c>
      <c r="T232" s="173">
        <v>0</v>
      </c>
      <c r="U232" s="277"/>
      <c r="V232" s="174"/>
      <c r="W232" s="172">
        <v>0.39583333333333331</v>
      </c>
      <c r="X232" s="172">
        <v>0.20833333333333334</v>
      </c>
      <c r="Y232" s="173">
        <v>6.5</v>
      </c>
      <c r="Z232" s="277"/>
      <c r="AA232" s="28">
        <f t="shared" si="52"/>
        <v>25.3</v>
      </c>
      <c r="AB232" s="297">
        <f t="shared" ref="AB232:AB249" si="55">Z232+U232+P232+K232+F232</f>
        <v>0</v>
      </c>
      <c r="AC232" s="174"/>
      <c r="AD232" s="175">
        <v>0</v>
      </c>
      <c r="AE232" s="175">
        <v>0</v>
      </c>
      <c r="AF232" s="173" t="str">
        <f t="shared" si="53"/>
        <v>0</v>
      </c>
      <c r="AG232" s="28" t="str">
        <f t="shared" si="54"/>
        <v>0</v>
      </c>
      <c r="AH232" s="174"/>
      <c r="AI232" s="257"/>
      <c r="AK232" s="188" t="s">
        <v>32</v>
      </c>
      <c r="AL232" s="196">
        <f>AG250</f>
        <v>27.75</v>
      </c>
      <c r="AM232" s="187"/>
      <c r="AN232" s="187"/>
      <c r="AO232" s="187"/>
      <c r="AP232" s="187"/>
    </row>
    <row r="233" spans="1:42" s="176" customFormat="1" ht="14.25">
      <c r="B233" s="171" t="s">
        <v>31</v>
      </c>
      <c r="C233" s="172">
        <v>0.33333333333333331</v>
      </c>
      <c r="D233" s="172">
        <v>0.20833333333333334</v>
      </c>
      <c r="E233" s="173">
        <v>8</v>
      </c>
      <c r="F233" s="277"/>
      <c r="G233" s="174"/>
      <c r="H233" s="172">
        <v>0.33333333333333331</v>
      </c>
      <c r="I233" s="172">
        <v>0.20833333333333334</v>
      </c>
      <c r="J233" s="173">
        <v>8</v>
      </c>
      <c r="K233" s="277"/>
      <c r="L233" s="174"/>
      <c r="M233" s="172">
        <v>0.34375</v>
      </c>
      <c r="N233" s="172">
        <v>0.20833333333333334</v>
      </c>
      <c r="O233" s="173">
        <v>7.75</v>
      </c>
      <c r="P233" s="277"/>
      <c r="Q233" s="174"/>
      <c r="R233" s="172">
        <v>0.33333333333333331</v>
      </c>
      <c r="S233" s="172">
        <v>0.20833333333333334</v>
      </c>
      <c r="T233" s="173">
        <v>8</v>
      </c>
      <c r="U233" s="277"/>
      <c r="V233" s="174"/>
      <c r="W233" s="172">
        <v>0.33333333333333331</v>
      </c>
      <c r="X233" s="172">
        <v>0.20833333333333334</v>
      </c>
      <c r="Y233" s="173">
        <v>8</v>
      </c>
      <c r="Z233" s="277"/>
      <c r="AA233" s="28">
        <f t="shared" si="52"/>
        <v>39.75</v>
      </c>
      <c r="AB233" s="297">
        <f t="shared" si="55"/>
        <v>0</v>
      </c>
      <c r="AC233" s="174"/>
      <c r="AD233" s="175">
        <v>0</v>
      </c>
      <c r="AE233" s="175">
        <v>0</v>
      </c>
      <c r="AF233" s="173" t="str">
        <f t="shared" si="53"/>
        <v>0</v>
      </c>
      <c r="AG233" s="28" t="str">
        <f t="shared" si="54"/>
        <v>0</v>
      </c>
      <c r="AH233" s="174"/>
      <c r="AI233" s="257"/>
      <c r="AK233" s="188" t="s">
        <v>34</v>
      </c>
      <c r="AL233" s="196">
        <f>AA255</f>
        <v>117.375</v>
      </c>
      <c r="AM233" s="187"/>
      <c r="AN233" s="187"/>
      <c r="AO233" s="187"/>
      <c r="AP233" s="187"/>
    </row>
    <row r="234" spans="1:42" s="176" customFormat="1" ht="14.25">
      <c r="B234" s="171" t="s">
        <v>169</v>
      </c>
      <c r="C234" s="172">
        <v>0.375</v>
      </c>
      <c r="D234" s="172">
        <v>0.20833333333333334</v>
      </c>
      <c r="E234" s="173">
        <v>7</v>
      </c>
      <c r="F234" s="277"/>
      <c r="G234" s="174"/>
      <c r="H234" s="172">
        <v>0.33333333333333331</v>
      </c>
      <c r="I234" s="172">
        <v>0.20833333333333334</v>
      </c>
      <c r="J234" s="173">
        <v>8</v>
      </c>
      <c r="K234" s="277"/>
      <c r="L234" s="174"/>
      <c r="M234" s="172">
        <v>0.33333333333333331</v>
      </c>
      <c r="N234" s="172">
        <v>0.20833333333333334</v>
      </c>
      <c r="O234" s="173">
        <v>8</v>
      </c>
      <c r="P234" s="277"/>
      <c r="Q234" s="174"/>
      <c r="R234" s="172">
        <v>0.33333333333333331</v>
      </c>
      <c r="S234" s="172">
        <v>0.20833333333333334</v>
      </c>
      <c r="T234" s="173">
        <v>8</v>
      </c>
      <c r="U234" s="277"/>
      <c r="V234" s="174"/>
      <c r="W234" s="172">
        <v>0.33333333333333331</v>
      </c>
      <c r="X234" s="172">
        <v>0.20833333333333334</v>
      </c>
      <c r="Y234" s="173">
        <v>8</v>
      </c>
      <c r="Z234" s="277"/>
      <c r="AA234" s="28">
        <f t="shared" si="52"/>
        <v>39</v>
      </c>
      <c r="AB234" s="297">
        <f t="shared" si="55"/>
        <v>0</v>
      </c>
      <c r="AC234" s="174"/>
      <c r="AD234" s="175">
        <v>0</v>
      </c>
      <c r="AE234" s="175">
        <v>0</v>
      </c>
      <c r="AF234" s="173" t="str">
        <f t="shared" si="53"/>
        <v>0</v>
      </c>
      <c r="AG234" s="28" t="str">
        <f t="shared" si="54"/>
        <v>0</v>
      </c>
      <c r="AH234" s="174"/>
      <c r="AI234" s="257"/>
      <c r="AK234" s="188" t="s">
        <v>149</v>
      </c>
      <c r="AL234" s="196">
        <f>AB255</f>
        <v>22.75</v>
      </c>
      <c r="AM234" s="187"/>
      <c r="AN234" s="187"/>
      <c r="AO234" s="187"/>
      <c r="AP234" s="187"/>
    </row>
    <row r="235" spans="1:42" s="1" customFormat="1" ht="14.25">
      <c r="B235" s="171" t="s">
        <v>33</v>
      </c>
      <c r="C235" s="172">
        <v>0.33333333333333331</v>
      </c>
      <c r="D235" s="172">
        <v>0.20833333333333334</v>
      </c>
      <c r="E235" s="173">
        <v>8</v>
      </c>
      <c r="F235" s="277"/>
      <c r="G235" s="174"/>
      <c r="H235" s="172">
        <v>0.33333333333333331</v>
      </c>
      <c r="I235" s="172">
        <v>0.20833333333333334</v>
      </c>
      <c r="J235" s="173">
        <v>8</v>
      </c>
      <c r="K235" s="277"/>
      <c r="L235" s="174"/>
      <c r="M235" s="172">
        <v>0.33333333333333331</v>
      </c>
      <c r="N235" s="172">
        <v>0.20833333333333334</v>
      </c>
      <c r="O235" s="173">
        <v>8</v>
      </c>
      <c r="P235" s="277"/>
      <c r="Q235" s="174"/>
      <c r="R235" s="172">
        <v>0.33333333333333331</v>
      </c>
      <c r="S235" s="172">
        <v>0.20833333333333334</v>
      </c>
      <c r="T235" s="173">
        <v>8</v>
      </c>
      <c r="U235" s="277"/>
      <c r="V235" s="174"/>
      <c r="W235" s="172">
        <v>0.33333333333333331</v>
      </c>
      <c r="X235" s="172">
        <v>0.22916666666666666</v>
      </c>
      <c r="Y235" s="173">
        <v>8</v>
      </c>
      <c r="Z235" s="277">
        <v>0.5</v>
      </c>
      <c r="AA235" s="28">
        <f t="shared" si="52"/>
        <v>40</v>
      </c>
      <c r="AB235" s="297">
        <f>Z235</f>
        <v>0.5</v>
      </c>
      <c r="AC235" s="174"/>
      <c r="AD235" s="175">
        <v>0</v>
      </c>
      <c r="AE235" s="175">
        <v>0</v>
      </c>
      <c r="AF235" s="173" t="str">
        <f t="shared" si="53"/>
        <v>0</v>
      </c>
      <c r="AG235" s="28" t="str">
        <f t="shared" si="54"/>
        <v>0</v>
      </c>
      <c r="AH235" s="3"/>
      <c r="AI235" s="227"/>
      <c r="AK235" s="188" t="s">
        <v>38</v>
      </c>
      <c r="AL235" s="199">
        <f>AG255</f>
        <v>1.5</v>
      </c>
      <c r="AM235" s="187"/>
      <c r="AN235" s="187"/>
      <c r="AO235" s="187"/>
      <c r="AP235" s="187"/>
    </row>
    <row r="236" spans="1:42" s="1" customFormat="1" ht="14.25">
      <c r="B236" s="13" t="s">
        <v>129</v>
      </c>
      <c r="C236" s="47">
        <v>0.35416666666666669</v>
      </c>
      <c r="D236" s="47">
        <v>0.22916666666666666</v>
      </c>
      <c r="E236" s="19">
        <v>8</v>
      </c>
      <c r="F236" s="277"/>
      <c r="G236" s="3"/>
      <c r="H236" s="47">
        <v>0.29166666666666669</v>
      </c>
      <c r="I236" s="47">
        <v>0.22916666666666666</v>
      </c>
      <c r="J236" s="19">
        <v>8</v>
      </c>
      <c r="K236" s="277">
        <v>1.5</v>
      </c>
      <c r="L236" s="3"/>
      <c r="M236" s="47">
        <v>0.35416666666666669</v>
      </c>
      <c r="N236" s="47">
        <v>0.22916666666666666</v>
      </c>
      <c r="O236" s="19">
        <v>8</v>
      </c>
      <c r="P236" s="277"/>
      <c r="Q236" s="3"/>
      <c r="R236" s="47">
        <v>0.35416666666666669</v>
      </c>
      <c r="S236" s="47">
        <v>0.22916666666666666</v>
      </c>
      <c r="T236" s="19">
        <v>8</v>
      </c>
      <c r="U236" s="277"/>
      <c r="V236" s="3"/>
      <c r="W236" s="47">
        <v>0.35416666666666669</v>
      </c>
      <c r="X236" s="47">
        <v>0.22916666666666666</v>
      </c>
      <c r="Y236" s="19">
        <v>8</v>
      </c>
      <c r="Z236" s="277"/>
      <c r="AA236" s="29">
        <f t="shared" si="52"/>
        <v>40</v>
      </c>
      <c r="AB236" s="297">
        <f>Z236+U236+P236+K236+F236</f>
        <v>1.5</v>
      </c>
      <c r="AC236" s="3"/>
      <c r="AD236" s="4">
        <v>0</v>
      </c>
      <c r="AE236" s="4">
        <v>0</v>
      </c>
      <c r="AF236" s="19" t="str">
        <f t="shared" si="53"/>
        <v>0</v>
      </c>
      <c r="AG236" s="29" t="str">
        <f t="shared" si="54"/>
        <v>0</v>
      </c>
      <c r="AH236" s="3"/>
      <c r="AI236" s="227"/>
      <c r="AK236" s="188" t="s">
        <v>41</v>
      </c>
      <c r="AL236" s="189">
        <f>C256</f>
        <v>74</v>
      </c>
      <c r="AM236" s="191"/>
      <c r="AN236" s="191"/>
      <c r="AO236" s="191"/>
      <c r="AP236" s="191"/>
    </row>
    <row r="237" spans="1:42" s="1" customFormat="1" ht="14.25">
      <c r="B237" s="13" t="s">
        <v>35</v>
      </c>
      <c r="C237" s="47">
        <v>0.36805555555555558</v>
      </c>
      <c r="D237" s="47">
        <v>0.22916666666666666</v>
      </c>
      <c r="E237" s="19">
        <v>8</v>
      </c>
      <c r="F237" s="277"/>
      <c r="G237" s="3"/>
      <c r="H237" s="47">
        <v>0.35416666666666669</v>
      </c>
      <c r="I237" s="47">
        <v>0.22916666666666666</v>
      </c>
      <c r="J237" s="19">
        <v>8</v>
      </c>
      <c r="K237" s="277"/>
      <c r="L237" s="3"/>
      <c r="M237" s="47">
        <v>0.3611111111111111</v>
      </c>
      <c r="N237" s="47">
        <v>0.22916666666666666</v>
      </c>
      <c r="O237" s="19">
        <v>8</v>
      </c>
      <c r="P237" s="277"/>
      <c r="Q237" s="3"/>
      <c r="R237" s="47">
        <v>0.375</v>
      </c>
      <c r="S237" s="47">
        <v>0.22916666666666666</v>
      </c>
      <c r="T237" s="19">
        <v>7.5</v>
      </c>
      <c r="U237" s="277"/>
      <c r="V237" s="3"/>
      <c r="W237" s="47">
        <v>0.39583333333333331</v>
      </c>
      <c r="X237" s="47">
        <v>0.22916666666666666</v>
      </c>
      <c r="Y237" s="19">
        <v>7</v>
      </c>
      <c r="Z237" s="277"/>
      <c r="AA237" s="29">
        <f t="shared" ref="AA237:AA247" si="56">(E237+J237+O237+T237+Y237)</f>
        <v>38.5</v>
      </c>
      <c r="AB237" s="297">
        <f t="shared" si="55"/>
        <v>0</v>
      </c>
      <c r="AC237" s="3"/>
      <c r="AD237" s="47">
        <v>0.38541666666666669</v>
      </c>
      <c r="AE237" s="47">
        <v>0.16666666666666666</v>
      </c>
      <c r="AF237" s="19">
        <v>6.75</v>
      </c>
      <c r="AG237" s="29">
        <f t="shared" ref="AG237:AG249" si="57">AF237</f>
        <v>6.75</v>
      </c>
      <c r="AH237" s="3"/>
      <c r="AI237" s="227"/>
      <c r="AK237" s="187"/>
      <c r="AL237" s="187"/>
      <c r="AM237" s="187"/>
      <c r="AN237" s="187"/>
      <c r="AO237" s="187"/>
      <c r="AP237" s="187"/>
    </row>
    <row r="238" spans="1:42" s="1" customFormat="1" ht="14.25">
      <c r="B238" s="13" t="s">
        <v>37</v>
      </c>
      <c r="C238" s="47">
        <v>0.35416666666666669</v>
      </c>
      <c r="D238" s="47">
        <v>0.22916666666666666</v>
      </c>
      <c r="E238" s="19">
        <v>8</v>
      </c>
      <c r="F238" s="277"/>
      <c r="G238" s="3"/>
      <c r="H238" s="47">
        <v>0.29166666666666669</v>
      </c>
      <c r="I238" s="47">
        <v>0.22916666666666666</v>
      </c>
      <c r="J238" s="19">
        <v>8</v>
      </c>
      <c r="K238" s="277">
        <v>1.5</v>
      </c>
      <c r="L238" s="3"/>
      <c r="M238" s="47">
        <v>0.33333333333333331</v>
      </c>
      <c r="N238" s="47">
        <v>0.22916666666666666</v>
      </c>
      <c r="O238" s="19">
        <v>8.5</v>
      </c>
      <c r="P238" s="277">
        <v>0.5</v>
      </c>
      <c r="Q238" s="3"/>
      <c r="R238" s="47">
        <v>0.36458333333333331</v>
      </c>
      <c r="S238" s="47">
        <v>0.22916666666666666</v>
      </c>
      <c r="T238" s="19">
        <v>7.75</v>
      </c>
      <c r="U238" s="277"/>
      <c r="V238" s="3"/>
      <c r="W238" s="4">
        <v>0</v>
      </c>
      <c r="X238" s="4">
        <v>0</v>
      </c>
      <c r="Y238" s="19">
        <v>0</v>
      </c>
      <c r="Z238" s="277"/>
      <c r="AA238" s="29">
        <f t="shared" si="56"/>
        <v>32.25</v>
      </c>
      <c r="AB238" s="297">
        <f t="shared" si="55"/>
        <v>2</v>
      </c>
      <c r="AC238" s="3"/>
      <c r="AD238" s="4">
        <v>0</v>
      </c>
      <c r="AE238" s="4">
        <v>0</v>
      </c>
      <c r="AF238" s="19" t="str">
        <f t="shared" ref="AF238:AF239" si="58">TEXT(AE238-AD238, "h")</f>
        <v>0</v>
      </c>
      <c r="AG238" s="29" t="str">
        <f t="shared" si="57"/>
        <v>0</v>
      </c>
      <c r="AH238" s="3"/>
      <c r="AI238" s="227"/>
      <c r="AK238" s="187"/>
      <c r="AL238" s="187"/>
      <c r="AM238" s="187"/>
      <c r="AN238" s="187"/>
      <c r="AO238" s="187"/>
      <c r="AP238" s="187"/>
    </row>
    <row r="239" spans="1:42" s="1" customFormat="1" ht="14.25">
      <c r="B239" s="13" t="s">
        <v>39</v>
      </c>
      <c r="C239" s="47">
        <v>0.375</v>
      </c>
      <c r="D239" s="47">
        <v>0.22916666666666666</v>
      </c>
      <c r="E239" s="19">
        <v>7.5</v>
      </c>
      <c r="F239" s="277"/>
      <c r="G239" s="3"/>
      <c r="H239" s="47">
        <v>0.38541666666666669</v>
      </c>
      <c r="I239" s="47">
        <v>0.22916666666666666</v>
      </c>
      <c r="J239" s="19">
        <v>7.25</v>
      </c>
      <c r="K239" s="277"/>
      <c r="L239" s="3"/>
      <c r="M239" s="47">
        <v>0.39583333333333331</v>
      </c>
      <c r="N239" s="47">
        <v>0.22916666666666666</v>
      </c>
      <c r="O239" s="19">
        <v>7</v>
      </c>
      <c r="P239" s="277"/>
      <c r="Q239" s="3"/>
      <c r="R239" s="47">
        <v>0.38541666666666669</v>
      </c>
      <c r="S239" s="47">
        <v>0.22916666666666666</v>
      </c>
      <c r="T239" s="19">
        <v>7.25</v>
      </c>
      <c r="U239" s="277"/>
      <c r="V239" s="3"/>
      <c r="W239" s="47">
        <v>0.39583333333333331</v>
      </c>
      <c r="X239" s="47">
        <v>0.22916666666666666</v>
      </c>
      <c r="Y239" s="19">
        <v>7</v>
      </c>
      <c r="Z239" s="277"/>
      <c r="AA239" s="29">
        <f t="shared" si="56"/>
        <v>36</v>
      </c>
      <c r="AB239" s="297">
        <f t="shared" si="55"/>
        <v>0</v>
      </c>
      <c r="AC239" s="3"/>
      <c r="AD239" s="4">
        <v>0</v>
      </c>
      <c r="AE239" s="4">
        <v>0</v>
      </c>
      <c r="AF239" s="19" t="str">
        <f t="shared" si="58"/>
        <v>0</v>
      </c>
      <c r="AG239" s="29" t="str">
        <f t="shared" si="57"/>
        <v>0</v>
      </c>
      <c r="AH239" s="3"/>
      <c r="AI239" s="227"/>
      <c r="AK239" s="187"/>
      <c r="AL239" s="187"/>
      <c r="AM239" s="187"/>
      <c r="AN239" s="187"/>
      <c r="AO239" s="187"/>
      <c r="AP239" s="187"/>
    </row>
    <row r="240" spans="1:42" s="1" customFormat="1" ht="14.25">
      <c r="B240" s="164" t="s">
        <v>40</v>
      </c>
      <c r="C240" s="47">
        <v>0.375</v>
      </c>
      <c r="D240" s="47">
        <v>0.22916666666666666</v>
      </c>
      <c r="E240" s="19">
        <v>7.5</v>
      </c>
      <c r="F240" s="277"/>
      <c r="G240" s="3"/>
      <c r="H240" s="47">
        <v>0.38541666666666669</v>
      </c>
      <c r="I240" s="47">
        <v>0.22916666666666666</v>
      </c>
      <c r="J240" s="19">
        <v>7.25</v>
      </c>
      <c r="K240" s="277"/>
      <c r="L240" s="3"/>
      <c r="M240" s="47">
        <v>0.36458333333333331</v>
      </c>
      <c r="N240" s="47">
        <v>0.22916666666666666</v>
      </c>
      <c r="O240" s="19">
        <v>7.75</v>
      </c>
      <c r="P240" s="277"/>
      <c r="Q240" s="3"/>
      <c r="R240" s="47">
        <v>0.375</v>
      </c>
      <c r="S240" s="47">
        <v>0.22916666666666666</v>
      </c>
      <c r="T240" s="19">
        <v>7.5</v>
      </c>
      <c r="U240" s="277"/>
      <c r="V240" s="3"/>
      <c r="W240" s="47">
        <v>0.375</v>
      </c>
      <c r="X240" s="47">
        <v>0.22916666666666666</v>
      </c>
      <c r="Y240" s="19">
        <v>7.5</v>
      </c>
      <c r="Z240" s="277"/>
      <c r="AA240" s="29">
        <f t="shared" si="56"/>
        <v>37.5</v>
      </c>
      <c r="AB240" s="297">
        <f t="shared" si="55"/>
        <v>0</v>
      </c>
      <c r="AC240" s="3"/>
      <c r="AD240" s="4">
        <v>0</v>
      </c>
      <c r="AE240" s="4">
        <v>0</v>
      </c>
      <c r="AF240" s="19" t="str">
        <f t="shared" ref="AF240:AF249" si="59">TEXT(AE240-AD240, "h")</f>
        <v>0</v>
      </c>
      <c r="AG240" s="29" t="str">
        <f t="shared" si="57"/>
        <v>0</v>
      </c>
      <c r="AH240" s="3"/>
      <c r="AI240" s="227"/>
      <c r="AK240" s="187"/>
      <c r="AL240" s="187"/>
      <c r="AM240" s="187"/>
      <c r="AN240" s="187"/>
      <c r="AO240" s="187"/>
      <c r="AP240" s="187"/>
    </row>
    <row r="241" spans="1:42" s="1" customFormat="1" ht="14.25">
      <c r="B241" s="164" t="s">
        <v>42</v>
      </c>
      <c r="C241" s="47">
        <v>0.35416666666666669</v>
      </c>
      <c r="D241" s="47">
        <v>0.22916666666666666</v>
      </c>
      <c r="E241" s="19">
        <v>8</v>
      </c>
      <c r="F241" s="277"/>
      <c r="G241" s="3"/>
      <c r="H241" s="47">
        <v>0.29166666666666669</v>
      </c>
      <c r="I241" s="47">
        <v>0.22916666666666666</v>
      </c>
      <c r="J241" s="19">
        <v>8</v>
      </c>
      <c r="K241" s="277">
        <v>1.5</v>
      </c>
      <c r="L241" s="3"/>
      <c r="M241" s="47">
        <v>0.33333333333333331</v>
      </c>
      <c r="N241" s="47">
        <v>0.22916666666666666</v>
      </c>
      <c r="O241" s="19">
        <v>8</v>
      </c>
      <c r="P241" s="277"/>
      <c r="Q241" s="3"/>
      <c r="R241" s="47">
        <v>0.35416666666666669</v>
      </c>
      <c r="S241" s="47">
        <v>0.22916666666666666</v>
      </c>
      <c r="T241" s="19">
        <v>8</v>
      </c>
      <c r="U241" s="277"/>
      <c r="V241" s="3"/>
      <c r="W241" s="47">
        <v>0.35416666666666669</v>
      </c>
      <c r="X241" s="47">
        <v>0.22916666666666666</v>
      </c>
      <c r="Y241" s="19">
        <v>8</v>
      </c>
      <c r="Z241" s="277"/>
      <c r="AA241" s="29">
        <f t="shared" si="56"/>
        <v>40</v>
      </c>
      <c r="AB241" s="297">
        <f t="shared" si="55"/>
        <v>1.5</v>
      </c>
      <c r="AC241" s="3"/>
      <c r="AD241" s="4">
        <v>0</v>
      </c>
      <c r="AE241" s="4">
        <v>0</v>
      </c>
      <c r="AF241" s="19" t="str">
        <f t="shared" si="59"/>
        <v>0</v>
      </c>
      <c r="AG241" s="29" t="str">
        <f t="shared" si="57"/>
        <v>0</v>
      </c>
      <c r="AH241" s="3"/>
      <c r="AI241" s="227"/>
      <c r="AK241" s="187"/>
      <c r="AL241" s="187"/>
      <c r="AM241" s="187"/>
      <c r="AN241" s="187"/>
      <c r="AO241" s="187"/>
      <c r="AP241" s="187"/>
    </row>
    <row r="242" spans="1:42" s="1" customFormat="1" ht="14.25">
      <c r="B242" s="13" t="s">
        <v>43</v>
      </c>
      <c r="C242" s="47">
        <v>0.33680555555555558</v>
      </c>
      <c r="D242" s="47">
        <v>0.20833333333333334</v>
      </c>
      <c r="E242" s="19">
        <v>8</v>
      </c>
      <c r="F242" s="277"/>
      <c r="G242" s="3"/>
      <c r="H242" s="47">
        <v>0.29166666666666669</v>
      </c>
      <c r="I242" s="47">
        <v>0.29166666666666669</v>
      </c>
      <c r="J242" s="19">
        <v>8</v>
      </c>
      <c r="K242" s="277">
        <v>3</v>
      </c>
      <c r="L242" s="3"/>
      <c r="M242" s="47">
        <v>0.33333333333333331</v>
      </c>
      <c r="N242" s="47">
        <v>0.22916666666666666</v>
      </c>
      <c r="O242" s="19">
        <v>8.5</v>
      </c>
      <c r="P242" s="277">
        <v>0.5</v>
      </c>
      <c r="Q242" s="3"/>
      <c r="R242" s="47">
        <v>0.33333333333333331</v>
      </c>
      <c r="S242" s="47">
        <v>0.22916666666666666</v>
      </c>
      <c r="T242" s="19">
        <v>8.5</v>
      </c>
      <c r="U242" s="277">
        <v>0.5</v>
      </c>
      <c r="V242" s="3"/>
      <c r="W242" s="47">
        <v>0.33333333333333331</v>
      </c>
      <c r="X242" s="47">
        <v>0.22916666666666666</v>
      </c>
      <c r="Y242" s="19">
        <v>8</v>
      </c>
      <c r="Z242" s="277">
        <v>0.5</v>
      </c>
      <c r="AA242" s="29">
        <f t="shared" si="56"/>
        <v>41</v>
      </c>
      <c r="AB242" s="297">
        <f t="shared" si="55"/>
        <v>4.5</v>
      </c>
      <c r="AC242" s="3"/>
      <c r="AD242" s="4">
        <v>0</v>
      </c>
      <c r="AE242" s="4">
        <v>0</v>
      </c>
      <c r="AF242" s="19" t="str">
        <f t="shared" si="59"/>
        <v>0</v>
      </c>
      <c r="AG242" s="29" t="str">
        <f t="shared" si="57"/>
        <v>0</v>
      </c>
      <c r="AH242" s="3"/>
      <c r="AI242" s="227"/>
      <c r="AK242" s="187"/>
      <c r="AL242" s="187"/>
      <c r="AM242" s="187"/>
      <c r="AN242" s="187"/>
      <c r="AO242" s="187"/>
      <c r="AP242" s="187"/>
    </row>
    <row r="243" spans="1:42" s="1" customFormat="1" ht="14.25">
      <c r="B243" s="13" t="s">
        <v>157</v>
      </c>
      <c r="C243" s="47">
        <v>0.375</v>
      </c>
      <c r="D243" s="47">
        <v>0.22916666666666666</v>
      </c>
      <c r="E243" s="19">
        <v>7.5</v>
      </c>
      <c r="F243" s="277"/>
      <c r="G243" s="3"/>
      <c r="H243" s="47">
        <v>0.38541666666666669</v>
      </c>
      <c r="I243" s="47">
        <v>0.22916666666666666</v>
      </c>
      <c r="J243" s="19">
        <v>7.25</v>
      </c>
      <c r="K243" s="277"/>
      <c r="L243" s="3"/>
      <c r="M243" s="47">
        <v>0.375</v>
      </c>
      <c r="N243" s="47">
        <v>0.22916666666666666</v>
      </c>
      <c r="O243" s="19">
        <v>7.5</v>
      </c>
      <c r="P243" s="277"/>
      <c r="Q243" s="3"/>
      <c r="R243" s="47">
        <v>0.36458333333333331</v>
      </c>
      <c r="S243" s="47">
        <v>0.22916666666666666</v>
      </c>
      <c r="T243" s="19">
        <v>7.75</v>
      </c>
      <c r="U243" s="277"/>
      <c r="V243" s="3"/>
      <c r="W243" s="47">
        <v>0.35416666666666669</v>
      </c>
      <c r="X243" s="47">
        <v>0.22916666666666666</v>
      </c>
      <c r="Y243" s="19">
        <v>8</v>
      </c>
      <c r="Z243" s="277"/>
      <c r="AA243" s="29">
        <f t="shared" si="56"/>
        <v>38</v>
      </c>
      <c r="AB243" s="297">
        <f t="shared" si="55"/>
        <v>0</v>
      </c>
      <c r="AC243" s="3"/>
      <c r="AD243" s="4">
        <v>0</v>
      </c>
      <c r="AE243" s="4">
        <v>0</v>
      </c>
      <c r="AF243" s="19" t="str">
        <f t="shared" si="59"/>
        <v>0</v>
      </c>
      <c r="AG243" s="29" t="str">
        <f t="shared" si="57"/>
        <v>0</v>
      </c>
      <c r="AH243" s="3"/>
      <c r="AI243" s="227"/>
      <c r="AK243" s="187"/>
      <c r="AL243" s="187"/>
      <c r="AM243" s="187"/>
      <c r="AN243" s="187"/>
      <c r="AO243" s="187"/>
      <c r="AP243" s="187"/>
    </row>
    <row r="244" spans="1:42" s="1" customFormat="1" ht="14.25">
      <c r="B244" s="13" t="s">
        <v>47</v>
      </c>
      <c r="C244" s="4">
        <v>0</v>
      </c>
      <c r="D244" s="4">
        <v>0</v>
      </c>
      <c r="E244" s="19" t="str">
        <f t="shared" ref="E244" si="60">TEXT(D244-C244, "h")</f>
        <v>0</v>
      </c>
      <c r="F244" s="277"/>
      <c r="G244" s="3"/>
      <c r="H244" s="47">
        <v>0.34375</v>
      </c>
      <c r="I244" s="47">
        <v>0.27083333333333331</v>
      </c>
      <c r="J244" s="19">
        <v>8</v>
      </c>
      <c r="K244" s="277">
        <v>1.25</v>
      </c>
      <c r="L244" s="3"/>
      <c r="M244" s="47">
        <v>0.35416666666666669</v>
      </c>
      <c r="N244" s="47">
        <v>0.22916666666666666</v>
      </c>
      <c r="O244" s="19">
        <v>8</v>
      </c>
      <c r="P244" s="277"/>
      <c r="Q244" s="3"/>
      <c r="R244" s="47">
        <v>0.33333333333333331</v>
      </c>
      <c r="S244" s="47">
        <v>0.22916666666666666</v>
      </c>
      <c r="T244" s="19">
        <v>8.5</v>
      </c>
      <c r="U244" s="277">
        <v>0.5</v>
      </c>
      <c r="V244" s="3"/>
      <c r="W244" s="47">
        <v>0.33333333333333331</v>
      </c>
      <c r="X244" s="47">
        <v>0.22916666666666666</v>
      </c>
      <c r="Y244" s="19">
        <v>8</v>
      </c>
      <c r="Z244" s="277">
        <v>0.5</v>
      </c>
      <c r="AA244" s="29">
        <f t="shared" si="56"/>
        <v>32.5</v>
      </c>
      <c r="AB244" s="297">
        <f t="shared" si="55"/>
        <v>2.25</v>
      </c>
      <c r="AC244" s="3"/>
      <c r="AD244" s="47">
        <v>0.35416666666666669</v>
      </c>
      <c r="AE244" s="47">
        <v>0.16666666666666666</v>
      </c>
      <c r="AF244" s="19">
        <v>7.5</v>
      </c>
      <c r="AG244" s="29">
        <f t="shared" si="57"/>
        <v>7.5</v>
      </c>
      <c r="AH244" s="3"/>
      <c r="AI244" s="227"/>
      <c r="AK244" s="187"/>
      <c r="AL244" s="187"/>
      <c r="AM244" s="187"/>
      <c r="AN244" s="187"/>
      <c r="AO244" s="187"/>
      <c r="AP244" s="187"/>
    </row>
    <row r="245" spans="1:42" s="1" customFormat="1" ht="14.25">
      <c r="B245" s="13" t="s">
        <v>46</v>
      </c>
      <c r="C245" s="47">
        <v>0.35416666666666669</v>
      </c>
      <c r="D245" s="47">
        <v>0.25</v>
      </c>
      <c r="E245" s="19">
        <v>8</v>
      </c>
      <c r="F245" s="277">
        <v>0.5</v>
      </c>
      <c r="G245" s="3"/>
      <c r="H245" s="47">
        <v>0.29166666666666669</v>
      </c>
      <c r="I245" s="47">
        <v>0.33333333333333331</v>
      </c>
      <c r="J245" s="19">
        <v>8</v>
      </c>
      <c r="K245" s="277">
        <v>4</v>
      </c>
      <c r="L245" s="3"/>
      <c r="M245" s="47">
        <v>0.33333333333333331</v>
      </c>
      <c r="N245" s="47">
        <v>0.22916666666666666</v>
      </c>
      <c r="O245" s="19">
        <v>8.5</v>
      </c>
      <c r="P245" s="277">
        <v>0.5</v>
      </c>
      <c r="Q245" s="3"/>
      <c r="R245" s="47">
        <v>0.33333333333333331</v>
      </c>
      <c r="S245" s="47">
        <v>0.22916666666666666</v>
      </c>
      <c r="T245" s="19">
        <v>8.5</v>
      </c>
      <c r="U245" s="277">
        <v>0.5</v>
      </c>
      <c r="V245" s="3"/>
      <c r="W245" s="47">
        <v>0.33333333333333331</v>
      </c>
      <c r="X245" s="47">
        <v>0.22916666666666666</v>
      </c>
      <c r="Y245" s="19">
        <v>8</v>
      </c>
      <c r="Z245" s="277">
        <v>0.5</v>
      </c>
      <c r="AA245" s="29">
        <f t="shared" si="56"/>
        <v>41</v>
      </c>
      <c r="AB245" s="297">
        <f t="shared" si="55"/>
        <v>6</v>
      </c>
      <c r="AC245" s="3"/>
      <c r="AD245" s="47">
        <v>0.36458333333333331</v>
      </c>
      <c r="AE245" s="47">
        <v>0.16666666666666666</v>
      </c>
      <c r="AF245" s="19">
        <v>7.25</v>
      </c>
      <c r="AG245" s="29">
        <f t="shared" si="57"/>
        <v>7.25</v>
      </c>
      <c r="AH245" s="3"/>
      <c r="AI245" s="227"/>
      <c r="AK245" s="187"/>
      <c r="AL245" s="187"/>
      <c r="AM245" s="187"/>
      <c r="AN245" s="187"/>
      <c r="AO245" s="187"/>
      <c r="AP245" s="187"/>
    </row>
    <row r="246" spans="1:42" s="1" customFormat="1" ht="14.25">
      <c r="B246" s="13" t="s">
        <v>54</v>
      </c>
      <c r="C246" s="4">
        <v>0</v>
      </c>
      <c r="D246" s="4">
        <v>0</v>
      </c>
      <c r="E246" s="19" t="str">
        <f t="shared" ref="E246" si="61">TEXT(D246-C246, "h")</f>
        <v>0</v>
      </c>
      <c r="F246" s="277"/>
      <c r="G246" s="3"/>
      <c r="H246" s="4">
        <v>0</v>
      </c>
      <c r="I246" s="4">
        <v>0</v>
      </c>
      <c r="J246" s="19" t="str">
        <f t="shared" ref="J246" si="62">TEXT(I246-H246, "h")</f>
        <v>0</v>
      </c>
      <c r="K246" s="277"/>
      <c r="L246" s="3"/>
      <c r="M246" s="4">
        <v>0</v>
      </c>
      <c r="N246" s="4">
        <v>0</v>
      </c>
      <c r="O246" s="19" t="str">
        <f t="shared" ref="O246" si="63">TEXT(N246-M246, "h")</f>
        <v>0</v>
      </c>
      <c r="P246" s="277"/>
      <c r="Q246" s="3"/>
      <c r="R246" s="4">
        <v>0</v>
      </c>
      <c r="S246" s="4">
        <v>0</v>
      </c>
      <c r="T246" s="19">
        <v>0</v>
      </c>
      <c r="U246" s="277"/>
      <c r="V246" s="3"/>
      <c r="W246" s="4">
        <v>0</v>
      </c>
      <c r="X246" s="4">
        <v>0</v>
      </c>
      <c r="Y246" s="19">
        <v>0</v>
      </c>
      <c r="Z246" s="277"/>
      <c r="AA246" s="29">
        <f t="shared" si="56"/>
        <v>0</v>
      </c>
      <c r="AB246" s="297">
        <f t="shared" si="55"/>
        <v>0</v>
      </c>
      <c r="AC246" s="3"/>
      <c r="AD246" s="4">
        <v>0</v>
      </c>
      <c r="AE246" s="4">
        <v>0</v>
      </c>
      <c r="AF246" s="19" t="str">
        <f t="shared" si="59"/>
        <v>0</v>
      </c>
      <c r="AG246" s="29" t="str">
        <f t="shared" si="57"/>
        <v>0</v>
      </c>
      <c r="AH246" s="3"/>
      <c r="AI246" s="227"/>
      <c r="AK246" s="187"/>
      <c r="AL246" s="187"/>
      <c r="AM246" s="187"/>
      <c r="AN246" s="187"/>
      <c r="AO246" s="187"/>
      <c r="AP246" s="187"/>
    </row>
    <row r="247" spans="1:42" s="1" customFormat="1" ht="14.25">
      <c r="B247" s="13" t="s">
        <v>167</v>
      </c>
      <c r="C247" s="12" t="s">
        <v>29</v>
      </c>
      <c r="D247" s="12" t="s">
        <v>29</v>
      </c>
      <c r="E247" s="19">
        <v>6</v>
      </c>
      <c r="F247" s="277"/>
      <c r="G247" s="3"/>
      <c r="H247" s="12" t="s">
        <v>29</v>
      </c>
      <c r="I247" s="12" t="s">
        <v>29</v>
      </c>
      <c r="J247" s="19">
        <v>6</v>
      </c>
      <c r="K247" s="277"/>
      <c r="L247" s="3"/>
      <c r="M247" s="12" t="s">
        <v>29</v>
      </c>
      <c r="N247" s="12" t="s">
        <v>29</v>
      </c>
      <c r="O247" s="19">
        <v>6</v>
      </c>
      <c r="P247" s="277"/>
      <c r="Q247" s="3"/>
      <c r="R247" s="12" t="s">
        <v>29</v>
      </c>
      <c r="S247" s="12" t="s">
        <v>29</v>
      </c>
      <c r="T247" s="19">
        <v>6</v>
      </c>
      <c r="U247" s="277"/>
      <c r="V247" s="3"/>
      <c r="W247" s="12" t="s">
        <v>29</v>
      </c>
      <c r="X247" s="12" t="s">
        <v>29</v>
      </c>
      <c r="Y247" s="19">
        <v>6</v>
      </c>
      <c r="Z247" s="277"/>
      <c r="AA247" s="29">
        <f t="shared" si="56"/>
        <v>30</v>
      </c>
      <c r="AB247" s="297">
        <f t="shared" si="55"/>
        <v>0</v>
      </c>
      <c r="AC247" s="3"/>
      <c r="AD247" s="4">
        <v>0</v>
      </c>
      <c r="AE247" s="4">
        <v>0</v>
      </c>
      <c r="AF247" s="19" t="str">
        <f t="shared" si="59"/>
        <v>0</v>
      </c>
      <c r="AG247" s="29" t="str">
        <f t="shared" si="57"/>
        <v>0</v>
      </c>
      <c r="AH247" s="3"/>
      <c r="AI247" s="227"/>
      <c r="AK247" s="187"/>
      <c r="AL247" s="187"/>
      <c r="AM247" s="187"/>
      <c r="AN247" s="187"/>
      <c r="AO247" s="187"/>
      <c r="AP247" s="187"/>
    </row>
    <row r="248" spans="1:42" s="1" customFormat="1" ht="14.25">
      <c r="B248" s="13" t="s">
        <v>55</v>
      </c>
      <c r="C248" s="4">
        <v>0</v>
      </c>
      <c r="D248" s="4">
        <v>0</v>
      </c>
      <c r="E248" s="19" t="str">
        <f>TEXT(D248-C248, "h")</f>
        <v>0</v>
      </c>
      <c r="F248" s="277"/>
      <c r="G248" s="3"/>
      <c r="H248" s="4">
        <v>0</v>
      </c>
      <c r="I248" s="4">
        <v>0</v>
      </c>
      <c r="J248" s="19" t="str">
        <f>TEXT(I248-H248, "h")</f>
        <v>0</v>
      </c>
      <c r="K248" s="277"/>
      <c r="L248" s="3"/>
      <c r="M248" s="4">
        <v>0</v>
      </c>
      <c r="N248" s="4">
        <v>0</v>
      </c>
      <c r="O248" s="19" t="str">
        <f>TEXT(N248-M248, "h")</f>
        <v>0</v>
      </c>
      <c r="P248" s="277"/>
      <c r="Q248" s="3"/>
      <c r="R248" s="4">
        <v>0</v>
      </c>
      <c r="S248" s="4">
        <v>0</v>
      </c>
      <c r="T248" s="19">
        <v>0</v>
      </c>
      <c r="U248" s="277"/>
      <c r="V248" s="3"/>
      <c r="W248" s="4">
        <v>0</v>
      </c>
      <c r="X248" s="4">
        <v>0</v>
      </c>
      <c r="Y248" s="19">
        <v>0</v>
      </c>
      <c r="Z248" s="277"/>
      <c r="AA248" s="29">
        <f>(E248+J248+O248+T248+Y248)</f>
        <v>0</v>
      </c>
      <c r="AB248" s="297">
        <f t="shared" si="55"/>
        <v>0</v>
      </c>
      <c r="AC248" s="3"/>
      <c r="AD248" s="47">
        <v>0.38541666666666669</v>
      </c>
      <c r="AE248" s="47">
        <v>0.14583333333333334</v>
      </c>
      <c r="AF248" s="19">
        <v>6.25</v>
      </c>
      <c r="AG248" s="29">
        <f t="shared" si="57"/>
        <v>6.25</v>
      </c>
      <c r="AH248" s="3"/>
      <c r="AI248" s="227"/>
      <c r="AK248" s="187"/>
      <c r="AL248" s="187"/>
      <c r="AM248" s="187"/>
      <c r="AN248" s="187"/>
      <c r="AO248" s="187"/>
      <c r="AP248" s="187"/>
    </row>
    <row r="249" spans="1:42" s="1" customFormat="1" ht="14.25">
      <c r="B249" s="166" t="s">
        <v>53</v>
      </c>
      <c r="C249" s="12" t="s">
        <v>29</v>
      </c>
      <c r="D249" s="12" t="s">
        <v>29</v>
      </c>
      <c r="E249" s="19">
        <v>6</v>
      </c>
      <c r="F249" s="277"/>
      <c r="G249" s="3"/>
      <c r="H249" s="12" t="s">
        <v>29</v>
      </c>
      <c r="I249" s="12" t="s">
        <v>29</v>
      </c>
      <c r="J249" s="19">
        <v>6</v>
      </c>
      <c r="K249" s="277"/>
      <c r="L249" s="3"/>
      <c r="M249" s="12" t="s">
        <v>29</v>
      </c>
      <c r="N249" s="12" t="s">
        <v>29</v>
      </c>
      <c r="O249" s="19">
        <v>6</v>
      </c>
      <c r="P249" s="277"/>
      <c r="Q249" s="3"/>
      <c r="R249" s="12" t="s">
        <v>29</v>
      </c>
      <c r="S249" s="12" t="s">
        <v>29</v>
      </c>
      <c r="T249" s="19">
        <v>6</v>
      </c>
      <c r="U249" s="277"/>
      <c r="V249" s="3"/>
      <c r="W249" s="12" t="s">
        <v>29</v>
      </c>
      <c r="X249" s="12" t="s">
        <v>29</v>
      </c>
      <c r="Y249" s="19">
        <v>6</v>
      </c>
      <c r="Z249" s="277"/>
      <c r="AA249" s="29">
        <f>(E249+J249+O249+T249+Y249)</f>
        <v>30</v>
      </c>
      <c r="AB249" s="297">
        <f t="shared" si="55"/>
        <v>0</v>
      </c>
      <c r="AC249" s="3"/>
      <c r="AD249" s="4">
        <v>0</v>
      </c>
      <c r="AE249" s="4">
        <v>0</v>
      </c>
      <c r="AF249" s="19" t="str">
        <f t="shared" si="59"/>
        <v>0</v>
      </c>
      <c r="AG249" s="29" t="str">
        <f t="shared" si="57"/>
        <v>0</v>
      </c>
      <c r="AH249" s="3"/>
      <c r="AI249" s="227"/>
      <c r="AK249" s="187"/>
      <c r="AL249" s="187"/>
      <c r="AM249" s="187"/>
      <c r="AN249" s="187"/>
      <c r="AO249" s="187"/>
      <c r="AP249" s="187"/>
    </row>
    <row r="250" spans="1:42" s="1" customFormat="1">
      <c r="B250" s="64" t="s">
        <v>61</v>
      </c>
      <c r="C250" s="64"/>
      <c r="D250" s="64"/>
      <c r="E250" s="167">
        <f>SUM(E231:E249)</f>
        <v>119.75</v>
      </c>
      <c r="F250" s="277">
        <f>SUM(F231:F249)</f>
        <v>0.5</v>
      </c>
      <c r="G250" s="3"/>
      <c r="H250" s="64"/>
      <c r="I250" s="64"/>
      <c r="J250" s="167">
        <f>SUM(J231:J249)</f>
        <v>128</v>
      </c>
      <c r="K250" s="277">
        <f>SUM(K231:K249)</f>
        <v>12.75</v>
      </c>
      <c r="L250" s="3"/>
      <c r="M250" s="64"/>
      <c r="N250" s="64"/>
      <c r="O250" s="167">
        <f>SUM(O231:O249)</f>
        <v>128.55000000000001</v>
      </c>
      <c r="P250" s="277">
        <f>SUM(P231:P249)</f>
        <v>1.5</v>
      </c>
      <c r="Q250" s="3"/>
      <c r="R250" s="64"/>
      <c r="S250" s="64"/>
      <c r="T250" s="167">
        <f>SUM(T231:T249)</f>
        <v>123.25</v>
      </c>
      <c r="U250" s="277">
        <f>SUM(U231:U249)</f>
        <v>1.5</v>
      </c>
      <c r="V250" s="3"/>
      <c r="W250" s="64"/>
      <c r="X250" s="64"/>
      <c r="Y250" s="167">
        <f>SUM(Y231:Y249)</f>
        <v>119.75</v>
      </c>
      <c r="Z250" s="277">
        <f>SUM(Z231:Z249)</f>
        <v>2</v>
      </c>
      <c r="AA250" s="247">
        <f>SUM(AA231:AA249)</f>
        <v>619.29999999999995</v>
      </c>
      <c r="AB250" s="284">
        <f>SUM(AB231:AB249)</f>
        <v>18.25</v>
      </c>
      <c r="AC250" s="3"/>
      <c r="AD250" s="64"/>
      <c r="AE250" s="64"/>
      <c r="AF250" s="64">
        <f>SUM(AF233:AF248)</f>
        <v>27.75</v>
      </c>
      <c r="AG250" s="247">
        <f>SUM(AG233:AG248)</f>
        <v>27.75</v>
      </c>
      <c r="AH250" s="3"/>
      <c r="AI250" s="227"/>
      <c r="AK250" s="187"/>
      <c r="AL250" s="187"/>
      <c r="AM250" s="187"/>
      <c r="AN250" s="187"/>
      <c r="AO250" s="187"/>
      <c r="AP250" s="187"/>
    </row>
    <row r="251" spans="1:42" s="1" customFormat="1">
      <c r="B251" s="63" t="s">
        <v>62</v>
      </c>
      <c r="C251" s="56"/>
      <c r="D251" s="56"/>
      <c r="E251" s="19">
        <v>8</v>
      </c>
      <c r="F251" s="291">
        <v>3.5</v>
      </c>
      <c r="G251" s="60"/>
      <c r="H251" s="56"/>
      <c r="I251" s="56"/>
      <c r="J251" s="19">
        <v>8</v>
      </c>
      <c r="K251" s="291">
        <v>3.25</v>
      </c>
      <c r="L251" s="60"/>
      <c r="M251" s="56"/>
      <c r="N251" s="56"/>
      <c r="O251" s="19">
        <v>8</v>
      </c>
      <c r="P251" s="291">
        <v>2.75</v>
      </c>
      <c r="Q251" s="60"/>
      <c r="R251" s="56"/>
      <c r="S251" s="56"/>
      <c r="T251" s="19">
        <v>8</v>
      </c>
      <c r="U251" s="291">
        <v>2.5</v>
      </c>
      <c r="V251" s="60"/>
      <c r="W251" s="56"/>
      <c r="X251" s="56"/>
      <c r="Y251" s="19">
        <v>8</v>
      </c>
      <c r="Z251" s="291">
        <v>2.75</v>
      </c>
      <c r="AA251" s="29">
        <f>(E251+J251+O251+T251+Y251)</f>
        <v>40</v>
      </c>
      <c r="AB251" s="282">
        <f>Z251+U251+P251+K251+F251</f>
        <v>14.75</v>
      </c>
      <c r="AC251" s="3"/>
      <c r="AD251" s="56"/>
      <c r="AE251" s="56"/>
      <c r="AF251" s="19">
        <v>0</v>
      </c>
      <c r="AG251" s="29">
        <f>AF251</f>
        <v>0</v>
      </c>
      <c r="AH251" s="3"/>
      <c r="AI251" s="227"/>
      <c r="AK251" s="187"/>
      <c r="AL251" s="187"/>
      <c r="AM251" s="187"/>
      <c r="AN251" s="187"/>
      <c r="AO251" s="187"/>
      <c r="AP251" s="187"/>
    </row>
    <row r="252" spans="1:42" s="1" customFormat="1">
      <c r="B252" s="63" t="s">
        <v>63</v>
      </c>
      <c r="C252" s="56"/>
      <c r="D252" s="56"/>
      <c r="E252" s="19">
        <v>7</v>
      </c>
      <c r="F252" s="291">
        <v>0</v>
      </c>
      <c r="G252" s="60"/>
      <c r="H252" s="56"/>
      <c r="I252" s="56"/>
      <c r="J252" s="19">
        <v>6</v>
      </c>
      <c r="K252" s="291">
        <v>0</v>
      </c>
      <c r="L252" s="60"/>
      <c r="M252" s="56"/>
      <c r="N252" s="56"/>
      <c r="O252" s="19">
        <v>8</v>
      </c>
      <c r="P252" s="291">
        <v>0</v>
      </c>
      <c r="Q252" s="60"/>
      <c r="R252" s="56"/>
      <c r="S252" s="56"/>
      <c r="T252" s="19">
        <v>7</v>
      </c>
      <c r="U252" s="291">
        <v>0</v>
      </c>
      <c r="V252" s="60"/>
      <c r="W252" s="56"/>
      <c r="X252" s="56"/>
      <c r="Y252" s="19">
        <v>7.5</v>
      </c>
      <c r="Z252" s="291">
        <v>0</v>
      </c>
      <c r="AA252" s="29">
        <f>(E252+J252+O252+T252+Y252)</f>
        <v>35.5</v>
      </c>
      <c r="AB252" s="282">
        <f t="shared" ref="AB252:AB254" si="64">Z252+U252+P252+K252+F252</f>
        <v>0</v>
      </c>
      <c r="AC252" s="3"/>
      <c r="AD252" s="56"/>
      <c r="AE252" s="56"/>
      <c r="AF252" s="19">
        <v>0</v>
      </c>
      <c r="AG252" s="29">
        <f>AF252</f>
        <v>0</v>
      </c>
      <c r="AH252" s="3"/>
      <c r="AI252" s="227"/>
      <c r="AK252" s="187"/>
      <c r="AL252" s="187"/>
      <c r="AM252" s="187"/>
      <c r="AN252" s="187"/>
      <c r="AO252" s="187"/>
      <c r="AP252" s="187"/>
    </row>
    <row r="253" spans="1:42" s="1" customFormat="1">
      <c r="B253" s="63" t="s">
        <v>64</v>
      </c>
      <c r="C253" s="56"/>
      <c r="D253" s="56"/>
      <c r="E253" s="19">
        <f>6+(1*1.5)</f>
        <v>7.5</v>
      </c>
      <c r="F253" s="291">
        <v>0</v>
      </c>
      <c r="G253" s="60"/>
      <c r="H253" s="56"/>
      <c r="I253" s="56"/>
      <c r="J253" s="19">
        <f>7+(0.5*1.5)</f>
        <v>7.75</v>
      </c>
      <c r="K253" s="291">
        <v>3.75</v>
      </c>
      <c r="L253" s="60"/>
      <c r="M253" s="56"/>
      <c r="N253" s="56"/>
      <c r="O253" s="19">
        <f>7+(0.5*1.5)</f>
        <v>7.75</v>
      </c>
      <c r="P253" s="291">
        <v>1.5</v>
      </c>
      <c r="Q253" s="60"/>
      <c r="R253" s="56"/>
      <c r="S253" s="56"/>
      <c r="T253" s="49">
        <f>7.5+(0.25*1.5)</f>
        <v>7.875</v>
      </c>
      <c r="U253" s="291">
        <v>0.75</v>
      </c>
      <c r="V253" s="60"/>
      <c r="W253" s="56"/>
      <c r="X253" s="56"/>
      <c r="Y253" s="19">
        <v>8</v>
      </c>
      <c r="Z253" s="291">
        <v>2</v>
      </c>
      <c r="AA253" s="29">
        <f>(E253+J253+O253+T253+Y253)</f>
        <v>38.875</v>
      </c>
      <c r="AB253" s="282">
        <f>Z253+U253+P253+K253+F253</f>
        <v>8</v>
      </c>
      <c r="AC253" s="3"/>
      <c r="AD253" s="56"/>
      <c r="AE253" s="56"/>
      <c r="AF253" s="19">
        <v>1.5</v>
      </c>
      <c r="AG253" s="29">
        <f>AF253</f>
        <v>1.5</v>
      </c>
      <c r="AH253" s="3"/>
      <c r="AI253" s="227"/>
      <c r="AK253" s="187"/>
      <c r="AL253" s="187"/>
      <c r="AM253" s="187"/>
      <c r="AN253" s="187"/>
      <c r="AO253" s="187"/>
      <c r="AP253" s="187"/>
    </row>
    <row r="254" spans="1:42" s="1" customFormat="1" ht="14.25" thickBot="1">
      <c r="B254" s="268" t="s">
        <v>65</v>
      </c>
      <c r="C254" s="75"/>
      <c r="D254" s="75"/>
      <c r="E254" s="77">
        <v>3</v>
      </c>
      <c r="F254" s="292">
        <v>0</v>
      </c>
      <c r="G254" s="81"/>
      <c r="H254" s="75"/>
      <c r="I254" s="75"/>
      <c r="J254" s="77">
        <v>0</v>
      </c>
      <c r="K254" s="292">
        <v>0</v>
      </c>
      <c r="L254" s="81"/>
      <c r="M254" s="75"/>
      <c r="N254" s="75"/>
      <c r="O254" s="77">
        <v>0</v>
      </c>
      <c r="P254" s="292">
        <v>0</v>
      </c>
      <c r="Q254" s="81"/>
      <c r="R254" s="75"/>
      <c r="S254" s="75"/>
      <c r="T254" s="77">
        <v>0</v>
      </c>
      <c r="U254" s="292">
        <v>0</v>
      </c>
      <c r="V254" s="81"/>
      <c r="W254" s="75"/>
      <c r="X254" s="75"/>
      <c r="Y254" s="77">
        <v>0</v>
      </c>
      <c r="Z254" s="292">
        <v>0</v>
      </c>
      <c r="AA254" s="29">
        <f>(E254+J254+O254+T254+Y254)</f>
        <v>3</v>
      </c>
      <c r="AB254" s="287">
        <f t="shared" si="64"/>
        <v>0</v>
      </c>
      <c r="AC254" s="3"/>
      <c r="AD254" s="75"/>
      <c r="AE254" s="75"/>
      <c r="AF254" s="77">
        <v>0</v>
      </c>
      <c r="AG254" s="276">
        <v>0</v>
      </c>
      <c r="AH254" s="3"/>
      <c r="AI254" s="227"/>
      <c r="AK254" s="303"/>
      <c r="AL254" s="303"/>
      <c r="AM254" s="187"/>
      <c r="AN254" s="187"/>
      <c r="AO254" s="187"/>
      <c r="AP254" s="187"/>
    </row>
    <row r="255" spans="1:42" s="1" customFormat="1" ht="14.25" thickTop="1">
      <c r="A255" s="187"/>
      <c r="B255" s="214" t="s">
        <v>66</v>
      </c>
      <c r="C255" s="243"/>
      <c r="D255" s="243"/>
      <c r="E255" s="214">
        <f>SUM(E251:E254)</f>
        <v>25.5</v>
      </c>
      <c r="F255" s="215"/>
      <c r="G255" s="215"/>
      <c r="H255" s="243"/>
      <c r="I255" s="243"/>
      <c r="J255" s="214">
        <f>SUM(J251:J254)</f>
        <v>21.75</v>
      </c>
      <c r="K255" s="215"/>
      <c r="L255" s="215"/>
      <c r="M255" s="243"/>
      <c r="N255" s="243"/>
      <c r="O255" s="214">
        <f>SUM(O251:O254)</f>
        <v>23.75</v>
      </c>
      <c r="P255" s="215"/>
      <c r="Q255" s="215"/>
      <c r="R255" s="243"/>
      <c r="S255" s="243"/>
      <c r="T255" s="225">
        <f>SUM(T251:T254)</f>
        <v>22.875</v>
      </c>
      <c r="U255" s="215"/>
      <c r="V255" s="215"/>
      <c r="W255" s="243"/>
      <c r="X255" s="243"/>
      <c r="Y255" s="250">
        <f>SUM(Y251:Y254)</f>
        <v>23.5</v>
      </c>
      <c r="Z255" s="215"/>
      <c r="AA255" s="247">
        <f>SUM(AA251:AA254)</f>
        <v>117.375</v>
      </c>
      <c r="AB255" s="247">
        <f>SUM(AB251:AB254)</f>
        <v>22.75</v>
      </c>
      <c r="AC255" s="3"/>
      <c r="AD255" s="187"/>
      <c r="AE255" s="187"/>
      <c r="AF255" s="187"/>
      <c r="AG255" s="247">
        <f>SUM(AG252:AG254)</f>
        <v>1.5</v>
      </c>
      <c r="AH255" s="3"/>
      <c r="AI255" s="227"/>
      <c r="AK255" s="303"/>
      <c r="AL255" s="187"/>
      <c r="AM255" s="187"/>
      <c r="AN255" s="187"/>
      <c r="AO255" s="187"/>
      <c r="AP255" s="187"/>
    </row>
    <row r="256" spans="1:42" s="1" customFormat="1" ht="13.5" customHeight="1">
      <c r="A256" s="11"/>
      <c r="B256" s="217" t="s">
        <v>67</v>
      </c>
      <c r="C256" s="207">
        <f>C257+C258</f>
        <v>74</v>
      </c>
      <c r="D256" s="208"/>
      <c r="E256" s="209"/>
      <c r="F256" s="209"/>
      <c r="G256" s="208"/>
      <c r="H256" s="209"/>
      <c r="I256" s="209"/>
      <c r="J256" s="209"/>
      <c r="K256" s="209"/>
      <c r="L256" s="208"/>
      <c r="M256" s="208"/>
      <c r="N256" s="208"/>
      <c r="O256" s="208"/>
      <c r="P256" s="209"/>
      <c r="Q256" s="208"/>
      <c r="R256" s="208"/>
      <c r="S256" s="208"/>
      <c r="T256" s="208"/>
      <c r="U256" s="209"/>
      <c r="V256" s="208"/>
      <c r="W256" s="208"/>
      <c r="X256" s="208"/>
      <c r="Y256" s="210"/>
      <c r="Z256" s="209"/>
      <c r="AA256" s="211"/>
      <c r="AB256" s="209"/>
      <c r="AC256" s="211"/>
      <c r="AD256" s="211"/>
      <c r="AE256" s="211"/>
      <c r="AF256" s="211"/>
      <c r="AG256" s="211"/>
      <c r="AH256" s="3"/>
      <c r="AI256" s="227"/>
      <c r="AK256" s="187"/>
      <c r="AL256" s="187"/>
      <c r="AM256" s="187"/>
      <c r="AN256" s="187"/>
      <c r="AO256" s="187"/>
      <c r="AP256" s="187"/>
    </row>
    <row r="257" spans="1:42" s="1" customFormat="1" ht="13.5" customHeight="1">
      <c r="A257" s="11"/>
      <c r="B257" s="238" t="s">
        <v>68</v>
      </c>
      <c r="C257" s="239">
        <f>9+10+10+10+9</f>
        <v>48</v>
      </c>
      <c r="D257" s="239"/>
      <c r="E257" s="239"/>
      <c r="F257" s="239"/>
      <c r="G257" s="239"/>
      <c r="H257" s="239"/>
      <c r="I257" s="239"/>
      <c r="J257" s="239"/>
      <c r="K257" s="239"/>
      <c r="L257" s="239"/>
      <c r="M257" s="239"/>
      <c r="N257" s="239"/>
      <c r="O257" s="239"/>
      <c r="P257" s="239"/>
      <c r="Q257" s="239"/>
      <c r="R257" s="239"/>
      <c r="S257" s="239"/>
      <c r="T257" s="239"/>
      <c r="U257" s="239"/>
      <c r="V257" s="239"/>
      <c r="W257" s="239"/>
      <c r="X257" s="239"/>
      <c r="Y257" s="239"/>
      <c r="Z257" s="239"/>
      <c r="AA257" s="239"/>
      <c r="AB257" s="239"/>
      <c r="AC257" s="239"/>
      <c r="AD257" s="239"/>
      <c r="AE257" s="239"/>
      <c r="AF257" s="239"/>
      <c r="AG257" s="211"/>
      <c r="AH257" s="3"/>
      <c r="AI257" s="227"/>
      <c r="AK257" s="187"/>
      <c r="AL257" s="187"/>
      <c r="AM257" s="187"/>
      <c r="AN257" s="187"/>
      <c r="AO257" s="187"/>
      <c r="AP257" s="187"/>
    </row>
    <row r="258" spans="1:42" s="1" customFormat="1" ht="13.5" customHeight="1">
      <c r="A258" s="11"/>
      <c r="B258" s="238" t="s">
        <v>69</v>
      </c>
      <c r="C258" s="239">
        <f>24+2</f>
        <v>26</v>
      </c>
      <c r="D258" s="239"/>
      <c r="E258" s="239"/>
      <c r="F258" s="239"/>
      <c r="G258" s="239"/>
      <c r="H258" s="239"/>
      <c r="I258" s="239"/>
      <c r="J258" s="239"/>
      <c r="K258" s="239"/>
      <c r="L258" s="239"/>
      <c r="M258" s="239"/>
      <c r="N258" s="239"/>
      <c r="O258" s="239"/>
      <c r="P258" s="239"/>
      <c r="Q258" s="239"/>
      <c r="R258" s="239"/>
      <c r="S258" s="239"/>
      <c r="T258" s="239"/>
      <c r="U258" s="239"/>
      <c r="V258" s="239"/>
      <c r="W258" s="239"/>
      <c r="X258" s="239"/>
      <c r="Y258" s="239"/>
      <c r="Z258" s="239"/>
      <c r="AA258" s="239"/>
      <c r="AB258" s="239"/>
      <c r="AC258" s="239"/>
      <c r="AD258" s="239"/>
      <c r="AE258" s="239"/>
      <c r="AF258" s="239"/>
      <c r="AG258" s="211"/>
      <c r="AH258" s="3"/>
      <c r="AI258" s="227"/>
      <c r="AK258" s="187"/>
      <c r="AL258" s="187"/>
      <c r="AM258" s="187"/>
      <c r="AN258" s="187"/>
      <c r="AO258" s="187"/>
      <c r="AP258" s="187"/>
    </row>
    <row r="259" spans="1:42" s="1" customFormat="1" ht="4.5" customHeight="1">
      <c r="A259" s="11"/>
      <c r="B259" s="218"/>
      <c r="C259" s="219"/>
      <c r="D259" s="220"/>
      <c r="E259" s="221"/>
      <c r="F259" s="221"/>
      <c r="G259" s="220"/>
      <c r="H259" s="221"/>
      <c r="I259" s="221"/>
      <c r="J259" s="221"/>
      <c r="K259" s="221"/>
      <c r="L259" s="220"/>
      <c r="M259" s="220"/>
      <c r="N259" s="220"/>
      <c r="O259" s="220"/>
      <c r="P259" s="221"/>
      <c r="Q259" s="220"/>
      <c r="R259" s="220"/>
      <c r="S259" s="220"/>
      <c r="T259" s="220"/>
      <c r="U259" s="221"/>
      <c r="V259" s="220"/>
      <c r="W259" s="220"/>
      <c r="X259" s="220"/>
      <c r="Y259" s="222"/>
      <c r="Z259" s="221"/>
      <c r="AA259" s="223"/>
      <c r="AB259" s="221"/>
      <c r="AC259" s="3"/>
      <c r="AD259" s="168"/>
      <c r="AH259" s="3"/>
      <c r="AI259" s="227"/>
      <c r="AK259" s="187"/>
      <c r="AL259" s="187"/>
      <c r="AM259" s="187"/>
      <c r="AN259" s="187"/>
      <c r="AO259" s="187"/>
      <c r="AP259" s="187"/>
    </row>
    <row r="260" spans="1:42" s="227" customFormat="1" ht="4.5" customHeight="1">
      <c r="A260" s="228"/>
      <c r="B260" s="229"/>
      <c r="C260" s="230"/>
      <c r="D260" s="231"/>
      <c r="E260" s="232"/>
      <c r="F260" s="232"/>
      <c r="G260" s="231"/>
      <c r="H260" s="232"/>
      <c r="I260" s="232"/>
      <c r="J260" s="232"/>
      <c r="K260" s="232"/>
      <c r="L260" s="231"/>
      <c r="M260" s="231"/>
      <c r="N260" s="231"/>
      <c r="O260" s="231"/>
      <c r="P260" s="232"/>
      <c r="Q260" s="231"/>
      <c r="R260" s="231"/>
      <c r="S260" s="231"/>
      <c r="T260" s="231"/>
      <c r="U260" s="232"/>
      <c r="V260" s="231"/>
      <c r="W260" s="231"/>
      <c r="X260" s="231"/>
      <c r="Y260" s="233"/>
      <c r="Z260" s="232"/>
      <c r="AA260" s="234"/>
      <c r="AB260" s="232"/>
      <c r="AC260" s="235"/>
      <c r="AD260" s="236"/>
      <c r="AH260" s="235"/>
    </row>
    <row r="261" spans="1:42" s="187" customFormat="1" ht="4.5" customHeight="1">
      <c r="A261" s="224"/>
      <c r="B261" s="214"/>
      <c r="C261" s="215"/>
      <c r="D261" s="215"/>
      <c r="E261" s="214"/>
      <c r="F261" s="214"/>
      <c r="G261" s="215"/>
      <c r="H261" s="214"/>
      <c r="I261" s="214"/>
      <c r="J261" s="214"/>
      <c r="K261" s="214"/>
      <c r="L261" s="215"/>
      <c r="M261" s="215"/>
      <c r="N261" s="215"/>
      <c r="O261" s="215"/>
      <c r="P261" s="214"/>
      <c r="Q261" s="215"/>
      <c r="R261" s="215"/>
      <c r="S261" s="215"/>
      <c r="T261" s="215"/>
      <c r="U261" s="214"/>
      <c r="V261" s="215"/>
      <c r="W261" s="215"/>
      <c r="X261" s="215"/>
      <c r="Y261" s="216"/>
      <c r="Z261" s="214"/>
      <c r="AA261" s="225"/>
      <c r="AB261" s="214"/>
      <c r="AC261" s="226"/>
      <c r="AH261" s="226"/>
      <c r="AI261" s="227"/>
    </row>
    <row r="262" spans="1:42" s="1" customFormat="1">
      <c r="B262" s="1518" t="s">
        <v>18</v>
      </c>
      <c r="C262" s="1524">
        <v>45131</v>
      </c>
      <c r="D262" s="1524"/>
      <c r="E262" s="1524"/>
      <c r="F262" s="1524"/>
      <c r="G262" s="22"/>
      <c r="H262" s="1524">
        <v>45132</v>
      </c>
      <c r="I262" s="1524"/>
      <c r="J262" s="1524"/>
      <c r="K262" s="1524"/>
      <c r="L262" s="22"/>
      <c r="M262" s="1524">
        <v>45133</v>
      </c>
      <c r="N262" s="1524"/>
      <c r="O262" s="1524"/>
      <c r="P262" s="1524"/>
      <c r="Q262" s="22"/>
      <c r="R262" s="1524">
        <v>45134</v>
      </c>
      <c r="S262" s="1524"/>
      <c r="T262" s="1524"/>
      <c r="U262" s="1524"/>
      <c r="V262" s="22"/>
      <c r="W262" s="1524">
        <v>45135</v>
      </c>
      <c r="X262" s="1524"/>
      <c r="Y262" s="1524"/>
      <c r="Z262" s="1524"/>
      <c r="AA262" s="1517" t="s">
        <v>19</v>
      </c>
      <c r="AB262" s="1517" t="s">
        <v>20</v>
      </c>
      <c r="AC262" s="3"/>
      <c r="AD262" s="1524">
        <v>45136</v>
      </c>
      <c r="AE262" s="1524"/>
      <c r="AF262" s="1524"/>
      <c r="AG262" s="1517" t="s">
        <v>21</v>
      </c>
      <c r="AH262" s="3"/>
      <c r="AI262" s="227"/>
      <c r="AK262" s="194" t="s">
        <v>170</v>
      </c>
      <c r="AL262" s="195"/>
      <c r="AM262" s="195"/>
      <c r="AN262" s="195"/>
      <c r="AO262" s="195"/>
      <c r="AP262" s="195"/>
    </row>
    <row r="263" spans="1:42" s="176" customFormat="1" ht="14.25">
      <c r="B263" s="1518"/>
      <c r="C263" s="21" t="s">
        <v>23</v>
      </c>
      <c r="D263" s="21" t="s">
        <v>24</v>
      </c>
      <c r="E263" s="205" t="s">
        <v>144</v>
      </c>
      <c r="F263" s="18" t="s">
        <v>14</v>
      </c>
      <c r="G263" s="3"/>
      <c r="H263" s="21" t="s">
        <v>23</v>
      </c>
      <c r="I263" s="21" t="s">
        <v>24</v>
      </c>
      <c r="J263" s="205" t="s">
        <v>144</v>
      </c>
      <c r="K263" s="18" t="s">
        <v>14</v>
      </c>
      <c r="L263" s="3"/>
      <c r="M263" s="21" t="s">
        <v>23</v>
      </c>
      <c r="N263" s="21" t="s">
        <v>24</v>
      </c>
      <c r="O263" s="205" t="s">
        <v>144</v>
      </c>
      <c r="P263" s="18" t="s">
        <v>14</v>
      </c>
      <c r="Q263" s="3"/>
      <c r="R263" s="21" t="s">
        <v>23</v>
      </c>
      <c r="S263" s="21" t="s">
        <v>24</v>
      </c>
      <c r="T263" s="205" t="s">
        <v>144</v>
      </c>
      <c r="U263" s="18" t="s">
        <v>14</v>
      </c>
      <c r="V263" s="3"/>
      <c r="W263" s="21" t="s">
        <v>23</v>
      </c>
      <c r="X263" s="21" t="s">
        <v>24</v>
      </c>
      <c r="Y263" s="205" t="s">
        <v>144</v>
      </c>
      <c r="Z263" s="18" t="s">
        <v>14</v>
      </c>
      <c r="AA263" s="1523"/>
      <c r="AB263" s="1517"/>
      <c r="AC263" s="3"/>
      <c r="AD263" s="21" t="s">
        <v>23</v>
      </c>
      <c r="AE263" s="21" t="s">
        <v>24</v>
      </c>
      <c r="AF263" s="18" t="s">
        <v>25</v>
      </c>
      <c r="AG263" s="1523"/>
      <c r="AH263" s="174"/>
      <c r="AI263" s="257"/>
      <c r="AK263" s="188" t="s">
        <v>26</v>
      </c>
      <c r="AL263" s="196">
        <f>AA283</f>
        <v>599.54999999999995</v>
      </c>
      <c r="AM263" s="187"/>
      <c r="AN263" s="187"/>
      <c r="AO263" s="187"/>
      <c r="AP263" s="187"/>
    </row>
    <row r="264" spans="1:42" s="176" customFormat="1" ht="14.25">
      <c r="B264" s="171" t="s">
        <v>141</v>
      </c>
      <c r="C264" s="172">
        <v>0.33333333333333331</v>
      </c>
      <c r="D264" s="172">
        <v>0.20833333333333334</v>
      </c>
      <c r="E264" s="173">
        <v>8</v>
      </c>
      <c r="F264" s="277"/>
      <c r="G264" s="174"/>
      <c r="H264" s="172">
        <v>0.33333333333333331</v>
      </c>
      <c r="I264" s="172">
        <v>0.20833333333333334</v>
      </c>
      <c r="J264" s="173">
        <v>8</v>
      </c>
      <c r="K264" s="277"/>
      <c r="L264" s="174"/>
      <c r="M264" s="172">
        <v>0.33333333333333331</v>
      </c>
      <c r="N264" s="172">
        <v>0.125</v>
      </c>
      <c r="O264" s="173">
        <v>7</v>
      </c>
      <c r="P264" s="277"/>
      <c r="Q264" s="174"/>
      <c r="R264" s="172">
        <v>0.33333333333333331</v>
      </c>
      <c r="S264" s="172">
        <v>0.20833333333333334</v>
      </c>
      <c r="T264" s="173">
        <v>8</v>
      </c>
      <c r="U264" s="277"/>
      <c r="V264" s="174"/>
      <c r="W264" s="172">
        <v>0.375</v>
      </c>
      <c r="X264" s="172">
        <v>0.20833333333333334</v>
      </c>
      <c r="Y264" s="173">
        <v>7</v>
      </c>
      <c r="Z264" s="277"/>
      <c r="AA264" s="28">
        <f>(E264+J264+O264+T264+Y264)</f>
        <v>38</v>
      </c>
      <c r="AB264" s="298">
        <f>Z264+U264+P264+K264+F264</f>
        <v>0</v>
      </c>
      <c r="AC264" s="174"/>
      <c r="AD264" s="175">
        <v>0</v>
      </c>
      <c r="AE264" s="175">
        <v>0</v>
      </c>
      <c r="AF264" s="173" t="str">
        <f t="shared" ref="AF264:AF272" si="65">TEXT(AE264-AD264, "h")</f>
        <v>0</v>
      </c>
      <c r="AG264" s="28" t="str">
        <f t="shared" ref="AG264:AG272" si="66">AF264</f>
        <v>0</v>
      </c>
      <c r="AH264" s="174"/>
      <c r="AI264" s="257"/>
      <c r="AK264" s="188" t="s">
        <v>30</v>
      </c>
      <c r="AL264" s="190">
        <f>AB283</f>
        <v>0</v>
      </c>
      <c r="AM264" s="187"/>
      <c r="AN264" s="187"/>
      <c r="AO264" s="187"/>
      <c r="AP264" s="187"/>
    </row>
    <row r="265" spans="1:42" s="176" customFormat="1" ht="14.25">
      <c r="B265" s="171" t="s">
        <v>142</v>
      </c>
      <c r="C265" s="172">
        <v>0.39583333333333331</v>
      </c>
      <c r="D265" s="172">
        <v>0.20833333333333334</v>
      </c>
      <c r="E265" s="173">
        <v>7.5</v>
      </c>
      <c r="F265" s="277"/>
      <c r="G265" s="174"/>
      <c r="H265" s="172">
        <v>0.40625</v>
      </c>
      <c r="I265" s="172">
        <v>0.20833333333333334</v>
      </c>
      <c r="J265" s="173">
        <v>6.25</v>
      </c>
      <c r="K265" s="277"/>
      <c r="L265" s="174"/>
      <c r="M265" s="172">
        <v>0.375</v>
      </c>
      <c r="N265" s="172">
        <v>0.20833333333333334</v>
      </c>
      <c r="O265" s="173">
        <v>7</v>
      </c>
      <c r="P265" s="277"/>
      <c r="Q265" s="174"/>
      <c r="R265" s="172">
        <v>0.4375</v>
      </c>
      <c r="S265" s="172">
        <v>0.20833333333333334</v>
      </c>
      <c r="T265" s="173">
        <v>5.5</v>
      </c>
      <c r="U265" s="277"/>
      <c r="V265" s="174"/>
      <c r="W265" s="172">
        <v>0.39583333333333331</v>
      </c>
      <c r="X265" s="172">
        <v>0.20833333333333334</v>
      </c>
      <c r="Y265" s="173">
        <v>6.5</v>
      </c>
      <c r="Z265" s="277"/>
      <c r="AA265" s="28">
        <f>(E265+J265+O265+T265+Y265)</f>
        <v>32.75</v>
      </c>
      <c r="AB265" s="298">
        <f t="shared" ref="AB265:AB282" si="67">Z265+U265+P265+K265+F265</f>
        <v>0</v>
      </c>
      <c r="AC265" s="174"/>
      <c r="AD265" s="175">
        <v>0</v>
      </c>
      <c r="AE265" s="175">
        <v>0</v>
      </c>
      <c r="AF265" s="173" t="str">
        <f t="shared" si="65"/>
        <v>0</v>
      </c>
      <c r="AG265" s="28" t="str">
        <f t="shared" si="66"/>
        <v>0</v>
      </c>
      <c r="AH265" s="174"/>
      <c r="AI265" s="257"/>
      <c r="AK265" s="188" t="s">
        <v>32</v>
      </c>
      <c r="AL265" s="199">
        <f>AG283</f>
        <v>9.5</v>
      </c>
      <c r="AM265" s="187"/>
      <c r="AN265" s="187"/>
      <c r="AO265" s="187"/>
      <c r="AP265" s="187"/>
    </row>
    <row r="266" spans="1:42" s="176" customFormat="1" ht="14.25">
      <c r="B266" s="171" t="s">
        <v>31</v>
      </c>
      <c r="C266" s="172">
        <v>0.33333333333333331</v>
      </c>
      <c r="D266" s="172">
        <v>0.20833333333333334</v>
      </c>
      <c r="E266" s="173">
        <v>8</v>
      </c>
      <c r="F266" s="277"/>
      <c r="G266" s="174"/>
      <c r="H266" s="172">
        <v>0.34375</v>
      </c>
      <c r="I266" s="172">
        <v>0.20833333333333334</v>
      </c>
      <c r="J266" s="173">
        <v>7.75</v>
      </c>
      <c r="K266" s="277"/>
      <c r="L266" s="174"/>
      <c r="M266" s="172">
        <v>0.34375</v>
      </c>
      <c r="N266" s="172">
        <v>0.125</v>
      </c>
      <c r="O266" s="173">
        <v>6.75</v>
      </c>
      <c r="P266" s="277"/>
      <c r="Q266" s="174"/>
      <c r="R266" s="172">
        <v>0.33333333333333331</v>
      </c>
      <c r="S266" s="172">
        <v>0.20833333333333334</v>
      </c>
      <c r="T266" s="173">
        <v>8</v>
      </c>
      <c r="U266" s="277"/>
      <c r="V266" s="174"/>
      <c r="W266" s="172">
        <v>0.33333333333333331</v>
      </c>
      <c r="X266" s="172">
        <v>0.20833333333333334</v>
      </c>
      <c r="Y266" s="173">
        <v>8</v>
      </c>
      <c r="Z266" s="277"/>
      <c r="AA266" s="28">
        <f>(E266+J266+O266+T266+Y266)</f>
        <v>38.5</v>
      </c>
      <c r="AB266" s="298">
        <f t="shared" si="67"/>
        <v>0</v>
      </c>
      <c r="AC266" s="174"/>
      <c r="AD266" s="175">
        <v>0</v>
      </c>
      <c r="AE266" s="175">
        <v>0</v>
      </c>
      <c r="AF266" s="173" t="str">
        <f t="shared" si="65"/>
        <v>0</v>
      </c>
      <c r="AG266" s="28" t="str">
        <f t="shared" si="66"/>
        <v>0</v>
      </c>
      <c r="AH266" s="174"/>
      <c r="AI266" s="257"/>
      <c r="AK266" s="188" t="s">
        <v>34</v>
      </c>
      <c r="AL266" s="196">
        <f>AA288</f>
        <v>99</v>
      </c>
      <c r="AM266" s="187"/>
      <c r="AN266" s="187"/>
      <c r="AO266" s="187"/>
      <c r="AP266" s="187"/>
    </row>
    <row r="267" spans="1:42" s="176" customFormat="1" ht="14.25">
      <c r="B267" s="171" t="s">
        <v>169</v>
      </c>
      <c r="C267" s="172">
        <v>0.33333333333333331</v>
      </c>
      <c r="D267" s="172">
        <v>0.20833333333333334</v>
      </c>
      <c r="E267" s="173">
        <v>8</v>
      </c>
      <c r="F267" s="277"/>
      <c r="G267" s="174"/>
      <c r="H267" s="172">
        <v>0.33333333333333331</v>
      </c>
      <c r="I267" s="172">
        <v>0.20833333333333334</v>
      </c>
      <c r="J267" s="173">
        <v>8</v>
      </c>
      <c r="K267" s="277"/>
      <c r="L267" s="174"/>
      <c r="M267" s="172">
        <v>0.33333333333333331</v>
      </c>
      <c r="N267" s="172">
        <v>0.20833333333333334</v>
      </c>
      <c r="O267" s="173">
        <v>8</v>
      </c>
      <c r="P267" s="277"/>
      <c r="Q267" s="174"/>
      <c r="R267" s="172">
        <v>0.33333333333333331</v>
      </c>
      <c r="S267" s="172">
        <v>0.20833333333333334</v>
      </c>
      <c r="T267" s="173">
        <v>8</v>
      </c>
      <c r="U267" s="277"/>
      <c r="V267" s="174"/>
      <c r="W267" s="172">
        <v>0.375</v>
      </c>
      <c r="X267" s="172">
        <v>0.20833333333333334</v>
      </c>
      <c r="Y267" s="173">
        <v>7</v>
      </c>
      <c r="Z267" s="277"/>
      <c r="AA267" s="28">
        <f>(E267+J267+O267+T267+Y267)</f>
        <v>39</v>
      </c>
      <c r="AB267" s="298">
        <f t="shared" si="67"/>
        <v>0</v>
      </c>
      <c r="AC267" s="174"/>
      <c r="AD267" s="175">
        <v>0</v>
      </c>
      <c r="AE267" s="175">
        <v>0</v>
      </c>
      <c r="AF267" s="173" t="str">
        <f t="shared" si="65"/>
        <v>0</v>
      </c>
      <c r="AG267" s="28" t="str">
        <f t="shared" si="66"/>
        <v>0</v>
      </c>
      <c r="AH267" s="174"/>
      <c r="AI267" s="257"/>
      <c r="AK267" s="188" t="s">
        <v>145</v>
      </c>
      <c r="AL267" s="196">
        <f>AB288</f>
        <v>10.25</v>
      </c>
      <c r="AM267" s="187"/>
      <c r="AN267" s="187"/>
      <c r="AO267" s="187"/>
      <c r="AP267" s="187"/>
    </row>
    <row r="268" spans="1:42" s="1" customFormat="1" ht="14.25">
      <c r="B268" s="171" t="s">
        <v>33</v>
      </c>
      <c r="C268" s="172">
        <v>0.33333333333333331</v>
      </c>
      <c r="D268" s="172">
        <v>0.20833333333333334</v>
      </c>
      <c r="E268" s="173">
        <v>8</v>
      </c>
      <c r="F268" s="277"/>
      <c r="G268" s="174"/>
      <c r="H268" s="172">
        <v>0.33333333333333331</v>
      </c>
      <c r="I268" s="172">
        <v>0.20833333333333334</v>
      </c>
      <c r="J268" s="173">
        <v>8</v>
      </c>
      <c r="K268" s="277"/>
      <c r="L268" s="174"/>
      <c r="M268" s="172">
        <v>0.33333333333333331</v>
      </c>
      <c r="N268" s="172">
        <v>0.20833333333333334</v>
      </c>
      <c r="O268" s="173">
        <v>8</v>
      </c>
      <c r="P268" s="277"/>
      <c r="Q268" s="174"/>
      <c r="R268" s="172">
        <v>0.34375</v>
      </c>
      <c r="S268" s="172">
        <v>0.20833333333333334</v>
      </c>
      <c r="T268" s="173">
        <v>7.75</v>
      </c>
      <c r="U268" s="277"/>
      <c r="V268" s="174"/>
      <c r="W268" s="172">
        <v>0.33333333333333331</v>
      </c>
      <c r="X268" s="172">
        <v>0.20833333333333334</v>
      </c>
      <c r="Y268" s="173">
        <v>8</v>
      </c>
      <c r="Z268" s="277"/>
      <c r="AA268" s="28">
        <f>(E268+J268+O268+T268+Y268)</f>
        <v>39.75</v>
      </c>
      <c r="AB268" s="298">
        <f t="shared" si="67"/>
        <v>0</v>
      </c>
      <c r="AC268" s="174"/>
      <c r="AD268" s="175">
        <v>0</v>
      </c>
      <c r="AE268" s="175">
        <v>0</v>
      </c>
      <c r="AF268" s="173" t="str">
        <f t="shared" si="65"/>
        <v>0</v>
      </c>
      <c r="AG268" s="28" t="str">
        <f t="shared" si="66"/>
        <v>0</v>
      </c>
      <c r="AH268" s="3"/>
      <c r="AI268" s="227"/>
      <c r="AK268" s="188" t="s">
        <v>38</v>
      </c>
      <c r="AL268" s="196">
        <f>AG288</f>
        <v>8.75</v>
      </c>
      <c r="AM268" s="187"/>
      <c r="AN268" s="187"/>
      <c r="AO268" s="187"/>
      <c r="AP268" s="187"/>
    </row>
    <row r="269" spans="1:42" s="1" customFormat="1" ht="14.25">
      <c r="B269" s="13" t="s">
        <v>129</v>
      </c>
      <c r="C269" s="47">
        <v>0.38541666666666669</v>
      </c>
      <c r="D269" s="47">
        <v>0.20833333333333334</v>
      </c>
      <c r="E269" s="19">
        <v>6.75</v>
      </c>
      <c r="F269" s="277"/>
      <c r="G269" s="3"/>
      <c r="H269" s="47">
        <v>0.35416666666666669</v>
      </c>
      <c r="I269" s="47">
        <v>0.20833333333333334</v>
      </c>
      <c r="J269" s="19">
        <v>7.5</v>
      </c>
      <c r="K269" s="277"/>
      <c r="L269" s="3"/>
      <c r="M269" s="4">
        <v>0</v>
      </c>
      <c r="N269" s="4">
        <v>0</v>
      </c>
      <c r="O269" s="19">
        <v>0</v>
      </c>
      <c r="P269" s="277"/>
      <c r="Q269" s="3"/>
      <c r="R269" s="47">
        <v>0.35416666666666669</v>
      </c>
      <c r="S269" s="47">
        <v>0.20833333333333334</v>
      </c>
      <c r="T269" s="19">
        <v>7.5</v>
      </c>
      <c r="U269" s="277"/>
      <c r="V269" s="3"/>
      <c r="W269" s="47">
        <v>0.35416666666666669</v>
      </c>
      <c r="X269" s="47">
        <v>0.20833333333333334</v>
      </c>
      <c r="Y269" s="19">
        <v>7.5</v>
      </c>
      <c r="Z269" s="277"/>
      <c r="AA269" s="29">
        <f t="shared" ref="AA269:AA279" si="68">(E269+J269+O269+T269+Y269)</f>
        <v>29.25</v>
      </c>
      <c r="AB269" s="298">
        <f t="shared" si="67"/>
        <v>0</v>
      </c>
      <c r="AC269" s="3"/>
      <c r="AD269" s="4">
        <v>0</v>
      </c>
      <c r="AE269" s="4">
        <v>0</v>
      </c>
      <c r="AF269" s="19" t="str">
        <f t="shared" si="65"/>
        <v>0</v>
      </c>
      <c r="AG269" s="29" t="str">
        <f t="shared" si="66"/>
        <v>0</v>
      </c>
      <c r="AH269" s="3"/>
      <c r="AI269" s="227"/>
      <c r="AK269" s="188" t="s">
        <v>41</v>
      </c>
      <c r="AL269" s="189">
        <f>C289</f>
        <v>80</v>
      </c>
      <c r="AM269" s="191"/>
      <c r="AN269" s="191"/>
      <c r="AO269" s="191"/>
      <c r="AP269" s="191"/>
    </row>
    <row r="270" spans="1:42" s="1" customFormat="1" ht="14.25">
      <c r="B270" s="13" t="s">
        <v>35</v>
      </c>
      <c r="C270" s="47">
        <v>0.375</v>
      </c>
      <c r="D270" s="47">
        <v>0.20833333333333334</v>
      </c>
      <c r="E270" s="19">
        <v>7</v>
      </c>
      <c r="F270" s="277"/>
      <c r="G270" s="3"/>
      <c r="H270" s="47">
        <v>0.36458333333333331</v>
      </c>
      <c r="I270" s="47">
        <v>0.20833333333333334</v>
      </c>
      <c r="J270" s="19">
        <v>7.25</v>
      </c>
      <c r="K270" s="277"/>
      <c r="L270" s="3"/>
      <c r="M270" s="47">
        <v>0.375</v>
      </c>
      <c r="N270" s="47">
        <v>0.20833333333333334</v>
      </c>
      <c r="O270" s="19">
        <v>7</v>
      </c>
      <c r="P270" s="277"/>
      <c r="Q270" s="3"/>
      <c r="R270" s="47">
        <v>0.375</v>
      </c>
      <c r="S270" s="47">
        <v>0.20833333333333334</v>
      </c>
      <c r="T270" s="19">
        <v>7</v>
      </c>
      <c r="U270" s="277"/>
      <c r="V270" s="3"/>
      <c r="W270" s="47">
        <v>0.375</v>
      </c>
      <c r="X270" s="47">
        <v>0.20833333333333334</v>
      </c>
      <c r="Y270" s="19">
        <v>7</v>
      </c>
      <c r="Z270" s="277"/>
      <c r="AA270" s="29">
        <f t="shared" si="68"/>
        <v>35.25</v>
      </c>
      <c r="AB270" s="298">
        <f t="shared" si="67"/>
        <v>0</v>
      </c>
      <c r="AC270" s="3"/>
      <c r="AD270" s="4">
        <v>0</v>
      </c>
      <c r="AE270" s="4">
        <v>0</v>
      </c>
      <c r="AF270" s="19" t="str">
        <f t="shared" si="65"/>
        <v>0</v>
      </c>
      <c r="AG270" s="29" t="str">
        <f t="shared" si="66"/>
        <v>0</v>
      </c>
      <c r="AH270" s="3"/>
      <c r="AI270" s="227"/>
      <c r="AK270" s="187"/>
      <c r="AL270" s="187"/>
      <c r="AM270" s="187"/>
      <c r="AN270" s="187"/>
      <c r="AO270" s="187"/>
      <c r="AP270" s="187"/>
    </row>
    <row r="271" spans="1:42" s="1" customFormat="1" ht="14.25">
      <c r="B271" s="13" t="s">
        <v>37</v>
      </c>
      <c r="C271" s="47">
        <v>0.34375</v>
      </c>
      <c r="D271" s="47">
        <v>0.20833333333333334</v>
      </c>
      <c r="E271" s="19">
        <v>7.75</v>
      </c>
      <c r="F271" s="277"/>
      <c r="G271" s="3"/>
      <c r="H271" s="47">
        <v>0.35416666666666669</v>
      </c>
      <c r="I271" s="47">
        <v>0.20833333333333334</v>
      </c>
      <c r="J271" s="19">
        <v>7.5</v>
      </c>
      <c r="K271" s="277"/>
      <c r="L271" s="3"/>
      <c r="M271" s="47">
        <v>0.34375</v>
      </c>
      <c r="N271" s="47">
        <v>0.20833333333333334</v>
      </c>
      <c r="O271" s="19">
        <v>7.75</v>
      </c>
      <c r="P271" s="277"/>
      <c r="Q271" s="3"/>
      <c r="R271" s="47">
        <v>0.35416666666666669</v>
      </c>
      <c r="S271" s="47">
        <v>0.20833333333333334</v>
      </c>
      <c r="T271" s="19">
        <v>7.5</v>
      </c>
      <c r="U271" s="277"/>
      <c r="V271" s="3"/>
      <c r="W271" s="47">
        <v>0.35416666666666669</v>
      </c>
      <c r="X271" s="47">
        <v>0.20833333333333334</v>
      </c>
      <c r="Y271" s="19">
        <v>7.5</v>
      </c>
      <c r="Z271" s="277"/>
      <c r="AA271" s="29">
        <f t="shared" si="68"/>
        <v>38</v>
      </c>
      <c r="AB271" s="298">
        <f t="shared" si="67"/>
        <v>0</v>
      </c>
      <c r="AC271" s="3"/>
      <c r="AD271" s="4">
        <v>0</v>
      </c>
      <c r="AE271" s="4">
        <v>0</v>
      </c>
      <c r="AF271" s="19" t="str">
        <f t="shared" si="65"/>
        <v>0</v>
      </c>
      <c r="AG271" s="29" t="str">
        <f t="shared" si="66"/>
        <v>0</v>
      </c>
      <c r="AH271" s="3"/>
      <c r="AI271" s="227"/>
      <c r="AK271" s="187"/>
      <c r="AL271" s="187"/>
      <c r="AM271" s="187"/>
      <c r="AN271" s="187"/>
      <c r="AO271" s="187"/>
      <c r="AP271" s="187"/>
    </row>
    <row r="272" spans="1:42" s="1" customFormat="1" ht="14.25">
      <c r="B272" s="13" t="s">
        <v>39</v>
      </c>
      <c r="C272" s="47">
        <v>0.39583333333333331</v>
      </c>
      <c r="D272" s="47">
        <v>0.20833333333333334</v>
      </c>
      <c r="E272" s="19">
        <v>6.5</v>
      </c>
      <c r="F272" s="277"/>
      <c r="G272" s="3"/>
      <c r="H272" s="47">
        <v>0.41666666666666669</v>
      </c>
      <c r="I272" s="47">
        <v>0.20833333333333334</v>
      </c>
      <c r="J272" s="19">
        <v>6</v>
      </c>
      <c r="K272" s="277"/>
      <c r="L272" s="3"/>
      <c r="M272" s="47">
        <v>0.36458333333333331</v>
      </c>
      <c r="N272" s="47">
        <v>0.20833333333333334</v>
      </c>
      <c r="O272" s="19">
        <v>7.25</v>
      </c>
      <c r="P272" s="277"/>
      <c r="Q272" s="3"/>
      <c r="R272" s="47">
        <v>0.375</v>
      </c>
      <c r="S272" s="47">
        <v>0.20833333333333334</v>
      </c>
      <c r="T272" s="19">
        <v>7</v>
      </c>
      <c r="U272" s="277"/>
      <c r="V272" s="3"/>
      <c r="W272" s="47">
        <v>0.375</v>
      </c>
      <c r="X272" s="47">
        <v>0.20833333333333334</v>
      </c>
      <c r="Y272" s="19">
        <v>7</v>
      </c>
      <c r="Z272" s="277"/>
      <c r="AA272" s="29">
        <f t="shared" si="68"/>
        <v>33.75</v>
      </c>
      <c r="AB272" s="298">
        <f t="shared" si="67"/>
        <v>0</v>
      </c>
      <c r="AC272" s="3"/>
      <c r="AD272" s="4">
        <v>0</v>
      </c>
      <c r="AE272" s="4">
        <v>0</v>
      </c>
      <c r="AF272" s="19" t="str">
        <f t="shared" si="65"/>
        <v>0</v>
      </c>
      <c r="AG272" s="29" t="str">
        <f t="shared" si="66"/>
        <v>0</v>
      </c>
      <c r="AH272" s="3"/>
      <c r="AI272" s="227"/>
      <c r="AK272" s="187"/>
      <c r="AL272" s="187"/>
      <c r="AM272" s="187"/>
      <c r="AN272" s="187"/>
      <c r="AO272" s="187"/>
      <c r="AP272" s="187"/>
    </row>
    <row r="273" spans="2:42" s="1" customFormat="1" ht="14.25">
      <c r="B273" s="164" t="s">
        <v>40</v>
      </c>
      <c r="C273" s="47">
        <v>0.41666666666666669</v>
      </c>
      <c r="D273" s="47">
        <v>0.25</v>
      </c>
      <c r="E273" s="19">
        <v>7</v>
      </c>
      <c r="F273" s="277"/>
      <c r="G273" s="3"/>
      <c r="H273" s="47">
        <v>0.375</v>
      </c>
      <c r="I273" s="47">
        <v>0.20833333333333334</v>
      </c>
      <c r="J273" s="19">
        <v>7</v>
      </c>
      <c r="K273" s="277"/>
      <c r="L273" s="3"/>
      <c r="M273" s="47">
        <v>0.375</v>
      </c>
      <c r="N273" s="47">
        <v>0.20833333333333334</v>
      </c>
      <c r="O273" s="19">
        <v>7</v>
      </c>
      <c r="P273" s="277"/>
      <c r="Q273" s="3"/>
      <c r="R273" s="47">
        <v>0.36458333333333331</v>
      </c>
      <c r="S273" s="47">
        <v>0.20833333333333334</v>
      </c>
      <c r="T273" s="19">
        <v>7.15</v>
      </c>
      <c r="U273" s="277"/>
      <c r="V273" s="3"/>
      <c r="W273" s="47">
        <v>0.36458333333333331</v>
      </c>
      <c r="X273" s="47">
        <v>0.20833333333333334</v>
      </c>
      <c r="Y273" s="19">
        <v>7.25</v>
      </c>
      <c r="Z273" s="277"/>
      <c r="AA273" s="29">
        <f t="shared" si="68"/>
        <v>35.4</v>
      </c>
      <c r="AB273" s="298">
        <f t="shared" si="67"/>
        <v>0</v>
      </c>
      <c r="AC273" s="3"/>
      <c r="AD273" s="4">
        <v>0</v>
      </c>
      <c r="AE273" s="4">
        <v>0</v>
      </c>
      <c r="AF273" s="19" t="str">
        <f t="shared" ref="AF273:AF282" si="69">TEXT(AE273-AD273, "h")</f>
        <v>0</v>
      </c>
      <c r="AG273" s="29" t="str">
        <f t="shared" ref="AG273:AG281" si="70">AF273</f>
        <v>0</v>
      </c>
      <c r="AH273" s="3"/>
      <c r="AI273" s="227"/>
      <c r="AK273" s="187"/>
      <c r="AL273" s="187"/>
      <c r="AM273" s="187"/>
      <c r="AN273" s="187"/>
      <c r="AO273" s="187"/>
      <c r="AP273" s="187"/>
    </row>
    <row r="274" spans="2:42" s="1" customFormat="1" ht="14.25">
      <c r="B274" s="164" t="s">
        <v>42</v>
      </c>
      <c r="C274" s="47">
        <v>0.36458333333333331</v>
      </c>
      <c r="D274" s="47">
        <v>0.20833333333333334</v>
      </c>
      <c r="E274" s="19">
        <v>7.25</v>
      </c>
      <c r="F274" s="277"/>
      <c r="G274" s="3"/>
      <c r="H274" s="47">
        <v>0.3611111111111111</v>
      </c>
      <c r="I274" s="47">
        <v>0.20833333333333334</v>
      </c>
      <c r="J274" s="19">
        <v>7.25</v>
      </c>
      <c r="K274" s="277"/>
      <c r="L274" s="3"/>
      <c r="M274" s="47">
        <v>0.35416666666666669</v>
      </c>
      <c r="N274" s="47">
        <v>0.20833333333333334</v>
      </c>
      <c r="O274" s="19">
        <v>7.5</v>
      </c>
      <c r="P274" s="277"/>
      <c r="Q274" s="3"/>
      <c r="R274" s="47">
        <v>0.3125</v>
      </c>
      <c r="S274" s="47">
        <v>0.1875</v>
      </c>
      <c r="T274" s="19">
        <v>8</v>
      </c>
      <c r="U274" s="277"/>
      <c r="V274" s="3"/>
      <c r="W274" s="47">
        <v>0.35416666666666669</v>
      </c>
      <c r="X274" s="47">
        <v>0.20833333333333334</v>
      </c>
      <c r="Y274" s="19">
        <v>7.5</v>
      </c>
      <c r="Z274" s="277"/>
      <c r="AA274" s="29">
        <f t="shared" si="68"/>
        <v>37.5</v>
      </c>
      <c r="AB274" s="298">
        <f t="shared" si="67"/>
        <v>0</v>
      </c>
      <c r="AC274" s="3"/>
      <c r="AD274" s="4">
        <v>0</v>
      </c>
      <c r="AE274" s="4">
        <v>0</v>
      </c>
      <c r="AF274" s="19" t="str">
        <f t="shared" si="69"/>
        <v>0</v>
      </c>
      <c r="AG274" s="29" t="str">
        <f t="shared" si="70"/>
        <v>0</v>
      </c>
      <c r="AH274" s="3"/>
      <c r="AI274" s="227"/>
      <c r="AK274" s="187"/>
      <c r="AL274" s="187"/>
      <c r="AM274" s="187"/>
      <c r="AN274" s="187"/>
      <c r="AO274" s="187"/>
      <c r="AP274" s="187"/>
    </row>
    <row r="275" spans="2:42" s="1" customFormat="1" ht="14.25">
      <c r="B275" s="13" t="s">
        <v>43</v>
      </c>
      <c r="C275" s="47">
        <v>0.33333333333333331</v>
      </c>
      <c r="D275" s="47">
        <v>0.20833333333333334</v>
      </c>
      <c r="E275" s="19">
        <v>8</v>
      </c>
      <c r="F275" s="277"/>
      <c r="G275" s="3"/>
      <c r="H275" s="47">
        <v>0.34375</v>
      </c>
      <c r="I275" s="47">
        <v>0.20833333333333334</v>
      </c>
      <c r="J275" s="19">
        <v>7.75</v>
      </c>
      <c r="K275" s="277"/>
      <c r="L275" s="3"/>
      <c r="M275" s="47">
        <v>0.33333333333333331</v>
      </c>
      <c r="N275" s="47">
        <v>0.20833333333333334</v>
      </c>
      <c r="O275" s="19">
        <v>8</v>
      </c>
      <c r="P275" s="277"/>
      <c r="Q275" s="3"/>
      <c r="R275" s="47">
        <v>0.33333333333333331</v>
      </c>
      <c r="S275" s="47">
        <v>0.20833333333333334</v>
      </c>
      <c r="T275" s="19">
        <v>8</v>
      </c>
      <c r="U275" s="277"/>
      <c r="V275" s="3"/>
      <c r="W275" s="47">
        <v>0.3125</v>
      </c>
      <c r="X275" s="47">
        <v>0.1875</v>
      </c>
      <c r="Y275" s="19">
        <v>8</v>
      </c>
      <c r="Z275" s="277"/>
      <c r="AA275" s="29">
        <f t="shared" si="68"/>
        <v>39.75</v>
      </c>
      <c r="AB275" s="298">
        <f t="shared" si="67"/>
        <v>0</v>
      </c>
      <c r="AC275" s="3"/>
      <c r="AD275" s="4">
        <v>0</v>
      </c>
      <c r="AE275" s="4">
        <v>0</v>
      </c>
      <c r="AF275" s="19" t="str">
        <f t="shared" si="69"/>
        <v>0</v>
      </c>
      <c r="AG275" s="29" t="str">
        <f t="shared" si="70"/>
        <v>0</v>
      </c>
      <c r="AH275" s="3"/>
      <c r="AI275" s="227"/>
      <c r="AK275" s="187"/>
      <c r="AL275" s="187"/>
      <c r="AM275" s="187"/>
      <c r="AN275" s="187"/>
      <c r="AO275" s="187"/>
      <c r="AP275" s="187"/>
    </row>
    <row r="276" spans="2:42" s="1" customFormat="1" ht="14.25">
      <c r="B276" s="13" t="s">
        <v>157</v>
      </c>
      <c r="C276" s="47">
        <v>0.375</v>
      </c>
      <c r="D276" s="47">
        <v>0.20833333333333334</v>
      </c>
      <c r="E276" s="19">
        <v>7</v>
      </c>
      <c r="F276" s="277"/>
      <c r="G276" s="3"/>
      <c r="H276" s="47">
        <v>0.36458333333333331</v>
      </c>
      <c r="I276" s="47">
        <v>0.20833333333333334</v>
      </c>
      <c r="J276" s="19">
        <v>7.25</v>
      </c>
      <c r="K276" s="277"/>
      <c r="L276" s="3"/>
      <c r="M276" s="4">
        <v>0</v>
      </c>
      <c r="N276" s="4">
        <v>0</v>
      </c>
      <c r="O276" s="19">
        <v>0</v>
      </c>
      <c r="P276" s="277"/>
      <c r="Q276" s="3"/>
      <c r="R276" s="47">
        <v>0.36458333333333331</v>
      </c>
      <c r="S276" s="47">
        <v>0.20833333333333334</v>
      </c>
      <c r="T276" s="19">
        <v>7.15</v>
      </c>
      <c r="U276" s="277"/>
      <c r="V276" s="3"/>
      <c r="W276" s="47">
        <v>0.375</v>
      </c>
      <c r="X276" s="47">
        <v>0.20833333333333334</v>
      </c>
      <c r="Y276" s="19">
        <v>7</v>
      </c>
      <c r="Z276" s="277"/>
      <c r="AA276" s="29">
        <f t="shared" si="68"/>
        <v>28.4</v>
      </c>
      <c r="AB276" s="298">
        <f t="shared" si="67"/>
        <v>0</v>
      </c>
      <c r="AC276" s="3"/>
      <c r="AD276" s="4">
        <v>0</v>
      </c>
      <c r="AE276" s="4">
        <v>0</v>
      </c>
      <c r="AF276" s="19" t="str">
        <f t="shared" si="69"/>
        <v>0</v>
      </c>
      <c r="AG276" s="29" t="str">
        <f t="shared" si="70"/>
        <v>0</v>
      </c>
      <c r="AH276" s="3"/>
      <c r="AI276" s="227"/>
      <c r="AK276" s="187"/>
      <c r="AL276" s="187"/>
      <c r="AM276" s="187"/>
      <c r="AN276" s="187"/>
      <c r="AO276" s="187"/>
      <c r="AP276" s="187"/>
    </row>
    <row r="277" spans="2:42" s="1" customFormat="1" ht="14.25">
      <c r="B277" s="13" t="s">
        <v>47</v>
      </c>
      <c r="C277" s="47">
        <v>0.35416666666666669</v>
      </c>
      <c r="D277" s="47">
        <v>0.20833333333333334</v>
      </c>
      <c r="E277" s="19">
        <v>7.5</v>
      </c>
      <c r="F277" s="277"/>
      <c r="G277" s="3"/>
      <c r="H277" s="47">
        <v>0.34375</v>
      </c>
      <c r="I277" s="47">
        <v>0.20833333333333334</v>
      </c>
      <c r="J277" s="19">
        <v>7.75</v>
      </c>
      <c r="K277" s="277"/>
      <c r="L277" s="3"/>
      <c r="M277" s="47">
        <v>0.33333333333333331</v>
      </c>
      <c r="N277" s="47">
        <v>0.20833333333333334</v>
      </c>
      <c r="O277" s="19">
        <v>8</v>
      </c>
      <c r="P277" s="277"/>
      <c r="Q277" s="3"/>
      <c r="R277" s="47">
        <v>0.33333333333333331</v>
      </c>
      <c r="S277" s="47">
        <v>0.20833333333333334</v>
      </c>
      <c r="T277" s="19">
        <v>8</v>
      </c>
      <c r="U277" s="277"/>
      <c r="V277" s="3"/>
      <c r="W277" s="47">
        <v>0.33333333333333331</v>
      </c>
      <c r="X277" s="47">
        <v>0.20833333333333334</v>
      </c>
      <c r="Y277" s="19">
        <v>8</v>
      </c>
      <c r="Z277" s="277"/>
      <c r="AA277" s="29">
        <f t="shared" si="68"/>
        <v>39.25</v>
      </c>
      <c r="AB277" s="298">
        <f t="shared" si="67"/>
        <v>0</v>
      </c>
      <c r="AC277" s="3"/>
      <c r="AD277" s="47">
        <v>0.35416666666666669</v>
      </c>
      <c r="AE277" s="47">
        <v>6.25E-2</v>
      </c>
      <c r="AF277" s="19">
        <v>5</v>
      </c>
      <c r="AG277" s="29">
        <f t="shared" si="70"/>
        <v>5</v>
      </c>
      <c r="AH277" s="3"/>
      <c r="AI277" s="227"/>
      <c r="AK277" s="187"/>
      <c r="AL277" s="187"/>
      <c r="AM277" s="187"/>
      <c r="AN277" s="187"/>
      <c r="AO277" s="187"/>
      <c r="AP277" s="187"/>
    </row>
    <row r="278" spans="2:42" s="1" customFormat="1" ht="14.25">
      <c r="B278" s="13" t="s">
        <v>46</v>
      </c>
      <c r="C278" s="47">
        <v>0</v>
      </c>
      <c r="D278" s="47">
        <v>0</v>
      </c>
      <c r="E278" s="19">
        <v>0</v>
      </c>
      <c r="F278" s="277"/>
      <c r="G278" s="3"/>
      <c r="H278" s="47">
        <v>0.33333333333333331</v>
      </c>
      <c r="I278" s="47">
        <v>0.20833333333333334</v>
      </c>
      <c r="J278" s="19">
        <v>8</v>
      </c>
      <c r="K278" s="277"/>
      <c r="L278" s="3"/>
      <c r="M278" s="47">
        <v>0.36458333333333331</v>
      </c>
      <c r="N278" s="47">
        <v>0.20833333333333334</v>
      </c>
      <c r="O278" s="19">
        <v>7.25</v>
      </c>
      <c r="P278" s="277"/>
      <c r="Q278" s="3"/>
      <c r="R278" s="47">
        <v>0.32291666666666669</v>
      </c>
      <c r="S278" s="47">
        <v>0.19791666666666666</v>
      </c>
      <c r="T278" s="19">
        <v>8</v>
      </c>
      <c r="U278" s="277"/>
      <c r="V278" s="3"/>
      <c r="W278" s="47">
        <v>0.34375</v>
      </c>
      <c r="X278" s="47">
        <v>0.20833333333333334</v>
      </c>
      <c r="Y278" s="19">
        <v>7.75</v>
      </c>
      <c r="Z278" s="277"/>
      <c r="AA278" s="29">
        <f t="shared" si="68"/>
        <v>31</v>
      </c>
      <c r="AB278" s="298">
        <f t="shared" si="67"/>
        <v>0</v>
      </c>
      <c r="AC278" s="3"/>
      <c r="AD278" s="47">
        <v>0.375</v>
      </c>
      <c r="AE278" s="47">
        <v>6.25E-2</v>
      </c>
      <c r="AF278" s="19">
        <v>4.5</v>
      </c>
      <c r="AG278" s="29">
        <f t="shared" si="70"/>
        <v>4.5</v>
      </c>
      <c r="AH278" s="3"/>
      <c r="AI278" s="227"/>
      <c r="AK278" s="187"/>
      <c r="AL278" s="187"/>
      <c r="AM278" s="187"/>
      <c r="AN278" s="187"/>
      <c r="AO278" s="187"/>
      <c r="AP278" s="187"/>
    </row>
    <row r="279" spans="2:42" s="1" customFormat="1" ht="14.25">
      <c r="B279" s="13" t="s">
        <v>54</v>
      </c>
      <c r="C279" s="4">
        <v>0</v>
      </c>
      <c r="D279" s="4">
        <v>0</v>
      </c>
      <c r="E279" s="19" t="str">
        <f>TEXT(D279-C279, "h")</f>
        <v>0</v>
      </c>
      <c r="F279" s="277"/>
      <c r="G279" s="3"/>
      <c r="H279" s="4">
        <v>0</v>
      </c>
      <c r="I279" s="4">
        <v>0</v>
      </c>
      <c r="J279" s="19" t="str">
        <f>TEXT(I279-H279, "h")</f>
        <v>0</v>
      </c>
      <c r="K279" s="277"/>
      <c r="L279" s="3"/>
      <c r="M279" s="4">
        <v>0</v>
      </c>
      <c r="N279" s="4">
        <v>0</v>
      </c>
      <c r="O279" s="19" t="str">
        <f>TEXT(N279-M279, "h")</f>
        <v>0</v>
      </c>
      <c r="P279" s="277"/>
      <c r="Q279" s="3"/>
      <c r="R279" s="4">
        <v>0</v>
      </c>
      <c r="S279" s="4">
        <v>0</v>
      </c>
      <c r="T279" s="19" t="str">
        <f>TEXT(S279-R279, "h")</f>
        <v>0</v>
      </c>
      <c r="U279" s="277"/>
      <c r="V279" s="3"/>
      <c r="W279" s="4">
        <v>0</v>
      </c>
      <c r="X279" s="4">
        <v>0</v>
      </c>
      <c r="Y279" s="19" t="str">
        <f>TEXT(X279-W279, "h")</f>
        <v>0</v>
      </c>
      <c r="Z279" s="277"/>
      <c r="AA279" s="29">
        <f t="shared" si="68"/>
        <v>0</v>
      </c>
      <c r="AB279" s="298">
        <f t="shared" si="67"/>
        <v>0</v>
      </c>
      <c r="AC279" s="3"/>
      <c r="AD279" s="4">
        <v>0</v>
      </c>
      <c r="AE279" s="4">
        <v>0</v>
      </c>
      <c r="AF279" s="19" t="str">
        <f t="shared" si="69"/>
        <v>0</v>
      </c>
      <c r="AG279" s="29" t="str">
        <f t="shared" si="70"/>
        <v>0</v>
      </c>
      <c r="AH279" s="3"/>
      <c r="AI279" s="227"/>
      <c r="AK279" s="187"/>
      <c r="AL279" s="187"/>
      <c r="AM279" s="187"/>
      <c r="AN279" s="187"/>
      <c r="AO279" s="187"/>
      <c r="AP279" s="187"/>
    </row>
    <row r="280" spans="2:42" s="1" customFormat="1" ht="14.25">
      <c r="B280" s="13" t="s">
        <v>55</v>
      </c>
      <c r="C280" s="4">
        <v>0</v>
      </c>
      <c r="D280" s="4">
        <v>0</v>
      </c>
      <c r="E280" s="19" t="str">
        <f>TEXT(D280-C280, "h")</f>
        <v>0</v>
      </c>
      <c r="F280" s="277"/>
      <c r="G280" s="3"/>
      <c r="H280" s="4">
        <v>0</v>
      </c>
      <c r="I280" s="4">
        <v>0</v>
      </c>
      <c r="J280" s="19" t="str">
        <f>TEXT(I280-H280, "h")</f>
        <v>0</v>
      </c>
      <c r="K280" s="277"/>
      <c r="L280" s="3"/>
      <c r="M280" s="4">
        <v>0</v>
      </c>
      <c r="N280" s="4">
        <v>0</v>
      </c>
      <c r="O280" s="19" t="str">
        <f>TEXT(N280-M280, "h")</f>
        <v>0</v>
      </c>
      <c r="P280" s="277"/>
      <c r="Q280" s="3"/>
      <c r="R280" s="4">
        <v>0</v>
      </c>
      <c r="S280" s="4">
        <v>0</v>
      </c>
      <c r="T280" s="19" t="str">
        <f>TEXT(S280-R280, "h")</f>
        <v>0</v>
      </c>
      <c r="U280" s="277"/>
      <c r="V280" s="3"/>
      <c r="W280" s="4">
        <v>0</v>
      </c>
      <c r="X280" s="4">
        <v>0</v>
      </c>
      <c r="Y280" s="19" t="str">
        <f>TEXT(X280-W280, "h")</f>
        <v>0</v>
      </c>
      <c r="Z280" s="277"/>
      <c r="AA280" s="29">
        <f>(E280+J280+O280+T280+Y280)</f>
        <v>0</v>
      </c>
      <c r="AB280" s="298">
        <f t="shared" si="67"/>
        <v>0</v>
      </c>
      <c r="AC280" s="3"/>
      <c r="AD280" s="4">
        <v>0</v>
      </c>
      <c r="AE280" s="4">
        <v>0</v>
      </c>
      <c r="AF280" s="19" t="str">
        <f t="shared" si="69"/>
        <v>0</v>
      </c>
      <c r="AG280" s="29" t="str">
        <f t="shared" si="70"/>
        <v>0</v>
      </c>
      <c r="AH280" s="3"/>
      <c r="AI280" s="227"/>
      <c r="AK280" s="187"/>
      <c r="AL280" s="187"/>
      <c r="AM280" s="187"/>
      <c r="AN280" s="187"/>
      <c r="AO280" s="187"/>
      <c r="AP280" s="187"/>
    </row>
    <row r="281" spans="2:42" s="1" customFormat="1" ht="14.25">
      <c r="B281" s="166" t="s">
        <v>53</v>
      </c>
      <c r="C281" s="47">
        <v>0.375</v>
      </c>
      <c r="D281" s="47">
        <v>0.20833333333333334</v>
      </c>
      <c r="E281" s="19">
        <v>7</v>
      </c>
      <c r="F281" s="277"/>
      <c r="G281" s="3"/>
      <c r="H281" s="47">
        <v>0.35416666666666669</v>
      </c>
      <c r="I281" s="47">
        <v>0.20833333333333334</v>
      </c>
      <c r="J281" s="19">
        <v>7.5</v>
      </c>
      <c r="K281" s="277"/>
      <c r="L281" s="3"/>
      <c r="M281" s="47">
        <v>0.35416666666666669</v>
      </c>
      <c r="N281" s="47">
        <v>0.20833333333333334</v>
      </c>
      <c r="O281" s="19">
        <v>7.5</v>
      </c>
      <c r="P281" s="277"/>
      <c r="Q281" s="3"/>
      <c r="R281" s="12" t="s">
        <v>29</v>
      </c>
      <c r="S281" s="12" t="s">
        <v>29</v>
      </c>
      <c r="T281" s="19">
        <v>6</v>
      </c>
      <c r="U281" s="277"/>
      <c r="V281" s="3"/>
      <c r="W281" s="12" t="s">
        <v>29</v>
      </c>
      <c r="X281" s="12" t="s">
        <v>29</v>
      </c>
      <c r="Y281" s="19">
        <v>6</v>
      </c>
      <c r="Z281" s="277"/>
      <c r="AA281" s="29">
        <f>(E281+J281+O281+T281+Y281)</f>
        <v>34</v>
      </c>
      <c r="AB281" s="298">
        <f t="shared" si="67"/>
        <v>0</v>
      </c>
      <c r="AC281" s="3"/>
      <c r="AD281" s="4">
        <v>0</v>
      </c>
      <c r="AE281" s="4">
        <v>0</v>
      </c>
      <c r="AF281" s="19" t="str">
        <f t="shared" si="69"/>
        <v>0</v>
      </c>
      <c r="AG281" s="29" t="str">
        <f t="shared" si="70"/>
        <v>0</v>
      </c>
      <c r="AH281" s="3"/>
      <c r="AI281" s="227"/>
      <c r="AK281" s="187"/>
      <c r="AL281" s="187"/>
      <c r="AM281" s="187"/>
      <c r="AN281" s="187"/>
      <c r="AO281" s="187"/>
      <c r="AP281" s="187"/>
    </row>
    <row r="282" spans="2:42" s="1" customFormat="1" ht="14.25">
      <c r="B282" s="166" t="s">
        <v>167</v>
      </c>
      <c r="C282" s="12" t="s">
        <v>29</v>
      </c>
      <c r="D282" s="12" t="s">
        <v>29</v>
      </c>
      <c r="E282" s="19">
        <v>6</v>
      </c>
      <c r="F282" s="277"/>
      <c r="G282" s="3"/>
      <c r="H282" s="12" t="s">
        <v>29</v>
      </c>
      <c r="I282" s="12" t="s">
        <v>29</v>
      </c>
      <c r="J282" s="19">
        <v>6</v>
      </c>
      <c r="K282" s="277"/>
      <c r="L282" s="3"/>
      <c r="M282" s="12" t="s">
        <v>29</v>
      </c>
      <c r="N282" s="12" t="s">
        <v>29</v>
      </c>
      <c r="O282" s="19">
        <v>6</v>
      </c>
      <c r="P282" s="277"/>
      <c r="Q282" s="3"/>
      <c r="R282" s="12" t="s">
        <v>29</v>
      </c>
      <c r="S282" s="12" t="s">
        <v>29</v>
      </c>
      <c r="T282" s="19">
        <v>6</v>
      </c>
      <c r="U282" s="277"/>
      <c r="V282" s="3"/>
      <c r="W282" s="12" t="s">
        <v>29</v>
      </c>
      <c r="X282" s="12" t="s">
        <v>29</v>
      </c>
      <c r="Y282" s="19">
        <v>6</v>
      </c>
      <c r="Z282" s="277"/>
      <c r="AA282" s="29">
        <f>(E282+J282+O282+T282+Y282)</f>
        <v>30</v>
      </c>
      <c r="AB282" s="298">
        <f t="shared" si="67"/>
        <v>0</v>
      </c>
      <c r="AC282" s="3"/>
      <c r="AD282" s="4">
        <v>0</v>
      </c>
      <c r="AE282" s="4">
        <v>0</v>
      </c>
      <c r="AF282" s="19" t="str">
        <f t="shared" si="69"/>
        <v>0</v>
      </c>
      <c r="AG282" s="29" t="str">
        <f>AF282</f>
        <v>0</v>
      </c>
      <c r="AH282" s="3"/>
      <c r="AI282" s="227"/>
      <c r="AK282" s="187"/>
      <c r="AL282" s="187"/>
      <c r="AM282" s="187"/>
      <c r="AN282" s="187"/>
      <c r="AO282" s="187"/>
      <c r="AP282" s="187"/>
    </row>
    <row r="283" spans="2:42" s="1" customFormat="1">
      <c r="B283" s="64" t="s">
        <v>61</v>
      </c>
      <c r="C283" s="64"/>
      <c r="D283" s="64"/>
      <c r="E283" s="167">
        <f>SUM(E264:E282)</f>
        <v>117.25</v>
      </c>
      <c r="F283" s="277">
        <f>SUM(F264:F282)</f>
        <v>0</v>
      </c>
      <c r="G283" s="3"/>
      <c r="H283" s="64"/>
      <c r="I283" s="64"/>
      <c r="J283" s="167">
        <f>SUM(J264:J282)</f>
        <v>124.75</v>
      </c>
      <c r="K283" s="277">
        <f>SUM(K264:K282)</f>
        <v>0</v>
      </c>
      <c r="L283" s="3"/>
      <c r="M283" s="64"/>
      <c r="N283" s="64"/>
      <c r="O283" s="167">
        <f>SUM(O264:O282)</f>
        <v>110</v>
      </c>
      <c r="P283" s="277">
        <f>SUM(P264:P282)</f>
        <v>0</v>
      </c>
      <c r="Q283" s="3"/>
      <c r="R283" s="64"/>
      <c r="S283" s="64"/>
      <c r="T283" s="167">
        <f>SUM(T264:T282)</f>
        <v>124.55000000000001</v>
      </c>
      <c r="U283" s="277">
        <f>SUM(U264:U282)</f>
        <v>0</v>
      </c>
      <c r="V283" s="3"/>
      <c r="W283" s="64"/>
      <c r="X283" s="64"/>
      <c r="Y283" s="167">
        <f>SUM(Y264:Y282)</f>
        <v>123</v>
      </c>
      <c r="Z283" s="277">
        <f>SUM(Z264:Z282)</f>
        <v>0</v>
      </c>
      <c r="AA283" s="247">
        <f>SUM(AA264:AA282)</f>
        <v>599.54999999999995</v>
      </c>
      <c r="AB283" s="284">
        <f>SUM(AB264:AB282)</f>
        <v>0</v>
      </c>
      <c r="AC283" s="3"/>
      <c r="AD283" s="64"/>
      <c r="AE283" s="64"/>
      <c r="AF283" s="64"/>
      <c r="AG283" s="247">
        <f>SUM(AG264:AG282)</f>
        <v>9.5</v>
      </c>
      <c r="AH283" s="3"/>
      <c r="AI283" s="227"/>
      <c r="AK283" s="187"/>
      <c r="AL283" s="187"/>
      <c r="AM283" s="187"/>
      <c r="AN283" s="187"/>
      <c r="AO283" s="187"/>
      <c r="AP283" s="187"/>
    </row>
    <row r="284" spans="2:42" s="1" customFormat="1">
      <c r="B284" s="63" t="s">
        <v>62</v>
      </c>
      <c r="C284" s="56"/>
      <c r="D284" s="56"/>
      <c r="E284" s="19">
        <v>8</v>
      </c>
      <c r="F284" s="60">
        <v>3.5</v>
      </c>
      <c r="G284" s="3"/>
      <c r="H284" s="56"/>
      <c r="I284" s="56"/>
      <c r="J284" s="19">
        <v>8</v>
      </c>
      <c r="K284" s="60">
        <v>0.5</v>
      </c>
      <c r="L284" s="3"/>
      <c r="M284" s="56"/>
      <c r="N284" s="56"/>
      <c r="O284" s="19">
        <v>5.5</v>
      </c>
      <c r="P284" s="60"/>
      <c r="Q284" s="60"/>
      <c r="R284" s="56"/>
      <c r="S284" s="56"/>
      <c r="T284" s="19">
        <v>5.5</v>
      </c>
      <c r="U284" s="60"/>
      <c r="V284" s="60"/>
      <c r="W284" s="56"/>
      <c r="X284" s="56"/>
      <c r="Y284" s="19" t="str">
        <f t="shared" ref="Y284" si="71">TEXT(X284-W284, "h")</f>
        <v>0</v>
      </c>
      <c r="Z284" s="60"/>
      <c r="AA284" s="28">
        <f>SUM(E284:Y284)</f>
        <v>31</v>
      </c>
      <c r="AB284" s="282">
        <f>Z284+U284+P284+K284+F284</f>
        <v>4</v>
      </c>
      <c r="AC284" s="3"/>
      <c r="AD284" s="56"/>
      <c r="AE284" s="56"/>
      <c r="AF284" s="19"/>
      <c r="AG284" s="29">
        <f>AF284</f>
        <v>0</v>
      </c>
      <c r="AH284" s="3"/>
      <c r="AI284" s="227"/>
      <c r="AK284" s="187"/>
      <c r="AL284" s="187"/>
      <c r="AM284" s="187"/>
      <c r="AN284" s="187"/>
      <c r="AO284" s="187"/>
      <c r="AP284" s="187"/>
    </row>
    <row r="285" spans="2:42" s="1" customFormat="1">
      <c r="B285" s="63" t="s">
        <v>63</v>
      </c>
      <c r="C285" s="56"/>
      <c r="D285" s="56"/>
      <c r="E285" s="19">
        <v>6</v>
      </c>
      <c r="F285" s="60"/>
      <c r="G285" s="60"/>
      <c r="H285" s="56"/>
      <c r="I285" s="56"/>
      <c r="J285" s="19">
        <v>7</v>
      </c>
      <c r="K285" s="60"/>
      <c r="L285" s="60"/>
      <c r="M285" s="56"/>
      <c r="N285" s="56"/>
      <c r="O285" s="19">
        <v>7</v>
      </c>
      <c r="P285" s="60"/>
      <c r="Q285" s="60"/>
      <c r="R285" s="56"/>
      <c r="S285" s="56"/>
      <c r="T285" s="19">
        <v>7</v>
      </c>
      <c r="U285" s="60"/>
      <c r="V285" s="60"/>
      <c r="W285" s="56"/>
      <c r="X285" s="56"/>
      <c r="Y285" s="19">
        <v>7</v>
      </c>
      <c r="Z285" s="60"/>
      <c r="AA285" s="28">
        <f>SUM(E285:Y285)</f>
        <v>34</v>
      </c>
      <c r="AB285" s="282">
        <f t="shared" ref="AB285:AB287" si="72">Z285+U285+P285+K285+F285</f>
        <v>0</v>
      </c>
      <c r="AC285" s="3"/>
      <c r="AD285" s="56"/>
      <c r="AE285" s="56"/>
      <c r="AF285" s="19"/>
      <c r="AG285" s="29">
        <f>AF285</f>
        <v>0</v>
      </c>
      <c r="AH285" s="3"/>
      <c r="AI285" s="227"/>
      <c r="AK285" s="187"/>
      <c r="AL285" s="187"/>
      <c r="AM285" s="187"/>
      <c r="AN285" s="187"/>
      <c r="AO285" s="187"/>
      <c r="AP285" s="187"/>
    </row>
    <row r="286" spans="2:42" s="1" customFormat="1">
      <c r="B286" s="63" t="s">
        <v>64</v>
      </c>
      <c r="C286" s="56"/>
      <c r="D286" s="56"/>
      <c r="E286" s="19">
        <v>6</v>
      </c>
      <c r="F286" s="60"/>
      <c r="G286" s="60"/>
      <c r="H286" s="56"/>
      <c r="I286" s="56"/>
      <c r="J286" s="19">
        <v>8</v>
      </c>
      <c r="K286" s="60"/>
      <c r="L286" s="60"/>
      <c r="M286" s="56"/>
      <c r="N286" s="56"/>
      <c r="O286" s="19">
        <v>8</v>
      </c>
      <c r="P286" s="60">
        <v>2</v>
      </c>
      <c r="Q286" s="60"/>
      <c r="R286" s="56"/>
      <c r="S286" s="56"/>
      <c r="T286" s="19">
        <v>8</v>
      </c>
      <c r="U286" s="60">
        <v>1</v>
      </c>
      <c r="V286" s="60"/>
      <c r="W286" s="56"/>
      <c r="X286" s="56"/>
      <c r="Y286" s="19">
        <v>8</v>
      </c>
      <c r="Z286" s="60">
        <v>3.25</v>
      </c>
      <c r="AA286" s="28">
        <f>SUM(E286:Y286)</f>
        <v>41</v>
      </c>
      <c r="AB286" s="282">
        <f t="shared" si="72"/>
        <v>6.25</v>
      </c>
      <c r="AC286" s="3"/>
      <c r="AD286" s="56"/>
      <c r="AE286" s="56"/>
      <c r="AF286" s="19">
        <f>6+2.75</f>
        <v>8.75</v>
      </c>
      <c r="AG286" s="29">
        <f>AF286</f>
        <v>8.75</v>
      </c>
      <c r="AH286" s="3"/>
      <c r="AI286" s="227"/>
      <c r="AK286" s="187"/>
      <c r="AL286" s="187"/>
      <c r="AM286" s="187"/>
      <c r="AN286" s="187"/>
      <c r="AO286" s="187"/>
      <c r="AP286" s="187"/>
    </row>
    <row r="287" spans="2:42" s="1" customFormat="1" ht="14.25" thickBot="1">
      <c r="B287" s="268" t="s">
        <v>65</v>
      </c>
      <c r="C287" s="75"/>
      <c r="D287" s="75"/>
      <c r="E287" s="77">
        <v>0</v>
      </c>
      <c r="F287" s="81"/>
      <c r="G287" s="81"/>
      <c r="H287" s="75"/>
      <c r="I287" s="75"/>
      <c r="J287" s="77">
        <v>0</v>
      </c>
      <c r="K287" s="81"/>
      <c r="L287" s="81"/>
      <c r="M287" s="75"/>
      <c r="N287" s="75"/>
      <c r="O287" s="77">
        <v>0</v>
      </c>
      <c r="P287" s="81"/>
      <c r="Q287" s="81"/>
      <c r="R287" s="75"/>
      <c r="S287" s="75"/>
      <c r="T287" s="77">
        <v>0</v>
      </c>
      <c r="U287" s="81"/>
      <c r="V287" s="81"/>
      <c r="W287" s="75"/>
      <c r="X287" s="75"/>
      <c r="Y287" s="77">
        <v>0</v>
      </c>
      <c r="Z287" s="81"/>
      <c r="AA287" s="80">
        <f>SUM(E287:Y287)</f>
        <v>0</v>
      </c>
      <c r="AB287" s="287">
        <f t="shared" si="72"/>
        <v>0</v>
      </c>
      <c r="AC287" s="3"/>
      <c r="AD287" s="75"/>
      <c r="AE287" s="75"/>
      <c r="AF287" s="77"/>
      <c r="AG287" s="276">
        <f>AF287</f>
        <v>0</v>
      </c>
      <c r="AH287" s="3"/>
      <c r="AI287" s="227"/>
      <c r="AK287" s="187"/>
      <c r="AL287" s="187"/>
      <c r="AM287" s="187"/>
      <c r="AN287" s="187"/>
      <c r="AO287" s="187"/>
      <c r="AP287" s="187"/>
    </row>
    <row r="288" spans="2:42" s="1" customFormat="1" ht="14.25" thickTop="1">
      <c r="B288" s="214" t="s">
        <v>66</v>
      </c>
      <c r="C288" s="243"/>
      <c r="D288" s="243"/>
      <c r="E288" s="214">
        <f>SUM(E284:E287)</f>
        <v>20</v>
      </c>
      <c r="F288" s="215"/>
      <c r="G288" s="215"/>
      <c r="H288" s="243"/>
      <c r="I288" s="243"/>
      <c r="J288" s="214">
        <f>SUM(J284:J287)</f>
        <v>23</v>
      </c>
      <c r="K288" s="215"/>
      <c r="L288" s="215"/>
      <c r="M288" s="243"/>
      <c r="N288" s="243"/>
      <c r="O288" s="214">
        <f>SUM(O284:O287)</f>
        <v>20.5</v>
      </c>
      <c r="P288" s="215"/>
      <c r="Q288" s="215"/>
      <c r="R288" s="243"/>
      <c r="S288" s="243"/>
      <c r="T288" s="214">
        <f>SUM(T284:T287)</f>
        <v>20.5</v>
      </c>
      <c r="U288" s="215"/>
      <c r="V288" s="215"/>
      <c r="W288" s="243"/>
      <c r="X288" s="243"/>
      <c r="Y288" s="305">
        <f>SUM(Y284:Y287)</f>
        <v>15</v>
      </c>
      <c r="Z288" s="215"/>
      <c r="AA288" s="247">
        <f>SUM(E288:Y288)</f>
        <v>99</v>
      </c>
      <c r="AB288" s="247">
        <f>SUM(AB284:AB287)</f>
        <v>10.25</v>
      </c>
      <c r="AC288" s="3"/>
      <c r="AD288" s="187"/>
      <c r="AE288" s="187"/>
      <c r="AF288" s="187"/>
      <c r="AG288" s="247">
        <f>SUM(AG286:AG287)</f>
        <v>8.75</v>
      </c>
      <c r="AH288" s="3"/>
      <c r="AI288" s="227"/>
      <c r="AK288" s="187"/>
      <c r="AL288" s="187"/>
      <c r="AM288" s="187"/>
      <c r="AN288" s="187"/>
      <c r="AO288" s="187"/>
      <c r="AP288" s="187"/>
    </row>
    <row r="289" spans="1:42" s="1" customFormat="1" ht="13.5" customHeight="1">
      <c r="A289" s="11"/>
      <c r="B289" s="217" t="s">
        <v>67</v>
      </c>
      <c r="C289" s="207">
        <f>C290+C291</f>
        <v>80</v>
      </c>
      <c r="D289" s="208"/>
      <c r="E289" s="209"/>
      <c r="F289" s="209"/>
      <c r="G289" s="208"/>
      <c r="H289" s="209"/>
      <c r="I289" s="209"/>
      <c r="J289" s="209"/>
      <c r="K289" s="209"/>
      <c r="L289" s="208"/>
      <c r="M289" s="208"/>
      <c r="N289" s="208"/>
      <c r="O289" s="208"/>
      <c r="P289" s="209"/>
      <c r="Q289" s="208"/>
      <c r="R289" s="208"/>
      <c r="S289" s="208"/>
      <c r="T289" s="208"/>
      <c r="U289" s="209"/>
      <c r="V289" s="208"/>
      <c r="W289" s="208"/>
      <c r="X289" s="208"/>
      <c r="Y289" s="210"/>
      <c r="Z289" s="209"/>
      <c r="AA289" s="211"/>
      <c r="AB289" s="209"/>
      <c r="AC289" s="211"/>
      <c r="AD289" s="211"/>
      <c r="AE289" s="211"/>
      <c r="AF289" s="211"/>
      <c r="AG289" s="211"/>
      <c r="AH289" s="3"/>
      <c r="AI289" s="227"/>
      <c r="AK289" s="187"/>
      <c r="AL289" s="187"/>
      <c r="AM289" s="187"/>
      <c r="AN289" s="187"/>
      <c r="AO289" s="187"/>
      <c r="AP289" s="187"/>
    </row>
    <row r="290" spans="1:42" s="1" customFormat="1" ht="13.5" customHeight="1">
      <c r="A290" s="11"/>
      <c r="B290" s="238" t="s">
        <v>68</v>
      </c>
      <c r="C290" s="239">
        <f>10+11+9+10+15</f>
        <v>55</v>
      </c>
      <c r="D290" s="208"/>
      <c r="E290" s="209"/>
      <c r="F290" s="209"/>
      <c r="G290" s="208"/>
      <c r="H290" s="209"/>
      <c r="I290" s="209"/>
      <c r="J290" s="209"/>
      <c r="K290" s="209"/>
      <c r="L290" s="208"/>
      <c r="M290" s="208"/>
      <c r="N290" s="208"/>
      <c r="O290" s="208"/>
      <c r="P290" s="209"/>
      <c r="Q290" s="208"/>
      <c r="R290" s="208"/>
      <c r="S290" s="208"/>
      <c r="T290" s="208"/>
      <c r="U290" s="209"/>
      <c r="V290" s="208"/>
      <c r="W290" s="208"/>
      <c r="X290" s="208"/>
      <c r="Y290" s="210"/>
      <c r="Z290" s="209"/>
      <c r="AA290" s="211"/>
      <c r="AB290" s="209"/>
      <c r="AC290" s="211"/>
      <c r="AD290" s="211"/>
      <c r="AE290" s="211"/>
      <c r="AF290" s="211"/>
      <c r="AG290" s="211"/>
      <c r="AH290" s="3"/>
      <c r="AI290" s="227"/>
      <c r="AK290" s="187"/>
      <c r="AL290" s="187"/>
      <c r="AM290" s="187"/>
      <c r="AN290" s="187"/>
      <c r="AO290" s="187"/>
      <c r="AP290" s="187"/>
    </row>
    <row r="291" spans="1:42" s="1" customFormat="1" ht="13.5" customHeight="1">
      <c r="A291" s="11"/>
      <c r="B291" s="238" t="s">
        <v>69</v>
      </c>
      <c r="C291" s="239">
        <f>6+7+7+5</f>
        <v>25</v>
      </c>
      <c r="D291" s="208"/>
      <c r="E291" s="209"/>
      <c r="F291" s="209"/>
      <c r="G291" s="208"/>
      <c r="H291" s="209"/>
      <c r="I291" s="209"/>
      <c r="J291" s="209"/>
      <c r="K291" s="209"/>
      <c r="L291" s="208"/>
      <c r="M291" s="208"/>
      <c r="N291" s="208"/>
      <c r="O291" s="208"/>
      <c r="P291" s="209"/>
      <c r="Q291" s="208"/>
      <c r="R291" s="208"/>
      <c r="S291" s="208"/>
      <c r="T291" s="208"/>
      <c r="U291" s="209"/>
      <c r="V291" s="208"/>
      <c r="W291" s="208"/>
      <c r="X291" s="208"/>
      <c r="Y291" s="210"/>
      <c r="Z291" s="209"/>
      <c r="AA291" s="211"/>
      <c r="AB291" s="209"/>
      <c r="AC291" s="211"/>
      <c r="AD291" s="211"/>
      <c r="AE291" s="211"/>
      <c r="AF291" s="211"/>
      <c r="AG291" s="211"/>
      <c r="AH291" s="3"/>
      <c r="AI291" s="227"/>
      <c r="AK291" s="187"/>
      <c r="AL291" s="187"/>
      <c r="AM291" s="187"/>
      <c r="AN291" s="187"/>
      <c r="AO291" s="187"/>
      <c r="AP291" s="187"/>
    </row>
    <row r="292" spans="1:42" s="1" customFormat="1" ht="4.5" customHeight="1">
      <c r="A292" s="11"/>
      <c r="B292" s="218"/>
      <c r="C292" s="219"/>
      <c r="D292" s="220"/>
      <c r="E292" s="221"/>
      <c r="F292" s="221"/>
      <c r="G292" s="220"/>
      <c r="H292" s="221"/>
      <c r="I292" s="221"/>
      <c r="J292" s="221"/>
      <c r="K292" s="221"/>
      <c r="L292" s="220"/>
      <c r="M292" s="220"/>
      <c r="N292" s="220"/>
      <c r="O292" s="220"/>
      <c r="P292" s="221"/>
      <c r="Q292" s="220"/>
      <c r="R292" s="220" t="s">
        <v>171</v>
      </c>
      <c r="S292" s="220"/>
      <c r="T292" s="220"/>
      <c r="U292" s="221"/>
      <c r="V292" s="220"/>
      <c r="W292" s="220"/>
      <c r="X292" s="220"/>
      <c r="Y292" s="222"/>
      <c r="Z292" s="221"/>
      <c r="AA292" s="223"/>
      <c r="AB292" s="221"/>
      <c r="AC292" s="3"/>
      <c r="AD292" s="168"/>
      <c r="AH292" s="3"/>
      <c r="AI292" s="227"/>
      <c r="AK292" s="187"/>
      <c r="AL292" s="187"/>
      <c r="AM292" s="187"/>
      <c r="AN292" s="187"/>
      <c r="AO292" s="187"/>
      <c r="AP292" s="187"/>
    </row>
    <row r="293" spans="1:42" s="227" customFormat="1" ht="4.5" customHeight="1">
      <c r="A293" s="228"/>
      <c r="B293" s="229"/>
      <c r="C293" s="230"/>
      <c r="D293" s="231"/>
      <c r="E293" s="232"/>
      <c r="F293" s="232"/>
      <c r="G293" s="231"/>
      <c r="H293" s="232"/>
      <c r="I293" s="232"/>
      <c r="J293" s="232"/>
      <c r="K293" s="232"/>
      <c r="L293" s="231"/>
      <c r="M293" s="231"/>
      <c r="N293" s="231"/>
      <c r="O293" s="231"/>
      <c r="P293" s="232"/>
      <c r="Q293" s="231"/>
      <c r="R293" s="231"/>
      <c r="S293" s="231"/>
      <c r="T293" s="231"/>
      <c r="U293" s="232"/>
      <c r="V293" s="231"/>
      <c r="W293" s="231"/>
      <c r="X293" s="231"/>
      <c r="Y293" s="233"/>
      <c r="Z293" s="232"/>
      <c r="AA293" s="234"/>
      <c r="AB293" s="232"/>
      <c r="AC293" s="235"/>
      <c r="AD293" s="236"/>
      <c r="AH293" s="235"/>
    </row>
    <row r="294" spans="1:42" s="187" customFormat="1" ht="4.5" customHeight="1">
      <c r="A294" s="224"/>
      <c r="B294" s="214"/>
      <c r="C294" s="215"/>
      <c r="D294" s="215"/>
      <c r="E294" s="214"/>
      <c r="F294" s="214"/>
      <c r="G294" s="215"/>
      <c r="H294" s="214"/>
      <c r="I294" s="214"/>
      <c r="J294" s="214"/>
      <c r="K294" s="214"/>
      <c r="L294" s="215"/>
      <c r="M294" s="215"/>
      <c r="N294" s="215"/>
      <c r="O294" s="215"/>
      <c r="P294" s="214"/>
      <c r="Q294" s="215"/>
      <c r="R294" s="215"/>
      <c r="S294" s="215"/>
      <c r="T294" s="215"/>
      <c r="U294" s="214"/>
      <c r="V294" s="215"/>
      <c r="W294" s="215"/>
      <c r="X294" s="215"/>
      <c r="Y294" s="216"/>
      <c r="Z294" s="214"/>
      <c r="AA294" s="225"/>
      <c r="AB294" s="214"/>
      <c r="AC294" s="226"/>
      <c r="AH294" s="226"/>
      <c r="AI294" s="227"/>
    </row>
    <row r="295" spans="1:42" s="1" customFormat="1">
      <c r="B295" s="1518" t="s">
        <v>18</v>
      </c>
      <c r="C295" s="1524">
        <v>45138</v>
      </c>
      <c r="D295" s="1524"/>
      <c r="E295" s="1524"/>
      <c r="F295" s="1524"/>
      <c r="G295" s="22"/>
      <c r="H295" s="1524">
        <v>45139</v>
      </c>
      <c r="I295" s="1524"/>
      <c r="J295" s="1524"/>
      <c r="K295" s="1524"/>
      <c r="L295" s="22"/>
      <c r="M295" s="1524">
        <v>45140</v>
      </c>
      <c r="N295" s="1524"/>
      <c r="O295" s="1524"/>
      <c r="P295" s="1524"/>
      <c r="Q295" s="22"/>
      <c r="R295" s="1524">
        <v>45141</v>
      </c>
      <c r="S295" s="1524"/>
      <c r="T295" s="1524"/>
      <c r="U295" s="1524"/>
      <c r="V295" s="22"/>
      <c r="W295" s="1524">
        <v>45142</v>
      </c>
      <c r="X295" s="1524"/>
      <c r="Y295" s="1524"/>
      <c r="Z295" s="1524"/>
      <c r="AA295" s="1517" t="s">
        <v>19</v>
      </c>
      <c r="AB295" s="1517" t="s">
        <v>20</v>
      </c>
      <c r="AC295" s="3"/>
      <c r="AD295" s="1524">
        <v>45143</v>
      </c>
      <c r="AE295" s="1524"/>
      <c r="AF295" s="1524"/>
      <c r="AG295" s="1517" t="s">
        <v>21</v>
      </c>
      <c r="AH295" s="3"/>
      <c r="AI295" s="227"/>
      <c r="AK295" s="194" t="s">
        <v>172</v>
      </c>
      <c r="AL295" s="195"/>
      <c r="AM295" s="195"/>
      <c r="AN295" s="195"/>
      <c r="AO295" s="195"/>
      <c r="AP295" s="195"/>
    </row>
    <row r="296" spans="1:42" s="176" customFormat="1" ht="14.25">
      <c r="B296" s="1518"/>
      <c r="C296" s="21" t="s">
        <v>23</v>
      </c>
      <c r="D296" s="21" t="s">
        <v>24</v>
      </c>
      <c r="E296" s="205" t="s">
        <v>25</v>
      </c>
      <c r="F296" s="18" t="s">
        <v>14</v>
      </c>
      <c r="G296" s="3"/>
      <c r="H296" s="21" t="s">
        <v>23</v>
      </c>
      <c r="I296" s="21" t="s">
        <v>24</v>
      </c>
      <c r="J296" s="18" t="s">
        <v>25</v>
      </c>
      <c r="K296" s="18" t="s">
        <v>14</v>
      </c>
      <c r="L296" s="3"/>
      <c r="M296" s="21" t="s">
        <v>23</v>
      </c>
      <c r="N296" s="21" t="s">
        <v>24</v>
      </c>
      <c r="O296" s="18" t="s">
        <v>25</v>
      </c>
      <c r="P296" s="18" t="s">
        <v>14</v>
      </c>
      <c r="Q296" s="3"/>
      <c r="R296" s="21" t="s">
        <v>23</v>
      </c>
      <c r="S296" s="21" t="s">
        <v>24</v>
      </c>
      <c r="T296" s="18" t="s">
        <v>25</v>
      </c>
      <c r="U296" s="18" t="s">
        <v>14</v>
      </c>
      <c r="V296" s="3"/>
      <c r="W296" s="21" t="s">
        <v>23</v>
      </c>
      <c r="X296" s="21" t="s">
        <v>24</v>
      </c>
      <c r="Y296" s="18" t="s">
        <v>25</v>
      </c>
      <c r="Z296" s="18" t="s">
        <v>14</v>
      </c>
      <c r="AA296" s="1523"/>
      <c r="AB296" s="1517"/>
      <c r="AC296" s="3"/>
      <c r="AD296" s="21" t="s">
        <v>23</v>
      </c>
      <c r="AE296" s="21" t="s">
        <v>24</v>
      </c>
      <c r="AF296" s="18" t="s">
        <v>25</v>
      </c>
      <c r="AG296" s="1523"/>
      <c r="AH296" s="174"/>
      <c r="AI296" s="257"/>
      <c r="AK296" s="188" t="s">
        <v>26</v>
      </c>
      <c r="AL296" s="190">
        <f>AA323</f>
        <v>697</v>
      </c>
      <c r="AM296" s="187"/>
      <c r="AN296" s="187"/>
      <c r="AO296" s="187"/>
      <c r="AP296" s="187"/>
    </row>
    <row r="297" spans="1:42" s="176" customFormat="1" ht="14.25">
      <c r="B297" s="171" t="s">
        <v>141</v>
      </c>
      <c r="C297" s="4">
        <v>0</v>
      </c>
      <c r="D297" s="4">
        <v>0</v>
      </c>
      <c r="E297" s="19" t="str">
        <f>TEXT(D297-C297, "h")</f>
        <v>0</v>
      </c>
      <c r="F297" s="277"/>
      <c r="G297" s="174"/>
      <c r="H297" s="172">
        <v>0.35416666666666669</v>
      </c>
      <c r="I297" s="172">
        <v>0.20833333333333334</v>
      </c>
      <c r="J297" s="173">
        <v>7.5</v>
      </c>
      <c r="K297" s="277"/>
      <c r="L297" s="174"/>
      <c r="M297" s="172">
        <v>0.35416666666666669</v>
      </c>
      <c r="N297" s="172">
        <v>0.20833333333333334</v>
      </c>
      <c r="O297" s="173">
        <v>8</v>
      </c>
      <c r="P297" s="277"/>
      <c r="Q297" s="174"/>
      <c r="R297" s="172">
        <v>0.39583333333333331</v>
      </c>
      <c r="S297" s="172">
        <v>0.20833333333333334</v>
      </c>
      <c r="T297" s="173">
        <v>0</v>
      </c>
      <c r="U297" s="277"/>
      <c r="V297" s="174"/>
      <c r="W297" s="172">
        <v>6.25E-2</v>
      </c>
      <c r="X297" s="172">
        <v>0.1875</v>
      </c>
      <c r="Y297" s="173">
        <v>3</v>
      </c>
      <c r="Z297" s="277"/>
      <c r="AA297" s="28">
        <f>(E297+J297+O297+T297+Y297)</f>
        <v>18.5</v>
      </c>
      <c r="AB297" s="298">
        <f>Z297+U297+P297+K297+F297</f>
        <v>0</v>
      </c>
      <c r="AC297" s="174"/>
      <c r="AD297" s="175">
        <v>0</v>
      </c>
      <c r="AE297" s="175">
        <v>0</v>
      </c>
      <c r="AF297" s="173">
        <v>0</v>
      </c>
      <c r="AG297" s="183">
        <f t="shared" ref="AG297:AG306" si="73">AF297</f>
        <v>0</v>
      </c>
      <c r="AH297" s="174"/>
      <c r="AI297" s="257"/>
      <c r="AK297" s="188" t="s">
        <v>30</v>
      </c>
      <c r="AL297" s="190">
        <f>AB323</f>
        <v>0</v>
      </c>
      <c r="AM297" s="187"/>
      <c r="AN297" s="187"/>
      <c r="AO297" s="187"/>
      <c r="AP297" s="187"/>
    </row>
    <row r="298" spans="1:42" s="176" customFormat="1" ht="14.25">
      <c r="B298" s="171" t="s">
        <v>142</v>
      </c>
      <c r="C298" s="177">
        <v>0.41666666666666669</v>
      </c>
      <c r="D298" s="172">
        <v>0.20833333333333334</v>
      </c>
      <c r="E298" s="173">
        <v>6</v>
      </c>
      <c r="F298" s="277"/>
      <c r="G298" s="174"/>
      <c r="H298" s="4">
        <v>0</v>
      </c>
      <c r="I298" s="4">
        <v>0</v>
      </c>
      <c r="J298" s="173">
        <v>0</v>
      </c>
      <c r="K298" s="277"/>
      <c r="L298" s="174"/>
      <c r="M298" s="172">
        <v>0.40625</v>
      </c>
      <c r="N298" s="172">
        <v>6.25E-2</v>
      </c>
      <c r="O298" s="173">
        <v>3.75</v>
      </c>
      <c r="P298" s="277"/>
      <c r="Q298" s="174"/>
      <c r="R298" s="172">
        <v>0.375</v>
      </c>
      <c r="S298" s="172">
        <v>0.16666666666666666</v>
      </c>
      <c r="T298" s="173">
        <v>6</v>
      </c>
      <c r="U298" s="277"/>
      <c r="V298" s="174"/>
      <c r="W298" s="172">
        <v>0</v>
      </c>
      <c r="X298" s="172">
        <v>0</v>
      </c>
      <c r="Y298" s="173">
        <v>0</v>
      </c>
      <c r="Z298" s="277"/>
      <c r="AA298" s="28">
        <f>(E298+J298+O298+T298+Y298)</f>
        <v>15.75</v>
      </c>
      <c r="AB298" s="298">
        <f t="shared" ref="AB298:AB321" si="74">Z298+U298+P298+K298+F298</f>
        <v>0</v>
      </c>
      <c r="AC298" s="174"/>
      <c r="AD298" s="175">
        <v>0</v>
      </c>
      <c r="AE298" s="175">
        <v>0</v>
      </c>
      <c r="AF298" s="173">
        <v>0</v>
      </c>
      <c r="AG298" s="28">
        <f t="shared" si="73"/>
        <v>0</v>
      </c>
      <c r="AH298" s="174"/>
      <c r="AI298" s="257"/>
      <c r="AK298" s="188" t="s">
        <v>32</v>
      </c>
      <c r="AL298" s="190">
        <f>AG323</f>
        <v>33</v>
      </c>
      <c r="AM298" s="187"/>
      <c r="AN298" s="187"/>
      <c r="AO298" s="187"/>
      <c r="AP298" s="187"/>
    </row>
    <row r="299" spans="1:42" s="176" customFormat="1" ht="14.25">
      <c r="B299" s="171" t="s">
        <v>31</v>
      </c>
      <c r="C299" s="172">
        <v>0.35416666666666669</v>
      </c>
      <c r="D299" s="172">
        <v>0.20833333333333334</v>
      </c>
      <c r="E299" s="173">
        <v>8</v>
      </c>
      <c r="F299" s="277"/>
      <c r="G299" s="174"/>
      <c r="H299" s="172">
        <v>0.33333333333333331</v>
      </c>
      <c r="I299" s="172">
        <v>0.20833333333333334</v>
      </c>
      <c r="J299" s="173">
        <v>8</v>
      </c>
      <c r="K299" s="277"/>
      <c r="L299" s="174"/>
      <c r="M299" s="172">
        <v>0.35416666666666669</v>
      </c>
      <c r="N299" s="172">
        <v>0.20833333333333334</v>
      </c>
      <c r="O299" s="173">
        <v>7.5</v>
      </c>
      <c r="P299" s="277"/>
      <c r="Q299" s="174"/>
      <c r="R299" s="172">
        <v>0.39583333333333331</v>
      </c>
      <c r="S299" s="172">
        <v>0.20833333333333334</v>
      </c>
      <c r="T299" s="173">
        <v>0</v>
      </c>
      <c r="U299" s="277"/>
      <c r="V299" s="174"/>
      <c r="W299" s="172">
        <v>0</v>
      </c>
      <c r="X299" s="172">
        <v>0</v>
      </c>
      <c r="Y299" s="173">
        <v>0</v>
      </c>
      <c r="Z299" s="277"/>
      <c r="AA299" s="28">
        <f>(E299+J299+O299+T299+Y299)</f>
        <v>23.5</v>
      </c>
      <c r="AB299" s="298">
        <f t="shared" si="74"/>
        <v>0</v>
      </c>
      <c r="AC299" s="174"/>
      <c r="AD299" s="175">
        <v>0</v>
      </c>
      <c r="AE299" s="175">
        <v>0</v>
      </c>
      <c r="AF299" s="173">
        <v>0</v>
      </c>
      <c r="AG299" s="28">
        <f t="shared" si="73"/>
        <v>0</v>
      </c>
      <c r="AH299" s="174"/>
      <c r="AI299" s="257"/>
      <c r="AK299" s="188" t="s">
        <v>34</v>
      </c>
      <c r="AL299" s="196">
        <f>AA328</f>
        <v>115</v>
      </c>
      <c r="AM299" s="187"/>
      <c r="AN299" s="187"/>
      <c r="AO299" s="187"/>
      <c r="AP299" s="187"/>
    </row>
    <row r="300" spans="1:42" s="176" customFormat="1" ht="14.25">
      <c r="B300" s="171" t="s">
        <v>169</v>
      </c>
      <c r="C300" s="4">
        <v>0</v>
      </c>
      <c r="D300" s="4">
        <v>0</v>
      </c>
      <c r="E300" s="19" t="str">
        <f>TEXT(D300-C300, "h")</f>
        <v>0</v>
      </c>
      <c r="F300" s="277"/>
      <c r="G300" s="174"/>
      <c r="H300" s="172">
        <v>0.33333333333333331</v>
      </c>
      <c r="I300" s="172">
        <v>0.20833333333333334</v>
      </c>
      <c r="J300" s="173">
        <v>8</v>
      </c>
      <c r="K300" s="277"/>
      <c r="L300" s="174"/>
      <c r="M300" s="172">
        <v>0.33333333333333331</v>
      </c>
      <c r="N300" s="172">
        <v>6.25E-2</v>
      </c>
      <c r="O300" s="173">
        <v>5.5</v>
      </c>
      <c r="P300" s="277"/>
      <c r="Q300" s="174"/>
      <c r="R300" s="172">
        <v>0.375</v>
      </c>
      <c r="S300" s="172">
        <v>0.16666666666666666</v>
      </c>
      <c r="T300" s="173">
        <v>6</v>
      </c>
      <c r="U300" s="277"/>
      <c r="V300" s="174"/>
      <c r="W300" s="172">
        <v>0.33333333333333331</v>
      </c>
      <c r="X300" s="172">
        <v>0.20833333333333334</v>
      </c>
      <c r="Y300" s="173">
        <v>8</v>
      </c>
      <c r="Z300" s="277"/>
      <c r="AA300" s="28">
        <f>(E300+J300+O300+T300+Y300)</f>
        <v>27.5</v>
      </c>
      <c r="AB300" s="298">
        <f t="shared" si="74"/>
        <v>0</v>
      </c>
      <c r="AC300" s="174"/>
      <c r="AD300" s="175">
        <v>0</v>
      </c>
      <c r="AE300" s="175">
        <v>0</v>
      </c>
      <c r="AF300" s="173">
        <v>0</v>
      </c>
      <c r="AG300" s="28">
        <f t="shared" si="73"/>
        <v>0</v>
      </c>
      <c r="AH300" s="174"/>
      <c r="AI300" s="257"/>
      <c r="AK300" s="188" t="s">
        <v>145</v>
      </c>
      <c r="AL300" s="196">
        <f>AB328</f>
        <v>7.75</v>
      </c>
      <c r="AM300" s="187"/>
      <c r="AN300" s="187"/>
      <c r="AO300" s="187"/>
      <c r="AP300" s="187"/>
    </row>
    <row r="301" spans="1:42" s="1" customFormat="1" ht="14.25">
      <c r="B301" s="171" t="s">
        <v>33</v>
      </c>
      <c r="C301" s="172">
        <v>0.33333333333333331</v>
      </c>
      <c r="D301" s="172">
        <v>0.20833333333333334</v>
      </c>
      <c r="E301" s="173">
        <v>8</v>
      </c>
      <c r="F301" s="277"/>
      <c r="G301" s="174"/>
      <c r="H301" s="172">
        <v>0.34375</v>
      </c>
      <c r="I301" s="172">
        <v>0.20833333333333334</v>
      </c>
      <c r="J301" s="173">
        <v>7.75</v>
      </c>
      <c r="K301" s="277"/>
      <c r="L301" s="174"/>
      <c r="M301" s="172">
        <v>0.33333333333333331</v>
      </c>
      <c r="N301" s="172">
        <v>6.25E-2</v>
      </c>
      <c r="O301" s="173">
        <v>5.5</v>
      </c>
      <c r="P301" s="277"/>
      <c r="Q301" s="174"/>
      <c r="R301" s="172">
        <v>0.375</v>
      </c>
      <c r="S301" s="172">
        <v>0.16666666666666666</v>
      </c>
      <c r="T301" s="173">
        <v>6</v>
      </c>
      <c r="U301" s="277"/>
      <c r="V301" s="174"/>
      <c r="W301" s="172">
        <v>0.34375</v>
      </c>
      <c r="X301" s="172">
        <v>0.20833333333333334</v>
      </c>
      <c r="Y301" s="173">
        <v>7.75</v>
      </c>
      <c r="Z301" s="277"/>
      <c r="AA301" s="28">
        <f>(E301+J301+O301+T301+Y301)</f>
        <v>35</v>
      </c>
      <c r="AB301" s="298">
        <f t="shared" si="74"/>
        <v>0</v>
      </c>
      <c r="AC301" s="174"/>
      <c r="AD301" s="175">
        <v>0</v>
      </c>
      <c r="AE301" s="175">
        <v>0</v>
      </c>
      <c r="AF301" s="173">
        <v>0</v>
      </c>
      <c r="AG301" s="28">
        <f t="shared" si="73"/>
        <v>0</v>
      </c>
      <c r="AH301" s="3"/>
      <c r="AI301" s="227"/>
      <c r="AK301" s="188" t="s">
        <v>38</v>
      </c>
      <c r="AL301" s="190">
        <f>AG328</f>
        <v>2</v>
      </c>
      <c r="AM301" s="187"/>
      <c r="AN301" s="187"/>
      <c r="AO301" s="187"/>
      <c r="AP301" s="187"/>
    </row>
    <row r="302" spans="1:42" s="1" customFormat="1" ht="14.25">
      <c r="B302" s="13" t="s">
        <v>129</v>
      </c>
      <c r="C302" s="47">
        <v>0.35416666666666669</v>
      </c>
      <c r="D302" s="47">
        <v>0.20833333333333334</v>
      </c>
      <c r="E302" s="19">
        <v>7.5</v>
      </c>
      <c r="F302" s="277"/>
      <c r="G302" s="3"/>
      <c r="H302" s="47">
        <v>0.35416666666666669</v>
      </c>
      <c r="I302" s="47">
        <v>0.20833333333333334</v>
      </c>
      <c r="J302" s="19">
        <v>7.5</v>
      </c>
      <c r="K302" s="277"/>
      <c r="L302" s="3"/>
      <c r="M302" s="47">
        <v>0.35416666666666669</v>
      </c>
      <c r="N302" s="47">
        <v>0.20833333333333334</v>
      </c>
      <c r="O302" s="19">
        <v>7.5</v>
      </c>
      <c r="P302" s="277"/>
      <c r="Q302" s="3"/>
      <c r="R302" s="47">
        <v>0.36458333333333331</v>
      </c>
      <c r="S302" s="47">
        <v>0.20833333333333334</v>
      </c>
      <c r="T302" s="19">
        <v>0</v>
      </c>
      <c r="U302" s="277"/>
      <c r="V302" s="3"/>
      <c r="W302" s="47">
        <v>0</v>
      </c>
      <c r="X302" s="47">
        <v>0</v>
      </c>
      <c r="Y302" s="19">
        <v>0</v>
      </c>
      <c r="Z302" s="277"/>
      <c r="AA302" s="29">
        <f t="shared" ref="AA302:AA318" si="75">(E302+J302+O302+T302+Y302)</f>
        <v>22.5</v>
      </c>
      <c r="AB302" s="298">
        <f t="shared" si="74"/>
        <v>0</v>
      </c>
      <c r="AC302" s="3"/>
      <c r="AD302" s="4">
        <v>0</v>
      </c>
      <c r="AE302" s="4">
        <v>0</v>
      </c>
      <c r="AF302" s="19">
        <v>0</v>
      </c>
      <c r="AG302" s="29">
        <f t="shared" si="73"/>
        <v>0</v>
      </c>
      <c r="AH302" s="3"/>
      <c r="AI302" s="227"/>
      <c r="AK302" s="188" t="s">
        <v>41</v>
      </c>
      <c r="AL302" s="189">
        <f>C329</f>
        <v>76</v>
      </c>
      <c r="AM302" s="191"/>
      <c r="AN302" s="191"/>
      <c r="AO302" s="191"/>
      <c r="AP302" s="191"/>
    </row>
    <row r="303" spans="1:42" s="1" customFormat="1" ht="14.25">
      <c r="B303" s="13" t="s">
        <v>35</v>
      </c>
      <c r="C303" s="47">
        <v>0.36458333333333331</v>
      </c>
      <c r="D303" s="47">
        <v>0.20833333333333334</v>
      </c>
      <c r="E303" s="19">
        <v>7.25</v>
      </c>
      <c r="F303" s="277"/>
      <c r="G303" s="3"/>
      <c r="H303" s="47">
        <v>0.35416666666666669</v>
      </c>
      <c r="I303" s="47">
        <v>0.20833333333333334</v>
      </c>
      <c r="J303" s="19">
        <v>7.5</v>
      </c>
      <c r="K303" s="277"/>
      <c r="L303" s="3"/>
      <c r="M303" s="47">
        <v>0.35416666666666669</v>
      </c>
      <c r="N303" s="172">
        <v>6.25E-2</v>
      </c>
      <c r="O303" s="19">
        <v>5</v>
      </c>
      <c r="P303" s="277"/>
      <c r="Q303" s="3"/>
      <c r="R303" s="47">
        <v>0.375</v>
      </c>
      <c r="S303" s="47">
        <v>0.20833333333333334</v>
      </c>
      <c r="T303" s="19">
        <v>0</v>
      </c>
      <c r="U303" s="277"/>
      <c r="V303" s="3"/>
      <c r="W303" s="47">
        <v>0.375</v>
      </c>
      <c r="X303" s="47">
        <v>0.20833333333333334</v>
      </c>
      <c r="Y303" s="19">
        <v>7</v>
      </c>
      <c r="Z303" s="277"/>
      <c r="AA303" s="29">
        <f t="shared" si="75"/>
        <v>26.75</v>
      </c>
      <c r="AB303" s="298">
        <f t="shared" si="74"/>
        <v>0</v>
      </c>
      <c r="AC303" s="3"/>
      <c r="AD303" s="47">
        <v>0.40625</v>
      </c>
      <c r="AE303" s="47">
        <v>0.20833333333333334</v>
      </c>
      <c r="AF303" s="19">
        <v>6.25</v>
      </c>
      <c r="AG303" s="29">
        <f t="shared" si="73"/>
        <v>6.25</v>
      </c>
      <c r="AH303" s="3"/>
      <c r="AI303" s="227"/>
      <c r="AK303" s="187"/>
      <c r="AL303" s="187"/>
      <c r="AM303" s="187"/>
      <c r="AN303" s="187"/>
      <c r="AO303" s="187"/>
      <c r="AP303" s="187"/>
    </row>
    <row r="304" spans="1:42" s="1" customFormat="1" ht="14.25">
      <c r="B304" s="13" t="s">
        <v>37</v>
      </c>
      <c r="C304" s="47">
        <v>0.35416666666666669</v>
      </c>
      <c r="D304" s="47">
        <v>0.20833333333333334</v>
      </c>
      <c r="E304" s="19">
        <v>8</v>
      </c>
      <c r="F304" s="277"/>
      <c r="G304" s="3"/>
      <c r="H304" s="47">
        <v>0.34375</v>
      </c>
      <c r="I304" s="47">
        <v>0.20833333333333334</v>
      </c>
      <c r="J304" s="19">
        <v>7.75</v>
      </c>
      <c r="K304" s="277"/>
      <c r="L304" s="3"/>
      <c r="M304" s="47">
        <v>0.35416666666666669</v>
      </c>
      <c r="N304" s="47">
        <v>0.20833333333333334</v>
      </c>
      <c r="O304" s="19">
        <v>7.5</v>
      </c>
      <c r="P304" s="277"/>
      <c r="Q304" s="3"/>
      <c r="R304" s="47">
        <v>0.36458333333333331</v>
      </c>
      <c r="S304" s="47">
        <v>0.20833333333333334</v>
      </c>
      <c r="T304" s="19">
        <v>0</v>
      </c>
      <c r="U304" s="277"/>
      <c r="V304" s="3"/>
      <c r="W304" s="47">
        <v>0</v>
      </c>
      <c r="X304" s="47">
        <v>0</v>
      </c>
      <c r="Y304" s="19">
        <v>0</v>
      </c>
      <c r="Z304" s="277"/>
      <c r="AA304" s="29">
        <f t="shared" si="75"/>
        <v>23.25</v>
      </c>
      <c r="AB304" s="298">
        <f t="shared" si="74"/>
        <v>0</v>
      </c>
      <c r="AC304" s="3"/>
      <c r="AD304" s="4">
        <v>0</v>
      </c>
      <c r="AE304" s="4">
        <v>0</v>
      </c>
      <c r="AF304" s="19">
        <v>0</v>
      </c>
      <c r="AG304" s="29">
        <f t="shared" si="73"/>
        <v>0</v>
      </c>
      <c r="AH304" s="3"/>
      <c r="AI304" s="227"/>
      <c r="AK304" s="187"/>
      <c r="AL304" s="187"/>
      <c r="AM304" s="187"/>
      <c r="AN304" s="187"/>
      <c r="AO304" s="187"/>
      <c r="AP304" s="187"/>
    </row>
    <row r="305" spans="2:42" s="1" customFormat="1" ht="14.25">
      <c r="B305" s="13" t="s">
        <v>39</v>
      </c>
      <c r="C305" s="47">
        <v>0.38541666666666669</v>
      </c>
      <c r="D305" s="47">
        <v>0.20833333333333334</v>
      </c>
      <c r="E305" s="19">
        <v>6.75</v>
      </c>
      <c r="F305" s="277"/>
      <c r="G305" s="3"/>
      <c r="H305" s="47">
        <v>0.39583333333333331</v>
      </c>
      <c r="I305" s="47">
        <v>0.20833333333333334</v>
      </c>
      <c r="J305" s="19">
        <v>6.5</v>
      </c>
      <c r="K305" s="277"/>
      <c r="L305" s="3"/>
      <c r="M305" s="47">
        <v>0.38541666666666669</v>
      </c>
      <c r="N305" s="172">
        <v>6.25E-2</v>
      </c>
      <c r="O305" s="19">
        <v>4.25</v>
      </c>
      <c r="P305" s="277"/>
      <c r="Q305" s="3"/>
      <c r="R305" s="47">
        <v>0.375</v>
      </c>
      <c r="S305" s="47">
        <v>0.16666666666666666</v>
      </c>
      <c r="T305" s="19">
        <v>6</v>
      </c>
      <c r="U305" s="277"/>
      <c r="V305" s="3"/>
      <c r="W305" s="47">
        <v>0.375</v>
      </c>
      <c r="X305" s="47">
        <v>0.20833333333333334</v>
      </c>
      <c r="Y305" s="19">
        <v>7</v>
      </c>
      <c r="Z305" s="277"/>
      <c r="AA305" s="29">
        <f t="shared" si="75"/>
        <v>30.5</v>
      </c>
      <c r="AB305" s="298">
        <f t="shared" si="74"/>
        <v>0</v>
      </c>
      <c r="AC305" s="3"/>
      <c r="AD305" s="4">
        <v>0</v>
      </c>
      <c r="AE305" s="4">
        <v>0</v>
      </c>
      <c r="AF305" s="19">
        <v>0</v>
      </c>
      <c r="AG305" s="29">
        <f t="shared" si="73"/>
        <v>0</v>
      </c>
      <c r="AH305" s="3"/>
      <c r="AI305" s="227"/>
      <c r="AK305" s="187"/>
      <c r="AL305" s="187"/>
      <c r="AM305" s="187"/>
      <c r="AN305" s="187"/>
      <c r="AO305" s="187"/>
      <c r="AP305" s="187"/>
    </row>
    <row r="306" spans="2:42" s="1" customFormat="1" ht="14.25">
      <c r="B306" s="164" t="s">
        <v>40</v>
      </c>
      <c r="C306" s="47">
        <v>0.375</v>
      </c>
      <c r="D306" s="47">
        <v>0.20833333333333334</v>
      </c>
      <c r="E306" s="19">
        <v>7</v>
      </c>
      <c r="F306" s="277"/>
      <c r="G306" s="3"/>
      <c r="H306" s="47">
        <v>0.33333333333333331</v>
      </c>
      <c r="I306" s="47">
        <v>0.20833333333333334</v>
      </c>
      <c r="J306" s="19">
        <v>8</v>
      </c>
      <c r="K306" s="277"/>
      <c r="L306" s="3"/>
      <c r="M306" s="47">
        <v>0</v>
      </c>
      <c r="N306" s="47">
        <v>0</v>
      </c>
      <c r="O306" s="19">
        <v>0</v>
      </c>
      <c r="P306" s="277"/>
      <c r="Q306" s="3"/>
      <c r="R306" s="47">
        <v>0</v>
      </c>
      <c r="S306" s="47">
        <v>0</v>
      </c>
      <c r="T306" s="19">
        <v>6</v>
      </c>
      <c r="U306" s="277"/>
      <c r="V306" s="3"/>
      <c r="W306" s="47">
        <v>0</v>
      </c>
      <c r="X306" s="47">
        <v>0</v>
      </c>
      <c r="Y306" s="19">
        <v>0</v>
      </c>
      <c r="Z306" s="277"/>
      <c r="AA306" s="29">
        <f t="shared" si="75"/>
        <v>21</v>
      </c>
      <c r="AB306" s="298">
        <f t="shared" si="74"/>
        <v>0</v>
      </c>
      <c r="AC306" s="3"/>
      <c r="AD306" s="4">
        <v>0</v>
      </c>
      <c r="AE306" s="4">
        <v>0</v>
      </c>
      <c r="AF306" s="19">
        <v>0</v>
      </c>
      <c r="AG306" s="29">
        <f t="shared" si="73"/>
        <v>0</v>
      </c>
      <c r="AH306" s="3"/>
      <c r="AI306" s="227"/>
      <c r="AK306" s="187"/>
      <c r="AL306" s="187"/>
      <c r="AM306" s="187"/>
      <c r="AN306" s="187"/>
      <c r="AO306" s="187"/>
      <c r="AP306" s="187"/>
    </row>
    <row r="307" spans="2:42" s="1" customFormat="1" ht="14.25">
      <c r="B307" s="164" t="s">
        <v>42</v>
      </c>
      <c r="C307" s="47">
        <v>0.35416666666666669</v>
      </c>
      <c r="D307" s="47">
        <v>0.20833333333333334</v>
      </c>
      <c r="E307" s="19">
        <v>7.5</v>
      </c>
      <c r="F307" s="277"/>
      <c r="G307" s="3"/>
      <c r="H307" s="47">
        <v>0.36458333333333331</v>
      </c>
      <c r="I307" s="47">
        <v>0.20833333333333334</v>
      </c>
      <c r="J307" s="19">
        <v>7.25</v>
      </c>
      <c r="K307" s="277"/>
      <c r="L307" s="3"/>
      <c r="M307" s="47">
        <v>0.33333333333333331</v>
      </c>
      <c r="N307" s="172">
        <v>6.25E-2</v>
      </c>
      <c r="O307" s="19">
        <v>5.5</v>
      </c>
      <c r="P307" s="277"/>
      <c r="Q307" s="3"/>
      <c r="R307" s="47">
        <v>0.375</v>
      </c>
      <c r="S307" s="47">
        <v>0.16666666666666666</v>
      </c>
      <c r="T307" s="19">
        <v>6</v>
      </c>
      <c r="U307" s="277"/>
      <c r="V307" s="3"/>
      <c r="W307" s="47">
        <v>0</v>
      </c>
      <c r="X307" s="47">
        <v>0</v>
      </c>
      <c r="Y307" s="19">
        <v>0</v>
      </c>
      <c r="Z307" s="277"/>
      <c r="AA307" s="29">
        <f t="shared" si="75"/>
        <v>26.25</v>
      </c>
      <c r="AB307" s="298">
        <f t="shared" si="74"/>
        <v>0</v>
      </c>
      <c r="AC307" s="3"/>
      <c r="AD307" s="4">
        <v>0</v>
      </c>
      <c r="AE307" s="4">
        <v>0</v>
      </c>
      <c r="AF307" s="19">
        <v>0</v>
      </c>
      <c r="AG307" s="29">
        <f t="shared" ref="AG307:AG320" si="76">AF307</f>
        <v>0</v>
      </c>
      <c r="AH307" s="3"/>
      <c r="AI307" s="227"/>
      <c r="AK307" s="187"/>
      <c r="AL307" s="187"/>
      <c r="AM307" s="187"/>
      <c r="AN307" s="187"/>
      <c r="AO307" s="187"/>
      <c r="AP307" s="187"/>
    </row>
    <row r="308" spans="2:42" s="1" customFormat="1" ht="14.25">
      <c r="B308" s="13" t="s">
        <v>43</v>
      </c>
      <c r="C308" s="47">
        <v>0.33333333333333331</v>
      </c>
      <c r="D308" s="47">
        <v>0.20833333333333334</v>
      </c>
      <c r="E308" s="19">
        <v>8</v>
      </c>
      <c r="F308" s="277"/>
      <c r="G308" s="3"/>
      <c r="H308" s="47">
        <v>0.34375</v>
      </c>
      <c r="I308" s="47">
        <v>0.20833333333333334</v>
      </c>
      <c r="J308" s="19">
        <v>7.75</v>
      </c>
      <c r="K308" s="277"/>
      <c r="L308" s="3"/>
      <c r="M308" s="47">
        <v>0.32291666666666669</v>
      </c>
      <c r="N308" s="172">
        <v>6.25E-2</v>
      </c>
      <c r="O308" s="19">
        <v>5.75</v>
      </c>
      <c r="P308" s="277"/>
      <c r="Q308" s="3"/>
      <c r="R308" s="47">
        <v>0.375</v>
      </c>
      <c r="S308" s="47">
        <v>0.16666666666666666</v>
      </c>
      <c r="T308" s="19">
        <v>6</v>
      </c>
      <c r="U308" s="277"/>
      <c r="V308" s="3"/>
      <c r="W308" s="47">
        <v>0.34375</v>
      </c>
      <c r="X308" s="47">
        <v>0.20833333333333334</v>
      </c>
      <c r="Y308" s="19">
        <v>7.75</v>
      </c>
      <c r="Z308" s="277"/>
      <c r="AA308" s="29">
        <f t="shared" si="75"/>
        <v>35.25</v>
      </c>
      <c r="AB308" s="298">
        <f t="shared" si="74"/>
        <v>0</v>
      </c>
      <c r="AC308" s="3"/>
      <c r="AD308" s="47">
        <v>0.375</v>
      </c>
      <c r="AE308" s="47">
        <v>0.20833333333333334</v>
      </c>
      <c r="AF308" s="19">
        <v>7</v>
      </c>
      <c r="AG308" s="29">
        <f t="shared" si="76"/>
        <v>7</v>
      </c>
      <c r="AH308" s="3"/>
      <c r="AI308" s="227"/>
      <c r="AK308" s="187"/>
      <c r="AL308" s="187"/>
      <c r="AM308" s="187"/>
      <c r="AN308" s="187"/>
      <c r="AO308" s="187"/>
      <c r="AP308" s="187"/>
    </row>
    <row r="309" spans="2:42" s="1" customFormat="1" ht="14.25">
      <c r="B309" s="13" t="s">
        <v>157</v>
      </c>
      <c r="C309" s="4">
        <v>0</v>
      </c>
      <c r="D309" s="47">
        <v>0</v>
      </c>
      <c r="E309" s="19" t="str">
        <f>TEXT(D309-C309, "h")</f>
        <v>0</v>
      </c>
      <c r="F309" s="277"/>
      <c r="G309" s="3"/>
      <c r="H309" s="47">
        <v>0.35416666666666669</v>
      </c>
      <c r="I309" s="47">
        <v>0.20833333333333334</v>
      </c>
      <c r="J309" s="19">
        <v>7.5</v>
      </c>
      <c r="K309" s="277"/>
      <c r="L309" s="3"/>
      <c r="M309" s="47">
        <v>0.3125</v>
      </c>
      <c r="N309" s="172">
        <v>6.25E-2</v>
      </c>
      <c r="O309" s="19">
        <v>6</v>
      </c>
      <c r="P309" s="277"/>
      <c r="Q309" s="3"/>
      <c r="R309" s="47">
        <v>0.375</v>
      </c>
      <c r="S309" s="47">
        <v>0.16666666666666666</v>
      </c>
      <c r="T309" s="19">
        <v>6</v>
      </c>
      <c r="U309" s="277"/>
      <c r="V309" s="3"/>
      <c r="W309" s="47">
        <v>0.375</v>
      </c>
      <c r="X309" s="47">
        <v>0.20833333333333334</v>
      </c>
      <c r="Y309" s="19">
        <v>7</v>
      </c>
      <c r="Z309" s="277"/>
      <c r="AA309" s="29">
        <f t="shared" si="75"/>
        <v>26.5</v>
      </c>
      <c r="AB309" s="298">
        <f t="shared" si="74"/>
        <v>0</v>
      </c>
      <c r="AC309" s="3"/>
      <c r="AD309" s="4">
        <v>0</v>
      </c>
      <c r="AE309" s="4">
        <v>0</v>
      </c>
      <c r="AF309" s="19">
        <v>0</v>
      </c>
      <c r="AG309" s="29">
        <f t="shared" si="76"/>
        <v>0</v>
      </c>
      <c r="AH309" s="3"/>
      <c r="AI309" s="227"/>
      <c r="AK309" s="187"/>
      <c r="AL309" s="187"/>
      <c r="AM309" s="187"/>
      <c r="AN309" s="187"/>
      <c r="AO309" s="187"/>
      <c r="AP309" s="187"/>
    </row>
    <row r="310" spans="2:42" s="1" customFormat="1" ht="14.25">
      <c r="B310" s="13" t="s">
        <v>47</v>
      </c>
      <c r="C310" s="47">
        <v>0.33333333333333331</v>
      </c>
      <c r="D310" s="47">
        <v>0.20833333333333334</v>
      </c>
      <c r="E310" s="19">
        <v>8</v>
      </c>
      <c r="F310" s="277"/>
      <c r="G310" s="3"/>
      <c r="H310" s="47">
        <v>0.3125</v>
      </c>
      <c r="I310" s="47">
        <v>0.1875</v>
      </c>
      <c r="J310" s="19">
        <v>8</v>
      </c>
      <c r="K310" s="277"/>
      <c r="L310" s="3"/>
      <c r="M310" s="47">
        <v>0.3125</v>
      </c>
      <c r="N310" s="172">
        <v>6.25E-2</v>
      </c>
      <c r="O310" s="19">
        <v>6</v>
      </c>
      <c r="P310" s="277"/>
      <c r="Q310" s="3"/>
      <c r="R310" s="47">
        <v>0.375</v>
      </c>
      <c r="S310" s="47">
        <v>0.16666666666666666</v>
      </c>
      <c r="T310" s="19">
        <v>6</v>
      </c>
      <c r="U310" s="277"/>
      <c r="V310" s="3"/>
      <c r="W310" s="47">
        <v>0.33333333333333331</v>
      </c>
      <c r="X310" s="47">
        <v>0.20833333333333334</v>
      </c>
      <c r="Y310" s="19">
        <v>8</v>
      </c>
      <c r="Z310" s="277"/>
      <c r="AA310" s="29">
        <f t="shared" si="75"/>
        <v>36</v>
      </c>
      <c r="AB310" s="298">
        <f t="shared" si="74"/>
        <v>0</v>
      </c>
      <c r="AC310" s="3"/>
      <c r="AD310" s="47">
        <v>0.40625</v>
      </c>
      <c r="AE310" s="47">
        <v>0.20833333333333334</v>
      </c>
      <c r="AF310" s="19">
        <v>6.25</v>
      </c>
      <c r="AG310" s="29">
        <f t="shared" si="76"/>
        <v>6.25</v>
      </c>
      <c r="AH310" s="3"/>
      <c r="AI310" s="227"/>
      <c r="AK310" s="187"/>
      <c r="AL310" s="187"/>
      <c r="AM310" s="187"/>
      <c r="AN310" s="187"/>
      <c r="AO310" s="187"/>
      <c r="AP310" s="187"/>
    </row>
    <row r="311" spans="2:42" s="1" customFormat="1" ht="14.25">
      <c r="B311" s="13" t="s">
        <v>46</v>
      </c>
      <c r="C311" s="47">
        <v>0.375</v>
      </c>
      <c r="D311" s="47">
        <v>0.20833333333333334</v>
      </c>
      <c r="E311" s="19">
        <v>7</v>
      </c>
      <c r="F311" s="277"/>
      <c r="G311" s="3"/>
      <c r="H311" s="47">
        <v>0.375</v>
      </c>
      <c r="I311" s="47">
        <v>0.20833333333333334</v>
      </c>
      <c r="J311" s="19">
        <v>6</v>
      </c>
      <c r="K311" s="277"/>
      <c r="L311" s="3"/>
      <c r="M311" s="47">
        <v>0.36458333333333331</v>
      </c>
      <c r="N311" s="172">
        <v>6.25E-2</v>
      </c>
      <c r="O311" s="19">
        <v>4.75</v>
      </c>
      <c r="P311" s="277"/>
      <c r="Q311" s="3"/>
      <c r="R311" s="47">
        <v>0.375</v>
      </c>
      <c r="S311" s="47">
        <v>0.16666666666666666</v>
      </c>
      <c r="T311" s="19">
        <v>6</v>
      </c>
      <c r="U311" s="277"/>
      <c r="V311" s="3"/>
      <c r="W311" s="47">
        <v>0.35416666666666669</v>
      </c>
      <c r="X311" s="47">
        <v>0.20833333333333334</v>
      </c>
      <c r="Y311" s="19">
        <v>7.5</v>
      </c>
      <c r="Z311" s="277"/>
      <c r="AA311" s="29">
        <f t="shared" si="75"/>
        <v>31.25</v>
      </c>
      <c r="AB311" s="298">
        <f t="shared" si="74"/>
        <v>0</v>
      </c>
      <c r="AC311" s="3"/>
      <c r="AD311" s="4">
        <v>0</v>
      </c>
      <c r="AE311" s="4">
        <v>0</v>
      </c>
      <c r="AF311" s="19">
        <v>0</v>
      </c>
      <c r="AG311" s="29">
        <f t="shared" si="76"/>
        <v>0</v>
      </c>
      <c r="AH311" s="3"/>
      <c r="AI311" s="227"/>
      <c r="AK311" s="187"/>
      <c r="AL311" s="187"/>
      <c r="AM311" s="187"/>
      <c r="AN311" s="187"/>
      <c r="AO311" s="187"/>
      <c r="AP311" s="187"/>
    </row>
    <row r="312" spans="2:42" s="1" customFormat="1" ht="14.25">
      <c r="B312" s="13" t="s">
        <v>44</v>
      </c>
      <c r="C312" s="16" t="s">
        <v>29</v>
      </c>
      <c r="D312" s="16" t="s">
        <v>29</v>
      </c>
      <c r="E312" s="19">
        <v>6</v>
      </c>
      <c r="F312" s="277"/>
      <c r="G312" s="3"/>
      <c r="H312" s="16" t="s">
        <v>29</v>
      </c>
      <c r="I312" s="16" t="s">
        <v>29</v>
      </c>
      <c r="J312" s="19">
        <v>6</v>
      </c>
      <c r="K312" s="277"/>
      <c r="L312" s="3"/>
      <c r="M312" s="47">
        <v>0.33333333333333331</v>
      </c>
      <c r="N312" s="172">
        <v>6.25E-2</v>
      </c>
      <c r="O312" s="19">
        <v>5.5</v>
      </c>
      <c r="P312" s="277"/>
      <c r="Q312" s="3"/>
      <c r="R312" s="47">
        <v>0.375</v>
      </c>
      <c r="S312" s="47">
        <v>0.16666666666666666</v>
      </c>
      <c r="T312" s="19">
        <v>6</v>
      </c>
      <c r="U312" s="277"/>
      <c r="V312" s="3"/>
      <c r="W312" s="47">
        <v>0.33333333333333331</v>
      </c>
      <c r="X312" s="47">
        <v>0.20833333333333334</v>
      </c>
      <c r="Y312" s="19">
        <v>8</v>
      </c>
      <c r="Z312" s="277"/>
      <c r="AA312" s="29">
        <f>(E312+J312+O312+T312+Y312)</f>
        <v>31.5</v>
      </c>
      <c r="AB312" s="298">
        <f>Z312+U312+P312+K312+F312</f>
        <v>0</v>
      </c>
      <c r="AC312" s="3"/>
      <c r="AD312" s="4">
        <v>0</v>
      </c>
      <c r="AE312" s="4">
        <v>0</v>
      </c>
      <c r="AF312" s="19">
        <v>0</v>
      </c>
      <c r="AG312" s="29">
        <f>AF312</f>
        <v>0</v>
      </c>
      <c r="AH312" s="3"/>
      <c r="AI312" s="227"/>
      <c r="AK312" s="187"/>
      <c r="AL312" s="187"/>
      <c r="AM312" s="187"/>
      <c r="AN312" s="187"/>
      <c r="AO312" s="187"/>
      <c r="AP312" s="187"/>
    </row>
    <row r="313" spans="2:42" s="1" customFormat="1" ht="14.25">
      <c r="B313" s="13" t="s">
        <v>45</v>
      </c>
      <c r="C313" s="16" t="s">
        <v>29</v>
      </c>
      <c r="D313" s="16" t="s">
        <v>29</v>
      </c>
      <c r="E313" s="19">
        <v>6</v>
      </c>
      <c r="F313" s="277"/>
      <c r="G313" s="3"/>
      <c r="H313" s="16" t="s">
        <v>29</v>
      </c>
      <c r="I313" s="16" t="s">
        <v>29</v>
      </c>
      <c r="J313" s="19">
        <v>6</v>
      </c>
      <c r="K313" s="277"/>
      <c r="L313" s="3"/>
      <c r="M313" s="47">
        <v>0.33333333333333331</v>
      </c>
      <c r="N313" s="172">
        <v>6.25E-2</v>
      </c>
      <c r="O313" s="19">
        <v>5.5</v>
      </c>
      <c r="P313" s="277"/>
      <c r="Q313" s="3"/>
      <c r="R313" s="47">
        <v>0.375</v>
      </c>
      <c r="S313" s="47">
        <v>0.16666666666666666</v>
      </c>
      <c r="T313" s="19">
        <v>6</v>
      </c>
      <c r="U313" s="277"/>
      <c r="V313" s="3"/>
      <c r="W313" s="47">
        <v>0.33333333333333331</v>
      </c>
      <c r="X313" s="47">
        <v>0.20833333333333334</v>
      </c>
      <c r="Y313" s="19">
        <v>8</v>
      </c>
      <c r="Z313" s="277"/>
      <c r="AA313" s="29">
        <f>(E313+J313+O313+T313+Y313)</f>
        <v>31.5</v>
      </c>
      <c r="AB313" s="298">
        <f>Z313+U313+P313+K313+F313</f>
        <v>0</v>
      </c>
      <c r="AC313" s="3"/>
      <c r="AD313" s="4">
        <v>0</v>
      </c>
      <c r="AE313" s="4">
        <v>0</v>
      </c>
      <c r="AF313" s="19">
        <v>0</v>
      </c>
      <c r="AG313" s="29">
        <f>AF313</f>
        <v>0</v>
      </c>
      <c r="AH313" s="3"/>
      <c r="AI313" s="227"/>
      <c r="AK313" s="187"/>
      <c r="AL313" s="187"/>
      <c r="AM313" s="187"/>
      <c r="AN313" s="187"/>
      <c r="AO313" s="187"/>
      <c r="AP313" s="187"/>
    </row>
    <row r="314" spans="2:42" s="1" customFormat="1" ht="14.25">
      <c r="B314" s="13" t="s">
        <v>173</v>
      </c>
      <c r="C314" s="16" t="s">
        <v>29</v>
      </c>
      <c r="D314" s="16" t="s">
        <v>29</v>
      </c>
      <c r="E314" s="19">
        <v>6</v>
      </c>
      <c r="F314" s="277"/>
      <c r="G314" s="3"/>
      <c r="H314" s="16" t="s">
        <v>29</v>
      </c>
      <c r="I314" s="16" t="s">
        <v>29</v>
      </c>
      <c r="J314" s="19">
        <v>6</v>
      </c>
      <c r="K314" s="277"/>
      <c r="L314" s="3"/>
      <c r="M314" s="47">
        <v>0.33333333333333331</v>
      </c>
      <c r="N314" s="172">
        <v>6.25E-2</v>
      </c>
      <c r="O314" s="19">
        <v>5.5</v>
      </c>
      <c r="P314" s="277"/>
      <c r="Q314" s="3"/>
      <c r="R314" s="47">
        <v>0.375</v>
      </c>
      <c r="S314" s="47">
        <v>0.16666666666666666</v>
      </c>
      <c r="T314" s="19">
        <v>6</v>
      </c>
      <c r="U314" s="277"/>
      <c r="V314" s="3"/>
      <c r="W314" s="47">
        <v>0.33333333333333331</v>
      </c>
      <c r="X314" s="47">
        <v>0.20833333333333334</v>
      </c>
      <c r="Y314" s="19">
        <v>8</v>
      </c>
      <c r="Z314" s="277"/>
      <c r="AA314" s="29">
        <f>(E314+J314+O314+T314+Y314)</f>
        <v>31.5</v>
      </c>
      <c r="AB314" s="298">
        <f>Z314+U314+P314+K314+F314</f>
        <v>0</v>
      </c>
      <c r="AC314" s="3"/>
      <c r="AD314" s="4">
        <v>0</v>
      </c>
      <c r="AE314" s="4">
        <v>0</v>
      </c>
      <c r="AF314" s="19">
        <v>0</v>
      </c>
      <c r="AG314" s="29">
        <f>AF314</f>
        <v>0</v>
      </c>
      <c r="AH314" s="3"/>
      <c r="AI314" s="227"/>
      <c r="AK314" s="187"/>
      <c r="AL314" s="187"/>
      <c r="AM314" s="187"/>
      <c r="AN314" s="187"/>
      <c r="AO314" s="187"/>
      <c r="AP314" s="187"/>
    </row>
    <row r="315" spans="2:42" s="1" customFormat="1" ht="14.25">
      <c r="B315" s="13" t="s">
        <v>48</v>
      </c>
      <c r="C315" s="16" t="s">
        <v>29</v>
      </c>
      <c r="D315" s="16" t="s">
        <v>29</v>
      </c>
      <c r="E315" s="19">
        <v>6</v>
      </c>
      <c r="F315" s="277"/>
      <c r="G315" s="3"/>
      <c r="H315" s="16" t="s">
        <v>29</v>
      </c>
      <c r="I315" s="16" t="s">
        <v>29</v>
      </c>
      <c r="J315" s="19">
        <v>6</v>
      </c>
      <c r="K315" s="277"/>
      <c r="L315" s="3"/>
      <c r="M315" s="47" t="s">
        <v>29</v>
      </c>
      <c r="N315" s="172" t="s">
        <v>29</v>
      </c>
      <c r="O315" s="19">
        <v>6</v>
      </c>
      <c r="P315" s="277"/>
      <c r="Q315" s="3"/>
      <c r="R315" s="47" t="s">
        <v>29</v>
      </c>
      <c r="S315" s="47" t="s">
        <v>29</v>
      </c>
      <c r="T315" s="19">
        <v>6</v>
      </c>
      <c r="U315" s="277"/>
      <c r="V315" s="3"/>
      <c r="W315" s="47">
        <v>0.33333333333333331</v>
      </c>
      <c r="X315" s="47">
        <v>0.20833333333333334</v>
      </c>
      <c r="Y315" s="19">
        <v>8</v>
      </c>
      <c r="Z315" s="277"/>
      <c r="AA315" s="29">
        <f t="shared" ref="AA315:AA317" si="77">(E315+J315+O315+T315+Y315)</f>
        <v>32</v>
      </c>
      <c r="AB315" s="298">
        <f t="shared" ref="AB315:AB317" si="78">Z315+U315+P315+K315+F315</f>
        <v>0</v>
      </c>
      <c r="AC315" s="3"/>
      <c r="AD315" s="4">
        <v>0</v>
      </c>
      <c r="AE315" s="4">
        <v>0</v>
      </c>
      <c r="AF315" s="19">
        <v>0</v>
      </c>
      <c r="AG315" s="29">
        <f t="shared" ref="AG315:AG317" si="79">AF315</f>
        <v>0</v>
      </c>
      <c r="AH315" s="3"/>
      <c r="AI315" s="227"/>
      <c r="AK315" s="187"/>
      <c r="AL315" s="187"/>
      <c r="AM315" s="187"/>
      <c r="AN315" s="187"/>
      <c r="AO315" s="187"/>
      <c r="AP315" s="187"/>
    </row>
    <row r="316" spans="2:42" s="1" customFormat="1" ht="14.25">
      <c r="B316" s="13" t="s">
        <v>49</v>
      </c>
      <c r="C316" s="16" t="s">
        <v>29</v>
      </c>
      <c r="D316" s="16" t="s">
        <v>29</v>
      </c>
      <c r="E316" s="19">
        <v>6</v>
      </c>
      <c r="F316" s="277"/>
      <c r="G316" s="3"/>
      <c r="H316" s="16" t="s">
        <v>29</v>
      </c>
      <c r="I316" s="16" t="s">
        <v>29</v>
      </c>
      <c r="J316" s="19">
        <v>6</v>
      </c>
      <c r="K316" s="277"/>
      <c r="L316" s="3"/>
      <c r="M316" s="47" t="s">
        <v>29</v>
      </c>
      <c r="N316" s="172" t="s">
        <v>29</v>
      </c>
      <c r="O316" s="19">
        <v>6</v>
      </c>
      <c r="P316" s="277"/>
      <c r="Q316" s="3"/>
      <c r="R316" s="47" t="s">
        <v>29</v>
      </c>
      <c r="S316" s="47" t="s">
        <v>29</v>
      </c>
      <c r="T316" s="19">
        <v>6</v>
      </c>
      <c r="U316" s="277"/>
      <c r="V316" s="3"/>
      <c r="W316" s="47">
        <v>0.375</v>
      </c>
      <c r="X316" s="47">
        <v>0.20833333333333334</v>
      </c>
      <c r="Y316" s="19">
        <v>7</v>
      </c>
      <c r="Z316" s="277"/>
      <c r="AA316" s="29">
        <f t="shared" si="77"/>
        <v>31</v>
      </c>
      <c r="AB316" s="298">
        <f t="shared" si="78"/>
        <v>0</v>
      </c>
      <c r="AC316" s="3"/>
      <c r="AD316" s="4">
        <v>0</v>
      </c>
      <c r="AE316" s="4">
        <v>0</v>
      </c>
      <c r="AF316" s="19">
        <v>0</v>
      </c>
      <c r="AG316" s="29">
        <f t="shared" si="79"/>
        <v>0</v>
      </c>
      <c r="AH316" s="3"/>
      <c r="AI316" s="227"/>
      <c r="AK316" s="187"/>
      <c r="AL316" s="187"/>
      <c r="AM316" s="187"/>
      <c r="AN316" s="187"/>
      <c r="AO316" s="187"/>
      <c r="AP316" s="187"/>
    </row>
    <row r="317" spans="2:42" s="1" customFormat="1" ht="14.25">
      <c r="B317" s="13" t="s">
        <v>54</v>
      </c>
      <c r="C317" s="16" t="s">
        <v>29</v>
      </c>
      <c r="D317" s="16" t="s">
        <v>29</v>
      </c>
      <c r="E317" s="19">
        <v>0</v>
      </c>
      <c r="F317" s="277"/>
      <c r="G317" s="3"/>
      <c r="H317" s="16" t="s">
        <v>29</v>
      </c>
      <c r="I317" s="16" t="s">
        <v>29</v>
      </c>
      <c r="J317" s="19">
        <v>0</v>
      </c>
      <c r="K317" s="277"/>
      <c r="L317" s="3"/>
      <c r="M317" s="16" t="s">
        <v>29</v>
      </c>
      <c r="N317" s="16" t="s">
        <v>29</v>
      </c>
      <c r="O317" s="19">
        <v>0</v>
      </c>
      <c r="P317" s="277"/>
      <c r="Q317" s="3"/>
      <c r="R317" s="4">
        <v>0</v>
      </c>
      <c r="S317" s="4">
        <v>0</v>
      </c>
      <c r="T317" s="19">
        <v>0</v>
      </c>
      <c r="U317" s="277"/>
      <c r="V317" s="3"/>
      <c r="W317" s="4">
        <v>0</v>
      </c>
      <c r="X317" s="4">
        <v>0</v>
      </c>
      <c r="Y317" s="19">
        <v>0</v>
      </c>
      <c r="Z317" s="277"/>
      <c r="AA317" s="29">
        <f t="shared" si="77"/>
        <v>0</v>
      </c>
      <c r="AB317" s="298">
        <f t="shared" si="78"/>
        <v>0</v>
      </c>
      <c r="AC317" s="3"/>
      <c r="AD317" s="47">
        <v>0.39583333333333331</v>
      </c>
      <c r="AE317" s="47">
        <v>0.20833333333333334</v>
      </c>
      <c r="AF317" s="19">
        <v>6.5</v>
      </c>
      <c r="AG317" s="29">
        <f t="shared" si="79"/>
        <v>6.5</v>
      </c>
      <c r="AH317" s="3"/>
      <c r="AI317" s="227"/>
      <c r="AK317" s="187"/>
      <c r="AL317" s="187"/>
      <c r="AM317" s="187"/>
      <c r="AN317" s="187"/>
      <c r="AO317" s="187"/>
      <c r="AP317" s="187"/>
    </row>
    <row r="318" spans="2:42" s="1" customFormat="1" ht="14.25">
      <c r="B318" s="13" t="s">
        <v>55</v>
      </c>
      <c r="C318" s="16" t="s">
        <v>29</v>
      </c>
      <c r="D318" s="16" t="s">
        <v>29</v>
      </c>
      <c r="E318" s="19">
        <v>0</v>
      </c>
      <c r="F318" s="277"/>
      <c r="G318" s="3"/>
      <c r="H318" s="16" t="s">
        <v>29</v>
      </c>
      <c r="I318" s="16" t="s">
        <v>29</v>
      </c>
      <c r="J318" s="19">
        <v>0</v>
      </c>
      <c r="K318" s="277"/>
      <c r="L318" s="3"/>
      <c r="M318" s="16" t="s">
        <v>29</v>
      </c>
      <c r="N318" s="16" t="s">
        <v>29</v>
      </c>
      <c r="O318" s="19">
        <v>0</v>
      </c>
      <c r="P318" s="277"/>
      <c r="Q318" s="3"/>
      <c r="R318" s="4">
        <v>0</v>
      </c>
      <c r="S318" s="4">
        <v>0</v>
      </c>
      <c r="T318" s="19">
        <v>0</v>
      </c>
      <c r="U318" s="277"/>
      <c r="V318" s="3"/>
      <c r="W318" s="4">
        <v>0</v>
      </c>
      <c r="X318" s="4">
        <v>0</v>
      </c>
      <c r="Y318" s="19">
        <v>0</v>
      </c>
      <c r="Z318" s="277"/>
      <c r="AA318" s="29">
        <f t="shared" si="75"/>
        <v>0</v>
      </c>
      <c r="AB318" s="298">
        <f t="shared" si="74"/>
        <v>0</v>
      </c>
      <c r="AC318" s="3"/>
      <c r="AD318" s="47">
        <v>0.375</v>
      </c>
      <c r="AE318" s="47">
        <v>0.20833333333333334</v>
      </c>
      <c r="AF318" s="19">
        <v>7</v>
      </c>
      <c r="AG318" s="29">
        <f t="shared" si="76"/>
        <v>7</v>
      </c>
      <c r="AH318" s="3"/>
      <c r="AI318" s="227"/>
      <c r="AK318" s="187"/>
      <c r="AL318" s="187"/>
      <c r="AM318" s="187"/>
      <c r="AN318" s="187"/>
      <c r="AO318" s="187"/>
      <c r="AP318" s="187"/>
    </row>
    <row r="319" spans="2:42" s="1" customFormat="1" ht="14.25">
      <c r="B319" s="138" t="s">
        <v>167</v>
      </c>
      <c r="C319" s="16" t="s">
        <v>29</v>
      </c>
      <c r="D319" s="16" t="s">
        <v>29</v>
      </c>
      <c r="E319" s="19">
        <v>6</v>
      </c>
      <c r="F319" s="277"/>
      <c r="G319" s="3"/>
      <c r="H319" s="16" t="s">
        <v>29</v>
      </c>
      <c r="I319" s="16" t="s">
        <v>29</v>
      </c>
      <c r="J319" s="19">
        <v>8</v>
      </c>
      <c r="K319" s="277"/>
      <c r="L319" s="3"/>
      <c r="M319" s="16" t="s">
        <v>29</v>
      </c>
      <c r="N319" s="16" t="s">
        <v>29</v>
      </c>
      <c r="O319" s="19">
        <v>8</v>
      </c>
      <c r="P319" s="277"/>
      <c r="Q319" s="3"/>
      <c r="R319" s="16" t="s">
        <v>29</v>
      </c>
      <c r="S319" s="16" t="s">
        <v>29</v>
      </c>
      <c r="T319" s="19">
        <v>8</v>
      </c>
      <c r="U319" s="277"/>
      <c r="V319" s="3"/>
      <c r="W319" s="16" t="s">
        <v>29</v>
      </c>
      <c r="X319" s="16" t="s">
        <v>29</v>
      </c>
      <c r="Y319" s="19">
        <v>8</v>
      </c>
      <c r="Z319" s="277"/>
      <c r="AA319" s="29">
        <f t="shared" ref="AA319:AA321" si="80">(E319+J319+O319+T319+Y319)</f>
        <v>38</v>
      </c>
      <c r="AB319" s="298">
        <f t="shared" si="74"/>
        <v>0</v>
      </c>
      <c r="AC319" s="3"/>
      <c r="AD319" s="4">
        <v>0</v>
      </c>
      <c r="AE319" s="4">
        <v>0</v>
      </c>
      <c r="AF319" s="19">
        <v>0</v>
      </c>
      <c r="AG319" s="29">
        <f t="shared" si="76"/>
        <v>0</v>
      </c>
      <c r="AH319" s="3"/>
      <c r="AI319" s="227"/>
      <c r="AK319" s="187"/>
      <c r="AL319" s="187"/>
      <c r="AM319" s="187"/>
      <c r="AN319" s="187"/>
      <c r="AO319" s="187"/>
      <c r="AP319" s="187"/>
    </row>
    <row r="320" spans="2:42" s="1" customFormat="1" ht="14.25">
      <c r="B320" s="138" t="s">
        <v>53</v>
      </c>
      <c r="C320" s="16" t="s">
        <v>29</v>
      </c>
      <c r="D320" s="16" t="s">
        <v>29</v>
      </c>
      <c r="E320" s="19">
        <v>6</v>
      </c>
      <c r="F320" s="277"/>
      <c r="G320" s="3"/>
      <c r="H320" s="16" t="s">
        <v>29</v>
      </c>
      <c r="I320" s="16" t="s">
        <v>29</v>
      </c>
      <c r="J320" s="19">
        <v>8</v>
      </c>
      <c r="K320" s="277"/>
      <c r="L320" s="3"/>
      <c r="M320" s="16" t="s">
        <v>29</v>
      </c>
      <c r="N320" s="16" t="s">
        <v>29</v>
      </c>
      <c r="O320" s="19">
        <v>8</v>
      </c>
      <c r="P320" s="277"/>
      <c r="Q320" s="3"/>
      <c r="R320" s="16" t="s">
        <v>29</v>
      </c>
      <c r="S320" s="16" t="s">
        <v>29</v>
      </c>
      <c r="T320" s="19">
        <v>8</v>
      </c>
      <c r="U320" s="277"/>
      <c r="V320" s="3"/>
      <c r="W320" s="16" t="s">
        <v>29</v>
      </c>
      <c r="X320" s="16" t="s">
        <v>29</v>
      </c>
      <c r="Y320" s="19">
        <v>8</v>
      </c>
      <c r="Z320" s="277"/>
      <c r="AA320" s="29">
        <f t="shared" si="80"/>
        <v>38</v>
      </c>
      <c r="AB320" s="298">
        <f t="shared" si="74"/>
        <v>0</v>
      </c>
      <c r="AC320" s="3"/>
      <c r="AD320" s="4">
        <v>0</v>
      </c>
      <c r="AE320" s="4">
        <v>0</v>
      </c>
      <c r="AF320" s="19">
        <v>0</v>
      </c>
      <c r="AG320" s="29">
        <f t="shared" si="76"/>
        <v>0</v>
      </c>
      <c r="AH320" s="3"/>
      <c r="AI320" s="227"/>
      <c r="AK320" s="187"/>
      <c r="AL320" s="187"/>
      <c r="AM320" s="187"/>
      <c r="AN320" s="187"/>
      <c r="AO320" s="187"/>
      <c r="AP320" s="187"/>
    </row>
    <row r="321" spans="1:42" s="1" customFormat="1" ht="14.25">
      <c r="B321" s="138" t="s">
        <v>57</v>
      </c>
      <c r="C321" s="16" t="s">
        <v>29</v>
      </c>
      <c r="D321" s="16" t="s">
        <v>29</v>
      </c>
      <c r="E321" s="19">
        <v>0</v>
      </c>
      <c r="F321" s="277"/>
      <c r="G321" s="3"/>
      <c r="H321" s="16" t="s">
        <v>29</v>
      </c>
      <c r="I321" s="16" t="s">
        <v>29</v>
      </c>
      <c r="J321" s="179">
        <v>8</v>
      </c>
      <c r="K321" s="277"/>
      <c r="L321" s="3"/>
      <c r="M321" s="16" t="s">
        <v>29</v>
      </c>
      <c r="N321" s="16" t="s">
        <v>29</v>
      </c>
      <c r="O321" s="179">
        <v>8</v>
      </c>
      <c r="P321" s="277"/>
      <c r="Q321" s="3"/>
      <c r="R321" s="16" t="s">
        <v>29</v>
      </c>
      <c r="S321" s="16" t="s">
        <v>29</v>
      </c>
      <c r="T321" s="179">
        <v>8</v>
      </c>
      <c r="U321" s="277"/>
      <c r="V321" s="3"/>
      <c r="W321" s="16" t="s">
        <v>29</v>
      </c>
      <c r="X321" s="16" t="s">
        <v>29</v>
      </c>
      <c r="Y321" s="178">
        <v>8</v>
      </c>
      <c r="Z321" s="277"/>
      <c r="AA321" s="29">
        <f t="shared" si="80"/>
        <v>32</v>
      </c>
      <c r="AB321" s="298">
        <f t="shared" si="74"/>
        <v>0</v>
      </c>
      <c r="AC321" s="3"/>
      <c r="AD321" s="4">
        <v>0</v>
      </c>
      <c r="AE321" s="4">
        <v>0</v>
      </c>
      <c r="AF321" s="19">
        <v>0</v>
      </c>
      <c r="AG321" s="29">
        <f t="shared" ref="AG321:AG322" si="81">AF321</f>
        <v>0</v>
      </c>
      <c r="AH321" s="3"/>
      <c r="AI321" s="227"/>
      <c r="AK321" s="187"/>
      <c r="AL321" s="187"/>
      <c r="AM321" s="187"/>
      <c r="AN321" s="187"/>
      <c r="AO321" s="187"/>
      <c r="AP321" s="187"/>
    </row>
    <row r="322" spans="1:42" s="1" customFormat="1" ht="14.25">
      <c r="B322" s="138" t="s">
        <v>60</v>
      </c>
      <c r="C322" s="16" t="s">
        <v>29</v>
      </c>
      <c r="D322" s="16" t="s">
        <v>29</v>
      </c>
      <c r="E322" s="19">
        <v>0</v>
      </c>
      <c r="F322" s="277"/>
      <c r="G322" s="3"/>
      <c r="H322" s="16" t="s">
        <v>29</v>
      </c>
      <c r="I322" s="16" t="s">
        <v>29</v>
      </c>
      <c r="J322" s="179">
        <v>8</v>
      </c>
      <c r="K322" s="277"/>
      <c r="L322" s="3"/>
      <c r="M322" s="16" t="s">
        <v>29</v>
      </c>
      <c r="N322" s="16" t="s">
        <v>29</v>
      </c>
      <c r="O322" s="179">
        <v>8</v>
      </c>
      <c r="P322" s="277"/>
      <c r="Q322" s="3"/>
      <c r="R322" s="16" t="s">
        <v>29</v>
      </c>
      <c r="S322" s="16" t="s">
        <v>29</v>
      </c>
      <c r="T322" s="179">
        <v>8</v>
      </c>
      <c r="U322" s="277"/>
      <c r="V322" s="3"/>
      <c r="W322" s="16" t="s">
        <v>29</v>
      </c>
      <c r="X322" s="16" t="s">
        <v>29</v>
      </c>
      <c r="Y322" s="178">
        <v>8</v>
      </c>
      <c r="Z322" s="277"/>
      <c r="AA322" s="29">
        <f>(E322+J322+O322+T322+Y322)</f>
        <v>32</v>
      </c>
      <c r="AB322" s="298">
        <f t="shared" ref="AB322" si="82">Z322+U322+P322+K322+F322</f>
        <v>0</v>
      </c>
      <c r="AC322" s="3"/>
      <c r="AD322" s="4">
        <v>0</v>
      </c>
      <c r="AE322" s="4">
        <v>0</v>
      </c>
      <c r="AF322" s="19">
        <v>0</v>
      </c>
      <c r="AG322" s="29">
        <f t="shared" si="81"/>
        <v>0</v>
      </c>
      <c r="AH322" s="3"/>
      <c r="AI322" s="227"/>
      <c r="AK322" s="187"/>
      <c r="AL322" s="187"/>
      <c r="AM322" s="187"/>
      <c r="AN322" s="187"/>
      <c r="AO322" s="187"/>
      <c r="AP322" s="187"/>
    </row>
    <row r="323" spans="1:42" s="1" customFormat="1">
      <c r="B323" s="64" t="s">
        <v>61</v>
      </c>
      <c r="C323" s="64"/>
      <c r="D323" s="64"/>
      <c r="E323" s="167">
        <f>SUM(E297:E322)</f>
        <v>131</v>
      </c>
      <c r="F323" s="277">
        <f>SUM(F297:F320)</f>
        <v>0</v>
      </c>
      <c r="G323" s="3"/>
      <c r="H323" s="64"/>
      <c r="I323" s="64"/>
      <c r="J323" s="64">
        <f>SUM(J297:J322)</f>
        <v>167</v>
      </c>
      <c r="K323" s="277">
        <f>SUM(K297:K320)</f>
        <v>0</v>
      </c>
      <c r="L323" s="3"/>
      <c r="M323" s="64"/>
      <c r="N323" s="64"/>
      <c r="O323" s="64">
        <f>SUM(O297:O322)</f>
        <v>143</v>
      </c>
      <c r="P323" s="277">
        <f>SUM(P297:P320)</f>
        <v>0</v>
      </c>
      <c r="Q323" s="3"/>
      <c r="R323" s="64"/>
      <c r="S323" s="64"/>
      <c r="T323" s="64">
        <f>SUM(T297:T322)</f>
        <v>122</v>
      </c>
      <c r="U323" s="277">
        <f>SUM(U297:U320)</f>
        <v>0</v>
      </c>
      <c r="V323" s="3"/>
      <c r="W323" s="64"/>
      <c r="X323" s="64"/>
      <c r="Y323" s="64">
        <f>SUM(Y297:Y322)</f>
        <v>134</v>
      </c>
      <c r="Z323" s="277">
        <f>SUM(Z297:Z320)</f>
        <v>0</v>
      </c>
      <c r="AA323" s="247">
        <f>SUM(AA297:AA322)</f>
        <v>697</v>
      </c>
      <c r="AB323" s="298">
        <f>SUM(AB297:AB320)</f>
        <v>0</v>
      </c>
      <c r="AC323" s="3"/>
      <c r="AD323" s="64"/>
      <c r="AE323" s="64"/>
      <c r="AF323" s="64"/>
      <c r="AG323" s="247">
        <f>SUM(AG297:AG320)</f>
        <v>33</v>
      </c>
      <c r="AH323" s="3"/>
      <c r="AI323" s="227"/>
      <c r="AK323" s="187"/>
      <c r="AL323" s="187"/>
      <c r="AM323" s="187"/>
      <c r="AN323" s="187"/>
      <c r="AO323" s="187"/>
      <c r="AP323" s="187"/>
    </row>
    <row r="324" spans="1:42" s="1" customFormat="1">
      <c r="B324" s="63" t="s">
        <v>62</v>
      </c>
      <c r="C324" s="56"/>
      <c r="D324" s="56"/>
      <c r="E324" s="19">
        <v>6</v>
      </c>
      <c r="F324" s="291"/>
      <c r="G324" s="3"/>
      <c r="H324" s="56"/>
      <c r="I324" s="56"/>
      <c r="J324" s="19">
        <v>8</v>
      </c>
      <c r="K324" s="291"/>
      <c r="L324" s="3"/>
      <c r="M324" s="56"/>
      <c r="N324" s="56"/>
      <c r="O324" s="19">
        <v>8</v>
      </c>
      <c r="P324" s="291"/>
      <c r="Q324" s="3"/>
      <c r="R324" s="56"/>
      <c r="S324" s="56"/>
      <c r="T324" s="19">
        <v>8</v>
      </c>
      <c r="U324" s="291"/>
      <c r="V324" s="3"/>
      <c r="W324" s="56"/>
      <c r="X324" s="56"/>
      <c r="Y324" s="19">
        <v>8</v>
      </c>
      <c r="Z324" s="291"/>
      <c r="AA324" s="28">
        <f>SUM(Y324+T324+O324+J324+E324)</f>
        <v>38</v>
      </c>
      <c r="AB324" s="282">
        <f>Z324+U324+P324+K324+F324</f>
        <v>0</v>
      </c>
      <c r="AC324" s="3"/>
      <c r="AD324" s="56"/>
      <c r="AE324" s="56"/>
      <c r="AF324" s="19"/>
      <c r="AG324" s="29">
        <v>0</v>
      </c>
      <c r="AH324" s="3"/>
      <c r="AI324" s="227"/>
      <c r="AK324" s="187"/>
      <c r="AL324" s="187"/>
      <c r="AM324" s="187"/>
      <c r="AN324" s="187"/>
      <c r="AO324" s="187"/>
      <c r="AP324" s="187"/>
    </row>
    <row r="325" spans="1:42" s="1" customFormat="1">
      <c r="B325" s="63" t="s">
        <v>63</v>
      </c>
      <c r="C325" s="56"/>
      <c r="D325" s="56"/>
      <c r="E325" s="19">
        <v>5</v>
      </c>
      <c r="F325" s="291"/>
      <c r="G325" s="60"/>
      <c r="H325" s="56"/>
      <c r="I325" s="56"/>
      <c r="J325" s="19">
        <v>8</v>
      </c>
      <c r="K325" s="291"/>
      <c r="L325" s="60"/>
      <c r="M325" s="56"/>
      <c r="N325" s="56"/>
      <c r="O325" s="19">
        <v>8</v>
      </c>
      <c r="P325" s="291"/>
      <c r="Q325" s="60"/>
      <c r="R325" s="56"/>
      <c r="S325" s="56"/>
      <c r="T325" s="19">
        <v>8</v>
      </c>
      <c r="U325" s="291"/>
      <c r="V325" s="60"/>
      <c r="W325" s="56"/>
      <c r="X325" s="56"/>
      <c r="Y325" s="19">
        <v>8</v>
      </c>
      <c r="Z325" s="291"/>
      <c r="AA325" s="28">
        <f t="shared" ref="AA325:AA327" si="83">SUM(Y325+T325+O325+J325+E325)</f>
        <v>37</v>
      </c>
      <c r="AB325" s="282">
        <f t="shared" ref="AB325:AB327" si="84">Z325+U325+P325+K325+F325</f>
        <v>0</v>
      </c>
      <c r="AC325" s="3"/>
      <c r="AD325" s="56"/>
      <c r="AE325" s="56"/>
      <c r="AF325" s="19"/>
      <c r="AG325" s="29">
        <f>AF325</f>
        <v>0</v>
      </c>
      <c r="AH325" s="3"/>
      <c r="AI325" s="227"/>
      <c r="AK325" s="187"/>
      <c r="AL325" s="187"/>
      <c r="AM325" s="187"/>
      <c r="AN325" s="187"/>
      <c r="AO325" s="187"/>
      <c r="AP325" s="187"/>
    </row>
    <row r="326" spans="1:42" s="1" customFormat="1">
      <c r="B326" s="63" t="s">
        <v>64</v>
      </c>
      <c r="C326" s="56"/>
      <c r="D326" s="56"/>
      <c r="E326" s="19">
        <v>8</v>
      </c>
      <c r="F326" s="291"/>
      <c r="G326" s="60"/>
      <c r="H326" s="56"/>
      <c r="I326" s="56"/>
      <c r="J326" s="19">
        <v>8</v>
      </c>
      <c r="K326" s="291">
        <v>2</v>
      </c>
      <c r="L326" s="60"/>
      <c r="M326" s="56"/>
      <c r="N326" s="56"/>
      <c r="O326" s="19">
        <v>8</v>
      </c>
      <c r="P326" s="291">
        <v>2.25</v>
      </c>
      <c r="Q326" s="60"/>
      <c r="R326" s="56"/>
      <c r="S326" s="56"/>
      <c r="T326" s="19">
        <v>8</v>
      </c>
      <c r="U326" s="291">
        <v>2</v>
      </c>
      <c r="V326" s="60"/>
      <c r="W326" s="56"/>
      <c r="X326" s="56"/>
      <c r="Y326" s="19">
        <v>8</v>
      </c>
      <c r="Z326" s="291">
        <v>1.5</v>
      </c>
      <c r="AA326" s="28">
        <f t="shared" si="83"/>
        <v>40</v>
      </c>
      <c r="AB326" s="282">
        <f>Z326+U326+P326+K326+F326</f>
        <v>7.75</v>
      </c>
      <c r="AC326" s="3"/>
      <c r="AD326" s="56"/>
      <c r="AE326" s="56"/>
      <c r="AF326" s="19">
        <v>2</v>
      </c>
      <c r="AG326" s="29">
        <f>AF326</f>
        <v>2</v>
      </c>
      <c r="AH326" s="3"/>
      <c r="AI326" s="227"/>
      <c r="AK326" s="187"/>
      <c r="AL326" s="187"/>
      <c r="AM326" s="187"/>
      <c r="AN326" s="187"/>
      <c r="AO326" s="187"/>
      <c r="AP326" s="187"/>
    </row>
    <row r="327" spans="1:42" s="1" customFormat="1" ht="14.25" thickBot="1">
      <c r="B327" s="268" t="s">
        <v>65</v>
      </c>
      <c r="C327" s="75"/>
      <c r="D327" s="75"/>
      <c r="E327" s="77">
        <v>0</v>
      </c>
      <c r="F327" s="292"/>
      <c r="G327" s="81"/>
      <c r="H327" s="75"/>
      <c r="I327" s="75"/>
      <c r="J327" s="77">
        <v>0</v>
      </c>
      <c r="K327" s="292"/>
      <c r="L327" s="81"/>
      <c r="M327" s="75"/>
      <c r="N327" s="75"/>
      <c r="O327" s="77">
        <v>0</v>
      </c>
      <c r="P327" s="292"/>
      <c r="Q327" s="81"/>
      <c r="R327" s="75"/>
      <c r="S327" s="75"/>
      <c r="T327" s="77">
        <v>0</v>
      </c>
      <c r="U327" s="292"/>
      <c r="V327" s="81"/>
      <c r="W327" s="75"/>
      <c r="X327" s="75"/>
      <c r="Y327" s="77">
        <v>0</v>
      </c>
      <c r="Z327" s="292"/>
      <c r="AA327" s="80">
        <f t="shared" si="83"/>
        <v>0</v>
      </c>
      <c r="AB327" s="287">
        <f t="shared" si="84"/>
        <v>0</v>
      </c>
      <c r="AC327" s="3"/>
      <c r="AD327" s="75"/>
      <c r="AE327" s="75"/>
      <c r="AF327" s="77"/>
      <c r="AG327" s="276">
        <v>0</v>
      </c>
      <c r="AH327" s="3"/>
      <c r="AI327" s="227"/>
      <c r="AK327" s="187"/>
      <c r="AL327" s="187"/>
      <c r="AM327" s="187"/>
      <c r="AN327" s="187"/>
      <c r="AO327" s="187"/>
      <c r="AP327" s="187"/>
    </row>
    <row r="328" spans="1:42" s="1" customFormat="1" ht="14.25" thickTop="1">
      <c r="B328" s="71" t="s">
        <v>66</v>
      </c>
      <c r="C328" s="68"/>
      <c r="D328" s="68"/>
      <c r="E328" s="71">
        <f>SUM(E324:E327)</f>
        <v>19</v>
      </c>
      <c r="F328" s="72"/>
      <c r="G328" s="72"/>
      <c r="H328" s="68"/>
      <c r="I328" s="68"/>
      <c r="J328" s="347">
        <f>SUM(J324:J327)</f>
        <v>24</v>
      </c>
      <c r="K328" s="348"/>
      <c r="L328" s="348"/>
      <c r="M328" s="349"/>
      <c r="N328" s="349"/>
      <c r="O328" s="347">
        <f>SUM(O324:O327)</f>
        <v>24</v>
      </c>
      <c r="P328" s="348"/>
      <c r="Q328" s="348"/>
      <c r="R328" s="349"/>
      <c r="S328" s="349"/>
      <c r="T328" s="347">
        <f>SUM(T324:T327)</f>
        <v>24</v>
      </c>
      <c r="U328" s="348"/>
      <c r="V328" s="348"/>
      <c r="W328" s="349"/>
      <c r="X328" s="349"/>
      <c r="Y328" s="66">
        <f>SUM(Y324:Y327)</f>
        <v>24</v>
      </c>
      <c r="Z328" s="348"/>
      <c r="AA328" s="247">
        <f>SUM(AA324:AA327)</f>
        <v>115</v>
      </c>
      <c r="AB328" s="247">
        <f>SUM(AB324:AB327)</f>
        <v>7.75</v>
      </c>
      <c r="AC328" s="3"/>
      <c r="AG328" s="247">
        <f>SUM(AG326:AG327)</f>
        <v>2</v>
      </c>
      <c r="AH328" s="3"/>
      <c r="AI328" s="227"/>
      <c r="AK328" s="187"/>
      <c r="AL328" s="187"/>
      <c r="AM328" s="187"/>
      <c r="AN328" s="187"/>
      <c r="AO328" s="187"/>
      <c r="AP328" s="187"/>
    </row>
    <row r="329" spans="1:42" s="1" customFormat="1" ht="13.5" customHeight="1">
      <c r="A329" s="11"/>
      <c r="B329" s="217" t="s">
        <v>67</v>
      </c>
      <c r="C329" s="207">
        <f>C330+C331</f>
        <v>76</v>
      </c>
      <c r="D329" s="208"/>
      <c r="E329" s="209"/>
      <c r="F329" s="209"/>
      <c r="G329" s="208"/>
      <c r="H329" s="209"/>
      <c r="I329" s="209"/>
      <c r="J329" s="209"/>
      <c r="K329" s="209"/>
      <c r="L329" s="208"/>
      <c r="M329" s="208"/>
      <c r="N329" s="208"/>
      <c r="O329" s="208"/>
      <c r="P329" s="209"/>
      <c r="Q329" s="208"/>
      <c r="R329" s="208"/>
      <c r="S329" s="208"/>
      <c r="T329" s="208"/>
      <c r="U329" s="209"/>
      <c r="V329" s="208"/>
      <c r="W329" s="208"/>
      <c r="X329" s="208"/>
      <c r="Y329" s="210"/>
      <c r="Z329" s="209"/>
      <c r="AA329" s="211"/>
      <c r="AB329" s="209"/>
      <c r="AC329" s="211"/>
      <c r="AD329" s="211"/>
      <c r="AE329" s="211"/>
      <c r="AF329" s="211"/>
      <c r="AG329" s="211"/>
      <c r="AH329" s="3"/>
      <c r="AI329" s="227"/>
      <c r="AK329" s="187"/>
      <c r="AL329" s="187"/>
      <c r="AM329" s="187"/>
      <c r="AN329" s="187"/>
      <c r="AO329" s="187"/>
      <c r="AP329" s="187"/>
    </row>
    <row r="330" spans="1:42" s="1" customFormat="1" ht="13.5" customHeight="1">
      <c r="A330" s="11"/>
      <c r="B330" s="238" t="s">
        <v>68</v>
      </c>
      <c r="C330" s="239">
        <f>12+13+18+17+13</f>
        <v>73</v>
      </c>
      <c r="D330" s="208"/>
      <c r="E330" s="209"/>
      <c r="F330" s="209"/>
      <c r="G330" s="208"/>
      <c r="H330" s="209"/>
      <c r="I330" s="209"/>
      <c r="J330" s="209"/>
      <c r="K330" s="209"/>
      <c r="L330" s="208"/>
      <c r="M330" s="208"/>
      <c r="N330" s="208"/>
      <c r="O330" s="208"/>
      <c r="P330" s="209"/>
      <c r="Q330" s="208"/>
      <c r="R330" s="208"/>
      <c r="S330" s="208"/>
      <c r="T330" s="208"/>
      <c r="U330" s="209"/>
      <c r="V330" s="208"/>
      <c r="W330" s="208"/>
      <c r="X330" s="208"/>
      <c r="Y330" s="210"/>
      <c r="Z330" s="209"/>
      <c r="AA330" s="211"/>
      <c r="AB330" s="209"/>
      <c r="AC330" s="211"/>
      <c r="AD330" s="211"/>
      <c r="AE330" s="211"/>
      <c r="AF330" s="211"/>
      <c r="AG330" s="211"/>
      <c r="AH330" s="3"/>
      <c r="AI330" s="227"/>
      <c r="AK330" s="187"/>
      <c r="AL330" s="187"/>
      <c r="AM330" s="187"/>
      <c r="AN330" s="187"/>
      <c r="AO330" s="187"/>
      <c r="AP330" s="187"/>
    </row>
    <row r="331" spans="1:42" s="1" customFormat="1" ht="13.5" customHeight="1">
      <c r="A331" s="11"/>
      <c r="B331" s="238" t="s">
        <v>69</v>
      </c>
      <c r="C331" s="239">
        <f>1+2</f>
        <v>3</v>
      </c>
      <c r="D331" s="208"/>
      <c r="E331" s="209"/>
      <c r="F331" s="209"/>
      <c r="G331" s="208"/>
      <c r="H331" s="209"/>
      <c r="I331" s="209"/>
      <c r="J331" s="209"/>
      <c r="K331" s="209"/>
      <c r="L331" s="208"/>
      <c r="M331" s="208"/>
      <c r="N331" s="208"/>
      <c r="O331" s="208"/>
      <c r="P331" s="209"/>
      <c r="Q331" s="208"/>
      <c r="R331" s="208"/>
      <c r="S331" s="208"/>
      <c r="T331" s="208"/>
      <c r="U331" s="209"/>
      <c r="V331" s="208"/>
      <c r="W331" s="208"/>
      <c r="X331" s="208"/>
      <c r="Y331" s="210"/>
      <c r="Z331" s="209"/>
      <c r="AA331" s="211"/>
      <c r="AB331" s="209"/>
      <c r="AC331" s="211"/>
      <c r="AD331" s="211"/>
      <c r="AE331" s="211"/>
      <c r="AF331" s="211"/>
      <c r="AG331" s="211"/>
      <c r="AH331" s="3"/>
      <c r="AI331" s="227"/>
      <c r="AK331" s="187"/>
      <c r="AL331" s="187"/>
      <c r="AM331" s="187"/>
      <c r="AN331" s="187"/>
      <c r="AO331" s="187"/>
      <c r="AP331" s="187"/>
    </row>
    <row r="332" spans="1:42" s="1" customFormat="1" ht="4.5" customHeight="1">
      <c r="A332" s="11"/>
      <c r="B332" s="218"/>
      <c r="C332" s="219"/>
      <c r="D332" s="220"/>
      <c r="E332" s="221"/>
      <c r="F332" s="221"/>
      <c r="G332" s="220"/>
      <c r="H332" s="221"/>
      <c r="I332" s="221"/>
      <c r="J332" s="221"/>
      <c r="K332" s="221"/>
      <c r="L332" s="220"/>
      <c r="M332" s="220"/>
      <c r="N332" s="220"/>
      <c r="O332" s="220"/>
      <c r="P332" s="221"/>
      <c r="Q332" s="220"/>
      <c r="R332" s="220"/>
      <c r="S332" s="220"/>
      <c r="T332" s="220"/>
      <c r="U332" s="221"/>
      <c r="V332" s="220"/>
      <c r="W332" s="220"/>
      <c r="X332" s="220"/>
      <c r="Y332" s="222"/>
      <c r="Z332" s="221"/>
      <c r="AA332" s="223"/>
      <c r="AB332" s="221"/>
      <c r="AC332" s="3"/>
      <c r="AD332" s="168"/>
      <c r="AH332" s="3"/>
      <c r="AI332" s="227"/>
      <c r="AK332" s="187"/>
      <c r="AL332" s="187"/>
      <c r="AM332" s="187"/>
      <c r="AN332" s="187"/>
      <c r="AO332" s="187"/>
      <c r="AP332" s="187"/>
    </row>
    <row r="333" spans="1:42" s="227" customFormat="1" ht="4.5" customHeight="1">
      <c r="A333" s="228"/>
      <c r="B333" s="229"/>
      <c r="C333" s="230"/>
      <c r="D333" s="231"/>
      <c r="E333" s="232"/>
      <c r="F333" s="232"/>
      <c r="G333" s="231"/>
      <c r="H333" s="232"/>
      <c r="I333" s="232"/>
      <c r="J333" s="232"/>
      <c r="K333" s="232"/>
      <c r="L333" s="231"/>
      <c r="M333" s="231"/>
      <c r="N333" s="231"/>
      <c r="O333" s="231"/>
      <c r="P333" s="232"/>
      <c r="Q333" s="231"/>
      <c r="R333" s="231"/>
      <c r="S333" s="231"/>
      <c r="T333" s="231"/>
      <c r="U333" s="232"/>
      <c r="V333" s="231"/>
      <c r="W333" s="231"/>
      <c r="X333" s="231"/>
      <c r="Y333" s="233"/>
      <c r="Z333" s="232"/>
      <c r="AA333" s="234"/>
      <c r="AB333" s="232"/>
      <c r="AC333" s="235"/>
      <c r="AD333" s="236"/>
      <c r="AH333" s="235"/>
    </row>
    <row r="334" spans="1:42" s="187" customFormat="1" ht="4.5" customHeight="1">
      <c r="A334" s="224"/>
      <c r="B334" s="214"/>
      <c r="C334" s="215"/>
      <c r="D334" s="215"/>
      <c r="E334" s="214"/>
      <c r="F334" s="214"/>
      <c r="G334" s="215"/>
      <c r="H334" s="214"/>
      <c r="I334" s="214"/>
      <c r="J334" s="214"/>
      <c r="K334" s="214"/>
      <c r="L334" s="215"/>
      <c r="M334" s="215"/>
      <c r="N334" s="215"/>
      <c r="O334" s="215"/>
      <c r="P334" s="214"/>
      <c r="Q334" s="215"/>
      <c r="R334" s="215"/>
      <c r="S334" s="215"/>
      <c r="T334" s="215"/>
      <c r="U334" s="214"/>
      <c r="V334" s="215"/>
      <c r="W334" s="215"/>
      <c r="X334" s="215"/>
      <c r="Y334" s="216"/>
      <c r="Z334" s="214"/>
      <c r="AA334" s="225"/>
      <c r="AB334" s="214"/>
      <c r="AC334" s="226"/>
      <c r="AH334" s="226"/>
      <c r="AI334" s="227"/>
    </row>
    <row r="335" spans="1:42" s="1" customFormat="1">
      <c r="B335" s="1518" t="s">
        <v>18</v>
      </c>
      <c r="C335" s="1524">
        <v>45145</v>
      </c>
      <c r="D335" s="1524"/>
      <c r="E335" s="1524"/>
      <c r="F335" s="1524"/>
      <c r="G335" s="22"/>
      <c r="H335" s="1524">
        <v>45146</v>
      </c>
      <c r="I335" s="1524"/>
      <c r="J335" s="1524"/>
      <c r="K335" s="1524"/>
      <c r="L335" s="22"/>
      <c r="M335" s="1524">
        <v>45147</v>
      </c>
      <c r="N335" s="1524"/>
      <c r="O335" s="1524"/>
      <c r="P335" s="1524"/>
      <c r="Q335" s="22"/>
      <c r="R335" s="1524">
        <v>45148</v>
      </c>
      <c r="S335" s="1524"/>
      <c r="T335" s="1524"/>
      <c r="U335" s="1524"/>
      <c r="V335" s="22"/>
      <c r="W335" s="1524">
        <v>45149</v>
      </c>
      <c r="X335" s="1524"/>
      <c r="Y335" s="1524"/>
      <c r="Z335" s="1524"/>
      <c r="AA335" s="1517" t="s">
        <v>19</v>
      </c>
      <c r="AB335" s="1517" t="s">
        <v>20</v>
      </c>
      <c r="AC335" s="3"/>
      <c r="AD335" s="1524">
        <v>45150</v>
      </c>
      <c r="AE335" s="1524"/>
      <c r="AF335" s="1524"/>
      <c r="AG335" s="1517" t="s">
        <v>21</v>
      </c>
      <c r="AH335" s="3"/>
      <c r="AI335" s="227"/>
      <c r="AK335" s="194" t="s">
        <v>174</v>
      </c>
      <c r="AL335" s="195"/>
      <c r="AM335" s="195"/>
      <c r="AN335" s="195"/>
      <c r="AO335" s="195"/>
      <c r="AP335" s="195"/>
    </row>
    <row r="336" spans="1:42" s="176" customFormat="1" ht="14.25">
      <c r="B336" s="1518"/>
      <c r="C336" s="21" t="s">
        <v>23</v>
      </c>
      <c r="D336" s="21" t="s">
        <v>24</v>
      </c>
      <c r="E336" s="205" t="s">
        <v>25</v>
      </c>
      <c r="F336" s="18" t="s">
        <v>14</v>
      </c>
      <c r="G336" s="3"/>
      <c r="H336" s="21" t="s">
        <v>23</v>
      </c>
      <c r="I336" s="21" t="s">
        <v>24</v>
      </c>
      <c r="J336" s="18" t="s">
        <v>25</v>
      </c>
      <c r="K336" s="18" t="s">
        <v>14</v>
      </c>
      <c r="L336" s="3"/>
      <c r="M336" s="21" t="s">
        <v>23</v>
      </c>
      <c r="N336" s="21" t="s">
        <v>24</v>
      </c>
      <c r="O336" s="18" t="s">
        <v>25</v>
      </c>
      <c r="P336" s="18" t="s">
        <v>14</v>
      </c>
      <c r="Q336" s="3"/>
      <c r="R336" s="21" t="s">
        <v>23</v>
      </c>
      <c r="S336" s="21" t="s">
        <v>24</v>
      </c>
      <c r="T336" s="18" t="s">
        <v>25</v>
      </c>
      <c r="U336" s="18" t="s">
        <v>14</v>
      </c>
      <c r="V336" s="3"/>
      <c r="W336" s="21" t="s">
        <v>23</v>
      </c>
      <c r="X336" s="21" t="s">
        <v>24</v>
      </c>
      <c r="Y336" s="18" t="s">
        <v>25</v>
      </c>
      <c r="Z336" s="18" t="s">
        <v>14</v>
      </c>
      <c r="AA336" s="1523"/>
      <c r="AB336" s="1517"/>
      <c r="AC336" s="3"/>
      <c r="AD336" s="21" t="s">
        <v>23</v>
      </c>
      <c r="AE336" s="21" t="s">
        <v>24</v>
      </c>
      <c r="AF336" s="18" t="s">
        <v>25</v>
      </c>
      <c r="AG336" s="1523"/>
      <c r="AH336" s="174"/>
      <c r="AI336" s="257"/>
      <c r="AK336" s="188" t="s">
        <v>26</v>
      </c>
      <c r="AL336" s="190">
        <f>AA363</f>
        <v>732</v>
      </c>
      <c r="AM336" s="187"/>
      <c r="AN336" s="187"/>
      <c r="AO336" s="187"/>
      <c r="AP336" s="187"/>
    </row>
    <row r="337" spans="2:42" s="176" customFormat="1" ht="14.25">
      <c r="B337" s="171" t="s">
        <v>141</v>
      </c>
      <c r="C337" s="47">
        <v>0.40625</v>
      </c>
      <c r="D337" s="47">
        <v>0.20833333333333334</v>
      </c>
      <c r="E337" s="19">
        <v>6.25</v>
      </c>
      <c r="F337" s="277"/>
      <c r="G337" s="174"/>
      <c r="H337" s="172">
        <v>0</v>
      </c>
      <c r="I337" s="172">
        <v>0</v>
      </c>
      <c r="J337" s="173">
        <v>0</v>
      </c>
      <c r="K337" s="277"/>
      <c r="L337" s="174"/>
      <c r="M337" s="172">
        <v>0</v>
      </c>
      <c r="N337" s="172">
        <v>0</v>
      </c>
      <c r="O337" s="173">
        <v>0</v>
      </c>
      <c r="P337" s="277"/>
      <c r="Q337" s="174"/>
      <c r="R337" s="172">
        <v>0</v>
      </c>
      <c r="S337" s="172">
        <v>0</v>
      </c>
      <c r="T337" s="173"/>
      <c r="U337" s="277"/>
      <c r="V337" s="174"/>
      <c r="W337" s="172">
        <v>0</v>
      </c>
      <c r="X337" s="172">
        <v>0</v>
      </c>
      <c r="Y337" s="173">
        <v>0</v>
      </c>
      <c r="Z337" s="277"/>
      <c r="AA337" s="28">
        <f>(E337+J337+O337+T337+Y337)</f>
        <v>6.25</v>
      </c>
      <c r="AB337" s="298">
        <f>Z337+U337+P337+K337+F337</f>
        <v>0</v>
      </c>
      <c r="AC337" s="174"/>
      <c r="AD337" s="175">
        <v>0</v>
      </c>
      <c r="AE337" s="175">
        <v>0</v>
      </c>
      <c r="AF337" s="173">
        <v>0</v>
      </c>
      <c r="AG337" s="183">
        <f t="shared" ref="AG337:AG349" si="85">AF337</f>
        <v>0</v>
      </c>
      <c r="AH337" s="174"/>
      <c r="AI337" s="257"/>
      <c r="AK337" s="188" t="s">
        <v>30</v>
      </c>
      <c r="AL337" s="190">
        <f>AB363</f>
        <v>1</v>
      </c>
      <c r="AM337" s="187"/>
      <c r="AN337" s="187"/>
      <c r="AO337" s="187"/>
      <c r="AP337" s="187"/>
    </row>
    <row r="338" spans="2:42" s="176" customFormat="1" ht="14.25">
      <c r="B338" s="318" t="s">
        <v>142</v>
      </c>
      <c r="C338" s="61">
        <v>0.41666666666666669</v>
      </c>
      <c r="D338" s="47">
        <v>0.20833333333333334</v>
      </c>
      <c r="E338" s="319">
        <v>6</v>
      </c>
      <c r="F338" s="320"/>
      <c r="G338" s="3"/>
      <c r="H338" s="47">
        <v>0.42708333333333331</v>
      </c>
      <c r="I338" s="47">
        <v>0.20833333333333334</v>
      </c>
      <c r="J338" s="319">
        <v>5.75</v>
      </c>
      <c r="K338" s="320"/>
      <c r="L338" s="3"/>
      <c r="M338" s="47">
        <v>0</v>
      </c>
      <c r="N338" s="47">
        <v>0</v>
      </c>
      <c r="O338" s="319">
        <v>0</v>
      </c>
      <c r="P338" s="320"/>
      <c r="Q338" s="3"/>
      <c r="R338" s="47">
        <v>0.41666666666666669</v>
      </c>
      <c r="S338" s="172">
        <v>0.20833333333333334</v>
      </c>
      <c r="T338" s="173">
        <v>6</v>
      </c>
      <c r="U338" s="277"/>
      <c r="V338" s="174"/>
      <c r="W338" s="326">
        <v>0</v>
      </c>
      <c r="X338" s="172">
        <v>0</v>
      </c>
      <c r="Y338" s="173">
        <v>0</v>
      </c>
      <c r="Z338" s="277"/>
      <c r="AA338" s="28">
        <f>(E338+J338+O338+T338+Y338)</f>
        <v>17.75</v>
      </c>
      <c r="AB338" s="298">
        <f t="shared" ref="AB338:AB349" si="86">Z338+U338+P338+K338+F338</f>
        <v>0</v>
      </c>
      <c r="AC338" s="174"/>
      <c r="AD338" s="175">
        <v>0</v>
      </c>
      <c r="AE338" s="175">
        <v>0</v>
      </c>
      <c r="AF338" s="173">
        <v>0</v>
      </c>
      <c r="AG338" s="28">
        <f t="shared" si="85"/>
        <v>0</v>
      </c>
      <c r="AH338" s="174"/>
      <c r="AI338" s="257"/>
      <c r="AK338" s="188" t="s">
        <v>32</v>
      </c>
      <c r="AL338" s="196">
        <f>AG363</f>
        <v>32.75</v>
      </c>
      <c r="AM338" s="187"/>
      <c r="AN338" s="187"/>
      <c r="AO338" s="187"/>
      <c r="AP338" s="187"/>
    </row>
    <row r="339" spans="2:42" s="176" customFormat="1" ht="14.25">
      <c r="B339" s="171" t="s">
        <v>31</v>
      </c>
      <c r="C339" s="172">
        <v>0.39583333333333331</v>
      </c>
      <c r="D339" s="172">
        <v>0.20833333333333334</v>
      </c>
      <c r="E339" s="173">
        <v>6.5</v>
      </c>
      <c r="F339" s="277"/>
      <c r="G339" s="174"/>
      <c r="H339" s="315">
        <v>0.40625</v>
      </c>
      <c r="I339" s="172">
        <v>0.20833333333333334</v>
      </c>
      <c r="J339" s="173">
        <v>6.25</v>
      </c>
      <c r="K339" s="277"/>
      <c r="L339" s="174"/>
      <c r="M339" s="172">
        <v>0.38541666666666669</v>
      </c>
      <c r="N339" s="172">
        <v>0.20833333333333334</v>
      </c>
      <c r="O339" s="173">
        <v>6.75</v>
      </c>
      <c r="P339" s="277"/>
      <c r="Q339" s="174"/>
      <c r="R339" s="172">
        <v>0.34375</v>
      </c>
      <c r="S339" s="172">
        <v>0.20833333333333334</v>
      </c>
      <c r="T339" s="173">
        <v>7.75</v>
      </c>
      <c r="U339" s="277"/>
      <c r="V339" s="174"/>
      <c r="W339" s="172">
        <v>0.34375</v>
      </c>
      <c r="X339" s="172">
        <v>0.20833333333333334</v>
      </c>
      <c r="Y339" s="173">
        <v>7.75</v>
      </c>
      <c r="Z339" s="277"/>
      <c r="AA339" s="28">
        <f>(E339+J339+O339+T339+Y339)</f>
        <v>35</v>
      </c>
      <c r="AB339" s="298">
        <f t="shared" si="86"/>
        <v>0</v>
      </c>
      <c r="AC339" s="174"/>
      <c r="AD339" s="175">
        <v>0</v>
      </c>
      <c r="AE339" s="175">
        <v>0</v>
      </c>
      <c r="AF339" s="173">
        <v>0</v>
      </c>
      <c r="AG339" s="28">
        <f t="shared" si="85"/>
        <v>0</v>
      </c>
      <c r="AH339" s="174"/>
      <c r="AI339" s="257"/>
      <c r="AK339" s="188" t="s">
        <v>145</v>
      </c>
      <c r="AL339" s="196">
        <f>AB368</f>
        <v>7.75</v>
      </c>
      <c r="AM339" s="187"/>
      <c r="AN339" s="187"/>
      <c r="AO339" s="187"/>
      <c r="AP339" s="187"/>
    </row>
    <row r="340" spans="2:42" s="1" customFormat="1" ht="14.25">
      <c r="B340" s="171" t="s">
        <v>33</v>
      </c>
      <c r="C340" s="172">
        <v>0.33333333333333331</v>
      </c>
      <c r="D340" s="172">
        <v>0.20833333333333334</v>
      </c>
      <c r="E340" s="173">
        <v>8</v>
      </c>
      <c r="F340" s="277"/>
      <c r="G340" s="174"/>
      <c r="H340" s="172">
        <v>0.35416666666666669</v>
      </c>
      <c r="I340" s="172">
        <v>0.20833333333333334</v>
      </c>
      <c r="J340" s="173">
        <v>7.5</v>
      </c>
      <c r="K340" s="277"/>
      <c r="L340" s="174"/>
      <c r="M340" s="172">
        <v>0.33333333333333331</v>
      </c>
      <c r="N340" s="172">
        <v>0.20833333333333334</v>
      </c>
      <c r="O340" s="173">
        <v>8</v>
      </c>
      <c r="P340" s="277"/>
      <c r="Q340" s="174"/>
      <c r="R340" s="172">
        <v>0.34375</v>
      </c>
      <c r="S340" s="172">
        <v>0.20833333333333334</v>
      </c>
      <c r="T340" s="173">
        <v>7.75</v>
      </c>
      <c r="U340" s="277"/>
      <c r="V340" s="174"/>
      <c r="W340" s="172">
        <v>0.33333333333333331</v>
      </c>
      <c r="X340" s="172">
        <v>0.20833333333333334</v>
      </c>
      <c r="Y340" s="173">
        <v>8</v>
      </c>
      <c r="Z340" s="277"/>
      <c r="AA340" s="28">
        <f>(E340+J340+O340+T340+Y340)</f>
        <v>39.25</v>
      </c>
      <c r="AB340" s="298">
        <f t="shared" si="86"/>
        <v>0</v>
      </c>
      <c r="AC340" s="174"/>
      <c r="AD340" s="175">
        <v>0</v>
      </c>
      <c r="AE340" s="175">
        <v>0</v>
      </c>
      <c r="AF340" s="173">
        <v>0</v>
      </c>
      <c r="AG340" s="28">
        <f t="shared" si="85"/>
        <v>0</v>
      </c>
      <c r="AH340" s="3"/>
      <c r="AI340" s="227"/>
      <c r="AK340" s="188" t="s">
        <v>34</v>
      </c>
      <c r="AL340" s="196">
        <f>AA368</f>
        <v>140</v>
      </c>
      <c r="AM340" s="187"/>
      <c r="AN340" s="187"/>
      <c r="AO340" s="187"/>
      <c r="AP340" s="187"/>
    </row>
    <row r="341" spans="2:42" s="1" customFormat="1" ht="14.25">
      <c r="B341" s="13" t="s">
        <v>129</v>
      </c>
      <c r="C341" s="47">
        <v>0.36458333333333331</v>
      </c>
      <c r="D341" s="314">
        <v>0.20833333333333334</v>
      </c>
      <c r="E341" s="19">
        <v>7.25</v>
      </c>
      <c r="F341" s="277"/>
      <c r="G341" s="3"/>
      <c r="H341" s="47">
        <v>0.35416666666666669</v>
      </c>
      <c r="I341" s="47">
        <v>0.20833333333333334</v>
      </c>
      <c r="J341" s="19">
        <v>7.5</v>
      </c>
      <c r="K341" s="277"/>
      <c r="L341" s="3"/>
      <c r="M341" s="47">
        <v>0.35416666666666669</v>
      </c>
      <c r="N341" s="47">
        <v>0.20833333333333334</v>
      </c>
      <c r="O341" s="19">
        <v>7.5</v>
      </c>
      <c r="P341" s="277"/>
      <c r="Q341" s="3"/>
      <c r="R341" s="47">
        <v>0.36458333333333331</v>
      </c>
      <c r="S341" s="47">
        <v>0.20833333333333334</v>
      </c>
      <c r="T341" s="19">
        <v>7.25</v>
      </c>
      <c r="U341" s="277"/>
      <c r="V341" s="3"/>
      <c r="W341" s="47">
        <v>0.375</v>
      </c>
      <c r="X341" s="47">
        <v>0.20833333333333334</v>
      </c>
      <c r="Y341" s="19">
        <v>7</v>
      </c>
      <c r="Z341" s="277"/>
      <c r="AA341" s="29">
        <f t="shared" ref="AA341:AA349" si="87">(E341+J341+O341+T341+Y341)</f>
        <v>36.5</v>
      </c>
      <c r="AB341" s="298">
        <f t="shared" si="86"/>
        <v>0</v>
      </c>
      <c r="AC341" s="3"/>
      <c r="AD341" s="4">
        <v>0</v>
      </c>
      <c r="AE341" s="4">
        <v>0</v>
      </c>
      <c r="AF341" s="19">
        <v>0</v>
      </c>
      <c r="AG341" s="29">
        <f t="shared" si="85"/>
        <v>0</v>
      </c>
      <c r="AH341" s="3"/>
      <c r="AI341" s="227"/>
      <c r="AK341" s="188" t="s">
        <v>38</v>
      </c>
      <c r="AL341" s="190">
        <f>AG368</f>
        <v>1</v>
      </c>
      <c r="AM341" s="191"/>
      <c r="AN341" s="191"/>
      <c r="AO341" s="191"/>
      <c r="AP341" s="191"/>
    </row>
    <row r="342" spans="2:42" s="1" customFormat="1" ht="14.25">
      <c r="B342" s="13" t="s">
        <v>35</v>
      </c>
      <c r="C342" s="47">
        <v>0.375</v>
      </c>
      <c r="D342" s="314">
        <v>0.20833333333333334</v>
      </c>
      <c r="E342" s="19">
        <v>7</v>
      </c>
      <c r="F342" s="277"/>
      <c r="G342" s="3"/>
      <c r="H342" s="314">
        <v>0.40625</v>
      </c>
      <c r="I342" s="47">
        <v>0.20833333333333334</v>
      </c>
      <c r="J342" s="19">
        <v>6.25</v>
      </c>
      <c r="K342" s="277"/>
      <c r="L342" s="3"/>
      <c r="M342" s="314">
        <v>0.38541666666666669</v>
      </c>
      <c r="N342" s="47">
        <v>0.20833333333333334</v>
      </c>
      <c r="O342" s="19">
        <v>6.75</v>
      </c>
      <c r="P342" s="277"/>
      <c r="Q342" s="3"/>
      <c r="R342" s="47">
        <v>0.36458333333333331</v>
      </c>
      <c r="S342" s="47">
        <v>0.20833333333333334</v>
      </c>
      <c r="T342" s="19">
        <v>7.25</v>
      </c>
      <c r="U342" s="277"/>
      <c r="V342" s="3"/>
      <c r="W342" s="327">
        <v>0.39583333333333331</v>
      </c>
      <c r="X342" s="47">
        <v>0.20833333333333334</v>
      </c>
      <c r="Y342" s="19">
        <v>6.5</v>
      </c>
      <c r="Z342" s="277"/>
      <c r="AA342" s="29">
        <f t="shared" si="87"/>
        <v>33.75</v>
      </c>
      <c r="AB342" s="298">
        <f t="shared" si="86"/>
        <v>0</v>
      </c>
      <c r="AC342" s="3"/>
      <c r="AD342" s="47">
        <v>0.40625</v>
      </c>
      <c r="AE342" s="47">
        <v>0.20833333333333334</v>
      </c>
      <c r="AF342" s="19">
        <v>6.25</v>
      </c>
      <c r="AG342" s="29">
        <f t="shared" si="85"/>
        <v>6.25</v>
      </c>
      <c r="AH342" s="3"/>
      <c r="AI342" s="227"/>
      <c r="AK342" s="188" t="s">
        <v>41</v>
      </c>
      <c r="AL342" s="189">
        <f>C369</f>
        <v>87</v>
      </c>
      <c r="AM342" s="187"/>
      <c r="AN342" s="187"/>
      <c r="AO342" s="187"/>
      <c r="AP342" s="187"/>
    </row>
    <row r="343" spans="2:42" s="1" customFormat="1" ht="14.25">
      <c r="B343" s="13" t="s">
        <v>37</v>
      </c>
      <c r="C343" s="47">
        <v>0.40625</v>
      </c>
      <c r="D343" s="314">
        <v>0.20833333333333334</v>
      </c>
      <c r="E343" s="19">
        <v>6.25</v>
      </c>
      <c r="F343" s="277"/>
      <c r="G343" s="3"/>
      <c r="H343" s="314">
        <v>0.38541666666666669</v>
      </c>
      <c r="I343" s="47">
        <v>0.20833333333333334</v>
      </c>
      <c r="J343" s="19">
        <v>6.75</v>
      </c>
      <c r="K343" s="277"/>
      <c r="L343" s="3"/>
      <c r="M343" s="314">
        <v>0.38541666666666669</v>
      </c>
      <c r="N343" s="47">
        <v>0.20833333333333334</v>
      </c>
      <c r="O343" s="19">
        <v>6.75</v>
      </c>
      <c r="P343" s="277"/>
      <c r="Q343" s="3"/>
      <c r="R343" s="47">
        <v>0.36458333333333331</v>
      </c>
      <c r="S343" s="47">
        <v>0.20833333333333334</v>
      </c>
      <c r="T343" s="19">
        <v>7.25</v>
      </c>
      <c r="U343" s="277"/>
      <c r="V343" s="3"/>
      <c r="W343" s="47">
        <v>0</v>
      </c>
      <c r="X343" s="47">
        <v>0</v>
      </c>
      <c r="Y343" s="19">
        <v>0</v>
      </c>
      <c r="Z343" s="277"/>
      <c r="AA343" s="29">
        <f t="shared" si="87"/>
        <v>27</v>
      </c>
      <c r="AB343" s="298">
        <f t="shared" si="86"/>
        <v>0</v>
      </c>
      <c r="AC343" s="3"/>
      <c r="AD343" s="4">
        <v>0</v>
      </c>
      <c r="AE343" s="4">
        <v>0</v>
      </c>
      <c r="AF343" s="19">
        <v>0</v>
      </c>
      <c r="AG343" s="29">
        <f t="shared" si="85"/>
        <v>0</v>
      </c>
      <c r="AH343" s="3"/>
      <c r="AI343" s="227"/>
      <c r="AK343" s="187"/>
      <c r="AL343" s="187"/>
      <c r="AM343" s="187"/>
      <c r="AN343" s="187"/>
      <c r="AO343" s="187"/>
      <c r="AP343" s="187"/>
    </row>
    <row r="344" spans="2:42" s="1" customFormat="1" ht="14.25">
      <c r="B344" s="13" t="s">
        <v>39</v>
      </c>
      <c r="C344" s="47">
        <v>0.39583333333333331</v>
      </c>
      <c r="D344" s="314">
        <v>0.20833333333333334</v>
      </c>
      <c r="E344" s="19">
        <v>6.5</v>
      </c>
      <c r="F344" s="277"/>
      <c r="G344" s="3"/>
      <c r="H344" s="314">
        <v>0.40625</v>
      </c>
      <c r="I344" s="47">
        <v>0.20833333333333334</v>
      </c>
      <c r="J344" s="19">
        <v>6.25</v>
      </c>
      <c r="K344" s="277"/>
      <c r="L344" s="3"/>
      <c r="M344" s="314">
        <v>0</v>
      </c>
      <c r="N344" s="172">
        <v>0</v>
      </c>
      <c r="O344" s="19">
        <v>0</v>
      </c>
      <c r="P344" s="277"/>
      <c r="Q344" s="3"/>
      <c r="R344" s="47">
        <v>0.39583333333333331</v>
      </c>
      <c r="S344" s="47">
        <v>0.20833333333333334</v>
      </c>
      <c r="T344" s="19">
        <v>6.5</v>
      </c>
      <c r="U344" s="277"/>
      <c r="V344" s="3"/>
      <c r="W344" s="326">
        <v>0.40625</v>
      </c>
      <c r="X344" s="47">
        <v>0.20833333333333334</v>
      </c>
      <c r="Y344" s="19">
        <v>6.25</v>
      </c>
      <c r="Z344" s="277"/>
      <c r="AA344" s="29">
        <f t="shared" si="87"/>
        <v>25.5</v>
      </c>
      <c r="AB344" s="298">
        <f t="shared" si="86"/>
        <v>0</v>
      </c>
      <c r="AC344" s="3"/>
      <c r="AD344" s="4">
        <v>0</v>
      </c>
      <c r="AE344" s="4">
        <v>0</v>
      </c>
      <c r="AF344" s="19">
        <v>0</v>
      </c>
      <c r="AG344" s="29">
        <f t="shared" si="85"/>
        <v>0</v>
      </c>
      <c r="AH344" s="3"/>
      <c r="AI344" s="227"/>
      <c r="AK344" s="187"/>
      <c r="AL344" s="187"/>
      <c r="AM344" s="187"/>
      <c r="AN344" s="187"/>
      <c r="AO344" s="187"/>
      <c r="AP344" s="187"/>
    </row>
    <row r="345" spans="2:42" s="1" customFormat="1" ht="14.25">
      <c r="B345" s="164" t="s">
        <v>40</v>
      </c>
      <c r="C345" s="47">
        <v>0</v>
      </c>
      <c r="D345" s="47">
        <v>0</v>
      </c>
      <c r="E345" s="19">
        <v>0</v>
      </c>
      <c r="F345" s="277"/>
      <c r="G345" s="3"/>
      <c r="H345" s="47">
        <v>0.33333333333333331</v>
      </c>
      <c r="I345" s="47">
        <v>0.20833333333333334</v>
      </c>
      <c r="J345" s="19">
        <v>8</v>
      </c>
      <c r="K345" s="277"/>
      <c r="L345" s="3"/>
      <c r="M345" s="314">
        <v>0.33333333333333331</v>
      </c>
      <c r="N345" s="47">
        <v>0.20833333333333334</v>
      </c>
      <c r="O345" s="19">
        <v>8</v>
      </c>
      <c r="P345" s="277"/>
      <c r="Q345" s="3"/>
      <c r="R345" s="47">
        <v>0.33333333333333331</v>
      </c>
      <c r="S345" s="47">
        <v>0.20833333333333334</v>
      </c>
      <c r="T345" s="19">
        <v>8</v>
      </c>
      <c r="U345" s="277"/>
      <c r="V345" s="3"/>
      <c r="W345" s="47">
        <v>0.34375</v>
      </c>
      <c r="X345" s="47">
        <v>0.20833333333333334</v>
      </c>
      <c r="Y345" s="19">
        <v>7.75</v>
      </c>
      <c r="Z345" s="277"/>
      <c r="AA345" s="29">
        <f t="shared" si="87"/>
        <v>31.75</v>
      </c>
      <c r="AB345" s="298">
        <f t="shared" si="86"/>
        <v>0</v>
      </c>
      <c r="AC345" s="3"/>
      <c r="AD345" s="4">
        <v>0</v>
      </c>
      <c r="AE345" s="4">
        <v>0</v>
      </c>
      <c r="AF345" s="19">
        <v>0</v>
      </c>
      <c r="AG345" s="29">
        <f t="shared" si="85"/>
        <v>0</v>
      </c>
      <c r="AH345" s="3"/>
      <c r="AI345" s="227"/>
      <c r="AK345" s="187"/>
      <c r="AL345" s="187"/>
      <c r="AM345" s="187"/>
      <c r="AN345" s="187"/>
      <c r="AO345" s="187"/>
      <c r="AP345" s="187"/>
    </row>
    <row r="346" spans="2:42" s="1" customFormat="1" ht="14.25">
      <c r="B346" s="164" t="s">
        <v>42</v>
      </c>
      <c r="C346" s="47">
        <v>0</v>
      </c>
      <c r="D346" s="47">
        <v>0</v>
      </c>
      <c r="E346" s="19">
        <v>0</v>
      </c>
      <c r="F346" s="277"/>
      <c r="G346" s="3"/>
      <c r="H346" s="47">
        <v>0</v>
      </c>
      <c r="I346" s="47">
        <v>0</v>
      </c>
      <c r="J346" s="19">
        <v>0</v>
      </c>
      <c r="K346" s="277"/>
      <c r="L346" s="3"/>
      <c r="M346" s="314">
        <v>0</v>
      </c>
      <c r="N346" s="172">
        <v>0</v>
      </c>
      <c r="O346" s="19">
        <v>0</v>
      </c>
      <c r="P346" s="277"/>
      <c r="Q346" s="3"/>
      <c r="R346" s="314">
        <v>0</v>
      </c>
      <c r="S346" s="172">
        <v>0</v>
      </c>
      <c r="T346" s="19">
        <v>0</v>
      </c>
      <c r="U346" s="277"/>
      <c r="V346" s="3"/>
      <c r="W346" s="314">
        <v>0</v>
      </c>
      <c r="X346" s="172">
        <v>0</v>
      </c>
      <c r="Y346" s="19">
        <v>0</v>
      </c>
      <c r="Z346" s="277"/>
      <c r="AA346" s="29">
        <f t="shared" si="87"/>
        <v>0</v>
      </c>
      <c r="AB346" s="298">
        <f t="shared" si="86"/>
        <v>0</v>
      </c>
      <c r="AC346" s="3"/>
      <c r="AD346" s="4">
        <v>0</v>
      </c>
      <c r="AE346" s="4">
        <v>0</v>
      </c>
      <c r="AF346" s="19">
        <v>0</v>
      </c>
      <c r="AG346" s="29">
        <f t="shared" si="85"/>
        <v>0</v>
      </c>
      <c r="AH346" s="3"/>
      <c r="AI346" s="227"/>
      <c r="AK346" s="187"/>
      <c r="AL346" s="187"/>
      <c r="AM346" s="187"/>
      <c r="AN346" s="187"/>
      <c r="AO346" s="187"/>
      <c r="AP346" s="187"/>
    </row>
    <row r="347" spans="2:42" s="1" customFormat="1" ht="14.25">
      <c r="B347" s="13" t="s">
        <v>43</v>
      </c>
      <c r="C347" s="47">
        <v>0</v>
      </c>
      <c r="D347" s="47">
        <v>0</v>
      </c>
      <c r="E347" s="19">
        <v>0</v>
      </c>
      <c r="F347" s="277"/>
      <c r="G347" s="3"/>
      <c r="H347" s="47">
        <v>0</v>
      </c>
      <c r="I347" s="47">
        <v>0</v>
      </c>
      <c r="J347" s="19">
        <v>0</v>
      </c>
      <c r="K347" s="277"/>
      <c r="L347" s="3"/>
      <c r="M347" s="314">
        <v>0.39583333333333331</v>
      </c>
      <c r="N347" s="172">
        <v>0</v>
      </c>
      <c r="O347" s="19">
        <v>6.5</v>
      </c>
      <c r="P347" s="277"/>
      <c r="Q347" s="3"/>
      <c r="R347" s="47">
        <v>0</v>
      </c>
      <c r="S347" s="47">
        <v>0</v>
      </c>
      <c r="T347" s="19">
        <v>0</v>
      </c>
      <c r="U347" s="277"/>
      <c r="V347" s="3"/>
      <c r="W347" s="47">
        <v>0.35416666666666669</v>
      </c>
      <c r="X347" s="47">
        <v>0.20833333333333334</v>
      </c>
      <c r="Y347" s="19">
        <v>7.5</v>
      </c>
      <c r="Z347" s="277"/>
      <c r="AA347" s="29">
        <f t="shared" si="87"/>
        <v>14</v>
      </c>
      <c r="AB347" s="298">
        <f t="shared" si="86"/>
        <v>0</v>
      </c>
      <c r="AC347" s="3"/>
      <c r="AD347" s="4">
        <v>0</v>
      </c>
      <c r="AE347" s="4">
        <v>0</v>
      </c>
      <c r="AF347" s="19">
        <v>0</v>
      </c>
      <c r="AG347" s="29">
        <f t="shared" si="85"/>
        <v>0</v>
      </c>
      <c r="AH347" s="3"/>
      <c r="AI347" s="227"/>
      <c r="AK347" s="187"/>
      <c r="AL347" s="187"/>
      <c r="AM347" s="187"/>
      <c r="AN347" s="187"/>
      <c r="AO347" s="187"/>
      <c r="AP347" s="187"/>
    </row>
    <row r="348" spans="2:42" s="1" customFormat="1" ht="14.25">
      <c r="B348" s="13" t="s">
        <v>47</v>
      </c>
      <c r="C348" s="47">
        <v>0.33333333333333331</v>
      </c>
      <c r="D348" s="314">
        <v>0.20833333333333334</v>
      </c>
      <c r="E348" s="19">
        <v>8</v>
      </c>
      <c r="F348" s="277"/>
      <c r="G348" s="3"/>
      <c r="H348" s="47">
        <v>0.33333333333333331</v>
      </c>
      <c r="I348" s="47">
        <v>0.20833333333333334</v>
      </c>
      <c r="J348" s="19">
        <v>8</v>
      </c>
      <c r="K348" s="277"/>
      <c r="L348" s="3"/>
      <c r="M348" s="314">
        <v>0.33333333333333331</v>
      </c>
      <c r="N348" s="47">
        <v>0.20833333333333334</v>
      </c>
      <c r="O348" s="19">
        <v>8</v>
      </c>
      <c r="P348" s="277"/>
      <c r="Q348" s="3"/>
      <c r="R348" s="47">
        <v>0.32291666666666669</v>
      </c>
      <c r="S348" s="47">
        <v>0.20833333333333334</v>
      </c>
      <c r="T348" s="19">
        <v>8.25</v>
      </c>
      <c r="U348" s="277">
        <v>0.25</v>
      </c>
      <c r="V348" s="3"/>
      <c r="W348" s="47">
        <v>0.34375</v>
      </c>
      <c r="X348" s="47">
        <v>0.20833333333333334</v>
      </c>
      <c r="Y348" s="19">
        <v>7.25</v>
      </c>
      <c r="Z348" s="277"/>
      <c r="AA348" s="29">
        <f t="shared" si="87"/>
        <v>39.5</v>
      </c>
      <c r="AB348" s="298">
        <f t="shared" si="86"/>
        <v>0.25</v>
      </c>
      <c r="AC348" s="3"/>
      <c r="AD348" s="47">
        <v>0.40625</v>
      </c>
      <c r="AE348" s="47">
        <v>0.20833333333333334</v>
      </c>
      <c r="AF348" s="19">
        <v>6.25</v>
      </c>
      <c r="AG348" s="29">
        <f t="shared" si="85"/>
        <v>6.25</v>
      </c>
      <c r="AH348" s="3"/>
      <c r="AI348" s="227"/>
      <c r="AK348" s="187"/>
      <c r="AL348" s="187"/>
      <c r="AM348" s="187"/>
      <c r="AN348" s="187"/>
      <c r="AO348" s="187"/>
      <c r="AP348" s="187"/>
    </row>
    <row r="349" spans="2:42" s="1" customFormat="1" ht="14.25">
      <c r="B349" s="13" t="s">
        <v>46</v>
      </c>
      <c r="C349" s="47">
        <v>0.375</v>
      </c>
      <c r="D349" s="47">
        <v>0.20833333333333334</v>
      </c>
      <c r="E349" s="19">
        <v>7</v>
      </c>
      <c r="F349" s="277"/>
      <c r="G349" s="3"/>
      <c r="H349" s="314">
        <v>0.375</v>
      </c>
      <c r="I349" s="47">
        <v>0.20833333333333334</v>
      </c>
      <c r="J349" s="19">
        <v>7</v>
      </c>
      <c r="K349" s="277"/>
      <c r="L349" s="3"/>
      <c r="M349" s="314">
        <v>0.33333333333333331</v>
      </c>
      <c r="N349" s="47">
        <v>0.20833333333333334</v>
      </c>
      <c r="O349" s="19">
        <v>8</v>
      </c>
      <c r="P349" s="277"/>
      <c r="Q349" s="3"/>
      <c r="R349" s="47">
        <v>0.34375</v>
      </c>
      <c r="S349" s="47">
        <v>0.20833333333333334</v>
      </c>
      <c r="T349" s="19">
        <v>7.75</v>
      </c>
      <c r="U349" s="277"/>
      <c r="V349" s="3"/>
      <c r="W349" s="47">
        <v>0.34375</v>
      </c>
      <c r="X349" s="47">
        <v>0.20833333333333334</v>
      </c>
      <c r="Y349" s="19">
        <v>7.25</v>
      </c>
      <c r="Z349" s="277"/>
      <c r="AA349" s="29">
        <f t="shared" si="87"/>
        <v>37</v>
      </c>
      <c r="AB349" s="298">
        <f t="shared" si="86"/>
        <v>0</v>
      </c>
      <c r="AC349" s="3"/>
      <c r="AD349" s="4">
        <v>0</v>
      </c>
      <c r="AE349" s="4">
        <v>0</v>
      </c>
      <c r="AF349" s="19">
        <v>0</v>
      </c>
      <c r="AG349" s="29">
        <f t="shared" si="85"/>
        <v>0</v>
      </c>
      <c r="AH349" s="3"/>
      <c r="AI349" s="227"/>
      <c r="AK349" s="187"/>
      <c r="AL349" s="187"/>
      <c r="AM349" s="187"/>
      <c r="AN349" s="187"/>
      <c r="AO349" s="187"/>
      <c r="AP349" s="187"/>
    </row>
    <row r="350" spans="2:42" s="1" customFormat="1" ht="14.25">
      <c r="B350" s="13" t="s">
        <v>44</v>
      </c>
      <c r="C350" s="47">
        <v>0.34375</v>
      </c>
      <c r="D350" s="47">
        <v>0.20833333333333334</v>
      </c>
      <c r="E350" s="19">
        <v>7.75</v>
      </c>
      <c r="F350" s="277"/>
      <c r="G350" s="3"/>
      <c r="H350" s="47">
        <v>0.34375</v>
      </c>
      <c r="I350" s="47">
        <v>0.20833333333333334</v>
      </c>
      <c r="J350" s="19">
        <v>7.75</v>
      </c>
      <c r="K350" s="277"/>
      <c r="L350" s="3"/>
      <c r="M350" s="314">
        <v>0.33333333333333331</v>
      </c>
      <c r="N350" s="47">
        <v>0.20833333333333334</v>
      </c>
      <c r="O350" s="19">
        <v>8</v>
      </c>
      <c r="P350" s="277"/>
      <c r="Q350" s="3"/>
      <c r="R350" s="47">
        <v>0.33333333333333331</v>
      </c>
      <c r="S350" s="47">
        <v>0.20833333333333334</v>
      </c>
      <c r="T350" s="19">
        <v>8</v>
      </c>
      <c r="U350" s="277"/>
      <c r="V350" s="3"/>
      <c r="W350" s="47">
        <v>0.33333333333333331</v>
      </c>
      <c r="X350" s="47">
        <v>0.20833333333333334</v>
      </c>
      <c r="Y350" s="19">
        <v>8</v>
      </c>
      <c r="Z350" s="277"/>
      <c r="AA350" s="29">
        <f>(E350+J350+O350+T350+Y350)</f>
        <v>39.5</v>
      </c>
      <c r="AB350" s="298">
        <f>Z350+U350+P350+K350+F350</f>
        <v>0</v>
      </c>
      <c r="AC350" s="3"/>
      <c r="AD350" s="4">
        <v>0</v>
      </c>
      <c r="AE350" s="4">
        <v>0</v>
      </c>
      <c r="AF350" s="19">
        <v>0</v>
      </c>
      <c r="AG350" s="29">
        <f>AF350</f>
        <v>0</v>
      </c>
      <c r="AH350" s="3"/>
      <c r="AI350" s="227"/>
      <c r="AK350" s="187"/>
      <c r="AL350" s="187"/>
      <c r="AM350" s="187"/>
      <c r="AN350" s="187"/>
      <c r="AO350" s="187"/>
      <c r="AP350" s="187"/>
    </row>
    <row r="351" spans="2:42" s="1" customFormat="1" ht="14.25">
      <c r="B351" s="13" t="s">
        <v>45</v>
      </c>
      <c r="C351" s="47">
        <v>0.375</v>
      </c>
      <c r="D351" s="47">
        <v>0.20833333333333334</v>
      </c>
      <c r="E351" s="19">
        <v>7</v>
      </c>
      <c r="F351" s="277"/>
      <c r="G351" s="3"/>
      <c r="H351" s="47">
        <v>0.33333333333333331</v>
      </c>
      <c r="I351" s="47">
        <v>0.20833333333333334</v>
      </c>
      <c r="J351" s="19">
        <v>8</v>
      </c>
      <c r="K351" s="277"/>
      <c r="L351" s="3"/>
      <c r="M351" s="314">
        <v>0.34375</v>
      </c>
      <c r="N351" s="47">
        <v>0.20833333333333334</v>
      </c>
      <c r="O351" s="19">
        <v>7.75</v>
      </c>
      <c r="P351" s="277"/>
      <c r="Q351" s="3"/>
      <c r="R351" s="47">
        <v>0.33333333333333331</v>
      </c>
      <c r="S351" s="47">
        <v>0.20833333333333334</v>
      </c>
      <c r="T351" s="19">
        <v>8</v>
      </c>
      <c r="U351" s="277"/>
      <c r="V351" s="3"/>
      <c r="W351" s="47">
        <v>0.34375</v>
      </c>
      <c r="X351" s="47">
        <v>0.20833333333333334</v>
      </c>
      <c r="Y351" s="19">
        <v>7.75</v>
      </c>
      <c r="Z351" s="277"/>
      <c r="AA351" s="29">
        <f>(E351+J351+O351+T351+Y351)</f>
        <v>38.5</v>
      </c>
      <c r="AB351" s="298">
        <f>Z351+U351+P351+K351+F351</f>
        <v>0</v>
      </c>
      <c r="AC351" s="3"/>
      <c r="AD351" s="4">
        <v>0</v>
      </c>
      <c r="AE351" s="4">
        <v>0</v>
      </c>
      <c r="AF351" s="19">
        <v>0</v>
      </c>
      <c r="AG351" s="29">
        <f>AF351</f>
        <v>0</v>
      </c>
      <c r="AH351" s="3"/>
      <c r="AI351" s="227"/>
      <c r="AK351" s="187"/>
      <c r="AL351" s="187"/>
      <c r="AM351" s="187"/>
      <c r="AN351" s="187"/>
      <c r="AO351" s="187"/>
      <c r="AP351" s="187"/>
    </row>
    <row r="352" spans="2:42" s="1" customFormat="1" ht="14.25">
      <c r="B352" s="13" t="s">
        <v>173</v>
      </c>
      <c r="C352" s="47">
        <v>0.375</v>
      </c>
      <c r="D352" s="47">
        <v>0.20833333333333334</v>
      </c>
      <c r="E352" s="19">
        <v>7</v>
      </c>
      <c r="F352" s="277"/>
      <c r="G352" s="3"/>
      <c r="H352" s="47">
        <v>0.33333333333333331</v>
      </c>
      <c r="I352" s="47">
        <v>0.20833333333333334</v>
      </c>
      <c r="J352" s="19">
        <v>8</v>
      </c>
      <c r="K352" s="277"/>
      <c r="L352" s="3"/>
      <c r="M352" s="314">
        <v>0.33333333333333331</v>
      </c>
      <c r="N352" s="47">
        <v>0.20833333333333334</v>
      </c>
      <c r="O352" s="19">
        <v>8</v>
      </c>
      <c r="P352" s="277"/>
      <c r="Q352" s="3"/>
      <c r="R352" s="47">
        <v>0.33333333333333331</v>
      </c>
      <c r="S352" s="47">
        <v>0.20833333333333334</v>
      </c>
      <c r="T352" s="19">
        <v>8</v>
      </c>
      <c r="U352" s="277"/>
      <c r="V352" s="3"/>
      <c r="W352" s="47">
        <v>0.34375</v>
      </c>
      <c r="X352" s="47">
        <v>0.20833333333333334</v>
      </c>
      <c r="Y352" s="19">
        <v>7.75</v>
      </c>
      <c r="Z352" s="277"/>
      <c r="AA352" s="29">
        <f>(E352+J352+O352+T352+Y352)</f>
        <v>38.75</v>
      </c>
      <c r="AB352" s="298">
        <f>Z352+U352+P352+K352+F352</f>
        <v>0</v>
      </c>
      <c r="AC352" s="3"/>
      <c r="AD352" s="47">
        <v>0.40625</v>
      </c>
      <c r="AE352" s="47">
        <v>0.20833333333333334</v>
      </c>
      <c r="AF352" s="19">
        <v>6.25</v>
      </c>
      <c r="AG352" s="29">
        <f>AF352</f>
        <v>6.25</v>
      </c>
      <c r="AH352" s="3"/>
      <c r="AI352" s="227"/>
      <c r="AK352" s="187"/>
      <c r="AL352" s="187"/>
      <c r="AM352" s="187"/>
      <c r="AN352" s="187"/>
      <c r="AO352" s="187"/>
      <c r="AP352" s="187"/>
    </row>
    <row r="353" spans="2:42" s="1" customFormat="1" ht="14.25">
      <c r="B353" s="13" t="s">
        <v>48</v>
      </c>
      <c r="C353" s="16">
        <v>0.33333333333333331</v>
      </c>
      <c r="D353" s="47">
        <v>0.20833333333333334</v>
      </c>
      <c r="E353" s="19">
        <v>8</v>
      </c>
      <c r="F353" s="277"/>
      <c r="G353" s="3"/>
      <c r="H353" s="47">
        <v>0.32291666666666669</v>
      </c>
      <c r="I353" s="47">
        <v>0.20833333333333334</v>
      </c>
      <c r="J353" s="19">
        <v>8.25</v>
      </c>
      <c r="K353" s="277">
        <v>0.25</v>
      </c>
      <c r="L353" s="3"/>
      <c r="M353" s="314">
        <v>0.41666666666666669</v>
      </c>
      <c r="N353" s="47">
        <v>0.20833333333333334</v>
      </c>
      <c r="O353" s="19">
        <v>6</v>
      </c>
      <c r="P353" s="277"/>
      <c r="Q353" s="3"/>
      <c r="R353" s="47">
        <v>0.3125</v>
      </c>
      <c r="S353" s="47">
        <v>0.20833333333333334</v>
      </c>
      <c r="T353" s="19">
        <v>8.5</v>
      </c>
      <c r="U353" s="277">
        <v>0.5</v>
      </c>
      <c r="V353" s="3"/>
      <c r="W353" s="47">
        <v>0.33333333333333331</v>
      </c>
      <c r="X353" s="47">
        <v>0.20833333333333334</v>
      </c>
      <c r="Y353" s="19">
        <v>8</v>
      </c>
      <c r="Z353" s="277"/>
      <c r="AA353" s="29">
        <f t="shared" ref="AA353:AA362" si="88">(E353+J353+O353+T353+Y353)</f>
        <v>38.75</v>
      </c>
      <c r="AB353" s="298">
        <f t="shared" ref="AB353:AB362" si="89">Z353+U353+P353+K353+F353</f>
        <v>0.75</v>
      </c>
      <c r="AC353" s="3"/>
      <c r="AD353" s="4">
        <v>0</v>
      </c>
      <c r="AE353" s="4">
        <v>0</v>
      </c>
      <c r="AF353" s="19">
        <v>0</v>
      </c>
      <c r="AG353" s="29">
        <f t="shared" ref="AG353:AG361" si="90">AF353</f>
        <v>0</v>
      </c>
      <c r="AH353" s="3"/>
      <c r="AI353" s="227"/>
      <c r="AK353" s="187"/>
      <c r="AL353" s="187"/>
      <c r="AM353" s="187"/>
      <c r="AN353" s="187"/>
      <c r="AO353" s="187"/>
      <c r="AP353" s="187"/>
    </row>
    <row r="354" spans="2:42" s="1" customFormat="1" ht="14.25">
      <c r="B354" s="13" t="s">
        <v>49</v>
      </c>
      <c r="C354" s="47">
        <v>0.38541666666666669</v>
      </c>
      <c r="D354" s="47">
        <v>0.20833333333333334</v>
      </c>
      <c r="E354" s="19">
        <v>6.75</v>
      </c>
      <c r="F354" s="277"/>
      <c r="G354" s="3"/>
      <c r="H354" s="47">
        <v>0.38541666666666669</v>
      </c>
      <c r="I354" s="47">
        <v>0.20833333333333334</v>
      </c>
      <c r="J354" s="19">
        <v>6.75</v>
      </c>
      <c r="K354" s="277"/>
      <c r="L354" s="3"/>
      <c r="M354" s="314">
        <v>0</v>
      </c>
      <c r="N354" s="172">
        <v>0</v>
      </c>
      <c r="O354" s="19">
        <v>0</v>
      </c>
      <c r="P354" s="277"/>
      <c r="Q354" s="3"/>
      <c r="R354" s="47">
        <v>0.34375</v>
      </c>
      <c r="S354" s="47">
        <v>0.20833333333333334</v>
      </c>
      <c r="T354" s="19">
        <v>7.75</v>
      </c>
      <c r="U354" s="277"/>
      <c r="V354" s="3"/>
      <c r="W354" s="47">
        <v>0</v>
      </c>
      <c r="X354" s="47">
        <v>0</v>
      </c>
      <c r="Y354" s="19">
        <v>0</v>
      </c>
      <c r="Z354" s="277"/>
      <c r="AA354" s="29">
        <f t="shared" si="88"/>
        <v>21.25</v>
      </c>
      <c r="AB354" s="298">
        <f t="shared" si="89"/>
        <v>0</v>
      </c>
      <c r="AC354" s="3"/>
      <c r="AD354" s="4">
        <v>0</v>
      </c>
      <c r="AE354" s="4">
        <v>0</v>
      </c>
      <c r="AF354" s="19">
        <v>0</v>
      </c>
      <c r="AG354" s="29">
        <f t="shared" si="90"/>
        <v>0</v>
      </c>
      <c r="AH354" s="3"/>
      <c r="AI354" s="227"/>
      <c r="AK354" s="187"/>
      <c r="AL354" s="187"/>
      <c r="AM354" s="187"/>
      <c r="AN354" s="187"/>
      <c r="AO354" s="187"/>
      <c r="AP354" s="187"/>
    </row>
    <row r="355" spans="2:42" s="1" customFormat="1" ht="14.25">
      <c r="B355" s="13" t="s">
        <v>50</v>
      </c>
      <c r="C355" s="4">
        <v>0</v>
      </c>
      <c r="D355" s="4">
        <v>0</v>
      </c>
      <c r="E355" s="19">
        <v>0</v>
      </c>
      <c r="F355" s="277"/>
      <c r="G355" s="3"/>
      <c r="H355" s="4">
        <v>0</v>
      </c>
      <c r="I355" s="4">
        <v>0</v>
      </c>
      <c r="J355" s="19">
        <v>0</v>
      </c>
      <c r="K355" s="277"/>
      <c r="L355" s="3"/>
      <c r="M355" s="314">
        <v>0.39583333333333331</v>
      </c>
      <c r="N355" s="47">
        <v>0.20833333333333334</v>
      </c>
      <c r="O355" s="19">
        <v>6.5</v>
      </c>
      <c r="P355" s="277"/>
      <c r="Q355" s="3"/>
      <c r="R355" s="47">
        <v>0.36458333333333331</v>
      </c>
      <c r="S355" s="47">
        <v>0.20833333333333334</v>
      </c>
      <c r="T355" s="19">
        <v>7.25</v>
      </c>
      <c r="U355" s="277"/>
      <c r="V355" s="3"/>
      <c r="W355" s="4">
        <v>0</v>
      </c>
      <c r="X355" s="4">
        <v>0</v>
      </c>
      <c r="Y355" s="19">
        <v>0</v>
      </c>
      <c r="Z355" s="277"/>
      <c r="AA355" s="29">
        <f t="shared" ref="AA355:AA356" si="91">(E355+J355+O355+T355+Y355)</f>
        <v>13.75</v>
      </c>
      <c r="AB355" s="298">
        <f t="shared" ref="AB355:AB356" si="92">Z355+U355+P355+K355+F355</f>
        <v>0</v>
      </c>
      <c r="AC355" s="3"/>
      <c r="AD355" s="4">
        <v>0</v>
      </c>
      <c r="AE355" s="4">
        <v>0</v>
      </c>
      <c r="AF355" s="19">
        <v>0</v>
      </c>
      <c r="AG355" s="29">
        <f t="shared" si="90"/>
        <v>0</v>
      </c>
      <c r="AH355" s="3"/>
      <c r="AI355" s="227"/>
      <c r="AK355" s="187"/>
      <c r="AL355" s="187"/>
      <c r="AM355" s="187"/>
      <c r="AN355" s="187"/>
      <c r="AO355" s="187"/>
      <c r="AP355" s="187"/>
    </row>
    <row r="356" spans="2:42" s="1" customFormat="1" ht="14.25">
      <c r="B356" s="13" t="s">
        <v>51</v>
      </c>
      <c r="C356" s="12" t="s">
        <v>29</v>
      </c>
      <c r="D356" s="12" t="s">
        <v>29</v>
      </c>
      <c r="E356" s="19">
        <v>8</v>
      </c>
      <c r="F356" s="277"/>
      <c r="G356" s="3"/>
      <c r="H356" s="12" t="s">
        <v>29</v>
      </c>
      <c r="I356" s="12" t="s">
        <v>29</v>
      </c>
      <c r="J356" s="19">
        <v>8</v>
      </c>
      <c r="K356" s="277"/>
      <c r="L356" s="3"/>
      <c r="M356" s="12" t="s">
        <v>29</v>
      </c>
      <c r="N356" s="12" t="s">
        <v>29</v>
      </c>
      <c r="O356" s="19">
        <v>8</v>
      </c>
      <c r="P356" s="277"/>
      <c r="Q356" s="3"/>
      <c r="R356" s="47">
        <v>0.375</v>
      </c>
      <c r="S356" s="47">
        <v>0.20833333333333334</v>
      </c>
      <c r="T356" s="19">
        <v>7</v>
      </c>
      <c r="U356" s="277"/>
      <c r="V356" s="3"/>
      <c r="W356" s="47">
        <v>0.36458333333333331</v>
      </c>
      <c r="X356" s="47">
        <v>0.20833333333333334</v>
      </c>
      <c r="Y356" s="19">
        <v>7.25</v>
      </c>
      <c r="Z356" s="277"/>
      <c r="AA356" s="29">
        <f t="shared" si="91"/>
        <v>38.25</v>
      </c>
      <c r="AB356" s="298">
        <f t="shared" si="92"/>
        <v>0</v>
      </c>
      <c r="AC356" s="3"/>
      <c r="AD356" s="4">
        <v>0</v>
      </c>
      <c r="AE356" s="4">
        <v>0</v>
      </c>
      <c r="AF356" s="19">
        <v>0</v>
      </c>
      <c r="AG356" s="29">
        <f t="shared" si="90"/>
        <v>0</v>
      </c>
      <c r="AH356" s="3"/>
      <c r="AI356" s="227"/>
      <c r="AK356" s="187"/>
      <c r="AL356" s="187"/>
      <c r="AM356" s="187"/>
      <c r="AN356" s="187"/>
      <c r="AO356" s="187"/>
      <c r="AP356" s="187"/>
    </row>
    <row r="357" spans="2:42" s="1" customFormat="1" ht="14.25">
      <c r="B357" s="13" t="s">
        <v>54</v>
      </c>
      <c r="C357" s="4">
        <v>0</v>
      </c>
      <c r="D357" s="4">
        <v>0</v>
      </c>
      <c r="E357" s="19">
        <v>0</v>
      </c>
      <c r="F357" s="277"/>
      <c r="G357" s="3"/>
      <c r="H357" s="4">
        <v>0</v>
      </c>
      <c r="I357" s="4">
        <v>0</v>
      </c>
      <c r="J357" s="19">
        <v>0</v>
      </c>
      <c r="K357" s="277"/>
      <c r="L357" s="3"/>
      <c r="M357" s="4">
        <v>0</v>
      </c>
      <c r="N357" s="4">
        <v>0</v>
      </c>
      <c r="O357" s="19">
        <v>0</v>
      </c>
      <c r="P357" s="277"/>
      <c r="Q357" s="3"/>
      <c r="R357" s="4">
        <v>0</v>
      </c>
      <c r="S357" s="4">
        <v>0</v>
      </c>
      <c r="T357" s="19">
        <v>0</v>
      </c>
      <c r="U357" s="277"/>
      <c r="V357" s="3"/>
      <c r="W357" s="4">
        <v>0</v>
      </c>
      <c r="X357" s="4">
        <v>0</v>
      </c>
      <c r="Y357" s="19">
        <v>0</v>
      </c>
      <c r="Z357" s="277"/>
      <c r="AA357" s="29">
        <f t="shared" si="88"/>
        <v>0</v>
      </c>
      <c r="AB357" s="298">
        <f t="shared" si="89"/>
        <v>0</v>
      </c>
      <c r="AC357" s="3"/>
      <c r="AD357" s="47">
        <v>0.39583333333333331</v>
      </c>
      <c r="AE357" s="47">
        <v>0.20833333333333334</v>
      </c>
      <c r="AF357" s="19">
        <v>6.5</v>
      </c>
      <c r="AG357" s="29">
        <f t="shared" si="90"/>
        <v>6.5</v>
      </c>
      <c r="AH357" s="3"/>
      <c r="AI357" s="227"/>
      <c r="AK357" s="187"/>
      <c r="AL357" s="187"/>
      <c r="AM357" s="187"/>
      <c r="AN357" s="187"/>
      <c r="AO357" s="187"/>
      <c r="AP357" s="187"/>
    </row>
    <row r="358" spans="2:42" s="1" customFormat="1" ht="14.25">
      <c r="B358" s="13" t="s">
        <v>55</v>
      </c>
      <c r="C358" s="4">
        <v>0</v>
      </c>
      <c r="D358" s="4">
        <v>0</v>
      </c>
      <c r="E358" s="19">
        <v>0</v>
      </c>
      <c r="F358" s="277"/>
      <c r="G358" s="3"/>
      <c r="H358" s="4">
        <v>0</v>
      </c>
      <c r="I358" s="4">
        <v>0</v>
      </c>
      <c r="J358" s="19">
        <v>0</v>
      </c>
      <c r="K358" s="277"/>
      <c r="L358" s="3"/>
      <c r="M358" s="4">
        <v>0</v>
      </c>
      <c r="N358" s="4">
        <v>0</v>
      </c>
      <c r="O358" s="19">
        <v>0</v>
      </c>
      <c r="P358" s="277"/>
      <c r="Q358" s="3"/>
      <c r="R358" s="4">
        <v>0</v>
      </c>
      <c r="S358" s="4">
        <v>0</v>
      </c>
      <c r="T358" s="19">
        <v>0</v>
      </c>
      <c r="U358" s="277"/>
      <c r="V358" s="3"/>
      <c r="W358" s="4">
        <v>0</v>
      </c>
      <c r="X358" s="4">
        <v>0</v>
      </c>
      <c r="Y358" s="19">
        <v>0</v>
      </c>
      <c r="Z358" s="277"/>
      <c r="AA358" s="29">
        <f t="shared" si="88"/>
        <v>0</v>
      </c>
      <c r="AB358" s="298">
        <f t="shared" si="89"/>
        <v>0</v>
      </c>
      <c r="AC358" s="3"/>
      <c r="AD358" s="47">
        <v>0.35416666666666669</v>
      </c>
      <c r="AE358" s="47">
        <v>0.20833333333333334</v>
      </c>
      <c r="AF358" s="19">
        <v>7.5</v>
      </c>
      <c r="AG358" s="29">
        <f t="shared" si="90"/>
        <v>7.5</v>
      </c>
      <c r="AH358" s="3"/>
      <c r="AI358" s="227"/>
      <c r="AK358" s="187"/>
      <c r="AL358" s="187"/>
      <c r="AM358" s="187"/>
      <c r="AN358" s="187"/>
      <c r="AO358" s="187"/>
      <c r="AP358" s="187"/>
    </row>
    <row r="359" spans="2:42" s="1" customFormat="1" ht="14.25">
      <c r="B359" s="138" t="s">
        <v>167</v>
      </c>
      <c r="C359" s="12" t="s">
        <v>29</v>
      </c>
      <c r="D359" s="12" t="s">
        <v>29</v>
      </c>
      <c r="E359" s="19">
        <v>8</v>
      </c>
      <c r="F359" s="277"/>
      <c r="G359" s="3"/>
      <c r="H359" s="12" t="s">
        <v>29</v>
      </c>
      <c r="I359" s="12" t="s">
        <v>29</v>
      </c>
      <c r="J359" s="19">
        <v>8</v>
      </c>
      <c r="K359" s="277"/>
      <c r="L359" s="3"/>
      <c r="M359" s="12" t="s">
        <v>29</v>
      </c>
      <c r="N359" s="12" t="s">
        <v>29</v>
      </c>
      <c r="O359" s="19">
        <v>8</v>
      </c>
      <c r="P359" s="277"/>
      <c r="Q359" s="3"/>
      <c r="R359" s="12" t="s">
        <v>29</v>
      </c>
      <c r="S359" s="12" t="s">
        <v>29</v>
      </c>
      <c r="T359" s="19">
        <v>8</v>
      </c>
      <c r="U359" s="277"/>
      <c r="V359" s="3"/>
      <c r="W359" s="12" t="s">
        <v>29</v>
      </c>
      <c r="X359" s="12" t="s">
        <v>29</v>
      </c>
      <c r="Y359" s="19">
        <v>8</v>
      </c>
      <c r="Z359" s="277"/>
      <c r="AA359" s="29">
        <f t="shared" si="88"/>
        <v>40</v>
      </c>
      <c r="AB359" s="298">
        <f t="shared" si="89"/>
        <v>0</v>
      </c>
      <c r="AC359" s="3"/>
      <c r="AD359" s="4">
        <v>0</v>
      </c>
      <c r="AE359" s="4">
        <v>0</v>
      </c>
      <c r="AF359" s="19">
        <v>0</v>
      </c>
      <c r="AG359" s="29">
        <f t="shared" si="90"/>
        <v>0</v>
      </c>
      <c r="AH359" s="3"/>
      <c r="AI359" s="227"/>
      <c r="AK359" s="187"/>
      <c r="AL359" s="187"/>
      <c r="AM359" s="187"/>
      <c r="AN359" s="187"/>
      <c r="AO359" s="187"/>
      <c r="AP359" s="187"/>
    </row>
    <row r="360" spans="2:42" s="1" customFormat="1" ht="14.25">
      <c r="B360" s="138" t="s">
        <v>53</v>
      </c>
      <c r="C360" s="12" t="s">
        <v>29</v>
      </c>
      <c r="D360" s="12" t="s">
        <v>29</v>
      </c>
      <c r="E360" s="19">
        <v>8</v>
      </c>
      <c r="F360" s="277"/>
      <c r="G360" s="3"/>
      <c r="H360" s="12" t="s">
        <v>29</v>
      </c>
      <c r="I360" s="12" t="s">
        <v>29</v>
      </c>
      <c r="J360" s="19">
        <v>8</v>
      </c>
      <c r="K360" s="277"/>
      <c r="L360" s="3"/>
      <c r="M360" s="12" t="s">
        <v>29</v>
      </c>
      <c r="N360" s="12" t="s">
        <v>29</v>
      </c>
      <c r="O360" s="19">
        <v>8</v>
      </c>
      <c r="P360" s="277"/>
      <c r="Q360" s="3"/>
      <c r="R360" s="12" t="s">
        <v>29</v>
      </c>
      <c r="S360" s="12" t="s">
        <v>29</v>
      </c>
      <c r="T360" s="19">
        <v>8</v>
      </c>
      <c r="U360" s="277"/>
      <c r="V360" s="3"/>
      <c r="W360" s="12" t="s">
        <v>29</v>
      </c>
      <c r="X360" s="12" t="s">
        <v>29</v>
      </c>
      <c r="Y360" s="19">
        <v>8</v>
      </c>
      <c r="Z360" s="277"/>
      <c r="AA360" s="29">
        <f t="shared" si="88"/>
        <v>40</v>
      </c>
      <c r="AB360" s="298">
        <f t="shared" si="89"/>
        <v>0</v>
      </c>
      <c r="AC360" s="3"/>
      <c r="AD360" s="4">
        <v>0</v>
      </c>
      <c r="AE360" s="4">
        <v>0</v>
      </c>
      <c r="AF360" s="19">
        <v>0</v>
      </c>
      <c r="AG360" s="29">
        <f t="shared" si="90"/>
        <v>0</v>
      </c>
      <c r="AH360" s="3"/>
      <c r="AI360" s="227"/>
      <c r="AK360" s="187"/>
      <c r="AL360" s="187"/>
      <c r="AM360" s="187"/>
      <c r="AN360" s="187"/>
      <c r="AO360" s="187"/>
      <c r="AP360" s="187"/>
    </row>
    <row r="361" spans="2:42" s="1" customFormat="1" ht="14.25">
      <c r="B361" s="138" t="s">
        <v>57</v>
      </c>
      <c r="C361" s="12" t="s">
        <v>29</v>
      </c>
      <c r="D361" s="12" t="s">
        <v>29</v>
      </c>
      <c r="E361" s="179">
        <v>8</v>
      </c>
      <c r="F361" s="277"/>
      <c r="G361" s="3"/>
      <c r="H361" s="12" t="s">
        <v>29</v>
      </c>
      <c r="I361" s="12" t="s">
        <v>29</v>
      </c>
      <c r="J361" s="179">
        <v>8</v>
      </c>
      <c r="K361" s="277"/>
      <c r="L361" s="3"/>
      <c r="M361" s="12" t="s">
        <v>29</v>
      </c>
      <c r="N361" s="12" t="s">
        <v>29</v>
      </c>
      <c r="O361" s="179">
        <v>8</v>
      </c>
      <c r="P361" s="277"/>
      <c r="Q361" s="3"/>
      <c r="R361" s="12" t="s">
        <v>29</v>
      </c>
      <c r="S361" s="12" t="s">
        <v>29</v>
      </c>
      <c r="T361" s="179">
        <v>8</v>
      </c>
      <c r="U361" s="277"/>
      <c r="V361" s="3"/>
      <c r="W361" s="12" t="s">
        <v>29</v>
      </c>
      <c r="X361" s="12" t="s">
        <v>29</v>
      </c>
      <c r="Y361" s="179">
        <v>8</v>
      </c>
      <c r="Z361" s="277"/>
      <c r="AA361" s="29">
        <f t="shared" ref="AA361" si="93">(E361+J361+O361+T361+Y361)</f>
        <v>40</v>
      </c>
      <c r="AB361" s="298">
        <f t="shared" ref="AB361" si="94">Z361+U361+P361+K361+F361</f>
        <v>0</v>
      </c>
      <c r="AC361" s="3"/>
      <c r="AD361" s="4">
        <v>0</v>
      </c>
      <c r="AE361" s="4">
        <v>0</v>
      </c>
      <c r="AF361" s="19">
        <v>0</v>
      </c>
      <c r="AG361" s="29">
        <f t="shared" si="90"/>
        <v>0</v>
      </c>
      <c r="AH361" s="3"/>
      <c r="AI361" s="227"/>
      <c r="AK361" s="187"/>
      <c r="AL361" s="187"/>
      <c r="AM361" s="187"/>
      <c r="AN361" s="187"/>
      <c r="AO361" s="187"/>
      <c r="AP361" s="187"/>
    </row>
    <row r="362" spans="2:42" s="1" customFormat="1" ht="14.25">
      <c r="B362" s="138" t="s">
        <v>60</v>
      </c>
      <c r="C362" s="12" t="s">
        <v>29</v>
      </c>
      <c r="D362" s="12" t="s">
        <v>29</v>
      </c>
      <c r="E362" s="179">
        <v>8</v>
      </c>
      <c r="F362" s="277"/>
      <c r="G362" s="3"/>
      <c r="H362" s="12" t="s">
        <v>29</v>
      </c>
      <c r="I362" s="12" t="s">
        <v>29</v>
      </c>
      <c r="J362" s="179">
        <v>8</v>
      </c>
      <c r="K362" s="277"/>
      <c r="L362" s="3"/>
      <c r="M362" s="12" t="s">
        <v>29</v>
      </c>
      <c r="N362" s="12" t="s">
        <v>29</v>
      </c>
      <c r="O362" s="179">
        <v>8</v>
      </c>
      <c r="P362" s="277"/>
      <c r="Q362" s="3"/>
      <c r="R362" s="12" t="s">
        <v>29</v>
      </c>
      <c r="S362" s="12" t="s">
        <v>29</v>
      </c>
      <c r="T362" s="179">
        <v>8</v>
      </c>
      <c r="U362" s="277"/>
      <c r="V362" s="3"/>
      <c r="W362" s="12" t="s">
        <v>29</v>
      </c>
      <c r="X362" s="12" t="s">
        <v>29</v>
      </c>
      <c r="Y362" s="179">
        <v>8</v>
      </c>
      <c r="Z362" s="277"/>
      <c r="AA362" s="29">
        <f t="shared" si="88"/>
        <v>40</v>
      </c>
      <c r="AB362" s="298">
        <f t="shared" si="89"/>
        <v>0</v>
      </c>
      <c r="AC362" s="3"/>
      <c r="AD362" s="4">
        <v>0</v>
      </c>
      <c r="AE362" s="4">
        <v>0</v>
      </c>
      <c r="AF362" s="19">
        <v>0</v>
      </c>
      <c r="AG362" s="29">
        <f t="shared" ref="AG362" si="95">AF362</f>
        <v>0</v>
      </c>
      <c r="AH362" s="3"/>
      <c r="AI362" s="227"/>
      <c r="AK362" s="187"/>
      <c r="AL362" s="188" t="s">
        <v>175</v>
      </c>
      <c r="AM362" s="188" t="s">
        <v>14</v>
      </c>
      <c r="AN362" s="188" t="s">
        <v>176</v>
      </c>
      <c r="AO362" s="187"/>
      <c r="AP362" s="187"/>
    </row>
    <row r="363" spans="2:42" s="1" customFormat="1" ht="14.25">
      <c r="B363" s="64" t="s">
        <v>61</v>
      </c>
      <c r="C363" s="64"/>
      <c r="D363" s="64"/>
      <c r="E363" s="167">
        <f>SUM(E337:E362)</f>
        <v>145.25</v>
      </c>
      <c r="F363" s="277">
        <f>SUM(F337:F360)</f>
        <v>0</v>
      </c>
      <c r="G363" s="64"/>
      <c r="H363" s="64"/>
      <c r="I363" s="64"/>
      <c r="J363" s="167">
        <f>SUM(J337:J362)</f>
        <v>148</v>
      </c>
      <c r="K363" s="277">
        <f>SUM(K337:K360)</f>
        <v>0.25</v>
      </c>
      <c r="L363" s="64"/>
      <c r="M363" s="64"/>
      <c r="N363" s="64"/>
      <c r="O363" s="167">
        <f>SUM(O337:O362)</f>
        <v>142.5</v>
      </c>
      <c r="P363" s="277">
        <f>SUM(P337:P360)</f>
        <v>0</v>
      </c>
      <c r="Q363" s="64"/>
      <c r="R363" s="64"/>
      <c r="S363" s="64"/>
      <c r="T363" s="167">
        <f>SUM(T337:T362)</f>
        <v>160.25</v>
      </c>
      <c r="U363" s="277">
        <f>SUM(U337:U360)</f>
        <v>0.75</v>
      </c>
      <c r="V363" s="64"/>
      <c r="W363" s="64"/>
      <c r="X363" s="64"/>
      <c r="Y363" s="167">
        <f>SUM(Y337:Y362)</f>
        <v>136</v>
      </c>
      <c r="Z363" s="277">
        <f>SUM(Z337:Z360)</f>
        <v>0</v>
      </c>
      <c r="AA363" s="247">
        <f>SUM(AA337:AA362)</f>
        <v>732</v>
      </c>
      <c r="AB363" s="284">
        <f>SUM(AB337:AB360)</f>
        <v>1</v>
      </c>
      <c r="AC363" s="3"/>
      <c r="AD363" s="64"/>
      <c r="AE363" s="64"/>
      <c r="AF363" s="64"/>
      <c r="AG363" s="247">
        <f>SUM(AG337:AG360)</f>
        <v>32.75</v>
      </c>
      <c r="AH363" s="3"/>
      <c r="AI363" s="227"/>
      <c r="AK363" s="193" t="s">
        <v>177</v>
      </c>
      <c r="AL363" s="189">
        <f>SUM(J363,O363,T363,Y363)</f>
        <v>586.75</v>
      </c>
      <c r="AM363" s="189">
        <f>K363+U363</f>
        <v>1</v>
      </c>
      <c r="AN363" s="196">
        <f>AG363</f>
        <v>32.75</v>
      </c>
      <c r="AO363" s="187"/>
      <c r="AP363" s="187"/>
    </row>
    <row r="364" spans="2:42" s="1" customFormat="1" ht="14.25">
      <c r="B364" s="63" t="s">
        <v>62</v>
      </c>
      <c r="C364" s="57"/>
      <c r="D364" s="57"/>
      <c r="E364" s="19">
        <v>8</v>
      </c>
      <c r="F364" s="291"/>
      <c r="G364" s="60"/>
      <c r="H364" s="56"/>
      <c r="I364" s="56"/>
      <c r="J364" s="19">
        <v>8</v>
      </c>
      <c r="K364" s="291"/>
      <c r="L364" s="60"/>
      <c r="M364" s="56"/>
      <c r="N364" s="56"/>
      <c r="O364" s="19">
        <v>8</v>
      </c>
      <c r="P364" s="291"/>
      <c r="Q364" s="60"/>
      <c r="R364" s="56"/>
      <c r="S364" s="56"/>
      <c r="T364" s="19">
        <v>8</v>
      </c>
      <c r="U364" s="291"/>
      <c r="V364" s="60"/>
      <c r="W364" s="56"/>
      <c r="X364" s="56"/>
      <c r="Y364" s="19">
        <v>8</v>
      </c>
      <c r="Z364" s="291"/>
      <c r="AA364" s="28">
        <f>SUM(E364+J364+O364+T364+Y364)</f>
        <v>40</v>
      </c>
      <c r="AB364" s="282">
        <f>Z364+U364+P364+K364+F364</f>
        <v>0</v>
      </c>
      <c r="AC364" s="3"/>
      <c r="AD364" s="56"/>
      <c r="AE364" s="56"/>
      <c r="AF364" s="19"/>
      <c r="AG364" s="29">
        <v>0</v>
      </c>
      <c r="AH364" s="3"/>
      <c r="AI364" s="227"/>
      <c r="AK364" s="193" t="s">
        <v>178</v>
      </c>
      <c r="AL364" s="189">
        <f>J368+O368+T368+Y368</f>
        <v>112</v>
      </c>
      <c r="AM364" s="196">
        <f>K366+P366+U366+Z366</f>
        <v>7</v>
      </c>
      <c r="AN364" s="196">
        <f>AG366</f>
        <v>1</v>
      </c>
      <c r="AO364" s="187"/>
      <c r="AP364" s="187"/>
    </row>
    <row r="365" spans="2:42" s="1" customFormat="1">
      <c r="B365" s="63" t="s">
        <v>63</v>
      </c>
      <c r="C365" s="56"/>
      <c r="D365" s="56"/>
      <c r="E365" s="19">
        <v>8</v>
      </c>
      <c r="F365" s="291"/>
      <c r="G365" s="60"/>
      <c r="H365" s="56"/>
      <c r="I365" s="56"/>
      <c r="J365" s="19">
        <v>8</v>
      </c>
      <c r="K365" s="291"/>
      <c r="L365" s="60"/>
      <c r="M365" s="56"/>
      <c r="N365" s="56"/>
      <c r="O365" s="19">
        <v>8</v>
      </c>
      <c r="P365" s="291"/>
      <c r="Q365" s="60"/>
      <c r="R365" s="56"/>
      <c r="S365" s="56"/>
      <c r="T365" s="19">
        <v>8</v>
      </c>
      <c r="U365" s="291"/>
      <c r="V365" s="60"/>
      <c r="W365" s="56"/>
      <c r="X365" s="56"/>
      <c r="Y365" s="19">
        <v>8</v>
      </c>
      <c r="Z365" s="291"/>
      <c r="AA365" s="28">
        <f t="shared" ref="AA365:AA367" si="96">SUM(E365+J365+O365+T365+Y365)</f>
        <v>40</v>
      </c>
      <c r="AB365" s="282">
        <f t="shared" ref="AB365" si="97">Z365+U365+P365+K365+F365</f>
        <v>0</v>
      </c>
      <c r="AC365" s="3"/>
      <c r="AD365" s="56"/>
      <c r="AE365" s="56"/>
      <c r="AF365" s="19"/>
      <c r="AG365" s="29">
        <f>AF365</f>
        <v>0</v>
      </c>
      <c r="AH365" s="3"/>
      <c r="AI365" s="227"/>
      <c r="AK365" s="187"/>
      <c r="AL365" s="187"/>
      <c r="AM365" s="187"/>
      <c r="AN365" s="187"/>
      <c r="AO365" s="187"/>
      <c r="AP365" s="187"/>
    </row>
    <row r="366" spans="2:42" s="1" customFormat="1">
      <c r="B366" s="63" t="s">
        <v>64</v>
      </c>
      <c r="C366" s="56"/>
      <c r="D366" s="56"/>
      <c r="E366" s="19">
        <v>8</v>
      </c>
      <c r="F366" s="291">
        <v>0.75</v>
      </c>
      <c r="G366" s="60"/>
      <c r="H366" s="56"/>
      <c r="I366" s="56"/>
      <c r="J366" s="19">
        <v>8</v>
      </c>
      <c r="K366" s="291">
        <v>2</v>
      </c>
      <c r="L366" s="60"/>
      <c r="M366" s="56"/>
      <c r="N366" s="56"/>
      <c r="O366" s="19">
        <v>8</v>
      </c>
      <c r="P366" s="291">
        <v>2</v>
      </c>
      <c r="Q366" s="60"/>
      <c r="R366" s="56"/>
      <c r="S366" s="56"/>
      <c r="T366" s="19">
        <v>8</v>
      </c>
      <c r="U366" s="291">
        <v>2</v>
      </c>
      <c r="V366" s="60"/>
      <c r="W366" s="56"/>
      <c r="X366" s="56"/>
      <c r="Y366" s="19">
        <v>8</v>
      </c>
      <c r="Z366" s="291">
        <v>1</v>
      </c>
      <c r="AA366" s="28">
        <f t="shared" si="96"/>
        <v>40</v>
      </c>
      <c r="AB366" s="282">
        <f>Z366+U366+P366+K366+F366</f>
        <v>7.75</v>
      </c>
      <c r="AC366" s="3"/>
      <c r="AD366" s="56"/>
      <c r="AE366" s="56"/>
      <c r="AF366" s="19">
        <v>1</v>
      </c>
      <c r="AG366" s="29">
        <f>AF366</f>
        <v>1</v>
      </c>
      <c r="AH366" s="3"/>
      <c r="AI366" s="227"/>
      <c r="AK366" s="187"/>
      <c r="AL366" s="187"/>
      <c r="AM366" s="187"/>
      <c r="AN366" s="187"/>
      <c r="AO366" s="187"/>
      <c r="AP366" s="187"/>
    </row>
    <row r="367" spans="2:42" s="1" customFormat="1" ht="14.25" thickBot="1">
      <c r="B367" s="268" t="s">
        <v>65</v>
      </c>
      <c r="C367" s="75"/>
      <c r="D367" s="75"/>
      <c r="E367" s="77">
        <v>4</v>
      </c>
      <c r="F367" s="292"/>
      <c r="G367" s="81"/>
      <c r="H367" s="75"/>
      <c r="I367" s="75"/>
      <c r="J367" s="77">
        <v>4</v>
      </c>
      <c r="K367" s="292"/>
      <c r="L367" s="81"/>
      <c r="M367" s="75"/>
      <c r="N367" s="75"/>
      <c r="O367" s="77">
        <v>4</v>
      </c>
      <c r="P367" s="292"/>
      <c r="Q367" s="81"/>
      <c r="R367" s="75"/>
      <c r="S367" s="75"/>
      <c r="T367" s="77">
        <v>4</v>
      </c>
      <c r="U367" s="292"/>
      <c r="V367" s="81"/>
      <c r="W367" s="75"/>
      <c r="X367" s="75"/>
      <c r="Y367" s="77">
        <v>4</v>
      </c>
      <c r="Z367" s="292"/>
      <c r="AA367" s="80">
        <f t="shared" si="96"/>
        <v>20</v>
      </c>
      <c r="AB367" s="287">
        <f t="shared" ref="AB367" si="98">Z367+U367+P367+K367+F367</f>
        <v>0</v>
      </c>
      <c r="AC367" s="3"/>
      <c r="AD367" s="75"/>
      <c r="AE367" s="75"/>
      <c r="AF367" s="77"/>
      <c r="AG367" s="276">
        <v>0</v>
      </c>
      <c r="AH367" s="3"/>
      <c r="AI367" s="227"/>
      <c r="AK367" s="187"/>
      <c r="AL367" s="187"/>
      <c r="AM367" s="187"/>
      <c r="AN367" s="187"/>
      <c r="AO367" s="187"/>
      <c r="AP367" s="187"/>
    </row>
    <row r="368" spans="2:42" s="1" customFormat="1" ht="14.25" thickTop="1">
      <c r="B368" s="71" t="s">
        <v>66</v>
      </c>
      <c r="C368" s="68"/>
      <c r="D368" s="68"/>
      <c r="E368" s="71">
        <f>SUM(E364:E367)</f>
        <v>28</v>
      </c>
      <c r="F368" s="72"/>
      <c r="G368" s="72"/>
      <c r="H368" s="68"/>
      <c r="I368" s="68"/>
      <c r="J368" s="71">
        <f>SUM(J364:J367)</f>
        <v>28</v>
      </c>
      <c r="K368" s="72"/>
      <c r="L368" s="72"/>
      <c r="M368" s="68"/>
      <c r="N368" s="68"/>
      <c r="O368" s="71">
        <f>SUM(O364:O367)</f>
        <v>28</v>
      </c>
      <c r="P368" s="72"/>
      <c r="Q368" s="72"/>
      <c r="R368" s="68"/>
      <c r="S368" s="68"/>
      <c r="T368" s="71">
        <f>SUM(T364:T367)</f>
        <v>28</v>
      </c>
      <c r="U368" s="72"/>
      <c r="V368" s="72"/>
      <c r="W368" s="68"/>
      <c r="X368" s="68"/>
      <c r="Y368" s="71">
        <f>SUM(Y364:Y367)</f>
        <v>28</v>
      </c>
      <c r="Z368" s="72"/>
      <c r="AA368" s="247">
        <f>SUM(AA364:AA367)</f>
        <v>140</v>
      </c>
      <c r="AB368" s="247">
        <f>SUM(AB364:AB367)</f>
        <v>7.75</v>
      </c>
      <c r="AC368" s="3"/>
      <c r="AG368" s="247">
        <f>SUM(AG366:AG367)</f>
        <v>1</v>
      </c>
      <c r="AH368" s="3"/>
      <c r="AI368" s="227"/>
      <c r="AK368" s="187"/>
      <c r="AL368" s="187"/>
      <c r="AM368" s="187"/>
      <c r="AN368" s="187"/>
      <c r="AO368" s="187"/>
      <c r="AP368" s="187"/>
    </row>
    <row r="369" spans="1:42" s="1" customFormat="1" ht="13.5" customHeight="1">
      <c r="A369" s="11"/>
      <c r="B369" s="217" t="s">
        <v>67</v>
      </c>
      <c r="C369" s="207">
        <f>C370+C371</f>
        <v>87</v>
      </c>
      <c r="D369" s="208"/>
      <c r="E369" s="209"/>
      <c r="F369" s="209"/>
      <c r="G369" s="208"/>
      <c r="H369" s="209"/>
      <c r="I369" s="209"/>
      <c r="J369" s="209"/>
      <c r="K369" s="209"/>
      <c r="L369" s="208"/>
      <c r="M369" s="208"/>
      <c r="N369" s="208"/>
      <c r="O369" s="208"/>
      <c r="P369" s="209"/>
      <c r="Q369" s="208"/>
      <c r="R369" s="208"/>
      <c r="S369" s="208"/>
      <c r="T369" s="208"/>
      <c r="U369" s="209"/>
      <c r="V369" s="208"/>
      <c r="W369" s="208"/>
      <c r="X369" s="208"/>
      <c r="Y369" s="210"/>
      <c r="Z369" s="209"/>
      <c r="AA369" s="211"/>
      <c r="AB369" s="209"/>
      <c r="AC369" s="211"/>
      <c r="AD369" s="211"/>
      <c r="AE369" s="211"/>
      <c r="AF369" s="211"/>
      <c r="AG369" s="211"/>
      <c r="AH369" s="3"/>
      <c r="AI369" s="227"/>
      <c r="AK369" s="187"/>
      <c r="AL369" s="187"/>
      <c r="AM369" s="187"/>
      <c r="AN369" s="187"/>
      <c r="AO369" s="187"/>
      <c r="AP369" s="187"/>
    </row>
    <row r="370" spans="1:42" s="1" customFormat="1" ht="13.5" customHeight="1">
      <c r="A370" s="11"/>
      <c r="B370" s="238" t="s">
        <v>68</v>
      </c>
      <c r="C370" s="239">
        <f>15+15+11+14+12</f>
        <v>67</v>
      </c>
      <c r="D370" s="208"/>
      <c r="E370" s="209"/>
      <c r="F370" s="209"/>
      <c r="G370" s="208"/>
      <c r="H370" s="209"/>
      <c r="I370" s="209"/>
      <c r="J370" s="209"/>
      <c r="K370" s="209"/>
      <c r="L370" s="208"/>
      <c r="M370" s="208"/>
      <c r="N370" s="208"/>
      <c r="O370" s="208"/>
      <c r="P370" s="209"/>
      <c r="Q370" s="208"/>
      <c r="R370" s="208"/>
      <c r="S370" s="208"/>
      <c r="T370" s="208"/>
      <c r="U370" s="209"/>
      <c r="V370" s="208"/>
      <c r="W370" s="208"/>
      <c r="X370" s="208"/>
      <c r="Y370" s="210"/>
      <c r="Z370" s="209"/>
      <c r="AA370" s="211"/>
      <c r="AB370" s="209"/>
      <c r="AC370" s="211"/>
      <c r="AD370" s="211"/>
      <c r="AE370" s="211"/>
      <c r="AF370" s="211"/>
      <c r="AG370" s="211"/>
      <c r="AH370" s="3"/>
      <c r="AI370" s="227"/>
      <c r="AK370" s="187"/>
      <c r="AL370" s="187"/>
      <c r="AM370" s="187"/>
      <c r="AN370" s="187"/>
      <c r="AO370" s="187"/>
      <c r="AP370" s="187"/>
    </row>
    <row r="371" spans="1:42" s="1" customFormat="1" ht="13.5" customHeight="1">
      <c r="A371" s="11"/>
      <c r="B371" s="238" t="s">
        <v>69</v>
      </c>
      <c r="C371" s="239">
        <f>9+7+4</f>
        <v>20</v>
      </c>
      <c r="D371" s="208"/>
      <c r="E371" s="209"/>
      <c r="F371" s="209"/>
      <c r="G371" s="208"/>
      <c r="H371" s="209"/>
      <c r="I371" s="209"/>
      <c r="J371" s="209"/>
      <c r="K371" s="209"/>
      <c r="L371" s="208"/>
      <c r="M371" s="208"/>
      <c r="N371" s="208"/>
      <c r="O371" s="208"/>
      <c r="P371" s="209"/>
      <c r="Q371" s="208"/>
      <c r="R371" s="208"/>
      <c r="S371" s="208"/>
      <c r="T371" s="208"/>
      <c r="U371" s="209"/>
      <c r="V371" s="208"/>
      <c r="W371" s="208"/>
      <c r="X371" s="208"/>
      <c r="Y371" s="210"/>
      <c r="Z371" s="209"/>
      <c r="AA371" s="211"/>
      <c r="AB371" s="209"/>
      <c r="AC371" s="211"/>
      <c r="AD371" s="211"/>
      <c r="AE371" s="211"/>
      <c r="AF371" s="211"/>
      <c r="AG371" s="211"/>
      <c r="AH371" s="3"/>
      <c r="AI371" s="227"/>
      <c r="AK371" s="187"/>
      <c r="AL371" s="187"/>
      <c r="AM371" s="187"/>
      <c r="AN371" s="187"/>
      <c r="AO371" s="187"/>
      <c r="AP371" s="187"/>
    </row>
    <row r="372" spans="1:42" s="1" customFormat="1" ht="4.5" customHeight="1">
      <c r="A372" s="11"/>
      <c r="B372" s="218"/>
      <c r="C372" s="219"/>
      <c r="D372" s="220"/>
      <c r="E372" s="221"/>
      <c r="F372" s="221"/>
      <c r="G372" s="220"/>
      <c r="H372" s="221"/>
      <c r="I372" s="221"/>
      <c r="J372" s="221"/>
      <c r="K372" s="221"/>
      <c r="L372" s="220"/>
      <c r="M372" s="220"/>
      <c r="N372" s="220"/>
      <c r="O372" s="220"/>
      <c r="P372" s="221"/>
      <c r="Q372" s="220"/>
      <c r="R372" s="220"/>
      <c r="S372" s="220"/>
      <c r="T372" s="220"/>
      <c r="U372" s="221"/>
      <c r="V372" s="220"/>
      <c r="W372" s="220"/>
      <c r="X372" s="220"/>
      <c r="Y372" s="222"/>
      <c r="Z372" s="221"/>
      <c r="AA372" s="223"/>
      <c r="AB372" s="221"/>
      <c r="AC372" s="3"/>
      <c r="AD372" s="168"/>
      <c r="AH372" s="3"/>
      <c r="AI372" s="227"/>
      <c r="AK372" s="187"/>
      <c r="AL372" s="187"/>
      <c r="AM372" s="187"/>
      <c r="AN372" s="187"/>
      <c r="AO372" s="187"/>
      <c r="AP372" s="187"/>
    </row>
    <row r="373" spans="1:42" s="227" customFormat="1" ht="4.5" customHeight="1">
      <c r="A373" s="228"/>
      <c r="B373" s="229"/>
      <c r="C373" s="230"/>
      <c r="D373" s="231"/>
      <c r="E373" s="232"/>
      <c r="F373" s="232"/>
      <c r="G373" s="231"/>
      <c r="H373" s="232"/>
      <c r="I373" s="232"/>
      <c r="J373" s="232"/>
      <c r="K373" s="232"/>
      <c r="L373" s="231"/>
      <c r="M373" s="231"/>
      <c r="N373" s="231"/>
      <c r="O373" s="231"/>
      <c r="P373" s="232"/>
      <c r="Q373" s="231"/>
      <c r="R373" s="231"/>
      <c r="S373" s="231"/>
      <c r="T373" s="231"/>
      <c r="U373" s="232"/>
      <c r="V373" s="231"/>
      <c r="W373" s="231"/>
      <c r="X373" s="231"/>
      <c r="Y373" s="233"/>
      <c r="Z373" s="232"/>
      <c r="AA373" s="234"/>
      <c r="AB373" s="232"/>
      <c r="AC373" s="235"/>
      <c r="AD373" s="236"/>
      <c r="AH373" s="235"/>
    </row>
    <row r="374" spans="1:42" s="187" customFormat="1" ht="4.5" customHeight="1">
      <c r="A374" s="224"/>
      <c r="B374" s="214"/>
      <c r="C374" s="215"/>
      <c r="D374" s="215"/>
      <c r="E374" s="214"/>
      <c r="F374" s="214"/>
      <c r="G374" s="215"/>
      <c r="H374" s="214"/>
      <c r="I374" s="214"/>
      <c r="J374" s="214"/>
      <c r="K374" s="214"/>
      <c r="L374" s="215"/>
      <c r="M374" s="215"/>
      <c r="N374" s="215"/>
      <c r="O374" s="215"/>
      <c r="P374" s="214"/>
      <c r="Q374" s="215"/>
      <c r="R374" s="215"/>
      <c r="S374" s="215"/>
      <c r="T374" s="215"/>
      <c r="U374" s="214"/>
      <c r="V374" s="215"/>
      <c r="W374" s="215"/>
      <c r="X374" s="215"/>
      <c r="Y374" s="216"/>
      <c r="Z374" s="214"/>
      <c r="AA374" s="225"/>
      <c r="AB374" s="214"/>
      <c r="AC374" s="226"/>
      <c r="AH374" s="226"/>
      <c r="AI374" s="227"/>
    </row>
    <row r="375" spans="1:42" s="1" customFormat="1">
      <c r="B375" s="1518" t="s">
        <v>18</v>
      </c>
      <c r="C375" s="1524">
        <v>45152</v>
      </c>
      <c r="D375" s="1524"/>
      <c r="E375" s="1524"/>
      <c r="F375" s="1524"/>
      <c r="G375" s="22"/>
      <c r="H375" s="1524">
        <v>45153</v>
      </c>
      <c r="I375" s="1524"/>
      <c r="J375" s="1524"/>
      <c r="K375" s="1524"/>
      <c r="L375" s="22"/>
      <c r="M375" s="1524">
        <v>45154</v>
      </c>
      <c r="N375" s="1524"/>
      <c r="O375" s="1524"/>
      <c r="P375" s="1524"/>
      <c r="Q375" s="22"/>
      <c r="R375" s="1524">
        <v>45155</v>
      </c>
      <c r="S375" s="1524"/>
      <c r="T375" s="1524"/>
      <c r="U375" s="1524"/>
      <c r="V375" s="22"/>
      <c r="W375" s="1524">
        <v>45156</v>
      </c>
      <c r="X375" s="1524"/>
      <c r="Y375" s="1524"/>
      <c r="Z375" s="1524"/>
      <c r="AA375" s="1517" t="s">
        <v>19</v>
      </c>
      <c r="AB375" s="1517" t="s">
        <v>20</v>
      </c>
      <c r="AC375" s="3"/>
      <c r="AD375" s="1524">
        <v>45157</v>
      </c>
      <c r="AE375" s="1524"/>
      <c r="AF375" s="1524"/>
      <c r="AG375" s="1517" t="s">
        <v>21</v>
      </c>
      <c r="AH375" s="3"/>
      <c r="AI375" s="227"/>
      <c r="AK375" s="194" t="s">
        <v>179</v>
      </c>
      <c r="AL375" s="195"/>
      <c r="AM375" s="195"/>
      <c r="AN375" s="195"/>
      <c r="AO375" s="195"/>
      <c r="AP375" s="195"/>
    </row>
    <row r="376" spans="1:42" s="176" customFormat="1" ht="14.25">
      <c r="B376" s="1518"/>
      <c r="C376" s="21" t="s">
        <v>23</v>
      </c>
      <c r="D376" s="21" t="s">
        <v>24</v>
      </c>
      <c r="E376" s="205" t="s">
        <v>25</v>
      </c>
      <c r="F376" s="18" t="s">
        <v>14</v>
      </c>
      <c r="G376" s="3"/>
      <c r="H376" s="21" t="s">
        <v>23</v>
      </c>
      <c r="I376" s="21" t="s">
        <v>24</v>
      </c>
      <c r="J376" s="18" t="s">
        <v>25</v>
      </c>
      <c r="K376" s="18" t="s">
        <v>14</v>
      </c>
      <c r="L376" s="3"/>
      <c r="M376" s="21" t="s">
        <v>23</v>
      </c>
      <c r="N376" s="21" t="s">
        <v>24</v>
      </c>
      <c r="O376" s="18" t="s">
        <v>25</v>
      </c>
      <c r="P376" s="18" t="s">
        <v>14</v>
      </c>
      <c r="Q376" s="3"/>
      <c r="R376" s="21" t="s">
        <v>23</v>
      </c>
      <c r="S376" s="21" t="s">
        <v>24</v>
      </c>
      <c r="T376" s="18" t="s">
        <v>25</v>
      </c>
      <c r="U376" s="18" t="s">
        <v>14</v>
      </c>
      <c r="V376" s="3"/>
      <c r="W376" s="21" t="s">
        <v>23</v>
      </c>
      <c r="X376" s="21" t="s">
        <v>24</v>
      </c>
      <c r="Y376" s="18" t="s">
        <v>25</v>
      </c>
      <c r="Z376" s="18" t="s">
        <v>14</v>
      </c>
      <c r="AA376" s="1523"/>
      <c r="AB376" s="1517"/>
      <c r="AC376" s="3"/>
      <c r="AD376" s="21" t="s">
        <v>23</v>
      </c>
      <c r="AE376" s="21" t="s">
        <v>24</v>
      </c>
      <c r="AF376" s="18" t="s">
        <v>25</v>
      </c>
      <c r="AG376" s="1523"/>
      <c r="AH376" s="174"/>
      <c r="AI376" s="257"/>
      <c r="AK376" s="188" t="s">
        <v>26</v>
      </c>
      <c r="AL376" s="196">
        <f>AA403</f>
        <v>803.5</v>
      </c>
      <c r="AM376" s="187"/>
      <c r="AN376" s="187"/>
      <c r="AO376" s="187"/>
      <c r="AP376" s="187"/>
    </row>
    <row r="377" spans="1:42" s="176" customFormat="1" ht="14.25">
      <c r="B377" s="171" t="s">
        <v>46</v>
      </c>
      <c r="C377" s="47">
        <v>0.32291666666666669</v>
      </c>
      <c r="D377" s="47">
        <v>0.20833333333333334</v>
      </c>
      <c r="E377" s="19">
        <v>8</v>
      </c>
      <c r="F377" s="277">
        <v>0.25</v>
      </c>
      <c r="G377" s="174"/>
      <c r="H377" s="172">
        <v>0.35416666666666669</v>
      </c>
      <c r="I377" s="172">
        <v>0.20833333333333334</v>
      </c>
      <c r="J377" s="173">
        <v>7.5</v>
      </c>
      <c r="K377" s="277"/>
      <c r="L377" s="174"/>
      <c r="M377" s="172">
        <v>0.35416666666666669</v>
      </c>
      <c r="N377" s="172">
        <v>0.20833333333333334</v>
      </c>
      <c r="O377" s="173">
        <v>7.5</v>
      </c>
      <c r="P377" s="277"/>
      <c r="Q377" s="174"/>
      <c r="R377" s="172">
        <v>0.34375</v>
      </c>
      <c r="S377" s="172">
        <v>0.20833333333333334</v>
      </c>
      <c r="T377" s="173">
        <v>7.75</v>
      </c>
      <c r="U377" s="277"/>
      <c r="V377" s="174"/>
      <c r="W377" s="172">
        <v>0.35416666666666669</v>
      </c>
      <c r="X377" s="172">
        <v>0.20833333333333334</v>
      </c>
      <c r="Y377" s="173">
        <v>7.5</v>
      </c>
      <c r="Z377" s="277"/>
      <c r="AA377" s="28">
        <f t="shared" ref="AA377:AA402" si="99">(E377+J377+O377+T377+Y377)</f>
        <v>38.25</v>
      </c>
      <c r="AB377" s="298">
        <f t="shared" ref="AB377:AB402" si="100">Z377+U377+P377+K377+F377</f>
        <v>0.25</v>
      </c>
      <c r="AC377" s="174"/>
      <c r="AD377" s="175">
        <v>0</v>
      </c>
      <c r="AE377" s="175">
        <v>0</v>
      </c>
      <c r="AF377" s="173">
        <v>0</v>
      </c>
      <c r="AG377" s="183">
        <f t="shared" ref="AG377:AG396" si="101">AF377</f>
        <v>0</v>
      </c>
      <c r="AH377" s="174"/>
      <c r="AI377" s="257"/>
      <c r="AK377" s="188" t="s">
        <v>30</v>
      </c>
      <c r="AL377" s="199">
        <f>AB403</f>
        <v>2.5</v>
      </c>
      <c r="AM377" s="187"/>
      <c r="AN377" s="187"/>
      <c r="AO377" s="187"/>
      <c r="AP377" s="187"/>
    </row>
    <row r="378" spans="1:42" s="176" customFormat="1" ht="14.25">
      <c r="B378" s="171" t="s">
        <v>47</v>
      </c>
      <c r="C378" s="177">
        <v>0.3125</v>
      </c>
      <c r="D378" s="47">
        <v>0.20833333333333334</v>
      </c>
      <c r="E378" s="173">
        <v>8</v>
      </c>
      <c r="F378" s="277">
        <v>0.5</v>
      </c>
      <c r="G378" s="174"/>
      <c r="H378" s="315">
        <v>0.33333333333333331</v>
      </c>
      <c r="I378" s="47">
        <v>0.20833333333333334</v>
      </c>
      <c r="J378" s="173">
        <v>8</v>
      </c>
      <c r="K378" s="277"/>
      <c r="L378" s="174"/>
      <c r="M378" s="172">
        <v>0.3125</v>
      </c>
      <c r="N378" s="172">
        <v>0.20833333333333334</v>
      </c>
      <c r="O378" s="173">
        <v>8</v>
      </c>
      <c r="P378" s="277">
        <v>0.5</v>
      </c>
      <c r="Q378" s="174"/>
      <c r="R378" s="172">
        <v>0.3125</v>
      </c>
      <c r="S378" s="172">
        <v>0.20833333333333334</v>
      </c>
      <c r="T378" s="173">
        <v>8</v>
      </c>
      <c r="U378" s="277">
        <v>0.5</v>
      </c>
      <c r="V378" s="174"/>
      <c r="W378" s="172">
        <v>0.39583333333333331</v>
      </c>
      <c r="X378" s="172">
        <v>0.20833333333333334</v>
      </c>
      <c r="Y378" s="173">
        <v>6.5</v>
      </c>
      <c r="Z378" s="277"/>
      <c r="AA378" s="28">
        <f t="shared" si="99"/>
        <v>38.5</v>
      </c>
      <c r="AB378" s="298">
        <f>Z378+U378+P378+K378+F378</f>
        <v>1.5</v>
      </c>
      <c r="AC378" s="174"/>
      <c r="AD378" s="175">
        <v>0</v>
      </c>
      <c r="AE378" s="175">
        <v>0</v>
      </c>
      <c r="AF378" s="173">
        <v>0</v>
      </c>
      <c r="AG378" s="28">
        <f t="shared" si="101"/>
        <v>0</v>
      </c>
      <c r="AH378" s="174"/>
      <c r="AI378" s="257"/>
      <c r="AK378" s="188" t="s">
        <v>32</v>
      </c>
      <c r="AL378" s="190">
        <f>AG403</f>
        <v>12</v>
      </c>
      <c r="AM378" s="187"/>
      <c r="AN378" s="187"/>
      <c r="AO378" s="187"/>
      <c r="AP378" s="187"/>
    </row>
    <row r="379" spans="1:42" s="176" customFormat="1" ht="14.25">
      <c r="B379" s="171" t="s">
        <v>31</v>
      </c>
      <c r="C379" s="172">
        <v>0.34375</v>
      </c>
      <c r="D379" s="47">
        <v>0.20833333333333334</v>
      </c>
      <c r="E379" s="173">
        <v>7.75</v>
      </c>
      <c r="F379" s="277"/>
      <c r="G379" s="174"/>
      <c r="H379" s="315">
        <v>0.35416666666666669</v>
      </c>
      <c r="I379" s="47">
        <v>0.20833333333333334</v>
      </c>
      <c r="J379" s="173">
        <v>7.5</v>
      </c>
      <c r="K379" s="277"/>
      <c r="L379" s="174"/>
      <c r="M379" s="172">
        <v>0.35416666666666669</v>
      </c>
      <c r="N379" s="172">
        <v>0.20833333333333334</v>
      </c>
      <c r="O379" s="173">
        <v>7.5</v>
      </c>
      <c r="P379" s="277"/>
      <c r="Q379" s="174"/>
      <c r="R379" s="172">
        <v>0.35416666666666669</v>
      </c>
      <c r="S379" s="172">
        <v>0.20833333333333334</v>
      </c>
      <c r="T379" s="173">
        <v>7.5</v>
      </c>
      <c r="U379" s="277"/>
      <c r="V379" s="174"/>
      <c r="W379" s="172">
        <v>0.36458333333333331</v>
      </c>
      <c r="X379" s="172">
        <v>0.20833333333333334</v>
      </c>
      <c r="Y379" s="173">
        <v>7.25</v>
      </c>
      <c r="Z379" s="277"/>
      <c r="AA379" s="28">
        <f t="shared" si="99"/>
        <v>37.5</v>
      </c>
      <c r="AB379" s="298">
        <f t="shared" si="100"/>
        <v>0</v>
      </c>
      <c r="AC379" s="174"/>
      <c r="AD379" s="175">
        <v>0</v>
      </c>
      <c r="AE379" s="175">
        <v>0</v>
      </c>
      <c r="AF379" s="173">
        <v>0</v>
      </c>
      <c r="AG379" s="28">
        <f t="shared" si="101"/>
        <v>0</v>
      </c>
      <c r="AH379" s="174"/>
      <c r="AI379" s="257"/>
      <c r="AK379" s="188" t="s">
        <v>34</v>
      </c>
      <c r="AL379" s="196">
        <f>AA408</f>
        <v>124</v>
      </c>
      <c r="AM379" s="187"/>
      <c r="AN379" s="187"/>
      <c r="AO379" s="187"/>
      <c r="AP379" s="187"/>
    </row>
    <row r="380" spans="1:42" s="1" customFormat="1" ht="14.25">
      <c r="B380" s="171" t="s">
        <v>33</v>
      </c>
      <c r="C380" s="172">
        <v>0.33333333333333331</v>
      </c>
      <c r="D380" s="47">
        <v>0.20833333333333334</v>
      </c>
      <c r="E380" s="173">
        <v>8</v>
      </c>
      <c r="F380" s="277"/>
      <c r="G380" s="174"/>
      <c r="H380" s="172">
        <v>0.33333333333333331</v>
      </c>
      <c r="I380" s="47">
        <v>0.20833333333333334</v>
      </c>
      <c r="J380" s="173">
        <v>8</v>
      </c>
      <c r="K380" s="277"/>
      <c r="L380" s="174"/>
      <c r="M380" s="172">
        <v>0.33333333333333331</v>
      </c>
      <c r="N380" s="172">
        <v>0.20833333333333334</v>
      </c>
      <c r="O380" s="173">
        <v>7</v>
      </c>
      <c r="P380" s="277"/>
      <c r="Q380" s="174"/>
      <c r="R380" s="172">
        <v>0.34375</v>
      </c>
      <c r="S380" s="172">
        <v>0.20833333333333334</v>
      </c>
      <c r="T380" s="173">
        <v>7.75</v>
      </c>
      <c r="U380" s="277"/>
      <c r="V380" s="174"/>
      <c r="W380" s="172">
        <v>0.35416666666666669</v>
      </c>
      <c r="X380" s="172">
        <v>0.20833333333333334</v>
      </c>
      <c r="Y380" s="173">
        <v>7.5</v>
      </c>
      <c r="Z380" s="277"/>
      <c r="AA380" s="28">
        <f t="shared" si="99"/>
        <v>38.25</v>
      </c>
      <c r="AB380" s="298">
        <f t="shared" si="100"/>
        <v>0</v>
      </c>
      <c r="AC380" s="174"/>
      <c r="AD380" s="175">
        <v>0</v>
      </c>
      <c r="AE380" s="175">
        <v>0</v>
      </c>
      <c r="AF380" s="173">
        <v>0</v>
      </c>
      <c r="AG380" s="28">
        <f t="shared" si="101"/>
        <v>0</v>
      </c>
      <c r="AH380" s="3"/>
      <c r="AI380" s="227"/>
      <c r="AK380" s="188" t="s">
        <v>36</v>
      </c>
      <c r="AL380" s="196">
        <f>AB408</f>
        <v>8.25</v>
      </c>
      <c r="AM380" s="187"/>
      <c r="AN380" s="187"/>
      <c r="AO380" s="187"/>
      <c r="AP380" s="187"/>
    </row>
    <row r="381" spans="1:42" s="176" customFormat="1" ht="14.25">
      <c r="B381" s="318" t="s">
        <v>142</v>
      </c>
      <c r="C381" s="331">
        <v>0.4375</v>
      </c>
      <c r="D381" s="47">
        <v>0.20833333333333334</v>
      </c>
      <c r="E381" s="319">
        <v>5.5</v>
      </c>
      <c r="F381" s="320"/>
      <c r="G381" s="3"/>
      <c r="H381" s="326">
        <v>0.47916666666666669</v>
      </c>
      <c r="I381" s="47">
        <v>0.20833333333333334</v>
      </c>
      <c r="J381" s="319">
        <v>5</v>
      </c>
      <c r="K381" s="320"/>
      <c r="L381" s="3"/>
      <c r="M381" s="4">
        <v>0</v>
      </c>
      <c r="N381" s="4">
        <v>0</v>
      </c>
      <c r="O381" s="319">
        <v>0</v>
      </c>
      <c r="P381" s="320"/>
      <c r="Q381" s="3"/>
      <c r="R381" s="47">
        <v>0.39583333333333331</v>
      </c>
      <c r="S381" s="47">
        <v>0.20833333333333334</v>
      </c>
      <c r="T381" s="319">
        <v>6.5</v>
      </c>
      <c r="U381" s="320"/>
      <c r="V381" s="3"/>
      <c r="W381" s="47">
        <v>0.39583333333333331</v>
      </c>
      <c r="X381" s="47">
        <v>0.20833333333333334</v>
      </c>
      <c r="Y381" s="319">
        <v>6.5</v>
      </c>
      <c r="Z381" s="320"/>
      <c r="AA381" s="328">
        <f t="shared" si="99"/>
        <v>23.5</v>
      </c>
      <c r="AB381" s="298">
        <f t="shared" si="100"/>
        <v>0</v>
      </c>
      <c r="AC381" s="174"/>
      <c r="AD381" s="175">
        <v>0</v>
      </c>
      <c r="AE381" s="175">
        <v>0</v>
      </c>
      <c r="AF381" s="173">
        <v>0</v>
      </c>
      <c r="AG381" s="28">
        <f t="shared" si="101"/>
        <v>0</v>
      </c>
      <c r="AH381" s="174"/>
      <c r="AI381" s="257"/>
      <c r="AK381" s="188" t="s">
        <v>38</v>
      </c>
      <c r="AL381" s="199">
        <f>AG408</f>
        <v>1.5</v>
      </c>
      <c r="AM381" s="187"/>
      <c r="AN381" s="187"/>
      <c r="AO381" s="187"/>
      <c r="AP381" s="187"/>
    </row>
    <row r="382" spans="1:42" s="1" customFormat="1" ht="14.25">
      <c r="B382" s="13" t="s">
        <v>129</v>
      </c>
      <c r="C382" s="47">
        <v>0.34375</v>
      </c>
      <c r="D382" s="47">
        <v>0.20833333333333334</v>
      </c>
      <c r="E382" s="19">
        <v>7.75</v>
      </c>
      <c r="F382" s="277"/>
      <c r="G382" s="3"/>
      <c r="H382" s="47">
        <v>0.35416666666666669</v>
      </c>
      <c r="I382" s="47">
        <v>0.20833333333333334</v>
      </c>
      <c r="J382" s="19">
        <v>7.5</v>
      </c>
      <c r="K382" s="277"/>
      <c r="L382" s="3"/>
      <c r="M382" s="47">
        <v>0.35416666666666669</v>
      </c>
      <c r="N382" s="47">
        <v>0.20833333333333334</v>
      </c>
      <c r="O382" s="19">
        <v>7.5</v>
      </c>
      <c r="P382" s="277"/>
      <c r="Q382" s="3"/>
      <c r="R382" s="12">
        <v>0</v>
      </c>
      <c r="S382" s="12">
        <v>0</v>
      </c>
      <c r="T382" s="19">
        <v>0</v>
      </c>
      <c r="U382" s="277"/>
      <c r="V382" s="3"/>
      <c r="W382" s="16" t="s">
        <v>29</v>
      </c>
      <c r="X382" s="16" t="s">
        <v>29</v>
      </c>
      <c r="Y382" s="19">
        <v>8</v>
      </c>
      <c r="Z382" s="277"/>
      <c r="AA382" s="29">
        <f t="shared" si="99"/>
        <v>30.75</v>
      </c>
      <c r="AB382" s="298">
        <f t="shared" si="100"/>
        <v>0</v>
      </c>
      <c r="AC382" s="3"/>
      <c r="AD382" s="4">
        <v>0</v>
      </c>
      <c r="AE382" s="4">
        <v>0</v>
      </c>
      <c r="AF382" s="19">
        <v>0</v>
      </c>
      <c r="AG382" s="29">
        <f t="shared" si="101"/>
        <v>0</v>
      </c>
      <c r="AH382" s="3"/>
      <c r="AI382" s="227"/>
      <c r="AK382" s="188" t="s">
        <v>32</v>
      </c>
      <c r="AL382" s="190">
        <f>AG406</f>
        <v>1.5</v>
      </c>
      <c r="AM382" s="191"/>
      <c r="AN382" s="191"/>
      <c r="AO382" s="191"/>
      <c r="AP382" s="191"/>
    </row>
    <row r="383" spans="1:42" s="1" customFormat="1" ht="14.25">
      <c r="B383" s="13" t="s">
        <v>35</v>
      </c>
      <c r="C383" s="326">
        <v>0.39583333333333331</v>
      </c>
      <c r="D383" s="47">
        <v>0.20833333333333334</v>
      </c>
      <c r="E383" s="19">
        <v>6.5</v>
      </c>
      <c r="F383" s="277"/>
      <c r="G383" s="3"/>
      <c r="H383" s="326">
        <v>0.38541666666666669</v>
      </c>
      <c r="I383" s="47">
        <v>0.20833333333333334</v>
      </c>
      <c r="J383" s="19">
        <v>6.75</v>
      </c>
      <c r="K383" s="277"/>
      <c r="L383" s="3"/>
      <c r="M383" s="326">
        <v>0.38541666666666669</v>
      </c>
      <c r="N383" s="47">
        <v>0.20833333333333334</v>
      </c>
      <c r="O383" s="19">
        <v>6.75</v>
      </c>
      <c r="P383" s="277"/>
      <c r="Q383" s="3"/>
      <c r="R383" s="47">
        <v>0.41666666666666669</v>
      </c>
      <c r="S383" s="47">
        <v>0.20833333333333334</v>
      </c>
      <c r="T383" s="19">
        <v>6</v>
      </c>
      <c r="U383" s="277"/>
      <c r="V383" s="3"/>
      <c r="W383" s="47">
        <v>0.35416666666666669</v>
      </c>
      <c r="X383" s="47">
        <v>0.20833333333333334</v>
      </c>
      <c r="Y383" s="19">
        <v>7</v>
      </c>
      <c r="Z383" s="277"/>
      <c r="AA383" s="29">
        <f t="shared" si="99"/>
        <v>33</v>
      </c>
      <c r="AB383" s="298">
        <f t="shared" si="100"/>
        <v>0</v>
      </c>
      <c r="AC383" s="3"/>
      <c r="AD383" s="4">
        <v>0</v>
      </c>
      <c r="AE383" s="4">
        <v>0</v>
      </c>
      <c r="AF383" s="19">
        <v>0</v>
      </c>
      <c r="AG383" s="29">
        <f t="shared" si="101"/>
        <v>0</v>
      </c>
      <c r="AH383" s="3"/>
      <c r="AI383" s="227"/>
      <c r="AK383" s="188" t="s">
        <v>41</v>
      </c>
      <c r="AL383" s="189">
        <f>C409</f>
        <v>131</v>
      </c>
      <c r="AM383" s="187"/>
      <c r="AN383" s="187"/>
      <c r="AO383" s="187"/>
      <c r="AP383" s="187"/>
    </row>
    <row r="384" spans="1:42" s="1" customFormat="1" ht="14.25">
      <c r="B384" s="13" t="s">
        <v>37</v>
      </c>
      <c r="C384" s="326">
        <v>0.41666666666666669</v>
      </c>
      <c r="D384" s="47">
        <v>0.20833333333333334</v>
      </c>
      <c r="E384" s="19">
        <v>6</v>
      </c>
      <c r="F384" s="277"/>
      <c r="G384" s="3"/>
      <c r="H384" s="326">
        <v>0.40625</v>
      </c>
      <c r="I384" s="47">
        <v>0.20833333333333334</v>
      </c>
      <c r="J384" s="19">
        <v>6.25</v>
      </c>
      <c r="K384" s="277"/>
      <c r="L384" s="3"/>
      <c r="M384" s="326">
        <v>0.39583333333333331</v>
      </c>
      <c r="N384" s="47">
        <v>0.20833333333333334</v>
      </c>
      <c r="O384" s="19">
        <v>6.5</v>
      </c>
      <c r="P384" s="277"/>
      <c r="Q384" s="3"/>
      <c r="R384" s="12">
        <v>0</v>
      </c>
      <c r="S384" s="12">
        <v>0</v>
      </c>
      <c r="T384" s="19">
        <v>0</v>
      </c>
      <c r="U384" s="277"/>
      <c r="V384" s="3"/>
      <c r="W384" s="12">
        <v>0</v>
      </c>
      <c r="X384" s="12">
        <v>0</v>
      </c>
      <c r="Y384" s="19">
        <v>0</v>
      </c>
      <c r="Z384" s="277"/>
      <c r="AA384" s="29">
        <f>(E384+J384+O384+T384+Y384)</f>
        <v>18.75</v>
      </c>
      <c r="AB384" s="298">
        <f t="shared" si="100"/>
        <v>0</v>
      </c>
      <c r="AC384" s="3"/>
      <c r="AD384" s="4">
        <v>0</v>
      </c>
      <c r="AE384" s="4">
        <v>0</v>
      </c>
      <c r="AF384" s="19">
        <v>0</v>
      </c>
      <c r="AG384" s="29">
        <f t="shared" si="101"/>
        <v>0</v>
      </c>
      <c r="AH384" s="3"/>
      <c r="AI384" s="227"/>
      <c r="AK384" s="187"/>
      <c r="AL384" s="187"/>
      <c r="AM384" s="187"/>
      <c r="AN384" s="187"/>
      <c r="AO384" s="187"/>
      <c r="AP384" s="187"/>
    </row>
    <row r="385" spans="2:42" s="1" customFormat="1" ht="14.25">
      <c r="B385" s="13" t="s">
        <v>39</v>
      </c>
      <c r="C385" s="47">
        <v>0.4375</v>
      </c>
      <c r="D385" s="47">
        <v>0.20833333333333334</v>
      </c>
      <c r="E385" s="19">
        <v>5.5</v>
      </c>
      <c r="F385" s="277"/>
      <c r="G385" s="3"/>
      <c r="H385" s="326">
        <v>0.39583333333333331</v>
      </c>
      <c r="I385" s="47">
        <v>0.20833333333333334</v>
      </c>
      <c r="J385" s="19">
        <v>6.5</v>
      </c>
      <c r="K385" s="277"/>
      <c r="L385" s="3"/>
      <c r="M385" s="326">
        <v>0.40625</v>
      </c>
      <c r="N385" s="47">
        <v>0.20833333333333334</v>
      </c>
      <c r="O385" s="19">
        <v>6.25</v>
      </c>
      <c r="P385" s="277"/>
      <c r="Q385" s="3"/>
      <c r="R385" s="12" t="s">
        <v>29</v>
      </c>
      <c r="S385" s="12" t="s">
        <v>29</v>
      </c>
      <c r="T385" s="19">
        <v>8</v>
      </c>
      <c r="U385" s="277"/>
      <c r="V385" s="3"/>
      <c r="W385" s="16" t="s">
        <v>29</v>
      </c>
      <c r="X385" s="16" t="s">
        <v>29</v>
      </c>
      <c r="Y385" s="19">
        <v>8</v>
      </c>
      <c r="Z385" s="277"/>
      <c r="AA385" s="29">
        <f t="shared" si="99"/>
        <v>34.25</v>
      </c>
      <c r="AB385" s="298">
        <f t="shared" si="100"/>
        <v>0</v>
      </c>
      <c r="AC385" s="3"/>
      <c r="AD385" s="4">
        <v>0</v>
      </c>
      <c r="AE385" s="4">
        <v>0</v>
      </c>
      <c r="AF385" s="19">
        <v>0</v>
      </c>
      <c r="AG385" s="29">
        <f t="shared" si="101"/>
        <v>0</v>
      </c>
      <c r="AH385" s="3"/>
      <c r="AI385" s="227"/>
      <c r="AK385" s="187"/>
      <c r="AL385" s="187"/>
      <c r="AM385" s="187"/>
      <c r="AN385" s="187"/>
      <c r="AO385" s="187"/>
      <c r="AP385" s="187"/>
    </row>
    <row r="386" spans="2:42" s="1" customFormat="1" ht="14.25">
      <c r="B386" s="164" t="s">
        <v>40</v>
      </c>
      <c r="C386" s="47">
        <v>0.35416666666666669</v>
      </c>
      <c r="D386" s="47">
        <v>0.20833333333333334</v>
      </c>
      <c r="E386" s="19">
        <v>7.5</v>
      </c>
      <c r="F386" s="277"/>
      <c r="G386" s="3"/>
      <c r="H386" s="47">
        <v>0.33333333333333331</v>
      </c>
      <c r="I386" s="47">
        <v>0.20833333333333334</v>
      </c>
      <c r="J386" s="19">
        <v>8</v>
      </c>
      <c r="K386" s="277"/>
      <c r="L386" s="3"/>
      <c r="M386" s="314">
        <v>0.35416666666666669</v>
      </c>
      <c r="N386" s="47">
        <v>0.20833333333333334</v>
      </c>
      <c r="O386" s="19">
        <v>7.5</v>
      </c>
      <c r="P386" s="277"/>
      <c r="Q386" s="3"/>
      <c r="R386" s="12" t="s">
        <v>29</v>
      </c>
      <c r="S386" s="12" t="s">
        <v>29</v>
      </c>
      <c r="T386" s="19">
        <v>8</v>
      </c>
      <c r="U386" s="277"/>
      <c r="V386" s="3"/>
      <c r="W386" s="16" t="s">
        <v>29</v>
      </c>
      <c r="X386" s="16" t="s">
        <v>29</v>
      </c>
      <c r="Y386" s="19">
        <v>8</v>
      </c>
      <c r="Z386" s="277"/>
      <c r="AA386" s="29">
        <f t="shared" si="99"/>
        <v>39</v>
      </c>
      <c r="AB386" s="298">
        <f t="shared" si="100"/>
        <v>0</v>
      </c>
      <c r="AC386" s="3"/>
      <c r="AD386" s="4">
        <v>0</v>
      </c>
      <c r="AE386" s="4">
        <v>0</v>
      </c>
      <c r="AF386" s="19">
        <v>0</v>
      </c>
      <c r="AG386" s="29">
        <f t="shared" si="101"/>
        <v>0</v>
      </c>
      <c r="AH386" s="3"/>
      <c r="AI386" s="227"/>
      <c r="AK386" s="187"/>
      <c r="AL386" s="187"/>
      <c r="AM386" s="187"/>
      <c r="AN386" s="187"/>
      <c r="AO386" s="187"/>
      <c r="AP386" s="187"/>
    </row>
    <row r="387" spans="2:42" s="1" customFormat="1" ht="14.25">
      <c r="B387" s="164" t="s">
        <v>42</v>
      </c>
      <c r="C387" s="4">
        <v>0</v>
      </c>
      <c r="D387" s="4">
        <v>0</v>
      </c>
      <c r="E387" s="19">
        <v>0</v>
      </c>
      <c r="F387" s="277"/>
      <c r="G387" s="3"/>
      <c r="H387" s="4">
        <v>0</v>
      </c>
      <c r="I387" s="4">
        <v>0</v>
      </c>
      <c r="J387" s="19">
        <v>0</v>
      </c>
      <c r="K387" s="277"/>
      <c r="L387" s="3"/>
      <c r="M387" s="4">
        <v>0</v>
      </c>
      <c r="N387" s="4">
        <v>0</v>
      </c>
      <c r="O387" s="19">
        <v>0</v>
      </c>
      <c r="P387" s="277"/>
      <c r="Q387" s="3"/>
      <c r="R387" s="4">
        <v>0</v>
      </c>
      <c r="S387" s="4">
        <v>0</v>
      </c>
      <c r="T387" s="19">
        <v>0</v>
      </c>
      <c r="U387" s="277"/>
      <c r="V387" s="3"/>
      <c r="W387" s="4">
        <v>0</v>
      </c>
      <c r="X387" s="4">
        <v>0</v>
      </c>
      <c r="Y387" s="19">
        <v>0</v>
      </c>
      <c r="Z387" s="277"/>
      <c r="AA387" s="29">
        <f t="shared" si="99"/>
        <v>0</v>
      </c>
      <c r="AB387" s="298">
        <f t="shared" si="100"/>
        <v>0</v>
      </c>
      <c r="AC387" s="3"/>
      <c r="AD387" s="4">
        <v>0</v>
      </c>
      <c r="AE387" s="4">
        <v>0</v>
      </c>
      <c r="AF387" s="19">
        <v>0</v>
      </c>
      <c r="AG387" s="29">
        <f t="shared" si="101"/>
        <v>0</v>
      </c>
      <c r="AH387" s="3"/>
      <c r="AI387" s="227"/>
      <c r="AK387" s="187"/>
      <c r="AL387" s="187"/>
      <c r="AM387" s="187"/>
      <c r="AN387" s="187"/>
      <c r="AO387" s="187"/>
      <c r="AP387" s="187"/>
    </row>
    <row r="388" spans="2:42" s="1" customFormat="1" ht="14.25">
      <c r="B388" s="13" t="s">
        <v>43</v>
      </c>
      <c r="C388" s="47">
        <v>0.33333333333333331</v>
      </c>
      <c r="D388" s="47">
        <v>0.20833333333333334</v>
      </c>
      <c r="E388" s="19">
        <v>8</v>
      </c>
      <c r="F388" s="277"/>
      <c r="G388" s="3"/>
      <c r="H388" s="47">
        <v>0.35416666666666669</v>
      </c>
      <c r="I388" s="47">
        <v>0.20833333333333334</v>
      </c>
      <c r="J388" s="19">
        <v>7.5</v>
      </c>
      <c r="K388" s="277"/>
      <c r="L388" s="3"/>
      <c r="M388" s="314">
        <v>0.34375</v>
      </c>
      <c r="N388" s="47">
        <v>0.20833333333333334</v>
      </c>
      <c r="O388" s="19">
        <v>7.75</v>
      </c>
      <c r="P388" s="277"/>
      <c r="Q388" s="3"/>
      <c r="R388" s="47">
        <v>0.375</v>
      </c>
      <c r="S388" s="47">
        <v>0.20833333333333334</v>
      </c>
      <c r="T388" s="19">
        <v>7</v>
      </c>
      <c r="U388" s="277"/>
      <c r="V388" s="3"/>
      <c r="W388" s="47">
        <v>0.35416666666666669</v>
      </c>
      <c r="X388" s="47">
        <v>0.20833333333333334</v>
      </c>
      <c r="Y388" s="19">
        <v>7.5</v>
      </c>
      <c r="Z388" s="277"/>
      <c r="AA388" s="29">
        <f t="shared" si="99"/>
        <v>37.75</v>
      </c>
      <c r="AB388" s="298">
        <f t="shared" si="100"/>
        <v>0</v>
      </c>
      <c r="AC388" s="3"/>
      <c r="AD388" s="4">
        <v>0</v>
      </c>
      <c r="AE388" s="4">
        <v>0</v>
      </c>
      <c r="AF388" s="19">
        <v>0</v>
      </c>
      <c r="AG388" s="29">
        <f t="shared" si="101"/>
        <v>0</v>
      </c>
      <c r="AH388" s="3"/>
      <c r="AI388" s="227"/>
      <c r="AK388" s="187"/>
      <c r="AL388" s="187"/>
      <c r="AM388" s="187"/>
      <c r="AN388" s="187"/>
      <c r="AO388" s="187"/>
      <c r="AP388" s="187"/>
    </row>
    <row r="389" spans="2:42" s="1" customFormat="1" ht="14.25">
      <c r="B389" s="13" t="s">
        <v>44</v>
      </c>
      <c r="C389" s="326">
        <v>0.35416666666666669</v>
      </c>
      <c r="D389" s="47">
        <v>0.20833333333333334</v>
      </c>
      <c r="E389" s="19">
        <v>7.5</v>
      </c>
      <c r="F389" s="277"/>
      <c r="G389" s="3"/>
      <c r="H389" s="47">
        <v>0.35416666666666669</v>
      </c>
      <c r="I389" s="47">
        <v>0.20833333333333334</v>
      </c>
      <c r="J389" s="19">
        <v>7.5</v>
      </c>
      <c r="K389" s="277"/>
      <c r="L389" s="3"/>
      <c r="M389" s="314">
        <v>0.34375</v>
      </c>
      <c r="N389" s="47">
        <v>0.20833333333333334</v>
      </c>
      <c r="O389" s="19">
        <v>7.75</v>
      </c>
      <c r="P389" s="277"/>
      <c r="Q389" s="3"/>
      <c r="R389" s="16">
        <v>0.38541666666666669</v>
      </c>
      <c r="S389" s="16">
        <v>0.20833333333333334</v>
      </c>
      <c r="T389" s="19">
        <v>6.75</v>
      </c>
      <c r="U389" s="277"/>
      <c r="V389" s="3"/>
      <c r="W389" s="16" t="s">
        <v>29</v>
      </c>
      <c r="X389" s="16" t="s">
        <v>29</v>
      </c>
      <c r="Y389" s="19">
        <v>8</v>
      </c>
      <c r="Z389" s="277"/>
      <c r="AA389" s="29">
        <f t="shared" si="99"/>
        <v>37.5</v>
      </c>
      <c r="AB389" s="298">
        <f t="shared" si="100"/>
        <v>0</v>
      </c>
      <c r="AC389" s="3"/>
      <c r="AD389" s="4">
        <v>0</v>
      </c>
      <c r="AE389" s="4">
        <v>0</v>
      </c>
      <c r="AF389" s="19">
        <v>0</v>
      </c>
      <c r="AG389" s="29">
        <f t="shared" si="101"/>
        <v>0</v>
      </c>
      <c r="AH389" s="3"/>
      <c r="AI389" s="227"/>
      <c r="AK389" s="187"/>
      <c r="AL389" s="187"/>
      <c r="AM389" s="187"/>
      <c r="AN389" s="187"/>
      <c r="AO389" s="187"/>
      <c r="AP389" s="187"/>
    </row>
    <row r="390" spans="2:42" s="1" customFormat="1" ht="14.25">
      <c r="B390" s="13" t="s">
        <v>45</v>
      </c>
      <c r="C390" s="47">
        <v>0.33333333333333331</v>
      </c>
      <c r="D390" s="47">
        <v>0.20833333333333334</v>
      </c>
      <c r="E390" s="19">
        <v>8</v>
      </c>
      <c r="F390" s="277"/>
      <c r="G390" s="3"/>
      <c r="H390" s="47">
        <v>0.35416666666666669</v>
      </c>
      <c r="I390" s="47">
        <v>0.20833333333333334</v>
      </c>
      <c r="J390" s="19">
        <v>7.5</v>
      </c>
      <c r="K390" s="277"/>
      <c r="L390" s="3"/>
      <c r="M390" s="314">
        <v>0.35416666666666669</v>
      </c>
      <c r="N390" s="47">
        <v>0.20833333333333334</v>
      </c>
      <c r="O390" s="19">
        <v>7.5</v>
      </c>
      <c r="P390" s="277"/>
      <c r="Q390" s="3"/>
      <c r="R390" s="47">
        <v>0.34375</v>
      </c>
      <c r="S390" s="47">
        <v>0.20833333333333334</v>
      </c>
      <c r="T390" s="19">
        <v>7.75</v>
      </c>
      <c r="U390" s="277"/>
      <c r="V390" s="3"/>
      <c r="W390" s="47">
        <v>0.375</v>
      </c>
      <c r="X390" s="47">
        <v>0.20833333333333334</v>
      </c>
      <c r="Y390" s="19">
        <v>7</v>
      </c>
      <c r="Z390" s="277"/>
      <c r="AA390" s="29">
        <f t="shared" si="99"/>
        <v>37.75</v>
      </c>
      <c r="AB390" s="298">
        <f t="shared" si="100"/>
        <v>0</v>
      </c>
      <c r="AC390" s="3"/>
      <c r="AD390" s="4">
        <v>0</v>
      </c>
      <c r="AE390" s="4">
        <v>0</v>
      </c>
      <c r="AF390" s="19">
        <v>0</v>
      </c>
      <c r="AG390" s="29">
        <f t="shared" si="101"/>
        <v>0</v>
      </c>
      <c r="AH390" s="3"/>
      <c r="AI390" s="227"/>
      <c r="AK390" s="187"/>
      <c r="AL390" s="187"/>
      <c r="AM390" s="187"/>
      <c r="AN390" s="187"/>
      <c r="AO390" s="187"/>
      <c r="AP390" s="187"/>
    </row>
    <row r="391" spans="2:42" s="1" customFormat="1" ht="14.25">
      <c r="B391" s="13" t="s">
        <v>173</v>
      </c>
      <c r="C391" s="47">
        <v>0.32291666666666669</v>
      </c>
      <c r="D391" s="47">
        <v>0.20833333333333334</v>
      </c>
      <c r="E391" s="19">
        <v>8.25</v>
      </c>
      <c r="F391" s="277">
        <v>0.25</v>
      </c>
      <c r="G391" s="3"/>
      <c r="H391" s="47">
        <v>0.33333333333333331</v>
      </c>
      <c r="I391" s="47">
        <v>0.20833333333333334</v>
      </c>
      <c r="J391" s="19">
        <v>8</v>
      </c>
      <c r="K391" s="277"/>
      <c r="L391" s="3"/>
      <c r="M391" s="314">
        <v>0.3125</v>
      </c>
      <c r="N391" s="47">
        <v>0.20833333333333334</v>
      </c>
      <c r="O391" s="19">
        <v>8.5</v>
      </c>
      <c r="P391" s="277">
        <v>0.5</v>
      </c>
      <c r="Q391" s="3"/>
      <c r="R391" s="12" t="s">
        <v>29</v>
      </c>
      <c r="S391" s="12" t="s">
        <v>29</v>
      </c>
      <c r="T391" s="19">
        <v>8</v>
      </c>
      <c r="U391" s="277"/>
      <c r="V391" s="3"/>
      <c r="W391" s="47">
        <v>0.40625</v>
      </c>
      <c r="X391" s="47">
        <v>0.20833333333333334</v>
      </c>
      <c r="Y391" s="19">
        <v>6.25</v>
      </c>
      <c r="Z391" s="277"/>
      <c r="AA391" s="29">
        <f t="shared" si="99"/>
        <v>39</v>
      </c>
      <c r="AB391" s="298">
        <f t="shared" si="100"/>
        <v>0.75</v>
      </c>
      <c r="AC391" s="3"/>
      <c r="AD391" s="4">
        <v>0</v>
      </c>
      <c r="AE391" s="4">
        <v>0</v>
      </c>
      <c r="AF391" s="19">
        <v>0</v>
      </c>
      <c r="AG391" s="29">
        <f t="shared" si="101"/>
        <v>0</v>
      </c>
      <c r="AH391" s="3"/>
      <c r="AI391" s="227"/>
      <c r="AK391" s="187"/>
      <c r="AL391" s="187"/>
      <c r="AM391" s="187"/>
      <c r="AN391" s="187"/>
      <c r="AO391" s="187"/>
      <c r="AP391" s="187"/>
    </row>
    <row r="392" spans="2:42" s="1" customFormat="1" ht="14.25">
      <c r="B392" s="13" t="s">
        <v>48</v>
      </c>
      <c r="C392" s="47">
        <v>0.33333333333333331</v>
      </c>
      <c r="D392" s="47">
        <v>0.20833333333333334</v>
      </c>
      <c r="E392" s="19">
        <v>8</v>
      </c>
      <c r="F392" s="277"/>
      <c r="G392" s="3"/>
      <c r="H392" s="47">
        <v>0.33333333333333331</v>
      </c>
      <c r="I392" s="47">
        <v>0.20833333333333334</v>
      </c>
      <c r="J392" s="19">
        <v>8</v>
      </c>
      <c r="K392" s="277"/>
      <c r="L392" s="3"/>
      <c r="M392" s="326">
        <v>0.375</v>
      </c>
      <c r="N392" s="47">
        <v>0.20833333333333334</v>
      </c>
      <c r="O392" s="19">
        <v>7</v>
      </c>
      <c r="P392" s="277"/>
      <c r="Q392" s="3"/>
      <c r="R392" s="47">
        <v>0.34375</v>
      </c>
      <c r="S392" s="47">
        <v>0.20833333333333334</v>
      </c>
      <c r="T392" s="19">
        <v>7.75</v>
      </c>
      <c r="U392" s="277"/>
      <c r="V392" s="3"/>
      <c r="W392" s="47">
        <v>0.35416666666666669</v>
      </c>
      <c r="X392" s="47">
        <v>0.20833333333333334</v>
      </c>
      <c r="Y392" s="19">
        <v>7.5</v>
      </c>
      <c r="Z392" s="277"/>
      <c r="AA392" s="29">
        <f t="shared" si="99"/>
        <v>38.25</v>
      </c>
      <c r="AB392" s="298">
        <f t="shared" si="100"/>
        <v>0</v>
      </c>
      <c r="AC392" s="3"/>
      <c r="AD392" s="4">
        <v>0</v>
      </c>
      <c r="AE392" s="4">
        <v>0</v>
      </c>
      <c r="AF392" s="19">
        <v>0</v>
      </c>
      <c r="AG392" s="29">
        <f t="shared" si="101"/>
        <v>0</v>
      </c>
      <c r="AH392" s="3"/>
      <c r="AI392" s="227"/>
      <c r="AK392" s="187"/>
      <c r="AL392" s="187"/>
      <c r="AM392" s="187"/>
      <c r="AN392" s="187"/>
      <c r="AO392" s="187"/>
      <c r="AP392" s="187"/>
    </row>
    <row r="393" spans="2:42" s="1" customFormat="1" ht="14.25">
      <c r="B393" s="13" t="s">
        <v>49</v>
      </c>
      <c r="C393" s="326">
        <v>0.375</v>
      </c>
      <c r="D393" s="47">
        <v>0.20833333333333334</v>
      </c>
      <c r="E393" s="19">
        <v>7</v>
      </c>
      <c r="F393" s="277"/>
      <c r="G393" s="3"/>
      <c r="H393" s="47">
        <v>0.35416666666666669</v>
      </c>
      <c r="I393" s="47">
        <v>0.20833333333333334</v>
      </c>
      <c r="J393" s="19">
        <v>7.5</v>
      </c>
      <c r="K393" s="277"/>
      <c r="L393" s="3"/>
      <c r="M393" s="314">
        <v>0.35416666666666669</v>
      </c>
      <c r="N393" s="47">
        <v>0.20833333333333334</v>
      </c>
      <c r="O393" s="19">
        <v>7.5</v>
      </c>
      <c r="P393" s="277"/>
      <c r="Q393" s="3"/>
      <c r="R393" s="12" t="s">
        <v>29</v>
      </c>
      <c r="S393" s="12" t="s">
        <v>29</v>
      </c>
      <c r="T393" s="19">
        <v>8</v>
      </c>
      <c r="U393" s="277"/>
      <c r="V393" s="3"/>
      <c r="W393" s="16" t="s">
        <v>29</v>
      </c>
      <c r="X393" s="16" t="s">
        <v>29</v>
      </c>
      <c r="Y393" s="19">
        <v>8</v>
      </c>
      <c r="Z393" s="277"/>
      <c r="AA393" s="29">
        <f t="shared" si="99"/>
        <v>38</v>
      </c>
      <c r="AB393" s="298">
        <f t="shared" si="100"/>
        <v>0</v>
      </c>
      <c r="AC393" s="3"/>
      <c r="AD393" s="4">
        <v>0</v>
      </c>
      <c r="AE393" s="4">
        <v>0</v>
      </c>
      <c r="AF393" s="19">
        <v>0</v>
      </c>
      <c r="AG393" s="29">
        <f t="shared" si="101"/>
        <v>0</v>
      </c>
      <c r="AH393" s="3"/>
      <c r="AI393" s="227"/>
      <c r="AK393" s="187"/>
      <c r="AL393" s="187"/>
      <c r="AM393" s="187"/>
      <c r="AN393" s="187"/>
      <c r="AO393" s="187"/>
      <c r="AP393" s="187"/>
    </row>
    <row r="394" spans="2:42" s="1" customFormat="1" ht="14.25">
      <c r="B394" s="13" t="s">
        <v>50</v>
      </c>
      <c r="C394" s="47">
        <v>0.33333333333333331</v>
      </c>
      <c r="D394" s="47">
        <v>0.20833333333333334</v>
      </c>
      <c r="E394" s="19">
        <v>8</v>
      </c>
      <c r="F394" s="277"/>
      <c r="G394" s="3"/>
      <c r="H394" s="326">
        <v>0.39583333333333331</v>
      </c>
      <c r="I394" s="47">
        <v>0.20833333333333334</v>
      </c>
      <c r="J394" s="19">
        <v>6.5</v>
      </c>
      <c r="K394" s="277"/>
      <c r="L394" s="3"/>
      <c r="M394" s="326">
        <v>0.375</v>
      </c>
      <c r="N394" s="47">
        <v>0.20833333333333334</v>
      </c>
      <c r="O394" s="19">
        <v>7</v>
      </c>
      <c r="P394" s="277"/>
      <c r="Q394" s="3"/>
      <c r="R394" s="47">
        <v>0.38541666666666669</v>
      </c>
      <c r="S394" s="47">
        <v>0.20833333333333334</v>
      </c>
      <c r="T394" s="19">
        <v>6.75</v>
      </c>
      <c r="U394" s="277"/>
      <c r="V394" s="3"/>
      <c r="W394" s="47">
        <v>0.375</v>
      </c>
      <c r="X394" s="47">
        <v>0.20833333333333334</v>
      </c>
      <c r="Y394" s="19">
        <v>7</v>
      </c>
      <c r="Z394" s="277"/>
      <c r="AA394" s="29">
        <f t="shared" si="99"/>
        <v>35.25</v>
      </c>
      <c r="AB394" s="298">
        <f t="shared" si="100"/>
        <v>0</v>
      </c>
      <c r="AC394" s="3"/>
      <c r="AD394" s="4">
        <v>0</v>
      </c>
      <c r="AE394" s="4">
        <v>0</v>
      </c>
      <c r="AF394" s="19">
        <v>0</v>
      </c>
      <c r="AG394" s="29">
        <f t="shared" si="101"/>
        <v>0</v>
      </c>
      <c r="AH394" s="3"/>
      <c r="AI394" s="227"/>
      <c r="AK394" s="187"/>
      <c r="AL394" s="187"/>
      <c r="AM394" s="187"/>
      <c r="AN394" s="187"/>
      <c r="AO394" s="187"/>
      <c r="AP394" s="187"/>
    </row>
    <row r="395" spans="2:42" s="1" customFormat="1" ht="14.25">
      <c r="B395" s="13" t="s">
        <v>51</v>
      </c>
      <c r="C395" s="47">
        <v>0.375</v>
      </c>
      <c r="D395" s="47">
        <v>0.20833333333333334</v>
      </c>
      <c r="E395" s="19">
        <v>7</v>
      </c>
      <c r="F395" s="277"/>
      <c r="G395" s="3"/>
      <c r="H395" s="314">
        <v>0.35416666666666669</v>
      </c>
      <c r="I395" s="47">
        <v>0.20833333333333334</v>
      </c>
      <c r="J395" s="19">
        <v>7.5</v>
      </c>
      <c r="K395" s="277"/>
      <c r="L395" s="3"/>
      <c r="M395" s="314">
        <v>0.34375</v>
      </c>
      <c r="N395" s="47">
        <v>0.20833333333333334</v>
      </c>
      <c r="O395" s="19">
        <v>7.75</v>
      </c>
      <c r="P395" s="277"/>
      <c r="Q395" s="3"/>
      <c r="R395" s="47">
        <v>0.40625</v>
      </c>
      <c r="S395" s="47">
        <v>0.20833333333333334</v>
      </c>
      <c r="T395" s="19">
        <v>6.25</v>
      </c>
      <c r="U395" s="277"/>
      <c r="V395" s="3"/>
      <c r="W395" s="16" t="s">
        <v>29</v>
      </c>
      <c r="X395" s="16" t="s">
        <v>29</v>
      </c>
      <c r="Y395" s="19">
        <v>8</v>
      </c>
      <c r="Z395" s="277"/>
      <c r="AA395" s="29">
        <f t="shared" si="99"/>
        <v>36.5</v>
      </c>
      <c r="AB395" s="298">
        <f t="shared" si="100"/>
        <v>0</v>
      </c>
      <c r="AC395" s="3"/>
      <c r="AD395" s="4">
        <v>0</v>
      </c>
      <c r="AE395" s="4">
        <v>0</v>
      </c>
      <c r="AF395" s="19">
        <v>0</v>
      </c>
      <c r="AG395" s="29">
        <f t="shared" si="101"/>
        <v>0</v>
      </c>
      <c r="AH395" s="3"/>
      <c r="AI395" s="227"/>
      <c r="AK395" s="187"/>
      <c r="AL395" s="187"/>
      <c r="AM395" s="187"/>
      <c r="AN395" s="187"/>
      <c r="AO395" s="187"/>
      <c r="AP395" s="187"/>
    </row>
    <row r="396" spans="2:42" s="1" customFormat="1" ht="14.25">
      <c r="B396" s="329" t="s">
        <v>180</v>
      </c>
      <c r="C396" s="330">
        <v>0.33333333333333331</v>
      </c>
      <c r="D396" s="47">
        <v>0.20833333333333334</v>
      </c>
      <c r="E396" s="19">
        <v>8</v>
      </c>
      <c r="F396" s="277"/>
      <c r="G396" s="3"/>
      <c r="H396" s="4">
        <v>0</v>
      </c>
      <c r="I396" s="4">
        <v>0</v>
      </c>
      <c r="J396" s="19">
        <v>0</v>
      </c>
      <c r="K396" s="277"/>
      <c r="L396" s="3"/>
      <c r="M396" s="47">
        <v>0.36458333333333331</v>
      </c>
      <c r="N396" s="47">
        <v>0.20833333333333334</v>
      </c>
      <c r="O396" s="19">
        <v>7.25</v>
      </c>
      <c r="P396" s="277"/>
      <c r="Q396" s="3"/>
      <c r="R396" s="47">
        <v>0.45833333333333331</v>
      </c>
      <c r="S396" s="47">
        <v>0.20833333333333334</v>
      </c>
      <c r="T396" s="19">
        <v>5</v>
      </c>
      <c r="U396" s="277"/>
      <c r="V396" s="3"/>
      <c r="W396" s="47">
        <v>0.35416666666666669</v>
      </c>
      <c r="X396" s="47">
        <v>0.20833333333333334</v>
      </c>
      <c r="Y396" s="19">
        <v>7.5</v>
      </c>
      <c r="Z396" s="277"/>
      <c r="AA396" s="29">
        <f t="shared" si="99"/>
        <v>27.75</v>
      </c>
      <c r="AB396" s="298">
        <f t="shared" si="100"/>
        <v>0</v>
      </c>
      <c r="AC396" s="3"/>
      <c r="AD396" s="4">
        <v>0</v>
      </c>
      <c r="AE396" s="4">
        <v>0</v>
      </c>
      <c r="AF396" s="19">
        <v>0</v>
      </c>
      <c r="AG396" s="29">
        <f t="shared" si="101"/>
        <v>0</v>
      </c>
      <c r="AH396" s="3"/>
      <c r="AI396" s="227"/>
      <c r="AK396" s="187"/>
      <c r="AL396" s="187"/>
      <c r="AM396" s="187"/>
      <c r="AN396" s="187"/>
      <c r="AO396" s="187"/>
      <c r="AP396" s="187"/>
    </row>
    <row r="397" spans="2:42" s="1" customFormat="1" ht="14.25">
      <c r="B397" s="13" t="s">
        <v>54</v>
      </c>
      <c r="C397" s="4">
        <v>0</v>
      </c>
      <c r="D397" s="4">
        <v>0</v>
      </c>
      <c r="E397" s="19">
        <v>0</v>
      </c>
      <c r="F397" s="277"/>
      <c r="G397" s="3"/>
      <c r="H397" s="4">
        <v>0</v>
      </c>
      <c r="I397" s="4">
        <v>0</v>
      </c>
      <c r="J397" s="19">
        <v>0</v>
      </c>
      <c r="K397" s="277"/>
      <c r="L397" s="3"/>
      <c r="M397" s="4">
        <v>0</v>
      </c>
      <c r="N397" s="4">
        <v>0</v>
      </c>
      <c r="O397" s="19">
        <v>0</v>
      </c>
      <c r="P397" s="277"/>
      <c r="Q397" s="3"/>
      <c r="R397" s="4">
        <v>0</v>
      </c>
      <c r="S397" s="4">
        <v>0</v>
      </c>
      <c r="T397" s="19">
        <v>0</v>
      </c>
      <c r="U397" s="277"/>
      <c r="V397" s="3"/>
      <c r="W397" s="4">
        <v>0</v>
      </c>
      <c r="X397" s="4">
        <v>0</v>
      </c>
      <c r="Y397" s="19">
        <v>0</v>
      </c>
      <c r="Z397" s="277"/>
      <c r="AA397" s="29">
        <f t="shared" si="99"/>
        <v>0</v>
      </c>
      <c r="AB397" s="298">
        <f t="shared" si="100"/>
        <v>0</v>
      </c>
      <c r="AC397" s="3"/>
      <c r="AD397" s="4">
        <v>0</v>
      </c>
      <c r="AE397" s="4">
        <v>0</v>
      </c>
      <c r="AF397" s="19">
        <v>0</v>
      </c>
      <c r="AG397" s="29">
        <f>AF397</f>
        <v>0</v>
      </c>
      <c r="AH397" s="3"/>
      <c r="AI397" s="227"/>
      <c r="AK397" s="187"/>
      <c r="AL397" s="187"/>
      <c r="AM397" s="187"/>
      <c r="AN397" s="187"/>
      <c r="AO397" s="187"/>
      <c r="AP397" s="187"/>
    </row>
    <row r="398" spans="2:42" s="1" customFormat="1" ht="14.25">
      <c r="B398" s="13" t="s">
        <v>55</v>
      </c>
      <c r="C398" s="4">
        <v>0</v>
      </c>
      <c r="D398" s="4">
        <v>0</v>
      </c>
      <c r="E398" s="19">
        <v>0</v>
      </c>
      <c r="F398" s="277"/>
      <c r="G398" s="3"/>
      <c r="H398" s="4">
        <v>0</v>
      </c>
      <c r="I398" s="4">
        <v>0</v>
      </c>
      <c r="J398" s="19">
        <v>0</v>
      </c>
      <c r="K398" s="277"/>
      <c r="L398" s="3"/>
      <c r="M398" s="4">
        <v>0</v>
      </c>
      <c r="N398" s="4">
        <v>0</v>
      </c>
      <c r="O398" s="19">
        <v>0</v>
      </c>
      <c r="P398" s="277"/>
      <c r="Q398" s="3"/>
      <c r="R398" s="4">
        <v>0</v>
      </c>
      <c r="S398" s="4">
        <v>0</v>
      </c>
      <c r="T398" s="19">
        <v>0</v>
      </c>
      <c r="U398" s="277"/>
      <c r="V398" s="3"/>
      <c r="W398" s="4">
        <v>0</v>
      </c>
      <c r="X398" s="4">
        <v>0</v>
      </c>
      <c r="Y398" s="19">
        <v>0</v>
      </c>
      <c r="Z398" s="277"/>
      <c r="AA398" s="29">
        <f t="shared" si="99"/>
        <v>0</v>
      </c>
      <c r="AB398" s="298">
        <f t="shared" si="100"/>
        <v>0</v>
      </c>
      <c r="AC398" s="3"/>
      <c r="AD398" s="47">
        <v>0.375</v>
      </c>
      <c r="AE398" s="47">
        <v>0.45833333333333331</v>
      </c>
      <c r="AF398" s="19">
        <v>12</v>
      </c>
      <c r="AG398" s="29">
        <f>AF398</f>
        <v>12</v>
      </c>
      <c r="AH398" s="3"/>
      <c r="AI398" s="227"/>
      <c r="AK398" s="187"/>
      <c r="AL398" s="187"/>
      <c r="AM398" s="187"/>
      <c r="AN398" s="187"/>
      <c r="AO398" s="187"/>
      <c r="AP398" s="187"/>
    </row>
    <row r="399" spans="2:42" s="1" customFormat="1" ht="14.25">
      <c r="B399" s="138" t="s">
        <v>167</v>
      </c>
      <c r="C399" s="12" t="s">
        <v>29</v>
      </c>
      <c r="D399" s="12" t="s">
        <v>29</v>
      </c>
      <c r="E399" s="19">
        <v>8</v>
      </c>
      <c r="F399" s="277"/>
      <c r="G399" s="3"/>
      <c r="H399" s="12" t="s">
        <v>29</v>
      </c>
      <c r="I399" s="12" t="s">
        <v>29</v>
      </c>
      <c r="J399" s="19">
        <v>8</v>
      </c>
      <c r="K399" s="277"/>
      <c r="L399" s="3"/>
      <c r="M399" s="12" t="s">
        <v>29</v>
      </c>
      <c r="N399" s="12" t="s">
        <v>29</v>
      </c>
      <c r="O399" s="19">
        <v>8</v>
      </c>
      <c r="P399" s="277"/>
      <c r="Q399" s="3"/>
      <c r="R399" s="12" t="s">
        <v>29</v>
      </c>
      <c r="S399" s="12" t="s">
        <v>29</v>
      </c>
      <c r="T399" s="19">
        <v>0</v>
      </c>
      <c r="U399" s="277"/>
      <c r="V399" s="3"/>
      <c r="W399" s="12" t="s">
        <v>29</v>
      </c>
      <c r="X399" s="12" t="s">
        <v>29</v>
      </c>
      <c r="Y399" s="19">
        <v>0</v>
      </c>
      <c r="Z399" s="277"/>
      <c r="AA399" s="29">
        <f t="shared" si="99"/>
        <v>24</v>
      </c>
      <c r="AB399" s="298">
        <f t="shared" si="100"/>
        <v>0</v>
      </c>
      <c r="AC399" s="3"/>
      <c r="AD399" s="4">
        <v>0</v>
      </c>
      <c r="AE399" s="4">
        <v>0</v>
      </c>
      <c r="AF399" s="19">
        <v>0</v>
      </c>
      <c r="AG399" s="29">
        <f>AF399</f>
        <v>0</v>
      </c>
      <c r="AH399" s="3"/>
      <c r="AI399" s="227"/>
      <c r="AK399" s="187"/>
      <c r="AL399" s="187"/>
      <c r="AM399" s="187"/>
      <c r="AN399" s="187"/>
      <c r="AO399" s="187"/>
      <c r="AP399" s="187"/>
    </row>
    <row r="400" spans="2:42" s="1" customFormat="1" ht="15" customHeight="1">
      <c r="B400" s="138" t="s">
        <v>53</v>
      </c>
      <c r="C400" s="12" t="s">
        <v>29</v>
      </c>
      <c r="D400" s="12" t="s">
        <v>29</v>
      </c>
      <c r="E400" s="19">
        <v>8</v>
      </c>
      <c r="F400" s="277"/>
      <c r="G400" s="3"/>
      <c r="H400" s="12" t="s">
        <v>29</v>
      </c>
      <c r="I400" s="12" t="s">
        <v>29</v>
      </c>
      <c r="J400" s="19">
        <v>8</v>
      </c>
      <c r="K400" s="277"/>
      <c r="L400" s="3"/>
      <c r="M400" s="12" t="s">
        <v>29</v>
      </c>
      <c r="N400" s="12" t="s">
        <v>29</v>
      </c>
      <c r="O400" s="19">
        <v>8</v>
      </c>
      <c r="P400" s="277"/>
      <c r="Q400" s="3"/>
      <c r="R400" s="12" t="s">
        <v>29</v>
      </c>
      <c r="S400" s="12" t="s">
        <v>29</v>
      </c>
      <c r="T400" s="19">
        <v>8</v>
      </c>
      <c r="U400" s="277"/>
      <c r="V400" s="3"/>
      <c r="W400" s="12" t="s">
        <v>29</v>
      </c>
      <c r="X400" s="12" t="s">
        <v>29</v>
      </c>
      <c r="Y400" s="19">
        <v>8</v>
      </c>
      <c r="Z400" s="277"/>
      <c r="AA400" s="29">
        <f t="shared" si="99"/>
        <v>40</v>
      </c>
      <c r="AB400" s="298">
        <f t="shared" si="100"/>
        <v>0</v>
      </c>
      <c r="AC400" s="3"/>
      <c r="AD400" s="4">
        <v>0</v>
      </c>
      <c r="AE400" s="4">
        <v>0</v>
      </c>
      <c r="AF400" s="19">
        <v>0</v>
      </c>
      <c r="AG400" s="29">
        <f>AF400</f>
        <v>0</v>
      </c>
      <c r="AH400" s="3"/>
      <c r="AI400" s="227"/>
      <c r="AK400" s="187"/>
      <c r="AL400" s="187"/>
      <c r="AM400" s="187"/>
      <c r="AN400" s="187"/>
      <c r="AO400" s="187"/>
      <c r="AP400" s="187"/>
    </row>
    <row r="401" spans="1:42" s="1" customFormat="1" ht="14.25">
      <c r="B401" s="138" t="s">
        <v>57</v>
      </c>
      <c r="C401" s="12" t="s">
        <v>29</v>
      </c>
      <c r="D401" s="12" t="s">
        <v>29</v>
      </c>
      <c r="E401" s="19">
        <v>8</v>
      </c>
      <c r="F401" s="277"/>
      <c r="G401" s="3"/>
      <c r="H401" s="12" t="s">
        <v>29</v>
      </c>
      <c r="I401" s="12" t="s">
        <v>29</v>
      </c>
      <c r="J401" s="19">
        <v>8</v>
      </c>
      <c r="K401" s="277"/>
      <c r="L401" s="3"/>
      <c r="M401" s="12" t="s">
        <v>29</v>
      </c>
      <c r="N401" s="12" t="s">
        <v>29</v>
      </c>
      <c r="O401" s="19">
        <v>8</v>
      </c>
      <c r="P401" s="277"/>
      <c r="Q401" s="3"/>
      <c r="R401" s="12" t="s">
        <v>29</v>
      </c>
      <c r="S401" s="12" t="s">
        <v>29</v>
      </c>
      <c r="T401" s="19">
        <v>8</v>
      </c>
      <c r="U401" s="277"/>
      <c r="V401" s="3"/>
      <c r="W401" s="12" t="s">
        <v>29</v>
      </c>
      <c r="X401" s="12" t="s">
        <v>29</v>
      </c>
      <c r="Y401" s="19">
        <v>8</v>
      </c>
      <c r="Z401" s="277"/>
      <c r="AA401" s="29">
        <f t="shared" si="99"/>
        <v>40</v>
      </c>
      <c r="AB401" s="298">
        <f t="shared" si="100"/>
        <v>0</v>
      </c>
      <c r="AC401" s="3"/>
      <c r="AD401" s="4">
        <v>0</v>
      </c>
      <c r="AE401" s="4">
        <v>0</v>
      </c>
      <c r="AF401" s="19">
        <v>0</v>
      </c>
      <c r="AG401" s="29">
        <f t="shared" ref="AG401" si="102">AF401</f>
        <v>0</v>
      </c>
      <c r="AH401" s="3"/>
      <c r="AI401" s="227"/>
      <c r="AK401" s="187"/>
      <c r="AL401" s="187"/>
      <c r="AM401" s="187"/>
      <c r="AN401" s="187"/>
      <c r="AO401" s="187"/>
      <c r="AP401" s="187"/>
    </row>
    <row r="402" spans="1:42" s="1" customFormat="1" ht="14.25">
      <c r="B402" s="138" t="s">
        <v>60</v>
      </c>
      <c r="C402" s="12" t="s">
        <v>29</v>
      </c>
      <c r="D402" s="12" t="s">
        <v>29</v>
      </c>
      <c r="E402" s="19">
        <v>8</v>
      </c>
      <c r="F402" s="277"/>
      <c r="G402" s="3"/>
      <c r="H402" s="12" t="s">
        <v>29</v>
      </c>
      <c r="I402" s="12" t="s">
        <v>29</v>
      </c>
      <c r="J402" s="19">
        <v>8</v>
      </c>
      <c r="K402" s="277"/>
      <c r="L402" s="3"/>
      <c r="M402" s="12" t="s">
        <v>29</v>
      </c>
      <c r="N402" s="12" t="s">
        <v>29</v>
      </c>
      <c r="O402" s="19">
        <v>8</v>
      </c>
      <c r="P402" s="277"/>
      <c r="Q402" s="3"/>
      <c r="R402" s="12" t="s">
        <v>29</v>
      </c>
      <c r="S402" s="12" t="s">
        <v>29</v>
      </c>
      <c r="T402" s="19">
        <v>8</v>
      </c>
      <c r="U402" s="277"/>
      <c r="V402" s="3"/>
      <c r="W402" s="12" t="s">
        <v>29</v>
      </c>
      <c r="X402" s="12" t="s">
        <v>29</v>
      </c>
      <c r="Y402" s="19">
        <v>8</v>
      </c>
      <c r="Z402" s="277"/>
      <c r="AA402" s="29">
        <f t="shared" si="99"/>
        <v>40</v>
      </c>
      <c r="AB402" s="298">
        <f t="shared" si="100"/>
        <v>0</v>
      </c>
      <c r="AC402" s="3"/>
      <c r="AD402" s="4">
        <v>0</v>
      </c>
      <c r="AE402" s="4">
        <v>0</v>
      </c>
      <c r="AF402" s="19">
        <v>0</v>
      </c>
      <c r="AG402" s="29">
        <f t="shared" ref="AG402" si="103">AF402</f>
        <v>0</v>
      </c>
      <c r="AH402" s="3"/>
      <c r="AI402" s="227"/>
      <c r="AK402" s="187"/>
      <c r="AL402" s="187"/>
      <c r="AM402" s="187"/>
      <c r="AN402" s="187"/>
      <c r="AO402" s="187"/>
      <c r="AP402" s="187"/>
    </row>
    <row r="403" spans="1:42" s="1" customFormat="1">
      <c r="B403" s="64" t="s">
        <v>61</v>
      </c>
      <c r="C403" s="64"/>
      <c r="D403" s="64"/>
      <c r="E403" s="167">
        <f>SUM(E377:E402)</f>
        <v>172.25</v>
      </c>
      <c r="F403" s="277">
        <f>SUM(F377:F400)</f>
        <v>1</v>
      </c>
      <c r="G403" s="64"/>
      <c r="H403" s="64"/>
      <c r="I403" s="64"/>
      <c r="J403" s="167">
        <f>SUM(J377:J402)</f>
        <v>163</v>
      </c>
      <c r="K403" s="277">
        <f>SUM(K377:K400)</f>
        <v>0</v>
      </c>
      <c r="L403" s="64"/>
      <c r="M403" s="64"/>
      <c r="N403" s="64"/>
      <c r="O403" s="333">
        <f>SUM(O377:O402)</f>
        <v>164.5</v>
      </c>
      <c r="P403" s="277">
        <f>SUM(P377:P400)</f>
        <v>1</v>
      </c>
      <c r="Q403" s="64"/>
      <c r="R403" s="64"/>
      <c r="S403" s="64"/>
      <c r="T403" s="167">
        <f>SUM(T377:T402)</f>
        <v>146.75</v>
      </c>
      <c r="U403" s="277">
        <f>SUM(U377:U400)</f>
        <v>0.5</v>
      </c>
      <c r="V403" s="64"/>
      <c r="W403" s="64"/>
      <c r="X403" s="64"/>
      <c r="Y403" s="333">
        <f>SUM(Y377:Y402)</f>
        <v>157</v>
      </c>
      <c r="Z403" s="277">
        <f>SUM(Z377:Z400)</f>
        <v>0</v>
      </c>
      <c r="AA403" s="247">
        <f>SUM(AA377:AA402)</f>
        <v>803.5</v>
      </c>
      <c r="AB403" s="284">
        <f>SUM(AB377:AB400)</f>
        <v>2.5</v>
      </c>
      <c r="AC403" s="3"/>
      <c r="AD403" s="64"/>
      <c r="AE403" s="64"/>
      <c r="AF403" s="64"/>
      <c r="AG403" s="247">
        <f>SUM(AG377:AG402)</f>
        <v>12</v>
      </c>
      <c r="AH403" s="3"/>
      <c r="AI403" s="227"/>
      <c r="AK403" s="187"/>
      <c r="AL403" s="187"/>
      <c r="AM403" s="187"/>
      <c r="AN403" s="187"/>
      <c r="AO403" s="187"/>
      <c r="AP403" s="187"/>
    </row>
    <row r="404" spans="1:42" s="1" customFormat="1">
      <c r="B404" s="63" t="s">
        <v>62</v>
      </c>
      <c r="C404" s="56"/>
      <c r="D404" s="56"/>
      <c r="E404" s="19">
        <v>8</v>
      </c>
      <c r="F404" s="291"/>
      <c r="G404" s="60"/>
      <c r="H404" s="56"/>
      <c r="I404" s="56"/>
      <c r="J404" s="19">
        <v>8</v>
      </c>
      <c r="K404" s="291"/>
      <c r="L404" s="60"/>
      <c r="M404" s="56"/>
      <c r="N404" s="56"/>
      <c r="O404" s="19">
        <v>8</v>
      </c>
      <c r="P404" s="291"/>
      <c r="Q404" s="60"/>
      <c r="R404" s="56"/>
      <c r="S404" s="56"/>
      <c r="T404" s="19">
        <v>8</v>
      </c>
      <c r="U404" s="291"/>
      <c r="V404" s="60"/>
      <c r="W404" s="56"/>
      <c r="X404" s="56"/>
      <c r="Y404" s="19">
        <v>8</v>
      </c>
      <c r="Z404" s="291"/>
      <c r="AA404" s="28">
        <f>SUM(E404+J404+O404+T404+Y404)</f>
        <v>40</v>
      </c>
      <c r="AB404" s="282">
        <f>Z404+U404+P404+K404+F404</f>
        <v>0</v>
      </c>
      <c r="AC404" s="3"/>
      <c r="AD404" s="56"/>
      <c r="AE404" s="56"/>
      <c r="AF404" s="19"/>
      <c r="AG404" s="29">
        <v>0</v>
      </c>
      <c r="AH404" s="3"/>
      <c r="AI404" s="227"/>
      <c r="AK404" s="187"/>
      <c r="AL404" s="187"/>
      <c r="AM404" s="187"/>
      <c r="AN404" s="187"/>
      <c r="AO404" s="187"/>
      <c r="AP404" s="187"/>
    </row>
    <row r="405" spans="1:42" s="1" customFormat="1">
      <c r="B405" s="63" t="s">
        <v>63</v>
      </c>
      <c r="C405" s="56"/>
      <c r="D405" s="56"/>
      <c r="E405" s="19">
        <v>8</v>
      </c>
      <c r="F405" s="291"/>
      <c r="G405" s="60"/>
      <c r="H405" s="56"/>
      <c r="I405" s="56"/>
      <c r="J405" s="19">
        <v>8</v>
      </c>
      <c r="K405" s="291"/>
      <c r="L405" s="60"/>
      <c r="M405" s="56"/>
      <c r="N405" s="56"/>
      <c r="O405" s="19">
        <v>8</v>
      </c>
      <c r="P405" s="291">
        <v>0.5</v>
      </c>
      <c r="Q405" s="60"/>
      <c r="R405" s="56"/>
      <c r="S405" s="56"/>
      <c r="T405" s="19">
        <v>0</v>
      </c>
      <c r="U405" s="291"/>
      <c r="V405" s="60"/>
      <c r="W405" s="56"/>
      <c r="X405" s="56"/>
      <c r="Y405" s="19">
        <v>0</v>
      </c>
      <c r="Z405" s="291"/>
      <c r="AA405" s="28">
        <f>SUM(E405+J405+O405+T405+Y405)</f>
        <v>24</v>
      </c>
      <c r="AB405" s="282">
        <f>Z405+U405+P405+K405+F405</f>
        <v>0.5</v>
      </c>
      <c r="AC405" s="3"/>
      <c r="AD405" s="56"/>
      <c r="AE405" s="56"/>
      <c r="AF405" s="19"/>
      <c r="AG405" s="29">
        <f>AF405</f>
        <v>0</v>
      </c>
      <c r="AH405" s="3"/>
      <c r="AI405" s="227"/>
      <c r="AK405" s="187"/>
      <c r="AL405" s="187"/>
      <c r="AM405" s="187"/>
      <c r="AN405" s="187"/>
      <c r="AO405" s="187"/>
      <c r="AP405" s="187"/>
    </row>
    <row r="406" spans="1:42" s="1" customFormat="1">
      <c r="B406" s="63" t="s">
        <v>64</v>
      </c>
      <c r="C406" s="56"/>
      <c r="D406" s="56"/>
      <c r="E406" s="19">
        <v>8</v>
      </c>
      <c r="F406" s="291"/>
      <c r="G406" s="60"/>
      <c r="H406" s="56"/>
      <c r="I406" s="56"/>
      <c r="J406" s="19">
        <v>8</v>
      </c>
      <c r="K406" s="291">
        <v>1</v>
      </c>
      <c r="L406" s="60"/>
      <c r="M406" s="56"/>
      <c r="N406" s="56"/>
      <c r="O406" s="19">
        <v>8</v>
      </c>
      <c r="P406" s="291">
        <v>2</v>
      </c>
      <c r="Q406" s="60"/>
      <c r="R406" s="56"/>
      <c r="S406" s="56"/>
      <c r="T406" s="19">
        <v>8</v>
      </c>
      <c r="U406" s="291">
        <v>2.5</v>
      </c>
      <c r="V406" s="60"/>
      <c r="W406" s="56"/>
      <c r="X406" s="56"/>
      <c r="Y406" s="19">
        <v>8</v>
      </c>
      <c r="Z406" s="291">
        <v>2.25</v>
      </c>
      <c r="AA406" s="28">
        <f>SUM(E406+J406+O406+T406+Y406)</f>
        <v>40</v>
      </c>
      <c r="AB406" s="282">
        <f>Z406+U406+P406+K406+F406</f>
        <v>7.75</v>
      </c>
      <c r="AC406" s="3"/>
      <c r="AD406" s="56"/>
      <c r="AE406" s="56"/>
      <c r="AF406" s="19"/>
      <c r="AG406" s="29">
        <v>1.5</v>
      </c>
      <c r="AH406" s="3"/>
      <c r="AI406" s="227"/>
      <c r="AK406" s="187"/>
      <c r="AL406" s="187"/>
      <c r="AM406" s="187"/>
      <c r="AN406" s="187"/>
      <c r="AO406" s="187"/>
      <c r="AP406" s="187"/>
    </row>
    <row r="407" spans="1:42" s="1" customFormat="1" ht="14.25" thickBot="1">
      <c r="B407" s="268" t="s">
        <v>65</v>
      </c>
      <c r="C407" s="75"/>
      <c r="D407" s="75"/>
      <c r="E407" s="77">
        <v>4</v>
      </c>
      <c r="F407" s="292"/>
      <c r="G407" s="81"/>
      <c r="H407" s="75"/>
      <c r="I407" s="75"/>
      <c r="J407" s="77">
        <v>4</v>
      </c>
      <c r="K407" s="292"/>
      <c r="L407" s="81"/>
      <c r="M407" s="75"/>
      <c r="N407" s="75"/>
      <c r="O407" s="77">
        <v>4</v>
      </c>
      <c r="P407" s="292"/>
      <c r="Q407" s="81"/>
      <c r="R407" s="75"/>
      <c r="S407" s="75"/>
      <c r="T407" s="77">
        <v>4</v>
      </c>
      <c r="U407" s="292"/>
      <c r="V407" s="81"/>
      <c r="W407" s="75"/>
      <c r="X407" s="75"/>
      <c r="Y407" s="77">
        <v>4</v>
      </c>
      <c r="Z407" s="292"/>
      <c r="AA407" s="80">
        <f>SUM(E407+J407+O407+T407+Y407)</f>
        <v>20</v>
      </c>
      <c r="AB407" s="294">
        <f>Z407+U407+P407+K407+F407</f>
        <v>0</v>
      </c>
      <c r="AC407" s="3"/>
      <c r="AD407" s="75"/>
      <c r="AE407" s="75"/>
      <c r="AF407" s="77"/>
      <c r="AG407" s="276">
        <v>0</v>
      </c>
      <c r="AH407" s="3"/>
      <c r="AI407" s="227"/>
      <c r="AK407" s="187"/>
      <c r="AL407" s="187"/>
      <c r="AM407" s="187"/>
      <c r="AN407" s="187"/>
      <c r="AO407" s="187"/>
      <c r="AP407" s="187"/>
    </row>
    <row r="408" spans="1:42" s="1" customFormat="1" ht="14.25" thickTop="1">
      <c r="B408" s="71" t="s">
        <v>66</v>
      </c>
      <c r="C408" s="68"/>
      <c r="D408" s="68"/>
      <c r="E408" s="71">
        <f>SUM(E404:E407)</f>
        <v>28</v>
      </c>
      <c r="F408" s="72"/>
      <c r="G408" s="72"/>
      <c r="H408" s="68"/>
      <c r="I408" s="68"/>
      <c r="J408" s="71">
        <f>SUM(J404:J407)</f>
        <v>28</v>
      </c>
      <c r="K408" s="72"/>
      <c r="L408" s="72"/>
      <c r="M408" s="68"/>
      <c r="N408" s="68"/>
      <c r="O408" s="71">
        <f>SUM(O404:O407)</f>
        <v>28</v>
      </c>
      <c r="P408" s="72"/>
      <c r="Q408" s="72"/>
      <c r="R408" s="68"/>
      <c r="S408" s="68"/>
      <c r="T408" s="71">
        <f>SUM(T404:T407)</f>
        <v>20</v>
      </c>
      <c r="U408" s="72"/>
      <c r="V408" s="72"/>
      <c r="W408" s="68"/>
      <c r="X408" s="68"/>
      <c r="Y408" s="102">
        <f>SUM(Y404:Y407)</f>
        <v>20</v>
      </c>
      <c r="Z408" s="72"/>
      <c r="AA408" s="247">
        <f>SUM(AA404:AA407)</f>
        <v>124</v>
      </c>
      <c r="AB408" s="247">
        <f>SUM(AB404:AB407)</f>
        <v>8.25</v>
      </c>
      <c r="AC408" s="3"/>
      <c r="AG408" s="247">
        <v>1.5</v>
      </c>
      <c r="AH408" s="3"/>
      <c r="AI408" s="227"/>
      <c r="AK408" s="187"/>
      <c r="AL408" s="187"/>
      <c r="AM408" s="187"/>
      <c r="AN408" s="187"/>
      <c r="AO408" s="187"/>
      <c r="AP408" s="187"/>
    </row>
    <row r="409" spans="1:42" s="1" customFormat="1" ht="13.5" customHeight="1">
      <c r="A409" s="11"/>
      <c r="B409" s="217" t="s">
        <v>67</v>
      </c>
      <c r="C409" s="207">
        <f>C410+C411</f>
        <v>131</v>
      </c>
      <c r="D409" s="208"/>
      <c r="E409" s="209"/>
      <c r="F409" s="209"/>
      <c r="G409" s="208"/>
      <c r="H409" s="209"/>
      <c r="I409" s="209"/>
      <c r="J409" s="209"/>
      <c r="K409" s="209"/>
      <c r="L409" s="208"/>
      <c r="M409" s="208"/>
      <c r="N409" s="208"/>
      <c r="O409" s="208"/>
      <c r="P409" s="209"/>
      <c r="Q409" s="208"/>
      <c r="R409" s="208"/>
      <c r="S409" s="208"/>
      <c r="T409" s="208"/>
      <c r="U409" s="209"/>
      <c r="V409" s="208"/>
      <c r="W409" s="208"/>
      <c r="X409" s="208"/>
      <c r="Y409" s="210"/>
      <c r="Z409" s="209"/>
      <c r="AA409" s="211"/>
      <c r="AB409" s="209"/>
      <c r="AC409" s="211"/>
      <c r="AD409" s="211"/>
      <c r="AE409" s="211"/>
      <c r="AF409" s="211"/>
      <c r="AG409" s="211"/>
      <c r="AH409" s="3"/>
      <c r="AI409" s="227"/>
      <c r="AK409" s="187"/>
      <c r="AL409" s="187"/>
      <c r="AM409" s="187"/>
      <c r="AN409" s="187"/>
      <c r="AO409" s="187"/>
      <c r="AP409" s="187"/>
    </row>
    <row r="410" spans="1:42" s="1" customFormat="1" ht="14.25">
      <c r="A410" s="11"/>
      <c r="B410" s="238" t="s">
        <v>68</v>
      </c>
      <c r="C410" s="239">
        <f>15+15+13</f>
        <v>43</v>
      </c>
      <c r="D410" s="208"/>
      <c r="E410" s="209"/>
      <c r="F410" s="209"/>
      <c r="G410" s="208"/>
      <c r="H410" s="209"/>
      <c r="I410" s="209"/>
      <c r="J410" s="209"/>
      <c r="K410" s="209"/>
      <c r="L410" s="208"/>
      <c r="M410" s="208"/>
      <c r="N410" s="208"/>
      <c r="O410" s="208"/>
      <c r="P410" s="209"/>
      <c r="Q410" s="208"/>
      <c r="R410" s="208"/>
      <c r="S410" s="208"/>
      <c r="T410" s="208"/>
      <c r="U410" s="209"/>
      <c r="V410" s="208"/>
      <c r="W410" s="208"/>
      <c r="X410" s="208"/>
      <c r="Y410" s="210"/>
      <c r="Z410" s="209"/>
      <c r="AA410" s="211"/>
      <c r="AB410" s="209"/>
      <c r="AC410" s="211"/>
      <c r="AD410" s="211"/>
      <c r="AE410" s="211"/>
      <c r="AF410" s="211"/>
      <c r="AG410" s="211"/>
      <c r="AH410" s="3"/>
      <c r="AI410" s="227"/>
      <c r="AK410" s="187"/>
      <c r="AL410" s="187"/>
      <c r="AM410" s="187"/>
      <c r="AN410" s="187"/>
      <c r="AO410" s="187"/>
      <c r="AP410" s="187"/>
    </row>
    <row r="411" spans="1:42" s="1" customFormat="1" ht="14.25">
      <c r="A411" s="11"/>
      <c r="B411" s="238" t="s">
        <v>69</v>
      </c>
      <c r="C411" s="239">
        <f>12+10+13+27+26</f>
        <v>88</v>
      </c>
      <c r="D411" s="208"/>
      <c r="E411" s="209"/>
      <c r="F411" s="209"/>
      <c r="G411" s="208"/>
      <c r="H411" s="209"/>
      <c r="I411" s="209"/>
      <c r="J411" s="209"/>
      <c r="K411" s="209"/>
      <c r="L411" s="208"/>
      <c r="M411" s="208"/>
      <c r="N411" s="208"/>
      <c r="O411" s="208"/>
      <c r="P411" s="209"/>
      <c r="Q411" s="208"/>
      <c r="R411" s="208"/>
      <c r="S411" s="208"/>
      <c r="T411" s="208"/>
      <c r="U411" s="209"/>
      <c r="V411" s="208"/>
      <c r="W411" s="208"/>
      <c r="X411" s="208"/>
      <c r="Y411" s="210"/>
      <c r="Z411" s="209"/>
      <c r="AA411" s="211"/>
      <c r="AB411" s="209"/>
      <c r="AC411" s="211"/>
      <c r="AD411" s="211"/>
      <c r="AE411" s="211"/>
      <c r="AF411" s="211"/>
      <c r="AG411" s="211"/>
      <c r="AH411" s="3"/>
      <c r="AI411" s="227"/>
      <c r="AK411" s="187"/>
      <c r="AL411" s="187"/>
      <c r="AM411" s="187"/>
      <c r="AN411" s="187"/>
      <c r="AO411" s="187"/>
      <c r="AP411" s="187"/>
    </row>
    <row r="412" spans="1:42" s="1" customFormat="1" ht="14.25">
      <c r="A412" s="11"/>
      <c r="B412" s="218"/>
      <c r="C412" s="332"/>
      <c r="D412" s="220"/>
      <c r="E412" s="221"/>
      <c r="F412" s="221"/>
      <c r="G412" s="220"/>
      <c r="H412" s="221"/>
      <c r="I412" s="221"/>
      <c r="J412" s="221"/>
      <c r="K412" s="221"/>
      <c r="L412" s="220"/>
      <c r="M412" s="220"/>
      <c r="N412" s="220"/>
      <c r="O412" s="220"/>
      <c r="P412" s="221"/>
      <c r="Q412" s="220"/>
      <c r="R412" s="220"/>
      <c r="S412" s="220"/>
      <c r="T412" s="220"/>
      <c r="U412" s="221"/>
      <c r="V412" s="220"/>
      <c r="W412" s="220"/>
      <c r="X412" s="220"/>
      <c r="Y412" s="222"/>
      <c r="Z412" s="221"/>
      <c r="AA412" s="223"/>
      <c r="AB412" s="221"/>
      <c r="AC412" s="3"/>
      <c r="AD412" s="168"/>
      <c r="AH412" s="3"/>
      <c r="AI412" s="227"/>
      <c r="AK412" s="187"/>
      <c r="AL412" s="187"/>
      <c r="AM412" s="187"/>
      <c r="AN412" s="187"/>
      <c r="AO412" s="187"/>
      <c r="AP412" s="187"/>
    </row>
    <row r="413" spans="1:42" s="227" customFormat="1" ht="14.25">
      <c r="A413" s="228"/>
      <c r="B413" s="229"/>
      <c r="C413" s="230"/>
      <c r="D413" s="231"/>
      <c r="E413" s="232"/>
      <c r="F413" s="232"/>
      <c r="G413" s="231"/>
      <c r="H413" s="232"/>
      <c r="I413" s="232"/>
      <c r="J413" s="232"/>
      <c r="K413" s="232"/>
      <c r="L413" s="231"/>
      <c r="M413" s="231"/>
      <c r="N413" s="231"/>
      <c r="O413" s="231"/>
      <c r="P413" s="232"/>
      <c r="Q413" s="231"/>
      <c r="R413" s="231"/>
      <c r="S413" s="231"/>
      <c r="T413" s="231"/>
      <c r="U413" s="232"/>
      <c r="V413" s="231"/>
      <c r="W413" s="231"/>
      <c r="X413" s="231"/>
      <c r="Y413" s="233"/>
      <c r="Z413" s="232"/>
      <c r="AA413" s="234"/>
      <c r="AB413" s="232"/>
      <c r="AC413" s="235"/>
      <c r="AD413" s="236"/>
      <c r="AH413" s="235"/>
    </row>
    <row r="414" spans="1:42" s="187" customFormat="1">
      <c r="A414" s="224"/>
      <c r="B414" s="214"/>
      <c r="C414" s="215"/>
      <c r="D414" s="215"/>
      <c r="E414" s="214"/>
      <c r="F414" s="214"/>
      <c r="G414" s="215"/>
      <c r="H414" s="214"/>
      <c r="I414" s="214"/>
      <c r="J414" s="214"/>
      <c r="K414" s="214"/>
      <c r="L414" s="215"/>
      <c r="M414" s="215"/>
      <c r="N414" s="215"/>
      <c r="O414" s="215"/>
      <c r="P414" s="214"/>
      <c r="Q414" s="215"/>
      <c r="R414" s="215"/>
      <c r="S414" s="215"/>
      <c r="T414" s="215"/>
      <c r="U414" s="214"/>
      <c r="V414" s="215"/>
      <c r="W414" s="215"/>
      <c r="X414" s="215"/>
      <c r="Y414" s="216"/>
      <c r="Z414" s="214"/>
      <c r="AA414" s="225"/>
      <c r="AB414" s="214"/>
      <c r="AC414" s="226"/>
      <c r="AH414" s="226"/>
      <c r="AI414" s="227"/>
    </row>
    <row r="415" spans="1:42" s="1" customFormat="1">
      <c r="B415" s="1518" t="s">
        <v>18</v>
      </c>
      <c r="C415" s="1524">
        <v>45159</v>
      </c>
      <c r="D415" s="1524"/>
      <c r="E415" s="1524"/>
      <c r="F415" s="1524"/>
      <c r="G415" s="22"/>
      <c r="H415" s="1524">
        <v>45160</v>
      </c>
      <c r="I415" s="1524"/>
      <c r="J415" s="1524"/>
      <c r="K415" s="1524"/>
      <c r="L415" s="22"/>
      <c r="M415" s="1524">
        <v>45161</v>
      </c>
      <c r="N415" s="1524"/>
      <c r="O415" s="1524"/>
      <c r="P415" s="1524"/>
      <c r="Q415" s="22"/>
      <c r="R415" s="1524">
        <v>45162</v>
      </c>
      <c r="S415" s="1524"/>
      <c r="T415" s="1524"/>
      <c r="U415" s="1524"/>
      <c r="V415" s="22"/>
      <c r="W415" s="1524">
        <v>45163</v>
      </c>
      <c r="X415" s="1524"/>
      <c r="Y415" s="1524"/>
      <c r="Z415" s="1524"/>
      <c r="AA415" s="1517" t="s">
        <v>19</v>
      </c>
      <c r="AB415" s="1517" t="s">
        <v>20</v>
      </c>
      <c r="AC415" s="3"/>
      <c r="AD415" s="1524">
        <v>45164</v>
      </c>
      <c r="AE415" s="1524"/>
      <c r="AF415" s="1524"/>
      <c r="AG415" s="1517" t="s">
        <v>21</v>
      </c>
      <c r="AH415" s="3"/>
      <c r="AI415" s="227"/>
      <c r="AK415" s="194" t="s">
        <v>181</v>
      </c>
      <c r="AL415" s="195"/>
      <c r="AM415" s="195"/>
      <c r="AN415" s="195"/>
      <c r="AO415" s="195"/>
      <c r="AP415" s="195"/>
    </row>
    <row r="416" spans="1:42" s="176" customFormat="1" ht="14.25">
      <c r="B416" s="1518"/>
      <c r="C416" s="21" t="s">
        <v>23</v>
      </c>
      <c r="D416" s="21" t="s">
        <v>24</v>
      </c>
      <c r="E416" s="205" t="s">
        <v>25</v>
      </c>
      <c r="F416" s="18" t="s">
        <v>14</v>
      </c>
      <c r="G416" s="3"/>
      <c r="H416" s="21" t="s">
        <v>23</v>
      </c>
      <c r="I416" s="21" t="s">
        <v>24</v>
      </c>
      <c r="J416" s="18" t="s">
        <v>25</v>
      </c>
      <c r="K416" s="18" t="s">
        <v>14</v>
      </c>
      <c r="L416" s="3"/>
      <c r="M416" s="21" t="s">
        <v>23</v>
      </c>
      <c r="N416" s="21" t="s">
        <v>24</v>
      </c>
      <c r="O416" s="18" t="s">
        <v>25</v>
      </c>
      <c r="P416" s="18" t="s">
        <v>14</v>
      </c>
      <c r="Q416" s="3"/>
      <c r="R416" s="21" t="s">
        <v>23</v>
      </c>
      <c r="S416" s="21" t="s">
        <v>24</v>
      </c>
      <c r="T416" s="18" t="s">
        <v>25</v>
      </c>
      <c r="U416" s="18" t="s">
        <v>14</v>
      </c>
      <c r="V416" s="3"/>
      <c r="W416" s="21" t="s">
        <v>23</v>
      </c>
      <c r="X416" s="21" t="s">
        <v>24</v>
      </c>
      <c r="Y416" s="18" t="s">
        <v>25</v>
      </c>
      <c r="Z416" s="18" t="s">
        <v>14</v>
      </c>
      <c r="AA416" s="1523"/>
      <c r="AB416" s="1517"/>
      <c r="AC416" s="3"/>
      <c r="AD416" s="21" t="s">
        <v>23</v>
      </c>
      <c r="AE416" s="21" t="s">
        <v>24</v>
      </c>
      <c r="AF416" s="18" t="s">
        <v>25</v>
      </c>
      <c r="AG416" s="1523"/>
      <c r="AH416" s="174"/>
      <c r="AI416" s="257"/>
      <c r="AK416" s="188" t="s">
        <v>26</v>
      </c>
      <c r="AL416" s="196">
        <f>AA444</f>
        <v>632.75</v>
      </c>
      <c r="AM416" s="187"/>
      <c r="AN416" s="187"/>
      <c r="AO416" s="187"/>
      <c r="AP416" s="187"/>
    </row>
    <row r="417" spans="2:42" s="176" customFormat="1" ht="14.25">
      <c r="B417" s="171" t="s">
        <v>46</v>
      </c>
      <c r="C417" s="47">
        <v>0.35416666666666669</v>
      </c>
      <c r="D417" s="47">
        <v>0.20833333333333334</v>
      </c>
      <c r="E417" s="19">
        <v>7.5</v>
      </c>
      <c r="F417" s="277"/>
      <c r="G417" s="174"/>
      <c r="H417" s="172">
        <v>0.35416666666666669</v>
      </c>
      <c r="I417" s="172">
        <v>0.20833333333333334</v>
      </c>
      <c r="J417" s="173">
        <v>8</v>
      </c>
      <c r="K417" s="277"/>
      <c r="L417" s="174"/>
      <c r="M417" s="12" t="s">
        <v>29</v>
      </c>
      <c r="N417" s="12" t="s">
        <v>29</v>
      </c>
      <c r="O417" s="19">
        <v>8</v>
      </c>
      <c r="P417" s="277"/>
      <c r="Q417" s="174"/>
      <c r="R417" s="172">
        <v>0.33333333333333331</v>
      </c>
      <c r="S417" s="172">
        <v>0.20833333333333334</v>
      </c>
      <c r="T417" s="173">
        <v>8</v>
      </c>
      <c r="U417" s="277"/>
      <c r="V417" s="174"/>
      <c r="W417" s="172">
        <v>0.33333333333333331</v>
      </c>
      <c r="X417" s="172">
        <v>0.20833333333333334</v>
      </c>
      <c r="Y417" s="173">
        <v>8</v>
      </c>
      <c r="Z417" s="277"/>
      <c r="AA417" s="28">
        <f t="shared" ref="AA417:AA439" si="104">(E417+J417+O417+T417+Y417)</f>
        <v>39.5</v>
      </c>
      <c r="AB417" s="298">
        <f t="shared" ref="AB417:AB440" si="105">Z417+U417+P417+K417+F417</f>
        <v>0</v>
      </c>
      <c r="AC417" s="174"/>
      <c r="AD417" s="175">
        <v>0</v>
      </c>
      <c r="AE417" s="175">
        <v>0</v>
      </c>
      <c r="AF417" s="173">
        <v>0</v>
      </c>
      <c r="AG417" s="183">
        <f t="shared" ref="AG417:AG434" si="106">AF417</f>
        <v>0</v>
      </c>
      <c r="AH417" s="174"/>
      <c r="AI417" s="257"/>
      <c r="AK417" s="188" t="s">
        <v>30</v>
      </c>
      <c r="AL417" s="190">
        <f>AB444</f>
        <v>0</v>
      </c>
      <c r="AM417" s="187"/>
      <c r="AN417" s="187"/>
      <c r="AO417" s="187"/>
      <c r="AP417" s="187"/>
    </row>
    <row r="418" spans="2:42" s="176" customFormat="1" ht="14.25">
      <c r="B418" s="171" t="s">
        <v>47</v>
      </c>
      <c r="C418" s="4">
        <v>0</v>
      </c>
      <c r="D418" s="4">
        <v>0</v>
      </c>
      <c r="E418" s="173">
        <v>0</v>
      </c>
      <c r="F418" s="277"/>
      <c r="G418" s="174"/>
      <c r="H418" s="4">
        <v>0</v>
      </c>
      <c r="I418" s="4">
        <v>0</v>
      </c>
      <c r="J418" s="19">
        <v>0</v>
      </c>
      <c r="K418" s="277"/>
      <c r="L418" s="174"/>
      <c r="M418" s="4">
        <v>0</v>
      </c>
      <c r="N418" s="4">
        <v>0</v>
      </c>
      <c r="O418" s="173">
        <v>0</v>
      </c>
      <c r="P418" s="277"/>
      <c r="Q418" s="174"/>
      <c r="R418" s="4">
        <v>0</v>
      </c>
      <c r="S418" s="4">
        <v>0</v>
      </c>
      <c r="T418" s="173">
        <v>0</v>
      </c>
      <c r="U418" s="277"/>
      <c r="V418" s="174"/>
      <c r="W418" s="4">
        <v>0</v>
      </c>
      <c r="X418" s="4">
        <v>0</v>
      </c>
      <c r="Y418" s="19">
        <v>0</v>
      </c>
      <c r="Z418" s="277"/>
      <c r="AA418" s="28">
        <f t="shared" si="104"/>
        <v>0</v>
      </c>
      <c r="AB418" s="298">
        <f t="shared" si="105"/>
        <v>0</v>
      </c>
      <c r="AC418" s="174"/>
      <c r="AD418" s="175">
        <v>0</v>
      </c>
      <c r="AE418" s="175">
        <v>0</v>
      </c>
      <c r="AF418" s="173">
        <v>0</v>
      </c>
      <c r="AG418" s="28">
        <f t="shared" si="106"/>
        <v>0</v>
      </c>
      <c r="AH418" s="174"/>
      <c r="AI418" s="257"/>
      <c r="AK418" s="188" t="s">
        <v>32</v>
      </c>
      <c r="AL418" s="190">
        <f>AG444</f>
        <v>0</v>
      </c>
      <c r="AM418" s="187"/>
      <c r="AN418" s="187"/>
      <c r="AO418" s="187"/>
      <c r="AP418" s="187"/>
    </row>
    <row r="419" spans="2:42" s="176" customFormat="1" ht="14.25">
      <c r="B419" s="171" t="s">
        <v>31</v>
      </c>
      <c r="C419" s="172">
        <v>0.33333333333333331</v>
      </c>
      <c r="D419" s="172">
        <v>0.20833333333333334</v>
      </c>
      <c r="E419" s="173">
        <v>8</v>
      </c>
      <c r="F419" s="277"/>
      <c r="G419" s="174"/>
      <c r="H419" s="315">
        <v>0.33333333333333331</v>
      </c>
      <c r="I419" s="172">
        <v>0.20833333333333334</v>
      </c>
      <c r="J419" s="173">
        <v>8</v>
      </c>
      <c r="K419" s="277"/>
      <c r="L419" s="174"/>
      <c r="M419" s="172">
        <v>0.33333333333333331</v>
      </c>
      <c r="N419" s="172">
        <v>0.20833333333333334</v>
      </c>
      <c r="O419" s="173">
        <v>8</v>
      </c>
      <c r="P419" s="277"/>
      <c r="Q419" s="174"/>
      <c r="R419" s="172">
        <v>0.34375</v>
      </c>
      <c r="S419" s="172">
        <v>0.20833333333333334</v>
      </c>
      <c r="T419" s="173">
        <v>7.75</v>
      </c>
      <c r="U419" s="277"/>
      <c r="V419" s="174"/>
      <c r="W419" s="12" t="s">
        <v>29</v>
      </c>
      <c r="X419" s="12" t="s">
        <v>29</v>
      </c>
      <c r="Y419" s="19">
        <v>8</v>
      </c>
      <c r="Z419" s="277"/>
      <c r="AA419" s="28">
        <f t="shared" si="104"/>
        <v>39.75</v>
      </c>
      <c r="AB419" s="298">
        <f t="shared" si="105"/>
        <v>0</v>
      </c>
      <c r="AC419" s="174"/>
      <c r="AD419" s="175">
        <v>0</v>
      </c>
      <c r="AE419" s="175">
        <v>0</v>
      </c>
      <c r="AF419" s="173">
        <v>0</v>
      </c>
      <c r="AG419" s="28">
        <f t="shared" si="106"/>
        <v>0</v>
      </c>
      <c r="AH419" s="174"/>
      <c r="AI419" s="257"/>
      <c r="AK419" s="188" t="s">
        <v>34</v>
      </c>
      <c r="AL419" s="190">
        <f>AA449</f>
        <v>140</v>
      </c>
      <c r="AM419" s="187"/>
      <c r="AN419" s="187"/>
      <c r="AO419" s="187"/>
      <c r="AP419" s="187"/>
    </row>
    <row r="420" spans="2:42" s="1" customFormat="1" ht="14.25">
      <c r="B420" s="171" t="s">
        <v>33</v>
      </c>
      <c r="C420" s="172">
        <v>0.34375</v>
      </c>
      <c r="D420" s="172">
        <v>0.20833333333333334</v>
      </c>
      <c r="E420" s="173">
        <v>7.75</v>
      </c>
      <c r="F420" s="277"/>
      <c r="G420" s="174"/>
      <c r="H420" s="172">
        <v>0.33333333333333331</v>
      </c>
      <c r="I420" s="172">
        <v>0.20833333333333334</v>
      </c>
      <c r="J420" s="173">
        <v>8</v>
      </c>
      <c r="K420" s="277"/>
      <c r="L420" s="174"/>
      <c r="M420" s="172">
        <v>0.40625</v>
      </c>
      <c r="N420" s="172">
        <v>0.20833333333333334</v>
      </c>
      <c r="O420" s="173">
        <v>6.25</v>
      </c>
      <c r="P420" s="277"/>
      <c r="Q420" s="174"/>
      <c r="R420" s="172" t="s">
        <v>29</v>
      </c>
      <c r="S420" s="172" t="s">
        <v>29</v>
      </c>
      <c r="T420" s="173">
        <v>0</v>
      </c>
      <c r="U420" s="277"/>
      <c r="V420" s="174"/>
      <c r="W420" s="172">
        <v>0.33333333333333331</v>
      </c>
      <c r="X420" s="172">
        <v>0.20833333333333334</v>
      </c>
      <c r="Y420" s="173">
        <v>8</v>
      </c>
      <c r="Z420" s="277"/>
      <c r="AA420" s="28">
        <f t="shared" si="104"/>
        <v>30</v>
      </c>
      <c r="AB420" s="298">
        <f t="shared" si="105"/>
        <v>0</v>
      </c>
      <c r="AC420" s="174"/>
      <c r="AD420" s="175">
        <v>0</v>
      </c>
      <c r="AE420" s="175">
        <v>0</v>
      </c>
      <c r="AF420" s="173">
        <v>0</v>
      </c>
      <c r="AG420" s="28">
        <f t="shared" si="106"/>
        <v>0</v>
      </c>
      <c r="AH420" s="3"/>
      <c r="AI420" s="227"/>
      <c r="AK420" s="188" t="s">
        <v>36</v>
      </c>
      <c r="AL420" s="196">
        <f>AB449</f>
        <v>9.25</v>
      </c>
      <c r="AM420" s="187"/>
      <c r="AN420" s="187"/>
      <c r="AO420" s="187"/>
      <c r="AP420" s="187"/>
    </row>
    <row r="421" spans="2:42" s="176" customFormat="1" ht="14.25">
      <c r="B421" s="171" t="s">
        <v>142</v>
      </c>
      <c r="C421" s="177">
        <v>0.38541666666666669</v>
      </c>
      <c r="D421" s="172">
        <v>0.20833333333333334</v>
      </c>
      <c r="E421" s="173">
        <v>6.75</v>
      </c>
      <c r="F421" s="277"/>
      <c r="G421" s="174"/>
      <c r="H421" s="326">
        <v>0.38541666666666669</v>
      </c>
      <c r="I421" s="47">
        <v>0.20833333333333334</v>
      </c>
      <c r="J421" s="173">
        <v>6.75</v>
      </c>
      <c r="K421" s="277"/>
      <c r="L421" s="174"/>
      <c r="M421" s="172">
        <v>0.38541666666666669</v>
      </c>
      <c r="N421" s="172">
        <v>0.20833333333333334</v>
      </c>
      <c r="O421" s="173">
        <v>6.75</v>
      </c>
      <c r="P421" s="277"/>
      <c r="Q421" s="174"/>
      <c r="R421" s="172">
        <v>0.39583333333333331</v>
      </c>
      <c r="S421" s="172">
        <v>0.20833333333333334</v>
      </c>
      <c r="T421" s="173">
        <v>6.5</v>
      </c>
      <c r="U421" s="277"/>
      <c r="V421" s="174"/>
      <c r="W421" s="172">
        <v>0.41666666666666669</v>
      </c>
      <c r="X421" s="172">
        <v>0.20833333333333334</v>
      </c>
      <c r="Y421" s="173">
        <v>6</v>
      </c>
      <c r="Z421" s="277"/>
      <c r="AA421" s="28">
        <f t="shared" si="104"/>
        <v>32.75</v>
      </c>
      <c r="AB421" s="298">
        <f t="shared" si="105"/>
        <v>0</v>
      </c>
      <c r="AC421" s="174"/>
      <c r="AD421" s="175">
        <v>0</v>
      </c>
      <c r="AE421" s="175">
        <v>0</v>
      </c>
      <c r="AF421" s="173">
        <v>0</v>
      </c>
      <c r="AG421" s="28">
        <f t="shared" si="106"/>
        <v>0</v>
      </c>
      <c r="AH421" s="174"/>
      <c r="AI421" s="257"/>
      <c r="AK421" s="188" t="s">
        <v>38</v>
      </c>
      <c r="AL421" s="199">
        <f>AG449</f>
        <v>0.5</v>
      </c>
      <c r="AM421" s="187"/>
      <c r="AN421" s="187"/>
      <c r="AO421" s="187"/>
      <c r="AP421" s="187"/>
    </row>
    <row r="422" spans="2:42" s="1" customFormat="1" ht="14.25">
      <c r="B422" s="13" t="s">
        <v>129</v>
      </c>
      <c r="C422" s="47">
        <v>0.34375</v>
      </c>
      <c r="D422" s="172">
        <v>0.20833333333333334</v>
      </c>
      <c r="E422" s="19">
        <v>7.75</v>
      </c>
      <c r="F422" s="277"/>
      <c r="G422" s="3"/>
      <c r="H422" s="47">
        <v>0.33333333333333331</v>
      </c>
      <c r="I422" s="47">
        <v>0.20833333333333334</v>
      </c>
      <c r="J422" s="19">
        <v>8</v>
      </c>
      <c r="K422" s="277"/>
      <c r="L422" s="3"/>
      <c r="M422" s="47">
        <v>0.34375</v>
      </c>
      <c r="N422" s="47">
        <v>0.20833333333333334</v>
      </c>
      <c r="O422" s="19">
        <v>7.75</v>
      </c>
      <c r="P422" s="277"/>
      <c r="Q422" s="3"/>
      <c r="R422" s="47">
        <v>0.35416666666666669</v>
      </c>
      <c r="S422" s="47">
        <v>0.20833333333333334</v>
      </c>
      <c r="T422" s="19">
        <v>7.5</v>
      </c>
      <c r="U422" s="277"/>
      <c r="V422" s="3"/>
      <c r="W422" s="47">
        <v>0.35416666666666669</v>
      </c>
      <c r="X422" s="47">
        <v>0.20833333333333334</v>
      </c>
      <c r="Y422" s="19">
        <v>7.5</v>
      </c>
      <c r="Z422" s="277"/>
      <c r="AA422" s="29">
        <f t="shared" si="104"/>
        <v>38.5</v>
      </c>
      <c r="AB422" s="298">
        <f t="shared" si="105"/>
        <v>0</v>
      </c>
      <c r="AC422" s="3"/>
      <c r="AD422" s="4">
        <v>0</v>
      </c>
      <c r="AE422" s="4">
        <v>0</v>
      </c>
      <c r="AF422" s="19">
        <v>0</v>
      </c>
      <c r="AG422" s="29">
        <f t="shared" si="106"/>
        <v>0</v>
      </c>
      <c r="AH422" s="3"/>
      <c r="AI422" s="227"/>
      <c r="AK422" s="188" t="s">
        <v>32</v>
      </c>
      <c r="AL422" s="190">
        <f>AG444</f>
        <v>0</v>
      </c>
      <c r="AM422" s="191"/>
      <c r="AN422" s="191"/>
      <c r="AO422" s="191"/>
      <c r="AP422" s="191"/>
    </row>
    <row r="423" spans="2:42" s="1" customFormat="1" ht="14.25">
      <c r="B423" s="13" t="s">
        <v>35</v>
      </c>
      <c r="C423" s="47">
        <v>0.38541666666666669</v>
      </c>
      <c r="D423" s="172">
        <v>0.20833333333333334</v>
      </c>
      <c r="E423" s="19">
        <v>6.75</v>
      </c>
      <c r="F423" s="277"/>
      <c r="G423" s="3"/>
      <c r="H423" s="326">
        <v>0.39583333333333331</v>
      </c>
      <c r="I423" s="47">
        <v>0.20833333333333334</v>
      </c>
      <c r="J423" s="19">
        <v>6.5</v>
      </c>
      <c r="K423" s="277"/>
      <c r="L423" s="3"/>
      <c r="M423" s="314">
        <v>0.39583333333333331</v>
      </c>
      <c r="N423" s="47">
        <v>0.20833333333333334</v>
      </c>
      <c r="O423" s="19">
        <v>6.5</v>
      </c>
      <c r="P423" s="277"/>
      <c r="Q423" s="3"/>
      <c r="R423" s="47">
        <v>0.39583333333333331</v>
      </c>
      <c r="S423" s="47">
        <v>0.20833333333333334</v>
      </c>
      <c r="T423" s="19">
        <v>6.5</v>
      </c>
      <c r="U423" s="277"/>
      <c r="V423" s="3"/>
      <c r="W423" s="47">
        <v>0.35416666666666669</v>
      </c>
      <c r="X423" s="47">
        <v>0.20833333333333334</v>
      </c>
      <c r="Y423" s="19">
        <v>7.5</v>
      </c>
      <c r="Z423" s="277"/>
      <c r="AA423" s="29">
        <f t="shared" si="104"/>
        <v>33.75</v>
      </c>
      <c r="AB423" s="298">
        <f t="shared" si="105"/>
        <v>0</v>
      </c>
      <c r="AC423" s="3"/>
      <c r="AD423" s="4">
        <v>0</v>
      </c>
      <c r="AE423" s="4">
        <v>0</v>
      </c>
      <c r="AF423" s="19">
        <v>0</v>
      </c>
      <c r="AG423" s="29">
        <f t="shared" si="106"/>
        <v>0</v>
      </c>
      <c r="AH423" s="3"/>
      <c r="AI423" s="227"/>
      <c r="AK423" s="188" t="s">
        <v>41</v>
      </c>
      <c r="AL423" s="190">
        <f>C450</f>
        <v>48</v>
      </c>
      <c r="AM423" s="187"/>
      <c r="AN423" s="187"/>
      <c r="AO423" s="187"/>
      <c r="AP423" s="187"/>
    </row>
    <row r="424" spans="2:42" s="1" customFormat="1" ht="14.25">
      <c r="B424" s="13" t="s">
        <v>37</v>
      </c>
      <c r="C424" s="12" t="s">
        <v>29</v>
      </c>
      <c r="D424" s="12" t="s">
        <v>29</v>
      </c>
      <c r="E424" s="19">
        <v>8</v>
      </c>
      <c r="F424" s="277"/>
      <c r="G424" s="3"/>
      <c r="H424" s="4">
        <v>0</v>
      </c>
      <c r="I424" s="4">
        <v>0</v>
      </c>
      <c r="J424" s="19">
        <v>0</v>
      </c>
      <c r="K424" s="277"/>
      <c r="L424" s="3"/>
      <c r="M424" s="4">
        <v>0</v>
      </c>
      <c r="N424" s="4">
        <v>0</v>
      </c>
      <c r="O424" s="19">
        <v>0</v>
      </c>
      <c r="P424" s="277"/>
      <c r="Q424" s="3"/>
      <c r="R424" s="47" t="s">
        <v>29</v>
      </c>
      <c r="S424" s="47" t="s">
        <v>29</v>
      </c>
      <c r="T424" s="19">
        <v>0</v>
      </c>
      <c r="U424" s="277"/>
      <c r="V424" s="3"/>
      <c r="W424" s="4">
        <v>0</v>
      </c>
      <c r="X424" s="4">
        <v>0</v>
      </c>
      <c r="Y424" s="19">
        <v>0</v>
      </c>
      <c r="Z424" s="277"/>
      <c r="AA424" s="29">
        <f t="shared" si="104"/>
        <v>8</v>
      </c>
      <c r="AB424" s="298">
        <f t="shared" si="105"/>
        <v>0</v>
      </c>
      <c r="AC424" s="3"/>
      <c r="AD424" s="4">
        <v>0</v>
      </c>
      <c r="AE424" s="4">
        <v>0</v>
      </c>
      <c r="AF424" s="19">
        <v>0</v>
      </c>
      <c r="AG424" s="29">
        <f t="shared" si="106"/>
        <v>0</v>
      </c>
      <c r="AH424" s="3"/>
      <c r="AI424" s="227"/>
      <c r="AK424" s="187"/>
      <c r="AL424" s="187"/>
      <c r="AM424" s="187"/>
      <c r="AN424" s="187"/>
      <c r="AO424" s="187"/>
      <c r="AP424" s="187"/>
    </row>
    <row r="425" spans="2:42" s="1" customFormat="1" ht="14.25">
      <c r="B425" s="13" t="s">
        <v>39</v>
      </c>
      <c r="C425" s="4">
        <v>0</v>
      </c>
      <c r="D425" s="4">
        <v>0</v>
      </c>
      <c r="E425" s="19">
        <v>0</v>
      </c>
      <c r="F425" s="277"/>
      <c r="G425" s="3"/>
      <c r="H425" s="4">
        <v>0</v>
      </c>
      <c r="I425" s="4">
        <v>0</v>
      </c>
      <c r="J425" s="19">
        <v>0</v>
      </c>
      <c r="K425" s="277"/>
      <c r="L425" s="3"/>
      <c r="M425" s="4">
        <v>0</v>
      </c>
      <c r="N425" s="4">
        <v>0</v>
      </c>
      <c r="O425" s="19">
        <v>0</v>
      </c>
      <c r="P425" s="277"/>
      <c r="Q425" s="3"/>
      <c r="R425" s="4">
        <v>0</v>
      </c>
      <c r="S425" s="4">
        <v>0</v>
      </c>
      <c r="T425" s="19">
        <v>0</v>
      </c>
      <c r="U425" s="277"/>
      <c r="V425" s="3"/>
      <c r="W425" s="4">
        <v>0</v>
      </c>
      <c r="X425" s="4">
        <v>0</v>
      </c>
      <c r="Y425" s="19">
        <v>0</v>
      </c>
      <c r="Z425" s="277"/>
      <c r="AA425" s="29">
        <f t="shared" si="104"/>
        <v>0</v>
      </c>
      <c r="AB425" s="298">
        <f t="shared" si="105"/>
        <v>0</v>
      </c>
      <c r="AC425" s="3"/>
      <c r="AD425" s="4">
        <v>0</v>
      </c>
      <c r="AE425" s="4">
        <v>0</v>
      </c>
      <c r="AF425" s="19">
        <v>0</v>
      </c>
      <c r="AG425" s="29">
        <f t="shared" si="106"/>
        <v>0</v>
      </c>
      <c r="AH425" s="3"/>
      <c r="AI425" s="227"/>
      <c r="AK425" s="187"/>
      <c r="AL425" s="187"/>
      <c r="AM425" s="187"/>
      <c r="AN425" s="187"/>
      <c r="AO425" s="187"/>
      <c r="AP425" s="187"/>
    </row>
    <row r="426" spans="2:42" s="1" customFormat="1" ht="14.25">
      <c r="B426" s="164" t="s">
        <v>40</v>
      </c>
      <c r="C426" s="4">
        <v>0</v>
      </c>
      <c r="D426" s="4">
        <v>0</v>
      </c>
      <c r="E426" s="19">
        <v>0</v>
      </c>
      <c r="F426" s="277"/>
      <c r="G426" s="3"/>
      <c r="H426" s="4">
        <v>0</v>
      </c>
      <c r="I426" s="4">
        <v>0</v>
      </c>
      <c r="J426" s="19">
        <v>0</v>
      </c>
      <c r="K426" s="277"/>
      <c r="L426" s="3"/>
      <c r="M426" s="4">
        <v>0</v>
      </c>
      <c r="N426" s="4">
        <v>0</v>
      </c>
      <c r="O426" s="19">
        <v>0</v>
      </c>
      <c r="P426" s="277"/>
      <c r="Q426" s="3"/>
      <c r="R426" s="4">
        <v>0</v>
      </c>
      <c r="S426" s="4">
        <v>0</v>
      </c>
      <c r="T426" s="19">
        <v>0</v>
      </c>
      <c r="U426" s="277"/>
      <c r="V426" s="3"/>
      <c r="W426" s="4">
        <v>0</v>
      </c>
      <c r="X426" s="4">
        <v>0</v>
      </c>
      <c r="Y426" s="19">
        <v>0</v>
      </c>
      <c r="Z426" s="277"/>
      <c r="AA426" s="29">
        <f t="shared" si="104"/>
        <v>0</v>
      </c>
      <c r="AB426" s="298">
        <f t="shared" si="105"/>
        <v>0</v>
      </c>
      <c r="AC426" s="3"/>
      <c r="AD426" s="4">
        <v>0</v>
      </c>
      <c r="AE426" s="4">
        <v>0</v>
      </c>
      <c r="AF426" s="19">
        <v>0</v>
      </c>
      <c r="AG426" s="29">
        <f t="shared" si="106"/>
        <v>0</v>
      </c>
      <c r="AH426" s="3"/>
      <c r="AI426" s="227"/>
      <c r="AK426" s="187"/>
      <c r="AL426" s="187"/>
      <c r="AM426" s="187"/>
      <c r="AN426" s="187"/>
      <c r="AO426" s="187"/>
      <c r="AP426" s="187"/>
    </row>
    <row r="427" spans="2:42" s="1" customFormat="1" ht="14.25">
      <c r="B427" s="164" t="s">
        <v>42</v>
      </c>
      <c r="C427" s="4">
        <v>0</v>
      </c>
      <c r="D427" s="4">
        <v>0</v>
      </c>
      <c r="E427" s="19">
        <v>0</v>
      </c>
      <c r="F427" s="277"/>
      <c r="G427" s="3"/>
      <c r="H427" s="4">
        <v>0</v>
      </c>
      <c r="I427" s="4">
        <v>0</v>
      </c>
      <c r="J427" s="19">
        <v>0</v>
      </c>
      <c r="K427" s="277"/>
      <c r="L427" s="3"/>
      <c r="M427" s="4">
        <v>0</v>
      </c>
      <c r="N427" s="4">
        <v>0</v>
      </c>
      <c r="O427" s="19">
        <v>0</v>
      </c>
      <c r="P427" s="277"/>
      <c r="Q427" s="3"/>
      <c r="R427" s="4">
        <v>0</v>
      </c>
      <c r="S427" s="4">
        <v>0</v>
      </c>
      <c r="T427" s="19">
        <v>0</v>
      </c>
      <c r="U427" s="277"/>
      <c r="V427" s="3"/>
      <c r="W427" s="4">
        <v>0</v>
      </c>
      <c r="X427" s="4">
        <v>0</v>
      </c>
      <c r="Y427" s="19">
        <v>0</v>
      </c>
      <c r="Z427" s="277"/>
      <c r="AA427" s="29">
        <f t="shared" si="104"/>
        <v>0</v>
      </c>
      <c r="AB427" s="298">
        <f t="shared" si="105"/>
        <v>0</v>
      </c>
      <c r="AC427" s="3"/>
      <c r="AD427" s="4">
        <v>0</v>
      </c>
      <c r="AE427" s="4">
        <v>0</v>
      </c>
      <c r="AF427" s="19">
        <v>0</v>
      </c>
      <c r="AG427" s="29">
        <f t="shared" si="106"/>
        <v>0</v>
      </c>
      <c r="AH427" s="3"/>
      <c r="AI427" s="227"/>
      <c r="AK427" s="187"/>
      <c r="AL427" s="187"/>
      <c r="AM427" s="187"/>
      <c r="AN427" s="187"/>
      <c r="AO427" s="187"/>
      <c r="AP427" s="187"/>
    </row>
    <row r="428" spans="2:42" s="1" customFormat="1" ht="14.25">
      <c r="B428" s="13" t="s">
        <v>43</v>
      </c>
      <c r="C428" s="47">
        <v>0.33333333333333331</v>
      </c>
      <c r="D428" s="172">
        <v>0.20833333333333334</v>
      </c>
      <c r="E428" s="19">
        <v>8</v>
      </c>
      <c r="F428" s="277"/>
      <c r="G428" s="3"/>
      <c r="H428" s="47">
        <v>0.33333333333333331</v>
      </c>
      <c r="I428" s="47">
        <v>0.20833333333333334</v>
      </c>
      <c r="J428" s="19">
        <v>8</v>
      </c>
      <c r="K428" s="277"/>
      <c r="L428" s="3"/>
      <c r="M428" s="314">
        <v>0.35416666666666669</v>
      </c>
      <c r="N428" s="47">
        <v>0.20833333333333334</v>
      </c>
      <c r="O428" s="19">
        <v>8</v>
      </c>
      <c r="P428" s="277"/>
      <c r="Q428" s="3"/>
      <c r="R428" s="314">
        <v>0.33333333333333331</v>
      </c>
      <c r="S428" s="47">
        <v>0.20833333333333334</v>
      </c>
      <c r="T428" s="19">
        <v>8</v>
      </c>
      <c r="U428" s="277"/>
      <c r="V428" s="3"/>
      <c r="W428" s="314">
        <v>0.35416666666666669</v>
      </c>
      <c r="X428" s="47">
        <v>0.20833333333333334</v>
      </c>
      <c r="Y428" s="19">
        <v>7.5</v>
      </c>
      <c r="Z428" s="277"/>
      <c r="AA428" s="29">
        <f t="shared" si="104"/>
        <v>39.5</v>
      </c>
      <c r="AB428" s="298">
        <f t="shared" si="105"/>
        <v>0</v>
      </c>
      <c r="AC428" s="3"/>
      <c r="AD428" s="4">
        <v>0</v>
      </c>
      <c r="AE428" s="4">
        <v>0</v>
      </c>
      <c r="AF428" s="19">
        <v>0</v>
      </c>
      <c r="AG428" s="29">
        <f t="shared" si="106"/>
        <v>0</v>
      </c>
      <c r="AH428" s="3"/>
      <c r="AI428" s="227"/>
      <c r="AK428" s="187"/>
      <c r="AL428" s="187"/>
      <c r="AM428" s="187"/>
      <c r="AN428" s="187"/>
      <c r="AO428" s="187"/>
      <c r="AP428" s="187"/>
    </row>
    <row r="429" spans="2:42" s="1" customFormat="1" ht="14.25">
      <c r="B429" s="13" t="s">
        <v>44</v>
      </c>
      <c r="C429" s="47">
        <v>0.33333333333333331</v>
      </c>
      <c r="D429" s="47">
        <v>0.20833333333333334</v>
      </c>
      <c r="E429" s="19">
        <v>8</v>
      </c>
      <c r="F429" s="277"/>
      <c r="G429" s="3"/>
      <c r="H429" s="47">
        <v>0.33333333333333331</v>
      </c>
      <c r="I429" s="47">
        <v>0.20833333333333334</v>
      </c>
      <c r="J429" s="19">
        <v>8</v>
      </c>
      <c r="K429" s="277"/>
      <c r="L429" s="3"/>
      <c r="M429" s="47">
        <v>0.39583333333333331</v>
      </c>
      <c r="N429" s="47">
        <v>0.20833333333333334</v>
      </c>
      <c r="O429" s="19">
        <v>6.5</v>
      </c>
      <c r="P429" s="277"/>
      <c r="Q429" s="3"/>
      <c r="R429" s="314">
        <v>0.375</v>
      </c>
      <c r="S429" s="47">
        <v>0.20833333333333334</v>
      </c>
      <c r="T429" s="19">
        <v>7</v>
      </c>
      <c r="U429" s="277"/>
      <c r="V429" s="3"/>
      <c r="W429" s="47">
        <v>0.35416666666666669</v>
      </c>
      <c r="X429" s="47">
        <v>0.20833333333333334</v>
      </c>
      <c r="Y429" s="19">
        <v>7.5</v>
      </c>
      <c r="Z429" s="277"/>
      <c r="AA429" s="29">
        <f t="shared" si="104"/>
        <v>37</v>
      </c>
      <c r="AB429" s="298">
        <f t="shared" si="105"/>
        <v>0</v>
      </c>
      <c r="AC429" s="3"/>
      <c r="AD429" s="4">
        <v>0</v>
      </c>
      <c r="AE429" s="4">
        <v>0</v>
      </c>
      <c r="AF429" s="19">
        <v>0</v>
      </c>
      <c r="AG429" s="29">
        <f t="shared" si="106"/>
        <v>0</v>
      </c>
      <c r="AH429" s="3"/>
      <c r="AI429" s="227"/>
      <c r="AK429" s="187"/>
      <c r="AL429" s="187"/>
      <c r="AM429" s="187"/>
      <c r="AN429" s="187"/>
      <c r="AO429" s="187"/>
      <c r="AP429" s="187"/>
    </row>
    <row r="430" spans="2:42" s="1" customFormat="1" ht="14.25">
      <c r="B430" s="13" t="s">
        <v>45</v>
      </c>
      <c r="C430" s="4">
        <v>0</v>
      </c>
      <c r="D430" s="4">
        <v>0</v>
      </c>
      <c r="E430" s="19">
        <v>0</v>
      </c>
      <c r="F430" s="277"/>
      <c r="G430" s="3"/>
      <c r="H430" s="4">
        <v>0</v>
      </c>
      <c r="I430" s="4">
        <v>0</v>
      </c>
      <c r="J430" s="19">
        <v>0</v>
      </c>
      <c r="K430" s="277"/>
      <c r="L430" s="3"/>
      <c r="M430" s="4">
        <v>0</v>
      </c>
      <c r="N430" s="4">
        <v>0</v>
      </c>
      <c r="O430" s="19">
        <v>0</v>
      </c>
      <c r="P430" s="277"/>
      <c r="Q430" s="3"/>
      <c r="R430" s="4">
        <v>0</v>
      </c>
      <c r="S430" s="4">
        <v>0</v>
      </c>
      <c r="T430" s="19">
        <v>0</v>
      </c>
      <c r="U430" s="277"/>
      <c r="V430" s="3"/>
      <c r="W430" s="4">
        <v>0</v>
      </c>
      <c r="X430" s="4">
        <v>0</v>
      </c>
      <c r="Y430" s="19">
        <v>0</v>
      </c>
      <c r="Z430" s="277"/>
      <c r="AA430" s="29">
        <f t="shared" si="104"/>
        <v>0</v>
      </c>
      <c r="AB430" s="298">
        <f t="shared" si="105"/>
        <v>0</v>
      </c>
      <c r="AC430" s="3"/>
      <c r="AD430" s="4">
        <v>0</v>
      </c>
      <c r="AE430" s="4">
        <v>0</v>
      </c>
      <c r="AF430" s="19">
        <v>0</v>
      </c>
      <c r="AG430" s="29">
        <f t="shared" si="106"/>
        <v>0</v>
      </c>
      <c r="AH430" s="3"/>
      <c r="AI430" s="227"/>
      <c r="AK430" s="187"/>
      <c r="AL430" s="187"/>
      <c r="AM430" s="187"/>
      <c r="AN430" s="187"/>
      <c r="AO430" s="187"/>
      <c r="AP430" s="187"/>
    </row>
    <row r="431" spans="2:42" s="1" customFormat="1" ht="14.25">
      <c r="B431" s="13" t="s">
        <v>173</v>
      </c>
      <c r="C431" s="4">
        <v>0</v>
      </c>
      <c r="D431" s="4">
        <v>0</v>
      </c>
      <c r="E431" s="19">
        <v>0</v>
      </c>
      <c r="F431" s="277"/>
      <c r="G431" s="3"/>
      <c r="H431" s="4">
        <v>0</v>
      </c>
      <c r="I431" s="4">
        <v>0</v>
      </c>
      <c r="J431" s="19">
        <v>0</v>
      </c>
      <c r="K431" s="277"/>
      <c r="L431" s="3"/>
      <c r="M431" s="4">
        <v>0</v>
      </c>
      <c r="N431" s="4">
        <v>0</v>
      </c>
      <c r="O431" s="19">
        <v>0</v>
      </c>
      <c r="P431" s="277"/>
      <c r="Q431" s="3"/>
      <c r="R431" s="4">
        <v>0</v>
      </c>
      <c r="S431" s="4">
        <v>0</v>
      </c>
      <c r="T431" s="19">
        <v>0</v>
      </c>
      <c r="U431" s="277"/>
      <c r="V431" s="3"/>
      <c r="W431" s="4">
        <v>0</v>
      </c>
      <c r="X431" s="4">
        <v>0</v>
      </c>
      <c r="Y431" s="19">
        <v>0</v>
      </c>
      <c r="Z431" s="277"/>
      <c r="AA431" s="29">
        <f t="shared" si="104"/>
        <v>0</v>
      </c>
      <c r="AB431" s="298">
        <f t="shared" si="105"/>
        <v>0</v>
      </c>
      <c r="AC431" s="3"/>
      <c r="AD431" s="4">
        <v>0</v>
      </c>
      <c r="AE431" s="4">
        <v>0</v>
      </c>
      <c r="AF431" s="19">
        <v>0</v>
      </c>
      <c r="AG431" s="29">
        <f t="shared" si="106"/>
        <v>0</v>
      </c>
      <c r="AH431" s="3"/>
      <c r="AI431" s="227"/>
      <c r="AK431" s="187"/>
      <c r="AL431" s="187"/>
      <c r="AM431" s="187"/>
      <c r="AN431" s="187"/>
      <c r="AO431" s="187"/>
      <c r="AP431" s="187"/>
    </row>
    <row r="432" spans="2:42" s="1" customFormat="1" ht="14.25">
      <c r="B432" s="13" t="s">
        <v>48</v>
      </c>
      <c r="C432" s="47">
        <v>0.33333333333333331</v>
      </c>
      <c r="D432" s="47">
        <v>0.20833333333333334</v>
      </c>
      <c r="E432" s="19">
        <v>8</v>
      </c>
      <c r="F432" s="277"/>
      <c r="G432" s="3"/>
      <c r="H432" s="47">
        <v>0.33333333333333331</v>
      </c>
      <c r="I432" s="47">
        <v>0.20833333333333334</v>
      </c>
      <c r="J432" s="19">
        <v>8</v>
      </c>
      <c r="K432" s="277"/>
      <c r="L432" s="3"/>
      <c r="M432" s="12" t="s">
        <v>29</v>
      </c>
      <c r="N432" s="12" t="s">
        <v>29</v>
      </c>
      <c r="O432" s="19">
        <v>8</v>
      </c>
      <c r="P432" s="277"/>
      <c r="Q432" s="3"/>
      <c r="R432" s="47">
        <v>0.33333333333333331</v>
      </c>
      <c r="S432" s="47">
        <v>0.20833333333333334</v>
      </c>
      <c r="T432" s="19">
        <v>8</v>
      </c>
      <c r="U432" s="277"/>
      <c r="V432" s="3"/>
      <c r="W432" s="47">
        <v>0.33333333333333331</v>
      </c>
      <c r="X432" s="47">
        <v>0.20833333333333334</v>
      </c>
      <c r="Y432" s="19">
        <v>8</v>
      </c>
      <c r="Z432" s="277"/>
      <c r="AA432" s="29">
        <f t="shared" si="104"/>
        <v>40</v>
      </c>
      <c r="AB432" s="298">
        <f t="shared" si="105"/>
        <v>0</v>
      </c>
      <c r="AC432" s="3"/>
      <c r="AD432" s="4">
        <v>0</v>
      </c>
      <c r="AE432" s="4">
        <v>0</v>
      </c>
      <c r="AF432" s="19">
        <v>0</v>
      </c>
      <c r="AG432" s="29">
        <f t="shared" si="106"/>
        <v>0</v>
      </c>
      <c r="AH432" s="3"/>
      <c r="AI432" s="227"/>
      <c r="AK432" s="187"/>
      <c r="AL432" s="187"/>
      <c r="AM432" s="187"/>
      <c r="AN432" s="187"/>
      <c r="AO432" s="187"/>
      <c r="AP432" s="187"/>
    </row>
    <row r="433" spans="2:42" s="1" customFormat="1" ht="14.25">
      <c r="B433" s="13" t="s">
        <v>49</v>
      </c>
      <c r="C433" s="12" t="s">
        <v>29</v>
      </c>
      <c r="D433" s="12" t="s">
        <v>29</v>
      </c>
      <c r="E433" s="19">
        <v>8</v>
      </c>
      <c r="F433" s="277"/>
      <c r="G433" s="3"/>
      <c r="H433" s="12" t="s">
        <v>29</v>
      </c>
      <c r="I433" s="12" t="s">
        <v>29</v>
      </c>
      <c r="J433" s="19">
        <v>8</v>
      </c>
      <c r="K433" s="277"/>
      <c r="L433" s="3"/>
      <c r="M433" s="12" t="s">
        <v>29</v>
      </c>
      <c r="N433" s="12" t="s">
        <v>29</v>
      </c>
      <c r="O433" s="19">
        <v>8</v>
      </c>
      <c r="P433" s="277"/>
      <c r="Q433" s="3"/>
      <c r="R433" s="47" t="s">
        <v>29</v>
      </c>
      <c r="S433" s="47" t="s">
        <v>29</v>
      </c>
      <c r="T433" s="19">
        <v>8</v>
      </c>
      <c r="U433" s="277"/>
      <c r="V433" s="3"/>
      <c r="W433" s="12" t="s">
        <v>29</v>
      </c>
      <c r="X433" s="12" t="s">
        <v>29</v>
      </c>
      <c r="Y433" s="19">
        <v>8</v>
      </c>
      <c r="Z433" s="277"/>
      <c r="AA433" s="29">
        <f>(E433+J433+O433+T433+Y433)</f>
        <v>40</v>
      </c>
      <c r="AB433" s="298">
        <f t="shared" si="105"/>
        <v>0</v>
      </c>
      <c r="AC433" s="3"/>
      <c r="AD433" s="4">
        <v>0</v>
      </c>
      <c r="AE433" s="4">
        <v>0</v>
      </c>
      <c r="AF433" s="19">
        <v>0</v>
      </c>
      <c r="AG433" s="29">
        <f t="shared" si="106"/>
        <v>0</v>
      </c>
      <c r="AH433" s="3"/>
      <c r="AI433" s="227"/>
      <c r="AK433" s="187"/>
      <c r="AL433" s="187"/>
      <c r="AM433" s="187"/>
      <c r="AN433" s="187"/>
      <c r="AO433" s="187"/>
      <c r="AP433" s="187"/>
    </row>
    <row r="434" spans="2:42" s="1" customFormat="1" ht="14.25">
      <c r="B434" s="13" t="s">
        <v>50</v>
      </c>
      <c r="C434" s="47">
        <v>0.375</v>
      </c>
      <c r="D434" s="47">
        <v>0.20833333333333334</v>
      </c>
      <c r="E434" s="19">
        <v>7</v>
      </c>
      <c r="F434" s="277"/>
      <c r="G434" s="3"/>
      <c r="H434" s="4">
        <v>0</v>
      </c>
      <c r="I434" s="4">
        <v>0</v>
      </c>
      <c r="J434" s="19">
        <v>0</v>
      </c>
      <c r="K434" s="277"/>
      <c r="L434" s="3"/>
      <c r="M434" s="4">
        <v>0</v>
      </c>
      <c r="N434" s="4">
        <v>0</v>
      </c>
      <c r="O434" s="19">
        <v>0</v>
      </c>
      <c r="P434" s="277"/>
      <c r="Q434" s="3"/>
      <c r="R434" s="47">
        <v>0.33333333333333331</v>
      </c>
      <c r="S434" s="47">
        <v>0.20833333333333334</v>
      </c>
      <c r="T434" s="19">
        <v>8</v>
      </c>
      <c r="U434" s="277"/>
      <c r="V434" s="3"/>
      <c r="W434" s="47">
        <v>0.375</v>
      </c>
      <c r="X434" s="47">
        <v>0.20833333333333334</v>
      </c>
      <c r="Y434" s="19">
        <v>7</v>
      </c>
      <c r="Z434" s="277"/>
      <c r="AA434" s="29">
        <f t="shared" si="104"/>
        <v>22</v>
      </c>
      <c r="AB434" s="298">
        <f t="shared" si="105"/>
        <v>0</v>
      </c>
      <c r="AC434" s="3"/>
      <c r="AD434" s="4">
        <v>0</v>
      </c>
      <c r="AE434" s="4">
        <v>0</v>
      </c>
      <c r="AF434" s="19">
        <v>0</v>
      </c>
      <c r="AG434" s="29">
        <f t="shared" si="106"/>
        <v>0</v>
      </c>
      <c r="AH434" s="3"/>
      <c r="AI434" s="227"/>
      <c r="AK434" s="187"/>
      <c r="AL434" s="187"/>
      <c r="AM434" s="187"/>
      <c r="AN434" s="187"/>
      <c r="AO434" s="187"/>
      <c r="AP434" s="187"/>
    </row>
    <row r="435" spans="2:42" s="1" customFormat="1" ht="14.25">
      <c r="B435" s="13" t="s">
        <v>51</v>
      </c>
      <c r="C435" s="4">
        <v>0</v>
      </c>
      <c r="D435" s="4">
        <v>0</v>
      </c>
      <c r="E435" s="19">
        <v>0</v>
      </c>
      <c r="F435" s="277"/>
      <c r="G435" s="3"/>
      <c r="H435" s="4">
        <v>0</v>
      </c>
      <c r="I435" s="4">
        <v>0</v>
      </c>
      <c r="J435" s="19">
        <v>0</v>
      </c>
      <c r="K435" s="277"/>
      <c r="L435" s="3"/>
      <c r="M435" s="4">
        <v>0</v>
      </c>
      <c r="N435" s="4">
        <v>0</v>
      </c>
      <c r="O435" s="19">
        <v>0</v>
      </c>
      <c r="P435" s="277"/>
      <c r="Q435" s="3"/>
      <c r="R435" s="4">
        <v>0</v>
      </c>
      <c r="S435" s="4">
        <v>0</v>
      </c>
      <c r="T435" s="19">
        <v>0</v>
      </c>
      <c r="U435" s="277"/>
      <c r="V435" s="3"/>
      <c r="W435" s="4">
        <v>0</v>
      </c>
      <c r="X435" s="4">
        <v>0</v>
      </c>
      <c r="Y435" s="19">
        <v>0</v>
      </c>
      <c r="Z435" s="277"/>
      <c r="AA435" s="29">
        <f t="shared" si="104"/>
        <v>0</v>
      </c>
      <c r="AB435" s="298">
        <f t="shared" si="105"/>
        <v>0</v>
      </c>
      <c r="AC435" s="3"/>
      <c r="AD435" s="4">
        <v>0</v>
      </c>
      <c r="AE435" s="4">
        <v>0</v>
      </c>
      <c r="AF435" s="19">
        <v>0</v>
      </c>
      <c r="AG435" s="29">
        <f>AF435</f>
        <v>0</v>
      </c>
      <c r="AH435" s="3"/>
      <c r="AI435" s="227"/>
      <c r="AK435" s="187"/>
      <c r="AL435" s="187"/>
      <c r="AM435" s="187"/>
      <c r="AN435" s="187"/>
      <c r="AO435" s="187"/>
      <c r="AP435" s="187"/>
    </row>
    <row r="436" spans="2:42" s="1" customFormat="1" ht="14.25">
      <c r="B436" s="13" t="s">
        <v>54</v>
      </c>
      <c r="C436" s="4">
        <v>0</v>
      </c>
      <c r="D436" s="4">
        <v>0</v>
      </c>
      <c r="E436" s="19">
        <v>0</v>
      </c>
      <c r="F436" s="277"/>
      <c r="G436" s="3"/>
      <c r="H436" s="4">
        <v>0</v>
      </c>
      <c r="I436" s="4">
        <v>0</v>
      </c>
      <c r="J436" s="19">
        <v>0</v>
      </c>
      <c r="K436" s="277"/>
      <c r="L436" s="3"/>
      <c r="M436" s="4">
        <v>0</v>
      </c>
      <c r="N436" s="4">
        <v>0</v>
      </c>
      <c r="O436" s="19">
        <v>0</v>
      </c>
      <c r="P436" s="277"/>
      <c r="Q436" s="3"/>
      <c r="R436" s="4">
        <v>0</v>
      </c>
      <c r="S436" s="4">
        <v>0</v>
      </c>
      <c r="T436" s="19">
        <v>0</v>
      </c>
      <c r="U436" s="277"/>
      <c r="V436" s="3"/>
      <c r="W436" s="4">
        <v>0</v>
      </c>
      <c r="X436" s="4">
        <v>0</v>
      </c>
      <c r="Y436" s="19">
        <v>0</v>
      </c>
      <c r="Z436" s="277"/>
      <c r="AA436" s="29">
        <f t="shared" si="104"/>
        <v>0</v>
      </c>
      <c r="AB436" s="298">
        <f t="shared" si="105"/>
        <v>0</v>
      </c>
      <c r="AC436" s="3"/>
      <c r="AD436" s="4">
        <v>0</v>
      </c>
      <c r="AE436" s="4">
        <v>0</v>
      </c>
      <c r="AF436" s="19">
        <v>0</v>
      </c>
      <c r="AG436" s="29">
        <f>AF436</f>
        <v>0</v>
      </c>
      <c r="AH436" s="3"/>
      <c r="AI436" s="227"/>
      <c r="AK436" s="187"/>
      <c r="AL436" s="187"/>
      <c r="AM436" s="187"/>
      <c r="AN436" s="187"/>
      <c r="AO436" s="187"/>
      <c r="AP436" s="187"/>
    </row>
    <row r="437" spans="2:42" s="1" customFormat="1" ht="14.25">
      <c r="B437" s="13" t="s">
        <v>55</v>
      </c>
      <c r="C437" s="4">
        <v>0</v>
      </c>
      <c r="D437" s="4">
        <v>0</v>
      </c>
      <c r="E437" s="19">
        <v>0</v>
      </c>
      <c r="F437" s="277"/>
      <c r="G437" s="3"/>
      <c r="H437" s="4">
        <v>0</v>
      </c>
      <c r="I437" s="4">
        <v>0</v>
      </c>
      <c r="J437" s="19">
        <v>0</v>
      </c>
      <c r="K437" s="277"/>
      <c r="L437" s="3"/>
      <c r="M437" s="4">
        <v>0</v>
      </c>
      <c r="N437" s="4">
        <v>0</v>
      </c>
      <c r="O437" s="19">
        <v>0</v>
      </c>
      <c r="P437" s="277"/>
      <c r="Q437" s="3"/>
      <c r="R437" s="4">
        <v>0</v>
      </c>
      <c r="S437" s="4">
        <v>0</v>
      </c>
      <c r="T437" s="19">
        <v>0</v>
      </c>
      <c r="U437" s="277"/>
      <c r="V437" s="3"/>
      <c r="W437" s="4">
        <v>0</v>
      </c>
      <c r="X437" s="4">
        <v>0</v>
      </c>
      <c r="Y437" s="19">
        <v>0</v>
      </c>
      <c r="Z437" s="277"/>
      <c r="AA437" s="29">
        <f t="shared" si="104"/>
        <v>0</v>
      </c>
      <c r="AB437" s="298">
        <f t="shared" si="105"/>
        <v>0</v>
      </c>
      <c r="AC437" s="3"/>
      <c r="AD437" s="4">
        <v>0</v>
      </c>
      <c r="AE437" s="4">
        <v>0</v>
      </c>
      <c r="AF437" s="19">
        <v>0</v>
      </c>
      <c r="AG437" s="29">
        <f>AF437</f>
        <v>0</v>
      </c>
      <c r="AH437" s="3"/>
      <c r="AI437" s="227"/>
      <c r="AK437" s="187"/>
      <c r="AL437" s="187"/>
      <c r="AM437" s="187"/>
      <c r="AN437" s="187"/>
      <c r="AO437" s="187"/>
      <c r="AP437" s="187"/>
    </row>
    <row r="438" spans="2:42" s="1" customFormat="1" ht="14.25">
      <c r="B438" s="138" t="s">
        <v>56</v>
      </c>
      <c r="C438" s="12" t="s">
        <v>29</v>
      </c>
      <c r="D438" s="12" t="s">
        <v>29</v>
      </c>
      <c r="E438" s="19">
        <v>8</v>
      </c>
      <c r="F438" s="277"/>
      <c r="G438" s="3"/>
      <c r="H438" s="12" t="s">
        <v>29</v>
      </c>
      <c r="I438" s="12" t="s">
        <v>29</v>
      </c>
      <c r="J438" s="19">
        <v>8</v>
      </c>
      <c r="K438" s="277"/>
      <c r="L438" s="3"/>
      <c r="M438" s="12" t="s">
        <v>29</v>
      </c>
      <c r="N438" s="12" t="s">
        <v>29</v>
      </c>
      <c r="O438" s="19">
        <v>8</v>
      </c>
      <c r="P438" s="277"/>
      <c r="Q438" s="3"/>
      <c r="R438" s="12" t="s">
        <v>29</v>
      </c>
      <c r="S438" s="12" t="s">
        <v>29</v>
      </c>
      <c r="T438" s="19">
        <v>8</v>
      </c>
      <c r="U438" s="277"/>
      <c r="V438" s="3"/>
      <c r="W438" s="12" t="s">
        <v>29</v>
      </c>
      <c r="X438" s="12" t="s">
        <v>29</v>
      </c>
      <c r="Y438" s="19">
        <v>8</v>
      </c>
      <c r="Z438" s="277"/>
      <c r="AA438" s="29">
        <f t="shared" ref="AA438" si="107">(E438+J438+O438+T438+Y438)</f>
        <v>40</v>
      </c>
      <c r="AB438" s="298">
        <f t="shared" ref="AB438" si="108">Z438+U438+P438+K438+F438</f>
        <v>0</v>
      </c>
      <c r="AC438" s="3"/>
      <c r="AD438" s="4">
        <v>0</v>
      </c>
      <c r="AE438" s="4">
        <v>0</v>
      </c>
      <c r="AF438" s="19">
        <v>0</v>
      </c>
      <c r="AG438" s="29">
        <f t="shared" ref="AG438" si="109">AF438</f>
        <v>0</v>
      </c>
      <c r="AH438" s="3"/>
      <c r="AI438" s="227"/>
      <c r="AK438" s="187"/>
      <c r="AL438" s="187"/>
      <c r="AM438" s="187"/>
      <c r="AN438" s="187"/>
      <c r="AO438" s="187"/>
      <c r="AP438" s="187"/>
    </row>
    <row r="439" spans="2:42" s="1" customFormat="1" ht="14.25">
      <c r="B439" s="138" t="s">
        <v>57</v>
      </c>
      <c r="C439" s="12" t="s">
        <v>29</v>
      </c>
      <c r="D439" s="12" t="s">
        <v>29</v>
      </c>
      <c r="E439" s="19">
        <v>8</v>
      </c>
      <c r="F439" s="277"/>
      <c r="G439" s="3"/>
      <c r="H439" s="12" t="s">
        <v>29</v>
      </c>
      <c r="I439" s="12" t="s">
        <v>29</v>
      </c>
      <c r="J439" s="19">
        <v>8</v>
      </c>
      <c r="K439" s="277"/>
      <c r="L439" s="3"/>
      <c r="M439" s="12" t="s">
        <v>29</v>
      </c>
      <c r="N439" s="12" t="s">
        <v>29</v>
      </c>
      <c r="O439" s="19">
        <v>8</v>
      </c>
      <c r="P439" s="277"/>
      <c r="Q439" s="3"/>
      <c r="R439" s="12" t="s">
        <v>29</v>
      </c>
      <c r="S439" s="12" t="s">
        <v>29</v>
      </c>
      <c r="T439" s="19">
        <v>8</v>
      </c>
      <c r="U439" s="277"/>
      <c r="V439" s="3"/>
      <c r="W439" s="12" t="s">
        <v>29</v>
      </c>
      <c r="X439" s="12" t="s">
        <v>29</v>
      </c>
      <c r="Y439" s="19">
        <v>8</v>
      </c>
      <c r="Z439" s="277"/>
      <c r="AA439" s="29">
        <f t="shared" si="104"/>
        <v>40</v>
      </c>
      <c r="AB439" s="298">
        <f t="shared" si="105"/>
        <v>0</v>
      </c>
      <c r="AC439" s="3"/>
      <c r="AD439" s="4">
        <v>0</v>
      </c>
      <c r="AE439" s="4">
        <v>0</v>
      </c>
      <c r="AF439" s="19">
        <v>0</v>
      </c>
      <c r="AG439" s="29">
        <f t="shared" ref="AG439" si="110">AF439</f>
        <v>0</v>
      </c>
      <c r="AH439" s="3"/>
      <c r="AI439" s="227"/>
      <c r="AK439" s="187"/>
      <c r="AL439" s="187"/>
      <c r="AM439" s="187"/>
      <c r="AN439" s="187"/>
      <c r="AO439" s="187"/>
      <c r="AP439" s="187"/>
    </row>
    <row r="440" spans="2:42" s="1" customFormat="1" ht="14.25">
      <c r="B440" s="138" t="s">
        <v>53</v>
      </c>
      <c r="C440" s="12" t="s">
        <v>29</v>
      </c>
      <c r="D440" s="12" t="s">
        <v>29</v>
      </c>
      <c r="E440" s="19">
        <v>8</v>
      </c>
      <c r="F440" s="277"/>
      <c r="G440" s="3"/>
      <c r="H440" s="12" t="s">
        <v>29</v>
      </c>
      <c r="I440" s="12" t="s">
        <v>29</v>
      </c>
      <c r="J440" s="19">
        <v>8</v>
      </c>
      <c r="K440" s="277"/>
      <c r="L440" s="3"/>
      <c r="M440" s="12" t="s">
        <v>29</v>
      </c>
      <c r="N440" s="12" t="s">
        <v>29</v>
      </c>
      <c r="O440" s="19">
        <v>8</v>
      </c>
      <c r="P440" s="277"/>
      <c r="Q440" s="3"/>
      <c r="R440" s="12" t="s">
        <v>29</v>
      </c>
      <c r="S440" s="12" t="s">
        <v>29</v>
      </c>
      <c r="T440" s="19">
        <v>8</v>
      </c>
      <c r="U440" s="277"/>
      <c r="V440" s="3"/>
      <c r="W440" s="12" t="s">
        <v>29</v>
      </c>
      <c r="X440" s="12" t="s">
        <v>29</v>
      </c>
      <c r="Y440" s="19">
        <v>8</v>
      </c>
      <c r="Z440" s="277"/>
      <c r="AA440" s="29">
        <f>(E440+J440+O440+T440+Y440)</f>
        <v>40</v>
      </c>
      <c r="AB440" s="298">
        <f t="shared" si="105"/>
        <v>0</v>
      </c>
      <c r="AC440" s="3"/>
      <c r="AD440" s="4">
        <v>0</v>
      </c>
      <c r="AE440" s="4">
        <v>0</v>
      </c>
      <c r="AF440" s="19">
        <v>0</v>
      </c>
      <c r="AG440" s="29">
        <f>AF440</f>
        <v>0</v>
      </c>
      <c r="AH440" s="3"/>
      <c r="AI440" s="227"/>
      <c r="AK440" s="187"/>
      <c r="AL440" s="187"/>
      <c r="AM440" s="187"/>
      <c r="AN440" s="187"/>
      <c r="AO440" s="187"/>
      <c r="AP440" s="187"/>
    </row>
    <row r="441" spans="2:42" s="1" customFormat="1" ht="14.25">
      <c r="B441" s="138" t="s">
        <v>59</v>
      </c>
      <c r="C441" s="12" t="s">
        <v>29</v>
      </c>
      <c r="D441" s="12" t="s">
        <v>29</v>
      </c>
      <c r="E441" s="19">
        <v>8</v>
      </c>
      <c r="F441" s="277"/>
      <c r="G441" s="3"/>
      <c r="H441" s="12" t="s">
        <v>29</v>
      </c>
      <c r="I441" s="12" t="s">
        <v>29</v>
      </c>
      <c r="J441" s="19">
        <v>8</v>
      </c>
      <c r="K441" s="277"/>
      <c r="L441" s="3"/>
      <c r="M441" s="12" t="s">
        <v>29</v>
      </c>
      <c r="N441" s="12" t="s">
        <v>29</v>
      </c>
      <c r="O441" s="19">
        <v>8</v>
      </c>
      <c r="P441" s="277"/>
      <c r="Q441" s="3"/>
      <c r="R441" s="12" t="s">
        <v>29</v>
      </c>
      <c r="S441" s="12" t="s">
        <v>29</v>
      </c>
      <c r="T441" s="19">
        <v>8</v>
      </c>
      <c r="U441" s="277"/>
      <c r="V441" s="3"/>
      <c r="W441" s="12" t="s">
        <v>29</v>
      </c>
      <c r="X441" s="12" t="s">
        <v>29</v>
      </c>
      <c r="Y441" s="19">
        <v>8</v>
      </c>
      <c r="Z441" s="277"/>
      <c r="AA441" s="29">
        <f t="shared" ref="AA441:AA443" si="111">(E441+J441+O441+T441+Y441)</f>
        <v>40</v>
      </c>
      <c r="AB441" s="298">
        <f t="shared" ref="AB441:AB443" si="112">Z441+U441+P441+K441+F441</f>
        <v>0</v>
      </c>
      <c r="AC441" s="3"/>
      <c r="AD441" s="4">
        <v>0</v>
      </c>
      <c r="AE441" s="4">
        <v>0</v>
      </c>
      <c r="AF441" s="19">
        <v>0</v>
      </c>
      <c r="AG441" s="29">
        <f t="shared" ref="AG441:AG443" si="113">AF441</f>
        <v>0</v>
      </c>
      <c r="AH441" s="3"/>
      <c r="AI441" s="227"/>
      <c r="AK441" s="187"/>
      <c r="AL441" s="187"/>
      <c r="AM441" s="187"/>
      <c r="AN441" s="187"/>
      <c r="AO441" s="187"/>
      <c r="AP441" s="187"/>
    </row>
    <row r="442" spans="2:42" s="1" customFormat="1" ht="14.25">
      <c r="B442" s="138" t="s">
        <v>60</v>
      </c>
      <c r="C442" s="12" t="s">
        <v>29</v>
      </c>
      <c r="D442" s="12" t="s">
        <v>29</v>
      </c>
      <c r="E442" s="19">
        <v>8</v>
      </c>
      <c r="F442" s="277"/>
      <c r="G442" s="3"/>
      <c r="H442" s="12" t="s">
        <v>29</v>
      </c>
      <c r="I442" s="12" t="s">
        <v>29</v>
      </c>
      <c r="J442" s="19">
        <v>8</v>
      </c>
      <c r="K442" s="277"/>
      <c r="L442" s="3"/>
      <c r="M442" s="12" t="s">
        <v>29</v>
      </c>
      <c r="N442" s="12" t="s">
        <v>29</v>
      </c>
      <c r="O442" s="19">
        <v>8</v>
      </c>
      <c r="P442" s="277"/>
      <c r="Q442" s="3"/>
      <c r="R442" s="12" t="s">
        <v>29</v>
      </c>
      <c r="S442" s="12" t="s">
        <v>29</v>
      </c>
      <c r="T442" s="19">
        <v>8</v>
      </c>
      <c r="U442" s="277"/>
      <c r="V442" s="3"/>
      <c r="W442" s="12" t="s">
        <v>29</v>
      </c>
      <c r="X442" s="12" t="s">
        <v>29</v>
      </c>
      <c r="Y442" s="19">
        <v>8</v>
      </c>
      <c r="Z442" s="277"/>
      <c r="AA442" s="29">
        <f t="shared" si="111"/>
        <v>40</v>
      </c>
      <c r="AB442" s="298">
        <f t="shared" si="112"/>
        <v>0</v>
      </c>
      <c r="AC442" s="3"/>
      <c r="AD442" s="4">
        <v>0</v>
      </c>
      <c r="AE442" s="4">
        <v>0</v>
      </c>
      <c r="AF442" s="19">
        <v>0</v>
      </c>
      <c r="AG442" s="29">
        <f t="shared" si="113"/>
        <v>0</v>
      </c>
      <c r="AH442" s="3"/>
      <c r="AI442" s="227"/>
      <c r="AK442" s="187"/>
      <c r="AL442" s="187"/>
      <c r="AM442" s="187"/>
      <c r="AN442" s="187"/>
      <c r="AO442" s="187"/>
      <c r="AP442" s="187"/>
    </row>
    <row r="443" spans="2:42" s="1" customFormat="1" ht="14.25">
      <c r="B443" s="138" t="s">
        <v>52</v>
      </c>
      <c r="C443" s="12" t="s">
        <v>29</v>
      </c>
      <c r="D443" s="12" t="s">
        <v>29</v>
      </c>
      <c r="E443" s="19">
        <v>0</v>
      </c>
      <c r="F443" s="277"/>
      <c r="G443" s="3"/>
      <c r="H443" s="12" t="s">
        <v>29</v>
      </c>
      <c r="I443" s="12" t="s">
        <v>29</v>
      </c>
      <c r="J443" s="19">
        <v>8</v>
      </c>
      <c r="K443" s="277"/>
      <c r="L443" s="3"/>
      <c r="M443" s="12" t="s">
        <v>29</v>
      </c>
      <c r="N443" s="12" t="s">
        <v>29</v>
      </c>
      <c r="O443" s="19">
        <v>8</v>
      </c>
      <c r="P443" s="277"/>
      <c r="Q443" s="3"/>
      <c r="R443" s="12" t="s">
        <v>29</v>
      </c>
      <c r="S443" s="12" t="s">
        <v>29</v>
      </c>
      <c r="T443" s="19">
        <v>8</v>
      </c>
      <c r="U443" s="277"/>
      <c r="V443" s="3"/>
      <c r="W443" s="12" t="s">
        <v>29</v>
      </c>
      <c r="X443" s="12" t="s">
        <v>29</v>
      </c>
      <c r="Y443" s="19">
        <v>8</v>
      </c>
      <c r="Z443" s="277"/>
      <c r="AA443" s="29">
        <f t="shared" si="111"/>
        <v>32</v>
      </c>
      <c r="AB443" s="298">
        <f t="shared" si="112"/>
        <v>0</v>
      </c>
      <c r="AC443" s="3"/>
      <c r="AD443" s="4">
        <v>0</v>
      </c>
      <c r="AE443" s="4">
        <v>0</v>
      </c>
      <c r="AF443" s="19">
        <v>0</v>
      </c>
      <c r="AG443" s="29">
        <f t="shared" si="113"/>
        <v>0</v>
      </c>
      <c r="AH443" s="3"/>
      <c r="AI443" s="227"/>
      <c r="AK443" s="187"/>
      <c r="AL443" s="187"/>
      <c r="AM443" s="187"/>
      <c r="AN443" s="187"/>
      <c r="AO443" s="187"/>
      <c r="AP443" s="187"/>
    </row>
    <row r="444" spans="2:42" s="1" customFormat="1">
      <c r="B444" s="64" t="s">
        <v>61</v>
      </c>
      <c r="C444" s="64"/>
      <c r="D444" s="64"/>
      <c r="E444" s="167">
        <f>SUM(E417:E443)</f>
        <v>131.5</v>
      </c>
      <c r="F444" s="277">
        <f>SUM(F417:F440)</f>
        <v>0</v>
      </c>
      <c r="G444" s="64"/>
      <c r="H444" s="64"/>
      <c r="I444" s="64"/>
      <c r="J444" s="64">
        <f>SUM(J417:J443)</f>
        <v>125.25</v>
      </c>
      <c r="K444" s="277">
        <f>SUM(K417:K440)</f>
        <v>0</v>
      </c>
      <c r="L444" s="64"/>
      <c r="M444" s="64"/>
      <c r="N444" s="64"/>
      <c r="O444" s="167">
        <f>SUM(O417:O443)</f>
        <v>121.75</v>
      </c>
      <c r="P444" s="277">
        <f>SUM(P417:P440)</f>
        <v>0</v>
      </c>
      <c r="Q444" s="64"/>
      <c r="R444" s="64"/>
      <c r="S444" s="64"/>
      <c r="T444" s="167">
        <f>SUM(T417:T443)</f>
        <v>123.25</v>
      </c>
      <c r="U444" s="277">
        <f>SUM(U417:U440)</f>
        <v>0</v>
      </c>
      <c r="V444" s="64"/>
      <c r="W444" s="64"/>
      <c r="X444" s="64"/>
      <c r="Y444" s="167">
        <f>SUM(Y417:Y443)</f>
        <v>131</v>
      </c>
      <c r="Z444" s="277">
        <f>SUM(Z417:Z440)</f>
        <v>0</v>
      </c>
      <c r="AA444" s="247">
        <f>SUM(AA417:AA443)</f>
        <v>632.75</v>
      </c>
      <c r="AB444" s="284">
        <f>SUM(AB417:AB440)</f>
        <v>0</v>
      </c>
      <c r="AC444" s="3"/>
      <c r="AD444" s="64"/>
      <c r="AE444" s="64"/>
      <c r="AF444" s="64"/>
      <c r="AG444" s="247">
        <f>SUM(AG417:AG440)</f>
        <v>0</v>
      </c>
      <c r="AH444" s="3"/>
      <c r="AI444" s="227"/>
      <c r="AK444" s="187"/>
      <c r="AL444" s="187"/>
      <c r="AM444" s="187"/>
      <c r="AN444" s="187"/>
      <c r="AO444" s="187"/>
      <c r="AP444" s="187"/>
    </row>
    <row r="445" spans="2:42" s="1" customFormat="1">
      <c r="B445" s="63" t="s">
        <v>62</v>
      </c>
      <c r="C445" s="56"/>
      <c r="D445" s="56"/>
      <c r="E445" s="19">
        <v>8</v>
      </c>
      <c r="F445" s="291"/>
      <c r="G445" s="60"/>
      <c r="H445" s="56"/>
      <c r="I445" s="56"/>
      <c r="J445" s="291">
        <v>8</v>
      </c>
      <c r="K445" s="291"/>
      <c r="L445" s="60"/>
      <c r="M445" s="56"/>
      <c r="N445" s="56"/>
      <c r="O445" s="291">
        <v>8</v>
      </c>
      <c r="P445" s="19"/>
      <c r="Q445" s="60"/>
      <c r="R445" s="56"/>
      <c r="S445" s="56"/>
      <c r="T445" s="291">
        <v>8</v>
      </c>
      <c r="U445" s="19"/>
      <c r="V445" s="60"/>
      <c r="W445" s="56"/>
      <c r="X445" s="56"/>
      <c r="Y445" s="291">
        <v>8</v>
      </c>
      <c r="Z445" s="19"/>
      <c r="AA445" s="28">
        <f>SUM(E445+J445+O445+T445+Y445)</f>
        <v>40</v>
      </c>
      <c r="AB445" s="282">
        <f>Z445+U445+P445+K445+F445</f>
        <v>0</v>
      </c>
      <c r="AC445" s="3"/>
      <c r="AD445" s="56"/>
      <c r="AE445" s="56"/>
      <c r="AF445" s="19"/>
      <c r="AG445" s="29">
        <v>0</v>
      </c>
      <c r="AH445" s="3"/>
      <c r="AI445" s="227"/>
      <c r="AK445" s="187"/>
      <c r="AL445" s="187"/>
      <c r="AM445" s="187"/>
      <c r="AN445" s="187"/>
      <c r="AO445" s="187"/>
      <c r="AP445" s="187"/>
    </row>
    <row r="446" spans="2:42" s="1" customFormat="1">
      <c r="B446" s="63" t="s">
        <v>63</v>
      </c>
      <c r="C446" s="56"/>
      <c r="D446" s="56"/>
      <c r="E446" s="19">
        <v>8</v>
      </c>
      <c r="F446" s="291">
        <v>0.5</v>
      </c>
      <c r="G446" s="60"/>
      <c r="H446" s="56"/>
      <c r="I446" s="56"/>
      <c r="J446" s="291">
        <v>8</v>
      </c>
      <c r="K446" s="291"/>
      <c r="L446" s="60"/>
      <c r="M446" s="56"/>
      <c r="N446" s="56"/>
      <c r="O446" s="291">
        <v>8</v>
      </c>
      <c r="P446" s="19"/>
      <c r="Q446" s="60"/>
      <c r="R446" s="56"/>
      <c r="S446" s="56"/>
      <c r="T446" s="291">
        <v>8</v>
      </c>
      <c r="U446" s="19"/>
      <c r="V446" s="60"/>
      <c r="W446" s="56"/>
      <c r="X446" s="56"/>
      <c r="Y446" s="291">
        <v>8</v>
      </c>
      <c r="Z446" s="19"/>
      <c r="AA446" s="28">
        <f>SUM(E446+J446+O446+T446+Y446)</f>
        <v>40</v>
      </c>
      <c r="AB446" s="282">
        <f>Z446+U446+P446+K446+F446</f>
        <v>0.5</v>
      </c>
      <c r="AC446" s="3"/>
      <c r="AD446" s="56"/>
      <c r="AE446" s="56"/>
      <c r="AF446" s="19"/>
      <c r="AG446" s="29">
        <f>AF446</f>
        <v>0</v>
      </c>
      <c r="AH446" s="3"/>
      <c r="AI446" s="227"/>
      <c r="AK446" s="187"/>
      <c r="AL446" s="187"/>
      <c r="AM446" s="187"/>
      <c r="AN446" s="187"/>
      <c r="AO446" s="187"/>
      <c r="AP446" s="187"/>
    </row>
    <row r="447" spans="2:42" s="1" customFormat="1">
      <c r="B447" s="63" t="s">
        <v>64</v>
      </c>
      <c r="C447" s="56"/>
      <c r="D447" s="56"/>
      <c r="E447" s="19">
        <v>8</v>
      </c>
      <c r="F447" s="291">
        <v>0.75</v>
      </c>
      <c r="G447" s="60"/>
      <c r="H447" s="56"/>
      <c r="I447" s="56"/>
      <c r="J447" s="291">
        <v>8</v>
      </c>
      <c r="K447" s="291">
        <v>1.5</v>
      </c>
      <c r="L447" s="60"/>
      <c r="M447" s="56"/>
      <c r="N447" s="56"/>
      <c r="O447" s="291">
        <v>8</v>
      </c>
      <c r="P447" s="19">
        <v>2</v>
      </c>
      <c r="Q447" s="60"/>
      <c r="R447" s="56"/>
      <c r="S447" s="56"/>
      <c r="T447" s="291">
        <v>8</v>
      </c>
      <c r="U447" s="19">
        <v>2</v>
      </c>
      <c r="V447" s="60"/>
      <c r="W447" s="56"/>
      <c r="X447" s="56"/>
      <c r="Y447" s="291">
        <v>8</v>
      </c>
      <c r="Z447" s="19">
        <v>2.5</v>
      </c>
      <c r="AA447" s="28">
        <f>SUM(E447+J447+O447+T447+Y447)</f>
        <v>40</v>
      </c>
      <c r="AB447" s="282">
        <f>Z447+U447+P447+K447+F447</f>
        <v>8.75</v>
      </c>
      <c r="AC447" s="3"/>
      <c r="AD447" s="56"/>
      <c r="AE447" s="56"/>
      <c r="AF447" s="19">
        <v>0.5</v>
      </c>
      <c r="AG447" s="29">
        <f>AF447</f>
        <v>0.5</v>
      </c>
      <c r="AH447" s="3"/>
      <c r="AI447" s="227"/>
      <c r="AK447" s="187"/>
      <c r="AL447" s="187"/>
      <c r="AM447" s="187"/>
      <c r="AN447" s="187"/>
      <c r="AO447" s="187"/>
      <c r="AP447" s="187"/>
    </row>
    <row r="448" spans="2:42" s="1" customFormat="1" ht="14.25" thickBot="1">
      <c r="B448" s="268" t="s">
        <v>65</v>
      </c>
      <c r="C448" s="75"/>
      <c r="D448" s="75"/>
      <c r="E448" s="77">
        <v>4</v>
      </c>
      <c r="F448" s="292"/>
      <c r="G448" s="81"/>
      <c r="H448" s="75"/>
      <c r="I448" s="75"/>
      <c r="J448" s="292">
        <v>4</v>
      </c>
      <c r="K448" s="292"/>
      <c r="L448" s="81"/>
      <c r="M448" s="75"/>
      <c r="N448" s="75"/>
      <c r="O448" s="292">
        <v>4</v>
      </c>
      <c r="P448" s="77"/>
      <c r="Q448" s="81"/>
      <c r="R448" s="75"/>
      <c r="S448" s="75"/>
      <c r="T448" s="292">
        <v>4</v>
      </c>
      <c r="U448" s="77"/>
      <c r="V448" s="81"/>
      <c r="W448" s="75"/>
      <c r="X448" s="75"/>
      <c r="Y448" s="292">
        <v>4</v>
      </c>
      <c r="Z448" s="77"/>
      <c r="AA448" s="80">
        <f>SUM(E448+J448+O448+T448+Y448)</f>
        <v>20</v>
      </c>
      <c r="AB448" s="294">
        <f>Z448+U448+P448+K448+F448</f>
        <v>0</v>
      </c>
      <c r="AC448" s="3"/>
      <c r="AD448" s="75"/>
      <c r="AE448" s="75"/>
      <c r="AF448" s="77"/>
      <c r="AG448" s="276">
        <v>0</v>
      </c>
      <c r="AH448" s="3"/>
      <c r="AI448" s="227"/>
      <c r="AK448" s="187"/>
      <c r="AL448" s="187"/>
      <c r="AM448" s="187"/>
      <c r="AN448" s="187"/>
      <c r="AO448" s="187"/>
      <c r="AP448" s="187"/>
    </row>
    <row r="449" spans="1:42" s="1" customFormat="1" ht="14.25" thickTop="1">
      <c r="B449" s="71" t="s">
        <v>66</v>
      </c>
      <c r="C449" s="68"/>
      <c r="D449" s="68"/>
      <c r="E449" s="71">
        <f>SUM(E445:E448)</f>
        <v>28</v>
      </c>
      <c r="F449" s="72"/>
      <c r="G449" s="72"/>
      <c r="H449" s="68"/>
      <c r="I449" s="68"/>
      <c r="J449" s="71">
        <f>SUM(J445:J448)</f>
        <v>28</v>
      </c>
      <c r="K449" s="72"/>
      <c r="L449" s="72"/>
      <c r="M449" s="68"/>
      <c r="N449" s="68"/>
      <c r="O449" s="71">
        <f>SUM(O445:O448)</f>
        <v>28</v>
      </c>
      <c r="P449" s="72"/>
      <c r="Q449" s="72"/>
      <c r="R449" s="68"/>
      <c r="S449" s="68"/>
      <c r="T449" s="71">
        <f>SUM(T445:T448)</f>
        <v>28</v>
      </c>
      <c r="U449" s="72"/>
      <c r="V449" s="72"/>
      <c r="W449" s="68"/>
      <c r="X449" s="68"/>
      <c r="Y449" s="66">
        <f>SUM(Y445:Y448)</f>
        <v>28</v>
      </c>
      <c r="Z449" s="72"/>
      <c r="AA449" s="247">
        <f>SUM(AA445:AA448)</f>
        <v>140</v>
      </c>
      <c r="AB449" s="247">
        <f>SUM(AB445:AB448)</f>
        <v>9.25</v>
      </c>
      <c r="AC449" s="3"/>
      <c r="AG449" s="247">
        <f>SUM(AG447:AG448)</f>
        <v>0.5</v>
      </c>
      <c r="AH449" s="3"/>
      <c r="AI449" s="227"/>
      <c r="AK449" s="187"/>
      <c r="AL449" s="187"/>
      <c r="AM449" s="187"/>
      <c r="AN449" s="187"/>
      <c r="AO449" s="187"/>
      <c r="AP449" s="187"/>
    </row>
    <row r="450" spans="1:42" s="1" customFormat="1" ht="13.5" customHeight="1">
      <c r="A450" s="11"/>
      <c r="B450" s="217" t="s">
        <v>67</v>
      </c>
      <c r="C450" s="207">
        <f>C451+C452</f>
        <v>48</v>
      </c>
      <c r="D450" s="208"/>
      <c r="E450" s="209"/>
      <c r="F450" s="209"/>
      <c r="G450" s="208"/>
      <c r="H450" s="209"/>
      <c r="I450" s="209"/>
      <c r="J450" s="209"/>
      <c r="K450" s="209"/>
      <c r="L450" s="208"/>
      <c r="M450" s="208"/>
      <c r="N450" s="208"/>
      <c r="O450" s="208"/>
      <c r="P450" s="209"/>
      <c r="Q450" s="208"/>
      <c r="R450" s="208"/>
      <c r="S450" s="208"/>
      <c r="T450" s="208"/>
      <c r="U450" s="209"/>
      <c r="V450" s="208"/>
      <c r="W450" s="208"/>
      <c r="X450" s="208"/>
      <c r="Y450" s="210"/>
      <c r="Z450" s="209"/>
      <c r="AA450" s="211"/>
      <c r="AB450" s="209"/>
      <c r="AC450" s="211"/>
      <c r="AD450" s="211"/>
      <c r="AE450" s="211"/>
      <c r="AF450" s="211"/>
      <c r="AG450" s="211"/>
      <c r="AH450" s="3"/>
      <c r="AI450" s="227"/>
      <c r="AK450" s="187"/>
      <c r="AL450" s="187"/>
      <c r="AM450" s="187"/>
      <c r="AN450" s="187"/>
      <c r="AO450" s="187"/>
      <c r="AP450" s="187"/>
    </row>
    <row r="451" spans="1:42" s="1" customFormat="1" ht="14.25">
      <c r="A451" s="11"/>
      <c r="B451" s="238" t="s">
        <v>68</v>
      </c>
      <c r="C451" s="239"/>
      <c r="D451" s="208"/>
      <c r="E451" s="209"/>
      <c r="F451" s="209"/>
      <c r="G451" s="208"/>
      <c r="H451" s="209"/>
      <c r="I451" s="209"/>
      <c r="J451" s="209"/>
      <c r="K451" s="209"/>
      <c r="L451" s="208"/>
      <c r="M451" s="208"/>
      <c r="N451" s="208"/>
      <c r="O451" s="208"/>
      <c r="P451" s="209"/>
      <c r="Q451" s="208"/>
      <c r="R451" s="208"/>
      <c r="S451" s="208"/>
      <c r="T451" s="208"/>
      <c r="U451" s="209"/>
      <c r="V451" s="208"/>
      <c r="W451" s="208"/>
      <c r="X451" s="208"/>
      <c r="Y451" s="210"/>
      <c r="Z451" s="209"/>
      <c r="AA451" s="211"/>
      <c r="AB451" s="209"/>
      <c r="AC451" s="211"/>
      <c r="AD451" s="211"/>
      <c r="AE451" s="211"/>
      <c r="AF451" s="211"/>
      <c r="AG451" s="211"/>
      <c r="AH451" s="3"/>
      <c r="AI451" s="227"/>
      <c r="AK451" s="187"/>
      <c r="AL451" s="187"/>
      <c r="AM451" s="187"/>
      <c r="AN451" s="187"/>
      <c r="AO451" s="187"/>
      <c r="AP451" s="187"/>
    </row>
    <row r="452" spans="1:42" s="1" customFormat="1" ht="14.25">
      <c r="A452" s="11"/>
      <c r="B452" s="238" t="s">
        <v>69</v>
      </c>
      <c r="C452" s="239">
        <f>16+9+6+9+8</f>
        <v>48</v>
      </c>
      <c r="D452" s="208"/>
      <c r="E452" s="209"/>
      <c r="F452" s="209"/>
      <c r="G452" s="208"/>
      <c r="H452" s="209"/>
      <c r="I452" s="209"/>
      <c r="J452" s="209"/>
      <c r="K452" s="209"/>
      <c r="L452" s="208"/>
      <c r="M452" s="208"/>
      <c r="N452" s="208"/>
      <c r="O452" s="208"/>
      <c r="P452" s="209"/>
      <c r="Q452" s="208"/>
      <c r="R452" s="208"/>
      <c r="S452" s="208"/>
      <c r="T452" s="208"/>
      <c r="U452" s="209"/>
      <c r="V452" s="208"/>
      <c r="W452" s="208"/>
      <c r="X452" s="208"/>
      <c r="Y452" s="210"/>
      <c r="Z452" s="209"/>
      <c r="AA452" s="211"/>
      <c r="AB452" s="209"/>
      <c r="AC452" s="211"/>
      <c r="AD452" s="211"/>
      <c r="AE452" s="211"/>
      <c r="AF452" s="211"/>
      <c r="AG452" s="211"/>
      <c r="AH452" s="3"/>
      <c r="AI452" s="227"/>
      <c r="AK452" s="187"/>
      <c r="AL452" s="187"/>
      <c r="AM452" s="187"/>
      <c r="AN452" s="187"/>
      <c r="AO452" s="187"/>
      <c r="AP452" s="187"/>
    </row>
    <row r="453" spans="1:42" s="1" customFormat="1" ht="14.25">
      <c r="A453" s="11"/>
      <c r="B453" s="218"/>
      <c r="C453" s="219"/>
      <c r="D453" s="220"/>
      <c r="E453" s="221"/>
      <c r="F453" s="221"/>
      <c r="G453" s="220"/>
      <c r="H453" s="221"/>
      <c r="I453" s="221"/>
      <c r="J453" s="221"/>
      <c r="K453" s="221"/>
      <c r="L453" s="220"/>
      <c r="M453" s="220"/>
      <c r="N453" s="220"/>
      <c r="O453" s="220"/>
      <c r="P453" s="221"/>
      <c r="Q453" s="220"/>
      <c r="R453" s="220"/>
      <c r="S453" s="220"/>
      <c r="T453" s="220"/>
      <c r="U453" s="221"/>
      <c r="V453" s="220"/>
      <c r="W453" s="220"/>
      <c r="X453" s="220"/>
      <c r="Y453" s="222"/>
      <c r="Z453" s="221"/>
      <c r="AA453" s="223"/>
      <c r="AB453" s="221"/>
      <c r="AC453" s="3"/>
      <c r="AD453" s="168"/>
      <c r="AH453" s="3"/>
      <c r="AI453" s="227"/>
      <c r="AK453" s="187"/>
      <c r="AL453" s="187"/>
      <c r="AM453" s="187"/>
      <c r="AN453" s="187"/>
      <c r="AO453" s="187"/>
      <c r="AP453" s="187"/>
    </row>
    <row r="454" spans="1:42" s="227" customFormat="1" ht="4.5" customHeight="1">
      <c r="A454" s="228"/>
      <c r="B454" s="229"/>
      <c r="C454" s="230"/>
      <c r="D454" s="231"/>
      <c r="E454" s="232"/>
      <c r="F454" s="232"/>
      <c r="G454" s="231"/>
      <c r="H454" s="232"/>
      <c r="I454" s="232"/>
      <c r="J454" s="232"/>
      <c r="K454" s="232"/>
      <c r="L454" s="231"/>
      <c r="M454" s="231"/>
      <c r="N454" s="231"/>
      <c r="O454" s="231"/>
      <c r="P454" s="232"/>
      <c r="Q454" s="231"/>
      <c r="R454" s="231"/>
      <c r="S454" s="231"/>
      <c r="T454" s="231"/>
      <c r="U454" s="232"/>
      <c r="V454" s="231"/>
      <c r="W454" s="231"/>
      <c r="X454" s="231"/>
      <c r="Y454" s="233"/>
      <c r="Z454" s="232"/>
      <c r="AA454" s="234"/>
      <c r="AB454" s="232"/>
      <c r="AC454" s="235"/>
      <c r="AD454" s="236"/>
      <c r="AH454" s="235"/>
    </row>
    <row r="455" spans="1:42" s="187" customFormat="1">
      <c r="A455" s="224"/>
      <c r="B455" s="214"/>
      <c r="C455" s="215"/>
      <c r="D455" s="215"/>
      <c r="E455" s="214"/>
      <c r="F455" s="214"/>
      <c r="G455" s="215"/>
      <c r="H455" s="214"/>
      <c r="I455" s="214"/>
      <c r="J455" s="214"/>
      <c r="K455" s="214"/>
      <c r="L455" s="215"/>
      <c r="M455" s="215"/>
      <c r="N455" s="215"/>
      <c r="O455" s="215"/>
      <c r="P455" s="214"/>
      <c r="Q455" s="215"/>
      <c r="R455" s="215"/>
      <c r="S455" s="215"/>
      <c r="T455" s="215"/>
      <c r="U455" s="214"/>
      <c r="V455" s="215"/>
      <c r="W455" s="215"/>
      <c r="X455" s="215"/>
      <c r="Y455" s="216"/>
      <c r="Z455" s="214"/>
      <c r="AA455" s="225"/>
      <c r="AB455" s="214"/>
      <c r="AC455" s="226"/>
      <c r="AH455" s="226"/>
      <c r="AI455" s="227"/>
    </row>
    <row r="456" spans="1:42" s="1" customFormat="1">
      <c r="B456" s="1518" t="s">
        <v>18</v>
      </c>
      <c r="C456" s="1524">
        <v>45166</v>
      </c>
      <c r="D456" s="1524"/>
      <c r="E456" s="1524"/>
      <c r="F456" s="1524"/>
      <c r="G456" s="22"/>
      <c r="H456" s="1524">
        <v>45167</v>
      </c>
      <c r="I456" s="1524"/>
      <c r="J456" s="1524"/>
      <c r="K456" s="1524"/>
      <c r="L456" s="22"/>
      <c r="M456" s="1524">
        <v>45168</v>
      </c>
      <c r="N456" s="1524"/>
      <c r="O456" s="1524"/>
      <c r="P456" s="1524"/>
      <c r="Q456" s="22"/>
      <c r="R456" s="1524">
        <v>45169</v>
      </c>
      <c r="S456" s="1524"/>
      <c r="T456" s="1524"/>
      <c r="U456" s="1524"/>
      <c r="V456" s="22"/>
      <c r="W456" s="1524">
        <v>45170</v>
      </c>
      <c r="X456" s="1524"/>
      <c r="Y456" s="1524"/>
      <c r="Z456" s="1524"/>
      <c r="AA456" s="1517" t="s">
        <v>19</v>
      </c>
      <c r="AB456" s="1517" t="s">
        <v>20</v>
      </c>
      <c r="AC456" s="3"/>
      <c r="AD456" s="1524">
        <v>45171</v>
      </c>
      <c r="AE456" s="1524"/>
      <c r="AF456" s="1524"/>
      <c r="AG456" s="1517" t="s">
        <v>21</v>
      </c>
      <c r="AH456" s="3"/>
      <c r="AI456" s="227"/>
      <c r="AK456" s="194" t="s">
        <v>174</v>
      </c>
      <c r="AL456" s="195"/>
      <c r="AM456" s="195"/>
      <c r="AN456" s="195"/>
      <c r="AO456" s="195"/>
      <c r="AP456" s="195"/>
    </row>
    <row r="457" spans="1:42" s="176" customFormat="1" ht="14.25">
      <c r="B457" s="1518"/>
      <c r="C457" s="21" t="s">
        <v>23</v>
      </c>
      <c r="D457" s="21" t="s">
        <v>24</v>
      </c>
      <c r="E457" s="205" t="s">
        <v>25</v>
      </c>
      <c r="F457" s="18" t="s">
        <v>14</v>
      </c>
      <c r="G457" s="3"/>
      <c r="H457" s="21" t="s">
        <v>23</v>
      </c>
      <c r="I457" s="21" t="s">
        <v>24</v>
      </c>
      <c r="J457" s="18" t="s">
        <v>25</v>
      </c>
      <c r="K457" s="18" t="s">
        <v>14</v>
      </c>
      <c r="L457" s="3"/>
      <c r="M457" s="21" t="s">
        <v>23</v>
      </c>
      <c r="N457" s="21" t="s">
        <v>24</v>
      </c>
      <c r="O457" s="18" t="s">
        <v>25</v>
      </c>
      <c r="P457" s="18" t="s">
        <v>14</v>
      </c>
      <c r="Q457" s="3"/>
      <c r="R457" s="21" t="s">
        <v>23</v>
      </c>
      <c r="S457" s="21" t="s">
        <v>24</v>
      </c>
      <c r="T457" s="18" t="s">
        <v>25</v>
      </c>
      <c r="U457" s="18" t="s">
        <v>14</v>
      </c>
      <c r="V457" s="3"/>
      <c r="W457" s="21" t="s">
        <v>23</v>
      </c>
      <c r="X457" s="21" t="s">
        <v>24</v>
      </c>
      <c r="Y457" s="18" t="s">
        <v>25</v>
      </c>
      <c r="Z457" s="18" t="s">
        <v>14</v>
      </c>
      <c r="AA457" s="1523"/>
      <c r="AB457" s="1517"/>
      <c r="AC457" s="3"/>
      <c r="AD457" s="21" t="s">
        <v>23</v>
      </c>
      <c r="AE457" s="21" t="s">
        <v>24</v>
      </c>
      <c r="AF457" s="18" t="s">
        <v>25</v>
      </c>
      <c r="AG457" s="1523"/>
      <c r="AH457" s="174"/>
      <c r="AI457" s="257"/>
      <c r="AK457" s="188" t="s">
        <v>26</v>
      </c>
      <c r="AL457" s="190">
        <f>AA485</f>
        <v>799.25</v>
      </c>
      <c r="AM457" s="187"/>
      <c r="AN457" s="187"/>
      <c r="AO457" s="187"/>
      <c r="AP457" s="187"/>
    </row>
    <row r="458" spans="1:42" s="176" customFormat="1" ht="14.25">
      <c r="B458" s="171" t="s">
        <v>46</v>
      </c>
      <c r="C458" s="12" t="s">
        <v>29</v>
      </c>
      <c r="D458" s="12" t="s">
        <v>29</v>
      </c>
      <c r="E458" s="19">
        <v>8</v>
      </c>
      <c r="F458" s="277"/>
      <c r="G458" s="174"/>
      <c r="H458" s="172">
        <v>0.34375</v>
      </c>
      <c r="I458" s="172">
        <v>0.20833333333333334</v>
      </c>
      <c r="J458" s="173">
        <v>7.75</v>
      </c>
      <c r="K458" s="277"/>
      <c r="L458" s="174"/>
      <c r="M458" s="172">
        <v>0.375</v>
      </c>
      <c r="N458" s="172">
        <v>0.20833333333333334</v>
      </c>
      <c r="O458" s="173">
        <v>7</v>
      </c>
      <c r="P458" s="277"/>
      <c r="Q458" s="174"/>
      <c r="R458" s="12" t="s">
        <v>29</v>
      </c>
      <c r="S458" s="12" t="s">
        <v>29</v>
      </c>
      <c r="T458" s="173">
        <v>8</v>
      </c>
      <c r="U458" s="277"/>
      <c r="V458" s="174"/>
      <c r="W458" s="172" t="s">
        <v>29</v>
      </c>
      <c r="X458" s="172" t="s">
        <v>29</v>
      </c>
      <c r="Y458" s="173">
        <v>8</v>
      </c>
      <c r="Z458" s="277"/>
      <c r="AA458" s="28">
        <f t="shared" ref="AA458:AA482" si="114">(E458+J458+O458+T458+Y458)</f>
        <v>38.75</v>
      </c>
      <c r="AB458" s="298">
        <f t="shared" ref="AB458:AB482" si="115">Z458+U458+P458+K458+F458</f>
        <v>0</v>
      </c>
      <c r="AC458" s="174"/>
      <c r="AD458" s="175">
        <v>0</v>
      </c>
      <c r="AE458" s="175">
        <v>0</v>
      </c>
      <c r="AF458" s="173">
        <v>0</v>
      </c>
      <c r="AG458" s="183">
        <f t="shared" ref="AG458:AG471" si="116">AF458</f>
        <v>0</v>
      </c>
      <c r="AH458" s="174"/>
      <c r="AI458" s="257"/>
      <c r="AK458" s="188" t="s">
        <v>30</v>
      </c>
      <c r="AL458" s="190">
        <f>AB485</f>
        <v>0</v>
      </c>
      <c r="AM458" s="187"/>
      <c r="AN458" s="187"/>
      <c r="AO458" s="187"/>
      <c r="AP458" s="187"/>
    </row>
    <row r="459" spans="1:42" s="176" customFormat="1" ht="14.25">
      <c r="B459" s="171" t="s">
        <v>47</v>
      </c>
      <c r="C459" s="12" t="s">
        <v>29</v>
      </c>
      <c r="D459" s="12" t="s">
        <v>29</v>
      </c>
      <c r="E459" s="173">
        <v>8</v>
      </c>
      <c r="F459" s="277"/>
      <c r="G459" s="174"/>
      <c r="H459" s="315">
        <v>0.33333333333333331</v>
      </c>
      <c r="I459" s="47">
        <v>0.20833333333333334</v>
      </c>
      <c r="J459" s="173">
        <v>8</v>
      </c>
      <c r="K459" s="277"/>
      <c r="L459" s="174"/>
      <c r="M459" s="172">
        <v>0.33333333333333331</v>
      </c>
      <c r="N459" s="172">
        <v>0.20833333333333334</v>
      </c>
      <c r="O459" s="173">
        <v>8</v>
      </c>
      <c r="P459" s="277"/>
      <c r="Q459" s="174"/>
      <c r="R459" s="4" t="s">
        <v>29</v>
      </c>
      <c r="S459" s="4" t="s">
        <v>29</v>
      </c>
      <c r="T459" s="173">
        <v>8</v>
      </c>
      <c r="U459" s="277"/>
      <c r="V459" s="174"/>
      <c r="W459" s="172" t="s">
        <v>29</v>
      </c>
      <c r="X459" s="172" t="s">
        <v>29</v>
      </c>
      <c r="Y459" s="173">
        <v>8</v>
      </c>
      <c r="Z459" s="277"/>
      <c r="AA459" s="28">
        <f t="shared" si="114"/>
        <v>40</v>
      </c>
      <c r="AB459" s="298">
        <f t="shared" si="115"/>
        <v>0</v>
      </c>
      <c r="AC459" s="174"/>
      <c r="AD459" s="175">
        <v>0</v>
      </c>
      <c r="AE459" s="175">
        <v>0</v>
      </c>
      <c r="AF459" s="173">
        <v>0</v>
      </c>
      <c r="AG459" s="28">
        <f t="shared" si="116"/>
        <v>0</v>
      </c>
      <c r="AH459" s="174"/>
      <c r="AI459" s="257"/>
      <c r="AK459" s="188" t="s">
        <v>32</v>
      </c>
      <c r="AL459" s="190">
        <f>AG485</f>
        <v>0</v>
      </c>
      <c r="AM459" s="187"/>
      <c r="AN459" s="187"/>
      <c r="AO459" s="187"/>
      <c r="AP459" s="187"/>
    </row>
    <row r="460" spans="1:42" s="176" customFormat="1" ht="14.25">
      <c r="B460" s="171" t="s">
        <v>31</v>
      </c>
      <c r="C460" s="12" t="s">
        <v>29</v>
      </c>
      <c r="D460" s="12" t="s">
        <v>29</v>
      </c>
      <c r="E460" s="173">
        <v>8</v>
      </c>
      <c r="F460" s="277"/>
      <c r="G460" s="174"/>
      <c r="H460" s="315">
        <v>0.34375</v>
      </c>
      <c r="I460" s="172">
        <v>0.20833333333333334</v>
      </c>
      <c r="J460" s="173">
        <v>7.75</v>
      </c>
      <c r="K460" s="277"/>
      <c r="L460" s="174"/>
      <c r="M460" s="172">
        <v>0.34375</v>
      </c>
      <c r="N460" s="172">
        <v>0.20833333333333334</v>
      </c>
      <c r="O460" s="173">
        <v>7.75</v>
      </c>
      <c r="P460" s="277"/>
      <c r="Q460" s="174"/>
      <c r="R460" s="4">
        <v>0</v>
      </c>
      <c r="S460" s="4">
        <v>0</v>
      </c>
      <c r="T460" s="173">
        <v>0</v>
      </c>
      <c r="U460" s="277"/>
      <c r="V460" s="174"/>
      <c r="W460" s="172" t="s">
        <v>29</v>
      </c>
      <c r="X460" s="172" t="s">
        <v>29</v>
      </c>
      <c r="Y460" s="173">
        <v>8</v>
      </c>
      <c r="Z460" s="277"/>
      <c r="AA460" s="28">
        <f t="shared" si="114"/>
        <v>31.5</v>
      </c>
      <c r="AB460" s="298">
        <f t="shared" si="115"/>
        <v>0</v>
      </c>
      <c r="AC460" s="174"/>
      <c r="AD460" s="175">
        <v>0</v>
      </c>
      <c r="AE460" s="175">
        <v>0</v>
      </c>
      <c r="AF460" s="173">
        <v>0</v>
      </c>
      <c r="AG460" s="28">
        <f t="shared" si="116"/>
        <v>0</v>
      </c>
      <c r="AH460" s="174"/>
      <c r="AI460" s="257"/>
      <c r="AK460" s="188" t="s">
        <v>34</v>
      </c>
      <c r="AL460" s="196">
        <f>AA490</f>
        <v>132</v>
      </c>
      <c r="AM460" s="187"/>
      <c r="AN460" s="187"/>
      <c r="AO460" s="187"/>
      <c r="AP460" s="187"/>
    </row>
    <row r="461" spans="1:42" s="1" customFormat="1" ht="14.25">
      <c r="B461" s="171" t="s">
        <v>33</v>
      </c>
      <c r="C461" s="12" t="s">
        <v>29</v>
      </c>
      <c r="D461" s="12" t="s">
        <v>29</v>
      </c>
      <c r="E461" s="173">
        <v>8</v>
      </c>
      <c r="F461" s="277"/>
      <c r="G461" s="174"/>
      <c r="H461" s="172">
        <v>0.33333333333333331</v>
      </c>
      <c r="I461" s="172">
        <v>0.20833333333333334</v>
      </c>
      <c r="J461" s="173">
        <v>8</v>
      </c>
      <c r="K461" s="277"/>
      <c r="L461" s="174"/>
      <c r="M461" s="4">
        <v>0</v>
      </c>
      <c r="N461" s="4">
        <v>0</v>
      </c>
      <c r="O461" s="173">
        <v>0</v>
      </c>
      <c r="P461" s="277"/>
      <c r="Q461" s="174"/>
      <c r="R461" s="12" t="s">
        <v>29</v>
      </c>
      <c r="S461" s="12" t="s">
        <v>29</v>
      </c>
      <c r="T461" s="173">
        <v>8</v>
      </c>
      <c r="U461" s="277"/>
      <c r="V461" s="174"/>
      <c r="W461" s="172" t="s">
        <v>29</v>
      </c>
      <c r="X461" s="172" t="s">
        <v>29</v>
      </c>
      <c r="Y461" s="173">
        <v>8</v>
      </c>
      <c r="Z461" s="277"/>
      <c r="AA461" s="28">
        <f t="shared" si="114"/>
        <v>32</v>
      </c>
      <c r="AB461" s="298">
        <f t="shared" si="115"/>
        <v>0</v>
      </c>
      <c r="AC461" s="174"/>
      <c r="AD461" s="175">
        <v>0</v>
      </c>
      <c r="AE461" s="175">
        <v>0</v>
      </c>
      <c r="AF461" s="173">
        <v>0</v>
      </c>
      <c r="AG461" s="28">
        <f t="shared" si="116"/>
        <v>0</v>
      </c>
      <c r="AH461" s="3"/>
      <c r="AI461" s="227"/>
      <c r="AK461" s="188" t="s">
        <v>36</v>
      </c>
      <c r="AL461" s="196">
        <f>AB490</f>
        <v>0</v>
      </c>
      <c r="AM461" s="187"/>
      <c r="AN461" s="187"/>
      <c r="AO461" s="187"/>
      <c r="AP461" s="187"/>
    </row>
    <row r="462" spans="1:42" s="176" customFormat="1" ht="14.25">
      <c r="B462" s="171" t="s">
        <v>142</v>
      </c>
      <c r="C462" s="12" t="s">
        <v>29</v>
      </c>
      <c r="D462" s="12" t="s">
        <v>29</v>
      </c>
      <c r="E462" s="173">
        <v>2</v>
      </c>
      <c r="F462" s="277"/>
      <c r="G462" s="174"/>
      <c r="H462" s="12" t="s">
        <v>29</v>
      </c>
      <c r="I462" s="12" t="s">
        <v>29</v>
      </c>
      <c r="J462" s="173">
        <v>0</v>
      </c>
      <c r="K462" s="277"/>
      <c r="L462" s="174"/>
      <c r="M462" s="4">
        <v>0</v>
      </c>
      <c r="N462" s="4">
        <v>0</v>
      </c>
      <c r="O462" s="173">
        <v>0</v>
      </c>
      <c r="P462" s="277"/>
      <c r="Q462" s="174"/>
      <c r="R462" s="4">
        <v>0</v>
      </c>
      <c r="S462" s="4">
        <v>0</v>
      </c>
      <c r="T462" s="173">
        <v>0</v>
      </c>
      <c r="U462" s="277"/>
      <c r="V462" s="174"/>
      <c r="W462" s="4">
        <v>0</v>
      </c>
      <c r="X462" s="4">
        <v>0</v>
      </c>
      <c r="Y462" s="173">
        <v>0</v>
      </c>
      <c r="Z462" s="277"/>
      <c r="AA462" s="28">
        <f t="shared" si="114"/>
        <v>2</v>
      </c>
      <c r="AB462" s="298">
        <f t="shared" si="115"/>
        <v>0</v>
      </c>
      <c r="AC462" s="174"/>
      <c r="AD462" s="175">
        <v>0</v>
      </c>
      <c r="AE462" s="175">
        <v>0</v>
      </c>
      <c r="AF462" s="173">
        <v>0</v>
      </c>
      <c r="AG462" s="28">
        <f t="shared" si="116"/>
        <v>0</v>
      </c>
      <c r="AH462" s="174"/>
      <c r="AI462" s="257"/>
      <c r="AK462" s="188" t="s">
        <v>38</v>
      </c>
      <c r="AL462" s="190">
        <f>AG490</f>
        <v>0</v>
      </c>
      <c r="AM462" s="187"/>
      <c r="AN462" s="187"/>
      <c r="AO462" s="187"/>
      <c r="AP462" s="187"/>
    </row>
    <row r="463" spans="1:42" s="1" customFormat="1" ht="14.25">
      <c r="B463" s="13" t="s">
        <v>129</v>
      </c>
      <c r="C463" s="4">
        <v>0</v>
      </c>
      <c r="D463" s="4">
        <v>0</v>
      </c>
      <c r="E463" s="19">
        <v>0</v>
      </c>
      <c r="F463" s="277"/>
      <c r="G463" s="3"/>
      <c r="H463" s="47">
        <v>0.41666666666666669</v>
      </c>
      <c r="I463" s="47">
        <v>0.20833333333333334</v>
      </c>
      <c r="J463" s="19">
        <v>6</v>
      </c>
      <c r="K463" s="277"/>
      <c r="L463" s="3"/>
      <c r="M463" s="47">
        <v>0.36458333333333331</v>
      </c>
      <c r="N463" s="47">
        <v>0.20833333333333334</v>
      </c>
      <c r="O463" s="19">
        <v>7.25</v>
      </c>
      <c r="P463" s="277"/>
      <c r="Q463" s="3"/>
      <c r="R463" s="4">
        <v>0</v>
      </c>
      <c r="S463" s="4">
        <v>0</v>
      </c>
      <c r="T463" s="19">
        <v>0</v>
      </c>
      <c r="U463" s="277"/>
      <c r="V463" s="3"/>
      <c r="W463" s="47" t="s">
        <v>29</v>
      </c>
      <c r="X463" s="47" t="s">
        <v>29</v>
      </c>
      <c r="Y463" s="19">
        <v>8</v>
      </c>
      <c r="Z463" s="277"/>
      <c r="AA463" s="29">
        <f t="shared" si="114"/>
        <v>21.25</v>
      </c>
      <c r="AB463" s="298">
        <f t="shared" si="115"/>
        <v>0</v>
      </c>
      <c r="AC463" s="3"/>
      <c r="AD463" s="4">
        <v>0</v>
      </c>
      <c r="AE463" s="4">
        <v>0</v>
      </c>
      <c r="AF463" s="19">
        <v>0</v>
      </c>
      <c r="AG463" s="29">
        <f t="shared" si="116"/>
        <v>0</v>
      </c>
      <c r="AH463" s="3"/>
      <c r="AI463" s="227"/>
      <c r="AK463" s="188" t="s">
        <v>32</v>
      </c>
      <c r="AL463" s="190">
        <f>AG488</f>
        <v>0</v>
      </c>
      <c r="AM463" s="191"/>
      <c r="AN463" s="191"/>
      <c r="AO463" s="191"/>
      <c r="AP463" s="191"/>
    </row>
    <row r="464" spans="1:42" s="1" customFormat="1" ht="14.25">
      <c r="B464" s="13" t="s">
        <v>35</v>
      </c>
      <c r="C464" s="12" t="s">
        <v>29</v>
      </c>
      <c r="D464" s="12" t="s">
        <v>29</v>
      </c>
      <c r="E464" s="19">
        <v>0</v>
      </c>
      <c r="F464" s="277"/>
      <c r="G464" s="3"/>
      <c r="H464" s="314">
        <v>0.33333333333333331</v>
      </c>
      <c r="I464" s="47">
        <v>0.20833333333333334</v>
      </c>
      <c r="J464" s="19">
        <v>8</v>
      </c>
      <c r="K464" s="277"/>
      <c r="L464" s="3"/>
      <c r="M464" s="314">
        <v>0.34375</v>
      </c>
      <c r="N464" s="47">
        <v>0.20833333333333334</v>
      </c>
      <c r="O464" s="19">
        <v>7.75</v>
      </c>
      <c r="P464" s="277"/>
      <c r="Q464" s="3"/>
      <c r="R464" s="12" t="s">
        <v>29</v>
      </c>
      <c r="S464" s="12" t="s">
        <v>29</v>
      </c>
      <c r="T464" s="19">
        <v>8</v>
      </c>
      <c r="U464" s="277"/>
      <c r="V464" s="3"/>
      <c r="W464" s="47" t="s">
        <v>29</v>
      </c>
      <c r="X464" s="47" t="s">
        <v>29</v>
      </c>
      <c r="Y464" s="19">
        <v>8</v>
      </c>
      <c r="Z464" s="277"/>
      <c r="AA464" s="29">
        <f t="shared" si="114"/>
        <v>31.75</v>
      </c>
      <c r="AB464" s="298">
        <f t="shared" si="115"/>
        <v>0</v>
      </c>
      <c r="AC464" s="3"/>
      <c r="AD464" s="4">
        <v>0</v>
      </c>
      <c r="AE464" s="4">
        <v>0</v>
      </c>
      <c r="AF464" s="19">
        <v>0</v>
      </c>
      <c r="AG464" s="29">
        <f t="shared" si="116"/>
        <v>0</v>
      </c>
      <c r="AH464" s="3"/>
      <c r="AI464" s="227"/>
      <c r="AK464" s="188" t="s">
        <v>41</v>
      </c>
      <c r="AL464" s="189">
        <f>C491</f>
        <v>31</v>
      </c>
      <c r="AM464" s="187"/>
      <c r="AN464" s="187"/>
      <c r="AO464" s="187"/>
      <c r="AP464" s="187"/>
    </row>
    <row r="465" spans="2:42" s="1" customFormat="1" ht="14.25">
      <c r="B465" s="13" t="s">
        <v>37</v>
      </c>
      <c r="C465" s="12" t="s">
        <v>29</v>
      </c>
      <c r="D465" s="12" t="s">
        <v>29</v>
      </c>
      <c r="E465" s="19">
        <v>0</v>
      </c>
      <c r="F465" s="277"/>
      <c r="G465" s="3"/>
      <c r="H465" s="12" t="s">
        <v>29</v>
      </c>
      <c r="I465" s="12" t="s">
        <v>29</v>
      </c>
      <c r="J465" s="19">
        <v>0</v>
      </c>
      <c r="K465" s="277"/>
      <c r="L465" s="3"/>
      <c r="M465" s="4">
        <v>0</v>
      </c>
      <c r="N465" s="4">
        <v>0</v>
      </c>
      <c r="O465" s="19">
        <v>0</v>
      </c>
      <c r="P465" s="277"/>
      <c r="Q465" s="3"/>
      <c r="R465" s="12" t="s">
        <v>29</v>
      </c>
      <c r="S465" s="12" t="s">
        <v>29</v>
      </c>
      <c r="T465" s="19">
        <v>8</v>
      </c>
      <c r="U465" s="277"/>
      <c r="V465" s="3"/>
      <c r="W465" s="47" t="s">
        <v>29</v>
      </c>
      <c r="X465" s="47" t="s">
        <v>29</v>
      </c>
      <c r="Y465" s="19">
        <v>8</v>
      </c>
      <c r="Z465" s="277"/>
      <c r="AA465" s="29">
        <f t="shared" si="114"/>
        <v>16</v>
      </c>
      <c r="AB465" s="298">
        <f t="shared" si="115"/>
        <v>0</v>
      </c>
      <c r="AC465" s="3"/>
      <c r="AD465" s="4">
        <v>0</v>
      </c>
      <c r="AE465" s="4">
        <v>0</v>
      </c>
      <c r="AF465" s="19">
        <v>0</v>
      </c>
      <c r="AG465" s="29">
        <f t="shared" si="116"/>
        <v>0</v>
      </c>
      <c r="AH465" s="3"/>
      <c r="AI465" s="227"/>
      <c r="AK465" s="187"/>
      <c r="AL465" s="187"/>
      <c r="AM465" s="187"/>
      <c r="AN465" s="187"/>
      <c r="AO465" s="187"/>
      <c r="AP465" s="187"/>
    </row>
    <row r="466" spans="2:42" s="1" customFormat="1" ht="14.25">
      <c r="B466" s="13" t="s">
        <v>39</v>
      </c>
      <c r="C466" s="12" t="s">
        <v>29</v>
      </c>
      <c r="D466" s="12" t="s">
        <v>29</v>
      </c>
      <c r="E466" s="19">
        <v>8</v>
      </c>
      <c r="F466" s="277"/>
      <c r="G466" s="3"/>
      <c r="H466" s="314">
        <v>0.34375</v>
      </c>
      <c r="I466" s="47">
        <v>0.20833333333333334</v>
      </c>
      <c r="J466" s="19">
        <v>7.75</v>
      </c>
      <c r="K466" s="277"/>
      <c r="L466" s="3"/>
      <c r="M466" s="4">
        <v>0</v>
      </c>
      <c r="N466" s="4">
        <v>0</v>
      </c>
      <c r="O466" s="19">
        <v>0</v>
      </c>
      <c r="P466" s="277"/>
      <c r="Q466" s="3"/>
      <c r="R466" s="12" t="s">
        <v>29</v>
      </c>
      <c r="S466" s="12" t="s">
        <v>29</v>
      </c>
      <c r="T466" s="19">
        <v>8</v>
      </c>
      <c r="U466" s="277"/>
      <c r="V466" s="3"/>
      <c r="W466" s="12" t="s">
        <v>29</v>
      </c>
      <c r="X466" s="12" t="s">
        <v>29</v>
      </c>
      <c r="Y466" s="173">
        <v>8</v>
      </c>
      <c r="Z466" s="277"/>
      <c r="AA466" s="29">
        <f t="shared" si="114"/>
        <v>31.75</v>
      </c>
      <c r="AB466" s="298">
        <f t="shared" si="115"/>
        <v>0</v>
      </c>
      <c r="AC466" s="3"/>
      <c r="AD466" s="4">
        <v>0</v>
      </c>
      <c r="AE466" s="4">
        <v>0</v>
      </c>
      <c r="AF466" s="19">
        <v>0</v>
      </c>
      <c r="AG466" s="29">
        <f t="shared" si="116"/>
        <v>0</v>
      </c>
      <c r="AH466" s="3"/>
      <c r="AI466" s="227"/>
      <c r="AK466" s="187"/>
      <c r="AL466" s="187"/>
      <c r="AM466" s="187"/>
      <c r="AN466" s="187"/>
      <c r="AO466" s="187"/>
      <c r="AP466" s="187"/>
    </row>
    <row r="467" spans="2:42" s="1" customFormat="1" ht="14.25">
      <c r="B467" s="164" t="s">
        <v>40</v>
      </c>
      <c r="C467" s="12" t="s">
        <v>29</v>
      </c>
      <c r="D467" s="12" t="s">
        <v>29</v>
      </c>
      <c r="E467" s="19">
        <v>8</v>
      </c>
      <c r="F467" s="277"/>
      <c r="G467" s="3"/>
      <c r="H467" s="47">
        <v>0.33333333333333331</v>
      </c>
      <c r="I467" s="47">
        <v>0.20833333333333334</v>
      </c>
      <c r="J467" s="19">
        <v>8</v>
      </c>
      <c r="K467" s="277"/>
      <c r="L467" s="3"/>
      <c r="M467" s="314">
        <v>0.33333333333333331</v>
      </c>
      <c r="N467" s="47">
        <v>0.20833333333333334</v>
      </c>
      <c r="O467" s="19">
        <v>8</v>
      </c>
      <c r="P467" s="277"/>
      <c r="Q467" s="3"/>
      <c r="R467" s="12" t="s">
        <v>29</v>
      </c>
      <c r="S467" s="12" t="s">
        <v>29</v>
      </c>
      <c r="T467" s="19">
        <v>8</v>
      </c>
      <c r="U467" s="277"/>
      <c r="V467" s="3"/>
      <c r="W467" s="12" t="s">
        <v>29</v>
      </c>
      <c r="X467" s="12" t="s">
        <v>29</v>
      </c>
      <c r="Y467" s="173">
        <v>8</v>
      </c>
      <c r="Z467" s="277"/>
      <c r="AA467" s="29">
        <f t="shared" si="114"/>
        <v>40</v>
      </c>
      <c r="AB467" s="298">
        <f t="shared" si="115"/>
        <v>0</v>
      </c>
      <c r="AC467" s="3"/>
      <c r="AD467" s="4">
        <v>0</v>
      </c>
      <c r="AE467" s="4">
        <v>0</v>
      </c>
      <c r="AF467" s="19">
        <v>0</v>
      </c>
      <c r="AG467" s="29">
        <f t="shared" si="116"/>
        <v>0</v>
      </c>
      <c r="AH467" s="3"/>
      <c r="AI467" s="227"/>
      <c r="AK467" s="187"/>
      <c r="AL467" s="187"/>
      <c r="AM467" s="187"/>
      <c r="AN467" s="187"/>
      <c r="AO467" s="187"/>
      <c r="AP467" s="187"/>
    </row>
    <row r="468" spans="2:42" s="1" customFormat="1" ht="14.25">
      <c r="B468" s="164" t="s">
        <v>42</v>
      </c>
      <c r="C468" s="12" t="s">
        <v>29</v>
      </c>
      <c r="D468" s="12" t="s">
        <v>29</v>
      </c>
      <c r="E468" s="19">
        <v>8</v>
      </c>
      <c r="F468" s="277"/>
      <c r="G468" s="3"/>
      <c r="H468" s="47">
        <v>0.36458333333333331</v>
      </c>
      <c r="I468" s="47">
        <v>0.20833333333333334</v>
      </c>
      <c r="J468" s="19">
        <v>7.25</v>
      </c>
      <c r="K468" s="277"/>
      <c r="L468" s="3"/>
      <c r="M468" s="314">
        <v>0.36458333333333331</v>
      </c>
      <c r="N468" s="47">
        <v>0.20833333333333334</v>
      </c>
      <c r="O468" s="19">
        <v>7.75</v>
      </c>
      <c r="P468" s="277"/>
      <c r="Q468" s="3"/>
      <c r="R468" s="12" t="s">
        <v>29</v>
      </c>
      <c r="S468" s="12" t="s">
        <v>29</v>
      </c>
      <c r="T468" s="19">
        <v>8</v>
      </c>
      <c r="U468" s="277"/>
      <c r="V468" s="3"/>
      <c r="W468" s="12" t="s">
        <v>29</v>
      </c>
      <c r="X468" s="12" t="s">
        <v>29</v>
      </c>
      <c r="Y468" s="173">
        <v>8</v>
      </c>
      <c r="Z468" s="277"/>
      <c r="AA468" s="29">
        <f t="shared" si="114"/>
        <v>39</v>
      </c>
      <c r="AB468" s="298">
        <f t="shared" si="115"/>
        <v>0</v>
      </c>
      <c r="AC468" s="3"/>
      <c r="AD468" s="4">
        <v>0</v>
      </c>
      <c r="AE468" s="4">
        <v>0</v>
      </c>
      <c r="AF468" s="19">
        <v>0</v>
      </c>
      <c r="AG468" s="29">
        <f t="shared" si="116"/>
        <v>0</v>
      </c>
      <c r="AH468" s="3"/>
      <c r="AI468" s="227"/>
      <c r="AK468" s="187"/>
      <c r="AL468" s="187"/>
      <c r="AM468" s="187"/>
      <c r="AN468" s="187"/>
      <c r="AO468" s="187"/>
      <c r="AP468" s="187"/>
    </row>
    <row r="469" spans="2:42" s="1" customFormat="1" ht="14.25">
      <c r="B469" s="13" t="s">
        <v>43</v>
      </c>
      <c r="C469" s="12" t="s">
        <v>29</v>
      </c>
      <c r="D469" s="12" t="s">
        <v>29</v>
      </c>
      <c r="E469" s="19">
        <v>8</v>
      </c>
      <c r="F469" s="277"/>
      <c r="G469" s="3"/>
      <c r="H469" s="47">
        <v>0.33333333333333331</v>
      </c>
      <c r="I469" s="47">
        <v>0.20833333333333334</v>
      </c>
      <c r="J469" s="19">
        <v>8</v>
      </c>
      <c r="K469" s="277"/>
      <c r="L469" s="3"/>
      <c r="M469" s="314">
        <v>0.33333333333333331</v>
      </c>
      <c r="N469" s="47">
        <v>0.20833333333333334</v>
      </c>
      <c r="O469" s="19">
        <v>8</v>
      </c>
      <c r="P469" s="277"/>
      <c r="Q469" s="3"/>
      <c r="R469" s="12" t="s">
        <v>29</v>
      </c>
      <c r="S469" s="12" t="s">
        <v>29</v>
      </c>
      <c r="T469" s="19">
        <v>8</v>
      </c>
      <c r="U469" s="277"/>
      <c r="V469" s="3"/>
      <c r="W469" s="12" t="s">
        <v>29</v>
      </c>
      <c r="X469" s="12" t="s">
        <v>29</v>
      </c>
      <c r="Y469" s="173">
        <v>8</v>
      </c>
      <c r="Z469" s="277"/>
      <c r="AA469" s="29">
        <f t="shared" si="114"/>
        <v>40</v>
      </c>
      <c r="AB469" s="298">
        <f t="shared" si="115"/>
        <v>0</v>
      </c>
      <c r="AC469" s="3"/>
      <c r="AD469" s="4">
        <v>0</v>
      </c>
      <c r="AE469" s="4">
        <v>0</v>
      </c>
      <c r="AF469" s="19">
        <v>0</v>
      </c>
      <c r="AG469" s="29">
        <f t="shared" si="116"/>
        <v>0</v>
      </c>
      <c r="AH469" s="3"/>
      <c r="AI469" s="227"/>
      <c r="AK469" s="187"/>
      <c r="AL469" s="187"/>
      <c r="AM469" s="187"/>
      <c r="AN469" s="187"/>
      <c r="AO469" s="187"/>
      <c r="AP469" s="187"/>
    </row>
    <row r="470" spans="2:42" s="1" customFormat="1" ht="14.25">
      <c r="B470" s="13" t="s">
        <v>44</v>
      </c>
      <c r="C470" s="4">
        <v>0</v>
      </c>
      <c r="D470" s="4">
        <v>0</v>
      </c>
      <c r="E470" s="19">
        <v>0</v>
      </c>
      <c r="F470" s="277"/>
      <c r="G470" s="3"/>
      <c r="H470" s="47">
        <v>0</v>
      </c>
      <c r="I470" s="47">
        <v>0</v>
      </c>
      <c r="J470" s="19">
        <v>0</v>
      </c>
      <c r="K470" s="277"/>
      <c r="L470" s="3"/>
      <c r="M470" s="4">
        <v>0</v>
      </c>
      <c r="N470" s="4">
        <v>0</v>
      </c>
      <c r="O470" s="19">
        <v>0</v>
      </c>
      <c r="P470" s="277"/>
      <c r="Q470" s="3"/>
      <c r="R470" s="4">
        <v>0</v>
      </c>
      <c r="S470" s="4">
        <v>0</v>
      </c>
      <c r="T470" s="19">
        <v>0</v>
      </c>
      <c r="U470" s="277"/>
      <c r="V470" s="3"/>
      <c r="W470" s="4">
        <v>0</v>
      </c>
      <c r="X470" s="4">
        <v>0</v>
      </c>
      <c r="Y470" s="173">
        <v>0</v>
      </c>
      <c r="Z470" s="277"/>
      <c r="AA470" s="29">
        <f t="shared" si="114"/>
        <v>0</v>
      </c>
      <c r="AB470" s="298">
        <f t="shared" si="115"/>
        <v>0</v>
      </c>
      <c r="AC470" s="3"/>
      <c r="AD470" s="4">
        <v>0</v>
      </c>
      <c r="AE470" s="4">
        <v>0</v>
      </c>
      <c r="AF470" s="19">
        <v>0</v>
      </c>
      <c r="AG470" s="29">
        <f t="shared" si="116"/>
        <v>0</v>
      </c>
      <c r="AH470" s="3"/>
      <c r="AI470" s="227"/>
      <c r="AK470" s="187"/>
      <c r="AL470" s="187"/>
      <c r="AM470" s="187"/>
      <c r="AN470" s="187"/>
      <c r="AO470" s="187"/>
      <c r="AP470" s="187"/>
    </row>
    <row r="471" spans="2:42" s="1" customFormat="1" ht="14.25">
      <c r="B471" s="13" t="s">
        <v>45</v>
      </c>
      <c r="C471" s="12" t="s">
        <v>29</v>
      </c>
      <c r="D471" s="12" t="s">
        <v>29</v>
      </c>
      <c r="E471" s="19">
        <v>8</v>
      </c>
      <c r="F471" s="277"/>
      <c r="G471" s="3"/>
      <c r="H471" s="47">
        <v>0.35416666666666669</v>
      </c>
      <c r="I471" s="47">
        <v>0.20833333333333334</v>
      </c>
      <c r="J471" s="19">
        <v>7.5</v>
      </c>
      <c r="K471" s="277"/>
      <c r="L471" s="3"/>
      <c r="M471" s="314">
        <v>0.35416666666666669</v>
      </c>
      <c r="N471" s="47">
        <v>0.20833333333333334</v>
      </c>
      <c r="O471" s="19">
        <v>7.5</v>
      </c>
      <c r="P471" s="277"/>
      <c r="Q471" s="3"/>
      <c r="R471" s="12" t="s">
        <v>29</v>
      </c>
      <c r="S471" s="12" t="s">
        <v>29</v>
      </c>
      <c r="T471" s="19">
        <v>8</v>
      </c>
      <c r="U471" s="277"/>
      <c r="V471" s="3"/>
      <c r="W471" s="12" t="s">
        <v>29</v>
      </c>
      <c r="X471" s="12" t="s">
        <v>29</v>
      </c>
      <c r="Y471" s="173">
        <v>8</v>
      </c>
      <c r="Z471" s="277"/>
      <c r="AA471" s="29">
        <f t="shared" si="114"/>
        <v>39</v>
      </c>
      <c r="AB471" s="298">
        <f t="shared" si="115"/>
        <v>0</v>
      </c>
      <c r="AC471" s="3"/>
      <c r="AD471" s="4">
        <v>0</v>
      </c>
      <c r="AE471" s="4">
        <v>0</v>
      </c>
      <c r="AF471" s="19">
        <v>0</v>
      </c>
      <c r="AG471" s="29">
        <f t="shared" si="116"/>
        <v>0</v>
      </c>
      <c r="AH471" s="3"/>
      <c r="AI471" s="227"/>
      <c r="AK471" s="187"/>
      <c r="AL471" s="187"/>
      <c r="AM471" s="187"/>
      <c r="AN471" s="187"/>
      <c r="AO471" s="187"/>
      <c r="AP471" s="187"/>
    </row>
    <row r="472" spans="2:42" s="1" customFormat="1" ht="14.25">
      <c r="B472" s="13" t="s">
        <v>48</v>
      </c>
      <c r="C472" s="12" t="s">
        <v>29</v>
      </c>
      <c r="D472" s="12" t="s">
        <v>29</v>
      </c>
      <c r="E472" s="19">
        <v>8</v>
      </c>
      <c r="F472" s="277"/>
      <c r="G472" s="3"/>
      <c r="H472" s="47">
        <v>0.33333333333333331</v>
      </c>
      <c r="I472" s="47">
        <v>0.20833333333333334</v>
      </c>
      <c r="J472" s="19">
        <v>8</v>
      </c>
      <c r="K472" s="277"/>
      <c r="L472" s="3"/>
      <c r="M472" s="314">
        <v>0.375</v>
      </c>
      <c r="N472" s="47">
        <v>0.20833333333333334</v>
      </c>
      <c r="O472" s="19">
        <v>7</v>
      </c>
      <c r="P472" s="277"/>
      <c r="Q472" s="3"/>
      <c r="R472" s="12" t="s">
        <v>29</v>
      </c>
      <c r="S472" s="12" t="s">
        <v>29</v>
      </c>
      <c r="T472" s="19">
        <v>8</v>
      </c>
      <c r="U472" s="277"/>
      <c r="V472" s="3"/>
      <c r="W472" s="12" t="s">
        <v>29</v>
      </c>
      <c r="X472" s="12" t="s">
        <v>29</v>
      </c>
      <c r="Y472" s="173">
        <v>8</v>
      </c>
      <c r="Z472" s="277"/>
      <c r="AA472" s="29">
        <f t="shared" si="114"/>
        <v>39</v>
      </c>
      <c r="AB472" s="298">
        <f t="shared" si="115"/>
        <v>0</v>
      </c>
      <c r="AC472" s="3"/>
      <c r="AD472" s="4">
        <v>0</v>
      </c>
      <c r="AE472" s="4">
        <v>0</v>
      </c>
      <c r="AF472" s="19">
        <v>0</v>
      </c>
      <c r="AG472" s="29">
        <f t="shared" ref="AG472:AG484" si="117">AF472</f>
        <v>0</v>
      </c>
      <c r="AH472" s="3"/>
      <c r="AI472" s="227"/>
      <c r="AK472" s="187"/>
      <c r="AL472" s="187"/>
      <c r="AM472" s="187"/>
      <c r="AN472" s="187"/>
      <c r="AO472" s="187"/>
      <c r="AP472" s="187"/>
    </row>
    <row r="473" spans="2:42" s="1" customFormat="1" ht="14.25">
      <c r="B473" s="13" t="s">
        <v>49</v>
      </c>
      <c r="C473" s="4">
        <v>0</v>
      </c>
      <c r="D473" s="4">
        <v>0</v>
      </c>
      <c r="E473" s="19">
        <v>0</v>
      </c>
      <c r="F473" s="277"/>
      <c r="G473" s="3"/>
      <c r="H473" s="47">
        <v>0.35416666666666669</v>
      </c>
      <c r="I473" s="47">
        <v>0.20833333333333334</v>
      </c>
      <c r="J473" s="19">
        <v>7.5</v>
      </c>
      <c r="K473" s="277"/>
      <c r="L473" s="3"/>
      <c r="M473" s="314">
        <v>0.33333333333333331</v>
      </c>
      <c r="N473" s="47">
        <v>0.20833333333333334</v>
      </c>
      <c r="O473" s="19">
        <v>8</v>
      </c>
      <c r="P473" s="277"/>
      <c r="Q473" s="3"/>
      <c r="R473" s="12" t="s">
        <v>29</v>
      </c>
      <c r="S473" s="12" t="s">
        <v>29</v>
      </c>
      <c r="T473" s="19">
        <v>8</v>
      </c>
      <c r="U473" s="277"/>
      <c r="V473" s="3"/>
      <c r="W473" s="12" t="s">
        <v>29</v>
      </c>
      <c r="X473" s="12" t="s">
        <v>29</v>
      </c>
      <c r="Y473" s="173">
        <v>8</v>
      </c>
      <c r="Z473" s="277"/>
      <c r="AA473" s="29">
        <f t="shared" si="114"/>
        <v>31.5</v>
      </c>
      <c r="AB473" s="298">
        <f t="shared" si="115"/>
        <v>0</v>
      </c>
      <c r="AC473" s="3"/>
      <c r="AD473" s="4">
        <v>0</v>
      </c>
      <c r="AE473" s="4">
        <v>0</v>
      </c>
      <c r="AF473" s="19">
        <v>0</v>
      </c>
      <c r="AG473" s="29">
        <f t="shared" si="117"/>
        <v>0</v>
      </c>
      <c r="AH473" s="3"/>
      <c r="AI473" s="227"/>
      <c r="AK473" s="187"/>
      <c r="AL473" s="187"/>
      <c r="AM473" s="187"/>
      <c r="AN473" s="187"/>
      <c r="AO473" s="187"/>
      <c r="AP473" s="187"/>
    </row>
    <row r="474" spans="2:42" s="1" customFormat="1" ht="14.25">
      <c r="B474" s="13" t="s">
        <v>50</v>
      </c>
      <c r="C474" s="12" t="s">
        <v>29</v>
      </c>
      <c r="D474" s="12" t="s">
        <v>29</v>
      </c>
      <c r="E474" s="19">
        <v>8</v>
      </c>
      <c r="F474" s="277"/>
      <c r="G474" s="3"/>
      <c r="H474" s="47">
        <v>0.35416666666666669</v>
      </c>
      <c r="I474" s="47">
        <v>0.20833333333333334</v>
      </c>
      <c r="J474" s="19">
        <v>7.5</v>
      </c>
      <c r="K474" s="277"/>
      <c r="L474" s="3"/>
      <c r="M474" s="12" t="s">
        <v>29</v>
      </c>
      <c r="N474" s="12" t="s">
        <v>29</v>
      </c>
      <c r="O474" s="19">
        <v>8</v>
      </c>
      <c r="P474" s="277"/>
      <c r="Q474" s="3"/>
      <c r="R474" s="12" t="s">
        <v>29</v>
      </c>
      <c r="S474" s="12" t="s">
        <v>29</v>
      </c>
      <c r="T474" s="19">
        <v>8</v>
      </c>
      <c r="U474" s="277"/>
      <c r="V474" s="3"/>
      <c r="W474" s="12" t="s">
        <v>29</v>
      </c>
      <c r="X474" s="12" t="s">
        <v>29</v>
      </c>
      <c r="Y474" s="173">
        <v>8</v>
      </c>
      <c r="Z474" s="277"/>
      <c r="AA474" s="29">
        <f t="shared" si="114"/>
        <v>39.5</v>
      </c>
      <c r="AB474" s="298">
        <f t="shared" si="115"/>
        <v>0</v>
      </c>
      <c r="AC474" s="3"/>
      <c r="AD474" s="4">
        <v>0</v>
      </c>
      <c r="AE474" s="4">
        <v>0</v>
      </c>
      <c r="AF474" s="19">
        <v>0</v>
      </c>
      <c r="AG474" s="29">
        <f t="shared" si="117"/>
        <v>0</v>
      </c>
      <c r="AH474" s="3"/>
      <c r="AI474" s="227"/>
      <c r="AK474" s="187"/>
      <c r="AL474" s="187"/>
      <c r="AM474" s="187"/>
      <c r="AN474" s="187"/>
      <c r="AO474" s="187"/>
      <c r="AP474" s="187"/>
    </row>
    <row r="475" spans="2:42" s="1" customFormat="1" ht="14.25">
      <c r="B475" s="13" t="s">
        <v>51</v>
      </c>
      <c r="C475" s="12" t="s">
        <v>29</v>
      </c>
      <c r="D475" s="12" t="s">
        <v>29</v>
      </c>
      <c r="E475" s="19">
        <v>8</v>
      </c>
      <c r="F475" s="277"/>
      <c r="G475" s="3"/>
      <c r="H475" s="47">
        <v>0.375</v>
      </c>
      <c r="I475" s="47">
        <v>0.20833333333333334</v>
      </c>
      <c r="J475" s="19">
        <v>7</v>
      </c>
      <c r="K475" s="277"/>
      <c r="L475" s="3"/>
      <c r="M475" s="314">
        <v>0.36458333333333331</v>
      </c>
      <c r="N475" s="47">
        <v>0.20833333333333334</v>
      </c>
      <c r="O475" s="19">
        <v>7.25</v>
      </c>
      <c r="P475" s="277"/>
      <c r="Q475" s="3"/>
      <c r="R475" s="4">
        <v>0</v>
      </c>
      <c r="S475" s="4">
        <v>0</v>
      </c>
      <c r="T475" s="19">
        <v>0</v>
      </c>
      <c r="U475" s="277"/>
      <c r="V475" s="3"/>
      <c r="W475" s="12" t="s">
        <v>29</v>
      </c>
      <c r="X475" s="12" t="s">
        <v>29</v>
      </c>
      <c r="Y475" s="173">
        <v>8</v>
      </c>
      <c r="Z475" s="277"/>
      <c r="AA475" s="29">
        <f t="shared" si="114"/>
        <v>30.25</v>
      </c>
      <c r="AB475" s="298">
        <f t="shared" si="115"/>
        <v>0</v>
      </c>
      <c r="AC475" s="3"/>
      <c r="AD475" s="4">
        <v>0</v>
      </c>
      <c r="AE475" s="4">
        <v>0</v>
      </c>
      <c r="AF475" s="19">
        <v>0</v>
      </c>
      <c r="AG475" s="29">
        <f t="shared" si="117"/>
        <v>0</v>
      </c>
      <c r="AH475" s="3"/>
      <c r="AI475" s="227"/>
      <c r="AK475" s="187"/>
      <c r="AL475" s="187"/>
      <c r="AM475" s="187"/>
      <c r="AN475" s="187"/>
      <c r="AO475" s="187"/>
      <c r="AP475" s="187"/>
    </row>
    <row r="476" spans="2:42" s="1" customFormat="1" ht="14.25">
      <c r="B476" s="13" t="s">
        <v>54</v>
      </c>
      <c r="C476" s="4">
        <v>0</v>
      </c>
      <c r="D476" s="4">
        <v>0</v>
      </c>
      <c r="E476" s="19">
        <v>0</v>
      </c>
      <c r="F476" s="277"/>
      <c r="G476" s="3"/>
      <c r="H476" s="4">
        <v>0</v>
      </c>
      <c r="I476" s="4">
        <v>0</v>
      </c>
      <c r="J476" s="19">
        <v>0</v>
      </c>
      <c r="K476" s="277"/>
      <c r="L476" s="3"/>
      <c r="M476" s="4">
        <v>0</v>
      </c>
      <c r="N476" s="4">
        <v>0</v>
      </c>
      <c r="O476" s="19">
        <v>0</v>
      </c>
      <c r="P476" s="277"/>
      <c r="Q476" s="3"/>
      <c r="R476" s="4">
        <v>0</v>
      </c>
      <c r="S476" s="4">
        <v>0</v>
      </c>
      <c r="T476" s="19">
        <v>0</v>
      </c>
      <c r="U476" s="277"/>
      <c r="V476" s="3"/>
      <c r="W476" s="4">
        <v>0</v>
      </c>
      <c r="X476" s="4">
        <v>0</v>
      </c>
      <c r="Y476" s="19">
        <v>0</v>
      </c>
      <c r="Z476" s="277"/>
      <c r="AA476" s="29">
        <f t="shared" si="114"/>
        <v>0</v>
      </c>
      <c r="AB476" s="298">
        <f t="shared" si="115"/>
        <v>0</v>
      </c>
      <c r="AC476" s="3"/>
      <c r="AD476" s="4">
        <v>0</v>
      </c>
      <c r="AE476" s="4">
        <v>0</v>
      </c>
      <c r="AF476" s="19">
        <v>0</v>
      </c>
      <c r="AG476" s="29">
        <f t="shared" si="117"/>
        <v>0</v>
      </c>
      <c r="AH476" s="3"/>
      <c r="AI476" s="227"/>
      <c r="AK476" s="187"/>
      <c r="AL476" s="187"/>
      <c r="AM476" s="187"/>
      <c r="AN476" s="187"/>
      <c r="AO476" s="187"/>
      <c r="AP476" s="187"/>
    </row>
    <row r="477" spans="2:42" s="1" customFormat="1" ht="14.25">
      <c r="B477" s="13" t="s">
        <v>55</v>
      </c>
      <c r="C477" s="4">
        <v>0</v>
      </c>
      <c r="D477" s="4">
        <v>0</v>
      </c>
      <c r="E477" s="19">
        <v>0</v>
      </c>
      <c r="F477" s="277"/>
      <c r="G477" s="3"/>
      <c r="H477" s="4">
        <v>0</v>
      </c>
      <c r="I477" s="4">
        <v>0</v>
      </c>
      <c r="J477" s="19">
        <v>0</v>
      </c>
      <c r="K477" s="277"/>
      <c r="L477" s="3"/>
      <c r="M477" s="4">
        <v>0</v>
      </c>
      <c r="N477" s="4">
        <v>0</v>
      </c>
      <c r="O477" s="19">
        <v>0</v>
      </c>
      <c r="P477" s="277"/>
      <c r="Q477" s="3"/>
      <c r="R477" s="4">
        <v>0</v>
      </c>
      <c r="S477" s="4">
        <v>0</v>
      </c>
      <c r="T477" s="19">
        <v>0</v>
      </c>
      <c r="U477" s="277"/>
      <c r="V477" s="3"/>
      <c r="W477" s="4">
        <v>0</v>
      </c>
      <c r="X477" s="4">
        <v>0</v>
      </c>
      <c r="Y477" s="19">
        <v>0</v>
      </c>
      <c r="Z477" s="277"/>
      <c r="AA477" s="29">
        <f t="shared" si="114"/>
        <v>0</v>
      </c>
      <c r="AB477" s="298">
        <f t="shared" si="115"/>
        <v>0</v>
      </c>
      <c r="AC477" s="3"/>
      <c r="AD477" s="4">
        <v>0</v>
      </c>
      <c r="AE477" s="4">
        <v>0</v>
      </c>
      <c r="AF477" s="19">
        <v>0</v>
      </c>
      <c r="AG477" s="29">
        <f t="shared" si="117"/>
        <v>0</v>
      </c>
      <c r="AH477" s="3"/>
      <c r="AI477" s="227"/>
      <c r="AK477" s="187"/>
      <c r="AL477" s="187"/>
      <c r="AM477" s="187"/>
      <c r="AN477" s="187"/>
      <c r="AO477" s="187"/>
      <c r="AP477" s="187"/>
    </row>
    <row r="478" spans="2:42" s="1" customFormat="1" ht="14.25">
      <c r="B478" s="138" t="s">
        <v>56</v>
      </c>
      <c r="C478" s="12" t="s">
        <v>29</v>
      </c>
      <c r="D478" s="12" t="s">
        <v>29</v>
      </c>
      <c r="E478" s="19">
        <v>8</v>
      </c>
      <c r="F478" s="277"/>
      <c r="G478" s="3"/>
      <c r="H478" s="12" t="s">
        <v>29</v>
      </c>
      <c r="I478" s="12" t="s">
        <v>29</v>
      </c>
      <c r="J478" s="19">
        <v>8</v>
      </c>
      <c r="K478" s="277"/>
      <c r="L478" s="3"/>
      <c r="M478" s="12" t="s">
        <v>29</v>
      </c>
      <c r="N478" s="12" t="s">
        <v>29</v>
      </c>
      <c r="O478" s="19">
        <v>8</v>
      </c>
      <c r="P478" s="277"/>
      <c r="Q478" s="3"/>
      <c r="R478" s="12" t="s">
        <v>29</v>
      </c>
      <c r="S478" s="12" t="s">
        <v>29</v>
      </c>
      <c r="T478" s="19">
        <v>8</v>
      </c>
      <c r="U478" s="277"/>
      <c r="V478" s="3"/>
      <c r="W478" s="12" t="s">
        <v>29</v>
      </c>
      <c r="X478" s="12" t="s">
        <v>29</v>
      </c>
      <c r="Y478" s="19">
        <v>8</v>
      </c>
      <c r="Z478" s="277"/>
      <c r="AA478" s="29">
        <f t="shared" si="114"/>
        <v>40</v>
      </c>
      <c r="AB478" s="298">
        <f t="shared" si="115"/>
        <v>0</v>
      </c>
      <c r="AC478" s="3"/>
      <c r="AD478" s="4">
        <v>0</v>
      </c>
      <c r="AE478" s="4">
        <v>0</v>
      </c>
      <c r="AF478" s="19">
        <v>0</v>
      </c>
      <c r="AG478" s="29">
        <f t="shared" si="117"/>
        <v>0</v>
      </c>
      <c r="AH478" s="3"/>
      <c r="AI478" s="227"/>
      <c r="AK478" s="187"/>
      <c r="AL478" s="187"/>
      <c r="AM478" s="187"/>
      <c r="AN478" s="187"/>
      <c r="AO478" s="187"/>
      <c r="AP478" s="187"/>
    </row>
    <row r="479" spans="2:42" s="1" customFormat="1" ht="14.25">
      <c r="B479" s="138" t="s">
        <v>57</v>
      </c>
      <c r="C479" s="12" t="s">
        <v>29</v>
      </c>
      <c r="D479" s="12" t="s">
        <v>29</v>
      </c>
      <c r="E479" s="19">
        <v>8</v>
      </c>
      <c r="F479" s="277"/>
      <c r="G479" s="3"/>
      <c r="H479" s="12" t="s">
        <v>29</v>
      </c>
      <c r="I479" s="12" t="s">
        <v>29</v>
      </c>
      <c r="J479" s="19">
        <v>8</v>
      </c>
      <c r="K479" s="277"/>
      <c r="L479" s="3"/>
      <c r="M479" s="12" t="s">
        <v>29</v>
      </c>
      <c r="N479" s="12" t="s">
        <v>29</v>
      </c>
      <c r="O479" s="19">
        <v>8</v>
      </c>
      <c r="P479" s="277"/>
      <c r="Q479" s="3"/>
      <c r="R479" s="12" t="s">
        <v>29</v>
      </c>
      <c r="S479" s="12" t="s">
        <v>29</v>
      </c>
      <c r="T479" s="19">
        <v>8</v>
      </c>
      <c r="U479" s="277"/>
      <c r="V479" s="3"/>
      <c r="W479" s="12" t="s">
        <v>29</v>
      </c>
      <c r="X479" s="12" t="s">
        <v>29</v>
      </c>
      <c r="Y479" s="19">
        <v>8</v>
      </c>
      <c r="Z479" s="277"/>
      <c r="AA479" s="29">
        <f t="shared" si="114"/>
        <v>40</v>
      </c>
      <c r="AB479" s="298">
        <f t="shared" si="115"/>
        <v>0</v>
      </c>
      <c r="AC479" s="3"/>
      <c r="AD479" s="4">
        <v>0</v>
      </c>
      <c r="AE479" s="4">
        <v>0</v>
      </c>
      <c r="AF479" s="19">
        <v>0</v>
      </c>
      <c r="AG479" s="29">
        <f t="shared" si="117"/>
        <v>0</v>
      </c>
      <c r="AH479" s="3"/>
      <c r="AI479" s="227"/>
      <c r="AK479" s="187"/>
      <c r="AL479" s="187"/>
      <c r="AM479" s="187"/>
      <c r="AN479" s="187"/>
      <c r="AO479" s="187"/>
      <c r="AP479" s="187"/>
    </row>
    <row r="480" spans="2:42" s="1" customFormat="1" ht="14.25">
      <c r="B480" s="138" t="s">
        <v>53</v>
      </c>
      <c r="C480" s="12" t="s">
        <v>29</v>
      </c>
      <c r="D480" s="12" t="s">
        <v>29</v>
      </c>
      <c r="E480" s="19">
        <v>8</v>
      </c>
      <c r="F480" s="277"/>
      <c r="G480" s="3"/>
      <c r="H480" s="12" t="s">
        <v>29</v>
      </c>
      <c r="I480" s="12" t="s">
        <v>29</v>
      </c>
      <c r="J480" s="19">
        <v>8</v>
      </c>
      <c r="K480" s="277"/>
      <c r="L480" s="3"/>
      <c r="M480" s="12" t="s">
        <v>29</v>
      </c>
      <c r="N480" s="12" t="s">
        <v>29</v>
      </c>
      <c r="O480" s="19">
        <v>8</v>
      </c>
      <c r="P480" s="277"/>
      <c r="Q480" s="3"/>
      <c r="R480" s="12" t="s">
        <v>29</v>
      </c>
      <c r="S480" s="12" t="s">
        <v>29</v>
      </c>
      <c r="T480" s="19">
        <v>8</v>
      </c>
      <c r="U480" s="277"/>
      <c r="V480" s="3"/>
      <c r="W480" s="12" t="s">
        <v>29</v>
      </c>
      <c r="X480" s="12" t="s">
        <v>29</v>
      </c>
      <c r="Y480" s="19">
        <v>8</v>
      </c>
      <c r="Z480" s="277"/>
      <c r="AA480" s="29">
        <f t="shared" si="114"/>
        <v>40</v>
      </c>
      <c r="AB480" s="298">
        <f t="shared" si="115"/>
        <v>0</v>
      </c>
      <c r="AC480" s="3"/>
      <c r="AD480" s="4">
        <v>0</v>
      </c>
      <c r="AE480" s="4">
        <v>0</v>
      </c>
      <c r="AF480" s="19">
        <v>0</v>
      </c>
      <c r="AG480" s="29">
        <f t="shared" si="117"/>
        <v>0</v>
      </c>
      <c r="AH480" s="3"/>
      <c r="AI480" s="227"/>
      <c r="AK480" s="187"/>
      <c r="AL480" s="187"/>
      <c r="AM480" s="187"/>
      <c r="AN480" s="187"/>
      <c r="AO480" s="187"/>
      <c r="AP480" s="187"/>
    </row>
    <row r="481" spans="1:42" s="1" customFormat="1" ht="14.25">
      <c r="B481" s="138" t="s">
        <v>60</v>
      </c>
      <c r="C481" s="12" t="s">
        <v>29</v>
      </c>
      <c r="D481" s="12" t="s">
        <v>29</v>
      </c>
      <c r="E481" s="19">
        <v>8</v>
      </c>
      <c r="F481" s="277"/>
      <c r="G481" s="3"/>
      <c r="H481" s="12" t="s">
        <v>29</v>
      </c>
      <c r="I481" s="12" t="s">
        <v>29</v>
      </c>
      <c r="J481" s="19">
        <v>8</v>
      </c>
      <c r="K481" s="277"/>
      <c r="L481" s="3"/>
      <c r="M481" s="12" t="s">
        <v>29</v>
      </c>
      <c r="N481" s="12" t="s">
        <v>29</v>
      </c>
      <c r="O481" s="19">
        <v>8</v>
      </c>
      <c r="P481" s="277"/>
      <c r="Q481" s="3"/>
      <c r="R481" s="12" t="s">
        <v>29</v>
      </c>
      <c r="S481" s="12" t="s">
        <v>29</v>
      </c>
      <c r="T481" s="19">
        <v>8</v>
      </c>
      <c r="U481" s="277"/>
      <c r="V481" s="3"/>
      <c r="W481" s="12" t="s">
        <v>29</v>
      </c>
      <c r="X481" s="12" t="s">
        <v>29</v>
      </c>
      <c r="Y481" s="19">
        <v>8</v>
      </c>
      <c r="Z481" s="277"/>
      <c r="AA481" s="29">
        <f t="shared" si="114"/>
        <v>40</v>
      </c>
      <c r="AB481" s="298">
        <f t="shared" si="115"/>
        <v>0</v>
      </c>
      <c r="AC481" s="3"/>
      <c r="AD481" s="4">
        <v>0</v>
      </c>
      <c r="AE481" s="4">
        <v>0</v>
      </c>
      <c r="AF481" s="19">
        <v>0</v>
      </c>
      <c r="AG481" s="29">
        <f t="shared" si="117"/>
        <v>0</v>
      </c>
      <c r="AH481" s="3"/>
      <c r="AI481" s="227"/>
      <c r="AK481" s="187"/>
      <c r="AL481" s="187"/>
      <c r="AM481" s="187"/>
      <c r="AN481" s="187"/>
      <c r="AO481" s="187"/>
      <c r="AP481" s="187"/>
    </row>
    <row r="482" spans="1:42" s="1" customFormat="1" ht="14.25">
      <c r="B482" s="138" t="s">
        <v>59</v>
      </c>
      <c r="C482" s="12" t="s">
        <v>29</v>
      </c>
      <c r="D482" s="12" t="s">
        <v>29</v>
      </c>
      <c r="E482" s="19">
        <v>8</v>
      </c>
      <c r="F482" s="277"/>
      <c r="G482" s="3"/>
      <c r="H482" s="12" t="s">
        <v>29</v>
      </c>
      <c r="I482" s="12" t="s">
        <v>29</v>
      </c>
      <c r="J482" s="19">
        <v>8</v>
      </c>
      <c r="K482" s="277"/>
      <c r="L482" s="3"/>
      <c r="M482" s="12" t="s">
        <v>29</v>
      </c>
      <c r="N482" s="12" t="s">
        <v>29</v>
      </c>
      <c r="O482" s="19">
        <v>8</v>
      </c>
      <c r="P482" s="277"/>
      <c r="Q482" s="3"/>
      <c r="R482" s="12" t="s">
        <v>29</v>
      </c>
      <c r="S482" s="12" t="s">
        <v>29</v>
      </c>
      <c r="T482" s="19">
        <v>8</v>
      </c>
      <c r="U482" s="277"/>
      <c r="V482" s="3"/>
      <c r="W482" s="12" t="s">
        <v>29</v>
      </c>
      <c r="X482" s="12" t="s">
        <v>29</v>
      </c>
      <c r="Y482" s="19">
        <v>8</v>
      </c>
      <c r="Z482" s="277"/>
      <c r="AA482" s="29">
        <f t="shared" si="114"/>
        <v>40</v>
      </c>
      <c r="AB482" s="298">
        <f t="shared" si="115"/>
        <v>0</v>
      </c>
      <c r="AC482" s="3"/>
      <c r="AD482" s="4">
        <v>0</v>
      </c>
      <c r="AE482" s="4">
        <v>0</v>
      </c>
      <c r="AF482" s="19">
        <v>0</v>
      </c>
      <c r="AG482" s="29">
        <f t="shared" si="117"/>
        <v>0</v>
      </c>
      <c r="AH482" s="3"/>
      <c r="AI482" s="227"/>
      <c r="AK482" s="187"/>
      <c r="AL482" s="187"/>
      <c r="AM482" s="187"/>
      <c r="AN482" s="187"/>
      <c r="AO482" s="187"/>
      <c r="AP482" s="187"/>
    </row>
    <row r="483" spans="1:42" s="1" customFormat="1" ht="14.25">
      <c r="B483" s="138" t="s">
        <v>52</v>
      </c>
      <c r="C483" s="12" t="s">
        <v>29</v>
      </c>
      <c r="D483" s="12" t="s">
        <v>29</v>
      </c>
      <c r="E483" s="19">
        <v>0</v>
      </c>
      <c r="F483" s="277"/>
      <c r="G483" s="3"/>
      <c r="H483" s="12" t="s">
        <v>29</v>
      </c>
      <c r="I483" s="12" t="s">
        <v>29</v>
      </c>
      <c r="J483" s="19">
        <v>8</v>
      </c>
      <c r="K483" s="277"/>
      <c r="L483" s="3"/>
      <c r="M483" s="12" t="s">
        <v>29</v>
      </c>
      <c r="N483" s="12" t="s">
        <v>29</v>
      </c>
      <c r="O483" s="19">
        <v>8</v>
      </c>
      <c r="P483" s="277"/>
      <c r="Q483" s="3"/>
      <c r="R483" s="12" t="s">
        <v>29</v>
      </c>
      <c r="S483" s="12" t="s">
        <v>29</v>
      </c>
      <c r="T483" s="19">
        <v>8</v>
      </c>
      <c r="U483" s="277"/>
      <c r="V483" s="3"/>
      <c r="W483" s="12" t="s">
        <v>29</v>
      </c>
      <c r="X483" s="12" t="s">
        <v>29</v>
      </c>
      <c r="Y483" s="19">
        <v>8</v>
      </c>
      <c r="Z483" s="277"/>
      <c r="AA483" s="29">
        <f t="shared" ref="AA483:AA484" si="118">(E483+J483+O483+T483+Y483)</f>
        <v>32</v>
      </c>
      <c r="AB483" s="298">
        <f t="shared" ref="AB483:AB484" si="119">Z483+U483+P483+K483+F483</f>
        <v>0</v>
      </c>
      <c r="AC483" s="3"/>
      <c r="AD483" s="4">
        <v>0</v>
      </c>
      <c r="AE483" s="4">
        <v>0</v>
      </c>
      <c r="AF483" s="19">
        <v>0</v>
      </c>
      <c r="AG483" s="29">
        <f t="shared" ref="AG483" si="120">AF483</f>
        <v>0</v>
      </c>
      <c r="AH483" s="3"/>
      <c r="AI483" s="227"/>
      <c r="AK483" s="187"/>
      <c r="AL483" s="187"/>
      <c r="AM483" s="187"/>
      <c r="AN483" s="187"/>
      <c r="AO483" s="187"/>
      <c r="AP483" s="187"/>
    </row>
    <row r="484" spans="1:42" s="1" customFormat="1" ht="14.25">
      <c r="B484" s="138" t="s">
        <v>27</v>
      </c>
      <c r="C484" s="12" t="s">
        <v>29</v>
      </c>
      <c r="D484" s="12" t="s">
        <v>29</v>
      </c>
      <c r="E484" s="19">
        <v>0</v>
      </c>
      <c r="F484" s="277"/>
      <c r="G484" s="3"/>
      <c r="H484" s="12" t="s">
        <v>29</v>
      </c>
      <c r="I484" s="12" t="s">
        <v>29</v>
      </c>
      <c r="J484" s="19">
        <v>0</v>
      </c>
      <c r="K484" s="277"/>
      <c r="L484" s="3"/>
      <c r="M484" s="12" t="s">
        <v>29</v>
      </c>
      <c r="N484" s="12" t="s">
        <v>29</v>
      </c>
      <c r="O484" s="19">
        <v>8</v>
      </c>
      <c r="P484" s="277"/>
      <c r="Q484" s="3"/>
      <c r="R484" s="12" t="s">
        <v>29</v>
      </c>
      <c r="S484" s="12" t="s">
        <v>29</v>
      </c>
      <c r="T484" s="19">
        <v>8</v>
      </c>
      <c r="U484" s="277"/>
      <c r="V484" s="3"/>
      <c r="W484" s="12" t="s">
        <v>29</v>
      </c>
      <c r="X484" s="12" t="s">
        <v>29</v>
      </c>
      <c r="Y484" s="19">
        <v>8</v>
      </c>
      <c r="Z484" s="277"/>
      <c r="AA484" s="29">
        <f t="shared" si="118"/>
        <v>24</v>
      </c>
      <c r="AB484" s="298">
        <f t="shared" si="119"/>
        <v>0</v>
      </c>
      <c r="AC484" s="3"/>
      <c r="AD484" s="4">
        <v>0</v>
      </c>
      <c r="AE484" s="4">
        <v>0</v>
      </c>
      <c r="AF484" s="19">
        <v>0</v>
      </c>
      <c r="AG484" s="29">
        <f t="shared" si="117"/>
        <v>0</v>
      </c>
      <c r="AH484" s="3"/>
      <c r="AI484" s="227"/>
      <c r="AK484" s="187"/>
      <c r="AL484" s="187"/>
      <c r="AM484" s="187"/>
      <c r="AN484" s="187"/>
      <c r="AO484" s="187"/>
      <c r="AP484" s="187"/>
    </row>
    <row r="485" spans="1:42" s="1" customFormat="1">
      <c r="B485" s="64" t="s">
        <v>61</v>
      </c>
      <c r="C485" s="64"/>
      <c r="D485" s="64"/>
      <c r="E485" s="167">
        <f>SUM(E458:E484)</f>
        <v>138</v>
      </c>
      <c r="F485" s="277">
        <f>SUM(F458:F484)</f>
        <v>0</v>
      </c>
      <c r="G485" s="64"/>
      <c r="H485" s="64"/>
      <c r="I485" s="64"/>
      <c r="J485" s="167">
        <f>SUM(J458:J484)</f>
        <v>162</v>
      </c>
      <c r="K485" s="277">
        <f>SUM(K458:K484)</f>
        <v>0</v>
      </c>
      <c r="L485" s="64"/>
      <c r="M485" s="64"/>
      <c r="N485" s="64"/>
      <c r="O485" s="167">
        <f>SUM(O458:O484)</f>
        <v>155.25</v>
      </c>
      <c r="P485" s="277">
        <f>SUM(P458:P484)</f>
        <v>0</v>
      </c>
      <c r="Q485" s="64"/>
      <c r="R485" s="64"/>
      <c r="S485" s="64"/>
      <c r="T485" s="167">
        <f>SUM(T458:T484)</f>
        <v>160</v>
      </c>
      <c r="U485" s="277">
        <f>SUM(U458:U484)</f>
        <v>0</v>
      </c>
      <c r="V485" s="64"/>
      <c r="W485" s="64"/>
      <c r="X485" s="64"/>
      <c r="Y485" s="167">
        <f>SUM(Y458:Y484)</f>
        <v>184</v>
      </c>
      <c r="Z485" s="277">
        <f>SUM(Z458:Z484)</f>
        <v>0</v>
      </c>
      <c r="AA485" s="247">
        <f>SUM(AA458:AA484)</f>
        <v>799.25</v>
      </c>
      <c r="AB485" s="284">
        <f>SUM(AB458:AB484)</f>
        <v>0</v>
      </c>
      <c r="AC485" s="3"/>
      <c r="AD485" s="64"/>
      <c r="AE485" s="64"/>
      <c r="AF485" s="64"/>
      <c r="AG485" s="247">
        <f>SUM(AG458:AG484)</f>
        <v>0</v>
      </c>
      <c r="AH485" s="3"/>
      <c r="AI485" s="227"/>
      <c r="AK485" s="187"/>
      <c r="AL485" s="187"/>
      <c r="AM485" s="187"/>
      <c r="AN485" s="187"/>
      <c r="AO485" s="187"/>
      <c r="AP485" s="187"/>
    </row>
    <row r="486" spans="1:42" s="1" customFormat="1">
      <c r="B486" s="63" t="s">
        <v>62</v>
      </c>
      <c r="C486" s="56"/>
      <c r="D486" s="56"/>
      <c r="E486" s="19">
        <v>8</v>
      </c>
      <c r="F486" s="291"/>
      <c r="G486" s="60"/>
      <c r="H486" s="56"/>
      <c r="I486" s="56"/>
      <c r="J486" s="19">
        <v>8</v>
      </c>
      <c r="K486" s="291"/>
      <c r="L486" s="60"/>
      <c r="M486" s="56"/>
      <c r="N486" s="56"/>
      <c r="O486" s="19">
        <v>8</v>
      </c>
      <c r="P486" s="291"/>
      <c r="Q486" s="60"/>
      <c r="R486" s="56"/>
      <c r="S486" s="56"/>
      <c r="T486" s="19">
        <v>8</v>
      </c>
      <c r="U486" s="291"/>
      <c r="V486" s="60"/>
      <c r="W486" s="56"/>
      <c r="X486" s="56"/>
      <c r="Y486" s="19">
        <v>8</v>
      </c>
      <c r="Z486" s="291"/>
      <c r="AA486" s="28">
        <f>SUM(E486+J486+O486+T486+Y486)</f>
        <v>40</v>
      </c>
      <c r="AB486" s="282">
        <f>Z486+U486+P486+K486+F486</f>
        <v>0</v>
      </c>
      <c r="AC486" s="3"/>
      <c r="AD486" s="56"/>
      <c r="AE486" s="56"/>
      <c r="AF486" s="19"/>
      <c r="AG486" s="29">
        <v>0</v>
      </c>
      <c r="AH486" s="3"/>
      <c r="AI486" s="227"/>
      <c r="AK486" s="187"/>
      <c r="AL486" s="187"/>
      <c r="AM486" s="187"/>
      <c r="AN486" s="187"/>
      <c r="AO486" s="187"/>
      <c r="AP486" s="187"/>
    </row>
    <row r="487" spans="1:42" s="1" customFormat="1">
      <c r="B487" s="63" t="s">
        <v>63</v>
      </c>
      <c r="C487" s="56"/>
      <c r="D487" s="56"/>
      <c r="E487" s="19">
        <v>8</v>
      </c>
      <c r="F487" s="291"/>
      <c r="G487" s="60"/>
      <c r="H487" s="56"/>
      <c r="I487" s="56"/>
      <c r="J487" s="19">
        <v>8</v>
      </c>
      <c r="K487" s="291"/>
      <c r="L487" s="60"/>
      <c r="M487" s="56"/>
      <c r="N487" s="56"/>
      <c r="O487" s="19">
        <v>8</v>
      </c>
      <c r="P487" s="291"/>
      <c r="Q487" s="60"/>
      <c r="R487" s="56"/>
      <c r="S487" s="56"/>
      <c r="T487" s="19">
        <v>8</v>
      </c>
      <c r="U487" s="291"/>
      <c r="V487" s="60"/>
      <c r="W487" s="56"/>
      <c r="X487" s="56"/>
      <c r="Y487" s="19">
        <v>8</v>
      </c>
      <c r="Z487" s="291"/>
      <c r="AA487" s="28">
        <f>SUM(E487+J487+O487+T487+Y487)</f>
        <v>40</v>
      </c>
      <c r="AB487" s="282">
        <f>Z487+U487+P487+K487+F487</f>
        <v>0</v>
      </c>
      <c r="AC487" s="3"/>
      <c r="AD487" s="56"/>
      <c r="AE487" s="56"/>
      <c r="AF487" s="19"/>
      <c r="AG487" s="29">
        <f>AF487</f>
        <v>0</v>
      </c>
      <c r="AH487" s="3"/>
      <c r="AI487" s="227"/>
      <c r="AK487" s="187"/>
      <c r="AL487" s="187"/>
      <c r="AM487" s="187"/>
      <c r="AN487" s="187"/>
      <c r="AO487" s="187"/>
      <c r="AP487" s="187"/>
    </row>
    <row r="488" spans="1:42" s="1" customFormat="1">
      <c r="B488" s="63" t="s">
        <v>64</v>
      </c>
      <c r="C488" s="56"/>
      <c r="D488" s="56"/>
      <c r="E488" s="19">
        <v>8</v>
      </c>
      <c r="F488" s="291"/>
      <c r="G488" s="60"/>
      <c r="H488" s="56"/>
      <c r="I488" s="56"/>
      <c r="J488" s="19">
        <v>8</v>
      </c>
      <c r="K488" s="291"/>
      <c r="L488" s="60"/>
      <c r="M488" s="56"/>
      <c r="N488" s="56"/>
      <c r="O488" s="19">
        <v>8</v>
      </c>
      <c r="P488" s="291"/>
      <c r="Q488" s="60"/>
      <c r="R488" s="56"/>
      <c r="S488" s="56"/>
      <c r="T488" s="19">
        <v>8</v>
      </c>
      <c r="U488" s="291"/>
      <c r="V488" s="60"/>
      <c r="W488" s="56"/>
      <c r="X488" s="56"/>
      <c r="Y488" s="19">
        <v>0</v>
      </c>
      <c r="Z488" s="291"/>
      <c r="AA488" s="28">
        <f>SUM(E488+J488+O488+T488+Y488)</f>
        <v>32</v>
      </c>
      <c r="AB488" s="282">
        <f>Z488+U488+P488+K488+F488</f>
        <v>0</v>
      </c>
      <c r="AC488" s="3"/>
      <c r="AD488" s="56"/>
      <c r="AE488" s="56"/>
      <c r="AF488" s="19"/>
      <c r="AG488" s="29">
        <f>AF488</f>
        <v>0</v>
      </c>
      <c r="AH488" s="3"/>
      <c r="AI488" s="227"/>
      <c r="AK488" s="187"/>
      <c r="AL488" s="187"/>
      <c r="AM488" s="187"/>
      <c r="AN488" s="187"/>
      <c r="AO488" s="187"/>
      <c r="AP488" s="187"/>
    </row>
    <row r="489" spans="1:42" s="1" customFormat="1" ht="14.25" thickBot="1">
      <c r="B489" s="268" t="s">
        <v>65</v>
      </c>
      <c r="C489" s="75"/>
      <c r="D489" s="75"/>
      <c r="E489" s="77">
        <v>4</v>
      </c>
      <c r="F489" s="292"/>
      <c r="G489" s="81"/>
      <c r="H489" s="75"/>
      <c r="I489" s="75"/>
      <c r="J489" s="77">
        <v>4</v>
      </c>
      <c r="K489" s="292"/>
      <c r="L489" s="81"/>
      <c r="M489" s="75"/>
      <c r="N489" s="75"/>
      <c r="O489" s="77">
        <v>4</v>
      </c>
      <c r="P489" s="292"/>
      <c r="Q489" s="81"/>
      <c r="R489" s="75"/>
      <c r="S489" s="75"/>
      <c r="T489" s="77">
        <v>4</v>
      </c>
      <c r="U489" s="292"/>
      <c r="V489" s="81"/>
      <c r="W489" s="75"/>
      <c r="X489" s="75"/>
      <c r="Y489" s="77">
        <v>4</v>
      </c>
      <c r="Z489" s="292"/>
      <c r="AA489" s="80">
        <f>SUM(E489+J489+O489+T489+Y489)</f>
        <v>20</v>
      </c>
      <c r="AB489" s="294">
        <f>Z489+U489+P489+K489+F489</f>
        <v>0</v>
      </c>
      <c r="AC489" s="3"/>
      <c r="AD489" s="75"/>
      <c r="AE489" s="75"/>
      <c r="AF489" s="77"/>
      <c r="AG489" s="276">
        <v>0</v>
      </c>
      <c r="AH489" s="3"/>
      <c r="AI489" s="227"/>
      <c r="AK489" s="187"/>
      <c r="AL489" s="187"/>
      <c r="AM489" s="187"/>
      <c r="AN489" s="187"/>
      <c r="AO489" s="187"/>
      <c r="AP489" s="187"/>
    </row>
    <row r="490" spans="1:42" s="1" customFormat="1" ht="14.25" thickTop="1">
      <c r="B490" s="71" t="s">
        <v>66</v>
      </c>
      <c r="C490" s="68"/>
      <c r="D490" s="68"/>
      <c r="E490" s="71">
        <f>SUM(E486:E489)</f>
        <v>28</v>
      </c>
      <c r="F490" s="72"/>
      <c r="G490" s="72"/>
      <c r="H490" s="68"/>
      <c r="I490" s="68"/>
      <c r="J490" s="71">
        <f>SUM(J486:J489)</f>
        <v>28</v>
      </c>
      <c r="K490" s="72"/>
      <c r="L490" s="72"/>
      <c r="M490" s="68"/>
      <c r="N490" s="68"/>
      <c r="O490" s="71">
        <f>SUM(O486:O489)</f>
        <v>28</v>
      </c>
      <c r="P490" s="72"/>
      <c r="Q490" s="72"/>
      <c r="R490" s="68"/>
      <c r="S490" s="68"/>
      <c r="T490" s="71">
        <f>SUM(T486:T489)</f>
        <v>28</v>
      </c>
      <c r="U490" s="72"/>
      <c r="V490" s="72"/>
      <c r="W490" s="68"/>
      <c r="X490" s="68"/>
      <c r="Y490" s="102">
        <f>SUM(Y486:Y489)</f>
        <v>20</v>
      </c>
      <c r="Z490" s="72"/>
      <c r="AA490" s="247">
        <f>SUM(AA486:AA489)</f>
        <v>132</v>
      </c>
      <c r="AB490" s="247">
        <f>SUM(AB486:AB489)</f>
        <v>0</v>
      </c>
      <c r="AC490" s="3"/>
      <c r="AG490" s="247">
        <f>SUM(AG488:AG489)</f>
        <v>0</v>
      </c>
      <c r="AH490" s="3"/>
      <c r="AI490" s="227"/>
      <c r="AK490" s="187"/>
      <c r="AL490" s="187"/>
      <c r="AM490" s="187"/>
      <c r="AN490" s="187"/>
      <c r="AO490" s="187"/>
      <c r="AP490" s="187"/>
    </row>
    <row r="491" spans="1:42" s="1" customFormat="1" ht="13.5" customHeight="1">
      <c r="A491" s="11"/>
      <c r="B491" s="217" t="s">
        <v>67</v>
      </c>
      <c r="C491" s="207">
        <f>C492+C493</f>
        <v>31</v>
      </c>
      <c r="D491" s="208"/>
      <c r="E491" s="209"/>
      <c r="F491" s="209"/>
      <c r="G491" s="208"/>
      <c r="H491" s="209"/>
      <c r="I491" s="209"/>
      <c r="J491" s="209"/>
      <c r="K491" s="209"/>
      <c r="L491" s="208"/>
      <c r="M491" s="208"/>
      <c r="N491" s="208"/>
      <c r="O491" s="208"/>
      <c r="P491" s="209"/>
      <c r="Q491" s="208"/>
      <c r="R491" s="208"/>
      <c r="S491" s="208"/>
      <c r="T491" s="208"/>
      <c r="U491" s="209"/>
      <c r="V491" s="208"/>
      <c r="W491" s="208"/>
      <c r="X491" s="208"/>
      <c r="Y491" s="210"/>
      <c r="Z491" s="209"/>
      <c r="AA491" s="211"/>
      <c r="AB491" s="209"/>
      <c r="AC491" s="211"/>
      <c r="AD491" s="211"/>
      <c r="AE491" s="211"/>
      <c r="AF491" s="211"/>
      <c r="AG491" s="211"/>
      <c r="AH491" s="3"/>
      <c r="AI491" s="227"/>
      <c r="AK491" s="187"/>
      <c r="AL491" s="187"/>
      <c r="AM491" s="187"/>
      <c r="AN491" s="187"/>
      <c r="AO491" s="187"/>
      <c r="AP491" s="187"/>
    </row>
    <row r="492" spans="1:42" s="1" customFormat="1" ht="14.25">
      <c r="A492" s="11"/>
      <c r="B492" s="238" t="s">
        <v>68</v>
      </c>
      <c r="C492" s="239">
        <f>8+9</f>
        <v>17</v>
      </c>
      <c r="D492" s="208"/>
      <c r="E492" s="209"/>
      <c r="F492" s="209"/>
      <c r="G492" s="208"/>
      <c r="H492" s="209"/>
      <c r="I492" s="209"/>
      <c r="J492" s="209"/>
      <c r="K492" s="209"/>
      <c r="L492" s="208"/>
      <c r="M492" s="208"/>
      <c r="N492" s="208"/>
      <c r="O492" s="208"/>
      <c r="P492" s="209"/>
      <c r="Q492" s="208"/>
      <c r="R492" s="208"/>
      <c r="S492" s="208"/>
      <c r="T492" s="208"/>
      <c r="U492" s="209"/>
      <c r="V492" s="208"/>
      <c r="W492" s="208"/>
      <c r="X492" s="208"/>
      <c r="Y492" s="210"/>
      <c r="Z492" s="209"/>
      <c r="AA492" s="211"/>
      <c r="AB492" s="209"/>
      <c r="AC492" s="211"/>
      <c r="AD492" s="211"/>
      <c r="AE492" s="211"/>
      <c r="AF492" s="211"/>
      <c r="AG492" s="211"/>
      <c r="AH492" s="3"/>
      <c r="AI492" s="227"/>
      <c r="AK492" s="187"/>
      <c r="AL492" s="187"/>
      <c r="AM492" s="187"/>
      <c r="AN492" s="187"/>
      <c r="AO492" s="187"/>
      <c r="AP492" s="187"/>
    </row>
    <row r="493" spans="1:42" s="1" customFormat="1" ht="14.25">
      <c r="A493" s="11"/>
      <c r="B493" s="238" t="s">
        <v>69</v>
      </c>
      <c r="C493" s="239">
        <f>7+4+3</f>
        <v>14</v>
      </c>
      <c r="D493" s="208"/>
      <c r="E493" s="209"/>
      <c r="F493" s="209"/>
      <c r="G493" s="208"/>
      <c r="H493" s="209"/>
      <c r="I493" s="209"/>
      <c r="J493" s="209"/>
      <c r="K493" s="209"/>
      <c r="L493" s="208"/>
      <c r="M493" s="208"/>
      <c r="N493" s="208"/>
      <c r="O493" s="208"/>
      <c r="P493" s="209"/>
      <c r="Q493" s="208"/>
      <c r="R493" s="208"/>
      <c r="S493" s="208"/>
      <c r="T493" s="208"/>
      <c r="U493" s="209"/>
      <c r="V493" s="208"/>
      <c r="W493" s="208"/>
      <c r="X493" s="208"/>
      <c r="Y493" s="210"/>
      <c r="Z493" s="209"/>
      <c r="AA493" s="211"/>
      <c r="AB493" s="209"/>
      <c r="AC493" s="211"/>
      <c r="AD493" s="211"/>
      <c r="AE493" s="211"/>
      <c r="AF493" s="211"/>
      <c r="AG493" s="211"/>
      <c r="AH493" s="3"/>
      <c r="AI493" s="227"/>
      <c r="AK493" s="187"/>
      <c r="AL493" s="187"/>
      <c r="AM493" s="187"/>
      <c r="AN493" s="187"/>
      <c r="AO493" s="187"/>
      <c r="AP493" s="187"/>
    </row>
    <row r="494" spans="1:42" s="1" customFormat="1" ht="14.25">
      <c r="A494" s="11"/>
      <c r="B494" s="218"/>
      <c r="C494" s="219"/>
      <c r="D494" s="220"/>
      <c r="E494" s="221"/>
      <c r="F494" s="221"/>
      <c r="G494" s="220"/>
      <c r="H494" s="221"/>
      <c r="I494" s="221"/>
      <c r="J494" s="221"/>
      <c r="K494" s="221"/>
      <c r="L494" s="220"/>
      <c r="M494" s="220"/>
      <c r="N494" s="220"/>
      <c r="O494" s="220"/>
      <c r="P494" s="221"/>
      <c r="Q494" s="220"/>
      <c r="R494" s="220"/>
      <c r="S494" s="220"/>
      <c r="T494" s="220"/>
      <c r="U494" s="221"/>
      <c r="V494" s="220"/>
      <c r="W494" s="220"/>
      <c r="X494" s="220"/>
      <c r="Y494" s="222"/>
      <c r="Z494" s="221"/>
      <c r="AA494" s="223"/>
      <c r="AB494" s="221"/>
      <c r="AC494" s="3"/>
      <c r="AD494" s="168"/>
      <c r="AH494" s="3"/>
      <c r="AI494" s="227"/>
      <c r="AK494" s="187"/>
      <c r="AL494" s="187"/>
      <c r="AM494" s="187"/>
      <c r="AN494" s="187"/>
      <c r="AO494" s="187"/>
      <c r="AP494" s="187"/>
    </row>
    <row r="495" spans="1:42" s="227" customFormat="1" ht="14.25">
      <c r="A495" s="228"/>
      <c r="B495" s="229"/>
      <c r="C495" s="230"/>
      <c r="D495" s="231"/>
      <c r="E495" s="232"/>
      <c r="F495" s="232"/>
      <c r="G495" s="231"/>
      <c r="H495" s="232"/>
      <c r="I495" s="232"/>
      <c r="J495" s="232"/>
      <c r="K495" s="232"/>
      <c r="L495" s="231"/>
      <c r="M495" s="231"/>
      <c r="N495" s="231"/>
      <c r="O495" s="231"/>
      <c r="P495" s="232"/>
      <c r="Q495" s="231"/>
      <c r="R495" s="231"/>
      <c r="S495" s="231"/>
      <c r="T495" s="231"/>
      <c r="U495" s="232"/>
      <c r="V495" s="231"/>
      <c r="W495" s="231"/>
      <c r="X495" s="231"/>
      <c r="Y495" s="233"/>
      <c r="Z495" s="232"/>
      <c r="AA495" s="234"/>
      <c r="AB495" s="232"/>
      <c r="AC495" s="235"/>
      <c r="AD495" s="236"/>
      <c r="AH495" s="235"/>
    </row>
    <row r="496" spans="1:42" s="1" customFormat="1">
      <c r="E496" s="3"/>
      <c r="F496" s="3"/>
      <c r="G496" s="3"/>
      <c r="J496" s="3"/>
      <c r="K496" s="3"/>
      <c r="L496" s="3"/>
      <c r="O496" s="3"/>
      <c r="P496" s="3"/>
      <c r="Q496" s="3"/>
      <c r="T496" s="3"/>
      <c r="U496" s="3"/>
      <c r="V496" s="3"/>
      <c r="Y496" s="3"/>
      <c r="Z496" s="3"/>
      <c r="AA496" s="3"/>
      <c r="AB496" s="3"/>
      <c r="AC496" s="3"/>
      <c r="AH496" s="3"/>
    </row>
    <row r="497" spans="5:34" s="1" customFormat="1">
      <c r="E497" s="3"/>
      <c r="F497" s="3"/>
      <c r="G497" s="3"/>
      <c r="J497" s="3"/>
      <c r="K497" s="3"/>
      <c r="L497" s="3"/>
      <c r="O497" s="3"/>
      <c r="P497" s="3"/>
      <c r="Q497" s="3"/>
      <c r="T497" s="3"/>
      <c r="U497" s="3"/>
      <c r="V497" s="3"/>
      <c r="Y497" s="3"/>
      <c r="Z497" s="3"/>
      <c r="AA497" s="3"/>
      <c r="AB497" s="3"/>
      <c r="AC497" s="3"/>
      <c r="AH497" s="3"/>
    </row>
    <row r="498" spans="5:34" s="1" customFormat="1">
      <c r="E498" s="3"/>
      <c r="F498" s="3"/>
      <c r="G498" s="3"/>
      <c r="J498" s="3"/>
      <c r="K498" s="3"/>
      <c r="L498" s="3"/>
      <c r="O498" s="3"/>
      <c r="P498" s="3"/>
      <c r="Q498" s="3"/>
      <c r="T498" s="3"/>
      <c r="U498" s="3"/>
      <c r="V498" s="3"/>
      <c r="W498" s="53"/>
      <c r="Y498" s="3"/>
      <c r="Z498" s="3"/>
      <c r="AA498" s="3"/>
      <c r="AB498" s="3"/>
      <c r="AC498" s="3"/>
      <c r="AH498" s="3"/>
    </row>
    <row r="499" spans="5:34" s="1" customFormat="1">
      <c r="E499" s="3"/>
      <c r="F499" s="3"/>
      <c r="G499" s="3"/>
      <c r="J499" s="3"/>
      <c r="K499" s="3"/>
      <c r="L499" s="3"/>
      <c r="O499" s="3"/>
      <c r="P499" s="3"/>
      <c r="Q499" s="3"/>
      <c r="T499" s="3"/>
      <c r="U499" s="3"/>
      <c r="V499" s="3"/>
      <c r="Y499" s="3"/>
      <c r="Z499" s="3"/>
      <c r="AA499" s="3"/>
      <c r="AB499" s="3"/>
      <c r="AC499" s="3"/>
      <c r="AH499" s="3"/>
    </row>
    <row r="500" spans="5:34" s="1" customFormat="1">
      <c r="E500" s="3"/>
      <c r="F500" s="3"/>
      <c r="G500" s="3"/>
      <c r="J500" s="3"/>
      <c r="K500" s="3"/>
      <c r="L500" s="3"/>
      <c r="O500" s="3"/>
      <c r="P500" s="3"/>
      <c r="Q500" s="3"/>
      <c r="T500" s="3"/>
      <c r="U500" s="3"/>
      <c r="V500" s="3"/>
      <c r="Y500" s="3"/>
      <c r="Z500" s="3"/>
      <c r="AA500" s="3"/>
      <c r="AB500" s="3"/>
      <c r="AC500" s="3"/>
      <c r="AH500" s="3"/>
    </row>
    <row r="501" spans="5:34" s="1" customFormat="1">
      <c r="E501" s="3"/>
      <c r="F501" s="3"/>
      <c r="G501" s="3"/>
      <c r="J501" s="3"/>
      <c r="K501" s="3"/>
      <c r="L501" s="3"/>
      <c r="O501" s="3"/>
      <c r="P501" s="3"/>
      <c r="Q501" s="3"/>
      <c r="T501" s="3"/>
      <c r="U501" s="3"/>
      <c r="V501" s="3"/>
      <c r="Y501" s="3"/>
      <c r="Z501" s="3"/>
      <c r="AA501" s="3"/>
      <c r="AB501" s="3"/>
      <c r="AC501" s="3"/>
      <c r="AH501" s="3"/>
    </row>
    <row r="502" spans="5:34" s="1" customFormat="1">
      <c r="E502" s="3"/>
      <c r="F502" s="3"/>
      <c r="G502" s="3"/>
      <c r="J502" s="3"/>
      <c r="K502" s="3"/>
      <c r="L502" s="3"/>
      <c r="O502" s="3"/>
      <c r="P502" s="3"/>
      <c r="Q502" s="3"/>
      <c r="T502" s="3"/>
      <c r="U502" s="3"/>
      <c r="V502" s="3"/>
      <c r="Y502" s="3"/>
      <c r="Z502" s="3"/>
      <c r="AA502" s="3"/>
      <c r="AB502" s="3"/>
      <c r="AC502" s="3"/>
      <c r="AH502" s="3"/>
    </row>
    <row r="503" spans="5:34" s="1" customFormat="1">
      <c r="E503" s="3"/>
      <c r="F503" s="3"/>
      <c r="G503" s="3"/>
      <c r="J503" s="3"/>
      <c r="K503" s="3"/>
      <c r="L503" s="3"/>
      <c r="O503" s="3"/>
      <c r="P503" s="3"/>
      <c r="Q503" s="3"/>
      <c r="T503" s="3"/>
      <c r="U503" s="3"/>
      <c r="V503" s="3"/>
      <c r="Y503" s="3"/>
      <c r="Z503" s="3"/>
      <c r="AA503" s="3"/>
      <c r="AB503" s="3"/>
      <c r="AC503" s="3"/>
      <c r="AH503" s="3"/>
    </row>
    <row r="504" spans="5:34" s="1" customFormat="1">
      <c r="E504" s="3"/>
      <c r="F504" s="3"/>
      <c r="G504" s="3"/>
      <c r="J504" s="3"/>
      <c r="K504" s="3"/>
      <c r="L504" s="3"/>
      <c r="O504" s="3"/>
      <c r="P504" s="3"/>
      <c r="Q504" s="3"/>
      <c r="T504" s="3"/>
      <c r="U504" s="3"/>
      <c r="V504" s="3"/>
      <c r="Y504" s="3"/>
      <c r="Z504" s="3"/>
      <c r="AA504" s="3"/>
      <c r="AB504" s="3"/>
      <c r="AC504" s="3"/>
      <c r="AH504" s="3"/>
    </row>
    <row r="505" spans="5:34" s="1" customFormat="1">
      <c r="E505" s="3"/>
      <c r="F505" s="3"/>
      <c r="G505" s="3"/>
      <c r="J505" s="3"/>
      <c r="K505" s="3"/>
      <c r="L505" s="3"/>
      <c r="O505" s="3"/>
      <c r="P505" s="3"/>
      <c r="Q505" s="3"/>
      <c r="T505" s="3"/>
      <c r="U505" s="3"/>
      <c r="V505" s="3"/>
      <c r="Y505" s="3"/>
      <c r="Z505" s="3"/>
      <c r="AA505" s="3"/>
      <c r="AB505" s="3"/>
      <c r="AC505" s="3"/>
      <c r="AH505" s="3"/>
    </row>
    <row r="506" spans="5:34" s="1" customFormat="1">
      <c r="E506" s="3"/>
      <c r="F506" s="3"/>
      <c r="G506" s="3"/>
      <c r="J506" s="3"/>
      <c r="K506" s="3"/>
      <c r="L506" s="3"/>
      <c r="O506" s="3"/>
      <c r="P506" s="3"/>
      <c r="Q506" s="3"/>
      <c r="T506" s="3"/>
      <c r="U506" s="3"/>
      <c r="V506" s="3"/>
      <c r="Y506" s="3"/>
      <c r="Z506" s="3"/>
      <c r="AA506" s="3"/>
      <c r="AB506" s="3"/>
      <c r="AC506" s="3"/>
      <c r="AH506" s="3"/>
    </row>
    <row r="507" spans="5:34" s="1" customFormat="1">
      <c r="E507" s="3"/>
      <c r="F507" s="3"/>
      <c r="G507" s="3"/>
      <c r="J507" s="3"/>
      <c r="K507" s="3"/>
      <c r="L507" s="3"/>
      <c r="O507" s="3"/>
      <c r="P507" s="3"/>
      <c r="Q507" s="3"/>
      <c r="T507" s="3"/>
      <c r="U507" s="3"/>
      <c r="V507" s="3"/>
      <c r="Y507" s="3"/>
      <c r="Z507" s="3"/>
      <c r="AA507" s="3"/>
      <c r="AB507" s="3"/>
      <c r="AC507" s="3"/>
      <c r="AH507" s="3"/>
    </row>
    <row r="508" spans="5:34" s="1" customFormat="1">
      <c r="E508" s="3"/>
      <c r="F508" s="3"/>
      <c r="G508" s="3"/>
      <c r="J508" s="3"/>
      <c r="K508" s="3"/>
      <c r="L508" s="3"/>
      <c r="O508" s="3"/>
      <c r="P508" s="3"/>
      <c r="Q508" s="3"/>
      <c r="T508" s="3"/>
      <c r="U508" s="3"/>
      <c r="V508" s="3"/>
      <c r="Y508" s="3"/>
      <c r="Z508" s="3"/>
      <c r="AA508" s="3"/>
      <c r="AB508" s="3"/>
      <c r="AC508" s="3"/>
      <c r="AH508" s="3"/>
    </row>
    <row r="509" spans="5:34" s="1" customFormat="1">
      <c r="E509" s="3"/>
      <c r="F509" s="3"/>
      <c r="G509" s="3"/>
      <c r="J509" s="3"/>
      <c r="K509" s="3"/>
      <c r="L509" s="3"/>
      <c r="O509" s="3"/>
      <c r="P509" s="3"/>
      <c r="Q509" s="3"/>
      <c r="T509" s="3"/>
      <c r="U509" s="3"/>
      <c r="V509" s="3"/>
      <c r="Y509" s="3"/>
      <c r="Z509" s="3"/>
      <c r="AA509" s="3"/>
      <c r="AB509" s="3"/>
      <c r="AC509" s="3"/>
      <c r="AH509" s="3"/>
    </row>
    <row r="510" spans="5:34" s="1" customFormat="1">
      <c r="E510" s="3"/>
      <c r="F510" s="3"/>
      <c r="G510" s="3"/>
      <c r="J510" s="3"/>
      <c r="K510" s="3"/>
      <c r="L510" s="3"/>
      <c r="O510" s="3"/>
      <c r="P510" s="3"/>
      <c r="Q510" s="3"/>
      <c r="T510" s="3"/>
      <c r="U510" s="3"/>
      <c r="V510" s="3"/>
      <c r="Y510" s="3"/>
      <c r="Z510" s="3"/>
      <c r="AA510" s="3"/>
      <c r="AB510" s="3"/>
      <c r="AC510" s="3"/>
      <c r="AH510" s="3"/>
    </row>
    <row r="511" spans="5:34" s="1" customFormat="1">
      <c r="E511" s="3"/>
      <c r="F511" s="3"/>
      <c r="G511" s="3"/>
      <c r="J511" s="3"/>
      <c r="K511" s="3"/>
      <c r="L511" s="3"/>
      <c r="O511" s="3"/>
      <c r="P511" s="3"/>
      <c r="Q511" s="3"/>
      <c r="T511" s="3"/>
      <c r="U511" s="3"/>
      <c r="V511" s="3"/>
      <c r="Y511" s="3"/>
      <c r="Z511" s="3"/>
      <c r="AA511" s="3"/>
      <c r="AB511" s="3"/>
      <c r="AC511" s="3"/>
      <c r="AH511" s="3"/>
    </row>
    <row r="512" spans="5:34" s="1" customFormat="1">
      <c r="E512" s="3"/>
      <c r="F512" s="3"/>
      <c r="G512" s="3"/>
      <c r="J512" s="3"/>
      <c r="K512" s="3"/>
      <c r="L512" s="3"/>
      <c r="O512" s="3"/>
      <c r="P512" s="3"/>
      <c r="Q512" s="3"/>
      <c r="T512" s="3"/>
      <c r="U512" s="3"/>
      <c r="V512" s="3"/>
      <c r="Y512" s="3"/>
      <c r="Z512" s="3"/>
      <c r="AA512" s="3"/>
      <c r="AB512" s="3"/>
      <c r="AC512" s="3"/>
      <c r="AH512" s="3"/>
    </row>
    <row r="513" spans="5:34" s="1" customFormat="1">
      <c r="E513" s="3"/>
      <c r="F513" s="3"/>
      <c r="G513" s="3"/>
      <c r="J513" s="3"/>
      <c r="K513" s="3"/>
      <c r="L513" s="3"/>
      <c r="O513" s="3"/>
      <c r="P513" s="3"/>
      <c r="Q513" s="3"/>
      <c r="T513" s="3"/>
      <c r="U513" s="3"/>
      <c r="V513" s="3"/>
      <c r="Y513" s="3"/>
      <c r="Z513" s="3"/>
      <c r="AA513" s="3"/>
      <c r="AB513" s="3"/>
      <c r="AC513" s="3"/>
      <c r="AH513" s="3"/>
    </row>
    <row r="514" spans="5:34" s="1" customFormat="1">
      <c r="E514" s="3"/>
      <c r="F514" s="3"/>
      <c r="G514" s="3"/>
      <c r="J514" s="3"/>
      <c r="K514" s="3"/>
      <c r="L514" s="3"/>
      <c r="O514" s="3"/>
      <c r="P514" s="3"/>
      <c r="Q514" s="3"/>
      <c r="T514" s="3"/>
      <c r="U514" s="3"/>
      <c r="V514" s="3"/>
      <c r="Y514" s="3"/>
      <c r="Z514" s="3"/>
      <c r="AA514" s="3"/>
      <c r="AB514" s="3"/>
      <c r="AC514" s="3"/>
      <c r="AH514" s="3"/>
    </row>
    <row r="515" spans="5:34" s="1" customFormat="1">
      <c r="E515" s="3"/>
      <c r="F515" s="3"/>
      <c r="G515" s="3"/>
      <c r="J515" s="3"/>
      <c r="K515" s="3"/>
      <c r="L515" s="3"/>
      <c r="O515" s="3"/>
      <c r="P515" s="3"/>
      <c r="Q515" s="3"/>
      <c r="T515" s="3"/>
      <c r="U515" s="3"/>
      <c r="V515" s="3"/>
      <c r="Y515" s="3"/>
      <c r="Z515" s="3"/>
      <c r="AA515" s="3"/>
      <c r="AB515" s="3"/>
      <c r="AC515" s="3"/>
      <c r="AH515" s="3"/>
    </row>
    <row r="516" spans="5:34" s="1" customFormat="1">
      <c r="E516" s="3"/>
      <c r="F516" s="3"/>
      <c r="G516" s="3"/>
      <c r="J516" s="3"/>
      <c r="K516" s="3"/>
      <c r="L516" s="3"/>
      <c r="O516" s="3"/>
      <c r="P516" s="3"/>
      <c r="Q516" s="3"/>
      <c r="T516" s="3"/>
      <c r="U516" s="3"/>
      <c r="V516" s="3"/>
      <c r="Y516" s="3"/>
      <c r="Z516" s="3"/>
      <c r="AA516" s="3"/>
      <c r="AB516" s="3"/>
      <c r="AC516" s="3"/>
      <c r="AH516" s="3"/>
    </row>
    <row r="517" spans="5:34" s="1" customFormat="1">
      <c r="E517" s="3"/>
      <c r="F517" s="3"/>
      <c r="G517" s="3"/>
      <c r="J517" s="3"/>
      <c r="K517" s="3"/>
      <c r="L517" s="3"/>
      <c r="O517" s="3"/>
      <c r="P517" s="3"/>
      <c r="Q517" s="3"/>
      <c r="T517" s="3"/>
      <c r="U517" s="3"/>
      <c r="V517" s="3"/>
      <c r="Y517" s="3"/>
      <c r="Z517" s="3"/>
      <c r="AA517" s="3"/>
      <c r="AB517" s="3"/>
      <c r="AC517" s="3"/>
      <c r="AH517" s="3"/>
    </row>
    <row r="518" spans="5:34" s="1" customFormat="1">
      <c r="E518" s="3"/>
      <c r="F518" s="3"/>
      <c r="G518" s="3"/>
      <c r="J518" s="3"/>
      <c r="K518" s="3"/>
      <c r="L518" s="3"/>
      <c r="O518" s="3"/>
      <c r="P518" s="3"/>
      <c r="Q518" s="3"/>
      <c r="T518" s="3"/>
      <c r="U518" s="3"/>
      <c r="V518" s="3"/>
      <c r="Y518" s="3"/>
      <c r="Z518" s="3"/>
      <c r="AA518" s="3"/>
      <c r="AB518" s="3"/>
      <c r="AC518" s="3"/>
      <c r="AH518" s="3"/>
    </row>
    <row r="519" spans="5:34" s="1" customFormat="1">
      <c r="E519" s="3"/>
      <c r="F519" s="3"/>
      <c r="G519" s="3"/>
      <c r="J519" s="3"/>
      <c r="K519" s="3"/>
      <c r="L519" s="3"/>
      <c r="O519" s="3"/>
      <c r="P519" s="3"/>
      <c r="Q519" s="3"/>
      <c r="T519" s="3"/>
      <c r="U519" s="3"/>
      <c r="V519" s="3"/>
      <c r="Y519" s="3"/>
      <c r="Z519" s="3"/>
      <c r="AA519" s="3"/>
      <c r="AB519" s="3"/>
      <c r="AC519" s="3"/>
      <c r="AH519" s="3"/>
    </row>
    <row r="520" spans="5:34" s="1" customFormat="1">
      <c r="E520" s="3"/>
      <c r="F520" s="3"/>
      <c r="G520" s="3"/>
      <c r="J520" s="3"/>
      <c r="K520" s="3"/>
      <c r="L520" s="3"/>
      <c r="O520" s="3"/>
      <c r="P520" s="3"/>
      <c r="Q520" s="3"/>
      <c r="T520" s="3"/>
      <c r="U520" s="3"/>
      <c r="V520" s="3"/>
      <c r="Y520" s="3"/>
      <c r="Z520" s="3"/>
      <c r="AA520" s="3"/>
      <c r="AB520" s="3"/>
      <c r="AC520" s="3"/>
      <c r="AH520" s="3"/>
    </row>
    <row r="521" spans="5:34" s="1" customFormat="1">
      <c r="E521" s="3"/>
      <c r="F521" s="3"/>
      <c r="G521" s="3"/>
      <c r="J521" s="3"/>
      <c r="K521" s="3"/>
      <c r="L521" s="3"/>
      <c r="O521" s="3"/>
      <c r="P521" s="3"/>
      <c r="Q521" s="3"/>
      <c r="T521" s="3"/>
      <c r="U521" s="3"/>
      <c r="V521" s="3"/>
      <c r="Y521" s="3"/>
      <c r="Z521" s="3"/>
      <c r="AA521" s="3"/>
      <c r="AB521" s="3"/>
      <c r="AC521" s="3"/>
      <c r="AH521" s="3"/>
    </row>
    <row r="522" spans="5:34" s="1" customFormat="1">
      <c r="E522" s="3"/>
      <c r="F522" s="3"/>
      <c r="G522" s="3"/>
      <c r="J522" s="3"/>
      <c r="K522" s="3"/>
      <c r="L522" s="3"/>
      <c r="O522" s="3"/>
      <c r="P522" s="3"/>
      <c r="Q522" s="3"/>
      <c r="T522" s="3"/>
      <c r="U522" s="3"/>
      <c r="V522" s="3"/>
      <c r="Y522" s="3"/>
      <c r="Z522" s="3"/>
      <c r="AA522" s="3"/>
      <c r="AB522" s="3"/>
      <c r="AC522" s="3"/>
      <c r="AH522" s="3"/>
    </row>
    <row r="523" spans="5:34" s="1" customFormat="1">
      <c r="E523" s="3"/>
      <c r="F523" s="3"/>
      <c r="G523" s="3"/>
      <c r="J523" s="3"/>
      <c r="K523" s="3"/>
      <c r="L523" s="3"/>
      <c r="O523" s="3"/>
      <c r="P523" s="3"/>
      <c r="Q523" s="3"/>
      <c r="T523" s="3"/>
      <c r="U523" s="3"/>
      <c r="V523" s="3"/>
      <c r="Y523" s="3"/>
      <c r="Z523" s="3"/>
      <c r="AA523" s="3"/>
      <c r="AB523" s="3"/>
      <c r="AC523" s="3"/>
      <c r="AH523" s="3"/>
    </row>
    <row r="524" spans="5:34" s="1" customFormat="1">
      <c r="E524" s="3"/>
      <c r="F524" s="3"/>
      <c r="G524" s="3"/>
      <c r="J524" s="3"/>
      <c r="K524" s="3"/>
      <c r="L524" s="3"/>
      <c r="O524" s="3"/>
      <c r="P524" s="3"/>
      <c r="Q524" s="3"/>
      <c r="T524" s="3"/>
      <c r="U524" s="3"/>
      <c r="V524" s="3"/>
      <c r="Y524" s="3"/>
      <c r="Z524" s="3"/>
      <c r="AA524" s="3"/>
      <c r="AB524" s="3"/>
      <c r="AC524" s="3"/>
      <c r="AH524" s="3"/>
    </row>
    <row r="525" spans="5:34" s="1" customFormat="1">
      <c r="E525" s="3"/>
      <c r="F525" s="3"/>
      <c r="G525" s="3"/>
      <c r="J525" s="3"/>
      <c r="K525" s="3"/>
      <c r="L525" s="3"/>
      <c r="O525" s="3"/>
      <c r="P525" s="3"/>
      <c r="Q525" s="3"/>
      <c r="T525" s="3"/>
      <c r="U525" s="3"/>
      <c r="V525" s="3"/>
      <c r="Y525" s="3"/>
      <c r="Z525" s="3"/>
      <c r="AA525" s="3"/>
      <c r="AB525" s="3"/>
      <c r="AC525" s="3"/>
      <c r="AH525" s="3"/>
    </row>
    <row r="526" spans="5:34" s="1" customFormat="1">
      <c r="E526" s="3"/>
      <c r="F526" s="3"/>
      <c r="G526" s="3"/>
      <c r="J526" s="3"/>
      <c r="K526" s="3"/>
      <c r="L526" s="3"/>
      <c r="O526" s="3"/>
      <c r="P526" s="3"/>
      <c r="Q526" s="3"/>
      <c r="T526" s="3"/>
      <c r="U526" s="3"/>
      <c r="V526" s="3"/>
      <c r="Y526" s="3"/>
      <c r="Z526" s="3"/>
      <c r="AA526" s="3"/>
      <c r="AB526" s="3"/>
      <c r="AC526" s="3"/>
      <c r="AH526" s="3"/>
    </row>
    <row r="527" spans="5:34" s="1" customFormat="1">
      <c r="E527" s="3"/>
      <c r="F527" s="3"/>
      <c r="G527" s="3"/>
      <c r="J527" s="3"/>
      <c r="K527" s="3"/>
      <c r="L527" s="3"/>
      <c r="O527" s="3"/>
      <c r="P527" s="3"/>
      <c r="Q527" s="3"/>
      <c r="T527" s="3"/>
      <c r="U527" s="3"/>
      <c r="V527" s="3"/>
      <c r="Y527" s="3"/>
      <c r="Z527" s="3"/>
      <c r="AA527" s="3"/>
      <c r="AB527" s="3"/>
      <c r="AC527" s="3"/>
      <c r="AH527" s="3"/>
    </row>
    <row r="528" spans="5:34" s="1" customFormat="1">
      <c r="E528" s="3"/>
      <c r="F528" s="3"/>
      <c r="G528" s="3"/>
      <c r="J528" s="3"/>
      <c r="K528" s="3"/>
      <c r="L528" s="3"/>
      <c r="O528" s="3"/>
      <c r="P528" s="3"/>
      <c r="Q528" s="3"/>
      <c r="T528" s="3"/>
      <c r="U528" s="3"/>
      <c r="V528" s="3"/>
      <c r="Y528" s="3"/>
      <c r="Z528" s="3"/>
      <c r="AA528" s="3"/>
      <c r="AB528" s="3"/>
      <c r="AC528" s="3"/>
      <c r="AH528" s="3"/>
    </row>
    <row r="529" spans="5:34" s="1" customFormat="1">
      <c r="E529" s="3"/>
      <c r="F529" s="3"/>
      <c r="G529" s="3"/>
      <c r="J529" s="3"/>
      <c r="K529" s="3"/>
      <c r="L529" s="3"/>
      <c r="O529" s="3"/>
      <c r="P529" s="3"/>
      <c r="Q529" s="3"/>
      <c r="T529" s="3"/>
      <c r="U529" s="3"/>
      <c r="V529" s="3"/>
      <c r="Y529" s="3"/>
      <c r="Z529" s="3"/>
      <c r="AA529" s="3"/>
      <c r="AB529" s="3"/>
      <c r="AC529" s="3"/>
      <c r="AH529" s="3"/>
    </row>
    <row r="530" spans="5:34" s="1" customFormat="1">
      <c r="E530" s="3"/>
      <c r="F530" s="3"/>
      <c r="G530" s="3"/>
      <c r="J530" s="3"/>
      <c r="K530" s="3"/>
      <c r="L530" s="3"/>
      <c r="O530" s="3"/>
      <c r="P530" s="3"/>
      <c r="Q530" s="3"/>
      <c r="T530" s="3"/>
      <c r="U530" s="3"/>
      <c r="V530" s="3"/>
      <c r="Y530" s="3"/>
      <c r="Z530" s="3"/>
      <c r="AA530" s="3"/>
      <c r="AB530" s="3"/>
      <c r="AC530" s="3"/>
      <c r="AH530" s="3"/>
    </row>
    <row r="531" spans="5:34" s="1" customFormat="1">
      <c r="E531" s="3"/>
      <c r="F531" s="3"/>
      <c r="G531" s="3"/>
      <c r="J531" s="3"/>
      <c r="K531" s="3"/>
      <c r="L531" s="3"/>
      <c r="O531" s="3"/>
      <c r="P531" s="3"/>
      <c r="Q531" s="3"/>
      <c r="T531" s="3"/>
      <c r="U531" s="3"/>
      <c r="V531" s="3"/>
      <c r="Y531" s="3"/>
      <c r="Z531" s="3"/>
      <c r="AA531" s="3"/>
      <c r="AB531" s="3"/>
      <c r="AC531" s="3"/>
      <c r="AH531" s="3"/>
    </row>
    <row r="532" spans="5:34" s="1" customFormat="1">
      <c r="E532" s="3"/>
      <c r="F532" s="3"/>
      <c r="G532" s="3"/>
      <c r="J532" s="3"/>
      <c r="K532" s="3"/>
      <c r="L532" s="3"/>
      <c r="O532" s="3"/>
      <c r="P532" s="3"/>
      <c r="Q532" s="3"/>
      <c r="T532" s="3"/>
      <c r="U532" s="3"/>
      <c r="V532" s="3"/>
      <c r="Y532" s="3"/>
      <c r="Z532" s="3"/>
      <c r="AA532" s="3"/>
      <c r="AB532" s="3"/>
      <c r="AC532" s="3"/>
      <c r="AH532" s="3"/>
    </row>
    <row r="533" spans="5:34" s="1" customFormat="1">
      <c r="E533" s="3"/>
      <c r="F533" s="3"/>
      <c r="G533" s="3"/>
      <c r="J533" s="3"/>
      <c r="K533" s="3"/>
      <c r="L533" s="3"/>
      <c r="O533" s="3"/>
      <c r="P533" s="3"/>
      <c r="Q533" s="3"/>
      <c r="T533" s="3"/>
      <c r="U533" s="3"/>
      <c r="V533" s="3"/>
      <c r="Y533" s="3"/>
      <c r="Z533" s="3"/>
      <c r="AA533" s="3"/>
      <c r="AB533" s="3"/>
      <c r="AC533" s="3"/>
      <c r="AH533" s="3"/>
    </row>
    <row r="534" spans="5:34" s="1" customFormat="1">
      <c r="E534" s="3"/>
      <c r="F534" s="3"/>
      <c r="G534" s="3"/>
      <c r="J534" s="3"/>
      <c r="K534" s="3"/>
      <c r="L534" s="3"/>
      <c r="O534" s="3"/>
      <c r="P534" s="3"/>
      <c r="Q534" s="3"/>
      <c r="T534" s="3"/>
      <c r="U534" s="3"/>
      <c r="V534" s="3"/>
      <c r="Y534" s="3"/>
      <c r="Z534" s="3"/>
      <c r="AA534" s="3"/>
      <c r="AB534" s="3"/>
      <c r="AC534" s="3"/>
      <c r="AH534" s="3"/>
    </row>
    <row r="535" spans="5:34" s="1" customFormat="1">
      <c r="E535" s="3"/>
      <c r="F535" s="3"/>
      <c r="G535" s="3"/>
      <c r="J535" s="3"/>
      <c r="K535" s="3"/>
      <c r="L535" s="3"/>
      <c r="O535" s="3"/>
      <c r="P535" s="3"/>
      <c r="Q535" s="3"/>
      <c r="T535" s="3"/>
      <c r="U535" s="3"/>
      <c r="V535" s="3"/>
      <c r="Y535" s="3"/>
      <c r="Z535" s="3"/>
      <c r="AA535" s="3"/>
      <c r="AB535" s="3"/>
      <c r="AC535" s="3"/>
      <c r="AH535" s="3"/>
    </row>
    <row r="536" spans="5:34" s="1" customFormat="1">
      <c r="E536" s="3"/>
      <c r="F536" s="3"/>
      <c r="G536" s="3"/>
      <c r="J536" s="3"/>
      <c r="K536" s="3"/>
      <c r="L536" s="3"/>
      <c r="O536" s="3"/>
      <c r="P536" s="3"/>
      <c r="Q536" s="3"/>
      <c r="T536" s="3"/>
      <c r="U536" s="3"/>
      <c r="V536" s="3"/>
      <c r="Y536" s="3"/>
      <c r="Z536" s="3"/>
      <c r="AA536" s="3"/>
      <c r="AB536" s="3"/>
      <c r="AC536" s="3"/>
      <c r="AH536" s="3"/>
    </row>
    <row r="537" spans="5:34" s="1" customFormat="1">
      <c r="E537" s="3"/>
      <c r="F537" s="3"/>
      <c r="G537" s="3"/>
      <c r="J537" s="3"/>
      <c r="K537" s="3"/>
      <c r="L537" s="3"/>
      <c r="O537" s="3"/>
      <c r="P537" s="3"/>
      <c r="Q537" s="3"/>
      <c r="T537" s="3"/>
      <c r="U537" s="3"/>
      <c r="V537" s="3"/>
      <c r="Y537" s="3"/>
      <c r="Z537" s="3"/>
      <c r="AA537" s="3"/>
      <c r="AB537" s="3"/>
      <c r="AC537" s="3"/>
      <c r="AH537" s="3"/>
    </row>
    <row r="538" spans="5:34" s="1" customFormat="1">
      <c r="E538" s="3"/>
      <c r="F538" s="3"/>
      <c r="G538" s="3"/>
      <c r="J538" s="3"/>
      <c r="K538" s="3"/>
      <c r="L538" s="3"/>
      <c r="O538" s="3"/>
      <c r="P538" s="3"/>
      <c r="Q538" s="3"/>
      <c r="T538" s="3"/>
      <c r="U538" s="3"/>
      <c r="V538" s="3"/>
      <c r="Y538" s="3"/>
      <c r="Z538" s="3"/>
      <c r="AA538" s="3"/>
      <c r="AB538" s="3"/>
      <c r="AC538" s="3"/>
      <c r="AH538" s="3"/>
    </row>
    <row r="539" spans="5:34" s="1" customFormat="1">
      <c r="E539" s="3"/>
      <c r="F539" s="3"/>
      <c r="G539" s="3"/>
      <c r="J539" s="3"/>
      <c r="K539" s="3"/>
      <c r="L539" s="3"/>
      <c r="O539" s="3"/>
      <c r="P539" s="3"/>
      <c r="Q539" s="3"/>
      <c r="T539" s="3"/>
      <c r="U539" s="3"/>
      <c r="V539" s="3"/>
      <c r="Y539" s="3"/>
      <c r="Z539" s="3"/>
      <c r="AA539" s="3"/>
      <c r="AB539" s="3"/>
      <c r="AC539" s="3"/>
      <c r="AH539" s="3"/>
    </row>
    <row r="540" spans="5:34" s="1" customFormat="1">
      <c r="E540" s="3"/>
      <c r="F540" s="3"/>
      <c r="G540" s="3"/>
      <c r="J540" s="3"/>
      <c r="K540" s="3"/>
      <c r="L540" s="3"/>
      <c r="O540" s="3"/>
      <c r="P540" s="3"/>
      <c r="Q540" s="3"/>
      <c r="T540" s="3"/>
      <c r="U540" s="3"/>
      <c r="V540" s="3"/>
      <c r="Y540" s="3"/>
      <c r="Z540" s="3"/>
      <c r="AA540" s="3"/>
      <c r="AB540" s="3"/>
      <c r="AC540" s="3"/>
      <c r="AH540" s="3"/>
    </row>
    <row r="541" spans="5:34" s="1" customFormat="1">
      <c r="E541" s="3"/>
      <c r="F541" s="3"/>
      <c r="G541" s="3"/>
      <c r="J541" s="3"/>
      <c r="K541" s="3"/>
      <c r="L541" s="3"/>
      <c r="O541" s="3"/>
      <c r="P541" s="3"/>
      <c r="Q541" s="3"/>
      <c r="T541" s="3"/>
      <c r="U541" s="3"/>
      <c r="V541" s="3"/>
      <c r="Y541" s="3"/>
      <c r="Z541" s="3"/>
      <c r="AA541" s="3"/>
      <c r="AB541" s="3"/>
      <c r="AC541" s="3"/>
      <c r="AH541" s="3"/>
    </row>
    <row r="542" spans="5:34" s="1" customFormat="1">
      <c r="E542" s="3"/>
      <c r="F542" s="3"/>
      <c r="G542" s="3"/>
      <c r="J542" s="3"/>
      <c r="K542" s="3"/>
      <c r="L542" s="3"/>
      <c r="O542" s="3"/>
      <c r="P542" s="3"/>
      <c r="Q542" s="3"/>
      <c r="T542" s="3"/>
      <c r="U542" s="3"/>
      <c r="V542" s="3"/>
      <c r="Y542" s="3"/>
      <c r="Z542" s="3"/>
      <c r="AA542" s="3"/>
      <c r="AB542" s="3"/>
      <c r="AC542" s="3"/>
      <c r="AH542" s="3"/>
    </row>
    <row r="543" spans="5:34" s="1" customFormat="1">
      <c r="E543" s="3"/>
      <c r="F543" s="3"/>
      <c r="G543" s="3"/>
      <c r="J543" s="3"/>
      <c r="K543" s="3"/>
      <c r="L543" s="3"/>
      <c r="O543" s="3"/>
      <c r="P543" s="3"/>
      <c r="Q543" s="3"/>
      <c r="T543" s="3"/>
      <c r="U543" s="3"/>
      <c r="V543" s="3"/>
      <c r="Y543" s="3"/>
      <c r="Z543" s="3"/>
      <c r="AA543" s="3"/>
      <c r="AB543" s="3"/>
      <c r="AC543" s="3"/>
      <c r="AH543" s="3"/>
    </row>
    <row r="544" spans="5:34" s="1" customFormat="1">
      <c r="E544" s="3"/>
      <c r="F544" s="3"/>
      <c r="G544" s="3"/>
      <c r="J544" s="3"/>
      <c r="K544" s="3"/>
      <c r="L544" s="3"/>
      <c r="O544" s="3"/>
      <c r="P544" s="3"/>
      <c r="Q544" s="3"/>
      <c r="T544" s="3"/>
      <c r="U544" s="3"/>
      <c r="V544" s="3"/>
      <c r="Y544" s="3"/>
      <c r="Z544" s="3"/>
      <c r="AA544" s="3"/>
      <c r="AB544" s="3"/>
      <c r="AC544" s="3"/>
      <c r="AH544" s="3"/>
    </row>
    <row r="545" spans="5:34" s="1" customFormat="1">
      <c r="E545" s="3"/>
      <c r="F545" s="3"/>
      <c r="G545" s="3"/>
      <c r="J545" s="3"/>
      <c r="K545" s="3"/>
      <c r="L545" s="3"/>
      <c r="O545" s="3"/>
      <c r="P545" s="3"/>
      <c r="Q545" s="3"/>
      <c r="T545" s="3"/>
      <c r="U545" s="3"/>
      <c r="V545" s="3"/>
      <c r="Y545" s="3"/>
      <c r="Z545" s="3"/>
      <c r="AA545" s="3"/>
      <c r="AB545" s="3"/>
      <c r="AC545" s="3"/>
      <c r="AH545" s="3"/>
    </row>
    <row r="546" spans="5:34" s="1" customFormat="1">
      <c r="E546" s="3"/>
      <c r="F546" s="3"/>
      <c r="G546" s="3"/>
      <c r="J546" s="3"/>
      <c r="K546" s="3"/>
      <c r="L546" s="3"/>
      <c r="O546" s="3"/>
      <c r="P546" s="3"/>
      <c r="Q546" s="3"/>
      <c r="T546" s="3"/>
      <c r="U546" s="3"/>
      <c r="V546" s="3"/>
      <c r="Y546" s="3"/>
      <c r="Z546" s="3"/>
      <c r="AA546" s="3"/>
      <c r="AB546" s="3"/>
      <c r="AC546" s="3"/>
      <c r="AH546" s="3"/>
    </row>
    <row r="547" spans="5:34" s="1" customFormat="1">
      <c r="E547" s="3"/>
      <c r="F547" s="3"/>
      <c r="G547" s="3"/>
      <c r="J547" s="3"/>
      <c r="K547" s="3"/>
      <c r="L547" s="3"/>
      <c r="O547" s="3"/>
      <c r="P547" s="3"/>
      <c r="Q547" s="3"/>
      <c r="T547" s="3"/>
      <c r="U547" s="3"/>
      <c r="V547" s="3"/>
      <c r="Y547" s="3"/>
      <c r="Z547" s="3"/>
      <c r="AA547" s="3"/>
      <c r="AB547" s="3"/>
      <c r="AC547" s="3"/>
      <c r="AH547" s="3"/>
    </row>
    <row r="548" spans="5:34" s="1" customFormat="1">
      <c r="E548" s="3"/>
      <c r="F548" s="3"/>
      <c r="G548" s="3"/>
      <c r="J548" s="3"/>
      <c r="K548" s="3"/>
      <c r="L548" s="3"/>
      <c r="O548" s="3"/>
      <c r="P548" s="3"/>
      <c r="Q548" s="3"/>
      <c r="T548" s="3"/>
      <c r="U548" s="3"/>
      <c r="V548" s="3"/>
      <c r="Y548" s="3"/>
      <c r="Z548" s="3"/>
      <c r="AA548" s="3"/>
      <c r="AB548" s="3"/>
      <c r="AC548" s="3"/>
      <c r="AH548" s="3"/>
    </row>
    <row r="549" spans="5:34" s="1" customFormat="1">
      <c r="E549" s="3"/>
      <c r="F549" s="3"/>
      <c r="G549" s="3"/>
      <c r="J549" s="3"/>
      <c r="K549" s="3"/>
      <c r="L549" s="3"/>
      <c r="O549" s="3"/>
      <c r="P549" s="3"/>
      <c r="Q549" s="3"/>
      <c r="T549" s="3"/>
      <c r="U549" s="3"/>
      <c r="V549" s="3"/>
      <c r="Y549" s="3"/>
      <c r="Z549" s="3"/>
      <c r="AA549" s="3"/>
      <c r="AB549" s="3"/>
      <c r="AC549" s="3"/>
      <c r="AH549" s="3"/>
    </row>
    <row r="550" spans="5:34" s="1" customFormat="1">
      <c r="E550" s="3"/>
      <c r="F550" s="3"/>
      <c r="G550" s="3"/>
      <c r="J550" s="3"/>
      <c r="K550" s="3"/>
      <c r="L550" s="3"/>
      <c r="O550" s="3"/>
      <c r="P550" s="3"/>
      <c r="Q550" s="3"/>
      <c r="T550" s="3"/>
      <c r="U550" s="3"/>
      <c r="V550" s="3"/>
      <c r="Y550" s="3"/>
      <c r="Z550" s="3"/>
      <c r="AA550" s="3"/>
      <c r="AB550" s="3"/>
      <c r="AC550" s="3"/>
      <c r="AH550" s="3"/>
    </row>
    <row r="551" spans="5:34" s="1" customFormat="1">
      <c r="E551" s="3"/>
      <c r="F551" s="3"/>
      <c r="G551" s="3"/>
      <c r="J551" s="3"/>
      <c r="K551" s="3"/>
      <c r="L551" s="3"/>
      <c r="O551" s="3"/>
      <c r="P551" s="3"/>
      <c r="Q551" s="3"/>
      <c r="T551" s="3"/>
      <c r="U551" s="3"/>
      <c r="V551" s="3"/>
      <c r="Y551" s="3"/>
      <c r="Z551" s="3"/>
      <c r="AA551" s="3"/>
      <c r="AB551" s="3"/>
      <c r="AC551" s="3"/>
      <c r="AH551" s="3"/>
    </row>
    <row r="552" spans="5:34" s="1" customFormat="1">
      <c r="E552" s="3"/>
      <c r="F552" s="3"/>
      <c r="G552" s="3"/>
      <c r="J552" s="3"/>
      <c r="K552" s="3"/>
      <c r="L552" s="3"/>
      <c r="O552" s="3"/>
      <c r="P552" s="3"/>
      <c r="Q552" s="3"/>
      <c r="T552" s="3"/>
      <c r="U552" s="3"/>
      <c r="V552" s="3"/>
      <c r="Y552" s="3"/>
      <c r="Z552" s="3"/>
      <c r="AA552" s="3"/>
      <c r="AB552" s="3"/>
      <c r="AC552" s="3"/>
      <c r="AH552" s="3"/>
    </row>
    <row r="553" spans="5:34" s="1" customFormat="1">
      <c r="E553" s="3"/>
      <c r="F553" s="3"/>
      <c r="G553" s="3"/>
      <c r="J553" s="3"/>
      <c r="K553" s="3"/>
      <c r="L553" s="3"/>
      <c r="O553" s="3"/>
      <c r="P553" s="3"/>
      <c r="Q553" s="3"/>
      <c r="T553" s="3"/>
      <c r="U553" s="3"/>
      <c r="V553" s="3"/>
      <c r="Y553" s="3"/>
      <c r="Z553" s="3"/>
      <c r="AA553" s="3"/>
      <c r="AB553" s="3"/>
      <c r="AC553" s="3"/>
      <c r="AH553" s="3"/>
    </row>
    <row r="554" spans="5:34" s="1" customFormat="1">
      <c r="E554" s="3"/>
      <c r="F554" s="3"/>
      <c r="G554" s="3"/>
      <c r="J554" s="3"/>
      <c r="K554" s="3"/>
      <c r="L554" s="3"/>
      <c r="O554" s="3"/>
      <c r="P554" s="3"/>
      <c r="Q554" s="3"/>
      <c r="T554" s="3"/>
      <c r="U554" s="3"/>
      <c r="V554" s="3"/>
      <c r="Y554" s="3"/>
      <c r="Z554" s="3"/>
      <c r="AA554" s="3"/>
      <c r="AB554" s="3"/>
      <c r="AC554" s="3"/>
      <c r="AH554" s="3"/>
    </row>
    <row r="555" spans="5:34" s="1" customFormat="1">
      <c r="E555" s="3"/>
      <c r="F555" s="3"/>
      <c r="G555" s="3"/>
      <c r="J555" s="3"/>
      <c r="K555" s="3"/>
      <c r="L555" s="3"/>
      <c r="O555" s="3"/>
      <c r="P555" s="3"/>
      <c r="Q555" s="3"/>
      <c r="T555" s="3"/>
      <c r="U555" s="3"/>
      <c r="V555" s="3"/>
      <c r="Y555" s="3"/>
      <c r="Z555" s="3"/>
      <c r="AA555" s="3"/>
      <c r="AB555" s="3"/>
      <c r="AC555" s="3"/>
      <c r="AH555" s="3"/>
    </row>
    <row r="556" spans="5:34" s="1" customFormat="1">
      <c r="E556" s="3"/>
      <c r="F556" s="3"/>
      <c r="G556" s="3"/>
      <c r="J556" s="3"/>
      <c r="K556" s="3"/>
      <c r="L556" s="3"/>
      <c r="O556" s="3"/>
      <c r="P556" s="3"/>
      <c r="Q556" s="3"/>
      <c r="T556" s="3"/>
      <c r="U556" s="3"/>
      <c r="V556" s="3"/>
      <c r="Y556" s="3"/>
      <c r="Z556" s="3"/>
      <c r="AA556" s="3"/>
      <c r="AB556" s="3"/>
      <c r="AC556" s="3"/>
      <c r="AH556" s="3"/>
    </row>
    <row r="557" spans="5:34" s="1" customFormat="1">
      <c r="E557" s="3"/>
      <c r="F557" s="3"/>
      <c r="G557" s="3"/>
      <c r="J557" s="3"/>
      <c r="K557" s="3"/>
      <c r="L557" s="3"/>
      <c r="O557" s="3"/>
      <c r="P557" s="3"/>
      <c r="Q557" s="3"/>
      <c r="T557" s="3"/>
      <c r="U557" s="3"/>
      <c r="V557" s="3"/>
      <c r="Y557" s="3"/>
      <c r="Z557" s="3"/>
      <c r="AA557" s="3"/>
      <c r="AB557" s="3"/>
      <c r="AC557" s="3"/>
      <c r="AH557" s="3"/>
    </row>
    <row r="558" spans="5:34" s="1" customFormat="1">
      <c r="E558" s="3"/>
      <c r="F558" s="3"/>
      <c r="G558" s="3"/>
      <c r="J558" s="3"/>
      <c r="K558" s="3"/>
      <c r="L558" s="3"/>
      <c r="O558" s="3"/>
      <c r="P558" s="3"/>
      <c r="Q558" s="3"/>
      <c r="T558" s="3"/>
      <c r="U558" s="3"/>
      <c r="V558" s="3"/>
      <c r="Y558" s="3"/>
      <c r="Z558" s="3"/>
      <c r="AA558" s="3"/>
      <c r="AB558" s="3"/>
      <c r="AC558" s="3"/>
      <c r="AH558" s="3"/>
    </row>
    <row r="559" spans="5:34" s="1" customFormat="1">
      <c r="E559" s="3"/>
      <c r="F559" s="3"/>
      <c r="G559" s="3"/>
      <c r="J559" s="3"/>
      <c r="K559" s="3"/>
      <c r="L559" s="3"/>
      <c r="O559" s="3"/>
      <c r="P559" s="3"/>
      <c r="Q559" s="3"/>
      <c r="T559" s="3"/>
      <c r="U559" s="3"/>
      <c r="V559" s="3"/>
      <c r="Y559" s="3"/>
      <c r="Z559" s="3"/>
      <c r="AA559" s="3"/>
      <c r="AB559" s="3"/>
      <c r="AC559" s="3"/>
      <c r="AH559" s="3"/>
    </row>
    <row r="560" spans="5:34" s="1" customFormat="1">
      <c r="E560" s="3"/>
      <c r="F560" s="3"/>
      <c r="G560" s="3"/>
      <c r="J560" s="3"/>
      <c r="K560" s="3"/>
      <c r="L560" s="3"/>
      <c r="O560" s="3"/>
      <c r="P560" s="3"/>
      <c r="Q560" s="3"/>
      <c r="T560" s="3"/>
      <c r="U560" s="3"/>
      <c r="V560" s="3"/>
      <c r="Y560" s="3"/>
      <c r="Z560" s="3"/>
      <c r="AA560" s="3"/>
      <c r="AB560" s="3"/>
      <c r="AC560" s="3"/>
      <c r="AH560" s="3"/>
    </row>
    <row r="561" spans="5:34" s="1" customFormat="1">
      <c r="E561" s="3"/>
      <c r="F561" s="3"/>
      <c r="G561" s="3"/>
      <c r="J561" s="3"/>
      <c r="K561" s="3"/>
      <c r="L561" s="3"/>
      <c r="O561" s="3"/>
      <c r="P561" s="3"/>
      <c r="Q561" s="3"/>
      <c r="T561" s="3"/>
      <c r="U561" s="3"/>
      <c r="V561" s="3"/>
      <c r="Y561" s="3"/>
      <c r="Z561" s="3"/>
      <c r="AA561" s="3"/>
      <c r="AB561" s="3"/>
      <c r="AC561" s="3"/>
      <c r="AH561" s="3"/>
    </row>
    <row r="562" spans="5:34" s="1" customFormat="1">
      <c r="E562" s="3"/>
      <c r="F562" s="3"/>
      <c r="G562" s="3"/>
      <c r="J562" s="3"/>
      <c r="K562" s="3"/>
      <c r="L562" s="3"/>
      <c r="O562" s="3"/>
      <c r="P562" s="3"/>
      <c r="Q562" s="3"/>
      <c r="T562" s="3"/>
      <c r="U562" s="3"/>
      <c r="V562" s="3"/>
      <c r="Y562" s="3"/>
      <c r="Z562" s="3"/>
      <c r="AA562" s="3"/>
      <c r="AB562" s="3"/>
      <c r="AC562" s="3"/>
      <c r="AH562" s="3"/>
    </row>
    <row r="563" spans="5:34" s="1" customFormat="1">
      <c r="E563" s="3"/>
      <c r="F563" s="3"/>
      <c r="G563" s="3"/>
      <c r="J563" s="3"/>
      <c r="K563" s="3"/>
      <c r="L563" s="3"/>
      <c r="O563" s="3"/>
      <c r="P563" s="3"/>
      <c r="Q563" s="3"/>
      <c r="T563" s="3"/>
      <c r="U563" s="3"/>
      <c r="V563" s="3"/>
      <c r="Y563" s="3"/>
      <c r="Z563" s="3"/>
      <c r="AA563" s="3"/>
      <c r="AB563" s="3"/>
      <c r="AC563" s="3"/>
      <c r="AH563" s="3"/>
    </row>
    <row r="564" spans="5:34" s="1" customFormat="1">
      <c r="E564" s="3"/>
      <c r="F564" s="3"/>
      <c r="G564" s="3"/>
      <c r="J564" s="3"/>
      <c r="K564" s="3"/>
      <c r="L564" s="3"/>
      <c r="O564" s="3"/>
      <c r="P564" s="3"/>
      <c r="Q564" s="3"/>
      <c r="T564" s="3"/>
      <c r="U564" s="3"/>
      <c r="V564" s="3"/>
      <c r="Y564" s="3"/>
      <c r="Z564" s="3"/>
      <c r="AA564" s="3"/>
      <c r="AB564" s="3"/>
      <c r="AC564" s="3"/>
      <c r="AH564" s="3"/>
    </row>
    <row r="565" spans="5:34" s="1" customFormat="1">
      <c r="E565" s="3"/>
      <c r="F565" s="3"/>
      <c r="G565" s="3"/>
      <c r="J565" s="3"/>
      <c r="K565" s="3"/>
      <c r="L565" s="3"/>
      <c r="O565" s="3"/>
      <c r="P565" s="3"/>
      <c r="Q565" s="3"/>
      <c r="T565" s="3"/>
      <c r="U565" s="3"/>
      <c r="V565" s="3"/>
      <c r="Y565" s="3"/>
      <c r="Z565" s="3"/>
      <c r="AA565" s="3"/>
      <c r="AB565" s="3"/>
      <c r="AC565" s="3"/>
      <c r="AH565" s="3"/>
    </row>
    <row r="566" spans="5:34" s="1" customFormat="1">
      <c r="E566" s="3"/>
      <c r="F566" s="3"/>
      <c r="G566" s="3"/>
      <c r="J566" s="3"/>
      <c r="K566" s="3"/>
      <c r="L566" s="3"/>
      <c r="O566" s="3"/>
      <c r="P566" s="3"/>
      <c r="Q566" s="3"/>
      <c r="T566" s="3"/>
      <c r="U566" s="3"/>
      <c r="V566" s="3"/>
      <c r="Y566" s="3"/>
      <c r="Z566" s="3"/>
      <c r="AA566" s="3"/>
      <c r="AB566" s="3"/>
      <c r="AC566" s="3"/>
      <c r="AH566" s="3"/>
    </row>
    <row r="567" spans="5:34" s="1" customFormat="1">
      <c r="E567" s="3"/>
      <c r="F567" s="3"/>
      <c r="G567" s="3"/>
      <c r="J567" s="3"/>
      <c r="K567" s="3"/>
      <c r="L567" s="3"/>
      <c r="O567" s="3"/>
      <c r="P567" s="3"/>
      <c r="Q567" s="3"/>
      <c r="T567" s="3"/>
      <c r="U567" s="3"/>
      <c r="V567" s="3"/>
      <c r="Y567" s="3"/>
      <c r="Z567" s="3"/>
      <c r="AA567" s="3"/>
      <c r="AB567" s="3"/>
      <c r="AC567" s="3"/>
      <c r="AH567" s="3"/>
    </row>
    <row r="568" spans="5:34" s="1" customFormat="1">
      <c r="E568" s="3"/>
      <c r="F568" s="3"/>
      <c r="G568" s="3"/>
      <c r="J568" s="3"/>
      <c r="K568" s="3"/>
      <c r="L568" s="3"/>
      <c r="O568" s="3"/>
      <c r="P568" s="3"/>
      <c r="Q568" s="3"/>
      <c r="T568" s="3"/>
      <c r="U568" s="3"/>
      <c r="V568" s="3"/>
      <c r="Y568" s="3"/>
      <c r="Z568" s="3"/>
      <c r="AA568" s="3"/>
      <c r="AB568" s="3"/>
      <c r="AC568" s="3"/>
      <c r="AH568" s="3"/>
    </row>
    <row r="569" spans="5:34" s="1" customFormat="1">
      <c r="E569" s="3"/>
      <c r="F569" s="3"/>
      <c r="G569" s="3"/>
      <c r="J569" s="3"/>
      <c r="K569" s="3"/>
      <c r="L569" s="3"/>
      <c r="O569" s="3"/>
      <c r="P569" s="3"/>
      <c r="Q569" s="3"/>
      <c r="T569" s="3"/>
      <c r="U569" s="3"/>
      <c r="V569" s="3"/>
      <c r="Y569" s="3"/>
      <c r="Z569" s="3"/>
      <c r="AA569" s="3"/>
      <c r="AB569" s="3"/>
      <c r="AC569" s="3"/>
      <c r="AH569" s="3"/>
    </row>
    <row r="570" spans="5:34" s="1" customFormat="1">
      <c r="E570" s="3"/>
      <c r="F570" s="3"/>
      <c r="G570" s="3"/>
      <c r="J570" s="3"/>
      <c r="K570" s="3"/>
      <c r="L570" s="3"/>
      <c r="O570" s="3"/>
      <c r="P570" s="3"/>
      <c r="Q570" s="3"/>
      <c r="T570" s="3"/>
      <c r="U570" s="3"/>
      <c r="V570" s="3"/>
      <c r="Y570" s="3"/>
      <c r="Z570" s="3"/>
      <c r="AA570" s="3"/>
      <c r="AB570" s="3"/>
      <c r="AC570" s="3"/>
      <c r="AH570" s="3"/>
    </row>
    <row r="571" spans="5:34" s="1" customFormat="1">
      <c r="E571" s="3"/>
      <c r="F571" s="3"/>
      <c r="G571" s="3"/>
      <c r="J571" s="3"/>
      <c r="K571" s="3"/>
      <c r="L571" s="3"/>
      <c r="O571" s="3"/>
      <c r="P571" s="3"/>
      <c r="Q571" s="3"/>
      <c r="T571" s="3"/>
      <c r="U571" s="3"/>
      <c r="V571" s="3"/>
      <c r="Y571" s="3"/>
      <c r="Z571" s="3"/>
      <c r="AA571" s="3"/>
      <c r="AB571" s="3"/>
      <c r="AC571" s="3"/>
      <c r="AH571" s="3"/>
    </row>
    <row r="572" spans="5:34" s="1" customFormat="1">
      <c r="E572" s="3"/>
      <c r="F572" s="3"/>
      <c r="G572" s="3"/>
      <c r="J572" s="3"/>
      <c r="K572" s="3"/>
      <c r="L572" s="3"/>
      <c r="O572" s="3"/>
      <c r="P572" s="3"/>
      <c r="Q572" s="3"/>
      <c r="T572" s="3"/>
      <c r="U572" s="3"/>
      <c r="V572" s="3"/>
      <c r="Y572" s="3"/>
      <c r="Z572" s="3"/>
      <c r="AA572" s="3"/>
      <c r="AB572" s="3"/>
      <c r="AC572" s="3"/>
      <c r="AH572" s="3"/>
    </row>
    <row r="573" spans="5:34" s="1" customFormat="1">
      <c r="E573" s="3"/>
      <c r="F573" s="3"/>
      <c r="G573" s="3"/>
      <c r="J573" s="3"/>
      <c r="K573" s="3"/>
      <c r="L573" s="3"/>
      <c r="O573" s="3"/>
      <c r="P573" s="3"/>
      <c r="Q573" s="3"/>
      <c r="T573" s="3"/>
      <c r="U573" s="3"/>
      <c r="V573" s="3"/>
      <c r="Y573" s="3"/>
      <c r="Z573" s="3"/>
      <c r="AA573" s="3"/>
      <c r="AB573" s="3"/>
      <c r="AC573" s="3"/>
      <c r="AH573" s="3"/>
    </row>
    <row r="574" spans="5:34" s="1" customFormat="1">
      <c r="E574" s="3"/>
      <c r="F574" s="3"/>
      <c r="G574" s="3"/>
      <c r="J574" s="3"/>
      <c r="K574" s="3"/>
      <c r="L574" s="3"/>
      <c r="O574" s="3"/>
      <c r="P574" s="3"/>
      <c r="Q574" s="3"/>
      <c r="T574" s="3"/>
      <c r="U574" s="3"/>
      <c r="V574" s="3"/>
      <c r="Y574" s="3"/>
      <c r="Z574" s="3"/>
      <c r="AA574" s="3"/>
      <c r="AB574" s="3"/>
      <c r="AC574" s="3"/>
      <c r="AH574" s="3"/>
    </row>
    <row r="575" spans="5:34" s="1" customFormat="1">
      <c r="E575" s="3"/>
      <c r="F575" s="3"/>
      <c r="G575" s="3"/>
      <c r="J575" s="3"/>
      <c r="K575" s="3"/>
      <c r="L575" s="3"/>
      <c r="O575" s="3"/>
      <c r="P575" s="3"/>
      <c r="Q575" s="3"/>
      <c r="T575" s="3"/>
      <c r="U575" s="3"/>
      <c r="V575" s="3"/>
      <c r="Y575" s="3"/>
      <c r="Z575" s="3"/>
      <c r="AA575" s="3"/>
      <c r="AB575" s="3"/>
      <c r="AC575" s="3"/>
      <c r="AH575" s="3"/>
    </row>
    <row r="576" spans="5:34" s="1" customFormat="1">
      <c r="E576" s="3"/>
      <c r="F576" s="3"/>
      <c r="G576" s="3"/>
      <c r="J576" s="3"/>
      <c r="K576" s="3"/>
      <c r="L576" s="3"/>
      <c r="O576" s="3"/>
      <c r="P576" s="3"/>
      <c r="Q576" s="3"/>
      <c r="T576" s="3"/>
      <c r="U576" s="3"/>
      <c r="V576" s="3"/>
      <c r="Y576" s="3"/>
      <c r="Z576" s="3"/>
      <c r="AA576" s="3"/>
      <c r="AB576" s="3"/>
      <c r="AC576" s="3"/>
      <c r="AH576" s="3"/>
    </row>
    <row r="577" spans="5:34" s="1" customFormat="1">
      <c r="E577" s="3"/>
      <c r="F577" s="3"/>
      <c r="G577" s="3"/>
      <c r="J577" s="3"/>
      <c r="K577" s="3"/>
      <c r="L577" s="3"/>
      <c r="O577" s="3"/>
      <c r="P577" s="3"/>
      <c r="Q577" s="3"/>
      <c r="T577" s="3"/>
      <c r="U577" s="3"/>
      <c r="V577" s="3"/>
      <c r="Y577" s="3"/>
      <c r="Z577" s="3"/>
      <c r="AA577" s="3"/>
      <c r="AB577" s="3"/>
      <c r="AC577" s="3"/>
      <c r="AH577" s="3"/>
    </row>
    <row r="578" spans="5:34" s="1" customFormat="1">
      <c r="E578" s="3"/>
      <c r="F578" s="3"/>
      <c r="G578" s="3"/>
      <c r="J578" s="3"/>
      <c r="K578" s="3"/>
      <c r="L578" s="3"/>
      <c r="O578" s="3"/>
      <c r="P578" s="3"/>
      <c r="Q578" s="3"/>
      <c r="T578" s="3"/>
      <c r="U578" s="3"/>
      <c r="V578" s="3"/>
      <c r="Y578" s="3"/>
      <c r="Z578" s="3"/>
      <c r="AA578" s="3"/>
      <c r="AB578" s="3"/>
      <c r="AC578" s="3"/>
      <c r="AH578" s="3"/>
    </row>
    <row r="579" spans="5:34" s="1" customFormat="1">
      <c r="E579" s="3"/>
      <c r="F579" s="3"/>
      <c r="G579" s="3"/>
      <c r="J579" s="3"/>
      <c r="K579" s="3"/>
      <c r="L579" s="3"/>
      <c r="O579" s="3"/>
      <c r="P579" s="3"/>
      <c r="Q579" s="3"/>
      <c r="T579" s="3"/>
      <c r="U579" s="3"/>
      <c r="V579" s="3"/>
      <c r="Y579" s="3"/>
      <c r="Z579" s="3"/>
      <c r="AA579" s="3"/>
      <c r="AB579" s="3"/>
      <c r="AC579" s="3"/>
      <c r="AH579" s="3"/>
    </row>
    <row r="580" spans="5:34" s="1" customFormat="1">
      <c r="E580" s="3"/>
      <c r="F580" s="3"/>
      <c r="G580" s="3"/>
      <c r="J580" s="3"/>
      <c r="K580" s="3"/>
      <c r="L580" s="3"/>
      <c r="O580" s="3"/>
      <c r="P580" s="3"/>
      <c r="Q580" s="3"/>
      <c r="T580" s="3"/>
      <c r="U580" s="3"/>
      <c r="V580" s="3"/>
      <c r="Y580" s="3"/>
      <c r="Z580" s="3"/>
      <c r="AA580" s="3"/>
      <c r="AB580" s="3"/>
      <c r="AC580" s="3"/>
      <c r="AH580" s="3"/>
    </row>
    <row r="581" spans="5:34" s="1" customFormat="1">
      <c r="E581" s="3"/>
      <c r="F581" s="3"/>
      <c r="G581" s="3"/>
      <c r="J581" s="3"/>
      <c r="K581" s="3"/>
      <c r="L581" s="3"/>
      <c r="O581" s="3"/>
      <c r="P581" s="3"/>
      <c r="Q581" s="3"/>
      <c r="T581" s="3"/>
      <c r="U581" s="3"/>
      <c r="V581" s="3"/>
      <c r="Y581" s="3"/>
      <c r="Z581" s="3"/>
      <c r="AA581" s="3"/>
      <c r="AB581" s="3"/>
      <c r="AC581" s="3"/>
      <c r="AH581" s="3"/>
    </row>
    <row r="582" spans="5:34" s="1" customFormat="1">
      <c r="E582" s="3"/>
      <c r="F582" s="3"/>
      <c r="G582" s="3"/>
      <c r="J582" s="3"/>
      <c r="K582" s="3"/>
      <c r="L582" s="3"/>
      <c r="O582" s="3"/>
      <c r="P582" s="3"/>
      <c r="Q582" s="3"/>
      <c r="T582" s="3"/>
      <c r="U582" s="3"/>
      <c r="V582" s="3"/>
      <c r="Y582" s="3"/>
      <c r="Z582" s="3"/>
      <c r="AA582" s="3"/>
      <c r="AB582" s="3"/>
      <c r="AC582" s="3"/>
      <c r="AH582" s="3"/>
    </row>
    <row r="583" spans="5:34" s="1" customFormat="1">
      <c r="E583" s="3"/>
      <c r="F583" s="3"/>
      <c r="G583" s="3"/>
      <c r="J583" s="3"/>
      <c r="K583" s="3"/>
      <c r="L583" s="3"/>
      <c r="O583" s="3"/>
      <c r="P583" s="3"/>
      <c r="Q583" s="3"/>
      <c r="T583" s="3"/>
      <c r="U583" s="3"/>
      <c r="V583" s="3"/>
      <c r="Y583" s="3"/>
      <c r="Z583" s="3"/>
      <c r="AA583" s="3"/>
      <c r="AB583" s="3"/>
      <c r="AC583" s="3"/>
      <c r="AH583" s="3"/>
    </row>
    <row r="584" spans="5:34" s="1" customFormat="1">
      <c r="E584" s="3"/>
      <c r="F584" s="3"/>
      <c r="G584" s="3"/>
      <c r="J584" s="3"/>
      <c r="K584" s="3"/>
      <c r="L584" s="3"/>
      <c r="O584" s="3"/>
      <c r="P584" s="3"/>
      <c r="Q584" s="3"/>
      <c r="T584" s="3"/>
      <c r="U584" s="3"/>
      <c r="V584" s="3"/>
      <c r="Y584" s="3"/>
      <c r="Z584" s="3"/>
      <c r="AA584" s="3"/>
      <c r="AB584" s="3"/>
      <c r="AC584" s="3"/>
      <c r="AH584" s="3"/>
    </row>
    <row r="585" spans="5:34" s="1" customFormat="1">
      <c r="E585" s="3"/>
      <c r="F585" s="3"/>
      <c r="G585" s="3"/>
      <c r="J585" s="3"/>
      <c r="K585" s="3"/>
      <c r="L585" s="3"/>
      <c r="O585" s="3"/>
      <c r="P585" s="3"/>
      <c r="Q585" s="3"/>
      <c r="T585" s="3"/>
      <c r="U585" s="3"/>
      <c r="V585" s="3"/>
      <c r="Y585" s="3"/>
      <c r="Z585" s="3"/>
      <c r="AA585" s="3"/>
      <c r="AB585" s="3"/>
      <c r="AC585" s="3"/>
      <c r="AH585" s="3"/>
    </row>
    <row r="586" spans="5:34" s="1" customFormat="1">
      <c r="E586" s="3"/>
      <c r="F586" s="3"/>
      <c r="G586" s="3"/>
      <c r="J586" s="3"/>
      <c r="K586" s="3"/>
      <c r="L586" s="3"/>
      <c r="O586" s="3"/>
      <c r="P586" s="3"/>
      <c r="Q586" s="3"/>
      <c r="T586" s="3"/>
      <c r="U586" s="3"/>
      <c r="V586" s="3"/>
      <c r="Y586" s="3"/>
      <c r="Z586" s="3"/>
      <c r="AA586" s="3"/>
      <c r="AB586" s="3"/>
      <c r="AC586" s="3"/>
      <c r="AH586" s="3"/>
    </row>
    <row r="587" spans="5:34" s="1" customFormat="1">
      <c r="E587" s="3"/>
      <c r="F587" s="3"/>
      <c r="G587" s="3"/>
      <c r="J587" s="3"/>
      <c r="K587" s="3"/>
      <c r="L587" s="3"/>
      <c r="O587" s="3"/>
      <c r="P587" s="3"/>
      <c r="Q587" s="3"/>
      <c r="T587" s="3"/>
      <c r="U587" s="3"/>
      <c r="V587" s="3"/>
      <c r="Y587" s="3"/>
      <c r="Z587" s="3"/>
      <c r="AA587" s="3"/>
      <c r="AB587" s="3"/>
      <c r="AC587" s="3"/>
      <c r="AH587" s="3"/>
    </row>
    <row r="588" spans="5:34" s="1" customFormat="1">
      <c r="E588" s="3"/>
      <c r="F588" s="3"/>
      <c r="G588" s="3"/>
      <c r="J588" s="3"/>
      <c r="K588" s="3"/>
      <c r="L588" s="3"/>
      <c r="O588" s="3"/>
      <c r="P588" s="3"/>
      <c r="Q588" s="3"/>
      <c r="T588" s="3"/>
      <c r="U588" s="3"/>
      <c r="V588" s="3"/>
      <c r="Y588" s="3"/>
      <c r="Z588" s="3"/>
      <c r="AA588" s="3"/>
      <c r="AB588" s="3"/>
      <c r="AC588" s="3"/>
      <c r="AH588" s="3"/>
    </row>
    <row r="589" spans="5:34" s="1" customFormat="1">
      <c r="E589" s="3"/>
      <c r="F589" s="3"/>
      <c r="G589" s="3"/>
      <c r="J589" s="3"/>
      <c r="K589" s="3"/>
      <c r="L589" s="3"/>
      <c r="O589" s="3"/>
      <c r="P589" s="3"/>
      <c r="Q589" s="3"/>
      <c r="T589" s="3"/>
      <c r="U589" s="3"/>
      <c r="V589" s="3"/>
      <c r="Y589" s="3"/>
      <c r="Z589" s="3"/>
      <c r="AA589" s="3"/>
      <c r="AB589" s="3"/>
      <c r="AC589" s="3"/>
      <c r="AH589" s="3"/>
    </row>
    <row r="590" spans="5:34" s="1" customFormat="1">
      <c r="E590" s="3"/>
      <c r="F590" s="3"/>
      <c r="G590" s="3"/>
      <c r="J590" s="3"/>
      <c r="K590" s="3"/>
      <c r="L590" s="3"/>
      <c r="O590" s="3"/>
      <c r="P590" s="3"/>
      <c r="Q590" s="3"/>
      <c r="T590" s="3"/>
      <c r="U590" s="3"/>
      <c r="V590" s="3"/>
      <c r="Y590" s="3"/>
      <c r="Z590" s="3"/>
      <c r="AA590" s="3"/>
      <c r="AB590" s="3"/>
      <c r="AC590" s="3"/>
      <c r="AH590" s="3"/>
    </row>
    <row r="591" spans="5:34" s="1" customFormat="1">
      <c r="E591" s="3"/>
      <c r="F591" s="3"/>
      <c r="G591" s="3"/>
      <c r="J591" s="3"/>
      <c r="K591" s="3"/>
      <c r="L591" s="3"/>
      <c r="O591" s="3"/>
      <c r="P591" s="3"/>
      <c r="Q591" s="3"/>
      <c r="T591" s="3"/>
      <c r="U591" s="3"/>
      <c r="V591" s="3"/>
      <c r="Y591" s="3"/>
      <c r="Z591" s="3"/>
      <c r="AA591" s="3"/>
      <c r="AB591" s="3"/>
      <c r="AC591" s="3"/>
      <c r="AH591" s="3"/>
    </row>
    <row r="592" spans="5:34" s="1" customFormat="1">
      <c r="E592" s="3"/>
      <c r="F592" s="3"/>
      <c r="G592" s="3"/>
      <c r="J592" s="3"/>
      <c r="K592" s="3"/>
      <c r="L592" s="3"/>
      <c r="O592" s="3"/>
      <c r="P592" s="3"/>
      <c r="Q592" s="3"/>
      <c r="T592" s="3"/>
      <c r="U592" s="3"/>
      <c r="V592" s="3"/>
      <c r="Y592" s="3"/>
      <c r="Z592" s="3"/>
      <c r="AA592" s="3"/>
      <c r="AB592" s="3"/>
      <c r="AC592" s="3"/>
      <c r="AH592" s="3"/>
    </row>
    <row r="593" spans="5:34" s="1" customFormat="1">
      <c r="E593" s="3"/>
      <c r="F593" s="3"/>
      <c r="G593" s="3"/>
      <c r="J593" s="3"/>
      <c r="K593" s="3"/>
      <c r="L593" s="3"/>
      <c r="O593" s="3"/>
      <c r="P593" s="3"/>
      <c r="Q593" s="3"/>
      <c r="T593" s="3"/>
      <c r="U593" s="3"/>
      <c r="V593" s="3"/>
      <c r="Y593" s="3"/>
      <c r="Z593" s="3"/>
      <c r="AA593" s="3"/>
      <c r="AB593" s="3"/>
      <c r="AC593" s="3"/>
      <c r="AH593" s="3"/>
    </row>
    <row r="594" spans="5:34" s="1" customFormat="1">
      <c r="E594" s="3"/>
      <c r="F594" s="3"/>
      <c r="G594" s="3"/>
      <c r="J594" s="3"/>
      <c r="K594" s="3"/>
      <c r="L594" s="3"/>
      <c r="O594" s="3"/>
      <c r="P594" s="3"/>
      <c r="Q594" s="3"/>
      <c r="T594" s="3"/>
      <c r="U594" s="3"/>
      <c r="V594" s="3"/>
      <c r="Y594" s="3"/>
      <c r="Z594" s="3"/>
      <c r="AA594" s="3"/>
      <c r="AB594" s="3"/>
      <c r="AC594" s="3"/>
      <c r="AH594" s="3"/>
    </row>
    <row r="595" spans="5:34" s="1" customFormat="1">
      <c r="E595" s="3"/>
      <c r="F595" s="3"/>
      <c r="G595" s="3"/>
      <c r="J595" s="3"/>
      <c r="K595" s="3"/>
      <c r="L595" s="3"/>
      <c r="O595" s="3"/>
      <c r="P595" s="3"/>
      <c r="Q595" s="3"/>
      <c r="T595" s="3"/>
      <c r="U595" s="3"/>
      <c r="V595" s="3"/>
      <c r="Y595" s="3"/>
      <c r="Z595" s="3"/>
      <c r="AA595" s="3"/>
      <c r="AB595" s="3"/>
      <c r="AC595" s="3"/>
      <c r="AH595" s="3"/>
    </row>
    <row r="596" spans="5:34" s="1" customFormat="1">
      <c r="E596" s="3"/>
      <c r="F596" s="3"/>
      <c r="G596" s="3"/>
      <c r="J596" s="3"/>
      <c r="K596" s="3"/>
      <c r="L596" s="3"/>
      <c r="O596" s="3"/>
      <c r="P596" s="3"/>
      <c r="Q596" s="3"/>
      <c r="T596" s="3"/>
      <c r="U596" s="3"/>
      <c r="V596" s="3"/>
      <c r="Y596" s="3"/>
      <c r="Z596" s="3"/>
      <c r="AA596" s="3"/>
      <c r="AB596" s="3"/>
      <c r="AC596" s="3"/>
      <c r="AH596" s="3"/>
    </row>
    <row r="597" spans="5:34" s="1" customFormat="1">
      <c r="E597" s="3"/>
      <c r="F597" s="3"/>
      <c r="G597" s="3"/>
      <c r="J597" s="3"/>
      <c r="K597" s="3"/>
      <c r="L597" s="3"/>
      <c r="O597" s="3"/>
      <c r="P597" s="3"/>
      <c r="Q597" s="3"/>
      <c r="T597" s="3"/>
      <c r="U597" s="3"/>
      <c r="V597" s="3"/>
      <c r="Y597" s="3"/>
      <c r="Z597" s="3"/>
      <c r="AA597" s="3"/>
      <c r="AB597" s="3"/>
      <c r="AC597" s="3"/>
      <c r="AH597" s="3"/>
    </row>
    <row r="598" spans="5:34" s="1" customFormat="1">
      <c r="E598" s="3"/>
      <c r="F598" s="3"/>
      <c r="G598" s="3"/>
      <c r="J598" s="3"/>
      <c r="K598" s="3"/>
      <c r="L598" s="3"/>
      <c r="O598" s="3"/>
      <c r="P598" s="3"/>
      <c r="Q598" s="3"/>
      <c r="T598" s="3"/>
      <c r="U598" s="3"/>
      <c r="V598" s="3"/>
      <c r="Y598" s="3"/>
      <c r="Z598" s="3"/>
      <c r="AA598" s="3"/>
      <c r="AB598" s="3"/>
      <c r="AC598" s="3"/>
      <c r="AH598" s="3"/>
    </row>
    <row r="599" spans="5:34" s="1" customFormat="1">
      <c r="E599" s="3"/>
      <c r="F599" s="3"/>
      <c r="G599" s="3"/>
      <c r="J599" s="3"/>
      <c r="K599" s="3"/>
      <c r="L599" s="3"/>
      <c r="O599" s="3"/>
      <c r="P599" s="3"/>
      <c r="Q599" s="3"/>
      <c r="T599" s="3"/>
      <c r="U599" s="3"/>
      <c r="V599" s="3"/>
      <c r="Y599" s="3"/>
      <c r="Z599" s="3"/>
      <c r="AA599" s="3"/>
      <c r="AB599" s="3"/>
      <c r="AC599" s="3"/>
      <c r="AH599" s="3"/>
    </row>
    <row r="600" spans="5:34" s="1" customFormat="1">
      <c r="E600" s="3"/>
      <c r="F600" s="3"/>
      <c r="G600" s="3"/>
      <c r="J600" s="3"/>
      <c r="K600" s="3"/>
      <c r="L600" s="3"/>
      <c r="O600" s="3"/>
      <c r="P600" s="3"/>
      <c r="Q600" s="3"/>
      <c r="T600" s="3"/>
      <c r="U600" s="3"/>
      <c r="V600" s="3"/>
      <c r="Y600" s="3"/>
      <c r="Z600" s="3"/>
      <c r="AA600" s="3"/>
      <c r="AB600" s="3"/>
      <c r="AC600" s="3"/>
      <c r="AH600" s="3"/>
    </row>
    <row r="601" spans="5:34" s="1" customFormat="1">
      <c r="E601" s="3"/>
      <c r="F601" s="3"/>
      <c r="G601" s="3"/>
      <c r="J601" s="3"/>
      <c r="K601" s="3"/>
      <c r="L601" s="3"/>
      <c r="O601" s="3"/>
      <c r="P601" s="3"/>
      <c r="Q601" s="3"/>
      <c r="T601" s="3"/>
      <c r="U601" s="3"/>
      <c r="V601" s="3"/>
      <c r="Y601" s="3"/>
      <c r="Z601" s="3"/>
      <c r="AA601" s="3"/>
      <c r="AB601" s="3"/>
      <c r="AC601" s="3"/>
      <c r="AH601" s="3"/>
    </row>
    <row r="602" spans="5:34" s="1" customFormat="1">
      <c r="E602" s="3"/>
      <c r="F602" s="3"/>
      <c r="G602" s="3"/>
      <c r="J602" s="3"/>
      <c r="K602" s="3"/>
      <c r="L602" s="3"/>
      <c r="O602" s="3"/>
      <c r="P602" s="3"/>
      <c r="Q602" s="3"/>
      <c r="T602" s="3"/>
      <c r="U602" s="3"/>
      <c r="V602" s="3"/>
      <c r="Y602" s="3"/>
      <c r="Z602" s="3"/>
      <c r="AA602" s="3"/>
      <c r="AB602" s="3"/>
      <c r="AC602" s="3"/>
      <c r="AH602" s="3"/>
    </row>
    <row r="603" spans="5:34" s="1" customFormat="1">
      <c r="E603" s="3"/>
      <c r="F603" s="3"/>
      <c r="G603" s="3"/>
      <c r="J603" s="3"/>
      <c r="K603" s="3"/>
      <c r="L603" s="3"/>
      <c r="O603" s="3"/>
      <c r="P603" s="3"/>
      <c r="Q603" s="3"/>
      <c r="T603" s="3"/>
      <c r="U603" s="3"/>
      <c r="V603" s="3"/>
      <c r="Y603" s="3"/>
      <c r="Z603" s="3"/>
      <c r="AA603" s="3"/>
      <c r="AB603" s="3"/>
      <c r="AC603" s="3"/>
      <c r="AH603" s="3"/>
    </row>
    <row r="604" spans="5:34" s="1" customFormat="1">
      <c r="E604" s="3"/>
      <c r="F604" s="3"/>
      <c r="G604" s="3"/>
      <c r="J604" s="3"/>
      <c r="K604" s="3"/>
      <c r="L604" s="3"/>
      <c r="O604" s="3"/>
      <c r="P604" s="3"/>
      <c r="Q604" s="3"/>
      <c r="T604" s="3"/>
      <c r="U604" s="3"/>
      <c r="V604" s="3"/>
      <c r="Y604" s="3"/>
      <c r="Z604" s="3"/>
      <c r="AA604" s="3"/>
      <c r="AB604" s="3"/>
      <c r="AC604" s="3"/>
      <c r="AH604" s="3"/>
    </row>
    <row r="605" spans="5:34" s="1" customFormat="1">
      <c r="E605" s="3"/>
      <c r="F605" s="3"/>
      <c r="G605" s="3"/>
      <c r="J605" s="3"/>
      <c r="K605" s="3"/>
      <c r="L605" s="3"/>
      <c r="O605" s="3"/>
      <c r="P605" s="3"/>
      <c r="Q605" s="3"/>
      <c r="T605" s="3"/>
      <c r="U605" s="3"/>
      <c r="V605" s="3"/>
      <c r="Y605" s="3"/>
      <c r="Z605" s="3"/>
      <c r="AA605" s="3"/>
      <c r="AB605" s="3"/>
      <c r="AC605" s="3"/>
      <c r="AH605" s="3"/>
    </row>
    <row r="606" spans="5:34" s="1" customFormat="1">
      <c r="E606" s="3"/>
      <c r="F606" s="3"/>
      <c r="G606" s="3"/>
      <c r="J606" s="3"/>
      <c r="K606" s="3"/>
      <c r="L606" s="3"/>
      <c r="O606" s="3"/>
      <c r="P606" s="3"/>
      <c r="Q606" s="3"/>
      <c r="T606" s="3"/>
      <c r="U606" s="3"/>
      <c r="V606" s="3"/>
      <c r="Y606" s="3"/>
      <c r="Z606" s="3"/>
      <c r="AA606" s="3"/>
      <c r="AB606" s="3"/>
      <c r="AC606" s="3"/>
      <c r="AH606" s="3"/>
    </row>
    <row r="607" spans="5:34" s="1" customFormat="1">
      <c r="E607" s="3"/>
      <c r="F607" s="3"/>
      <c r="G607" s="3"/>
      <c r="J607" s="3"/>
      <c r="K607" s="3"/>
      <c r="L607" s="3"/>
      <c r="O607" s="3"/>
      <c r="P607" s="3"/>
      <c r="Q607" s="3"/>
      <c r="T607" s="3"/>
      <c r="U607" s="3"/>
      <c r="V607" s="3"/>
      <c r="Y607" s="3"/>
      <c r="Z607" s="3"/>
      <c r="AA607" s="3"/>
      <c r="AB607" s="3"/>
      <c r="AC607" s="3"/>
      <c r="AH607" s="3"/>
    </row>
    <row r="608" spans="5:34" s="1" customFormat="1">
      <c r="E608" s="3"/>
      <c r="F608" s="3"/>
      <c r="G608" s="3"/>
      <c r="J608" s="3"/>
      <c r="K608" s="3"/>
      <c r="L608" s="3"/>
      <c r="O608" s="3"/>
      <c r="P608" s="3"/>
      <c r="Q608" s="3"/>
      <c r="T608" s="3"/>
      <c r="U608" s="3"/>
      <c r="V608" s="3"/>
      <c r="Y608" s="3"/>
      <c r="Z608" s="3"/>
      <c r="AA608" s="3"/>
      <c r="AB608" s="3"/>
      <c r="AC608" s="3"/>
      <c r="AH608" s="3"/>
    </row>
    <row r="609" spans="5:34" s="1" customFormat="1">
      <c r="E609" s="3"/>
      <c r="F609" s="3"/>
      <c r="G609" s="3"/>
      <c r="J609" s="3"/>
      <c r="K609" s="3"/>
      <c r="L609" s="3"/>
      <c r="O609" s="3"/>
      <c r="P609" s="3"/>
      <c r="Q609" s="3"/>
      <c r="T609" s="3"/>
      <c r="U609" s="3"/>
      <c r="V609" s="3"/>
      <c r="Y609" s="3"/>
      <c r="Z609" s="3"/>
      <c r="AA609" s="3"/>
      <c r="AB609" s="3"/>
      <c r="AC609" s="3"/>
      <c r="AH609" s="3"/>
    </row>
    <row r="610" spans="5:34" s="1" customFormat="1">
      <c r="E610" s="3"/>
      <c r="F610" s="3"/>
      <c r="G610" s="3"/>
      <c r="J610" s="3"/>
      <c r="K610" s="3"/>
      <c r="L610" s="3"/>
      <c r="O610" s="3"/>
      <c r="P610" s="3"/>
      <c r="Q610" s="3"/>
      <c r="T610" s="3"/>
      <c r="U610" s="3"/>
      <c r="V610" s="3"/>
      <c r="Y610" s="3"/>
      <c r="Z610" s="3"/>
      <c r="AA610" s="3"/>
      <c r="AB610" s="3"/>
      <c r="AC610" s="3"/>
      <c r="AH610" s="3"/>
    </row>
    <row r="611" spans="5:34" s="1" customFormat="1">
      <c r="E611" s="3"/>
      <c r="F611" s="3"/>
      <c r="G611" s="3"/>
      <c r="J611" s="3"/>
      <c r="K611" s="3"/>
      <c r="L611" s="3"/>
      <c r="O611" s="3"/>
      <c r="P611" s="3"/>
      <c r="Q611" s="3"/>
      <c r="T611" s="3"/>
      <c r="U611" s="3"/>
      <c r="V611" s="3"/>
      <c r="Y611" s="3"/>
      <c r="Z611" s="3"/>
      <c r="AA611" s="3"/>
      <c r="AB611" s="3"/>
      <c r="AC611" s="3"/>
      <c r="AH611" s="3"/>
    </row>
    <row r="612" spans="5:34" s="1" customFormat="1">
      <c r="E612" s="3"/>
      <c r="F612" s="3"/>
      <c r="G612" s="3"/>
      <c r="J612" s="3"/>
      <c r="K612" s="3"/>
      <c r="L612" s="3"/>
      <c r="O612" s="3"/>
      <c r="P612" s="3"/>
      <c r="Q612" s="3"/>
      <c r="T612" s="3"/>
      <c r="U612" s="3"/>
      <c r="V612" s="3"/>
      <c r="Y612" s="3"/>
      <c r="Z612" s="3"/>
      <c r="AA612" s="3"/>
      <c r="AB612" s="3"/>
      <c r="AC612" s="3"/>
      <c r="AH612" s="3"/>
    </row>
    <row r="613" spans="5:34" s="1" customFormat="1">
      <c r="E613" s="3"/>
      <c r="F613" s="3"/>
      <c r="G613" s="3"/>
      <c r="J613" s="3"/>
      <c r="K613" s="3"/>
      <c r="L613" s="3"/>
      <c r="O613" s="3"/>
      <c r="P613" s="3"/>
      <c r="Q613" s="3"/>
      <c r="T613" s="3"/>
      <c r="U613" s="3"/>
      <c r="V613" s="3"/>
      <c r="Y613" s="3"/>
      <c r="Z613" s="3"/>
      <c r="AA613" s="3"/>
      <c r="AB613" s="3"/>
      <c r="AC613" s="3"/>
      <c r="AH613" s="3"/>
    </row>
    <row r="614" spans="5:34" s="1" customFormat="1">
      <c r="E614" s="3"/>
      <c r="F614" s="3"/>
      <c r="G614" s="3"/>
      <c r="J614" s="3"/>
      <c r="K614" s="3"/>
      <c r="L614" s="3"/>
      <c r="O614" s="3"/>
      <c r="P614" s="3"/>
      <c r="Q614" s="3"/>
      <c r="T614" s="3"/>
      <c r="U614" s="3"/>
      <c r="V614" s="3"/>
      <c r="Y614" s="3"/>
      <c r="Z614" s="3"/>
      <c r="AA614" s="3"/>
      <c r="AB614" s="3"/>
      <c r="AC614" s="3"/>
      <c r="AH614" s="3"/>
    </row>
    <row r="615" spans="5:34" s="1" customFormat="1">
      <c r="E615" s="3"/>
      <c r="F615" s="3"/>
      <c r="G615" s="3"/>
      <c r="J615" s="3"/>
      <c r="K615" s="3"/>
      <c r="L615" s="3"/>
      <c r="O615" s="3"/>
      <c r="P615" s="3"/>
      <c r="Q615" s="3"/>
      <c r="T615" s="3"/>
      <c r="U615" s="3"/>
      <c r="V615" s="3"/>
      <c r="Y615" s="3"/>
      <c r="Z615" s="3"/>
      <c r="AA615" s="3"/>
      <c r="AB615" s="3"/>
      <c r="AC615" s="3"/>
      <c r="AH615" s="3"/>
    </row>
    <row r="616" spans="5:34" s="1" customFormat="1">
      <c r="E616" s="3"/>
      <c r="F616" s="3"/>
      <c r="G616" s="3"/>
      <c r="J616" s="3"/>
      <c r="K616" s="3"/>
      <c r="L616" s="3"/>
      <c r="O616" s="3"/>
      <c r="P616" s="3"/>
      <c r="Q616" s="3"/>
      <c r="T616" s="3"/>
      <c r="U616" s="3"/>
      <c r="V616" s="3"/>
      <c r="Y616" s="3"/>
      <c r="Z616" s="3"/>
      <c r="AA616" s="3"/>
      <c r="AB616" s="3"/>
      <c r="AC616" s="3"/>
      <c r="AH616" s="3"/>
    </row>
    <row r="617" spans="5:34" s="1" customFormat="1">
      <c r="E617" s="3"/>
      <c r="F617" s="3"/>
      <c r="G617" s="3"/>
      <c r="J617" s="3"/>
      <c r="K617" s="3"/>
      <c r="L617" s="3"/>
      <c r="O617" s="3"/>
      <c r="P617" s="3"/>
      <c r="Q617" s="3"/>
      <c r="T617" s="3"/>
      <c r="U617" s="3"/>
      <c r="V617" s="3"/>
      <c r="Y617" s="3"/>
      <c r="Z617" s="3"/>
      <c r="AA617" s="3"/>
      <c r="AB617" s="3"/>
      <c r="AC617" s="3"/>
      <c r="AH617" s="3"/>
    </row>
    <row r="618" spans="5:34" s="1" customFormat="1">
      <c r="E618" s="3"/>
      <c r="F618" s="3"/>
      <c r="G618" s="3"/>
      <c r="J618" s="3"/>
      <c r="K618" s="3"/>
      <c r="L618" s="3"/>
      <c r="O618" s="3"/>
      <c r="P618" s="3"/>
      <c r="Q618" s="3"/>
      <c r="T618" s="3"/>
      <c r="U618" s="3"/>
      <c r="V618" s="3"/>
      <c r="Y618" s="3"/>
      <c r="Z618" s="3"/>
      <c r="AA618" s="3"/>
      <c r="AB618" s="3"/>
      <c r="AC618" s="3"/>
      <c r="AH618" s="3"/>
    </row>
    <row r="619" spans="5:34" s="1" customFormat="1">
      <c r="E619" s="3"/>
      <c r="F619" s="3"/>
      <c r="G619" s="3"/>
      <c r="J619" s="3"/>
      <c r="K619" s="3"/>
      <c r="L619" s="3"/>
      <c r="O619" s="3"/>
      <c r="P619" s="3"/>
      <c r="Q619" s="3"/>
      <c r="T619" s="3"/>
      <c r="U619" s="3"/>
      <c r="V619" s="3"/>
      <c r="Y619" s="3"/>
      <c r="Z619" s="3"/>
      <c r="AA619" s="3"/>
      <c r="AB619" s="3"/>
      <c r="AC619" s="3"/>
      <c r="AH619" s="3"/>
    </row>
    <row r="620" spans="5:34" s="1" customFormat="1">
      <c r="E620" s="3"/>
      <c r="F620" s="3"/>
      <c r="G620" s="3"/>
      <c r="J620" s="3"/>
      <c r="K620" s="3"/>
      <c r="L620" s="3"/>
      <c r="O620" s="3"/>
      <c r="P620" s="3"/>
      <c r="Q620" s="3"/>
      <c r="T620" s="3"/>
      <c r="U620" s="3"/>
      <c r="V620" s="3"/>
      <c r="Y620" s="3"/>
      <c r="Z620" s="3"/>
      <c r="AA620" s="3"/>
      <c r="AB620" s="3"/>
      <c r="AC620" s="3"/>
      <c r="AH620" s="3"/>
    </row>
    <row r="621" spans="5:34" s="1" customFormat="1">
      <c r="E621" s="3"/>
      <c r="F621" s="3"/>
      <c r="G621" s="3"/>
      <c r="J621" s="3"/>
      <c r="K621" s="3"/>
      <c r="L621" s="3"/>
      <c r="O621" s="3"/>
      <c r="P621" s="3"/>
      <c r="Q621" s="3"/>
      <c r="T621" s="3"/>
      <c r="U621" s="3"/>
      <c r="V621" s="3"/>
      <c r="Y621" s="3"/>
      <c r="Z621" s="3"/>
      <c r="AA621" s="3"/>
      <c r="AB621" s="3"/>
      <c r="AC621" s="3"/>
      <c r="AH621" s="3"/>
    </row>
    <row r="622" spans="5:34" s="1" customFormat="1">
      <c r="E622" s="3"/>
      <c r="F622" s="3"/>
      <c r="G622" s="3"/>
      <c r="J622" s="3"/>
      <c r="K622" s="3"/>
      <c r="L622" s="3"/>
      <c r="O622" s="3"/>
      <c r="P622" s="3"/>
      <c r="Q622" s="3"/>
      <c r="T622" s="3"/>
      <c r="U622" s="3"/>
      <c r="V622" s="3"/>
      <c r="Y622" s="3"/>
      <c r="Z622" s="3"/>
      <c r="AA622" s="3"/>
      <c r="AB622" s="3"/>
      <c r="AC622" s="3"/>
      <c r="AH622" s="3"/>
    </row>
    <row r="623" spans="5:34" s="1" customFormat="1">
      <c r="E623" s="3"/>
      <c r="F623" s="3"/>
      <c r="G623" s="3"/>
      <c r="J623" s="3"/>
      <c r="K623" s="3"/>
      <c r="L623" s="3"/>
      <c r="O623" s="3"/>
      <c r="P623" s="3"/>
      <c r="Q623" s="3"/>
      <c r="T623" s="3"/>
      <c r="U623" s="3"/>
      <c r="V623" s="3"/>
      <c r="Y623" s="3"/>
      <c r="Z623" s="3"/>
      <c r="AA623" s="3"/>
      <c r="AB623" s="3"/>
      <c r="AC623" s="3"/>
      <c r="AH623" s="3"/>
    </row>
    <row r="624" spans="5:34" s="1" customFormat="1">
      <c r="E624" s="3"/>
      <c r="F624" s="3"/>
      <c r="G624" s="3"/>
      <c r="J624" s="3"/>
      <c r="K624" s="3"/>
      <c r="L624" s="3"/>
      <c r="O624" s="3"/>
      <c r="P624" s="3"/>
      <c r="Q624" s="3"/>
      <c r="T624" s="3"/>
      <c r="U624" s="3"/>
      <c r="V624" s="3"/>
      <c r="Y624" s="3"/>
      <c r="Z624" s="3"/>
      <c r="AA624" s="3"/>
      <c r="AB624" s="3"/>
      <c r="AC624" s="3"/>
      <c r="AH624" s="3"/>
    </row>
    <row r="625" spans="5:34" s="1" customFormat="1">
      <c r="E625" s="3"/>
      <c r="F625" s="3"/>
      <c r="G625" s="3"/>
      <c r="J625" s="3"/>
      <c r="K625" s="3"/>
      <c r="L625" s="3"/>
      <c r="O625" s="3"/>
      <c r="P625" s="3"/>
      <c r="Q625" s="3"/>
      <c r="T625" s="3"/>
      <c r="U625" s="3"/>
      <c r="V625" s="3"/>
      <c r="Y625" s="3"/>
      <c r="Z625" s="3"/>
      <c r="AA625" s="3"/>
      <c r="AB625" s="3"/>
      <c r="AC625" s="3"/>
      <c r="AH625" s="3"/>
    </row>
    <row r="626" spans="5:34" s="1" customFormat="1">
      <c r="E626" s="3"/>
      <c r="F626" s="3"/>
      <c r="G626" s="3"/>
      <c r="J626" s="3"/>
      <c r="K626" s="3"/>
      <c r="L626" s="3"/>
      <c r="O626" s="3"/>
      <c r="P626" s="3"/>
      <c r="Q626" s="3"/>
      <c r="T626" s="3"/>
      <c r="U626" s="3"/>
      <c r="V626" s="3"/>
      <c r="Y626" s="3"/>
      <c r="Z626" s="3"/>
      <c r="AA626" s="3"/>
      <c r="AB626" s="3"/>
      <c r="AC626" s="3"/>
      <c r="AH626" s="3"/>
    </row>
    <row r="627" spans="5:34" s="1" customFormat="1">
      <c r="E627" s="3"/>
      <c r="F627" s="3"/>
      <c r="G627" s="3"/>
      <c r="J627" s="3"/>
      <c r="K627" s="3"/>
      <c r="L627" s="3"/>
      <c r="O627" s="3"/>
      <c r="P627" s="3"/>
      <c r="Q627" s="3"/>
      <c r="T627" s="3"/>
      <c r="U627" s="3"/>
      <c r="V627" s="3"/>
      <c r="Y627" s="3"/>
      <c r="Z627" s="3"/>
      <c r="AA627" s="3"/>
      <c r="AB627" s="3"/>
      <c r="AC627" s="3"/>
      <c r="AH627" s="3"/>
    </row>
    <row r="628" spans="5:34" s="1" customFormat="1">
      <c r="E628" s="3"/>
      <c r="F628" s="3"/>
      <c r="G628" s="3"/>
      <c r="J628" s="3"/>
      <c r="K628" s="3"/>
      <c r="L628" s="3"/>
      <c r="O628" s="3"/>
      <c r="P628" s="3"/>
      <c r="Q628" s="3"/>
      <c r="T628" s="3"/>
      <c r="U628" s="3"/>
      <c r="V628" s="3"/>
      <c r="Y628" s="3"/>
      <c r="Z628" s="3"/>
      <c r="AA628" s="3"/>
      <c r="AB628" s="3"/>
      <c r="AC628" s="3"/>
      <c r="AH628" s="3"/>
    </row>
    <row r="629" spans="5:34" s="1" customFormat="1">
      <c r="E629" s="3"/>
      <c r="F629" s="3"/>
      <c r="G629" s="3"/>
      <c r="J629" s="3"/>
      <c r="K629" s="3"/>
      <c r="L629" s="3"/>
      <c r="O629" s="3"/>
      <c r="P629" s="3"/>
      <c r="Q629" s="3"/>
      <c r="T629" s="3"/>
      <c r="U629" s="3"/>
      <c r="V629" s="3"/>
      <c r="Y629" s="3"/>
      <c r="Z629" s="3"/>
      <c r="AA629" s="3"/>
      <c r="AB629" s="3"/>
      <c r="AC629" s="3"/>
      <c r="AH629" s="3"/>
    </row>
    <row r="630" spans="5:34" s="1" customFormat="1">
      <c r="E630" s="3"/>
      <c r="F630" s="3"/>
      <c r="G630" s="3"/>
      <c r="J630" s="3"/>
      <c r="K630" s="3"/>
      <c r="L630" s="3"/>
      <c r="O630" s="3"/>
      <c r="P630" s="3"/>
      <c r="Q630" s="3"/>
      <c r="T630" s="3"/>
      <c r="U630" s="3"/>
      <c r="V630" s="3"/>
      <c r="Y630" s="3"/>
      <c r="Z630" s="3"/>
      <c r="AA630" s="3"/>
      <c r="AB630" s="3"/>
      <c r="AC630" s="3"/>
      <c r="AH630" s="3"/>
    </row>
    <row r="631" spans="5:34" s="1" customFormat="1">
      <c r="E631" s="3"/>
      <c r="F631" s="3"/>
      <c r="G631" s="3"/>
      <c r="J631" s="3"/>
      <c r="K631" s="3"/>
      <c r="L631" s="3"/>
      <c r="O631" s="3"/>
      <c r="P631" s="3"/>
      <c r="Q631" s="3"/>
      <c r="T631" s="3"/>
      <c r="U631" s="3"/>
      <c r="V631" s="3"/>
      <c r="Y631" s="3"/>
      <c r="Z631" s="3"/>
      <c r="AA631" s="3"/>
      <c r="AB631" s="3"/>
      <c r="AC631" s="3"/>
      <c r="AH631" s="3"/>
    </row>
    <row r="632" spans="5:34" s="1" customFormat="1">
      <c r="E632" s="3"/>
      <c r="F632" s="3"/>
      <c r="G632" s="3"/>
      <c r="J632" s="3"/>
      <c r="K632" s="3"/>
      <c r="L632" s="3"/>
      <c r="O632" s="3"/>
      <c r="P632" s="3"/>
      <c r="Q632" s="3"/>
      <c r="T632" s="3"/>
      <c r="U632" s="3"/>
      <c r="V632" s="3"/>
      <c r="Y632" s="3"/>
      <c r="Z632" s="3"/>
      <c r="AA632" s="3"/>
      <c r="AB632" s="3"/>
      <c r="AC632" s="3"/>
      <c r="AH632" s="3"/>
    </row>
    <row r="633" spans="5:34" s="1" customFormat="1">
      <c r="E633" s="3"/>
      <c r="F633" s="3"/>
      <c r="G633" s="3"/>
      <c r="J633" s="3"/>
      <c r="K633" s="3"/>
      <c r="L633" s="3"/>
      <c r="O633" s="3"/>
      <c r="P633" s="3"/>
      <c r="Q633" s="3"/>
      <c r="T633" s="3"/>
      <c r="U633" s="3"/>
      <c r="V633" s="3"/>
      <c r="Y633" s="3"/>
      <c r="Z633" s="3"/>
      <c r="AA633" s="3"/>
      <c r="AB633" s="3"/>
      <c r="AC633" s="3"/>
      <c r="AH633" s="3"/>
    </row>
    <row r="634" spans="5:34" s="1" customFormat="1">
      <c r="E634" s="3"/>
      <c r="F634" s="3"/>
      <c r="G634" s="3"/>
      <c r="J634" s="3"/>
      <c r="K634" s="3"/>
      <c r="L634" s="3"/>
      <c r="O634" s="3"/>
      <c r="P634" s="3"/>
      <c r="Q634" s="3"/>
      <c r="T634" s="3"/>
      <c r="U634" s="3"/>
      <c r="V634" s="3"/>
      <c r="Y634" s="3"/>
      <c r="Z634" s="3"/>
      <c r="AA634" s="3"/>
      <c r="AB634" s="3"/>
      <c r="AC634" s="3"/>
      <c r="AH634" s="3"/>
    </row>
    <row r="635" spans="5:34" s="1" customFormat="1">
      <c r="E635" s="3"/>
      <c r="F635" s="3"/>
      <c r="G635" s="3"/>
      <c r="J635" s="3"/>
      <c r="K635" s="3"/>
      <c r="L635" s="3"/>
      <c r="O635" s="3"/>
      <c r="P635" s="3"/>
      <c r="Q635" s="3"/>
      <c r="T635" s="3"/>
      <c r="U635" s="3"/>
      <c r="V635" s="3"/>
      <c r="Y635" s="3"/>
      <c r="Z635" s="3"/>
      <c r="AA635" s="3"/>
      <c r="AB635" s="3"/>
      <c r="AC635" s="3"/>
      <c r="AH635" s="3"/>
    </row>
    <row r="636" spans="5:34" s="1" customFormat="1">
      <c r="E636" s="3"/>
      <c r="F636" s="3"/>
      <c r="G636" s="3"/>
      <c r="J636" s="3"/>
      <c r="K636" s="3"/>
      <c r="L636" s="3"/>
      <c r="O636" s="3"/>
      <c r="P636" s="3"/>
      <c r="Q636" s="3"/>
      <c r="T636" s="3"/>
      <c r="U636" s="3"/>
      <c r="V636" s="3"/>
      <c r="Y636" s="3"/>
      <c r="Z636" s="3"/>
      <c r="AA636" s="3"/>
      <c r="AB636" s="3"/>
      <c r="AC636" s="3"/>
      <c r="AH636" s="3"/>
    </row>
    <row r="637" spans="5:34" s="1" customFormat="1">
      <c r="E637" s="3"/>
      <c r="F637" s="3"/>
      <c r="G637" s="3"/>
      <c r="J637" s="3"/>
      <c r="K637" s="3"/>
      <c r="L637" s="3"/>
      <c r="O637" s="3"/>
      <c r="P637" s="3"/>
      <c r="Q637" s="3"/>
      <c r="T637" s="3"/>
      <c r="U637" s="3"/>
      <c r="V637" s="3"/>
      <c r="Y637" s="3"/>
      <c r="Z637" s="3"/>
      <c r="AA637" s="3"/>
      <c r="AB637" s="3"/>
      <c r="AC637" s="3"/>
      <c r="AH637" s="3"/>
    </row>
    <row r="638" spans="5:34" s="1" customFormat="1">
      <c r="E638" s="3"/>
      <c r="F638" s="3"/>
      <c r="G638" s="3"/>
      <c r="J638" s="3"/>
      <c r="K638" s="3"/>
      <c r="L638" s="3"/>
      <c r="O638" s="3"/>
      <c r="P638" s="3"/>
      <c r="Q638" s="3"/>
      <c r="T638" s="3"/>
      <c r="U638" s="3"/>
      <c r="V638" s="3"/>
      <c r="Y638" s="3"/>
      <c r="Z638" s="3"/>
      <c r="AA638" s="3"/>
      <c r="AB638" s="3"/>
      <c r="AC638" s="3"/>
      <c r="AH638" s="3"/>
    </row>
    <row r="639" spans="5:34" s="1" customFormat="1">
      <c r="E639" s="3"/>
      <c r="F639" s="3"/>
      <c r="G639" s="3"/>
      <c r="J639" s="3"/>
      <c r="K639" s="3"/>
      <c r="L639" s="3"/>
      <c r="O639" s="3"/>
      <c r="P639" s="3"/>
      <c r="Q639" s="3"/>
      <c r="T639" s="3"/>
      <c r="U639" s="3"/>
      <c r="V639" s="3"/>
      <c r="Y639" s="3"/>
      <c r="Z639" s="3"/>
      <c r="AA639" s="3"/>
      <c r="AB639" s="3"/>
      <c r="AC639" s="3"/>
      <c r="AH639" s="3"/>
    </row>
    <row r="640" spans="5:34" s="1" customFormat="1">
      <c r="E640" s="3"/>
      <c r="F640" s="3"/>
      <c r="G640" s="3"/>
      <c r="J640" s="3"/>
      <c r="K640" s="3"/>
      <c r="L640" s="3"/>
      <c r="O640" s="3"/>
      <c r="P640" s="3"/>
      <c r="Q640" s="3"/>
      <c r="T640" s="3"/>
      <c r="U640" s="3"/>
      <c r="V640" s="3"/>
      <c r="Y640" s="3"/>
      <c r="Z640" s="3"/>
      <c r="AA640" s="3"/>
      <c r="AB640" s="3"/>
      <c r="AC640" s="3"/>
      <c r="AH640" s="3"/>
    </row>
    <row r="641" spans="5:34" s="1" customFormat="1">
      <c r="E641" s="3"/>
      <c r="F641" s="3"/>
      <c r="G641" s="3"/>
      <c r="J641" s="3"/>
      <c r="K641" s="3"/>
      <c r="L641" s="3"/>
      <c r="O641" s="3"/>
      <c r="P641" s="3"/>
      <c r="Q641" s="3"/>
      <c r="T641" s="3"/>
      <c r="U641" s="3"/>
      <c r="V641" s="3"/>
      <c r="Y641" s="3"/>
      <c r="Z641" s="3"/>
      <c r="AA641" s="3"/>
      <c r="AB641" s="3"/>
      <c r="AC641" s="3"/>
      <c r="AH641" s="3"/>
    </row>
    <row r="642" spans="5:34" s="1" customFormat="1">
      <c r="E642" s="3"/>
      <c r="F642" s="3"/>
      <c r="G642" s="3"/>
      <c r="J642" s="3"/>
      <c r="K642" s="3"/>
      <c r="L642" s="3"/>
      <c r="O642" s="3"/>
      <c r="P642" s="3"/>
      <c r="Q642" s="3"/>
      <c r="T642" s="3"/>
      <c r="U642" s="3"/>
      <c r="V642" s="3"/>
      <c r="Y642" s="3"/>
      <c r="Z642" s="3"/>
      <c r="AA642" s="3"/>
      <c r="AB642" s="3"/>
      <c r="AC642" s="3"/>
      <c r="AH642" s="3"/>
    </row>
    <row r="643" spans="5:34" s="1" customFormat="1">
      <c r="E643" s="3"/>
      <c r="F643" s="3"/>
      <c r="G643" s="3"/>
      <c r="J643" s="3"/>
      <c r="K643" s="3"/>
      <c r="L643" s="3"/>
      <c r="O643" s="3"/>
      <c r="P643" s="3"/>
      <c r="Q643" s="3"/>
      <c r="T643" s="3"/>
      <c r="U643" s="3"/>
      <c r="V643" s="3"/>
      <c r="Y643" s="3"/>
      <c r="Z643" s="3"/>
      <c r="AA643" s="3"/>
      <c r="AB643" s="3"/>
      <c r="AC643" s="3"/>
      <c r="AH643" s="3"/>
    </row>
    <row r="644" spans="5:34" s="1" customFormat="1">
      <c r="E644" s="3"/>
      <c r="F644" s="3"/>
      <c r="G644" s="3"/>
      <c r="J644" s="3"/>
      <c r="K644" s="3"/>
      <c r="L644" s="3"/>
      <c r="O644" s="3"/>
      <c r="P644" s="3"/>
      <c r="Q644" s="3"/>
      <c r="T644" s="3"/>
      <c r="U644" s="3"/>
      <c r="V644" s="3"/>
      <c r="Y644" s="3"/>
      <c r="Z644" s="3"/>
      <c r="AA644" s="3"/>
      <c r="AB644" s="3"/>
      <c r="AC644" s="3"/>
      <c r="AH644" s="3"/>
    </row>
    <row r="645" spans="5:34" s="1" customFormat="1">
      <c r="E645" s="3"/>
      <c r="F645" s="3"/>
      <c r="G645" s="3"/>
      <c r="J645" s="3"/>
      <c r="K645" s="3"/>
      <c r="L645" s="3"/>
      <c r="O645" s="3"/>
      <c r="P645" s="3"/>
      <c r="Q645" s="3"/>
      <c r="T645" s="3"/>
      <c r="U645" s="3"/>
      <c r="V645" s="3"/>
      <c r="Y645" s="3"/>
      <c r="Z645" s="3"/>
      <c r="AA645" s="3"/>
      <c r="AB645" s="3"/>
      <c r="AC645" s="3"/>
      <c r="AH645" s="3"/>
    </row>
    <row r="646" spans="5:34" s="1" customFormat="1">
      <c r="E646" s="3"/>
      <c r="F646" s="3"/>
      <c r="G646" s="3"/>
      <c r="J646" s="3"/>
      <c r="K646" s="3"/>
      <c r="L646" s="3"/>
      <c r="O646" s="3"/>
      <c r="P646" s="3"/>
      <c r="Q646" s="3"/>
      <c r="T646" s="3"/>
      <c r="U646" s="3"/>
      <c r="V646" s="3"/>
      <c r="Y646" s="3"/>
      <c r="Z646" s="3"/>
      <c r="AA646" s="3"/>
      <c r="AB646" s="3"/>
      <c r="AC646" s="3"/>
      <c r="AH646" s="3"/>
    </row>
    <row r="647" spans="5:34" s="1" customFormat="1">
      <c r="E647" s="3"/>
      <c r="F647" s="3"/>
      <c r="G647" s="3"/>
      <c r="J647" s="3"/>
      <c r="K647" s="3"/>
      <c r="L647" s="3"/>
      <c r="O647" s="3"/>
      <c r="P647" s="3"/>
      <c r="Q647" s="3"/>
      <c r="T647" s="3"/>
      <c r="U647" s="3"/>
      <c r="V647" s="3"/>
      <c r="Y647" s="3"/>
      <c r="Z647" s="3"/>
      <c r="AA647" s="3"/>
      <c r="AB647" s="3"/>
      <c r="AC647" s="3"/>
      <c r="AH647" s="3"/>
    </row>
    <row r="648" spans="5:34" s="1" customFormat="1">
      <c r="E648" s="3"/>
      <c r="F648" s="3"/>
      <c r="G648" s="3"/>
      <c r="J648" s="3"/>
      <c r="K648" s="3"/>
      <c r="L648" s="3"/>
      <c r="O648" s="3"/>
      <c r="P648" s="3"/>
      <c r="Q648" s="3"/>
      <c r="T648" s="3"/>
      <c r="U648" s="3"/>
      <c r="V648" s="3"/>
      <c r="Y648" s="3"/>
      <c r="Z648" s="3"/>
      <c r="AA648" s="3"/>
      <c r="AB648" s="3"/>
      <c r="AC648" s="3"/>
      <c r="AH648" s="3"/>
    </row>
    <row r="649" spans="5:34" s="1" customFormat="1">
      <c r="E649" s="3"/>
      <c r="F649" s="3"/>
      <c r="G649" s="3"/>
      <c r="J649" s="3"/>
      <c r="K649" s="3"/>
      <c r="L649" s="3"/>
      <c r="O649" s="3"/>
      <c r="P649" s="3"/>
      <c r="Q649" s="3"/>
      <c r="T649" s="3"/>
      <c r="U649" s="3"/>
      <c r="V649" s="3"/>
      <c r="Y649" s="3"/>
      <c r="Z649" s="3"/>
      <c r="AA649" s="3"/>
      <c r="AB649" s="3"/>
      <c r="AC649" s="3"/>
      <c r="AH649" s="3"/>
    </row>
    <row r="650" spans="5:34" s="1" customFormat="1">
      <c r="E650" s="3"/>
      <c r="F650" s="3"/>
      <c r="G650" s="3"/>
      <c r="J650" s="3"/>
      <c r="K650" s="3"/>
      <c r="L650" s="3"/>
      <c r="O650" s="3"/>
      <c r="P650" s="3"/>
      <c r="Q650" s="3"/>
      <c r="T650" s="3"/>
      <c r="U650" s="3"/>
      <c r="V650" s="3"/>
      <c r="Y650" s="3"/>
      <c r="Z650" s="3"/>
      <c r="AA650" s="3"/>
      <c r="AB650" s="3"/>
      <c r="AC650" s="3"/>
      <c r="AH650" s="3"/>
    </row>
    <row r="651" spans="5:34" s="1" customFormat="1">
      <c r="E651" s="3"/>
      <c r="F651" s="3"/>
      <c r="G651" s="3"/>
      <c r="J651" s="3"/>
      <c r="K651" s="3"/>
      <c r="L651" s="3"/>
      <c r="O651" s="3"/>
      <c r="P651" s="3"/>
      <c r="Q651" s="3"/>
      <c r="T651" s="3"/>
      <c r="U651" s="3"/>
      <c r="V651" s="3"/>
      <c r="Y651" s="3"/>
      <c r="Z651" s="3"/>
      <c r="AA651" s="3"/>
      <c r="AB651" s="3"/>
      <c r="AC651" s="3"/>
      <c r="AH651" s="3"/>
    </row>
    <row r="652" spans="5:34" s="1" customFormat="1">
      <c r="E652" s="3"/>
      <c r="F652" s="3"/>
      <c r="G652" s="3"/>
      <c r="J652" s="3"/>
      <c r="K652" s="3"/>
      <c r="L652" s="3"/>
      <c r="O652" s="3"/>
      <c r="P652" s="3"/>
      <c r="Q652" s="3"/>
      <c r="T652" s="3"/>
      <c r="U652" s="3"/>
      <c r="V652" s="3"/>
      <c r="Y652" s="3"/>
      <c r="Z652" s="3"/>
      <c r="AA652" s="3"/>
      <c r="AB652" s="3"/>
      <c r="AC652" s="3"/>
      <c r="AH652" s="3"/>
    </row>
    <row r="653" spans="5:34" s="1" customFormat="1">
      <c r="E653" s="3"/>
      <c r="F653" s="3"/>
      <c r="G653" s="3"/>
      <c r="J653" s="3"/>
      <c r="K653" s="3"/>
      <c r="L653" s="3"/>
      <c r="O653" s="3"/>
      <c r="P653" s="3"/>
      <c r="Q653" s="3"/>
      <c r="T653" s="3"/>
      <c r="U653" s="3"/>
      <c r="V653" s="3"/>
      <c r="Y653" s="3"/>
      <c r="Z653" s="3"/>
      <c r="AA653" s="3"/>
      <c r="AB653" s="3"/>
      <c r="AC653" s="3"/>
      <c r="AH653" s="3"/>
    </row>
    <row r="654" spans="5:34" s="1" customFormat="1">
      <c r="E654" s="3"/>
      <c r="F654" s="3"/>
      <c r="G654" s="3"/>
      <c r="J654" s="3"/>
      <c r="K654" s="3"/>
      <c r="L654" s="3"/>
      <c r="O654" s="3"/>
      <c r="P654" s="3"/>
      <c r="Q654" s="3"/>
      <c r="T654" s="3"/>
      <c r="U654" s="3"/>
      <c r="V654" s="3"/>
      <c r="Y654" s="3"/>
      <c r="Z654" s="3"/>
      <c r="AA654" s="3"/>
      <c r="AB654" s="3"/>
      <c r="AC654" s="3"/>
      <c r="AH654" s="3"/>
    </row>
    <row r="655" spans="5:34" s="1" customFormat="1">
      <c r="E655" s="3"/>
      <c r="F655" s="3"/>
      <c r="G655" s="3"/>
      <c r="J655" s="3"/>
      <c r="K655" s="3"/>
      <c r="L655" s="3"/>
      <c r="O655" s="3"/>
      <c r="P655" s="3"/>
      <c r="Q655" s="3"/>
      <c r="T655" s="3"/>
      <c r="U655" s="3"/>
      <c r="V655" s="3"/>
      <c r="Y655" s="3"/>
      <c r="Z655" s="3"/>
      <c r="AA655" s="3"/>
      <c r="AB655" s="3"/>
      <c r="AC655" s="3"/>
      <c r="AH655" s="3"/>
    </row>
    <row r="656" spans="5:34" s="1" customFormat="1">
      <c r="E656" s="3"/>
      <c r="F656" s="3"/>
      <c r="G656" s="3"/>
      <c r="J656" s="3"/>
      <c r="K656" s="3"/>
      <c r="L656" s="3"/>
      <c r="O656" s="3"/>
      <c r="P656" s="3"/>
      <c r="Q656" s="3"/>
      <c r="T656" s="3"/>
      <c r="U656" s="3"/>
      <c r="V656" s="3"/>
      <c r="Y656" s="3"/>
      <c r="Z656" s="3"/>
      <c r="AA656" s="3"/>
      <c r="AB656" s="3"/>
      <c r="AC656" s="3"/>
      <c r="AH656" s="3"/>
    </row>
    <row r="657" spans="5:34" s="1" customFormat="1">
      <c r="E657" s="3"/>
      <c r="F657" s="3"/>
      <c r="G657" s="3"/>
      <c r="J657" s="3"/>
      <c r="K657" s="3"/>
      <c r="L657" s="3"/>
      <c r="O657" s="3"/>
      <c r="P657" s="3"/>
      <c r="Q657" s="3"/>
      <c r="T657" s="3"/>
      <c r="U657" s="3"/>
      <c r="V657" s="3"/>
      <c r="Y657" s="3"/>
      <c r="Z657" s="3"/>
      <c r="AA657" s="3"/>
      <c r="AB657" s="3"/>
      <c r="AC657" s="3"/>
      <c r="AH657" s="3"/>
    </row>
    <row r="658" spans="5:34" s="1" customFormat="1">
      <c r="E658" s="3"/>
      <c r="F658" s="3"/>
      <c r="G658" s="3"/>
      <c r="J658" s="3"/>
      <c r="K658" s="3"/>
      <c r="L658" s="3"/>
      <c r="O658" s="3"/>
      <c r="P658" s="3"/>
      <c r="Q658" s="3"/>
      <c r="T658" s="3"/>
      <c r="U658" s="3"/>
      <c r="V658" s="3"/>
      <c r="Y658" s="3"/>
      <c r="Z658" s="3"/>
      <c r="AA658" s="3"/>
      <c r="AB658" s="3"/>
      <c r="AC658" s="3"/>
      <c r="AH658" s="3"/>
    </row>
    <row r="659" spans="5:34" s="1" customFormat="1">
      <c r="E659" s="3"/>
      <c r="F659" s="3"/>
      <c r="G659" s="3"/>
      <c r="J659" s="3"/>
      <c r="K659" s="3"/>
      <c r="L659" s="3"/>
      <c r="O659" s="3"/>
      <c r="P659" s="3"/>
      <c r="Q659" s="3"/>
      <c r="T659" s="3"/>
      <c r="U659" s="3"/>
      <c r="V659" s="3"/>
      <c r="Y659" s="3"/>
      <c r="Z659" s="3"/>
      <c r="AA659" s="3"/>
      <c r="AB659" s="3"/>
      <c r="AC659" s="3"/>
      <c r="AH659" s="3"/>
    </row>
    <row r="660" spans="5:34" s="1" customFormat="1">
      <c r="E660" s="3"/>
      <c r="F660" s="3"/>
      <c r="G660" s="3"/>
      <c r="J660" s="3"/>
      <c r="K660" s="3"/>
      <c r="L660" s="3"/>
      <c r="O660" s="3"/>
      <c r="P660" s="3"/>
      <c r="Q660" s="3"/>
      <c r="T660" s="3"/>
      <c r="U660" s="3"/>
      <c r="V660" s="3"/>
      <c r="Y660" s="3"/>
      <c r="Z660" s="3"/>
      <c r="AA660" s="3"/>
      <c r="AB660" s="3"/>
      <c r="AC660" s="3"/>
      <c r="AH660" s="3"/>
    </row>
    <row r="661" spans="5:34" s="1" customFormat="1">
      <c r="E661" s="3"/>
      <c r="F661" s="3"/>
      <c r="G661" s="3"/>
      <c r="J661" s="3"/>
      <c r="K661" s="3"/>
      <c r="L661" s="3"/>
      <c r="O661" s="3"/>
      <c r="P661" s="3"/>
      <c r="Q661" s="3"/>
      <c r="T661" s="3"/>
      <c r="U661" s="3"/>
      <c r="V661" s="3"/>
      <c r="Y661" s="3"/>
      <c r="Z661" s="3"/>
      <c r="AA661" s="3"/>
      <c r="AB661" s="3"/>
      <c r="AC661" s="3"/>
      <c r="AH661" s="3"/>
    </row>
    <row r="662" spans="5:34" s="1" customFormat="1">
      <c r="E662" s="3"/>
      <c r="F662" s="3"/>
      <c r="G662" s="3"/>
      <c r="J662" s="3"/>
      <c r="K662" s="3"/>
      <c r="L662" s="3"/>
      <c r="O662" s="3"/>
      <c r="P662" s="3"/>
      <c r="Q662" s="3"/>
      <c r="T662" s="3"/>
      <c r="U662" s="3"/>
      <c r="V662" s="3"/>
      <c r="Y662" s="3"/>
      <c r="Z662" s="3"/>
      <c r="AA662" s="3"/>
      <c r="AB662" s="3"/>
      <c r="AC662" s="3"/>
      <c r="AH662" s="3"/>
    </row>
    <row r="663" spans="5:34" s="1" customFormat="1">
      <c r="E663" s="3"/>
      <c r="F663" s="3"/>
      <c r="G663" s="3"/>
      <c r="J663" s="3"/>
      <c r="K663" s="3"/>
      <c r="L663" s="3"/>
      <c r="O663" s="3"/>
      <c r="P663" s="3"/>
      <c r="Q663" s="3"/>
      <c r="T663" s="3"/>
      <c r="U663" s="3"/>
      <c r="V663" s="3"/>
      <c r="Y663" s="3"/>
      <c r="Z663" s="3"/>
      <c r="AA663" s="3"/>
      <c r="AB663" s="3"/>
      <c r="AC663" s="3"/>
      <c r="AH663" s="3"/>
    </row>
    <row r="664" spans="5:34" s="1" customFormat="1">
      <c r="E664" s="3"/>
      <c r="F664" s="3"/>
      <c r="G664" s="3"/>
      <c r="J664" s="3"/>
      <c r="K664" s="3"/>
      <c r="L664" s="3"/>
      <c r="O664" s="3"/>
      <c r="P664" s="3"/>
      <c r="Q664" s="3"/>
      <c r="T664" s="3"/>
      <c r="U664" s="3"/>
      <c r="V664" s="3"/>
      <c r="Y664" s="3"/>
      <c r="Z664" s="3"/>
      <c r="AA664" s="3"/>
      <c r="AB664" s="3"/>
      <c r="AC664" s="3"/>
      <c r="AH664" s="3"/>
    </row>
    <row r="665" spans="5:34" s="1" customFormat="1">
      <c r="E665" s="3"/>
      <c r="F665" s="3"/>
      <c r="G665" s="3"/>
      <c r="J665" s="3"/>
      <c r="K665" s="3"/>
      <c r="L665" s="3"/>
      <c r="O665" s="3"/>
      <c r="P665" s="3"/>
      <c r="Q665" s="3"/>
      <c r="T665" s="3"/>
      <c r="U665" s="3"/>
      <c r="V665" s="3"/>
      <c r="Y665" s="3"/>
      <c r="Z665" s="3"/>
      <c r="AA665" s="3"/>
      <c r="AB665" s="3"/>
      <c r="AC665" s="3"/>
      <c r="AH665" s="3"/>
    </row>
    <row r="666" spans="5:34" s="1" customFormat="1">
      <c r="E666" s="3"/>
      <c r="F666" s="3"/>
      <c r="G666" s="3"/>
      <c r="J666" s="3"/>
      <c r="K666" s="3"/>
      <c r="L666" s="3"/>
      <c r="O666" s="3"/>
      <c r="P666" s="3"/>
      <c r="Q666" s="3"/>
      <c r="T666" s="3"/>
      <c r="U666" s="3"/>
      <c r="V666" s="3"/>
      <c r="Y666" s="3"/>
      <c r="Z666" s="3"/>
      <c r="AA666" s="3"/>
      <c r="AB666" s="3"/>
      <c r="AC666" s="3"/>
      <c r="AH666" s="3"/>
    </row>
    <row r="667" spans="5:34" s="1" customFormat="1">
      <c r="E667" s="3"/>
      <c r="F667" s="3"/>
      <c r="G667" s="3"/>
      <c r="J667" s="3"/>
      <c r="K667" s="3"/>
      <c r="L667" s="3"/>
      <c r="O667" s="3"/>
      <c r="P667" s="3"/>
      <c r="Q667" s="3"/>
      <c r="T667" s="3"/>
      <c r="U667" s="3"/>
      <c r="V667" s="3"/>
      <c r="Y667" s="3"/>
      <c r="Z667" s="3"/>
      <c r="AA667" s="3"/>
      <c r="AB667" s="3"/>
      <c r="AC667" s="3"/>
      <c r="AH667" s="3"/>
    </row>
    <row r="668" spans="5:34" s="1" customFormat="1">
      <c r="E668" s="3"/>
      <c r="F668" s="3"/>
      <c r="G668" s="3"/>
      <c r="J668" s="3"/>
      <c r="K668" s="3"/>
      <c r="L668" s="3"/>
      <c r="O668" s="3"/>
      <c r="P668" s="3"/>
      <c r="Q668" s="3"/>
      <c r="T668" s="3"/>
      <c r="U668" s="3"/>
      <c r="V668" s="3"/>
      <c r="Y668" s="3"/>
      <c r="Z668" s="3"/>
      <c r="AA668" s="3"/>
      <c r="AB668" s="3"/>
      <c r="AC668" s="3"/>
      <c r="AH668" s="3"/>
    </row>
    <row r="669" spans="5:34" s="1" customFormat="1">
      <c r="E669" s="3"/>
      <c r="F669" s="3"/>
      <c r="G669" s="3"/>
      <c r="J669" s="3"/>
      <c r="K669" s="3"/>
      <c r="L669" s="3"/>
      <c r="O669" s="3"/>
      <c r="P669" s="3"/>
      <c r="Q669" s="3"/>
      <c r="T669" s="3"/>
      <c r="U669" s="3"/>
      <c r="V669" s="3"/>
      <c r="Y669" s="3"/>
      <c r="Z669" s="3"/>
      <c r="AA669" s="3"/>
      <c r="AB669" s="3"/>
      <c r="AC669" s="3"/>
      <c r="AH669" s="3"/>
    </row>
    <row r="670" spans="5:34" s="1" customFormat="1">
      <c r="E670" s="3"/>
      <c r="F670" s="3"/>
      <c r="G670" s="3"/>
      <c r="J670" s="3"/>
      <c r="K670" s="3"/>
      <c r="L670" s="3"/>
      <c r="O670" s="3"/>
      <c r="P670" s="3"/>
      <c r="Q670" s="3"/>
      <c r="T670" s="3"/>
      <c r="U670" s="3"/>
      <c r="V670" s="3"/>
      <c r="Y670" s="3"/>
      <c r="Z670" s="3"/>
      <c r="AA670" s="3"/>
      <c r="AB670" s="3"/>
      <c r="AC670" s="3"/>
      <c r="AH670" s="3"/>
    </row>
    <row r="671" spans="5:34" s="1" customFormat="1">
      <c r="E671" s="3"/>
      <c r="F671" s="3"/>
      <c r="G671" s="3"/>
      <c r="J671" s="3"/>
      <c r="K671" s="3"/>
      <c r="L671" s="3"/>
      <c r="O671" s="3"/>
      <c r="P671" s="3"/>
      <c r="Q671" s="3"/>
      <c r="T671" s="3"/>
      <c r="U671" s="3"/>
      <c r="V671" s="3"/>
      <c r="Y671" s="3"/>
      <c r="Z671" s="3"/>
      <c r="AA671" s="3"/>
      <c r="AB671" s="3"/>
      <c r="AC671" s="3"/>
      <c r="AH671" s="3"/>
    </row>
    <row r="672" spans="5:34" s="1" customFormat="1">
      <c r="E672" s="3"/>
      <c r="F672" s="3"/>
      <c r="G672" s="3"/>
      <c r="J672" s="3"/>
      <c r="K672" s="3"/>
      <c r="L672" s="3"/>
      <c r="O672" s="3"/>
      <c r="P672" s="3"/>
      <c r="Q672" s="3"/>
      <c r="T672" s="3"/>
      <c r="U672" s="3"/>
      <c r="V672" s="3"/>
      <c r="Y672" s="3"/>
      <c r="Z672" s="3"/>
      <c r="AA672" s="3"/>
      <c r="AB672" s="3"/>
      <c r="AC672" s="3"/>
      <c r="AH672" s="3"/>
    </row>
    <row r="673" spans="5:34" s="1" customFormat="1">
      <c r="E673" s="3"/>
      <c r="F673" s="3"/>
      <c r="G673" s="3"/>
      <c r="J673" s="3"/>
      <c r="K673" s="3"/>
      <c r="L673" s="3"/>
      <c r="O673" s="3"/>
      <c r="P673" s="3"/>
      <c r="Q673" s="3"/>
      <c r="T673" s="3"/>
      <c r="U673" s="3"/>
      <c r="V673" s="3"/>
      <c r="Y673" s="3"/>
      <c r="Z673" s="3"/>
      <c r="AA673" s="3"/>
      <c r="AB673" s="3"/>
      <c r="AC673" s="3"/>
      <c r="AH673" s="3"/>
    </row>
    <row r="674" spans="5:34" s="1" customFormat="1">
      <c r="E674" s="3"/>
      <c r="F674" s="3"/>
      <c r="G674" s="3"/>
      <c r="J674" s="3"/>
      <c r="K674" s="3"/>
      <c r="L674" s="3"/>
      <c r="O674" s="3"/>
      <c r="P674" s="3"/>
      <c r="Q674" s="3"/>
      <c r="T674" s="3"/>
      <c r="U674" s="3"/>
      <c r="V674" s="3"/>
      <c r="Y674" s="3"/>
      <c r="Z674" s="3"/>
      <c r="AA674" s="3"/>
      <c r="AB674" s="3"/>
      <c r="AC674" s="3"/>
      <c r="AH674" s="3"/>
    </row>
    <row r="675" spans="5:34" s="1" customFormat="1">
      <c r="E675" s="3"/>
      <c r="F675" s="3"/>
      <c r="G675" s="3"/>
      <c r="J675" s="3"/>
      <c r="K675" s="3"/>
      <c r="L675" s="3"/>
      <c r="O675" s="3"/>
      <c r="P675" s="3"/>
      <c r="Q675" s="3"/>
      <c r="T675" s="3"/>
      <c r="U675" s="3"/>
      <c r="V675" s="3"/>
      <c r="Y675" s="3"/>
      <c r="Z675" s="3"/>
      <c r="AA675" s="3"/>
      <c r="AB675" s="3"/>
      <c r="AC675" s="3"/>
      <c r="AH675" s="3"/>
    </row>
    <row r="676" spans="5:34" s="1" customFormat="1">
      <c r="E676" s="3"/>
      <c r="F676" s="3"/>
      <c r="G676" s="3"/>
      <c r="J676" s="3"/>
      <c r="K676" s="3"/>
      <c r="L676" s="3"/>
      <c r="O676" s="3"/>
      <c r="P676" s="3"/>
      <c r="Q676" s="3"/>
      <c r="T676" s="3"/>
      <c r="U676" s="3"/>
      <c r="V676" s="3"/>
      <c r="Y676" s="3"/>
      <c r="Z676" s="3"/>
      <c r="AA676" s="3"/>
      <c r="AB676" s="3"/>
      <c r="AC676" s="3"/>
      <c r="AH676" s="3"/>
    </row>
    <row r="677" spans="5:34" s="1" customFormat="1">
      <c r="E677" s="3"/>
      <c r="F677" s="3"/>
      <c r="G677" s="3"/>
      <c r="J677" s="3"/>
      <c r="K677" s="3"/>
      <c r="L677" s="3"/>
      <c r="O677" s="3"/>
      <c r="P677" s="3"/>
      <c r="Q677" s="3"/>
      <c r="T677" s="3"/>
      <c r="U677" s="3"/>
      <c r="V677" s="3"/>
      <c r="Y677" s="3"/>
      <c r="Z677" s="3"/>
      <c r="AA677" s="3"/>
      <c r="AB677" s="3"/>
      <c r="AC677" s="3"/>
      <c r="AH677" s="3"/>
    </row>
    <row r="678" spans="5:34" s="1" customFormat="1">
      <c r="E678" s="3"/>
      <c r="F678" s="3"/>
      <c r="G678" s="3"/>
      <c r="J678" s="3"/>
      <c r="K678" s="3"/>
      <c r="L678" s="3"/>
      <c r="O678" s="3"/>
      <c r="P678" s="3"/>
      <c r="Q678" s="3"/>
      <c r="T678" s="3"/>
      <c r="U678" s="3"/>
      <c r="V678" s="3"/>
      <c r="Y678" s="3"/>
      <c r="Z678" s="3"/>
      <c r="AA678" s="3"/>
      <c r="AB678" s="3"/>
      <c r="AC678" s="3"/>
      <c r="AH678" s="3"/>
    </row>
    <row r="679" spans="5:34" s="1" customFormat="1">
      <c r="E679" s="3"/>
      <c r="F679" s="3"/>
      <c r="G679" s="3"/>
      <c r="J679" s="3"/>
      <c r="K679" s="3"/>
      <c r="L679" s="3"/>
      <c r="O679" s="3"/>
      <c r="P679" s="3"/>
      <c r="Q679" s="3"/>
      <c r="T679" s="3"/>
      <c r="U679" s="3"/>
      <c r="V679" s="3"/>
      <c r="Y679" s="3"/>
      <c r="Z679" s="3"/>
      <c r="AA679" s="3"/>
      <c r="AB679" s="3"/>
      <c r="AC679" s="3"/>
      <c r="AH679" s="3"/>
    </row>
    <row r="680" spans="5:34" s="1" customFormat="1">
      <c r="E680" s="3"/>
      <c r="F680" s="3"/>
      <c r="G680" s="3"/>
      <c r="J680" s="3"/>
      <c r="K680" s="3"/>
      <c r="L680" s="3"/>
      <c r="O680" s="3"/>
      <c r="P680" s="3"/>
      <c r="Q680" s="3"/>
      <c r="T680" s="3"/>
      <c r="U680" s="3"/>
      <c r="V680" s="3"/>
      <c r="Y680" s="3"/>
      <c r="Z680" s="3"/>
      <c r="AA680" s="3"/>
      <c r="AB680" s="3"/>
      <c r="AC680" s="3"/>
      <c r="AH680" s="3"/>
    </row>
    <row r="681" spans="5:34" s="1" customFormat="1">
      <c r="E681" s="3"/>
      <c r="F681" s="3"/>
      <c r="G681" s="3"/>
      <c r="J681" s="3"/>
      <c r="K681" s="3"/>
      <c r="L681" s="3"/>
      <c r="O681" s="3"/>
      <c r="P681" s="3"/>
      <c r="Q681" s="3"/>
      <c r="T681" s="3"/>
      <c r="U681" s="3"/>
      <c r="V681" s="3"/>
      <c r="Y681" s="3"/>
      <c r="Z681" s="3"/>
      <c r="AA681" s="3"/>
      <c r="AB681" s="3"/>
      <c r="AC681" s="3"/>
      <c r="AH681" s="3"/>
    </row>
    <row r="682" spans="5:34" s="1" customFormat="1">
      <c r="E682" s="3"/>
      <c r="F682" s="3"/>
      <c r="G682" s="3"/>
      <c r="J682" s="3"/>
      <c r="K682" s="3"/>
      <c r="L682" s="3"/>
      <c r="O682" s="3"/>
      <c r="P682" s="3"/>
      <c r="Q682" s="3"/>
      <c r="T682" s="3"/>
      <c r="U682" s="3"/>
      <c r="V682" s="3"/>
      <c r="Y682" s="3"/>
      <c r="Z682" s="3"/>
      <c r="AA682" s="3"/>
      <c r="AB682" s="3"/>
      <c r="AC682" s="3"/>
      <c r="AH682" s="3"/>
    </row>
    <row r="683" spans="5:34" s="1" customFormat="1">
      <c r="E683" s="3"/>
      <c r="F683" s="3"/>
      <c r="G683" s="3"/>
      <c r="J683" s="3"/>
      <c r="K683" s="3"/>
      <c r="L683" s="3"/>
      <c r="O683" s="3"/>
      <c r="P683" s="3"/>
      <c r="Q683" s="3"/>
      <c r="T683" s="3"/>
      <c r="U683" s="3"/>
      <c r="V683" s="3"/>
      <c r="Y683" s="3"/>
      <c r="Z683" s="3"/>
      <c r="AA683" s="3"/>
      <c r="AB683" s="3"/>
      <c r="AC683" s="3"/>
      <c r="AH683" s="3"/>
    </row>
    <row r="684" spans="5:34" s="1" customFormat="1">
      <c r="E684" s="3"/>
      <c r="F684" s="3"/>
      <c r="G684" s="3"/>
      <c r="J684" s="3"/>
      <c r="K684" s="3"/>
      <c r="L684" s="3"/>
      <c r="O684" s="3"/>
      <c r="P684" s="3"/>
      <c r="Q684" s="3"/>
      <c r="T684" s="3"/>
      <c r="U684" s="3"/>
      <c r="V684" s="3"/>
      <c r="Y684" s="3"/>
      <c r="Z684" s="3"/>
      <c r="AA684" s="3"/>
      <c r="AB684" s="3"/>
      <c r="AC684" s="3"/>
      <c r="AH684" s="3"/>
    </row>
    <row r="685" spans="5:34" s="1" customFormat="1">
      <c r="E685" s="3"/>
      <c r="F685" s="3"/>
      <c r="G685" s="3"/>
      <c r="J685" s="3"/>
      <c r="K685" s="3"/>
      <c r="L685" s="3"/>
      <c r="O685" s="3"/>
      <c r="P685" s="3"/>
      <c r="Q685" s="3"/>
      <c r="T685" s="3"/>
      <c r="U685" s="3"/>
      <c r="V685" s="3"/>
      <c r="Y685" s="3"/>
      <c r="Z685" s="3"/>
      <c r="AA685" s="3"/>
      <c r="AB685" s="3"/>
      <c r="AC685" s="3"/>
      <c r="AH685" s="3"/>
    </row>
    <row r="686" spans="5:34" s="1" customFormat="1">
      <c r="E686" s="3"/>
      <c r="F686" s="3"/>
      <c r="G686" s="3"/>
      <c r="J686" s="3"/>
      <c r="K686" s="3"/>
      <c r="L686" s="3"/>
      <c r="O686" s="3"/>
      <c r="P686" s="3"/>
      <c r="Q686" s="3"/>
      <c r="T686" s="3"/>
      <c r="U686" s="3"/>
      <c r="V686" s="3"/>
      <c r="Y686" s="3"/>
      <c r="Z686" s="3"/>
      <c r="AA686" s="3"/>
      <c r="AB686" s="3"/>
      <c r="AC686" s="3"/>
      <c r="AH686" s="3"/>
    </row>
    <row r="687" spans="5:34" s="1" customFormat="1">
      <c r="E687" s="3"/>
      <c r="F687" s="3"/>
      <c r="G687" s="3"/>
      <c r="J687" s="3"/>
      <c r="K687" s="3"/>
      <c r="L687" s="3"/>
      <c r="O687" s="3"/>
      <c r="P687" s="3"/>
      <c r="Q687" s="3"/>
      <c r="T687" s="3"/>
      <c r="U687" s="3"/>
      <c r="V687" s="3"/>
      <c r="Y687" s="3"/>
      <c r="Z687" s="3"/>
      <c r="AA687" s="3"/>
      <c r="AB687" s="3"/>
      <c r="AC687" s="3"/>
      <c r="AH687" s="3"/>
    </row>
    <row r="688" spans="5:34" s="1" customFormat="1">
      <c r="E688" s="3"/>
      <c r="F688" s="3"/>
      <c r="G688" s="3"/>
      <c r="J688" s="3"/>
      <c r="K688" s="3"/>
      <c r="L688" s="3"/>
      <c r="O688" s="3"/>
      <c r="P688" s="3"/>
      <c r="Q688" s="3"/>
      <c r="T688" s="3"/>
      <c r="U688" s="3"/>
      <c r="V688" s="3"/>
      <c r="Y688" s="3"/>
      <c r="Z688" s="3"/>
      <c r="AA688" s="3"/>
      <c r="AB688" s="3"/>
      <c r="AC688" s="3"/>
      <c r="AH688" s="3"/>
    </row>
    <row r="689" spans="5:34" s="1" customFormat="1">
      <c r="E689" s="3"/>
      <c r="F689" s="3"/>
      <c r="G689" s="3"/>
      <c r="J689" s="3"/>
      <c r="K689" s="3"/>
      <c r="L689" s="3"/>
      <c r="O689" s="3"/>
      <c r="P689" s="3"/>
      <c r="Q689" s="3"/>
      <c r="T689" s="3"/>
      <c r="U689" s="3"/>
      <c r="V689" s="3"/>
      <c r="Y689" s="3"/>
      <c r="Z689" s="3"/>
      <c r="AA689" s="3"/>
      <c r="AB689" s="3"/>
      <c r="AC689" s="3"/>
      <c r="AH689" s="3"/>
    </row>
    <row r="690" spans="5:34" s="1" customFormat="1">
      <c r="E690" s="3"/>
      <c r="F690" s="3"/>
      <c r="G690" s="3"/>
      <c r="J690" s="3"/>
      <c r="K690" s="3"/>
      <c r="L690" s="3"/>
      <c r="O690" s="3"/>
      <c r="P690" s="3"/>
      <c r="Q690" s="3"/>
      <c r="T690" s="3"/>
      <c r="U690" s="3"/>
      <c r="V690" s="3"/>
      <c r="Y690" s="3"/>
      <c r="Z690" s="3"/>
      <c r="AA690" s="3"/>
      <c r="AB690" s="3"/>
      <c r="AC690" s="3"/>
      <c r="AH690" s="3"/>
    </row>
    <row r="691" spans="5:34" s="1" customFormat="1">
      <c r="E691" s="3"/>
      <c r="F691" s="3"/>
      <c r="G691" s="3"/>
      <c r="J691" s="3"/>
      <c r="K691" s="3"/>
      <c r="L691" s="3"/>
      <c r="O691" s="3"/>
      <c r="P691" s="3"/>
      <c r="Q691" s="3"/>
      <c r="T691" s="3"/>
      <c r="U691" s="3"/>
      <c r="V691" s="3"/>
      <c r="Y691" s="3"/>
      <c r="Z691" s="3"/>
      <c r="AA691" s="3"/>
      <c r="AB691" s="3"/>
      <c r="AC691" s="3"/>
      <c r="AH691" s="3"/>
    </row>
    <row r="692" spans="5:34" s="1" customFormat="1">
      <c r="E692" s="3"/>
      <c r="F692" s="3"/>
      <c r="G692" s="3"/>
      <c r="J692" s="3"/>
      <c r="K692" s="3"/>
      <c r="L692" s="3"/>
      <c r="O692" s="3"/>
      <c r="P692" s="3"/>
      <c r="Q692" s="3"/>
      <c r="T692" s="3"/>
      <c r="U692" s="3"/>
      <c r="V692" s="3"/>
      <c r="Y692" s="3"/>
      <c r="Z692" s="3"/>
      <c r="AA692" s="3"/>
      <c r="AB692" s="3"/>
      <c r="AC692" s="3"/>
      <c r="AH692" s="3"/>
    </row>
    <row r="693" spans="5:34" s="1" customFormat="1">
      <c r="E693" s="3"/>
      <c r="F693" s="3"/>
      <c r="G693" s="3"/>
      <c r="J693" s="3"/>
      <c r="K693" s="3"/>
      <c r="L693" s="3"/>
      <c r="O693" s="3"/>
      <c r="P693" s="3"/>
      <c r="Q693" s="3"/>
      <c r="T693" s="3"/>
      <c r="U693" s="3"/>
      <c r="V693" s="3"/>
      <c r="Y693" s="3"/>
      <c r="Z693" s="3"/>
      <c r="AA693" s="3"/>
      <c r="AB693" s="3"/>
      <c r="AC693" s="3"/>
      <c r="AH693" s="3"/>
    </row>
    <row r="694" spans="5:34" s="1" customFormat="1">
      <c r="E694" s="3"/>
      <c r="F694" s="3"/>
      <c r="G694" s="3"/>
      <c r="J694" s="3"/>
      <c r="K694" s="3"/>
      <c r="L694" s="3"/>
      <c r="O694" s="3"/>
      <c r="P694" s="3"/>
      <c r="Q694" s="3"/>
      <c r="T694" s="3"/>
      <c r="U694" s="3"/>
      <c r="V694" s="3"/>
      <c r="Y694" s="3"/>
      <c r="Z694" s="3"/>
      <c r="AA694" s="3"/>
      <c r="AB694" s="3"/>
      <c r="AC694" s="3"/>
      <c r="AH694" s="3"/>
    </row>
    <row r="695" spans="5:34" s="1" customFormat="1">
      <c r="E695" s="3"/>
      <c r="F695" s="3"/>
      <c r="G695" s="3"/>
      <c r="J695" s="3"/>
      <c r="K695" s="3"/>
      <c r="L695" s="3"/>
      <c r="O695" s="3"/>
      <c r="P695" s="3"/>
      <c r="Q695" s="3"/>
      <c r="T695" s="3"/>
      <c r="U695" s="3"/>
      <c r="V695" s="3"/>
      <c r="Y695" s="3"/>
      <c r="Z695" s="3"/>
      <c r="AA695" s="3"/>
      <c r="AB695" s="3"/>
      <c r="AC695" s="3"/>
      <c r="AH695" s="3"/>
    </row>
    <row r="696" spans="5:34" s="1" customFormat="1">
      <c r="E696" s="3"/>
      <c r="F696" s="3"/>
      <c r="G696" s="3"/>
      <c r="J696" s="3"/>
      <c r="K696" s="3"/>
      <c r="L696" s="3"/>
      <c r="O696" s="3"/>
      <c r="P696" s="3"/>
      <c r="Q696" s="3"/>
      <c r="T696" s="3"/>
      <c r="U696" s="3"/>
      <c r="V696" s="3"/>
      <c r="Y696" s="3"/>
      <c r="Z696" s="3"/>
      <c r="AA696" s="3"/>
      <c r="AB696" s="3"/>
      <c r="AC696" s="3"/>
      <c r="AH696" s="3"/>
    </row>
    <row r="697" spans="5:34" s="1" customFormat="1">
      <c r="E697" s="3"/>
      <c r="F697" s="3"/>
      <c r="G697" s="3"/>
      <c r="J697" s="3"/>
      <c r="K697" s="3"/>
      <c r="L697" s="3"/>
      <c r="O697" s="3"/>
      <c r="P697" s="3"/>
      <c r="Q697" s="3"/>
      <c r="T697" s="3"/>
      <c r="U697" s="3"/>
      <c r="V697" s="3"/>
      <c r="Y697" s="3"/>
      <c r="Z697" s="3"/>
      <c r="AA697" s="3"/>
      <c r="AB697" s="3"/>
      <c r="AC697" s="3"/>
      <c r="AH697" s="3"/>
    </row>
    <row r="698" spans="5:34" s="1" customFormat="1">
      <c r="E698" s="3"/>
      <c r="F698" s="3"/>
      <c r="G698" s="3"/>
      <c r="J698" s="3"/>
      <c r="K698" s="3"/>
      <c r="L698" s="3"/>
      <c r="O698" s="3"/>
      <c r="P698" s="3"/>
      <c r="Q698" s="3"/>
      <c r="T698" s="3"/>
      <c r="U698" s="3"/>
      <c r="V698" s="3"/>
      <c r="Y698" s="3"/>
      <c r="Z698" s="3"/>
      <c r="AA698" s="3"/>
      <c r="AB698" s="3"/>
      <c r="AC698" s="3"/>
      <c r="AH698" s="3"/>
    </row>
    <row r="699" spans="5:34" s="1" customFormat="1">
      <c r="E699" s="3"/>
      <c r="F699" s="3"/>
      <c r="G699" s="3"/>
      <c r="J699" s="3"/>
      <c r="K699" s="3"/>
      <c r="L699" s="3"/>
      <c r="O699" s="3"/>
      <c r="P699" s="3"/>
      <c r="Q699" s="3"/>
      <c r="T699" s="3"/>
      <c r="U699" s="3"/>
      <c r="V699" s="3"/>
      <c r="Y699" s="3"/>
      <c r="Z699" s="3"/>
      <c r="AA699" s="3"/>
      <c r="AB699" s="3"/>
      <c r="AC699" s="3"/>
      <c r="AH699" s="3"/>
    </row>
    <row r="700" spans="5:34" s="1" customFormat="1">
      <c r="E700" s="3"/>
      <c r="F700" s="3"/>
      <c r="G700" s="3"/>
      <c r="J700" s="3"/>
      <c r="K700" s="3"/>
      <c r="L700" s="3"/>
      <c r="O700" s="3"/>
      <c r="P700" s="3"/>
      <c r="Q700" s="3"/>
      <c r="T700" s="3"/>
      <c r="U700" s="3"/>
      <c r="V700" s="3"/>
      <c r="Y700" s="3"/>
      <c r="Z700" s="3"/>
      <c r="AA700" s="3"/>
      <c r="AB700" s="3"/>
      <c r="AC700" s="3"/>
      <c r="AH700" s="3"/>
    </row>
    <row r="701" spans="5:34" s="1" customFormat="1">
      <c r="E701" s="3"/>
      <c r="F701" s="3"/>
      <c r="G701" s="3"/>
      <c r="J701" s="3"/>
      <c r="K701" s="3"/>
      <c r="L701" s="3"/>
      <c r="O701" s="3"/>
      <c r="P701" s="3"/>
      <c r="Q701" s="3"/>
      <c r="T701" s="3"/>
      <c r="U701" s="3"/>
      <c r="V701" s="3"/>
      <c r="Y701" s="3"/>
      <c r="Z701" s="3"/>
      <c r="AA701" s="3"/>
      <c r="AB701" s="3"/>
      <c r="AC701" s="3"/>
      <c r="AH701" s="3"/>
    </row>
    <row r="702" spans="5:34" s="1" customFormat="1">
      <c r="E702" s="3"/>
      <c r="F702" s="3"/>
      <c r="G702" s="3"/>
      <c r="J702" s="3"/>
      <c r="K702" s="3"/>
      <c r="L702" s="3"/>
      <c r="O702" s="3"/>
      <c r="P702" s="3"/>
      <c r="Q702" s="3"/>
      <c r="T702" s="3"/>
      <c r="U702" s="3"/>
      <c r="V702" s="3"/>
      <c r="Y702" s="3"/>
      <c r="Z702" s="3"/>
      <c r="AA702" s="3"/>
      <c r="AB702" s="3"/>
      <c r="AC702" s="3"/>
      <c r="AH702" s="3"/>
    </row>
    <row r="703" spans="5:34" s="1" customFormat="1">
      <c r="E703" s="3"/>
      <c r="F703" s="3"/>
      <c r="G703" s="3"/>
      <c r="J703" s="3"/>
      <c r="K703" s="3"/>
      <c r="L703" s="3"/>
      <c r="O703" s="3"/>
      <c r="P703" s="3"/>
      <c r="Q703" s="3"/>
      <c r="T703" s="3"/>
      <c r="U703" s="3"/>
      <c r="V703" s="3"/>
      <c r="Y703" s="3"/>
      <c r="Z703" s="3"/>
      <c r="AA703" s="3"/>
      <c r="AB703" s="3"/>
      <c r="AC703" s="3"/>
      <c r="AH703" s="3"/>
    </row>
    <row r="704" spans="5:34" s="1" customFormat="1">
      <c r="E704" s="3"/>
      <c r="F704" s="3"/>
      <c r="G704" s="3"/>
      <c r="J704" s="3"/>
      <c r="K704" s="3"/>
      <c r="L704" s="3"/>
      <c r="O704" s="3"/>
      <c r="P704" s="3"/>
      <c r="Q704" s="3"/>
      <c r="T704" s="3"/>
      <c r="U704" s="3"/>
      <c r="V704" s="3"/>
      <c r="Y704" s="3"/>
      <c r="Z704" s="3"/>
      <c r="AA704" s="3"/>
      <c r="AB704" s="3"/>
      <c r="AC704" s="3"/>
      <c r="AH704" s="3"/>
    </row>
    <row r="705" spans="5:34" s="1" customFormat="1">
      <c r="E705" s="3"/>
      <c r="F705" s="3"/>
      <c r="G705" s="3"/>
      <c r="J705" s="3"/>
      <c r="K705" s="3"/>
      <c r="L705" s="3"/>
      <c r="O705" s="3"/>
      <c r="P705" s="3"/>
      <c r="Q705" s="3"/>
      <c r="T705" s="3"/>
      <c r="U705" s="3"/>
      <c r="V705" s="3"/>
      <c r="Y705" s="3"/>
      <c r="Z705" s="3"/>
      <c r="AA705" s="3"/>
      <c r="AB705" s="3"/>
      <c r="AC705" s="3"/>
      <c r="AH705" s="3"/>
    </row>
    <row r="706" spans="5:34" s="1" customFormat="1">
      <c r="E706" s="3"/>
      <c r="F706" s="3"/>
      <c r="G706" s="3"/>
      <c r="J706" s="3"/>
      <c r="K706" s="3"/>
      <c r="L706" s="3"/>
      <c r="O706" s="3"/>
      <c r="P706" s="3"/>
      <c r="Q706" s="3"/>
      <c r="T706" s="3"/>
      <c r="U706" s="3"/>
      <c r="V706" s="3"/>
      <c r="Y706" s="3"/>
      <c r="Z706" s="3"/>
      <c r="AA706" s="3"/>
      <c r="AB706" s="3"/>
      <c r="AC706" s="3"/>
      <c r="AH706" s="3"/>
    </row>
    <row r="707" spans="5:34" s="1" customFormat="1">
      <c r="E707" s="3"/>
      <c r="F707" s="3"/>
      <c r="G707" s="3"/>
      <c r="J707" s="3"/>
      <c r="K707" s="3"/>
      <c r="L707" s="3"/>
      <c r="O707" s="3"/>
      <c r="P707" s="3"/>
      <c r="Q707" s="3"/>
      <c r="T707" s="3"/>
      <c r="U707" s="3"/>
      <c r="V707" s="3"/>
      <c r="Y707" s="3"/>
      <c r="Z707" s="3"/>
      <c r="AA707" s="3"/>
      <c r="AB707" s="3"/>
      <c r="AC707" s="3"/>
      <c r="AH707" s="3"/>
    </row>
    <row r="708" spans="5:34" s="1" customFormat="1">
      <c r="E708" s="3"/>
      <c r="F708" s="3"/>
      <c r="G708" s="3"/>
      <c r="J708" s="3"/>
      <c r="K708" s="3"/>
      <c r="L708" s="3"/>
      <c r="O708" s="3"/>
      <c r="P708" s="3"/>
      <c r="Q708" s="3"/>
      <c r="T708" s="3"/>
      <c r="U708" s="3"/>
      <c r="V708" s="3"/>
      <c r="Y708" s="3"/>
      <c r="Z708" s="3"/>
      <c r="AA708" s="3"/>
      <c r="AB708" s="3"/>
      <c r="AC708" s="3"/>
      <c r="AH708" s="3"/>
    </row>
    <row r="709" spans="5:34" s="1" customFormat="1">
      <c r="E709" s="3"/>
      <c r="F709" s="3"/>
      <c r="G709" s="3"/>
      <c r="J709" s="3"/>
      <c r="K709" s="3"/>
      <c r="L709" s="3"/>
      <c r="O709" s="3"/>
      <c r="P709" s="3"/>
      <c r="Q709" s="3"/>
      <c r="T709" s="3"/>
      <c r="U709" s="3"/>
      <c r="V709" s="3"/>
      <c r="Y709" s="3"/>
      <c r="Z709" s="3"/>
      <c r="AA709" s="3"/>
      <c r="AB709" s="3"/>
      <c r="AC709" s="3"/>
      <c r="AH709" s="3"/>
    </row>
    <row r="710" spans="5:34" s="1" customFormat="1">
      <c r="E710" s="3"/>
      <c r="F710" s="3"/>
      <c r="G710" s="3"/>
      <c r="J710" s="3"/>
      <c r="K710" s="3"/>
      <c r="L710" s="3"/>
      <c r="O710" s="3"/>
      <c r="P710" s="3"/>
      <c r="Q710" s="3"/>
      <c r="T710" s="3"/>
      <c r="U710" s="3"/>
      <c r="V710" s="3"/>
      <c r="Y710" s="3"/>
      <c r="Z710" s="3"/>
      <c r="AA710" s="3"/>
      <c r="AB710" s="3"/>
      <c r="AC710" s="3"/>
      <c r="AH710" s="3"/>
    </row>
    <row r="711" spans="5:34" s="1" customFormat="1">
      <c r="E711" s="3"/>
      <c r="F711" s="3"/>
      <c r="G711" s="3"/>
      <c r="J711" s="3"/>
      <c r="K711" s="3"/>
      <c r="L711" s="3"/>
      <c r="O711" s="3"/>
      <c r="P711" s="3"/>
      <c r="Q711" s="3"/>
      <c r="T711" s="3"/>
      <c r="U711" s="3"/>
      <c r="V711" s="3"/>
      <c r="Y711" s="3"/>
      <c r="Z711" s="3"/>
      <c r="AA711" s="3"/>
      <c r="AB711" s="3"/>
      <c r="AC711" s="3"/>
      <c r="AH711" s="3"/>
    </row>
    <row r="712" spans="5:34" s="1" customFormat="1">
      <c r="E712" s="3"/>
      <c r="F712" s="3"/>
      <c r="G712" s="3"/>
      <c r="J712" s="3"/>
      <c r="K712" s="3"/>
      <c r="L712" s="3"/>
      <c r="O712" s="3"/>
      <c r="P712" s="3"/>
      <c r="Q712" s="3"/>
      <c r="T712" s="3"/>
      <c r="U712" s="3"/>
      <c r="V712" s="3"/>
      <c r="Y712" s="3"/>
      <c r="Z712" s="3"/>
      <c r="AA712" s="3"/>
      <c r="AB712" s="3"/>
      <c r="AC712" s="3"/>
      <c r="AH712" s="3"/>
    </row>
    <row r="713" spans="5:34" s="1" customFormat="1">
      <c r="E713" s="3"/>
      <c r="F713" s="3"/>
      <c r="G713" s="3"/>
      <c r="J713" s="3"/>
      <c r="K713" s="3"/>
      <c r="L713" s="3"/>
      <c r="O713" s="3"/>
      <c r="P713" s="3"/>
      <c r="Q713" s="3"/>
      <c r="T713" s="3"/>
      <c r="U713" s="3"/>
      <c r="V713" s="3"/>
      <c r="Y713" s="3"/>
      <c r="Z713" s="3"/>
      <c r="AA713" s="3"/>
      <c r="AB713" s="3"/>
      <c r="AC713" s="3"/>
      <c r="AH713" s="3"/>
    </row>
    <row r="714" spans="5:34" s="1" customFormat="1">
      <c r="E714" s="3"/>
      <c r="F714" s="3"/>
      <c r="G714" s="3"/>
      <c r="J714" s="3"/>
      <c r="K714" s="3"/>
      <c r="L714" s="3"/>
      <c r="O714" s="3"/>
      <c r="P714" s="3"/>
      <c r="Q714" s="3"/>
      <c r="T714" s="3"/>
      <c r="U714" s="3"/>
      <c r="V714" s="3"/>
      <c r="Y714" s="3"/>
      <c r="Z714" s="3"/>
      <c r="AA714" s="3"/>
      <c r="AB714" s="3"/>
      <c r="AC714" s="3"/>
      <c r="AH714" s="3"/>
    </row>
    <row r="715" spans="5:34" s="1" customFormat="1">
      <c r="E715" s="3"/>
      <c r="F715" s="3"/>
      <c r="G715" s="3"/>
      <c r="J715" s="3"/>
      <c r="K715" s="3"/>
      <c r="L715" s="3"/>
      <c r="O715" s="3"/>
      <c r="P715" s="3"/>
      <c r="Q715" s="3"/>
      <c r="T715" s="3"/>
      <c r="U715" s="3"/>
      <c r="V715" s="3"/>
      <c r="Y715" s="3"/>
      <c r="Z715" s="3"/>
      <c r="AA715" s="3"/>
      <c r="AB715" s="3"/>
      <c r="AC715" s="3"/>
      <c r="AH715" s="3"/>
    </row>
    <row r="716" spans="5:34" s="1" customFormat="1">
      <c r="E716" s="3"/>
      <c r="F716" s="3"/>
      <c r="G716" s="3"/>
      <c r="J716" s="3"/>
      <c r="K716" s="3"/>
      <c r="L716" s="3"/>
      <c r="O716" s="3"/>
      <c r="P716" s="3"/>
      <c r="Q716" s="3"/>
      <c r="T716" s="3"/>
      <c r="U716" s="3"/>
      <c r="V716" s="3"/>
      <c r="Y716" s="3"/>
      <c r="Z716" s="3"/>
      <c r="AA716" s="3"/>
      <c r="AB716" s="3"/>
      <c r="AC716" s="3"/>
      <c r="AH716" s="3"/>
    </row>
    <row r="717" spans="5:34" s="1" customFormat="1">
      <c r="E717" s="3"/>
      <c r="F717" s="3"/>
      <c r="G717" s="3"/>
      <c r="J717" s="3"/>
      <c r="K717" s="3"/>
      <c r="L717" s="3"/>
      <c r="O717" s="3"/>
      <c r="P717" s="3"/>
      <c r="Q717" s="3"/>
      <c r="T717" s="3"/>
      <c r="U717" s="3"/>
      <c r="V717" s="3"/>
      <c r="Y717" s="3"/>
      <c r="Z717" s="3"/>
      <c r="AA717" s="3"/>
      <c r="AB717" s="3"/>
      <c r="AC717" s="3"/>
      <c r="AH717" s="3"/>
    </row>
    <row r="718" spans="5:34" s="1" customFormat="1">
      <c r="E718" s="3"/>
      <c r="F718" s="3"/>
      <c r="G718" s="3"/>
      <c r="J718" s="3"/>
      <c r="K718" s="3"/>
      <c r="L718" s="3"/>
      <c r="O718" s="3"/>
      <c r="P718" s="3"/>
      <c r="Q718" s="3"/>
      <c r="T718" s="3"/>
      <c r="U718" s="3"/>
      <c r="V718" s="3"/>
      <c r="Y718" s="3"/>
      <c r="Z718" s="3"/>
      <c r="AA718" s="3"/>
      <c r="AB718" s="3"/>
      <c r="AC718" s="3"/>
      <c r="AH718" s="3"/>
    </row>
    <row r="719" spans="5:34" s="1" customFormat="1">
      <c r="E719" s="3"/>
      <c r="F719" s="3"/>
      <c r="G719" s="3"/>
      <c r="J719" s="3"/>
      <c r="K719" s="3"/>
      <c r="L719" s="3"/>
      <c r="O719" s="3"/>
      <c r="P719" s="3"/>
      <c r="Q719" s="3"/>
      <c r="T719" s="3"/>
      <c r="U719" s="3"/>
      <c r="V719" s="3"/>
      <c r="Y719" s="3"/>
      <c r="Z719" s="3"/>
      <c r="AA719" s="3"/>
      <c r="AB719" s="3"/>
      <c r="AC719" s="3"/>
      <c r="AH719" s="3"/>
    </row>
    <row r="720" spans="5:34" s="1" customFormat="1">
      <c r="E720" s="3"/>
      <c r="F720" s="3"/>
      <c r="G720" s="3"/>
      <c r="J720" s="3"/>
      <c r="K720" s="3"/>
      <c r="L720" s="3"/>
      <c r="O720" s="3"/>
      <c r="P720" s="3"/>
      <c r="Q720" s="3"/>
      <c r="T720" s="3"/>
      <c r="U720" s="3"/>
      <c r="V720" s="3"/>
      <c r="Y720" s="3"/>
      <c r="Z720" s="3"/>
      <c r="AA720" s="3"/>
      <c r="AB720" s="3"/>
      <c r="AC720" s="3"/>
      <c r="AH720" s="3"/>
    </row>
    <row r="721" spans="5:34" s="1" customFormat="1">
      <c r="E721" s="3"/>
      <c r="F721" s="3"/>
      <c r="G721" s="3"/>
      <c r="J721" s="3"/>
      <c r="K721" s="3"/>
      <c r="L721" s="3"/>
      <c r="O721" s="3"/>
      <c r="P721" s="3"/>
      <c r="Q721" s="3"/>
      <c r="T721" s="3"/>
      <c r="U721" s="3"/>
      <c r="V721" s="3"/>
      <c r="Y721" s="3"/>
      <c r="Z721" s="3"/>
      <c r="AA721" s="3"/>
      <c r="AB721" s="3"/>
      <c r="AC721" s="3"/>
      <c r="AH721" s="3"/>
    </row>
    <row r="722" spans="5:34" s="1" customFormat="1">
      <c r="E722" s="3"/>
      <c r="F722" s="3"/>
      <c r="G722" s="3"/>
      <c r="J722" s="3"/>
      <c r="K722" s="3"/>
      <c r="L722" s="3"/>
      <c r="O722" s="3"/>
      <c r="P722" s="3"/>
      <c r="Q722" s="3"/>
      <c r="T722" s="3"/>
      <c r="U722" s="3"/>
      <c r="V722" s="3"/>
      <c r="Y722" s="3"/>
      <c r="Z722" s="3"/>
      <c r="AA722" s="3"/>
      <c r="AB722" s="3"/>
      <c r="AC722" s="3"/>
      <c r="AH722" s="3"/>
    </row>
    <row r="723" spans="5:34" s="1" customFormat="1">
      <c r="E723" s="3"/>
      <c r="F723" s="3"/>
      <c r="G723" s="3"/>
      <c r="J723" s="3"/>
      <c r="K723" s="3"/>
      <c r="L723" s="3"/>
      <c r="O723" s="3"/>
      <c r="P723" s="3"/>
      <c r="Q723" s="3"/>
      <c r="T723" s="3"/>
      <c r="U723" s="3"/>
      <c r="V723" s="3"/>
      <c r="Y723" s="3"/>
      <c r="Z723" s="3"/>
      <c r="AA723" s="3"/>
      <c r="AB723" s="3"/>
      <c r="AC723" s="3"/>
      <c r="AH723" s="3"/>
    </row>
    <row r="724" spans="5:34" s="1" customFormat="1">
      <c r="E724" s="3"/>
      <c r="F724" s="3"/>
      <c r="G724" s="3"/>
      <c r="J724" s="3"/>
      <c r="K724" s="3"/>
      <c r="L724" s="3"/>
      <c r="O724" s="3"/>
      <c r="P724" s="3"/>
      <c r="Q724" s="3"/>
      <c r="T724" s="3"/>
      <c r="U724" s="3"/>
      <c r="V724" s="3"/>
      <c r="Y724" s="3"/>
      <c r="Z724" s="3"/>
      <c r="AA724" s="3"/>
      <c r="AB724" s="3"/>
      <c r="AC724" s="3"/>
      <c r="AH724" s="3"/>
    </row>
    <row r="725" spans="5:34" s="1" customFormat="1">
      <c r="E725" s="3"/>
      <c r="F725" s="3"/>
      <c r="G725" s="3"/>
      <c r="J725" s="3"/>
      <c r="K725" s="3"/>
      <c r="L725" s="3"/>
      <c r="O725" s="3"/>
      <c r="P725" s="3"/>
      <c r="Q725" s="3"/>
      <c r="T725" s="3"/>
      <c r="U725" s="3"/>
      <c r="V725" s="3"/>
      <c r="Y725" s="3"/>
      <c r="Z725" s="3"/>
      <c r="AA725" s="3"/>
      <c r="AB725" s="3"/>
      <c r="AC725" s="3"/>
      <c r="AH725" s="3"/>
    </row>
    <row r="726" spans="5:34" s="1" customFormat="1">
      <c r="E726" s="3"/>
      <c r="F726" s="3"/>
      <c r="G726" s="3"/>
      <c r="J726" s="3"/>
      <c r="K726" s="3"/>
      <c r="L726" s="3"/>
      <c r="O726" s="3"/>
      <c r="P726" s="3"/>
      <c r="Q726" s="3"/>
      <c r="T726" s="3"/>
      <c r="U726" s="3"/>
      <c r="V726" s="3"/>
      <c r="Y726" s="3"/>
      <c r="Z726" s="3"/>
      <c r="AA726" s="3"/>
      <c r="AB726" s="3"/>
      <c r="AC726" s="3"/>
      <c r="AH726" s="3"/>
    </row>
    <row r="727" spans="5:34" s="1" customFormat="1">
      <c r="E727" s="3"/>
      <c r="F727" s="3"/>
      <c r="G727" s="3"/>
      <c r="J727" s="3"/>
      <c r="K727" s="3"/>
      <c r="L727" s="3"/>
      <c r="O727" s="3"/>
      <c r="P727" s="3"/>
      <c r="Q727" s="3"/>
      <c r="T727" s="3"/>
      <c r="U727" s="3"/>
      <c r="V727" s="3"/>
      <c r="Y727" s="3"/>
      <c r="Z727" s="3"/>
      <c r="AA727" s="3"/>
      <c r="AB727" s="3"/>
      <c r="AC727" s="3"/>
      <c r="AH727" s="3"/>
    </row>
    <row r="728" spans="5:34" s="1" customFormat="1">
      <c r="E728" s="3"/>
      <c r="F728" s="3"/>
      <c r="G728" s="3"/>
      <c r="J728" s="3"/>
      <c r="K728" s="3"/>
      <c r="L728" s="3"/>
      <c r="O728" s="3"/>
      <c r="P728" s="3"/>
      <c r="Q728" s="3"/>
      <c r="T728" s="3"/>
      <c r="U728" s="3"/>
      <c r="V728" s="3"/>
      <c r="Y728" s="3"/>
      <c r="Z728" s="3"/>
      <c r="AA728" s="3"/>
      <c r="AB728" s="3"/>
      <c r="AC728" s="3"/>
      <c r="AH728" s="3"/>
    </row>
    <row r="729" spans="5:34" s="1" customFormat="1">
      <c r="E729" s="3"/>
      <c r="F729" s="3"/>
      <c r="G729" s="3"/>
      <c r="J729" s="3"/>
      <c r="K729" s="3"/>
      <c r="L729" s="3"/>
      <c r="O729" s="3"/>
      <c r="P729" s="3"/>
      <c r="Q729" s="3"/>
      <c r="T729" s="3"/>
      <c r="U729" s="3"/>
      <c r="V729" s="3"/>
      <c r="Y729" s="3"/>
      <c r="Z729" s="3"/>
      <c r="AA729" s="3"/>
      <c r="AB729" s="3"/>
      <c r="AC729" s="3"/>
      <c r="AH729" s="3"/>
    </row>
    <row r="730" spans="5:34" s="1" customFormat="1">
      <c r="E730" s="3"/>
      <c r="F730" s="3"/>
      <c r="G730" s="3"/>
      <c r="J730" s="3"/>
      <c r="K730" s="3"/>
      <c r="L730" s="3"/>
      <c r="O730" s="3"/>
      <c r="P730" s="3"/>
      <c r="Q730" s="3"/>
      <c r="T730" s="3"/>
      <c r="U730" s="3"/>
      <c r="V730" s="3"/>
      <c r="Y730" s="3"/>
      <c r="Z730" s="3"/>
      <c r="AA730" s="3"/>
      <c r="AB730" s="3"/>
      <c r="AC730" s="3"/>
      <c r="AH730" s="3"/>
    </row>
    <row r="731" spans="5:34" s="1" customFormat="1">
      <c r="E731" s="3"/>
      <c r="F731" s="3"/>
      <c r="G731" s="3"/>
      <c r="J731" s="3"/>
      <c r="K731" s="3"/>
      <c r="L731" s="3"/>
      <c r="O731" s="3"/>
      <c r="P731" s="3"/>
      <c r="Q731" s="3"/>
      <c r="T731" s="3"/>
      <c r="U731" s="3"/>
      <c r="V731" s="3"/>
      <c r="Y731" s="3"/>
      <c r="Z731" s="3"/>
      <c r="AA731" s="3"/>
      <c r="AB731" s="3"/>
      <c r="AC731" s="3"/>
      <c r="AH731" s="3"/>
    </row>
    <row r="732" spans="5:34" s="1" customFormat="1">
      <c r="E732" s="3"/>
      <c r="F732" s="3"/>
      <c r="G732" s="3"/>
      <c r="J732" s="3"/>
      <c r="K732" s="3"/>
      <c r="L732" s="3"/>
      <c r="O732" s="3"/>
      <c r="P732" s="3"/>
      <c r="Q732" s="3"/>
      <c r="T732" s="3"/>
      <c r="U732" s="3"/>
      <c r="V732" s="3"/>
      <c r="Y732" s="3"/>
      <c r="Z732" s="3"/>
      <c r="AA732" s="3"/>
      <c r="AB732" s="3"/>
      <c r="AC732" s="3"/>
      <c r="AH732" s="3"/>
    </row>
    <row r="733" spans="5:34" s="1" customFormat="1">
      <c r="E733" s="3"/>
      <c r="F733" s="3"/>
      <c r="G733" s="3"/>
      <c r="J733" s="3"/>
      <c r="K733" s="3"/>
      <c r="L733" s="3"/>
      <c r="O733" s="3"/>
      <c r="P733" s="3"/>
      <c r="Q733" s="3"/>
      <c r="T733" s="3"/>
      <c r="U733" s="3"/>
      <c r="V733" s="3"/>
      <c r="Y733" s="3"/>
      <c r="Z733" s="3"/>
      <c r="AA733" s="3"/>
      <c r="AB733" s="3"/>
      <c r="AC733" s="3"/>
      <c r="AH733" s="3"/>
    </row>
    <row r="734" spans="5:34" s="1" customFormat="1">
      <c r="E734" s="3"/>
      <c r="F734" s="3"/>
      <c r="G734" s="3"/>
      <c r="J734" s="3"/>
      <c r="K734" s="3"/>
      <c r="L734" s="3"/>
      <c r="O734" s="3"/>
      <c r="P734" s="3"/>
      <c r="Q734" s="3"/>
      <c r="T734" s="3"/>
      <c r="U734" s="3"/>
      <c r="V734" s="3"/>
      <c r="Y734" s="3"/>
      <c r="Z734" s="3"/>
      <c r="AA734" s="3"/>
      <c r="AB734" s="3"/>
      <c r="AC734" s="3"/>
      <c r="AH734" s="3"/>
    </row>
    <row r="735" spans="5:34" s="1" customFormat="1">
      <c r="E735" s="3"/>
      <c r="F735" s="3"/>
      <c r="G735" s="3"/>
      <c r="J735" s="3"/>
      <c r="K735" s="3"/>
      <c r="L735" s="3"/>
      <c r="O735" s="3"/>
      <c r="P735" s="3"/>
      <c r="Q735" s="3"/>
      <c r="T735" s="3"/>
      <c r="U735" s="3"/>
      <c r="V735" s="3"/>
      <c r="Y735" s="3"/>
      <c r="Z735" s="3"/>
      <c r="AA735" s="3"/>
      <c r="AB735" s="3"/>
      <c r="AC735" s="3"/>
      <c r="AH735" s="3"/>
    </row>
    <row r="736" spans="5:34" s="1" customFormat="1">
      <c r="E736" s="3"/>
      <c r="F736" s="3"/>
      <c r="G736" s="3"/>
      <c r="J736" s="3"/>
      <c r="K736" s="3"/>
      <c r="L736" s="3"/>
      <c r="O736" s="3"/>
      <c r="P736" s="3"/>
      <c r="Q736" s="3"/>
      <c r="T736" s="3"/>
      <c r="U736" s="3"/>
      <c r="V736" s="3"/>
      <c r="Y736" s="3"/>
      <c r="Z736" s="3"/>
      <c r="AA736" s="3"/>
      <c r="AB736" s="3"/>
      <c r="AC736" s="3"/>
      <c r="AH736" s="3"/>
    </row>
    <row r="737" spans="5:34" s="1" customFormat="1">
      <c r="E737" s="3"/>
      <c r="F737" s="3"/>
      <c r="G737" s="3"/>
      <c r="J737" s="3"/>
      <c r="K737" s="3"/>
      <c r="L737" s="3"/>
      <c r="O737" s="3"/>
      <c r="P737" s="3"/>
      <c r="Q737" s="3"/>
      <c r="T737" s="3"/>
      <c r="U737" s="3"/>
      <c r="V737" s="3"/>
      <c r="Y737" s="3"/>
      <c r="Z737" s="3"/>
      <c r="AA737" s="3"/>
      <c r="AB737" s="3"/>
      <c r="AC737" s="3"/>
      <c r="AH737" s="3"/>
    </row>
    <row r="738" spans="5:34" s="1" customFormat="1">
      <c r="E738" s="3"/>
      <c r="F738" s="3"/>
      <c r="G738" s="3"/>
      <c r="J738" s="3"/>
      <c r="K738" s="3"/>
      <c r="L738" s="3"/>
      <c r="O738" s="3"/>
      <c r="P738" s="3"/>
      <c r="Q738" s="3"/>
      <c r="T738" s="3"/>
      <c r="U738" s="3"/>
      <c r="V738" s="3"/>
      <c r="Y738" s="3"/>
      <c r="Z738" s="3"/>
      <c r="AA738" s="3"/>
      <c r="AB738" s="3"/>
      <c r="AC738" s="3"/>
      <c r="AH738" s="3"/>
    </row>
    <row r="739" spans="5:34" s="1" customFormat="1">
      <c r="E739" s="3"/>
      <c r="F739" s="3"/>
      <c r="G739" s="3"/>
      <c r="J739" s="3"/>
      <c r="K739" s="3"/>
      <c r="L739" s="3"/>
      <c r="O739" s="3"/>
      <c r="P739" s="3"/>
      <c r="Q739" s="3"/>
      <c r="T739" s="3"/>
      <c r="U739" s="3"/>
      <c r="V739" s="3"/>
      <c r="Y739" s="3"/>
      <c r="Z739" s="3"/>
      <c r="AA739" s="3"/>
      <c r="AB739" s="3"/>
      <c r="AC739" s="3"/>
      <c r="AH739" s="3"/>
    </row>
    <row r="740" spans="5:34" s="1" customFormat="1">
      <c r="E740" s="3"/>
      <c r="F740" s="3"/>
      <c r="G740" s="3"/>
      <c r="J740" s="3"/>
      <c r="K740" s="3"/>
      <c r="L740" s="3"/>
      <c r="O740" s="3"/>
      <c r="P740" s="3"/>
      <c r="Q740" s="3"/>
      <c r="T740" s="3"/>
      <c r="U740" s="3"/>
      <c r="V740" s="3"/>
      <c r="Y740" s="3"/>
      <c r="Z740" s="3"/>
      <c r="AA740" s="3"/>
      <c r="AB740" s="3"/>
      <c r="AC740" s="3"/>
      <c r="AH740" s="3"/>
    </row>
    <row r="741" spans="5:34" s="1" customFormat="1">
      <c r="E741" s="3"/>
      <c r="F741" s="3"/>
      <c r="G741" s="3"/>
      <c r="J741" s="3"/>
      <c r="K741" s="3"/>
      <c r="L741" s="3"/>
      <c r="O741" s="3"/>
      <c r="P741" s="3"/>
      <c r="Q741" s="3"/>
      <c r="T741" s="3"/>
      <c r="U741" s="3"/>
      <c r="V741" s="3"/>
      <c r="Y741" s="3"/>
      <c r="Z741" s="3"/>
      <c r="AA741" s="3"/>
      <c r="AB741" s="3"/>
      <c r="AC741" s="3"/>
      <c r="AH741" s="3"/>
    </row>
    <row r="742" spans="5:34" s="1" customFormat="1">
      <c r="E742" s="3"/>
      <c r="F742" s="3"/>
      <c r="G742" s="3"/>
      <c r="J742" s="3"/>
      <c r="K742" s="3"/>
      <c r="L742" s="3"/>
      <c r="O742" s="3"/>
      <c r="P742" s="3"/>
      <c r="Q742" s="3"/>
      <c r="T742" s="3"/>
      <c r="U742" s="3"/>
      <c r="V742" s="3"/>
      <c r="Y742" s="3"/>
      <c r="Z742" s="3"/>
      <c r="AA742" s="3"/>
      <c r="AB742" s="3"/>
      <c r="AC742" s="3"/>
      <c r="AH742" s="3"/>
    </row>
    <row r="743" spans="5:34" s="1" customFormat="1">
      <c r="E743" s="3"/>
      <c r="F743" s="3"/>
      <c r="G743" s="3"/>
      <c r="J743" s="3"/>
      <c r="K743" s="3"/>
      <c r="L743" s="3"/>
      <c r="O743" s="3"/>
      <c r="P743" s="3"/>
      <c r="Q743" s="3"/>
      <c r="T743" s="3"/>
      <c r="U743" s="3"/>
      <c r="V743" s="3"/>
      <c r="Y743" s="3"/>
      <c r="Z743" s="3"/>
      <c r="AA743" s="3"/>
      <c r="AB743" s="3"/>
      <c r="AC743" s="3"/>
      <c r="AH743" s="3"/>
    </row>
    <row r="744" spans="5:34" s="1" customFormat="1">
      <c r="E744" s="3"/>
      <c r="F744" s="3"/>
      <c r="G744" s="3"/>
      <c r="J744" s="3"/>
      <c r="K744" s="3"/>
      <c r="L744" s="3"/>
      <c r="O744" s="3"/>
      <c r="P744" s="3"/>
      <c r="Q744" s="3"/>
      <c r="T744" s="3"/>
      <c r="U744" s="3"/>
      <c r="V744" s="3"/>
      <c r="Y744" s="3"/>
      <c r="Z744" s="3"/>
      <c r="AA744" s="3"/>
      <c r="AB744" s="3"/>
      <c r="AC744" s="3"/>
      <c r="AH744" s="3"/>
    </row>
    <row r="745" spans="5:34" s="1" customFormat="1">
      <c r="E745" s="3"/>
      <c r="F745" s="3"/>
      <c r="G745" s="3"/>
      <c r="J745" s="3"/>
      <c r="K745" s="3"/>
      <c r="L745" s="3"/>
      <c r="O745" s="3"/>
      <c r="P745" s="3"/>
      <c r="Q745" s="3"/>
      <c r="T745" s="3"/>
      <c r="U745" s="3"/>
      <c r="V745" s="3"/>
      <c r="Y745" s="3"/>
      <c r="Z745" s="3"/>
      <c r="AA745" s="3"/>
      <c r="AB745" s="3"/>
      <c r="AC745" s="3"/>
      <c r="AH745" s="3"/>
    </row>
    <row r="746" spans="5:34" s="1" customFormat="1">
      <c r="E746" s="3"/>
      <c r="F746" s="3"/>
      <c r="G746" s="3"/>
      <c r="J746" s="3"/>
      <c r="K746" s="3"/>
      <c r="L746" s="3"/>
      <c r="O746" s="3"/>
      <c r="P746" s="3"/>
      <c r="Q746" s="3"/>
      <c r="T746" s="3"/>
      <c r="U746" s="3"/>
      <c r="V746" s="3"/>
      <c r="Y746" s="3"/>
      <c r="Z746" s="3"/>
      <c r="AA746" s="3"/>
      <c r="AB746" s="3"/>
      <c r="AC746" s="3"/>
      <c r="AH746" s="3"/>
    </row>
    <row r="747" spans="5:34" s="1" customFormat="1">
      <c r="E747" s="3"/>
      <c r="F747" s="3"/>
      <c r="G747" s="3"/>
      <c r="J747" s="3"/>
      <c r="K747" s="3"/>
      <c r="L747" s="3"/>
      <c r="O747" s="3"/>
      <c r="P747" s="3"/>
      <c r="Q747" s="3"/>
      <c r="T747" s="3"/>
      <c r="U747" s="3"/>
      <c r="V747" s="3"/>
      <c r="Y747" s="3"/>
      <c r="Z747" s="3"/>
      <c r="AA747" s="3"/>
      <c r="AB747" s="3"/>
      <c r="AC747" s="3"/>
      <c r="AH747" s="3"/>
    </row>
    <row r="748" spans="5:34" s="1" customFormat="1">
      <c r="E748" s="3"/>
      <c r="F748" s="3"/>
      <c r="G748" s="3"/>
      <c r="J748" s="3"/>
      <c r="K748" s="3"/>
      <c r="L748" s="3"/>
      <c r="O748" s="3"/>
      <c r="P748" s="3"/>
      <c r="Q748" s="3"/>
      <c r="T748" s="3"/>
      <c r="U748" s="3"/>
      <c r="V748" s="3"/>
      <c r="Y748" s="3"/>
      <c r="Z748" s="3"/>
      <c r="AA748" s="3"/>
      <c r="AB748" s="3"/>
      <c r="AC748" s="3"/>
      <c r="AH748" s="3"/>
    </row>
    <row r="749" spans="5:34" s="1" customFormat="1">
      <c r="E749" s="3"/>
      <c r="F749" s="3"/>
      <c r="G749" s="3"/>
      <c r="J749" s="3"/>
      <c r="K749" s="3"/>
      <c r="L749" s="3"/>
      <c r="O749" s="3"/>
      <c r="P749" s="3"/>
      <c r="Q749" s="3"/>
      <c r="T749" s="3"/>
      <c r="U749" s="3"/>
      <c r="V749" s="3"/>
      <c r="Y749" s="3"/>
      <c r="Z749" s="3"/>
      <c r="AA749" s="3"/>
      <c r="AB749" s="3"/>
      <c r="AC749" s="3"/>
      <c r="AH749" s="3"/>
    </row>
    <row r="750" spans="5:34" s="1" customFormat="1">
      <c r="E750" s="3"/>
      <c r="F750" s="3"/>
      <c r="G750" s="3"/>
      <c r="J750" s="3"/>
      <c r="K750" s="3"/>
      <c r="L750" s="3"/>
      <c r="O750" s="3"/>
      <c r="P750" s="3"/>
      <c r="Q750" s="3"/>
      <c r="T750" s="3"/>
      <c r="U750" s="3"/>
      <c r="V750" s="3"/>
      <c r="Y750" s="3"/>
      <c r="Z750" s="3"/>
      <c r="AA750" s="3"/>
      <c r="AB750" s="3"/>
      <c r="AC750" s="3"/>
      <c r="AH750" s="3"/>
    </row>
    <row r="751" spans="5:34" s="1" customFormat="1">
      <c r="E751" s="3"/>
      <c r="F751" s="3"/>
      <c r="G751" s="3"/>
      <c r="J751" s="3"/>
      <c r="K751" s="3"/>
      <c r="L751" s="3"/>
      <c r="O751" s="3"/>
      <c r="P751" s="3"/>
      <c r="Q751" s="3"/>
      <c r="T751" s="3"/>
      <c r="U751" s="3"/>
      <c r="V751" s="3"/>
      <c r="Y751" s="3"/>
      <c r="Z751" s="3"/>
      <c r="AA751" s="3"/>
      <c r="AB751" s="3"/>
      <c r="AC751" s="3"/>
      <c r="AH751" s="3"/>
    </row>
    <row r="752" spans="5:34" s="1" customFormat="1">
      <c r="E752" s="3"/>
      <c r="F752" s="3"/>
      <c r="G752" s="3"/>
      <c r="J752" s="3"/>
      <c r="K752" s="3"/>
      <c r="L752" s="3"/>
      <c r="O752" s="3"/>
      <c r="P752" s="3"/>
      <c r="Q752" s="3"/>
      <c r="T752" s="3"/>
      <c r="U752" s="3"/>
      <c r="V752" s="3"/>
      <c r="Y752" s="3"/>
      <c r="Z752" s="3"/>
      <c r="AA752" s="3"/>
      <c r="AB752" s="3"/>
      <c r="AC752" s="3"/>
      <c r="AH752" s="3"/>
    </row>
    <row r="753" spans="5:34" s="1" customFormat="1">
      <c r="E753" s="3"/>
      <c r="F753" s="3"/>
      <c r="G753" s="3"/>
      <c r="J753" s="3"/>
      <c r="K753" s="3"/>
      <c r="L753" s="3"/>
      <c r="O753" s="3"/>
      <c r="P753" s="3"/>
      <c r="Q753" s="3"/>
      <c r="T753" s="3"/>
      <c r="U753" s="3"/>
      <c r="V753" s="3"/>
      <c r="Y753" s="3"/>
      <c r="Z753" s="3"/>
      <c r="AA753" s="3"/>
      <c r="AB753" s="3"/>
      <c r="AC753" s="3"/>
      <c r="AH753" s="3"/>
    </row>
    <row r="754" spans="5:34" s="1" customFormat="1">
      <c r="E754" s="3"/>
      <c r="F754" s="3"/>
      <c r="G754" s="3"/>
      <c r="J754" s="3"/>
      <c r="K754" s="3"/>
      <c r="L754" s="3"/>
      <c r="O754" s="3"/>
      <c r="P754" s="3"/>
      <c r="Q754" s="3"/>
      <c r="T754" s="3"/>
      <c r="U754" s="3"/>
      <c r="V754" s="3"/>
      <c r="Y754" s="3"/>
      <c r="Z754" s="3"/>
      <c r="AA754" s="3"/>
      <c r="AB754" s="3"/>
      <c r="AC754" s="3"/>
      <c r="AH754" s="3"/>
    </row>
    <row r="755" spans="5:34" s="1" customFormat="1">
      <c r="E755" s="3"/>
      <c r="F755" s="3"/>
      <c r="G755" s="3"/>
      <c r="J755" s="3"/>
      <c r="K755" s="3"/>
      <c r="L755" s="3"/>
      <c r="O755" s="3"/>
      <c r="P755" s="3"/>
      <c r="Q755" s="3"/>
      <c r="T755" s="3"/>
      <c r="U755" s="3"/>
      <c r="V755" s="3"/>
      <c r="Y755" s="3"/>
      <c r="Z755" s="3"/>
      <c r="AA755" s="3"/>
      <c r="AB755" s="3"/>
      <c r="AC755" s="3"/>
      <c r="AH755" s="3"/>
    </row>
    <row r="756" spans="5:34" s="1" customFormat="1">
      <c r="E756" s="3"/>
      <c r="F756" s="3"/>
      <c r="G756" s="3"/>
      <c r="J756" s="3"/>
      <c r="K756" s="3"/>
      <c r="L756" s="3"/>
      <c r="O756" s="3"/>
      <c r="P756" s="3"/>
      <c r="Q756" s="3"/>
      <c r="T756" s="3"/>
      <c r="U756" s="3"/>
      <c r="V756" s="3"/>
      <c r="Y756" s="3"/>
      <c r="Z756" s="3"/>
      <c r="AA756" s="3"/>
      <c r="AB756" s="3"/>
      <c r="AC756" s="3"/>
      <c r="AH756" s="3"/>
    </row>
    <row r="757" spans="5:34" s="1" customFormat="1">
      <c r="E757" s="3"/>
      <c r="F757" s="3"/>
      <c r="G757" s="3"/>
      <c r="J757" s="3"/>
      <c r="K757" s="3"/>
      <c r="L757" s="3"/>
      <c r="O757" s="3"/>
      <c r="P757" s="3"/>
      <c r="Q757" s="3"/>
      <c r="T757" s="3"/>
      <c r="U757" s="3"/>
      <c r="V757" s="3"/>
      <c r="Y757" s="3"/>
      <c r="Z757" s="3"/>
      <c r="AA757" s="3"/>
      <c r="AB757" s="3"/>
      <c r="AC757" s="3"/>
      <c r="AH757" s="3"/>
    </row>
    <row r="758" spans="5:34" s="1" customFormat="1">
      <c r="E758" s="3"/>
      <c r="F758" s="3"/>
      <c r="G758" s="3"/>
      <c r="J758" s="3"/>
      <c r="K758" s="3"/>
      <c r="L758" s="3"/>
      <c r="O758" s="3"/>
      <c r="P758" s="3"/>
      <c r="Q758" s="3"/>
      <c r="T758" s="3"/>
      <c r="U758" s="3"/>
      <c r="V758" s="3"/>
      <c r="Y758" s="3"/>
      <c r="Z758" s="3"/>
      <c r="AA758" s="3"/>
      <c r="AB758" s="3"/>
      <c r="AC758" s="3"/>
      <c r="AH758" s="3"/>
    </row>
    <row r="759" spans="5:34" s="1" customFormat="1">
      <c r="E759" s="3"/>
      <c r="F759" s="3"/>
      <c r="G759" s="3"/>
      <c r="J759" s="3"/>
      <c r="K759" s="3"/>
      <c r="L759" s="3"/>
      <c r="O759" s="3"/>
      <c r="P759" s="3"/>
      <c r="Q759" s="3"/>
      <c r="T759" s="3"/>
      <c r="U759" s="3"/>
      <c r="V759" s="3"/>
      <c r="Y759" s="3"/>
      <c r="Z759" s="3"/>
      <c r="AA759" s="3"/>
      <c r="AB759" s="3"/>
      <c r="AC759" s="3"/>
      <c r="AH759" s="3"/>
    </row>
    <row r="760" spans="5:34" s="1" customFormat="1">
      <c r="E760" s="3"/>
      <c r="F760" s="3"/>
      <c r="G760" s="3"/>
      <c r="J760" s="3"/>
      <c r="K760" s="3"/>
      <c r="L760" s="3"/>
      <c r="O760" s="3"/>
      <c r="P760" s="3"/>
      <c r="Q760" s="3"/>
      <c r="T760" s="3"/>
      <c r="U760" s="3"/>
      <c r="V760" s="3"/>
      <c r="Y760" s="3"/>
      <c r="Z760" s="3"/>
      <c r="AA760" s="3"/>
      <c r="AB760" s="3"/>
      <c r="AC760" s="3"/>
      <c r="AH760" s="3"/>
    </row>
    <row r="761" spans="5:34" s="1" customFormat="1">
      <c r="E761" s="3"/>
      <c r="F761" s="3"/>
      <c r="G761" s="3"/>
      <c r="J761" s="3"/>
      <c r="K761" s="3"/>
      <c r="L761" s="3"/>
      <c r="O761" s="3"/>
      <c r="P761" s="3"/>
      <c r="Q761" s="3"/>
      <c r="T761" s="3"/>
      <c r="U761" s="3"/>
      <c r="V761" s="3"/>
      <c r="Y761" s="3"/>
      <c r="Z761" s="3"/>
      <c r="AA761" s="3"/>
      <c r="AB761" s="3"/>
      <c r="AC761" s="3"/>
      <c r="AH761" s="3"/>
    </row>
    <row r="762" spans="5:34" s="1" customFormat="1">
      <c r="E762" s="3"/>
      <c r="F762" s="3"/>
      <c r="G762" s="3"/>
      <c r="J762" s="3"/>
      <c r="K762" s="3"/>
      <c r="L762" s="3"/>
      <c r="O762" s="3"/>
      <c r="P762" s="3"/>
      <c r="Q762" s="3"/>
      <c r="T762" s="3"/>
      <c r="U762" s="3"/>
      <c r="V762" s="3"/>
      <c r="Y762" s="3"/>
      <c r="Z762" s="3"/>
      <c r="AA762" s="3"/>
      <c r="AB762" s="3"/>
      <c r="AC762" s="3"/>
      <c r="AH762" s="3"/>
    </row>
    <row r="763" spans="5:34" s="1" customFormat="1">
      <c r="E763" s="3"/>
      <c r="F763" s="3"/>
      <c r="G763" s="3"/>
      <c r="J763" s="3"/>
      <c r="K763" s="3"/>
      <c r="L763" s="3"/>
      <c r="O763" s="3"/>
      <c r="P763" s="3"/>
      <c r="Q763" s="3"/>
      <c r="T763" s="3"/>
      <c r="U763" s="3"/>
      <c r="V763" s="3"/>
      <c r="Y763" s="3"/>
      <c r="Z763" s="3"/>
      <c r="AA763" s="3"/>
      <c r="AB763" s="3"/>
      <c r="AC763" s="3"/>
      <c r="AH763" s="3"/>
    </row>
    <row r="764" spans="5:34" s="1" customFormat="1">
      <c r="E764" s="3"/>
      <c r="F764" s="3"/>
      <c r="G764" s="3"/>
      <c r="J764" s="3"/>
      <c r="K764" s="3"/>
      <c r="L764" s="3"/>
      <c r="O764" s="3"/>
      <c r="P764" s="3"/>
      <c r="Q764" s="3"/>
      <c r="T764" s="3"/>
      <c r="U764" s="3"/>
      <c r="V764" s="3"/>
      <c r="Y764" s="3"/>
      <c r="Z764" s="3"/>
      <c r="AA764" s="3"/>
      <c r="AB764" s="3"/>
      <c r="AC764" s="3"/>
      <c r="AH764" s="3"/>
    </row>
    <row r="765" spans="5:34" s="1" customFormat="1">
      <c r="E765" s="3"/>
      <c r="F765" s="3"/>
      <c r="G765" s="3"/>
      <c r="J765" s="3"/>
      <c r="K765" s="3"/>
      <c r="L765" s="3"/>
      <c r="O765" s="3"/>
      <c r="P765" s="3"/>
      <c r="Q765" s="3"/>
      <c r="T765" s="3"/>
      <c r="U765" s="3"/>
      <c r="V765" s="3"/>
      <c r="Y765" s="3"/>
      <c r="Z765" s="3"/>
      <c r="AA765" s="3"/>
      <c r="AB765" s="3"/>
      <c r="AC765" s="3"/>
      <c r="AH765" s="3"/>
    </row>
    <row r="766" spans="5:34" s="1" customFormat="1">
      <c r="E766" s="3"/>
      <c r="F766" s="3"/>
      <c r="G766" s="3"/>
      <c r="J766" s="3"/>
      <c r="K766" s="3"/>
      <c r="L766" s="3"/>
      <c r="O766" s="3"/>
      <c r="P766" s="3"/>
      <c r="Q766" s="3"/>
      <c r="T766" s="3"/>
      <c r="U766" s="3"/>
      <c r="V766" s="3"/>
      <c r="Y766" s="3"/>
      <c r="Z766" s="3"/>
      <c r="AA766" s="3"/>
      <c r="AB766" s="3"/>
      <c r="AC766" s="3"/>
      <c r="AH766" s="3"/>
    </row>
    <row r="767" spans="5:34" s="1" customFormat="1">
      <c r="E767" s="3"/>
      <c r="F767" s="3"/>
      <c r="G767" s="3"/>
      <c r="J767" s="3"/>
      <c r="K767" s="3"/>
      <c r="L767" s="3"/>
      <c r="O767" s="3"/>
      <c r="P767" s="3"/>
      <c r="Q767" s="3"/>
      <c r="T767" s="3"/>
      <c r="U767" s="3"/>
      <c r="V767" s="3"/>
      <c r="Y767" s="3"/>
      <c r="Z767" s="3"/>
      <c r="AA767" s="3"/>
      <c r="AB767" s="3"/>
      <c r="AC767" s="3"/>
      <c r="AH767" s="3"/>
    </row>
    <row r="768" spans="5:34" s="1" customFormat="1">
      <c r="E768" s="3"/>
      <c r="F768" s="3"/>
      <c r="G768" s="3"/>
      <c r="J768" s="3"/>
      <c r="K768" s="3"/>
      <c r="L768" s="3"/>
      <c r="O768" s="3"/>
      <c r="P768" s="3"/>
      <c r="Q768" s="3"/>
      <c r="T768" s="3"/>
      <c r="U768" s="3"/>
      <c r="V768" s="3"/>
      <c r="Y768" s="3"/>
      <c r="Z768" s="3"/>
      <c r="AA768" s="3"/>
      <c r="AB768" s="3"/>
      <c r="AC768" s="3"/>
      <c r="AH768" s="3"/>
    </row>
    <row r="769" spans="5:34" s="1" customFormat="1">
      <c r="E769" s="3"/>
      <c r="F769" s="3"/>
      <c r="G769" s="3"/>
      <c r="J769" s="3"/>
      <c r="K769" s="3"/>
      <c r="L769" s="3"/>
      <c r="O769" s="3"/>
      <c r="P769" s="3"/>
      <c r="Q769" s="3"/>
      <c r="T769" s="3"/>
      <c r="U769" s="3"/>
      <c r="V769" s="3"/>
      <c r="Y769" s="3"/>
      <c r="Z769" s="3"/>
      <c r="AA769" s="3"/>
      <c r="AB769" s="3"/>
      <c r="AC769" s="3"/>
      <c r="AH769" s="3"/>
    </row>
    <row r="770" spans="5:34" s="1" customFormat="1">
      <c r="E770" s="3"/>
      <c r="F770" s="3"/>
      <c r="G770" s="3"/>
      <c r="J770" s="3"/>
      <c r="K770" s="3"/>
      <c r="L770" s="3"/>
      <c r="O770" s="3"/>
      <c r="P770" s="3"/>
      <c r="Q770" s="3"/>
      <c r="T770" s="3"/>
      <c r="U770" s="3"/>
      <c r="V770" s="3"/>
      <c r="Y770" s="3"/>
      <c r="Z770" s="3"/>
      <c r="AA770" s="3"/>
      <c r="AB770" s="3"/>
      <c r="AC770" s="3"/>
      <c r="AH770" s="3"/>
    </row>
    <row r="771" spans="5:34" s="1" customFormat="1">
      <c r="E771" s="3"/>
      <c r="F771" s="3"/>
      <c r="G771" s="3"/>
      <c r="J771" s="3"/>
      <c r="K771" s="3"/>
      <c r="L771" s="3"/>
      <c r="O771" s="3"/>
      <c r="P771" s="3"/>
      <c r="Q771" s="3"/>
      <c r="T771" s="3"/>
      <c r="U771" s="3"/>
      <c r="V771" s="3"/>
      <c r="Y771" s="3"/>
      <c r="Z771" s="3"/>
      <c r="AA771" s="3"/>
      <c r="AB771" s="3"/>
      <c r="AC771" s="3"/>
      <c r="AH771" s="3"/>
    </row>
    <row r="772" spans="5:34" s="1" customFormat="1">
      <c r="E772" s="3"/>
      <c r="F772" s="3"/>
      <c r="G772" s="3"/>
      <c r="J772" s="3"/>
      <c r="K772" s="3"/>
      <c r="L772" s="3"/>
      <c r="O772" s="3"/>
      <c r="P772" s="3"/>
      <c r="Q772" s="3"/>
      <c r="T772" s="3"/>
      <c r="U772" s="3"/>
      <c r="V772" s="3"/>
      <c r="Y772" s="3"/>
      <c r="Z772" s="3"/>
      <c r="AA772" s="3"/>
      <c r="AB772" s="3"/>
      <c r="AC772" s="3"/>
      <c r="AH772" s="3"/>
    </row>
    <row r="773" spans="5:34" s="1" customFormat="1">
      <c r="E773" s="3"/>
      <c r="F773" s="3"/>
      <c r="G773" s="3"/>
      <c r="J773" s="3"/>
      <c r="K773" s="3"/>
      <c r="L773" s="3"/>
      <c r="O773" s="3"/>
      <c r="P773" s="3"/>
      <c r="Q773" s="3"/>
      <c r="T773" s="3"/>
      <c r="U773" s="3"/>
      <c r="V773" s="3"/>
      <c r="Y773" s="3"/>
      <c r="Z773" s="3"/>
      <c r="AA773" s="3"/>
      <c r="AB773" s="3"/>
      <c r="AC773" s="3"/>
      <c r="AH773" s="3"/>
    </row>
    <row r="774" spans="5:34" s="1" customFormat="1">
      <c r="E774" s="3"/>
      <c r="F774" s="3"/>
      <c r="G774" s="3"/>
      <c r="J774" s="3"/>
      <c r="K774" s="3"/>
      <c r="L774" s="3"/>
      <c r="O774" s="3"/>
      <c r="P774" s="3"/>
      <c r="Q774" s="3"/>
      <c r="T774" s="3"/>
      <c r="U774" s="3"/>
      <c r="V774" s="3"/>
      <c r="Y774" s="3"/>
      <c r="Z774" s="3"/>
      <c r="AA774" s="3"/>
      <c r="AB774" s="3"/>
      <c r="AC774" s="3"/>
      <c r="AH774" s="3"/>
    </row>
    <row r="775" spans="5:34" s="1" customFormat="1">
      <c r="E775" s="3"/>
      <c r="F775" s="3"/>
      <c r="G775" s="3"/>
      <c r="J775" s="3"/>
      <c r="K775" s="3"/>
      <c r="L775" s="3"/>
      <c r="O775" s="3"/>
      <c r="P775" s="3"/>
      <c r="Q775" s="3"/>
      <c r="T775" s="3"/>
      <c r="U775" s="3"/>
      <c r="V775" s="3"/>
      <c r="Y775" s="3"/>
      <c r="Z775" s="3"/>
      <c r="AA775" s="3"/>
      <c r="AB775" s="3"/>
      <c r="AC775" s="3"/>
      <c r="AH775" s="3"/>
    </row>
    <row r="776" spans="5:34" s="1" customFormat="1">
      <c r="E776" s="3"/>
      <c r="F776" s="3"/>
      <c r="G776" s="3"/>
      <c r="J776" s="3"/>
      <c r="K776" s="3"/>
      <c r="L776" s="3"/>
      <c r="O776" s="3"/>
      <c r="P776" s="3"/>
      <c r="Q776" s="3"/>
      <c r="T776" s="3"/>
      <c r="U776" s="3"/>
      <c r="V776" s="3"/>
      <c r="Y776" s="3"/>
      <c r="Z776" s="3"/>
      <c r="AA776" s="3"/>
      <c r="AB776" s="3"/>
      <c r="AC776" s="3"/>
      <c r="AH776" s="3"/>
    </row>
    <row r="777" spans="5:34" s="1" customFormat="1">
      <c r="E777" s="3"/>
      <c r="F777" s="3"/>
      <c r="G777" s="3"/>
      <c r="J777" s="3"/>
      <c r="K777" s="3"/>
      <c r="L777" s="3"/>
      <c r="O777" s="3"/>
      <c r="P777" s="3"/>
      <c r="Q777" s="3"/>
      <c r="T777" s="3"/>
      <c r="U777" s="3"/>
      <c r="V777" s="3"/>
      <c r="Y777" s="3"/>
      <c r="Z777" s="3"/>
      <c r="AA777" s="3"/>
      <c r="AB777" s="3"/>
      <c r="AC777" s="3"/>
      <c r="AH777" s="3"/>
    </row>
    <row r="778" spans="5:34" s="1" customFormat="1">
      <c r="E778" s="3"/>
      <c r="F778" s="3"/>
      <c r="G778" s="3"/>
      <c r="J778" s="3"/>
      <c r="K778" s="3"/>
      <c r="L778" s="3"/>
      <c r="O778" s="3"/>
      <c r="P778" s="3"/>
      <c r="Q778" s="3"/>
      <c r="T778" s="3"/>
      <c r="U778" s="3"/>
      <c r="V778" s="3"/>
      <c r="Y778" s="3"/>
      <c r="Z778" s="3"/>
      <c r="AA778" s="3"/>
      <c r="AB778" s="3"/>
      <c r="AC778" s="3"/>
      <c r="AH778" s="3"/>
    </row>
    <row r="779" spans="5:34" s="1" customFormat="1">
      <c r="E779" s="3"/>
      <c r="F779" s="3"/>
      <c r="G779" s="3"/>
      <c r="J779" s="3"/>
      <c r="K779" s="3"/>
      <c r="L779" s="3"/>
      <c r="O779" s="3"/>
      <c r="P779" s="3"/>
      <c r="Q779" s="3"/>
      <c r="T779" s="3"/>
      <c r="U779" s="3"/>
      <c r="V779" s="3"/>
      <c r="Y779" s="3"/>
      <c r="Z779" s="3"/>
      <c r="AA779" s="3"/>
      <c r="AB779" s="3"/>
      <c r="AC779" s="3"/>
      <c r="AH779" s="3"/>
    </row>
    <row r="780" spans="5:34" s="1" customFormat="1">
      <c r="E780" s="3"/>
      <c r="F780" s="3"/>
      <c r="G780" s="3"/>
      <c r="J780" s="3"/>
      <c r="K780" s="3"/>
      <c r="L780" s="3"/>
      <c r="O780" s="3"/>
      <c r="P780" s="3"/>
      <c r="Q780" s="3"/>
      <c r="T780" s="3"/>
      <c r="U780" s="3"/>
      <c r="V780" s="3"/>
      <c r="Y780" s="3"/>
      <c r="Z780" s="3"/>
      <c r="AA780" s="3"/>
      <c r="AB780" s="3"/>
      <c r="AC780" s="3"/>
      <c r="AH780" s="3"/>
    </row>
    <row r="781" spans="5:34" s="1" customFormat="1">
      <c r="E781" s="3"/>
      <c r="F781" s="3"/>
      <c r="G781" s="3"/>
      <c r="J781" s="3"/>
      <c r="K781" s="3"/>
      <c r="L781" s="3"/>
      <c r="O781" s="3"/>
      <c r="P781" s="3"/>
      <c r="Q781" s="3"/>
      <c r="T781" s="3"/>
      <c r="U781" s="3"/>
      <c r="V781" s="3"/>
      <c r="Y781" s="3"/>
      <c r="Z781" s="3"/>
      <c r="AA781" s="3"/>
      <c r="AB781" s="3"/>
      <c r="AC781" s="3"/>
      <c r="AH781" s="3"/>
    </row>
    <row r="782" spans="5:34" s="1" customFormat="1">
      <c r="E782" s="3"/>
      <c r="F782" s="3"/>
      <c r="G782" s="3"/>
      <c r="J782" s="3"/>
      <c r="K782" s="3"/>
      <c r="L782" s="3"/>
      <c r="O782" s="3"/>
      <c r="P782" s="3"/>
      <c r="Q782" s="3"/>
      <c r="T782" s="3"/>
      <c r="U782" s="3"/>
      <c r="V782" s="3"/>
      <c r="Y782" s="3"/>
      <c r="Z782" s="3"/>
      <c r="AA782" s="3"/>
      <c r="AB782" s="3"/>
      <c r="AC782" s="3"/>
      <c r="AH782" s="3"/>
    </row>
    <row r="783" spans="5:34" s="1" customFormat="1">
      <c r="E783" s="3"/>
      <c r="F783" s="3"/>
      <c r="G783" s="3"/>
      <c r="J783" s="3"/>
      <c r="K783" s="3"/>
      <c r="L783" s="3"/>
      <c r="O783" s="3"/>
      <c r="P783" s="3"/>
      <c r="Q783" s="3"/>
      <c r="T783" s="3"/>
      <c r="U783" s="3"/>
      <c r="V783" s="3"/>
      <c r="Y783" s="3"/>
      <c r="Z783" s="3"/>
      <c r="AA783" s="3"/>
      <c r="AB783" s="3"/>
      <c r="AC783" s="3"/>
      <c r="AH783" s="3"/>
    </row>
    <row r="784" spans="5:34" s="1" customFormat="1">
      <c r="E784" s="3"/>
      <c r="F784" s="3"/>
      <c r="G784" s="3"/>
      <c r="J784" s="3"/>
      <c r="K784" s="3"/>
      <c r="L784" s="3"/>
      <c r="O784" s="3"/>
      <c r="P784" s="3"/>
      <c r="Q784" s="3"/>
      <c r="T784" s="3"/>
      <c r="U784" s="3"/>
      <c r="V784" s="3"/>
      <c r="Y784" s="3"/>
      <c r="Z784" s="3"/>
      <c r="AA784" s="3"/>
      <c r="AB784" s="3"/>
      <c r="AC784" s="3"/>
      <c r="AH784" s="3"/>
    </row>
    <row r="785" spans="5:34" s="1" customFormat="1">
      <c r="E785" s="3"/>
      <c r="F785" s="3"/>
      <c r="G785" s="3"/>
      <c r="J785" s="3"/>
      <c r="K785" s="3"/>
      <c r="L785" s="3"/>
      <c r="O785" s="3"/>
      <c r="P785" s="3"/>
      <c r="Q785" s="3"/>
      <c r="T785" s="3"/>
      <c r="U785" s="3"/>
      <c r="V785" s="3"/>
      <c r="Y785" s="3"/>
      <c r="Z785" s="3"/>
      <c r="AA785" s="3"/>
      <c r="AB785" s="3"/>
      <c r="AC785" s="3"/>
      <c r="AH785" s="3"/>
    </row>
    <row r="786" spans="5:34" s="1" customFormat="1">
      <c r="E786" s="3"/>
      <c r="F786" s="3"/>
      <c r="G786" s="3"/>
      <c r="J786" s="3"/>
      <c r="K786" s="3"/>
      <c r="L786" s="3"/>
      <c r="O786" s="3"/>
      <c r="P786" s="3"/>
      <c r="Q786" s="3"/>
      <c r="T786" s="3"/>
      <c r="U786" s="3"/>
      <c r="V786" s="3"/>
      <c r="Y786" s="3"/>
      <c r="Z786" s="3"/>
      <c r="AA786" s="3"/>
      <c r="AB786" s="3"/>
      <c r="AC786" s="3"/>
      <c r="AH786" s="3"/>
    </row>
    <row r="787" spans="5:34" s="1" customFormat="1">
      <c r="E787" s="3"/>
      <c r="F787" s="3"/>
      <c r="G787" s="3"/>
      <c r="J787" s="3"/>
      <c r="K787" s="3"/>
      <c r="L787" s="3"/>
      <c r="O787" s="3"/>
      <c r="P787" s="3"/>
      <c r="Q787" s="3"/>
      <c r="T787" s="3"/>
      <c r="U787" s="3"/>
      <c r="V787" s="3"/>
      <c r="Y787" s="3"/>
      <c r="Z787" s="3"/>
      <c r="AA787" s="3"/>
      <c r="AB787" s="3"/>
      <c r="AC787" s="3"/>
      <c r="AH787" s="3"/>
    </row>
    <row r="788" spans="5:34" s="1" customFormat="1">
      <c r="E788" s="3"/>
      <c r="F788" s="3"/>
      <c r="G788" s="3"/>
      <c r="J788" s="3"/>
      <c r="K788" s="3"/>
      <c r="L788" s="3"/>
      <c r="O788" s="3"/>
      <c r="P788" s="3"/>
      <c r="Q788" s="3"/>
      <c r="T788" s="3"/>
      <c r="U788" s="3"/>
      <c r="V788" s="3"/>
      <c r="Y788" s="3"/>
      <c r="Z788" s="3"/>
      <c r="AA788" s="3"/>
      <c r="AB788" s="3"/>
      <c r="AC788" s="3"/>
      <c r="AH788" s="3"/>
    </row>
    <row r="789" spans="5:34" s="1" customFormat="1">
      <c r="E789" s="3"/>
      <c r="F789" s="3"/>
      <c r="G789" s="3"/>
      <c r="J789" s="3"/>
      <c r="K789" s="3"/>
      <c r="L789" s="3"/>
      <c r="O789" s="3"/>
      <c r="P789" s="3"/>
      <c r="Q789" s="3"/>
      <c r="T789" s="3"/>
      <c r="U789" s="3"/>
      <c r="V789" s="3"/>
      <c r="Y789" s="3"/>
      <c r="Z789" s="3"/>
      <c r="AA789" s="3"/>
      <c r="AB789" s="3"/>
      <c r="AC789" s="3"/>
      <c r="AH789" s="3"/>
    </row>
    <row r="790" spans="5:34" s="1" customFormat="1">
      <c r="E790" s="3"/>
      <c r="F790" s="3"/>
      <c r="G790" s="3"/>
      <c r="J790" s="3"/>
      <c r="K790" s="3"/>
      <c r="L790" s="3"/>
      <c r="O790" s="3"/>
      <c r="P790" s="3"/>
      <c r="Q790" s="3"/>
      <c r="T790" s="3"/>
      <c r="U790" s="3"/>
      <c r="V790" s="3"/>
      <c r="Y790" s="3"/>
      <c r="Z790" s="3"/>
      <c r="AA790" s="3"/>
      <c r="AB790" s="3"/>
      <c r="AC790" s="3"/>
      <c r="AH790" s="3"/>
    </row>
    <row r="791" spans="5:34" s="1" customFormat="1">
      <c r="E791" s="3"/>
      <c r="F791" s="3"/>
      <c r="G791" s="3"/>
      <c r="J791" s="3"/>
      <c r="K791" s="3"/>
      <c r="L791" s="3"/>
      <c r="O791" s="3"/>
      <c r="P791" s="3"/>
      <c r="Q791" s="3"/>
      <c r="T791" s="3"/>
      <c r="U791" s="3"/>
      <c r="V791" s="3"/>
      <c r="Y791" s="3"/>
      <c r="Z791" s="3"/>
      <c r="AA791" s="3"/>
      <c r="AB791" s="3"/>
      <c r="AC791" s="3"/>
      <c r="AH791" s="3"/>
    </row>
    <row r="792" spans="5:34" s="1" customFormat="1">
      <c r="E792" s="3"/>
      <c r="F792" s="3"/>
      <c r="G792" s="3"/>
      <c r="J792" s="3"/>
      <c r="K792" s="3"/>
      <c r="L792" s="3"/>
      <c r="O792" s="3"/>
      <c r="P792" s="3"/>
      <c r="Q792" s="3"/>
      <c r="T792" s="3"/>
      <c r="U792" s="3"/>
      <c r="V792" s="3"/>
      <c r="Y792" s="3"/>
      <c r="Z792" s="3"/>
      <c r="AA792" s="3"/>
      <c r="AB792" s="3"/>
      <c r="AC792" s="3"/>
      <c r="AH792" s="3"/>
    </row>
    <row r="793" spans="5:34" s="1" customFormat="1">
      <c r="E793" s="3"/>
      <c r="F793" s="3"/>
      <c r="G793" s="3"/>
      <c r="J793" s="3"/>
      <c r="K793" s="3"/>
      <c r="L793" s="3"/>
      <c r="O793" s="3"/>
      <c r="P793" s="3"/>
      <c r="Q793" s="3"/>
      <c r="T793" s="3"/>
      <c r="U793" s="3"/>
      <c r="V793" s="3"/>
      <c r="Y793" s="3"/>
      <c r="Z793" s="3"/>
      <c r="AA793" s="3"/>
      <c r="AB793" s="3"/>
      <c r="AC793" s="3"/>
      <c r="AH793" s="3"/>
    </row>
    <row r="794" spans="5:34" s="1" customFormat="1">
      <c r="E794" s="3"/>
      <c r="F794" s="3"/>
      <c r="G794" s="3"/>
      <c r="J794" s="3"/>
      <c r="K794" s="3"/>
      <c r="L794" s="3"/>
      <c r="O794" s="3"/>
      <c r="P794" s="3"/>
      <c r="Q794" s="3"/>
      <c r="T794" s="3"/>
      <c r="U794" s="3"/>
      <c r="V794" s="3"/>
      <c r="Y794" s="3"/>
      <c r="Z794" s="3"/>
      <c r="AA794" s="3"/>
      <c r="AB794" s="3"/>
      <c r="AC794" s="3"/>
      <c r="AH794" s="3"/>
    </row>
    <row r="795" spans="5:34" s="1" customFormat="1">
      <c r="E795" s="3"/>
      <c r="F795" s="3"/>
      <c r="G795" s="3"/>
      <c r="J795" s="3"/>
      <c r="K795" s="3"/>
      <c r="L795" s="3"/>
      <c r="O795" s="3"/>
      <c r="P795" s="3"/>
      <c r="Q795" s="3"/>
      <c r="T795" s="3"/>
      <c r="U795" s="3"/>
      <c r="V795" s="3"/>
      <c r="Y795" s="3"/>
      <c r="Z795" s="3"/>
      <c r="AA795" s="3"/>
      <c r="AB795" s="3"/>
      <c r="AC795" s="3"/>
      <c r="AH795" s="3"/>
    </row>
    <row r="796" spans="5:34" s="1" customFormat="1">
      <c r="E796" s="3"/>
      <c r="F796" s="3"/>
      <c r="G796" s="3"/>
      <c r="J796" s="3"/>
      <c r="K796" s="3"/>
      <c r="L796" s="3"/>
      <c r="O796" s="3"/>
      <c r="P796" s="3"/>
      <c r="Q796" s="3"/>
      <c r="T796" s="3"/>
      <c r="U796" s="3"/>
      <c r="V796" s="3"/>
      <c r="Y796" s="3"/>
      <c r="Z796" s="3"/>
      <c r="AA796" s="3"/>
      <c r="AB796" s="3"/>
      <c r="AC796" s="3"/>
      <c r="AH796" s="3"/>
    </row>
    <row r="797" spans="5:34" s="1" customFormat="1">
      <c r="E797" s="3"/>
      <c r="F797" s="3"/>
      <c r="G797" s="3"/>
      <c r="J797" s="3"/>
      <c r="K797" s="3"/>
      <c r="L797" s="3"/>
      <c r="O797" s="3"/>
      <c r="P797" s="3"/>
      <c r="Q797" s="3"/>
      <c r="T797" s="3"/>
      <c r="U797" s="3"/>
      <c r="V797" s="3"/>
      <c r="Y797" s="3"/>
      <c r="Z797" s="3"/>
      <c r="AA797" s="3"/>
      <c r="AB797" s="3"/>
      <c r="AC797" s="3"/>
      <c r="AH797" s="3"/>
    </row>
    <row r="798" spans="5:34" s="1" customFormat="1">
      <c r="E798" s="3"/>
      <c r="F798" s="3"/>
      <c r="G798" s="3"/>
      <c r="J798" s="3"/>
      <c r="K798" s="3"/>
      <c r="L798" s="3"/>
      <c r="O798" s="3"/>
      <c r="P798" s="3"/>
      <c r="Q798" s="3"/>
      <c r="T798" s="3"/>
      <c r="U798" s="3"/>
      <c r="V798" s="3"/>
      <c r="Y798" s="3"/>
      <c r="Z798" s="3"/>
      <c r="AA798" s="3"/>
      <c r="AB798" s="3"/>
      <c r="AC798" s="3"/>
      <c r="AH798" s="3"/>
    </row>
    <row r="799" spans="5:34" s="1" customFormat="1">
      <c r="E799" s="3"/>
      <c r="F799" s="3"/>
      <c r="G799" s="3"/>
      <c r="J799" s="3"/>
      <c r="K799" s="3"/>
      <c r="L799" s="3"/>
      <c r="O799" s="3"/>
      <c r="P799" s="3"/>
      <c r="Q799" s="3"/>
      <c r="T799" s="3"/>
      <c r="U799" s="3"/>
      <c r="V799" s="3"/>
      <c r="Y799" s="3"/>
      <c r="Z799" s="3"/>
      <c r="AA799" s="3"/>
      <c r="AB799" s="3"/>
      <c r="AC799" s="3"/>
      <c r="AH799" s="3"/>
    </row>
    <row r="800" spans="5:34" s="1" customFormat="1">
      <c r="E800" s="3"/>
      <c r="F800" s="3"/>
      <c r="G800" s="3"/>
      <c r="J800" s="3"/>
      <c r="K800" s="3"/>
      <c r="L800" s="3"/>
      <c r="O800" s="3"/>
      <c r="P800" s="3"/>
      <c r="Q800" s="3"/>
      <c r="T800" s="3"/>
      <c r="U800" s="3"/>
      <c r="V800" s="3"/>
      <c r="Y800" s="3"/>
      <c r="Z800" s="3"/>
      <c r="AA800" s="3"/>
      <c r="AB800" s="3"/>
      <c r="AC800" s="3"/>
      <c r="AH800" s="3"/>
    </row>
    <row r="801" spans="5:34" s="1" customFormat="1">
      <c r="E801" s="3"/>
      <c r="F801" s="3"/>
      <c r="G801" s="3"/>
      <c r="J801" s="3"/>
      <c r="K801" s="3"/>
      <c r="L801" s="3"/>
      <c r="O801" s="3"/>
      <c r="P801" s="3"/>
      <c r="Q801" s="3"/>
      <c r="T801" s="3"/>
      <c r="U801" s="3"/>
      <c r="V801" s="3"/>
      <c r="Y801" s="3"/>
      <c r="Z801" s="3"/>
      <c r="AA801" s="3"/>
      <c r="AB801" s="3"/>
      <c r="AC801" s="3"/>
      <c r="AH801" s="3"/>
    </row>
    <row r="802" spans="5:34" s="1" customFormat="1">
      <c r="E802" s="3"/>
      <c r="F802" s="3"/>
      <c r="G802" s="3"/>
      <c r="J802" s="3"/>
      <c r="K802" s="3"/>
      <c r="L802" s="3"/>
      <c r="O802" s="3"/>
      <c r="P802" s="3"/>
      <c r="Q802" s="3"/>
      <c r="T802" s="3"/>
      <c r="U802" s="3"/>
      <c r="V802" s="3"/>
      <c r="Y802" s="3"/>
      <c r="Z802" s="3"/>
      <c r="AA802" s="3"/>
      <c r="AB802" s="3"/>
      <c r="AC802" s="3"/>
      <c r="AH802" s="3"/>
    </row>
    <row r="803" spans="5:34" s="1" customFormat="1">
      <c r="E803" s="3"/>
      <c r="F803" s="3"/>
      <c r="G803" s="3"/>
      <c r="J803" s="3"/>
      <c r="K803" s="3"/>
      <c r="L803" s="3"/>
      <c r="O803" s="3"/>
      <c r="P803" s="3"/>
      <c r="Q803" s="3"/>
      <c r="T803" s="3"/>
      <c r="U803" s="3"/>
      <c r="V803" s="3"/>
      <c r="Y803" s="3"/>
      <c r="Z803" s="3"/>
      <c r="AA803" s="3"/>
      <c r="AB803" s="3"/>
      <c r="AC803" s="3"/>
      <c r="AH803" s="3"/>
    </row>
    <row r="804" spans="5:34" s="1" customFormat="1">
      <c r="E804" s="3"/>
      <c r="F804" s="3"/>
      <c r="G804" s="3"/>
      <c r="J804" s="3"/>
      <c r="K804" s="3"/>
      <c r="L804" s="3"/>
      <c r="O804" s="3"/>
      <c r="P804" s="3"/>
      <c r="Q804" s="3"/>
      <c r="T804" s="3"/>
      <c r="U804" s="3"/>
      <c r="V804" s="3"/>
      <c r="Y804" s="3"/>
      <c r="Z804" s="3"/>
      <c r="AA804" s="3"/>
      <c r="AB804" s="3"/>
      <c r="AC804" s="3"/>
      <c r="AH804" s="3"/>
    </row>
    <row r="805" spans="5:34" s="1" customFormat="1">
      <c r="E805" s="3"/>
      <c r="F805" s="3"/>
      <c r="G805" s="3"/>
      <c r="J805" s="3"/>
      <c r="K805" s="3"/>
      <c r="L805" s="3"/>
      <c r="O805" s="3"/>
      <c r="P805" s="3"/>
      <c r="Q805" s="3"/>
      <c r="T805" s="3"/>
      <c r="U805" s="3"/>
      <c r="V805" s="3"/>
      <c r="Y805" s="3"/>
      <c r="Z805" s="3"/>
      <c r="AA805" s="3"/>
      <c r="AB805" s="3"/>
      <c r="AC805" s="3"/>
      <c r="AH805" s="3"/>
    </row>
    <row r="806" spans="5:34" s="1" customFormat="1">
      <c r="E806" s="3"/>
      <c r="F806" s="3"/>
      <c r="G806" s="3"/>
      <c r="J806" s="3"/>
      <c r="K806" s="3"/>
      <c r="L806" s="3"/>
      <c r="O806" s="3"/>
      <c r="P806" s="3"/>
      <c r="Q806" s="3"/>
      <c r="T806" s="3"/>
      <c r="U806" s="3"/>
      <c r="V806" s="3"/>
      <c r="Y806" s="3"/>
      <c r="Z806" s="3"/>
      <c r="AA806" s="3"/>
      <c r="AB806" s="3"/>
      <c r="AC806" s="3"/>
      <c r="AH806" s="3"/>
    </row>
    <row r="807" spans="5:34" s="1" customFormat="1">
      <c r="E807" s="3"/>
      <c r="F807" s="3"/>
      <c r="G807" s="3"/>
      <c r="J807" s="3"/>
      <c r="K807" s="3"/>
      <c r="L807" s="3"/>
      <c r="O807" s="3"/>
      <c r="P807" s="3"/>
      <c r="Q807" s="3"/>
      <c r="T807" s="3"/>
      <c r="U807" s="3"/>
      <c r="V807" s="3"/>
      <c r="Y807" s="3"/>
      <c r="Z807" s="3"/>
      <c r="AA807" s="3"/>
      <c r="AB807" s="3"/>
      <c r="AC807" s="3"/>
      <c r="AH807" s="3"/>
    </row>
    <row r="808" spans="5:34" s="1" customFormat="1">
      <c r="E808" s="3"/>
      <c r="F808" s="3"/>
      <c r="G808" s="3"/>
      <c r="J808" s="3"/>
      <c r="K808" s="3"/>
      <c r="L808" s="3"/>
      <c r="O808" s="3"/>
      <c r="P808" s="3"/>
      <c r="Q808" s="3"/>
      <c r="T808" s="3"/>
      <c r="U808" s="3"/>
      <c r="V808" s="3"/>
      <c r="Y808" s="3"/>
      <c r="Z808" s="3"/>
      <c r="AA808" s="3"/>
      <c r="AB808" s="3"/>
      <c r="AC808" s="3"/>
      <c r="AH808" s="3"/>
    </row>
    <row r="809" spans="5:34" s="1" customFormat="1">
      <c r="E809" s="3"/>
      <c r="F809" s="3"/>
      <c r="G809" s="3"/>
      <c r="J809" s="3"/>
      <c r="K809" s="3"/>
      <c r="L809" s="3"/>
      <c r="O809" s="3"/>
      <c r="P809" s="3"/>
      <c r="Q809" s="3"/>
      <c r="T809" s="3"/>
      <c r="U809" s="3"/>
      <c r="V809" s="3"/>
      <c r="Y809" s="3"/>
      <c r="Z809" s="3"/>
      <c r="AA809" s="3"/>
      <c r="AB809" s="3"/>
      <c r="AC809" s="3"/>
      <c r="AH809" s="3"/>
    </row>
    <row r="810" spans="5:34" s="1" customFormat="1">
      <c r="E810" s="3"/>
      <c r="F810" s="3"/>
      <c r="G810" s="3"/>
      <c r="J810" s="3"/>
      <c r="K810" s="3"/>
      <c r="L810" s="3"/>
      <c r="O810" s="3"/>
      <c r="P810" s="3"/>
      <c r="Q810" s="3"/>
      <c r="T810" s="3"/>
      <c r="U810" s="3"/>
      <c r="V810" s="3"/>
      <c r="Y810" s="3"/>
      <c r="Z810" s="3"/>
      <c r="AA810" s="3"/>
      <c r="AB810" s="3"/>
      <c r="AC810" s="3"/>
      <c r="AH810" s="3"/>
    </row>
    <row r="811" spans="5:34" s="1" customFormat="1">
      <c r="E811" s="3"/>
      <c r="F811" s="3"/>
      <c r="G811" s="3"/>
      <c r="J811" s="3"/>
      <c r="K811" s="3"/>
      <c r="L811" s="3"/>
      <c r="O811" s="3"/>
      <c r="P811" s="3"/>
      <c r="Q811" s="3"/>
      <c r="T811" s="3"/>
      <c r="U811" s="3"/>
      <c r="V811" s="3"/>
      <c r="Y811" s="3"/>
      <c r="Z811" s="3"/>
      <c r="AA811" s="3"/>
      <c r="AB811" s="3"/>
      <c r="AC811" s="3"/>
      <c r="AH811" s="3"/>
    </row>
    <row r="812" spans="5:34" s="1" customFormat="1">
      <c r="E812" s="3"/>
      <c r="F812" s="3"/>
      <c r="G812" s="3"/>
      <c r="J812" s="3"/>
      <c r="K812" s="3"/>
      <c r="L812" s="3"/>
      <c r="O812" s="3"/>
      <c r="P812" s="3"/>
      <c r="Q812" s="3"/>
      <c r="T812" s="3"/>
      <c r="U812" s="3"/>
      <c r="V812" s="3"/>
      <c r="Y812" s="3"/>
      <c r="Z812" s="3"/>
      <c r="AA812" s="3"/>
      <c r="AB812" s="3"/>
      <c r="AC812" s="3"/>
      <c r="AH812" s="3"/>
    </row>
    <row r="813" spans="5:34" s="1" customFormat="1">
      <c r="E813" s="3"/>
      <c r="F813" s="3"/>
      <c r="G813" s="3"/>
      <c r="J813" s="3"/>
      <c r="K813" s="3"/>
      <c r="L813" s="3"/>
      <c r="O813" s="3"/>
      <c r="P813" s="3"/>
      <c r="Q813" s="3"/>
      <c r="T813" s="3"/>
      <c r="U813" s="3"/>
      <c r="V813" s="3"/>
      <c r="Y813" s="3"/>
      <c r="Z813" s="3"/>
      <c r="AA813" s="3"/>
      <c r="AB813" s="3"/>
      <c r="AC813" s="3"/>
      <c r="AH813" s="3"/>
    </row>
    <row r="814" spans="5:34" s="1" customFormat="1">
      <c r="E814" s="3"/>
      <c r="F814" s="3"/>
      <c r="G814" s="3"/>
      <c r="J814" s="3"/>
      <c r="K814" s="3"/>
      <c r="L814" s="3"/>
      <c r="O814" s="3"/>
      <c r="P814" s="3"/>
      <c r="Q814" s="3"/>
      <c r="T814" s="3"/>
      <c r="U814" s="3"/>
      <c r="V814" s="3"/>
      <c r="Y814" s="3"/>
      <c r="Z814" s="3"/>
      <c r="AA814" s="3"/>
      <c r="AB814" s="3"/>
      <c r="AC814" s="3"/>
      <c r="AH814" s="3"/>
    </row>
    <row r="815" spans="5:34" s="1" customFormat="1">
      <c r="E815" s="3"/>
      <c r="F815" s="3"/>
      <c r="G815" s="3"/>
      <c r="J815" s="3"/>
      <c r="K815" s="3"/>
      <c r="L815" s="3"/>
      <c r="O815" s="3"/>
      <c r="P815" s="3"/>
      <c r="Q815" s="3"/>
      <c r="T815" s="3"/>
      <c r="U815" s="3"/>
      <c r="V815" s="3"/>
      <c r="Y815" s="3"/>
      <c r="Z815" s="3"/>
      <c r="AA815" s="3"/>
      <c r="AB815" s="3"/>
      <c r="AC815" s="3"/>
      <c r="AH815" s="3"/>
    </row>
    <row r="816" spans="5:34" s="1" customFormat="1">
      <c r="E816" s="3"/>
      <c r="F816" s="3"/>
      <c r="G816" s="3"/>
      <c r="J816" s="3"/>
      <c r="K816" s="3"/>
      <c r="L816" s="3"/>
      <c r="O816" s="3"/>
      <c r="P816" s="3"/>
      <c r="Q816" s="3"/>
      <c r="T816" s="3"/>
      <c r="U816" s="3"/>
      <c r="V816" s="3"/>
      <c r="Y816" s="3"/>
      <c r="Z816" s="3"/>
      <c r="AA816" s="3"/>
      <c r="AB816" s="3"/>
      <c r="AC816" s="3"/>
      <c r="AH816" s="3"/>
    </row>
    <row r="817" spans="5:34" s="1" customFormat="1">
      <c r="E817" s="3"/>
      <c r="F817" s="3"/>
      <c r="G817" s="3"/>
      <c r="J817" s="3"/>
      <c r="K817" s="3"/>
      <c r="L817" s="3"/>
      <c r="O817" s="3"/>
      <c r="P817" s="3"/>
      <c r="Q817" s="3"/>
      <c r="T817" s="3"/>
      <c r="U817" s="3"/>
      <c r="V817" s="3"/>
      <c r="Y817" s="3"/>
      <c r="Z817" s="3"/>
      <c r="AA817" s="3"/>
      <c r="AB817" s="3"/>
      <c r="AC817" s="3"/>
      <c r="AH817" s="3"/>
    </row>
    <row r="818" spans="5:34" s="1" customFormat="1">
      <c r="E818" s="3"/>
      <c r="F818" s="3"/>
      <c r="G818" s="3"/>
      <c r="J818" s="3"/>
      <c r="K818" s="3"/>
      <c r="L818" s="3"/>
      <c r="O818" s="3"/>
      <c r="P818" s="3"/>
      <c r="Q818" s="3"/>
      <c r="T818" s="3"/>
      <c r="U818" s="3"/>
      <c r="V818" s="3"/>
      <c r="Y818" s="3"/>
      <c r="Z818" s="3"/>
      <c r="AA818" s="3"/>
      <c r="AB818" s="3"/>
      <c r="AC818" s="3"/>
      <c r="AH818" s="3"/>
    </row>
    <row r="819" spans="5:34" s="1" customFormat="1">
      <c r="E819" s="3"/>
      <c r="F819" s="3"/>
      <c r="G819" s="3"/>
      <c r="J819" s="3"/>
      <c r="K819" s="3"/>
      <c r="L819" s="3"/>
      <c r="O819" s="3"/>
      <c r="P819" s="3"/>
      <c r="Q819" s="3"/>
      <c r="T819" s="3"/>
      <c r="U819" s="3"/>
      <c r="V819" s="3"/>
      <c r="Y819" s="3"/>
      <c r="Z819" s="3"/>
      <c r="AA819" s="3"/>
      <c r="AB819" s="3"/>
      <c r="AC819" s="3"/>
      <c r="AH819" s="3"/>
    </row>
    <row r="820" spans="5:34" s="1" customFormat="1">
      <c r="E820" s="3"/>
      <c r="F820" s="3"/>
      <c r="G820" s="3"/>
      <c r="J820" s="3"/>
      <c r="K820" s="3"/>
      <c r="L820" s="3"/>
      <c r="O820" s="3"/>
      <c r="P820" s="3"/>
      <c r="Q820" s="3"/>
      <c r="T820" s="3"/>
      <c r="U820" s="3"/>
      <c r="V820" s="3"/>
      <c r="Y820" s="3"/>
      <c r="Z820" s="3"/>
      <c r="AA820" s="3"/>
      <c r="AB820" s="3"/>
      <c r="AC820" s="3"/>
      <c r="AH820" s="3"/>
    </row>
    <row r="821" spans="5:34" s="1" customFormat="1">
      <c r="E821" s="3"/>
      <c r="F821" s="3"/>
      <c r="G821" s="3"/>
      <c r="J821" s="3"/>
      <c r="K821" s="3"/>
      <c r="L821" s="3"/>
      <c r="O821" s="3"/>
      <c r="P821" s="3"/>
      <c r="Q821" s="3"/>
      <c r="T821" s="3"/>
      <c r="U821" s="3"/>
      <c r="V821" s="3"/>
      <c r="Y821" s="3"/>
      <c r="Z821" s="3"/>
      <c r="AA821" s="3"/>
      <c r="AB821" s="3"/>
      <c r="AC821" s="3"/>
      <c r="AH821" s="3"/>
    </row>
    <row r="822" spans="5:34" s="1" customFormat="1">
      <c r="E822" s="3"/>
      <c r="F822" s="3"/>
      <c r="G822" s="3"/>
      <c r="J822" s="3"/>
      <c r="K822" s="3"/>
      <c r="L822" s="3"/>
      <c r="O822" s="3"/>
      <c r="P822" s="3"/>
      <c r="Q822" s="3"/>
      <c r="T822" s="3"/>
      <c r="U822" s="3"/>
      <c r="V822" s="3"/>
      <c r="Y822" s="3"/>
      <c r="Z822" s="3"/>
      <c r="AA822" s="3"/>
      <c r="AB822" s="3"/>
      <c r="AC822" s="3"/>
      <c r="AH822" s="3"/>
    </row>
    <row r="823" spans="5:34" s="1" customFormat="1">
      <c r="E823" s="3"/>
      <c r="F823" s="3"/>
      <c r="G823" s="3"/>
      <c r="J823" s="3"/>
      <c r="K823" s="3"/>
      <c r="L823" s="3"/>
      <c r="O823" s="3"/>
      <c r="P823" s="3"/>
      <c r="Q823" s="3"/>
      <c r="T823" s="3"/>
      <c r="U823" s="3"/>
      <c r="V823" s="3"/>
      <c r="Y823" s="3"/>
      <c r="Z823" s="3"/>
      <c r="AA823" s="3"/>
      <c r="AB823" s="3"/>
      <c r="AC823" s="3"/>
      <c r="AH823" s="3"/>
    </row>
    <row r="824" spans="5:34" s="1" customFormat="1">
      <c r="E824" s="3"/>
      <c r="F824" s="3"/>
      <c r="G824" s="3"/>
      <c r="J824" s="3"/>
      <c r="K824" s="3"/>
      <c r="L824" s="3"/>
      <c r="O824" s="3"/>
      <c r="P824" s="3"/>
      <c r="Q824" s="3"/>
      <c r="T824" s="3"/>
      <c r="U824" s="3"/>
      <c r="V824" s="3"/>
      <c r="Y824" s="3"/>
      <c r="Z824" s="3"/>
      <c r="AA824" s="3"/>
      <c r="AB824" s="3"/>
      <c r="AC824" s="3"/>
      <c r="AH824" s="3"/>
    </row>
    <row r="825" spans="5:34" s="1" customFormat="1">
      <c r="E825" s="3"/>
      <c r="F825" s="3"/>
      <c r="G825" s="3"/>
      <c r="J825" s="3"/>
      <c r="K825" s="3"/>
      <c r="L825" s="3"/>
      <c r="O825" s="3"/>
      <c r="P825" s="3"/>
      <c r="Q825" s="3"/>
      <c r="T825" s="3"/>
      <c r="U825" s="3"/>
      <c r="V825" s="3"/>
      <c r="Y825" s="3"/>
      <c r="Z825" s="3"/>
      <c r="AA825" s="3"/>
      <c r="AB825" s="3"/>
      <c r="AC825" s="3"/>
      <c r="AH825" s="3"/>
    </row>
    <row r="826" spans="5:34" s="1" customFormat="1">
      <c r="E826" s="3"/>
      <c r="F826" s="3"/>
      <c r="G826" s="3"/>
      <c r="J826" s="3"/>
      <c r="K826" s="3"/>
      <c r="L826" s="3"/>
      <c r="O826" s="3"/>
      <c r="P826" s="3"/>
      <c r="Q826" s="3"/>
      <c r="T826" s="3"/>
      <c r="U826" s="3"/>
      <c r="V826" s="3"/>
      <c r="Y826" s="3"/>
      <c r="Z826" s="3"/>
      <c r="AA826" s="3"/>
      <c r="AB826" s="3"/>
      <c r="AC826" s="3"/>
      <c r="AH826" s="3"/>
    </row>
    <row r="827" spans="5:34" s="1" customFormat="1">
      <c r="E827" s="3"/>
      <c r="F827" s="3"/>
      <c r="G827" s="3"/>
      <c r="J827" s="3"/>
      <c r="K827" s="3"/>
      <c r="L827" s="3"/>
      <c r="O827" s="3"/>
      <c r="P827" s="3"/>
      <c r="Q827" s="3"/>
      <c r="T827" s="3"/>
      <c r="U827" s="3"/>
      <c r="V827" s="3"/>
      <c r="Y827" s="3"/>
      <c r="Z827" s="3"/>
      <c r="AA827" s="3"/>
      <c r="AB827" s="3"/>
      <c r="AC827" s="3"/>
      <c r="AH827" s="3"/>
    </row>
    <row r="828" spans="5:34" s="1" customFormat="1">
      <c r="E828" s="3"/>
      <c r="F828" s="3"/>
      <c r="G828" s="3"/>
      <c r="J828" s="3"/>
      <c r="K828" s="3"/>
      <c r="L828" s="3"/>
      <c r="O828" s="3"/>
      <c r="P828" s="3"/>
      <c r="Q828" s="3"/>
      <c r="T828" s="3"/>
      <c r="U828" s="3"/>
      <c r="V828" s="3"/>
      <c r="Y828" s="3"/>
      <c r="Z828" s="3"/>
      <c r="AA828" s="3"/>
      <c r="AB828" s="3"/>
      <c r="AC828" s="3"/>
      <c r="AH828" s="3"/>
    </row>
    <row r="829" spans="5:34" s="1" customFormat="1">
      <c r="E829" s="3"/>
      <c r="F829" s="3"/>
      <c r="G829" s="3"/>
      <c r="J829" s="3"/>
      <c r="K829" s="3"/>
      <c r="L829" s="3"/>
      <c r="O829" s="3"/>
      <c r="P829" s="3"/>
      <c r="Q829" s="3"/>
      <c r="T829" s="3"/>
      <c r="U829" s="3"/>
      <c r="V829" s="3"/>
      <c r="Y829" s="3"/>
      <c r="Z829" s="3"/>
      <c r="AA829" s="3"/>
      <c r="AB829" s="3"/>
      <c r="AC829" s="3"/>
      <c r="AH829" s="3"/>
    </row>
    <row r="830" spans="5:34" s="1" customFormat="1">
      <c r="E830" s="3"/>
      <c r="F830" s="3"/>
      <c r="G830" s="3"/>
      <c r="J830" s="3"/>
      <c r="K830" s="3"/>
      <c r="L830" s="3"/>
      <c r="O830" s="3"/>
      <c r="P830" s="3"/>
      <c r="Q830" s="3"/>
      <c r="T830" s="3"/>
      <c r="U830" s="3"/>
      <c r="V830" s="3"/>
      <c r="Y830" s="3"/>
      <c r="Z830" s="3"/>
      <c r="AA830" s="3"/>
      <c r="AB830" s="3"/>
      <c r="AC830" s="3"/>
      <c r="AH830" s="3"/>
    </row>
    <row r="831" spans="5:34" s="1" customFormat="1">
      <c r="E831" s="3"/>
      <c r="F831" s="3"/>
      <c r="G831" s="3"/>
      <c r="J831" s="3"/>
      <c r="K831" s="3"/>
      <c r="L831" s="3"/>
      <c r="O831" s="3"/>
      <c r="P831" s="3"/>
      <c r="Q831" s="3"/>
      <c r="T831" s="3"/>
      <c r="U831" s="3"/>
      <c r="V831" s="3"/>
      <c r="Y831" s="3"/>
      <c r="Z831" s="3"/>
      <c r="AA831" s="3"/>
      <c r="AB831" s="3"/>
      <c r="AC831" s="3"/>
      <c r="AH831" s="3"/>
    </row>
    <row r="832" spans="5:34" s="1" customFormat="1">
      <c r="E832" s="3"/>
      <c r="F832" s="3"/>
      <c r="G832" s="3"/>
      <c r="J832" s="3"/>
      <c r="K832" s="3"/>
      <c r="L832" s="3"/>
      <c r="O832" s="3"/>
      <c r="P832" s="3"/>
      <c r="Q832" s="3"/>
      <c r="T832" s="3"/>
      <c r="U832" s="3"/>
      <c r="V832" s="3"/>
      <c r="Y832" s="3"/>
      <c r="Z832" s="3"/>
      <c r="AA832" s="3"/>
      <c r="AB832" s="3"/>
      <c r="AC832" s="3"/>
      <c r="AH832" s="3"/>
    </row>
    <row r="833" spans="5:34" s="1" customFormat="1">
      <c r="E833" s="3"/>
      <c r="F833" s="3"/>
      <c r="G833" s="3"/>
      <c r="J833" s="3"/>
      <c r="K833" s="3"/>
      <c r="L833" s="3"/>
      <c r="O833" s="3"/>
      <c r="P833" s="3"/>
      <c r="Q833" s="3"/>
      <c r="T833" s="3"/>
      <c r="U833" s="3"/>
      <c r="V833" s="3"/>
      <c r="Y833" s="3"/>
      <c r="Z833" s="3"/>
      <c r="AA833" s="3"/>
      <c r="AB833" s="3"/>
      <c r="AC833" s="3"/>
      <c r="AH833" s="3"/>
    </row>
    <row r="834" spans="5:34" s="1" customFormat="1">
      <c r="E834" s="3"/>
      <c r="F834" s="3"/>
      <c r="G834" s="3"/>
      <c r="J834" s="3"/>
      <c r="K834" s="3"/>
      <c r="L834" s="3"/>
      <c r="O834" s="3"/>
      <c r="P834" s="3"/>
      <c r="Q834" s="3"/>
      <c r="T834" s="3"/>
      <c r="U834" s="3"/>
      <c r="V834" s="3"/>
      <c r="Y834" s="3"/>
      <c r="Z834" s="3"/>
      <c r="AA834" s="3"/>
      <c r="AB834" s="3"/>
      <c r="AC834" s="3"/>
      <c r="AH834" s="3"/>
    </row>
    <row r="835" spans="5:34" s="1" customFormat="1">
      <c r="E835" s="3"/>
      <c r="F835" s="3"/>
      <c r="G835" s="3"/>
      <c r="J835" s="3"/>
      <c r="K835" s="3"/>
      <c r="L835" s="3"/>
      <c r="O835" s="3"/>
      <c r="P835" s="3"/>
      <c r="Q835" s="3"/>
      <c r="T835" s="3"/>
      <c r="U835" s="3"/>
      <c r="V835" s="3"/>
      <c r="Y835" s="3"/>
      <c r="Z835" s="3"/>
      <c r="AA835" s="3"/>
      <c r="AB835" s="3"/>
      <c r="AC835" s="3"/>
      <c r="AH835" s="3"/>
    </row>
    <row r="836" spans="5:34" s="1" customFormat="1">
      <c r="E836" s="3"/>
      <c r="F836" s="3"/>
      <c r="G836" s="3"/>
      <c r="J836" s="3"/>
      <c r="K836" s="3"/>
      <c r="L836" s="3"/>
      <c r="O836" s="3"/>
      <c r="P836" s="3"/>
      <c r="Q836" s="3"/>
      <c r="T836" s="3"/>
      <c r="U836" s="3"/>
      <c r="V836" s="3"/>
      <c r="Y836" s="3"/>
      <c r="Z836" s="3"/>
      <c r="AA836" s="3"/>
      <c r="AB836" s="3"/>
      <c r="AC836" s="3"/>
      <c r="AH836" s="3"/>
    </row>
    <row r="837" spans="5:34" s="1" customFormat="1">
      <c r="E837" s="3"/>
      <c r="F837" s="3"/>
      <c r="G837" s="3"/>
      <c r="J837" s="3"/>
      <c r="K837" s="3"/>
      <c r="L837" s="3"/>
      <c r="O837" s="3"/>
      <c r="P837" s="3"/>
      <c r="Q837" s="3"/>
      <c r="T837" s="3"/>
      <c r="U837" s="3"/>
      <c r="V837" s="3"/>
      <c r="Y837" s="3"/>
      <c r="Z837" s="3"/>
      <c r="AA837" s="3"/>
      <c r="AB837" s="3"/>
      <c r="AC837" s="3"/>
      <c r="AH837" s="3"/>
    </row>
    <row r="838" spans="5:34" s="1" customFormat="1">
      <c r="E838" s="3"/>
      <c r="F838" s="3"/>
      <c r="G838" s="3"/>
      <c r="J838" s="3"/>
      <c r="K838" s="3"/>
      <c r="L838" s="3"/>
      <c r="O838" s="3"/>
      <c r="P838" s="3"/>
      <c r="Q838" s="3"/>
      <c r="T838" s="3"/>
      <c r="U838" s="3"/>
      <c r="V838" s="3"/>
      <c r="Y838" s="3"/>
      <c r="Z838" s="3"/>
      <c r="AA838" s="3"/>
      <c r="AB838" s="3"/>
      <c r="AC838" s="3"/>
      <c r="AH838" s="3"/>
    </row>
    <row r="839" spans="5:34" s="1" customFormat="1">
      <c r="E839" s="3"/>
      <c r="F839" s="3"/>
      <c r="G839" s="3"/>
      <c r="J839" s="3"/>
      <c r="K839" s="3"/>
      <c r="L839" s="3"/>
      <c r="O839" s="3"/>
      <c r="P839" s="3"/>
      <c r="Q839" s="3"/>
      <c r="T839" s="3"/>
      <c r="U839" s="3"/>
      <c r="V839" s="3"/>
      <c r="Y839" s="3"/>
      <c r="Z839" s="3"/>
      <c r="AA839" s="3"/>
      <c r="AB839" s="3"/>
      <c r="AC839" s="3"/>
      <c r="AH839" s="3"/>
    </row>
    <row r="840" spans="5:34" s="1" customFormat="1">
      <c r="E840" s="3"/>
      <c r="F840" s="3"/>
      <c r="G840" s="3"/>
      <c r="J840" s="3"/>
      <c r="K840" s="3"/>
      <c r="L840" s="3"/>
      <c r="O840" s="3"/>
      <c r="P840" s="3"/>
      <c r="Q840" s="3"/>
      <c r="T840" s="3"/>
      <c r="U840" s="3"/>
      <c r="V840" s="3"/>
      <c r="Y840" s="3"/>
      <c r="Z840" s="3"/>
      <c r="AA840" s="3"/>
      <c r="AB840" s="3"/>
      <c r="AC840" s="3"/>
      <c r="AH840" s="3"/>
    </row>
    <row r="841" spans="5:34" s="1" customFormat="1">
      <c r="E841" s="3"/>
      <c r="F841" s="3"/>
      <c r="G841" s="3"/>
      <c r="J841" s="3"/>
      <c r="K841" s="3"/>
      <c r="L841" s="3"/>
      <c r="O841" s="3"/>
      <c r="P841" s="3"/>
      <c r="Q841" s="3"/>
      <c r="T841" s="3"/>
      <c r="U841" s="3"/>
      <c r="V841" s="3"/>
      <c r="Y841" s="3"/>
      <c r="Z841" s="3"/>
      <c r="AA841" s="3"/>
      <c r="AB841" s="3"/>
      <c r="AC841" s="3"/>
      <c r="AH841" s="3"/>
    </row>
    <row r="842" spans="5:34" s="1" customFormat="1">
      <c r="E842" s="3"/>
      <c r="F842" s="3"/>
      <c r="G842" s="3"/>
      <c r="J842" s="3"/>
      <c r="K842" s="3"/>
      <c r="L842" s="3"/>
      <c r="O842" s="3"/>
      <c r="P842" s="3"/>
      <c r="Q842" s="3"/>
      <c r="T842" s="3"/>
      <c r="U842" s="3"/>
      <c r="V842" s="3"/>
      <c r="Y842" s="3"/>
      <c r="Z842" s="3"/>
      <c r="AA842" s="3"/>
      <c r="AB842" s="3"/>
      <c r="AC842" s="3"/>
      <c r="AH842" s="3"/>
    </row>
    <row r="843" spans="5:34" s="1" customFormat="1">
      <c r="E843" s="3"/>
      <c r="F843" s="3"/>
      <c r="G843" s="3"/>
      <c r="J843" s="3"/>
      <c r="K843" s="3"/>
      <c r="L843" s="3"/>
      <c r="O843" s="3"/>
      <c r="P843" s="3"/>
      <c r="Q843" s="3"/>
      <c r="T843" s="3"/>
      <c r="U843" s="3"/>
      <c r="V843" s="3"/>
      <c r="Y843" s="3"/>
      <c r="Z843" s="3"/>
      <c r="AA843" s="3"/>
      <c r="AB843" s="3"/>
      <c r="AC843" s="3"/>
      <c r="AH843" s="3"/>
    </row>
    <row r="844" spans="5:34" s="1" customFormat="1">
      <c r="E844" s="3"/>
      <c r="F844" s="3"/>
      <c r="G844" s="3"/>
      <c r="J844" s="3"/>
      <c r="K844" s="3"/>
      <c r="L844" s="3"/>
      <c r="O844" s="3"/>
      <c r="P844" s="3"/>
      <c r="Q844" s="3"/>
      <c r="T844" s="3"/>
      <c r="U844" s="3"/>
      <c r="V844" s="3"/>
      <c r="Y844" s="3"/>
      <c r="Z844" s="3"/>
      <c r="AA844" s="3"/>
      <c r="AB844" s="3"/>
      <c r="AC844" s="3"/>
      <c r="AH844" s="3"/>
    </row>
    <row r="845" spans="5:34" s="1" customFormat="1">
      <c r="E845" s="3"/>
      <c r="F845" s="3"/>
      <c r="G845" s="3"/>
      <c r="J845" s="3"/>
      <c r="K845" s="3"/>
      <c r="L845" s="3"/>
      <c r="O845" s="3"/>
      <c r="P845" s="3"/>
      <c r="Q845" s="3"/>
      <c r="T845" s="3"/>
      <c r="U845" s="3"/>
      <c r="V845" s="3"/>
      <c r="Y845" s="3"/>
      <c r="Z845" s="3"/>
      <c r="AA845" s="3"/>
      <c r="AB845" s="3"/>
      <c r="AC845" s="3"/>
      <c r="AH845" s="3"/>
    </row>
    <row r="846" spans="5:34" s="1" customFormat="1">
      <c r="E846" s="3"/>
      <c r="F846" s="3"/>
      <c r="G846" s="3"/>
      <c r="J846" s="3"/>
      <c r="K846" s="3"/>
      <c r="L846" s="3"/>
      <c r="O846" s="3"/>
      <c r="P846" s="3"/>
      <c r="Q846" s="3"/>
      <c r="T846" s="3"/>
      <c r="U846" s="3"/>
      <c r="V846" s="3"/>
      <c r="Y846" s="3"/>
      <c r="Z846" s="3"/>
      <c r="AA846" s="3"/>
      <c r="AB846" s="3"/>
      <c r="AC846" s="3"/>
      <c r="AH846" s="3"/>
    </row>
    <row r="847" spans="5:34" s="1" customFormat="1">
      <c r="E847" s="3"/>
      <c r="F847" s="3"/>
      <c r="G847" s="3"/>
      <c r="J847" s="3"/>
      <c r="K847" s="3"/>
      <c r="L847" s="3"/>
      <c r="O847" s="3"/>
      <c r="P847" s="3"/>
      <c r="Q847" s="3"/>
      <c r="T847" s="3"/>
      <c r="U847" s="3"/>
      <c r="V847" s="3"/>
      <c r="Y847" s="3"/>
      <c r="Z847" s="3"/>
      <c r="AA847" s="3"/>
      <c r="AB847" s="3"/>
      <c r="AC847" s="3"/>
      <c r="AH847" s="3"/>
    </row>
    <row r="848" spans="5:34" s="1" customFormat="1">
      <c r="E848" s="3"/>
      <c r="F848" s="3"/>
      <c r="G848" s="3"/>
      <c r="J848" s="3"/>
      <c r="K848" s="3"/>
      <c r="L848" s="3"/>
      <c r="O848" s="3"/>
      <c r="P848" s="3"/>
      <c r="Q848" s="3"/>
      <c r="T848" s="3"/>
      <c r="U848" s="3"/>
      <c r="V848" s="3"/>
      <c r="Y848" s="3"/>
      <c r="Z848" s="3"/>
      <c r="AA848" s="3"/>
      <c r="AB848" s="3"/>
      <c r="AC848" s="3"/>
      <c r="AH848" s="3"/>
    </row>
    <row r="849" spans="5:34" s="1" customFormat="1">
      <c r="E849" s="3"/>
      <c r="F849" s="3"/>
      <c r="G849" s="3"/>
      <c r="J849" s="3"/>
      <c r="K849" s="3"/>
      <c r="L849" s="3"/>
      <c r="O849" s="3"/>
      <c r="P849" s="3"/>
      <c r="Q849" s="3"/>
      <c r="T849" s="3"/>
      <c r="U849" s="3"/>
      <c r="V849" s="3"/>
      <c r="Y849" s="3"/>
      <c r="Z849" s="3"/>
      <c r="AA849" s="3"/>
      <c r="AB849" s="3"/>
      <c r="AC849" s="3"/>
      <c r="AH849" s="3"/>
    </row>
    <row r="850" spans="5:34" s="1" customFormat="1">
      <c r="E850" s="3"/>
      <c r="F850" s="3"/>
      <c r="G850" s="3"/>
      <c r="J850" s="3"/>
      <c r="K850" s="3"/>
      <c r="L850" s="3"/>
      <c r="O850" s="3"/>
      <c r="P850" s="3"/>
      <c r="Q850" s="3"/>
      <c r="T850" s="3"/>
      <c r="U850" s="3"/>
      <c r="V850" s="3"/>
      <c r="Y850" s="3"/>
      <c r="Z850" s="3"/>
      <c r="AA850" s="3"/>
      <c r="AB850" s="3"/>
      <c r="AC850" s="3"/>
      <c r="AH850" s="3"/>
    </row>
    <row r="851" spans="5:34" s="1" customFormat="1">
      <c r="E851" s="3"/>
      <c r="F851" s="3"/>
      <c r="G851" s="3"/>
      <c r="J851" s="3"/>
      <c r="K851" s="3"/>
      <c r="L851" s="3"/>
      <c r="O851" s="3"/>
      <c r="P851" s="3"/>
      <c r="Q851" s="3"/>
      <c r="T851" s="3"/>
      <c r="U851" s="3"/>
      <c r="V851" s="3"/>
      <c r="Y851" s="3"/>
      <c r="Z851" s="3"/>
      <c r="AA851" s="3"/>
      <c r="AB851" s="3"/>
      <c r="AC851" s="3"/>
      <c r="AH851" s="3"/>
    </row>
    <row r="852" spans="5:34" s="1" customFormat="1">
      <c r="E852" s="3"/>
      <c r="F852" s="3"/>
      <c r="G852" s="3"/>
      <c r="J852" s="3"/>
      <c r="K852" s="3"/>
      <c r="L852" s="3"/>
      <c r="O852" s="3"/>
      <c r="P852" s="3"/>
      <c r="Q852" s="3"/>
      <c r="T852" s="3"/>
      <c r="U852" s="3"/>
      <c r="V852" s="3"/>
      <c r="Y852" s="3"/>
      <c r="Z852" s="3"/>
      <c r="AA852" s="3"/>
      <c r="AB852" s="3"/>
      <c r="AC852" s="3"/>
      <c r="AH852" s="3"/>
    </row>
    <row r="853" spans="5:34" s="1" customFormat="1">
      <c r="E853" s="3"/>
      <c r="F853" s="3"/>
      <c r="G853" s="3"/>
      <c r="J853" s="3"/>
      <c r="K853" s="3"/>
      <c r="L853" s="3"/>
      <c r="O853" s="3"/>
      <c r="P853" s="3"/>
      <c r="Q853" s="3"/>
      <c r="T853" s="3"/>
      <c r="U853" s="3"/>
      <c r="V853" s="3"/>
      <c r="Y853" s="3"/>
      <c r="Z853" s="3"/>
      <c r="AA853" s="3"/>
      <c r="AB853" s="3"/>
      <c r="AC853" s="3"/>
      <c r="AH853" s="3"/>
    </row>
    <row r="854" spans="5:34" s="1" customFormat="1">
      <c r="E854" s="3"/>
      <c r="F854" s="3"/>
      <c r="G854" s="3"/>
      <c r="J854" s="3"/>
      <c r="K854" s="3"/>
      <c r="L854" s="3"/>
      <c r="O854" s="3"/>
      <c r="P854" s="3"/>
      <c r="Q854" s="3"/>
      <c r="T854" s="3"/>
      <c r="U854" s="3"/>
      <c r="V854" s="3"/>
      <c r="Y854" s="3"/>
      <c r="Z854" s="3"/>
      <c r="AA854" s="3"/>
      <c r="AB854" s="3"/>
      <c r="AC854" s="3"/>
      <c r="AH854" s="3"/>
    </row>
    <row r="855" spans="5:34" s="1" customFormat="1">
      <c r="E855" s="3"/>
      <c r="F855" s="3"/>
      <c r="G855" s="3"/>
      <c r="J855" s="3"/>
      <c r="K855" s="3"/>
      <c r="L855" s="3"/>
      <c r="O855" s="3"/>
      <c r="P855" s="3"/>
      <c r="Q855" s="3"/>
      <c r="T855" s="3"/>
      <c r="U855" s="3"/>
      <c r="V855" s="3"/>
      <c r="Y855" s="3"/>
      <c r="Z855" s="3"/>
      <c r="AA855" s="3"/>
      <c r="AB855" s="3"/>
      <c r="AC855" s="3"/>
      <c r="AH855" s="3"/>
    </row>
    <row r="856" spans="5:34" s="1" customFormat="1">
      <c r="E856" s="3"/>
      <c r="F856" s="3"/>
      <c r="G856" s="3"/>
      <c r="J856" s="3"/>
      <c r="K856" s="3"/>
      <c r="L856" s="3"/>
      <c r="O856" s="3"/>
      <c r="P856" s="3"/>
      <c r="Q856" s="3"/>
      <c r="T856" s="3"/>
      <c r="U856" s="3"/>
      <c r="V856" s="3"/>
      <c r="Y856" s="3"/>
      <c r="Z856" s="3"/>
      <c r="AA856" s="3"/>
      <c r="AB856" s="3"/>
      <c r="AC856" s="3"/>
      <c r="AH856" s="3"/>
    </row>
    <row r="857" spans="5:34" s="1" customFormat="1">
      <c r="E857" s="3"/>
      <c r="F857" s="3"/>
      <c r="G857" s="3"/>
      <c r="J857" s="3"/>
      <c r="K857" s="3"/>
      <c r="L857" s="3"/>
      <c r="O857" s="3"/>
      <c r="P857" s="3"/>
      <c r="Q857" s="3"/>
      <c r="T857" s="3"/>
      <c r="U857" s="3"/>
      <c r="V857" s="3"/>
      <c r="Y857" s="3"/>
      <c r="Z857" s="3"/>
      <c r="AA857" s="3"/>
      <c r="AB857" s="3"/>
      <c r="AC857" s="3"/>
      <c r="AH857" s="3"/>
    </row>
    <row r="858" spans="5:34" s="1" customFormat="1">
      <c r="E858" s="3"/>
      <c r="F858" s="3"/>
      <c r="G858" s="3"/>
      <c r="J858" s="3"/>
      <c r="K858" s="3"/>
      <c r="L858" s="3"/>
      <c r="O858" s="3"/>
      <c r="P858" s="3"/>
      <c r="Q858" s="3"/>
      <c r="T858" s="3"/>
      <c r="U858" s="3"/>
      <c r="V858" s="3"/>
      <c r="Y858" s="3"/>
      <c r="Z858" s="3"/>
      <c r="AA858" s="3"/>
      <c r="AB858" s="3"/>
      <c r="AC858" s="3"/>
      <c r="AH858" s="3"/>
    </row>
    <row r="859" spans="5:34" s="1" customFormat="1">
      <c r="E859" s="3"/>
      <c r="F859" s="3"/>
      <c r="G859" s="3"/>
      <c r="J859" s="3"/>
      <c r="K859" s="3"/>
      <c r="L859" s="3"/>
      <c r="O859" s="3"/>
      <c r="P859" s="3"/>
      <c r="Q859" s="3"/>
      <c r="T859" s="3"/>
      <c r="U859" s="3"/>
      <c r="V859" s="3"/>
      <c r="Y859" s="3"/>
      <c r="Z859" s="3"/>
      <c r="AA859" s="3"/>
      <c r="AB859" s="3"/>
      <c r="AC859" s="3"/>
      <c r="AH859" s="3"/>
    </row>
    <row r="860" spans="5:34" s="1" customFormat="1">
      <c r="E860" s="3"/>
      <c r="F860" s="3"/>
      <c r="G860" s="3"/>
      <c r="J860" s="3"/>
      <c r="K860" s="3"/>
      <c r="L860" s="3"/>
      <c r="O860" s="3"/>
      <c r="P860" s="3"/>
      <c r="Q860" s="3"/>
      <c r="T860" s="3"/>
      <c r="U860" s="3"/>
      <c r="V860" s="3"/>
      <c r="Y860" s="3"/>
      <c r="Z860" s="3"/>
      <c r="AA860" s="3"/>
      <c r="AB860" s="3"/>
      <c r="AC860" s="3"/>
      <c r="AH860" s="3"/>
    </row>
    <row r="861" spans="5:34" s="1" customFormat="1">
      <c r="E861" s="3"/>
      <c r="F861" s="3"/>
      <c r="G861" s="3"/>
      <c r="J861" s="3"/>
      <c r="K861" s="3"/>
      <c r="L861" s="3"/>
      <c r="O861" s="3"/>
      <c r="P861" s="3"/>
      <c r="Q861" s="3"/>
      <c r="T861" s="3"/>
      <c r="U861" s="3"/>
      <c r="V861" s="3"/>
      <c r="Y861" s="3"/>
      <c r="Z861" s="3"/>
      <c r="AA861" s="3"/>
      <c r="AB861" s="3"/>
      <c r="AC861" s="3"/>
      <c r="AH861" s="3"/>
    </row>
    <row r="862" spans="5:34" s="1" customFormat="1">
      <c r="E862" s="3"/>
      <c r="F862" s="3"/>
      <c r="G862" s="3"/>
      <c r="J862" s="3"/>
      <c r="K862" s="3"/>
      <c r="L862" s="3"/>
      <c r="O862" s="3"/>
      <c r="P862" s="3"/>
      <c r="Q862" s="3"/>
      <c r="T862" s="3"/>
      <c r="U862" s="3"/>
      <c r="V862" s="3"/>
      <c r="Y862" s="3"/>
      <c r="Z862" s="3"/>
      <c r="AA862" s="3"/>
      <c r="AB862" s="3"/>
      <c r="AC862" s="3"/>
      <c r="AH862" s="3"/>
    </row>
    <row r="863" spans="5:34" s="1" customFormat="1">
      <c r="E863" s="3"/>
      <c r="F863" s="3"/>
      <c r="G863" s="3"/>
      <c r="J863" s="3"/>
      <c r="K863" s="3"/>
      <c r="L863" s="3"/>
      <c r="O863" s="3"/>
      <c r="P863" s="3"/>
      <c r="Q863" s="3"/>
      <c r="T863" s="3"/>
      <c r="U863" s="3"/>
      <c r="V863" s="3"/>
      <c r="Y863" s="3"/>
      <c r="Z863" s="3"/>
      <c r="AA863" s="3"/>
      <c r="AB863" s="3"/>
      <c r="AC863" s="3"/>
      <c r="AH863" s="3"/>
    </row>
    <row r="864" spans="5:34" s="1" customFormat="1">
      <c r="E864" s="3"/>
      <c r="F864" s="3"/>
      <c r="G864" s="3"/>
      <c r="J864" s="3"/>
      <c r="K864" s="3"/>
      <c r="L864" s="3"/>
      <c r="O864" s="3"/>
      <c r="P864" s="3"/>
      <c r="Q864" s="3"/>
      <c r="T864" s="3"/>
      <c r="U864" s="3"/>
      <c r="V864" s="3"/>
      <c r="Y864" s="3"/>
      <c r="Z864" s="3"/>
      <c r="AA864" s="3"/>
      <c r="AB864" s="3"/>
      <c r="AC864" s="3"/>
      <c r="AH864" s="3"/>
    </row>
    <row r="865" spans="5:34" s="1" customFormat="1">
      <c r="E865" s="3"/>
      <c r="F865" s="3"/>
      <c r="G865" s="3"/>
      <c r="J865" s="3"/>
      <c r="K865" s="3"/>
      <c r="L865" s="3"/>
      <c r="O865" s="3"/>
      <c r="P865" s="3"/>
      <c r="Q865" s="3"/>
      <c r="T865" s="3"/>
      <c r="U865" s="3"/>
      <c r="V865" s="3"/>
      <c r="Y865" s="3"/>
      <c r="Z865" s="3"/>
      <c r="AA865" s="3"/>
      <c r="AB865" s="3"/>
      <c r="AC865" s="3"/>
      <c r="AH865" s="3"/>
    </row>
    <row r="866" spans="5:34" s="1" customFormat="1">
      <c r="E866" s="3"/>
      <c r="F866" s="3"/>
      <c r="G866" s="3"/>
      <c r="J866" s="3"/>
      <c r="K866" s="3"/>
      <c r="L866" s="3"/>
      <c r="O866" s="3"/>
      <c r="P866" s="3"/>
      <c r="Q866" s="3"/>
      <c r="T866" s="3"/>
      <c r="U866" s="3"/>
      <c r="V866" s="3"/>
      <c r="Y866" s="3"/>
      <c r="Z866" s="3"/>
      <c r="AA866" s="3"/>
      <c r="AB866" s="3"/>
      <c r="AC866" s="3"/>
      <c r="AH866" s="3"/>
    </row>
    <row r="867" spans="5:34" s="1" customFormat="1">
      <c r="E867" s="3"/>
      <c r="F867" s="3"/>
      <c r="G867" s="3"/>
      <c r="J867" s="3"/>
      <c r="K867" s="3"/>
      <c r="L867" s="3"/>
      <c r="O867" s="3"/>
      <c r="P867" s="3"/>
      <c r="Q867" s="3"/>
      <c r="T867" s="3"/>
      <c r="U867" s="3"/>
      <c r="V867" s="3"/>
      <c r="Y867" s="3"/>
      <c r="Z867" s="3"/>
      <c r="AA867" s="3"/>
      <c r="AB867" s="3"/>
      <c r="AC867" s="3"/>
      <c r="AH867" s="3"/>
    </row>
    <row r="868" spans="5:34" s="1" customFormat="1">
      <c r="E868" s="3"/>
      <c r="F868" s="3"/>
      <c r="G868" s="3"/>
      <c r="J868" s="3"/>
      <c r="K868" s="3"/>
      <c r="L868" s="3"/>
      <c r="O868" s="3"/>
      <c r="P868" s="3"/>
      <c r="Q868" s="3"/>
      <c r="T868" s="3"/>
      <c r="U868" s="3"/>
      <c r="V868" s="3"/>
      <c r="Y868" s="3"/>
      <c r="Z868" s="3"/>
      <c r="AA868" s="3"/>
      <c r="AB868" s="3"/>
      <c r="AC868" s="3"/>
      <c r="AH868" s="3"/>
    </row>
    <row r="869" spans="5:34" s="1" customFormat="1">
      <c r="E869" s="3"/>
      <c r="F869" s="3"/>
      <c r="G869" s="3"/>
      <c r="J869" s="3"/>
      <c r="K869" s="3"/>
      <c r="L869" s="3"/>
      <c r="O869" s="3"/>
      <c r="P869" s="3"/>
      <c r="Q869" s="3"/>
      <c r="T869" s="3"/>
      <c r="U869" s="3"/>
      <c r="V869" s="3"/>
      <c r="Y869" s="3"/>
      <c r="Z869" s="3"/>
      <c r="AA869" s="3"/>
      <c r="AB869" s="3"/>
      <c r="AC869" s="3"/>
      <c r="AH869" s="3"/>
    </row>
    <row r="870" spans="5:34" s="1" customFormat="1">
      <c r="E870" s="3"/>
      <c r="F870" s="3"/>
      <c r="G870" s="3"/>
      <c r="J870" s="3"/>
      <c r="K870" s="3"/>
      <c r="L870" s="3"/>
      <c r="O870" s="3"/>
      <c r="P870" s="3"/>
      <c r="Q870" s="3"/>
      <c r="T870" s="3"/>
      <c r="U870" s="3"/>
      <c r="V870" s="3"/>
      <c r="Y870" s="3"/>
      <c r="Z870" s="3"/>
      <c r="AA870" s="3"/>
      <c r="AB870" s="3"/>
      <c r="AC870" s="3"/>
      <c r="AH870" s="3"/>
    </row>
    <row r="871" spans="5:34" s="1" customFormat="1">
      <c r="E871" s="3"/>
      <c r="F871" s="3"/>
      <c r="G871" s="3"/>
      <c r="J871" s="3"/>
      <c r="K871" s="3"/>
      <c r="L871" s="3"/>
      <c r="O871" s="3"/>
      <c r="P871" s="3"/>
      <c r="Q871" s="3"/>
      <c r="T871" s="3"/>
      <c r="U871" s="3"/>
      <c r="V871" s="3"/>
      <c r="Y871" s="3"/>
      <c r="Z871" s="3"/>
      <c r="AA871" s="3"/>
      <c r="AB871" s="3"/>
      <c r="AC871" s="3"/>
      <c r="AH871" s="3"/>
    </row>
    <row r="872" spans="5:34" s="1" customFormat="1">
      <c r="E872" s="3"/>
      <c r="F872" s="3"/>
      <c r="G872" s="3"/>
      <c r="J872" s="3"/>
      <c r="K872" s="3"/>
      <c r="L872" s="3"/>
      <c r="O872" s="3"/>
      <c r="P872" s="3"/>
      <c r="Q872" s="3"/>
      <c r="T872" s="3"/>
      <c r="U872" s="3"/>
      <c r="V872" s="3"/>
      <c r="Y872" s="3"/>
      <c r="Z872" s="3"/>
      <c r="AA872" s="3"/>
      <c r="AB872" s="3"/>
      <c r="AC872" s="3"/>
      <c r="AH872" s="3"/>
    </row>
    <row r="873" spans="5:34" s="1" customFormat="1">
      <c r="E873" s="3"/>
      <c r="F873" s="3"/>
      <c r="G873" s="3"/>
      <c r="J873" s="3"/>
      <c r="K873" s="3"/>
      <c r="L873" s="3"/>
      <c r="O873" s="3"/>
      <c r="P873" s="3"/>
      <c r="Q873" s="3"/>
      <c r="T873" s="3"/>
      <c r="U873" s="3"/>
      <c r="V873" s="3"/>
      <c r="Y873" s="3"/>
      <c r="Z873" s="3"/>
      <c r="AA873" s="3"/>
      <c r="AB873" s="3"/>
      <c r="AC873" s="3"/>
      <c r="AH873" s="3"/>
    </row>
    <row r="874" spans="5:34" s="1" customFormat="1">
      <c r="E874" s="3"/>
      <c r="F874" s="3"/>
      <c r="G874" s="3"/>
      <c r="J874" s="3"/>
      <c r="K874" s="3"/>
      <c r="L874" s="3"/>
      <c r="O874" s="3"/>
      <c r="P874" s="3"/>
      <c r="Q874" s="3"/>
      <c r="T874" s="3"/>
      <c r="U874" s="3"/>
      <c r="V874" s="3"/>
      <c r="Y874" s="3"/>
      <c r="Z874" s="3"/>
      <c r="AA874" s="3"/>
      <c r="AB874" s="3"/>
      <c r="AC874" s="3"/>
      <c r="AH874" s="3"/>
    </row>
    <row r="875" spans="5:34" s="1" customFormat="1">
      <c r="E875" s="3"/>
      <c r="F875" s="3"/>
      <c r="G875" s="3"/>
      <c r="J875" s="3"/>
      <c r="K875" s="3"/>
      <c r="L875" s="3"/>
      <c r="O875" s="3"/>
      <c r="P875" s="3"/>
      <c r="Q875" s="3"/>
      <c r="T875" s="3"/>
      <c r="U875" s="3"/>
      <c r="V875" s="3"/>
      <c r="Y875" s="3"/>
      <c r="Z875" s="3"/>
      <c r="AA875" s="3"/>
      <c r="AB875" s="3"/>
      <c r="AC875" s="3"/>
      <c r="AH875" s="3"/>
    </row>
    <row r="876" spans="5:34" s="1" customFormat="1">
      <c r="E876" s="3"/>
      <c r="F876" s="3"/>
      <c r="G876" s="3"/>
      <c r="J876" s="3"/>
      <c r="K876" s="3"/>
      <c r="L876" s="3"/>
      <c r="O876" s="3"/>
      <c r="P876" s="3"/>
      <c r="Q876" s="3"/>
      <c r="T876" s="3"/>
      <c r="U876" s="3"/>
      <c r="V876" s="3"/>
      <c r="Y876" s="3"/>
      <c r="Z876" s="3"/>
      <c r="AA876" s="3"/>
      <c r="AB876" s="3"/>
      <c r="AC876" s="3"/>
      <c r="AH876" s="3"/>
    </row>
    <row r="877" spans="5:34" s="1" customFormat="1">
      <c r="E877" s="3"/>
      <c r="F877" s="3"/>
      <c r="G877" s="3"/>
      <c r="J877" s="3"/>
      <c r="K877" s="3"/>
      <c r="L877" s="3"/>
      <c r="O877" s="3"/>
      <c r="P877" s="3"/>
      <c r="Q877" s="3"/>
      <c r="T877" s="3"/>
      <c r="U877" s="3"/>
      <c r="V877" s="3"/>
      <c r="Y877" s="3"/>
      <c r="Z877" s="3"/>
      <c r="AA877" s="3"/>
      <c r="AB877" s="3"/>
      <c r="AC877" s="3"/>
      <c r="AH877" s="3"/>
    </row>
    <row r="878" spans="5:34" s="1" customFormat="1">
      <c r="E878" s="3"/>
      <c r="F878" s="3"/>
      <c r="G878" s="3"/>
      <c r="J878" s="3"/>
      <c r="K878" s="3"/>
      <c r="L878" s="3"/>
      <c r="O878" s="3"/>
      <c r="P878" s="3"/>
      <c r="Q878" s="3"/>
      <c r="T878" s="3"/>
      <c r="U878" s="3"/>
      <c r="V878" s="3"/>
      <c r="Y878" s="3"/>
      <c r="Z878" s="3"/>
      <c r="AA878" s="3"/>
      <c r="AB878" s="3"/>
      <c r="AC878" s="3"/>
      <c r="AH878" s="3"/>
    </row>
    <row r="879" spans="5:34" s="1" customFormat="1">
      <c r="E879" s="3"/>
      <c r="F879" s="3"/>
      <c r="G879" s="3"/>
      <c r="J879" s="3"/>
      <c r="K879" s="3"/>
      <c r="L879" s="3"/>
      <c r="O879" s="3"/>
      <c r="P879" s="3"/>
      <c r="Q879" s="3"/>
      <c r="T879" s="3"/>
      <c r="U879" s="3"/>
      <c r="V879" s="3"/>
      <c r="Y879" s="3"/>
      <c r="Z879" s="3"/>
      <c r="AA879" s="3"/>
      <c r="AB879" s="3"/>
      <c r="AC879" s="3"/>
      <c r="AH879" s="3"/>
    </row>
    <row r="880" spans="5:34" s="1" customFormat="1">
      <c r="E880" s="3"/>
      <c r="F880" s="3"/>
      <c r="G880" s="3"/>
      <c r="J880" s="3"/>
      <c r="K880" s="3"/>
      <c r="L880" s="3"/>
      <c r="O880" s="3"/>
      <c r="P880" s="3"/>
      <c r="Q880" s="3"/>
      <c r="T880" s="3"/>
      <c r="U880" s="3"/>
      <c r="V880" s="3"/>
      <c r="Y880" s="3"/>
      <c r="Z880" s="3"/>
      <c r="AA880" s="3"/>
      <c r="AB880" s="3"/>
      <c r="AC880" s="3"/>
      <c r="AH880" s="3"/>
    </row>
    <row r="881" spans="5:34" s="1" customFormat="1">
      <c r="E881" s="3"/>
      <c r="F881" s="3"/>
      <c r="G881" s="3"/>
      <c r="J881" s="3"/>
      <c r="K881" s="3"/>
      <c r="L881" s="3"/>
      <c r="O881" s="3"/>
      <c r="P881" s="3"/>
      <c r="Q881" s="3"/>
      <c r="T881" s="3"/>
      <c r="U881" s="3"/>
      <c r="V881" s="3"/>
      <c r="Y881" s="3"/>
      <c r="Z881" s="3"/>
      <c r="AA881" s="3"/>
      <c r="AB881" s="3"/>
      <c r="AC881" s="3"/>
      <c r="AH881" s="3"/>
    </row>
    <row r="882" spans="5:34" s="1" customFormat="1">
      <c r="E882" s="3"/>
      <c r="F882" s="3"/>
      <c r="G882" s="3"/>
      <c r="J882" s="3"/>
      <c r="K882" s="3"/>
      <c r="L882" s="3"/>
      <c r="O882" s="3"/>
      <c r="P882" s="3"/>
      <c r="Q882" s="3"/>
      <c r="T882" s="3"/>
      <c r="U882" s="3"/>
      <c r="V882" s="3"/>
      <c r="Y882" s="3"/>
      <c r="Z882" s="3"/>
      <c r="AA882" s="3"/>
      <c r="AB882" s="3"/>
      <c r="AC882" s="3"/>
      <c r="AH882" s="3"/>
    </row>
    <row r="883" spans="5:34" s="1" customFormat="1">
      <c r="E883" s="3"/>
      <c r="F883" s="3"/>
      <c r="G883" s="3"/>
      <c r="J883" s="3"/>
      <c r="K883" s="3"/>
      <c r="L883" s="3"/>
      <c r="O883" s="3"/>
      <c r="P883" s="3"/>
      <c r="Q883" s="3"/>
      <c r="T883" s="3"/>
      <c r="U883" s="3"/>
      <c r="V883" s="3"/>
      <c r="Y883" s="3"/>
      <c r="Z883" s="3"/>
      <c r="AA883" s="3"/>
      <c r="AB883" s="3"/>
      <c r="AC883" s="3"/>
      <c r="AH883" s="3"/>
    </row>
    <row r="884" spans="5:34" s="1" customFormat="1">
      <c r="E884" s="3"/>
      <c r="F884" s="3"/>
      <c r="G884" s="3"/>
      <c r="J884" s="3"/>
      <c r="K884" s="3"/>
      <c r="L884" s="3"/>
      <c r="O884" s="3"/>
      <c r="P884" s="3"/>
      <c r="Q884" s="3"/>
      <c r="T884" s="3"/>
      <c r="U884" s="3"/>
      <c r="V884" s="3"/>
      <c r="Y884" s="3"/>
      <c r="Z884" s="3"/>
      <c r="AA884" s="3"/>
      <c r="AB884" s="3"/>
      <c r="AC884" s="3"/>
      <c r="AH884" s="3"/>
    </row>
    <row r="885" spans="5:34" s="1" customFormat="1">
      <c r="E885" s="3"/>
      <c r="F885" s="3"/>
      <c r="G885" s="3"/>
      <c r="J885" s="3"/>
      <c r="K885" s="3"/>
      <c r="L885" s="3"/>
      <c r="O885" s="3"/>
      <c r="P885" s="3"/>
      <c r="Q885" s="3"/>
      <c r="T885" s="3"/>
      <c r="U885" s="3"/>
      <c r="V885" s="3"/>
      <c r="Y885" s="3"/>
      <c r="Z885" s="3"/>
      <c r="AA885" s="3"/>
      <c r="AB885" s="3"/>
      <c r="AC885" s="3"/>
      <c r="AH885" s="3"/>
    </row>
    <row r="886" spans="5:34" s="1" customFormat="1">
      <c r="E886" s="3"/>
      <c r="F886" s="3"/>
      <c r="G886" s="3"/>
      <c r="J886" s="3"/>
      <c r="K886" s="3"/>
      <c r="L886" s="3"/>
      <c r="O886" s="3"/>
      <c r="P886" s="3"/>
      <c r="Q886" s="3"/>
      <c r="T886" s="3"/>
      <c r="U886" s="3"/>
      <c r="V886" s="3"/>
      <c r="Y886" s="3"/>
      <c r="Z886" s="3"/>
      <c r="AA886" s="3"/>
      <c r="AB886" s="3"/>
      <c r="AC886" s="3"/>
      <c r="AH886" s="3"/>
    </row>
    <row r="887" spans="5:34" s="1" customFormat="1">
      <c r="E887" s="3"/>
      <c r="F887" s="3"/>
      <c r="G887" s="3"/>
      <c r="J887" s="3"/>
      <c r="K887" s="3"/>
      <c r="L887" s="3"/>
      <c r="O887" s="3"/>
      <c r="P887" s="3"/>
      <c r="Q887" s="3"/>
      <c r="T887" s="3"/>
      <c r="U887" s="3"/>
      <c r="V887" s="3"/>
      <c r="Y887" s="3"/>
      <c r="Z887" s="3"/>
      <c r="AA887" s="3"/>
      <c r="AB887" s="3"/>
      <c r="AC887" s="3"/>
      <c r="AH887" s="3"/>
    </row>
    <row r="888" spans="5:34" s="1" customFormat="1">
      <c r="E888" s="3"/>
      <c r="F888" s="3"/>
      <c r="G888" s="3"/>
      <c r="J888" s="3"/>
      <c r="K888" s="3"/>
      <c r="L888" s="3"/>
      <c r="O888" s="3"/>
      <c r="P888" s="3"/>
      <c r="Q888" s="3"/>
      <c r="T888" s="3"/>
      <c r="U888" s="3"/>
      <c r="V888" s="3"/>
      <c r="Y888" s="3"/>
      <c r="Z888" s="3"/>
      <c r="AA888" s="3"/>
      <c r="AB888" s="3"/>
      <c r="AC888" s="3"/>
      <c r="AH888" s="3"/>
    </row>
    <row r="889" spans="5:34" s="1" customFormat="1">
      <c r="E889" s="3"/>
      <c r="F889" s="3"/>
      <c r="G889" s="3"/>
      <c r="J889" s="3"/>
      <c r="K889" s="3"/>
      <c r="L889" s="3"/>
      <c r="O889" s="3"/>
      <c r="P889" s="3"/>
      <c r="Q889" s="3"/>
      <c r="T889" s="3"/>
      <c r="U889" s="3"/>
      <c r="V889" s="3"/>
      <c r="Y889" s="3"/>
      <c r="Z889" s="3"/>
      <c r="AA889" s="3"/>
      <c r="AB889" s="3"/>
      <c r="AC889" s="3"/>
      <c r="AH889" s="3"/>
    </row>
    <row r="890" spans="5:34" s="1" customFormat="1">
      <c r="E890" s="3"/>
      <c r="F890" s="3"/>
      <c r="G890" s="3"/>
      <c r="J890" s="3"/>
      <c r="K890" s="3"/>
      <c r="L890" s="3"/>
      <c r="O890" s="3"/>
      <c r="P890" s="3"/>
      <c r="Q890" s="3"/>
      <c r="T890" s="3"/>
      <c r="U890" s="3"/>
      <c r="V890" s="3"/>
      <c r="Y890" s="3"/>
      <c r="Z890" s="3"/>
      <c r="AA890" s="3"/>
      <c r="AB890" s="3"/>
      <c r="AC890" s="3"/>
      <c r="AH890" s="3"/>
    </row>
    <row r="891" spans="5:34" s="1" customFormat="1">
      <c r="E891" s="3"/>
      <c r="F891" s="3"/>
      <c r="G891" s="3"/>
      <c r="J891" s="3"/>
      <c r="K891" s="3"/>
      <c r="L891" s="3"/>
      <c r="O891" s="3"/>
      <c r="P891" s="3"/>
      <c r="Q891" s="3"/>
      <c r="T891" s="3"/>
      <c r="U891" s="3"/>
      <c r="V891" s="3"/>
      <c r="Y891" s="3"/>
      <c r="Z891" s="3"/>
      <c r="AA891" s="3"/>
      <c r="AB891" s="3"/>
      <c r="AC891" s="3"/>
      <c r="AH891" s="3"/>
    </row>
    <row r="892" spans="5:34" s="1" customFormat="1">
      <c r="E892" s="3"/>
      <c r="F892" s="3"/>
      <c r="G892" s="3"/>
      <c r="J892" s="3"/>
      <c r="K892" s="3"/>
      <c r="L892" s="3"/>
      <c r="O892" s="3"/>
      <c r="P892" s="3"/>
      <c r="Q892" s="3"/>
      <c r="T892" s="3"/>
      <c r="U892" s="3"/>
      <c r="V892" s="3"/>
      <c r="Y892" s="3"/>
      <c r="Z892" s="3"/>
      <c r="AA892" s="3"/>
      <c r="AB892" s="3"/>
      <c r="AC892" s="3"/>
      <c r="AH892" s="3"/>
    </row>
    <row r="893" spans="5:34" s="1" customFormat="1">
      <c r="E893" s="3"/>
      <c r="F893" s="3"/>
      <c r="G893" s="3"/>
      <c r="J893" s="3"/>
      <c r="K893" s="3"/>
      <c r="L893" s="3"/>
      <c r="O893" s="3"/>
      <c r="P893" s="3"/>
      <c r="Q893" s="3"/>
      <c r="T893" s="3"/>
      <c r="U893" s="3"/>
      <c r="V893" s="3"/>
      <c r="Y893" s="3"/>
      <c r="Z893" s="3"/>
      <c r="AA893" s="3"/>
      <c r="AB893" s="3"/>
      <c r="AC893" s="3"/>
      <c r="AH893" s="3"/>
    </row>
    <row r="894" spans="5:34" s="1" customFormat="1">
      <c r="E894" s="3"/>
      <c r="F894" s="3"/>
      <c r="G894" s="3"/>
      <c r="J894" s="3"/>
      <c r="K894" s="3"/>
      <c r="L894" s="3"/>
      <c r="O894" s="3"/>
      <c r="P894" s="3"/>
      <c r="Q894" s="3"/>
      <c r="T894" s="3"/>
      <c r="U894" s="3"/>
      <c r="V894" s="3"/>
      <c r="Y894" s="3"/>
      <c r="Z894" s="3"/>
      <c r="AA894" s="3"/>
      <c r="AB894" s="3"/>
      <c r="AC894" s="3"/>
      <c r="AH894" s="3"/>
    </row>
    <row r="895" spans="5:34" s="1" customFormat="1">
      <c r="E895" s="3"/>
      <c r="F895" s="3"/>
      <c r="G895" s="3"/>
      <c r="J895" s="3"/>
      <c r="K895" s="3"/>
      <c r="L895" s="3"/>
      <c r="O895" s="3"/>
      <c r="P895" s="3"/>
      <c r="Q895" s="3"/>
      <c r="T895" s="3"/>
      <c r="U895" s="3"/>
      <c r="V895" s="3"/>
      <c r="Y895" s="3"/>
      <c r="Z895" s="3"/>
      <c r="AA895" s="3"/>
      <c r="AB895" s="3"/>
      <c r="AC895" s="3"/>
      <c r="AH895" s="3"/>
    </row>
    <row r="896" spans="5:34" s="1" customFormat="1">
      <c r="E896" s="3"/>
      <c r="F896" s="3"/>
      <c r="G896" s="3"/>
      <c r="J896" s="3"/>
      <c r="K896" s="3"/>
      <c r="L896" s="3"/>
      <c r="O896" s="3"/>
      <c r="P896" s="3"/>
      <c r="Q896" s="3"/>
      <c r="T896" s="3"/>
      <c r="U896" s="3"/>
      <c r="V896" s="3"/>
      <c r="Y896" s="3"/>
      <c r="Z896" s="3"/>
      <c r="AA896" s="3"/>
      <c r="AB896" s="3"/>
      <c r="AC896" s="3"/>
      <c r="AH896" s="3"/>
    </row>
    <row r="897" spans="5:34" s="1" customFormat="1">
      <c r="E897" s="3"/>
      <c r="F897" s="3"/>
      <c r="G897" s="3"/>
      <c r="J897" s="3"/>
      <c r="K897" s="3"/>
      <c r="L897" s="3"/>
      <c r="O897" s="3"/>
      <c r="P897" s="3"/>
      <c r="Q897" s="3"/>
      <c r="T897" s="3"/>
      <c r="U897" s="3"/>
      <c r="V897" s="3"/>
      <c r="Y897" s="3"/>
      <c r="Z897" s="3"/>
      <c r="AA897" s="3"/>
      <c r="AB897" s="3"/>
      <c r="AC897" s="3"/>
      <c r="AH897" s="3"/>
    </row>
    <row r="898" spans="5:34" s="1" customFormat="1">
      <c r="E898" s="3"/>
      <c r="F898" s="3"/>
      <c r="G898" s="3"/>
      <c r="J898" s="3"/>
      <c r="K898" s="3"/>
      <c r="L898" s="3"/>
      <c r="O898" s="3"/>
      <c r="P898" s="3"/>
      <c r="Q898" s="3"/>
      <c r="T898" s="3"/>
      <c r="U898" s="3"/>
      <c r="V898" s="3"/>
      <c r="Y898" s="3"/>
      <c r="Z898" s="3"/>
      <c r="AA898" s="3"/>
      <c r="AB898" s="3"/>
      <c r="AC898" s="3"/>
      <c r="AH898" s="3"/>
    </row>
    <row r="899" spans="5:34" s="1" customFormat="1">
      <c r="E899" s="3"/>
      <c r="F899" s="3"/>
      <c r="G899" s="3"/>
      <c r="J899" s="3"/>
      <c r="K899" s="3"/>
      <c r="L899" s="3"/>
      <c r="O899" s="3"/>
      <c r="P899" s="3"/>
      <c r="Q899" s="3"/>
      <c r="T899" s="3"/>
      <c r="U899" s="3"/>
      <c r="V899" s="3"/>
      <c r="Y899" s="3"/>
      <c r="Z899" s="3"/>
      <c r="AA899" s="3"/>
      <c r="AB899" s="3"/>
      <c r="AC899" s="3"/>
      <c r="AH899" s="3"/>
    </row>
    <row r="900" spans="5:34" s="1" customFormat="1">
      <c r="E900" s="3"/>
      <c r="F900" s="3"/>
      <c r="G900" s="3"/>
      <c r="J900" s="3"/>
      <c r="K900" s="3"/>
      <c r="L900" s="3"/>
      <c r="O900" s="3"/>
      <c r="P900" s="3"/>
      <c r="Q900" s="3"/>
      <c r="T900" s="3"/>
      <c r="U900" s="3"/>
      <c r="V900" s="3"/>
      <c r="Y900" s="3"/>
      <c r="Z900" s="3"/>
      <c r="AA900" s="3"/>
      <c r="AB900" s="3"/>
      <c r="AC900" s="3"/>
      <c r="AH900" s="3"/>
    </row>
    <row r="901" spans="5:34" s="1" customFormat="1">
      <c r="E901" s="3"/>
      <c r="F901" s="3"/>
      <c r="G901" s="3"/>
      <c r="J901" s="3"/>
      <c r="K901" s="3"/>
      <c r="L901" s="3"/>
      <c r="O901" s="3"/>
      <c r="P901" s="3"/>
      <c r="Q901" s="3"/>
      <c r="T901" s="3"/>
      <c r="U901" s="3"/>
      <c r="V901" s="3"/>
      <c r="Y901" s="3"/>
      <c r="Z901" s="3"/>
      <c r="AA901" s="3"/>
      <c r="AB901" s="3"/>
      <c r="AC901" s="3"/>
      <c r="AH901" s="3"/>
    </row>
    <row r="902" spans="5:34" s="1" customFormat="1">
      <c r="E902" s="3"/>
      <c r="F902" s="3"/>
      <c r="G902" s="3"/>
      <c r="J902" s="3"/>
      <c r="K902" s="3"/>
      <c r="L902" s="3"/>
      <c r="O902" s="3"/>
      <c r="P902" s="3"/>
      <c r="Q902" s="3"/>
      <c r="T902" s="3"/>
      <c r="U902" s="3"/>
      <c r="V902" s="3"/>
      <c r="Y902" s="3"/>
      <c r="Z902" s="3"/>
      <c r="AA902" s="3"/>
      <c r="AB902" s="3"/>
      <c r="AC902" s="3"/>
      <c r="AH902" s="3"/>
    </row>
    <row r="903" spans="5:34" s="1" customFormat="1">
      <c r="E903" s="3"/>
      <c r="F903" s="3"/>
      <c r="G903" s="3"/>
      <c r="J903" s="3"/>
      <c r="K903" s="3"/>
      <c r="L903" s="3"/>
      <c r="O903" s="3"/>
      <c r="P903" s="3"/>
      <c r="Q903" s="3"/>
      <c r="T903" s="3"/>
      <c r="U903" s="3"/>
      <c r="V903" s="3"/>
      <c r="Y903" s="3"/>
      <c r="Z903" s="3"/>
      <c r="AA903" s="3"/>
      <c r="AB903" s="3"/>
      <c r="AC903" s="3"/>
      <c r="AH903" s="3"/>
    </row>
    <row r="904" spans="5:34" s="1" customFormat="1">
      <c r="E904" s="3"/>
      <c r="F904" s="3"/>
      <c r="G904" s="3"/>
      <c r="J904" s="3"/>
      <c r="K904" s="3"/>
      <c r="L904" s="3"/>
      <c r="O904" s="3"/>
      <c r="P904" s="3"/>
      <c r="Q904" s="3"/>
      <c r="T904" s="3"/>
      <c r="U904" s="3"/>
      <c r="V904" s="3"/>
      <c r="Y904" s="3"/>
      <c r="Z904" s="3"/>
      <c r="AA904" s="3"/>
      <c r="AB904" s="3"/>
      <c r="AC904" s="3"/>
      <c r="AH904" s="3"/>
    </row>
    <row r="905" spans="5:34" s="1" customFormat="1">
      <c r="E905" s="3"/>
      <c r="F905" s="3"/>
      <c r="G905" s="3"/>
      <c r="J905" s="3"/>
      <c r="K905" s="3"/>
      <c r="L905" s="3"/>
      <c r="O905" s="3"/>
      <c r="P905" s="3"/>
      <c r="Q905" s="3"/>
      <c r="T905" s="3"/>
      <c r="U905" s="3"/>
      <c r="V905" s="3"/>
      <c r="Y905" s="3"/>
      <c r="Z905" s="3"/>
      <c r="AA905" s="3"/>
      <c r="AB905" s="3"/>
      <c r="AC905" s="3"/>
      <c r="AH905" s="3"/>
    </row>
    <row r="906" spans="5:34" s="1" customFormat="1">
      <c r="E906" s="3"/>
      <c r="F906" s="3"/>
      <c r="G906" s="3"/>
      <c r="J906" s="3"/>
      <c r="K906" s="3"/>
      <c r="L906" s="3"/>
      <c r="O906" s="3"/>
      <c r="P906" s="3"/>
      <c r="Q906" s="3"/>
      <c r="T906" s="3"/>
      <c r="U906" s="3"/>
      <c r="V906" s="3"/>
      <c r="Y906" s="3"/>
      <c r="Z906" s="3"/>
      <c r="AA906" s="3"/>
      <c r="AB906" s="3"/>
      <c r="AC906" s="3"/>
      <c r="AH906" s="3"/>
    </row>
    <row r="907" spans="5:34" s="1" customFormat="1">
      <c r="E907" s="3"/>
      <c r="F907" s="3"/>
      <c r="G907" s="3"/>
      <c r="J907" s="3"/>
      <c r="K907" s="3"/>
      <c r="L907" s="3"/>
      <c r="O907" s="3"/>
      <c r="P907" s="3"/>
      <c r="Q907" s="3"/>
      <c r="T907" s="3"/>
      <c r="U907" s="3"/>
      <c r="V907" s="3"/>
      <c r="Y907" s="3"/>
      <c r="Z907" s="3"/>
      <c r="AA907" s="3"/>
      <c r="AB907" s="3"/>
      <c r="AC907" s="3"/>
      <c r="AH907" s="3"/>
    </row>
    <row r="908" spans="5:34" s="1" customFormat="1">
      <c r="E908" s="3"/>
      <c r="F908" s="3"/>
      <c r="G908" s="3"/>
      <c r="J908" s="3"/>
      <c r="K908" s="3"/>
      <c r="L908" s="3"/>
      <c r="O908" s="3"/>
      <c r="P908" s="3"/>
      <c r="Q908" s="3"/>
      <c r="T908" s="3"/>
      <c r="U908" s="3"/>
      <c r="V908" s="3"/>
      <c r="Y908" s="3"/>
      <c r="Z908" s="3"/>
      <c r="AA908" s="3"/>
      <c r="AB908" s="3"/>
      <c r="AC908" s="3"/>
      <c r="AH908" s="3"/>
    </row>
    <row r="909" spans="5:34" s="1" customFormat="1">
      <c r="E909" s="3"/>
      <c r="F909" s="3"/>
      <c r="G909" s="3"/>
      <c r="J909" s="3"/>
      <c r="K909" s="3"/>
      <c r="L909" s="3"/>
      <c r="O909" s="3"/>
      <c r="P909" s="3"/>
      <c r="Q909" s="3"/>
      <c r="T909" s="3"/>
      <c r="U909" s="3"/>
      <c r="V909" s="3"/>
      <c r="Y909" s="3"/>
      <c r="Z909" s="3"/>
      <c r="AA909" s="3"/>
      <c r="AB909" s="3"/>
      <c r="AC909" s="3"/>
      <c r="AH909" s="3"/>
    </row>
    <row r="910" spans="5:34" s="1" customFormat="1">
      <c r="E910" s="3"/>
      <c r="F910" s="3"/>
      <c r="G910" s="3"/>
      <c r="J910" s="3"/>
      <c r="K910" s="3"/>
      <c r="L910" s="3"/>
      <c r="O910" s="3"/>
      <c r="P910" s="3"/>
      <c r="Q910" s="3"/>
      <c r="T910" s="3"/>
      <c r="U910" s="3"/>
      <c r="V910" s="3"/>
      <c r="Y910" s="3"/>
      <c r="Z910" s="3"/>
      <c r="AA910" s="3"/>
      <c r="AB910" s="3"/>
      <c r="AC910" s="3"/>
      <c r="AH910" s="3"/>
    </row>
    <row r="911" spans="5:34" s="1" customFormat="1">
      <c r="E911" s="3"/>
      <c r="F911" s="3"/>
      <c r="G911" s="3"/>
      <c r="J911" s="3"/>
      <c r="K911" s="3"/>
      <c r="L911" s="3"/>
      <c r="O911" s="3"/>
      <c r="P911" s="3"/>
      <c r="Q911" s="3"/>
      <c r="T911" s="3"/>
      <c r="U911" s="3"/>
      <c r="V911" s="3"/>
      <c r="Y911" s="3"/>
      <c r="Z911" s="3"/>
      <c r="AA911" s="3"/>
      <c r="AB911" s="3"/>
      <c r="AC911" s="3"/>
      <c r="AH911" s="3"/>
    </row>
    <row r="912" spans="5:34" s="1" customFormat="1">
      <c r="E912" s="3"/>
      <c r="F912" s="3"/>
      <c r="G912" s="3"/>
      <c r="J912" s="3"/>
      <c r="K912" s="3"/>
      <c r="L912" s="3"/>
      <c r="O912" s="3"/>
      <c r="P912" s="3"/>
      <c r="Q912" s="3"/>
      <c r="T912" s="3"/>
      <c r="U912" s="3"/>
      <c r="V912" s="3"/>
      <c r="Y912" s="3"/>
      <c r="Z912" s="3"/>
      <c r="AA912" s="3"/>
      <c r="AB912" s="3"/>
      <c r="AC912" s="3"/>
      <c r="AH912" s="3"/>
    </row>
    <row r="913" spans="5:34" s="1" customFormat="1">
      <c r="E913" s="3"/>
      <c r="F913" s="3"/>
      <c r="G913" s="3"/>
      <c r="J913" s="3"/>
      <c r="K913" s="3"/>
      <c r="L913" s="3"/>
      <c r="O913" s="3"/>
      <c r="P913" s="3"/>
      <c r="Q913" s="3"/>
      <c r="T913" s="3"/>
      <c r="U913" s="3"/>
      <c r="V913" s="3"/>
      <c r="Y913" s="3"/>
      <c r="Z913" s="3"/>
      <c r="AA913" s="3"/>
      <c r="AB913" s="3"/>
      <c r="AC913" s="3"/>
      <c r="AH913" s="3"/>
    </row>
    <row r="914" spans="5:34" s="1" customFormat="1">
      <c r="E914" s="3"/>
      <c r="F914" s="3"/>
      <c r="G914" s="3"/>
      <c r="J914" s="3"/>
      <c r="K914" s="3"/>
      <c r="L914" s="3"/>
      <c r="O914" s="3"/>
      <c r="P914" s="3"/>
      <c r="Q914" s="3"/>
      <c r="T914" s="3"/>
      <c r="U914" s="3"/>
      <c r="V914" s="3"/>
      <c r="Y914" s="3"/>
      <c r="Z914" s="3"/>
      <c r="AA914" s="3"/>
      <c r="AB914" s="3"/>
      <c r="AC914" s="3"/>
      <c r="AH914" s="3"/>
    </row>
    <row r="915" spans="5:34" s="1" customFormat="1">
      <c r="E915" s="3"/>
      <c r="F915" s="3"/>
      <c r="G915" s="3"/>
      <c r="J915" s="3"/>
      <c r="K915" s="3"/>
      <c r="L915" s="3"/>
      <c r="O915" s="3"/>
      <c r="P915" s="3"/>
      <c r="Q915" s="3"/>
      <c r="T915" s="3"/>
      <c r="U915" s="3"/>
      <c r="V915" s="3"/>
      <c r="Y915" s="3"/>
      <c r="Z915" s="3"/>
      <c r="AA915" s="3"/>
      <c r="AB915" s="3"/>
      <c r="AC915" s="3"/>
      <c r="AH915" s="3"/>
    </row>
    <row r="916" spans="5:34" s="1" customFormat="1">
      <c r="E916" s="3"/>
      <c r="F916" s="3"/>
      <c r="G916" s="3"/>
      <c r="J916" s="3"/>
      <c r="K916" s="3"/>
      <c r="L916" s="3"/>
      <c r="O916" s="3"/>
      <c r="P916" s="3"/>
      <c r="Q916" s="3"/>
      <c r="T916" s="3"/>
      <c r="U916" s="3"/>
      <c r="V916" s="3"/>
      <c r="Y916" s="3"/>
      <c r="Z916" s="3"/>
      <c r="AA916" s="3"/>
      <c r="AB916" s="3"/>
      <c r="AC916" s="3"/>
      <c r="AH916" s="3"/>
    </row>
    <row r="917" spans="5:34" s="1" customFormat="1">
      <c r="E917" s="3"/>
      <c r="F917" s="3"/>
      <c r="G917" s="3"/>
      <c r="J917" s="3"/>
      <c r="K917" s="3"/>
      <c r="L917" s="3"/>
      <c r="O917" s="3"/>
      <c r="P917" s="3"/>
      <c r="Q917" s="3"/>
      <c r="T917" s="3"/>
      <c r="U917" s="3"/>
      <c r="V917" s="3"/>
      <c r="Y917" s="3"/>
      <c r="Z917" s="3"/>
      <c r="AA917" s="3"/>
      <c r="AB917" s="3"/>
      <c r="AC917" s="3"/>
      <c r="AH917" s="3"/>
    </row>
    <row r="918" spans="5:34" s="1" customFormat="1">
      <c r="E918" s="3"/>
      <c r="F918" s="3"/>
      <c r="G918" s="3"/>
      <c r="J918" s="3"/>
      <c r="K918" s="3"/>
      <c r="L918" s="3"/>
      <c r="O918" s="3"/>
      <c r="P918" s="3"/>
      <c r="Q918" s="3"/>
      <c r="T918" s="3"/>
      <c r="U918" s="3"/>
      <c r="V918" s="3"/>
      <c r="Y918" s="3"/>
      <c r="Z918" s="3"/>
      <c r="AA918" s="3"/>
      <c r="AB918" s="3"/>
      <c r="AC918" s="3"/>
      <c r="AH918" s="3"/>
    </row>
    <row r="919" spans="5:34" s="1" customFormat="1">
      <c r="E919" s="3"/>
      <c r="F919" s="3"/>
      <c r="G919" s="3"/>
      <c r="J919" s="3"/>
      <c r="K919" s="3"/>
      <c r="L919" s="3"/>
      <c r="O919" s="3"/>
      <c r="P919" s="3"/>
      <c r="Q919" s="3"/>
      <c r="T919" s="3"/>
      <c r="U919" s="3"/>
      <c r="V919" s="3"/>
      <c r="Y919" s="3"/>
      <c r="Z919" s="3"/>
      <c r="AA919" s="3"/>
      <c r="AB919" s="3"/>
      <c r="AC919" s="3"/>
      <c r="AH919" s="3"/>
    </row>
    <row r="920" spans="5:34" s="1" customFormat="1">
      <c r="E920" s="3"/>
      <c r="F920" s="3"/>
      <c r="G920" s="3"/>
      <c r="J920" s="3"/>
      <c r="K920" s="3"/>
      <c r="L920" s="3"/>
      <c r="O920" s="3"/>
      <c r="P920" s="3"/>
      <c r="Q920" s="3"/>
      <c r="T920" s="3"/>
      <c r="U920" s="3"/>
      <c r="V920" s="3"/>
      <c r="Y920" s="3"/>
      <c r="Z920" s="3"/>
      <c r="AA920" s="3"/>
      <c r="AB920" s="3"/>
      <c r="AC920" s="3"/>
      <c r="AH920" s="3"/>
    </row>
    <row r="921" spans="5:34" s="1" customFormat="1">
      <c r="E921" s="3"/>
      <c r="F921" s="3"/>
      <c r="G921" s="3"/>
      <c r="J921" s="3"/>
      <c r="K921" s="3"/>
      <c r="L921" s="3"/>
      <c r="O921" s="3"/>
      <c r="P921" s="3"/>
      <c r="Q921" s="3"/>
      <c r="T921" s="3"/>
      <c r="U921" s="3"/>
      <c r="V921" s="3"/>
      <c r="Y921" s="3"/>
      <c r="Z921" s="3"/>
      <c r="AA921" s="3"/>
      <c r="AB921" s="3"/>
      <c r="AC921" s="3"/>
      <c r="AH921" s="3"/>
    </row>
    <row r="922" spans="5:34" s="1" customFormat="1">
      <c r="E922" s="3"/>
      <c r="F922" s="3"/>
      <c r="G922" s="3"/>
      <c r="J922" s="3"/>
      <c r="K922" s="3"/>
      <c r="L922" s="3"/>
      <c r="O922" s="3"/>
      <c r="P922" s="3"/>
      <c r="Q922" s="3"/>
      <c r="T922" s="3"/>
      <c r="U922" s="3"/>
      <c r="V922" s="3"/>
      <c r="Y922" s="3"/>
      <c r="Z922" s="3"/>
      <c r="AA922" s="3"/>
      <c r="AB922" s="3"/>
      <c r="AC922" s="3"/>
      <c r="AH922" s="3"/>
    </row>
    <row r="923" spans="5:34" s="1" customFormat="1">
      <c r="E923" s="3"/>
      <c r="F923" s="3"/>
      <c r="G923" s="3"/>
      <c r="J923" s="3"/>
      <c r="K923" s="3"/>
      <c r="L923" s="3"/>
      <c r="O923" s="3"/>
      <c r="P923" s="3"/>
      <c r="Q923" s="3"/>
      <c r="T923" s="3"/>
      <c r="U923" s="3"/>
      <c r="V923" s="3"/>
      <c r="Y923" s="3"/>
      <c r="Z923" s="3"/>
      <c r="AA923" s="3"/>
      <c r="AB923" s="3"/>
      <c r="AC923" s="3"/>
      <c r="AH923" s="3"/>
    </row>
    <row r="924" spans="5:34" s="1" customFormat="1">
      <c r="E924" s="3"/>
      <c r="F924" s="3"/>
      <c r="G924" s="3"/>
      <c r="J924" s="3"/>
      <c r="K924" s="3"/>
      <c r="L924" s="3"/>
      <c r="O924" s="3"/>
      <c r="P924" s="3"/>
      <c r="Q924" s="3"/>
      <c r="T924" s="3"/>
      <c r="U924" s="3"/>
      <c r="V924" s="3"/>
      <c r="Y924" s="3"/>
      <c r="Z924" s="3"/>
      <c r="AA924" s="3"/>
      <c r="AB924" s="3"/>
      <c r="AC924" s="3"/>
      <c r="AH924" s="3"/>
    </row>
    <row r="925" spans="5:34" s="1" customFormat="1">
      <c r="E925" s="3"/>
      <c r="F925" s="3"/>
      <c r="G925" s="3"/>
      <c r="J925" s="3"/>
      <c r="K925" s="3"/>
      <c r="L925" s="3"/>
      <c r="O925" s="3"/>
      <c r="P925" s="3"/>
      <c r="Q925" s="3"/>
      <c r="T925" s="3"/>
      <c r="U925" s="3"/>
      <c r="V925" s="3"/>
      <c r="Y925" s="3"/>
      <c r="Z925" s="3"/>
      <c r="AA925" s="3"/>
      <c r="AB925" s="3"/>
      <c r="AC925" s="3"/>
      <c r="AH925" s="3"/>
    </row>
    <row r="926" spans="5:34" s="1" customFormat="1">
      <c r="E926" s="3"/>
      <c r="F926" s="3"/>
      <c r="G926" s="3"/>
      <c r="J926" s="3"/>
      <c r="K926" s="3"/>
      <c r="L926" s="3"/>
      <c r="O926" s="3"/>
      <c r="P926" s="3"/>
      <c r="Q926" s="3"/>
      <c r="T926" s="3"/>
      <c r="U926" s="3"/>
      <c r="V926" s="3"/>
      <c r="Y926" s="3"/>
      <c r="Z926" s="3"/>
      <c r="AA926" s="3"/>
      <c r="AB926" s="3"/>
      <c r="AC926" s="3"/>
      <c r="AH926" s="3"/>
    </row>
    <row r="927" spans="5:34" s="1" customFormat="1">
      <c r="E927" s="3"/>
      <c r="F927" s="3"/>
      <c r="G927" s="3"/>
      <c r="J927" s="3"/>
      <c r="K927" s="3"/>
      <c r="L927" s="3"/>
      <c r="O927" s="3"/>
      <c r="P927" s="3"/>
      <c r="Q927" s="3"/>
      <c r="T927" s="3"/>
      <c r="U927" s="3"/>
      <c r="V927" s="3"/>
      <c r="Y927" s="3"/>
      <c r="Z927" s="3"/>
      <c r="AA927" s="3"/>
      <c r="AB927" s="3"/>
      <c r="AC927" s="3"/>
      <c r="AH927" s="3"/>
    </row>
    <row r="928" spans="5:34" s="1" customFormat="1">
      <c r="E928" s="3"/>
      <c r="F928" s="3"/>
      <c r="G928" s="3"/>
      <c r="J928" s="3"/>
      <c r="K928" s="3"/>
      <c r="L928" s="3"/>
      <c r="O928" s="3"/>
      <c r="P928" s="3"/>
      <c r="Q928" s="3"/>
      <c r="T928" s="3"/>
      <c r="U928" s="3"/>
      <c r="V928" s="3"/>
      <c r="Y928" s="3"/>
      <c r="Z928" s="3"/>
      <c r="AA928" s="3"/>
      <c r="AB928" s="3"/>
      <c r="AC928" s="3"/>
      <c r="AH928" s="3"/>
    </row>
    <row r="929" spans="5:34" s="1" customFormat="1">
      <c r="E929" s="3"/>
      <c r="F929" s="3"/>
      <c r="G929" s="3"/>
      <c r="J929" s="3"/>
      <c r="K929" s="3"/>
      <c r="L929" s="3"/>
      <c r="O929" s="3"/>
      <c r="P929" s="3"/>
      <c r="Q929" s="3"/>
      <c r="T929" s="3"/>
      <c r="U929" s="3"/>
      <c r="V929" s="3"/>
      <c r="Y929" s="3"/>
      <c r="Z929" s="3"/>
      <c r="AA929" s="3"/>
      <c r="AB929" s="3"/>
      <c r="AC929" s="3"/>
      <c r="AH929" s="3"/>
    </row>
    <row r="930" spans="5:34" s="1" customFormat="1">
      <c r="E930" s="3"/>
      <c r="F930" s="3"/>
      <c r="G930" s="3"/>
      <c r="J930" s="3"/>
      <c r="K930" s="3"/>
      <c r="L930" s="3"/>
      <c r="O930" s="3"/>
      <c r="P930" s="3"/>
      <c r="Q930" s="3"/>
      <c r="T930" s="3"/>
      <c r="U930" s="3"/>
      <c r="V930" s="3"/>
      <c r="Y930" s="3"/>
      <c r="Z930" s="3"/>
      <c r="AA930" s="3"/>
      <c r="AB930" s="3"/>
      <c r="AC930" s="3"/>
      <c r="AH930" s="3"/>
    </row>
    <row r="931" spans="5:34" s="1" customFormat="1">
      <c r="E931" s="3"/>
      <c r="F931" s="3"/>
      <c r="G931" s="3"/>
      <c r="J931" s="3"/>
      <c r="K931" s="3"/>
      <c r="L931" s="3"/>
      <c r="O931" s="3"/>
      <c r="P931" s="3"/>
      <c r="Q931" s="3"/>
      <c r="T931" s="3"/>
      <c r="U931" s="3"/>
      <c r="V931" s="3"/>
      <c r="Y931" s="3"/>
      <c r="Z931" s="3"/>
      <c r="AA931" s="3"/>
      <c r="AB931" s="3"/>
      <c r="AC931" s="3"/>
      <c r="AH931" s="3"/>
    </row>
    <row r="932" spans="5:34" s="1" customFormat="1">
      <c r="E932" s="3"/>
      <c r="F932" s="3"/>
      <c r="G932" s="3"/>
      <c r="J932" s="3"/>
      <c r="K932" s="3"/>
      <c r="L932" s="3"/>
      <c r="O932" s="3"/>
      <c r="P932" s="3"/>
      <c r="Q932" s="3"/>
      <c r="T932" s="3"/>
      <c r="U932" s="3"/>
      <c r="V932" s="3"/>
      <c r="Y932" s="3"/>
      <c r="Z932" s="3"/>
      <c r="AA932" s="3"/>
      <c r="AB932" s="3"/>
      <c r="AC932" s="3"/>
      <c r="AH932" s="3"/>
    </row>
    <row r="933" spans="5:34" s="1" customFormat="1">
      <c r="E933" s="3"/>
      <c r="F933" s="3"/>
      <c r="G933" s="3"/>
      <c r="J933" s="3"/>
      <c r="K933" s="3"/>
      <c r="L933" s="3"/>
      <c r="O933" s="3"/>
      <c r="P933" s="3"/>
      <c r="Q933" s="3"/>
      <c r="T933" s="3"/>
      <c r="U933" s="3"/>
      <c r="V933" s="3"/>
      <c r="Y933" s="3"/>
      <c r="Z933" s="3"/>
      <c r="AA933" s="3"/>
      <c r="AB933" s="3"/>
      <c r="AC933" s="3"/>
      <c r="AH933" s="3"/>
    </row>
    <row r="934" spans="5:34" s="1" customFormat="1">
      <c r="E934" s="3"/>
      <c r="F934" s="3"/>
      <c r="G934" s="3"/>
      <c r="J934" s="3"/>
      <c r="K934" s="3"/>
      <c r="L934" s="3"/>
      <c r="O934" s="3"/>
      <c r="P934" s="3"/>
      <c r="Q934" s="3"/>
      <c r="T934" s="3"/>
      <c r="U934" s="3"/>
      <c r="V934" s="3"/>
      <c r="Y934" s="3"/>
      <c r="Z934" s="3"/>
      <c r="AA934" s="3"/>
      <c r="AB934" s="3"/>
      <c r="AC934" s="3"/>
      <c r="AH934" s="3"/>
    </row>
    <row r="935" spans="5:34" s="1" customFormat="1">
      <c r="E935" s="3"/>
      <c r="F935" s="3"/>
      <c r="G935" s="3"/>
      <c r="J935" s="3"/>
      <c r="K935" s="3"/>
      <c r="L935" s="3"/>
      <c r="O935" s="3"/>
      <c r="P935" s="3"/>
      <c r="Q935" s="3"/>
      <c r="T935" s="3"/>
      <c r="U935" s="3"/>
      <c r="V935" s="3"/>
      <c r="Y935" s="3"/>
      <c r="Z935" s="3"/>
      <c r="AA935" s="3"/>
      <c r="AB935" s="3"/>
      <c r="AC935" s="3"/>
      <c r="AH935" s="3"/>
    </row>
    <row r="936" spans="5:34" s="1" customFormat="1">
      <c r="E936" s="3"/>
      <c r="F936" s="3"/>
      <c r="G936" s="3"/>
      <c r="J936" s="3"/>
      <c r="K936" s="3"/>
      <c r="L936" s="3"/>
      <c r="O936" s="3"/>
      <c r="P936" s="3"/>
      <c r="Q936" s="3"/>
      <c r="T936" s="3"/>
      <c r="U936" s="3"/>
      <c r="V936" s="3"/>
      <c r="Y936" s="3"/>
      <c r="Z936" s="3"/>
      <c r="AA936" s="3"/>
      <c r="AB936" s="3"/>
      <c r="AC936" s="3"/>
      <c r="AH936" s="3"/>
    </row>
    <row r="937" spans="5:34" s="1" customFormat="1">
      <c r="E937" s="3"/>
      <c r="F937" s="3"/>
      <c r="G937" s="3"/>
      <c r="J937" s="3"/>
      <c r="K937" s="3"/>
      <c r="L937" s="3"/>
      <c r="O937" s="3"/>
      <c r="P937" s="3"/>
      <c r="Q937" s="3"/>
      <c r="T937" s="3"/>
      <c r="U937" s="3"/>
      <c r="V937" s="3"/>
      <c r="Y937" s="3"/>
      <c r="Z937" s="3"/>
      <c r="AA937" s="3"/>
      <c r="AB937" s="3"/>
      <c r="AC937" s="3"/>
      <c r="AH937" s="3"/>
    </row>
    <row r="938" spans="5:34" s="1" customFormat="1">
      <c r="E938" s="3"/>
      <c r="F938" s="3"/>
      <c r="G938" s="3"/>
      <c r="J938" s="3"/>
      <c r="K938" s="3"/>
      <c r="L938" s="3"/>
      <c r="O938" s="3"/>
      <c r="P938" s="3"/>
      <c r="Q938" s="3"/>
      <c r="T938" s="3"/>
      <c r="U938" s="3"/>
      <c r="V938" s="3"/>
      <c r="Y938" s="3"/>
      <c r="Z938" s="3"/>
      <c r="AA938" s="3"/>
      <c r="AB938" s="3"/>
      <c r="AC938" s="3"/>
      <c r="AH938" s="3"/>
    </row>
    <row r="939" spans="5:34" s="1" customFormat="1">
      <c r="E939" s="3"/>
      <c r="F939" s="3"/>
      <c r="G939" s="3"/>
      <c r="J939" s="3"/>
      <c r="K939" s="3"/>
      <c r="L939" s="3"/>
      <c r="O939" s="3"/>
      <c r="P939" s="3"/>
      <c r="Q939" s="3"/>
      <c r="T939" s="3"/>
      <c r="U939" s="3"/>
      <c r="V939" s="3"/>
      <c r="Y939" s="3"/>
      <c r="Z939" s="3"/>
      <c r="AA939" s="3"/>
      <c r="AB939" s="3"/>
      <c r="AC939" s="3"/>
      <c r="AH939" s="3"/>
    </row>
    <row r="940" spans="5:34" s="1" customFormat="1">
      <c r="E940" s="3"/>
      <c r="F940" s="3"/>
      <c r="G940" s="3"/>
      <c r="J940" s="3"/>
      <c r="K940" s="3"/>
      <c r="L940" s="3"/>
      <c r="O940" s="3"/>
      <c r="P940" s="3"/>
      <c r="Q940" s="3"/>
      <c r="T940" s="3"/>
      <c r="U940" s="3"/>
      <c r="V940" s="3"/>
      <c r="Y940" s="3"/>
      <c r="Z940" s="3"/>
      <c r="AA940" s="3"/>
      <c r="AB940" s="3"/>
      <c r="AC940" s="3"/>
      <c r="AH940" s="3"/>
    </row>
    <row r="941" spans="5:34" s="1" customFormat="1">
      <c r="E941" s="3"/>
      <c r="F941" s="3"/>
      <c r="G941" s="3"/>
      <c r="J941" s="3"/>
      <c r="K941" s="3"/>
      <c r="L941" s="3"/>
      <c r="O941" s="3"/>
      <c r="P941" s="3"/>
      <c r="Q941" s="3"/>
      <c r="T941" s="3"/>
      <c r="U941" s="3"/>
      <c r="V941" s="3"/>
      <c r="Y941" s="3"/>
      <c r="Z941" s="3"/>
      <c r="AA941" s="3"/>
      <c r="AB941" s="3"/>
      <c r="AC941" s="3"/>
      <c r="AH941" s="3"/>
    </row>
    <row r="942" spans="5:34" s="1" customFormat="1">
      <c r="E942" s="3"/>
      <c r="F942" s="3"/>
      <c r="G942" s="3"/>
      <c r="J942" s="3"/>
      <c r="K942" s="3"/>
      <c r="L942" s="3"/>
      <c r="O942" s="3"/>
      <c r="P942" s="3"/>
      <c r="Q942" s="3"/>
      <c r="T942" s="3"/>
      <c r="U942" s="3"/>
      <c r="V942" s="3"/>
      <c r="Y942" s="3"/>
      <c r="Z942" s="3"/>
      <c r="AA942" s="3"/>
      <c r="AB942" s="3"/>
      <c r="AC942" s="3"/>
      <c r="AH942" s="3"/>
    </row>
    <row r="943" spans="5:34" s="1" customFormat="1">
      <c r="E943" s="3"/>
      <c r="F943" s="3"/>
      <c r="G943" s="3"/>
      <c r="J943" s="3"/>
      <c r="K943" s="3"/>
      <c r="L943" s="3"/>
      <c r="O943" s="3"/>
      <c r="P943" s="3"/>
      <c r="Q943" s="3"/>
      <c r="T943" s="3"/>
      <c r="U943" s="3"/>
      <c r="V943" s="3"/>
      <c r="Y943" s="3"/>
      <c r="Z943" s="3"/>
      <c r="AA943" s="3"/>
      <c r="AB943" s="3"/>
      <c r="AC943" s="3"/>
      <c r="AH943" s="3"/>
    </row>
    <row r="944" spans="5:34" s="1" customFormat="1">
      <c r="E944" s="3"/>
      <c r="F944" s="3"/>
      <c r="G944" s="3"/>
      <c r="J944" s="3"/>
      <c r="K944" s="3"/>
      <c r="L944" s="3"/>
      <c r="O944" s="3"/>
      <c r="P944" s="3"/>
      <c r="Q944" s="3"/>
      <c r="T944" s="3"/>
      <c r="U944" s="3"/>
      <c r="V944" s="3"/>
      <c r="Y944" s="3"/>
      <c r="Z944" s="3"/>
      <c r="AA944" s="3"/>
      <c r="AB944" s="3"/>
      <c r="AC944" s="3"/>
      <c r="AH944" s="3"/>
    </row>
    <row r="945" spans="5:34" s="1" customFormat="1">
      <c r="E945" s="3"/>
      <c r="F945" s="3"/>
      <c r="G945" s="3"/>
      <c r="J945" s="3"/>
      <c r="K945" s="3"/>
      <c r="L945" s="3"/>
      <c r="O945" s="3"/>
      <c r="P945" s="3"/>
      <c r="Q945" s="3"/>
      <c r="T945" s="3"/>
      <c r="U945" s="3"/>
      <c r="V945" s="3"/>
      <c r="Y945" s="3"/>
      <c r="Z945" s="3"/>
      <c r="AA945" s="3"/>
      <c r="AB945" s="3"/>
      <c r="AC945" s="3"/>
      <c r="AH945" s="3"/>
    </row>
    <row r="946" spans="5:34" s="1" customFormat="1">
      <c r="E946" s="3"/>
      <c r="F946" s="3"/>
      <c r="G946" s="3"/>
      <c r="J946" s="3"/>
      <c r="K946" s="3"/>
      <c r="L946" s="3"/>
      <c r="O946" s="3"/>
      <c r="P946" s="3"/>
      <c r="Q946" s="3"/>
      <c r="T946" s="3"/>
      <c r="U946" s="3"/>
      <c r="V946" s="3"/>
      <c r="Y946" s="3"/>
      <c r="Z946" s="3"/>
      <c r="AA946" s="3"/>
      <c r="AB946" s="3"/>
      <c r="AC946" s="3"/>
      <c r="AH946" s="3"/>
    </row>
    <row r="947" spans="5:34" s="1" customFormat="1">
      <c r="E947" s="3"/>
      <c r="F947" s="3"/>
      <c r="G947" s="3"/>
      <c r="J947" s="3"/>
      <c r="K947" s="3"/>
      <c r="L947" s="3"/>
      <c r="O947" s="3"/>
      <c r="P947" s="3"/>
      <c r="Q947" s="3"/>
      <c r="T947" s="3"/>
      <c r="U947" s="3"/>
      <c r="V947" s="3"/>
      <c r="Y947" s="3"/>
      <c r="Z947" s="3"/>
      <c r="AA947" s="3"/>
      <c r="AB947" s="3"/>
      <c r="AC947" s="3"/>
      <c r="AH947" s="3"/>
    </row>
    <row r="948" spans="5:34" s="1" customFormat="1">
      <c r="E948" s="3"/>
      <c r="F948" s="3"/>
      <c r="G948" s="3"/>
      <c r="J948" s="3"/>
      <c r="K948" s="3"/>
      <c r="L948" s="3"/>
      <c r="O948" s="3"/>
      <c r="P948" s="3"/>
      <c r="Q948" s="3"/>
      <c r="T948" s="3"/>
      <c r="U948" s="3"/>
      <c r="V948" s="3"/>
      <c r="Y948" s="3"/>
      <c r="Z948" s="3"/>
      <c r="AA948" s="3"/>
      <c r="AB948" s="3"/>
      <c r="AC948" s="3"/>
      <c r="AH948" s="3"/>
    </row>
    <row r="949" spans="5:34" s="1" customFormat="1">
      <c r="E949" s="3"/>
      <c r="F949" s="3"/>
      <c r="G949" s="3"/>
      <c r="J949" s="3"/>
      <c r="K949" s="3"/>
      <c r="L949" s="3"/>
      <c r="O949" s="3"/>
      <c r="P949" s="3"/>
      <c r="Q949" s="3"/>
      <c r="T949" s="3"/>
      <c r="U949" s="3"/>
      <c r="V949" s="3"/>
      <c r="Y949" s="3"/>
      <c r="Z949" s="3"/>
      <c r="AA949" s="3"/>
      <c r="AB949" s="3"/>
      <c r="AC949" s="3"/>
      <c r="AH949" s="3"/>
    </row>
    <row r="950" spans="5:34" s="1" customFormat="1">
      <c r="E950" s="3"/>
      <c r="F950" s="3"/>
      <c r="G950" s="3"/>
      <c r="J950" s="3"/>
      <c r="K950" s="3"/>
      <c r="L950" s="3"/>
      <c r="O950" s="3"/>
      <c r="P950" s="3"/>
      <c r="Q950" s="3"/>
      <c r="T950" s="3"/>
      <c r="U950" s="3"/>
      <c r="V950" s="3"/>
      <c r="Y950" s="3"/>
      <c r="Z950" s="3"/>
      <c r="AA950" s="3"/>
      <c r="AB950" s="3"/>
      <c r="AC950" s="3"/>
      <c r="AH950" s="3"/>
    </row>
    <row r="951" spans="5:34" s="1" customFormat="1">
      <c r="E951" s="3"/>
      <c r="F951" s="3"/>
      <c r="G951" s="3"/>
      <c r="J951" s="3"/>
      <c r="K951" s="3"/>
      <c r="L951" s="3"/>
      <c r="O951" s="3"/>
      <c r="P951" s="3"/>
      <c r="Q951" s="3"/>
      <c r="T951" s="3"/>
      <c r="U951" s="3"/>
      <c r="V951" s="3"/>
      <c r="Y951" s="3"/>
      <c r="Z951" s="3"/>
      <c r="AA951" s="3"/>
      <c r="AB951" s="3"/>
      <c r="AC951" s="3"/>
      <c r="AH951" s="3"/>
    </row>
    <row r="952" spans="5:34" s="1" customFormat="1">
      <c r="E952" s="3"/>
      <c r="F952" s="3"/>
      <c r="G952" s="3"/>
      <c r="J952" s="3"/>
      <c r="K952" s="3"/>
      <c r="L952" s="3"/>
      <c r="O952" s="3"/>
      <c r="P952" s="3"/>
      <c r="Q952" s="3"/>
      <c r="T952" s="3"/>
      <c r="U952" s="3"/>
      <c r="V952" s="3"/>
      <c r="Y952" s="3"/>
      <c r="Z952" s="3"/>
      <c r="AA952" s="3"/>
      <c r="AB952" s="3"/>
      <c r="AC952" s="3"/>
      <c r="AH952" s="3"/>
    </row>
    <row r="953" spans="5:34" s="1" customFormat="1">
      <c r="E953" s="3"/>
      <c r="F953" s="3"/>
      <c r="G953" s="3"/>
      <c r="J953" s="3"/>
      <c r="K953" s="3"/>
      <c r="L953" s="3"/>
      <c r="O953" s="3"/>
      <c r="P953" s="3"/>
      <c r="Q953" s="3"/>
      <c r="T953" s="3"/>
      <c r="U953" s="3"/>
      <c r="V953" s="3"/>
      <c r="Y953" s="3"/>
      <c r="Z953" s="3"/>
      <c r="AA953" s="3"/>
      <c r="AB953" s="3"/>
      <c r="AC953" s="3"/>
      <c r="AH953" s="3"/>
    </row>
    <row r="954" spans="5:34" s="1" customFormat="1">
      <c r="E954" s="3"/>
      <c r="F954" s="3"/>
      <c r="G954" s="3"/>
      <c r="J954" s="3"/>
      <c r="K954" s="3"/>
      <c r="L954" s="3"/>
      <c r="O954" s="3"/>
      <c r="P954" s="3"/>
      <c r="Q954" s="3"/>
      <c r="T954" s="3"/>
      <c r="U954" s="3"/>
      <c r="V954" s="3"/>
      <c r="Y954" s="3"/>
      <c r="Z954" s="3"/>
      <c r="AA954" s="3"/>
      <c r="AB954" s="3"/>
      <c r="AC954" s="3"/>
      <c r="AH954" s="3"/>
    </row>
    <row r="955" spans="5:34" s="1" customFormat="1">
      <c r="E955" s="3"/>
      <c r="F955" s="3"/>
      <c r="G955" s="3"/>
      <c r="J955" s="3"/>
      <c r="K955" s="3"/>
      <c r="L955" s="3"/>
      <c r="O955" s="3"/>
      <c r="P955" s="3"/>
      <c r="Q955" s="3"/>
      <c r="T955" s="3"/>
      <c r="U955" s="3"/>
      <c r="V955" s="3"/>
      <c r="Y955" s="3"/>
      <c r="Z955" s="3"/>
      <c r="AA955" s="3"/>
      <c r="AB955" s="3"/>
      <c r="AC955" s="3"/>
      <c r="AH955" s="3"/>
    </row>
    <row r="956" spans="5:34" s="1" customFormat="1">
      <c r="E956" s="3"/>
      <c r="F956" s="3"/>
      <c r="G956" s="3"/>
      <c r="J956" s="3"/>
      <c r="K956" s="3"/>
      <c r="L956" s="3"/>
      <c r="O956" s="3"/>
      <c r="P956" s="3"/>
      <c r="Q956" s="3"/>
      <c r="T956" s="3"/>
      <c r="U956" s="3"/>
      <c r="V956" s="3"/>
      <c r="Y956" s="3"/>
      <c r="Z956" s="3"/>
      <c r="AA956" s="3"/>
      <c r="AB956" s="3"/>
      <c r="AC956" s="3"/>
      <c r="AH956" s="3"/>
    </row>
    <row r="957" spans="5:34" s="1" customFormat="1">
      <c r="E957" s="3"/>
      <c r="F957" s="3"/>
      <c r="G957" s="3"/>
      <c r="J957" s="3"/>
      <c r="K957" s="3"/>
      <c r="L957" s="3"/>
      <c r="O957" s="3"/>
      <c r="P957" s="3"/>
      <c r="Q957" s="3"/>
      <c r="T957" s="3"/>
      <c r="U957" s="3"/>
      <c r="V957" s="3"/>
      <c r="Y957" s="3"/>
      <c r="Z957" s="3"/>
      <c r="AA957" s="3"/>
      <c r="AB957" s="3"/>
      <c r="AC957" s="3"/>
      <c r="AH957" s="3"/>
    </row>
    <row r="958" spans="5:34" s="1" customFormat="1">
      <c r="E958" s="3"/>
      <c r="F958" s="3"/>
      <c r="G958" s="3"/>
      <c r="J958" s="3"/>
      <c r="K958" s="3"/>
      <c r="L958" s="3"/>
      <c r="O958" s="3"/>
      <c r="P958" s="3"/>
      <c r="Q958" s="3"/>
      <c r="T958" s="3"/>
      <c r="U958" s="3"/>
      <c r="V958" s="3"/>
      <c r="Y958" s="3"/>
      <c r="Z958" s="3"/>
      <c r="AA958" s="3"/>
      <c r="AB958" s="3"/>
      <c r="AC958" s="3"/>
      <c r="AH958" s="3"/>
    </row>
    <row r="959" spans="5:34" s="1" customFormat="1">
      <c r="E959" s="3"/>
      <c r="F959" s="3"/>
      <c r="G959" s="3"/>
      <c r="J959" s="3"/>
      <c r="K959" s="3"/>
      <c r="L959" s="3"/>
      <c r="O959" s="3"/>
      <c r="P959" s="3"/>
      <c r="Q959" s="3"/>
      <c r="T959" s="3"/>
      <c r="U959" s="3"/>
      <c r="V959" s="3"/>
      <c r="Y959" s="3"/>
      <c r="Z959" s="3"/>
      <c r="AA959" s="3"/>
      <c r="AB959" s="3"/>
      <c r="AC959" s="3"/>
      <c r="AH959" s="3"/>
    </row>
    <row r="960" spans="5:34" s="1" customFormat="1">
      <c r="E960" s="3"/>
      <c r="F960" s="3"/>
      <c r="G960" s="3"/>
      <c r="J960" s="3"/>
      <c r="K960" s="3"/>
      <c r="L960" s="3"/>
      <c r="O960" s="3"/>
      <c r="P960" s="3"/>
      <c r="Q960" s="3"/>
      <c r="T960" s="3"/>
      <c r="U960" s="3"/>
      <c r="V960" s="3"/>
      <c r="Y960" s="3"/>
      <c r="Z960" s="3"/>
      <c r="AA960" s="3"/>
      <c r="AB960" s="3"/>
      <c r="AC960" s="3"/>
      <c r="AH960" s="3"/>
    </row>
    <row r="961" spans="5:34" s="1" customFormat="1">
      <c r="E961" s="3"/>
      <c r="F961" s="3"/>
      <c r="G961" s="3"/>
      <c r="J961" s="3"/>
      <c r="K961" s="3"/>
      <c r="L961" s="3"/>
      <c r="O961" s="3"/>
      <c r="P961" s="3"/>
      <c r="Q961" s="3"/>
      <c r="T961" s="3"/>
      <c r="U961" s="3"/>
      <c r="V961" s="3"/>
      <c r="Y961" s="3"/>
      <c r="Z961" s="3"/>
      <c r="AA961" s="3"/>
      <c r="AB961" s="3"/>
      <c r="AC961" s="3"/>
      <c r="AH961" s="3"/>
    </row>
    <row r="962" spans="5:34" s="1" customFormat="1">
      <c r="E962" s="3"/>
      <c r="F962" s="3"/>
      <c r="G962" s="3"/>
      <c r="J962" s="3"/>
      <c r="K962" s="3"/>
      <c r="L962" s="3"/>
      <c r="O962" s="3"/>
      <c r="P962" s="3"/>
      <c r="Q962" s="3"/>
      <c r="T962" s="3"/>
      <c r="U962" s="3"/>
      <c r="V962" s="3"/>
      <c r="Y962" s="3"/>
      <c r="Z962" s="3"/>
      <c r="AA962" s="3"/>
      <c r="AB962" s="3"/>
      <c r="AC962" s="3"/>
      <c r="AH962" s="3"/>
    </row>
    <row r="963" spans="5:34" s="1" customFormat="1">
      <c r="E963" s="3"/>
      <c r="F963" s="3"/>
      <c r="G963" s="3"/>
      <c r="J963" s="3"/>
      <c r="K963" s="3"/>
      <c r="L963" s="3"/>
      <c r="O963" s="3"/>
      <c r="P963" s="3"/>
      <c r="Q963" s="3"/>
      <c r="T963" s="3"/>
      <c r="U963" s="3"/>
      <c r="V963" s="3"/>
      <c r="Y963" s="3"/>
      <c r="Z963" s="3"/>
      <c r="AA963" s="3"/>
      <c r="AB963" s="3"/>
      <c r="AC963" s="3"/>
      <c r="AH963" s="3"/>
    </row>
    <row r="964" spans="5:34" s="1" customFormat="1">
      <c r="E964" s="3"/>
      <c r="F964" s="3"/>
      <c r="G964" s="3"/>
      <c r="J964" s="3"/>
      <c r="K964" s="3"/>
      <c r="L964" s="3"/>
      <c r="O964" s="3"/>
      <c r="P964" s="3"/>
      <c r="Q964" s="3"/>
      <c r="T964" s="3"/>
      <c r="U964" s="3"/>
      <c r="V964" s="3"/>
      <c r="Y964" s="3"/>
      <c r="Z964" s="3"/>
      <c r="AA964" s="3"/>
      <c r="AB964" s="3"/>
      <c r="AC964" s="3"/>
      <c r="AH964" s="3"/>
    </row>
    <row r="965" spans="5:34" s="1" customFormat="1">
      <c r="E965" s="3"/>
      <c r="F965" s="3"/>
      <c r="G965" s="3"/>
      <c r="J965" s="3"/>
      <c r="K965" s="3"/>
      <c r="L965" s="3"/>
      <c r="O965" s="3"/>
      <c r="P965" s="3"/>
      <c r="Q965" s="3"/>
      <c r="T965" s="3"/>
      <c r="U965" s="3"/>
      <c r="V965" s="3"/>
      <c r="Y965" s="3"/>
      <c r="Z965" s="3"/>
      <c r="AA965" s="3"/>
      <c r="AB965" s="3"/>
      <c r="AC965" s="3"/>
      <c r="AH965" s="3"/>
    </row>
    <row r="966" spans="5:34" s="1" customFormat="1">
      <c r="E966" s="3"/>
      <c r="F966" s="3"/>
      <c r="G966" s="3"/>
      <c r="J966" s="3"/>
      <c r="K966" s="3"/>
      <c r="L966" s="3"/>
      <c r="O966" s="3"/>
      <c r="P966" s="3"/>
      <c r="Q966" s="3"/>
      <c r="T966" s="3"/>
      <c r="U966" s="3"/>
      <c r="V966" s="3"/>
      <c r="Y966" s="3"/>
      <c r="Z966" s="3"/>
      <c r="AA966" s="3"/>
      <c r="AB966" s="3"/>
      <c r="AC966" s="3"/>
      <c r="AH966" s="3"/>
    </row>
    <row r="967" spans="5:34" s="1" customFormat="1">
      <c r="E967" s="3"/>
      <c r="F967" s="3"/>
      <c r="G967" s="3"/>
      <c r="J967" s="3"/>
      <c r="K967" s="3"/>
      <c r="L967" s="3"/>
      <c r="O967" s="3"/>
      <c r="P967" s="3"/>
      <c r="Q967" s="3"/>
      <c r="T967" s="3"/>
      <c r="U967" s="3"/>
      <c r="V967" s="3"/>
      <c r="Y967" s="3"/>
      <c r="Z967" s="3"/>
      <c r="AA967" s="3"/>
      <c r="AB967" s="3"/>
      <c r="AC967" s="3"/>
      <c r="AH967" s="3"/>
    </row>
    <row r="968" spans="5:34" s="1" customFormat="1">
      <c r="E968" s="3"/>
      <c r="F968" s="3"/>
      <c r="G968" s="3"/>
      <c r="J968" s="3"/>
      <c r="K968" s="3"/>
      <c r="L968" s="3"/>
      <c r="O968" s="3"/>
      <c r="P968" s="3"/>
      <c r="Q968" s="3"/>
      <c r="T968" s="3"/>
      <c r="U968" s="3"/>
      <c r="V968" s="3"/>
      <c r="Y968" s="3"/>
      <c r="Z968" s="3"/>
      <c r="AA968" s="3"/>
      <c r="AB968" s="3"/>
      <c r="AC968" s="3"/>
      <c r="AH968" s="3"/>
    </row>
    <row r="969" spans="5:34" s="1" customFormat="1">
      <c r="E969" s="3"/>
      <c r="F969" s="3"/>
      <c r="G969" s="3"/>
      <c r="J969" s="3"/>
      <c r="K969" s="3"/>
      <c r="L969" s="3"/>
      <c r="O969" s="3"/>
      <c r="P969" s="3"/>
      <c r="Q969" s="3"/>
      <c r="T969" s="3"/>
      <c r="U969" s="3"/>
      <c r="V969" s="3"/>
      <c r="Y969" s="3"/>
      <c r="Z969" s="3"/>
      <c r="AA969" s="3"/>
      <c r="AB969" s="3"/>
      <c r="AC969" s="3"/>
      <c r="AH969" s="3"/>
    </row>
    <row r="970" spans="5:34" s="1" customFormat="1">
      <c r="E970" s="3"/>
      <c r="F970" s="3"/>
      <c r="G970" s="3"/>
      <c r="J970" s="3"/>
      <c r="K970" s="3"/>
      <c r="L970" s="3"/>
      <c r="O970" s="3"/>
      <c r="P970" s="3"/>
      <c r="Q970" s="3"/>
      <c r="T970" s="3"/>
      <c r="U970" s="3"/>
      <c r="V970" s="3"/>
      <c r="Y970" s="3"/>
      <c r="Z970" s="3"/>
      <c r="AA970" s="3"/>
      <c r="AB970" s="3"/>
      <c r="AC970" s="3"/>
      <c r="AH970" s="3"/>
    </row>
    <row r="971" spans="5:34" s="1" customFormat="1">
      <c r="E971" s="3"/>
      <c r="F971" s="3"/>
      <c r="G971" s="3"/>
      <c r="J971" s="3"/>
      <c r="K971" s="3"/>
      <c r="L971" s="3"/>
      <c r="O971" s="3"/>
      <c r="P971" s="3"/>
      <c r="Q971" s="3"/>
      <c r="T971" s="3"/>
      <c r="U971" s="3"/>
      <c r="V971" s="3"/>
      <c r="Y971" s="3"/>
      <c r="Z971" s="3"/>
      <c r="AA971" s="3"/>
      <c r="AB971" s="3"/>
      <c r="AC971" s="3"/>
      <c r="AH971" s="3"/>
    </row>
    <row r="972" spans="5:34" s="1" customFormat="1">
      <c r="E972" s="3"/>
      <c r="F972" s="3"/>
      <c r="G972" s="3"/>
      <c r="J972" s="3"/>
      <c r="K972" s="3"/>
      <c r="L972" s="3"/>
      <c r="O972" s="3"/>
      <c r="P972" s="3"/>
      <c r="Q972" s="3"/>
      <c r="T972" s="3"/>
      <c r="U972" s="3"/>
      <c r="V972" s="3"/>
      <c r="Y972" s="3"/>
      <c r="Z972" s="3"/>
      <c r="AA972" s="3"/>
      <c r="AB972" s="3"/>
      <c r="AC972" s="3"/>
      <c r="AH972" s="3"/>
    </row>
    <row r="973" spans="5:34" s="1" customFormat="1">
      <c r="E973" s="3"/>
      <c r="F973" s="3"/>
      <c r="G973" s="3"/>
      <c r="J973" s="3"/>
      <c r="K973" s="3"/>
      <c r="L973" s="3"/>
      <c r="O973" s="3"/>
      <c r="P973" s="3"/>
      <c r="Q973" s="3"/>
      <c r="T973" s="3"/>
      <c r="U973" s="3"/>
      <c r="V973" s="3"/>
      <c r="Y973" s="3"/>
      <c r="Z973" s="3"/>
      <c r="AA973" s="3"/>
      <c r="AB973" s="3"/>
      <c r="AC973" s="3"/>
      <c r="AH973" s="3"/>
    </row>
    <row r="974" spans="5:34" s="1" customFormat="1">
      <c r="E974" s="3"/>
      <c r="F974" s="3"/>
      <c r="G974" s="3"/>
      <c r="J974" s="3"/>
      <c r="K974" s="3"/>
      <c r="L974" s="3"/>
      <c r="O974" s="3"/>
      <c r="P974" s="3"/>
      <c r="Q974" s="3"/>
      <c r="T974" s="3"/>
      <c r="U974" s="3"/>
      <c r="V974" s="3"/>
      <c r="Y974" s="3"/>
      <c r="Z974" s="3"/>
      <c r="AA974" s="3"/>
      <c r="AB974" s="3"/>
      <c r="AC974" s="3"/>
      <c r="AH974" s="3"/>
    </row>
    <row r="975" spans="5:34" s="1" customFormat="1">
      <c r="E975" s="3"/>
      <c r="F975" s="3"/>
      <c r="G975" s="3"/>
      <c r="J975" s="3"/>
      <c r="K975" s="3"/>
      <c r="L975" s="3"/>
      <c r="O975" s="3"/>
      <c r="P975" s="3"/>
      <c r="Q975" s="3"/>
      <c r="T975" s="3"/>
      <c r="U975" s="3"/>
      <c r="V975" s="3"/>
      <c r="Y975" s="3"/>
      <c r="Z975" s="3"/>
      <c r="AA975" s="3"/>
      <c r="AB975" s="3"/>
      <c r="AC975" s="3"/>
      <c r="AH975" s="3"/>
    </row>
    <row r="976" spans="5:34" s="1" customFormat="1">
      <c r="E976" s="3"/>
      <c r="F976" s="3"/>
      <c r="G976" s="3"/>
      <c r="J976" s="3"/>
      <c r="K976" s="3"/>
      <c r="L976" s="3"/>
      <c r="O976" s="3"/>
      <c r="P976" s="3"/>
      <c r="Q976" s="3"/>
      <c r="T976" s="3"/>
      <c r="U976" s="3"/>
      <c r="V976" s="3"/>
      <c r="Y976" s="3"/>
      <c r="Z976" s="3"/>
      <c r="AA976" s="3"/>
      <c r="AB976" s="3"/>
      <c r="AC976" s="3"/>
      <c r="AH976" s="3"/>
    </row>
    <row r="977" spans="5:34" s="1" customFormat="1">
      <c r="E977" s="3"/>
      <c r="F977" s="3"/>
      <c r="G977" s="3"/>
      <c r="J977" s="3"/>
      <c r="K977" s="3"/>
      <c r="L977" s="3"/>
      <c r="O977" s="3"/>
      <c r="P977" s="3"/>
      <c r="Q977" s="3"/>
      <c r="T977" s="3"/>
      <c r="U977" s="3"/>
      <c r="V977" s="3"/>
      <c r="Y977" s="3"/>
      <c r="Z977" s="3"/>
      <c r="AA977" s="3"/>
      <c r="AB977" s="3"/>
      <c r="AC977" s="3"/>
      <c r="AH977" s="3"/>
    </row>
    <row r="978" spans="5:34" s="1" customFormat="1">
      <c r="E978" s="3"/>
      <c r="F978" s="3"/>
      <c r="G978" s="3"/>
      <c r="J978" s="3"/>
      <c r="K978" s="3"/>
      <c r="L978" s="3"/>
      <c r="O978" s="3"/>
      <c r="P978" s="3"/>
      <c r="Q978" s="3"/>
      <c r="T978" s="3"/>
      <c r="U978" s="3"/>
      <c r="V978" s="3"/>
      <c r="Y978" s="3"/>
      <c r="Z978" s="3"/>
      <c r="AA978" s="3"/>
      <c r="AB978" s="3"/>
      <c r="AC978" s="3"/>
      <c r="AH978" s="3"/>
    </row>
    <row r="979" spans="5:34" s="1" customFormat="1">
      <c r="E979" s="3"/>
      <c r="F979" s="3"/>
      <c r="G979" s="3"/>
      <c r="J979" s="3"/>
      <c r="K979" s="3"/>
      <c r="L979" s="3"/>
      <c r="O979" s="3"/>
      <c r="P979" s="3"/>
      <c r="Q979" s="3"/>
      <c r="T979" s="3"/>
      <c r="U979" s="3"/>
      <c r="V979" s="3"/>
      <c r="Y979" s="3"/>
      <c r="Z979" s="3"/>
      <c r="AA979" s="3"/>
      <c r="AB979" s="3"/>
      <c r="AC979" s="3"/>
      <c r="AH979" s="3"/>
    </row>
    <row r="980" spans="5:34" s="1" customFormat="1">
      <c r="E980" s="3"/>
      <c r="F980" s="3"/>
      <c r="G980" s="3"/>
      <c r="J980" s="3"/>
      <c r="K980" s="3"/>
      <c r="L980" s="3"/>
      <c r="O980" s="3"/>
      <c r="P980" s="3"/>
      <c r="Q980" s="3"/>
      <c r="T980" s="3"/>
      <c r="U980" s="3"/>
      <c r="V980" s="3"/>
      <c r="Y980" s="3"/>
      <c r="Z980" s="3"/>
      <c r="AA980" s="3"/>
      <c r="AB980" s="3"/>
      <c r="AC980" s="3"/>
      <c r="AH980" s="3"/>
    </row>
    <row r="981" spans="5:34" s="1" customFormat="1">
      <c r="E981" s="3"/>
      <c r="F981" s="3"/>
      <c r="G981" s="3"/>
      <c r="J981" s="3"/>
      <c r="K981" s="3"/>
      <c r="L981" s="3"/>
      <c r="O981" s="3"/>
      <c r="P981" s="3"/>
      <c r="Q981" s="3"/>
      <c r="T981" s="3"/>
      <c r="U981" s="3"/>
      <c r="V981" s="3"/>
      <c r="Y981" s="3"/>
      <c r="Z981" s="3"/>
      <c r="AA981" s="3"/>
      <c r="AB981" s="3"/>
      <c r="AC981" s="3"/>
      <c r="AH981" s="3"/>
    </row>
    <row r="982" spans="5:34" s="1" customFormat="1">
      <c r="E982" s="3"/>
      <c r="F982" s="3"/>
      <c r="G982" s="3"/>
      <c r="J982" s="3"/>
      <c r="K982" s="3"/>
      <c r="L982" s="3"/>
      <c r="O982" s="3"/>
      <c r="P982" s="3"/>
      <c r="Q982" s="3"/>
      <c r="T982" s="3"/>
      <c r="U982" s="3"/>
      <c r="V982" s="3"/>
      <c r="Y982" s="3"/>
      <c r="Z982" s="3"/>
      <c r="AA982" s="3"/>
      <c r="AB982" s="3"/>
      <c r="AC982" s="3"/>
      <c r="AH982" s="3"/>
    </row>
    <row r="983" spans="5:34" s="1" customFormat="1">
      <c r="E983" s="3"/>
      <c r="F983" s="3"/>
      <c r="G983" s="3"/>
      <c r="J983" s="3"/>
      <c r="K983" s="3"/>
      <c r="L983" s="3"/>
      <c r="O983" s="3"/>
      <c r="P983" s="3"/>
      <c r="Q983" s="3"/>
      <c r="T983" s="3"/>
      <c r="U983" s="3"/>
      <c r="V983" s="3"/>
      <c r="Y983" s="3"/>
      <c r="Z983" s="3"/>
      <c r="AA983" s="3"/>
      <c r="AB983" s="3"/>
      <c r="AC983" s="3"/>
      <c r="AH983" s="3"/>
    </row>
    <row r="984" spans="5:34" s="1" customFormat="1">
      <c r="E984" s="3"/>
      <c r="F984" s="3"/>
      <c r="G984" s="3"/>
      <c r="J984" s="3"/>
      <c r="K984" s="3"/>
      <c r="L984" s="3"/>
      <c r="O984" s="3"/>
      <c r="P984" s="3"/>
      <c r="Q984" s="3"/>
      <c r="T984" s="3"/>
      <c r="U984" s="3"/>
      <c r="V984" s="3"/>
      <c r="Y984" s="3"/>
      <c r="Z984" s="3"/>
      <c r="AA984" s="3"/>
      <c r="AB984" s="3"/>
      <c r="AC984" s="3"/>
      <c r="AH984" s="3"/>
    </row>
    <row r="985" spans="5:34" s="1" customFormat="1">
      <c r="E985" s="3"/>
      <c r="F985" s="3"/>
      <c r="G985" s="3"/>
      <c r="J985" s="3"/>
      <c r="K985" s="3"/>
      <c r="L985" s="3"/>
      <c r="O985" s="3"/>
      <c r="P985" s="3"/>
      <c r="Q985" s="3"/>
      <c r="T985" s="3"/>
      <c r="U985" s="3"/>
      <c r="V985" s="3"/>
      <c r="Y985" s="3"/>
      <c r="Z985" s="3"/>
      <c r="AA985" s="3"/>
      <c r="AB985" s="3"/>
      <c r="AC985" s="3"/>
      <c r="AH985" s="3"/>
    </row>
    <row r="986" spans="5:34" s="1" customFormat="1">
      <c r="E986" s="3"/>
      <c r="F986" s="3"/>
      <c r="G986" s="3"/>
      <c r="J986" s="3"/>
      <c r="K986" s="3"/>
      <c r="L986" s="3"/>
      <c r="O986" s="3"/>
      <c r="P986" s="3"/>
      <c r="Q986" s="3"/>
      <c r="T986" s="3"/>
      <c r="U986" s="3"/>
      <c r="V986" s="3"/>
      <c r="Y986" s="3"/>
      <c r="Z986" s="3"/>
      <c r="AA986" s="3"/>
      <c r="AB986" s="3"/>
      <c r="AC986" s="3"/>
      <c r="AH986" s="3"/>
    </row>
    <row r="987" spans="5:34" s="1" customFormat="1">
      <c r="E987" s="3"/>
      <c r="F987" s="3"/>
      <c r="G987" s="3"/>
      <c r="J987" s="3"/>
      <c r="K987" s="3"/>
      <c r="L987" s="3"/>
      <c r="O987" s="3"/>
      <c r="P987" s="3"/>
      <c r="Q987" s="3"/>
      <c r="T987" s="3"/>
      <c r="U987" s="3"/>
      <c r="V987" s="3"/>
      <c r="Y987" s="3"/>
      <c r="Z987" s="3"/>
      <c r="AA987" s="3"/>
      <c r="AB987" s="3"/>
      <c r="AC987" s="3"/>
      <c r="AH987" s="3"/>
    </row>
    <row r="988" spans="5:34" s="1" customFormat="1">
      <c r="E988" s="3"/>
      <c r="F988" s="3"/>
      <c r="G988" s="3"/>
      <c r="J988" s="3"/>
      <c r="K988" s="3"/>
      <c r="L988" s="3"/>
      <c r="O988" s="3"/>
      <c r="P988" s="3"/>
      <c r="Q988" s="3"/>
      <c r="T988" s="3"/>
      <c r="U988" s="3"/>
      <c r="V988" s="3"/>
      <c r="Y988" s="3"/>
      <c r="Z988" s="3"/>
      <c r="AA988" s="3"/>
      <c r="AB988" s="3"/>
      <c r="AC988" s="3"/>
      <c r="AH988" s="3"/>
    </row>
    <row r="989" spans="5:34" s="1" customFormat="1">
      <c r="E989" s="3"/>
      <c r="F989" s="3"/>
      <c r="G989" s="3"/>
      <c r="J989" s="3"/>
      <c r="K989" s="3"/>
      <c r="L989" s="3"/>
      <c r="O989" s="3"/>
      <c r="P989" s="3"/>
      <c r="Q989" s="3"/>
      <c r="T989" s="3"/>
      <c r="U989" s="3"/>
      <c r="V989" s="3"/>
      <c r="Y989" s="3"/>
      <c r="Z989" s="3"/>
      <c r="AA989" s="3"/>
      <c r="AB989" s="3"/>
      <c r="AC989" s="3"/>
      <c r="AH989" s="3"/>
    </row>
    <row r="990" spans="5:34" s="1" customFormat="1">
      <c r="E990" s="3"/>
      <c r="F990" s="3"/>
      <c r="G990" s="3"/>
      <c r="J990" s="3"/>
      <c r="K990" s="3"/>
      <c r="L990" s="3"/>
      <c r="O990" s="3"/>
      <c r="P990" s="3"/>
      <c r="Q990" s="3"/>
      <c r="T990" s="3"/>
      <c r="U990" s="3"/>
      <c r="V990" s="3"/>
      <c r="Y990" s="3"/>
      <c r="Z990" s="3"/>
      <c r="AA990" s="3"/>
      <c r="AB990" s="3"/>
      <c r="AC990" s="3"/>
      <c r="AH990" s="3"/>
    </row>
    <row r="991" spans="5:34" s="1" customFormat="1">
      <c r="E991" s="3"/>
      <c r="F991" s="3"/>
      <c r="G991" s="3"/>
      <c r="J991" s="3"/>
      <c r="K991" s="3"/>
      <c r="L991" s="3"/>
      <c r="O991" s="3"/>
      <c r="P991" s="3"/>
      <c r="Q991" s="3"/>
      <c r="T991" s="3"/>
      <c r="U991" s="3"/>
      <c r="V991" s="3"/>
      <c r="Y991" s="3"/>
      <c r="Z991" s="3"/>
      <c r="AA991" s="3"/>
      <c r="AB991" s="3"/>
      <c r="AC991" s="3"/>
      <c r="AH991" s="3"/>
    </row>
    <row r="992" spans="5:34" s="1" customFormat="1">
      <c r="E992" s="3"/>
      <c r="F992" s="3"/>
      <c r="G992" s="3"/>
      <c r="J992" s="3"/>
      <c r="K992" s="3"/>
      <c r="L992" s="3"/>
      <c r="O992" s="3"/>
      <c r="P992" s="3"/>
      <c r="Q992" s="3"/>
      <c r="T992" s="3"/>
      <c r="U992" s="3"/>
      <c r="V992" s="3"/>
      <c r="Y992" s="3"/>
      <c r="Z992" s="3"/>
      <c r="AA992" s="3"/>
      <c r="AB992" s="3"/>
      <c r="AC992" s="3"/>
      <c r="AH992" s="3"/>
    </row>
    <row r="993" spans="5:34" s="1" customFormat="1">
      <c r="E993" s="3"/>
      <c r="F993" s="3"/>
      <c r="G993" s="3"/>
      <c r="J993" s="3"/>
      <c r="K993" s="3"/>
      <c r="L993" s="3"/>
      <c r="O993" s="3"/>
      <c r="P993" s="3"/>
      <c r="Q993" s="3"/>
      <c r="T993" s="3"/>
      <c r="U993" s="3"/>
      <c r="V993" s="3"/>
      <c r="Y993" s="3"/>
      <c r="Z993" s="3"/>
      <c r="AA993" s="3"/>
      <c r="AB993" s="3"/>
      <c r="AC993" s="3"/>
      <c r="AH993" s="3"/>
    </row>
    <row r="994" spans="5:34" s="1" customFormat="1">
      <c r="E994" s="3"/>
      <c r="F994" s="3"/>
      <c r="G994" s="3"/>
      <c r="J994" s="3"/>
      <c r="K994" s="3"/>
      <c r="L994" s="3"/>
      <c r="O994" s="3"/>
      <c r="P994" s="3"/>
      <c r="Q994" s="3"/>
      <c r="T994" s="3"/>
      <c r="U994" s="3"/>
      <c r="V994" s="3"/>
      <c r="Y994" s="3"/>
      <c r="Z994" s="3"/>
      <c r="AA994" s="3"/>
      <c r="AB994" s="3"/>
      <c r="AC994" s="3"/>
      <c r="AH994" s="3"/>
    </row>
    <row r="995" spans="5:34" s="1" customFormat="1">
      <c r="E995" s="3"/>
      <c r="F995" s="3"/>
      <c r="G995" s="3"/>
      <c r="J995" s="3"/>
      <c r="K995" s="3"/>
      <c r="L995" s="3"/>
      <c r="O995" s="3"/>
      <c r="P995" s="3"/>
      <c r="Q995" s="3"/>
      <c r="T995" s="3"/>
      <c r="U995" s="3"/>
      <c r="V995" s="3"/>
      <c r="Y995" s="3"/>
      <c r="Z995" s="3"/>
      <c r="AA995" s="3"/>
      <c r="AB995" s="3"/>
      <c r="AC995" s="3"/>
      <c r="AH995" s="3"/>
    </row>
    <row r="996" spans="5:34" s="1" customFormat="1">
      <c r="E996" s="3"/>
      <c r="F996" s="3"/>
      <c r="G996" s="3"/>
      <c r="J996" s="3"/>
      <c r="K996" s="3"/>
      <c r="L996" s="3"/>
      <c r="O996" s="3"/>
      <c r="P996" s="3"/>
      <c r="Q996" s="3"/>
      <c r="T996" s="3"/>
      <c r="U996" s="3"/>
      <c r="V996" s="3"/>
      <c r="Y996" s="3"/>
      <c r="Z996" s="3"/>
      <c r="AA996" s="3"/>
      <c r="AB996" s="3"/>
      <c r="AC996" s="3"/>
      <c r="AH996" s="3"/>
    </row>
    <row r="997" spans="5:34" s="1" customFormat="1">
      <c r="E997" s="3"/>
      <c r="F997" s="3"/>
      <c r="G997" s="3"/>
      <c r="J997" s="3"/>
      <c r="K997" s="3"/>
      <c r="L997" s="3"/>
      <c r="O997" s="3"/>
      <c r="P997" s="3"/>
      <c r="Q997" s="3"/>
      <c r="T997" s="3"/>
      <c r="U997" s="3"/>
      <c r="V997" s="3"/>
      <c r="Y997" s="3"/>
      <c r="Z997" s="3"/>
      <c r="AA997" s="3"/>
      <c r="AB997" s="3"/>
      <c r="AC997" s="3"/>
      <c r="AH997" s="3"/>
    </row>
    <row r="998" spans="5:34" s="1" customFormat="1">
      <c r="E998" s="3"/>
      <c r="F998" s="3"/>
      <c r="G998" s="3"/>
      <c r="J998" s="3"/>
      <c r="K998" s="3"/>
      <c r="L998" s="3"/>
      <c r="O998" s="3"/>
      <c r="P998" s="3"/>
      <c r="Q998" s="3"/>
      <c r="T998" s="3"/>
      <c r="U998" s="3"/>
      <c r="V998" s="3"/>
      <c r="Y998" s="3"/>
      <c r="Z998" s="3"/>
      <c r="AA998" s="3"/>
      <c r="AB998" s="3"/>
      <c r="AC998" s="3"/>
      <c r="AH998" s="3"/>
    </row>
    <row r="999" spans="5:34" s="1" customFormat="1">
      <c r="E999" s="3"/>
      <c r="F999" s="3"/>
      <c r="G999" s="3"/>
      <c r="J999" s="3"/>
      <c r="K999" s="3"/>
      <c r="L999" s="3"/>
      <c r="O999" s="3"/>
      <c r="P999" s="3"/>
      <c r="Q999" s="3"/>
      <c r="T999" s="3"/>
      <c r="U999" s="3"/>
      <c r="V999" s="3"/>
      <c r="Y999" s="3"/>
      <c r="Z999" s="3"/>
      <c r="AA999" s="3"/>
      <c r="AB999" s="3"/>
      <c r="AC999" s="3"/>
      <c r="AH999" s="3"/>
    </row>
    <row r="1000" spans="5:34" s="1" customFormat="1">
      <c r="E1000" s="3"/>
      <c r="F1000" s="3"/>
      <c r="G1000" s="3"/>
      <c r="J1000" s="3"/>
      <c r="K1000" s="3"/>
      <c r="L1000" s="3"/>
      <c r="O1000" s="3"/>
      <c r="P1000" s="3"/>
      <c r="Q1000" s="3"/>
      <c r="T1000" s="3"/>
      <c r="U1000" s="3"/>
      <c r="V1000" s="3"/>
      <c r="Y1000" s="3"/>
      <c r="Z1000" s="3"/>
      <c r="AA1000" s="3"/>
      <c r="AB1000" s="3"/>
      <c r="AC1000" s="3"/>
      <c r="AH1000" s="3"/>
    </row>
    <row r="1001" spans="5:34" s="1" customFormat="1">
      <c r="E1001" s="3"/>
      <c r="F1001" s="3"/>
      <c r="G1001" s="3"/>
      <c r="J1001" s="3"/>
      <c r="K1001" s="3"/>
      <c r="L1001" s="3"/>
      <c r="O1001" s="3"/>
      <c r="P1001" s="3"/>
      <c r="Q1001" s="3"/>
      <c r="T1001" s="3"/>
      <c r="U1001" s="3"/>
      <c r="V1001" s="3"/>
      <c r="Y1001" s="3"/>
      <c r="Z1001" s="3"/>
      <c r="AA1001" s="3"/>
      <c r="AB1001" s="3"/>
      <c r="AC1001" s="3"/>
      <c r="AH1001" s="3"/>
    </row>
    <row r="1002" spans="5:34" s="1" customFormat="1">
      <c r="E1002" s="3"/>
      <c r="F1002" s="3"/>
      <c r="G1002" s="3"/>
      <c r="J1002" s="3"/>
      <c r="K1002" s="3"/>
      <c r="L1002" s="3"/>
      <c r="O1002" s="3"/>
      <c r="P1002" s="3"/>
      <c r="Q1002" s="3"/>
      <c r="T1002" s="3"/>
      <c r="U1002" s="3"/>
      <c r="V1002" s="3"/>
      <c r="Y1002" s="3"/>
      <c r="Z1002" s="3"/>
      <c r="AA1002" s="3"/>
      <c r="AB1002" s="3"/>
      <c r="AC1002" s="3"/>
      <c r="AH1002" s="3"/>
    </row>
    <row r="1003" spans="5:34" s="1" customFormat="1">
      <c r="E1003" s="3"/>
      <c r="F1003" s="3"/>
      <c r="G1003" s="3"/>
      <c r="J1003" s="3"/>
      <c r="K1003" s="3"/>
      <c r="L1003" s="3"/>
      <c r="O1003" s="3"/>
      <c r="P1003" s="3"/>
      <c r="Q1003" s="3"/>
      <c r="T1003" s="3"/>
      <c r="U1003" s="3"/>
      <c r="V1003" s="3"/>
      <c r="Y1003" s="3"/>
      <c r="Z1003" s="3"/>
      <c r="AA1003" s="3"/>
      <c r="AB1003" s="3"/>
      <c r="AC1003" s="3"/>
      <c r="AH1003" s="3"/>
    </row>
    <row r="1004" spans="5:34" s="1" customFormat="1">
      <c r="E1004" s="3"/>
      <c r="F1004" s="3"/>
      <c r="G1004" s="3"/>
      <c r="J1004" s="3"/>
      <c r="K1004" s="3"/>
      <c r="L1004" s="3"/>
      <c r="O1004" s="3"/>
      <c r="P1004" s="3"/>
      <c r="Q1004" s="3"/>
      <c r="T1004" s="3"/>
      <c r="U1004" s="3"/>
      <c r="V1004" s="3"/>
      <c r="Y1004" s="3"/>
      <c r="Z1004" s="3"/>
      <c r="AA1004" s="3"/>
      <c r="AB1004" s="3"/>
      <c r="AC1004" s="3"/>
      <c r="AH1004" s="3"/>
    </row>
    <row r="1005" spans="5:34" s="1" customFormat="1">
      <c r="E1005" s="3"/>
      <c r="F1005" s="3"/>
      <c r="G1005" s="3"/>
      <c r="J1005" s="3"/>
      <c r="K1005" s="3"/>
      <c r="L1005" s="3"/>
      <c r="O1005" s="3"/>
      <c r="P1005" s="3"/>
      <c r="Q1005" s="3"/>
      <c r="T1005" s="3"/>
      <c r="U1005" s="3"/>
      <c r="V1005" s="3"/>
      <c r="Y1005" s="3"/>
      <c r="Z1005" s="3"/>
      <c r="AA1005" s="3"/>
      <c r="AB1005" s="3"/>
      <c r="AC1005" s="3"/>
      <c r="AH1005" s="3"/>
    </row>
    <row r="1006" spans="5:34" s="1" customFormat="1">
      <c r="E1006" s="3"/>
      <c r="F1006" s="3"/>
      <c r="G1006" s="3"/>
      <c r="J1006" s="3"/>
      <c r="K1006" s="3"/>
      <c r="L1006" s="3"/>
      <c r="O1006" s="3"/>
      <c r="P1006" s="3"/>
      <c r="Q1006" s="3"/>
      <c r="T1006" s="3"/>
      <c r="U1006" s="3"/>
      <c r="V1006" s="3"/>
      <c r="Y1006" s="3"/>
      <c r="Z1006" s="3"/>
      <c r="AA1006" s="3"/>
      <c r="AB1006" s="3"/>
      <c r="AC1006" s="3"/>
      <c r="AH1006" s="3"/>
    </row>
    <row r="1007" spans="5:34" s="1" customFormat="1">
      <c r="E1007" s="3"/>
      <c r="F1007" s="3"/>
      <c r="G1007" s="3"/>
      <c r="J1007" s="3"/>
      <c r="K1007" s="3"/>
      <c r="L1007" s="3"/>
      <c r="O1007" s="3"/>
      <c r="P1007" s="3"/>
      <c r="Q1007" s="3"/>
      <c r="T1007" s="3"/>
      <c r="U1007" s="3"/>
      <c r="V1007" s="3"/>
      <c r="Y1007" s="3"/>
      <c r="Z1007" s="3"/>
      <c r="AA1007" s="3"/>
      <c r="AB1007" s="3"/>
      <c r="AC1007" s="3"/>
      <c r="AH1007" s="3"/>
    </row>
    <row r="1008" spans="5:34" s="1" customFormat="1">
      <c r="E1008" s="3"/>
      <c r="F1008" s="3"/>
      <c r="G1008" s="3"/>
      <c r="J1008" s="3"/>
      <c r="K1008" s="3"/>
      <c r="L1008" s="3"/>
      <c r="O1008" s="3"/>
      <c r="P1008" s="3"/>
      <c r="Q1008" s="3"/>
      <c r="T1008" s="3"/>
      <c r="U1008" s="3"/>
      <c r="V1008" s="3"/>
      <c r="Y1008" s="3"/>
      <c r="Z1008" s="3"/>
      <c r="AA1008" s="3"/>
      <c r="AB1008" s="3"/>
      <c r="AC1008" s="3"/>
      <c r="AH1008" s="3"/>
    </row>
    <row r="1009" spans="5:34" s="1" customFormat="1">
      <c r="E1009" s="3"/>
      <c r="F1009" s="3"/>
      <c r="G1009" s="3"/>
      <c r="J1009" s="3"/>
      <c r="K1009" s="3"/>
      <c r="L1009" s="3"/>
      <c r="O1009" s="3"/>
      <c r="P1009" s="3"/>
      <c r="Q1009" s="3"/>
      <c r="T1009" s="3"/>
      <c r="U1009" s="3"/>
      <c r="V1009" s="3"/>
      <c r="Y1009" s="3"/>
      <c r="Z1009" s="3"/>
      <c r="AA1009" s="3"/>
      <c r="AB1009" s="3"/>
      <c r="AC1009" s="3"/>
      <c r="AH1009" s="3"/>
    </row>
    <row r="1010" spans="5:34" s="1" customFormat="1">
      <c r="E1010" s="3"/>
      <c r="F1010" s="3"/>
      <c r="G1010" s="3"/>
      <c r="J1010" s="3"/>
      <c r="K1010" s="3"/>
      <c r="L1010" s="3"/>
      <c r="O1010" s="3"/>
      <c r="P1010" s="3"/>
      <c r="Q1010" s="3"/>
      <c r="T1010" s="3"/>
      <c r="U1010" s="3"/>
      <c r="V1010" s="3"/>
      <c r="Y1010" s="3"/>
      <c r="Z1010" s="3"/>
      <c r="AA1010" s="3"/>
      <c r="AB1010" s="3"/>
      <c r="AC1010" s="3"/>
      <c r="AH1010" s="3"/>
    </row>
    <row r="1011" spans="5:34" s="1" customFormat="1">
      <c r="E1011" s="3"/>
      <c r="F1011" s="3"/>
      <c r="G1011" s="3"/>
      <c r="J1011" s="3"/>
      <c r="K1011" s="3"/>
      <c r="L1011" s="3"/>
      <c r="O1011" s="3"/>
      <c r="P1011" s="3"/>
      <c r="Q1011" s="3"/>
      <c r="T1011" s="3"/>
      <c r="U1011" s="3"/>
      <c r="V1011" s="3"/>
      <c r="Y1011" s="3"/>
      <c r="Z1011" s="3"/>
      <c r="AA1011" s="3"/>
      <c r="AB1011" s="3"/>
      <c r="AC1011" s="3"/>
      <c r="AH1011" s="3"/>
    </row>
    <row r="1012" spans="5:34" s="1" customFormat="1">
      <c r="E1012" s="3"/>
      <c r="F1012" s="3"/>
      <c r="G1012" s="3"/>
      <c r="J1012" s="3"/>
      <c r="K1012" s="3"/>
      <c r="L1012" s="3"/>
      <c r="O1012" s="3"/>
      <c r="P1012" s="3"/>
      <c r="Q1012" s="3"/>
      <c r="T1012" s="3"/>
      <c r="U1012" s="3"/>
      <c r="V1012" s="3"/>
      <c r="Y1012" s="3"/>
      <c r="Z1012" s="3"/>
      <c r="AA1012" s="3"/>
      <c r="AB1012" s="3"/>
      <c r="AC1012" s="3"/>
      <c r="AH1012" s="3"/>
    </row>
    <row r="1013" spans="5:34" s="1" customFormat="1">
      <c r="E1013" s="3"/>
      <c r="F1013" s="3"/>
      <c r="G1013" s="3"/>
      <c r="J1013" s="3"/>
      <c r="K1013" s="3"/>
      <c r="L1013" s="3"/>
      <c r="O1013" s="3"/>
      <c r="P1013" s="3"/>
      <c r="Q1013" s="3"/>
      <c r="T1013" s="3"/>
      <c r="U1013" s="3"/>
      <c r="V1013" s="3"/>
      <c r="Y1013" s="3"/>
      <c r="Z1013" s="3"/>
      <c r="AA1013" s="3"/>
      <c r="AB1013" s="3"/>
      <c r="AC1013" s="3"/>
      <c r="AH1013" s="3"/>
    </row>
    <row r="1014" spans="5:34" s="1" customFormat="1">
      <c r="E1014" s="3"/>
      <c r="F1014" s="3"/>
      <c r="G1014" s="3"/>
      <c r="J1014" s="3"/>
      <c r="K1014" s="3"/>
      <c r="L1014" s="3"/>
      <c r="O1014" s="3"/>
      <c r="P1014" s="3"/>
      <c r="Q1014" s="3"/>
      <c r="T1014" s="3"/>
      <c r="U1014" s="3"/>
      <c r="V1014" s="3"/>
      <c r="Y1014" s="3"/>
      <c r="Z1014" s="3"/>
      <c r="AA1014" s="3"/>
      <c r="AB1014" s="3"/>
      <c r="AC1014" s="3"/>
      <c r="AH1014" s="3"/>
    </row>
    <row r="1015" spans="5:34" s="1" customFormat="1">
      <c r="E1015" s="3"/>
      <c r="F1015" s="3"/>
      <c r="G1015" s="3"/>
      <c r="J1015" s="3"/>
      <c r="K1015" s="3"/>
      <c r="L1015" s="3"/>
      <c r="O1015" s="3"/>
      <c r="P1015" s="3"/>
      <c r="Q1015" s="3"/>
      <c r="T1015" s="3"/>
      <c r="U1015" s="3"/>
      <c r="V1015" s="3"/>
      <c r="Y1015" s="3"/>
      <c r="Z1015" s="3"/>
      <c r="AA1015" s="3"/>
      <c r="AB1015" s="3"/>
      <c r="AC1015" s="3"/>
      <c r="AH1015" s="3"/>
    </row>
    <row r="1016" spans="5:34" s="1" customFormat="1">
      <c r="E1016" s="3"/>
      <c r="F1016" s="3"/>
      <c r="G1016" s="3"/>
      <c r="J1016" s="3"/>
      <c r="K1016" s="3"/>
      <c r="L1016" s="3"/>
      <c r="O1016" s="3"/>
      <c r="P1016" s="3"/>
      <c r="Q1016" s="3"/>
      <c r="T1016" s="3"/>
      <c r="U1016" s="3"/>
      <c r="V1016" s="3"/>
      <c r="Y1016" s="3"/>
      <c r="Z1016" s="3"/>
      <c r="AA1016" s="3"/>
      <c r="AB1016" s="3"/>
      <c r="AC1016" s="3"/>
      <c r="AH1016" s="3"/>
    </row>
    <row r="1017" spans="5:34" s="1" customFormat="1">
      <c r="E1017" s="3"/>
      <c r="F1017" s="3"/>
      <c r="G1017" s="3"/>
      <c r="J1017" s="3"/>
      <c r="K1017" s="3"/>
      <c r="L1017" s="3"/>
      <c r="O1017" s="3"/>
      <c r="P1017" s="3"/>
      <c r="Q1017" s="3"/>
      <c r="T1017" s="3"/>
      <c r="U1017" s="3"/>
      <c r="V1017" s="3"/>
      <c r="Y1017" s="3"/>
      <c r="Z1017" s="3"/>
      <c r="AA1017" s="3"/>
      <c r="AB1017" s="3"/>
      <c r="AC1017" s="3"/>
      <c r="AH1017" s="3"/>
    </row>
    <row r="1018" spans="5:34" s="1" customFormat="1">
      <c r="E1018" s="3"/>
      <c r="F1018" s="3"/>
      <c r="G1018" s="3"/>
      <c r="J1018" s="3"/>
      <c r="K1018" s="3"/>
      <c r="L1018" s="3"/>
      <c r="O1018" s="3"/>
      <c r="P1018" s="3"/>
      <c r="Q1018" s="3"/>
      <c r="T1018" s="3"/>
      <c r="U1018" s="3"/>
      <c r="V1018" s="3"/>
      <c r="Y1018" s="3"/>
      <c r="Z1018" s="3"/>
      <c r="AA1018" s="3"/>
      <c r="AB1018" s="3"/>
      <c r="AC1018" s="3"/>
      <c r="AH1018" s="3"/>
    </row>
    <row r="1019" spans="5:34" s="1" customFormat="1">
      <c r="E1019" s="3"/>
      <c r="F1019" s="3"/>
      <c r="G1019" s="3"/>
      <c r="J1019" s="3"/>
      <c r="K1019" s="3"/>
      <c r="L1019" s="3"/>
      <c r="O1019" s="3"/>
      <c r="P1019" s="3"/>
      <c r="Q1019" s="3"/>
      <c r="T1019" s="3"/>
      <c r="U1019" s="3"/>
      <c r="V1019" s="3"/>
      <c r="Y1019" s="3"/>
      <c r="Z1019" s="3"/>
      <c r="AA1019" s="3"/>
      <c r="AB1019" s="3"/>
      <c r="AC1019" s="3"/>
      <c r="AH1019" s="3"/>
    </row>
    <row r="1020" spans="5:34" s="1" customFormat="1">
      <c r="E1020" s="3"/>
      <c r="F1020" s="3"/>
      <c r="G1020" s="3"/>
      <c r="J1020" s="3"/>
      <c r="K1020" s="3"/>
      <c r="L1020" s="3"/>
      <c r="O1020" s="3"/>
      <c r="P1020" s="3"/>
      <c r="Q1020" s="3"/>
      <c r="T1020" s="3"/>
      <c r="U1020" s="3"/>
      <c r="V1020" s="3"/>
      <c r="Y1020" s="3"/>
      <c r="Z1020" s="3"/>
      <c r="AA1020" s="3"/>
      <c r="AB1020" s="3"/>
      <c r="AC1020" s="3"/>
      <c r="AH1020" s="3"/>
    </row>
    <row r="1021" spans="5:34" s="1" customFormat="1">
      <c r="E1021" s="3"/>
      <c r="F1021" s="3"/>
      <c r="G1021" s="3"/>
      <c r="J1021" s="3"/>
      <c r="K1021" s="3"/>
      <c r="L1021" s="3"/>
      <c r="O1021" s="3"/>
      <c r="P1021" s="3"/>
      <c r="Q1021" s="3"/>
      <c r="T1021" s="3"/>
      <c r="U1021" s="3"/>
      <c r="V1021" s="3"/>
      <c r="Y1021" s="3"/>
      <c r="Z1021" s="3"/>
      <c r="AA1021" s="3"/>
      <c r="AB1021" s="3"/>
      <c r="AC1021" s="3"/>
      <c r="AH1021" s="3"/>
    </row>
    <row r="1022" spans="5:34" s="1" customFormat="1">
      <c r="E1022" s="3"/>
      <c r="F1022" s="3"/>
      <c r="G1022" s="3"/>
      <c r="J1022" s="3"/>
      <c r="K1022" s="3"/>
      <c r="L1022" s="3"/>
      <c r="O1022" s="3"/>
      <c r="P1022" s="3"/>
      <c r="Q1022" s="3"/>
      <c r="T1022" s="3"/>
      <c r="U1022" s="3"/>
      <c r="V1022" s="3"/>
      <c r="Y1022" s="3"/>
      <c r="Z1022" s="3"/>
      <c r="AA1022" s="3"/>
      <c r="AB1022" s="3"/>
      <c r="AC1022" s="3"/>
      <c r="AH1022" s="3"/>
    </row>
    <row r="1023" spans="5:34" s="1" customFormat="1">
      <c r="E1023" s="3"/>
      <c r="F1023" s="3"/>
      <c r="G1023" s="3"/>
      <c r="J1023" s="3"/>
      <c r="K1023" s="3"/>
      <c r="L1023" s="3"/>
      <c r="O1023" s="3"/>
      <c r="P1023" s="3"/>
      <c r="Q1023" s="3"/>
      <c r="T1023" s="3"/>
      <c r="U1023" s="3"/>
      <c r="V1023" s="3"/>
      <c r="Y1023" s="3"/>
      <c r="Z1023" s="3"/>
      <c r="AA1023" s="3"/>
      <c r="AB1023" s="3"/>
      <c r="AC1023" s="3"/>
      <c r="AH1023" s="3"/>
    </row>
    <row r="1024" spans="5:34" s="1" customFormat="1">
      <c r="E1024" s="3"/>
      <c r="F1024" s="3"/>
      <c r="G1024" s="3"/>
      <c r="J1024" s="3"/>
      <c r="K1024" s="3"/>
      <c r="L1024" s="3"/>
      <c r="O1024" s="3"/>
      <c r="P1024" s="3"/>
      <c r="Q1024" s="3"/>
      <c r="T1024" s="3"/>
      <c r="U1024" s="3"/>
      <c r="V1024" s="3"/>
      <c r="Y1024" s="3"/>
      <c r="Z1024" s="3"/>
      <c r="AA1024" s="3"/>
      <c r="AB1024" s="3"/>
      <c r="AC1024" s="3"/>
      <c r="AH1024" s="3"/>
    </row>
    <row r="1025" spans="5:34" s="1" customFormat="1">
      <c r="E1025" s="3"/>
      <c r="F1025" s="3"/>
      <c r="G1025" s="3"/>
      <c r="J1025" s="3"/>
      <c r="K1025" s="3"/>
      <c r="L1025" s="3"/>
      <c r="O1025" s="3"/>
      <c r="P1025" s="3"/>
      <c r="Q1025" s="3"/>
      <c r="T1025" s="3"/>
      <c r="U1025" s="3"/>
      <c r="V1025" s="3"/>
      <c r="Y1025" s="3"/>
      <c r="Z1025" s="3"/>
      <c r="AA1025" s="3"/>
      <c r="AB1025" s="3"/>
      <c r="AC1025" s="3"/>
      <c r="AH1025" s="3"/>
    </row>
    <row r="1026" spans="5:34" s="1" customFormat="1">
      <c r="E1026" s="3"/>
      <c r="F1026" s="3"/>
      <c r="G1026" s="3"/>
      <c r="J1026" s="3"/>
      <c r="K1026" s="3"/>
      <c r="L1026" s="3"/>
      <c r="O1026" s="3"/>
      <c r="P1026" s="3"/>
      <c r="Q1026" s="3"/>
      <c r="T1026" s="3"/>
      <c r="U1026" s="3"/>
      <c r="V1026" s="3"/>
      <c r="Y1026" s="3"/>
      <c r="Z1026" s="3"/>
      <c r="AA1026" s="3"/>
      <c r="AB1026" s="3"/>
      <c r="AC1026" s="3"/>
      <c r="AH1026" s="3"/>
    </row>
    <row r="1027" spans="5:34" s="1" customFormat="1">
      <c r="E1027" s="3"/>
      <c r="F1027" s="3"/>
      <c r="G1027" s="3"/>
      <c r="J1027" s="3"/>
      <c r="K1027" s="3"/>
      <c r="L1027" s="3"/>
      <c r="O1027" s="3"/>
      <c r="P1027" s="3"/>
      <c r="Q1027" s="3"/>
      <c r="T1027" s="3"/>
      <c r="U1027" s="3"/>
      <c r="V1027" s="3"/>
      <c r="Y1027" s="3"/>
      <c r="Z1027" s="3"/>
      <c r="AA1027" s="3"/>
      <c r="AB1027" s="3"/>
      <c r="AC1027" s="3"/>
      <c r="AH1027" s="3"/>
    </row>
    <row r="1028" spans="5:34" s="1" customFormat="1">
      <c r="E1028" s="3"/>
      <c r="F1028" s="3"/>
      <c r="G1028" s="3"/>
      <c r="J1028" s="3"/>
      <c r="K1028" s="3"/>
      <c r="L1028" s="3"/>
      <c r="O1028" s="3"/>
      <c r="P1028" s="3"/>
      <c r="Q1028" s="3"/>
      <c r="T1028" s="3"/>
      <c r="U1028" s="3"/>
      <c r="V1028" s="3"/>
      <c r="Y1028" s="3"/>
      <c r="Z1028" s="3"/>
      <c r="AA1028" s="3"/>
      <c r="AB1028" s="3"/>
      <c r="AC1028" s="3"/>
      <c r="AH1028" s="3"/>
    </row>
    <row r="1029" spans="5:34" s="1" customFormat="1">
      <c r="E1029" s="3"/>
      <c r="F1029" s="3"/>
      <c r="G1029" s="3"/>
      <c r="J1029" s="3"/>
      <c r="K1029" s="3"/>
      <c r="L1029" s="3"/>
      <c r="O1029" s="3"/>
      <c r="P1029" s="3"/>
      <c r="Q1029" s="3"/>
      <c r="T1029" s="3"/>
      <c r="U1029" s="3"/>
      <c r="V1029" s="3"/>
      <c r="Y1029" s="3"/>
      <c r="Z1029" s="3"/>
      <c r="AA1029" s="3"/>
      <c r="AB1029" s="3"/>
      <c r="AC1029" s="3"/>
      <c r="AH1029" s="3"/>
    </row>
    <row r="1030" spans="5:34" s="1" customFormat="1">
      <c r="E1030" s="3"/>
      <c r="F1030" s="3"/>
      <c r="G1030" s="3"/>
      <c r="J1030" s="3"/>
      <c r="K1030" s="3"/>
      <c r="L1030" s="3"/>
      <c r="O1030" s="3"/>
      <c r="P1030" s="3"/>
      <c r="Q1030" s="3"/>
      <c r="T1030" s="3"/>
      <c r="U1030" s="3"/>
      <c r="V1030" s="3"/>
      <c r="Y1030" s="3"/>
      <c r="Z1030" s="3"/>
      <c r="AA1030" s="3"/>
      <c r="AB1030" s="3"/>
      <c r="AC1030" s="3"/>
      <c r="AH1030" s="3"/>
    </row>
    <row r="1031" spans="5:34" s="1" customFormat="1">
      <c r="E1031" s="3"/>
      <c r="F1031" s="3"/>
      <c r="G1031" s="3"/>
      <c r="J1031" s="3"/>
      <c r="K1031" s="3"/>
      <c r="L1031" s="3"/>
      <c r="O1031" s="3"/>
      <c r="P1031" s="3"/>
      <c r="Q1031" s="3"/>
      <c r="T1031" s="3"/>
      <c r="U1031" s="3"/>
      <c r="V1031" s="3"/>
      <c r="Y1031" s="3"/>
      <c r="Z1031" s="3"/>
      <c r="AA1031" s="3"/>
      <c r="AB1031" s="3"/>
      <c r="AC1031" s="3"/>
      <c r="AH1031" s="3"/>
    </row>
    <row r="1032" spans="5:34" s="1" customFormat="1">
      <c r="E1032" s="3"/>
      <c r="F1032" s="3"/>
      <c r="G1032" s="3"/>
      <c r="J1032" s="3"/>
      <c r="K1032" s="3"/>
      <c r="L1032" s="3"/>
      <c r="O1032" s="3"/>
      <c r="P1032" s="3"/>
      <c r="Q1032" s="3"/>
      <c r="T1032" s="3"/>
      <c r="U1032" s="3"/>
      <c r="V1032" s="3"/>
      <c r="Y1032" s="3"/>
      <c r="Z1032" s="3"/>
      <c r="AA1032" s="3"/>
      <c r="AB1032" s="3"/>
      <c r="AC1032" s="3"/>
      <c r="AH1032" s="3"/>
    </row>
    <row r="1033" spans="5:34" s="1" customFormat="1">
      <c r="E1033" s="3"/>
      <c r="F1033" s="3"/>
      <c r="G1033" s="3"/>
      <c r="J1033" s="3"/>
      <c r="K1033" s="3"/>
      <c r="L1033" s="3"/>
      <c r="O1033" s="3"/>
      <c r="P1033" s="3"/>
      <c r="Q1033" s="3"/>
      <c r="T1033" s="3"/>
      <c r="U1033" s="3"/>
      <c r="V1033" s="3"/>
      <c r="Y1033" s="3"/>
      <c r="Z1033" s="3"/>
      <c r="AA1033" s="3"/>
      <c r="AB1033" s="3"/>
      <c r="AC1033" s="3"/>
      <c r="AH1033" s="3"/>
    </row>
    <row r="1034" spans="5:34" s="1" customFormat="1">
      <c r="E1034" s="3"/>
      <c r="F1034" s="3"/>
      <c r="G1034" s="3"/>
      <c r="J1034" s="3"/>
      <c r="K1034" s="3"/>
      <c r="L1034" s="3"/>
      <c r="O1034" s="3"/>
      <c r="P1034" s="3"/>
      <c r="Q1034" s="3"/>
      <c r="T1034" s="3"/>
      <c r="U1034" s="3"/>
      <c r="V1034" s="3"/>
      <c r="Y1034" s="3"/>
      <c r="Z1034" s="3"/>
      <c r="AA1034" s="3"/>
      <c r="AB1034" s="3"/>
      <c r="AC1034" s="3"/>
      <c r="AH1034" s="3"/>
    </row>
    <row r="1035" spans="5:34" s="1" customFormat="1">
      <c r="E1035" s="3"/>
      <c r="F1035" s="3"/>
      <c r="G1035" s="3"/>
      <c r="J1035" s="3"/>
      <c r="K1035" s="3"/>
      <c r="L1035" s="3"/>
      <c r="O1035" s="3"/>
      <c r="P1035" s="3"/>
      <c r="Q1035" s="3"/>
      <c r="T1035" s="3"/>
      <c r="U1035" s="3"/>
      <c r="V1035" s="3"/>
      <c r="Y1035" s="3"/>
      <c r="Z1035" s="3"/>
      <c r="AA1035" s="3"/>
      <c r="AB1035" s="3"/>
      <c r="AC1035" s="3"/>
      <c r="AH1035" s="3"/>
    </row>
    <row r="1036" spans="5:34" s="1" customFormat="1">
      <c r="E1036" s="3"/>
      <c r="F1036" s="3"/>
      <c r="G1036" s="3"/>
      <c r="J1036" s="3"/>
      <c r="K1036" s="3"/>
      <c r="L1036" s="3"/>
      <c r="O1036" s="3"/>
      <c r="P1036" s="3"/>
      <c r="Q1036" s="3"/>
      <c r="T1036" s="3"/>
      <c r="U1036" s="3"/>
      <c r="V1036" s="3"/>
      <c r="Y1036" s="3"/>
      <c r="Z1036" s="3"/>
      <c r="AA1036" s="3"/>
      <c r="AB1036" s="3"/>
      <c r="AC1036" s="3"/>
      <c r="AH1036" s="3"/>
    </row>
    <row r="1037" spans="5:34" s="1" customFormat="1">
      <c r="E1037" s="3"/>
      <c r="F1037" s="3"/>
      <c r="G1037" s="3"/>
      <c r="J1037" s="3"/>
      <c r="K1037" s="3"/>
      <c r="L1037" s="3"/>
      <c r="O1037" s="3"/>
      <c r="P1037" s="3"/>
      <c r="Q1037" s="3"/>
      <c r="T1037" s="3"/>
      <c r="U1037" s="3"/>
      <c r="V1037" s="3"/>
      <c r="Y1037" s="3"/>
      <c r="Z1037" s="3"/>
      <c r="AA1037" s="3"/>
      <c r="AB1037" s="3"/>
      <c r="AC1037" s="3"/>
      <c r="AH1037" s="3"/>
    </row>
    <row r="1038" spans="5:34" s="1" customFormat="1">
      <c r="E1038" s="3"/>
      <c r="F1038" s="3"/>
      <c r="G1038" s="3"/>
      <c r="J1038" s="3"/>
      <c r="K1038" s="3"/>
      <c r="L1038" s="3"/>
      <c r="O1038" s="3"/>
      <c r="P1038" s="3"/>
      <c r="Q1038" s="3"/>
      <c r="T1038" s="3"/>
      <c r="U1038" s="3"/>
      <c r="V1038" s="3"/>
      <c r="Y1038" s="3"/>
      <c r="Z1038" s="3"/>
      <c r="AA1038" s="3"/>
      <c r="AB1038" s="3"/>
      <c r="AC1038" s="3"/>
      <c r="AH1038" s="3"/>
    </row>
    <row r="1039" spans="5:34" s="1" customFormat="1">
      <c r="E1039" s="3"/>
      <c r="F1039" s="3"/>
      <c r="G1039" s="3"/>
      <c r="J1039" s="3"/>
      <c r="K1039" s="3"/>
      <c r="L1039" s="3"/>
      <c r="O1039" s="3"/>
      <c r="P1039" s="3"/>
      <c r="Q1039" s="3"/>
      <c r="T1039" s="3"/>
      <c r="U1039" s="3"/>
      <c r="V1039" s="3"/>
      <c r="Y1039" s="3"/>
      <c r="Z1039" s="3"/>
      <c r="AA1039" s="3"/>
      <c r="AB1039" s="3"/>
      <c r="AC1039" s="3"/>
      <c r="AH1039" s="3"/>
    </row>
    <row r="1040" spans="5:34" s="1" customFormat="1">
      <c r="E1040" s="3"/>
      <c r="F1040" s="3"/>
      <c r="G1040" s="3"/>
      <c r="J1040" s="3"/>
      <c r="K1040" s="3"/>
      <c r="L1040" s="3"/>
      <c r="O1040" s="3"/>
      <c r="P1040" s="3"/>
      <c r="Q1040" s="3"/>
      <c r="T1040" s="3"/>
      <c r="U1040" s="3"/>
      <c r="V1040" s="3"/>
      <c r="Y1040" s="3"/>
      <c r="Z1040" s="3"/>
      <c r="AA1040" s="3"/>
      <c r="AB1040" s="3"/>
      <c r="AC1040" s="3"/>
      <c r="AH1040" s="3"/>
    </row>
    <row r="1041" spans="5:34" s="1" customFormat="1">
      <c r="E1041" s="3"/>
      <c r="F1041" s="3"/>
      <c r="G1041" s="3"/>
      <c r="J1041" s="3"/>
      <c r="K1041" s="3"/>
      <c r="L1041" s="3"/>
      <c r="O1041" s="3"/>
      <c r="P1041" s="3"/>
      <c r="Q1041" s="3"/>
      <c r="T1041" s="3"/>
      <c r="U1041" s="3"/>
      <c r="V1041" s="3"/>
      <c r="Y1041" s="3"/>
      <c r="Z1041" s="3"/>
      <c r="AA1041" s="3"/>
      <c r="AB1041" s="3"/>
      <c r="AC1041" s="3"/>
      <c r="AH1041" s="3"/>
    </row>
    <row r="1042" spans="5:34" s="1" customFormat="1">
      <c r="E1042" s="3"/>
      <c r="F1042" s="3"/>
      <c r="G1042" s="3"/>
      <c r="J1042" s="3"/>
      <c r="K1042" s="3"/>
      <c r="L1042" s="3"/>
      <c r="O1042" s="3"/>
      <c r="P1042" s="3"/>
      <c r="Q1042" s="3"/>
      <c r="T1042" s="3"/>
      <c r="U1042" s="3"/>
      <c r="V1042" s="3"/>
      <c r="Y1042" s="3"/>
      <c r="Z1042" s="3"/>
      <c r="AA1042" s="3"/>
      <c r="AB1042" s="3"/>
      <c r="AC1042" s="3"/>
      <c r="AH1042" s="3"/>
    </row>
    <row r="1043" spans="5:34" s="1" customFormat="1">
      <c r="E1043" s="3"/>
      <c r="F1043" s="3"/>
      <c r="G1043" s="3"/>
      <c r="J1043" s="3"/>
      <c r="K1043" s="3"/>
      <c r="L1043" s="3"/>
      <c r="O1043" s="3"/>
      <c r="P1043" s="3"/>
      <c r="Q1043" s="3"/>
      <c r="T1043" s="3"/>
      <c r="U1043" s="3"/>
      <c r="V1043" s="3"/>
      <c r="Y1043" s="3"/>
      <c r="Z1043" s="3"/>
      <c r="AA1043" s="3"/>
      <c r="AB1043" s="3"/>
      <c r="AC1043" s="3"/>
      <c r="AH1043" s="3"/>
    </row>
    <row r="1044" spans="5:34" s="1" customFormat="1">
      <c r="E1044" s="3"/>
      <c r="F1044" s="3"/>
      <c r="G1044" s="3"/>
      <c r="J1044" s="3"/>
      <c r="K1044" s="3"/>
      <c r="L1044" s="3"/>
      <c r="O1044" s="3"/>
      <c r="P1044" s="3"/>
      <c r="Q1044" s="3"/>
      <c r="T1044" s="3"/>
      <c r="U1044" s="3"/>
      <c r="V1044" s="3"/>
      <c r="Y1044" s="3"/>
      <c r="Z1044" s="3"/>
      <c r="AA1044" s="3"/>
      <c r="AB1044" s="3"/>
      <c r="AC1044" s="3"/>
      <c r="AH1044" s="3"/>
    </row>
    <row r="1045" spans="5:34" s="1" customFormat="1">
      <c r="E1045" s="3"/>
      <c r="F1045" s="3"/>
      <c r="G1045" s="3"/>
      <c r="J1045" s="3"/>
      <c r="K1045" s="3"/>
      <c r="L1045" s="3"/>
      <c r="O1045" s="3"/>
      <c r="P1045" s="3"/>
      <c r="Q1045" s="3"/>
      <c r="T1045" s="3"/>
      <c r="U1045" s="3"/>
      <c r="V1045" s="3"/>
      <c r="Y1045" s="3"/>
      <c r="Z1045" s="3"/>
      <c r="AA1045" s="3"/>
      <c r="AB1045" s="3"/>
      <c r="AC1045" s="3"/>
      <c r="AH1045" s="3"/>
    </row>
    <row r="1046" spans="5:34" s="1" customFormat="1">
      <c r="E1046" s="3"/>
      <c r="F1046" s="3"/>
      <c r="G1046" s="3"/>
      <c r="J1046" s="3"/>
      <c r="K1046" s="3"/>
      <c r="L1046" s="3"/>
      <c r="O1046" s="3"/>
      <c r="P1046" s="3"/>
      <c r="Q1046" s="3"/>
      <c r="T1046" s="3"/>
      <c r="U1046" s="3"/>
      <c r="V1046" s="3"/>
      <c r="Y1046" s="3"/>
      <c r="Z1046" s="3"/>
      <c r="AA1046" s="3"/>
      <c r="AB1046" s="3"/>
      <c r="AC1046" s="3"/>
      <c r="AH1046" s="3"/>
    </row>
    <row r="1047" spans="5:34" s="1" customFormat="1">
      <c r="E1047" s="3"/>
      <c r="F1047" s="3"/>
      <c r="G1047" s="3"/>
      <c r="J1047" s="3"/>
      <c r="K1047" s="3"/>
      <c r="L1047" s="3"/>
      <c r="O1047" s="3"/>
      <c r="P1047" s="3"/>
      <c r="Q1047" s="3"/>
      <c r="T1047" s="3"/>
      <c r="U1047" s="3"/>
      <c r="V1047" s="3"/>
      <c r="Y1047" s="3"/>
      <c r="Z1047" s="3"/>
      <c r="AA1047" s="3"/>
      <c r="AB1047" s="3"/>
      <c r="AC1047" s="3"/>
      <c r="AH1047" s="3"/>
    </row>
    <row r="1048" spans="5:34" s="1" customFormat="1">
      <c r="E1048" s="3"/>
      <c r="F1048" s="3"/>
      <c r="G1048" s="3"/>
      <c r="J1048" s="3"/>
      <c r="K1048" s="3"/>
      <c r="L1048" s="3"/>
      <c r="O1048" s="3"/>
      <c r="P1048" s="3"/>
      <c r="Q1048" s="3"/>
      <c r="T1048" s="3"/>
      <c r="U1048" s="3"/>
      <c r="V1048" s="3"/>
      <c r="Y1048" s="3"/>
      <c r="Z1048" s="3"/>
      <c r="AA1048" s="3"/>
      <c r="AB1048" s="3"/>
      <c r="AC1048" s="3"/>
      <c r="AH1048" s="3"/>
    </row>
    <row r="1049" spans="5:34" s="1" customFormat="1">
      <c r="E1049" s="3"/>
      <c r="F1049" s="3"/>
      <c r="G1049" s="3"/>
      <c r="J1049" s="3"/>
      <c r="K1049" s="3"/>
      <c r="L1049" s="3"/>
      <c r="O1049" s="3"/>
      <c r="P1049" s="3"/>
      <c r="Q1049" s="3"/>
      <c r="T1049" s="3"/>
      <c r="U1049" s="3"/>
      <c r="V1049" s="3"/>
      <c r="Y1049" s="3"/>
      <c r="Z1049" s="3"/>
      <c r="AA1049" s="3"/>
      <c r="AB1049" s="3"/>
      <c r="AC1049" s="3"/>
      <c r="AH1049" s="3"/>
    </row>
    <row r="1050" spans="5:34" s="1" customFormat="1">
      <c r="E1050" s="3"/>
      <c r="F1050" s="3"/>
      <c r="G1050" s="3"/>
      <c r="J1050" s="3"/>
      <c r="K1050" s="3"/>
      <c r="L1050" s="3"/>
      <c r="O1050" s="3"/>
      <c r="P1050" s="3"/>
      <c r="Q1050" s="3"/>
      <c r="T1050" s="3"/>
      <c r="U1050" s="3"/>
      <c r="V1050" s="3"/>
      <c r="Y1050" s="3"/>
      <c r="Z1050" s="3"/>
      <c r="AA1050" s="3"/>
      <c r="AB1050" s="3"/>
      <c r="AC1050" s="3"/>
      <c r="AH1050" s="3"/>
    </row>
    <row r="1051" spans="5:34" s="1" customFormat="1">
      <c r="E1051" s="3"/>
      <c r="F1051" s="3"/>
      <c r="G1051" s="3"/>
      <c r="J1051" s="3"/>
      <c r="K1051" s="3"/>
      <c r="L1051" s="3"/>
      <c r="O1051" s="3"/>
      <c r="P1051" s="3"/>
      <c r="Q1051" s="3"/>
      <c r="T1051" s="3"/>
      <c r="U1051" s="3"/>
      <c r="V1051" s="3"/>
      <c r="Y1051" s="3"/>
      <c r="Z1051" s="3"/>
      <c r="AA1051" s="3"/>
      <c r="AB1051" s="3"/>
      <c r="AC1051" s="3"/>
      <c r="AH1051" s="3"/>
    </row>
    <row r="1052" spans="5:34" s="1" customFormat="1">
      <c r="E1052" s="3"/>
      <c r="F1052" s="3"/>
      <c r="G1052" s="3"/>
      <c r="J1052" s="3"/>
      <c r="K1052" s="3"/>
      <c r="L1052" s="3"/>
      <c r="O1052" s="3"/>
      <c r="P1052" s="3"/>
      <c r="Q1052" s="3"/>
      <c r="T1052" s="3"/>
      <c r="U1052" s="3"/>
      <c r="V1052" s="3"/>
      <c r="Y1052" s="3"/>
      <c r="Z1052" s="3"/>
      <c r="AA1052" s="3"/>
      <c r="AB1052" s="3"/>
      <c r="AC1052" s="3"/>
      <c r="AH1052" s="3"/>
    </row>
    <row r="1053" spans="5:34" s="1" customFormat="1">
      <c r="E1053" s="3"/>
      <c r="F1053" s="3"/>
      <c r="G1053" s="3"/>
      <c r="J1053" s="3"/>
      <c r="K1053" s="3"/>
      <c r="L1053" s="3"/>
      <c r="O1053" s="3"/>
      <c r="P1053" s="3"/>
      <c r="Q1053" s="3"/>
      <c r="T1053" s="3"/>
      <c r="U1053" s="3"/>
      <c r="V1053" s="3"/>
      <c r="Y1053" s="3"/>
      <c r="Z1053" s="3"/>
      <c r="AA1053" s="3"/>
      <c r="AB1053" s="3"/>
      <c r="AC1053" s="3"/>
      <c r="AH1053" s="3"/>
    </row>
    <row r="1054" spans="5:34" s="1" customFormat="1">
      <c r="E1054" s="3"/>
      <c r="F1054" s="3"/>
      <c r="G1054" s="3"/>
      <c r="J1054" s="3"/>
      <c r="K1054" s="3"/>
      <c r="L1054" s="3"/>
      <c r="O1054" s="3"/>
      <c r="P1054" s="3"/>
      <c r="Q1054" s="3"/>
      <c r="T1054" s="3"/>
      <c r="U1054" s="3"/>
      <c r="V1054" s="3"/>
      <c r="Y1054" s="3"/>
      <c r="Z1054" s="3"/>
      <c r="AA1054" s="3"/>
      <c r="AB1054" s="3"/>
      <c r="AC1054" s="3"/>
      <c r="AH1054" s="3"/>
    </row>
    <row r="1055" spans="5:34" s="1" customFormat="1">
      <c r="E1055" s="3"/>
      <c r="F1055" s="3"/>
      <c r="G1055" s="3"/>
      <c r="J1055" s="3"/>
      <c r="K1055" s="3"/>
      <c r="L1055" s="3"/>
      <c r="O1055" s="3"/>
      <c r="P1055" s="3"/>
      <c r="Q1055" s="3"/>
      <c r="T1055" s="3"/>
      <c r="U1055" s="3"/>
      <c r="V1055" s="3"/>
      <c r="Y1055" s="3"/>
      <c r="Z1055" s="3"/>
      <c r="AA1055" s="3"/>
      <c r="AB1055" s="3"/>
      <c r="AC1055" s="3"/>
      <c r="AH1055" s="3"/>
    </row>
    <row r="1056" spans="5:34" s="1" customFormat="1">
      <c r="E1056" s="3"/>
      <c r="F1056" s="3"/>
      <c r="G1056" s="3"/>
      <c r="J1056" s="3"/>
      <c r="K1056" s="3"/>
      <c r="L1056" s="3"/>
      <c r="O1056" s="3"/>
      <c r="P1056" s="3"/>
      <c r="Q1056" s="3"/>
      <c r="T1056" s="3"/>
      <c r="U1056" s="3"/>
      <c r="V1056" s="3"/>
      <c r="Y1056" s="3"/>
      <c r="Z1056" s="3"/>
      <c r="AA1056" s="3"/>
      <c r="AB1056" s="3"/>
      <c r="AC1056" s="3"/>
      <c r="AH1056" s="3"/>
    </row>
    <row r="1057" spans="5:34" s="1" customFormat="1">
      <c r="E1057" s="3"/>
      <c r="F1057" s="3"/>
      <c r="G1057" s="3"/>
      <c r="J1057" s="3"/>
      <c r="K1057" s="3"/>
      <c r="L1057" s="3"/>
      <c r="O1057" s="3"/>
      <c r="P1057" s="3"/>
      <c r="Q1057" s="3"/>
      <c r="T1057" s="3"/>
      <c r="U1057" s="3"/>
      <c r="V1057" s="3"/>
      <c r="Y1057" s="3"/>
      <c r="Z1057" s="3"/>
      <c r="AA1057" s="3"/>
      <c r="AB1057" s="3"/>
      <c r="AC1057" s="3"/>
      <c r="AH1057" s="3"/>
    </row>
    <row r="1058" spans="5:34" s="1" customFormat="1">
      <c r="E1058" s="3"/>
      <c r="F1058" s="3"/>
      <c r="G1058" s="3"/>
      <c r="J1058" s="3"/>
      <c r="K1058" s="3"/>
      <c r="L1058" s="3"/>
      <c r="O1058" s="3"/>
      <c r="P1058" s="3"/>
      <c r="Q1058" s="3"/>
      <c r="T1058" s="3"/>
      <c r="U1058" s="3"/>
      <c r="V1058" s="3"/>
      <c r="Y1058" s="3"/>
      <c r="Z1058" s="3"/>
      <c r="AA1058" s="3"/>
      <c r="AB1058" s="3"/>
      <c r="AC1058" s="3"/>
      <c r="AH1058" s="3"/>
    </row>
    <row r="1059" spans="5:34" s="1" customFormat="1">
      <c r="E1059" s="3"/>
      <c r="F1059" s="3"/>
      <c r="G1059" s="3"/>
      <c r="J1059" s="3"/>
      <c r="K1059" s="3"/>
      <c r="L1059" s="3"/>
      <c r="O1059" s="3"/>
      <c r="P1059" s="3"/>
      <c r="Q1059" s="3"/>
      <c r="T1059" s="3"/>
      <c r="U1059" s="3"/>
      <c r="V1059" s="3"/>
      <c r="Y1059" s="3"/>
      <c r="Z1059" s="3"/>
      <c r="AA1059" s="3"/>
      <c r="AB1059" s="3"/>
      <c r="AC1059" s="3"/>
      <c r="AH1059" s="3"/>
    </row>
    <row r="1060" spans="5:34" s="1" customFormat="1">
      <c r="E1060" s="3"/>
      <c r="F1060" s="3"/>
      <c r="G1060" s="3"/>
      <c r="J1060" s="3"/>
      <c r="K1060" s="3"/>
      <c r="L1060" s="3"/>
      <c r="O1060" s="3"/>
      <c r="P1060" s="3"/>
      <c r="Q1060" s="3"/>
      <c r="T1060" s="3"/>
      <c r="U1060" s="3"/>
      <c r="V1060" s="3"/>
      <c r="Y1060" s="3"/>
      <c r="Z1060" s="3"/>
      <c r="AA1060" s="3"/>
      <c r="AB1060" s="3"/>
      <c r="AC1060" s="3"/>
      <c r="AH1060" s="3"/>
    </row>
    <row r="1061" spans="5:34" s="1" customFormat="1">
      <c r="E1061" s="3"/>
      <c r="F1061" s="3"/>
      <c r="G1061" s="3"/>
      <c r="J1061" s="3"/>
      <c r="K1061" s="3"/>
      <c r="L1061" s="3"/>
      <c r="O1061" s="3"/>
      <c r="P1061" s="3"/>
      <c r="Q1061" s="3"/>
      <c r="T1061" s="3"/>
      <c r="U1061" s="3"/>
      <c r="V1061" s="3"/>
      <c r="Y1061" s="3"/>
      <c r="Z1061" s="3"/>
      <c r="AA1061" s="3"/>
      <c r="AB1061" s="3"/>
      <c r="AC1061" s="3"/>
      <c r="AH1061" s="3"/>
    </row>
    <row r="1062" spans="5:34" s="1" customFormat="1">
      <c r="E1062" s="3"/>
      <c r="F1062" s="3"/>
      <c r="G1062" s="3"/>
      <c r="J1062" s="3"/>
      <c r="K1062" s="3"/>
      <c r="L1062" s="3"/>
      <c r="O1062" s="3"/>
      <c r="P1062" s="3"/>
      <c r="Q1062" s="3"/>
      <c r="T1062" s="3"/>
      <c r="U1062" s="3"/>
      <c r="V1062" s="3"/>
      <c r="Y1062" s="3"/>
      <c r="Z1062" s="3"/>
      <c r="AA1062" s="3"/>
      <c r="AB1062" s="3"/>
      <c r="AC1062" s="3"/>
      <c r="AH1062" s="3"/>
    </row>
    <row r="1063" spans="5:34" s="1" customFormat="1">
      <c r="E1063" s="3"/>
      <c r="F1063" s="3"/>
      <c r="G1063" s="3"/>
      <c r="J1063" s="3"/>
      <c r="K1063" s="3"/>
      <c r="L1063" s="3"/>
      <c r="O1063" s="3"/>
      <c r="P1063" s="3"/>
      <c r="Q1063" s="3"/>
      <c r="T1063" s="3"/>
      <c r="U1063" s="3"/>
      <c r="V1063" s="3"/>
      <c r="Y1063" s="3"/>
      <c r="Z1063" s="3"/>
      <c r="AA1063" s="3"/>
      <c r="AB1063" s="3"/>
      <c r="AC1063" s="3"/>
      <c r="AH1063" s="3"/>
    </row>
    <row r="1064" spans="5:34" s="1" customFormat="1">
      <c r="E1064" s="3"/>
      <c r="F1064" s="3"/>
      <c r="G1064" s="3"/>
      <c r="J1064" s="3"/>
      <c r="K1064" s="3"/>
      <c r="L1064" s="3"/>
      <c r="O1064" s="3"/>
      <c r="P1064" s="3"/>
      <c r="Q1064" s="3"/>
      <c r="T1064" s="3"/>
      <c r="U1064" s="3"/>
      <c r="V1064" s="3"/>
      <c r="Y1064" s="3"/>
      <c r="Z1064" s="3"/>
      <c r="AA1064" s="3"/>
      <c r="AB1064" s="3"/>
      <c r="AC1064" s="3"/>
      <c r="AH1064" s="3"/>
    </row>
    <row r="1065" spans="5:34" s="1" customFormat="1">
      <c r="E1065" s="3"/>
      <c r="F1065" s="3"/>
      <c r="G1065" s="3"/>
      <c r="J1065" s="3"/>
      <c r="K1065" s="3"/>
      <c r="L1065" s="3"/>
      <c r="O1065" s="3"/>
      <c r="P1065" s="3"/>
      <c r="Q1065" s="3"/>
      <c r="T1065" s="3"/>
      <c r="U1065" s="3"/>
      <c r="V1065" s="3"/>
      <c r="Y1065" s="3"/>
      <c r="Z1065" s="3"/>
      <c r="AA1065" s="3"/>
      <c r="AB1065" s="3"/>
      <c r="AC1065" s="3"/>
      <c r="AH1065" s="3"/>
    </row>
    <row r="1066" spans="5:34" s="1" customFormat="1">
      <c r="E1066" s="3"/>
      <c r="F1066" s="3"/>
      <c r="G1066" s="3"/>
      <c r="J1066" s="3"/>
      <c r="K1066" s="3"/>
      <c r="L1066" s="3"/>
      <c r="O1066" s="3"/>
      <c r="P1066" s="3"/>
      <c r="Q1066" s="3"/>
      <c r="T1066" s="3"/>
      <c r="U1066" s="3"/>
      <c r="V1066" s="3"/>
      <c r="Y1066" s="3"/>
      <c r="Z1066" s="3"/>
      <c r="AA1066" s="3"/>
      <c r="AB1066" s="3"/>
      <c r="AC1066" s="3"/>
      <c r="AH1066" s="3"/>
    </row>
    <row r="1067" spans="5:34" s="1" customFormat="1">
      <c r="E1067" s="3"/>
      <c r="F1067" s="3"/>
      <c r="G1067" s="3"/>
      <c r="J1067" s="3"/>
      <c r="K1067" s="3"/>
      <c r="L1067" s="3"/>
      <c r="O1067" s="3"/>
      <c r="P1067" s="3"/>
      <c r="Q1067" s="3"/>
      <c r="T1067" s="3"/>
      <c r="U1067" s="3"/>
      <c r="V1067" s="3"/>
      <c r="Y1067" s="3"/>
      <c r="Z1067" s="3"/>
      <c r="AA1067" s="3"/>
      <c r="AB1067" s="3"/>
      <c r="AC1067" s="3"/>
      <c r="AH1067" s="3"/>
    </row>
    <row r="1068" spans="5:34" s="1" customFormat="1">
      <c r="E1068" s="3"/>
      <c r="F1068" s="3"/>
      <c r="G1068" s="3"/>
      <c r="J1068" s="3"/>
      <c r="K1068" s="3"/>
      <c r="L1068" s="3"/>
      <c r="O1068" s="3"/>
      <c r="P1068" s="3"/>
      <c r="Q1068" s="3"/>
      <c r="T1068" s="3"/>
      <c r="U1068" s="3"/>
      <c r="V1068" s="3"/>
      <c r="Y1068" s="3"/>
      <c r="Z1068" s="3"/>
      <c r="AA1068" s="3"/>
      <c r="AB1068" s="3"/>
      <c r="AC1068" s="3"/>
      <c r="AH1068" s="3"/>
    </row>
    <row r="1069" spans="5:34" s="1" customFormat="1">
      <c r="E1069" s="3"/>
      <c r="F1069" s="3"/>
      <c r="G1069" s="3"/>
      <c r="J1069" s="3"/>
      <c r="K1069" s="3"/>
      <c r="L1069" s="3"/>
      <c r="O1069" s="3"/>
      <c r="P1069" s="3"/>
      <c r="Q1069" s="3"/>
      <c r="T1069" s="3"/>
      <c r="U1069" s="3"/>
      <c r="V1069" s="3"/>
      <c r="Y1069" s="3"/>
      <c r="Z1069" s="3"/>
      <c r="AA1069" s="3"/>
      <c r="AB1069" s="3"/>
      <c r="AC1069" s="3"/>
      <c r="AH1069" s="3"/>
    </row>
    <row r="1070" spans="5:34" s="1" customFormat="1">
      <c r="E1070" s="3"/>
      <c r="F1070" s="3"/>
      <c r="G1070" s="3"/>
      <c r="J1070" s="3"/>
      <c r="K1070" s="3"/>
      <c r="L1070" s="3"/>
      <c r="O1070" s="3"/>
      <c r="P1070" s="3"/>
      <c r="Q1070" s="3"/>
      <c r="T1070" s="3"/>
      <c r="U1070" s="3"/>
      <c r="V1070" s="3"/>
      <c r="Y1070" s="3"/>
      <c r="Z1070" s="3"/>
      <c r="AA1070" s="3"/>
      <c r="AB1070" s="3"/>
      <c r="AC1070" s="3"/>
      <c r="AH1070" s="3"/>
    </row>
    <row r="1071" spans="5:34" s="1" customFormat="1">
      <c r="E1071" s="3"/>
      <c r="F1071" s="3"/>
      <c r="G1071" s="3"/>
      <c r="J1071" s="3"/>
      <c r="K1071" s="3"/>
      <c r="L1071" s="3"/>
      <c r="O1071" s="3"/>
      <c r="P1071" s="3"/>
      <c r="Q1071" s="3"/>
      <c r="T1071" s="3"/>
      <c r="U1071" s="3"/>
      <c r="V1071" s="3"/>
      <c r="Y1071" s="3"/>
      <c r="Z1071" s="3"/>
      <c r="AA1071" s="3"/>
      <c r="AB1071" s="3"/>
      <c r="AC1071" s="3"/>
      <c r="AH1071" s="3"/>
    </row>
    <row r="1072" spans="5:34" s="1" customFormat="1">
      <c r="E1072" s="3"/>
      <c r="F1072" s="3"/>
      <c r="G1072" s="3"/>
      <c r="J1072" s="3"/>
      <c r="K1072" s="3"/>
      <c r="L1072" s="3"/>
      <c r="O1072" s="3"/>
      <c r="P1072" s="3"/>
      <c r="Q1072" s="3"/>
      <c r="T1072" s="3"/>
      <c r="U1072" s="3"/>
      <c r="V1072" s="3"/>
      <c r="Y1072" s="3"/>
      <c r="Z1072" s="3"/>
      <c r="AA1072" s="3"/>
      <c r="AB1072" s="3"/>
      <c r="AC1072" s="3"/>
      <c r="AH1072" s="3"/>
    </row>
    <row r="1073" spans="5:34" s="1" customFormat="1">
      <c r="E1073" s="3"/>
      <c r="F1073" s="3"/>
      <c r="G1073" s="3"/>
      <c r="J1073" s="3"/>
      <c r="K1073" s="3"/>
      <c r="L1073" s="3"/>
      <c r="O1073" s="3"/>
      <c r="P1073" s="3"/>
      <c r="Q1073" s="3"/>
      <c r="T1073" s="3"/>
      <c r="U1073" s="3"/>
      <c r="V1073" s="3"/>
      <c r="Y1073" s="3"/>
      <c r="Z1073" s="3"/>
      <c r="AA1073" s="3"/>
      <c r="AB1073" s="3"/>
      <c r="AC1073" s="3"/>
      <c r="AH1073" s="3"/>
    </row>
    <row r="1074" spans="5:34" s="1" customFormat="1">
      <c r="E1074" s="3"/>
      <c r="F1074" s="3"/>
      <c r="G1074" s="3"/>
      <c r="J1074" s="3"/>
      <c r="K1074" s="3"/>
      <c r="L1074" s="3"/>
      <c r="O1074" s="3"/>
      <c r="P1074" s="3"/>
      <c r="Q1074" s="3"/>
      <c r="T1074" s="3"/>
      <c r="U1074" s="3"/>
      <c r="V1074" s="3"/>
      <c r="Y1074" s="3"/>
      <c r="Z1074" s="3"/>
      <c r="AA1074" s="3"/>
      <c r="AB1074" s="3"/>
      <c r="AC1074" s="3"/>
      <c r="AH1074" s="3"/>
    </row>
    <row r="1075" spans="5:34" s="1" customFormat="1">
      <c r="E1075" s="3"/>
      <c r="F1075" s="3"/>
      <c r="G1075" s="3"/>
      <c r="J1075" s="3"/>
      <c r="K1075" s="3"/>
      <c r="L1075" s="3"/>
      <c r="O1075" s="3"/>
      <c r="P1075" s="3"/>
      <c r="Q1075" s="3"/>
      <c r="T1075" s="3"/>
      <c r="U1075" s="3"/>
      <c r="V1075" s="3"/>
      <c r="Y1075" s="3"/>
      <c r="Z1075" s="3"/>
      <c r="AA1075" s="3"/>
      <c r="AB1075" s="3"/>
      <c r="AC1075" s="3"/>
      <c r="AH1075" s="3"/>
    </row>
    <row r="1076" spans="5:34" s="1" customFormat="1">
      <c r="E1076" s="3"/>
      <c r="F1076" s="3"/>
      <c r="G1076" s="3"/>
      <c r="J1076" s="3"/>
      <c r="K1076" s="3"/>
      <c r="L1076" s="3"/>
      <c r="O1076" s="3"/>
      <c r="P1076" s="3"/>
      <c r="Q1076" s="3"/>
      <c r="T1076" s="3"/>
      <c r="U1076" s="3"/>
      <c r="V1076" s="3"/>
      <c r="Y1076" s="3"/>
      <c r="Z1076" s="3"/>
      <c r="AA1076" s="3"/>
      <c r="AB1076" s="3"/>
      <c r="AC1076" s="3"/>
      <c r="AH1076" s="3"/>
    </row>
    <row r="1077" spans="5:34" s="1" customFormat="1">
      <c r="E1077" s="3"/>
      <c r="F1077" s="3"/>
      <c r="G1077" s="3"/>
      <c r="J1077" s="3"/>
      <c r="K1077" s="3"/>
      <c r="L1077" s="3"/>
      <c r="O1077" s="3"/>
      <c r="P1077" s="3"/>
      <c r="Q1077" s="3"/>
      <c r="T1077" s="3"/>
      <c r="U1077" s="3"/>
      <c r="V1077" s="3"/>
      <c r="Y1077" s="3"/>
      <c r="Z1077" s="3"/>
      <c r="AA1077" s="3"/>
      <c r="AB1077" s="3"/>
      <c r="AC1077" s="3"/>
      <c r="AH1077" s="3"/>
    </row>
    <row r="1078" spans="5:34" s="1" customFormat="1">
      <c r="E1078" s="3"/>
      <c r="F1078" s="3"/>
      <c r="G1078" s="3"/>
      <c r="J1078" s="3"/>
      <c r="K1078" s="3"/>
      <c r="L1078" s="3"/>
      <c r="O1078" s="3"/>
      <c r="P1078" s="3"/>
      <c r="Q1078" s="3"/>
      <c r="T1078" s="3"/>
      <c r="U1078" s="3"/>
      <c r="V1078" s="3"/>
      <c r="Y1078" s="3"/>
      <c r="Z1078" s="3"/>
      <c r="AA1078" s="3"/>
      <c r="AB1078" s="3"/>
      <c r="AC1078" s="3"/>
      <c r="AH1078" s="3"/>
    </row>
    <row r="1079" spans="5:34" s="1" customFormat="1">
      <c r="E1079" s="3"/>
      <c r="F1079" s="3"/>
      <c r="G1079" s="3"/>
      <c r="J1079" s="3"/>
      <c r="K1079" s="3"/>
      <c r="L1079" s="3"/>
      <c r="O1079" s="3"/>
      <c r="P1079" s="3"/>
      <c r="Q1079" s="3"/>
      <c r="T1079" s="3"/>
      <c r="U1079" s="3"/>
      <c r="V1079" s="3"/>
      <c r="Y1079" s="3"/>
      <c r="Z1079" s="3"/>
      <c r="AA1079" s="3"/>
      <c r="AB1079" s="3"/>
      <c r="AC1079" s="3"/>
      <c r="AH1079" s="3"/>
    </row>
    <row r="1080" spans="5:34" s="1" customFormat="1">
      <c r="E1080" s="3"/>
      <c r="F1080" s="3"/>
      <c r="G1080" s="3"/>
      <c r="J1080" s="3"/>
      <c r="K1080" s="3"/>
      <c r="L1080" s="3"/>
      <c r="O1080" s="3"/>
      <c r="P1080" s="3"/>
      <c r="Q1080" s="3"/>
      <c r="T1080" s="3"/>
      <c r="U1080" s="3"/>
      <c r="V1080" s="3"/>
      <c r="Y1080" s="3"/>
      <c r="Z1080" s="3"/>
      <c r="AA1080" s="3"/>
      <c r="AB1080" s="3"/>
      <c r="AC1080" s="3"/>
      <c r="AH1080" s="3"/>
    </row>
    <row r="1081" spans="5:34" s="1" customFormat="1">
      <c r="E1081" s="3"/>
      <c r="F1081" s="3"/>
      <c r="G1081" s="3"/>
      <c r="J1081" s="3"/>
      <c r="K1081" s="3"/>
      <c r="L1081" s="3"/>
      <c r="O1081" s="3"/>
      <c r="P1081" s="3"/>
      <c r="Q1081" s="3"/>
      <c r="T1081" s="3"/>
      <c r="U1081" s="3"/>
      <c r="V1081" s="3"/>
      <c r="Y1081" s="3"/>
      <c r="Z1081" s="3"/>
      <c r="AA1081" s="3"/>
      <c r="AB1081" s="3"/>
      <c r="AC1081" s="3"/>
      <c r="AH1081" s="3"/>
    </row>
    <row r="1082" spans="5:34" s="1" customFormat="1">
      <c r="E1082" s="3"/>
      <c r="F1082" s="3"/>
      <c r="G1082" s="3"/>
      <c r="J1082" s="3"/>
      <c r="K1082" s="3"/>
      <c r="L1082" s="3"/>
      <c r="O1082" s="3"/>
      <c r="P1082" s="3"/>
      <c r="Q1082" s="3"/>
      <c r="T1082" s="3"/>
      <c r="U1082" s="3"/>
      <c r="V1082" s="3"/>
      <c r="Y1082" s="3"/>
      <c r="Z1082" s="3"/>
      <c r="AA1082" s="3"/>
      <c r="AB1082" s="3"/>
      <c r="AC1082" s="3"/>
      <c r="AH1082" s="3"/>
    </row>
    <row r="1083" spans="5:34" s="1" customFormat="1">
      <c r="E1083" s="3"/>
      <c r="F1083" s="3"/>
      <c r="G1083" s="3"/>
      <c r="J1083" s="3"/>
      <c r="K1083" s="3"/>
      <c r="L1083" s="3"/>
      <c r="O1083" s="3"/>
      <c r="P1083" s="3"/>
      <c r="Q1083" s="3"/>
      <c r="T1083" s="3"/>
      <c r="U1083" s="3"/>
      <c r="V1083" s="3"/>
      <c r="Y1083" s="3"/>
      <c r="Z1083" s="3"/>
      <c r="AA1083" s="3"/>
      <c r="AB1083" s="3"/>
      <c r="AC1083" s="3"/>
      <c r="AH1083" s="3"/>
    </row>
    <row r="1084" spans="5:34" s="1" customFormat="1">
      <c r="E1084" s="3"/>
      <c r="F1084" s="3"/>
      <c r="G1084" s="3"/>
      <c r="J1084" s="3"/>
      <c r="K1084" s="3"/>
      <c r="L1084" s="3"/>
      <c r="O1084" s="3"/>
      <c r="P1084" s="3"/>
      <c r="Q1084" s="3"/>
      <c r="T1084" s="3"/>
      <c r="U1084" s="3"/>
      <c r="V1084" s="3"/>
      <c r="Y1084" s="3"/>
      <c r="Z1084" s="3"/>
      <c r="AA1084" s="3"/>
      <c r="AB1084" s="3"/>
      <c r="AC1084" s="3"/>
      <c r="AH1084" s="3"/>
    </row>
    <row r="1085" spans="5:34" s="1" customFormat="1">
      <c r="E1085" s="3"/>
      <c r="F1085" s="3"/>
      <c r="G1085" s="3"/>
      <c r="J1085" s="3"/>
      <c r="K1085" s="3"/>
      <c r="L1085" s="3"/>
      <c r="O1085" s="3"/>
      <c r="P1085" s="3"/>
      <c r="Q1085" s="3"/>
      <c r="T1085" s="3"/>
      <c r="U1085" s="3"/>
      <c r="V1085" s="3"/>
      <c r="Y1085" s="3"/>
      <c r="Z1085" s="3"/>
      <c r="AA1085" s="3"/>
      <c r="AB1085" s="3"/>
      <c r="AC1085" s="3"/>
      <c r="AH1085" s="3"/>
    </row>
    <row r="1086" spans="5:34" s="1" customFormat="1">
      <c r="E1086" s="3"/>
      <c r="F1086" s="3"/>
      <c r="G1086" s="3"/>
      <c r="J1086" s="3"/>
      <c r="K1086" s="3"/>
      <c r="L1086" s="3"/>
      <c r="O1086" s="3"/>
      <c r="P1086" s="3"/>
      <c r="Q1086" s="3"/>
      <c r="T1086" s="3"/>
      <c r="U1086" s="3"/>
      <c r="V1086" s="3"/>
      <c r="Y1086" s="3"/>
      <c r="Z1086" s="3"/>
      <c r="AA1086" s="3"/>
      <c r="AB1086" s="3"/>
      <c r="AC1086" s="3"/>
      <c r="AH1086" s="3"/>
    </row>
    <row r="1087" spans="5:34" s="1" customFormat="1">
      <c r="E1087" s="3"/>
      <c r="F1087" s="3"/>
      <c r="G1087" s="3"/>
      <c r="J1087" s="3"/>
      <c r="K1087" s="3"/>
      <c r="L1087" s="3"/>
      <c r="O1087" s="3"/>
      <c r="P1087" s="3"/>
      <c r="Q1087" s="3"/>
      <c r="T1087" s="3"/>
      <c r="U1087" s="3"/>
      <c r="V1087" s="3"/>
      <c r="Y1087" s="3"/>
      <c r="Z1087" s="3"/>
      <c r="AA1087" s="3"/>
      <c r="AB1087" s="3"/>
      <c r="AC1087" s="3"/>
      <c r="AH1087" s="3"/>
    </row>
    <row r="1088" spans="5:34" s="1" customFormat="1">
      <c r="E1088" s="3"/>
      <c r="F1088" s="3"/>
      <c r="G1088" s="3"/>
      <c r="J1088" s="3"/>
      <c r="K1088" s="3"/>
      <c r="L1088" s="3"/>
      <c r="O1088" s="3"/>
      <c r="P1088" s="3"/>
      <c r="Q1088" s="3"/>
      <c r="T1088" s="3"/>
      <c r="U1088" s="3"/>
      <c r="V1088" s="3"/>
      <c r="Y1088" s="3"/>
      <c r="Z1088" s="3"/>
      <c r="AA1088" s="3"/>
      <c r="AB1088" s="3"/>
      <c r="AC1088" s="3"/>
      <c r="AH1088" s="3"/>
    </row>
    <row r="1089" spans="5:34" s="1" customFormat="1">
      <c r="E1089" s="3"/>
      <c r="F1089" s="3"/>
      <c r="G1089" s="3"/>
      <c r="J1089" s="3"/>
      <c r="K1089" s="3"/>
      <c r="L1089" s="3"/>
      <c r="O1089" s="3"/>
      <c r="P1089" s="3"/>
      <c r="Q1089" s="3"/>
      <c r="T1089" s="3"/>
      <c r="U1089" s="3"/>
      <c r="V1089" s="3"/>
      <c r="Y1089" s="3"/>
      <c r="Z1089" s="3"/>
      <c r="AA1089" s="3"/>
      <c r="AB1089" s="3"/>
      <c r="AC1089" s="3"/>
      <c r="AH1089" s="3"/>
    </row>
    <row r="1090" spans="5:34" s="1" customFormat="1">
      <c r="E1090" s="3"/>
      <c r="F1090" s="3"/>
      <c r="G1090" s="3"/>
      <c r="J1090" s="3"/>
      <c r="K1090" s="3"/>
      <c r="L1090" s="3"/>
      <c r="O1090" s="3"/>
      <c r="P1090" s="3"/>
      <c r="Q1090" s="3"/>
      <c r="T1090" s="3"/>
      <c r="U1090" s="3"/>
      <c r="V1090" s="3"/>
      <c r="Y1090" s="3"/>
      <c r="Z1090" s="3"/>
      <c r="AA1090" s="3"/>
      <c r="AB1090" s="3"/>
      <c r="AC1090" s="3"/>
      <c r="AH1090" s="3"/>
    </row>
    <row r="1091" spans="5:34" s="1" customFormat="1">
      <c r="E1091" s="3"/>
      <c r="F1091" s="3"/>
      <c r="G1091" s="3"/>
      <c r="J1091" s="3"/>
      <c r="K1091" s="3"/>
      <c r="L1091" s="3"/>
      <c r="O1091" s="3"/>
      <c r="P1091" s="3"/>
      <c r="Q1091" s="3"/>
      <c r="T1091" s="3"/>
      <c r="U1091" s="3"/>
      <c r="V1091" s="3"/>
      <c r="Y1091" s="3"/>
      <c r="Z1091" s="3"/>
      <c r="AA1091" s="3"/>
      <c r="AB1091" s="3"/>
      <c r="AC1091" s="3"/>
      <c r="AH1091" s="3"/>
    </row>
    <row r="1092" spans="5:34" s="1" customFormat="1">
      <c r="E1092" s="3"/>
      <c r="F1092" s="3"/>
      <c r="G1092" s="3"/>
      <c r="J1092" s="3"/>
      <c r="K1092" s="3"/>
      <c r="L1092" s="3"/>
      <c r="O1092" s="3"/>
      <c r="P1092" s="3"/>
      <c r="Q1092" s="3"/>
      <c r="T1092" s="3"/>
      <c r="U1092" s="3"/>
      <c r="V1092" s="3"/>
      <c r="Y1092" s="3"/>
      <c r="Z1092" s="3"/>
      <c r="AA1092" s="3"/>
      <c r="AB1092" s="3"/>
      <c r="AC1092" s="3"/>
      <c r="AH1092" s="3"/>
    </row>
    <row r="1093" spans="5:34" s="1" customFormat="1">
      <c r="E1093" s="3"/>
      <c r="F1093" s="3"/>
      <c r="G1093" s="3"/>
      <c r="J1093" s="3"/>
      <c r="K1093" s="3"/>
      <c r="L1093" s="3"/>
      <c r="O1093" s="3"/>
      <c r="P1093" s="3"/>
      <c r="Q1093" s="3"/>
      <c r="T1093" s="3"/>
      <c r="U1093" s="3"/>
      <c r="V1093" s="3"/>
      <c r="Y1093" s="3"/>
      <c r="Z1093" s="3"/>
      <c r="AA1093" s="3"/>
      <c r="AB1093" s="3"/>
      <c r="AC1093" s="3"/>
      <c r="AH1093" s="3"/>
    </row>
    <row r="1094" spans="5:34" s="1" customFormat="1">
      <c r="E1094" s="3"/>
      <c r="F1094" s="3"/>
      <c r="G1094" s="3"/>
      <c r="J1094" s="3"/>
      <c r="K1094" s="3"/>
      <c r="L1094" s="3"/>
      <c r="O1094" s="3"/>
      <c r="P1094" s="3"/>
      <c r="Q1094" s="3"/>
      <c r="T1094" s="3"/>
      <c r="U1094" s="3"/>
      <c r="V1094" s="3"/>
      <c r="Y1094" s="3"/>
      <c r="Z1094" s="3"/>
      <c r="AA1094" s="3"/>
      <c r="AB1094" s="3"/>
      <c r="AC1094" s="3"/>
      <c r="AH1094" s="3"/>
    </row>
    <row r="1095" spans="5:34" s="1" customFormat="1">
      <c r="E1095" s="3"/>
      <c r="F1095" s="3"/>
      <c r="G1095" s="3"/>
      <c r="J1095" s="3"/>
      <c r="K1095" s="3"/>
      <c r="L1095" s="3"/>
      <c r="O1095" s="3"/>
      <c r="P1095" s="3"/>
      <c r="Q1095" s="3"/>
      <c r="T1095" s="3"/>
      <c r="U1095" s="3"/>
      <c r="V1095" s="3"/>
      <c r="Y1095" s="3"/>
      <c r="Z1095" s="3"/>
      <c r="AA1095" s="3"/>
      <c r="AB1095" s="3"/>
      <c r="AC1095" s="3"/>
      <c r="AH1095" s="3"/>
    </row>
    <row r="1096" spans="5:34" s="1" customFormat="1">
      <c r="E1096" s="3"/>
      <c r="F1096" s="3"/>
      <c r="G1096" s="3"/>
      <c r="J1096" s="3"/>
      <c r="K1096" s="3"/>
      <c r="L1096" s="3"/>
      <c r="O1096" s="3"/>
      <c r="P1096" s="3"/>
      <c r="Q1096" s="3"/>
      <c r="T1096" s="3"/>
      <c r="U1096" s="3"/>
      <c r="V1096" s="3"/>
      <c r="Y1096" s="3"/>
      <c r="Z1096" s="3"/>
      <c r="AA1096" s="3"/>
      <c r="AB1096" s="3"/>
      <c r="AC1096" s="3"/>
      <c r="AH1096" s="3"/>
    </row>
    <row r="1097" spans="5:34" s="1" customFormat="1">
      <c r="E1097" s="3"/>
      <c r="F1097" s="3"/>
      <c r="G1097" s="3"/>
      <c r="J1097" s="3"/>
      <c r="K1097" s="3"/>
      <c r="L1097" s="3"/>
      <c r="O1097" s="3"/>
      <c r="P1097" s="3"/>
      <c r="Q1097" s="3"/>
      <c r="T1097" s="3"/>
      <c r="U1097" s="3"/>
      <c r="V1097" s="3"/>
      <c r="Y1097" s="3"/>
      <c r="Z1097" s="3"/>
      <c r="AA1097" s="3"/>
      <c r="AB1097" s="3"/>
      <c r="AC1097" s="3"/>
      <c r="AH1097" s="3"/>
    </row>
    <row r="1098" spans="5:34" s="1" customFormat="1">
      <c r="E1098" s="3"/>
      <c r="F1098" s="3"/>
      <c r="G1098" s="3"/>
      <c r="J1098" s="3"/>
      <c r="K1098" s="3"/>
      <c r="L1098" s="3"/>
      <c r="O1098" s="3"/>
      <c r="P1098" s="3"/>
      <c r="Q1098" s="3"/>
      <c r="T1098" s="3"/>
      <c r="U1098" s="3"/>
      <c r="V1098" s="3"/>
      <c r="Y1098" s="3"/>
      <c r="Z1098" s="3"/>
      <c r="AA1098" s="3"/>
      <c r="AB1098" s="3"/>
      <c r="AC1098" s="3"/>
      <c r="AH1098" s="3"/>
    </row>
    <row r="1099" spans="5:34" s="1" customFormat="1">
      <c r="E1099" s="3"/>
      <c r="F1099" s="3"/>
      <c r="G1099" s="3"/>
      <c r="J1099" s="3"/>
      <c r="K1099" s="3"/>
      <c r="L1099" s="3"/>
      <c r="O1099" s="3"/>
      <c r="P1099" s="3"/>
      <c r="Q1099" s="3"/>
      <c r="T1099" s="3"/>
      <c r="U1099" s="3"/>
      <c r="V1099" s="3"/>
      <c r="Y1099" s="3"/>
      <c r="Z1099" s="3"/>
      <c r="AA1099" s="3"/>
      <c r="AB1099" s="3"/>
      <c r="AC1099" s="3"/>
      <c r="AH1099" s="3"/>
    </row>
    <row r="1100" spans="5:34" s="1" customFormat="1">
      <c r="E1100" s="3"/>
      <c r="F1100" s="3"/>
      <c r="G1100" s="3"/>
      <c r="J1100" s="3"/>
      <c r="K1100" s="3"/>
      <c r="L1100" s="3"/>
      <c r="O1100" s="3"/>
      <c r="P1100" s="3"/>
      <c r="Q1100" s="3"/>
      <c r="T1100" s="3"/>
      <c r="U1100" s="3"/>
      <c r="V1100" s="3"/>
      <c r="Y1100" s="3"/>
      <c r="Z1100" s="3"/>
      <c r="AA1100" s="3"/>
      <c r="AB1100" s="3"/>
      <c r="AC1100" s="3"/>
      <c r="AH1100" s="3"/>
    </row>
    <row r="1101" spans="5:34" s="1" customFormat="1">
      <c r="E1101" s="3"/>
      <c r="F1101" s="3"/>
      <c r="G1101" s="3"/>
      <c r="J1101" s="3"/>
      <c r="K1101" s="3"/>
      <c r="L1101" s="3"/>
      <c r="O1101" s="3"/>
      <c r="P1101" s="3"/>
      <c r="Q1101" s="3"/>
      <c r="T1101" s="3"/>
      <c r="U1101" s="3"/>
      <c r="V1101" s="3"/>
      <c r="Y1101" s="3"/>
      <c r="Z1101" s="3"/>
      <c r="AA1101" s="3"/>
      <c r="AB1101" s="3"/>
      <c r="AC1101" s="3"/>
      <c r="AH1101" s="3"/>
    </row>
  </sheetData>
  <mergeCells count="168">
    <mergeCell ref="AA415:AA416"/>
    <mergeCell ref="AB415:AB416"/>
    <mergeCell ref="AD415:AF415"/>
    <mergeCell ref="AA375:AA376"/>
    <mergeCell ref="AB375:AB376"/>
    <mergeCell ref="AD375:AF375"/>
    <mergeCell ref="H375:K375"/>
    <mergeCell ref="M375:P375"/>
    <mergeCell ref="R375:U375"/>
    <mergeCell ref="W375:Z375"/>
    <mergeCell ref="B415:B416"/>
    <mergeCell ref="C415:F415"/>
    <mergeCell ref="H415:K415"/>
    <mergeCell ref="M415:P415"/>
    <mergeCell ref="R415:U415"/>
    <mergeCell ref="W415:Z415"/>
    <mergeCell ref="B456:B457"/>
    <mergeCell ref="C456:F456"/>
    <mergeCell ref="H456:K456"/>
    <mergeCell ref="M456:P456"/>
    <mergeCell ref="R456:U456"/>
    <mergeCell ref="W456:Z456"/>
    <mergeCell ref="AG335:AG336"/>
    <mergeCell ref="B335:B336"/>
    <mergeCell ref="C335:F335"/>
    <mergeCell ref="H335:K335"/>
    <mergeCell ref="M335:P335"/>
    <mergeCell ref="R335:U335"/>
    <mergeCell ref="W335:Z335"/>
    <mergeCell ref="AA335:AA336"/>
    <mergeCell ref="AB335:AB336"/>
    <mergeCell ref="AD335:AF335"/>
    <mergeCell ref="AA456:AA457"/>
    <mergeCell ref="AB456:AB457"/>
    <mergeCell ref="AD456:AF456"/>
    <mergeCell ref="AG456:AG457"/>
    <mergeCell ref="AG375:AG376"/>
    <mergeCell ref="AG415:AG416"/>
    <mergeCell ref="B375:B376"/>
    <mergeCell ref="C375:F375"/>
    <mergeCell ref="A10:A11"/>
    <mergeCell ref="B10:B11"/>
    <mergeCell ref="B86:B87"/>
    <mergeCell ref="AB86:AB87"/>
    <mergeCell ref="H86:K86"/>
    <mergeCell ref="AB110:AB111"/>
    <mergeCell ref="AD68:AG79"/>
    <mergeCell ref="C66:F66"/>
    <mergeCell ref="AB66:AB67"/>
    <mergeCell ref="C86:F86"/>
    <mergeCell ref="M86:P86"/>
    <mergeCell ref="R86:U86"/>
    <mergeCell ref="W86:Z86"/>
    <mergeCell ref="AG86:AG87"/>
    <mergeCell ref="AG66:AG67"/>
    <mergeCell ref="AG110:AG111"/>
    <mergeCell ref="S1:AG1"/>
    <mergeCell ref="B46:B47"/>
    <mergeCell ref="AA10:AA11"/>
    <mergeCell ref="AA28:AA29"/>
    <mergeCell ref="AA46:AA47"/>
    <mergeCell ref="B28:B29"/>
    <mergeCell ref="C28:F28"/>
    <mergeCell ref="C46:F46"/>
    <mergeCell ref="H46:K46"/>
    <mergeCell ref="M46:P46"/>
    <mergeCell ref="R46:U46"/>
    <mergeCell ref="W46:Z46"/>
    <mergeCell ref="AB46:AB47"/>
    <mergeCell ref="H28:K28"/>
    <mergeCell ref="M28:P28"/>
    <mergeCell ref="R28:U28"/>
    <mergeCell ref="W28:Z28"/>
    <mergeCell ref="AB28:AB29"/>
    <mergeCell ref="C10:F10"/>
    <mergeCell ref="H10:K10"/>
    <mergeCell ref="M10:P15"/>
    <mergeCell ref="R10:U15"/>
    <mergeCell ref="AD86:AF86"/>
    <mergeCell ref="C110:F110"/>
    <mergeCell ref="H110:K110"/>
    <mergeCell ref="M110:P110"/>
    <mergeCell ref="R110:U110"/>
    <mergeCell ref="W110:Z110"/>
    <mergeCell ref="AA295:AA296"/>
    <mergeCell ref="AD295:AF295"/>
    <mergeCell ref="C161:F161"/>
    <mergeCell ref="W161:Z161"/>
    <mergeCell ref="R161:U161"/>
    <mergeCell ref="M161:P161"/>
    <mergeCell ref="H161:K161"/>
    <mergeCell ref="C196:F196"/>
    <mergeCell ref="H196:K196"/>
    <mergeCell ref="M196:P196"/>
    <mergeCell ref="R196:U196"/>
    <mergeCell ref="W196:Z196"/>
    <mergeCell ref="AA161:AA162"/>
    <mergeCell ref="AG295:AG296"/>
    <mergeCell ref="B295:B296"/>
    <mergeCell ref="AA229:AA230"/>
    <mergeCell ref="AD229:AF229"/>
    <mergeCell ref="AG229:AG230"/>
    <mergeCell ref="B262:B263"/>
    <mergeCell ref="AA262:AA263"/>
    <mergeCell ref="AD262:AF262"/>
    <mergeCell ref="AG262:AG263"/>
    <mergeCell ref="B229:B230"/>
    <mergeCell ref="C295:F295"/>
    <mergeCell ref="H295:K295"/>
    <mergeCell ref="M295:P295"/>
    <mergeCell ref="R295:U295"/>
    <mergeCell ref="W295:Z295"/>
    <mergeCell ref="AB295:AB296"/>
    <mergeCell ref="C229:F229"/>
    <mergeCell ref="C262:F262"/>
    <mergeCell ref="H262:K262"/>
    <mergeCell ref="M262:P262"/>
    <mergeCell ref="R262:U262"/>
    <mergeCell ref="W262:Z262"/>
    <mergeCell ref="AB262:AB263"/>
    <mergeCell ref="B136:B137"/>
    <mergeCell ref="B161:B162"/>
    <mergeCell ref="C136:F136"/>
    <mergeCell ref="AB136:AB137"/>
    <mergeCell ref="AB161:AB162"/>
    <mergeCell ref="AK1:AP1"/>
    <mergeCell ref="AK2:AP2"/>
    <mergeCell ref="B196:B197"/>
    <mergeCell ref="AA196:AA197"/>
    <mergeCell ref="AD196:AF196"/>
    <mergeCell ref="AG196:AG197"/>
    <mergeCell ref="AA66:AA67"/>
    <mergeCell ref="B66:B67"/>
    <mergeCell ref="H66:J66"/>
    <mergeCell ref="W136:Y136"/>
    <mergeCell ref="AA136:AA137"/>
    <mergeCell ref="AD136:AF136"/>
    <mergeCell ref="M66:O66"/>
    <mergeCell ref="R66:T66"/>
    <mergeCell ref="W66:Y66"/>
    <mergeCell ref="B110:B111"/>
    <mergeCell ref="AD66:AF66"/>
    <mergeCell ref="W10:Z15"/>
    <mergeCell ref="AD46:AF46"/>
    <mergeCell ref="AG161:AG162"/>
    <mergeCell ref="AB196:AB197"/>
    <mergeCell ref="AB10:AB11"/>
    <mergeCell ref="AD110:AF110"/>
    <mergeCell ref="AG136:AG137"/>
    <mergeCell ref="H229:K229"/>
    <mergeCell ref="M229:P229"/>
    <mergeCell ref="R229:U229"/>
    <mergeCell ref="W229:Z229"/>
    <mergeCell ref="AD161:AF161"/>
    <mergeCell ref="AG46:AG47"/>
    <mergeCell ref="AD28:AF28"/>
    <mergeCell ref="AG28:AG29"/>
    <mergeCell ref="AD10:AF10"/>
    <mergeCell ref="AG10:AG11"/>
    <mergeCell ref="AD12:AG19"/>
    <mergeCell ref="AD30:AG37"/>
    <mergeCell ref="AD48:AG57"/>
    <mergeCell ref="AA86:AA87"/>
    <mergeCell ref="H136:J136"/>
    <mergeCell ref="M136:O136"/>
    <mergeCell ref="R136:T136"/>
    <mergeCell ref="AB229:AB230"/>
    <mergeCell ref="AA110:AA111"/>
  </mergeCells>
  <pageMargins left="0.7" right="0.7" top="0.75" bottom="0.75" header="0.3" footer="0.3"/>
  <pageSetup orientation="portrait" r:id="rId1"/>
  <ignoredErrors>
    <ignoredError sqref="Y214 E214 J175 E183:E184 E174:E175 E171 E167:E169 E176 E164:E165 E163 E166 E170 E172:E173 O175 T175" numberStoredAsText="1"/>
    <ignoredError sqref="AA78" formulaRange="1"/>
    <ignoredError sqref="AB235:AB250 AB323 AB363" formula="1"/>
  </ignoredError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FF0000"/>
  </sheetPr>
  <dimension ref="A1:AW1100"/>
  <sheetViews>
    <sheetView topLeftCell="B333" zoomScale="110" zoomScaleNormal="110" workbookViewId="0">
      <pane xSplit="1" topLeftCell="C1" activePane="topRight" state="frozen"/>
      <selection pane="topRight" activeCell="B2" sqref="B2"/>
      <selection activeCell="B2" sqref="B2"/>
    </sheetView>
  </sheetViews>
  <sheetFormatPr defaultRowHeight="13.5"/>
  <cols>
    <col min="1" max="1" width="12.5703125" hidden="1" customWidth="1"/>
    <col min="2" max="2" width="24.42578125" customWidth="1"/>
    <col min="3" max="4" width="7.42578125" style="1" customWidth="1"/>
    <col min="5" max="6" width="6.42578125" style="2" customWidth="1"/>
    <col min="7" max="7" width="1" style="2" customWidth="1"/>
    <col min="8" max="9" width="6.42578125" style="1" customWidth="1"/>
    <col min="10" max="11" width="6.42578125" style="2" customWidth="1"/>
    <col min="12" max="12" width="1" style="2" customWidth="1"/>
    <col min="13" max="14" width="7.42578125" style="1" customWidth="1"/>
    <col min="15" max="16" width="6.42578125" style="2" customWidth="1"/>
    <col min="17" max="17" width="1" style="3" customWidth="1"/>
    <col min="18" max="19" width="7.42578125" style="1" customWidth="1"/>
    <col min="20" max="21" width="6.42578125" style="2" customWidth="1"/>
    <col min="22" max="22" width="1" style="3" customWidth="1"/>
    <col min="23" max="24" width="6.42578125" style="1" customWidth="1"/>
    <col min="25" max="26" width="6.42578125" style="2" customWidth="1"/>
    <col min="27" max="27" width="7" style="2" customWidth="1"/>
    <col min="28" max="28" width="7.42578125" style="2" customWidth="1"/>
    <col min="29" max="29" width="1" style="2" customWidth="1"/>
    <col min="30" max="32" width="6.42578125" style="1" customWidth="1"/>
    <col min="33" max="33" width="7.5703125" style="1" customWidth="1"/>
    <col min="34" max="34" width="2.42578125" style="3" customWidth="1"/>
    <col min="35" max="35" width="2.42578125" style="227" customWidth="1"/>
    <col min="36" max="36" width="1.42578125" style="1" customWidth="1"/>
    <col min="37" max="37" width="13.5703125" style="187" bestFit="1" customWidth="1"/>
    <col min="38" max="42" width="9.42578125" style="187"/>
    <col min="43" max="49" width="9.42578125" style="1"/>
  </cols>
  <sheetData>
    <row r="1" spans="1:42" s="1" customFormat="1" ht="33" customHeight="1">
      <c r="E1" s="3"/>
      <c r="F1" s="3"/>
      <c r="G1" s="3"/>
      <c r="J1" s="3"/>
      <c r="K1" s="3"/>
      <c r="L1" s="3"/>
      <c r="O1" s="3"/>
      <c r="P1" s="3"/>
      <c r="Q1" s="3"/>
      <c r="S1" s="1527" t="s">
        <v>0</v>
      </c>
      <c r="T1" s="1527"/>
      <c r="U1" s="1527"/>
      <c r="V1" s="1527"/>
      <c r="W1" s="1527"/>
      <c r="X1" s="1527"/>
      <c r="Y1" s="1527"/>
      <c r="Z1" s="1527"/>
      <c r="AA1" s="1527"/>
      <c r="AB1" s="1527"/>
      <c r="AC1" s="1527"/>
      <c r="AD1" s="1527"/>
      <c r="AE1" s="1527"/>
      <c r="AF1" s="1527"/>
      <c r="AG1" s="1527"/>
      <c r="AH1" s="3"/>
      <c r="AI1" s="227"/>
      <c r="AK1" s="1526" t="s">
        <v>118</v>
      </c>
      <c r="AL1" s="1526"/>
      <c r="AM1" s="1526"/>
      <c r="AN1" s="1526"/>
      <c r="AO1" s="1526"/>
      <c r="AP1" s="1526"/>
    </row>
    <row r="2" spans="1:42" s="180" customFormat="1" ht="13.5" customHeight="1">
      <c r="E2" s="4"/>
      <c r="F2" s="4"/>
      <c r="G2" s="4"/>
      <c r="J2" s="4"/>
      <c r="K2" s="4"/>
      <c r="L2" s="4"/>
      <c r="O2" s="4"/>
      <c r="P2" s="4"/>
      <c r="Q2" s="4"/>
      <c r="S2" s="258"/>
      <c r="T2" s="258"/>
      <c r="U2" s="4"/>
      <c r="V2" s="258"/>
      <c r="W2" s="258"/>
      <c r="X2" s="258"/>
      <c r="Y2" s="258" t="s">
        <v>2</v>
      </c>
      <c r="Z2" s="4"/>
      <c r="AA2" s="260">
        <v>11695</v>
      </c>
      <c r="AB2" s="4"/>
      <c r="AC2" s="258"/>
      <c r="AD2" s="266" t="s">
        <v>3</v>
      </c>
      <c r="AE2" s="262">
        <f>AA2-(AA5+AE5)</f>
        <v>4819.8999999999996</v>
      </c>
      <c r="AH2" s="4"/>
      <c r="AI2" s="255"/>
      <c r="AK2" s="1521" t="s">
        <v>4</v>
      </c>
      <c r="AL2" s="1521"/>
      <c r="AM2" s="1521"/>
      <c r="AN2" s="1521"/>
      <c r="AO2" s="1521"/>
      <c r="AP2" s="1521"/>
    </row>
    <row r="3" spans="1:42" s="180" customFormat="1" ht="13.5" customHeight="1">
      <c r="E3" s="4"/>
      <c r="F3" s="4"/>
      <c r="G3" s="4"/>
      <c r="J3" s="4"/>
      <c r="K3" s="4"/>
      <c r="L3" s="4"/>
      <c r="O3" s="4"/>
      <c r="P3" s="4"/>
      <c r="Q3" s="4"/>
      <c r="S3" s="258"/>
      <c r="T3" s="258"/>
      <c r="U3" s="4"/>
      <c r="V3" s="258"/>
      <c r="W3" s="258"/>
      <c r="X3" s="258"/>
      <c r="Y3" s="258" t="s">
        <v>5</v>
      </c>
      <c r="Z3" s="4"/>
      <c r="AA3" s="261">
        <v>1162</v>
      </c>
      <c r="AB3" s="4"/>
      <c r="AC3" s="258"/>
      <c r="AD3" s="266" t="s">
        <v>3</v>
      </c>
      <c r="AE3" s="263">
        <f>AA3-(AA6+AE6)</f>
        <v>-201.70000000000005</v>
      </c>
      <c r="AH3" s="4"/>
      <c r="AI3" s="255"/>
      <c r="AK3" s="192" t="s">
        <v>6</v>
      </c>
      <c r="AL3" s="193"/>
      <c r="AM3" s="193"/>
      <c r="AN3" s="193"/>
      <c r="AO3" s="193"/>
      <c r="AP3" s="193"/>
    </row>
    <row r="4" spans="1:42" s="180" customFormat="1" ht="13.5" customHeight="1">
      <c r="E4" s="4"/>
      <c r="F4" s="4"/>
      <c r="G4" s="4"/>
      <c r="J4" s="4"/>
      <c r="K4" s="4"/>
      <c r="L4" s="4"/>
      <c r="O4" s="4"/>
      <c r="P4" s="4"/>
      <c r="Q4" s="4"/>
      <c r="S4" s="258"/>
      <c r="T4" s="258"/>
      <c r="U4" s="4"/>
      <c r="V4" s="258"/>
      <c r="W4" s="258"/>
      <c r="X4" s="258"/>
      <c r="Y4" s="258" t="s">
        <v>7</v>
      </c>
      <c r="Z4" s="4"/>
      <c r="AA4" s="260">
        <v>1680</v>
      </c>
      <c r="AB4" s="4"/>
      <c r="AC4" s="258"/>
      <c r="AD4" s="266" t="s">
        <v>3</v>
      </c>
      <c r="AE4" s="262">
        <f>AA4-AA7</f>
        <v>817</v>
      </c>
      <c r="AH4" s="4"/>
      <c r="AI4" s="255"/>
      <c r="AK4" s="193" t="s">
        <v>8</v>
      </c>
      <c r="AL4" s="193"/>
      <c r="AM4" s="193"/>
      <c r="AN4" s="193"/>
      <c r="AO4" s="193"/>
      <c r="AP4" s="193"/>
    </row>
    <row r="5" spans="1:42" s="180" customFormat="1" ht="13.5" customHeight="1">
      <c r="E5" s="4"/>
      <c r="F5" s="4"/>
      <c r="G5" s="4"/>
      <c r="J5" s="4"/>
      <c r="K5" s="4"/>
      <c r="L5" s="4"/>
      <c r="O5" s="4"/>
      <c r="P5" s="263"/>
      <c r="Q5" s="4"/>
      <c r="S5" s="258"/>
      <c r="T5" s="258"/>
      <c r="U5" s="4"/>
      <c r="V5" s="258"/>
      <c r="W5" s="258"/>
      <c r="Y5" s="258" t="s">
        <v>9</v>
      </c>
      <c r="Z5" s="4"/>
      <c r="AA5" s="265">
        <f>AA16+AA34+AA54+AA76+AA100+AA124+AG124+AA149+AA183+AA184+AG183+AA217+AG217+AA250+AA283+AA323+AA363+AA403+AA444</f>
        <v>6608.85</v>
      </c>
      <c r="AB5" s="4"/>
      <c r="AD5" s="264" t="s">
        <v>10</v>
      </c>
      <c r="AE5" s="263">
        <f>AG100+AG124+AG183+AG217+AB217+AG250+AB250+AG283+AB283+AB100+AB124+AB149+AB323+AG323+AB363+AG363+AB403+AG403</f>
        <v>266.25</v>
      </c>
      <c r="AH5" s="4"/>
      <c r="AI5" s="255"/>
      <c r="AK5" s="193" t="s">
        <v>11</v>
      </c>
      <c r="AL5" s="193"/>
      <c r="AM5" s="193"/>
      <c r="AN5" s="193"/>
      <c r="AO5" s="193"/>
      <c r="AP5" s="193"/>
    </row>
    <row r="6" spans="1:42" s="180" customFormat="1" ht="13.5" customHeight="1">
      <c r="E6" s="4"/>
      <c r="F6" s="4"/>
      <c r="G6" s="4"/>
      <c r="J6" s="4"/>
      <c r="K6" s="4"/>
      <c r="L6" s="4"/>
      <c r="O6" s="4"/>
      <c r="P6" s="4"/>
      <c r="Q6" s="4"/>
      <c r="S6" s="258"/>
      <c r="U6" s="4"/>
      <c r="V6" s="258"/>
      <c r="Y6" s="258" t="s">
        <v>12</v>
      </c>
      <c r="Z6" s="4"/>
      <c r="AA6" s="265">
        <f>AA19+AA37+AA57+AA79+AA103+AA127+AA154+AA189+AA222+AA255+AA288+AA328+AA368+AA408+AA449</f>
        <v>1221.2</v>
      </c>
      <c r="AB6" s="4"/>
      <c r="AD6" s="264" t="s">
        <v>13</v>
      </c>
      <c r="AE6" s="263">
        <f>AG103+AG127+AB127+AB154+AB189+AB222+AB255+AG255+AB103+AB288+AG288+AB328+AG328+AB368+AG368+AB408+AG408</f>
        <v>142.5</v>
      </c>
      <c r="AH6" s="4"/>
      <c r="AI6" s="255"/>
      <c r="AK6" s="310" t="s">
        <v>14</v>
      </c>
      <c r="AL6" s="193"/>
      <c r="AM6" s="193"/>
      <c r="AN6" s="193"/>
      <c r="AO6" s="193"/>
      <c r="AP6" s="193"/>
    </row>
    <row r="7" spans="1:42" s="180" customFormat="1" ht="13.5" customHeight="1">
      <c r="E7" s="4"/>
      <c r="F7" s="4"/>
      <c r="G7" s="4"/>
      <c r="J7" s="4"/>
      <c r="K7" s="4"/>
      <c r="L7" s="4"/>
      <c r="O7" s="4"/>
      <c r="P7" s="4"/>
      <c r="Q7" s="4"/>
      <c r="S7" s="258"/>
      <c r="U7" s="4"/>
      <c r="V7" s="258"/>
      <c r="Y7" s="258" t="s">
        <v>15</v>
      </c>
      <c r="Z7" s="4"/>
      <c r="AA7" s="265">
        <f>C22+C40+C60+C80+C104+C130+C155+C190+C223+C256+C289+C329+C369+C409+C450</f>
        <v>863</v>
      </c>
      <c r="AB7" s="4"/>
      <c r="AE7" s="259"/>
      <c r="AH7" s="4"/>
      <c r="AI7" s="255"/>
      <c r="AK7" s="202" t="s">
        <v>16</v>
      </c>
      <c r="AL7" s="193"/>
      <c r="AM7" s="193"/>
      <c r="AN7" s="193"/>
      <c r="AO7" s="193"/>
      <c r="AP7" s="193"/>
    </row>
    <row r="8" spans="1:42" s="180" customFormat="1" ht="13.5" customHeight="1">
      <c r="E8" s="4"/>
      <c r="F8" s="4"/>
      <c r="G8" s="4"/>
      <c r="J8" s="4"/>
      <c r="K8" s="4"/>
      <c r="L8" s="4"/>
      <c r="O8" s="4"/>
      <c r="P8" s="4"/>
      <c r="Q8" s="4"/>
      <c r="S8" s="258"/>
      <c r="U8" s="4"/>
      <c r="V8" s="258"/>
      <c r="Z8" s="4"/>
      <c r="AB8" s="4"/>
      <c r="AH8" s="4"/>
      <c r="AI8" s="255"/>
      <c r="AK8" s="203" t="s">
        <v>17</v>
      </c>
      <c r="AL8" s="193"/>
      <c r="AM8" s="193"/>
      <c r="AN8" s="193"/>
      <c r="AO8" s="193"/>
      <c r="AP8" s="193"/>
    </row>
    <row r="9" spans="1:42" s="1" customFormat="1" ht="6.75" customHeight="1">
      <c r="E9" s="3"/>
      <c r="F9" s="3"/>
      <c r="G9" s="3"/>
      <c r="J9" s="3"/>
      <c r="K9" s="3"/>
      <c r="L9" s="3"/>
      <c r="O9" s="3"/>
      <c r="P9" s="3"/>
      <c r="Q9" s="3"/>
      <c r="S9" s="100"/>
      <c r="T9" s="100"/>
      <c r="U9" s="3"/>
      <c r="V9" s="100"/>
      <c r="X9" s="100"/>
      <c r="Y9" s="101"/>
      <c r="Z9" s="3"/>
      <c r="AA9" s="123"/>
      <c r="AB9" s="3"/>
      <c r="AC9" s="100"/>
      <c r="AD9" s="124"/>
      <c r="AG9" s="53"/>
      <c r="AH9" s="3"/>
      <c r="AI9" s="227"/>
      <c r="AK9" s="187"/>
      <c r="AL9" s="187"/>
      <c r="AM9" s="187"/>
      <c r="AN9" s="187"/>
      <c r="AO9" s="187"/>
      <c r="AP9" s="187"/>
    </row>
    <row r="10" spans="1:42" ht="13.5" customHeight="1">
      <c r="A10" s="1528" t="s">
        <v>119</v>
      </c>
      <c r="B10" s="1518" t="s">
        <v>18</v>
      </c>
      <c r="C10" s="1524">
        <v>45063</v>
      </c>
      <c r="D10" s="1524"/>
      <c r="E10" s="1524"/>
      <c r="F10" s="1524"/>
      <c r="G10" s="22"/>
      <c r="H10" s="1524">
        <v>45064</v>
      </c>
      <c r="I10" s="1524"/>
      <c r="J10" s="1524"/>
      <c r="K10" s="1524"/>
      <c r="L10" s="22"/>
      <c r="M10" s="1525" t="s">
        <v>120</v>
      </c>
      <c r="N10" s="1525"/>
      <c r="O10" s="1525"/>
      <c r="P10" s="1525"/>
      <c r="R10" s="1525" t="s">
        <v>120</v>
      </c>
      <c r="S10" s="1525"/>
      <c r="T10" s="1525"/>
      <c r="U10" s="1525"/>
      <c r="W10" s="1525" t="s">
        <v>120</v>
      </c>
      <c r="X10" s="1525"/>
      <c r="Y10" s="1525"/>
      <c r="Z10" s="1525"/>
      <c r="AA10" s="1517" t="s">
        <v>19</v>
      </c>
      <c r="AB10" s="1517" t="s">
        <v>20</v>
      </c>
      <c r="AC10" s="22"/>
      <c r="AD10" s="1524">
        <v>45063</v>
      </c>
      <c r="AE10" s="1524"/>
      <c r="AF10" s="1524"/>
      <c r="AG10" s="1517" t="s">
        <v>21</v>
      </c>
      <c r="AK10" s="194" t="s">
        <v>121</v>
      </c>
      <c r="AL10" s="195"/>
      <c r="AM10" s="195"/>
      <c r="AN10" s="195"/>
      <c r="AO10" s="195"/>
      <c r="AP10" s="195"/>
    </row>
    <row r="11" spans="1:42" ht="14.25">
      <c r="A11" s="1528"/>
      <c r="B11" s="1518"/>
      <c r="C11" s="21" t="s">
        <v>23</v>
      </c>
      <c r="D11" s="21" t="s">
        <v>24</v>
      </c>
      <c r="E11" s="205" t="s">
        <v>122</v>
      </c>
      <c r="F11" s="18" t="s">
        <v>14</v>
      </c>
      <c r="G11" s="23"/>
      <c r="H11" s="21" t="s">
        <v>23</v>
      </c>
      <c r="I11" s="21" t="s">
        <v>24</v>
      </c>
      <c r="J11" s="205" t="s">
        <v>122</v>
      </c>
      <c r="K11" s="18" t="s">
        <v>14</v>
      </c>
      <c r="L11" s="23"/>
      <c r="M11" s="1525"/>
      <c r="N11" s="1525"/>
      <c r="O11" s="1525"/>
      <c r="P11" s="1525"/>
      <c r="R11" s="1525"/>
      <c r="S11" s="1525"/>
      <c r="T11" s="1525"/>
      <c r="U11" s="1525"/>
      <c r="W11" s="1525"/>
      <c r="X11" s="1525"/>
      <c r="Y11" s="1525"/>
      <c r="Z11" s="1525"/>
      <c r="AA11" s="1523"/>
      <c r="AB11" s="1517"/>
      <c r="AC11" s="23"/>
      <c r="AD11" s="21" t="s">
        <v>23</v>
      </c>
      <c r="AE11" s="21" t="s">
        <v>24</v>
      </c>
      <c r="AF11" s="21" t="s">
        <v>25</v>
      </c>
      <c r="AG11" s="1523"/>
      <c r="AK11" s="188" t="s">
        <v>26</v>
      </c>
      <c r="AL11" s="189">
        <f>AA16</f>
        <v>36.25</v>
      </c>
    </row>
    <row r="12" spans="1:42" ht="13.5" customHeight="1">
      <c r="A12" s="8" t="s">
        <v>123</v>
      </c>
      <c r="B12" s="13" t="s">
        <v>124</v>
      </c>
      <c r="C12" s="12" t="s">
        <v>125</v>
      </c>
      <c r="D12" s="12" t="s">
        <v>126</v>
      </c>
      <c r="E12" s="19">
        <v>6.5</v>
      </c>
      <c r="F12" s="277"/>
      <c r="G12" s="24"/>
      <c r="H12" s="12" t="s">
        <v>127</v>
      </c>
      <c r="I12" s="12" t="s">
        <v>128</v>
      </c>
      <c r="J12" s="19">
        <v>2.75</v>
      </c>
      <c r="K12" s="277"/>
      <c r="L12" s="24"/>
      <c r="M12" s="1525"/>
      <c r="N12" s="1525"/>
      <c r="O12" s="1525"/>
      <c r="P12" s="1525"/>
      <c r="R12" s="1525"/>
      <c r="S12" s="1525"/>
      <c r="T12" s="1525"/>
      <c r="U12" s="1525"/>
      <c r="W12" s="1525"/>
      <c r="X12" s="1525"/>
      <c r="Y12" s="1525"/>
      <c r="Z12" s="1525"/>
      <c r="AA12" s="29">
        <f>J12+E12</f>
        <v>9.25</v>
      </c>
      <c r="AB12" s="282"/>
      <c r="AC12" s="24"/>
      <c r="AD12" s="1525" t="s">
        <v>120</v>
      </c>
      <c r="AE12" s="1525"/>
      <c r="AF12" s="1525"/>
      <c r="AG12" s="1525"/>
      <c r="AK12" s="188" t="s">
        <v>30</v>
      </c>
      <c r="AL12" s="189">
        <f>C21</f>
        <v>0</v>
      </c>
    </row>
    <row r="13" spans="1:42" ht="13.5" customHeight="1">
      <c r="A13" s="8" t="s">
        <v>123</v>
      </c>
      <c r="B13" s="13" t="s">
        <v>129</v>
      </c>
      <c r="C13" s="12" t="s">
        <v>76</v>
      </c>
      <c r="D13" s="12" t="s">
        <v>126</v>
      </c>
      <c r="E13" s="20">
        <v>6</v>
      </c>
      <c r="F13" s="277"/>
      <c r="G13" s="25"/>
      <c r="H13" s="12" t="s">
        <v>130</v>
      </c>
      <c r="I13" s="12" t="s">
        <v>128</v>
      </c>
      <c r="J13" s="20">
        <v>2.5</v>
      </c>
      <c r="K13" s="277"/>
      <c r="L13" s="25"/>
      <c r="M13" s="1525"/>
      <c r="N13" s="1525"/>
      <c r="O13" s="1525"/>
      <c r="P13" s="1525"/>
      <c r="R13" s="1525"/>
      <c r="S13" s="1525"/>
      <c r="T13" s="1525"/>
      <c r="U13" s="1525"/>
      <c r="W13" s="1525"/>
      <c r="X13" s="1525"/>
      <c r="Y13" s="1525"/>
      <c r="Z13" s="1525"/>
      <c r="AA13" s="29">
        <f>J13+E13</f>
        <v>8.5</v>
      </c>
      <c r="AB13" s="299"/>
      <c r="AC13" s="25"/>
      <c r="AD13" s="1525"/>
      <c r="AE13" s="1525"/>
      <c r="AF13" s="1525"/>
      <c r="AG13" s="1525"/>
      <c r="AK13" s="188" t="s">
        <v>32</v>
      </c>
      <c r="AL13" s="189">
        <f>C21</f>
        <v>0</v>
      </c>
    </row>
    <row r="14" spans="1:42" ht="13.5" customHeight="1">
      <c r="A14" s="8" t="s">
        <v>123</v>
      </c>
      <c r="B14" s="13" t="s">
        <v>131</v>
      </c>
      <c r="C14" s="12" t="s">
        <v>125</v>
      </c>
      <c r="D14" s="12" t="s">
        <v>126</v>
      </c>
      <c r="E14" s="20">
        <v>6.5</v>
      </c>
      <c r="F14" s="277"/>
      <c r="G14" s="25"/>
      <c r="H14" s="12" t="s">
        <v>127</v>
      </c>
      <c r="I14" s="12" t="s">
        <v>128</v>
      </c>
      <c r="J14" s="20">
        <v>2.75</v>
      </c>
      <c r="K14" s="277"/>
      <c r="L14" s="25"/>
      <c r="M14" s="1525"/>
      <c r="N14" s="1525"/>
      <c r="O14" s="1525"/>
      <c r="P14" s="1525"/>
      <c r="R14" s="1525"/>
      <c r="S14" s="1525"/>
      <c r="T14" s="1525"/>
      <c r="U14" s="1525"/>
      <c r="W14" s="1525"/>
      <c r="X14" s="1525"/>
      <c r="Y14" s="1525"/>
      <c r="Z14" s="1525"/>
      <c r="AA14" s="29">
        <f t="shared" ref="AA14:AA15" si="0">J14+E14</f>
        <v>9.25</v>
      </c>
      <c r="AB14" s="299"/>
      <c r="AC14" s="25"/>
      <c r="AD14" s="1525"/>
      <c r="AE14" s="1525"/>
      <c r="AF14" s="1525"/>
      <c r="AG14" s="1525"/>
      <c r="AK14" s="188" t="s">
        <v>34</v>
      </c>
      <c r="AL14" s="190">
        <f>AA19</f>
        <v>15</v>
      </c>
    </row>
    <row r="15" spans="1:42" ht="13.5" customHeight="1">
      <c r="A15" s="8" t="s">
        <v>123</v>
      </c>
      <c r="B15" s="13" t="s">
        <v>132</v>
      </c>
      <c r="C15" s="12" t="s">
        <v>125</v>
      </c>
      <c r="D15" s="12" t="s">
        <v>126</v>
      </c>
      <c r="E15" s="20">
        <v>6.5</v>
      </c>
      <c r="F15" s="277"/>
      <c r="G15" s="25"/>
      <c r="H15" s="12" t="s">
        <v>127</v>
      </c>
      <c r="I15" s="12" t="s">
        <v>128</v>
      </c>
      <c r="J15" s="20">
        <v>2.75</v>
      </c>
      <c r="K15" s="277"/>
      <c r="L15" s="25"/>
      <c r="M15" s="1525"/>
      <c r="N15" s="1525"/>
      <c r="O15" s="1525"/>
      <c r="P15" s="1525"/>
      <c r="R15" s="1525"/>
      <c r="S15" s="1525"/>
      <c r="T15" s="1525"/>
      <c r="U15" s="1525"/>
      <c r="W15" s="1525"/>
      <c r="X15" s="1525"/>
      <c r="Y15" s="1525"/>
      <c r="Z15" s="1525"/>
      <c r="AA15" s="29">
        <f t="shared" si="0"/>
        <v>9.25</v>
      </c>
      <c r="AB15" s="299"/>
      <c r="AC15" s="25"/>
      <c r="AD15" s="1525"/>
      <c r="AE15" s="1525"/>
      <c r="AF15" s="1525"/>
      <c r="AG15" s="1525"/>
      <c r="AK15" s="188" t="s">
        <v>41</v>
      </c>
      <c r="AL15" s="189">
        <f>C22</f>
        <v>10</v>
      </c>
    </row>
    <row r="16" spans="1:42" ht="13.5" customHeight="1">
      <c r="A16" s="8"/>
      <c r="B16" s="64" t="s">
        <v>61</v>
      </c>
      <c r="C16" s="64"/>
      <c r="D16" s="64"/>
      <c r="E16" s="167">
        <f>SUM(E12:E15)</f>
        <v>25.5</v>
      </c>
      <c r="F16" s="277"/>
      <c r="G16" s="25"/>
      <c r="H16" s="167"/>
      <c r="I16" s="167"/>
      <c r="J16" s="167">
        <f>SUM(J12:J15)</f>
        <v>10.75</v>
      </c>
      <c r="K16" s="277"/>
      <c r="L16" s="25"/>
      <c r="M16" s="63"/>
      <c r="N16" s="63"/>
      <c r="O16" s="63"/>
      <c r="P16" s="63"/>
      <c r="R16" s="63"/>
      <c r="S16" s="63"/>
      <c r="T16" s="63"/>
      <c r="U16" s="63"/>
      <c r="W16" s="63"/>
      <c r="X16" s="63"/>
      <c r="Y16" s="63"/>
      <c r="Z16" s="63"/>
      <c r="AA16" s="247">
        <f>SUM(AA12:AA15)</f>
        <v>36.25</v>
      </c>
      <c r="AB16" s="283"/>
      <c r="AC16" s="25"/>
      <c r="AD16" s="1525"/>
      <c r="AE16" s="1525"/>
      <c r="AF16" s="1525"/>
      <c r="AG16" s="1525"/>
    </row>
    <row r="17" spans="1:42" ht="13.5" customHeight="1">
      <c r="A17" s="8"/>
      <c r="B17" s="31" t="s">
        <v>64</v>
      </c>
      <c r="C17" s="56"/>
      <c r="D17" s="57"/>
      <c r="E17" s="19">
        <v>3.5</v>
      </c>
      <c r="F17" s="280"/>
      <c r="G17" s="59"/>
      <c r="H17" s="57"/>
      <c r="I17" s="57"/>
      <c r="J17" s="19">
        <v>4.5</v>
      </c>
      <c r="K17" s="280"/>
      <c r="L17" s="59"/>
      <c r="M17" s="57"/>
      <c r="N17" s="57"/>
      <c r="O17" s="54"/>
      <c r="P17" s="280"/>
      <c r="Q17" s="59"/>
      <c r="R17" s="57"/>
      <c r="S17" s="57"/>
      <c r="T17" s="54"/>
      <c r="U17" s="280"/>
      <c r="V17" s="59"/>
      <c r="W17" s="57"/>
      <c r="X17" s="57"/>
      <c r="Y17" s="54"/>
      <c r="Z17" s="280"/>
      <c r="AA17" s="169">
        <f>SUM(E17:Y17)</f>
        <v>8</v>
      </c>
      <c r="AB17" s="286"/>
      <c r="AC17" s="25"/>
      <c r="AD17" s="1525"/>
      <c r="AE17" s="1525"/>
      <c r="AF17" s="1525"/>
      <c r="AG17" s="1525"/>
    </row>
    <row r="18" spans="1:42" ht="13.5" customHeight="1" thickBot="1">
      <c r="A18" s="8"/>
      <c r="B18" s="74" t="s">
        <v>65</v>
      </c>
      <c r="C18" s="75"/>
      <c r="D18" s="76"/>
      <c r="E18" s="77">
        <v>3</v>
      </c>
      <c r="F18" s="281"/>
      <c r="G18" s="78"/>
      <c r="H18" s="76"/>
      <c r="I18" s="76"/>
      <c r="J18" s="77">
        <v>4</v>
      </c>
      <c r="K18" s="281"/>
      <c r="L18" s="78"/>
      <c r="M18" s="76"/>
      <c r="N18" s="76"/>
      <c r="O18" s="79"/>
      <c r="P18" s="281"/>
      <c r="Q18" s="78"/>
      <c r="R18" s="76"/>
      <c r="S18" s="76"/>
      <c r="T18" s="79"/>
      <c r="U18" s="281"/>
      <c r="V18" s="78"/>
      <c r="W18" s="76"/>
      <c r="X18" s="76"/>
      <c r="Y18" s="79"/>
      <c r="Z18" s="281"/>
      <c r="AA18" s="170">
        <f>SUM(E18:Y18)</f>
        <v>7</v>
      </c>
      <c r="AB18" s="287"/>
      <c r="AC18" s="25"/>
      <c r="AD18" s="1525"/>
      <c r="AE18" s="1525"/>
      <c r="AF18" s="1525"/>
      <c r="AG18" s="1525"/>
    </row>
    <row r="19" spans="1:42" s="1" customFormat="1" ht="13.5" customHeight="1" thickTop="1">
      <c r="A19" s="11"/>
      <c r="B19" s="214" t="s">
        <v>66</v>
      </c>
      <c r="C19" s="215"/>
      <c r="D19" s="215"/>
      <c r="E19" s="214">
        <f>SUM(E17:E18)</f>
        <v>6.5</v>
      </c>
      <c r="F19" s="214"/>
      <c r="G19" s="215"/>
      <c r="H19" s="214"/>
      <c r="I19" s="214"/>
      <c r="J19" s="214">
        <f>SUM(J17:J18)</f>
        <v>8.5</v>
      </c>
      <c r="K19" s="214"/>
      <c r="L19" s="215"/>
      <c r="M19" s="215"/>
      <c r="N19" s="215"/>
      <c r="O19" s="215"/>
      <c r="P19" s="214"/>
      <c r="Q19" s="215"/>
      <c r="R19" s="215"/>
      <c r="S19" s="215"/>
      <c r="T19" s="215"/>
      <c r="U19" s="214"/>
      <c r="V19" s="215"/>
      <c r="W19" s="215"/>
      <c r="X19" s="215"/>
      <c r="Y19" s="216"/>
      <c r="Z19" s="214"/>
      <c r="AA19" s="247">
        <f>SUM(AA17:AA18)</f>
        <v>15</v>
      </c>
      <c r="AB19" s="247"/>
      <c r="AC19" s="3"/>
      <c r="AD19" s="1525"/>
      <c r="AE19" s="1525"/>
      <c r="AF19" s="1525"/>
      <c r="AG19" s="1525"/>
      <c r="AH19" s="3"/>
      <c r="AI19" s="227"/>
      <c r="AK19" s="187"/>
      <c r="AL19" s="187"/>
      <c r="AM19" s="187"/>
      <c r="AN19" s="187"/>
      <c r="AO19" s="187"/>
      <c r="AP19" s="187"/>
    </row>
    <row r="20" spans="1:42" s="1" customFormat="1" ht="13.5" customHeight="1">
      <c r="A20" s="11"/>
      <c r="B20" s="217" t="s">
        <v>133</v>
      </c>
      <c r="C20" s="207">
        <v>0</v>
      </c>
      <c r="D20" s="208"/>
      <c r="E20" s="209"/>
      <c r="F20" s="209"/>
      <c r="G20" s="208"/>
      <c r="H20" s="209"/>
      <c r="I20" s="209"/>
      <c r="J20" s="209"/>
      <c r="K20" s="209"/>
      <c r="L20" s="208"/>
      <c r="M20" s="208"/>
      <c r="N20" s="208"/>
      <c r="O20" s="208"/>
      <c r="P20" s="209"/>
      <c r="Q20" s="208"/>
      <c r="R20" s="208"/>
      <c r="S20" s="208"/>
      <c r="T20" s="208"/>
      <c r="U20" s="209"/>
      <c r="V20" s="208"/>
      <c r="W20" s="208"/>
      <c r="X20" s="208"/>
      <c r="Y20" s="210"/>
      <c r="Z20" s="209"/>
      <c r="AA20" s="211"/>
      <c r="AB20" s="209"/>
      <c r="AC20" s="211"/>
      <c r="AD20" s="211"/>
      <c r="AE20" s="211"/>
      <c r="AF20" s="211"/>
      <c r="AG20" s="211"/>
      <c r="AH20" s="3"/>
      <c r="AI20" s="227"/>
      <c r="AK20" s="187"/>
      <c r="AL20" s="187"/>
      <c r="AM20" s="187"/>
      <c r="AN20" s="187"/>
      <c r="AO20" s="187"/>
      <c r="AP20" s="187"/>
    </row>
    <row r="21" spans="1:42">
      <c r="B21" s="217" t="s">
        <v>134</v>
      </c>
      <c r="C21" s="207">
        <v>0</v>
      </c>
      <c r="D21" s="212"/>
      <c r="E21" s="213"/>
      <c r="F21" s="213"/>
      <c r="G21" s="213"/>
      <c r="H21" s="212"/>
      <c r="I21" s="212"/>
      <c r="J21" s="213"/>
      <c r="K21" s="213"/>
      <c r="L21" s="213"/>
      <c r="M21" s="212"/>
      <c r="N21" s="212"/>
      <c r="O21" s="213"/>
      <c r="P21" s="213"/>
      <c r="Q21" s="213"/>
      <c r="R21" s="212"/>
      <c r="S21" s="212"/>
      <c r="T21" s="213"/>
      <c r="U21" s="213"/>
      <c r="V21" s="213"/>
      <c r="W21" s="212"/>
      <c r="X21" s="212"/>
      <c r="Y21" s="213"/>
      <c r="Z21" s="213"/>
      <c r="AA21" s="213"/>
      <c r="AB21" s="213"/>
      <c r="AC21" s="213"/>
      <c r="AD21" s="213"/>
      <c r="AE21" s="213"/>
      <c r="AF21" s="213"/>
      <c r="AG21" s="213"/>
    </row>
    <row r="22" spans="1:42" s="1" customFormat="1" ht="13.5" customHeight="1">
      <c r="A22" s="11"/>
      <c r="B22" s="217" t="s">
        <v>67</v>
      </c>
      <c r="C22" s="207">
        <f>C23+C24</f>
        <v>10</v>
      </c>
      <c r="D22" s="208"/>
      <c r="E22" s="209"/>
      <c r="F22" s="209"/>
      <c r="G22" s="208"/>
      <c r="H22" s="209"/>
      <c r="I22" s="209"/>
      <c r="J22" s="209"/>
      <c r="K22" s="209"/>
      <c r="L22" s="208"/>
      <c r="M22" s="208"/>
      <c r="N22" s="208"/>
      <c r="O22" s="208"/>
      <c r="P22" s="209"/>
      <c r="Q22" s="208"/>
      <c r="R22" s="208"/>
      <c r="S22" s="208"/>
      <c r="T22" s="208"/>
      <c r="U22" s="209"/>
      <c r="V22" s="208"/>
      <c r="W22" s="208"/>
      <c r="X22" s="208"/>
      <c r="Y22" s="210"/>
      <c r="Z22" s="209"/>
      <c r="AA22" s="211"/>
      <c r="AB22" s="209"/>
      <c r="AC22" s="211"/>
      <c r="AD22" s="211"/>
      <c r="AE22" s="211"/>
      <c r="AF22" s="211"/>
      <c r="AG22" s="211"/>
      <c r="AH22" s="3"/>
      <c r="AI22" s="227"/>
      <c r="AK22" s="187"/>
      <c r="AL22" s="187"/>
      <c r="AM22" s="187"/>
      <c r="AN22" s="187"/>
      <c r="AO22" s="187"/>
      <c r="AP22" s="187"/>
    </row>
    <row r="23" spans="1:42" s="1" customFormat="1" ht="13.5" customHeight="1">
      <c r="A23" s="11"/>
      <c r="B23" s="238" t="s">
        <v>68</v>
      </c>
      <c r="C23" s="239">
        <v>10</v>
      </c>
      <c r="D23" s="208"/>
      <c r="E23" s="209"/>
      <c r="F23" s="209"/>
      <c r="G23" s="208"/>
      <c r="H23" s="209"/>
      <c r="I23" s="209"/>
      <c r="J23" s="209"/>
      <c r="K23" s="209"/>
      <c r="L23" s="208"/>
      <c r="M23" s="208"/>
      <c r="N23" s="208"/>
      <c r="O23" s="208"/>
      <c r="P23" s="209"/>
      <c r="Q23" s="208"/>
      <c r="R23" s="208"/>
      <c r="S23" s="208"/>
      <c r="T23" s="208"/>
      <c r="U23" s="209"/>
      <c r="V23" s="208"/>
      <c r="W23" s="208"/>
      <c r="X23" s="208"/>
      <c r="Y23" s="210"/>
      <c r="Z23" s="209"/>
      <c r="AA23" s="211"/>
      <c r="AB23" s="209"/>
      <c r="AC23" s="211"/>
      <c r="AD23" s="211"/>
      <c r="AE23" s="211"/>
      <c r="AF23" s="211"/>
      <c r="AG23" s="211"/>
      <c r="AH23" s="3"/>
      <c r="AI23" s="227"/>
      <c r="AK23" s="187"/>
      <c r="AL23" s="187"/>
      <c r="AM23" s="187"/>
      <c r="AN23" s="187"/>
      <c r="AO23" s="187"/>
      <c r="AP23" s="187"/>
    </row>
    <row r="24" spans="1:42" s="1" customFormat="1" ht="13.5" customHeight="1">
      <c r="A24" s="11"/>
      <c r="B24" s="238" t="s">
        <v>69</v>
      </c>
      <c r="C24" s="239">
        <v>0</v>
      </c>
      <c r="D24" s="208"/>
      <c r="E24" s="209"/>
      <c r="F24" s="209"/>
      <c r="G24" s="208"/>
      <c r="H24" s="209"/>
      <c r="I24" s="209"/>
      <c r="J24" s="209"/>
      <c r="K24" s="209"/>
      <c r="L24" s="208"/>
      <c r="M24" s="208"/>
      <c r="N24" s="208"/>
      <c r="O24" s="208"/>
      <c r="P24" s="209"/>
      <c r="Q24" s="208"/>
      <c r="R24" s="208"/>
      <c r="S24" s="208"/>
      <c r="T24" s="208"/>
      <c r="U24" s="209"/>
      <c r="V24" s="208"/>
      <c r="W24" s="208"/>
      <c r="X24" s="208"/>
      <c r="Y24" s="210"/>
      <c r="Z24" s="209"/>
      <c r="AA24" s="211"/>
      <c r="AB24" s="209"/>
      <c r="AC24" s="211"/>
      <c r="AD24" s="211"/>
      <c r="AE24" s="211"/>
      <c r="AF24" s="211"/>
      <c r="AG24" s="211"/>
      <c r="AH24" s="3"/>
      <c r="AI24" s="227"/>
      <c r="AK24" s="187"/>
      <c r="AL24" s="187"/>
      <c r="AM24" s="187"/>
      <c r="AN24" s="187"/>
      <c r="AO24" s="187"/>
      <c r="AP24" s="187"/>
    </row>
    <row r="25" spans="1:42" s="1" customFormat="1" ht="4.5" customHeight="1">
      <c r="A25" s="11"/>
      <c r="B25" s="218"/>
      <c r="C25" s="219"/>
      <c r="D25" s="220"/>
      <c r="E25" s="221"/>
      <c r="F25" s="221"/>
      <c r="G25" s="220"/>
      <c r="H25" s="221"/>
      <c r="I25" s="221"/>
      <c r="J25" s="221"/>
      <c r="K25" s="221"/>
      <c r="L25" s="220"/>
      <c r="M25" s="220"/>
      <c r="N25" s="220"/>
      <c r="O25" s="220"/>
      <c r="P25" s="221"/>
      <c r="Q25" s="220"/>
      <c r="R25" s="220"/>
      <c r="S25" s="220"/>
      <c r="T25" s="220"/>
      <c r="U25" s="221"/>
      <c r="V25" s="220"/>
      <c r="W25" s="220"/>
      <c r="X25" s="220"/>
      <c r="Y25" s="222"/>
      <c r="Z25" s="221"/>
      <c r="AA25" s="223"/>
      <c r="AB25" s="221"/>
      <c r="AC25" s="3"/>
      <c r="AD25" s="168"/>
      <c r="AH25" s="3"/>
      <c r="AI25" s="227"/>
      <c r="AK25" s="187"/>
      <c r="AL25" s="187"/>
      <c r="AM25" s="187"/>
      <c r="AN25" s="187"/>
      <c r="AO25" s="187"/>
      <c r="AP25" s="187"/>
    </row>
    <row r="26" spans="1:42" s="227" customFormat="1" ht="4.5" customHeight="1">
      <c r="A26" s="228"/>
      <c r="B26" s="229"/>
      <c r="C26" s="230"/>
      <c r="D26" s="231"/>
      <c r="E26" s="232"/>
      <c r="F26" s="232"/>
      <c r="G26" s="231"/>
      <c r="H26" s="232"/>
      <c r="I26" s="232"/>
      <c r="J26" s="232"/>
      <c r="K26" s="232"/>
      <c r="L26" s="231"/>
      <c r="M26" s="231"/>
      <c r="N26" s="231"/>
      <c r="O26" s="231"/>
      <c r="P26" s="232"/>
      <c r="Q26" s="231"/>
      <c r="R26" s="231"/>
      <c r="S26" s="231"/>
      <c r="T26" s="231"/>
      <c r="U26" s="232"/>
      <c r="V26" s="231"/>
      <c r="W26" s="231"/>
      <c r="X26" s="231"/>
      <c r="Y26" s="233"/>
      <c r="Z26" s="232"/>
      <c r="AA26" s="234"/>
      <c r="AB26" s="232"/>
      <c r="AC26" s="235"/>
      <c r="AD26" s="236"/>
      <c r="AH26" s="235"/>
    </row>
    <row r="27" spans="1:42" s="187" customFormat="1" ht="4.5" customHeight="1">
      <c r="A27" s="224"/>
      <c r="B27" s="214"/>
      <c r="C27" s="215"/>
      <c r="D27" s="215"/>
      <c r="E27" s="214"/>
      <c r="F27" s="214"/>
      <c r="G27" s="215"/>
      <c r="H27" s="214"/>
      <c r="I27" s="214"/>
      <c r="J27" s="214"/>
      <c r="K27" s="214"/>
      <c r="L27" s="215"/>
      <c r="M27" s="215"/>
      <c r="N27" s="215"/>
      <c r="O27" s="215"/>
      <c r="P27" s="214"/>
      <c r="Q27" s="215"/>
      <c r="R27" s="215"/>
      <c r="S27" s="215"/>
      <c r="T27" s="215"/>
      <c r="U27" s="214"/>
      <c r="V27" s="215"/>
      <c r="W27" s="215"/>
      <c r="X27" s="215"/>
      <c r="Y27" s="216"/>
      <c r="Z27" s="214"/>
      <c r="AA27" s="225"/>
      <c r="AB27" s="214"/>
      <c r="AC27" s="226"/>
      <c r="AH27" s="226"/>
      <c r="AI27" s="227"/>
    </row>
    <row r="28" spans="1:42" s="3" customFormat="1" ht="13.5" customHeight="1">
      <c r="B28" s="1518" t="s">
        <v>18</v>
      </c>
      <c r="C28" s="1524">
        <v>45068</v>
      </c>
      <c r="D28" s="1524"/>
      <c r="E28" s="1524"/>
      <c r="F28" s="1524"/>
      <c r="G28" s="22"/>
      <c r="H28" s="1524">
        <v>45069</v>
      </c>
      <c r="I28" s="1524"/>
      <c r="J28" s="1524"/>
      <c r="K28" s="1524"/>
      <c r="L28" s="22"/>
      <c r="M28" s="1524">
        <v>45070</v>
      </c>
      <c r="N28" s="1524"/>
      <c r="O28" s="1524"/>
      <c r="P28" s="1524"/>
      <c r="Q28" s="22"/>
      <c r="R28" s="1524">
        <v>45071</v>
      </c>
      <c r="S28" s="1524"/>
      <c r="T28" s="1524"/>
      <c r="U28" s="1524"/>
      <c r="V28" s="22"/>
      <c r="W28" s="1524">
        <v>45072</v>
      </c>
      <c r="X28" s="1524"/>
      <c r="Y28" s="1524"/>
      <c r="Z28" s="1524"/>
      <c r="AA28" s="1517" t="s">
        <v>19</v>
      </c>
      <c r="AB28" s="1517" t="s">
        <v>20</v>
      </c>
      <c r="AD28" s="1524">
        <v>45068</v>
      </c>
      <c r="AE28" s="1524"/>
      <c r="AF28" s="1524"/>
      <c r="AG28" s="1517" t="s">
        <v>21</v>
      </c>
      <c r="AI28" s="235"/>
      <c r="AK28" s="194" t="s">
        <v>135</v>
      </c>
      <c r="AL28" s="195"/>
      <c r="AM28" s="195"/>
      <c r="AN28" s="195"/>
      <c r="AO28" s="195"/>
      <c r="AP28" s="195"/>
    </row>
    <row r="29" spans="1:42" s="3" customFormat="1" ht="14.25">
      <c r="B29" s="1518"/>
      <c r="C29" s="21" t="s">
        <v>23</v>
      </c>
      <c r="D29" s="21" t="s">
        <v>24</v>
      </c>
      <c r="E29" s="205" t="s">
        <v>122</v>
      </c>
      <c r="F29" s="18" t="s">
        <v>14</v>
      </c>
      <c r="G29" s="23"/>
      <c r="H29" s="21" t="s">
        <v>23</v>
      </c>
      <c r="I29" s="21" t="s">
        <v>24</v>
      </c>
      <c r="J29" s="205" t="s">
        <v>122</v>
      </c>
      <c r="K29" s="18" t="s">
        <v>14</v>
      </c>
      <c r="L29" s="23"/>
      <c r="M29" s="21" t="s">
        <v>23</v>
      </c>
      <c r="N29" s="21" t="s">
        <v>24</v>
      </c>
      <c r="O29" s="205" t="s">
        <v>122</v>
      </c>
      <c r="P29" s="18" t="s">
        <v>14</v>
      </c>
      <c r="Q29" s="23"/>
      <c r="R29" s="21" t="s">
        <v>23</v>
      </c>
      <c r="S29" s="21" t="s">
        <v>24</v>
      </c>
      <c r="T29" s="205" t="s">
        <v>122</v>
      </c>
      <c r="U29" s="18" t="s">
        <v>14</v>
      </c>
      <c r="V29" s="23"/>
      <c r="W29" s="21" t="s">
        <v>23</v>
      </c>
      <c r="X29" s="21" t="s">
        <v>24</v>
      </c>
      <c r="Y29" s="205" t="s">
        <v>122</v>
      </c>
      <c r="Z29" s="18" t="s">
        <v>14</v>
      </c>
      <c r="AA29" s="1523"/>
      <c r="AB29" s="1517"/>
      <c r="AC29" s="5"/>
      <c r="AD29" s="21" t="s">
        <v>23</v>
      </c>
      <c r="AE29" s="21" t="s">
        <v>24</v>
      </c>
      <c r="AF29" s="21" t="s">
        <v>25</v>
      </c>
      <c r="AG29" s="1523"/>
      <c r="AI29" s="235"/>
      <c r="AK29" s="188" t="s">
        <v>26</v>
      </c>
      <c r="AL29" s="189">
        <f>AA34</f>
        <v>127.25</v>
      </c>
      <c r="AM29" s="187"/>
      <c r="AN29" s="187"/>
      <c r="AO29" s="187"/>
      <c r="AP29" s="187"/>
    </row>
    <row r="30" spans="1:42" s="3" customFormat="1" ht="14.25">
      <c r="B30" s="13" t="s">
        <v>124</v>
      </c>
      <c r="C30" s="12" t="s">
        <v>76</v>
      </c>
      <c r="D30" s="12" t="s">
        <v>136</v>
      </c>
      <c r="E30" s="19">
        <v>7.5</v>
      </c>
      <c r="F30" s="277"/>
      <c r="G30" s="24"/>
      <c r="H30" s="12" t="s">
        <v>75</v>
      </c>
      <c r="I30" s="16">
        <v>0.20833333333333334</v>
      </c>
      <c r="J30" s="19">
        <v>7</v>
      </c>
      <c r="K30" s="277"/>
      <c r="L30" s="24"/>
      <c r="M30" s="12" t="s">
        <v>75</v>
      </c>
      <c r="N30" s="16">
        <v>0.20833333333333334</v>
      </c>
      <c r="O30" s="19">
        <v>7</v>
      </c>
      <c r="P30" s="277"/>
      <c r="Q30" s="24"/>
      <c r="R30" s="12" t="s">
        <v>75</v>
      </c>
      <c r="S30" s="16">
        <v>0.20833333333333334</v>
      </c>
      <c r="T30" s="19">
        <v>7</v>
      </c>
      <c r="U30" s="277"/>
      <c r="V30" s="24"/>
      <c r="W30" s="12">
        <v>0</v>
      </c>
      <c r="X30" s="12">
        <v>0</v>
      </c>
      <c r="Y30" s="19" t="s">
        <v>137</v>
      </c>
      <c r="Z30" s="277"/>
      <c r="AA30" s="29">
        <f>J30+E30+O30+T30</f>
        <v>28.5</v>
      </c>
      <c r="AB30" s="282"/>
      <c r="AC30" s="5"/>
      <c r="AD30" s="1525" t="s">
        <v>120</v>
      </c>
      <c r="AE30" s="1525"/>
      <c r="AF30" s="1525"/>
      <c r="AG30" s="1525"/>
      <c r="AI30" s="235"/>
      <c r="AK30" s="188" t="s">
        <v>30</v>
      </c>
      <c r="AL30" s="189">
        <f>C39</f>
        <v>0</v>
      </c>
      <c r="AM30" s="187"/>
      <c r="AN30" s="187"/>
      <c r="AO30" s="187"/>
      <c r="AP30" s="187"/>
    </row>
    <row r="31" spans="1:42" s="3" customFormat="1" ht="14.25">
      <c r="B31" s="13" t="s">
        <v>129</v>
      </c>
      <c r="C31" s="12" t="s">
        <v>76</v>
      </c>
      <c r="D31" s="12" t="s">
        <v>136</v>
      </c>
      <c r="E31" s="20">
        <v>7.5</v>
      </c>
      <c r="F31" s="277"/>
      <c r="G31" s="25"/>
      <c r="H31" s="16">
        <v>0.375</v>
      </c>
      <c r="I31" s="16">
        <v>0.20833333333333334</v>
      </c>
      <c r="J31" s="20">
        <v>7</v>
      </c>
      <c r="K31" s="277"/>
      <c r="L31" s="25"/>
      <c r="M31" s="16">
        <v>0.375</v>
      </c>
      <c r="N31" s="16">
        <v>0.20833333333333334</v>
      </c>
      <c r="O31" s="20">
        <v>7</v>
      </c>
      <c r="P31" s="277"/>
      <c r="Q31" s="25"/>
      <c r="R31" s="16">
        <v>0.375</v>
      </c>
      <c r="S31" s="16">
        <v>0.20833333333333334</v>
      </c>
      <c r="T31" s="20">
        <v>7</v>
      </c>
      <c r="U31" s="277"/>
      <c r="V31" s="25"/>
      <c r="W31" s="16">
        <v>0.375</v>
      </c>
      <c r="X31" s="16">
        <v>0.17708333333333334</v>
      </c>
      <c r="Y31" s="20">
        <v>6.25</v>
      </c>
      <c r="Z31" s="277"/>
      <c r="AA31" s="29">
        <f>J31+E31+O31+T31+Y31</f>
        <v>34.75</v>
      </c>
      <c r="AB31" s="299"/>
      <c r="AD31" s="1525"/>
      <c r="AE31" s="1525"/>
      <c r="AF31" s="1525"/>
      <c r="AG31" s="1525"/>
      <c r="AI31" s="235"/>
      <c r="AK31" s="188" t="s">
        <v>32</v>
      </c>
      <c r="AL31" s="189">
        <f>C39</f>
        <v>0</v>
      </c>
      <c r="AM31" s="187"/>
      <c r="AN31" s="187"/>
      <c r="AO31" s="187"/>
      <c r="AP31" s="187"/>
    </row>
    <row r="32" spans="1:42" s="3" customFormat="1" ht="14.25">
      <c r="B32" s="13" t="s">
        <v>131</v>
      </c>
      <c r="C32" s="12" t="s">
        <v>83</v>
      </c>
      <c r="D32" s="12" t="s">
        <v>136</v>
      </c>
      <c r="E32" s="20">
        <v>6.5</v>
      </c>
      <c r="F32" s="277"/>
      <c r="G32" s="25"/>
      <c r="H32" s="16">
        <v>0.39583333333333331</v>
      </c>
      <c r="I32" s="16">
        <v>0.20833333333333334</v>
      </c>
      <c r="J32" s="20">
        <v>7</v>
      </c>
      <c r="K32" s="277"/>
      <c r="L32" s="25"/>
      <c r="M32" s="16">
        <v>0.39583333333333331</v>
      </c>
      <c r="N32" s="16">
        <v>0.20833333333333334</v>
      </c>
      <c r="O32" s="20">
        <v>6.5</v>
      </c>
      <c r="P32" s="277"/>
      <c r="Q32" s="25"/>
      <c r="R32" s="16">
        <v>0.38541666666666669</v>
      </c>
      <c r="S32" s="16">
        <v>0.20833333333333334</v>
      </c>
      <c r="T32" s="20">
        <v>6.75</v>
      </c>
      <c r="U32" s="277"/>
      <c r="V32" s="25"/>
      <c r="W32" s="16">
        <v>0.41666666666666669</v>
      </c>
      <c r="X32" s="16">
        <v>0.17708333333333334</v>
      </c>
      <c r="Y32" s="20">
        <v>5.25</v>
      </c>
      <c r="Z32" s="277"/>
      <c r="AA32" s="185">
        <f t="shared" ref="AA32:AA33" si="1">J32+E32+O32+T32+Y32</f>
        <v>32</v>
      </c>
      <c r="AB32" s="299"/>
      <c r="AD32" s="1525"/>
      <c r="AE32" s="1525"/>
      <c r="AF32" s="1525"/>
      <c r="AG32" s="1525"/>
      <c r="AI32" s="235"/>
      <c r="AK32" s="188" t="s">
        <v>34</v>
      </c>
      <c r="AL32" s="190">
        <f>AA37</f>
        <v>26</v>
      </c>
      <c r="AM32" s="187"/>
      <c r="AN32" s="187"/>
      <c r="AO32" s="187"/>
      <c r="AP32" s="187"/>
    </row>
    <row r="33" spans="1:42" s="3" customFormat="1" ht="14.25">
      <c r="B33" s="13" t="s">
        <v>132</v>
      </c>
      <c r="C33" s="12" t="s">
        <v>83</v>
      </c>
      <c r="D33" s="12" t="s">
        <v>136</v>
      </c>
      <c r="E33" s="20">
        <v>6.5</v>
      </c>
      <c r="F33" s="277"/>
      <c r="G33" s="25"/>
      <c r="H33" s="16">
        <v>0.39583333333333331</v>
      </c>
      <c r="I33" s="16">
        <v>0.20833333333333334</v>
      </c>
      <c r="J33" s="20">
        <v>7</v>
      </c>
      <c r="K33" s="277"/>
      <c r="L33" s="25"/>
      <c r="M33" s="16">
        <v>0.39583333333333331</v>
      </c>
      <c r="N33" s="16">
        <v>0.20833333333333334</v>
      </c>
      <c r="O33" s="20">
        <v>6.5</v>
      </c>
      <c r="P33" s="277"/>
      <c r="Q33" s="25"/>
      <c r="R33" s="16">
        <v>0.38541666666666669</v>
      </c>
      <c r="S33" s="16">
        <v>0.20833333333333334</v>
      </c>
      <c r="T33" s="20">
        <v>6.75</v>
      </c>
      <c r="U33" s="277"/>
      <c r="V33" s="25"/>
      <c r="W33" s="16">
        <v>0.41666666666666669</v>
      </c>
      <c r="X33" s="16">
        <v>0.17708333333333334</v>
      </c>
      <c r="Y33" s="20">
        <v>5.25</v>
      </c>
      <c r="Z33" s="277"/>
      <c r="AA33" s="185">
        <f t="shared" si="1"/>
        <v>32</v>
      </c>
      <c r="AB33" s="299"/>
      <c r="AD33" s="1525"/>
      <c r="AE33" s="1525"/>
      <c r="AF33" s="1525"/>
      <c r="AG33" s="1525"/>
      <c r="AI33" s="235"/>
      <c r="AK33" s="188" t="s">
        <v>41</v>
      </c>
      <c r="AL33" s="189">
        <f>C40</f>
        <v>30</v>
      </c>
      <c r="AM33" s="187"/>
      <c r="AN33" s="187"/>
      <c r="AO33" s="187"/>
      <c r="AP33" s="187"/>
    </row>
    <row r="34" spans="1:42" ht="13.5" customHeight="1">
      <c r="A34" s="8"/>
      <c r="B34" s="64" t="s">
        <v>61</v>
      </c>
      <c r="C34" s="64"/>
      <c r="D34" s="64"/>
      <c r="E34" s="167">
        <f>SUM(E30:E33)</f>
        <v>28</v>
      </c>
      <c r="F34" s="277"/>
      <c r="G34" s="25"/>
      <c r="H34" s="64"/>
      <c r="I34" s="64"/>
      <c r="J34" s="167">
        <f>SUM(J30:J33)</f>
        <v>28</v>
      </c>
      <c r="K34" s="277"/>
      <c r="L34" s="25"/>
      <c r="M34" s="64"/>
      <c r="N34" s="64"/>
      <c r="O34" s="167">
        <f>SUM(O30:O33)</f>
        <v>27</v>
      </c>
      <c r="P34" s="277"/>
      <c r="Q34" s="25"/>
      <c r="R34" s="64"/>
      <c r="S34" s="64"/>
      <c r="T34" s="167">
        <f>SUM(T30:T33)</f>
        <v>27.5</v>
      </c>
      <c r="U34" s="277"/>
      <c r="V34" s="25"/>
      <c r="W34" s="64"/>
      <c r="X34" s="64"/>
      <c r="Y34" s="167">
        <f>SUM(Y30:Y33)</f>
        <v>16.75</v>
      </c>
      <c r="Z34" s="277"/>
      <c r="AA34" s="247">
        <f>SUM(AA30:AA33)</f>
        <v>127.25</v>
      </c>
      <c r="AB34" s="283"/>
      <c r="AC34" s="25"/>
      <c r="AD34" s="1525"/>
      <c r="AE34" s="1525"/>
      <c r="AF34" s="1525"/>
      <c r="AG34" s="1525"/>
    </row>
    <row r="35" spans="1:42" ht="13.5" customHeight="1">
      <c r="A35" s="8"/>
      <c r="B35" s="31" t="s">
        <v>64</v>
      </c>
      <c r="C35" s="56"/>
      <c r="D35" s="56"/>
      <c r="E35" s="19">
        <v>1</v>
      </c>
      <c r="F35" s="291"/>
      <c r="G35" s="60"/>
      <c r="H35" s="56"/>
      <c r="I35" s="56"/>
      <c r="J35" s="19">
        <v>2.5</v>
      </c>
      <c r="K35" s="291"/>
      <c r="L35" s="25"/>
      <c r="M35" s="56"/>
      <c r="N35" s="56"/>
      <c r="O35" s="19">
        <v>3</v>
      </c>
      <c r="P35" s="291"/>
      <c r="Q35" s="60"/>
      <c r="R35" s="56"/>
      <c r="S35" s="56"/>
      <c r="T35" s="19">
        <v>5</v>
      </c>
      <c r="U35" s="291"/>
      <c r="V35" s="60"/>
      <c r="W35" s="56"/>
      <c r="X35" s="56"/>
      <c r="Y35" s="19">
        <v>2</v>
      </c>
      <c r="Z35" s="291"/>
      <c r="AA35" s="183">
        <f>SUM(E35:Y35)</f>
        <v>13.5</v>
      </c>
      <c r="AB35" s="282"/>
      <c r="AC35" s="25"/>
      <c r="AD35" s="1525"/>
      <c r="AE35" s="1525"/>
      <c r="AF35" s="1525"/>
      <c r="AG35" s="1525"/>
    </row>
    <row r="36" spans="1:42" ht="13.5" customHeight="1" thickBot="1">
      <c r="A36" s="8"/>
      <c r="B36" s="74" t="s">
        <v>65</v>
      </c>
      <c r="C36" s="75"/>
      <c r="D36" s="75"/>
      <c r="E36" s="77">
        <v>2.5</v>
      </c>
      <c r="F36" s="292"/>
      <c r="G36" s="81"/>
      <c r="H36" s="75"/>
      <c r="I36" s="75"/>
      <c r="J36" s="77">
        <v>2.5</v>
      </c>
      <c r="K36" s="292"/>
      <c r="L36" s="81"/>
      <c r="M36" s="75"/>
      <c r="N36" s="75"/>
      <c r="O36" s="77">
        <v>2.5</v>
      </c>
      <c r="P36" s="292"/>
      <c r="Q36" s="81"/>
      <c r="R36" s="75"/>
      <c r="S36" s="75"/>
      <c r="T36" s="77">
        <v>2.5</v>
      </c>
      <c r="U36" s="292"/>
      <c r="V36" s="81"/>
      <c r="W36" s="75"/>
      <c r="X36" s="75"/>
      <c r="Y36" s="77">
        <v>2.5</v>
      </c>
      <c r="Z36" s="292"/>
      <c r="AA36" s="186">
        <f>SUM(E36:Y36)</f>
        <v>12.5</v>
      </c>
      <c r="AB36" s="294"/>
      <c r="AC36" s="25"/>
      <c r="AD36" s="1525"/>
      <c r="AE36" s="1525"/>
      <c r="AF36" s="1525"/>
      <c r="AG36" s="1525"/>
    </row>
    <row r="37" spans="1:42" s="1" customFormat="1" ht="13.5" customHeight="1" thickTop="1">
      <c r="A37" s="11"/>
      <c r="B37" s="214" t="s">
        <v>66</v>
      </c>
      <c r="C37" s="215"/>
      <c r="D37" s="215"/>
      <c r="E37" s="214">
        <f>SUM(E35:E36)</f>
        <v>3.5</v>
      </c>
      <c r="F37" s="214"/>
      <c r="G37" s="215"/>
      <c r="H37" s="214"/>
      <c r="I37" s="214"/>
      <c r="J37" s="214">
        <f>SUM(J35:J36)</f>
        <v>5</v>
      </c>
      <c r="K37" s="214"/>
      <c r="L37" s="215"/>
      <c r="M37" s="215"/>
      <c r="N37" s="215"/>
      <c r="O37" s="214">
        <f>SUM(O35:O36)</f>
        <v>5.5</v>
      </c>
      <c r="P37" s="214"/>
      <c r="Q37" s="214"/>
      <c r="R37" s="214"/>
      <c r="S37" s="214"/>
      <c r="T37" s="214">
        <f>SUM(T35:T36)</f>
        <v>7.5</v>
      </c>
      <c r="U37" s="214"/>
      <c r="V37" s="214"/>
      <c r="W37" s="214"/>
      <c r="X37" s="214"/>
      <c r="Y37" s="214">
        <f>SUM(Y35:Y36)</f>
        <v>4.5</v>
      </c>
      <c r="Z37" s="214"/>
      <c r="AA37" s="247">
        <f>SUM(E37:Y37)</f>
        <v>26</v>
      </c>
      <c r="AB37" s="247"/>
      <c r="AC37" s="3"/>
      <c r="AD37" s="1525"/>
      <c r="AE37" s="1525"/>
      <c r="AF37" s="1525"/>
      <c r="AG37" s="1525"/>
      <c r="AH37" s="3"/>
      <c r="AI37" s="227"/>
      <c r="AK37" s="187"/>
      <c r="AL37" s="187"/>
      <c r="AM37" s="187"/>
      <c r="AN37" s="187"/>
      <c r="AO37" s="187"/>
      <c r="AP37" s="187"/>
    </row>
    <row r="38" spans="1:42" s="1" customFormat="1" ht="13.5" customHeight="1">
      <c r="A38" s="11"/>
      <c r="B38" s="217" t="s">
        <v>133</v>
      </c>
      <c r="C38" s="207">
        <v>0</v>
      </c>
      <c r="D38" s="208"/>
      <c r="E38" s="209"/>
      <c r="F38" s="209"/>
      <c r="G38" s="208"/>
      <c r="H38" s="209"/>
      <c r="I38" s="209"/>
      <c r="J38" s="209"/>
      <c r="K38" s="209"/>
      <c r="L38" s="208"/>
      <c r="M38" s="208"/>
      <c r="N38" s="208"/>
      <c r="O38" s="208"/>
      <c r="P38" s="209"/>
      <c r="Q38" s="208"/>
      <c r="R38" s="208"/>
      <c r="S38" s="208"/>
      <c r="T38" s="208"/>
      <c r="U38" s="209"/>
      <c r="V38" s="208"/>
      <c r="W38" s="208"/>
      <c r="X38" s="208"/>
      <c r="Y38" s="210"/>
      <c r="Z38" s="209"/>
      <c r="AA38" s="211"/>
      <c r="AB38" s="209"/>
      <c r="AC38" s="211"/>
      <c r="AD38" s="211"/>
      <c r="AE38" s="211"/>
      <c r="AF38" s="211"/>
      <c r="AG38" s="211"/>
      <c r="AH38" s="3"/>
      <c r="AI38" s="227"/>
      <c r="AK38" s="187"/>
      <c r="AL38" s="187"/>
      <c r="AM38" s="187"/>
      <c r="AN38" s="187"/>
      <c r="AO38" s="187"/>
      <c r="AP38" s="187"/>
    </row>
    <row r="39" spans="1:42">
      <c r="B39" s="217" t="s">
        <v>134</v>
      </c>
      <c r="C39" s="207">
        <v>0</v>
      </c>
      <c r="D39" s="212"/>
      <c r="E39" s="213"/>
      <c r="F39" s="213"/>
      <c r="G39" s="213"/>
      <c r="H39" s="212"/>
      <c r="I39" s="212"/>
      <c r="J39" s="213"/>
      <c r="K39" s="213"/>
      <c r="L39" s="213"/>
      <c r="M39" s="212"/>
      <c r="N39" s="212"/>
      <c r="O39" s="213"/>
      <c r="P39" s="213"/>
      <c r="Q39" s="213"/>
      <c r="R39" s="212"/>
      <c r="S39" s="212"/>
      <c r="T39" s="213"/>
      <c r="U39" s="213"/>
      <c r="V39" s="213"/>
      <c r="W39" s="212"/>
      <c r="X39" s="212"/>
      <c r="Y39" s="213"/>
      <c r="Z39" s="213"/>
      <c r="AA39" s="213"/>
      <c r="AB39" s="213"/>
      <c r="AC39" s="213"/>
      <c r="AD39" s="213"/>
      <c r="AE39" s="213"/>
      <c r="AF39" s="213"/>
      <c r="AG39" s="213"/>
    </row>
    <row r="40" spans="1:42" s="1" customFormat="1" ht="13.5" customHeight="1">
      <c r="A40" s="11"/>
      <c r="B40" s="217" t="s">
        <v>67</v>
      </c>
      <c r="C40" s="207">
        <f>C41+C42</f>
        <v>30</v>
      </c>
      <c r="D40" s="208"/>
      <c r="E40" s="209"/>
      <c r="F40" s="209"/>
      <c r="G40" s="208"/>
      <c r="H40" s="209"/>
      <c r="I40" s="209"/>
      <c r="J40" s="209"/>
      <c r="K40" s="209"/>
      <c r="L40" s="208"/>
      <c r="M40" s="208"/>
      <c r="N40" s="208"/>
      <c r="O40" s="208"/>
      <c r="P40" s="209"/>
      <c r="Q40" s="208"/>
      <c r="R40" s="208"/>
      <c r="S40" s="208"/>
      <c r="T40" s="208"/>
      <c r="U40" s="209"/>
      <c r="V40" s="208"/>
      <c r="W40" s="208"/>
      <c r="X40" s="208"/>
      <c r="Y40" s="210"/>
      <c r="Z40" s="209"/>
      <c r="AA40" s="211"/>
      <c r="AB40" s="209"/>
      <c r="AC40" s="211"/>
      <c r="AD40" s="211"/>
      <c r="AE40" s="211"/>
      <c r="AF40" s="211"/>
      <c r="AG40" s="211"/>
      <c r="AH40" s="3"/>
      <c r="AI40" s="227"/>
      <c r="AK40" s="187"/>
      <c r="AL40" s="187"/>
      <c r="AM40" s="187"/>
      <c r="AN40" s="187"/>
      <c r="AO40" s="187"/>
      <c r="AP40" s="187"/>
    </row>
    <row r="41" spans="1:42" s="1" customFormat="1" ht="13.5" customHeight="1">
      <c r="A41" s="11"/>
      <c r="B41" s="238" t="s">
        <v>68</v>
      </c>
      <c r="C41" s="239">
        <v>30</v>
      </c>
      <c r="D41" s="208"/>
      <c r="E41" s="209"/>
      <c r="F41" s="209"/>
      <c r="G41" s="208"/>
      <c r="H41" s="209"/>
      <c r="I41" s="209"/>
      <c r="J41" s="209"/>
      <c r="K41" s="209"/>
      <c r="L41" s="208"/>
      <c r="M41" s="208"/>
      <c r="N41" s="208"/>
      <c r="O41" s="208"/>
      <c r="P41" s="209"/>
      <c r="Q41" s="208"/>
      <c r="R41" s="208"/>
      <c r="S41" s="208"/>
      <c r="T41" s="208"/>
      <c r="U41" s="209"/>
      <c r="V41" s="208"/>
      <c r="W41" s="208"/>
      <c r="X41" s="208"/>
      <c r="Y41" s="210"/>
      <c r="Z41" s="209"/>
      <c r="AA41" s="211"/>
      <c r="AB41" s="209"/>
      <c r="AC41" s="211"/>
      <c r="AD41" s="211"/>
      <c r="AE41" s="211"/>
      <c r="AF41" s="211"/>
      <c r="AG41" s="211"/>
      <c r="AH41" s="3"/>
      <c r="AI41" s="227"/>
      <c r="AK41" s="187"/>
      <c r="AL41" s="187"/>
      <c r="AM41" s="187"/>
      <c r="AN41" s="187"/>
      <c r="AO41" s="187"/>
      <c r="AP41" s="187"/>
    </row>
    <row r="42" spans="1:42" s="1" customFormat="1" ht="13.5" customHeight="1">
      <c r="A42" s="11"/>
      <c r="B42" s="238" t="s">
        <v>69</v>
      </c>
      <c r="C42" s="239">
        <v>0</v>
      </c>
      <c r="D42" s="208"/>
      <c r="E42" s="209"/>
      <c r="F42" s="209"/>
      <c r="G42" s="208"/>
      <c r="H42" s="209"/>
      <c r="I42" s="209"/>
      <c r="J42" s="209"/>
      <c r="K42" s="209"/>
      <c r="L42" s="208"/>
      <c r="M42" s="208"/>
      <c r="N42" s="208"/>
      <c r="O42" s="208"/>
      <c r="P42" s="209"/>
      <c r="Q42" s="208"/>
      <c r="R42" s="208"/>
      <c r="S42" s="208"/>
      <c r="T42" s="208"/>
      <c r="U42" s="209"/>
      <c r="V42" s="208"/>
      <c r="W42" s="208"/>
      <c r="X42" s="208"/>
      <c r="Y42" s="210"/>
      <c r="Z42" s="209"/>
      <c r="AA42" s="211"/>
      <c r="AB42" s="209"/>
      <c r="AC42" s="211"/>
      <c r="AD42" s="211"/>
      <c r="AE42" s="211"/>
      <c r="AF42" s="211"/>
      <c r="AG42" s="211"/>
      <c r="AH42" s="3"/>
      <c r="AI42" s="227"/>
      <c r="AK42" s="187"/>
      <c r="AL42" s="187"/>
      <c r="AM42" s="187"/>
      <c r="AN42" s="187"/>
      <c r="AO42" s="187"/>
      <c r="AP42" s="187"/>
    </row>
    <row r="43" spans="1:42" s="1" customFormat="1" ht="4.5" customHeight="1">
      <c r="A43" s="11"/>
      <c r="B43" s="218"/>
      <c r="C43" s="219"/>
      <c r="D43" s="220"/>
      <c r="E43" s="221"/>
      <c r="F43" s="221"/>
      <c r="G43" s="220"/>
      <c r="H43" s="221"/>
      <c r="I43" s="221"/>
      <c r="J43" s="221"/>
      <c r="K43" s="221"/>
      <c r="L43" s="220"/>
      <c r="M43" s="220"/>
      <c r="N43" s="220"/>
      <c r="O43" s="220"/>
      <c r="P43" s="221"/>
      <c r="Q43" s="220"/>
      <c r="R43" s="220"/>
      <c r="S43" s="220"/>
      <c r="T43" s="220"/>
      <c r="U43" s="221"/>
      <c r="V43" s="220"/>
      <c r="W43" s="220"/>
      <c r="X43" s="220"/>
      <c r="Y43" s="222"/>
      <c r="Z43" s="221"/>
      <c r="AA43" s="223"/>
      <c r="AB43" s="221"/>
      <c r="AC43" s="3"/>
      <c r="AD43" s="168"/>
      <c r="AH43" s="3"/>
      <c r="AI43" s="227"/>
      <c r="AK43" s="187"/>
      <c r="AL43" s="187"/>
      <c r="AM43" s="187"/>
      <c r="AN43" s="187"/>
      <c r="AO43" s="187"/>
      <c r="AP43" s="187"/>
    </row>
    <row r="44" spans="1:42" s="227" customFormat="1" ht="4.5" customHeight="1">
      <c r="A44" s="228"/>
      <c r="B44" s="229"/>
      <c r="C44" s="230"/>
      <c r="D44" s="231"/>
      <c r="E44" s="232"/>
      <c r="F44" s="232"/>
      <c r="G44" s="231"/>
      <c r="H44" s="232"/>
      <c r="I44" s="232"/>
      <c r="J44" s="232"/>
      <c r="K44" s="232"/>
      <c r="L44" s="231"/>
      <c r="M44" s="231"/>
      <c r="N44" s="231"/>
      <c r="O44" s="231"/>
      <c r="P44" s="232"/>
      <c r="Q44" s="231"/>
      <c r="R44" s="231"/>
      <c r="S44" s="231"/>
      <c r="T44" s="231"/>
      <c r="U44" s="232"/>
      <c r="V44" s="231"/>
      <c r="W44" s="231"/>
      <c r="X44" s="231"/>
      <c r="Y44" s="233"/>
      <c r="Z44" s="232"/>
      <c r="AA44" s="234"/>
      <c r="AB44" s="232"/>
      <c r="AC44" s="235"/>
      <c r="AD44" s="236"/>
      <c r="AH44" s="235"/>
    </row>
    <row r="45" spans="1:42" s="187" customFormat="1" ht="4.5" customHeight="1">
      <c r="A45" s="224"/>
      <c r="B45" s="214"/>
      <c r="C45" s="215"/>
      <c r="D45" s="215"/>
      <c r="E45" s="214"/>
      <c r="F45" s="214"/>
      <c r="G45" s="215"/>
      <c r="H45" s="214"/>
      <c r="I45" s="214"/>
      <c r="J45" s="214"/>
      <c r="K45" s="214"/>
      <c r="L45" s="215"/>
      <c r="M45" s="215"/>
      <c r="N45" s="215"/>
      <c r="O45" s="215"/>
      <c r="P45" s="214"/>
      <c r="Q45" s="215"/>
      <c r="R45" s="215"/>
      <c r="S45" s="215"/>
      <c r="T45" s="215"/>
      <c r="U45" s="214"/>
      <c r="V45" s="215"/>
      <c r="W45" s="215"/>
      <c r="X45" s="215"/>
      <c r="Y45" s="216"/>
      <c r="Z45" s="214"/>
      <c r="AA45" s="225"/>
      <c r="AB45" s="214"/>
      <c r="AC45" s="226"/>
      <c r="AH45" s="226"/>
      <c r="AI45" s="227"/>
    </row>
    <row r="46" spans="1:42" s="1" customFormat="1" ht="13.5" customHeight="1">
      <c r="B46" s="1518" t="s">
        <v>18</v>
      </c>
      <c r="C46" s="1524">
        <v>45075</v>
      </c>
      <c r="D46" s="1524"/>
      <c r="E46" s="1524"/>
      <c r="F46" s="1524"/>
      <c r="G46" s="3"/>
      <c r="H46" s="1524">
        <v>45076</v>
      </c>
      <c r="I46" s="1524"/>
      <c r="J46" s="1524"/>
      <c r="K46" s="1524"/>
      <c r="L46" s="3"/>
      <c r="M46" s="1524">
        <v>45077</v>
      </c>
      <c r="N46" s="1524"/>
      <c r="O46" s="1524"/>
      <c r="P46" s="1524"/>
      <c r="Q46" s="3"/>
      <c r="R46" s="1524">
        <v>45078</v>
      </c>
      <c r="S46" s="1524"/>
      <c r="T46" s="1524"/>
      <c r="U46" s="1524"/>
      <c r="V46" s="3"/>
      <c r="W46" s="1524">
        <v>45079</v>
      </c>
      <c r="X46" s="1524"/>
      <c r="Y46" s="1524"/>
      <c r="Z46" s="1524"/>
      <c r="AA46" s="1517" t="s">
        <v>19</v>
      </c>
      <c r="AB46" s="1517" t="s">
        <v>20</v>
      </c>
      <c r="AC46" s="3"/>
      <c r="AD46" s="1524">
        <v>45075</v>
      </c>
      <c r="AE46" s="1524"/>
      <c r="AF46" s="1524"/>
      <c r="AG46" s="1517" t="s">
        <v>21</v>
      </c>
      <c r="AH46" s="3"/>
      <c r="AI46" s="227"/>
      <c r="AK46" s="194" t="s">
        <v>138</v>
      </c>
      <c r="AL46" s="195"/>
      <c r="AM46" s="195"/>
      <c r="AN46" s="195"/>
      <c r="AO46" s="195"/>
      <c r="AP46" s="195"/>
    </row>
    <row r="47" spans="1:42" s="1" customFormat="1" ht="14.25">
      <c r="B47" s="1518"/>
      <c r="C47" s="21" t="s">
        <v>23</v>
      </c>
      <c r="D47" s="21" t="s">
        <v>24</v>
      </c>
      <c r="E47" s="205" t="s">
        <v>122</v>
      </c>
      <c r="F47" s="18" t="s">
        <v>14</v>
      </c>
      <c r="G47" s="3"/>
      <c r="H47" s="21" t="s">
        <v>23</v>
      </c>
      <c r="I47" s="21" t="s">
        <v>24</v>
      </c>
      <c r="J47" s="205" t="s">
        <v>122</v>
      </c>
      <c r="K47" s="18" t="s">
        <v>14</v>
      </c>
      <c r="L47" s="3"/>
      <c r="M47" s="21" t="s">
        <v>23</v>
      </c>
      <c r="N47" s="21" t="s">
        <v>24</v>
      </c>
      <c r="O47" s="205" t="s">
        <v>122</v>
      </c>
      <c r="P47" s="18" t="s">
        <v>14</v>
      </c>
      <c r="Q47" s="3"/>
      <c r="R47" s="21" t="s">
        <v>23</v>
      </c>
      <c r="S47" s="21" t="s">
        <v>24</v>
      </c>
      <c r="T47" s="205" t="s">
        <v>122</v>
      </c>
      <c r="U47" s="18" t="s">
        <v>14</v>
      </c>
      <c r="V47" s="3"/>
      <c r="W47" s="21" t="s">
        <v>23</v>
      </c>
      <c r="X47" s="21" t="s">
        <v>24</v>
      </c>
      <c r="Y47" s="205" t="s">
        <v>122</v>
      </c>
      <c r="Z47" s="18" t="s">
        <v>14</v>
      </c>
      <c r="AA47" s="1523"/>
      <c r="AB47" s="1517"/>
      <c r="AC47" s="3"/>
      <c r="AD47" s="21" t="s">
        <v>23</v>
      </c>
      <c r="AE47" s="21" t="s">
        <v>24</v>
      </c>
      <c r="AF47" s="21" t="s">
        <v>25</v>
      </c>
      <c r="AG47" s="1523"/>
      <c r="AH47" s="3"/>
      <c r="AI47" s="227"/>
      <c r="AK47" s="188" t="s">
        <v>26</v>
      </c>
      <c r="AL47" s="199">
        <f>AA54</f>
        <v>133.5</v>
      </c>
      <c r="AM47" s="187"/>
      <c r="AN47" s="187"/>
      <c r="AO47" s="187"/>
      <c r="AP47" s="187"/>
    </row>
    <row r="48" spans="1:42" s="1" customFormat="1" ht="14.25">
      <c r="B48" s="13" t="s">
        <v>124</v>
      </c>
      <c r="C48" s="26">
        <v>0</v>
      </c>
      <c r="D48" s="26">
        <v>0</v>
      </c>
      <c r="E48" s="19">
        <v>0</v>
      </c>
      <c r="F48" s="277"/>
      <c r="G48" s="3"/>
      <c r="H48" s="12" t="s">
        <v>75</v>
      </c>
      <c r="I48" s="16">
        <v>0.20833333333333334</v>
      </c>
      <c r="J48" s="19">
        <v>8</v>
      </c>
      <c r="K48" s="277"/>
      <c r="L48" s="3"/>
      <c r="M48" s="12" t="s">
        <v>75</v>
      </c>
      <c r="N48" s="16">
        <v>0.20833333333333334</v>
      </c>
      <c r="O48" s="19">
        <v>8</v>
      </c>
      <c r="P48" s="277"/>
      <c r="Q48" s="3"/>
      <c r="R48" s="12" t="s">
        <v>75</v>
      </c>
      <c r="S48" s="47">
        <v>0.20833333333333334</v>
      </c>
      <c r="T48" s="19">
        <v>7.5</v>
      </c>
      <c r="U48" s="277"/>
      <c r="V48" s="3"/>
      <c r="W48" s="47">
        <v>0.375</v>
      </c>
      <c r="X48" s="47">
        <v>0.20833333333333334</v>
      </c>
      <c r="Y48" s="19">
        <v>8</v>
      </c>
      <c r="Z48" s="277"/>
      <c r="AA48" s="29">
        <f>(J48+O48+T48+Y48)</f>
        <v>31.5</v>
      </c>
      <c r="AB48" s="288"/>
      <c r="AC48" s="3"/>
      <c r="AD48" s="1525" t="s">
        <v>120</v>
      </c>
      <c r="AE48" s="1525"/>
      <c r="AF48" s="1525"/>
      <c r="AG48" s="1525"/>
      <c r="AH48" s="3"/>
      <c r="AI48" s="227"/>
      <c r="AK48" s="188" t="s">
        <v>30</v>
      </c>
      <c r="AL48" s="189">
        <f>C58</f>
        <v>0</v>
      </c>
      <c r="AM48" s="187"/>
      <c r="AN48" s="187"/>
      <c r="AO48" s="187"/>
      <c r="AP48" s="187"/>
    </row>
    <row r="49" spans="1:42" s="1" customFormat="1" ht="14.25">
      <c r="B49" s="13" t="s">
        <v>129</v>
      </c>
      <c r="C49" s="26">
        <v>0</v>
      </c>
      <c r="D49" s="26">
        <v>0</v>
      </c>
      <c r="E49" s="19">
        <v>0</v>
      </c>
      <c r="F49" s="277"/>
      <c r="G49" s="3"/>
      <c r="H49" s="12" t="s">
        <v>75</v>
      </c>
      <c r="I49" s="16">
        <v>0.20833333333333334</v>
      </c>
      <c r="J49" s="19">
        <v>8</v>
      </c>
      <c r="K49" s="277"/>
      <c r="L49" s="3"/>
      <c r="M49" s="12" t="s">
        <v>75</v>
      </c>
      <c r="N49" s="16">
        <v>0.20833333333333334</v>
      </c>
      <c r="O49" s="19">
        <v>8</v>
      </c>
      <c r="P49" s="277"/>
      <c r="Q49" s="3"/>
      <c r="R49" s="12" t="s">
        <v>75</v>
      </c>
      <c r="S49" s="47">
        <v>0.20833333333333334</v>
      </c>
      <c r="T49" s="19">
        <v>7.5</v>
      </c>
      <c r="U49" s="277"/>
      <c r="V49" s="3"/>
      <c r="W49" s="4">
        <v>0</v>
      </c>
      <c r="X49" s="4">
        <v>0</v>
      </c>
      <c r="Y49" s="19">
        <v>0</v>
      </c>
      <c r="Z49" s="277"/>
      <c r="AA49" s="29">
        <f t="shared" ref="AA49:AA53" si="2">(J49+O49+T49+Y49)</f>
        <v>23.5</v>
      </c>
      <c r="AB49" s="288"/>
      <c r="AC49" s="3"/>
      <c r="AD49" s="1525"/>
      <c r="AE49" s="1525"/>
      <c r="AF49" s="1525"/>
      <c r="AG49" s="1525"/>
      <c r="AH49" s="3"/>
      <c r="AI49" s="227"/>
      <c r="AK49" s="188" t="s">
        <v>32</v>
      </c>
      <c r="AL49" s="189">
        <f>C59</f>
        <v>0</v>
      </c>
      <c r="AM49" s="187"/>
      <c r="AN49" s="187"/>
      <c r="AO49" s="187"/>
      <c r="AP49" s="187"/>
    </row>
    <row r="50" spans="1:42" s="1" customFormat="1" ht="14.25">
      <c r="B50" s="13" t="s">
        <v>131</v>
      </c>
      <c r="C50" s="26">
        <v>0</v>
      </c>
      <c r="D50" s="26">
        <v>0</v>
      </c>
      <c r="E50" s="19">
        <v>0</v>
      </c>
      <c r="F50" s="277"/>
      <c r="G50" s="3"/>
      <c r="H50" s="12">
        <v>0</v>
      </c>
      <c r="I50" s="12">
        <v>0</v>
      </c>
      <c r="J50" s="19">
        <v>0</v>
      </c>
      <c r="K50" s="277"/>
      <c r="L50" s="3"/>
      <c r="M50" s="12">
        <v>0</v>
      </c>
      <c r="N50" s="4">
        <v>0</v>
      </c>
      <c r="O50" s="19">
        <v>0</v>
      </c>
      <c r="P50" s="277"/>
      <c r="Q50" s="3"/>
      <c r="R50" s="16">
        <v>0.41666666666666669</v>
      </c>
      <c r="S50" s="47">
        <v>0.20833333333333334</v>
      </c>
      <c r="T50" s="19">
        <v>6.5</v>
      </c>
      <c r="U50" s="277"/>
      <c r="V50" s="3"/>
      <c r="W50" s="47">
        <v>0.375</v>
      </c>
      <c r="X50" s="47">
        <v>0.20833333333333334</v>
      </c>
      <c r="Y50" s="19">
        <v>8</v>
      </c>
      <c r="Z50" s="277"/>
      <c r="AA50" s="29">
        <f>(J50+O50+T50+Y50)</f>
        <v>14.5</v>
      </c>
      <c r="AB50" s="288"/>
      <c r="AC50" s="3"/>
      <c r="AD50" s="1525"/>
      <c r="AE50" s="1525"/>
      <c r="AF50" s="1525"/>
      <c r="AG50" s="1525"/>
      <c r="AH50" s="3"/>
      <c r="AI50" s="227"/>
      <c r="AK50" s="188" t="s">
        <v>34</v>
      </c>
      <c r="AL50" s="190">
        <f>AA57</f>
        <v>28</v>
      </c>
      <c r="AM50" s="187"/>
      <c r="AN50" s="187"/>
      <c r="AO50" s="187"/>
      <c r="AP50" s="187"/>
    </row>
    <row r="51" spans="1:42" s="1" customFormat="1" ht="14.25">
      <c r="B51" s="13" t="s">
        <v>132</v>
      </c>
      <c r="C51" s="26">
        <v>0</v>
      </c>
      <c r="D51" s="26">
        <v>0</v>
      </c>
      <c r="E51" s="19">
        <v>0</v>
      </c>
      <c r="F51" s="277"/>
      <c r="G51" s="3"/>
      <c r="H51" s="16">
        <v>0.46875</v>
      </c>
      <c r="I51" s="16">
        <v>0.20833333333333334</v>
      </c>
      <c r="J51" s="19">
        <v>5.75</v>
      </c>
      <c r="K51" s="277"/>
      <c r="L51" s="3"/>
      <c r="M51" s="12" t="s">
        <v>75</v>
      </c>
      <c r="N51" s="16">
        <v>0.41666666666666669</v>
      </c>
      <c r="O51" s="19">
        <v>1</v>
      </c>
      <c r="P51" s="277"/>
      <c r="Q51" s="3"/>
      <c r="R51" s="16">
        <v>0.41666666666666669</v>
      </c>
      <c r="S51" s="47">
        <v>0.20833333333333334</v>
      </c>
      <c r="T51" s="19">
        <v>6.5</v>
      </c>
      <c r="U51" s="277"/>
      <c r="V51" s="3"/>
      <c r="W51" s="47">
        <v>0.375</v>
      </c>
      <c r="X51" s="47">
        <v>0.20833333333333334</v>
      </c>
      <c r="Y51" s="19">
        <v>8</v>
      </c>
      <c r="Z51" s="277"/>
      <c r="AA51" s="29">
        <f t="shared" si="2"/>
        <v>21.25</v>
      </c>
      <c r="AB51" s="288"/>
      <c r="AC51" s="3"/>
      <c r="AD51" s="1525"/>
      <c r="AE51" s="1525"/>
      <c r="AF51" s="1525"/>
      <c r="AG51" s="1525"/>
      <c r="AH51" s="3"/>
      <c r="AI51" s="227"/>
      <c r="AK51" s="188" t="s">
        <v>41</v>
      </c>
      <c r="AL51" s="189">
        <f>C60</f>
        <v>30</v>
      </c>
      <c r="AM51" s="187"/>
      <c r="AN51" s="187"/>
      <c r="AO51" s="187"/>
      <c r="AP51" s="187"/>
    </row>
    <row r="52" spans="1:42" s="1" customFormat="1" ht="14.25">
      <c r="B52" s="13" t="s">
        <v>35</v>
      </c>
      <c r="C52" s="26">
        <v>0</v>
      </c>
      <c r="D52" s="26">
        <v>0</v>
      </c>
      <c r="E52" s="19">
        <v>0</v>
      </c>
      <c r="F52" s="277"/>
      <c r="G52" s="3"/>
      <c r="H52" s="16">
        <v>0.46875</v>
      </c>
      <c r="I52" s="16">
        <v>0.20833333333333334</v>
      </c>
      <c r="J52" s="19">
        <v>5.75</v>
      </c>
      <c r="K52" s="277"/>
      <c r="L52" s="3"/>
      <c r="M52" s="4">
        <v>0</v>
      </c>
      <c r="N52" s="4">
        <v>0</v>
      </c>
      <c r="O52" s="19">
        <v>0</v>
      </c>
      <c r="P52" s="277"/>
      <c r="Q52" s="3"/>
      <c r="R52" s="16">
        <v>0.41666666666666669</v>
      </c>
      <c r="S52" s="47">
        <v>0.20833333333333334</v>
      </c>
      <c r="T52" s="19">
        <v>6.5</v>
      </c>
      <c r="U52" s="277"/>
      <c r="V52" s="3"/>
      <c r="W52" s="47">
        <v>0.375</v>
      </c>
      <c r="X52" s="47">
        <v>0.20833333333333334</v>
      </c>
      <c r="Y52" s="19">
        <v>8</v>
      </c>
      <c r="Z52" s="277"/>
      <c r="AA52" s="29">
        <f t="shared" si="2"/>
        <v>20.25</v>
      </c>
      <c r="AB52" s="288"/>
      <c r="AC52" s="3"/>
      <c r="AD52" s="1525"/>
      <c r="AE52" s="1525"/>
      <c r="AF52" s="1525"/>
      <c r="AG52" s="1525"/>
      <c r="AH52" s="3"/>
      <c r="AI52" s="227"/>
      <c r="AK52" s="187"/>
      <c r="AL52" s="187"/>
      <c r="AM52" s="187"/>
      <c r="AN52" s="187"/>
      <c r="AO52" s="187"/>
      <c r="AP52" s="187"/>
    </row>
    <row r="53" spans="1:42" s="1" customFormat="1" ht="14.25">
      <c r="B53" s="13" t="s">
        <v>37</v>
      </c>
      <c r="C53" s="26">
        <v>0</v>
      </c>
      <c r="D53" s="26">
        <v>0</v>
      </c>
      <c r="E53" s="19">
        <v>0</v>
      </c>
      <c r="F53" s="277"/>
      <c r="G53" s="3"/>
      <c r="H53" s="12">
        <v>0</v>
      </c>
      <c r="I53" s="12">
        <v>0</v>
      </c>
      <c r="J53" s="19">
        <v>0</v>
      </c>
      <c r="K53" s="277"/>
      <c r="L53" s="3"/>
      <c r="M53" s="12" t="s">
        <v>75</v>
      </c>
      <c r="N53" s="16">
        <v>0.20833333333333334</v>
      </c>
      <c r="O53" s="19">
        <v>8</v>
      </c>
      <c r="P53" s="277"/>
      <c r="Q53" s="3"/>
      <c r="R53" s="16">
        <v>0.41666666666666669</v>
      </c>
      <c r="S53" s="47">
        <v>0.20833333333333334</v>
      </c>
      <c r="T53" s="19">
        <v>6.5</v>
      </c>
      <c r="U53" s="277"/>
      <c r="V53" s="47">
        <v>0.375</v>
      </c>
      <c r="X53" s="47">
        <v>0.20833333333333334</v>
      </c>
      <c r="Y53" s="19">
        <v>8</v>
      </c>
      <c r="Z53" s="277"/>
      <c r="AA53" s="29">
        <f t="shared" si="2"/>
        <v>22.5</v>
      </c>
      <c r="AB53" s="288"/>
      <c r="AC53" s="3"/>
      <c r="AD53" s="1525"/>
      <c r="AE53" s="1525"/>
      <c r="AF53" s="1525"/>
      <c r="AG53" s="1525"/>
      <c r="AH53" s="3"/>
      <c r="AI53" s="227"/>
      <c r="AK53" s="187"/>
      <c r="AL53" s="187"/>
      <c r="AM53" s="187"/>
      <c r="AN53" s="187"/>
      <c r="AO53" s="187"/>
      <c r="AP53" s="187"/>
    </row>
    <row r="54" spans="1:42" ht="13.5" customHeight="1">
      <c r="A54" s="8"/>
      <c r="B54" s="64" t="s">
        <v>139</v>
      </c>
      <c r="C54" s="64"/>
      <c r="D54" s="64"/>
      <c r="E54" s="167">
        <f>SUM(E48:E53)</f>
        <v>0</v>
      </c>
      <c r="F54" s="277"/>
      <c r="G54" s="3"/>
      <c r="H54" s="64"/>
      <c r="I54" s="64"/>
      <c r="J54" s="167">
        <f>SUM(J48:J53)</f>
        <v>27.5</v>
      </c>
      <c r="K54" s="277"/>
      <c r="L54" s="3"/>
      <c r="M54" s="64"/>
      <c r="N54" s="64"/>
      <c r="O54" s="167">
        <f>SUM(O48:O53)</f>
        <v>25</v>
      </c>
      <c r="P54" s="277"/>
      <c r="R54" s="64"/>
      <c r="S54" s="64"/>
      <c r="T54" s="167">
        <f>SUM(T48:T53)</f>
        <v>41</v>
      </c>
      <c r="U54" s="277"/>
      <c r="V54" s="47">
        <v>0.41666666666666702</v>
      </c>
      <c r="W54" s="64"/>
      <c r="X54" s="64"/>
      <c r="Y54" s="167">
        <f>SUM(Y48:Y53)</f>
        <v>40</v>
      </c>
      <c r="Z54" s="277"/>
      <c r="AA54" s="247">
        <f>SUM(AA48:AA53)</f>
        <v>133.5</v>
      </c>
      <c r="AB54" s="283"/>
      <c r="AC54" s="25"/>
      <c r="AD54" s="1525"/>
      <c r="AE54" s="1525"/>
      <c r="AF54" s="1525"/>
      <c r="AG54" s="1525"/>
    </row>
    <row r="55" spans="1:42" ht="13.5" customHeight="1">
      <c r="A55" s="8"/>
      <c r="B55" s="31" t="s">
        <v>64</v>
      </c>
      <c r="C55" s="56"/>
      <c r="D55" s="56"/>
      <c r="E55" s="19">
        <v>0</v>
      </c>
      <c r="F55" s="291"/>
      <c r="G55" s="3"/>
      <c r="H55" s="56"/>
      <c r="I55" s="56"/>
      <c r="J55" s="19">
        <v>2</v>
      </c>
      <c r="K55" s="291"/>
      <c r="L55" s="3"/>
      <c r="M55" s="56"/>
      <c r="N55" s="56"/>
      <c r="O55" s="19">
        <v>4</v>
      </c>
      <c r="P55" s="291"/>
      <c r="R55" s="56"/>
      <c r="S55" s="56"/>
      <c r="T55" s="19">
        <v>3.5</v>
      </c>
      <c r="U55" s="291"/>
      <c r="V55" s="60"/>
      <c r="W55" s="56"/>
      <c r="X55" s="56"/>
      <c r="Y55" s="19">
        <v>6.5</v>
      </c>
      <c r="Z55" s="291"/>
      <c r="AA55" s="28">
        <f>SUM(E55:Y55)</f>
        <v>16</v>
      </c>
      <c r="AB55" s="282"/>
      <c r="AC55" s="25"/>
      <c r="AD55" s="1525"/>
      <c r="AE55" s="1525"/>
      <c r="AF55" s="1525"/>
      <c r="AG55" s="1525"/>
    </row>
    <row r="56" spans="1:42" ht="13.5" customHeight="1" thickBot="1">
      <c r="A56" s="8"/>
      <c r="B56" s="74" t="s">
        <v>65</v>
      </c>
      <c r="C56" s="75"/>
      <c r="D56" s="75"/>
      <c r="E56" s="77">
        <v>0</v>
      </c>
      <c r="F56" s="292"/>
      <c r="G56" s="81"/>
      <c r="H56" s="75"/>
      <c r="I56" s="75"/>
      <c r="J56" s="77">
        <v>3</v>
      </c>
      <c r="K56" s="292"/>
      <c r="L56" s="81"/>
      <c r="M56" s="75"/>
      <c r="N56" s="75"/>
      <c r="O56" s="77">
        <v>3</v>
      </c>
      <c r="P56" s="292"/>
      <c r="Q56" s="81"/>
      <c r="R56" s="75"/>
      <c r="S56" s="75"/>
      <c r="T56" s="77">
        <v>3</v>
      </c>
      <c r="U56" s="292"/>
      <c r="V56" s="81"/>
      <c r="W56" s="75"/>
      <c r="X56" s="75"/>
      <c r="Y56" s="77">
        <v>3</v>
      </c>
      <c r="Z56" s="292"/>
      <c r="AA56" s="80">
        <f>SUM(E56:Y56)</f>
        <v>12</v>
      </c>
      <c r="AB56" s="294"/>
      <c r="AC56" s="25"/>
      <c r="AD56" s="1525"/>
      <c r="AE56" s="1525"/>
      <c r="AF56" s="1525"/>
      <c r="AG56" s="1525"/>
    </row>
    <row r="57" spans="1:42" s="1" customFormat="1" ht="13.5" customHeight="1" thickTop="1">
      <c r="A57" s="11"/>
      <c r="B57" s="242" t="s">
        <v>66</v>
      </c>
      <c r="C57" s="243"/>
      <c r="D57" s="243"/>
      <c r="E57" s="214">
        <f>SUM(E55:E56)</f>
        <v>0</v>
      </c>
      <c r="F57" s="242"/>
      <c r="G57" s="243"/>
      <c r="H57" s="242"/>
      <c r="I57" s="242"/>
      <c r="J57" s="242">
        <f>SUM(J55:J56)</f>
        <v>5</v>
      </c>
      <c r="K57" s="242"/>
      <c r="L57" s="243"/>
      <c r="M57" s="243"/>
      <c r="N57" s="243"/>
      <c r="O57" s="242">
        <f>SUM(O55:O56)</f>
        <v>7</v>
      </c>
      <c r="P57" s="242"/>
      <c r="Q57" s="242"/>
      <c r="R57" s="242"/>
      <c r="S57" s="242"/>
      <c r="T57" s="242">
        <f>SUM(T55:T56)</f>
        <v>6.5</v>
      </c>
      <c r="U57" s="242"/>
      <c r="V57" s="242"/>
      <c r="W57" s="242"/>
      <c r="X57" s="242"/>
      <c r="Y57" s="242">
        <f>SUM(Y55:Y56)</f>
        <v>9.5</v>
      </c>
      <c r="Z57" s="242"/>
      <c r="AA57" s="247">
        <f>SUM(AA55:AA56)</f>
        <v>28</v>
      </c>
      <c r="AB57" s="247"/>
      <c r="AD57" s="1525"/>
      <c r="AE57" s="1525"/>
      <c r="AF57" s="1525"/>
      <c r="AG57" s="1525"/>
      <c r="AI57" s="227"/>
      <c r="AK57" s="187"/>
      <c r="AL57" s="187"/>
      <c r="AM57" s="187"/>
      <c r="AN57" s="187"/>
      <c r="AO57" s="187"/>
      <c r="AP57" s="187"/>
    </row>
    <row r="58" spans="1:42" s="1" customFormat="1" ht="13.5" customHeight="1">
      <c r="A58" s="11"/>
      <c r="B58" s="217" t="s">
        <v>133</v>
      </c>
      <c r="C58" s="207">
        <v>0</v>
      </c>
      <c r="D58" s="208"/>
      <c r="E58" s="209"/>
      <c r="F58" s="209"/>
      <c r="G58" s="208"/>
      <c r="H58" s="209"/>
      <c r="I58" s="209"/>
      <c r="J58" s="209"/>
      <c r="K58" s="209"/>
      <c r="L58" s="208"/>
      <c r="M58" s="208"/>
      <c r="N58" s="208"/>
      <c r="O58" s="208"/>
      <c r="P58" s="209"/>
      <c r="Q58" s="208"/>
      <c r="R58" s="208"/>
      <c r="S58" s="208"/>
      <c r="T58" s="208"/>
      <c r="U58" s="209"/>
      <c r="V58" s="208"/>
      <c r="W58" s="208"/>
      <c r="X58" s="208"/>
      <c r="Y58" s="210"/>
      <c r="Z58" s="209"/>
      <c r="AA58" s="211"/>
      <c r="AB58" s="209"/>
      <c r="AC58" s="211"/>
      <c r="AD58" s="211"/>
      <c r="AE58" s="211"/>
      <c r="AF58" s="211"/>
      <c r="AG58" s="211"/>
      <c r="AH58" s="3"/>
      <c r="AI58" s="227"/>
      <c r="AK58" s="187"/>
      <c r="AL58" s="187"/>
      <c r="AM58" s="187"/>
      <c r="AN58" s="187"/>
      <c r="AO58" s="187"/>
      <c r="AP58" s="187"/>
    </row>
    <row r="59" spans="1:42">
      <c r="B59" s="217" t="s">
        <v>134</v>
      </c>
      <c r="C59" s="207">
        <v>0</v>
      </c>
      <c r="D59" s="212"/>
      <c r="E59" s="213"/>
      <c r="F59" s="213"/>
      <c r="G59" s="213"/>
      <c r="H59" s="212"/>
      <c r="I59" s="212"/>
      <c r="J59" s="213"/>
      <c r="K59" s="213"/>
      <c r="L59" s="213"/>
      <c r="M59" s="212"/>
      <c r="N59" s="212"/>
      <c r="O59" s="213"/>
      <c r="P59" s="213"/>
      <c r="Q59" s="213"/>
      <c r="R59" s="212"/>
      <c r="S59" s="212"/>
      <c r="T59" s="213"/>
      <c r="U59" s="213"/>
      <c r="V59" s="213"/>
      <c r="W59" s="212"/>
      <c r="X59" s="212"/>
      <c r="Y59" s="213"/>
      <c r="Z59" s="213"/>
      <c r="AA59" s="213"/>
      <c r="AB59" s="213"/>
      <c r="AC59" s="213"/>
      <c r="AD59" s="213"/>
      <c r="AE59" s="213"/>
      <c r="AF59" s="213"/>
      <c r="AG59" s="213"/>
    </row>
    <row r="60" spans="1:42" s="1" customFormat="1" ht="13.5" customHeight="1">
      <c r="A60" s="11"/>
      <c r="B60" s="217" t="s">
        <v>67</v>
      </c>
      <c r="C60" s="207">
        <f>C61+C62</f>
        <v>30</v>
      </c>
      <c r="D60" s="208"/>
      <c r="E60" s="209"/>
      <c r="F60" s="209"/>
      <c r="G60" s="208"/>
      <c r="H60" s="209"/>
      <c r="I60" s="209"/>
      <c r="J60" s="209"/>
      <c r="K60" s="209"/>
      <c r="L60" s="208"/>
      <c r="M60" s="208"/>
      <c r="N60" s="208"/>
      <c r="O60" s="208"/>
      <c r="P60" s="209"/>
      <c r="Q60" s="208"/>
      <c r="R60" s="208"/>
      <c r="S60" s="208"/>
      <c r="T60" s="208"/>
      <c r="U60" s="209"/>
      <c r="V60" s="208"/>
      <c r="W60" s="208"/>
      <c r="X60" s="208"/>
      <c r="Y60" s="210"/>
      <c r="Z60" s="209"/>
      <c r="AA60" s="211"/>
      <c r="AB60" s="209"/>
      <c r="AC60" s="211"/>
      <c r="AD60" s="211"/>
      <c r="AE60" s="211"/>
      <c r="AF60" s="211"/>
      <c r="AG60" s="211"/>
      <c r="AH60" s="3"/>
      <c r="AI60" s="227"/>
      <c r="AK60" s="187"/>
      <c r="AL60" s="187"/>
      <c r="AM60" s="187"/>
      <c r="AN60" s="187"/>
      <c r="AO60" s="187"/>
      <c r="AP60" s="187"/>
    </row>
    <row r="61" spans="1:42" s="1" customFormat="1" ht="13.5" customHeight="1">
      <c r="A61" s="11"/>
      <c r="B61" s="238" t="s">
        <v>68</v>
      </c>
      <c r="C61" s="239">
        <v>30</v>
      </c>
      <c r="D61" s="208"/>
      <c r="E61" s="209"/>
      <c r="F61" s="209"/>
      <c r="G61" s="208"/>
      <c r="H61" s="209"/>
      <c r="I61" s="209"/>
      <c r="J61" s="209"/>
      <c r="K61" s="209"/>
      <c r="L61" s="208"/>
      <c r="M61" s="208"/>
      <c r="N61" s="208"/>
      <c r="O61" s="208"/>
      <c r="P61" s="209"/>
      <c r="Q61" s="208"/>
      <c r="R61" s="208"/>
      <c r="S61" s="208"/>
      <c r="T61" s="208"/>
      <c r="U61" s="209"/>
      <c r="V61" s="208"/>
      <c r="W61" s="208"/>
      <c r="X61" s="208"/>
      <c r="Y61" s="210"/>
      <c r="Z61" s="209"/>
      <c r="AA61" s="211"/>
      <c r="AB61" s="209"/>
      <c r="AC61" s="211"/>
      <c r="AD61" s="211"/>
      <c r="AE61" s="211"/>
      <c r="AF61" s="211"/>
      <c r="AG61" s="211"/>
      <c r="AH61" s="3"/>
      <c r="AI61" s="227"/>
      <c r="AK61" s="187"/>
      <c r="AL61" s="187"/>
      <c r="AM61" s="187"/>
      <c r="AN61" s="187"/>
      <c r="AO61" s="187"/>
      <c r="AP61" s="187"/>
    </row>
    <row r="62" spans="1:42" s="1" customFormat="1" ht="13.5" customHeight="1">
      <c r="A62" s="11"/>
      <c r="B62" s="238" t="s">
        <v>69</v>
      </c>
      <c r="C62" s="239">
        <v>0</v>
      </c>
      <c r="D62" s="208"/>
      <c r="E62" s="209"/>
      <c r="F62" s="209"/>
      <c r="G62" s="208"/>
      <c r="H62" s="209"/>
      <c r="I62" s="209"/>
      <c r="J62" s="209"/>
      <c r="K62" s="209"/>
      <c r="L62" s="208"/>
      <c r="M62" s="208"/>
      <c r="N62" s="208"/>
      <c r="O62" s="208"/>
      <c r="P62" s="209"/>
      <c r="Q62" s="208"/>
      <c r="R62" s="208"/>
      <c r="S62" s="208"/>
      <c r="T62" s="208"/>
      <c r="U62" s="209"/>
      <c r="V62" s="208"/>
      <c r="W62" s="208"/>
      <c r="X62" s="208"/>
      <c r="Y62" s="210"/>
      <c r="Z62" s="209"/>
      <c r="AA62" s="211"/>
      <c r="AB62" s="209"/>
      <c r="AC62" s="211"/>
      <c r="AD62" s="211"/>
      <c r="AE62" s="211"/>
      <c r="AF62" s="211"/>
      <c r="AG62" s="211"/>
      <c r="AH62" s="3"/>
      <c r="AI62" s="227"/>
      <c r="AK62" s="187"/>
      <c r="AL62" s="187"/>
      <c r="AM62" s="187"/>
      <c r="AN62" s="187"/>
      <c r="AO62" s="187"/>
      <c r="AP62" s="187"/>
    </row>
    <row r="63" spans="1:42" s="1" customFormat="1" ht="4.5" customHeight="1">
      <c r="A63" s="11"/>
      <c r="B63" s="218"/>
      <c r="C63" s="219"/>
      <c r="D63" s="220"/>
      <c r="E63" s="221"/>
      <c r="F63" s="221"/>
      <c r="G63" s="220"/>
      <c r="H63" s="221"/>
      <c r="I63" s="221"/>
      <c r="J63" s="221"/>
      <c r="K63" s="221"/>
      <c r="L63" s="220"/>
      <c r="M63" s="220"/>
      <c r="N63" s="220"/>
      <c r="O63" s="220"/>
      <c r="P63" s="221"/>
      <c r="Q63" s="220"/>
      <c r="R63" s="220"/>
      <c r="S63" s="220"/>
      <c r="T63" s="220"/>
      <c r="U63" s="221"/>
      <c r="V63" s="220"/>
      <c r="W63" s="220"/>
      <c r="X63" s="220"/>
      <c r="Y63" s="222"/>
      <c r="Z63" s="221"/>
      <c r="AA63" s="223"/>
      <c r="AB63" s="221"/>
      <c r="AC63" s="3"/>
      <c r="AD63" s="168"/>
      <c r="AH63" s="3"/>
      <c r="AI63" s="227"/>
      <c r="AK63" s="187"/>
      <c r="AL63" s="187"/>
      <c r="AM63" s="187"/>
      <c r="AN63" s="187"/>
      <c r="AO63" s="187"/>
      <c r="AP63" s="187"/>
    </row>
    <row r="64" spans="1:42" s="227" customFormat="1" ht="4.5" customHeight="1">
      <c r="A64" s="228"/>
      <c r="B64" s="229"/>
      <c r="C64" s="230"/>
      <c r="D64" s="231"/>
      <c r="E64" s="232"/>
      <c r="F64" s="232"/>
      <c r="G64" s="231"/>
      <c r="H64" s="232"/>
      <c r="I64" s="232"/>
      <c r="J64" s="232"/>
      <c r="K64" s="232"/>
      <c r="L64" s="231"/>
      <c r="M64" s="231"/>
      <c r="N64" s="231"/>
      <c r="O64" s="231"/>
      <c r="P64" s="232"/>
      <c r="Q64" s="231"/>
      <c r="R64" s="231"/>
      <c r="S64" s="231"/>
      <c r="T64" s="231"/>
      <c r="U64" s="232"/>
      <c r="V64" s="231"/>
      <c r="W64" s="231"/>
      <c r="X64" s="231"/>
      <c r="Y64" s="233"/>
      <c r="Z64" s="232"/>
      <c r="AA64" s="234"/>
      <c r="AB64" s="232"/>
      <c r="AC64" s="235"/>
      <c r="AD64" s="236"/>
      <c r="AH64" s="235"/>
    </row>
    <row r="65" spans="1:42" s="187" customFormat="1" ht="4.5" customHeight="1">
      <c r="A65" s="224"/>
      <c r="B65" s="214"/>
      <c r="C65" s="215"/>
      <c r="D65" s="215"/>
      <c r="E65" s="214"/>
      <c r="F65" s="214"/>
      <c r="G65" s="215"/>
      <c r="H65" s="214"/>
      <c r="I65" s="214"/>
      <c r="J65" s="214"/>
      <c r="K65" s="214"/>
      <c r="L65" s="215"/>
      <c r="M65" s="215"/>
      <c r="N65" s="215"/>
      <c r="O65" s="215"/>
      <c r="P65" s="214"/>
      <c r="Q65" s="215"/>
      <c r="R65" s="215"/>
      <c r="S65" s="215"/>
      <c r="T65" s="215"/>
      <c r="U65" s="214"/>
      <c r="V65" s="215"/>
      <c r="W65" s="215"/>
      <c r="X65" s="215"/>
      <c r="Y65" s="216"/>
      <c r="Z65" s="214"/>
      <c r="AA65" s="225"/>
      <c r="AB65" s="214"/>
      <c r="AC65" s="226"/>
      <c r="AH65" s="226"/>
      <c r="AI65" s="227"/>
    </row>
    <row r="66" spans="1:42" s="1" customFormat="1" ht="13.5" customHeight="1">
      <c r="B66" s="1518" t="s">
        <v>18</v>
      </c>
      <c r="C66" s="1524">
        <v>45082</v>
      </c>
      <c r="D66" s="1524"/>
      <c r="E66" s="1524"/>
      <c r="F66" s="1524"/>
      <c r="G66" s="22"/>
      <c r="H66" s="1524">
        <v>45083</v>
      </c>
      <c r="I66" s="1524"/>
      <c r="J66" s="1524"/>
      <c r="K66" s="204"/>
      <c r="L66" s="22"/>
      <c r="M66" s="1524">
        <v>45084</v>
      </c>
      <c r="N66" s="1524"/>
      <c r="O66" s="1524"/>
      <c r="P66" s="204"/>
      <c r="Q66" s="22"/>
      <c r="R66" s="1524">
        <v>45085</v>
      </c>
      <c r="S66" s="1524"/>
      <c r="T66" s="1524"/>
      <c r="U66" s="204"/>
      <c r="V66" s="22"/>
      <c r="W66" s="1524">
        <v>45086</v>
      </c>
      <c r="X66" s="1524"/>
      <c r="Y66" s="1524"/>
      <c r="Z66" s="204"/>
      <c r="AA66" s="1517" t="s">
        <v>19</v>
      </c>
      <c r="AB66" s="1517" t="s">
        <v>20</v>
      </c>
      <c r="AC66" s="3"/>
      <c r="AD66" s="1524">
        <v>45082</v>
      </c>
      <c r="AE66" s="1524"/>
      <c r="AF66" s="1524"/>
      <c r="AG66" s="1517" t="s">
        <v>21</v>
      </c>
      <c r="AH66" s="3"/>
      <c r="AI66" s="227"/>
      <c r="AK66" s="194" t="s">
        <v>140</v>
      </c>
      <c r="AL66" s="195"/>
      <c r="AM66" s="195"/>
      <c r="AN66" s="195"/>
      <c r="AO66" s="195"/>
      <c r="AP66" s="195"/>
    </row>
    <row r="67" spans="1:42" s="1" customFormat="1" ht="14.25">
      <c r="B67" s="1518"/>
      <c r="C67" s="21" t="s">
        <v>23</v>
      </c>
      <c r="D67" s="21" t="s">
        <v>24</v>
      </c>
      <c r="E67" s="205" t="s">
        <v>122</v>
      </c>
      <c r="F67" s="18" t="s">
        <v>14</v>
      </c>
      <c r="G67" s="3"/>
      <c r="H67" s="21" t="s">
        <v>23</v>
      </c>
      <c r="I67" s="21" t="s">
        <v>24</v>
      </c>
      <c r="J67" s="205" t="s">
        <v>122</v>
      </c>
      <c r="K67" s="18" t="s">
        <v>14</v>
      </c>
      <c r="L67" s="3"/>
      <c r="M67" s="21" t="s">
        <v>23</v>
      </c>
      <c r="N67" s="21" t="s">
        <v>24</v>
      </c>
      <c r="O67" s="205" t="s">
        <v>122</v>
      </c>
      <c r="P67" s="18" t="s">
        <v>14</v>
      </c>
      <c r="Q67" s="3"/>
      <c r="R67" s="21" t="s">
        <v>23</v>
      </c>
      <c r="S67" s="21" t="s">
        <v>24</v>
      </c>
      <c r="T67" s="205" t="s">
        <v>122</v>
      </c>
      <c r="U67" s="18" t="s">
        <v>14</v>
      </c>
      <c r="V67" s="3"/>
      <c r="W67" s="21" t="s">
        <v>23</v>
      </c>
      <c r="X67" s="21" t="s">
        <v>24</v>
      </c>
      <c r="Y67" s="205" t="s">
        <v>122</v>
      </c>
      <c r="Z67" s="18" t="s">
        <v>14</v>
      </c>
      <c r="AA67" s="1517"/>
      <c r="AB67" s="1517"/>
      <c r="AC67" s="3"/>
      <c r="AD67" s="21" t="s">
        <v>23</v>
      </c>
      <c r="AE67" s="21" t="s">
        <v>24</v>
      </c>
      <c r="AF67" s="21" t="s">
        <v>25</v>
      </c>
      <c r="AG67" s="1523"/>
      <c r="AH67" s="3"/>
      <c r="AI67" s="227"/>
      <c r="AK67" s="188" t="s">
        <v>26</v>
      </c>
      <c r="AL67" s="199">
        <f>AA76</f>
        <v>263.5</v>
      </c>
      <c r="AM67" s="187"/>
      <c r="AN67" s="187"/>
      <c r="AO67" s="187"/>
      <c r="AP67" s="187"/>
    </row>
    <row r="68" spans="1:42" s="1" customFormat="1" ht="14.25">
      <c r="B68" s="13" t="s">
        <v>124</v>
      </c>
      <c r="C68" s="61">
        <v>0.33333333333333331</v>
      </c>
      <c r="D68" s="47">
        <v>0.20833333333333334</v>
      </c>
      <c r="E68" s="19">
        <v>8</v>
      </c>
      <c r="F68" s="277">
        <v>1</v>
      </c>
      <c r="G68" s="3"/>
      <c r="H68" s="47">
        <v>0.29166666666666669</v>
      </c>
      <c r="I68" s="47">
        <v>0.125</v>
      </c>
      <c r="J68" s="19">
        <v>8</v>
      </c>
      <c r="K68" s="277"/>
      <c r="L68" s="3"/>
      <c r="M68" s="47">
        <v>0.29166666666666669</v>
      </c>
      <c r="N68" s="47">
        <v>0.125</v>
      </c>
      <c r="O68" s="19">
        <v>8</v>
      </c>
      <c r="P68" s="277"/>
      <c r="Q68" s="3"/>
      <c r="R68" s="47">
        <v>0.29166666666666669</v>
      </c>
      <c r="S68" s="47">
        <v>0.125</v>
      </c>
      <c r="T68" s="19">
        <v>8</v>
      </c>
      <c r="U68" s="277"/>
      <c r="V68" s="3"/>
      <c r="W68" s="47">
        <v>0.29166666666666669</v>
      </c>
      <c r="X68" s="47">
        <v>0.125</v>
      </c>
      <c r="Y68" s="19">
        <v>8</v>
      </c>
      <c r="Z68" s="277"/>
      <c r="AA68" s="29">
        <f>(E68+J68+O68+T68+Y68)</f>
        <v>40</v>
      </c>
      <c r="AB68" s="282">
        <f>Z68+U68+P68+K68+F68</f>
        <v>1</v>
      </c>
      <c r="AC68" s="3"/>
      <c r="AD68" s="1525" t="s">
        <v>120</v>
      </c>
      <c r="AE68" s="1525"/>
      <c r="AF68" s="1525"/>
      <c r="AG68" s="1525"/>
      <c r="AH68" s="3"/>
      <c r="AI68" s="227"/>
      <c r="AK68" s="188" t="s">
        <v>30</v>
      </c>
      <c r="AL68" s="189">
        <f>AB76</f>
        <v>10.5</v>
      </c>
      <c r="AM68" s="187"/>
      <c r="AN68" s="187"/>
      <c r="AO68" s="187"/>
      <c r="AP68" s="187"/>
    </row>
    <row r="69" spans="1:42" s="1" customFormat="1" ht="14.25">
      <c r="B69" s="13" t="s">
        <v>129</v>
      </c>
      <c r="C69" s="61" t="s">
        <v>75</v>
      </c>
      <c r="D69" s="47">
        <v>0.20833333333333334</v>
      </c>
      <c r="E69" s="19">
        <v>8</v>
      </c>
      <c r="F69" s="277"/>
      <c r="G69" s="3"/>
      <c r="H69" s="47">
        <v>0.375</v>
      </c>
      <c r="I69" s="47">
        <v>0.25</v>
      </c>
      <c r="J69" s="19">
        <v>8</v>
      </c>
      <c r="K69" s="277"/>
      <c r="L69" s="3"/>
      <c r="M69" s="47">
        <v>0.33333333333333331</v>
      </c>
      <c r="N69" s="47">
        <v>0.20833333333333334</v>
      </c>
      <c r="O69" s="19">
        <v>8</v>
      </c>
      <c r="P69" s="277"/>
      <c r="Q69" s="3"/>
      <c r="R69" s="47">
        <v>0.29166666666666669</v>
      </c>
      <c r="S69" s="47">
        <v>0.19791666666666666</v>
      </c>
      <c r="T69" s="19">
        <v>8</v>
      </c>
      <c r="U69" s="277">
        <v>0.75</v>
      </c>
      <c r="V69" s="3"/>
      <c r="W69" s="47">
        <v>0.33333333333333331</v>
      </c>
      <c r="X69" s="47">
        <v>0.20833333333333334</v>
      </c>
      <c r="Y69" s="19">
        <v>8</v>
      </c>
      <c r="Z69" s="277"/>
      <c r="AA69" s="29">
        <f t="shared" ref="AA69:AA75" si="3">(E69+J69+O69+T69+Y69)</f>
        <v>40</v>
      </c>
      <c r="AB69" s="282">
        <f t="shared" ref="AB69:AB75" si="4">Z69+U69+P69+K69+F69</f>
        <v>0.75</v>
      </c>
      <c r="AC69" s="3"/>
      <c r="AD69" s="1525"/>
      <c r="AE69" s="1525"/>
      <c r="AF69" s="1525"/>
      <c r="AG69" s="1525"/>
      <c r="AH69" s="3"/>
      <c r="AI69" s="227"/>
      <c r="AK69" s="188" t="s">
        <v>32</v>
      </c>
      <c r="AL69" s="189">
        <v>0</v>
      </c>
      <c r="AM69" s="187"/>
      <c r="AN69" s="187"/>
      <c r="AO69" s="187"/>
      <c r="AP69" s="187"/>
    </row>
    <row r="70" spans="1:42" s="1" customFormat="1" ht="14.25">
      <c r="B70" s="13" t="s">
        <v>131</v>
      </c>
      <c r="C70" s="61" t="s">
        <v>75</v>
      </c>
      <c r="D70" s="47">
        <v>0.20833333333333334</v>
      </c>
      <c r="E70" s="19">
        <v>8</v>
      </c>
      <c r="F70" s="277"/>
      <c r="G70" s="3"/>
      <c r="H70" s="47">
        <v>0.33333333333333331</v>
      </c>
      <c r="I70" s="47">
        <v>0.20833333333333334</v>
      </c>
      <c r="J70" s="19">
        <v>8</v>
      </c>
      <c r="K70" s="277"/>
      <c r="L70" s="3"/>
      <c r="M70" s="47">
        <v>0.33333333333333331</v>
      </c>
      <c r="N70" s="47">
        <v>0.29166666666666669</v>
      </c>
      <c r="O70" s="19">
        <v>8</v>
      </c>
      <c r="P70" s="277">
        <v>2</v>
      </c>
      <c r="Q70" s="3"/>
      <c r="R70" s="47">
        <v>0.33333333333333331</v>
      </c>
      <c r="S70" s="47">
        <v>0.20833333333333334</v>
      </c>
      <c r="T70" s="19">
        <v>8</v>
      </c>
      <c r="U70" s="277"/>
      <c r="V70" s="3"/>
      <c r="W70" s="47">
        <v>0.33333333333333331</v>
      </c>
      <c r="X70" s="47">
        <v>0.20833333333333334</v>
      </c>
      <c r="Y70" s="19">
        <v>8</v>
      </c>
      <c r="Z70" s="277"/>
      <c r="AA70" s="29">
        <f t="shared" si="3"/>
        <v>40</v>
      </c>
      <c r="AB70" s="282">
        <f t="shared" si="4"/>
        <v>2</v>
      </c>
      <c r="AC70" s="3"/>
      <c r="AD70" s="1525"/>
      <c r="AE70" s="1525"/>
      <c r="AF70" s="1525"/>
      <c r="AG70" s="1525"/>
      <c r="AH70" s="3"/>
      <c r="AI70" s="227"/>
      <c r="AK70" s="188" t="s">
        <v>34</v>
      </c>
      <c r="AL70" s="199">
        <f>AA79</f>
        <v>39.5</v>
      </c>
      <c r="AM70" s="187"/>
      <c r="AN70" s="187"/>
      <c r="AO70" s="187"/>
      <c r="AP70" s="187"/>
    </row>
    <row r="71" spans="1:42" s="1" customFormat="1" ht="14.25">
      <c r="B71" s="13" t="s">
        <v>132</v>
      </c>
      <c r="C71" s="61" t="s">
        <v>75</v>
      </c>
      <c r="D71" s="47">
        <v>0.20833333333333334</v>
      </c>
      <c r="E71" s="19">
        <v>8</v>
      </c>
      <c r="F71" s="277"/>
      <c r="G71" s="3"/>
      <c r="H71" s="47">
        <v>0.33333333333333331</v>
      </c>
      <c r="I71" s="47">
        <v>0.20833333333333334</v>
      </c>
      <c r="J71" s="19">
        <v>8</v>
      </c>
      <c r="K71" s="277"/>
      <c r="L71" s="3"/>
      <c r="M71" s="47">
        <v>0.33333333333333331</v>
      </c>
      <c r="N71" s="47">
        <v>0.29166666666666669</v>
      </c>
      <c r="O71" s="19">
        <v>8</v>
      </c>
      <c r="P71" s="277">
        <v>2</v>
      </c>
      <c r="Q71" s="3"/>
      <c r="R71" s="47">
        <v>0.33333333333333331</v>
      </c>
      <c r="S71" s="47">
        <v>0.20833333333333334</v>
      </c>
      <c r="T71" s="19">
        <v>8</v>
      </c>
      <c r="U71" s="277"/>
      <c r="V71" s="3"/>
      <c r="W71" s="4">
        <v>0</v>
      </c>
      <c r="X71" s="4">
        <v>0</v>
      </c>
      <c r="Y71" s="19">
        <v>0</v>
      </c>
      <c r="Z71" s="277"/>
      <c r="AA71" s="29">
        <f t="shared" si="3"/>
        <v>32</v>
      </c>
      <c r="AB71" s="282">
        <f t="shared" si="4"/>
        <v>2</v>
      </c>
      <c r="AC71" s="3"/>
      <c r="AD71" s="1525"/>
      <c r="AE71" s="1525"/>
      <c r="AF71" s="1525"/>
      <c r="AG71" s="1525"/>
      <c r="AH71" s="3"/>
      <c r="AI71" s="227"/>
      <c r="AK71" s="188" t="s">
        <v>38</v>
      </c>
      <c r="AL71" s="189">
        <v>0</v>
      </c>
      <c r="AM71" s="187"/>
      <c r="AN71" s="187"/>
      <c r="AO71" s="187"/>
      <c r="AP71" s="187"/>
    </row>
    <row r="72" spans="1:42" s="1" customFormat="1" ht="14.25">
      <c r="B72" s="13" t="s">
        <v>35</v>
      </c>
      <c r="C72" s="61" t="s">
        <v>75</v>
      </c>
      <c r="D72" s="47">
        <v>0.20833333333333334</v>
      </c>
      <c r="E72" s="19">
        <v>8</v>
      </c>
      <c r="F72" s="277"/>
      <c r="G72" s="3"/>
      <c r="H72" s="47">
        <v>0.33333333333333331</v>
      </c>
      <c r="I72" s="47">
        <v>0.20833333333333334</v>
      </c>
      <c r="J72" s="19">
        <v>8</v>
      </c>
      <c r="K72" s="277"/>
      <c r="L72" s="3"/>
      <c r="M72" s="47">
        <v>0.33333333333333331</v>
      </c>
      <c r="N72" s="47">
        <v>0.29166666666666669</v>
      </c>
      <c r="O72" s="19">
        <v>8</v>
      </c>
      <c r="P72" s="277">
        <v>2</v>
      </c>
      <c r="Q72" s="3"/>
      <c r="R72" s="47">
        <v>0.33333333333333331</v>
      </c>
      <c r="S72" s="47">
        <v>0.20833333333333334</v>
      </c>
      <c r="T72" s="19">
        <v>8</v>
      </c>
      <c r="U72" s="277"/>
      <c r="V72" s="3"/>
      <c r="W72" s="47">
        <v>0.33333333333333331</v>
      </c>
      <c r="X72" s="47">
        <v>0.20833333333333334</v>
      </c>
      <c r="Y72" s="19">
        <v>8</v>
      </c>
      <c r="Z72" s="277"/>
      <c r="AA72" s="29">
        <f t="shared" si="3"/>
        <v>40</v>
      </c>
      <c r="AB72" s="282">
        <f t="shared" si="4"/>
        <v>2</v>
      </c>
      <c r="AC72" s="3"/>
      <c r="AD72" s="1525"/>
      <c r="AE72" s="1525"/>
      <c r="AF72" s="1525"/>
      <c r="AG72" s="1525"/>
      <c r="AH72" s="3"/>
      <c r="AI72" s="227"/>
      <c r="AK72" s="188" t="s">
        <v>41</v>
      </c>
      <c r="AL72" s="189">
        <f>C80</f>
        <v>47</v>
      </c>
      <c r="AM72" s="187"/>
      <c r="AN72" s="187"/>
      <c r="AO72" s="187"/>
      <c r="AP72" s="187"/>
    </row>
    <row r="73" spans="1:42" s="1" customFormat="1" ht="14.25">
      <c r="B73" s="13" t="s">
        <v>37</v>
      </c>
      <c r="C73" s="61" t="s">
        <v>75</v>
      </c>
      <c r="D73" s="47">
        <v>0.20833333333333334</v>
      </c>
      <c r="E73" s="19">
        <v>8</v>
      </c>
      <c r="F73" s="277"/>
      <c r="G73" s="3"/>
      <c r="H73" s="47">
        <v>0.33333333333333331</v>
      </c>
      <c r="I73" s="47">
        <v>0.20833333333333334</v>
      </c>
      <c r="J73" s="19">
        <v>8</v>
      </c>
      <c r="K73" s="277"/>
      <c r="L73" s="3"/>
      <c r="M73" s="47">
        <v>0.33333333333333331</v>
      </c>
      <c r="N73" s="47">
        <v>0.29166666666666669</v>
      </c>
      <c r="O73" s="19">
        <v>8</v>
      </c>
      <c r="P73" s="277">
        <v>2</v>
      </c>
      <c r="Q73" s="3"/>
      <c r="R73" s="47">
        <v>0.33333333333333331</v>
      </c>
      <c r="S73" s="47">
        <v>0.20833333333333334</v>
      </c>
      <c r="T73" s="19">
        <v>8</v>
      </c>
      <c r="U73" s="277"/>
      <c r="V73" s="3"/>
      <c r="W73" s="47">
        <v>0.33333333333333331</v>
      </c>
      <c r="X73" s="47">
        <v>0.20833333333333334</v>
      </c>
      <c r="Y73" s="19">
        <v>8</v>
      </c>
      <c r="Z73" s="277"/>
      <c r="AA73" s="29">
        <f t="shared" si="3"/>
        <v>40</v>
      </c>
      <c r="AB73" s="282">
        <f t="shared" si="4"/>
        <v>2</v>
      </c>
      <c r="AC73" s="3"/>
      <c r="AD73" s="1525"/>
      <c r="AE73" s="1525"/>
      <c r="AF73" s="1525"/>
      <c r="AG73" s="1525"/>
      <c r="AH73" s="3"/>
      <c r="AI73" s="227"/>
      <c r="AK73" s="187"/>
      <c r="AL73" s="187"/>
      <c r="AM73" s="187"/>
      <c r="AN73" s="187"/>
      <c r="AO73" s="187"/>
      <c r="AP73" s="187"/>
    </row>
    <row r="74" spans="1:42" s="1" customFormat="1" ht="14.25">
      <c r="B74" s="13" t="s">
        <v>141</v>
      </c>
      <c r="C74" s="4">
        <v>0</v>
      </c>
      <c r="D74" s="4">
        <v>0</v>
      </c>
      <c r="E74" s="19">
        <v>0</v>
      </c>
      <c r="F74" s="277"/>
      <c r="G74" s="3"/>
      <c r="H74" s="4">
        <v>0</v>
      </c>
      <c r="I74" s="4">
        <v>0</v>
      </c>
      <c r="J74" s="19">
        <v>0</v>
      </c>
      <c r="K74" s="277"/>
      <c r="L74" s="3"/>
      <c r="M74" s="47">
        <v>0.33333333333333331</v>
      </c>
      <c r="N74" s="47">
        <v>0.20833333333333334</v>
      </c>
      <c r="O74" s="19">
        <v>8</v>
      </c>
      <c r="P74" s="277"/>
      <c r="Q74" s="3"/>
      <c r="R74" s="47">
        <v>0.29166666666666669</v>
      </c>
      <c r="S74" s="47">
        <v>0.19791666666666666</v>
      </c>
      <c r="T74" s="19">
        <v>8</v>
      </c>
      <c r="U74" s="277">
        <v>0.75</v>
      </c>
      <c r="V74" s="3"/>
      <c r="W74" s="47">
        <v>0.33333333333333331</v>
      </c>
      <c r="X74" s="47">
        <v>0.20833333333333334</v>
      </c>
      <c r="Y74" s="19">
        <v>8</v>
      </c>
      <c r="Z74" s="277"/>
      <c r="AA74" s="29">
        <f t="shared" si="3"/>
        <v>24</v>
      </c>
      <c r="AB74" s="282">
        <f t="shared" si="4"/>
        <v>0.75</v>
      </c>
      <c r="AC74" s="3"/>
      <c r="AD74" s="1525"/>
      <c r="AE74" s="1525"/>
      <c r="AF74" s="1525"/>
      <c r="AG74" s="1525"/>
      <c r="AH74" s="3"/>
      <c r="AI74" s="227"/>
      <c r="AK74" s="187"/>
      <c r="AL74" s="187"/>
      <c r="AM74" s="187"/>
      <c r="AN74" s="187"/>
      <c r="AO74" s="187"/>
      <c r="AP74" s="187"/>
    </row>
    <row r="75" spans="1:42" s="1" customFormat="1" ht="14.25">
      <c r="B75" s="13" t="s">
        <v>142</v>
      </c>
      <c r="C75" s="4">
        <v>0</v>
      </c>
      <c r="D75" s="4">
        <v>0</v>
      </c>
      <c r="E75" s="19">
        <v>0</v>
      </c>
      <c r="F75" s="277"/>
      <c r="G75" s="3"/>
      <c r="H75" s="4">
        <v>0</v>
      </c>
      <c r="I75" s="4">
        <v>0</v>
      </c>
      <c r="J75" s="19">
        <v>0</v>
      </c>
      <c r="K75" s="277"/>
      <c r="L75" s="3"/>
      <c r="M75" s="4">
        <v>0</v>
      </c>
      <c r="N75" s="4">
        <v>0</v>
      </c>
      <c r="O75" s="19">
        <v>0</v>
      </c>
      <c r="P75" s="277"/>
      <c r="Q75" s="3"/>
      <c r="R75" s="4">
        <v>0</v>
      </c>
      <c r="S75" s="4">
        <v>0</v>
      </c>
      <c r="T75" s="19">
        <v>0</v>
      </c>
      <c r="U75" s="277"/>
      <c r="V75" s="3"/>
      <c r="W75" s="197">
        <v>0.35416666666666669</v>
      </c>
      <c r="X75" s="197">
        <v>0.20833333333333334</v>
      </c>
      <c r="Y75" s="143">
        <v>7.5</v>
      </c>
      <c r="Z75" s="277"/>
      <c r="AA75" s="198">
        <f t="shared" si="3"/>
        <v>7.5</v>
      </c>
      <c r="AB75" s="282">
        <f t="shared" si="4"/>
        <v>0</v>
      </c>
      <c r="AC75" s="3"/>
      <c r="AD75" s="1525"/>
      <c r="AE75" s="1525"/>
      <c r="AF75" s="1525"/>
      <c r="AG75" s="1525"/>
      <c r="AH75" s="3"/>
      <c r="AI75" s="227"/>
      <c r="AK75" s="187"/>
      <c r="AL75" s="187"/>
      <c r="AM75" s="187"/>
      <c r="AN75" s="187"/>
      <c r="AO75" s="187"/>
      <c r="AP75" s="187"/>
    </row>
    <row r="76" spans="1:42" s="1" customFormat="1">
      <c r="B76" s="64" t="s">
        <v>61</v>
      </c>
      <c r="C76" s="64"/>
      <c r="D76" s="64"/>
      <c r="E76" s="167">
        <f>SUM(E68:E75)</f>
        <v>48</v>
      </c>
      <c r="F76" s="278">
        <f>SUM(F68:F75)</f>
        <v>1</v>
      </c>
      <c r="G76" s="3"/>
      <c r="H76" s="64"/>
      <c r="I76" s="64"/>
      <c r="J76" s="167">
        <f>SUM(J68:J75)</f>
        <v>48</v>
      </c>
      <c r="K76" s="278">
        <f>SUM(K68:K75)</f>
        <v>0</v>
      </c>
      <c r="L76" s="3"/>
      <c r="M76" s="64"/>
      <c r="N76" s="64"/>
      <c r="O76" s="167">
        <f>SUM(O68:O75)</f>
        <v>56</v>
      </c>
      <c r="P76" s="278">
        <f>SUM(P68:P75)</f>
        <v>8</v>
      </c>
      <c r="Q76" s="3"/>
      <c r="R76" s="64"/>
      <c r="S76" s="64"/>
      <c r="T76" s="167">
        <f>SUM(T68:T75)</f>
        <v>56</v>
      </c>
      <c r="U76" s="278">
        <f>SUM(U68:U75)</f>
        <v>1.5</v>
      </c>
      <c r="V76" s="3"/>
      <c r="W76" s="64"/>
      <c r="X76" s="64"/>
      <c r="Y76" s="285">
        <f>SUM(Y68:Y75)</f>
        <v>55.5</v>
      </c>
      <c r="Z76" s="278">
        <f>SUM(Z68:Z75)</f>
        <v>0</v>
      </c>
      <c r="AA76" s="182">
        <f>SUM(AA68:AA75)</f>
        <v>263.5</v>
      </c>
      <c r="AB76" s="284">
        <f>SUM(AB68:AB75)</f>
        <v>10.5</v>
      </c>
      <c r="AC76" s="3"/>
      <c r="AD76" s="1525"/>
      <c r="AE76" s="1525"/>
      <c r="AF76" s="1525"/>
      <c r="AG76" s="1525"/>
      <c r="AH76" s="3"/>
      <c r="AI76" s="227"/>
      <c r="AK76" s="187"/>
      <c r="AL76" s="187"/>
      <c r="AM76" s="187"/>
      <c r="AN76" s="187"/>
      <c r="AO76" s="187"/>
      <c r="AP76" s="187"/>
    </row>
    <row r="77" spans="1:42" s="1" customFormat="1">
      <c r="B77" s="31" t="s">
        <v>64</v>
      </c>
      <c r="C77" s="56"/>
      <c r="D77" s="57"/>
      <c r="E77" s="19">
        <f>0.25+0.25+0.25+0.25+1+0.5+0.5+0.25+0.5</f>
        <v>3.75</v>
      </c>
      <c r="F77" s="280">
        <v>0</v>
      </c>
      <c r="G77" s="59"/>
      <c r="H77" s="57"/>
      <c r="I77" s="57"/>
      <c r="J77" s="19">
        <v>4.25</v>
      </c>
      <c r="K77" s="280">
        <v>0</v>
      </c>
      <c r="L77" s="59"/>
      <c r="M77" s="57"/>
      <c r="N77" s="57"/>
      <c r="O77" s="19">
        <v>5.5</v>
      </c>
      <c r="P77" s="280">
        <v>0</v>
      </c>
      <c r="Q77" s="59"/>
      <c r="R77" s="57"/>
      <c r="S77" s="57"/>
      <c r="T77" s="19">
        <v>5</v>
      </c>
      <c r="U77" s="280">
        <v>0</v>
      </c>
      <c r="V77" s="59"/>
      <c r="W77" s="57"/>
      <c r="X77" s="57"/>
      <c r="Y77" s="19">
        <v>6</v>
      </c>
      <c r="Z77" s="280">
        <v>0</v>
      </c>
      <c r="AA77" s="28">
        <f>SUM(E77:Y77)</f>
        <v>24.5</v>
      </c>
      <c r="AB77" s="280">
        <v>0</v>
      </c>
      <c r="AD77" s="1525"/>
      <c r="AE77" s="1525"/>
      <c r="AF77" s="1525"/>
      <c r="AG77" s="1525"/>
      <c r="AH77" s="3"/>
      <c r="AI77" s="227"/>
      <c r="AK77" s="187"/>
      <c r="AL77" s="187"/>
      <c r="AM77" s="187"/>
      <c r="AN77" s="187"/>
      <c r="AO77" s="187"/>
      <c r="AP77" s="187"/>
    </row>
    <row r="78" spans="1:42" s="1" customFormat="1" ht="14.25" thickBot="1">
      <c r="B78" s="74" t="s">
        <v>65</v>
      </c>
      <c r="C78" s="75"/>
      <c r="D78" s="76"/>
      <c r="E78" s="77">
        <v>3</v>
      </c>
      <c r="F78" s="281">
        <v>0</v>
      </c>
      <c r="G78" s="78"/>
      <c r="H78" s="76"/>
      <c r="I78" s="76"/>
      <c r="J78" s="77">
        <v>3</v>
      </c>
      <c r="K78" s="281">
        <v>0</v>
      </c>
      <c r="L78" s="78"/>
      <c r="M78" s="76"/>
      <c r="N78" s="76"/>
      <c r="O78" s="77">
        <v>3</v>
      </c>
      <c r="P78" s="281">
        <v>0</v>
      </c>
      <c r="Q78" s="78"/>
      <c r="R78" s="76"/>
      <c r="S78" s="76"/>
      <c r="T78" s="77">
        <v>3</v>
      </c>
      <c r="U78" s="281">
        <v>0</v>
      </c>
      <c r="V78" s="78"/>
      <c r="W78" s="76"/>
      <c r="X78" s="76"/>
      <c r="Y78" s="77">
        <v>3</v>
      </c>
      <c r="Z78" s="281">
        <v>0</v>
      </c>
      <c r="AA78" s="80">
        <f>SUM(E78:Y78)</f>
        <v>15</v>
      </c>
      <c r="AB78" s="281">
        <v>0</v>
      </c>
      <c r="AD78" s="1525"/>
      <c r="AE78" s="1525"/>
      <c r="AF78" s="1525"/>
      <c r="AG78" s="1525"/>
      <c r="AH78" s="3"/>
      <c r="AI78" s="227"/>
      <c r="AK78" s="187"/>
      <c r="AL78" s="187"/>
      <c r="AM78" s="187"/>
      <c r="AN78" s="187"/>
      <c r="AO78" s="187"/>
      <c r="AP78" s="187"/>
    </row>
    <row r="79" spans="1:42" s="187" customFormat="1" ht="13.5" customHeight="1" thickTop="1">
      <c r="A79" s="224"/>
      <c r="B79" s="214" t="s">
        <v>66</v>
      </c>
      <c r="C79" s="215"/>
      <c r="D79" s="215"/>
      <c r="E79" s="214">
        <f>SUM(E77:E78)</f>
        <v>6.75</v>
      </c>
      <c r="F79" s="214"/>
      <c r="G79" s="215"/>
      <c r="H79" s="214"/>
      <c r="I79" s="214"/>
      <c r="J79" s="214">
        <f>SUM(J77:J78)</f>
        <v>7.25</v>
      </c>
      <c r="K79" s="214"/>
      <c r="L79" s="215"/>
      <c r="M79" s="215"/>
      <c r="N79" s="215"/>
      <c r="O79" s="214">
        <f>SUM(O77:O78)</f>
        <v>8.5</v>
      </c>
      <c r="P79" s="214"/>
      <c r="Q79" s="214"/>
      <c r="R79" s="214"/>
      <c r="S79" s="214"/>
      <c r="T79" s="214">
        <f>SUM(T77:T78)</f>
        <v>8</v>
      </c>
      <c r="U79" s="214"/>
      <c r="V79" s="214"/>
      <c r="W79" s="214"/>
      <c r="X79" s="214"/>
      <c r="Y79" s="214">
        <f>SUM(Y77:Y78)</f>
        <v>9</v>
      </c>
      <c r="Z79" s="214"/>
      <c r="AA79" s="247">
        <f>SUM(AA77:AA78)</f>
        <v>39.5</v>
      </c>
      <c r="AB79" s="247">
        <f>SUM(AB77:AB78)</f>
        <v>0</v>
      </c>
      <c r="AC79" s="1"/>
      <c r="AD79" s="1525"/>
      <c r="AE79" s="1525"/>
      <c r="AF79" s="1525"/>
      <c r="AG79" s="1525"/>
      <c r="AH79" s="3"/>
      <c r="AI79" s="227"/>
      <c r="AJ79" s="1"/>
    </row>
    <row r="80" spans="1:42" s="1" customFormat="1" ht="13.5" customHeight="1">
      <c r="A80" s="11"/>
      <c r="B80" s="217" t="s">
        <v>67</v>
      </c>
      <c r="C80" s="207">
        <f>C81+C82</f>
        <v>47</v>
      </c>
      <c r="D80" s="208"/>
      <c r="E80" s="209"/>
      <c r="F80" s="209"/>
      <c r="G80" s="208"/>
      <c r="H80" s="209"/>
      <c r="I80" s="209"/>
      <c r="J80" s="209"/>
      <c r="K80" s="209"/>
      <c r="L80" s="208"/>
      <c r="M80" s="208"/>
      <c r="N80" s="208"/>
      <c r="O80" s="208"/>
      <c r="P80" s="209"/>
      <c r="Q80" s="208"/>
      <c r="R80" s="208"/>
      <c r="S80" s="208"/>
      <c r="T80" s="208"/>
      <c r="U80" s="209"/>
      <c r="V80" s="208"/>
      <c r="W80" s="208"/>
      <c r="X80" s="208"/>
      <c r="Y80" s="210"/>
      <c r="Z80" s="209"/>
      <c r="AA80" s="211"/>
      <c r="AB80" s="209"/>
      <c r="AC80" s="211"/>
      <c r="AD80" s="211"/>
      <c r="AE80" s="211"/>
      <c r="AF80" s="211"/>
      <c r="AG80" s="211"/>
      <c r="AH80" s="3"/>
      <c r="AI80" s="227"/>
      <c r="AK80" s="187"/>
      <c r="AL80" s="187"/>
      <c r="AM80" s="187"/>
      <c r="AN80" s="187"/>
      <c r="AO80" s="187"/>
      <c r="AP80" s="187"/>
    </row>
    <row r="81" spans="1:42" s="1" customFormat="1" ht="13.5" customHeight="1">
      <c r="A81" s="11"/>
      <c r="B81" s="238" t="s">
        <v>68</v>
      </c>
      <c r="C81" s="239">
        <v>40</v>
      </c>
      <c r="D81" s="208"/>
      <c r="E81" s="209"/>
      <c r="F81" s="209"/>
      <c r="G81" s="208"/>
      <c r="H81" s="209"/>
      <c r="I81" s="209"/>
      <c r="J81" s="209"/>
      <c r="K81" s="209"/>
      <c r="L81" s="208"/>
      <c r="M81" s="208"/>
      <c r="N81" s="208"/>
      <c r="O81" s="208"/>
      <c r="P81" s="209"/>
      <c r="Q81" s="208"/>
      <c r="R81" s="208"/>
      <c r="S81" s="208"/>
      <c r="T81" s="208"/>
      <c r="U81" s="209"/>
      <c r="V81" s="208"/>
      <c r="W81" s="208"/>
      <c r="X81" s="208"/>
      <c r="Y81" s="210"/>
      <c r="Z81" s="209"/>
      <c r="AA81" s="211"/>
      <c r="AB81" s="209"/>
      <c r="AC81" s="211"/>
      <c r="AD81" s="211"/>
      <c r="AE81" s="211"/>
      <c r="AF81" s="211"/>
      <c r="AG81" s="211"/>
      <c r="AH81" s="3"/>
      <c r="AI81" s="227"/>
      <c r="AK81" s="187"/>
      <c r="AL81" s="187"/>
      <c r="AM81" s="187"/>
      <c r="AN81" s="187"/>
      <c r="AO81" s="187"/>
      <c r="AP81" s="187"/>
    </row>
    <row r="82" spans="1:42" s="1" customFormat="1" ht="13.5" customHeight="1">
      <c r="A82" s="11"/>
      <c r="B82" s="238" t="s">
        <v>69</v>
      </c>
      <c r="C82" s="239">
        <v>7</v>
      </c>
      <c r="D82" s="208"/>
      <c r="E82" s="209"/>
      <c r="F82" s="209"/>
      <c r="G82" s="208"/>
      <c r="H82" s="209"/>
      <c r="I82" s="209"/>
      <c r="J82" s="209"/>
      <c r="K82" s="209"/>
      <c r="L82" s="208"/>
      <c r="M82" s="208"/>
      <c r="N82" s="208"/>
      <c r="O82" s="208"/>
      <c r="P82" s="209"/>
      <c r="Q82" s="208"/>
      <c r="R82" s="208"/>
      <c r="S82" s="208"/>
      <c r="T82" s="208"/>
      <c r="U82" s="209"/>
      <c r="V82" s="208"/>
      <c r="W82" s="208"/>
      <c r="X82" s="208"/>
      <c r="Y82" s="210"/>
      <c r="Z82" s="209"/>
      <c r="AA82" s="211"/>
      <c r="AB82" s="209"/>
      <c r="AC82" s="211"/>
      <c r="AD82" s="211"/>
      <c r="AE82" s="211"/>
      <c r="AF82" s="211"/>
      <c r="AG82" s="211"/>
      <c r="AH82" s="3"/>
      <c r="AI82" s="227"/>
      <c r="AK82" s="187"/>
      <c r="AL82" s="187"/>
      <c r="AM82" s="187"/>
      <c r="AN82" s="187"/>
      <c r="AO82" s="187"/>
      <c r="AP82" s="187"/>
    </row>
    <row r="83" spans="1:42" s="1" customFormat="1" ht="4.5" customHeight="1">
      <c r="A83" s="11"/>
      <c r="B83" s="218"/>
      <c r="C83" s="219"/>
      <c r="D83" s="220"/>
      <c r="E83" s="221"/>
      <c r="F83" s="221"/>
      <c r="G83" s="220"/>
      <c r="H83" s="221"/>
      <c r="I83" s="221"/>
      <c r="J83" s="221"/>
      <c r="K83" s="221"/>
      <c r="L83" s="220"/>
      <c r="M83" s="220"/>
      <c r="N83" s="220"/>
      <c r="O83" s="220"/>
      <c r="P83" s="221"/>
      <c r="Q83" s="220"/>
      <c r="R83" s="220"/>
      <c r="S83" s="220"/>
      <c r="T83" s="220"/>
      <c r="U83" s="221"/>
      <c r="V83" s="220"/>
      <c r="W83" s="220"/>
      <c r="X83" s="220"/>
      <c r="Y83" s="222"/>
      <c r="Z83" s="221"/>
      <c r="AA83" s="223"/>
      <c r="AB83" s="221"/>
      <c r="AC83" s="3"/>
      <c r="AD83" s="168"/>
      <c r="AH83" s="3"/>
      <c r="AI83" s="227"/>
      <c r="AK83" s="187"/>
      <c r="AL83" s="187"/>
      <c r="AM83" s="187"/>
      <c r="AN83" s="187"/>
      <c r="AO83" s="187"/>
      <c r="AP83" s="187"/>
    </row>
    <row r="84" spans="1:42" s="227" customFormat="1" ht="4.5" customHeight="1">
      <c r="A84" s="228"/>
      <c r="B84" s="229"/>
      <c r="C84" s="230"/>
      <c r="D84" s="231"/>
      <c r="E84" s="232"/>
      <c r="F84" s="232"/>
      <c r="G84" s="231"/>
      <c r="H84" s="232"/>
      <c r="I84" s="232"/>
      <c r="J84" s="232"/>
      <c r="K84" s="232"/>
      <c r="L84" s="231"/>
      <c r="M84" s="231"/>
      <c r="N84" s="231"/>
      <c r="O84" s="231"/>
      <c r="P84" s="232"/>
      <c r="Q84" s="231"/>
      <c r="R84" s="231"/>
      <c r="S84" s="231"/>
      <c r="T84" s="231"/>
      <c r="U84" s="232"/>
      <c r="V84" s="231"/>
      <c r="W84" s="231"/>
      <c r="X84" s="231"/>
      <c r="Y84" s="233"/>
      <c r="Z84" s="232"/>
      <c r="AA84" s="234"/>
      <c r="AB84" s="232"/>
      <c r="AC84" s="235"/>
      <c r="AD84" s="236"/>
      <c r="AH84" s="235"/>
    </row>
    <row r="85" spans="1:42" s="187" customFormat="1" ht="4.5" customHeight="1">
      <c r="A85" s="224"/>
      <c r="B85" s="214"/>
      <c r="C85" s="215"/>
      <c r="D85" s="215"/>
      <c r="E85" s="214"/>
      <c r="F85" s="214"/>
      <c r="G85" s="215"/>
      <c r="H85" s="214"/>
      <c r="I85" s="214"/>
      <c r="J85" s="214"/>
      <c r="K85" s="214"/>
      <c r="L85" s="215"/>
      <c r="M85" s="215"/>
      <c r="N85" s="215"/>
      <c r="O85" s="215"/>
      <c r="P85" s="214"/>
      <c r="Q85" s="215"/>
      <c r="R85" s="215"/>
      <c r="S85" s="215"/>
      <c r="T85" s="215"/>
      <c r="U85" s="214"/>
      <c r="V85" s="215"/>
      <c r="W85" s="215"/>
      <c r="X85" s="215"/>
      <c r="Y85" s="216"/>
      <c r="Z85" s="214"/>
      <c r="AA85" s="225"/>
      <c r="AB85" s="214"/>
      <c r="AC85" s="226"/>
      <c r="AH85" s="226"/>
      <c r="AI85" s="227"/>
    </row>
    <row r="86" spans="1:42" s="1" customFormat="1" ht="13.5" customHeight="1">
      <c r="B86" s="1518" t="s">
        <v>18</v>
      </c>
      <c r="C86" s="1524">
        <v>45089</v>
      </c>
      <c r="D86" s="1524"/>
      <c r="E86" s="1524"/>
      <c r="F86" s="1524"/>
      <c r="G86" s="22"/>
      <c r="H86" s="1524">
        <v>45090</v>
      </c>
      <c r="I86" s="1524"/>
      <c r="J86" s="1524"/>
      <c r="K86" s="1524"/>
      <c r="L86" s="22"/>
      <c r="M86" s="1524">
        <v>45091</v>
      </c>
      <c r="N86" s="1524"/>
      <c r="O86" s="1524"/>
      <c r="P86" s="1524"/>
      <c r="Q86" s="22"/>
      <c r="R86" s="1524">
        <v>45092</v>
      </c>
      <c r="S86" s="1524"/>
      <c r="T86" s="1524"/>
      <c r="U86" s="1524"/>
      <c r="V86" s="22"/>
      <c r="W86" s="1524">
        <v>45093</v>
      </c>
      <c r="X86" s="1524"/>
      <c r="Y86" s="1524"/>
      <c r="Z86" s="1524"/>
      <c r="AA86" s="1517" t="s">
        <v>19</v>
      </c>
      <c r="AB86" s="1517" t="s">
        <v>20</v>
      </c>
      <c r="AC86" s="3"/>
      <c r="AD86" s="1524">
        <v>45094</v>
      </c>
      <c r="AE86" s="1524"/>
      <c r="AF86" s="1524"/>
      <c r="AG86" s="1517" t="s">
        <v>21</v>
      </c>
      <c r="AH86" s="3"/>
      <c r="AI86" s="227"/>
      <c r="AK86" s="194" t="s">
        <v>143</v>
      </c>
      <c r="AL86" s="195"/>
      <c r="AM86" s="195"/>
      <c r="AN86" s="195"/>
      <c r="AO86" s="195"/>
      <c r="AP86" s="195"/>
    </row>
    <row r="87" spans="1:42" s="1" customFormat="1" ht="14.25">
      <c r="B87" s="1518"/>
      <c r="C87" s="21" t="s">
        <v>23</v>
      </c>
      <c r="D87" s="21" t="s">
        <v>24</v>
      </c>
      <c r="E87" s="205" t="s">
        <v>144</v>
      </c>
      <c r="F87" s="18" t="s">
        <v>14</v>
      </c>
      <c r="G87" s="3"/>
      <c r="H87" s="21" t="s">
        <v>23</v>
      </c>
      <c r="I87" s="21" t="s">
        <v>24</v>
      </c>
      <c r="J87" s="18" t="s">
        <v>144</v>
      </c>
      <c r="K87" s="18" t="s">
        <v>14</v>
      </c>
      <c r="L87" s="3"/>
      <c r="M87" s="21" t="s">
        <v>23</v>
      </c>
      <c r="N87" s="21" t="s">
        <v>24</v>
      </c>
      <c r="O87" s="18" t="s">
        <v>144</v>
      </c>
      <c r="P87" s="18" t="s">
        <v>14</v>
      </c>
      <c r="Q87" s="3"/>
      <c r="R87" s="21" t="s">
        <v>23</v>
      </c>
      <c r="S87" s="21" t="s">
        <v>24</v>
      </c>
      <c r="T87" s="18" t="s">
        <v>25</v>
      </c>
      <c r="U87" s="18" t="s">
        <v>14</v>
      </c>
      <c r="V87" s="3"/>
      <c r="W87" s="21" t="s">
        <v>23</v>
      </c>
      <c r="X87" s="21" t="s">
        <v>24</v>
      </c>
      <c r="Y87" s="18" t="s">
        <v>25</v>
      </c>
      <c r="Z87" s="18" t="s">
        <v>14</v>
      </c>
      <c r="AA87" s="1523"/>
      <c r="AB87" s="1517"/>
      <c r="AC87" s="3"/>
      <c r="AD87" s="21" t="s">
        <v>23</v>
      </c>
      <c r="AE87" s="21" t="s">
        <v>24</v>
      </c>
      <c r="AF87" s="18" t="s">
        <v>25</v>
      </c>
      <c r="AG87" s="1523"/>
      <c r="AH87" s="3"/>
      <c r="AI87" s="227"/>
      <c r="AK87" s="188" t="s">
        <v>26</v>
      </c>
      <c r="AL87" s="196">
        <f>AA100</f>
        <v>298.25</v>
      </c>
      <c r="AM87" s="187"/>
      <c r="AN87" s="187"/>
      <c r="AO87" s="187"/>
      <c r="AP87" s="187"/>
    </row>
    <row r="88" spans="1:42" s="1" customFormat="1" ht="14.25">
      <c r="B88" s="13" t="s">
        <v>129</v>
      </c>
      <c r="C88" s="61">
        <v>0.29166666666666669</v>
      </c>
      <c r="D88" s="47">
        <v>0.16666666666666666</v>
      </c>
      <c r="E88" s="19">
        <v>8</v>
      </c>
      <c r="F88" s="277"/>
      <c r="G88" s="3"/>
      <c r="H88" s="47">
        <v>0.33333333333333331</v>
      </c>
      <c r="I88" s="47">
        <v>0.20833333333333334</v>
      </c>
      <c r="J88" s="19">
        <v>8</v>
      </c>
      <c r="K88" s="277">
        <v>1</v>
      </c>
      <c r="L88" s="3"/>
      <c r="M88" s="47">
        <v>0.33333333333333331</v>
      </c>
      <c r="N88" s="47">
        <v>0.20833333333333334</v>
      </c>
      <c r="O88" s="19">
        <v>8</v>
      </c>
      <c r="P88" s="278"/>
      <c r="Q88" s="3"/>
      <c r="R88" s="47">
        <v>0.33333333333333331</v>
      </c>
      <c r="S88" s="47">
        <v>0.20833333333333334</v>
      </c>
      <c r="T88" s="19">
        <v>8</v>
      </c>
      <c r="U88" s="278">
        <v>1</v>
      </c>
      <c r="V88" s="3"/>
      <c r="W88" s="47">
        <v>0.33333333333333331</v>
      </c>
      <c r="X88" s="47">
        <v>0.20833333333333334</v>
      </c>
      <c r="Y88" s="19">
        <v>8</v>
      </c>
      <c r="Z88" s="278"/>
      <c r="AA88" s="185">
        <f>(E88+J88+O88+T88+Y88)</f>
        <v>40</v>
      </c>
      <c r="AB88" s="282">
        <f>Z88+U88+P88+K88+F88</f>
        <v>2</v>
      </c>
      <c r="AC88" s="3"/>
      <c r="AD88" s="4">
        <v>0</v>
      </c>
      <c r="AE88" s="4">
        <v>0</v>
      </c>
      <c r="AF88" s="19">
        <v>0</v>
      </c>
      <c r="AG88" s="185">
        <f t="shared" ref="AG88:AG95" si="5">AF88</f>
        <v>0</v>
      </c>
      <c r="AH88" s="3"/>
      <c r="AI88" s="227"/>
      <c r="AK88" s="188" t="s">
        <v>30</v>
      </c>
      <c r="AL88" s="196">
        <f>AB100</f>
        <v>8</v>
      </c>
      <c r="AM88" s="187"/>
      <c r="AN88" s="187"/>
      <c r="AO88" s="187"/>
      <c r="AP88" s="187"/>
    </row>
    <row r="89" spans="1:42" s="1" customFormat="1" ht="14.25">
      <c r="B89" s="13" t="s">
        <v>131</v>
      </c>
      <c r="C89" s="61">
        <v>0.33333333333333331</v>
      </c>
      <c r="D89" s="47">
        <v>0.20833333333333334</v>
      </c>
      <c r="E89" s="19">
        <v>8</v>
      </c>
      <c r="F89" s="277"/>
      <c r="G89" s="3"/>
      <c r="H89" s="47">
        <v>0.44791666666666669</v>
      </c>
      <c r="I89" s="47">
        <v>0.20833333333333334</v>
      </c>
      <c r="J89" s="19">
        <v>6.25</v>
      </c>
      <c r="K89" s="277"/>
      <c r="L89" s="3"/>
      <c r="M89" s="47">
        <v>0.33333333333333331</v>
      </c>
      <c r="N89" s="47">
        <v>0.20833333333333334</v>
      </c>
      <c r="O89" s="19">
        <v>8</v>
      </c>
      <c r="P89" s="278"/>
      <c r="Q89" s="3"/>
      <c r="R89" s="4">
        <v>0</v>
      </c>
      <c r="S89" s="4">
        <v>0</v>
      </c>
      <c r="T89" s="19">
        <v>0</v>
      </c>
      <c r="U89" s="278"/>
      <c r="V89" s="3"/>
      <c r="W89" s="4">
        <v>0</v>
      </c>
      <c r="X89" s="4">
        <v>0</v>
      </c>
      <c r="Y89" s="19">
        <v>0</v>
      </c>
      <c r="Z89" s="278"/>
      <c r="AA89" s="29">
        <f>(E89+J89+O89+T89+Y89)</f>
        <v>22.25</v>
      </c>
      <c r="AB89" s="282">
        <f t="shared" ref="AB89:AB99" si="6">Z89+U89+P89+K89+F89</f>
        <v>0</v>
      </c>
      <c r="AC89" s="3"/>
      <c r="AD89" s="4">
        <v>0</v>
      </c>
      <c r="AE89" s="4">
        <v>0</v>
      </c>
      <c r="AF89" s="19">
        <v>0</v>
      </c>
      <c r="AG89" s="185">
        <f t="shared" si="5"/>
        <v>0</v>
      </c>
      <c r="AH89" s="3"/>
      <c r="AI89" s="227"/>
      <c r="AK89" s="188" t="s">
        <v>32</v>
      </c>
      <c r="AL89" s="190">
        <f>AG100</f>
        <v>25</v>
      </c>
      <c r="AM89" s="187"/>
      <c r="AN89" s="187"/>
      <c r="AO89" s="187"/>
      <c r="AP89" s="187"/>
    </row>
    <row r="90" spans="1:42" s="1" customFormat="1" ht="14.25">
      <c r="B90" s="13" t="s">
        <v>132</v>
      </c>
      <c r="C90" s="61">
        <v>0.33333333333333331</v>
      </c>
      <c r="D90" s="47">
        <v>0.20833333333333334</v>
      </c>
      <c r="E90" s="19">
        <v>8</v>
      </c>
      <c r="F90" s="277"/>
      <c r="G90" s="3"/>
      <c r="H90" s="47">
        <v>0.33333333333333331</v>
      </c>
      <c r="I90" s="47">
        <v>0.20833333333333334</v>
      </c>
      <c r="J90" s="19">
        <v>8</v>
      </c>
      <c r="K90" s="277">
        <v>1</v>
      </c>
      <c r="L90" s="3"/>
      <c r="M90" s="47">
        <v>0.33333333333333331</v>
      </c>
      <c r="N90" s="47">
        <v>0.20833333333333334</v>
      </c>
      <c r="O90" s="19">
        <v>8</v>
      </c>
      <c r="P90" s="278"/>
      <c r="Q90" s="3"/>
      <c r="R90" s="47">
        <v>0.33333333333333331</v>
      </c>
      <c r="S90" s="47">
        <v>0.20833333333333334</v>
      </c>
      <c r="T90" s="19">
        <v>8</v>
      </c>
      <c r="U90" s="278">
        <v>1</v>
      </c>
      <c r="V90" s="3"/>
      <c r="W90" s="47">
        <v>0.33333333333333331</v>
      </c>
      <c r="X90" s="47">
        <v>0.20833333333333334</v>
      </c>
      <c r="Y90" s="19">
        <v>8</v>
      </c>
      <c r="Z90" s="278"/>
      <c r="AA90" s="185">
        <f>(E90+J90+O90+T90+Y90)</f>
        <v>40</v>
      </c>
      <c r="AB90" s="282">
        <f t="shared" si="6"/>
        <v>2</v>
      </c>
      <c r="AC90" s="3"/>
      <c r="AD90" s="47">
        <v>0.375</v>
      </c>
      <c r="AE90" s="47">
        <v>0.20833333333333334</v>
      </c>
      <c r="AF90" s="19">
        <v>8</v>
      </c>
      <c r="AG90" s="185">
        <f t="shared" si="5"/>
        <v>8</v>
      </c>
      <c r="AH90" s="3"/>
      <c r="AI90" s="227"/>
      <c r="AK90" s="188" t="s">
        <v>34</v>
      </c>
      <c r="AL90" s="196">
        <f>AA103</f>
        <v>38.049999999999997</v>
      </c>
      <c r="AM90" s="187"/>
      <c r="AN90" s="187"/>
      <c r="AO90" s="187"/>
      <c r="AP90" s="187"/>
    </row>
    <row r="91" spans="1:42" s="1" customFormat="1" ht="14.25">
      <c r="B91" s="13" t="s">
        <v>35</v>
      </c>
      <c r="C91" s="4">
        <v>0</v>
      </c>
      <c r="D91" s="4">
        <v>0</v>
      </c>
      <c r="E91" s="19">
        <v>0</v>
      </c>
      <c r="F91" s="277"/>
      <c r="G91" s="3"/>
      <c r="H91" s="4">
        <v>0</v>
      </c>
      <c r="I91" s="4">
        <v>0</v>
      </c>
      <c r="J91" s="19">
        <v>0</v>
      </c>
      <c r="K91" s="277"/>
      <c r="L91" s="3"/>
      <c r="M91" s="47">
        <v>0.33333333333333331</v>
      </c>
      <c r="N91" s="47">
        <v>0.20833333333333334</v>
      </c>
      <c r="O91" s="19">
        <v>8</v>
      </c>
      <c r="P91" s="278"/>
      <c r="Q91" s="3"/>
      <c r="R91" s="47">
        <v>0.33333333333333331</v>
      </c>
      <c r="S91" s="47">
        <v>0.20833333333333334</v>
      </c>
      <c r="T91" s="19">
        <v>8</v>
      </c>
      <c r="U91" s="278">
        <v>1</v>
      </c>
      <c r="V91" s="3"/>
      <c r="W91" s="47">
        <v>0.33333333333333331</v>
      </c>
      <c r="X91" s="47">
        <v>0.20833333333333334</v>
      </c>
      <c r="Y91" s="19">
        <v>8</v>
      </c>
      <c r="Z91" s="278"/>
      <c r="AA91" s="185">
        <f>(E91+J91+O91+T91+Y91)</f>
        <v>24</v>
      </c>
      <c r="AB91" s="282">
        <f t="shared" si="6"/>
        <v>1</v>
      </c>
      <c r="AC91" s="3"/>
      <c r="AD91" s="47">
        <v>0.375</v>
      </c>
      <c r="AE91" s="47">
        <v>0.20833333333333334</v>
      </c>
      <c r="AF91" s="19">
        <v>8</v>
      </c>
      <c r="AG91" s="185">
        <f t="shared" si="5"/>
        <v>8</v>
      </c>
      <c r="AH91" s="3"/>
      <c r="AI91" s="227"/>
      <c r="AK91" s="188" t="s">
        <v>145</v>
      </c>
      <c r="AL91" s="196">
        <f>AB103</f>
        <v>0.75</v>
      </c>
      <c r="AM91" s="187"/>
      <c r="AN91" s="187"/>
      <c r="AO91" s="187"/>
      <c r="AP91" s="187"/>
    </row>
    <row r="92" spans="1:42" s="1" customFormat="1" ht="14.25">
      <c r="B92" s="13" t="s">
        <v>37</v>
      </c>
      <c r="C92" s="4">
        <v>0</v>
      </c>
      <c r="D92" s="4">
        <v>0</v>
      </c>
      <c r="E92" s="19">
        <v>0</v>
      </c>
      <c r="F92" s="277"/>
      <c r="G92" s="3"/>
      <c r="H92" s="47">
        <v>0.33333333333333331</v>
      </c>
      <c r="I92" s="47">
        <v>0.20833333333333334</v>
      </c>
      <c r="J92" s="19">
        <v>8</v>
      </c>
      <c r="K92" s="277">
        <v>1</v>
      </c>
      <c r="L92" s="3"/>
      <c r="M92" s="47">
        <v>0.33333333333333331</v>
      </c>
      <c r="N92" s="47">
        <v>0.20833333333333334</v>
      </c>
      <c r="O92" s="19">
        <v>8</v>
      </c>
      <c r="P92" s="278"/>
      <c r="Q92" s="3"/>
      <c r="R92" s="47">
        <v>0.33333333333333331</v>
      </c>
      <c r="S92" s="47">
        <v>0.20833333333333334</v>
      </c>
      <c r="T92" s="19">
        <v>8</v>
      </c>
      <c r="U92" s="278">
        <v>1</v>
      </c>
      <c r="V92" s="3"/>
      <c r="W92" s="47">
        <v>0.33333333333333331</v>
      </c>
      <c r="X92" s="47">
        <v>0.20833333333333334</v>
      </c>
      <c r="Y92" s="19">
        <v>8</v>
      </c>
      <c r="Z92" s="278"/>
      <c r="AA92" s="185">
        <f t="shared" ref="AA92:AA99" si="7">(E92+J92+O92+T92+Y92)</f>
        <v>32</v>
      </c>
      <c r="AB92" s="282">
        <f t="shared" si="6"/>
        <v>2</v>
      </c>
      <c r="AC92" s="3"/>
      <c r="AD92" s="4">
        <v>0</v>
      </c>
      <c r="AE92" s="4">
        <v>0</v>
      </c>
      <c r="AF92" s="19">
        <v>0</v>
      </c>
      <c r="AG92" s="185">
        <f t="shared" si="5"/>
        <v>0</v>
      </c>
      <c r="AH92" s="3"/>
      <c r="AI92" s="227"/>
      <c r="AK92" s="188" t="s">
        <v>38</v>
      </c>
      <c r="AL92" s="196">
        <f>AG103</f>
        <v>2.25</v>
      </c>
      <c r="AM92" s="187"/>
      <c r="AN92" s="187"/>
      <c r="AO92" s="187"/>
      <c r="AP92" s="187"/>
    </row>
    <row r="93" spans="1:42" s="1" customFormat="1" ht="14.25">
      <c r="B93" s="13" t="s">
        <v>141</v>
      </c>
      <c r="C93" s="47">
        <v>0.29166666666666669</v>
      </c>
      <c r="D93" s="47">
        <v>0.16666666666666666</v>
      </c>
      <c r="E93" s="19">
        <v>8</v>
      </c>
      <c r="F93" s="277"/>
      <c r="G93" s="3"/>
      <c r="H93" s="4">
        <v>0</v>
      </c>
      <c r="I93" s="4">
        <v>0</v>
      </c>
      <c r="J93" s="19">
        <v>0</v>
      </c>
      <c r="K93" s="277"/>
      <c r="L93" s="3"/>
      <c r="M93" s="47">
        <v>0.33333333333333331</v>
      </c>
      <c r="N93" s="47">
        <v>0.20833333333333334</v>
      </c>
      <c r="O93" s="19">
        <v>8</v>
      </c>
      <c r="P93" s="278"/>
      <c r="Q93" s="3"/>
      <c r="R93" s="47">
        <v>0.33333333333333331</v>
      </c>
      <c r="S93" s="47">
        <v>0.20833333333333334</v>
      </c>
      <c r="T93" s="19">
        <v>8</v>
      </c>
      <c r="U93" s="278">
        <v>1</v>
      </c>
      <c r="V93" s="3"/>
      <c r="W93" s="47">
        <v>0.33333333333333331</v>
      </c>
      <c r="X93" s="47">
        <v>0.10416666666666667</v>
      </c>
      <c r="Y93" s="19">
        <v>6.5</v>
      </c>
      <c r="Z93" s="278"/>
      <c r="AA93" s="184">
        <f t="shared" si="7"/>
        <v>30.5</v>
      </c>
      <c r="AB93" s="282">
        <f t="shared" si="6"/>
        <v>1</v>
      </c>
      <c r="AC93" s="3"/>
      <c r="AD93" s="4">
        <v>0</v>
      </c>
      <c r="AE93" s="4">
        <v>0</v>
      </c>
      <c r="AF93" s="19">
        <v>0</v>
      </c>
      <c r="AG93" s="185">
        <f t="shared" si="5"/>
        <v>0</v>
      </c>
      <c r="AH93" s="3"/>
      <c r="AI93" s="227"/>
      <c r="AK93" s="188" t="s">
        <v>41</v>
      </c>
      <c r="AL93" s="189">
        <f>C104</f>
        <v>40</v>
      </c>
      <c r="AM93" s="187"/>
      <c r="AN93" s="187"/>
      <c r="AO93" s="187"/>
      <c r="AP93" s="187"/>
    </row>
    <row r="94" spans="1:42" s="1" customFormat="1" ht="14.25">
      <c r="B94" s="13" t="s">
        <v>142</v>
      </c>
      <c r="C94" s="47">
        <v>0.34375</v>
      </c>
      <c r="D94" s="47">
        <v>0.20833333333333334</v>
      </c>
      <c r="E94" s="19">
        <v>8</v>
      </c>
      <c r="F94" s="277"/>
      <c r="G94" s="3"/>
      <c r="H94" s="4">
        <v>0</v>
      </c>
      <c r="I94" s="4">
        <v>0</v>
      </c>
      <c r="J94" s="19">
        <v>0</v>
      </c>
      <c r="K94" s="277"/>
      <c r="L94" s="3"/>
      <c r="M94" s="4">
        <v>0</v>
      </c>
      <c r="N94" s="4">
        <v>0</v>
      </c>
      <c r="O94" s="19">
        <v>0</v>
      </c>
      <c r="P94" s="278"/>
      <c r="Q94" s="3"/>
      <c r="R94" s="4">
        <v>0</v>
      </c>
      <c r="S94" s="4">
        <v>0</v>
      </c>
      <c r="T94" s="19">
        <v>0</v>
      </c>
      <c r="U94" s="278"/>
      <c r="V94" s="3"/>
      <c r="W94" s="47">
        <v>0.375</v>
      </c>
      <c r="X94" s="47">
        <v>0.20833333333333334</v>
      </c>
      <c r="Y94" s="19">
        <v>8</v>
      </c>
      <c r="Z94" s="278"/>
      <c r="AA94" s="185">
        <f t="shared" si="7"/>
        <v>16</v>
      </c>
      <c r="AB94" s="282">
        <f t="shared" si="6"/>
        <v>0</v>
      </c>
      <c r="AC94" s="3"/>
      <c r="AD94" s="4">
        <v>0</v>
      </c>
      <c r="AE94" s="4">
        <v>0</v>
      </c>
      <c r="AF94" s="19">
        <v>0</v>
      </c>
      <c r="AG94" s="185">
        <f t="shared" si="5"/>
        <v>0</v>
      </c>
      <c r="AH94" s="3"/>
      <c r="AI94" s="227"/>
      <c r="AK94" s="187"/>
      <c r="AL94" s="187"/>
      <c r="AM94" s="187"/>
      <c r="AN94" s="187"/>
      <c r="AO94" s="187"/>
      <c r="AP94" s="187"/>
    </row>
    <row r="95" spans="1:42" s="1" customFormat="1" ht="14.25">
      <c r="B95" s="13" t="s">
        <v>55</v>
      </c>
      <c r="C95" s="4">
        <v>0</v>
      </c>
      <c r="D95" s="4">
        <v>0</v>
      </c>
      <c r="E95" s="19">
        <v>0</v>
      </c>
      <c r="F95" s="277"/>
      <c r="G95" s="3"/>
      <c r="H95" s="47">
        <v>0.35416666666666669</v>
      </c>
      <c r="I95" s="47">
        <v>0.5</v>
      </c>
      <c r="J95" s="19">
        <v>3.5</v>
      </c>
      <c r="K95" s="277"/>
      <c r="L95" s="3"/>
      <c r="M95" s="4">
        <v>0</v>
      </c>
      <c r="N95" s="4">
        <v>0</v>
      </c>
      <c r="O95" s="19">
        <v>0</v>
      </c>
      <c r="P95" s="278"/>
      <c r="Q95" s="3"/>
      <c r="R95" s="4">
        <v>0</v>
      </c>
      <c r="S95" s="4">
        <v>0</v>
      </c>
      <c r="T95" s="19">
        <v>0</v>
      </c>
      <c r="U95" s="278"/>
      <c r="V95" s="3"/>
      <c r="W95" s="4">
        <v>0</v>
      </c>
      <c r="X95" s="4">
        <v>0</v>
      </c>
      <c r="Y95" s="19">
        <v>0</v>
      </c>
      <c r="Z95" s="278"/>
      <c r="AA95" s="184">
        <f t="shared" si="7"/>
        <v>3.5</v>
      </c>
      <c r="AB95" s="282">
        <f t="shared" si="6"/>
        <v>0</v>
      </c>
      <c r="AC95" s="3"/>
      <c r="AD95" s="47">
        <v>0.33333333333333331</v>
      </c>
      <c r="AE95" s="47">
        <v>0.20833333333333334</v>
      </c>
      <c r="AF95" s="19">
        <v>9</v>
      </c>
      <c r="AG95" s="185">
        <f t="shared" si="5"/>
        <v>9</v>
      </c>
      <c r="AH95" s="3"/>
      <c r="AI95" s="227"/>
      <c r="AK95" s="187"/>
      <c r="AL95" s="187"/>
      <c r="AM95" s="187"/>
      <c r="AN95" s="187"/>
      <c r="AO95" s="187"/>
      <c r="AP95" s="187"/>
    </row>
    <row r="96" spans="1:42" s="1" customFormat="1" ht="14.25">
      <c r="B96" s="138" t="s">
        <v>31</v>
      </c>
      <c r="C96" s="47">
        <v>0.375</v>
      </c>
      <c r="D96" s="47">
        <v>0.125</v>
      </c>
      <c r="E96" s="19">
        <v>6</v>
      </c>
      <c r="F96" s="278"/>
      <c r="G96" s="3"/>
      <c r="H96" s="47">
        <v>0.375</v>
      </c>
      <c r="I96" s="47">
        <v>0.14583333333333334</v>
      </c>
      <c r="J96" s="19">
        <v>6</v>
      </c>
      <c r="K96" s="278"/>
      <c r="L96" s="3"/>
      <c r="M96" s="47">
        <v>0.375</v>
      </c>
      <c r="N96" s="47">
        <v>0.125</v>
      </c>
      <c r="O96" s="19">
        <v>6</v>
      </c>
      <c r="P96" s="278"/>
      <c r="Q96" s="3"/>
      <c r="R96" s="47">
        <v>0.375</v>
      </c>
      <c r="S96" s="47">
        <v>0.125</v>
      </c>
      <c r="T96" s="19">
        <v>6</v>
      </c>
      <c r="U96" s="278"/>
      <c r="V96" s="3"/>
      <c r="W96" s="47">
        <v>0.375</v>
      </c>
      <c r="X96" s="47">
        <v>0.125</v>
      </c>
      <c r="Y96" s="19">
        <v>6</v>
      </c>
      <c r="Z96" s="278"/>
      <c r="AA96" s="185">
        <f t="shared" si="7"/>
        <v>30</v>
      </c>
      <c r="AB96" s="282">
        <f t="shared" si="6"/>
        <v>0</v>
      </c>
      <c r="AC96" s="3"/>
      <c r="AD96" s="4">
        <v>0</v>
      </c>
      <c r="AE96" s="4">
        <v>0</v>
      </c>
      <c r="AF96" s="19">
        <v>0</v>
      </c>
      <c r="AG96" s="185">
        <f>AF96</f>
        <v>0</v>
      </c>
      <c r="AH96" s="3"/>
      <c r="AI96" s="227"/>
      <c r="AK96" s="187"/>
      <c r="AL96" s="187"/>
      <c r="AM96" s="187"/>
      <c r="AN96" s="187"/>
      <c r="AO96" s="187"/>
      <c r="AP96" s="187"/>
    </row>
    <row r="97" spans="1:42" s="1" customFormat="1" ht="14.25">
      <c r="B97" s="138" t="s">
        <v>39</v>
      </c>
      <c r="C97" s="4">
        <v>0</v>
      </c>
      <c r="D97" s="4">
        <v>0</v>
      </c>
      <c r="E97" s="19">
        <v>0</v>
      </c>
      <c r="F97" s="278"/>
      <c r="G97" s="3"/>
      <c r="H97" s="47">
        <v>0</v>
      </c>
      <c r="I97" s="4">
        <v>0</v>
      </c>
      <c r="J97" s="19">
        <v>0</v>
      </c>
      <c r="K97" s="278"/>
      <c r="L97" s="3"/>
      <c r="M97" s="47">
        <v>0</v>
      </c>
      <c r="N97" s="47">
        <v>0</v>
      </c>
      <c r="O97" s="19">
        <v>0</v>
      </c>
      <c r="P97" s="278"/>
      <c r="Q97" s="3"/>
      <c r="R97" s="47">
        <v>0</v>
      </c>
      <c r="S97" s="47">
        <v>0</v>
      </c>
      <c r="T97" s="19">
        <v>0</v>
      </c>
      <c r="U97" s="278"/>
      <c r="V97" s="3"/>
      <c r="W97" s="47">
        <v>0</v>
      </c>
      <c r="X97" s="47">
        <v>0</v>
      </c>
      <c r="Y97" s="19">
        <v>0</v>
      </c>
      <c r="Z97" s="278"/>
      <c r="AA97" s="185">
        <f t="shared" si="7"/>
        <v>0</v>
      </c>
      <c r="AB97" s="282">
        <f t="shared" si="6"/>
        <v>0</v>
      </c>
      <c r="AC97" s="3"/>
      <c r="AD97" s="4">
        <v>0</v>
      </c>
      <c r="AE97" s="4">
        <v>0</v>
      </c>
      <c r="AF97" s="19">
        <v>0</v>
      </c>
      <c r="AG97" s="185">
        <f>AF97</f>
        <v>0</v>
      </c>
      <c r="AH97" s="3"/>
      <c r="AI97" s="227"/>
      <c r="AK97" s="187"/>
      <c r="AL97" s="187"/>
      <c r="AM97" s="187"/>
      <c r="AN97" s="187"/>
      <c r="AO97" s="187"/>
      <c r="AP97" s="187"/>
    </row>
    <row r="98" spans="1:42" s="1" customFormat="1" ht="14.25">
      <c r="B98" s="138" t="s">
        <v>146</v>
      </c>
      <c r="C98" s="47">
        <v>0.375</v>
      </c>
      <c r="D98" s="47">
        <v>0.125</v>
      </c>
      <c r="E98" s="19">
        <v>6</v>
      </c>
      <c r="F98" s="278"/>
      <c r="G98" s="3"/>
      <c r="H98" s="47">
        <v>0.375</v>
      </c>
      <c r="I98" s="47">
        <v>0.125</v>
      </c>
      <c r="J98" s="19">
        <v>6</v>
      </c>
      <c r="K98" s="278"/>
      <c r="L98" s="3"/>
      <c r="M98" s="47">
        <v>0.375</v>
      </c>
      <c r="N98" s="47">
        <v>0.125</v>
      </c>
      <c r="O98" s="19">
        <v>6</v>
      </c>
      <c r="P98" s="278"/>
      <c r="Q98" s="3"/>
      <c r="R98" s="47">
        <v>0.375</v>
      </c>
      <c r="S98" s="47">
        <v>0.125</v>
      </c>
      <c r="T98" s="19">
        <v>6</v>
      </c>
      <c r="U98" s="278"/>
      <c r="V98" s="3"/>
      <c r="W98" s="47">
        <v>0.375</v>
      </c>
      <c r="X98" s="47">
        <v>0.125</v>
      </c>
      <c r="Y98" s="179">
        <v>6</v>
      </c>
      <c r="Z98" s="278"/>
      <c r="AA98" s="185">
        <f t="shared" si="7"/>
        <v>30</v>
      </c>
      <c r="AB98" s="282">
        <f t="shared" si="6"/>
        <v>0</v>
      </c>
      <c r="AC98" s="3"/>
      <c r="AD98" s="4">
        <v>0</v>
      </c>
      <c r="AE98" s="4">
        <v>0</v>
      </c>
      <c r="AF98" s="19">
        <v>0</v>
      </c>
      <c r="AG98" s="185">
        <f>AF98</f>
        <v>0</v>
      </c>
      <c r="AH98" s="3"/>
      <c r="AI98" s="227"/>
      <c r="AK98" s="187"/>
      <c r="AL98" s="187"/>
      <c r="AM98" s="187"/>
      <c r="AN98" s="187"/>
      <c r="AO98" s="187"/>
      <c r="AP98" s="187"/>
    </row>
    <row r="99" spans="1:42" s="1" customFormat="1" ht="14.25">
      <c r="B99" s="138" t="s">
        <v>147</v>
      </c>
      <c r="C99" s="47">
        <v>0.375</v>
      </c>
      <c r="D99" s="47">
        <v>0.125</v>
      </c>
      <c r="E99" s="19">
        <v>6</v>
      </c>
      <c r="F99" s="278"/>
      <c r="G99" s="3"/>
      <c r="H99" s="47">
        <v>0.375</v>
      </c>
      <c r="I99" s="47">
        <v>0.125</v>
      </c>
      <c r="J99" s="19">
        <v>6</v>
      </c>
      <c r="K99" s="278"/>
      <c r="L99" s="3"/>
      <c r="M99" s="47">
        <v>0.375</v>
      </c>
      <c r="N99" s="47">
        <v>0.125</v>
      </c>
      <c r="O99" s="19">
        <v>6</v>
      </c>
      <c r="P99" s="278"/>
      <c r="Q99" s="3"/>
      <c r="R99" s="47">
        <v>0.375</v>
      </c>
      <c r="S99" s="47">
        <v>0.125</v>
      </c>
      <c r="T99" s="19">
        <v>6</v>
      </c>
      <c r="U99" s="278"/>
      <c r="V99" s="3"/>
      <c r="W99" s="47">
        <v>0.375</v>
      </c>
      <c r="X99" s="47">
        <v>0.125</v>
      </c>
      <c r="Y99" s="179">
        <v>6</v>
      </c>
      <c r="Z99" s="278"/>
      <c r="AA99" s="185">
        <f t="shared" si="7"/>
        <v>30</v>
      </c>
      <c r="AB99" s="282">
        <f t="shared" si="6"/>
        <v>0</v>
      </c>
      <c r="AC99" s="3"/>
      <c r="AD99" s="4">
        <v>0</v>
      </c>
      <c r="AE99" s="4">
        <v>0</v>
      </c>
      <c r="AF99" s="19">
        <v>0</v>
      </c>
      <c r="AG99" s="185">
        <f>AF99</f>
        <v>0</v>
      </c>
      <c r="AH99" s="3"/>
      <c r="AI99" s="227"/>
      <c r="AK99" s="187"/>
      <c r="AL99" s="187"/>
      <c r="AM99" s="187"/>
      <c r="AN99" s="187"/>
      <c r="AO99" s="187"/>
      <c r="AP99" s="187"/>
    </row>
    <row r="100" spans="1:42" s="1" customFormat="1">
      <c r="B100" s="64" t="s">
        <v>61</v>
      </c>
      <c r="C100" s="64"/>
      <c r="D100" s="64"/>
      <c r="E100" s="167">
        <f>SUM(E88:E99)</f>
        <v>58</v>
      </c>
      <c r="F100" s="278">
        <f>SUM(F88:F99)</f>
        <v>0</v>
      </c>
      <c r="G100" s="3"/>
      <c r="H100" s="64"/>
      <c r="I100" s="64"/>
      <c r="J100" s="167">
        <f>SUM(J88:J99)</f>
        <v>51.75</v>
      </c>
      <c r="K100" s="278">
        <f>SUM(K88:K99)</f>
        <v>3</v>
      </c>
      <c r="L100" s="3"/>
      <c r="M100" s="64"/>
      <c r="N100" s="64"/>
      <c r="O100" s="167">
        <f>SUM(O88:O99)</f>
        <v>66</v>
      </c>
      <c r="P100" s="278">
        <f>SUM(P88:P99)</f>
        <v>0</v>
      </c>
      <c r="Q100" s="3"/>
      <c r="R100" s="64"/>
      <c r="S100" s="64"/>
      <c r="T100" s="167">
        <f>SUM(T88:T99)</f>
        <v>58</v>
      </c>
      <c r="U100" s="278">
        <f>SUM(U88:U99)</f>
        <v>5</v>
      </c>
      <c r="V100" s="3"/>
      <c r="W100" s="64"/>
      <c r="X100" s="64"/>
      <c r="Y100" s="285">
        <f>SUM(Y88:Y99)</f>
        <v>64.5</v>
      </c>
      <c r="Z100" s="278">
        <f>SUM(Z88:Z99)</f>
        <v>0</v>
      </c>
      <c r="AA100" s="182">
        <f>SUM(AA88:AA99)</f>
        <v>298.25</v>
      </c>
      <c r="AB100" s="289">
        <f>SUM(AB88:AB99)</f>
        <v>8</v>
      </c>
      <c r="AC100" s="3"/>
      <c r="AD100" s="64"/>
      <c r="AE100" s="64"/>
      <c r="AF100" s="64"/>
      <c r="AG100" s="249">
        <f>SUM(AG88:AG95)</f>
        <v>25</v>
      </c>
      <c r="AH100" s="3"/>
      <c r="AI100" s="227"/>
      <c r="AK100" s="187"/>
      <c r="AL100" s="187"/>
      <c r="AM100" s="187"/>
      <c r="AN100" s="187"/>
      <c r="AO100" s="187"/>
      <c r="AP100" s="187"/>
    </row>
    <row r="101" spans="1:42" s="1" customFormat="1">
      <c r="B101" s="31" t="s">
        <v>64</v>
      </c>
      <c r="C101" s="56"/>
      <c r="D101" s="57"/>
      <c r="E101" s="19">
        <f>2.25</f>
        <v>2.25</v>
      </c>
      <c r="F101" s="280"/>
      <c r="G101" s="3"/>
      <c r="H101" s="57"/>
      <c r="I101" s="57"/>
      <c r="J101" s="19">
        <v>4.75</v>
      </c>
      <c r="K101" s="280">
        <v>0</v>
      </c>
      <c r="L101" s="59"/>
      <c r="M101" s="57"/>
      <c r="N101" s="57"/>
      <c r="O101" s="19">
        <v>3.5</v>
      </c>
      <c r="P101" s="280">
        <v>0</v>
      </c>
      <c r="Q101" s="3"/>
      <c r="R101" s="57"/>
      <c r="S101" s="57"/>
      <c r="T101" s="19">
        <f>3+(1*1.5)</f>
        <v>4.5</v>
      </c>
      <c r="U101" s="280">
        <v>0</v>
      </c>
      <c r="V101" s="3"/>
      <c r="W101" s="57"/>
      <c r="X101" s="57"/>
      <c r="Y101" s="19">
        <f>5.5+(1.7*1.5)</f>
        <v>8.0500000000000007</v>
      </c>
      <c r="Z101" s="280">
        <v>0.75</v>
      </c>
      <c r="AA101" s="28">
        <f>SUM(E101:Y101)</f>
        <v>23.05</v>
      </c>
      <c r="AB101" s="290">
        <f>Z101+U101+P101+K101</f>
        <v>0.75</v>
      </c>
      <c r="AC101" s="3"/>
      <c r="AD101" s="56"/>
      <c r="AE101" s="56"/>
      <c r="AF101" s="19">
        <v>2.25</v>
      </c>
      <c r="AG101" s="29">
        <f>AF101</f>
        <v>2.25</v>
      </c>
      <c r="AH101" s="3"/>
      <c r="AI101" s="227"/>
      <c r="AK101" s="187"/>
      <c r="AL101" s="187"/>
      <c r="AM101" s="187"/>
      <c r="AN101" s="187"/>
      <c r="AO101" s="187"/>
      <c r="AP101" s="187"/>
    </row>
    <row r="102" spans="1:42" s="1" customFormat="1" ht="14.25" thickBot="1">
      <c r="B102" s="74" t="s">
        <v>65</v>
      </c>
      <c r="C102" s="75"/>
      <c r="D102" s="76"/>
      <c r="E102" s="77">
        <v>3</v>
      </c>
      <c r="F102" s="281"/>
      <c r="G102" s="78"/>
      <c r="H102" s="76"/>
      <c r="I102" s="76"/>
      <c r="J102" s="77">
        <v>3</v>
      </c>
      <c r="K102" s="281">
        <v>0</v>
      </c>
      <c r="L102" s="78"/>
      <c r="M102" s="76"/>
      <c r="N102" s="76"/>
      <c r="O102" s="77">
        <v>3</v>
      </c>
      <c r="P102" s="281">
        <v>0</v>
      </c>
      <c r="Q102" s="78"/>
      <c r="R102" s="76"/>
      <c r="S102" s="76"/>
      <c r="T102" s="77">
        <v>3</v>
      </c>
      <c r="U102" s="281">
        <v>0</v>
      </c>
      <c r="V102" s="78"/>
      <c r="W102" s="76"/>
      <c r="X102" s="76"/>
      <c r="Y102" s="77">
        <v>3</v>
      </c>
      <c r="Z102" s="281">
        <v>0</v>
      </c>
      <c r="AA102" s="80">
        <f>SUM(E102:Y102)</f>
        <v>15</v>
      </c>
      <c r="AB102" s="287">
        <v>0</v>
      </c>
      <c r="AC102" s="3"/>
      <c r="AD102" s="75"/>
      <c r="AE102" s="75"/>
      <c r="AF102" s="77"/>
      <c r="AG102" s="80"/>
      <c r="AH102" s="3"/>
      <c r="AI102" s="227"/>
      <c r="AK102" s="187"/>
      <c r="AL102" s="187"/>
      <c r="AM102" s="187"/>
      <c r="AN102" s="187"/>
      <c r="AO102" s="187"/>
      <c r="AP102" s="187"/>
    </row>
    <row r="103" spans="1:42" s="187" customFormat="1" ht="13.5" customHeight="1" thickTop="1">
      <c r="A103" s="224"/>
      <c r="B103" s="214" t="s">
        <v>66</v>
      </c>
      <c r="C103" s="215"/>
      <c r="D103" s="215"/>
      <c r="E103" s="214">
        <f>SUM(E101:E102)</f>
        <v>5.25</v>
      </c>
      <c r="F103" s="214"/>
      <c r="G103" s="215"/>
      <c r="H103" s="214"/>
      <c r="I103" s="214"/>
      <c r="J103" s="214">
        <f>SUM(J101:J102)</f>
        <v>7.75</v>
      </c>
      <c r="K103" s="214"/>
      <c r="L103" s="215"/>
      <c r="M103" s="215"/>
      <c r="N103" s="215"/>
      <c r="O103" s="214">
        <f>SUM(O101:O102)</f>
        <v>6.5</v>
      </c>
      <c r="P103" s="214"/>
      <c r="Q103" s="214"/>
      <c r="R103" s="214"/>
      <c r="S103" s="214"/>
      <c r="T103" s="214">
        <f>SUM(T101:T102)</f>
        <v>7.5</v>
      </c>
      <c r="U103" s="214"/>
      <c r="V103" s="214"/>
      <c r="W103" s="214"/>
      <c r="X103" s="214"/>
      <c r="Y103" s="214">
        <f>SUM(Y101:Y102)</f>
        <v>11.05</v>
      </c>
      <c r="Z103" s="214"/>
      <c r="AA103" s="247">
        <f>SUM(AA101:AA102)</f>
        <v>38.049999999999997</v>
      </c>
      <c r="AB103" s="247">
        <f>SUM(AB102+AB101)</f>
        <v>0.75</v>
      </c>
      <c r="AC103" s="226"/>
      <c r="AD103" s="241"/>
      <c r="AG103" s="247">
        <f>SUM(AG101:AG102)</f>
        <v>2.25</v>
      </c>
      <c r="AH103" s="3"/>
      <c r="AI103" s="227"/>
      <c r="AJ103" s="1"/>
    </row>
    <row r="104" spans="1:42" s="1" customFormat="1" ht="13.5" customHeight="1">
      <c r="A104" s="11"/>
      <c r="B104" s="217" t="s">
        <v>67</v>
      </c>
      <c r="C104" s="207">
        <f>C105+C106</f>
        <v>40</v>
      </c>
      <c r="D104" s="208"/>
      <c r="E104" s="209"/>
      <c r="F104" s="209"/>
      <c r="G104" s="208"/>
      <c r="H104" s="209"/>
      <c r="I104" s="209"/>
      <c r="J104" s="209"/>
      <c r="K104" s="209"/>
      <c r="L104" s="208"/>
      <c r="M104" s="208"/>
      <c r="N104" s="208"/>
      <c r="O104" s="208"/>
      <c r="P104" s="209"/>
      <c r="Q104" s="208"/>
      <c r="R104" s="208"/>
      <c r="S104" s="208"/>
      <c r="T104" s="208"/>
      <c r="U104" s="209"/>
      <c r="V104" s="208"/>
      <c r="W104" s="208"/>
      <c r="X104" s="208"/>
      <c r="Y104" s="210"/>
      <c r="Z104" s="209"/>
      <c r="AA104" s="211"/>
      <c r="AB104" s="211"/>
      <c r="AC104" s="211"/>
      <c r="AD104" s="211"/>
      <c r="AE104" s="211"/>
      <c r="AF104" s="211"/>
      <c r="AG104" s="211"/>
      <c r="AH104" s="3"/>
      <c r="AI104" s="227"/>
      <c r="AK104" s="187"/>
      <c r="AL104" s="187"/>
      <c r="AM104" s="187"/>
      <c r="AN104" s="187"/>
      <c r="AO104" s="187"/>
      <c r="AP104" s="187"/>
    </row>
    <row r="105" spans="1:42" s="1" customFormat="1" ht="13.5" customHeight="1">
      <c r="A105" s="11"/>
      <c r="B105" s="238" t="s">
        <v>68</v>
      </c>
      <c r="C105" s="239">
        <v>40</v>
      </c>
      <c r="D105" s="208"/>
      <c r="E105" s="209"/>
      <c r="F105" s="209"/>
      <c r="G105" s="208"/>
      <c r="H105" s="209"/>
      <c r="I105" s="209"/>
      <c r="J105" s="209"/>
      <c r="K105" s="209"/>
      <c r="L105" s="208"/>
      <c r="M105" s="208"/>
      <c r="N105" s="208"/>
      <c r="O105" s="208"/>
      <c r="P105" s="209"/>
      <c r="Q105" s="208"/>
      <c r="R105" s="208"/>
      <c r="S105" s="208"/>
      <c r="T105" s="208"/>
      <c r="U105" s="209"/>
      <c r="V105" s="208"/>
      <c r="W105" s="208"/>
      <c r="X105" s="208"/>
      <c r="Y105" s="210"/>
      <c r="Z105" s="209"/>
      <c r="AA105" s="211"/>
      <c r="AB105" s="209"/>
      <c r="AC105" s="211"/>
      <c r="AD105" s="211"/>
      <c r="AE105" s="211"/>
      <c r="AF105" s="211"/>
      <c r="AG105" s="211"/>
      <c r="AH105" s="3"/>
      <c r="AI105" s="227"/>
      <c r="AK105" s="187"/>
      <c r="AL105" s="187"/>
      <c r="AM105" s="187"/>
      <c r="AN105" s="187"/>
      <c r="AO105" s="187"/>
      <c r="AP105" s="187"/>
    </row>
    <row r="106" spans="1:42" s="1" customFormat="1" ht="13.5" customHeight="1">
      <c r="A106" s="11"/>
      <c r="B106" s="238" t="s">
        <v>69</v>
      </c>
      <c r="C106" s="239">
        <v>0</v>
      </c>
      <c r="D106" s="208"/>
      <c r="E106" s="209"/>
      <c r="F106" s="209"/>
      <c r="G106" s="208"/>
      <c r="H106" s="209"/>
      <c r="I106" s="209"/>
      <c r="J106" s="209"/>
      <c r="K106" s="209"/>
      <c r="L106" s="208"/>
      <c r="M106" s="208"/>
      <c r="N106" s="208"/>
      <c r="O106" s="208"/>
      <c r="P106" s="209"/>
      <c r="Q106" s="208"/>
      <c r="R106" s="208"/>
      <c r="S106" s="208"/>
      <c r="T106" s="208"/>
      <c r="U106" s="209"/>
      <c r="V106" s="208"/>
      <c r="W106" s="208"/>
      <c r="X106" s="208"/>
      <c r="Y106" s="210"/>
      <c r="Z106" s="209"/>
      <c r="AA106" s="211"/>
      <c r="AB106" s="209"/>
      <c r="AC106" s="211"/>
      <c r="AD106" s="211"/>
      <c r="AE106" s="211"/>
      <c r="AF106" s="211"/>
      <c r="AG106" s="211"/>
      <c r="AH106" s="3"/>
      <c r="AI106" s="227"/>
      <c r="AK106" s="187"/>
      <c r="AL106" s="187"/>
      <c r="AM106" s="187"/>
      <c r="AN106" s="187"/>
      <c r="AO106" s="187"/>
      <c r="AP106" s="187"/>
    </row>
    <row r="107" spans="1:42" s="1" customFormat="1" ht="4.5" customHeight="1">
      <c r="A107" s="11"/>
      <c r="B107" s="218"/>
      <c r="C107" s="219"/>
      <c r="D107" s="220"/>
      <c r="E107" s="221"/>
      <c r="F107" s="221"/>
      <c r="G107" s="220"/>
      <c r="H107" s="221"/>
      <c r="I107" s="221"/>
      <c r="J107" s="221"/>
      <c r="K107" s="221"/>
      <c r="L107" s="220"/>
      <c r="M107" s="220"/>
      <c r="N107" s="220"/>
      <c r="O107" s="220"/>
      <c r="P107" s="221"/>
      <c r="Q107" s="220"/>
      <c r="R107" s="220"/>
      <c r="S107" s="220"/>
      <c r="T107" s="220"/>
      <c r="U107" s="221"/>
      <c r="V107" s="220"/>
      <c r="W107" s="220"/>
      <c r="X107" s="220"/>
      <c r="Y107" s="222"/>
      <c r="Z107" s="221"/>
      <c r="AA107" s="223"/>
      <c r="AB107" s="221"/>
      <c r="AC107" s="3"/>
      <c r="AD107" s="168"/>
      <c r="AH107" s="3"/>
      <c r="AI107" s="227"/>
      <c r="AK107" s="187"/>
      <c r="AL107" s="187"/>
      <c r="AM107" s="187"/>
      <c r="AN107" s="187"/>
      <c r="AO107" s="187"/>
      <c r="AP107" s="187"/>
    </row>
    <row r="108" spans="1:42" s="227" customFormat="1" ht="4.5" customHeight="1">
      <c r="A108" s="228"/>
      <c r="B108" s="229"/>
      <c r="C108" s="230"/>
      <c r="D108" s="231"/>
      <c r="E108" s="232"/>
      <c r="F108" s="232"/>
      <c r="G108" s="231"/>
      <c r="H108" s="232"/>
      <c r="I108" s="232"/>
      <c r="J108" s="232"/>
      <c r="K108" s="232"/>
      <c r="L108" s="231"/>
      <c r="M108" s="231"/>
      <c r="N108" s="231"/>
      <c r="O108" s="231"/>
      <c r="P108" s="232"/>
      <c r="Q108" s="231"/>
      <c r="R108" s="231"/>
      <c r="S108" s="231"/>
      <c r="T108" s="231"/>
      <c r="U108" s="232"/>
      <c r="V108" s="231"/>
      <c r="W108" s="231"/>
      <c r="X108" s="231"/>
      <c r="Y108" s="233"/>
      <c r="Z108" s="232"/>
      <c r="AA108" s="234"/>
      <c r="AB108" s="232"/>
      <c r="AC108" s="235"/>
      <c r="AD108" s="236"/>
      <c r="AH108" s="235"/>
    </row>
    <row r="109" spans="1:42" s="187" customFormat="1" ht="4.5" customHeight="1">
      <c r="A109" s="224"/>
      <c r="B109" s="214"/>
      <c r="C109" s="215"/>
      <c r="D109" s="215"/>
      <c r="E109" s="214"/>
      <c r="F109" s="214"/>
      <c r="G109" s="215"/>
      <c r="H109" s="214"/>
      <c r="I109" s="214"/>
      <c r="J109" s="214"/>
      <c r="K109" s="214"/>
      <c r="L109" s="215"/>
      <c r="M109" s="215"/>
      <c r="N109" s="215"/>
      <c r="O109" s="215"/>
      <c r="P109" s="214"/>
      <c r="Q109" s="215"/>
      <c r="R109" s="215"/>
      <c r="S109" s="215"/>
      <c r="T109" s="215"/>
      <c r="U109" s="214"/>
      <c r="V109" s="215"/>
      <c r="W109" s="215"/>
      <c r="X109" s="215"/>
      <c r="Y109" s="216"/>
      <c r="Z109" s="214"/>
      <c r="AA109" s="225"/>
      <c r="AB109" s="214"/>
      <c r="AC109" s="226"/>
      <c r="AH109" s="226"/>
      <c r="AI109" s="227"/>
    </row>
    <row r="110" spans="1:42" s="1" customFormat="1" ht="13.35" customHeight="1">
      <c r="B110" s="1518" t="s">
        <v>18</v>
      </c>
      <c r="C110" s="1524">
        <v>45096</v>
      </c>
      <c r="D110" s="1524"/>
      <c r="E110" s="1524"/>
      <c r="F110" s="1524"/>
      <c r="G110" s="22"/>
      <c r="H110" s="1524">
        <v>45097</v>
      </c>
      <c r="I110" s="1524"/>
      <c r="J110" s="1524"/>
      <c r="K110" s="1524"/>
      <c r="L110" s="22"/>
      <c r="M110" s="1524">
        <v>45098</v>
      </c>
      <c r="N110" s="1524"/>
      <c r="O110" s="1524"/>
      <c r="P110" s="1524"/>
      <c r="Q110" s="22"/>
      <c r="R110" s="1524">
        <v>45099</v>
      </c>
      <c r="S110" s="1524"/>
      <c r="T110" s="1524"/>
      <c r="U110" s="1524"/>
      <c r="V110" s="22"/>
      <c r="W110" s="1524">
        <v>45100</v>
      </c>
      <c r="X110" s="1524"/>
      <c r="Y110" s="1524"/>
      <c r="Z110" s="1524"/>
      <c r="AA110" s="1517" t="s">
        <v>19</v>
      </c>
      <c r="AB110" s="1517" t="s">
        <v>20</v>
      </c>
      <c r="AC110" s="3"/>
      <c r="AD110" s="1524">
        <v>45101</v>
      </c>
      <c r="AE110" s="1524"/>
      <c r="AF110" s="1524"/>
      <c r="AG110" s="1517" t="s">
        <v>21</v>
      </c>
      <c r="AH110" s="3"/>
      <c r="AI110" s="227"/>
      <c r="AK110" s="194" t="s">
        <v>148</v>
      </c>
      <c r="AL110" s="195"/>
      <c r="AM110" s="195"/>
      <c r="AN110" s="195"/>
      <c r="AO110" s="195"/>
      <c r="AP110" s="195"/>
    </row>
    <row r="111" spans="1:42" s="1" customFormat="1" ht="14.25">
      <c r="B111" s="1518"/>
      <c r="C111" s="21" t="s">
        <v>23</v>
      </c>
      <c r="D111" s="21" t="s">
        <v>24</v>
      </c>
      <c r="E111" s="205" t="s">
        <v>144</v>
      </c>
      <c r="F111" s="18" t="s">
        <v>14</v>
      </c>
      <c r="G111" s="3"/>
      <c r="H111" s="21" t="s">
        <v>23</v>
      </c>
      <c r="I111" s="21" t="s">
        <v>24</v>
      </c>
      <c r="J111" s="205" t="s">
        <v>144</v>
      </c>
      <c r="K111" s="18" t="s">
        <v>14</v>
      </c>
      <c r="L111" s="3"/>
      <c r="M111" s="21" t="s">
        <v>23</v>
      </c>
      <c r="N111" s="21" t="s">
        <v>24</v>
      </c>
      <c r="O111" s="205" t="s">
        <v>144</v>
      </c>
      <c r="P111" s="18" t="s">
        <v>14</v>
      </c>
      <c r="Q111" s="3"/>
      <c r="R111" s="21" t="s">
        <v>23</v>
      </c>
      <c r="S111" s="21" t="s">
        <v>24</v>
      </c>
      <c r="T111" s="205" t="s">
        <v>144</v>
      </c>
      <c r="U111" s="18" t="s">
        <v>14</v>
      </c>
      <c r="V111" s="3"/>
      <c r="W111" s="21" t="s">
        <v>23</v>
      </c>
      <c r="X111" s="21" t="s">
        <v>24</v>
      </c>
      <c r="Y111" s="205" t="s">
        <v>144</v>
      </c>
      <c r="Z111" s="18" t="s">
        <v>14</v>
      </c>
      <c r="AA111" s="1523"/>
      <c r="AB111" s="1517"/>
      <c r="AC111" s="3"/>
      <c r="AD111" s="21" t="s">
        <v>23</v>
      </c>
      <c r="AE111" s="21" t="s">
        <v>24</v>
      </c>
      <c r="AF111" s="18" t="s">
        <v>25</v>
      </c>
      <c r="AG111" s="1523"/>
      <c r="AH111" s="3"/>
      <c r="AI111" s="227"/>
      <c r="AK111" s="188" t="s">
        <v>26</v>
      </c>
      <c r="AL111" s="196">
        <f>AA124</f>
        <v>345.5</v>
      </c>
      <c r="AM111" s="187"/>
      <c r="AN111" s="187"/>
      <c r="AO111" s="187"/>
      <c r="AP111" s="187"/>
    </row>
    <row r="112" spans="1:42" s="1" customFormat="1" ht="14.25">
      <c r="B112" s="13" t="s">
        <v>129</v>
      </c>
      <c r="C112" s="61">
        <v>0.33333333333333331</v>
      </c>
      <c r="D112" s="47">
        <v>0.20833333333333334</v>
      </c>
      <c r="E112" s="19">
        <v>8</v>
      </c>
      <c r="F112" s="277">
        <v>1</v>
      </c>
      <c r="G112" s="3"/>
      <c r="H112" s="47">
        <v>0.375</v>
      </c>
      <c r="I112" s="47">
        <v>0.25</v>
      </c>
      <c r="J112" s="19">
        <v>8</v>
      </c>
      <c r="K112" s="277"/>
      <c r="L112" s="3"/>
      <c r="M112" s="47">
        <v>0.375</v>
      </c>
      <c r="N112" s="47">
        <v>0.23958333333333334</v>
      </c>
      <c r="O112" s="19">
        <v>8.75</v>
      </c>
      <c r="P112" s="277">
        <v>0.75</v>
      </c>
      <c r="Q112" s="3"/>
      <c r="R112" s="47">
        <v>0.34375</v>
      </c>
      <c r="S112" s="47">
        <v>0.20833333333333334</v>
      </c>
      <c r="T112" s="19">
        <v>8</v>
      </c>
      <c r="U112" s="277"/>
      <c r="V112" s="3"/>
      <c r="W112" s="47">
        <v>0.33333333333333331</v>
      </c>
      <c r="X112" s="47">
        <v>0.20833333333333334</v>
      </c>
      <c r="Y112" s="19">
        <v>8</v>
      </c>
      <c r="Z112" s="277"/>
      <c r="AA112" s="29">
        <f t="shared" ref="AA112:AA119" si="8">(E112+J112+O112+T112+Y112)</f>
        <v>40.75</v>
      </c>
      <c r="AB112" s="282">
        <f>Z112+U112+P112+K112+F112</f>
        <v>1.75</v>
      </c>
      <c r="AC112" s="3"/>
      <c r="AD112" s="4">
        <v>0</v>
      </c>
      <c r="AE112" s="4">
        <v>0</v>
      </c>
      <c r="AF112" s="19">
        <v>0</v>
      </c>
      <c r="AG112" s="29">
        <f t="shared" ref="AG112:AG119" si="9">AF112</f>
        <v>0</v>
      </c>
      <c r="AH112" s="3"/>
      <c r="AI112" s="227"/>
      <c r="AK112" s="188" t="s">
        <v>30</v>
      </c>
      <c r="AL112" s="196">
        <f>AB124</f>
        <v>8.25</v>
      </c>
      <c r="AM112" s="187"/>
      <c r="AN112" s="187"/>
      <c r="AO112" s="187"/>
      <c r="AP112" s="187"/>
    </row>
    <row r="113" spans="1:42" s="1" customFormat="1" ht="14.25">
      <c r="B113" s="13" t="s">
        <v>131</v>
      </c>
      <c r="C113" s="47">
        <v>0.5</v>
      </c>
      <c r="D113" s="47">
        <v>0.20833333333333334</v>
      </c>
      <c r="E113" s="19">
        <v>5</v>
      </c>
      <c r="F113" s="277"/>
      <c r="G113" s="3"/>
      <c r="H113" s="47">
        <v>0.33333333333333331</v>
      </c>
      <c r="I113" s="47">
        <v>0.20833333333333334</v>
      </c>
      <c r="J113" s="19">
        <v>8</v>
      </c>
      <c r="K113" s="277"/>
      <c r="L113" s="3"/>
      <c r="M113" s="4">
        <v>0</v>
      </c>
      <c r="N113" s="4">
        <v>0</v>
      </c>
      <c r="O113" s="19">
        <v>0</v>
      </c>
      <c r="P113" s="277"/>
      <c r="Q113" s="3"/>
      <c r="R113" s="47">
        <v>0.33333333333333331</v>
      </c>
      <c r="S113" s="47">
        <v>0.20833333333333334</v>
      </c>
      <c r="T113" s="19">
        <v>8</v>
      </c>
      <c r="U113" s="277"/>
      <c r="V113" s="3"/>
      <c r="W113" s="47">
        <v>0.33333333333333331</v>
      </c>
      <c r="X113" s="47">
        <v>0.20833333333333334</v>
      </c>
      <c r="Y113" s="19">
        <v>8</v>
      </c>
      <c r="Z113" s="277"/>
      <c r="AA113" s="29">
        <f t="shared" si="8"/>
        <v>29</v>
      </c>
      <c r="AB113" s="282">
        <f t="shared" ref="AB113:AB121" si="10">Z113+U113+P113+K113+F113</f>
        <v>0</v>
      </c>
      <c r="AC113" s="3"/>
      <c r="AD113" s="4">
        <v>0</v>
      </c>
      <c r="AE113" s="4">
        <v>0</v>
      </c>
      <c r="AF113" s="19">
        <v>0</v>
      </c>
      <c r="AG113" s="29">
        <f t="shared" si="9"/>
        <v>0</v>
      </c>
      <c r="AH113" s="3"/>
      <c r="AI113" s="227"/>
      <c r="AK113" s="188" t="s">
        <v>32</v>
      </c>
      <c r="AL113" s="196">
        <f>AG124</f>
        <v>15.75</v>
      </c>
      <c r="AM113" s="187"/>
      <c r="AN113" s="187"/>
      <c r="AO113" s="187"/>
      <c r="AP113" s="187"/>
    </row>
    <row r="114" spans="1:42" s="1" customFormat="1" ht="14.25">
      <c r="B114" s="13" t="s">
        <v>132</v>
      </c>
      <c r="C114" s="61">
        <v>0.33333333333333331</v>
      </c>
      <c r="D114" s="47">
        <v>0.20833333333333334</v>
      </c>
      <c r="E114" s="19">
        <v>8</v>
      </c>
      <c r="F114" s="277">
        <v>1</v>
      </c>
      <c r="G114" s="3"/>
      <c r="H114" s="47">
        <v>0.33333333333333331</v>
      </c>
      <c r="I114" s="47">
        <v>0.20833333333333334</v>
      </c>
      <c r="J114" s="19">
        <v>8</v>
      </c>
      <c r="K114" s="277"/>
      <c r="L114" s="3"/>
      <c r="M114" s="47">
        <v>0.33333333333333331</v>
      </c>
      <c r="N114" s="47">
        <v>0.20833333333333334</v>
      </c>
      <c r="O114" s="19">
        <v>9</v>
      </c>
      <c r="P114" s="277">
        <v>1</v>
      </c>
      <c r="Q114" s="3"/>
      <c r="R114" s="47">
        <v>0.33333333333333331</v>
      </c>
      <c r="S114" s="47">
        <v>0.20833333333333334</v>
      </c>
      <c r="T114" s="19">
        <v>8</v>
      </c>
      <c r="U114" s="277"/>
      <c r="V114" s="3"/>
      <c r="W114" s="47">
        <v>0.33333333333333331</v>
      </c>
      <c r="X114" s="47">
        <v>0.20833333333333334</v>
      </c>
      <c r="Y114" s="19">
        <v>8</v>
      </c>
      <c r="Z114" s="277"/>
      <c r="AA114" s="29">
        <f t="shared" si="8"/>
        <v>41</v>
      </c>
      <c r="AB114" s="282">
        <f t="shared" si="10"/>
        <v>2</v>
      </c>
      <c r="AC114" s="3"/>
      <c r="AD114" s="4">
        <v>0</v>
      </c>
      <c r="AE114" s="4">
        <v>0</v>
      </c>
      <c r="AF114" s="19">
        <v>0</v>
      </c>
      <c r="AG114" s="29">
        <f t="shared" si="9"/>
        <v>0</v>
      </c>
      <c r="AH114" s="3"/>
      <c r="AI114" s="227"/>
      <c r="AK114" s="188" t="s">
        <v>34</v>
      </c>
      <c r="AL114" s="199">
        <f>AA127</f>
        <v>47.125</v>
      </c>
      <c r="AM114" s="187"/>
      <c r="AN114" s="187"/>
      <c r="AO114" s="187"/>
      <c r="AP114" s="187"/>
    </row>
    <row r="115" spans="1:42" s="1" customFormat="1" ht="14.25">
      <c r="B115" s="13" t="s">
        <v>35</v>
      </c>
      <c r="C115" s="47">
        <v>0.40625</v>
      </c>
      <c r="D115" s="47">
        <v>0.20833333333333334</v>
      </c>
      <c r="E115" s="19">
        <v>7.25</v>
      </c>
      <c r="F115" s="277"/>
      <c r="G115" s="3"/>
      <c r="H115" s="47">
        <v>0.33333333333333331</v>
      </c>
      <c r="I115" s="47">
        <v>0.20833333333333334</v>
      </c>
      <c r="J115" s="19">
        <v>8</v>
      </c>
      <c r="K115" s="277"/>
      <c r="L115" s="3"/>
      <c r="M115" s="47">
        <v>0.38541666666666669</v>
      </c>
      <c r="N115" s="47">
        <v>0.20833333333333334</v>
      </c>
      <c r="O115" s="19">
        <v>7.75</v>
      </c>
      <c r="P115" s="277"/>
      <c r="Q115" s="3"/>
      <c r="R115" s="47">
        <v>0.34375</v>
      </c>
      <c r="S115" s="47">
        <v>0.20833333333333334</v>
      </c>
      <c r="T115" s="19">
        <v>8</v>
      </c>
      <c r="U115" s="277"/>
      <c r="V115" s="3"/>
      <c r="W115" s="47">
        <v>0.33333333333333331</v>
      </c>
      <c r="X115" s="47">
        <v>0.20833333333333334</v>
      </c>
      <c r="Y115" s="19">
        <v>8</v>
      </c>
      <c r="Z115" s="277"/>
      <c r="AA115" s="29">
        <f t="shared" si="8"/>
        <v>39</v>
      </c>
      <c r="AB115" s="282">
        <f t="shared" si="10"/>
        <v>0</v>
      </c>
      <c r="AC115" s="3"/>
      <c r="AD115" s="4">
        <v>0</v>
      </c>
      <c r="AE115" s="4">
        <v>0</v>
      </c>
      <c r="AF115" s="19">
        <v>0</v>
      </c>
      <c r="AG115" s="29">
        <f t="shared" si="9"/>
        <v>0</v>
      </c>
      <c r="AH115" s="3"/>
      <c r="AI115" s="227"/>
      <c r="AK115" s="188" t="s">
        <v>149</v>
      </c>
      <c r="AL115" s="190">
        <f>AB127</f>
        <v>1</v>
      </c>
      <c r="AM115" s="187"/>
      <c r="AN115" s="187"/>
      <c r="AO115" s="187"/>
      <c r="AP115" s="187"/>
    </row>
    <row r="116" spans="1:42" s="1" customFormat="1" ht="14.25">
      <c r="B116" s="13" t="s">
        <v>37</v>
      </c>
      <c r="C116" s="61">
        <v>0.33333333333333331</v>
      </c>
      <c r="D116" s="47">
        <v>0.20833333333333334</v>
      </c>
      <c r="E116" s="19">
        <v>8</v>
      </c>
      <c r="F116" s="277">
        <v>1</v>
      </c>
      <c r="G116" s="3"/>
      <c r="H116" s="47">
        <v>0.33333333333333331</v>
      </c>
      <c r="I116" s="47">
        <v>0.20833333333333334</v>
      </c>
      <c r="J116" s="19">
        <v>8</v>
      </c>
      <c r="K116" s="277"/>
      <c r="L116" s="3"/>
      <c r="M116" s="47">
        <v>0.33333333333333331</v>
      </c>
      <c r="N116" s="47">
        <v>0.20833333333333334</v>
      </c>
      <c r="O116" s="19">
        <v>9</v>
      </c>
      <c r="P116" s="277">
        <v>1</v>
      </c>
      <c r="Q116" s="3"/>
      <c r="R116" s="47">
        <v>0.33333333333333331</v>
      </c>
      <c r="S116" s="47">
        <v>0.20833333333333334</v>
      </c>
      <c r="T116" s="19">
        <v>8</v>
      </c>
      <c r="U116" s="277"/>
      <c r="V116" s="3"/>
      <c r="W116" s="47">
        <v>0.33333333333333331</v>
      </c>
      <c r="X116" s="47">
        <v>0.20833333333333334</v>
      </c>
      <c r="Y116" s="19">
        <v>8</v>
      </c>
      <c r="Z116" s="277"/>
      <c r="AA116" s="29">
        <f t="shared" si="8"/>
        <v>41</v>
      </c>
      <c r="AB116" s="282">
        <f t="shared" si="10"/>
        <v>2</v>
      </c>
      <c r="AC116" s="3"/>
      <c r="AD116" s="4">
        <v>0</v>
      </c>
      <c r="AE116" s="4">
        <v>0</v>
      </c>
      <c r="AF116" s="19">
        <v>0</v>
      </c>
      <c r="AG116" s="29">
        <f t="shared" si="9"/>
        <v>0</v>
      </c>
      <c r="AH116" s="3"/>
      <c r="AI116" s="227"/>
      <c r="AK116" s="188" t="s">
        <v>38</v>
      </c>
      <c r="AL116" s="196">
        <f>AG127</f>
        <v>2.25</v>
      </c>
      <c r="AM116" s="187"/>
      <c r="AN116" s="187"/>
      <c r="AO116" s="187"/>
      <c r="AP116" s="187"/>
    </row>
    <row r="117" spans="1:42" s="1" customFormat="1" ht="14.25">
      <c r="B117" s="13" t="s">
        <v>141</v>
      </c>
      <c r="C117" s="4">
        <v>0</v>
      </c>
      <c r="D117" s="4">
        <v>0</v>
      </c>
      <c r="E117" s="19">
        <v>0</v>
      </c>
      <c r="F117" s="277"/>
      <c r="G117" s="3"/>
      <c r="H117" s="47">
        <v>0.33333333333333331</v>
      </c>
      <c r="I117" s="47">
        <v>0.20833333333333334</v>
      </c>
      <c r="J117" s="19">
        <v>8</v>
      </c>
      <c r="K117" s="277"/>
      <c r="L117" s="3"/>
      <c r="M117" s="47">
        <v>0.33333333333333331</v>
      </c>
      <c r="N117" s="47">
        <v>0.20833333333333334</v>
      </c>
      <c r="O117" s="19">
        <v>9</v>
      </c>
      <c r="P117" s="277">
        <v>1</v>
      </c>
      <c r="Q117" s="3"/>
      <c r="R117" s="47">
        <v>0.33333333333333331</v>
      </c>
      <c r="S117" s="47">
        <v>0.16666666666666666</v>
      </c>
      <c r="T117" s="19">
        <v>8</v>
      </c>
      <c r="U117" s="277"/>
      <c r="V117" s="3"/>
      <c r="W117" s="47">
        <v>0.33333333333333331</v>
      </c>
      <c r="X117" s="47">
        <v>0.125</v>
      </c>
      <c r="Y117" s="19">
        <v>7</v>
      </c>
      <c r="Z117" s="277"/>
      <c r="AA117" s="29">
        <f t="shared" si="8"/>
        <v>32</v>
      </c>
      <c r="AB117" s="282">
        <f t="shared" si="10"/>
        <v>1</v>
      </c>
      <c r="AC117" s="3"/>
      <c r="AD117" s="4">
        <v>0</v>
      </c>
      <c r="AE117" s="4">
        <v>0</v>
      </c>
      <c r="AF117" s="19">
        <v>0</v>
      </c>
      <c r="AG117" s="29">
        <f t="shared" si="9"/>
        <v>0</v>
      </c>
      <c r="AH117" s="3"/>
      <c r="AI117" s="227"/>
      <c r="AK117" s="188" t="s">
        <v>41</v>
      </c>
      <c r="AL117" s="189">
        <f>C130</f>
        <v>40</v>
      </c>
      <c r="AM117" s="187"/>
      <c r="AN117" s="187"/>
      <c r="AO117" s="187"/>
      <c r="AP117" s="187"/>
    </row>
    <row r="118" spans="1:42" s="1" customFormat="1" ht="14.25">
      <c r="B118" s="13" t="s">
        <v>142</v>
      </c>
      <c r="C118" s="61">
        <v>0.34375</v>
      </c>
      <c r="D118" s="47">
        <v>0.20833333333333334</v>
      </c>
      <c r="E118" s="19">
        <v>8</v>
      </c>
      <c r="F118" s="277">
        <v>0.75</v>
      </c>
      <c r="G118" s="3"/>
      <c r="H118" s="4">
        <v>0</v>
      </c>
      <c r="I118" s="4">
        <v>0</v>
      </c>
      <c r="J118" s="19">
        <v>0</v>
      </c>
      <c r="K118" s="277"/>
      <c r="L118" s="3"/>
      <c r="M118" s="4">
        <v>0</v>
      </c>
      <c r="N118" s="4">
        <v>0</v>
      </c>
      <c r="O118" s="19">
        <v>0</v>
      </c>
      <c r="P118" s="277"/>
      <c r="Q118" s="3"/>
      <c r="R118" s="4">
        <v>0</v>
      </c>
      <c r="S118" s="4">
        <v>0</v>
      </c>
      <c r="T118" s="19">
        <v>0</v>
      </c>
      <c r="U118" s="277"/>
      <c r="V118" s="3"/>
      <c r="W118" s="4">
        <v>0</v>
      </c>
      <c r="X118" s="4">
        <v>0</v>
      </c>
      <c r="Y118" s="19">
        <v>0</v>
      </c>
      <c r="Z118" s="277"/>
      <c r="AA118" s="29">
        <f t="shared" si="8"/>
        <v>8</v>
      </c>
      <c r="AB118" s="282">
        <f t="shared" si="10"/>
        <v>0.75</v>
      </c>
      <c r="AC118" s="3"/>
      <c r="AD118" s="4">
        <v>0</v>
      </c>
      <c r="AE118" s="4">
        <v>0</v>
      </c>
      <c r="AF118" s="19">
        <v>0</v>
      </c>
      <c r="AG118" s="29">
        <f t="shared" si="9"/>
        <v>0</v>
      </c>
      <c r="AH118" s="3"/>
      <c r="AI118" s="227"/>
      <c r="AK118" s="187"/>
      <c r="AL118" s="187"/>
      <c r="AM118" s="187"/>
      <c r="AN118" s="187"/>
      <c r="AO118" s="187"/>
      <c r="AP118" s="187"/>
    </row>
    <row r="119" spans="1:42" s="1" customFormat="1" ht="14.25">
      <c r="B119" s="13" t="s">
        <v>55</v>
      </c>
      <c r="C119" s="4">
        <v>0</v>
      </c>
      <c r="D119" s="4">
        <v>0</v>
      </c>
      <c r="E119" s="19">
        <v>0</v>
      </c>
      <c r="F119" s="277"/>
      <c r="G119" s="3"/>
      <c r="H119" s="4">
        <v>0</v>
      </c>
      <c r="I119" s="4">
        <v>0</v>
      </c>
      <c r="J119" s="19">
        <v>0</v>
      </c>
      <c r="K119" s="277"/>
      <c r="L119" s="3"/>
      <c r="M119" s="4">
        <v>0</v>
      </c>
      <c r="N119" s="4">
        <v>0</v>
      </c>
      <c r="O119" s="19">
        <v>0</v>
      </c>
      <c r="P119" s="277"/>
      <c r="Q119" s="3"/>
      <c r="R119" s="4">
        <v>0</v>
      </c>
      <c r="S119" s="4">
        <v>0</v>
      </c>
      <c r="T119" s="19">
        <v>0</v>
      </c>
      <c r="U119" s="277"/>
      <c r="V119" s="3"/>
      <c r="W119" s="4">
        <v>0</v>
      </c>
      <c r="X119" s="4">
        <v>0</v>
      </c>
      <c r="Y119" s="19">
        <v>0</v>
      </c>
      <c r="Z119" s="277"/>
      <c r="AA119" s="29">
        <f t="shared" si="8"/>
        <v>0</v>
      </c>
      <c r="AB119" s="282">
        <f t="shared" si="10"/>
        <v>0</v>
      </c>
      <c r="AC119" s="3"/>
      <c r="AD119" s="47">
        <v>0.33333333333333331</v>
      </c>
      <c r="AE119" s="47">
        <v>0.20833333333333334</v>
      </c>
      <c r="AF119" s="19">
        <v>8</v>
      </c>
      <c r="AG119" s="29">
        <f t="shared" si="9"/>
        <v>8</v>
      </c>
      <c r="AH119" s="3"/>
      <c r="AI119" s="227"/>
      <c r="AK119" s="187"/>
      <c r="AL119" s="187"/>
      <c r="AM119" s="187"/>
      <c r="AN119" s="187"/>
      <c r="AO119" s="187"/>
      <c r="AP119" s="187"/>
    </row>
    <row r="120" spans="1:42" s="1" customFormat="1" ht="14.25">
      <c r="B120" s="13" t="s">
        <v>31</v>
      </c>
      <c r="C120" s="4">
        <v>0</v>
      </c>
      <c r="D120" s="4">
        <v>0</v>
      </c>
      <c r="E120" s="19">
        <v>0</v>
      </c>
      <c r="F120" s="277"/>
      <c r="G120" s="3"/>
      <c r="H120" s="4">
        <v>0</v>
      </c>
      <c r="I120" s="4">
        <v>0</v>
      </c>
      <c r="J120" s="19">
        <v>0</v>
      </c>
      <c r="K120" s="277"/>
      <c r="L120" s="3"/>
      <c r="M120" s="47">
        <v>0.375</v>
      </c>
      <c r="N120" s="47">
        <v>0.23958333333333334</v>
      </c>
      <c r="O120" s="19">
        <v>8.75</v>
      </c>
      <c r="P120" s="277">
        <v>0.75</v>
      </c>
      <c r="Q120" s="3"/>
      <c r="R120" s="47">
        <v>0.33333333333333331</v>
      </c>
      <c r="S120" s="47">
        <v>0.20833333333333334</v>
      </c>
      <c r="T120" s="19">
        <v>8</v>
      </c>
      <c r="U120" s="277"/>
      <c r="V120" s="3"/>
      <c r="W120" s="47">
        <v>0.33333333333333331</v>
      </c>
      <c r="X120" s="47">
        <v>0.20833333333333334</v>
      </c>
      <c r="Y120" s="19">
        <v>8</v>
      </c>
      <c r="Z120" s="277"/>
      <c r="AA120" s="29">
        <f>(E120+J120+O120+T120+Y120)</f>
        <v>24.75</v>
      </c>
      <c r="AB120" s="282">
        <f t="shared" si="10"/>
        <v>0.75</v>
      </c>
      <c r="AC120" s="3"/>
      <c r="AD120" s="47">
        <v>0.38541666666666669</v>
      </c>
      <c r="AE120" s="47">
        <v>0.20833333333333334</v>
      </c>
      <c r="AF120" s="19">
        <v>7.75</v>
      </c>
      <c r="AG120" s="29">
        <f>AF120</f>
        <v>7.75</v>
      </c>
      <c r="AH120" s="3"/>
      <c r="AI120" s="227"/>
      <c r="AK120" s="187"/>
      <c r="AL120" s="187"/>
      <c r="AM120" s="187"/>
      <c r="AN120" s="187"/>
      <c r="AO120" s="187"/>
      <c r="AP120" s="187"/>
    </row>
    <row r="121" spans="1:42" s="1" customFormat="1" ht="14.25">
      <c r="B121" s="138" t="s">
        <v>39</v>
      </c>
      <c r="C121" s="47">
        <v>0.375</v>
      </c>
      <c r="D121" s="47">
        <v>0.125</v>
      </c>
      <c r="E121" s="19">
        <v>6</v>
      </c>
      <c r="F121" s="277"/>
      <c r="G121" s="3"/>
      <c r="H121" s="47">
        <v>0.375</v>
      </c>
      <c r="I121" s="47">
        <v>0.125</v>
      </c>
      <c r="J121" s="19">
        <v>6</v>
      </c>
      <c r="K121" s="277"/>
      <c r="L121" s="3"/>
      <c r="M121" s="47">
        <v>0.375</v>
      </c>
      <c r="N121" s="47">
        <v>0.125</v>
      </c>
      <c r="O121" s="19">
        <v>6</v>
      </c>
      <c r="P121" s="277"/>
      <c r="Q121" s="3"/>
      <c r="R121" s="47">
        <v>0.375</v>
      </c>
      <c r="S121" s="47">
        <v>0.125</v>
      </c>
      <c r="T121" s="19">
        <v>6</v>
      </c>
      <c r="U121" s="277"/>
      <c r="V121" s="3"/>
      <c r="W121" s="47">
        <v>0.375</v>
      </c>
      <c r="X121" s="47">
        <v>0.125</v>
      </c>
      <c r="Y121" s="19">
        <v>6</v>
      </c>
      <c r="Z121" s="277"/>
      <c r="AA121" s="29">
        <f>(E121+J121+O121+T121+Y121)</f>
        <v>30</v>
      </c>
      <c r="AB121" s="282">
        <f t="shared" si="10"/>
        <v>0</v>
      </c>
      <c r="AC121" s="3"/>
      <c r="AD121" s="4">
        <v>0</v>
      </c>
      <c r="AE121" s="4">
        <v>0</v>
      </c>
      <c r="AF121" s="19">
        <v>0</v>
      </c>
      <c r="AG121" s="29">
        <f>AF121</f>
        <v>0</v>
      </c>
      <c r="AH121" s="3"/>
      <c r="AI121" s="227"/>
      <c r="AK121" s="187"/>
      <c r="AL121" s="187"/>
      <c r="AM121" s="187"/>
      <c r="AN121" s="187"/>
      <c r="AO121" s="187"/>
      <c r="AP121" s="187"/>
    </row>
    <row r="122" spans="1:42" s="1" customFormat="1" ht="14.25">
      <c r="B122" s="138" t="s">
        <v>146</v>
      </c>
      <c r="C122" s="47">
        <v>0.375</v>
      </c>
      <c r="D122" s="47">
        <v>0.125</v>
      </c>
      <c r="E122" s="19">
        <v>6</v>
      </c>
      <c r="F122" s="277"/>
      <c r="G122" s="3"/>
      <c r="H122" s="47">
        <v>0.375</v>
      </c>
      <c r="I122" s="47">
        <v>0.125</v>
      </c>
      <c r="J122" s="19">
        <v>6</v>
      </c>
      <c r="K122" s="277"/>
      <c r="L122" s="3"/>
      <c r="M122" s="47">
        <v>0.375</v>
      </c>
      <c r="N122" s="47">
        <v>0.125</v>
      </c>
      <c r="O122" s="19">
        <v>6</v>
      </c>
      <c r="P122" s="277"/>
      <c r="Q122" s="3"/>
      <c r="R122" s="47">
        <v>0.375</v>
      </c>
      <c r="S122" s="47">
        <v>0.125</v>
      </c>
      <c r="T122" s="19">
        <v>6</v>
      </c>
      <c r="U122" s="277"/>
      <c r="V122" s="3"/>
      <c r="W122" s="47">
        <v>0.375</v>
      </c>
      <c r="X122" s="47">
        <v>0.125</v>
      </c>
      <c r="Y122" s="19">
        <v>6</v>
      </c>
      <c r="Z122" s="277"/>
      <c r="AA122" s="29">
        <f>(E122+J122+O122+T122+Y122)</f>
        <v>30</v>
      </c>
      <c r="AB122" s="282">
        <f>Z122+U122+P122+K122+F122</f>
        <v>0</v>
      </c>
      <c r="AC122" s="3"/>
      <c r="AD122" s="4">
        <v>0</v>
      </c>
      <c r="AE122" s="4">
        <v>0</v>
      </c>
      <c r="AF122" s="19">
        <v>0</v>
      </c>
      <c r="AG122" s="29">
        <f>AF122</f>
        <v>0</v>
      </c>
      <c r="AH122" s="3"/>
      <c r="AI122" s="227"/>
      <c r="AK122" s="187"/>
      <c r="AL122" s="187"/>
      <c r="AM122" s="187"/>
      <c r="AN122" s="187"/>
      <c r="AO122" s="187"/>
      <c r="AP122" s="187"/>
    </row>
    <row r="123" spans="1:42" s="1" customFormat="1" ht="14.25">
      <c r="B123" s="138" t="s">
        <v>147</v>
      </c>
      <c r="C123" s="47">
        <v>0.375</v>
      </c>
      <c r="D123" s="47">
        <v>0.125</v>
      </c>
      <c r="E123" s="19">
        <v>6</v>
      </c>
      <c r="F123" s="277"/>
      <c r="G123" s="3"/>
      <c r="H123" s="47">
        <v>0.375</v>
      </c>
      <c r="I123" s="47">
        <v>0.125</v>
      </c>
      <c r="J123" s="19">
        <v>6</v>
      </c>
      <c r="K123" s="277"/>
      <c r="L123" s="3"/>
      <c r="M123" s="47">
        <v>0.375</v>
      </c>
      <c r="N123" s="47">
        <v>0.125</v>
      </c>
      <c r="O123" s="19">
        <v>6</v>
      </c>
      <c r="P123" s="277"/>
      <c r="Q123" s="3"/>
      <c r="R123" s="47">
        <v>0.375</v>
      </c>
      <c r="S123" s="47">
        <v>0.125</v>
      </c>
      <c r="T123" s="19">
        <v>6</v>
      </c>
      <c r="U123" s="277"/>
      <c r="V123" s="3"/>
      <c r="W123" s="47">
        <v>0.375</v>
      </c>
      <c r="X123" s="47">
        <v>0.125</v>
      </c>
      <c r="Y123" s="19">
        <v>6</v>
      </c>
      <c r="Z123" s="277"/>
      <c r="AA123" s="29">
        <f>(E123+J123+O123+T123+Y123)</f>
        <v>30</v>
      </c>
      <c r="AB123" s="282">
        <f>Z123+U123+P123+K123+F123</f>
        <v>0</v>
      </c>
      <c r="AC123" s="3"/>
      <c r="AD123" s="4">
        <v>0</v>
      </c>
      <c r="AE123" s="4">
        <v>0</v>
      </c>
      <c r="AF123" s="19">
        <v>0</v>
      </c>
      <c r="AG123" s="29">
        <f>AF123</f>
        <v>0</v>
      </c>
      <c r="AH123" s="3"/>
      <c r="AI123" s="227"/>
      <c r="AK123" s="187"/>
      <c r="AL123" s="187"/>
      <c r="AM123" s="187"/>
      <c r="AN123" s="187"/>
      <c r="AO123" s="187"/>
      <c r="AP123" s="187"/>
    </row>
    <row r="124" spans="1:42" s="1" customFormat="1">
      <c r="B124" s="64" t="s">
        <v>61</v>
      </c>
      <c r="C124" s="64"/>
      <c r="D124" s="64"/>
      <c r="E124" s="167">
        <f>SUM(E112:E123)</f>
        <v>62.25</v>
      </c>
      <c r="F124" s="277">
        <f>SUM(F112:F123)</f>
        <v>3.75</v>
      </c>
      <c r="G124" s="3"/>
      <c r="H124" s="64"/>
      <c r="I124" s="64"/>
      <c r="J124" s="167">
        <f>SUM(J112:J123)</f>
        <v>66</v>
      </c>
      <c r="K124" s="277">
        <f>SUM(K112:K123)</f>
        <v>0</v>
      </c>
      <c r="L124" s="3"/>
      <c r="M124" s="64"/>
      <c r="N124" s="64"/>
      <c r="O124" s="167">
        <f>SUM(O112:O123)</f>
        <v>70.25</v>
      </c>
      <c r="P124" s="277">
        <f>SUM(P112:P123)</f>
        <v>4.5</v>
      </c>
      <c r="Q124" s="3"/>
      <c r="R124" s="64"/>
      <c r="S124" s="64"/>
      <c r="T124" s="167">
        <f>SUM(T112:T123)</f>
        <v>74</v>
      </c>
      <c r="U124" s="277">
        <f>SUM(U112:U123)</f>
        <v>0</v>
      </c>
      <c r="V124" s="3"/>
      <c r="W124" s="64"/>
      <c r="X124" s="64"/>
      <c r="Y124" s="167">
        <f>SUM(Y112:Y123)</f>
        <v>73</v>
      </c>
      <c r="Z124" s="277"/>
      <c r="AA124" s="247">
        <f>SUM(AA112:AA123)</f>
        <v>345.5</v>
      </c>
      <c r="AB124" s="289">
        <f>SUM(AB112:AB123)</f>
        <v>8.25</v>
      </c>
      <c r="AC124" s="3"/>
      <c r="AD124" s="64"/>
      <c r="AE124" s="64"/>
      <c r="AF124" s="64"/>
      <c r="AG124" s="247">
        <f>SUM(AG112:AG123)</f>
        <v>15.75</v>
      </c>
      <c r="AH124" s="3"/>
      <c r="AI124" s="227"/>
      <c r="AK124" s="187"/>
      <c r="AL124" s="187"/>
      <c r="AM124" s="187"/>
      <c r="AN124" s="187"/>
      <c r="AO124" s="187"/>
      <c r="AP124" s="187"/>
    </row>
    <row r="125" spans="1:42" s="1" customFormat="1">
      <c r="B125" s="31" t="s">
        <v>64</v>
      </c>
      <c r="C125" s="56"/>
      <c r="D125" s="56"/>
      <c r="E125" s="19">
        <v>5</v>
      </c>
      <c r="F125" s="280"/>
      <c r="G125" s="60"/>
      <c r="H125" s="56"/>
      <c r="I125" s="56"/>
      <c r="J125" s="143">
        <f>5.25+(1*1.5)</f>
        <v>6.75</v>
      </c>
      <c r="K125" s="280"/>
      <c r="L125" s="60"/>
      <c r="M125" s="56"/>
      <c r="N125" s="56"/>
      <c r="O125" s="19">
        <v>6.5</v>
      </c>
      <c r="P125" s="280"/>
      <c r="Q125" s="3"/>
      <c r="R125" s="56"/>
      <c r="S125" s="56"/>
      <c r="T125" s="19">
        <v>6</v>
      </c>
      <c r="U125" s="280"/>
      <c r="V125" s="60"/>
      <c r="W125" s="56"/>
      <c r="X125" s="56"/>
      <c r="Y125" s="143">
        <f>5.25+(1.75*1.5)</f>
        <v>7.875</v>
      </c>
      <c r="Z125" s="280">
        <v>1</v>
      </c>
      <c r="AA125" s="28">
        <f>SUM(E125:Y125)</f>
        <v>32.125</v>
      </c>
      <c r="AB125" s="290">
        <f>Z125</f>
        <v>1</v>
      </c>
      <c r="AC125" s="3"/>
      <c r="AD125" s="56"/>
      <c r="AE125" s="56"/>
      <c r="AF125" s="19">
        <v>2.25</v>
      </c>
      <c r="AG125" s="29">
        <f>AF125</f>
        <v>2.25</v>
      </c>
      <c r="AH125" s="3"/>
      <c r="AI125" s="227"/>
      <c r="AK125" s="187"/>
      <c r="AL125" s="187"/>
      <c r="AM125" s="187"/>
      <c r="AN125" s="187"/>
      <c r="AO125" s="187"/>
      <c r="AP125" s="187"/>
    </row>
    <row r="126" spans="1:42" s="1" customFormat="1" ht="15" thickBot="1">
      <c r="B126" s="74" t="s">
        <v>65</v>
      </c>
      <c r="C126" s="75"/>
      <c r="D126" s="75"/>
      <c r="E126" s="77">
        <v>3</v>
      </c>
      <c r="F126" s="77"/>
      <c r="G126" s="81"/>
      <c r="H126" s="75"/>
      <c r="I126" s="75"/>
      <c r="J126" s="77">
        <v>3</v>
      </c>
      <c r="K126" s="77"/>
      <c r="L126" s="81"/>
      <c r="M126" s="75"/>
      <c r="N126" s="75"/>
      <c r="O126" s="77">
        <v>3</v>
      </c>
      <c r="P126" s="77"/>
      <c r="Q126" s="81"/>
      <c r="R126" s="75"/>
      <c r="S126" s="75"/>
      <c r="T126" s="77">
        <v>3</v>
      </c>
      <c r="U126" s="77"/>
      <c r="V126" s="81"/>
      <c r="W126" s="75"/>
      <c r="X126" s="75"/>
      <c r="Y126" s="77">
        <v>3</v>
      </c>
      <c r="Z126" s="77"/>
      <c r="AA126" s="80">
        <f>SUM(E126:Y126)</f>
        <v>15</v>
      </c>
      <c r="AB126" s="287">
        <v>0</v>
      </c>
      <c r="AC126" s="3"/>
      <c r="AD126" s="75"/>
      <c r="AE126" s="75"/>
      <c r="AF126" s="77">
        <v>0</v>
      </c>
      <c r="AG126" s="244">
        <f>AF126</f>
        <v>0</v>
      </c>
      <c r="AH126" s="4"/>
      <c r="AI126" s="251"/>
      <c r="AK126" s="187"/>
      <c r="AL126" s="187"/>
      <c r="AM126" s="187"/>
      <c r="AN126" s="187"/>
      <c r="AO126" s="187"/>
      <c r="AP126" s="187"/>
    </row>
    <row r="127" spans="1:42" s="187" customFormat="1" ht="13.5" customHeight="1" thickTop="1">
      <c r="A127" s="224"/>
      <c r="B127" s="214" t="s">
        <v>66</v>
      </c>
      <c r="C127" s="215"/>
      <c r="D127" s="215"/>
      <c r="E127" s="214">
        <f>SUM(E125:E126)</f>
        <v>8</v>
      </c>
      <c r="F127" s="214"/>
      <c r="G127" s="215"/>
      <c r="H127" s="214"/>
      <c r="I127" s="214"/>
      <c r="J127" s="214">
        <f>SUM(J125:J126)</f>
        <v>9.75</v>
      </c>
      <c r="K127" s="214"/>
      <c r="L127" s="215"/>
      <c r="M127" s="215"/>
      <c r="N127" s="215"/>
      <c r="O127" s="214">
        <f>SUM(O125:O126)</f>
        <v>9.5</v>
      </c>
      <c r="P127" s="214"/>
      <c r="Q127" s="214"/>
      <c r="R127" s="214"/>
      <c r="S127" s="214"/>
      <c r="T127" s="214">
        <f>SUM(T125:T126)</f>
        <v>9</v>
      </c>
      <c r="U127" s="214"/>
      <c r="V127" s="214"/>
      <c r="W127" s="214"/>
      <c r="X127" s="214"/>
      <c r="Y127" s="214">
        <f>SUM(Y125:Y126)</f>
        <v>10.875</v>
      </c>
      <c r="Z127" s="214"/>
      <c r="AA127" s="247">
        <f>SUM(AA125:AA126)</f>
        <v>47.125</v>
      </c>
      <c r="AB127" s="249">
        <f>SUM(AB125:AB126)</f>
        <v>1</v>
      </c>
      <c r="AC127" s="226"/>
      <c r="AD127" s="241"/>
      <c r="AG127" s="247">
        <f>SUM(AG125:AG126)</f>
        <v>2.25</v>
      </c>
      <c r="AH127" s="4"/>
      <c r="AI127" s="251"/>
      <c r="AJ127" s="1"/>
    </row>
    <row r="128" spans="1:42" s="1" customFormat="1" ht="13.5" customHeight="1">
      <c r="A128" s="11"/>
      <c r="B128" s="217" t="s">
        <v>133</v>
      </c>
      <c r="C128" s="240">
        <v>0</v>
      </c>
      <c r="D128" s="208"/>
      <c r="E128" s="209"/>
      <c r="F128" s="209"/>
      <c r="G128" s="208"/>
      <c r="H128" s="209"/>
      <c r="I128" s="209"/>
      <c r="J128" s="209"/>
      <c r="K128" s="209"/>
      <c r="L128" s="208"/>
      <c r="M128" s="208"/>
      <c r="N128" s="208"/>
      <c r="O128" s="208"/>
      <c r="P128" s="209"/>
      <c r="Q128" s="208"/>
      <c r="R128" s="208"/>
      <c r="S128" s="208"/>
      <c r="T128" s="208"/>
      <c r="U128" s="209"/>
      <c r="V128" s="208"/>
      <c r="W128" s="208"/>
      <c r="X128" s="208"/>
      <c r="Y128" s="210"/>
      <c r="Z128" s="209"/>
      <c r="AA128" s="211"/>
      <c r="AB128" s="209"/>
      <c r="AC128" s="211"/>
      <c r="AD128" s="211"/>
      <c r="AE128" s="211"/>
      <c r="AF128" s="211"/>
      <c r="AG128" s="211"/>
      <c r="AH128" s="4"/>
      <c r="AI128" s="251"/>
      <c r="AK128" s="187"/>
      <c r="AL128" s="187"/>
      <c r="AM128" s="187"/>
      <c r="AN128" s="187"/>
      <c r="AO128" s="187"/>
      <c r="AP128" s="187"/>
    </row>
    <row r="129" spans="1:42">
      <c r="B129" s="217" t="s">
        <v>134</v>
      </c>
      <c r="C129" s="237">
        <f>AG124</f>
        <v>15.75</v>
      </c>
      <c r="D129" s="212"/>
      <c r="E129" s="213"/>
      <c r="F129" s="213"/>
      <c r="G129" s="213"/>
      <c r="H129" s="212"/>
      <c r="I129" s="212"/>
      <c r="J129" s="213"/>
      <c r="K129" s="213"/>
      <c r="L129" s="213"/>
      <c r="M129" s="212"/>
      <c r="N129" s="212"/>
      <c r="O129" s="213"/>
      <c r="P129" s="213"/>
      <c r="Q129" s="213"/>
      <c r="R129" s="212"/>
      <c r="S129" s="212"/>
      <c r="T129" s="213"/>
      <c r="U129" s="213"/>
      <c r="V129" s="213"/>
      <c r="W129" s="212"/>
      <c r="X129" s="212"/>
      <c r="Y129" s="213"/>
      <c r="Z129" s="213"/>
      <c r="AA129" s="213"/>
      <c r="AB129" s="213"/>
      <c r="AC129" s="213"/>
      <c r="AD129" s="213"/>
      <c r="AE129" s="213"/>
      <c r="AF129" s="213"/>
      <c r="AG129" s="213"/>
    </row>
    <row r="130" spans="1:42" s="1" customFormat="1" ht="13.5" customHeight="1">
      <c r="A130" s="11"/>
      <c r="B130" s="217" t="s">
        <v>67</v>
      </c>
      <c r="C130" s="207">
        <f>C131+C132</f>
        <v>40</v>
      </c>
      <c r="D130" s="208"/>
      <c r="E130" s="209"/>
      <c r="F130" s="209"/>
      <c r="G130" s="208"/>
      <c r="H130" s="209"/>
      <c r="I130" s="209"/>
      <c r="J130" s="209"/>
      <c r="K130" s="209"/>
      <c r="L130" s="208"/>
      <c r="M130" s="208"/>
      <c r="N130" s="208"/>
      <c r="O130" s="208"/>
      <c r="P130" s="209"/>
      <c r="Q130" s="208"/>
      <c r="R130" s="208"/>
      <c r="S130" s="208"/>
      <c r="T130" s="208"/>
      <c r="U130" s="209"/>
      <c r="V130" s="208"/>
      <c r="W130" s="208"/>
      <c r="X130" s="208"/>
      <c r="Y130" s="210"/>
      <c r="Z130" s="209"/>
      <c r="AA130" s="211"/>
      <c r="AB130" s="209"/>
      <c r="AC130" s="211"/>
      <c r="AD130" s="211"/>
      <c r="AE130" s="211"/>
      <c r="AF130" s="211"/>
      <c r="AG130" s="211"/>
      <c r="AH130" s="3"/>
      <c r="AI130" s="227"/>
      <c r="AK130" s="187"/>
      <c r="AL130" s="187"/>
      <c r="AM130" s="187"/>
      <c r="AN130" s="187"/>
      <c r="AO130" s="187"/>
      <c r="AP130" s="187"/>
    </row>
    <row r="131" spans="1:42" s="1" customFormat="1" ht="13.5" customHeight="1">
      <c r="A131" s="11"/>
      <c r="B131" s="238" t="s">
        <v>68</v>
      </c>
      <c r="C131" s="239">
        <v>40</v>
      </c>
      <c r="D131" s="208"/>
      <c r="E131" s="209"/>
      <c r="F131" s="209"/>
      <c r="G131" s="208"/>
      <c r="H131" s="209"/>
      <c r="I131" s="209"/>
      <c r="J131" s="209"/>
      <c r="K131" s="209"/>
      <c r="L131" s="208"/>
      <c r="M131" s="208"/>
      <c r="N131" s="208"/>
      <c r="O131" s="208"/>
      <c r="P131" s="209"/>
      <c r="Q131" s="208"/>
      <c r="R131" s="208"/>
      <c r="S131" s="208"/>
      <c r="T131" s="208"/>
      <c r="U131" s="209"/>
      <c r="V131" s="208"/>
      <c r="W131" s="208"/>
      <c r="X131" s="208"/>
      <c r="Y131" s="210"/>
      <c r="Z131" s="209"/>
      <c r="AA131" s="211"/>
      <c r="AB131" s="209"/>
      <c r="AC131" s="211"/>
      <c r="AD131" s="211"/>
      <c r="AE131" s="211"/>
      <c r="AF131" s="211"/>
      <c r="AG131" s="211"/>
      <c r="AH131" s="3"/>
      <c r="AI131" s="227"/>
      <c r="AK131" s="187"/>
      <c r="AL131" s="187"/>
      <c r="AM131" s="187"/>
      <c r="AN131" s="187"/>
      <c r="AO131" s="187"/>
      <c r="AP131" s="187"/>
    </row>
    <row r="132" spans="1:42" s="1" customFormat="1" ht="13.5" customHeight="1">
      <c r="A132" s="11"/>
      <c r="B132" s="238" t="s">
        <v>69</v>
      </c>
      <c r="C132" s="239">
        <v>0</v>
      </c>
      <c r="D132" s="208"/>
      <c r="E132" s="209"/>
      <c r="F132" s="209"/>
      <c r="G132" s="208"/>
      <c r="H132" s="209"/>
      <c r="I132" s="209"/>
      <c r="J132" s="209"/>
      <c r="K132" s="209"/>
      <c r="L132" s="208"/>
      <c r="M132" s="208"/>
      <c r="N132" s="208"/>
      <c r="O132" s="208"/>
      <c r="P132" s="209"/>
      <c r="Q132" s="208"/>
      <c r="R132" s="208"/>
      <c r="S132" s="208"/>
      <c r="T132" s="208"/>
      <c r="U132" s="209"/>
      <c r="V132" s="208"/>
      <c r="W132" s="208"/>
      <c r="X132" s="208"/>
      <c r="Y132" s="210"/>
      <c r="Z132" s="209"/>
      <c r="AA132" s="211"/>
      <c r="AB132" s="209"/>
      <c r="AC132" s="211"/>
      <c r="AD132" s="211"/>
      <c r="AE132" s="211"/>
      <c r="AF132" s="211"/>
      <c r="AG132" s="211"/>
      <c r="AH132" s="3"/>
      <c r="AI132" s="227"/>
      <c r="AK132" s="187"/>
      <c r="AL132" s="187"/>
      <c r="AM132" s="187"/>
      <c r="AN132" s="187"/>
      <c r="AO132" s="187"/>
      <c r="AP132" s="187"/>
    </row>
    <row r="133" spans="1:42" s="1" customFormat="1" ht="4.5" customHeight="1">
      <c r="A133" s="11"/>
      <c r="B133" s="218"/>
      <c r="C133" s="219"/>
      <c r="D133" s="220"/>
      <c r="E133" s="221"/>
      <c r="F133" s="221"/>
      <c r="G133" s="220"/>
      <c r="H133" s="221"/>
      <c r="I133" s="221"/>
      <c r="J133" s="221"/>
      <c r="K133" s="221"/>
      <c r="L133" s="220"/>
      <c r="M133" s="220"/>
      <c r="N133" s="220"/>
      <c r="O133" s="220"/>
      <c r="P133" s="221"/>
      <c r="Q133" s="220"/>
      <c r="R133" s="220"/>
      <c r="S133" s="220"/>
      <c r="T133" s="220"/>
      <c r="U133" s="221"/>
      <c r="V133" s="220"/>
      <c r="W133" s="220"/>
      <c r="X133" s="220"/>
      <c r="Y133" s="222"/>
      <c r="Z133" s="221"/>
      <c r="AA133" s="223"/>
      <c r="AB133" s="221"/>
      <c r="AC133" s="3"/>
      <c r="AD133" s="168"/>
      <c r="AH133" s="3"/>
      <c r="AI133" s="227"/>
      <c r="AK133" s="187"/>
      <c r="AL133" s="187"/>
      <c r="AM133" s="187"/>
      <c r="AN133" s="187"/>
      <c r="AO133" s="187"/>
      <c r="AP133" s="187"/>
    </row>
    <row r="134" spans="1:42" s="227" customFormat="1" ht="4.5" customHeight="1">
      <c r="A134" s="228"/>
      <c r="B134" s="229"/>
      <c r="C134" s="230"/>
      <c r="D134" s="231"/>
      <c r="E134" s="232"/>
      <c r="F134" s="232"/>
      <c r="G134" s="231"/>
      <c r="H134" s="232"/>
      <c r="I134" s="232"/>
      <c r="J134" s="232"/>
      <c r="K134" s="232"/>
      <c r="L134" s="231"/>
      <c r="M134" s="231"/>
      <c r="N134" s="231"/>
      <c r="O134" s="231"/>
      <c r="P134" s="232"/>
      <c r="Q134" s="231"/>
      <c r="R134" s="231"/>
      <c r="S134" s="231"/>
      <c r="T134" s="231"/>
      <c r="U134" s="232"/>
      <c r="V134" s="231"/>
      <c r="W134" s="231"/>
      <c r="X134" s="231"/>
      <c r="Y134" s="233"/>
      <c r="Z134" s="232"/>
      <c r="AA134" s="234"/>
      <c r="AB134" s="232"/>
      <c r="AC134" s="235"/>
      <c r="AD134" s="236"/>
      <c r="AH134" s="235"/>
    </row>
    <row r="135" spans="1:42" s="187" customFormat="1" ht="4.5" customHeight="1">
      <c r="A135" s="224"/>
      <c r="B135" s="214"/>
      <c r="C135" s="215"/>
      <c r="D135" s="215"/>
      <c r="E135" s="214"/>
      <c r="F135" s="214"/>
      <c r="G135" s="215"/>
      <c r="H135" s="214"/>
      <c r="I135" s="214"/>
      <c r="J135" s="214"/>
      <c r="K135" s="214"/>
      <c r="L135" s="215"/>
      <c r="M135" s="215"/>
      <c r="N135" s="215"/>
      <c r="O135" s="215"/>
      <c r="P135" s="214"/>
      <c r="Q135" s="215"/>
      <c r="R135" s="215"/>
      <c r="S135" s="215"/>
      <c r="T135" s="215"/>
      <c r="U135" s="214"/>
      <c r="V135" s="215"/>
      <c r="W135" s="215"/>
      <c r="X135" s="215"/>
      <c r="Y135" s="216"/>
      <c r="Z135" s="214"/>
      <c r="AA135" s="225"/>
      <c r="AB135" s="214"/>
      <c r="AC135" s="226"/>
      <c r="AH135" s="226"/>
      <c r="AI135" s="227"/>
    </row>
    <row r="136" spans="1:42" s="1" customFormat="1" ht="13.35" customHeight="1">
      <c r="B136" s="1518" t="s">
        <v>18</v>
      </c>
      <c r="C136" s="1524">
        <v>45103</v>
      </c>
      <c r="D136" s="1524"/>
      <c r="E136" s="1524"/>
      <c r="F136" s="1524"/>
      <c r="G136" s="22"/>
      <c r="H136" s="1524">
        <v>45104</v>
      </c>
      <c r="I136" s="1524"/>
      <c r="J136" s="1524"/>
      <c r="K136" s="204"/>
      <c r="L136" s="22"/>
      <c r="M136" s="1524">
        <v>45105</v>
      </c>
      <c r="N136" s="1524"/>
      <c r="O136" s="1524"/>
      <c r="P136" s="204"/>
      <c r="Q136" s="22"/>
      <c r="R136" s="1524">
        <v>45106</v>
      </c>
      <c r="S136" s="1524"/>
      <c r="T136" s="1524"/>
      <c r="U136" s="204"/>
      <c r="V136" s="22"/>
      <c r="W136" s="1524">
        <v>45107</v>
      </c>
      <c r="X136" s="1524"/>
      <c r="Y136" s="1524"/>
      <c r="Z136" s="204"/>
      <c r="AA136" s="1517" t="s">
        <v>19</v>
      </c>
      <c r="AB136" s="1517" t="s">
        <v>20</v>
      </c>
      <c r="AC136" s="3"/>
      <c r="AD136" s="1524">
        <v>45108</v>
      </c>
      <c r="AE136" s="1524"/>
      <c r="AF136" s="1524"/>
      <c r="AG136" s="1517" t="s">
        <v>21</v>
      </c>
      <c r="AH136" s="4"/>
      <c r="AI136" s="253"/>
      <c r="AK136" s="194" t="s">
        <v>150</v>
      </c>
      <c r="AL136" s="195"/>
      <c r="AM136" s="195"/>
      <c r="AN136" s="195"/>
      <c r="AO136" s="195"/>
      <c r="AP136" s="195"/>
    </row>
    <row r="137" spans="1:42" s="1" customFormat="1" ht="14.25">
      <c r="B137" s="1518"/>
      <c r="C137" s="21" t="s">
        <v>23</v>
      </c>
      <c r="D137" s="21" t="s">
        <v>24</v>
      </c>
      <c r="E137" s="205" t="s">
        <v>144</v>
      </c>
      <c r="F137" s="18" t="s">
        <v>14</v>
      </c>
      <c r="G137" s="3"/>
      <c r="H137" s="21" t="s">
        <v>23</v>
      </c>
      <c r="I137" s="21" t="s">
        <v>24</v>
      </c>
      <c r="J137" s="205" t="s">
        <v>144</v>
      </c>
      <c r="K137" s="18" t="s">
        <v>14</v>
      </c>
      <c r="L137" s="3"/>
      <c r="M137" s="21" t="s">
        <v>23</v>
      </c>
      <c r="N137" s="21" t="s">
        <v>24</v>
      </c>
      <c r="O137" s="205" t="s">
        <v>144</v>
      </c>
      <c r="P137" s="18" t="s">
        <v>14</v>
      </c>
      <c r="Q137" s="3"/>
      <c r="R137" s="21" t="s">
        <v>23</v>
      </c>
      <c r="S137" s="21" t="s">
        <v>24</v>
      </c>
      <c r="T137" s="205" t="s">
        <v>144</v>
      </c>
      <c r="U137" s="18" t="s">
        <v>14</v>
      </c>
      <c r="V137" s="3"/>
      <c r="W137" s="21" t="s">
        <v>23</v>
      </c>
      <c r="X137" s="21" t="s">
        <v>24</v>
      </c>
      <c r="Y137" s="205" t="s">
        <v>144</v>
      </c>
      <c r="Z137" s="18" t="s">
        <v>14</v>
      </c>
      <c r="AA137" s="1523"/>
      <c r="AB137" s="1517"/>
      <c r="AC137" s="3"/>
      <c r="AD137" s="21" t="s">
        <v>23</v>
      </c>
      <c r="AE137" s="21" t="s">
        <v>24</v>
      </c>
      <c r="AF137" s="18" t="s">
        <v>25</v>
      </c>
      <c r="AG137" s="1523"/>
      <c r="AH137" s="4"/>
      <c r="AI137" s="253"/>
      <c r="AK137" s="188" t="s">
        <v>26</v>
      </c>
      <c r="AL137" s="199">
        <f>AA149</f>
        <v>269.25</v>
      </c>
      <c r="AM137" s="187"/>
      <c r="AN137" s="187"/>
      <c r="AO137" s="187"/>
      <c r="AP137" s="187"/>
    </row>
    <row r="138" spans="1:42" s="1" customFormat="1" ht="14.25">
      <c r="B138" s="13" t="s">
        <v>129</v>
      </c>
      <c r="C138" s="4">
        <v>0</v>
      </c>
      <c r="D138" s="4">
        <v>0</v>
      </c>
      <c r="E138" s="19">
        <v>0</v>
      </c>
      <c r="F138" s="277"/>
      <c r="G138" s="3"/>
      <c r="H138" s="47">
        <v>0.33333333333333331</v>
      </c>
      <c r="I138" s="47">
        <v>0.20833333333333334</v>
      </c>
      <c r="J138" s="19">
        <v>8</v>
      </c>
      <c r="K138" s="277"/>
      <c r="L138" s="3"/>
      <c r="M138" s="47">
        <v>0.33333333333333331</v>
      </c>
      <c r="N138" s="47">
        <v>0.20833333333333334</v>
      </c>
      <c r="O138" s="19">
        <v>8</v>
      </c>
      <c r="P138" s="277"/>
      <c r="Q138" s="3"/>
      <c r="R138" s="47">
        <v>0.29166666666666669</v>
      </c>
      <c r="S138" s="47">
        <v>0.20833333333333334</v>
      </c>
      <c r="T138" s="19">
        <v>8</v>
      </c>
      <c r="U138" s="277">
        <v>1</v>
      </c>
      <c r="V138" s="3"/>
      <c r="W138" s="47">
        <v>0.33333333333333331</v>
      </c>
      <c r="X138" s="47">
        <v>0.20833333333333334</v>
      </c>
      <c r="Y138" s="19">
        <v>8</v>
      </c>
      <c r="Z138" s="277">
        <v>0.5</v>
      </c>
      <c r="AA138" s="29">
        <f t="shared" ref="AA138:AA147" si="11">(E138+J138+O138+T138+Y138)</f>
        <v>32</v>
      </c>
      <c r="AB138" s="282">
        <f>Z138+U138+P138+K138+F138</f>
        <v>1.5</v>
      </c>
      <c r="AC138" s="3"/>
      <c r="AD138" s="4">
        <v>0</v>
      </c>
      <c r="AE138" s="4">
        <v>0</v>
      </c>
      <c r="AF138" s="19">
        <v>0</v>
      </c>
      <c r="AG138" s="29">
        <f t="shared" ref="AG138:AG148" si="12">AF138</f>
        <v>0</v>
      </c>
      <c r="AH138" s="4"/>
      <c r="AI138" s="254"/>
      <c r="AK138" s="188" t="s">
        <v>30</v>
      </c>
      <c r="AL138" s="196">
        <f>AB149</f>
        <v>6.25</v>
      </c>
      <c r="AM138" s="187"/>
      <c r="AN138" s="187"/>
      <c r="AO138" s="187"/>
      <c r="AP138" s="187"/>
    </row>
    <row r="139" spans="1:42" s="1" customFormat="1" ht="14.25">
      <c r="B139" s="13" t="s">
        <v>131</v>
      </c>
      <c r="C139" s="47">
        <v>0.33333333333333331</v>
      </c>
      <c r="D139" s="47">
        <v>0.20833333333333334</v>
      </c>
      <c r="E139" s="19">
        <v>8</v>
      </c>
      <c r="F139" s="277">
        <v>1</v>
      </c>
      <c r="G139" s="3"/>
      <c r="H139" s="47">
        <v>0.33333333333333331</v>
      </c>
      <c r="I139" s="47">
        <v>0.20833333333333334</v>
      </c>
      <c r="J139" s="19">
        <v>8</v>
      </c>
      <c r="K139" s="277"/>
      <c r="L139" s="3"/>
      <c r="M139" s="4">
        <v>0</v>
      </c>
      <c r="N139" s="4">
        <v>0</v>
      </c>
      <c r="O139" s="19">
        <v>0</v>
      </c>
      <c r="P139" s="277"/>
      <c r="Q139" s="3"/>
      <c r="R139" s="4">
        <v>0</v>
      </c>
      <c r="S139" s="4">
        <v>0</v>
      </c>
      <c r="T139" s="19">
        <v>0</v>
      </c>
      <c r="U139" s="277"/>
      <c r="V139" s="3"/>
      <c r="W139" s="4">
        <v>0</v>
      </c>
      <c r="X139" s="4">
        <v>0</v>
      </c>
      <c r="Y139" s="19">
        <v>0</v>
      </c>
      <c r="Z139" s="277"/>
      <c r="AA139" s="29">
        <f t="shared" si="11"/>
        <v>16</v>
      </c>
      <c r="AB139" s="282">
        <f t="shared" ref="AB139:AB146" si="13">Z139+U139+P139+K139+F139</f>
        <v>1</v>
      </c>
      <c r="AC139" s="3"/>
      <c r="AD139" s="4">
        <v>0</v>
      </c>
      <c r="AE139" s="4">
        <v>0</v>
      </c>
      <c r="AF139" s="19">
        <v>0</v>
      </c>
      <c r="AG139" s="29">
        <f t="shared" si="12"/>
        <v>0</v>
      </c>
      <c r="AH139" s="4"/>
      <c r="AI139" s="252"/>
      <c r="AK139" s="188" t="s">
        <v>32</v>
      </c>
      <c r="AL139" s="190">
        <f>AG149</f>
        <v>0</v>
      </c>
      <c r="AM139" s="187"/>
      <c r="AN139" s="187"/>
      <c r="AO139" s="187"/>
      <c r="AP139" s="187"/>
    </row>
    <row r="140" spans="1:42" s="1" customFormat="1" ht="14.25">
      <c r="B140" s="13" t="s">
        <v>132</v>
      </c>
      <c r="C140" s="61" t="s">
        <v>151</v>
      </c>
      <c r="D140" s="47" t="s">
        <v>151</v>
      </c>
      <c r="E140" s="19">
        <v>0</v>
      </c>
      <c r="F140" s="277"/>
      <c r="G140" s="3"/>
      <c r="H140" s="47">
        <v>0.33333333333333331</v>
      </c>
      <c r="I140" s="47">
        <v>0.20833333333333334</v>
      </c>
      <c r="J140" s="19">
        <v>8</v>
      </c>
      <c r="K140" s="277"/>
      <c r="L140" s="3"/>
      <c r="M140" s="47">
        <v>0.33333333333333331</v>
      </c>
      <c r="N140" s="47">
        <v>0.20833333333333334</v>
      </c>
      <c r="O140" s="19">
        <v>8</v>
      </c>
      <c r="P140" s="277"/>
      <c r="Q140" s="3"/>
      <c r="R140" s="4">
        <v>0</v>
      </c>
      <c r="S140" s="4">
        <v>0</v>
      </c>
      <c r="T140" s="19">
        <v>0</v>
      </c>
      <c r="U140" s="277"/>
      <c r="V140" s="3"/>
      <c r="W140" s="4">
        <v>0</v>
      </c>
      <c r="X140" s="4">
        <v>0</v>
      </c>
      <c r="Y140" s="19">
        <v>0</v>
      </c>
      <c r="Z140" s="277"/>
      <c r="AA140" s="29">
        <f t="shared" si="11"/>
        <v>16</v>
      </c>
      <c r="AB140" s="282">
        <f t="shared" si="13"/>
        <v>0</v>
      </c>
      <c r="AC140" s="3"/>
      <c r="AD140" s="4">
        <v>0</v>
      </c>
      <c r="AE140" s="4">
        <v>0</v>
      </c>
      <c r="AF140" s="19">
        <v>0</v>
      </c>
      <c r="AG140" s="29">
        <f t="shared" si="12"/>
        <v>0</v>
      </c>
      <c r="AH140" s="4"/>
      <c r="AI140" s="255"/>
      <c r="AK140" s="188" t="s">
        <v>34</v>
      </c>
      <c r="AL140" s="200">
        <f>AA154</f>
        <v>114.9</v>
      </c>
      <c r="AM140" s="187"/>
      <c r="AN140" s="187"/>
      <c r="AO140" s="187"/>
      <c r="AP140" s="187"/>
    </row>
    <row r="141" spans="1:42" s="1" customFormat="1" ht="14.25">
      <c r="B141" s="13" t="s">
        <v>35</v>
      </c>
      <c r="C141" s="47">
        <v>0.36458333333333331</v>
      </c>
      <c r="D141" s="47">
        <v>0.20833333333333334</v>
      </c>
      <c r="E141" s="19">
        <v>8</v>
      </c>
      <c r="F141" s="277">
        <v>0.25</v>
      </c>
      <c r="G141" s="3"/>
      <c r="H141" s="47">
        <v>0.33333333333333331</v>
      </c>
      <c r="I141" s="47">
        <v>0.20833333333333334</v>
      </c>
      <c r="J141" s="19">
        <v>8</v>
      </c>
      <c r="K141" s="277"/>
      <c r="L141" s="3"/>
      <c r="M141" s="4">
        <v>0</v>
      </c>
      <c r="N141" s="4">
        <v>0</v>
      </c>
      <c r="O141" s="19">
        <v>0</v>
      </c>
      <c r="P141" s="277"/>
      <c r="Q141" s="3"/>
      <c r="R141" s="47">
        <v>0.375</v>
      </c>
      <c r="S141" s="47">
        <v>0.20833333333333334</v>
      </c>
      <c r="T141" s="19">
        <v>7</v>
      </c>
      <c r="U141" s="277"/>
      <c r="V141" s="3"/>
      <c r="W141" s="47">
        <v>0.33333333333333331</v>
      </c>
      <c r="X141" s="47">
        <v>0.20833333333333334</v>
      </c>
      <c r="Y141" s="19">
        <v>8</v>
      </c>
      <c r="Z141" s="277">
        <v>0.5</v>
      </c>
      <c r="AA141" s="29">
        <f t="shared" si="11"/>
        <v>31</v>
      </c>
      <c r="AB141" s="282">
        <f t="shared" si="13"/>
        <v>0.75</v>
      </c>
      <c r="AC141" s="3"/>
      <c r="AD141" s="4">
        <v>0</v>
      </c>
      <c r="AE141" s="4">
        <v>0</v>
      </c>
      <c r="AF141" s="19">
        <v>0</v>
      </c>
      <c r="AG141" s="29">
        <f t="shared" si="12"/>
        <v>0</v>
      </c>
      <c r="AH141" s="4"/>
      <c r="AI141" s="255"/>
      <c r="AK141" s="188" t="s">
        <v>38</v>
      </c>
      <c r="AL141" s="190">
        <f>AB154</f>
        <v>17</v>
      </c>
      <c r="AM141" s="187"/>
      <c r="AN141" s="187"/>
      <c r="AO141" s="187"/>
      <c r="AP141" s="187"/>
    </row>
    <row r="142" spans="1:42" s="1" customFormat="1" ht="14.25">
      <c r="B142" s="13" t="s">
        <v>37</v>
      </c>
      <c r="C142" s="47">
        <v>0.33333333333333331</v>
      </c>
      <c r="D142" s="47">
        <v>0.20833333333333334</v>
      </c>
      <c r="E142" s="19">
        <v>8</v>
      </c>
      <c r="F142" s="277">
        <v>1</v>
      </c>
      <c r="G142" s="3"/>
      <c r="H142" s="47">
        <v>0.33333333333333331</v>
      </c>
      <c r="I142" s="47">
        <v>0.20833333333333334</v>
      </c>
      <c r="J142" s="19">
        <v>8</v>
      </c>
      <c r="K142" s="277"/>
      <c r="L142" s="3"/>
      <c r="M142" s="4">
        <v>0</v>
      </c>
      <c r="N142" s="4">
        <v>0</v>
      </c>
      <c r="O142" s="19">
        <v>0</v>
      </c>
      <c r="P142" s="277"/>
      <c r="Q142" s="3"/>
      <c r="R142" s="47">
        <v>0.33333333333333331</v>
      </c>
      <c r="S142" s="47">
        <v>0.20833333333333334</v>
      </c>
      <c r="T142" s="19">
        <v>8</v>
      </c>
      <c r="U142" s="277"/>
      <c r="V142" s="3"/>
      <c r="W142" s="47">
        <v>0.33333333333333331</v>
      </c>
      <c r="X142" s="47">
        <v>0.20833333333333334</v>
      </c>
      <c r="Y142" s="19">
        <v>8</v>
      </c>
      <c r="Z142" s="277">
        <v>0.5</v>
      </c>
      <c r="AA142" s="29">
        <f>(E142+J142+O142+T142+Y142)</f>
        <v>32</v>
      </c>
      <c r="AB142" s="282">
        <f t="shared" si="13"/>
        <v>1.5</v>
      </c>
      <c r="AC142" s="3"/>
      <c r="AD142" s="4">
        <v>0</v>
      </c>
      <c r="AE142" s="4">
        <v>0</v>
      </c>
      <c r="AF142" s="19">
        <v>0</v>
      </c>
      <c r="AG142" s="29">
        <f t="shared" si="12"/>
        <v>0</v>
      </c>
      <c r="AH142" s="4"/>
      <c r="AI142" s="255"/>
      <c r="AK142" s="188" t="s">
        <v>41</v>
      </c>
      <c r="AL142" s="189">
        <f>C155</f>
        <v>44</v>
      </c>
      <c r="AM142" s="187"/>
      <c r="AN142" s="187"/>
      <c r="AO142" s="187"/>
      <c r="AP142" s="187"/>
    </row>
    <row r="143" spans="1:42" s="1" customFormat="1" ht="14.25">
      <c r="B143" s="171" t="s">
        <v>141</v>
      </c>
      <c r="C143" s="47">
        <v>0.33333333333333331</v>
      </c>
      <c r="D143" s="47">
        <v>0.20833333333333334</v>
      </c>
      <c r="E143" s="19">
        <v>8</v>
      </c>
      <c r="F143" s="277">
        <v>1</v>
      </c>
      <c r="G143" s="3"/>
      <c r="H143" s="47">
        <v>0.33333333333333331</v>
      </c>
      <c r="I143" s="47">
        <v>0.20833333333333334</v>
      </c>
      <c r="J143" s="19">
        <v>8</v>
      </c>
      <c r="K143" s="277"/>
      <c r="L143" s="3"/>
      <c r="M143" s="47">
        <v>0.33333333333333331</v>
      </c>
      <c r="N143" s="47">
        <v>0.20833333333333334</v>
      </c>
      <c r="O143" s="19">
        <v>8</v>
      </c>
      <c r="P143" s="277"/>
      <c r="Q143" s="3"/>
      <c r="R143" s="47">
        <v>0.33333333333333331</v>
      </c>
      <c r="S143" s="47">
        <v>0.20833333333333334</v>
      </c>
      <c r="T143" s="19">
        <v>8</v>
      </c>
      <c r="U143" s="277"/>
      <c r="V143" s="3"/>
      <c r="W143" s="47">
        <v>0.33333333333333331</v>
      </c>
      <c r="X143" s="47">
        <v>0.20833333333333334</v>
      </c>
      <c r="Y143" s="19">
        <v>8</v>
      </c>
      <c r="Z143" s="277">
        <v>0.5</v>
      </c>
      <c r="AA143" s="29">
        <f t="shared" si="11"/>
        <v>40</v>
      </c>
      <c r="AB143" s="282">
        <f t="shared" si="13"/>
        <v>1.5</v>
      </c>
      <c r="AC143" s="3"/>
      <c r="AD143" s="4">
        <v>0</v>
      </c>
      <c r="AE143" s="4">
        <v>0</v>
      </c>
      <c r="AF143" s="19">
        <v>0</v>
      </c>
      <c r="AG143" s="29">
        <f t="shared" si="12"/>
        <v>0</v>
      </c>
      <c r="AH143" s="4"/>
      <c r="AI143" s="255"/>
      <c r="AK143" s="187"/>
      <c r="AL143" s="187"/>
      <c r="AM143" s="187"/>
      <c r="AN143" s="187"/>
      <c r="AO143" s="187"/>
      <c r="AP143" s="187"/>
    </row>
    <row r="144" spans="1:42" s="1" customFormat="1" ht="14.25">
      <c r="B144" s="171" t="s">
        <v>142</v>
      </c>
      <c r="C144" s="61">
        <v>0.41666666666666669</v>
      </c>
      <c r="D144" s="47">
        <v>0.20833333333333334</v>
      </c>
      <c r="E144" s="19">
        <v>7</v>
      </c>
      <c r="F144" s="277"/>
      <c r="G144" s="3"/>
      <c r="H144" s="4">
        <v>0</v>
      </c>
      <c r="I144" s="4">
        <v>0</v>
      </c>
      <c r="J144" s="19">
        <v>0</v>
      </c>
      <c r="K144" s="277"/>
      <c r="L144" s="3"/>
      <c r="M144" s="4">
        <v>0</v>
      </c>
      <c r="N144" s="4">
        <v>0</v>
      </c>
      <c r="O144" s="19">
        <v>0</v>
      </c>
      <c r="P144" s="277"/>
      <c r="Q144" s="3"/>
      <c r="R144" s="4">
        <v>0</v>
      </c>
      <c r="S144" s="4">
        <v>0</v>
      </c>
      <c r="T144" s="19">
        <v>0</v>
      </c>
      <c r="U144" s="277"/>
      <c r="V144" s="3"/>
      <c r="W144" s="47">
        <v>0.40625</v>
      </c>
      <c r="X144" s="47">
        <v>0.20833333333333334</v>
      </c>
      <c r="Y144" s="19">
        <v>7.25</v>
      </c>
      <c r="Z144" s="277"/>
      <c r="AA144" s="29">
        <f t="shared" si="11"/>
        <v>14.25</v>
      </c>
      <c r="AB144" s="282"/>
      <c r="AC144" s="3"/>
      <c r="AD144" s="4">
        <v>0</v>
      </c>
      <c r="AE144" s="4">
        <v>0</v>
      </c>
      <c r="AF144" s="19">
        <v>0</v>
      </c>
      <c r="AG144" s="29">
        <f t="shared" si="12"/>
        <v>0</v>
      </c>
      <c r="AH144" s="4"/>
      <c r="AI144" s="255"/>
      <c r="AK144" s="187"/>
      <c r="AL144" s="187"/>
      <c r="AM144" s="187"/>
      <c r="AN144" s="187"/>
      <c r="AO144" s="187"/>
      <c r="AP144" s="187"/>
    </row>
    <row r="145" spans="1:42" s="1" customFormat="1" ht="14.25">
      <c r="B145" s="13" t="s">
        <v>55</v>
      </c>
      <c r="C145" s="4">
        <v>0</v>
      </c>
      <c r="D145" s="4">
        <v>0</v>
      </c>
      <c r="E145" s="19">
        <v>0</v>
      </c>
      <c r="F145" s="277"/>
      <c r="G145" s="3"/>
      <c r="H145" s="4">
        <v>0</v>
      </c>
      <c r="I145" s="4">
        <v>0</v>
      </c>
      <c r="J145" s="19">
        <v>0</v>
      </c>
      <c r="K145" s="277"/>
      <c r="L145" s="3"/>
      <c r="M145" s="4">
        <v>0</v>
      </c>
      <c r="N145" s="4">
        <v>0</v>
      </c>
      <c r="O145" s="19">
        <v>0</v>
      </c>
      <c r="P145" s="277"/>
      <c r="Q145" s="3"/>
      <c r="R145" s="4">
        <v>0</v>
      </c>
      <c r="S145" s="4">
        <v>0</v>
      </c>
      <c r="T145" s="19">
        <v>0</v>
      </c>
      <c r="U145" s="277"/>
      <c r="V145" s="3"/>
      <c r="W145" s="4">
        <v>0</v>
      </c>
      <c r="X145" s="4">
        <v>0</v>
      </c>
      <c r="Y145" s="19">
        <v>0</v>
      </c>
      <c r="Z145" s="277"/>
      <c r="AA145" s="29">
        <f t="shared" si="11"/>
        <v>0</v>
      </c>
      <c r="AB145" s="282"/>
      <c r="AC145" s="3"/>
      <c r="AD145" s="4">
        <v>0</v>
      </c>
      <c r="AE145" s="4">
        <v>0</v>
      </c>
      <c r="AF145" s="19">
        <v>0</v>
      </c>
      <c r="AG145" s="29">
        <f t="shared" si="12"/>
        <v>0</v>
      </c>
      <c r="AH145" s="4"/>
      <c r="AI145" s="255"/>
      <c r="AK145" s="187"/>
      <c r="AL145" s="187"/>
      <c r="AM145" s="187"/>
      <c r="AN145" s="187"/>
      <c r="AO145" s="187"/>
      <c r="AP145" s="187"/>
    </row>
    <row r="146" spans="1:42" s="1" customFormat="1" ht="14.25">
      <c r="B146" s="171" t="s">
        <v>31</v>
      </c>
      <c r="C146" s="4">
        <v>0</v>
      </c>
      <c r="D146" s="4">
        <v>0</v>
      </c>
      <c r="E146" s="19">
        <v>0</v>
      </c>
      <c r="F146" s="277"/>
      <c r="G146" s="3"/>
      <c r="H146" s="47">
        <v>0.33333333333333331</v>
      </c>
      <c r="I146" s="47">
        <v>0.20833333333333334</v>
      </c>
      <c r="J146" s="19">
        <v>8</v>
      </c>
      <c r="K146" s="277"/>
      <c r="L146" s="3"/>
      <c r="M146" s="4">
        <v>0</v>
      </c>
      <c r="N146" s="4">
        <v>0</v>
      </c>
      <c r="O146" s="19">
        <v>0</v>
      </c>
      <c r="P146" s="277"/>
      <c r="Q146" s="3"/>
      <c r="R146" s="47">
        <v>0.33333333333333331</v>
      </c>
      <c r="S146" s="47">
        <v>0.20833333333333334</v>
      </c>
      <c r="T146" s="19">
        <v>8</v>
      </c>
      <c r="U146" s="277"/>
      <c r="V146" s="3"/>
      <c r="W146" s="47">
        <v>0.33333333333333331</v>
      </c>
      <c r="X146" s="47">
        <v>0.20833333333333334</v>
      </c>
      <c r="Y146" s="19">
        <v>8</v>
      </c>
      <c r="Z146" s="277"/>
      <c r="AA146" s="29">
        <f t="shared" si="11"/>
        <v>24</v>
      </c>
      <c r="AB146" s="282">
        <f t="shared" si="13"/>
        <v>0</v>
      </c>
      <c r="AC146" s="3"/>
      <c r="AD146" s="4">
        <v>0</v>
      </c>
      <c r="AE146" s="4">
        <v>0</v>
      </c>
      <c r="AF146" s="19">
        <v>0</v>
      </c>
      <c r="AG146" s="29">
        <f t="shared" si="12"/>
        <v>0</v>
      </c>
      <c r="AH146" s="37"/>
      <c r="AI146" s="256"/>
      <c r="AK146" s="187"/>
      <c r="AL146" s="187"/>
      <c r="AM146" s="187"/>
      <c r="AN146" s="187"/>
      <c r="AO146" s="187"/>
      <c r="AP146" s="187"/>
    </row>
    <row r="147" spans="1:42" s="1" customFormat="1" ht="14.25">
      <c r="B147" s="13" t="s">
        <v>39</v>
      </c>
      <c r="C147" s="16" t="s">
        <v>29</v>
      </c>
      <c r="D147" s="16" t="s">
        <v>29</v>
      </c>
      <c r="E147" s="178">
        <v>8</v>
      </c>
      <c r="F147" s="277"/>
      <c r="G147" s="3"/>
      <c r="H147" s="47">
        <v>0.33333333333333331</v>
      </c>
      <c r="I147" s="47">
        <v>0.20833333333333334</v>
      </c>
      <c r="J147" s="19">
        <v>8</v>
      </c>
      <c r="K147" s="277"/>
      <c r="L147" s="3"/>
      <c r="M147" s="4">
        <v>0</v>
      </c>
      <c r="N147" s="4">
        <v>0</v>
      </c>
      <c r="O147" s="19">
        <v>0</v>
      </c>
      <c r="P147" s="277"/>
      <c r="Q147" s="3"/>
      <c r="R147" s="47">
        <v>0.39583333333333331</v>
      </c>
      <c r="S147" s="47">
        <v>0.20833333333333334</v>
      </c>
      <c r="T147" s="19">
        <v>8</v>
      </c>
      <c r="U147" s="277"/>
      <c r="V147" s="3"/>
      <c r="W147" s="4">
        <v>0</v>
      </c>
      <c r="X147" s="4">
        <v>0</v>
      </c>
      <c r="Y147" s="19">
        <v>8</v>
      </c>
      <c r="Z147" s="277"/>
      <c r="AA147" s="29">
        <f t="shared" si="11"/>
        <v>32</v>
      </c>
      <c r="AB147" s="282"/>
      <c r="AC147" s="3"/>
      <c r="AD147" s="4">
        <v>0</v>
      </c>
      <c r="AE147" s="4">
        <v>0</v>
      </c>
      <c r="AF147" s="19">
        <v>0</v>
      </c>
      <c r="AG147" s="29">
        <f t="shared" si="12"/>
        <v>0</v>
      </c>
      <c r="AH147" s="3"/>
      <c r="AI147" s="227"/>
      <c r="AK147" s="187"/>
      <c r="AL147" s="187"/>
      <c r="AM147" s="187"/>
      <c r="AN147" s="187"/>
      <c r="AO147" s="187"/>
      <c r="AP147" s="187"/>
    </row>
    <row r="148" spans="1:42" s="1" customFormat="1" ht="14.25">
      <c r="B148" s="138" t="s">
        <v>147</v>
      </c>
      <c r="C148" s="16" t="s">
        <v>29</v>
      </c>
      <c r="D148" s="16" t="s">
        <v>29</v>
      </c>
      <c r="E148" s="178">
        <v>8</v>
      </c>
      <c r="F148" s="277"/>
      <c r="G148" s="3"/>
      <c r="H148" s="16" t="s">
        <v>29</v>
      </c>
      <c r="I148" s="16" t="s">
        <v>29</v>
      </c>
      <c r="J148" s="179">
        <v>6</v>
      </c>
      <c r="K148" s="277"/>
      <c r="L148" s="3"/>
      <c r="M148" s="16" t="s">
        <v>29</v>
      </c>
      <c r="N148" s="16" t="s">
        <v>29</v>
      </c>
      <c r="O148" s="179">
        <v>6</v>
      </c>
      <c r="P148" s="277"/>
      <c r="Q148" s="3"/>
      <c r="R148" s="16" t="s">
        <v>29</v>
      </c>
      <c r="S148" s="16" t="s">
        <v>29</v>
      </c>
      <c r="T148" s="179">
        <v>6</v>
      </c>
      <c r="U148" s="277"/>
      <c r="V148" s="3"/>
      <c r="W148" s="16" t="s">
        <v>29</v>
      </c>
      <c r="X148" s="16" t="s">
        <v>29</v>
      </c>
      <c r="Y148" s="179">
        <v>6</v>
      </c>
      <c r="Z148" s="277"/>
      <c r="AA148" s="29">
        <f>(E148+J148+O148+T148+Y148)</f>
        <v>32</v>
      </c>
      <c r="AB148" s="282"/>
      <c r="AC148" s="3"/>
      <c r="AD148" s="4">
        <v>0</v>
      </c>
      <c r="AE148" s="4">
        <v>0</v>
      </c>
      <c r="AF148" s="19">
        <v>0</v>
      </c>
      <c r="AG148" s="29">
        <f t="shared" si="12"/>
        <v>0</v>
      </c>
      <c r="AH148" s="3"/>
      <c r="AI148" s="227"/>
      <c r="AK148" s="187"/>
      <c r="AL148" s="187"/>
      <c r="AM148" s="187"/>
      <c r="AN148" s="187"/>
      <c r="AO148" s="187"/>
      <c r="AP148" s="187"/>
    </row>
    <row r="149" spans="1:42" s="1" customFormat="1">
      <c r="B149" s="64" t="s">
        <v>61</v>
      </c>
      <c r="C149" s="64"/>
      <c r="D149" s="64"/>
      <c r="E149" s="167">
        <v>55</v>
      </c>
      <c r="F149" s="277">
        <f>SUM(F138:F148)</f>
        <v>3.25</v>
      </c>
      <c r="G149" s="3"/>
      <c r="H149" s="167"/>
      <c r="I149" s="167"/>
      <c r="J149" s="167">
        <f>SUM(J138:J148)</f>
        <v>70</v>
      </c>
      <c r="K149" s="277">
        <f>SUM(K138:K148)</f>
        <v>0</v>
      </c>
      <c r="L149" s="3"/>
      <c r="M149" s="167"/>
      <c r="N149" s="167"/>
      <c r="O149" s="167">
        <f>SUM(O138:O148)</f>
        <v>30</v>
      </c>
      <c r="P149" s="277">
        <f>SUM(P138:P148)</f>
        <v>0</v>
      </c>
      <c r="Q149" s="3"/>
      <c r="R149" s="167"/>
      <c r="S149" s="167"/>
      <c r="T149" s="167">
        <f>SUM(T138:T148)</f>
        <v>53</v>
      </c>
      <c r="U149" s="277">
        <f>SUM(U138:U148)</f>
        <v>1</v>
      </c>
      <c r="V149" s="3"/>
      <c r="W149" s="167"/>
      <c r="X149" s="167"/>
      <c r="Y149" s="167">
        <f>SUM(Y138:Y148)</f>
        <v>61.25</v>
      </c>
      <c r="Z149" s="277">
        <f>SUM(Z138:Z148)</f>
        <v>2</v>
      </c>
      <c r="AA149" s="247">
        <f>SUM(AA138:AA148)</f>
        <v>269.25</v>
      </c>
      <c r="AB149" s="293">
        <f>SUM(AB138:AB148)</f>
        <v>6.25</v>
      </c>
      <c r="AC149" s="3"/>
      <c r="AD149" s="64"/>
      <c r="AE149" s="64"/>
      <c r="AF149" s="64"/>
      <c r="AG149" s="249">
        <f>SUM(AG138:AG145)</f>
        <v>0</v>
      </c>
      <c r="AH149" s="3"/>
      <c r="AI149" s="227"/>
      <c r="AK149" s="187"/>
      <c r="AL149" s="187"/>
      <c r="AM149" s="187"/>
      <c r="AN149" s="187"/>
      <c r="AO149" s="187"/>
      <c r="AP149" s="187"/>
    </row>
    <row r="150" spans="1:42" s="1" customFormat="1">
      <c r="B150" s="63" t="s">
        <v>146</v>
      </c>
      <c r="C150" s="56"/>
      <c r="D150" s="56"/>
      <c r="E150" s="143">
        <v>8</v>
      </c>
      <c r="F150" s="291">
        <v>2</v>
      </c>
      <c r="G150" s="3"/>
      <c r="H150" s="56"/>
      <c r="I150" s="56"/>
      <c r="J150" s="143">
        <v>8</v>
      </c>
      <c r="K150" s="291">
        <v>3.5</v>
      </c>
      <c r="L150" s="3"/>
      <c r="M150" s="56"/>
      <c r="N150" s="56"/>
      <c r="O150" s="143">
        <v>8</v>
      </c>
      <c r="P150" s="291">
        <v>3.5</v>
      </c>
      <c r="Q150" s="3"/>
      <c r="R150" s="56"/>
      <c r="S150" s="56"/>
      <c r="T150" s="143">
        <v>8</v>
      </c>
      <c r="U150" s="291">
        <v>3.5</v>
      </c>
      <c r="V150" s="3"/>
      <c r="W150" s="56"/>
      <c r="X150" s="56"/>
      <c r="Y150" s="143">
        <v>8</v>
      </c>
      <c r="Z150" s="291">
        <v>3.5</v>
      </c>
      <c r="AA150" s="300">
        <f>SUM(E150:Y150)</f>
        <v>52.5</v>
      </c>
      <c r="AB150" s="282">
        <f>Z150+U150+P150+K150+F150</f>
        <v>16</v>
      </c>
      <c r="AC150" s="3"/>
      <c r="AD150" s="56"/>
      <c r="AE150" s="56"/>
      <c r="AF150" s="19"/>
      <c r="AG150" s="55">
        <v>0</v>
      </c>
      <c r="AH150" s="3"/>
      <c r="AI150" s="227"/>
      <c r="AK150" s="187"/>
      <c r="AL150" s="187"/>
      <c r="AM150" s="187"/>
      <c r="AN150" s="187"/>
      <c r="AO150" s="187"/>
      <c r="AP150" s="187"/>
    </row>
    <row r="151" spans="1:42" s="1" customFormat="1">
      <c r="B151" s="63" t="s">
        <v>63</v>
      </c>
      <c r="C151" s="56"/>
      <c r="D151" s="56"/>
      <c r="E151" s="19">
        <v>4</v>
      </c>
      <c r="F151" s="291">
        <v>0</v>
      </c>
      <c r="G151" s="60"/>
      <c r="H151" s="56"/>
      <c r="I151" s="56"/>
      <c r="J151" s="19">
        <v>4</v>
      </c>
      <c r="K151" s="291">
        <v>0</v>
      </c>
      <c r="L151" s="60"/>
      <c r="M151" s="56"/>
      <c r="N151" s="56"/>
      <c r="O151" s="19">
        <v>4</v>
      </c>
      <c r="P151" s="291">
        <v>0</v>
      </c>
      <c r="Q151" s="60"/>
      <c r="R151" s="56"/>
      <c r="S151" s="56"/>
      <c r="T151" s="19">
        <v>6</v>
      </c>
      <c r="U151" s="291">
        <v>0</v>
      </c>
      <c r="V151" s="60"/>
      <c r="W151" s="56"/>
      <c r="X151" s="56"/>
      <c r="Y151" s="19">
        <v>5</v>
      </c>
      <c r="Z151" s="291">
        <v>0</v>
      </c>
      <c r="AA151" s="301">
        <f>SUM(E151:Y151)</f>
        <v>23</v>
      </c>
      <c r="AB151" s="282">
        <f t="shared" ref="AB151:AB153" si="14">Z151+U151+P151+K151+F151</f>
        <v>0</v>
      </c>
      <c r="AC151" s="3"/>
      <c r="AD151" s="56"/>
      <c r="AE151" s="56"/>
      <c r="AF151" s="19"/>
      <c r="AG151" s="29">
        <f>AF151</f>
        <v>0</v>
      </c>
      <c r="AH151" s="3"/>
      <c r="AI151" s="227"/>
      <c r="AK151" s="187"/>
      <c r="AL151" s="187"/>
      <c r="AM151" s="187"/>
      <c r="AN151" s="187"/>
      <c r="AO151" s="187"/>
      <c r="AP151" s="187"/>
    </row>
    <row r="152" spans="1:42" s="1" customFormat="1">
      <c r="B152" s="267" t="s">
        <v>64</v>
      </c>
      <c r="C152" s="56"/>
      <c r="D152" s="56"/>
      <c r="E152" s="19">
        <v>6</v>
      </c>
      <c r="F152" s="291">
        <v>0</v>
      </c>
      <c r="G152" s="60"/>
      <c r="H152" s="56"/>
      <c r="I152" s="56"/>
      <c r="J152" s="19">
        <f>6+(1.25*1.5)</f>
        <v>7.875</v>
      </c>
      <c r="K152" s="291">
        <v>0</v>
      </c>
      <c r="L152" s="60"/>
      <c r="M152" s="56"/>
      <c r="N152" s="56"/>
      <c r="O152" s="19">
        <f>6+(1.25*1.5)</f>
        <v>7.875</v>
      </c>
      <c r="P152" s="291"/>
      <c r="Q152" s="60"/>
      <c r="R152" s="56"/>
      <c r="S152" s="56"/>
      <c r="T152" s="143">
        <f>6+(1*1.5)</f>
        <v>7.5</v>
      </c>
      <c r="U152" s="291">
        <v>0</v>
      </c>
      <c r="V152" s="60"/>
      <c r="W152" s="56"/>
      <c r="X152" s="56"/>
      <c r="Y152" s="19">
        <f>6*(0.85*1.5)</f>
        <v>7.6499999999999995</v>
      </c>
      <c r="Z152" s="291">
        <v>1</v>
      </c>
      <c r="AA152" s="300">
        <f>SUM(E152:Y152)</f>
        <v>36.9</v>
      </c>
      <c r="AB152" s="282">
        <f t="shared" si="14"/>
        <v>1</v>
      </c>
      <c r="AC152" s="3"/>
      <c r="AD152" s="56"/>
      <c r="AE152" s="56"/>
      <c r="AF152" s="19"/>
      <c r="AG152" s="29">
        <f>AF152</f>
        <v>0</v>
      </c>
      <c r="AH152" s="3"/>
      <c r="AI152" s="227"/>
      <c r="AK152" s="187"/>
      <c r="AL152" s="187"/>
      <c r="AM152" s="187"/>
      <c r="AN152" s="187"/>
      <c r="AO152" s="187"/>
      <c r="AP152" s="187"/>
    </row>
    <row r="153" spans="1:42" s="1" customFormat="1" ht="14.25" thickBot="1">
      <c r="B153" s="268" t="s">
        <v>65</v>
      </c>
      <c r="C153" s="75"/>
      <c r="D153" s="75"/>
      <c r="E153" s="77">
        <v>3</v>
      </c>
      <c r="F153" s="292">
        <v>0</v>
      </c>
      <c r="G153" s="81"/>
      <c r="H153" s="75"/>
      <c r="I153" s="75"/>
      <c r="J153" s="77">
        <v>3</v>
      </c>
      <c r="K153" s="292">
        <v>0</v>
      </c>
      <c r="L153" s="81"/>
      <c r="M153" s="75"/>
      <c r="N153" s="75"/>
      <c r="O153" s="77">
        <v>3</v>
      </c>
      <c r="P153" s="292">
        <v>0</v>
      </c>
      <c r="Q153" s="81"/>
      <c r="R153" s="75"/>
      <c r="S153" s="75"/>
      <c r="T153" s="77">
        <v>3</v>
      </c>
      <c r="U153" s="292">
        <v>0</v>
      </c>
      <c r="V153" s="81"/>
      <c r="W153" s="75"/>
      <c r="X153" s="75"/>
      <c r="Y153" s="77">
        <v>3</v>
      </c>
      <c r="Z153" s="292">
        <v>0</v>
      </c>
      <c r="AA153" s="302">
        <f>SUM(E153:Y153)</f>
        <v>15</v>
      </c>
      <c r="AB153" s="287">
        <f t="shared" si="14"/>
        <v>0</v>
      </c>
      <c r="AC153" s="3"/>
      <c r="AD153" s="75"/>
      <c r="AE153" s="75"/>
      <c r="AF153" s="77"/>
      <c r="AG153" s="80">
        <v>0</v>
      </c>
      <c r="AH153" s="3"/>
      <c r="AI153" s="227"/>
      <c r="AK153" s="187"/>
      <c r="AL153" s="187"/>
      <c r="AM153" s="187"/>
      <c r="AN153" s="187"/>
      <c r="AO153" s="187"/>
      <c r="AP153" s="187"/>
    </row>
    <row r="154" spans="1:42" s="187" customFormat="1" ht="13.5" customHeight="1" thickTop="1">
      <c r="A154" s="224"/>
      <c r="B154" s="214" t="s">
        <v>66</v>
      </c>
      <c r="C154" s="215"/>
      <c r="D154" s="215"/>
      <c r="E154" s="214">
        <f>SUM(E150:E153)</f>
        <v>21</v>
      </c>
      <c r="F154" s="214"/>
      <c r="G154" s="215"/>
      <c r="H154" s="214"/>
      <c r="I154" s="214"/>
      <c r="J154" s="214">
        <f>SUM(J150:J153)</f>
        <v>22.875</v>
      </c>
      <c r="K154" s="214"/>
      <c r="L154" s="215"/>
      <c r="M154" s="215"/>
      <c r="N154" s="215"/>
      <c r="O154" s="214">
        <f>SUM(O150:O153)</f>
        <v>22.875</v>
      </c>
      <c r="P154" s="214"/>
      <c r="Q154" s="214"/>
      <c r="R154" s="214"/>
      <c r="S154" s="214"/>
      <c r="T154" s="214">
        <f>SUM(T150:T153)</f>
        <v>24.5</v>
      </c>
      <c r="U154" s="214"/>
      <c r="V154" s="214"/>
      <c r="W154" s="214"/>
      <c r="X154" s="214"/>
      <c r="Y154" s="214">
        <f>SUM(Y150:Y153)</f>
        <v>23.65</v>
      </c>
      <c r="Z154" s="214"/>
      <c r="AA154" s="248">
        <f>E154+J154+O154+T154+Y154</f>
        <v>114.9</v>
      </c>
      <c r="AB154" s="249">
        <f>SUM(AB150:AB153)</f>
        <v>17</v>
      </c>
      <c r="AC154" s="226"/>
      <c r="AD154" s="241"/>
      <c r="AG154" s="249">
        <f>SUM(AG152:AG153)</f>
        <v>0</v>
      </c>
      <c r="AH154" s="3"/>
      <c r="AI154" s="227"/>
      <c r="AJ154" s="1"/>
    </row>
    <row r="155" spans="1:42" s="1" customFormat="1" ht="13.5" customHeight="1">
      <c r="A155" s="11"/>
      <c r="B155" s="217" t="s">
        <v>67</v>
      </c>
      <c r="C155" s="207">
        <f>C156+C157</f>
        <v>44</v>
      </c>
      <c r="D155" s="208"/>
      <c r="E155" s="209"/>
      <c r="F155" s="209"/>
      <c r="G155" s="208"/>
      <c r="H155" s="209"/>
      <c r="I155" s="209"/>
      <c r="J155" s="209"/>
      <c r="K155" s="209"/>
      <c r="L155" s="208"/>
      <c r="M155" s="208"/>
      <c r="N155" s="208"/>
      <c r="O155" s="208"/>
      <c r="P155" s="209"/>
      <c r="Q155" s="208"/>
      <c r="R155" s="208"/>
      <c r="S155" s="208"/>
      <c r="T155" s="208"/>
      <c r="U155" s="209"/>
      <c r="V155" s="208"/>
      <c r="W155" s="208"/>
      <c r="X155" s="208"/>
      <c r="Y155" s="210"/>
      <c r="Z155" s="209"/>
      <c r="AA155" s="211"/>
      <c r="AB155" s="209"/>
      <c r="AC155" s="211"/>
      <c r="AD155" s="211"/>
      <c r="AE155" s="211"/>
      <c r="AF155" s="211"/>
      <c r="AG155" s="211"/>
      <c r="AH155" s="3"/>
      <c r="AI155" s="227"/>
      <c r="AK155" s="187"/>
      <c r="AL155" s="187"/>
      <c r="AM155" s="187"/>
      <c r="AN155" s="187"/>
      <c r="AO155" s="187"/>
      <c r="AP155" s="187"/>
    </row>
    <row r="156" spans="1:42" s="1" customFormat="1" ht="13.5" customHeight="1">
      <c r="A156" s="11"/>
      <c r="B156" s="238" t="s">
        <v>68</v>
      </c>
      <c r="C156" s="239">
        <v>18</v>
      </c>
      <c r="D156" s="208"/>
      <c r="E156" s="209"/>
      <c r="F156" s="209"/>
      <c r="G156" s="208"/>
      <c r="H156" s="209"/>
      <c r="I156" s="209"/>
      <c r="J156" s="209"/>
      <c r="K156" s="209"/>
      <c r="L156" s="208"/>
      <c r="M156" s="208"/>
      <c r="N156" s="208"/>
      <c r="O156" s="208"/>
      <c r="P156" s="209"/>
      <c r="Q156" s="208"/>
      <c r="R156" s="208"/>
      <c r="S156" s="208"/>
      <c r="T156" s="208"/>
      <c r="U156" s="209"/>
      <c r="V156" s="208"/>
      <c r="W156" s="208"/>
      <c r="X156" s="208"/>
      <c r="Y156" s="210"/>
      <c r="Z156" s="209"/>
      <c r="AA156" s="211"/>
      <c r="AB156" s="209"/>
      <c r="AC156" s="211"/>
      <c r="AD156" s="211"/>
      <c r="AE156" s="211"/>
      <c r="AF156" s="211"/>
      <c r="AG156" s="211"/>
      <c r="AH156" s="3"/>
      <c r="AI156" s="227"/>
      <c r="AK156" s="187"/>
      <c r="AL156" s="187"/>
      <c r="AM156" s="187"/>
      <c r="AN156" s="187"/>
      <c r="AO156" s="187"/>
      <c r="AP156" s="187"/>
    </row>
    <row r="157" spans="1:42" s="1" customFormat="1" ht="13.5" customHeight="1">
      <c r="A157" s="11"/>
      <c r="B157" s="238" t="s">
        <v>69</v>
      </c>
      <c r="C157" s="239">
        <v>26</v>
      </c>
      <c r="D157" s="208"/>
      <c r="E157" s="209"/>
      <c r="F157" s="209"/>
      <c r="G157" s="208"/>
      <c r="H157" s="209"/>
      <c r="I157" s="209"/>
      <c r="J157" s="209"/>
      <c r="K157" s="209"/>
      <c r="L157" s="208"/>
      <c r="M157" s="208"/>
      <c r="N157" s="208"/>
      <c r="O157" s="208"/>
      <c r="P157" s="209"/>
      <c r="Q157" s="208"/>
      <c r="R157" s="208"/>
      <c r="S157" s="208"/>
      <c r="T157" s="208"/>
      <c r="U157" s="209"/>
      <c r="V157" s="208"/>
      <c r="W157" s="208"/>
      <c r="X157" s="208"/>
      <c r="Y157" s="210"/>
      <c r="Z157" s="209"/>
      <c r="AA157" s="211"/>
      <c r="AB157" s="209"/>
      <c r="AC157" s="211"/>
      <c r="AD157" s="211"/>
      <c r="AE157" s="211"/>
      <c r="AF157" s="211"/>
      <c r="AG157" s="211"/>
      <c r="AH157" s="3"/>
      <c r="AI157" s="227"/>
      <c r="AK157" s="187"/>
      <c r="AL157" s="187"/>
      <c r="AM157" s="187"/>
      <c r="AN157" s="187"/>
      <c r="AO157" s="187"/>
      <c r="AP157" s="187"/>
    </row>
    <row r="158" spans="1:42" s="1" customFormat="1" ht="4.5" customHeight="1">
      <c r="A158" s="11"/>
      <c r="B158" s="218"/>
      <c r="C158" s="219"/>
      <c r="D158" s="220"/>
      <c r="E158" s="221"/>
      <c r="F158" s="221"/>
      <c r="G158" s="220"/>
      <c r="H158" s="221"/>
      <c r="I158" s="221"/>
      <c r="J158" s="221"/>
      <c r="K158" s="221"/>
      <c r="L158" s="220"/>
      <c r="M158" s="220"/>
      <c r="N158" s="220"/>
      <c r="O158" s="220"/>
      <c r="P158" s="221"/>
      <c r="Q158" s="220"/>
      <c r="R158" s="220"/>
      <c r="S158" s="220"/>
      <c r="T158" s="220"/>
      <c r="U158" s="221"/>
      <c r="V158" s="220"/>
      <c r="W158" s="220"/>
      <c r="X158" s="220"/>
      <c r="Y158" s="222"/>
      <c r="Z158" s="221"/>
      <c r="AA158" s="223"/>
      <c r="AB158" s="221"/>
      <c r="AC158" s="3"/>
      <c r="AD158" s="168"/>
      <c r="AH158" s="3"/>
      <c r="AI158" s="227"/>
      <c r="AK158" s="187"/>
      <c r="AL158" s="187"/>
      <c r="AM158" s="187"/>
      <c r="AN158" s="187"/>
      <c r="AO158" s="187"/>
      <c r="AP158" s="187"/>
    </row>
    <row r="159" spans="1:42" s="227" customFormat="1" ht="4.5" customHeight="1">
      <c r="A159" s="228"/>
      <c r="B159" s="229"/>
      <c r="C159" s="230"/>
      <c r="D159" s="231"/>
      <c r="E159" s="232"/>
      <c r="F159" s="232"/>
      <c r="G159" s="231"/>
      <c r="H159" s="232"/>
      <c r="I159" s="232"/>
      <c r="J159" s="232"/>
      <c r="K159" s="232"/>
      <c r="L159" s="231"/>
      <c r="M159" s="231"/>
      <c r="N159" s="231"/>
      <c r="O159" s="231"/>
      <c r="P159" s="232"/>
      <c r="Q159" s="231"/>
      <c r="R159" s="231"/>
      <c r="S159" s="231"/>
      <c r="T159" s="231"/>
      <c r="U159" s="232"/>
      <c r="V159" s="231"/>
      <c r="W159" s="231"/>
      <c r="X159" s="231"/>
      <c r="Y159" s="233"/>
      <c r="Z159" s="232"/>
      <c r="AA159" s="234"/>
      <c r="AB159" s="232"/>
      <c r="AC159" s="235"/>
      <c r="AD159" s="236"/>
      <c r="AH159" s="235"/>
    </row>
    <row r="160" spans="1:42" s="187" customFormat="1" ht="4.5" customHeight="1">
      <c r="A160" s="224"/>
      <c r="B160" s="214"/>
      <c r="C160" s="215"/>
      <c r="D160" s="215"/>
      <c r="E160" s="214"/>
      <c r="F160" s="214"/>
      <c r="G160" s="215"/>
      <c r="H160" s="214"/>
      <c r="I160" s="214"/>
      <c r="J160" s="214"/>
      <c r="K160" s="214"/>
      <c r="L160" s="215"/>
      <c r="M160" s="215"/>
      <c r="N160" s="215"/>
      <c r="O160" s="215"/>
      <c r="P160" s="214"/>
      <c r="Q160" s="215"/>
      <c r="R160" s="215"/>
      <c r="S160" s="215"/>
      <c r="T160" s="215"/>
      <c r="U160" s="214"/>
      <c r="V160" s="215"/>
      <c r="W160" s="215"/>
      <c r="X160" s="215"/>
      <c r="Y160" s="216"/>
      <c r="Z160" s="214"/>
      <c r="AA160" s="225"/>
      <c r="AB160" s="214"/>
      <c r="AC160" s="226"/>
      <c r="AH160" s="226"/>
      <c r="AI160" s="227"/>
    </row>
    <row r="161" spans="2:42" s="1" customFormat="1" ht="13.35" customHeight="1">
      <c r="B161" s="1518" t="s">
        <v>18</v>
      </c>
      <c r="C161" s="1524">
        <v>45110</v>
      </c>
      <c r="D161" s="1524"/>
      <c r="E161" s="1524"/>
      <c r="F161" s="1524"/>
      <c r="G161" s="22"/>
      <c r="H161" s="1524">
        <v>45111</v>
      </c>
      <c r="I161" s="1524"/>
      <c r="J161" s="1524"/>
      <c r="K161" s="1524"/>
      <c r="L161" s="22"/>
      <c r="M161" s="1524">
        <v>45112</v>
      </c>
      <c r="N161" s="1524"/>
      <c r="O161" s="1524"/>
      <c r="P161" s="1524"/>
      <c r="Q161" s="22"/>
      <c r="R161" s="1524">
        <v>45113</v>
      </c>
      <c r="S161" s="1524"/>
      <c r="T161" s="1524"/>
      <c r="U161" s="1524"/>
      <c r="V161" s="22"/>
      <c r="W161" s="1524">
        <v>45114</v>
      </c>
      <c r="X161" s="1524"/>
      <c r="Y161" s="1524"/>
      <c r="Z161" s="1524"/>
      <c r="AA161" s="1517" t="s">
        <v>19</v>
      </c>
      <c r="AB161" s="1517" t="s">
        <v>20</v>
      </c>
      <c r="AC161" s="3"/>
      <c r="AD161" s="1524">
        <v>45115</v>
      </c>
      <c r="AE161" s="1524"/>
      <c r="AF161" s="1524"/>
      <c r="AG161" s="1517" t="s">
        <v>21</v>
      </c>
      <c r="AH161" s="3"/>
      <c r="AI161" s="227"/>
      <c r="AK161" s="194" t="s">
        <v>152</v>
      </c>
      <c r="AL161" s="195"/>
      <c r="AM161" s="195"/>
      <c r="AN161" s="195"/>
      <c r="AO161" s="195"/>
      <c r="AP161" s="195"/>
    </row>
    <row r="162" spans="2:42" s="1" customFormat="1" ht="14.25">
      <c r="B162" s="1518"/>
      <c r="C162" s="21" t="s">
        <v>23</v>
      </c>
      <c r="D162" s="21" t="s">
        <v>24</v>
      </c>
      <c r="E162" s="205" t="s">
        <v>144</v>
      </c>
      <c r="F162" s="18" t="s">
        <v>14</v>
      </c>
      <c r="G162" s="3"/>
      <c r="H162" s="21" t="s">
        <v>23</v>
      </c>
      <c r="I162" s="21" t="s">
        <v>24</v>
      </c>
      <c r="J162" s="205" t="s">
        <v>144</v>
      </c>
      <c r="K162" s="18" t="s">
        <v>14</v>
      </c>
      <c r="L162" s="3"/>
      <c r="M162" s="21" t="s">
        <v>23</v>
      </c>
      <c r="N162" s="21" t="s">
        <v>24</v>
      </c>
      <c r="O162" s="205" t="s">
        <v>144</v>
      </c>
      <c r="P162" s="18" t="s">
        <v>14</v>
      </c>
      <c r="Q162" s="3"/>
      <c r="R162" s="21" t="s">
        <v>23</v>
      </c>
      <c r="S162" s="21" t="s">
        <v>24</v>
      </c>
      <c r="T162" s="205" t="s">
        <v>144</v>
      </c>
      <c r="U162" s="18" t="s">
        <v>14</v>
      </c>
      <c r="V162" s="3"/>
      <c r="W162" s="21" t="s">
        <v>23</v>
      </c>
      <c r="X162" s="21" t="s">
        <v>24</v>
      </c>
      <c r="Y162" s="205" t="s">
        <v>144</v>
      </c>
      <c r="Z162" s="18" t="s">
        <v>14</v>
      </c>
      <c r="AA162" s="1523"/>
      <c r="AB162" s="1517"/>
      <c r="AC162" s="3"/>
      <c r="AD162" s="21" t="s">
        <v>23</v>
      </c>
      <c r="AE162" s="21" t="s">
        <v>24</v>
      </c>
      <c r="AF162" s="18" t="s">
        <v>25</v>
      </c>
      <c r="AG162" s="1523"/>
      <c r="AH162" s="3"/>
      <c r="AI162" s="227"/>
      <c r="AK162" s="188" t="s">
        <v>26</v>
      </c>
      <c r="AL162" s="269">
        <f>AA183+AA184</f>
        <v>420</v>
      </c>
      <c r="AM162" s="187"/>
      <c r="AN162" s="187"/>
      <c r="AO162" s="187"/>
      <c r="AP162" s="187"/>
    </row>
    <row r="163" spans="2:42" s="1" customFormat="1" ht="14.25">
      <c r="B163" s="13" t="s">
        <v>129</v>
      </c>
      <c r="C163" s="47">
        <v>0.33333333333333331</v>
      </c>
      <c r="D163" s="47">
        <v>0.20833333333333334</v>
      </c>
      <c r="E163" s="165" t="s">
        <v>153</v>
      </c>
      <c r="F163" s="277"/>
      <c r="G163" s="3"/>
      <c r="H163" s="26">
        <v>0</v>
      </c>
      <c r="I163" s="26">
        <v>0</v>
      </c>
      <c r="J163" s="19" t="str">
        <f>TEXT(I163-H163, "h")</f>
        <v>0</v>
      </c>
      <c r="K163" s="277"/>
      <c r="L163" s="3"/>
      <c r="M163" s="47">
        <v>0.33333333333333331</v>
      </c>
      <c r="N163" s="47">
        <v>0.70833333333333337</v>
      </c>
      <c r="O163" s="19">
        <v>8</v>
      </c>
      <c r="P163" s="277"/>
      <c r="Q163" s="3"/>
      <c r="R163" s="47">
        <v>0.33333333333333331</v>
      </c>
      <c r="S163" s="47">
        <v>0.70833333333333337</v>
      </c>
      <c r="T163" s="19">
        <v>8</v>
      </c>
      <c r="U163" s="277"/>
      <c r="V163" s="3"/>
      <c r="W163" s="47">
        <v>0.33333333333333331</v>
      </c>
      <c r="X163" s="47">
        <v>0.70833333333333337</v>
      </c>
      <c r="Y163" s="19">
        <v>8</v>
      </c>
      <c r="Z163" s="277"/>
      <c r="AA163" s="29">
        <f>SUM(E163+J163+O163+T163+Y163)</f>
        <v>32</v>
      </c>
      <c r="AB163" s="288"/>
      <c r="AC163" s="3"/>
      <c r="AD163" s="4">
        <v>0</v>
      </c>
      <c r="AE163" s="4">
        <v>0</v>
      </c>
      <c r="AF163" s="19" t="str">
        <f>TEXT(AE163-AD163, "h")</f>
        <v>0</v>
      </c>
      <c r="AG163" s="29" t="str">
        <f t="shared" ref="AG163:AG182" si="15">AF163</f>
        <v>0</v>
      </c>
      <c r="AH163" s="3"/>
      <c r="AI163" s="227"/>
      <c r="AK163" s="188" t="s">
        <v>30</v>
      </c>
      <c r="AL163" s="270">
        <f>AB183</f>
        <v>0</v>
      </c>
      <c r="AM163" s="187"/>
      <c r="AN163" s="187"/>
      <c r="AO163" s="187"/>
      <c r="AP163" s="187"/>
    </row>
    <row r="164" spans="2:42" s="1" customFormat="1" ht="14.25">
      <c r="B164" s="13" t="s">
        <v>132</v>
      </c>
      <c r="C164" s="61">
        <v>0</v>
      </c>
      <c r="D164" s="47">
        <v>0</v>
      </c>
      <c r="E164" s="165" t="s">
        <v>154</v>
      </c>
      <c r="F164" s="277"/>
      <c r="G164" s="3"/>
      <c r="H164" s="26">
        <v>0</v>
      </c>
      <c r="I164" s="26">
        <v>0</v>
      </c>
      <c r="J164" s="19" t="str">
        <f t="shared" ref="J164:J182" si="16">TEXT(I164-H164, "h")</f>
        <v>0</v>
      </c>
      <c r="K164" s="277"/>
      <c r="L164" s="3"/>
      <c r="M164" s="4">
        <v>0</v>
      </c>
      <c r="N164" s="4">
        <v>0</v>
      </c>
      <c r="O164" s="19" t="str">
        <f t="shared" ref="O164:O168" si="17">TEXT(N164-M164, "h")</f>
        <v>0</v>
      </c>
      <c r="P164" s="277"/>
      <c r="Q164" s="3"/>
      <c r="R164" s="4">
        <v>0</v>
      </c>
      <c r="S164" s="4">
        <v>0</v>
      </c>
      <c r="T164" s="19" t="str">
        <f t="shared" ref="T164:T171" si="18">TEXT(S164-R164, "h")</f>
        <v>0</v>
      </c>
      <c r="U164" s="277"/>
      <c r="V164" s="3"/>
      <c r="W164" s="47">
        <v>0.33333333333333331</v>
      </c>
      <c r="X164" s="47">
        <v>0.70833333333333337</v>
      </c>
      <c r="Y164" s="19">
        <v>8</v>
      </c>
      <c r="Z164" s="277"/>
      <c r="AA164" s="29">
        <f>(E164+J164+O164+T164+Y164)</f>
        <v>8</v>
      </c>
      <c r="AB164" s="288"/>
      <c r="AC164" s="3"/>
      <c r="AD164" s="47">
        <v>0.375</v>
      </c>
      <c r="AE164" s="47">
        <v>0.20833333333333334</v>
      </c>
      <c r="AF164" s="19">
        <v>8</v>
      </c>
      <c r="AG164" s="29">
        <f t="shared" si="15"/>
        <v>8</v>
      </c>
      <c r="AH164" s="3"/>
      <c r="AI164" s="227"/>
      <c r="AK164" s="188" t="s">
        <v>32</v>
      </c>
      <c r="AL164" s="196">
        <f>AG183</f>
        <v>32.25</v>
      </c>
      <c r="AM164" s="187"/>
      <c r="AN164" s="187"/>
      <c r="AO164" s="187"/>
      <c r="AP164" s="187"/>
    </row>
    <row r="165" spans="2:42" s="1" customFormat="1" ht="14.25">
      <c r="B165" s="13" t="s">
        <v>35</v>
      </c>
      <c r="C165" s="47">
        <v>0.36458333333333331</v>
      </c>
      <c r="D165" s="47">
        <v>0.20833333333333334</v>
      </c>
      <c r="E165" s="165" t="s">
        <v>153</v>
      </c>
      <c r="F165" s="277"/>
      <c r="G165" s="3"/>
      <c r="H165" s="26">
        <v>0</v>
      </c>
      <c r="I165" s="26">
        <v>0</v>
      </c>
      <c r="J165" s="19" t="str">
        <f t="shared" si="16"/>
        <v>0</v>
      </c>
      <c r="K165" s="277"/>
      <c r="L165" s="3"/>
      <c r="M165" s="47">
        <v>0.33333333333333331</v>
      </c>
      <c r="N165" s="47">
        <v>0.70833333333333337</v>
      </c>
      <c r="O165" s="19">
        <v>8</v>
      </c>
      <c r="P165" s="277"/>
      <c r="Q165" s="3"/>
      <c r="R165" s="47">
        <v>0.33333333333333331</v>
      </c>
      <c r="S165" s="47">
        <v>0.70833333333333337</v>
      </c>
      <c r="T165" s="19">
        <v>8</v>
      </c>
      <c r="U165" s="277"/>
      <c r="V165" s="3"/>
      <c r="W165" s="47">
        <v>0.33333333333333331</v>
      </c>
      <c r="X165" s="47">
        <v>0.70833333333333337</v>
      </c>
      <c r="Y165" s="19">
        <v>8</v>
      </c>
      <c r="Z165" s="277"/>
      <c r="AA165" s="29">
        <f>(E165+J165+O165+T165+Y165)</f>
        <v>32</v>
      </c>
      <c r="AB165" s="288"/>
      <c r="AC165" s="3"/>
      <c r="AD165" s="47">
        <v>0.39583333333333331</v>
      </c>
      <c r="AE165" s="47">
        <v>0.20833333333333334</v>
      </c>
      <c r="AF165" s="19">
        <v>7.5</v>
      </c>
      <c r="AG165" s="29">
        <f t="shared" si="15"/>
        <v>7.5</v>
      </c>
      <c r="AH165" s="3"/>
      <c r="AI165" s="227"/>
      <c r="AK165" s="188" t="s">
        <v>34</v>
      </c>
      <c r="AL165" s="199">
        <f>AA189</f>
        <v>74.5</v>
      </c>
      <c r="AM165" s="187"/>
      <c r="AN165" s="187"/>
      <c r="AO165" s="187"/>
      <c r="AP165" s="187"/>
    </row>
    <row r="166" spans="2:42" s="1" customFormat="1" ht="14.25">
      <c r="B166" s="13" t="s">
        <v>37</v>
      </c>
      <c r="C166" s="47">
        <v>0.33333333333333331</v>
      </c>
      <c r="D166" s="47">
        <v>0.20833333333333334</v>
      </c>
      <c r="E166" s="165" t="s">
        <v>153</v>
      </c>
      <c r="F166" s="277"/>
      <c r="G166" s="3"/>
      <c r="H166" s="26">
        <v>0</v>
      </c>
      <c r="I166" s="26">
        <v>0</v>
      </c>
      <c r="J166" s="19" t="str">
        <f t="shared" si="16"/>
        <v>0</v>
      </c>
      <c r="K166" s="277"/>
      <c r="L166" s="3"/>
      <c r="M166" s="47">
        <v>0.33333333333333331</v>
      </c>
      <c r="N166" s="47">
        <v>0.70833333333333337</v>
      </c>
      <c r="O166" s="19">
        <v>8</v>
      </c>
      <c r="P166" s="277"/>
      <c r="Q166" s="3"/>
      <c r="R166" s="47">
        <v>0.33333333333333331</v>
      </c>
      <c r="S166" s="47">
        <v>0.70833333333333337</v>
      </c>
      <c r="T166" s="19">
        <v>8</v>
      </c>
      <c r="U166" s="277"/>
      <c r="V166" s="3"/>
      <c r="W166" s="47">
        <v>0.33333333333333331</v>
      </c>
      <c r="X166" s="47">
        <v>0.70833333333333337</v>
      </c>
      <c r="Y166" s="19">
        <v>8</v>
      </c>
      <c r="Z166" s="277"/>
      <c r="AA166" s="29">
        <f t="shared" ref="AA166:AA182" si="19">(E166+J166+O166+T166+Y166)</f>
        <v>32</v>
      </c>
      <c r="AB166" s="288"/>
      <c r="AC166" s="3"/>
      <c r="AD166" s="4">
        <v>0</v>
      </c>
      <c r="AE166" s="4">
        <v>0</v>
      </c>
      <c r="AF166" s="19" t="str">
        <f t="shared" ref="AF166:AF182" si="20">TEXT(AE166-AD166, "h")</f>
        <v>0</v>
      </c>
      <c r="AG166" s="29" t="str">
        <f t="shared" si="15"/>
        <v>0</v>
      </c>
      <c r="AH166" s="3"/>
      <c r="AI166" s="227"/>
      <c r="AK166" s="188" t="s">
        <v>155</v>
      </c>
      <c r="AL166" s="190">
        <f>AB189</f>
        <v>29</v>
      </c>
      <c r="AM166" s="187"/>
      <c r="AN166" s="187"/>
      <c r="AO166" s="187"/>
      <c r="AP166" s="187"/>
    </row>
    <row r="167" spans="2:42" s="176" customFormat="1" ht="14.25">
      <c r="B167" s="171" t="s">
        <v>141</v>
      </c>
      <c r="C167" s="172">
        <v>0.33333333333333331</v>
      </c>
      <c r="D167" s="47">
        <v>0.125</v>
      </c>
      <c r="E167" s="201" t="s">
        <v>156</v>
      </c>
      <c r="F167" s="277"/>
      <c r="G167" s="174"/>
      <c r="H167" s="26">
        <v>0</v>
      </c>
      <c r="I167" s="26">
        <v>0</v>
      </c>
      <c r="J167" s="19" t="str">
        <f t="shared" si="16"/>
        <v>0</v>
      </c>
      <c r="K167" s="277"/>
      <c r="L167" s="174"/>
      <c r="M167" s="172">
        <v>0.33333333333333331</v>
      </c>
      <c r="N167" s="172">
        <v>0.70833333333333337</v>
      </c>
      <c r="O167" s="173">
        <v>8</v>
      </c>
      <c r="P167" s="277"/>
      <c r="Q167" s="174"/>
      <c r="R167" s="172">
        <v>0.33333333333333331</v>
      </c>
      <c r="S167" s="172">
        <v>0.70833333333333337</v>
      </c>
      <c r="T167" s="173">
        <v>8</v>
      </c>
      <c r="U167" s="277"/>
      <c r="V167" s="174"/>
      <c r="W167" s="172">
        <v>0.33333333333333331</v>
      </c>
      <c r="X167" s="172">
        <v>0.70833333333333337</v>
      </c>
      <c r="Y167" s="173">
        <v>8</v>
      </c>
      <c r="Z167" s="277"/>
      <c r="AA167" s="28">
        <f t="shared" si="19"/>
        <v>31</v>
      </c>
      <c r="AB167" s="295"/>
      <c r="AC167" s="174"/>
      <c r="AD167" s="175">
        <v>0</v>
      </c>
      <c r="AE167" s="175">
        <v>0</v>
      </c>
      <c r="AF167" s="173" t="str">
        <f t="shared" si="20"/>
        <v>0</v>
      </c>
      <c r="AG167" s="28" t="str">
        <f t="shared" si="15"/>
        <v>0</v>
      </c>
      <c r="AH167" s="174"/>
      <c r="AI167" s="257"/>
      <c r="AK167" s="188" t="s">
        <v>38</v>
      </c>
      <c r="AL167" s="190">
        <f>AG189</f>
        <v>0</v>
      </c>
      <c r="AM167" s="187"/>
      <c r="AN167" s="187"/>
      <c r="AO167" s="187"/>
      <c r="AP167" s="187"/>
    </row>
    <row r="168" spans="2:42" s="176" customFormat="1" ht="14.25">
      <c r="B168" s="171" t="s">
        <v>142</v>
      </c>
      <c r="C168" s="177">
        <v>0.375</v>
      </c>
      <c r="D168" s="47">
        <v>0.20833333333333334</v>
      </c>
      <c r="E168" s="201" t="s">
        <v>153</v>
      </c>
      <c r="F168" s="277"/>
      <c r="G168" s="174"/>
      <c r="H168" s="26">
        <v>0</v>
      </c>
      <c r="I168" s="26">
        <v>0</v>
      </c>
      <c r="J168" s="19" t="str">
        <f t="shared" si="16"/>
        <v>0</v>
      </c>
      <c r="K168" s="277"/>
      <c r="L168" s="174"/>
      <c r="M168" s="4">
        <v>0</v>
      </c>
      <c r="N168" s="4">
        <v>0</v>
      </c>
      <c r="O168" s="173" t="str">
        <f t="shared" si="17"/>
        <v>0</v>
      </c>
      <c r="P168" s="277"/>
      <c r="Q168" s="174"/>
      <c r="R168" s="172">
        <v>0.4375</v>
      </c>
      <c r="S168" s="172">
        <v>0.70833333333333337</v>
      </c>
      <c r="T168" s="173">
        <v>6.5</v>
      </c>
      <c r="U168" s="277"/>
      <c r="V168" s="174"/>
      <c r="W168" s="4">
        <v>0</v>
      </c>
      <c r="X168" s="4">
        <v>0</v>
      </c>
      <c r="Y168" s="173" t="str">
        <f t="shared" ref="Y168:Y171" si="21">TEXT(X168-W168, "h")</f>
        <v>0</v>
      </c>
      <c r="Z168" s="277"/>
      <c r="AA168" s="28">
        <f t="shared" si="19"/>
        <v>14.5</v>
      </c>
      <c r="AB168" s="295"/>
      <c r="AC168" s="174"/>
      <c r="AD168" s="175">
        <v>0</v>
      </c>
      <c r="AE168" s="175">
        <v>0</v>
      </c>
      <c r="AF168" s="173" t="str">
        <f t="shared" si="20"/>
        <v>0</v>
      </c>
      <c r="AG168" s="28" t="str">
        <f t="shared" si="15"/>
        <v>0</v>
      </c>
      <c r="AH168" s="174"/>
      <c r="AI168" s="257"/>
      <c r="AK168" s="188" t="s">
        <v>41</v>
      </c>
      <c r="AL168" s="189">
        <f>C190</f>
        <v>46</v>
      </c>
      <c r="AM168" s="191"/>
      <c r="AN168" s="191"/>
      <c r="AO168" s="191"/>
      <c r="AP168" s="191"/>
    </row>
    <row r="169" spans="2:42" s="1" customFormat="1" ht="14.25">
      <c r="B169" s="13" t="s">
        <v>55</v>
      </c>
      <c r="C169" s="4">
        <v>0</v>
      </c>
      <c r="D169" s="4">
        <v>0</v>
      </c>
      <c r="E169" s="165" t="s">
        <v>154</v>
      </c>
      <c r="F169" s="277"/>
      <c r="G169" s="3"/>
      <c r="H169" s="26">
        <v>0</v>
      </c>
      <c r="I169" s="26">
        <v>0</v>
      </c>
      <c r="J169" s="19" t="str">
        <f t="shared" si="16"/>
        <v>0</v>
      </c>
      <c r="K169" s="277"/>
      <c r="L169" s="3"/>
      <c r="M169" s="4">
        <v>0</v>
      </c>
      <c r="N169" s="4">
        <v>0</v>
      </c>
      <c r="O169" s="19">
        <v>0</v>
      </c>
      <c r="P169" s="277"/>
      <c r="Q169" s="3"/>
      <c r="R169" s="4">
        <v>0</v>
      </c>
      <c r="S169" s="4">
        <v>0</v>
      </c>
      <c r="T169" s="19">
        <v>0</v>
      </c>
      <c r="U169" s="277"/>
      <c r="V169" s="3"/>
      <c r="W169" s="4">
        <v>0</v>
      </c>
      <c r="X169" s="4">
        <v>0</v>
      </c>
      <c r="Y169" s="19">
        <v>0</v>
      </c>
      <c r="Z169" s="277"/>
      <c r="AA169" s="29">
        <f t="shared" si="19"/>
        <v>0</v>
      </c>
      <c r="AB169" s="288"/>
      <c r="AC169" s="3"/>
      <c r="AD169" s="47">
        <v>0.33333333333333331</v>
      </c>
      <c r="AE169" s="47">
        <v>0.20833333333333334</v>
      </c>
      <c r="AF169" s="19">
        <v>9</v>
      </c>
      <c r="AG169" s="29">
        <f t="shared" si="15"/>
        <v>9</v>
      </c>
      <c r="AH169" s="3"/>
      <c r="AI169" s="227"/>
      <c r="AK169" s="187"/>
      <c r="AL169" s="187"/>
      <c r="AM169" s="187"/>
      <c r="AN169" s="187"/>
      <c r="AO169" s="187"/>
      <c r="AP169" s="187"/>
    </row>
    <row r="170" spans="2:42" s="176" customFormat="1" ht="14.25">
      <c r="B170" s="171" t="s">
        <v>31</v>
      </c>
      <c r="C170" s="172">
        <v>0.33333333333333331</v>
      </c>
      <c r="D170" s="47">
        <v>0.20833333333333334</v>
      </c>
      <c r="E170" s="201" t="s">
        <v>153</v>
      </c>
      <c r="F170" s="277"/>
      <c r="G170" s="174"/>
      <c r="H170" s="26">
        <v>0</v>
      </c>
      <c r="I170" s="26">
        <v>0</v>
      </c>
      <c r="J170" s="19" t="str">
        <f t="shared" si="16"/>
        <v>0</v>
      </c>
      <c r="K170" s="277"/>
      <c r="L170" s="174"/>
      <c r="M170" s="172">
        <v>0.33333333333333331</v>
      </c>
      <c r="N170" s="172">
        <v>0.70833333333333337</v>
      </c>
      <c r="O170" s="173">
        <v>8</v>
      </c>
      <c r="P170" s="277"/>
      <c r="Q170" s="174"/>
      <c r="R170" s="172">
        <v>0.33333333333333331</v>
      </c>
      <c r="S170" s="172">
        <v>0.70833333333333337</v>
      </c>
      <c r="T170" s="173">
        <v>8</v>
      </c>
      <c r="U170" s="277"/>
      <c r="V170" s="174"/>
      <c r="W170" s="172">
        <v>0.33333333333333331</v>
      </c>
      <c r="X170" s="172">
        <v>0.70833333333333337</v>
      </c>
      <c r="Y170" s="173">
        <v>8</v>
      </c>
      <c r="Z170" s="277"/>
      <c r="AA170" s="28">
        <f t="shared" si="19"/>
        <v>32</v>
      </c>
      <c r="AB170" s="295"/>
      <c r="AC170" s="174"/>
      <c r="AD170" s="175">
        <v>0</v>
      </c>
      <c r="AE170" s="175">
        <v>0</v>
      </c>
      <c r="AF170" s="173" t="str">
        <f t="shared" si="20"/>
        <v>0</v>
      </c>
      <c r="AG170" s="28" t="str">
        <f t="shared" si="15"/>
        <v>0</v>
      </c>
      <c r="AH170" s="174"/>
      <c r="AI170" s="257"/>
      <c r="AK170" s="191"/>
      <c r="AL170" s="191"/>
      <c r="AM170" s="191"/>
      <c r="AN170" s="191"/>
      <c r="AO170" s="191"/>
      <c r="AP170" s="191"/>
    </row>
    <row r="171" spans="2:42" s="1" customFormat="1" ht="14.25">
      <c r="B171" s="13" t="s">
        <v>39</v>
      </c>
      <c r="C171" s="47">
        <v>0.3888888888888889</v>
      </c>
      <c r="D171" s="47">
        <v>0.20833333333333334</v>
      </c>
      <c r="E171" s="165" t="s">
        <v>156</v>
      </c>
      <c r="F171" s="277"/>
      <c r="G171" s="3"/>
      <c r="H171" s="26">
        <v>0</v>
      </c>
      <c r="I171" s="26">
        <v>0</v>
      </c>
      <c r="J171" s="19" t="str">
        <f t="shared" si="16"/>
        <v>0</v>
      </c>
      <c r="K171" s="277"/>
      <c r="L171" s="3"/>
      <c r="M171" s="47">
        <v>0.4375</v>
      </c>
      <c r="N171" s="47">
        <v>0.70833333333333337</v>
      </c>
      <c r="O171" s="19">
        <v>6.5</v>
      </c>
      <c r="P171" s="277"/>
      <c r="Q171" s="3"/>
      <c r="R171" s="4">
        <v>0</v>
      </c>
      <c r="S171" s="4">
        <v>0</v>
      </c>
      <c r="T171" s="19" t="str">
        <f t="shared" si="18"/>
        <v>0</v>
      </c>
      <c r="U171" s="277"/>
      <c r="V171" s="3"/>
      <c r="W171" s="4">
        <v>0</v>
      </c>
      <c r="X171" s="4">
        <v>0</v>
      </c>
      <c r="Y171" s="19" t="str">
        <f t="shared" si="21"/>
        <v>0</v>
      </c>
      <c r="Z171" s="277"/>
      <c r="AA171" s="29">
        <f t="shared" si="19"/>
        <v>13.5</v>
      </c>
      <c r="AB171" s="288"/>
      <c r="AC171" s="3"/>
      <c r="AD171" s="4">
        <v>0</v>
      </c>
      <c r="AE171" s="4">
        <v>0</v>
      </c>
      <c r="AF171" s="19" t="str">
        <f t="shared" si="20"/>
        <v>0</v>
      </c>
      <c r="AG171" s="29" t="str">
        <f t="shared" si="15"/>
        <v>0</v>
      </c>
      <c r="AH171" s="3"/>
      <c r="AI171" s="227"/>
      <c r="AK171" s="187"/>
      <c r="AL171" s="187"/>
      <c r="AM171" s="187"/>
      <c r="AN171" s="187"/>
      <c r="AO171" s="187"/>
      <c r="AP171" s="187"/>
    </row>
    <row r="172" spans="2:42" s="1" customFormat="1" ht="14.25">
      <c r="B172" s="13" t="s">
        <v>43</v>
      </c>
      <c r="C172" s="47">
        <v>0.33333333333333331</v>
      </c>
      <c r="D172" s="47">
        <v>0.20833333333333334</v>
      </c>
      <c r="E172" s="165" t="s">
        <v>153</v>
      </c>
      <c r="F172" s="277"/>
      <c r="G172" s="3"/>
      <c r="H172" s="26">
        <v>0</v>
      </c>
      <c r="I172" s="26">
        <v>0</v>
      </c>
      <c r="J172" s="19" t="str">
        <f t="shared" si="16"/>
        <v>0</v>
      </c>
      <c r="K172" s="277"/>
      <c r="L172" s="3"/>
      <c r="M172" s="47">
        <v>0.33333333333333331</v>
      </c>
      <c r="N172" s="47">
        <v>0.70833333333333337</v>
      </c>
      <c r="O172" s="19">
        <v>8</v>
      </c>
      <c r="P172" s="277"/>
      <c r="Q172" s="3"/>
      <c r="R172" s="47">
        <v>0.33333333333333331</v>
      </c>
      <c r="S172" s="47">
        <v>0.70833333333333337</v>
      </c>
      <c r="T172" s="19">
        <v>8</v>
      </c>
      <c r="U172" s="277"/>
      <c r="V172" s="3"/>
      <c r="W172" s="47">
        <v>0.33333333333333331</v>
      </c>
      <c r="X172" s="47">
        <v>0.70833333333333337</v>
      </c>
      <c r="Y172" s="19">
        <v>8</v>
      </c>
      <c r="Z172" s="277"/>
      <c r="AA172" s="29">
        <f t="shared" si="19"/>
        <v>32</v>
      </c>
      <c r="AB172" s="288"/>
      <c r="AC172" s="3"/>
      <c r="AD172" s="4">
        <v>0</v>
      </c>
      <c r="AE172" s="4">
        <v>0</v>
      </c>
      <c r="AF172" s="19" t="str">
        <f>TEXT(AE172-AD172, "h")</f>
        <v>0</v>
      </c>
      <c r="AG172" s="29" t="str">
        <f t="shared" si="15"/>
        <v>0</v>
      </c>
      <c r="AH172" s="3"/>
      <c r="AI172" s="227"/>
      <c r="AK172" s="187"/>
      <c r="AL172" s="187"/>
      <c r="AM172" s="187"/>
      <c r="AN172" s="187"/>
      <c r="AO172" s="187"/>
      <c r="AP172" s="187"/>
    </row>
    <row r="173" spans="2:42" s="1" customFormat="1" ht="14.25">
      <c r="B173" s="13" t="s">
        <v>157</v>
      </c>
      <c r="C173" s="47">
        <v>0.33333333333333331</v>
      </c>
      <c r="D173" s="47">
        <v>0.20833333333333334</v>
      </c>
      <c r="E173" s="165" t="s">
        <v>153</v>
      </c>
      <c r="F173" s="277"/>
      <c r="G173" s="3"/>
      <c r="H173" s="26">
        <v>0</v>
      </c>
      <c r="I173" s="26">
        <v>0</v>
      </c>
      <c r="J173" s="19" t="str">
        <f t="shared" si="16"/>
        <v>0</v>
      </c>
      <c r="K173" s="277"/>
      <c r="L173" s="3"/>
      <c r="M173" s="47">
        <v>0.33333333333333331</v>
      </c>
      <c r="N173" s="47">
        <v>0.70833333333333337</v>
      </c>
      <c r="O173" s="19">
        <v>8</v>
      </c>
      <c r="P173" s="277"/>
      <c r="Q173" s="3"/>
      <c r="R173" s="47">
        <v>0.33333333333333331</v>
      </c>
      <c r="S173" s="47">
        <v>0.70833333333333337</v>
      </c>
      <c r="T173" s="19">
        <v>8</v>
      </c>
      <c r="U173" s="277"/>
      <c r="V173" s="3"/>
      <c r="W173" s="47">
        <v>0.33333333333333331</v>
      </c>
      <c r="X173" s="47">
        <v>0.70833333333333337</v>
      </c>
      <c r="Y173" s="19">
        <v>8</v>
      </c>
      <c r="Z173" s="277"/>
      <c r="AA173" s="29">
        <f t="shared" si="19"/>
        <v>32</v>
      </c>
      <c r="AB173" s="288"/>
      <c r="AC173" s="3"/>
      <c r="AD173" s="4">
        <v>0</v>
      </c>
      <c r="AE173" s="4">
        <v>0</v>
      </c>
      <c r="AF173" s="19" t="str">
        <f t="shared" ref="AF173:AF174" si="22">TEXT(AE173-AD173, "h")</f>
        <v>0</v>
      </c>
      <c r="AG173" s="29" t="str">
        <f t="shared" si="15"/>
        <v>0</v>
      </c>
      <c r="AH173" s="3"/>
      <c r="AI173" s="227"/>
      <c r="AK173" s="187"/>
      <c r="AL173" s="187"/>
      <c r="AM173" s="187"/>
      <c r="AN173" s="187"/>
      <c r="AO173" s="187"/>
      <c r="AP173" s="187"/>
    </row>
    <row r="174" spans="2:42" s="1" customFormat="1" ht="14.25">
      <c r="B174" s="13" t="s">
        <v>40</v>
      </c>
      <c r="C174" s="47">
        <v>0</v>
      </c>
      <c r="D174" s="47">
        <v>0</v>
      </c>
      <c r="E174" s="165" t="s">
        <v>158</v>
      </c>
      <c r="F174" s="277"/>
      <c r="G174" s="3"/>
      <c r="H174" s="26">
        <v>0</v>
      </c>
      <c r="I174" s="26">
        <v>0</v>
      </c>
      <c r="J174" s="19" t="str">
        <f t="shared" si="16"/>
        <v>0</v>
      </c>
      <c r="K174" s="277"/>
      <c r="L174" s="3"/>
      <c r="M174" s="47">
        <v>0.33333333333333331</v>
      </c>
      <c r="N174" s="47">
        <v>0.70833333333333337</v>
      </c>
      <c r="O174" s="19">
        <v>8</v>
      </c>
      <c r="P174" s="277"/>
      <c r="Q174" s="3"/>
      <c r="R174" s="47">
        <v>0.33333333333333331</v>
      </c>
      <c r="S174" s="47">
        <v>0.70833333333333337</v>
      </c>
      <c r="T174" s="19">
        <v>8</v>
      </c>
      <c r="U174" s="277"/>
      <c r="V174" s="3"/>
      <c r="W174" s="4">
        <v>0</v>
      </c>
      <c r="X174" s="4">
        <v>0</v>
      </c>
      <c r="Y174" s="19" t="str">
        <f t="shared" ref="Y174" si="23">TEXT(X174-W174, "h")</f>
        <v>0</v>
      </c>
      <c r="Z174" s="277"/>
      <c r="AA174" s="29">
        <f t="shared" si="19"/>
        <v>21</v>
      </c>
      <c r="AB174" s="288"/>
      <c r="AC174" s="3"/>
      <c r="AD174" s="4">
        <v>0</v>
      </c>
      <c r="AE174" s="4">
        <v>0</v>
      </c>
      <c r="AF174" s="19" t="str">
        <f t="shared" si="22"/>
        <v>0</v>
      </c>
      <c r="AG174" s="29" t="str">
        <f t="shared" si="15"/>
        <v>0</v>
      </c>
      <c r="AH174" s="3"/>
      <c r="AI174" s="227"/>
      <c r="AK174" s="187"/>
      <c r="AL174" s="187"/>
      <c r="AM174" s="187"/>
      <c r="AN174" s="187"/>
      <c r="AO174" s="187"/>
      <c r="AP174" s="187"/>
    </row>
    <row r="175" spans="2:42" s="1" customFormat="1" ht="14.25">
      <c r="B175" s="13" t="s">
        <v>54</v>
      </c>
      <c r="C175" s="4">
        <v>0</v>
      </c>
      <c r="D175" s="4">
        <v>0</v>
      </c>
      <c r="E175" s="165" t="s">
        <v>154</v>
      </c>
      <c r="F175" s="277"/>
      <c r="G175" s="3"/>
      <c r="H175" s="26">
        <v>0</v>
      </c>
      <c r="I175" s="26">
        <v>0</v>
      </c>
      <c r="J175" s="19" t="s">
        <v>154</v>
      </c>
      <c r="K175" s="277"/>
      <c r="L175" s="3"/>
      <c r="M175" s="4">
        <v>0</v>
      </c>
      <c r="N175" s="4">
        <v>0</v>
      </c>
      <c r="O175" s="165" t="s">
        <v>154</v>
      </c>
      <c r="P175" s="277"/>
      <c r="Q175" s="3"/>
      <c r="R175" s="4">
        <v>0</v>
      </c>
      <c r="S175" s="4">
        <v>0</v>
      </c>
      <c r="T175" s="165" t="s">
        <v>154</v>
      </c>
      <c r="U175" s="277"/>
      <c r="V175" s="3"/>
      <c r="W175" s="4">
        <v>0</v>
      </c>
      <c r="X175" s="4">
        <v>0</v>
      </c>
      <c r="Y175" s="165" t="s">
        <v>154</v>
      </c>
      <c r="Z175" s="277"/>
      <c r="AA175" s="29">
        <f t="shared" si="19"/>
        <v>0</v>
      </c>
      <c r="AB175" s="288"/>
      <c r="AC175" s="3"/>
      <c r="AD175" s="47">
        <v>0.38194444444444442</v>
      </c>
      <c r="AE175" s="47">
        <v>0.20833333333333334</v>
      </c>
      <c r="AF175" s="19">
        <v>7.75</v>
      </c>
      <c r="AG175" s="29">
        <f>AF175</f>
        <v>7.75</v>
      </c>
      <c r="AH175" s="3"/>
      <c r="AI175" s="227"/>
      <c r="AK175" s="187"/>
      <c r="AL175" s="187"/>
      <c r="AM175" s="187"/>
      <c r="AN175" s="187"/>
      <c r="AO175" s="187"/>
      <c r="AP175" s="187"/>
    </row>
    <row r="176" spans="2:42" s="1" customFormat="1" ht="14.25">
      <c r="B176" s="166" t="s">
        <v>159</v>
      </c>
      <c r="C176" s="12" t="s">
        <v>29</v>
      </c>
      <c r="D176" s="12" t="s">
        <v>29</v>
      </c>
      <c r="E176" s="165">
        <v>6</v>
      </c>
      <c r="F176" s="277"/>
      <c r="G176" s="3"/>
      <c r="H176" s="26">
        <v>0</v>
      </c>
      <c r="I176" s="26">
        <v>0</v>
      </c>
      <c r="J176" s="19" t="str">
        <f t="shared" si="16"/>
        <v>0</v>
      </c>
      <c r="K176" s="277"/>
      <c r="L176" s="3"/>
      <c r="M176" s="12" t="s">
        <v>29</v>
      </c>
      <c r="N176" s="12" t="s">
        <v>29</v>
      </c>
      <c r="O176" s="19">
        <v>6</v>
      </c>
      <c r="P176" s="277"/>
      <c r="Q176" s="3"/>
      <c r="R176" s="12" t="s">
        <v>29</v>
      </c>
      <c r="S176" s="12" t="s">
        <v>29</v>
      </c>
      <c r="T176" s="19">
        <v>5</v>
      </c>
      <c r="U176" s="277"/>
      <c r="V176" s="3"/>
      <c r="W176" s="12" t="s">
        <v>29</v>
      </c>
      <c r="X176" s="12" t="s">
        <v>29</v>
      </c>
      <c r="Y176" s="19">
        <v>0</v>
      </c>
      <c r="Z176" s="277"/>
      <c r="AA176" s="29">
        <f t="shared" si="19"/>
        <v>17</v>
      </c>
      <c r="AB176" s="288"/>
      <c r="AC176" s="3"/>
      <c r="AD176" s="4">
        <v>0</v>
      </c>
      <c r="AE176" s="4">
        <v>0</v>
      </c>
      <c r="AF176" s="19" t="str">
        <f t="shared" si="20"/>
        <v>0</v>
      </c>
      <c r="AG176" s="29" t="str">
        <f t="shared" si="15"/>
        <v>0</v>
      </c>
      <c r="AH176" s="3"/>
      <c r="AI176" s="227"/>
      <c r="AK176" s="187"/>
      <c r="AL176" s="187"/>
      <c r="AM176" s="187"/>
      <c r="AN176" s="187"/>
      <c r="AO176" s="187"/>
      <c r="AP176" s="187"/>
    </row>
    <row r="177" spans="1:42" s="1" customFormat="1" ht="14.25">
      <c r="B177" s="166" t="s">
        <v>42</v>
      </c>
      <c r="C177" s="12" t="s">
        <v>29</v>
      </c>
      <c r="D177" s="12" t="s">
        <v>29</v>
      </c>
      <c r="E177" s="165">
        <v>6</v>
      </c>
      <c r="F177" s="277"/>
      <c r="G177" s="3"/>
      <c r="H177" s="26">
        <v>0</v>
      </c>
      <c r="I177" s="26">
        <v>0</v>
      </c>
      <c r="J177" s="19" t="str">
        <f t="shared" si="16"/>
        <v>0</v>
      </c>
      <c r="K177" s="277"/>
      <c r="L177" s="3"/>
      <c r="M177" s="12" t="s">
        <v>29</v>
      </c>
      <c r="N177" s="12" t="s">
        <v>29</v>
      </c>
      <c r="O177" s="19">
        <v>5</v>
      </c>
      <c r="P177" s="277"/>
      <c r="Q177" s="3"/>
      <c r="R177" s="12" t="s">
        <v>29</v>
      </c>
      <c r="S177" s="12" t="s">
        <v>29</v>
      </c>
      <c r="T177" s="19">
        <v>6</v>
      </c>
      <c r="U177" s="277"/>
      <c r="V177" s="3"/>
      <c r="W177" s="12" t="s">
        <v>29</v>
      </c>
      <c r="X177" s="12" t="s">
        <v>29</v>
      </c>
      <c r="Y177" s="19">
        <v>0</v>
      </c>
      <c r="Z177" s="277"/>
      <c r="AA177" s="29">
        <f t="shared" si="19"/>
        <v>17</v>
      </c>
      <c r="AB177" s="288"/>
      <c r="AC177" s="3"/>
      <c r="AD177" s="4">
        <v>0</v>
      </c>
      <c r="AE177" s="4">
        <v>0</v>
      </c>
      <c r="AF177" s="19" t="str">
        <f t="shared" si="20"/>
        <v>0</v>
      </c>
      <c r="AG177" s="29" t="str">
        <f t="shared" si="15"/>
        <v>0</v>
      </c>
      <c r="AH177" s="3"/>
      <c r="AI177" s="227"/>
      <c r="AK177" s="187"/>
      <c r="AL177" s="187"/>
      <c r="AM177" s="187"/>
      <c r="AN177" s="187"/>
      <c r="AO177" s="187"/>
      <c r="AP177" s="187"/>
    </row>
    <row r="178" spans="1:42" s="1" customFormat="1" ht="14.25">
      <c r="B178" s="166" t="s">
        <v>53</v>
      </c>
      <c r="C178" s="12" t="s">
        <v>29</v>
      </c>
      <c r="D178" s="12" t="s">
        <v>29</v>
      </c>
      <c r="E178" s="165">
        <v>6</v>
      </c>
      <c r="F178" s="277"/>
      <c r="G178" s="3"/>
      <c r="H178" s="26">
        <v>0</v>
      </c>
      <c r="I178" s="26">
        <v>0</v>
      </c>
      <c r="J178" s="19" t="str">
        <f t="shared" si="16"/>
        <v>0</v>
      </c>
      <c r="K178" s="277"/>
      <c r="L178" s="3"/>
      <c r="M178" s="12" t="s">
        <v>29</v>
      </c>
      <c r="N178" s="12" t="s">
        <v>29</v>
      </c>
      <c r="O178" s="19">
        <v>6</v>
      </c>
      <c r="P178" s="277"/>
      <c r="Q178" s="3"/>
      <c r="R178" s="12" t="s">
        <v>29</v>
      </c>
      <c r="S178" s="12" t="s">
        <v>29</v>
      </c>
      <c r="T178" s="19">
        <v>5</v>
      </c>
      <c r="U178" s="277"/>
      <c r="V178" s="3"/>
      <c r="W178" s="12" t="s">
        <v>29</v>
      </c>
      <c r="X178" s="12" t="s">
        <v>29</v>
      </c>
      <c r="Y178" s="19">
        <v>0</v>
      </c>
      <c r="Z178" s="277"/>
      <c r="AA178" s="29">
        <f t="shared" si="19"/>
        <v>17</v>
      </c>
      <c r="AB178" s="288"/>
      <c r="AC178" s="3"/>
      <c r="AD178" s="4">
        <v>0</v>
      </c>
      <c r="AE178" s="4">
        <v>0</v>
      </c>
      <c r="AF178" s="19" t="str">
        <f t="shared" si="20"/>
        <v>0</v>
      </c>
      <c r="AG178" s="29" t="str">
        <f t="shared" si="15"/>
        <v>0</v>
      </c>
      <c r="AH178" s="3"/>
      <c r="AI178" s="227"/>
      <c r="AK178" s="187"/>
      <c r="AL178" s="187"/>
      <c r="AM178" s="187"/>
      <c r="AN178" s="187"/>
      <c r="AO178" s="187"/>
      <c r="AP178" s="187"/>
    </row>
    <row r="179" spans="1:42" s="1" customFormat="1" ht="14.25">
      <c r="B179" s="166" t="s">
        <v>160</v>
      </c>
      <c r="C179" s="12" t="s">
        <v>29</v>
      </c>
      <c r="D179" s="12" t="s">
        <v>29</v>
      </c>
      <c r="E179" s="165">
        <v>5</v>
      </c>
      <c r="F179" s="277"/>
      <c r="G179" s="3"/>
      <c r="H179" s="26">
        <v>0</v>
      </c>
      <c r="I179" s="26">
        <v>0</v>
      </c>
      <c r="J179" s="19" t="str">
        <f t="shared" si="16"/>
        <v>0</v>
      </c>
      <c r="K179" s="277"/>
      <c r="L179" s="3"/>
      <c r="M179" s="12" t="s">
        <v>29</v>
      </c>
      <c r="N179" s="12" t="s">
        <v>29</v>
      </c>
      <c r="O179" s="19">
        <v>6</v>
      </c>
      <c r="P179" s="277"/>
      <c r="Q179" s="3"/>
      <c r="R179" s="12" t="s">
        <v>29</v>
      </c>
      <c r="S179" s="12" t="s">
        <v>29</v>
      </c>
      <c r="T179" s="19">
        <v>6</v>
      </c>
      <c r="U179" s="277"/>
      <c r="V179" s="3"/>
      <c r="W179" s="12" t="s">
        <v>29</v>
      </c>
      <c r="X179" s="12" t="s">
        <v>29</v>
      </c>
      <c r="Y179" s="19">
        <v>0</v>
      </c>
      <c r="Z179" s="277"/>
      <c r="AA179" s="29">
        <f t="shared" si="19"/>
        <v>17</v>
      </c>
      <c r="AB179" s="288"/>
      <c r="AC179" s="3"/>
      <c r="AD179" s="4">
        <v>0</v>
      </c>
      <c r="AE179" s="4">
        <v>0</v>
      </c>
      <c r="AF179" s="19" t="str">
        <f t="shared" si="20"/>
        <v>0</v>
      </c>
      <c r="AG179" s="29" t="str">
        <f t="shared" si="15"/>
        <v>0</v>
      </c>
      <c r="AH179" s="3"/>
      <c r="AI179" s="227"/>
      <c r="AK179" s="187"/>
      <c r="AL179" s="187"/>
      <c r="AM179" s="187"/>
      <c r="AN179" s="187"/>
      <c r="AO179" s="187"/>
      <c r="AP179" s="187"/>
    </row>
    <row r="180" spans="1:42" s="1" customFormat="1" ht="14.25">
      <c r="B180" s="166" t="s">
        <v>46</v>
      </c>
      <c r="C180" s="12" t="s">
        <v>29</v>
      </c>
      <c r="D180" s="12" t="s">
        <v>29</v>
      </c>
      <c r="E180" s="165">
        <v>5</v>
      </c>
      <c r="F180" s="277"/>
      <c r="G180" s="3"/>
      <c r="H180" s="26">
        <v>0</v>
      </c>
      <c r="I180" s="26">
        <v>0</v>
      </c>
      <c r="J180" s="19" t="str">
        <f t="shared" si="16"/>
        <v>0</v>
      </c>
      <c r="K180" s="277"/>
      <c r="L180" s="3"/>
      <c r="M180" s="12" t="s">
        <v>29</v>
      </c>
      <c r="N180" s="12" t="s">
        <v>29</v>
      </c>
      <c r="O180" s="19">
        <v>6</v>
      </c>
      <c r="P180" s="277"/>
      <c r="Q180" s="3"/>
      <c r="R180" s="12" t="s">
        <v>29</v>
      </c>
      <c r="S180" s="12" t="s">
        <v>29</v>
      </c>
      <c r="T180" s="19">
        <v>5</v>
      </c>
      <c r="U180" s="277"/>
      <c r="V180" s="3"/>
      <c r="W180" s="12" t="s">
        <v>29</v>
      </c>
      <c r="X180" s="12" t="s">
        <v>29</v>
      </c>
      <c r="Y180" s="19">
        <v>6</v>
      </c>
      <c r="Z180" s="277"/>
      <c r="AA180" s="29">
        <f t="shared" si="19"/>
        <v>22</v>
      </c>
      <c r="AB180" s="288"/>
      <c r="AC180" s="3"/>
      <c r="AD180" s="4">
        <v>0</v>
      </c>
      <c r="AE180" s="4">
        <v>0</v>
      </c>
      <c r="AF180" s="19" t="str">
        <f t="shared" si="20"/>
        <v>0</v>
      </c>
      <c r="AG180" s="29" t="str">
        <f t="shared" si="15"/>
        <v>0</v>
      </c>
      <c r="AH180" s="3"/>
      <c r="AI180" s="227"/>
      <c r="AK180" s="187"/>
      <c r="AL180" s="187"/>
      <c r="AM180" s="187"/>
      <c r="AN180" s="187"/>
      <c r="AO180" s="187"/>
      <c r="AP180" s="187"/>
    </row>
    <row r="181" spans="1:42" s="1" customFormat="1" ht="14.25">
      <c r="B181" s="166" t="s">
        <v>161</v>
      </c>
      <c r="C181" s="12" t="s">
        <v>29</v>
      </c>
      <c r="D181" s="12" t="s">
        <v>29</v>
      </c>
      <c r="E181" s="165">
        <v>5</v>
      </c>
      <c r="F181" s="277"/>
      <c r="G181" s="3"/>
      <c r="H181" s="26">
        <v>0</v>
      </c>
      <c r="I181" s="26">
        <v>0</v>
      </c>
      <c r="J181" s="19" t="str">
        <f t="shared" si="16"/>
        <v>0</v>
      </c>
      <c r="K181" s="277"/>
      <c r="L181" s="3"/>
      <c r="M181" s="12" t="s">
        <v>29</v>
      </c>
      <c r="N181" s="12" t="s">
        <v>29</v>
      </c>
      <c r="O181" s="19">
        <v>4</v>
      </c>
      <c r="P181" s="277"/>
      <c r="Q181" s="3"/>
      <c r="R181" s="12" t="s">
        <v>29</v>
      </c>
      <c r="S181" s="12" t="s">
        <v>29</v>
      </c>
      <c r="T181" s="19">
        <v>6</v>
      </c>
      <c r="U181" s="277"/>
      <c r="V181" s="3"/>
      <c r="W181" s="12" t="s">
        <v>29</v>
      </c>
      <c r="X181" s="12" t="s">
        <v>29</v>
      </c>
      <c r="Y181" s="19">
        <v>6</v>
      </c>
      <c r="Z181" s="277"/>
      <c r="AA181" s="29">
        <f t="shared" si="19"/>
        <v>21</v>
      </c>
      <c r="AB181" s="288"/>
      <c r="AC181" s="3"/>
      <c r="AD181" s="4">
        <v>0</v>
      </c>
      <c r="AE181" s="4">
        <v>0</v>
      </c>
      <c r="AF181" s="19" t="str">
        <f t="shared" si="20"/>
        <v>0</v>
      </c>
      <c r="AG181" s="29" t="str">
        <f t="shared" si="15"/>
        <v>0</v>
      </c>
      <c r="AH181" s="3"/>
      <c r="AI181" s="227"/>
      <c r="AK181" s="187"/>
      <c r="AL181" s="187"/>
      <c r="AM181" s="187"/>
      <c r="AN181" s="187"/>
      <c r="AO181" s="187"/>
      <c r="AP181" s="187"/>
    </row>
    <row r="182" spans="1:42" s="1" customFormat="1" ht="14.25">
      <c r="B182" s="166" t="s">
        <v>147</v>
      </c>
      <c r="C182" s="12" t="s">
        <v>29</v>
      </c>
      <c r="D182" s="12" t="s">
        <v>29</v>
      </c>
      <c r="E182" s="165">
        <v>0</v>
      </c>
      <c r="F182" s="277"/>
      <c r="G182" s="3"/>
      <c r="H182" s="26">
        <v>0</v>
      </c>
      <c r="I182" s="26">
        <v>0</v>
      </c>
      <c r="J182" s="19" t="str">
        <f t="shared" si="16"/>
        <v>0</v>
      </c>
      <c r="K182" s="277"/>
      <c r="L182" s="3"/>
      <c r="M182" s="12" t="s">
        <v>29</v>
      </c>
      <c r="N182" s="12" t="s">
        <v>29</v>
      </c>
      <c r="O182" s="19">
        <v>0</v>
      </c>
      <c r="P182" s="277"/>
      <c r="Q182" s="3"/>
      <c r="R182" s="12" t="s">
        <v>29</v>
      </c>
      <c r="S182" s="12" t="s">
        <v>29</v>
      </c>
      <c r="T182" s="19">
        <v>0</v>
      </c>
      <c r="U182" s="277"/>
      <c r="V182" s="3"/>
      <c r="W182" s="12" t="s">
        <v>29</v>
      </c>
      <c r="X182" s="12" t="s">
        <v>29</v>
      </c>
      <c r="Y182" s="19">
        <v>0</v>
      </c>
      <c r="Z182" s="277"/>
      <c r="AA182" s="29">
        <f t="shared" si="19"/>
        <v>0</v>
      </c>
      <c r="AB182" s="288"/>
      <c r="AC182" s="3"/>
      <c r="AD182" s="4">
        <v>0</v>
      </c>
      <c r="AE182" s="4">
        <v>0</v>
      </c>
      <c r="AF182" s="19" t="str">
        <f t="shared" si="20"/>
        <v>0</v>
      </c>
      <c r="AG182" s="29" t="str">
        <f t="shared" si="15"/>
        <v>0</v>
      </c>
      <c r="AH182" s="3"/>
      <c r="AI182" s="227"/>
      <c r="AK182" s="187"/>
      <c r="AL182" s="187"/>
      <c r="AM182" s="187"/>
      <c r="AN182" s="187"/>
      <c r="AO182" s="187"/>
      <c r="AP182" s="187"/>
    </row>
    <row r="183" spans="1:42" s="1" customFormat="1">
      <c r="B183" s="64" t="s">
        <v>162</v>
      </c>
      <c r="C183" s="64"/>
      <c r="D183" s="64"/>
      <c r="E183" s="279" t="s">
        <v>163</v>
      </c>
      <c r="F183" s="277"/>
      <c r="G183" s="3"/>
      <c r="H183" s="64"/>
      <c r="I183" s="64"/>
      <c r="J183" s="167">
        <f>SUM(J163:J182)</f>
        <v>0</v>
      </c>
      <c r="K183" s="277"/>
      <c r="L183" s="3"/>
      <c r="M183" s="64"/>
      <c r="N183" s="64"/>
      <c r="O183" s="167">
        <v>78.5</v>
      </c>
      <c r="P183" s="277"/>
      <c r="Q183" s="3"/>
      <c r="R183" s="64"/>
      <c r="S183" s="64"/>
      <c r="T183" s="167">
        <v>78.5</v>
      </c>
      <c r="U183" s="277"/>
      <c r="V183" s="3"/>
      <c r="W183" s="64"/>
      <c r="X183" s="64"/>
      <c r="Y183" s="167">
        <v>72</v>
      </c>
      <c r="Z183" s="277"/>
      <c r="AA183" s="247">
        <v>309</v>
      </c>
      <c r="AB183" s="284">
        <v>0</v>
      </c>
      <c r="AC183" s="3"/>
      <c r="AD183" s="64"/>
      <c r="AE183" s="64"/>
      <c r="AF183" s="64"/>
      <c r="AG183" s="247">
        <f>SUM(AG163:AG175)</f>
        <v>32.25</v>
      </c>
      <c r="AH183" s="3"/>
      <c r="AI183" s="227"/>
      <c r="AK183" s="187"/>
      <c r="AL183" s="187"/>
      <c r="AM183" s="187"/>
      <c r="AN183" s="187"/>
      <c r="AO183" s="187"/>
      <c r="AP183" s="187"/>
    </row>
    <row r="184" spans="1:42" s="1" customFormat="1">
      <c r="B184" s="64" t="s">
        <v>164</v>
      </c>
      <c r="C184" s="64"/>
      <c r="D184" s="64"/>
      <c r="E184" s="279" t="s">
        <v>165</v>
      </c>
      <c r="F184" s="277"/>
      <c r="G184" s="3"/>
      <c r="H184" s="64"/>
      <c r="I184" s="64"/>
      <c r="J184" s="167">
        <f>SUM(J164:J182)</f>
        <v>0</v>
      </c>
      <c r="K184" s="277"/>
      <c r="L184" s="3"/>
      <c r="M184" s="64"/>
      <c r="N184" s="64"/>
      <c r="O184" s="167">
        <v>33</v>
      </c>
      <c r="P184" s="277"/>
      <c r="Q184" s="3"/>
      <c r="R184" s="64"/>
      <c r="S184" s="64"/>
      <c r="T184" s="167">
        <v>33</v>
      </c>
      <c r="U184" s="277"/>
      <c r="V184" s="3"/>
      <c r="W184" s="64"/>
      <c r="X184" s="64"/>
      <c r="Y184" s="167">
        <f>SUM(Y176:Y182)</f>
        <v>12</v>
      </c>
      <c r="Z184" s="277"/>
      <c r="AA184" s="247">
        <v>111</v>
      </c>
      <c r="AB184" s="284">
        <v>0</v>
      </c>
      <c r="AC184" s="3"/>
      <c r="AD184" s="64"/>
      <c r="AE184" s="64"/>
      <c r="AF184" s="64"/>
      <c r="AG184" s="55"/>
      <c r="AH184" s="3"/>
      <c r="AI184" s="227"/>
      <c r="AK184" s="187"/>
      <c r="AL184" s="187"/>
      <c r="AM184" s="187"/>
      <c r="AN184" s="187"/>
      <c r="AO184" s="187"/>
      <c r="AP184" s="187"/>
    </row>
    <row r="185" spans="1:42" s="1" customFormat="1">
      <c r="B185" s="63" t="s">
        <v>62</v>
      </c>
      <c r="C185" s="56"/>
      <c r="D185" s="56"/>
      <c r="E185" s="19">
        <v>8</v>
      </c>
      <c r="F185" s="291">
        <v>1</v>
      </c>
      <c r="G185" s="60"/>
      <c r="H185" s="56"/>
      <c r="I185" s="56"/>
      <c r="J185" s="19">
        <v>0</v>
      </c>
      <c r="K185" s="291"/>
      <c r="L185" s="60"/>
      <c r="M185" s="56"/>
      <c r="N185" s="56"/>
      <c r="O185" s="19">
        <v>7</v>
      </c>
      <c r="P185" s="291"/>
      <c r="Q185" s="60"/>
      <c r="R185" s="56"/>
      <c r="S185" s="56"/>
      <c r="T185" s="19">
        <v>7</v>
      </c>
      <c r="U185" s="291"/>
      <c r="V185" s="60"/>
      <c r="W185" s="56"/>
      <c r="X185" s="56"/>
      <c r="Y185" s="19">
        <v>0</v>
      </c>
      <c r="Z185" s="291"/>
      <c r="AA185" s="28">
        <f>SUM(E185:Y185)</f>
        <v>23</v>
      </c>
      <c r="AB185" s="282">
        <f>F185+K185+P185+U185+Z185</f>
        <v>1</v>
      </c>
      <c r="AC185" s="3"/>
      <c r="AD185" s="56"/>
      <c r="AE185" s="56"/>
      <c r="AF185" s="19">
        <v>0</v>
      </c>
      <c r="AG185" s="185">
        <f>AF185</f>
        <v>0</v>
      </c>
      <c r="AH185" s="3"/>
      <c r="AI185" s="227"/>
      <c r="AK185" s="187"/>
      <c r="AL185" s="187"/>
      <c r="AM185" s="187"/>
      <c r="AN185" s="187"/>
      <c r="AO185" s="187"/>
      <c r="AP185" s="187"/>
    </row>
    <row r="186" spans="1:42" s="1" customFormat="1">
      <c r="B186" s="63" t="s">
        <v>63</v>
      </c>
      <c r="C186" s="56"/>
      <c r="D186" s="56"/>
      <c r="E186" s="19">
        <v>3</v>
      </c>
      <c r="F186" s="291"/>
      <c r="G186" s="60"/>
      <c r="H186" s="56"/>
      <c r="I186" s="56"/>
      <c r="J186" s="19">
        <v>0</v>
      </c>
      <c r="K186" s="291"/>
      <c r="L186" s="60"/>
      <c r="M186" s="56"/>
      <c r="N186" s="56"/>
      <c r="O186" s="19">
        <v>5</v>
      </c>
      <c r="P186" s="291"/>
      <c r="Q186" s="60"/>
      <c r="R186" s="56"/>
      <c r="S186" s="56"/>
      <c r="T186" s="19">
        <v>5</v>
      </c>
      <c r="U186" s="291"/>
      <c r="V186" s="60"/>
      <c r="W186" s="56"/>
      <c r="X186" s="56"/>
      <c r="Y186" s="19">
        <v>5</v>
      </c>
      <c r="Z186" s="291"/>
      <c r="AA186" s="28">
        <f>SUM(E186:Y186)</f>
        <v>18</v>
      </c>
      <c r="AB186" s="282">
        <v>28</v>
      </c>
      <c r="AC186" s="3"/>
      <c r="AD186" s="56"/>
      <c r="AE186" s="56"/>
      <c r="AF186" s="19">
        <v>0</v>
      </c>
      <c r="AG186" s="185">
        <f>AF186</f>
        <v>0</v>
      </c>
      <c r="AH186" s="3"/>
      <c r="AI186" s="227"/>
      <c r="AK186" s="187"/>
      <c r="AL186" s="187"/>
      <c r="AM186" s="187"/>
      <c r="AN186" s="187"/>
      <c r="AO186" s="187"/>
      <c r="AP186" s="187"/>
    </row>
    <row r="187" spans="1:42" s="1" customFormat="1">
      <c r="B187" s="63" t="s">
        <v>64</v>
      </c>
      <c r="C187" s="56"/>
      <c r="D187" s="56"/>
      <c r="E187" s="19">
        <v>4.5</v>
      </c>
      <c r="F187" s="291"/>
      <c r="G187" s="60"/>
      <c r="H187" s="56"/>
      <c r="I187" s="56"/>
      <c r="J187" s="19" t="str">
        <f t="shared" ref="J187" si="24">TEXT(I187-H187, "h")</f>
        <v>0</v>
      </c>
      <c r="K187" s="291"/>
      <c r="L187" s="60"/>
      <c r="M187" s="56"/>
      <c r="N187" s="56"/>
      <c r="O187" s="19">
        <v>5</v>
      </c>
      <c r="P187" s="291"/>
      <c r="Q187" s="60"/>
      <c r="R187" s="56"/>
      <c r="S187" s="56"/>
      <c r="T187" s="19">
        <v>6</v>
      </c>
      <c r="U187" s="291"/>
      <c r="V187" s="60"/>
      <c r="W187" s="56"/>
      <c r="X187" s="56"/>
      <c r="Y187" s="19">
        <v>6</v>
      </c>
      <c r="Z187" s="291"/>
      <c r="AA187" s="28">
        <f>SUM(E187:Y187)</f>
        <v>21.5</v>
      </c>
      <c r="AB187" s="282">
        <f t="shared" ref="AB187:AB188" si="25">F187+K187+P187+U187+Z187</f>
        <v>0</v>
      </c>
      <c r="AC187" s="3"/>
      <c r="AD187" s="56"/>
      <c r="AE187" s="56"/>
      <c r="AF187" s="19">
        <v>0</v>
      </c>
      <c r="AG187" s="185">
        <f>AF187</f>
        <v>0</v>
      </c>
      <c r="AH187" s="3"/>
      <c r="AI187" s="227"/>
      <c r="AK187" s="187"/>
      <c r="AL187" s="187"/>
      <c r="AM187" s="187"/>
      <c r="AN187" s="187"/>
      <c r="AO187" s="187"/>
      <c r="AP187" s="187"/>
    </row>
    <row r="188" spans="1:42" s="1" customFormat="1" ht="14.25" thickBot="1">
      <c r="B188" s="268" t="s">
        <v>65</v>
      </c>
      <c r="C188" s="75"/>
      <c r="D188" s="75"/>
      <c r="E188" s="77">
        <v>3</v>
      </c>
      <c r="F188" s="292"/>
      <c r="G188" s="81"/>
      <c r="H188" s="75"/>
      <c r="I188" s="75"/>
      <c r="J188" s="77">
        <v>0</v>
      </c>
      <c r="K188" s="292"/>
      <c r="L188" s="81"/>
      <c r="M188" s="75"/>
      <c r="N188" s="75"/>
      <c r="O188" s="77">
        <v>3</v>
      </c>
      <c r="P188" s="292"/>
      <c r="Q188" s="81"/>
      <c r="R188" s="75"/>
      <c r="S188" s="75"/>
      <c r="T188" s="77">
        <v>3</v>
      </c>
      <c r="U188" s="292"/>
      <c r="V188" s="81"/>
      <c r="W188" s="75"/>
      <c r="X188" s="75"/>
      <c r="Y188" s="77">
        <v>3</v>
      </c>
      <c r="Z188" s="292"/>
      <c r="AA188" s="80">
        <f>SUM(E188:Y188)</f>
        <v>12</v>
      </c>
      <c r="AB188" s="287">
        <f t="shared" si="25"/>
        <v>0</v>
      </c>
      <c r="AC188" s="3"/>
      <c r="AD188" s="75"/>
      <c r="AE188" s="75"/>
      <c r="AF188" s="77">
        <v>0</v>
      </c>
      <c r="AG188" s="244">
        <f>AF188</f>
        <v>0</v>
      </c>
      <c r="AH188" s="3"/>
      <c r="AI188" s="227"/>
      <c r="AK188" s="187"/>
      <c r="AL188" s="187"/>
      <c r="AM188" s="187"/>
      <c r="AN188" s="187"/>
      <c r="AO188" s="187"/>
      <c r="AP188" s="187"/>
    </row>
    <row r="189" spans="1:42" s="187" customFormat="1" ht="13.5" customHeight="1" thickTop="1">
      <c r="A189" s="224"/>
      <c r="B189" s="214" t="s">
        <v>66</v>
      </c>
      <c r="C189" s="215"/>
      <c r="D189" s="215"/>
      <c r="E189" s="214">
        <f>SUM(E185:E188)</f>
        <v>18.5</v>
      </c>
      <c r="F189" s="214"/>
      <c r="G189" s="215"/>
      <c r="H189" s="214"/>
      <c r="I189" s="214"/>
      <c r="J189" s="214">
        <f>SUM(J185:J188)</f>
        <v>0</v>
      </c>
      <c r="K189" s="214"/>
      <c r="L189" s="215"/>
      <c r="M189" s="215"/>
      <c r="N189" s="215"/>
      <c r="O189" s="214">
        <f>SUM(O185:O188)</f>
        <v>20</v>
      </c>
      <c r="P189" s="214"/>
      <c r="Q189" s="214"/>
      <c r="R189" s="214"/>
      <c r="S189" s="214"/>
      <c r="T189" s="214">
        <f>SUM(T185:T188)</f>
        <v>21</v>
      </c>
      <c r="U189" s="214"/>
      <c r="V189" s="214"/>
      <c r="W189" s="214"/>
      <c r="X189" s="214"/>
      <c r="Y189" s="214">
        <f>SUM(Y185:Y188)</f>
        <v>14</v>
      </c>
      <c r="Z189" s="214"/>
      <c r="AA189" s="247">
        <f>SUM(AA185:AA188)</f>
        <v>74.5</v>
      </c>
      <c r="AB189" s="247">
        <f>SUM(AB185:AB188)</f>
        <v>29</v>
      </c>
      <c r="AC189" s="226"/>
      <c r="AD189" s="241"/>
      <c r="AG189" s="249">
        <f>SUM(AG187:AG188)</f>
        <v>0</v>
      </c>
      <c r="AH189" s="3"/>
      <c r="AI189" s="227"/>
      <c r="AJ189" s="1"/>
    </row>
    <row r="190" spans="1:42" s="1" customFormat="1" ht="13.5" customHeight="1">
      <c r="A190" s="11"/>
      <c r="B190" s="217" t="s">
        <v>67</v>
      </c>
      <c r="C190" s="207">
        <f>C191+C192</f>
        <v>46</v>
      </c>
      <c r="D190" s="208"/>
      <c r="E190" s="209"/>
      <c r="F190" s="209"/>
      <c r="G190" s="208"/>
      <c r="H190" s="209"/>
      <c r="I190" s="209"/>
      <c r="J190" s="209"/>
      <c r="K190" s="209"/>
      <c r="L190" s="208"/>
      <c r="M190" s="208"/>
      <c r="N190" s="208"/>
      <c r="O190" s="208"/>
      <c r="P190" s="209"/>
      <c r="Q190" s="208"/>
      <c r="R190" s="208"/>
      <c r="S190" s="208"/>
      <c r="T190" s="208"/>
      <c r="U190" s="209"/>
      <c r="V190" s="208"/>
      <c r="W190" s="208"/>
      <c r="X190" s="208"/>
      <c r="Y190" s="210"/>
      <c r="Z190" s="209"/>
      <c r="AA190" s="211"/>
      <c r="AB190" s="209"/>
      <c r="AC190" s="211"/>
      <c r="AD190" s="211"/>
      <c r="AE190" s="211"/>
      <c r="AF190" s="211"/>
      <c r="AG190" s="211"/>
      <c r="AH190" s="3"/>
      <c r="AI190" s="227"/>
      <c r="AK190" s="187"/>
      <c r="AL190" s="187"/>
      <c r="AM190" s="187"/>
      <c r="AN190" s="187"/>
      <c r="AO190" s="187"/>
      <c r="AP190" s="187"/>
    </row>
    <row r="191" spans="1:42" s="1" customFormat="1" ht="13.5" customHeight="1">
      <c r="A191" s="11"/>
      <c r="B191" s="238" t="s">
        <v>68</v>
      </c>
      <c r="C191" s="239">
        <v>29</v>
      </c>
      <c r="D191" s="208"/>
      <c r="E191" s="209"/>
      <c r="F191" s="209"/>
      <c r="G191" s="208"/>
      <c r="H191" s="209"/>
      <c r="I191" s="209"/>
      <c r="J191" s="209"/>
      <c r="K191" s="209"/>
      <c r="L191" s="208"/>
      <c r="M191" s="208"/>
      <c r="N191" s="208"/>
      <c r="O191" s="208"/>
      <c r="P191" s="209"/>
      <c r="Q191" s="208"/>
      <c r="R191" s="208"/>
      <c r="S191" s="208"/>
      <c r="T191" s="208"/>
      <c r="U191" s="209"/>
      <c r="V191" s="208"/>
      <c r="W191" s="208"/>
      <c r="X191" s="208"/>
      <c r="Y191" s="210"/>
      <c r="Z191" s="209"/>
      <c r="AA191" s="211"/>
      <c r="AB191" s="209"/>
      <c r="AC191" s="211"/>
      <c r="AD191" s="211"/>
      <c r="AE191" s="211"/>
      <c r="AF191" s="211"/>
      <c r="AG191" s="211"/>
      <c r="AH191" s="3"/>
      <c r="AI191" s="227"/>
      <c r="AK191" s="187"/>
      <c r="AL191" s="187"/>
      <c r="AM191" s="187"/>
      <c r="AN191" s="187"/>
      <c r="AO191" s="187"/>
      <c r="AP191" s="187"/>
    </row>
    <row r="192" spans="1:42" s="1" customFormat="1" ht="13.5" customHeight="1">
      <c r="A192" s="11"/>
      <c r="B192" s="238" t="s">
        <v>69</v>
      </c>
      <c r="C192" s="239">
        <v>17</v>
      </c>
      <c r="D192" s="208"/>
      <c r="E192" s="209"/>
      <c r="F192" s="209"/>
      <c r="G192" s="208"/>
      <c r="H192" s="209"/>
      <c r="I192" s="209"/>
      <c r="J192" s="209"/>
      <c r="K192" s="209"/>
      <c r="L192" s="208"/>
      <c r="M192" s="208"/>
      <c r="N192" s="208"/>
      <c r="O192" s="208"/>
      <c r="P192" s="209"/>
      <c r="Q192" s="208"/>
      <c r="R192" s="208"/>
      <c r="S192" s="208"/>
      <c r="T192" s="208"/>
      <c r="U192" s="209"/>
      <c r="V192" s="208"/>
      <c r="W192" s="208"/>
      <c r="X192" s="208"/>
      <c r="Y192" s="210"/>
      <c r="Z192" s="209"/>
      <c r="AA192" s="211"/>
      <c r="AB192" s="209"/>
      <c r="AC192" s="211"/>
      <c r="AD192" s="211"/>
      <c r="AE192" s="211"/>
      <c r="AF192" s="211"/>
      <c r="AG192" s="211"/>
      <c r="AH192" s="3"/>
      <c r="AI192" s="227"/>
      <c r="AK192" s="187"/>
      <c r="AL192" s="187"/>
      <c r="AM192" s="187"/>
      <c r="AN192" s="187"/>
      <c r="AO192" s="187"/>
      <c r="AP192" s="187"/>
    </row>
    <row r="193" spans="1:42" s="1" customFormat="1" ht="4.5" customHeight="1">
      <c r="A193" s="11"/>
      <c r="B193" s="218"/>
      <c r="C193" s="219"/>
      <c r="D193" s="220"/>
      <c r="E193" s="221"/>
      <c r="F193" s="221"/>
      <c r="G193" s="220"/>
      <c r="H193" s="221"/>
      <c r="I193" s="221"/>
      <c r="J193" s="221"/>
      <c r="K193" s="221"/>
      <c r="L193" s="220"/>
      <c r="M193" s="220"/>
      <c r="N193" s="220"/>
      <c r="O193" s="220"/>
      <c r="P193" s="221"/>
      <c r="Q193" s="220"/>
      <c r="R193" s="220"/>
      <c r="S193" s="220"/>
      <c r="T193" s="220"/>
      <c r="U193" s="221"/>
      <c r="V193" s="220"/>
      <c r="W193" s="220"/>
      <c r="X193" s="220"/>
      <c r="Y193" s="222"/>
      <c r="Z193" s="221"/>
      <c r="AA193" s="223"/>
      <c r="AB193" s="221"/>
      <c r="AC193" s="3"/>
      <c r="AD193" s="168"/>
      <c r="AH193" s="3"/>
      <c r="AI193" s="227"/>
      <c r="AK193" s="187"/>
      <c r="AL193" s="187"/>
      <c r="AM193" s="187"/>
      <c r="AN193" s="187"/>
      <c r="AO193" s="187"/>
      <c r="AP193" s="187"/>
    </row>
    <row r="194" spans="1:42" s="227" customFormat="1" ht="4.5" customHeight="1">
      <c r="A194" s="228"/>
      <c r="B194" s="229"/>
      <c r="C194" s="230"/>
      <c r="D194" s="231"/>
      <c r="E194" s="232"/>
      <c r="F194" s="232"/>
      <c r="G194" s="231"/>
      <c r="H194" s="232"/>
      <c r="I194" s="232"/>
      <c r="J194" s="232"/>
      <c r="K194" s="232"/>
      <c r="L194" s="231"/>
      <c r="M194" s="231"/>
      <c r="N194" s="231"/>
      <c r="O194" s="231"/>
      <c r="P194" s="232"/>
      <c r="Q194" s="231"/>
      <c r="R194" s="231"/>
      <c r="S194" s="231"/>
      <c r="T194" s="231"/>
      <c r="U194" s="232"/>
      <c r="V194" s="231"/>
      <c r="W194" s="231"/>
      <c r="X194" s="231"/>
      <c r="Y194" s="233"/>
      <c r="Z194" s="232"/>
      <c r="AA194" s="234"/>
      <c r="AB194" s="232"/>
      <c r="AC194" s="235"/>
      <c r="AD194" s="236"/>
      <c r="AH194" s="235"/>
    </row>
    <row r="195" spans="1:42" s="187" customFormat="1" ht="4.5" customHeight="1">
      <c r="A195" s="224"/>
      <c r="B195" s="214"/>
      <c r="C195" s="215"/>
      <c r="D195" s="215"/>
      <c r="E195" s="214"/>
      <c r="F195" s="214"/>
      <c r="G195" s="215"/>
      <c r="H195" s="214"/>
      <c r="I195" s="214"/>
      <c r="J195" s="214"/>
      <c r="K195" s="214"/>
      <c r="L195" s="215"/>
      <c r="M195" s="215"/>
      <c r="N195" s="215"/>
      <c r="O195" s="215"/>
      <c r="P195" s="214"/>
      <c r="Q195" s="215"/>
      <c r="R195" s="215"/>
      <c r="S195" s="215"/>
      <c r="T195" s="215"/>
      <c r="U195" s="214"/>
      <c r="V195" s="215"/>
      <c r="W195" s="215"/>
      <c r="X195" s="215"/>
      <c r="Y195" s="216"/>
      <c r="Z195" s="214"/>
      <c r="AA195" s="225"/>
      <c r="AB195" s="214"/>
      <c r="AC195" s="226"/>
      <c r="AH195" s="226"/>
      <c r="AI195" s="227"/>
    </row>
    <row r="196" spans="1:42" s="1" customFormat="1">
      <c r="B196" s="1518" t="s">
        <v>18</v>
      </c>
      <c r="C196" s="1524">
        <v>45117</v>
      </c>
      <c r="D196" s="1524"/>
      <c r="E196" s="1524"/>
      <c r="F196" s="1524"/>
      <c r="G196" s="22"/>
      <c r="H196" s="1524">
        <v>45118</v>
      </c>
      <c r="I196" s="1524"/>
      <c r="J196" s="1524"/>
      <c r="K196" s="1524"/>
      <c r="L196" s="22"/>
      <c r="M196" s="1524">
        <v>45119</v>
      </c>
      <c r="N196" s="1524"/>
      <c r="O196" s="1524"/>
      <c r="P196" s="1524"/>
      <c r="Q196" s="22"/>
      <c r="R196" s="1524">
        <v>45120</v>
      </c>
      <c r="S196" s="1524"/>
      <c r="T196" s="1524"/>
      <c r="U196" s="1524"/>
      <c r="V196" s="22"/>
      <c r="W196" s="1524">
        <v>45121</v>
      </c>
      <c r="X196" s="1524"/>
      <c r="Y196" s="1524"/>
      <c r="Z196" s="1524"/>
      <c r="AA196" s="1517" t="s">
        <v>19</v>
      </c>
      <c r="AB196" s="1517" t="s">
        <v>20</v>
      </c>
      <c r="AC196" s="3"/>
      <c r="AD196" s="1524">
        <v>45122</v>
      </c>
      <c r="AE196" s="1524"/>
      <c r="AF196" s="1524"/>
      <c r="AG196" s="1517" t="s">
        <v>21</v>
      </c>
      <c r="AH196" s="3"/>
      <c r="AI196" s="227"/>
      <c r="AK196" s="194" t="s">
        <v>166</v>
      </c>
      <c r="AL196" s="195"/>
      <c r="AM196" s="195"/>
      <c r="AN196" s="195"/>
      <c r="AO196" s="195"/>
      <c r="AP196" s="195"/>
    </row>
    <row r="197" spans="1:42" s="1" customFormat="1" ht="14.25">
      <c r="B197" s="1518"/>
      <c r="C197" s="21" t="s">
        <v>23</v>
      </c>
      <c r="D197" s="21" t="s">
        <v>24</v>
      </c>
      <c r="E197" s="205" t="s">
        <v>144</v>
      </c>
      <c r="F197" s="18" t="s">
        <v>14</v>
      </c>
      <c r="G197" s="3"/>
      <c r="H197" s="21" t="s">
        <v>23</v>
      </c>
      <c r="I197" s="21" t="s">
        <v>24</v>
      </c>
      <c r="J197" s="205" t="s">
        <v>144</v>
      </c>
      <c r="K197" s="18" t="s">
        <v>14</v>
      </c>
      <c r="L197" s="3"/>
      <c r="M197" s="21" t="s">
        <v>23</v>
      </c>
      <c r="N197" s="21" t="s">
        <v>24</v>
      </c>
      <c r="O197" s="205" t="s">
        <v>144</v>
      </c>
      <c r="P197" s="18" t="s">
        <v>14</v>
      </c>
      <c r="Q197" s="3"/>
      <c r="R197" s="21" t="s">
        <v>23</v>
      </c>
      <c r="S197" s="21" t="s">
        <v>24</v>
      </c>
      <c r="T197" s="205" t="s">
        <v>144</v>
      </c>
      <c r="U197" s="18" t="s">
        <v>14</v>
      </c>
      <c r="V197" s="3"/>
      <c r="W197" s="21" t="s">
        <v>23</v>
      </c>
      <c r="X197" s="21" t="s">
        <v>24</v>
      </c>
      <c r="Y197" s="205" t="s">
        <v>144</v>
      </c>
      <c r="Z197" s="18" t="s">
        <v>14</v>
      </c>
      <c r="AA197" s="1523"/>
      <c r="AB197" s="1517"/>
      <c r="AC197" s="3"/>
      <c r="AD197" s="21" t="s">
        <v>23</v>
      </c>
      <c r="AE197" s="21" t="s">
        <v>24</v>
      </c>
      <c r="AF197" s="18" t="s">
        <v>25</v>
      </c>
      <c r="AG197" s="1523"/>
      <c r="AH197" s="3"/>
      <c r="AI197" s="227"/>
      <c r="AK197" s="188" t="s">
        <v>26</v>
      </c>
      <c r="AL197" s="196">
        <f>AA217</f>
        <v>584</v>
      </c>
      <c r="AM197" s="187"/>
      <c r="AN197" s="187"/>
      <c r="AO197" s="187"/>
      <c r="AP197" s="187"/>
    </row>
    <row r="198" spans="1:42" s="1" customFormat="1" ht="14.25">
      <c r="B198" s="13" t="s">
        <v>129</v>
      </c>
      <c r="C198" s="47">
        <v>0.375</v>
      </c>
      <c r="D198" s="47">
        <v>0.22916666666666666</v>
      </c>
      <c r="E198" s="19">
        <v>7.5</v>
      </c>
      <c r="F198" s="277"/>
      <c r="G198" s="3"/>
      <c r="H198" s="47">
        <v>0.38194444444444442</v>
      </c>
      <c r="I198" s="47">
        <v>0.22916666666666666</v>
      </c>
      <c r="J198" s="19">
        <v>7.25</v>
      </c>
      <c r="K198" s="277"/>
      <c r="L198" s="3"/>
      <c r="M198" s="47">
        <v>0.35416666666666669</v>
      </c>
      <c r="N198" s="47">
        <v>0.22916666666666666</v>
      </c>
      <c r="O198" s="19">
        <v>8</v>
      </c>
      <c r="P198" s="277"/>
      <c r="Q198" s="3"/>
      <c r="R198" s="47">
        <v>0.3611111111111111</v>
      </c>
      <c r="S198" s="47">
        <v>0.22916666666666666</v>
      </c>
      <c r="T198" s="19">
        <v>7.75</v>
      </c>
      <c r="U198" s="277"/>
      <c r="V198" s="3"/>
      <c r="W198" s="47">
        <v>0.35416666666666669</v>
      </c>
      <c r="X198" s="47">
        <v>0.22916666666666666</v>
      </c>
      <c r="Y198" s="19">
        <v>8</v>
      </c>
      <c r="Z198" s="277"/>
      <c r="AA198" s="183">
        <f>(E198+J198+O198+T198+Y198)</f>
        <v>38.5</v>
      </c>
      <c r="AB198" s="282"/>
      <c r="AC198" s="3"/>
      <c r="AD198" s="4">
        <v>0</v>
      </c>
      <c r="AE198" s="4">
        <v>0</v>
      </c>
      <c r="AF198" s="19" t="str">
        <f>TEXT(AE198-AD198, "h")</f>
        <v>0</v>
      </c>
      <c r="AG198" s="29" t="str">
        <f t="shared" ref="AG198:AG213" si="26">AF198</f>
        <v>0</v>
      </c>
      <c r="AH198" s="3"/>
      <c r="AI198" s="227"/>
      <c r="AK198" s="188" t="s">
        <v>30</v>
      </c>
      <c r="AL198" s="196">
        <f>AB217</f>
        <v>2.75</v>
      </c>
      <c r="AM198" s="187"/>
      <c r="AN198" s="187"/>
      <c r="AO198" s="187"/>
      <c r="AP198" s="187"/>
    </row>
    <row r="199" spans="1:42" s="1" customFormat="1" ht="14.25">
      <c r="B199" s="13" t="s">
        <v>132</v>
      </c>
      <c r="C199" s="61">
        <v>0.39583333333333331</v>
      </c>
      <c r="D199" s="47">
        <v>0.22916666666666666</v>
      </c>
      <c r="E199" s="19">
        <v>7</v>
      </c>
      <c r="F199" s="277"/>
      <c r="G199" s="3"/>
      <c r="H199" s="47">
        <v>0.375</v>
      </c>
      <c r="I199" s="47">
        <v>0.22916666666666666</v>
      </c>
      <c r="J199" s="19">
        <v>7.5</v>
      </c>
      <c r="K199" s="277"/>
      <c r="L199" s="3"/>
      <c r="M199" s="4">
        <v>0</v>
      </c>
      <c r="N199" s="4">
        <v>0</v>
      </c>
      <c r="O199" s="19" t="str">
        <f t="shared" ref="O199" si="27">TEXT(N199-M199, "h")</f>
        <v>0</v>
      </c>
      <c r="P199" s="277"/>
      <c r="Q199" s="3"/>
      <c r="R199" s="4">
        <v>0</v>
      </c>
      <c r="S199" s="4">
        <v>0</v>
      </c>
      <c r="T199" s="19" t="str">
        <f t="shared" ref="T199:T204" si="28">TEXT(S199-R199, "h")</f>
        <v>0</v>
      </c>
      <c r="U199" s="277"/>
      <c r="V199" s="3"/>
      <c r="W199" s="4">
        <v>0</v>
      </c>
      <c r="X199" s="47">
        <v>0</v>
      </c>
      <c r="Y199" s="19" t="str">
        <f t="shared" ref="Y199:Y204" si="29">TEXT(X199-W199, "h")</f>
        <v>0</v>
      </c>
      <c r="Z199" s="277"/>
      <c r="AA199" s="183">
        <f t="shared" ref="AA199:AA216" si="30">(E199+J199+O199+T199+Y199)</f>
        <v>14.5</v>
      </c>
      <c r="AB199" s="282"/>
      <c r="AC199" s="3"/>
      <c r="AD199" s="4">
        <v>0</v>
      </c>
      <c r="AE199" s="4">
        <v>0</v>
      </c>
      <c r="AF199" s="19" t="str">
        <f t="shared" ref="AF199:AF206" si="31">TEXT(AE199-AD199, "h")</f>
        <v>0</v>
      </c>
      <c r="AG199" s="29" t="str">
        <f t="shared" si="26"/>
        <v>0</v>
      </c>
      <c r="AH199" s="3"/>
      <c r="AI199" s="227"/>
      <c r="AK199" s="188" t="s">
        <v>32</v>
      </c>
      <c r="AL199" s="196">
        <f>AG217</f>
        <v>31.25</v>
      </c>
      <c r="AM199" s="187"/>
      <c r="AN199" s="187"/>
      <c r="AO199" s="187"/>
      <c r="AP199" s="187"/>
    </row>
    <row r="200" spans="1:42" s="1" customFormat="1" ht="14.25">
      <c r="B200" s="13" t="s">
        <v>35</v>
      </c>
      <c r="C200" s="47">
        <v>0.3888888888888889</v>
      </c>
      <c r="D200" s="47">
        <v>0.22916666666666666</v>
      </c>
      <c r="E200" s="19">
        <v>7.25</v>
      </c>
      <c r="F200" s="277"/>
      <c r="G200" s="3"/>
      <c r="H200" s="47">
        <v>0.375</v>
      </c>
      <c r="I200" s="47">
        <v>0.22916666666666666</v>
      </c>
      <c r="J200" s="19">
        <v>7.5</v>
      </c>
      <c r="K200" s="277"/>
      <c r="L200" s="3"/>
      <c r="M200" s="47">
        <v>0.375</v>
      </c>
      <c r="N200" s="47">
        <v>0.22916666666666666</v>
      </c>
      <c r="O200" s="19">
        <v>7.5</v>
      </c>
      <c r="P200" s="277"/>
      <c r="Q200" s="3"/>
      <c r="R200" s="4">
        <v>0</v>
      </c>
      <c r="S200" s="4">
        <v>0</v>
      </c>
      <c r="T200" s="19" t="str">
        <f t="shared" si="28"/>
        <v>0</v>
      </c>
      <c r="U200" s="277"/>
      <c r="V200" s="3"/>
      <c r="W200" s="47">
        <v>0.375</v>
      </c>
      <c r="X200" s="47">
        <v>0.22916666666666666</v>
      </c>
      <c r="Y200" s="19">
        <v>7.5</v>
      </c>
      <c r="Z200" s="277"/>
      <c r="AA200" s="28">
        <f t="shared" si="30"/>
        <v>29.75</v>
      </c>
      <c r="AB200" s="282"/>
      <c r="AC200" s="3"/>
      <c r="AD200" s="4">
        <v>0</v>
      </c>
      <c r="AE200" s="4">
        <v>0</v>
      </c>
      <c r="AF200" s="19" t="str">
        <f t="shared" si="31"/>
        <v>0</v>
      </c>
      <c r="AG200" s="29" t="str">
        <f t="shared" si="26"/>
        <v>0</v>
      </c>
      <c r="AH200" s="3"/>
      <c r="AI200" s="227"/>
      <c r="AK200" s="188" t="s">
        <v>34</v>
      </c>
      <c r="AL200" s="196">
        <f>AA222</f>
        <v>102.75</v>
      </c>
      <c r="AM200" s="187"/>
      <c r="AN200" s="187"/>
      <c r="AO200" s="187"/>
      <c r="AP200" s="187"/>
    </row>
    <row r="201" spans="1:42" s="176" customFormat="1" ht="14.25">
      <c r="B201" s="13" t="s">
        <v>37</v>
      </c>
      <c r="C201" s="47">
        <v>0.41666666666666669</v>
      </c>
      <c r="D201" s="47">
        <v>0.22916666666666666</v>
      </c>
      <c r="E201" s="19">
        <v>6.5</v>
      </c>
      <c r="F201" s="277"/>
      <c r="G201" s="3"/>
      <c r="H201" s="47">
        <v>0.35416666666666669</v>
      </c>
      <c r="I201" s="47">
        <v>0.22916666666666666</v>
      </c>
      <c r="J201" s="19">
        <v>8</v>
      </c>
      <c r="K201" s="277"/>
      <c r="L201" s="3"/>
      <c r="M201" s="47">
        <v>0.375</v>
      </c>
      <c r="N201" s="47">
        <v>0.22916666666666666</v>
      </c>
      <c r="O201" s="19">
        <v>7.5</v>
      </c>
      <c r="P201" s="277"/>
      <c r="Q201" s="3"/>
      <c r="R201" s="47">
        <v>0.3611111111111111</v>
      </c>
      <c r="S201" s="47">
        <v>0.22916666666666666</v>
      </c>
      <c r="T201" s="19">
        <v>7.75</v>
      </c>
      <c r="U201" s="277"/>
      <c r="V201" s="3"/>
      <c r="W201" s="47">
        <v>0.36458333333333331</v>
      </c>
      <c r="X201" s="47">
        <v>0.22916666666666666</v>
      </c>
      <c r="Y201" s="19">
        <v>7.75</v>
      </c>
      <c r="Z201" s="277"/>
      <c r="AA201" s="183">
        <f t="shared" si="30"/>
        <v>37.5</v>
      </c>
      <c r="AB201" s="282"/>
      <c r="AC201" s="3"/>
      <c r="AD201" s="4">
        <v>0</v>
      </c>
      <c r="AE201" s="4">
        <v>0</v>
      </c>
      <c r="AF201" s="19" t="str">
        <f t="shared" si="31"/>
        <v>0</v>
      </c>
      <c r="AG201" s="29" t="str">
        <f t="shared" si="26"/>
        <v>0</v>
      </c>
      <c r="AH201" s="174"/>
      <c r="AI201" s="257"/>
      <c r="AK201" s="188" t="s">
        <v>149</v>
      </c>
      <c r="AL201" s="196">
        <f>AB222</f>
        <v>18.75</v>
      </c>
      <c r="AM201" s="187"/>
      <c r="AN201" s="187"/>
      <c r="AO201" s="187"/>
      <c r="AP201" s="187"/>
    </row>
    <row r="202" spans="1:42" s="176" customFormat="1" ht="14.25">
      <c r="B202" s="171" t="s">
        <v>141</v>
      </c>
      <c r="C202" s="172">
        <v>0.34027777777777773</v>
      </c>
      <c r="D202" s="172">
        <v>0.1875</v>
      </c>
      <c r="E202" s="19">
        <v>8</v>
      </c>
      <c r="F202" s="277">
        <v>0.25</v>
      </c>
      <c r="G202" s="174"/>
      <c r="H202" s="172">
        <v>0.34027777777777773</v>
      </c>
      <c r="I202" s="172">
        <v>0.20833333333333334</v>
      </c>
      <c r="J202" s="173">
        <v>7.75</v>
      </c>
      <c r="K202" s="277"/>
      <c r="L202" s="174"/>
      <c r="M202" s="172">
        <v>0.33333333333333331</v>
      </c>
      <c r="N202" s="172">
        <v>0.20833333333333334</v>
      </c>
      <c r="O202" s="173">
        <v>8</v>
      </c>
      <c r="P202" s="277"/>
      <c r="Q202" s="174"/>
      <c r="R202" s="175">
        <v>0</v>
      </c>
      <c r="S202" s="175">
        <v>0</v>
      </c>
      <c r="T202" s="173" t="str">
        <f t="shared" si="28"/>
        <v>0</v>
      </c>
      <c r="U202" s="277"/>
      <c r="V202" s="174"/>
      <c r="W202" s="175">
        <v>0</v>
      </c>
      <c r="X202" s="175">
        <v>0</v>
      </c>
      <c r="Y202" s="173" t="str">
        <f t="shared" si="29"/>
        <v>0</v>
      </c>
      <c r="Z202" s="277"/>
      <c r="AA202" s="169">
        <f t="shared" si="30"/>
        <v>23.75</v>
      </c>
      <c r="AB202" s="282">
        <f t="shared" ref="AB202:AB211" si="32">Z202+U202+P202+K202+F202</f>
        <v>0.25</v>
      </c>
      <c r="AC202" s="174"/>
      <c r="AD202" s="175">
        <v>0</v>
      </c>
      <c r="AE202" s="175">
        <v>0</v>
      </c>
      <c r="AF202" s="173" t="str">
        <f t="shared" si="31"/>
        <v>0</v>
      </c>
      <c r="AG202" s="29" t="str">
        <f t="shared" si="26"/>
        <v>0</v>
      </c>
      <c r="AH202" s="174"/>
      <c r="AI202" s="257"/>
      <c r="AK202" s="188" t="s">
        <v>38</v>
      </c>
      <c r="AL202" s="190">
        <f>AG222</f>
        <v>0</v>
      </c>
      <c r="AM202" s="187"/>
      <c r="AN202" s="187"/>
      <c r="AO202" s="187"/>
      <c r="AP202" s="187"/>
    </row>
    <row r="203" spans="1:42" s="1" customFormat="1" ht="14.25">
      <c r="B203" s="171" t="s">
        <v>142</v>
      </c>
      <c r="C203" s="177">
        <v>0.40625</v>
      </c>
      <c r="D203" s="172">
        <v>0.27083333333333331</v>
      </c>
      <c r="E203" s="19">
        <v>8</v>
      </c>
      <c r="F203" s="277">
        <v>0.75</v>
      </c>
      <c r="G203" s="174"/>
      <c r="H203" s="172">
        <v>0.40625</v>
      </c>
      <c r="I203" s="172">
        <v>0.22916666666666666</v>
      </c>
      <c r="J203" s="173">
        <v>6.75</v>
      </c>
      <c r="K203" s="277"/>
      <c r="L203" s="174"/>
      <c r="M203" s="172">
        <v>0.40625</v>
      </c>
      <c r="N203" s="172">
        <v>0.22916666666666666</v>
      </c>
      <c r="O203" s="173">
        <v>7.75</v>
      </c>
      <c r="P203" s="277"/>
      <c r="Q203" s="174"/>
      <c r="R203" s="172">
        <v>0.39583333333333331</v>
      </c>
      <c r="S203" s="172">
        <v>0.20833333333333334</v>
      </c>
      <c r="T203" s="173">
        <v>8</v>
      </c>
      <c r="U203" s="277"/>
      <c r="V203" s="174"/>
      <c r="W203" s="172">
        <v>0.375</v>
      </c>
      <c r="X203" s="172">
        <v>0.22916666666666666</v>
      </c>
      <c r="Y203" s="173">
        <v>8</v>
      </c>
      <c r="Z203" s="277"/>
      <c r="AA203" s="28">
        <f t="shared" si="30"/>
        <v>38.5</v>
      </c>
      <c r="AB203" s="282">
        <f t="shared" si="32"/>
        <v>0.75</v>
      </c>
      <c r="AC203" s="174"/>
      <c r="AD203" s="175">
        <v>0</v>
      </c>
      <c r="AE203" s="175">
        <v>0</v>
      </c>
      <c r="AF203" s="173" t="str">
        <f t="shared" si="31"/>
        <v>0</v>
      </c>
      <c r="AG203" s="29" t="str">
        <f t="shared" si="26"/>
        <v>0</v>
      </c>
      <c r="AH203" s="3"/>
      <c r="AI203" s="227"/>
      <c r="AK203" s="188" t="s">
        <v>41</v>
      </c>
      <c r="AL203" s="189">
        <f>C223</f>
        <v>80</v>
      </c>
      <c r="AM203" s="191"/>
      <c r="AN203" s="191"/>
      <c r="AO203" s="191"/>
      <c r="AP203" s="191"/>
    </row>
    <row r="204" spans="1:42" s="176" customFormat="1" ht="14.25">
      <c r="B204" s="13" t="s">
        <v>55</v>
      </c>
      <c r="C204" s="4">
        <v>0</v>
      </c>
      <c r="D204" s="4">
        <v>0</v>
      </c>
      <c r="E204" s="19" t="str">
        <f t="shared" ref="E204" si="33">TEXT(D204-C204, "h")</f>
        <v>0</v>
      </c>
      <c r="F204" s="277"/>
      <c r="G204" s="3"/>
      <c r="H204" s="4">
        <v>0</v>
      </c>
      <c r="I204" s="4">
        <v>0</v>
      </c>
      <c r="J204" s="19" t="str">
        <f t="shared" ref="J204" si="34">TEXT(I204-H204, "h")</f>
        <v>0</v>
      </c>
      <c r="K204" s="277"/>
      <c r="L204" s="3"/>
      <c r="M204" s="4">
        <v>0</v>
      </c>
      <c r="N204" s="4">
        <v>0</v>
      </c>
      <c r="O204" s="19" t="str">
        <f t="shared" ref="O204" si="35">TEXT(N204-M204, "h")</f>
        <v>0</v>
      </c>
      <c r="P204" s="277"/>
      <c r="Q204" s="3"/>
      <c r="R204" s="4">
        <v>0</v>
      </c>
      <c r="S204" s="4">
        <v>0</v>
      </c>
      <c r="T204" s="19" t="str">
        <f t="shared" si="28"/>
        <v>0</v>
      </c>
      <c r="U204" s="277"/>
      <c r="V204" s="3"/>
      <c r="W204" s="4">
        <v>0</v>
      </c>
      <c r="X204" s="47">
        <v>0</v>
      </c>
      <c r="Y204" s="19" t="str">
        <f t="shared" si="29"/>
        <v>0</v>
      </c>
      <c r="Z204" s="277"/>
      <c r="AA204" s="169">
        <f t="shared" si="30"/>
        <v>0</v>
      </c>
      <c r="AB204" s="282"/>
      <c r="AC204" s="3"/>
      <c r="AD204" s="47">
        <v>0.35416666666666669</v>
      </c>
      <c r="AE204" s="47">
        <v>0.125</v>
      </c>
      <c r="AF204" s="19">
        <v>6.5</v>
      </c>
      <c r="AG204" s="29">
        <f t="shared" si="26"/>
        <v>6.5</v>
      </c>
      <c r="AH204" s="174"/>
      <c r="AI204" s="257"/>
      <c r="AK204" s="191"/>
      <c r="AL204" s="191"/>
      <c r="AM204" s="191"/>
      <c r="AN204" s="191"/>
      <c r="AO204" s="191"/>
      <c r="AP204" s="191"/>
    </row>
    <row r="205" spans="1:42" s="1" customFormat="1" ht="14.25">
      <c r="B205" s="171" t="s">
        <v>31</v>
      </c>
      <c r="C205" s="172">
        <v>0.33333333333333331</v>
      </c>
      <c r="D205" s="172">
        <v>0.20833333333333334</v>
      </c>
      <c r="E205" s="19">
        <v>8</v>
      </c>
      <c r="F205" s="277">
        <v>0.25</v>
      </c>
      <c r="G205" s="174"/>
      <c r="H205" s="172">
        <v>0.33333333333333331</v>
      </c>
      <c r="I205" s="172">
        <v>0.20833333333333334</v>
      </c>
      <c r="J205" s="19">
        <v>8</v>
      </c>
      <c r="K205" s="277">
        <v>0.5</v>
      </c>
      <c r="L205" s="174"/>
      <c r="M205" s="172">
        <v>0.33333333333333331</v>
      </c>
      <c r="N205" s="172">
        <v>0.20833333333333334</v>
      </c>
      <c r="O205" s="173">
        <v>8</v>
      </c>
      <c r="P205" s="277"/>
      <c r="Q205" s="174"/>
      <c r="R205" s="172">
        <v>0.33333333333333331</v>
      </c>
      <c r="S205" s="172">
        <v>0.20833333333333334</v>
      </c>
      <c r="T205" s="173">
        <v>8</v>
      </c>
      <c r="U205" s="277"/>
      <c r="V205" s="174"/>
      <c r="W205" s="172">
        <v>0.33333333333333331</v>
      </c>
      <c r="X205" s="172">
        <v>0.20833333333333334</v>
      </c>
      <c r="Y205" s="173">
        <v>8</v>
      </c>
      <c r="Z205" s="277"/>
      <c r="AA205" s="28">
        <f t="shared" si="30"/>
        <v>40</v>
      </c>
      <c r="AB205" s="282">
        <f t="shared" si="32"/>
        <v>0.75</v>
      </c>
      <c r="AC205" s="174"/>
      <c r="AD205" s="175">
        <v>0</v>
      </c>
      <c r="AE205" s="175">
        <v>0</v>
      </c>
      <c r="AF205" s="173" t="str">
        <f t="shared" si="31"/>
        <v>0</v>
      </c>
      <c r="AG205" s="29" t="str">
        <f t="shared" si="26"/>
        <v>0</v>
      </c>
      <c r="AH205" s="3"/>
      <c r="AI205" s="227"/>
      <c r="AK205" s="187"/>
      <c r="AL205" s="187"/>
      <c r="AM205" s="187"/>
      <c r="AN205" s="187"/>
      <c r="AO205" s="187"/>
      <c r="AP205" s="187"/>
    </row>
    <row r="206" spans="1:42" s="1" customFormat="1" ht="14.25">
      <c r="B206" s="13" t="s">
        <v>39</v>
      </c>
      <c r="C206" s="47">
        <v>0.41666666666666669</v>
      </c>
      <c r="D206" s="47">
        <v>0.22916666666666666</v>
      </c>
      <c r="E206" s="19">
        <v>6.5</v>
      </c>
      <c r="F206" s="277"/>
      <c r="G206" s="3"/>
      <c r="H206" s="47">
        <v>0.4375</v>
      </c>
      <c r="I206" s="47">
        <v>0.22916666666666666</v>
      </c>
      <c r="J206" s="19">
        <v>6</v>
      </c>
      <c r="K206" s="277"/>
      <c r="L206" s="3"/>
      <c r="M206" s="47">
        <v>0.40625</v>
      </c>
      <c r="N206" s="47">
        <v>0.22916666666666666</v>
      </c>
      <c r="O206" s="19">
        <v>7.75</v>
      </c>
      <c r="P206" s="277"/>
      <c r="Q206" s="3"/>
      <c r="R206" s="47">
        <v>0.41666666666666669</v>
      </c>
      <c r="S206" s="47">
        <v>0.22916666666666666</v>
      </c>
      <c r="T206" s="19">
        <v>6.5</v>
      </c>
      <c r="U206" s="277"/>
      <c r="V206" s="3"/>
      <c r="W206" s="47">
        <v>0.40625</v>
      </c>
      <c r="X206" s="47">
        <v>0.22916666666666666</v>
      </c>
      <c r="Y206" s="19">
        <v>6.75</v>
      </c>
      <c r="Z206" s="277"/>
      <c r="AA206" s="183">
        <f t="shared" si="30"/>
        <v>33.5</v>
      </c>
      <c r="AB206" s="282"/>
      <c r="AC206" s="3"/>
      <c r="AD206" s="4">
        <v>0</v>
      </c>
      <c r="AE206" s="4">
        <v>0</v>
      </c>
      <c r="AF206" s="19" t="str">
        <f t="shared" si="31"/>
        <v>0</v>
      </c>
      <c r="AG206" s="29" t="str">
        <f t="shared" si="26"/>
        <v>0</v>
      </c>
      <c r="AH206" s="3"/>
      <c r="AI206" s="227"/>
      <c r="AK206" s="187"/>
      <c r="AL206" s="187"/>
      <c r="AM206" s="187"/>
      <c r="AN206" s="187"/>
      <c r="AO206" s="187"/>
      <c r="AP206" s="187"/>
    </row>
    <row r="207" spans="1:42" s="1" customFormat="1" ht="14.25">
      <c r="B207" s="164" t="s">
        <v>40</v>
      </c>
      <c r="C207" s="47">
        <v>0.39583333333333331</v>
      </c>
      <c r="D207" s="47">
        <v>0.22916666666666666</v>
      </c>
      <c r="E207" s="19">
        <v>7</v>
      </c>
      <c r="F207" s="277"/>
      <c r="G207" s="3"/>
      <c r="H207" s="47">
        <v>0.375</v>
      </c>
      <c r="I207" s="47">
        <v>0.22916666666666666</v>
      </c>
      <c r="J207" s="19">
        <v>7.5</v>
      </c>
      <c r="K207" s="277"/>
      <c r="L207" s="3"/>
      <c r="M207" s="47">
        <v>0.35416666666666669</v>
      </c>
      <c r="N207" s="47">
        <v>0.22916666666666666</v>
      </c>
      <c r="O207" s="19">
        <v>8</v>
      </c>
      <c r="P207" s="277"/>
      <c r="Q207" s="3"/>
      <c r="R207" s="47">
        <v>0.3611111111111111</v>
      </c>
      <c r="S207" s="47">
        <v>0.22916666666666666</v>
      </c>
      <c r="T207" s="19">
        <v>7.75</v>
      </c>
      <c r="U207" s="277"/>
      <c r="V207" s="3"/>
      <c r="W207" s="47">
        <v>0.35416666666666669</v>
      </c>
      <c r="X207" s="47">
        <v>0.22916666666666666</v>
      </c>
      <c r="Y207" s="19">
        <v>8</v>
      </c>
      <c r="Z207" s="277"/>
      <c r="AA207" s="28">
        <f t="shared" si="30"/>
        <v>38.25</v>
      </c>
      <c r="AB207" s="282"/>
      <c r="AC207" s="3"/>
      <c r="AD207" s="47">
        <v>0.375</v>
      </c>
      <c r="AE207" s="47">
        <v>0.125</v>
      </c>
      <c r="AF207" s="19">
        <v>6</v>
      </c>
      <c r="AG207" s="29">
        <f t="shared" si="26"/>
        <v>6</v>
      </c>
      <c r="AH207" s="3"/>
      <c r="AI207" s="227"/>
      <c r="AK207" s="187"/>
      <c r="AL207" s="187"/>
      <c r="AM207" s="187"/>
      <c r="AN207" s="187"/>
      <c r="AO207" s="187"/>
      <c r="AP207" s="187"/>
    </row>
    <row r="208" spans="1:42" s="1" customFormat="1" ht="14.25">
      <c r="B208" s="164" t="s">
        <v>42</v>
      </c>
      <c r="C208" s="47">
        <v>0.375</v>
      </c>
      <c r="D208" s="47">
        <v>0.22916666666666666</v>
      </c>
      <c r="E208" s="19">
        <v>7.5</v>
      </c>
      <c r="F208" s="277"/>
      <c r="G208" s="3"/>
      <c r="H208" s="47">
        <v>0.375</v>
      </c>
      <c r="I208" s="47">
        <v>0.22916666666666666</v>
      </c>
      <c r="J208" s="19">
        <v>7.5</v>
      </c>
      <c r="K208" s="277"/>
      <c r="L208" s="3"/>
      <c r="M208" s="47">
        <v>0.35416666666666669</v>
      </c>
      <c r="N208" s="47">
        <v>0.22916666666666666</v>
      </c>
      <c r="O208" s="19">
        <v>8</v>
      </c>
      <c r="P208" s="277"/>
      <c r="Q208" s="3"/>
      <c r="R208" s="47">
        <v>0.35416666666666669</v>
      </c>
      <c r="S208" s="47">
        <v>0.22916666666666666</v>
      </c>
      <c r="T208" s="19">
        <v>8</v>
      </c>
      <c r="U208" s="277"/>
      <c r="V208" s="3"/>
      <c r="W208" s="47">
        <v>0.35416666666666669</v>
      </c>
      <c r="X208" s="47">
        <v>0.22916666666666666</v>
      </c>
      <c r="Y208" s="19">
        <v>8</v>
      </c>
      <c r="Z208" s="277"/>
      <c r="AA208" s="169">
        <f t="shared" si="30"/>
        <v>39</v>
      </c>
      <c r="AB208" s="282"/>
      <c r="AC208" s="3"/>
      <c r="AD208" s="4">
        <v>0</v>
      </c>
      <c r="AE208" s="4">
        <v>0</v>
      </c>
      <c r="AF208" s="19" t="str">
        <f t="shared" ref="AF208:AF210" si="36">TEXT(AE208-AD208, "h")</f>
        <v>0</v>
      </c>
      <c r="AG208" s="29" t="str">
        <f t="shared" si="26"/>
        <v>0</v>
      </c>
      <c r="AH208" s="3"/>
      <c r="AI208" s="227"/>
      <c r="AK208" s="187"/>
      <c r="AL208" s="187"/>
      <c r="AM208" s="187"/>
      <c r="AN208" s="187"/>
      <c r="AO208" s="187"/>
      <c r="AP208" s="187"/>
    </row>
    <row r="209" spans="1:42" s="1" customFormat="1" ht="14.25">
      <c r="B209" s="13" t="s">
        <v>43</v>
      </c>
      <c r="C209" s="47">
        <v>0.3888888888888889</v>
      </c>
      <c r="D209" s="47">
        <v>0.22916666666666666</v>
      </c>
      <c r="E209" s="19">
        <v>7.25</v>
      </c>
      <c r="F209" s="277"/>
      <c r="G209" s="3"/>
      <c r="H209" s="47">
        <v>0.38194444444444442</v>
      </c>
      <c r="I209" s="47">
        <v>0.22916666666666666</v>
      </c>
      <c r="J209" s="19">
        <v>7.25</v>
      </c>
      <c r="K209" s="277"/>
      <c r="L209" s="3"/>
      <c r="M209" s="47">
        <v>0.35416666666666669</v>
      </c>
      <c r="N209" s="47">
        <v>0.22916666666666666</v>
      </c>
      <c r="O209" s="19">
        <v>8</v>
      </c>
      <c r="P209" s="277"/>
      <c r="Q209" s="3"/>
      <c r="R209" s="47">
        <v>0.34375</v>
      </c>
      <c r="S209" s="47">
        <v>0.22916666666666666</v>
      </c>
      <c r="T209" s="19">
        <v>8</v>
      </c>
      <c r="U209" s="277">
        <v>0.25</v>
      </c>
      <c r="V209" s="3"/>
      <c r="W209" s="47">
        <v>0.33333333333333331</v>
      </c>
      <c r="X209" s="47">
        <v>0.22916666666666666</v>
      </c>
      <c r="Y209" s="19">
        <v>8</v>
      </c>
      <c r="Z209" s="277">
        <v>0.5</v>
      </c>
      <c r="AA209" s="28">
        <f t="shared" si="30"/>
        <v>38.5</v>
      </c>
      <c r="AB209" s="282">
        <f t="shared" si="32"/>
        <v>0.75</v>
      </c>
      <c r="AC209" s="3"/>
      <c r="AD209" s="4">
        <v>0</v>
      </c>
      <c r="AE209" s="4">
        <v>0</v>
      </c>
      <c r="AF209" s="19" t="str">
        <f t="shared" si="36"/>
        <v>0</v>
      </c>
      <c r="AG209" s="29" t="str">
        <f t="shared" si="26"/>
        <v>0</v>
      </c>
      <c r="AH209" s="3"/>
      <c r="AI209" s="227"/>
      <c r="AK209" s="187"/>
      <c r="AL209" s="187"/>
      <c r="AM209" s="187"/>
      <c r="AN209" s="187"/>
      <c r="AO209" s="187"/>
      <c r="AP209" s="187"/>
    </row>
    <row r="210" spans="1:42" s="1" customFormat="1" ht="14.25">
      <c r="B210" s="13" t="s">
        <v>157</v>
      </c>
      <c r="C210" s="47">
        <v>0.38194444444444442</v>
      </c>
      <c r="D210" s="47">
        <v>0.22916666666666666</v>
      </c>
      <c r="E210" s="19">
        <v>7.25</v>
      </c>
      <c r="F210" s="277"/>
      <c r="G210" s="3"/>
      <c r="H210" s="47">
        <v>0.36458333333333331</v>
      </c>
      <c r="I210" s="47">
        <v>0.22916666666666666</v>
      </c>
      <c r="J210" s="19">
        <v>7.75</v>
      </c>
      <c r="K210" s="277"/>
      <c r="L210" s="3"/>
      <c r="M210" s="47">
        <v>0.35416666666666669</v>
      </c>
      <c r="N210" s="47">
        <v>0.22916666666666666</v>
      </c>
      <c r="O210" s="19">
        <v>8</v>
      </c>
      <c r="P210" s="277"/>
      <c r="Q210" s="3"/>
      <c r="R210" s="47">
        <v>0.35416666666666669</v>
      </c>
      <c r="S210" s="47">
        <v>0.22916666666666666</v>
      </c>
      <c r="T210" s="19">
        <v>8</v>
      </c>
      <c r="U210" s="277"/>
      <c r="V210" s="3"/>
      <c r="W210" s="47">
        <v>0.36458333333333331</v>
      </c>
      <c r="X210" s="47">
        <v>0.22916666666666666</v>
      </c>
      <c r="Y210" s="19">
        <v>7.75</v>
      </c>
      <c r="Z210" s="277"/>
      <c r="AA210" s="28">
        <f t="shared" si="30"/>
        <v>38.75</v>
      </c>
      <c r="AB210" s="282"/>
      <c r="AC210" s="3"/>
      <c r="AD210" s="4">
        <v>0</v>
      </c>
      <c r="AE210" s="4">
        <v>0</v>
      </c>
      <c r="AF210" s="19" t="str">
        <f t="shared" si="36"/>
        <v>0</v>
      </c>
      <c r="AG210" s="29" t="str">
        <f t="shared" si="26"/>
        <v>0</v>
      </c>
      <c r="AH210" s="3"/>
      <c r="AI210" s="227"/>
      <c r="AK210" s="187"/>
      <c r="AL210" s="187"/>
      <c r="AM210" s="187"/>
      <c r="AN210" s="187"/>
      <c r="AO210" s="187"/>
      <c r="AP210" s="187"/>
    </row>
    <row r="211" spans="1:42" s="1" customFormat="1" ht="14.25">
      <c r="B211" s="13" t="s">
        <v>47</v>
      </c>
      <c r="C211" s="47">
        <v>0.375</v>
      </c>
      <c r="D211" s="47">
        <v>0.22916666666666666</v>
      </c>
      <c r="E211" s="19">
        <v>7.5</v>
      </c>
      <c r="F211" s="277"/>
      <c r="G211" s="3"/>
      <c r="H211" s="47">
        <v>0.35416666666666669</v>
      </c>
      <c r="I211" s="47">
        <v>0.22916666666666666</v>
      </c>
      <c r="J211" s="19">
        <v>8</v>
      </c>
      <c r="K211" s="277"/>
      <c r="L211" s="3"/>
      <c r="M211" s="47">
        <v>0.35416666666666669</v>
      </c>
      <c r="N211" s="47">
        <v>0.22916666666666666</v>
      </c>
      <c r="O211" s="19">
        <v>8</v>
      </c>
      <c r="P211" s="277"/>
      <c r="Q211" s="3"/>
      <c r="R211" s="47">
        <v>0.34375</v>
      </c>
      <c r="S211" s="47">
        <v>0.22916666666666666</v>
      </c>
      <c r="T211" s="19">
        <v>8</v>
      </c>
      <c r="U211" s="277">
        <v>0.25</v>
      </c>
      <c r="V211" s="3"/>
      <c r="W211" s="47">
        <v>0.35416666666666669</v>
      </c>
      <c r="X211" s="47">
        <v>0.22916666666666666</v>
      </c>
      <c r="Y211" s="19">
        <v>8</v>
      </c>
      <c r="Z211" s="277"/>
      <c r="AA211" s="28">
        <f t="shared" si="30"/>
        <v>39.5</v>
      </c>
      <c r="AB211" s="282">
        <f t="shared" si="32"/>
        <v>0.25</v>
      </c>
      <c r="AC211" s="3"/>
      <c r="AD211" s="47">
        <v>0.35416666666666669</v>
      </c>
      <c r="AE211" s="47">
        <v>0.125</v>
      </c>
      <c r="AF211" s="19">
        <v>6.5</v>
      </c>
      <c r="AG211" s="29">
        <f t="shared" si="26"/>
        <v>6.5</v>
      </c>
      <c r="AH211" s="3"/>
      <c r="AI211" s="227"/>
      <c r="AK211" s="187"/>
      <c r="AL211" s="187"/>
      <c r="AM211" s="187"/>
      <c r="AN211" s="187"/>
      <c r="AO211" s="187"/>
      <c r="AP211" s="187"/>
    </row>
    <row r="212" spans="1:42" s="1" customFormat="1" ht="14.25">
      <c r="B212" s="13" t="s">
        <v>46</v>
      </c>
      <c r="C212" s="12" t="s">
        <v>29</v>
      </c>
      <c r="D212" s="12" t="s">
        <v>29</v>
      </c>
      <c r="E212" s="19">
        <v>6</v>
      </c>
      <c r="F212" s="277"/>
      <c r="G212" s="3"/>
      <c r="H212" s="47">
        <v>0.35416666666666669</v>
      </c>
      <c r="I212" s="47">
        <v>0.22916666666666666</v>
      </c>
      <c r="J212" s="19">
        <v>8</v>
      </c>
      <c r="K212" s="277"/>
      <c r="L212" s="3"/>
      <c r="M212" s="47">
        <v>0.36458333333333331</v>
      </c>
      <c r="N212" s="47">
        <v>0.22916666666666666</v>
      </c>
      <c r="O212" s="19">
        <v>7.75</v>
      </c>
      <c r="P212" s="277"/>
      <c r="Q212" s="3"/>
      <c r="R212" s="47">
        <v>0.3611111111111111</v>
      </c>
      <c r="S212" s="47">
        <v>0.22916666666666666</v>
      </c>
      <c r="T212" s="19">
        <v>7.75</v>
      </c>
      <c r="U212" s="277"/>
      <c r="V212" s="3"/>
      <c r="W212" s="47">
        <v>0.375</v>
      </c>
      <c r="X212" s="47">
        <v>0.22916666666666666</v>
      </c>
      <c r="Y212" s="19">
        <v>7.5</v>
      </c>
      <c r="Z212" s="277"/>
      <c r="AA212" s="169">
        <f t="shared" si="30"/>
        <v>37</v>
      </c>
      <c r="AB212" s="282"/>
      <c r="AC212" s="3"/>
      <c r="AD212" s="47">
        <v>0.36458333333333331</v>
      </c>
      <c r="AE212" s="47">
        <v>0.125</v>
      </c>
      <c r="AF212" s="19">
        <v>6.25</v>
      </c>
      <c r="AG212" s="29">
        <f t="shared" si="26"/>
        <v>6.25</v>
      </c>
      <c r="AH212" s="3"/>
      <c r="AI212" s="227"/>
      <c r="AK212" s="187"/>
      <c r="AL212" s="187"/>
      <c r="AM212" s="187"/>
      <c r="AN212" s="187"/>
      <c r="AO212" s="187"/>
      <c r="AP212" s="187"/>
    </row>
    <row r="213" spans="1:42" s="1" customFormat="1" ht="14.25">
      <c r="B213" s="13" t="s">
        <v>33</v>
      </c>
      <c r="C213" s="12" t="s">
        <v>29</v>
      </c>
      <c r="D213" s="12" t="s">
        <v>29</v>
      </c>
      <c r="E213" s="19">
        <v>6</v>
      </c>
      <c r="F213" s="277"/>
      <c r="G213" s="3"/>
      <c r="H213" s="47">
        <v>0.375</v>
      </c>
      <c r="I213" s="47">
        <v>0.22916666666666666</v>
      </c>
      <c r="J213" s="19">
        <v>7.5</v>
      </c>
      <c r="K213" s="277"/>
      <c r="L213" s="3"/>
      <c r="M213" s="47">
        <v>0.36458333333333331</v>
      </c>
      <c r="N213" s="47">
        <v>0.22916666666666666</v>
      </c>
      <c r="O213" s="19">
        <v>7.75</v>
      </c>
      <c r="P213" s="277"/>
      <c r="Q213" s="3"/>
      <c r="R213" s="47">
        <v>0.3576388888888889</v>
      </c>
      <c r="S213" s="47">
        <v>0.22916666666666666</v>
      </c>
      <c r="T213" s="19">
        <v>8</v>
      </c>
      <c r="U213" s="277"/>
      <c r="V213" s="3"/>
      <c r="W213" s="47">
        <v>0.36458333333333331</v>
      </c>
      <c r="X213" s="47">
        <v>0.22916666666666666</v>
      </c>
      <c r="Y213" s="19">
        <v>7.75</v>
      </c>
      <c r="Z213" s="277"/>
      <c r="AA213" s="169">
        <f t="shared" si="30"/>
        <v>37</v>
      </c>
      <c r="AB213" s="282"/>
      <c r="AC213" s="3"/>
      <c r="AD213" s="4">
        <v>0</v>
      </c>
      <c r="AE213" s="4">
        <v>0</v>
      </c>
      <c r="AF213" s="19" t="str">
        <f t="shared" ref="AF213" si="37">TEXT(AE213-AD213, "h")</f>
        <v>0</v>
      </c>
      <c r="AG213" s="29" t="str">
        <f t="shared" si="26"/>
        <v>0</v>
      </c>
      <c r="AH213" s="3"/>
      <c r="AI213" s="227"/>
      <c r="AK213" s="187"/>
      <c r="AL213" s="187"/>
      <c r="AM213" s="187"/>
      <c r="AN213" s="187"/>
      <c r="AO213" s="187"/>
      <c r="AP213" s="187"/>
    </row>
    <row r="214" spans="1:42" s="1" customFormat="1" ht="14.25">
      <c r="B214" s="13" t="s">
        <v>54</v>
      </c>
      <c r="C214" s="4">
        <v>0</v>
      </c>
      <c r="D214" s="4">
        <v>0</v>
      </c>
      <c r="E214" s="19" t="s">
        <v>154</v>
      </c>
      <c r="F214" s="277"/>
      <c r="G214" s="3"/>
      <c r="H214" s="4">
        <v>0</v>
      </c>
      <c r="I214" s="4">
        <v>0</v>
      </c>
      <c r="J214" s="19" t="s">
        <v>154</v>
      </c>
      <c r="K214" s="277"/>
      <c r="L214" s="3"/>
      <c r="M214" s="4">
        <v>0</v>
      </c>
      <c r="N214" s="4">
        <v>0</v>
      </c>
      <c r="O214" s="165" t="s">
        <v>154</v>
      </c>
      <c r="P214" s="277"/>
      <c r="Q214" s="3"/>
      <c r="R214" s="4">
        <v>0</v>
      </c>
      <c r="S214" s="4">
        <v>0</v>
      </c>
      <c r="T214" s="165" t="s">
        <v>154</v>
      </c>
      <c r="U214" s="277"/>
      <c r="V214" s="3"/>
      <c r="W214" s="4">
        <v>0</v>
      </c>
      <c r="X214" s="4">
        <v>0</v>
      </c>
      <c r="Y214" s="165" t="s">
        <v>154</v>
      </c>
      <c r="Z214" s="277"/>
      <c r="AA214" s="169">
        <f t="shared" si="30"/>
        <v>0</v>
      </c>
      <c r="AB214" s="282"/>
      <c r="AC214" s="3"/>
      <c r="AD214" s="47">
        <v>0.375</v>
      </c>
      <c r="AE214" s="47">
        <v>0.125</v>
      </c>
      <c r="AF214" s="19">
        <v>6</v>
      </c>
      <c r="AG214" s="29">
        <f>AF214</f>
        <v>6</v>
      </c>
      <c r="AH214" s="3"/>
      <c r="AI214" s="227"/>
      <c r="AK214" s="187"/>
      <c r="AL214" s="187"/>
      <c r="AM214" s="187"/>
      <c r="AN214" s="187"/>
      <c r="AO214" s="187"/>
      <c r="AP214" s="187"/>
    </row>
    <row r="215" spans="1:42" s="1" customFormat="1" ht="14.25">
      <c r="B215" s="166" t="s">
        <v>167</v>
      </c>
      <c r="C215" s="12" t="s">
        <v>29</v>
      </c>
      <c r="D215" s="12" t="s">
        <v>29</v>
      </c>
      <c r="E215" s="19">
        <v>6</v>
      </c>
      <c r="F215" s="277"/>
      <c r="G215" s="3"/>
      <c r="H215" s="12" t="s">
        <v>29</v>
      </c>
      <c r="I215" s="12" t="s">
        <v>29</v>
      </c>
      <c r="J215" s="19">
        <v>6</v>
      </c>
      <c r="K215" s="277"/>
      <c r="L215" s="3"/>
      <c r="M215" s="12" t="s">
        <v>29</v>
      </c>
      <c r="N215" s="12" t="s">
        <v>29</v>
      </c>
      <c r="O215" s="19">
        <v>6</v>
      </c>
      <c r="P215" s="277"/>
      <c r="Q215" s="3"/>
      <c r="R215" s="12" t="s">
        <v>29</v>
      </c>
      <c r="S215" s="12" t="s">
        <v>29</v>
      </c>
      <c r="T215" s="19">
        <v>6</v>
      </c>
      <c r="U215" s="277"/>
      <c r="V215" s="3"/>
      <c r="W215" s="12" t="s">
        <v>29</v>
      </c>
      <c r="X215" s="12" t="s">
        <v>29</v>
      </c>
      <c r="Y215" s="19">
        <v>6</v>
      </c>
      <c r="Z215" s="277"/>
      <c r="AA215" s="169">
        <f t="shared" si="30"/>
        <v>30</v>
      </c>
      <c r="AB215" s="282"/>
      <c r="AC215" s="3"/>
      <c r="AD215" s="4">
        <v>0</v>
      </c>
      <c r="AE215" s="4">
        <v>0</v>
      </c>
      <c r="AF215" s="19" t="str">
        <f t="shared" ref="AF215:AF216" si="38">TEXT(AE215-AD215, "h")</f>
        <v>0</v>
      </c>
      <c r="AG215" s="29" t="str">
        <f t="shared" ref="AG215:AG216" si="39">AF215</f>
        <v>0</v>
      </c>
      <c r="AH215" s="3"/>
      <c r="AI215" s="227"/>
      <c r="AK215" s="187"/>
      <c r="AL215" s="187"/>
      <c r="AM215" s="187"/>
      <c r="AN215" s="187"/>
      <c r="AO215" s="187"/>
      <c r="AP215" s="187"/>
    </row>
    <row r="216" spans="1:42" s="1" customFormat="1" ht="14.25">
      <c r="B216" s="166" t="s">
        <v>53</v>
      </c>
      <c r="C216" s="12" t="s">
        <v>29</v>
      </c>
      <c r="D216" s="12" t="s">
        <v>29</v>
      </c>
      <c r="E216" s="19">
        <v>6</v>
      </c>
      <c r="F216" s="277"/>
      <c r="G216" s="3"/>
      <c r="H216" s="12" t="s">
        <v>29</v>
      </c>
      <c r="I216" s="12" t="s">
        <v>29</v>
      </c>
      <c r="J216" s="19">
        <v>6</v>
      </c>
      <c r="K216" s="277"/>
      <c r="L216" s="3"/>
      <c r="M216" s="12" t="s">
        <v>29</v>
      </c>
      <c r="N216" s="12" t="s">
        <v>29</v>
      </c>
      <c r="O216" s="19">
        <v>6</v>
      </c>
      <c r="P216" s="277"/>
      <c r="Q216" s="3"/>
      <c r="R216" s="12" t="s">
        <v>29</v>
      </c>
      <c r="S216" s="12" t="s">
        <v>29</v>
      </c>
      <c r="T216" s="19">
        <v>6</v>
      </c>
      <c r="U216" s="277"/>
      <c r="V216" s="3"/>
      <c r="W216" s="12" t="s">
        <v>29</v>
      </c>
      <c r="X216" s="12" t="s">
        <v>29</v>
      </c>
      <c r="Y216" s="19">
        <v>6</v>
      </c>
      <c r="Z216" s="277"/>
      <c r="AA216" s="169">
        <f t="shared" si="30"/>
        <v>30</v>
      </c>
      <c r="AB216" s="282"/>
      <c r="AC216" s="3"/>
      <c r="AD216" s="4">
        <v>0</v>
      </c>
      <c r="AE216" s="4">
        <v>0</v>
      </c>
      <c r="AF216" s="19" t="str">
        <f t="shared" si="38"/>
        <v>0</v>
      </c>
      <c r="AG216" s="29" t="str">
        <f t="shared" si="39"/>
        <v>0</v>
      </c>
      <c r="AH216" s="3"/>
      <c r="AI216" s="227"/>
      <c r="AK216" s="187"/>
      <c r="AL216" s="187"/>
      <c r="AM216" s="187"/>
      <c r="AN216" s="187"/>
      <c r="AO216" s="187"/>
      <c r="AP216" s="187"/>
    </row>
    <row r="217" spans="1:42" s="1" customFormat="1">
      <c r="B217" s="64" t="s">
        <v>61</v>
      </c>
      <c r="C217" s="64"/>
      <c r="D217" s="64"/>
      <c r="E217" s="167">
        <f>SUM(E198:E216)</f>
        <v>119.25</v>
      </c>
      <c r="F217" s="277">
        <f>SUM(F198:F216)</f>
        <v>1.25</v>
      </c>
      <c r="G217" s="3"/>
      <c r="H217" s="64"/>
      <c r="I217" s="64"/>
      <c r="J217" s="167">
        <f>SUM(J198:J216)</f>
        <v>124.25</v>
      </c>
      <c r="K217" s="277">
        <f>SUM(K198:K216)</f>
        <v>0.5</v>
      </c>
      <c r="L217" s="3"/>
      <c r="M217" s="64"/>
      <c r="N217" s="64"/>
      <c r="O217" s="167">
        <f>SUM(O198:O216)</f>
        <v>122</v>
      </c>
      <c r="P217" s="277">
        <f>SUM(P198:P216)</f>
        <v>0</v>
      </c>
      <c r="Q217" s="3"/>
      <c r="R217" s="64"/>
      <c r="S217" s="64"/>
      <c r="T217" s="167">
        <f>SUM(T198:T216)</f>
        <v>105.5</v>
      </c>
      <c r="U217" s="277">
        <f>SUM(U198:U216)</f>
        <v>0.5</v>
      </c>
      <c r="V217" s="3"/>
      <c r="W217" s="64"/>
      <c r="X217" s="64"/>
      <c r="Y217" s="304">
        <f>SUM(Y198:Y216)</f>
        <v>113</v>
      </c>
      <c r="Z217" s="277">
        <f>SUM(Z198:Z216)</f>
        <v>0.5</v>
      </c>
      <c r="AA217" s="247">
        <f>SUM(AA198:AA216)</f>
        <v>584</v>
      </c>
      <c r="AB217" s="296">
        <f>SUM(AB198:AB216)</f>
        <v>2.75</v>
      </c>
      <c r="AC217" s="3"/>
      <c r="AD217" s="64"/>
      <c r="AE217" s="64"/>
      <c r="AF217" s="181"/>
      <c r="AG217" s="247">
        <f>SUM(AG198:AG216)</f>
        <v>31.25</v>
      </c>
      <c r="AH217" s="3"/>
      <c r="AI217" s="227"/>
      <c r="AK217" s="187"/>
      <c r="AL217" s="187"/>
      <c r="AM217" s="187"/>
      <c r="AN217" s="187"/>
      <c r="AO217" s="187"/>
      <c r="AP217" s="187"/>
    </row>
    <row r="218" spans="1:42" s="1" customFormat="1">
      <c r="B218" s="63" t="s">
        <v>62</v>
      </c>
      <c r="C218" s="56"/>
      <c r="D218" s="56"/>
      <c r="E218" s="179">
        <v>8</v>
      </c>
      <c r="F218" s="291">
        <v>2.5</v>
      </c>
      <c r="G218" s="60"/>
      <c r="H218" s="56"/>
      <c r="I218" s="56"/>
      <c r="J218" s="179">
        <v>8</v>
      </c>
      <c r="K218" s="291">
        <v>2.75</v>
      </c>
      <c r="L218" s="3"/>
      <c r="M218" s="56"/>
      <c r="N218" s="56"/>
      <c r="O218" s="179">
        <v>8</v>
      </c>
      <c r="P218" s="291">
        <v>3.75</v>
      </c>
      <c r="Q218" s="3"/>
      <c r="R218" s="56"/>
      <c r="S218" s="56"/>
      <c r="T218" s="179">
        <v>8</v>
      </c>
      <c r="U218" s="291">
        <v>3.75</v>
      </c>
      <c r="V218" s="3"/>
      <c r="W218" s="56"/>
      <c r="X218" s="56"/>
      <c r="Y218" s="179">
        <v>8</v>
      </c>
      <c r="Z218" s="291">
        <v>2.25</v>
      </c>
      <c r="AA218" s="28">
        <f>SUM(E218+J218+O218+T218+Y218)</f>
        <v>40</v>
      </c>
      <c r="AB218" s="282">
        <f>Z218+U218+P218+K218+F218</f>
        <v>15</v>
      </c>
      <c r="AC218" s="3"/>
      <c r="AD218" s="56"/>
      <c r="AE218" s="56"/>
      <c r="AF218" s="19"/>
      <c r="AG218" s="245">
        <v>0</v>
      </c>
      <c r="AH218" s="3"/>
      <c r="AI218" s="227"/>
      <c r="AK218" s="187"/>
      <c r="AL218" s="187"/>
      <c r="AM218" s="187"/>
      <c r="AN218" s="187"/>
      <c r="AO218" s="187"/>
      <c r="AP218" s="187"/>
    </row>
    <row r="219" spans="1:42" s="1" customFormat="1">
      <c r="B219" s="63" t="s">
        <v>63</v>
      </c>
      <c r="C219" s="56"/>
      <c r="D219" s="56"/>
      <c r="E219" s="19" t="str">
        <f t="shared" ref="E219" si="40">TEXT(D219-C219, "h")</f>
        <v>0</v>
      </c>
      <c r="F219" s="291"/>
      <c r="G219" s="60"/>
      <c r="H219" s="56"/>
      <c r="I219" s="56"/>
      <c r="J219" s="19" t="str">
        <f t="shared" ref="J219" si="41">TEXT(I219-H219, "h")</f>
        <v>0</v>
      </c>
      <c r="K219" s="291"/>
      <c r="L219" s="60"/>
      <c r="M219" s="56"/>
      <c r="N219" s="56"/>
      <c r="O219" s="19" t="str">
        <f t="shared" ref="O219" si="42">TEXT(N219-M219, "h")</f>
        <v>0</v>
      </c>
      <c r="P219" s="291"/>
      <c r="Q219" s="60"/>
      <c r="R219" s="56"/>
      <c r="S219" s="56"/>
      <c r="T219" s="19">
        <v>7</v>
      </c>
      <c r="U219" s="291">
        <v>3.75</v>
      </c>
      <c r="V219" s="60"/>
      <c r="W219" s="56"/>
      <c r="X219" s="56"/>
      <c r="Y219" s="19">
        <v>7</v>
      </c>
      <c r="Z219" s="291"/>
      <c r="AA219" s="28">
        <f>SUM(E219+J219+O219+T219+Y219)</f>
        <v>14</v>
      </c>
      <c r="AB219" s="282">
        <f t="shared" ref="AB219:AB221" si="43">Z219+U219+P219+K219+F219</f>
        <v>3.75</v>
      </c>
      <c r="AC219" s="3"/>
      <c r="AD219" s="56"/>
      <c r="AE219" s="56"/>
      <c r="AF219" s="19"/>
      <c r="AG219" s="246">
        <f>AF219</f>
        <v>0</v>
      </c>
      <c r="AH219" s="3"/>
      <c r="AI219" s="227"/>
      <c r="AK219" s="187"/>
      <c r="AL219" s="187"/>
      <c r="AM219" s="187"/>
      <c r="AN219" s="187"/>
      <c r="AO219" s="187"/>
      <c r="AP219" s="187"/>
    </row>
    <row r="220" spans="1:42" s="1" customFormat="1">
      <c r="B220" s="63" t="s">
        <v>64</v>
      </c>
      <c r="C220" s="56"/>
      <c r="D220" s="56"/>
      <c r="E220" s="19">
        <v>7</v>
      </c>
      <c r="F220" s="291"/>
      <c r="G220" s="60"/>
      <c r="H220" s="56"/>
      <c r="I220" s="56"/>
      <c r="J220" s="19">
        <v>6.5</v>
      </c>
      <c r="K220" s="291"/>
      <c r="L220" s="60"/>
      <c r="M220" s="56"/>
      <c r="N220" s="56"/>
      <c r="O220" s="19">
        <v>7</v>
      </c>
      <c r="P220" s="291"/>
      <c r="Q220" s="60"/>
      <c r="R220" s="56"/>
      <c r="S220" s="56"/>
      <c r="T220" s="19">
        <v>6.5</v>
      </c>
      <c r="U220" s="291"/>
      <c r="V220" s="60"/>
      <c r="W220" s="56"/>
      <c r="X220" s="56"/>
      <c r="Y220" s="19">
        <v>6.75</v>
      </c>
      <c r="Z220" s="291"/>
      <c r="AA220" s="28">
        <f>SUM(E220+J220+O220+T220+Y220)</f>
        <v>33.75</v>
      </c>
      <c r="AB220" s="282">
        <f t="shared" si="43"/>
        <v>0</v>
      </c>
      <c r="AC220" s="3"/>
      <c r="AD220" s="56"/>
      <c r="AE220" s="56"/>
      <c r="AF220" s="19"/>
      <c r="AG220" s="246">
        <f>AF220</f>
        <v>0</v>
      </c>
      <c r="AH220" s="3"/>
      <c r="AI220" s="227"/>
      <c r="AK220" s="187"/>
      <c r="AL220" s="187"/>
      <c r="AM220" s="187"/>
      <c r="AN220" s="187"/>
      <c r="AO220" s="187"/>
      <c r="AP220" s="187"/>
    </row>
    <row r="221" spans="1:42" s="1" customFormat="1" ht="14.25" thickBot="1">
      <c r="B221" s="268" t="s">
        <v>65</v>
      </c>
      <c r="C221" s="75"/>
      <c r="D221" s="75"/>
      <c r="E221" s="77">
        <v>3</v>
      </c>
      <c r="F221" s="292"/>
      <c r="G221" s="81"/>
      <c r="H221" s="75"/>
      <c r="I221" s="75"/>
      <c r="J221" s="77">
        <v>3</v>
      </c>
      <c r="K221" s="292"/>
      <c r="L221" s="81"/>
      <c r="M221" s="75"/>
      <c r="N221" s="75"/>
      <c r="O221" s="77">
        <v>3</v>
      </c>
      <c r="P221" s="292"/>
      <c r="Q221" s="81"/>
      <c r="R221" s="75"/>
      <c r="S221" s="75"/>
      <c r="T221" s="77">
        <v>3</v>
      </c>
      <c r="U221" s="292"/>
      <c r="V221" s="81"/>
      <c r="W221" s="75"/>
      <c r="X221" s="75"/>
      <c r="Y221" s="77">
        <v>3</v>
      </c>
      <c r="Z221" s="292"/>
      <c r="AA221" s="28">
        <f>SUM(E221+J221+O221+T221+Y221)</f>
        <v>15</v>
      </c>
      <c r="AB221" s="287">
        <f t="shared" si="43"/>
        <v>0</v>
      </c>
      <c r="AC221" s="3"/>
      <c r="AD221" s="75"/>
      <c r="AE221" s="75"/>
      <c r="AF221" s="77"/>
      <c r="AG221" s="244">
        <v>0</v>
      </c>
      <c r="AH221" s="3"/>
      <c r="AI221" s="227"/>
      <c r="AK221" s="187"/>
      <c r="AL221" s="187"/>
      <c r="AM221" s="187"/>
      <c r="AN221" s="187"/>
      <c r="AO221" s="187"/>
      <c r="AP221" s="187"/>
    </row>
    <row r="222" spans="1:42" s="187" customFormat="1" ht="14.25" thickTop="1">
      <c r="B222" s="214" t="s">
        <v>66</v>
      </c>
      <c r="C222" s="243"/>
      <c r="D222" s="243"/>
      <c r="E222" s="214">
        <f>SUM(E218:E221)</f>
        <v>18</v>
      </c>
      <c r="F222" s="215"/>
      <c r="G222" s="215"/>
      <c r="H222" s="243"/>
      <c r="I222" s="243"/>
      <c r="J222" s="214">
        <f>SUM(J218:J221)</f>
        <v>17.5</v>
      </c>
      <c r="K222" s="215"/>
      <c r="L222" s="215"/>
      <c r="M222" s="243"/>
      <c r="N222" s="243"/>
      <c r="O222" s="214">
        <f>SUM(O218:O221)</f>
        <v>18</v>
      </c>
      <c r="P222" s="215"/>
      <c r="Q222" s="215"/>
      <c r="R222" s="243"/>
      <c r="S222" s="243"/>
      <c r="T222" s="214">
        <f>SUM(T218:T221)</f>
        <v>24.5</v>
      </c>
      <c r="U222" s="215"/>
      <c r="V222" s="215"/>
      <c r="W222" s="243"/>
      <c r="X222" s="243"/>
      <c r="Y222" s="214">
        <f>SUM(Y218:Y221)</f>
        <v>24.75</v>
      </c>
      <c r="Z222" s="215"/>
      <c r="AA222" s="247">
        <f>SUM(AA218:AA221)</f>
        <v>102.75</v>
      </c>
      <c r="AB222" s="247">
        <f>SUM(AB218:AB221)</f>
        <v>18.75</v>
      </c>
      <c r="AC222" s="226"/>
      <c r="AG222" s="249">
        <f>SUM(AG220:AG221)</f>
        <v>0</v>
      </c>
      <c r="AH222" s="3"/>
      <c r="AI222" s="227"/>
      <c r="AJ222" s="1"/>
    </row>
    <row r="223" spans="1:42" s="1" customFormat="1" ht="13.5" customHeight="1">
      <c r="A223" s="11"/>
      <c r="B223" s="217" t="s">
        <v>67</v>
      </c>
      <c r="C223" s="207">
        <f>C224+C225</f>
        <v>80</v>
      </c>
      <c r="D223" s="208"/>
      <c r="E223" s="209"/>
      <c r="F223" s="209"/>
      <c r="G223" s="208"/>
      <c r="H223" s="209"/>
      <c r="I223" s="209"/>
      <c r="J223" s="209"/>
      <c r="K223" s="209"/>
      <c r="L223" s="208"/>
      <c r="M223" s="208"/>
      <c r="N223" s="208"/>
      <c r="O223" s="208"/>
      <c r="P223" s="209"/>
      <c r="Q223" s="208"/>
      <c r="R223" s="208"/>
      <c r="S223" s="208"/>
      <c r="T223" s="208"/>
      <c r="U223" s="209"/>
      <c r="V223" s="208"/>
      <c r="W223" s="208"/>
      <c r="X223" s="208"/>
      <c r="Y223" s="210"/>
      <c r="Z223" s="209"/>
      <c r="AA223" s="211"/>
      <c r="AB223" s="209"/>
      <c r="AC223" s="211"/>
      <c r="AD223" s="211"/>
      <c r="AE223" s="211"/>
      <c r="AF223" s="211"/>
      <c r="AG223" s="211"/>
      <c r="AH223" s="3"/>
      <c r="AI223" s="227"/>
      <c r="AK223" s="187"/>
      <c r="AL223" s="187"/>
      <c r="AM223" s="187"/>
      <c r="AN223" s="187"/>
      <c r="AO223" s="187"/>
      <c r="AP223" s="187"/>
    </row>
    <row r="224" spans="1:42" s="1" customFormat="1" ht="13.5" customHeight="1">
      <c r="A224" s="11"/>
      <c r="B224" s="238" t="s">
        <v>68</v>
      </c>
      <c r="C224" s="239">
        <v>58</v>
      </c>
      <c r="D224" s="208"/>
      <c r="E224" s="209"/>
      <c r="F224" s="209"/>
      <c r="G224" s="208"/>
      <c r="H224" s="209"/>
      <c r="I224" s="209"/>
      <c r="J224" s="209"/>
      <c r="K224" s="209"/>
      <c r="L224" s="208"/>
      <c r="M224" s="208"/>
      <c r="N224" s="208"/>
      <c r="O224" s="208"/>
      <c r="P224" s="209"/>
      <c r="Q224" s="208"/>
      <c r="R224" s="208"/>
      <c r="S224" s="208"/>
      <c r="T224" s="208"/>
      <c r="U224" s="209"/>
      <c r="V224" s="208"/>
      <c r="W224" s="208"/>
      <c r="X224" s="208"/>
      <c r="Y224" s="210"/>
      <c r="Z224" s="209"/>
      <c r="AA224" s="211"/>
      <c r="AB224" s="209"/>
      <c r="AC224" s="211"/>
      <c r="AD224" s="211"/>
      <c r="AE224" s="211"/>
      <c r="AF224" s="211"/>
      <c r="AG224" s="211"/>
      <c r="AH224" s="3"/>
      <c r="AI224" s="227"/>
      <c r="AK224" s="187"/>
      <c r="AL224" s="187"/>
      <c r="AM224" s="187"/>
      <c r="AN224" s="187"/>
      <c r="AO224" s="187"/>
      <c r="AP224" s="187"/>
    </row>
    <row r="225" spans="1:42" s="1" customFormat="1" ht="13.5" customHeight="1">
      <c r="A225" s="11"/>
      <c r="B225" s="238" t="s">
        <v>69</v>
      </c>
      <c r="C225" s="239">
        <v>22</v>
      </c>
      <c r="D225" s="208"/>
      <c r="E225" s="209"/>
      <c r="F225" s="209"/>
      <c r="G225" s="208"/>
      <c r="H225" s="209"/>
      <c r="I225" s="209"/>
      <c r="J225" s="209"/>
      <c r="K225" s="209"/>
      <c r="L225" s="208"/>
      <c r="M225" s="208"/>
      <c r="N225" s="208"/>
      <c r="O225" s="208"/>
      <c r="P225" s="209"/>
      <c r="Q225" s="208"/>
      <c r="R225" s="208"/>
      <c r="S225" s="208"/>
      <c r="T225" s="208"/>
      <c r="U225" s="209"/>
      <c r="V225" s="208"/>
      <c r="W225" s="208"/>
      <c r="X225" s="208"/>
      <c r="Y225" s="210"/>
      <c r="Z225" s="209"/>
      <c r="AA225" s="211"/>
      <c r="AB225" s="209"/>
      <c r="AC225" s="211"/>
      <c r="AD225" s="211"/>
      <c r="AE225" s="211"/>
      <c r="AF225" s="211"/>
      <c r="AG225" s="211"/>
      <c r="AH225" s="3"/>
      <c r="AI225" s="227"/>
      <c r="AK225" s="187"/>
      <c r="AL225" s="187"/>
      <c r="AM225" s="187"/>
      <c r="AN225" s="187"/>
      <c r="AO225" s="187"/>
      <c r="AP225" s="187"/>
    </row>
    <row r="226" spans="1:42" s="1" customFormat="1" ht="4.5" customHeight="1">
      <c r="A226" s="11"/>
      <c r="B226" s="218"/>
      <c r="C226" s="219"/>
      <c r="D226" s="220"/>
      <c r="E226" s="221"/>
      <c r="F226" s="221"/>
      <c r="G226" s="220"/>
      <c r="H226" s="221"/>
      <c r="I226" s="221"/>
      <c r="J226" s="221"/>
      <c r="K226" s="221"/>
      <c r="L226" s="220"/>
      <c r="M226" s="220"/>
      <c r="N226" s="220"/>
      <c r="O226" s="220"/>
      <c r="P226" s="221"/>
      <c r="Q226" s="220"/>
      <c r="R226" s="220"/>
      <c r="S226" s="220"/>
      <c r="T226" s="220"/>
      <c r="U226" s="221"/>
      <c r="V226" s="220"/>
      <c r="W226" s="220"/>
      <c r="X226" s="220"/>
      <c r="Y226" s="222"/>
      <c r="Z226" s="221"/>
      <c r="AA226" s="223"/>
      <c r="AB226" s="221"/>
      <c r="AC226" s="3"/>
      <c r="AD226" s="168"/>
      <c r="AH226" s="3"/>
      <c r="AI226" s="227"/>
      <c r="AK226" s="187"/>
      <c r="AL226" s="187"/>
      <c r="AM226" s="187"/>
      <c r="AN226" s="187"/>
      <c r="AO226" s="187"/>
      <c r="AP226" s="187"/>
    </row>
    <row r="227" spans="1:42" s="227" customFormat="1" ht="4.5" customHeight="1">
      <c r="A227" s="228"/>
      <c r="B227" s="229"/>
      <c r="C227" s="230"/>
      <c r="D227" s="231"/>
      <c r="E227" s="232"/>
      <c r="F227" s="232"/>
      <c r="G227" s="231"/>
      <c r="H227" s="232"/>
      <c r="I227" s="232"/>
      <c r="J227" s="232"/>
      <c r="K227" s="232"/>
      <c r="L227" s="231"/>
      <c r="M227" s="231"/>
      <c r="N227" s="231"/>
      <c r="O227" s="231"/>
      <c r="P227" s="232"/>
      <c r="Q227" s="231"/>
      <c r="R227" s="231"/>
      <c r="S227" s="231"/>
      <c r="T227" s="231"/>
      <c r="U227" s="232"/>
      <c r="V227" s="231"/>
      <c r="W227" s="231"/>
      <c r="X227" s="231"/>
      <c r="Y227" s="233"/>
      <c r="Z227" s="232"/>
      <c r="AA227" s="234"/>
      <c r="AB227" s="232"/>
      <c r="AC227" s="235"/>
      <c r="AD227" s="236"/>
      <c r="AH227" s="235"/>
    </row>
    <row r="228" spans="1:42" s="187" customFormat="1" ht="4.5" customHeight="1">
      <c r="A228" s="224"/>
      <c r="B228" s="214"/>
      <c r="C228" s="215"/>
      <c r="D228" s="215"/>
      <c r="E228" s="214"/>
      <c r="F228" s="214"/>
      <c r="G228" s="215"/>
      <c r="H228" s="214"/>
      <c r="I228" s="214"/>
      <c r="J228" s="214"/>
      <c r="K228" s="214"/>
      <c r="L228" s="215"/>
      <c r="M228" s="215"/>
      <c r="N228" s="215"/>
      <c r="O228" s="215"/>
      <c r="P228" s="214"/>
      <c r="Q228" s="215"/>
      <c r="R228" s="215"/>
      <c r="S228" s="215"/>
      <c r="T228" s="215"/>
      <c r="U228" s="214"/>
      <c r="V228" s="215"/>
      <c r="W228" s="215"/>
      <c r="X228" s="215"/>
      <c r="Y228" s="216"/>
      <c r="Z228" s="214"/>
      <c r="AA228" s="225"/>
      <c r="AB228" s="214"/>
      <c r="AC228" s="226"/>
      <c r="AH228" s="226"/>
      <c r="AI228" s="227"/>
    </row>
    <row r="229" spans="1:42" s="1" customFormat="1">
      <c r="B229" s="1518" t="s">
        <v>18</v>
      </c>
      <c r="C229" s="1524">
        <v>45124</v>
      </c>
      <c r="D229" s="1524"/>
      <c r="E229" s="1524"/>
      <c r="F229" s="1524"/>
      <c r="G229" s="22"/>
      <c r="H229" s="1524">
        <v>45125</v>
      </c>
      <c r="I229" s="1524"/>
      <c r="J229" s="1524"/>
      <c r="K229" s="1524"/>
      <c r="L229" s="22"/>
      <c r="M229" s="1524">
        <v>45126</v>
      </c>
      <c r="N229" s="1524"/>
      <c r="O229" s="1524"/>
      <c r="P229" s="1524"/>
      <c r="Q229" s="22"/>
      <c r="R229" s="1524">
        <v>45127</v>
      </c>
      <c r="S229" s="1524"/>
      <c r="T229" s="1524"/>
      <c r="U229" s="1524"/>
      <c r="V229" s="22"/>
      <c r="W229" s="1524">
        <v>45128</v>
      </c>
      <c r="X229" s="1524"/>
      <c r="Y229" s="1524"/>
      <c r="Z229" s="1524"/>
      <c r="AA229" s="1517" t="s">
        <v>19</v>
      </c>
      <c r="AB229" s="1517" t="s">
        <v>20</v>
      </c>
      <c r="AC229" s="3"/>
      <c r="AD229" s="1524">
        <v>45129</v>
      </c>
      <c r="AE229" s="1524"/>
      <c r="AF229" s="1524"/>
      <c r="AG229" s="1517" t="s">
        <v>21</v>
      </c>
      <c r="AH229" s="3"/>
      <c r="AI229" s="227"/>
      <c r="AK229" s="194" t="s">
        <v>168</v>
      </c>
      <c r="AL229" s="195"/>
      <c r="AM229" s="195"/>
      <c r="AN229" s="195"/>
      <c r="AO229" s="195"/>
      <c r="AP229" s="195"/>
    </row>
    <row r="230" spans="1:42" s="176" customFormat="1" ht="14.25">
      <c r="B230" s="1518"/>
      <c r="C230" s="21" t="s">
        <v>23</v>
      </c>
      <c r="D230" s="21" t="s">
        <v>24</v>
      </c>
      <c r="E230" s="205" t="s">
        <v>144</v>
      </c>
      <c r="F230" s="18" t="s">
        <v>14</v>
      </c>
      <c r="G230" s="3"/>
      <c r="H230" s="21" t="s">
        <v>23</v>
      </c>
      <c r="I230" s="21" t="s">
        <v>24</v>
      </c>
      <c r="J230" s="205" t="s">
        <v>144</v>
      </c>
      <c r="K230" s="18" t="s">
        <v>14</v>
      </c>
      <c r="L230" s="3"/>
      <c r="M230" s="21" t="s">
        <v>23</v>
      </c>
      <c r="N230" s="21" t="s">
        <v>24</v>
      </c>
      <c r="O230" s="205" t="s">
        <v>144</v>
      </c>
      <c r="P230" s="18" t="s">
        <v>14</v>
      </c>
      <c r="Q230" s="3"/>
      <c r="R230" s="21" t="s">
        <v>23</v>
      </c>
      <c r="S230" s="21" t="s">
        <v>24</v>
      </c>
      <c r="T230" s="205" t="s">
        <v>144</v>
      </c>
      <c r="U230" s="18" t="s">
        <v>14</v>
      </c>
      <c r="V230" s="3"/>
      <c r="W230" s="21" t="s">
        <v>23</v>
      </c>
      <c r="X230" s="21" t="s">
        <v>24</v>
      </c>
      <c r="Y230" s="205" t="s">
        <v>144</v>
      </c>
      <c r="Z230" s="18" t="s">
        <v>14</v>
      </c>
      <c r="AA230" s="1523"/>
      <c r="AB230" s="1517"/>
      <c r="AC230" s="3"/>
      <c r="AD230" s="21" t="s">
        <v>23</v>
      </c>
      <c r="AE230" s="21" t="s">
        <v>24</v>
      </c>
      <c r="AF230" s="18" t="s">
        <v>25</v>
      </c>
      <c r="AG230" s="1523"/>
      <c r="AH230" s="174"/>
      <c r="AI230" s="257"/>
      <c r="AK230" s="188" t="s">
        <v>26</v>
      </c>
      <c r="AL230" s="196">
        <f>AA250</f>
        <v>619.29999999999995</v>
      </c>
      <c r="AM230" s="187"/>
      <c r="AN230" s="187"/>
      <c r="AO230" s="187"/>
      <c r="AP230" s="187"/>
    </row>
    <row r="231" spans="1:42" s="176" customFormat="1" ht="14.25">
      <c r="B231" s="171" t="s">
        <v>141</v>
      </c>
      <c r="C231" s="172">
        <v>0.33333333333333331</v>
      </c>
      <c r="D231" s="172">
        <v>0.20833333333333334</v>
      </c>
      <c r="E231" s="173">
        <v>8</v>
      </c>
      <c r="F231" s="277"/>
      <c r="G231" s="174"/>
      <c r="H231" s="172">
        <v>0.33333333333333331</v>
      </c>
      <c r="I231" s="172">
        <v>0.20833333333333334</v>
      </c>
      <c r="J231" s="173">
        <v>8</v>
      </c>
      <c r="K231" s="277"/>
      <c r="L231" s="174"/>
      <c r="M231" s="172">
        <v>0.34375</v>
      </c>
      <c r="N231" s="172">
        <v>0.125</v>
      </c>
      <c r="O231" s="173">
        <v>6.75</v>
      </c>
      <c r="P231" s="277"/>
      <c r="Q231" s="174"/>
      <c r="R231" s="172">
        <v>0.33333333333333331</v>
      </c>
      <c r="S231" s="172">
        <v>0.20833333333333334</v>
      </c>
      <c r="T231" s="173">
        <v>8</v>
      </c>
      <c r="U231" s="277"/>
      <c r="V231" s="174"/>
      <c r="W231" s="172">
        <v>0.34375</v>
      </c>
      <c r="X231" s="172">
        <v>0.20833333333333334</v>
      </c>
      <c r="Y231" s="173">
        <v>7.75</v>
      </c>
      <c r="Z231" s="277"/>
      <c r="AA231" s="28">
        <f t="shared" ref="AA231:AA247" si="44">(E231+J231+O231+T231+Y231)</f>
        <v>38.5</v>
      </c>
      <c r="AB231" s="297">
        <f>Z231+U231+P231+K231+F231</f>
        <v>0</v>
      </c>
      <c r="AC231" s="174"/>
      <c r="AD231" s="175">
        <v>0</v>
      </c>
      <c r="AE231" s="175">
        <v>0</v>
      </c>
      <c r="AF231" s="173" t="str">
        <f t="shared" ref="AF231:AF236" si="45">TEXT(AE231-AD231, "h")</f>
        <v>0</v>
      </c>
      <c r="AG231" s="28" t="str">
        <f t="shared" ref="AG231:AG249" si="46">AF231</f>
        <v>0</v>
      </c>
      <c r="AH231" s="174"/>
      <c r="AI231" s="257"/>
      <c r="AK231" s="188" t="s">
        <v>30</v>
      </c>
      <c r="AL231" s="196">
        <f>AB250</f>
        <v>18.25</v>
      </c>
      <c r="AM231" s="187"/>
      <c r="AN231" s="187"/>
      <c r="AO231" s="187"/>
      <c r="AP231" s="187"/>
    </row>
    <row r="232" spans="1:42" s="176" customFormat="1" ht="14.25">
      <c r="B232" s="171" t="s">
        <v>142</v>
      </c>
      <c r="C232" s="177">
        <v>0.40625</v>
      </c>
      <c r="D232" s="172">
        <v>0.20833333333333334</v>
      </c>
      <c r="E232" s="173">
        <v>6.25</v>
      </c>
      <c r="F232" s="277"/>
      <c r="G232" s="174"/>
      <c r="H232" s="172">
        <v>0.40625</v>
      </c>
      <c r="I232" s="172">
        <v>0.20833333333333334</v>
      </c>
      <c r="J232" s="173">
        <v>6.25</v>
      </c>
      <c r="K232" s="277"/>
      <c r="L232" s="174"/>
      <c r="M232" s="172">
        <v>0.40277777777777773</v>
      </c>
      <c r="N232" s="172">
        <v>0.20833333333333334</v>
      </c>
      <c r="O232" s="173">
        <v>6.3</v>
      </c>
      <c r="P232" s="277"/>
      <c r="Q232" s="174"/>
      <c r="R232" s="175">
        <v>0</v>
      </c>
      <c r="S232" s="175">
        <v>0</v>
      </c>
      <c r="T232" s="173">
        <v>0</v>
      </c>
      <c r="U232" s="277"/>
      <c r="V232" s="174"/>
      <c r="W232" s="172">
        <v>0.39583333333333331</v>
      </c>
      <c r="X232" s="172">
        <v>0.20833333333333334</v>
      </c>
      <c r="Y232" s="173">
        <v>6.5</v>
      </c>
      <c r="Z232" s="277"/>
      <c r="AA232" s="28">
        <f t="shared" si="44"/>
        <v>25.3</v>
      </c>
      <c r="AB232" s="297">
        <f t="shared" ref="AB232:AB249" si="47">Z232+U232+P232+K232+F232</f>
        <v>0</v>
      </c>
      <c r="AC232" s="174"/>
      <c r="AD232" s="175">
        <v>0</v>
      </c>
      <c r="AE232" s="175">
        <v>0</v>
      </c>
      <c r="AF232" s="173" t="str">
        <f t="shared" si="45"/>
        <v>0</v>
      </c>
      <c r="AG232" s="28" t="str">
        <f t="shared" si="46"/>
        <v>0</v>
      </c>
      <c r="AH232" s="174"/>
      <c r="AI232" s="257"/>
      <c r="AK232" s="188" t="s">
        <v>32</v>
      </c>
      <c r="AL232" s="196">
        <f>AG250</f>
        <v>27.75</v>
      </c>
      <c r="AM232" s="187"/>
      <c r="AN232" s="187"/>
      <c r="AO232" s="187"/>
      <c r="AP232" s="187"/>
    </row>
    <row r="233" spans="1:42" s="176" customFormat="1" ht="14.25">
      <c r="B233" s="171" t="s">
        <v>31</v>
      </c>
      <c r="C233" s="172">
        <v>0.33333333333333331</v>
      </c>
      <c r="D233" s="172">
        <v>0.20833333333333334</v>
      </c>
      <c r="E233" s="173">
        <v>8</v>
      </c>
      <c r="F233" s="277"/>
      <c r="G233" s="174"/>
      <c r="H233" s="172">
        <v>0.33333333333333331</v>
      </c>
      <c r="I233" s="172">
        <v>0.20833333333333334</v>
      </c>
      <c r="J233" s="173">
        <v>8</v>
      </c>
      <c r="K233" s="277"/>
      <c r="L233" s="174"/>
      <c r="M233" s="172">
        <v>0.34375</v>
      </c>
      <c r="N233" s="172">
        <v>0.20833333333333334</v>
      </c>
      <c r="O233" s="173">
        <v>7.75</v>
      </c>
      <c r="P233" s="277"/>
      <c r="Q233" s="174"/>
      <c r="R233" s="172">
        <v>0.33333333333333331</v>
      </c>
      <c r="S233" s="172">
        <v>0.20833333333333334</v>
      </c>
      <c r="T233" s="173">
        <v>8</v>
      </c>
      <c r="U233" s="277"/>
      <c r="V233" s="174"/>
      <c r="W233" s="172">
        <v>0.33333333333333331</v>
      </c>
      <c r="X233" s="172">
        <v>0.20833333333333334</v>
      </c>
      <c r="Y233" s="173">
        <v>8</v>
      </c>
      <c r="Z233" s="277"/>
      <c r="AA233" s="28">
        <f t="shared" si="44"/>
        <v>39.75</v>
      </c>
      <c r="AB233" s="297">
        <f t="shared" si="47"/>
        <v>0</v>
      </c>
      <c r="AC233" s="174"/>
      <c r="AD233" s="175">
        <v>0</v>
      </c>
      <c r="AE233" s="175">
        <v>0</v>
      </c>
      <c r="AF233" s="173" t="str">
        <f t="shared" si="45"/>
        <v>0</v>
      </c>
      <c r="AG233" s="28" t="str">
        <f t="shared" si="46"/>
        <v>0</v>
      </c>
      <c r="AH233" s="174"/>
      <c r="AI233" s="257"/>
      <c r="AK233" s="188" t="s">
        <v>34</v>
      </c>
      <c r="AL233" s="196">
        <f>AA255</f>
        <v>117.375</v>
      </c>
      <c r="AM233" s="187"/>
      <c r="AN233" s="187"/>
      <c r="AO233" s="187"/>
      <c r="AP233" s="187"/>
    </row>
    <row r="234" spans="1:42" s="176" customFormat="1" ht="14.25">
      <c r="B234" s="171" t="s">
        <v>169</v>
      </c>
      <c r="C234" s="172">
        <v>0.375</v>
      </c>
      <c r="D234" s="172">
        <v>0.20833333333333334</v>
      </c>
      <c r="E234" s="173">
        <v>7</v>
      </c>
      <c r="F234" s="277"/>
      <c r="G234" s="174"/>
      <c r="H234" s="172">
        <v>0.33333333333333331</v>
      </c>
      <c r="I234" s="172">
        <v>0.20833333333333334</v>
      </c>
      <c r="J234" s="173">
        <v>8</v>
      </c>
      <c r="K234" s="277"/>
      <c r="L234" s="174"/>
      <c r="M234" s="172">
        <v>0.33333333333333331</v>
      </c>
      <c r="N234" s="172">
        <v>0.20833333333333334</v>
      </c>
      <c r="O234" s="173">
        <v>8</v>
      </c>
      <c r="P234" s="277"/>
      <c r="Q234" s="174"/>
      <c r="R234" s="172">
        <v>0.33333333333333331</v>
      </c>
      <c r="S234" s="172">
        <v>0.20833333333333334</v>
      </c>
      <c r="T234" s="173">
        <v>8</v>
      </c>
      <c r="U234" s="277"/>
      <c r="V234" s="174"/>
      <c r="W234" s="172">
        <v>0.33333333333333331</v>
      </c>
      <c r="X234" s="172">
        <v>0.20833333333333334</v>
      </c>
      <c r="Y234" s="173">
        <v>8</v>
      </c>
      <c r="Z234" s="277"/>
      <c r="AA234" s="28">
        <f t="shared" si="44"/>
        <v>39</v>
      </c>
      <c r="AB234" s="297">
        <f t="shared" si="47"/>
        <v>0</v>
      </c>
      <c r="AC234" s="174"/>
      <c r="AD234" s="175">
        <v>0</v>
      </c>
      <c r="AE234" s="175">
        <v>0</v>
      </c>
      <c r="AF234" s="173" t="str">
        <f t="shared" si="45"/>
        <v>0</v>
      </c>
      <c r="AG234" s="28" t="str">
        <f t="shared" si="46"/>
        <v>0</v>
      </c>
      <c r="AH234" s="174"/>
      <c r="AI234" s="257"/>
      <c r="AK234" s="188" t="s">
        <v>149</v>
      </c>
      <c r="AL234" s="196">
        <f>AB255</f>
        <v>22.75</v>
      </c>
      <c r="AM234" s="187"/>
      <c r="AN234" s="187"/>
      <c r="AO234" s="187"/>
      <c r="AP234" s="187"/>
    </row>
    <row r="235" spans="1:42" s="1" customFormat="1" ht="14.25">
      <c r="B235" s="171" t="s">
        <v>33</v>
      </c>
      <c r="C235" s="172">
        <v>0.33333333333333331</v>
      </c>
      <c r="D235" s="172">
        <v>0.20833333333333334</v>
      </c>
      <c r="E235" s="173">
        <v>8</v>
      </c>
      <c r="F235" s="277"/>
      <c r="G235" s="174"/>
      <c r="H235" s="172">
        <v>0.33333333333333331</v>
      </c>
      <c r="I235" s="172">
        <v>0.20833333333333334</v>
      </c>
      <c r="J235" s="173">
        <v>8</v>
      </c>
      <c r="K235" s="277"/>
      <c r="L235" s="174"/>
      <c r="M235" s="172">
        <v>0.33333333333333331</v>
      </c>
      <c r="N235" s="172">
        <v>0.20833333333333334</v>
      </c>
      <c r="O235" s="173">
        <v>8</v>
      </c>
      <c r="P235" s="277"/>
      <c r="Q235" s="174"/>
      <c r="R235" s="172">
        <v>0.33333333333333331</v>
      </c>
      <c r="S235" s="172">
        <v>0.20833333333333334</v>
      </c>
      <c r="T235" s="173">
        <v>8</v>
      </c>
      <c r="U235" s="277"/>
      <c r="V235" s="174"/>
      <c r="W235" s="172">
        <v>0.33333333333333331</v>
      </c>
      <c r="X235" s="172">
        <v>0.22916666666666666</v>
      </c>
      <c r="Y235" s="173">
        <v>8</v>
      </c>
      <c r="Z235" s="277">
        <v>0.5</v>
      </c>
      <c r="AA235" s="28">
        <f t="shared" si="44"/>
        <v>40</v>
      </c>
      <c r="AB235" s="297">
        <f>Z235</f>
        <v>0.5</v>
      </c>
      <c r="AC235" s="174"/>
      <c r="AD235" s="175">
        <v>0</v>
      </c>
      <c r="AE235" s="175">
        <v>0</v>
      </c>
      <c r="AF235" s="173" t="str">
        <f t="shared" si="45"/>
        <v>0</v>
      </c>
      <c r="AG235" s="28" t="str">
        <f t="shared" si="46"/>
        <v>0</v>
      </c>
      <c r="AH235" s="3"/>
      <c r="AI235" s="227"/>
      <c r="AK235" s="188" t="s">
        <v>38</v>
      </c>
      <c r="AL235" s="199">
        <f>AG255</f>
        <v>1.5</v>
      </c>
      <c r="AM235" s="187"/>
      <c r="AN235" s="187"/>
      <c r="AO235" s="187"/>
      <c r="AP235" s="187"/>
    </row>
    <row r="236" spans="1:42" s="1" customFormat="1" ht="14.25">
      <c r="B236" s="13" t="s">
        <v>129</v>
      </c>
      <c r="C236" s="47">
        <v>0.35416666666666669</v>
      </c>
      <c r="D236" s="47">
        <v>0.22916666666666666</v>
      </c>
      <c r="E236" s="19">
        <v>8</v>
      </c>
      <c r="F236" s="277"/>
      <c r="G236" s="3"/>
      <c r="H236" s="47">
        <v>0.29166666666666669</v>
      </c>
      <c r="I236" s="47">
        <v>0.22916666666666666</v>
      </c>
      <c r="J236" s="19">
        <v>8</v>
      </c>
      <c r="K236" s="277">
        <v>1.5</v>
      </c>
      <c r="L236" s="3"/>
      <c r="M236" s="47">
        <v>0.35416666666666669</v>
      </c>
      <c r="N236" s="47">
        <v>0.22916666666666666</v>
      </c>
      <c r="O236" s="19">
        <v>8</v>
      </c>
      <c r="P236" s="277"/>
      <c r="Q236" s="3"/>
      <c r="R236" s="47">
        <v>0.35416666666666669</v>
      </c>
      <c r="S236" s="47">
        <v>0.22916666666666666</v>
      </c>
      <c r="T236" s="19">
        <v>8</v>
      </c>
      <c r="U236" s="277"/>
      <c r="V236" s="3"/>
      <c r="W236" s="47">
        <v>0.35416666666666669</v>
      </c>
      <c r="X236" s="47">
        <v>0.22916666666666666</v>
      </c>
      <c r="Y236" s="19">
        <v>8</v>
      </c>
      <c r="Z236" s="277"/>
      <c r="AA236" s="29">
        <f t="shared" si="44"/>
        <v>40</v>
      </c>
      <c r="AB236" s="297">
        <f>Z236+U236+P236+K236+F236</f>
        <v>1.5</v>
      </c>
      <c r="AC236" s="3"/>
      <c r="AD236" s="4">
        <v>0</v>
      </c>
      <c r="AE236" s="4">
        <v>0</v>
      </c>
      <c r="AF236" s="19" t="str">
        <f t="shared" si="45"/>
        <v>0</v>
      </c>
      <c r="AG236" s="29" t="str">
        <f t="shared" si="46"/>
        <v>0</v>
      </c>
      <c r="AH236" s="3"/>
      <c r="AI236" s="227"/>
      <c r="AK236" s="188" t="s">
        <v>41</v>
      </c>
      <c r="AL236" s="189">
        <f>C256</f>
        <v>74</v>
      </c>
      <c r="AM236" s="191"/>
      <c r="AN236" s="191"/>
      <c r="AO236" s="191"/>
      <c r="AP236" s="191"/>
    </row>
    <row r="237" spans="1:42" s="1" customFormat="1" ht="14.25">
      <c r="B237" s="13" t="s">
        <v>35</v>
      </c>
      <c r="C237" s="47">
        <v>0.36805555555555558</v>
      </c>
      <c r="D237" s="47">
        <v>0.22916666666666666</v>
      </c>
      <c r="E237" s="19">
        <v>8</v>
      </c>
      <c r="F237" s="277"/>
      <c r="G237" s="3"/>
      <c r="H237" s="47">
        <v>0.35416666666666669</v>
      </c>
      <c r="I237" s="47">
        <v>0.22916666666666666</v>
      </c>
      <c r="J237" s="19">
        <v>8</v>
      </c>
      <c r="K237" s="277"/>
      <c r="L237" s="3"/>
      <c r="M237" s="47">
        <v>0.3611111111111111</v>
      </c>
      <c r="N237" s="47">
        <v>0.22916666666666666</v>
      </c>
      <c r="O237" s="19">
        <v>8</v>
      </c>
      <c r="P237" s="277"/>
      <c r="Q237" s="3"/>
      <c r="R237" s="47">
        <v>0.375</v>
      </c>
      <c r="S237" s="47">
        <v>0.22916666666666666</v>
      </c>
      <c r="T237" s="19">
        <v>7.5</v>
      </c>
      <c r="U237" s="277"/>
      <c r="V237" s="3"/>
      <c r="W237" s="47">
        <v>0.39583333333333331</v>
      </c>
      <c r="X237" s="47">
        <v>0.22916666666666666</v>
      </c>
      <c r="Y237" s="19">
        <v>7</v>
      </c>
      <c r="Z237" s="277"/>
      <c r="AA237" s="29">
        <f t="shared" si="44"/>
        <v>38.5</v>
      </c>
      <c r="AB237" s="297">
        <f t="shared" si="47"/>
        <v>0</v>
      </c>
      <c r="AC237" s="3"/>
      <c r="AD237" s="47">
        <v>0.38541666666666669</v>
      </c>
      <c r="AE237" s="47">
        <v>0.16666666666666666</v>
      </c>
      <c r="AF237" s="19">
        <v>6.75</v>
      </c>
      <c r="AG237" s="29">
        <f t="shared" si="46"/>
        <v>6.75</v>
      </c>
      <c r="AH237" s="3"/>
      <c r="AI237" s="227"/>
      <c r="AK237" s="187"/>
      <c r="AL237" s="187"/>
      <c r="AM237" s="187"/>
      <c r="AN237" s="187"/>
      <c r="AO237" s="187"/>
      <c r="AP237" s="187"/>
    </row>
    <row r="238" spans="1:42" s="1" customFormat="1" ht="14.25">
      <c r="B238" s="13" t="s">
        <v>37</v>
      </c>
      <c r="C238" s="47">
        <v>0.35416666666666669</v>
      </c>
      <c r="D238" s="47">
        <v>0.22916666666666666</v>
      </c>
      <c r="E238" s="19">
        <v>8</v>
      </c>
      <c r="F238" s="277"/>
      <c r="G238" s="3"/>
      <c r="H238" s="47">
        <v>0.29166666666666669</v>
      </c>
      <c r="I238" s="47">
        <v>0.22916666666666666</v>
      </c>
      <c r="J238" s="19">
        <v>8</v>
      </c>
      <c r="K238" s="277">
        <v>1.5</v>
      </c>
      <c r="L238" s="3"/>
      <c r="M238" s="47">
        <v>0.33333333333333331</v>
      </c>
      <c r="N238" s="47">
        <v>0.22916666666666666</v>
      </c>
      <c r="O238" s="19">
        <v>8.5</v>
      </c>
      <c r="P238" s="277">
        <v>0.5</v>
      </c>
      <c r="Q238" s="3"/>
      <c r="R238" s="47">
        <v>0.36458333333333331</v>
      </c>
      <c r="S238" s="47">
        <v>0.22916666666666666</v>
      </c>
      <c r="T238" s="19">
        <v>7.75</v>
      </c>
      <c r="U238" s="277"/>
      <c r="V238" s="3"/>
      <c r="W238" s="4">
        <v>0</v>
      </c>
      <c r="X238" s="4">
        <v>0</v>
      </c>
      <c r="Y238" s="19">
        <v>0</v>
      </c>
      <c r="Z238" s="277"/>
      <c r="AA238" s="29">
        <f t="shared" si="44"/>
        <v>32.25</v>
      </c>
      <c r="AB238" s="297">
        <f t="shared" si="47"/>
        <v>2</v>
      </c>
      <c r="AC238" s="3"/>
      <c r="AD238" s="4">
        <v>0</v>
      </c>
      <c r="AE238" s="4">
        <v>0</v>
      </c>
      <c r="AF238" s="19" t="str">
        <f t="shared" ref="AF238:AF249" si="48">TEXT(AE238-AD238, "h")</f>
        <v>0</v>
      </c>
      <c r="AG238" s="29" t="str">
        <f t="shared" si="46"/>
        <v>0</v>
      </c>
      <c r="AH238" s="3"/>
      <c r="AI238" s="227"/>
      <c r="AK238" s="187"/>
      <c r="AL238" s="187"/>
      <c r="AM238" s="187"/>
      <c r="AN238" s="187"/>
      <c r="AO238" s="187"/>
      <c r="AP238" s="187"/>
    </row>
    <row r="239" spans="1:42" s="1" customFormat="1" ht="14.25">
      <c r="B239" s="13" t="s">
        <v>39</v>
      </c>
      <c r="C239" s="47">
        <v>0.375</v>
      </c>
      <c r="D239" s="47">
        <v>0.22916666666666666</v>
      </c>
      <c r="E239" s="19">
        <v>7.5</v>
      </c>
      <c r="F239" s="277"/>
      <c r="G239" s="3"/>
      <c r="H239" s="47">
        <v>0.38541666666666669</v>
      </c>
      <c r="I239" s="47">
        <v>0.22916666666666666</v>
      </c>
      <c r="J239" s="19">
        <v>7.25</v>
      </c>
      <c r="K239" s="277"/>
      <c r="L239" s="3"/>
      <c r="M239" s="47">
        <v>0.39583333333333331</v>
      </c>
      <c r="N239" s="47">
        <v>0.22916666666666666</v>
      </c>
      <c r="O239" s="19">
        <v>7</v>
      </c>
      <c r="P239" s="277"/>
      <c r="Q239" s="3"/>
      <c r="R239" s="47">
        <v>0.38541666666666669</v>
      </c>
      <c r="S239" s="47">
        <v>0.22916666666666666</v>
      </c>
      <c r="T239" s="19">
        <v>7.25</v>
      </c>
      <c r="U239" s="277"/>
      <c r="V239" s="3"/>
      <c r="W239" s="47">
        <v>0.39583333333333331</v>
      </c>
      <c r="X239" s="47">
        <v>0.22916666666666666</v>
      </c>
      <c r="Y239" s="19">
        <v>7</v>
      </c>
      <c r="Z239" s="277"/>
      <c r="AA239" s="29">
        <f t="shared" si="44"/>
        <v>36</v>
      </c>
      <c r="AB239" s="297">
        <f t="shared" si="47"/>
        <v>0</v>
      </c>
      <c r="AC239" s="3"/>
      <c r="AD239" s="4">
        <v>0</v>
      </c>
      <c r="AE239" s="4">
        <v>0</v>
      </c>
      <c r="AF239" s="19" t="str">
        <f t="shared" si="48"/>
        <v>0</v>
      </c>
      <c r="AG239" s="29" t="str">
        <f t="shared" si="46"/>
        <v>0</v>
      </c>
      <c r="AH239" s="3"/>
      <c r="AI239" s="227"/>
      <c r="AK239" s="187"/>
      <c r="AL239" s="187"/>
      <c r="AM239" s="187"/>
      <c r="AN239" s="187"/>
      <c r="AO239" s="187"/>
      <c r="AP239" s="187"/>
    </row>
    <row r="240" spans="1:42" s="1" customFormat="1" ht="14.25">
      <c r="B240" s="164" t="s">
        <v>40</v>
      </c>
      <c r="C240" s="47">
        <v>0.375</v>
      </c>
      <c r="D240" s="47">
        <v>0.22916666666666666</v>
      </c>
      <c r="E240" s="19">
        <v>7.5</v>
      </c>
      <c r="F240" s="277"/>
      <c r="G240" s="3"/>
      <c r="H240" s="47">
        <v>0.38541666666666669</v>
      </c>
      <c r="I240" s="47">
        <v>0.22916666666666666</v>
      </c>
      <c r="J240" s="19">
        <v>7.25</v>
      </c>
      <c r="K240" s="277"/>
      <c r="L240" s="3"/>
      <c r="M240" s="47">
        <v>0.36458333333333331</v>
      </c>
      <c r="N240" s="47">
        <v>0.22916666666666666</v>
      </c>
      <c r="O240" s="19">
        <v>7.75</v>
      </c>
      <c r="P240" s="277"/>
      <c r="Q240" s="3"/>
      <c r="R240" s="47">
        <v>0.375</v>
      </c>
      <c r="S240" s="47">
        <v>0.22916666666666666</v>
      </c>
      <c r="T240" s="19">
        <v>7.5</v>
      </c>
      <c r="U240" s="277"/>
      <c r="V240" s="3"/>
      <c r="W240" s="47">
        <v>0.375</v>
      </c>
      <c r="X240" s="47">
        <v>0.22916666666666666</v>
      </c>
      <c r="Y240" s="19">
        <v>7.5</v>
      </c>
      <c r="Z240" s="277"/>
      <c r="AA240" s="29">
        <f t="shared" si="44"/>
        <v>37.5</v>
      </c>
      <c r="AB240" s="297">
        <f t="shared" si="47"/>
        <v>0</v>
      </c>
      <c r="AC240" s="3"/>
      <c r="AD240" s="4">
        <v>0</v>
      </c>
      <c r="AE240" s="4">
        <v>0</v>
      </c>
      <c r="AF240" s="19" t="str">
        <f t="shared" si="48"/>
        <v>0</v>
      </c>
      <c r="AG240" s="29" t="str">
        <f t="shared" si="46"/>
        <v>0</v>
      </c>
      <c r="AH240" s="3"/>
      <c r="AI240" s="227"/>
      <c r="AK240" s="187"/>
      <c r="AL240" s="187"/>
      <c r="AM240" s="187"/>
      <c r="AN240" s="187"/>
      <c r="AO240" s="187"/>
      <c r="AP240" s="187"/>
    </row>
    <row r="241" spans="1:42" s="1" customFormat="1" ht="14.25">
      <c r="B241" s="164" t="s">
        <v>42</v>
      </c>
      <c r="C241" s="47">
        <v>0.35416666666666669</v>
      </c>
      <c r="D241" s="47">
        <v>0.22916666666666666</v>
      </c>
      <c r="E241" s="19">
        <v>8</v>
      </c>
      <c r="F241" s="277"/>
      <c r="G241" s="3"/>
      <c r="H241" s="47">
        <v>0.29166666666666669</v>
      </c>
      <c r="I241" s="47">
        <v>0.22916666666666666</v>
      </c>
      <c r="J241" s="19">
        <v>8</v>
      </c>
      <c r="K241" s="277">
        <v>1.5</v>
      </c>
      <c r="L241" s="3"/>
      <c r="M241" s="47">
        <v>0.33333333333333331</v>
      </c>
      <c r="N241" s="47">
        <v>0.22916666666666666</v>
      </c>
      <c r="O241" s="19">
        <v>8</v>
      </c>
      <c r="P241" s="277"/>
      <c r="Q241" s="3"/>
      <c r="R241" s="47">
        <v>0.35416666666666669</v>
      </c>
      <c r="S241" s="47">
        <v>0.22916666666666666</v>
      </c>
      <c r="T241" s="19">
        <v>8</v>
      </c>
      <c r="U241" s="277"/>
      <c r="V241" s="3"/>
      <c r="W241" s="47">
        <v>0.35416666666666669</v>
      </c>
      <c r="X241" s="47">
        <v>0.22916666666666666</v>
      </c>
      <c r="Y241" s="19">
        <v>8</v>
      </c>
      <c r="Z241" s="277"/>
      <c r="AA241" s="29">
        <f t="shared" si="44"/>
        <v>40</v>
      </c>
      <c r="AB241" s="297">
        <f t="shared" si="47"/>
        <v>1.5</v>
      </c>
      <c r="AC241" s="3"/>
      <c r="AD241" s="4">
        <v>0</v>
      </c>
      <c r="AE241" s="4">
        <v>0</v>
      </c>
      <c r="AF241" s="19" t="str">
        <f t="shared" si="48"/>
        <v>0</v>
      </c>
      <c r="AG241" s="29" t="str">
        <f t="shared" si="46"/>
        <v>0</v>
      </c>
      <c r="AH241" s="3"/>
      <c r="AI241" s="227"/>
      <c r="AK241" s="187"/>
      <c r="AL241" s="187"/>
      <c r="AM241" s="187"/>
      <c r="AN241" s="187"/>
      <c r="AO241" s="187"/>
      <c r="AP241" s="187"/>
    </row>
    <row r="242" spans="1:42" s="1" customFormat="1" ht="14.25">
      <c r="B242" s="13" t="s">
        <v>43</v>
      </c>
      <c r="C242" s="47">
        <v>0.33680555555555558</v>
      </c>
      <c r="D242" s="47">
        <v>0.20833333333333334</v>
      </c>
      <c r="E242" s="19">
        <v>8</v>
      </c>
      <c r="F242" s="277"/>
      <c r="G242" s="3"/>
      <c r="H242" s="47">
        <v>0.29166666666666669</v>
      </c>
      <c r="I242" s="47">
        <v>0.29166666666666669</v>
      </c>
      <c r="J242" s="19">
        <v>8</v>
      </c>
      <c r="K242" s="277">
        <v>3</v>
      </c>
      <c r="L242" s="3"/>
      <c r="M242" s="47">
        <v>0.33333333333333331</v>
      </c>
      <c r="N242" s="47">
        <v>0.22916666666666666</v>
      </c>
      <c r="O242" s="19">
        <v>8.5</v>
      </c>
      <c r="P242" s="277">
        <v>0.5</v>
      </c>
      <c r="Q242" s="3"/>
      <c r="R242" s="47">
        <v>0.33333333333333331</v>
      </c>
      <c r="S242" s="47">
        <v>0.22916666666666666</v>
      </c>
      <c r="T242" s="19">
        <v>8.5</v>
      </c>
      <c r="U242" s="277">
        <v>0.5</v>
      </c>
      <c r="V242" s="3"/>
      <c r="W242" s="47">
        <v>0.33333333333333331</v>
      </c>
      <c r="X242" s="47">
        <v>0.22916666666666666</v>
      </c>
      <c r="Y242" s="19">
        <v>8</v>
      </c>
      <c r="Z242" s="277">
        <v>0.5</v>
      </c>
      <c r="AA242" s="29">
        <f t="shared" si="44"/>
        <v>41</v>
      </c>
      <c r="AB242" s="297">
        <f t="shared" si="47"/>
        <v>4.5</v>
      </c>
      <c r="AC242" s="3"/>
      <c r="AD242" s="4">
        <v>0</v>
      </c>
      <c r="AE242" s="4">
        <v>0</v>
      </c>
      <c r="AF242" s="19" t="str">
        <f t="shared" si="48"/>
        <v>0</v>
      </c>
      <c r="AG242" s="29" t="str">
        <f t="shared" si="46"/>
        <v>0</v>
      </c>
      <c r="AH242" s="3"/>
      <c r="AI242" s="227"/>
      <c r="AK242" s="187"/>
      <c r="AL242" s="187"/>
      <c r="AM242" s="187"/>
      <c r="AN242" s="187"/>
      <c r="AO242" s="187"/>
      <c r="AP242" s="187"/>
    </row>
    <row r="243" spans="1:42" s="1" customFormat="1" ht="14.25">
      <c r="B243" s="13" t="s">
        <v>157</v>
      </c>
      <c r="C243" s="47">
        <v>0.375</v>
      </c>
      <c r="D243" s="47">
        <v>0.22916666666666666</v>
      </c>
      <c r="E243" s="19">
        <v>7.5</v>
      </c>
      <c r="F243" s="277"/>
      <c r="G243" s="3"/>
      <c r="H243" s="47">
        <v>0.38541666666666669</v>
      </c>
      <c r="I243" s="47">
        <v>0.22916666666666666</v>
      </c>
      <c r="J243" s="19">
        <v>7.25</v>
      </c>
      <c r="K243" s="277"/>
      <c r="L243" s="3"/>
      <c r="M243" s="47">
        <v>0.375</v>
      </c>
      <c r="N243" s="47">
        <v>0.22916666666666666</v>
      </c>
      <c r="O243" s="19">
        <v>7.5</v>
      </c>
      <c r="P243" s="277"/>
      <c r="Q243" s="3"/>
      <c r="R243" s="47">
        <v>0.36458333333333331</v>
      </c>
      <c r="S243" s="47">
        <v>0.22916666666666666</v>
      </c>
      <c r="T243" s="19">
        <v>7.75</v>
      </c>
      <c r="U243" s="277"/>
      <c r="V243" s="3"/>
      <c r="W243" s="47">
        <v>0.35416666666666669</v>
      </c>
      <c r="X243" s="47">
        <v>0.22916666666666666</v>
      </c>
      <c r="Y243" s="19">
        <v>8</v>
      </c>
      <c r="Z243" s="277"/>
      <c r="AA243" s="29">
        <f t="shared" si="44"/>
        <v>38</v>
      </c>
      <c r="AB243" s="297">
        <f t="shared" si="47"/>
        <v>0</v>
      </c>
      <c r="AC243" s="3"/>
      <c r="AD243" s="4">
        <v>0</v>
      </c>
      <c r="AE243" s="4">
        <v>0</v>
      </c>
      <c r="AF243" s="19" t="str">
        <f t="shared" si="48"/>
        <v>0</v>
      </c>
      <c r="AG243" s="29" t="str">
        <f t="shared" si="46"/>
        <v>0</v>
      </c>
      <c r="AH243" s="3"/>
      <c r="AI243" s="227"/>
      <c r="AK243" s="187"/>
      <c r="AL243" s="187"/>
      <c r="AM243" s="187"/>
      <c r="AN243" s="187"/>
      <c r="AO243" s="187"/>
      <c r="AP243" s="187"/>
    </row>
    <row r="244" spans="1:42" s="1" customFormat="1" ht="14.25">
      <c r="B244" s="13" t="s">
        <v>47</v>
      </c>
      <c r="C244" s="4">
        <v>0</v>
      </c>
      <c r="D244" s="4">
        <v>0</v>
      </c>
      <c r="E244" s="19" t="str">
        <f t="shared" ref="E244" si="49">TEXT(D244-C244, "h")</f>
        <v>0</v>
      </c>
      <c r="F244" s="277"/>
      <c r="G244" s="3"/>
      <c r="H244" s="47">
        <v>0.34375</v>
      </c>
      <c r="I244" s="47">
        <v>0.27083333333333331</v>
      </c>
      <c r="J244" s="19">
        <v>8</v>
      </c>
      <c r="K244" s="277">
        <v>1.25</v>
      </c>
      <c r="L244" s="3"/>
      <c r="M244" s="47">
        <v>0.35416666666666669</v>
      </c>
      <c r="N244" s="47">
        <v>0.22916666666666666</v>
      </c>
      <c r="O244" s="19">
        <v>8</v>
      </c>
      <c r="P244" s="277"/>
      <c r="Q244" s="3"/>
      <c r="R244" s="47">
        <v>0.33333333333333331</v>
      </c>
      <c r="S244" s="47">
        <v>0.22916666666666666</v>
      </c>
      <c r="T244" s="19">
        <v>8.5</v>
      </c>
      <c r="U244" s="277">
        <v>0.5</v>
      </c>
      <c r="V244" s="3"/>
      <c r="W244" s="47">
        <v>0.33333333333333331</v>
      </c>
      <c r="X244" s="47">
        <v>0.22916666666666666</v>
      </c>
      <c r="Y244" s="19">
        <v>8</v>
      </c>
      <c r="Z244" s="277">
        <v>0.5</v>
      </c>
      <c r="AA244" s="29">
        <f t="shared" si="44"/>
        <v>32.5</v>
      </c>
      <c r="AB244" s="297">
        <f t="shared" si="47"/>
        <v>2.25</v>
      </c>
      <c r="AC244" s="3"/>
      <c r="AD244" s="47">
        <v>0.35416666666666669</v>
      </c>
      <c r="AE244" s="47">
        <v>0.16666666666666666</v>
      </c>
      <c r="AF244" s="19">
        <v>7.5</v>
      </c>
      <c r="AG244" s="29">
        <f t="shared" si="46"/>
        <v>7.5</v>
      </c>
      <c r="AH244" s="3"/>
      <c r="AI244" s="227"/>
      <c r="AK244" s="187"/>
      <c r="AL244" s="187"/>
      <c r="AM244" s="187"/>
      <c r="AN244" s="187"/>
      <c r="AO244" s="187"/>
      <c r="AP244" s="187"/>
    </row>
    <row r="245" spans="1:42" s="1" customFormat="1" ht="14.25">
      <c r="B245" s="13" t="s">
        <v>46</v>
      </c>
      <c r="C245" s="47">
        <v>0.35416666666666669</v>
      </c>
      <c r="D245" s="47">
        <v>0.25</v>
      </c>
      <c r="E245" s="19">
        <v>8</v>
      </c>
      <c r="F245" s="277">
        <v>0.5</v>
      </c>
      <c r="G245" s="3"/>
      <c r="H245" s="47">
        <v>0.29166666666666669</v>
      </c>
      <c r="I245" s="47">
        <v>0.33333333333333331</v>
      </c>
      <c r="J245" s="19">
        <v>8</v>
      </c>
      <c r="K245" s="277">
        <v>4</v>
      </c>
      <c r="L245" s="3"/>
      <c r="M245" s="47">
        <v>0.33333333333333331</v>
      </c>
      <c r="N245" s="47">
        <v>0.22916666666666666</v>
      </c>
      <c r="O245" s="19">
        <v>8.5</v>
      </c>
      <c r="P245" s="277">
        <v>0.5</v>
      </c>
      <c r="Q245" s="3"/>
      <c r="R245" s="47">
        <v>0.33333333333333331</v>
      </c>
      <c r="S245" s="47">
        <v>0.22916666666666666</v>
      </c>
      <c r="T245" s="19">
        <v>8.5</v>
      </c>
      <c r="U245" s="277">
        <v>0.5</v>
      </c>
      <c r="V245" s="3"/>
      <c r="W245" s="47">
        <v>0.33333333333333331</v>
      </c>
      <c r="X245" s="47">
        <v>0.22916666666666666</v>
      </c>
      <c r="Y245" s="19">
        <v>8</v>
      </c>
      <c r="Z245" s="277">
        <v>0.5</v>
      </c>
      <c r="AA245" s="29">
        <f t="shared" si="44"/>
        <v>41</v>
      </c>
      <c r="AB245" s="297">
        <f t="shared" si="47"/>
        <v>6</v>
      </c>
      <c r="AC245" s="3"/>
      <c r="AD245" s="47">
        <v>0.36458333333333331</v>
      </c>
      <c r="AE245" s="47">
        <v>0.16666666666666666</v>
      </c>
      <c r="AF245" s="19">
        <v>7.25</v>
      </c>
      <c r="AG245" s="29">
        <f t="shared" si="46"/>
        <v>7.25</v>
      </c>
      <c r="AH245" s="3"/>
      <c r="AI245" s="227"/>
      <c r="AK245" s="187"/>
      <c r="AL245" s="187"/>
      <c r="AM245" s="187"/>
      <c r="AN245" s="187"/>
      <c r="AO245" s="187"/>
      <c r="AP245" s="187"/>
    </row>
    <row r="246" spans="1:42" s="1" customFormat="1" ht="14.25">
      <c r="B246" s="13" t="s">
        <v>54</v>
      </c>
      <c r="C246" s="4">
        <v>0</v>
      </c>
      <c r="D246" s="4">
        <v>0</v>
      </c>
      <c r="E246" s="19" t="str">
        <f t="shared" ref="E246" si="50">TEXT(D246-C246, "h")</f>
        <v>0</v>
      </c>
      <c r="F246" s="277"/>
      <c r="G246" s="3"/>
      <c r="H246" s="4">
        <v>0</v>
      </c>
      <c r="I246" s="4">
        <v>0</v>
      </c>
      <c r="J246" s="19" t="str">
        <f t="shared" ref="J246" si="51">TEXT(I246-H246, "h")</f>
        <v>0</v>
      </c>
      <c r="K246" s="277"/>
      <c r="L246" s="3"/>
      <c r="M246" s="4">
        <v>0</v>
      </c>
      <c r="N246" s="4">
        <v>0</v>
      </c>
      <c r="O246" s="19" t="str">
        <f t="shared" ref="O246" si="52">TEXT(N246-M246, "h")</f>
        <v>0</v>
      </c>
      <c r="P246" s="277"/>
      <c r="Q246" s="3"/>
      <c r="R246" s="4">
        <v>0</v>
      </c>
      <c r="S246" s="4">
        <v>0</v>
      </c>
      <c r="T246" s="19">
        <v>0</v>
      </c>
      <c r="U246" s="277"/>
      <c r="V246" s="3"/>
      <c r="W246" s="4">
        <v>0</v>
      </c>
      <c r="X246" s="4">
        <v>0</v>
      </c>
      <c r="Y246" s="19">
        <v>0</v>
      </c>
      <c r="Z246" s="277"/>
      <c r="AA246" s="29">
        <f t="shared" si="44"/>
        <v>0</v>
      </c>
      <c r="AB246" s="297">
        <f t="shared" si="47"/>
        <v>0</v>
      </c>
      <c r="AC246" s="3"/>
      <c r="AD246" s="4">
        <v>0</v>
      </c>
      <c r="AE246" s="4">
        <v>0</v>
      </c>
      <c r="AF246" s="19" t="str">
        <f t="shared" si="48"/>
        <v>0</v>
      </c>
      <c r="AG246" s="29" t="str">
        <f t="shared" si="46"/>
        <v>0</v>
      </c>
      <c r="AH246" s="3"/>
      <c r="AI246" s="227"/>
      <c r="AK246" s="187"/>
      <c r="AL246" s="187"/>
      <c r="AM246" s="187"/>
      <c r="AN246" s="187"/>
      <c r="AO246" s="187"/>
      <c r="AP246" s="187"/>
    </row>
    <row r="247" spans="1:42" s="1" customFormat="1" ht="14.25">
      <c r="B247" s="13" t="s">
        <v>167</v>
      </c>
      <c r="C247" s="12" t="s">
        <v>29</v>
      </c>
      <c r="D247" s="12" t="s">
        <v>29</v>
      </c>
      <c r="E247" s="19">
        <v>6</v>
      </c>
      <c r="F247" s="277"/>
      <c r="G247" s="3"/>
      <c r="H247" s="12" t="s">
        <v>29</v>
      </c>
      <c r="I247" s="12" t="s">
        <v>29</v>
      </c>
      <c r="J247" s="19">
        <v>6</v>
      </c>
      <c r="K247" s="277"/>
      <c r="L247" s="3"/>
      <c r="M247" s="12" t="s">
        <v>29</v>
      </c>
      <c r="N247" s="12" t="s">
        <v>29</v>
      </c>
      <c r="O247" s="19">
        <v>6</v>
      </c>
      <c r="P247" s="277"/>
      <c r="Q247" s="3"/>
      <c r="R247" s="12" t="s">
        <v>29</v>
      </c>
      <c r="S247" s="12" t="s">
        <v>29</v>
      </c>
      <c r="T247" s="19">
        <v>6</v>
      </c>
      <c r="U247" s="277"/>
      <c r="V247" s="3"/>
      <c r="W247" s="12" t="s">
        <v>29</v>
      </c>
      <c r="X247" s="12" t="s">
        <v>29</v>
      </c>
      <c r="Y247" s="19">
        <v>6</v>
      </c>
      <c r="Z247" s="277"/>
      <c r="AA247" s="29">
        <f t="shared" si="44"/>
        <v>30</v>
      </c>
      <c r="AB247" s="297">
        <f t="shared" si="47"/>
        <v>0</v>
      </c>
      <c r="AC247" s="3"/>
      <c r="AD247" s="4">
        <v>0</v>
      </c>
      <c r="AE247" s="4">
        <v>0</v>
      </c>
      <c r="AF247" s="19" t="str">
        <f t="shared" si="48"/>
        <v>0</v>
      </c>
      <c r="AG247" s="29" t="str">
        <f t="shared" si="46"/>
        <v>0</v>
      </c>
      <c r="AH247" s="3"/>
      <c r="AI247" s="227"/>
      <c r="AK247" s="187"/>
      <c r="AL247" s="187"/>
      <c r="AM247" s="187"/>
      <c r="AN247" s="187"/>
      <c r="AO247" s="187"/>
      <c r="AP247" s="187"/>
    </row>
    <row r="248" spans="1:42" s="1" customFormat="1" ht="14.25">
      <c r="B248" s="13" t="s">
        <v>55</v>
      </c>
      <c r="C248" s="4">
        <v>0</v>
      </c>
      <c r="D248" s="4">
        <v>0</v>
      </c>
      <c r="E248" s="19" t="str">
        <f>TEXT(D248-C248, "h")</f>
        <v>0</v>
      </c>
      <c r="F248" s="277"/>
      <c r="G248" s="3"/>
      <c r="H248" s="4">
        <v>0</v>
      </c>
      <c r="I248" s="4">
        <v>0</v>
      </c>
      <c r="J248" s="19" t="str">
        <f>TEXT(I248-H248, "h")</f>
        <v>0</v>
      </c>
      <c r="K248" s="277"/>
      <c r="L248" s="3"/>
      <c r="M248" s="4">
        <v>0</v>
      </c>
      <c r="N248" s="4">
        <v>0</v>
      </c>
      <c r="O248" s="19" t="str">
        <f>TEXT(N248-M248, "h")</f>
        <v>0</v>
      </c>
      <c r="P248" s="277"/>
      <c r="Q248" s="3"/>
      <c r="R248" s="4">
        <v>0</v>
      </c>
      <c r="S248" s="4">
        <v>0</v>
      </c>
      <c r="T248" s="19">
        <v>0</v>
      </c>
      <c r="U248" s="277"/>
      <c r="V248" s="3"/>
      <c r="W248" s="4">
        <v>0</v>
      </c>
      <c r="X248" s="4">
        <v>0</v>
      </c>
      <c r="Y248" s="19">
        <v>0</v>
      </c>
      <c r="Z248" s="277"/>
      <c r="AA248" s="29">
        <f>(E248+J248+O248+T248+Y248)</f>
        <v>0</v>
      </c>
      <c r="AB248" s="297">
        <f t="shared" si="47"/>
        <v>0</v>
      </c>
      <c r="AC248" s="3"/>
      <c r="AD248" s="47">
        <v>0.38541666666666669</v>
      </c>
      <c r="AE248" s="47">
        <v>0.14583333333333334</v>
      </c>
      <c r="AF248" s="19">
        <v>6.25</v>
      </c>
      <c r="AG248" s="29">
        <f t="shared" si="46"/>
        <v>6.25</v>
      </c>
      <c r="AH248" s="3"/>
      <c r="AI248" s="227"/>
      <c r="AK248" s="187"/>
      <c r="AL248" s="187"/>
      <c r="AM248" s="187"/>
      <c r="AN248" s="187"/>
      <c r="AO248" s="187"/>
      <c r="AP248" s="187"/>
    </row>
    <row r="249" spans="1:42" s="1" customFormat="1" ht="14.25">
      <c r="B249" s="166" t="s">
        <v>53</v>
      </c>
      <c r="C249" s="12" t="s">
        <v>29</v>
      </c>
      <c r="D249" s="12" t="s">
        <v>29</v>
      </c>
      <c r="E249" s="19">
        <v>6</v>
      </c>
      <c r="F249" s="277"/>
      <c r="G249" s="3"/>
      <c r="H249" s="12" t="s">
        <v>29</v>
      </c>
      <c r="I249" s="12" t="s">
        <v>29</v>
      </c>
      <c r="J249" s="19">
        <v>6</v>
      </c>
      <c r="K249" s="277"/>
      <c r="L249" s="3"/>
      <c r="M249" s="12" t="s">
        <v>29</v>
      </c>
      <c r="N249" s="12" t="s">
        <v>29</v>
      </c>
      <c r="O249" s="19">
        <v>6</v>
      </c>
      <c r="P249" s="277"/>
      <c r="Q249" s="3"/>
      <c r="R249" s="12" t="s">
        <v>29</v>
      </c>
      <c r="S249" s="12" t="s">
        <v>29</v>
      </c>
      <c r="T249" s="19">
        <v>6</v>
      </c>
      <c r="U249" s="277"/>
      <c r="V249" s="3"/>
      <c r="W249" s="12" t="s">
        <v>29</v>
      </c>
      <c r="X249" s="12" t="s">
        <v>29</v>
      </c>
      <c r="Y249" s="19">
        <v>6</v>
      </c>
      <c r="Z249" s="277"/>
      <c r="AA249" s="29">
        <f>(E249+J249+O249+T249+Y249)</f>
        <v>30</v>
      </c>
      <c r="AB249" s="297">
        <f t="shared" si="47"/>
        <v>0</v>
      </c>
      <c r="AC249" s="3"/>
      <c r="AD249" s="4">
        <v>0</v>
      </c>
      <c r="AE249" s="4">
        <v>0</v>
      </c>
      <c r="AF249" s="19" t="str">
        <f t="shared" si="48"/>
        <v>0</v>
      </c>
      <c r="AG249" s="29" t="str">
        <f t="shared" si="46"/>
        <v>0</v>
      </c>
      <c r="AH249" s="3"/>
      <c r="AI249" s="227"/>
      <c r="AK249" s="187"/>
      <c r="AL249" s="187"/>
      <c r="AM249" s="187"/>
      <c r="AN249" s="187"/>
      <c r="AO249" s="187"/>
      <c r="AP249" s="187"/>
    </row>
    <row r="250" spans="1:42" s="1" customFormat="1">
      <c r="B250" s="64" t="s">
        <v>61</v>
      </c>
      <c r="C250" s="64"/>
      <c r="D250" s="64"/>
      <c r="E250" s="167">
        <f>SUM(E231:E249)</f>
        <v>119.75</v>
      </c>
      <c r="F250" s="277">
        <f>SUM(F231:F249)</f>
        <v>0.5</v>
      </c>
      <c r="G250" s="3"/>
      <c r="H250" s="64"/>
      <c r="I250" s="64"/>
      <c r="J250" s="167">
        <f>SUM(J231:J249)</f>
        <v>128</v>
      </c>
      <c r="K250" s="277">
        <f>SUM(K231:K249)</f>
        <v>12.75</v>
      </c>
      <c r="L250" s="3"/>
      <c r="M250" s="64"/>
      <c r="N250" s="64"/>
      <c r="O250" s="167">
        <f>SUM(O231:O249)</f>
        <v>128.55000000000001</v>
      </c>
      <c r="P250" s="277">
        <f>SUM(P231:P249)</f>
        <v>1.5</v>
      </c>
      <c r="Q250" s="3"/>
      <c r="R250" s="64"/>
      <c r="S250" s="64"/>
      <c r="T250" s="167">
        <f>SUM(T231:T249)</f>
        <v>123.25</v>
      </c>
      <c r="U250" s="277">
        <f>SUM(U231:U249)</f>
        <v>1.5</v>
      </c>
      <c r="V250" s="3"/>
      <c r="W250" s="64"/>
      <c r="X250" s="64"/>
      <c r="Y250" s="167">
        <f>SUM(Y231:Y249)</f>
        <v>119.75</v>
      </c>
      <c r="Z250" s="277">
        <f>SUM(Z231:Z249)</f>
        <v>2</v>
      </c>
      <c r="AA250" s="247">
        <f>SUM(AA231:AA249)</f>
        <v>619.29999999999995</v>
      </c>
      <c r="AB250" s="284">
        <f>SUM(AB231:AB249)</f>
        <v>18.25</v>
      </c>
      <c r="AC250" s="3"/>
      <c r="AD250" s="64"/>
      <c r="AE250" s="64"/>
      <c r="AF250" s="64">
        <f>SUM(AF233:AF248)</f>
        <v>27.75</v>
      </c>
      <c r="AG250" s="247">
        <f>SUM(AG233:AG248)</f>
        <v>27.75</v>
      </c>
      <c r="AH250" s="3"/>
      <c r="AI250" s="227"/>
      <c r="AK250" s="187"/>
      <c r="AL250" s="187"/>
      <c r="AM250" s="187"/>
      <c r="AN250" s="187"/>
      <c r="AO250" s="187"/>
      <c r="AP250" s="187"/>
    </row>
    <row r="251" spans="1:42" s="1" customFormat="1">
      <c r="B251" s="63" t="s">
        <v>62</v>
      </c>
      <c r="C251" s="56"/>
      <c r="D251" s="56"/>
      <c r="E251" s="19">
        <v>8</v>
      </c>
      <c r="F251" s="291">
        <v>3.5</v>
      </c>
      <c r="G251" s="60"/>
      <c r="H251" s="56"/>
      <c r="I251" s="56"/>
      <c r="J251" s="19">
        <v>8</v>
      </c>
      <c r="K251" s="291">
        <v>3.25</v>
      </c>
      <c r="L251" s="60"/>
      <c r="M251" s="56"/>
      <c r="N251" s="56"/>
      <c r="O251" s="19">
        <v>8</v>
      </c>
      <c r="P251" s="291">
        <v>2.75</v>
      </c>
      <c r="Q251" s="60"/>
      <c r="R251" s="56"/>
      <c r="S251" s="56"/>
      <c r="T251" s="19">
        <v>8</v>
      </c>
      <c r="U251" s="291">
        <v>2.5</v>
      </c>
      <c r="V251" s="60"/>
      <c r="W251" s="56"/>
      <c r="X251" s="56"/>
      <c r="Y251" s="19">
        <v>8</v>
      </c>
      <c r="Z251" s="291">
        <v>2.75</v>
      </c>
      <c r="AA251" s="29">
        <f>(E251+J251+O251+T251+Y251)</f>
        <v>40</v>
      </c>
      <c r="AB251" s="282">
        <f>Z251+U251+P251+K251+F251</f>
        <v>14.75</v>
      </c>
      <c r="AC251" s="3"/>
      <c r="AD251" s="56"/>
      <c r="AE251" s="56"/>
      <c r="AF251" s="19">
        <v>0</v>
      </c>
      <c r="AG251" s="29">
        <f>AF251</f>
        <v>0</v>
      </c>
      <c r="AH251" s="3"/>
      <c r="AI251" s="227"/>
      <c r="AK251" s="187"/>
      <c r="AL251" s="187"/>
      <c r="AM251" s="187"/>
      <c r="AN251" s="187"/>
      <c r="AO251" s="187"/>
      <c r="AP251" s="187"/>
    </row>
    <row r="252" spans="1:42" s="1" customFormat="1">
      <c r="B252" s="63" t="s">
        <v>63</v>
      </c>
      <c r="C252" s="56"/>
      <c r="D252" s="56"/>
      <c r="E252" s="19">
        <v>7</v>
      </c>
      <c r="F252" s="291">
        <v>0</v>
      </c>
      <c r="G252" s="60"/>
      <c r="H252" s="56"/>
      <c r="I252" s="56"/>
      <c r="J252" s="19">
        <v>6</v>
      </c>
      <c r="K252" s="291">
        <v>0</v>
      </c>
      <c r="L252" s="60"/>
      <c r="M252" s="56"/>
      <c r="N252" s="56"/>
      <c r="O252" s="19">
        <v>8</v>
      </c>
      <c r="P252" s="291">
        <v>0</v>
      </c>
      <c r="Q252" s="60"/>
      <c r="R252" s="56"/>
      <c r="S252" s="56"/>
      <c r="T252" s="19">
        <v>7</v>
      </c>
      <c r="U252" s="291">
        <v>0</v>
      </c>
      <c r="V252" s="60"/>
      <c r="W252" s="56"/>
      <c r="X252" s="56"/>
      <c r="Y252" s="19">
        <v>7.5</v>
      </c>
      <c r="Z252" s="291">
        <v>0</v>
      </c>
      <c r="AA252" s="29">
        <f>(E252+J252+O252+T252+Y252)</f>
        <v>35.5</v>
      </c>
      <c r="AB252" s="282">
        <f t="shared" ref="AB252:AB254" si="53">Z252+U252+P252+K252+F252</f>
        <v>0</v>
      </c>
      <c r="AC252" s="3"/>
      <c r="AD252" s="56"/>
      <c r="AE252" s="56"/>
      <c r="AF252" s="19">
        <v>0</v>
      </c>
      <c r="AG252" s="29">
        <f>AF252</f>
        <v>0</v>
      </c>
      <c r="AH252" s="3"/>
      <c r="AI252" s="227"/>
      <c r="AK252" s="187"/>
      <c r="AL252" s="187"/>
      <c r="AM252" s="187"/>
      <c r="AN252" s="187"/>
      <c r="AO252" s="187"/>
      <c r="AP252" s="187"/>
    </row>
    <row r="253" spans="1:42" s="1" customFormat="1">
      <c r="B253" s="63" t="s">
        <v>64</v>
      </c>
      <c r="C253" s="56"/>
      <c r="D253" s="56"/>
      <c r="E253" s="19">
        <f>6+(1*1.5)</f>
        <v>7.5</v>
      </c>
      <c r="F253" s="291">
        <v>0</v>
      </c>
      <c r="G253" s="60"/>
      <c r="H253" s="56"/>
      <c r="I253" s="56"/>
      <c r="J253" s="19">
        <f>7+(0.5*1.5)</f>
        <v>7.75</v>
      </c>
      <c r="K253" s="291">
        <v>3.75</v>
      </c>
      <c r="L253" s="60"/>
      <c r="M253" s="56"/>
      <c r="N253" s="56"/>
      <c r="O253" s="19">
        <f>7+(0.5*1.5)</f>
        <v>7.75</v>
      </c>
      <c r="P253" s="291">
        <v>1.5</v>
      </c>
      <c r="Q253" s="60"/>
      <c r="R253" s="56"/>
      <c r="S253" s="56"/>
      <c r="T253" s="49">
        <f>7.5+(0.25*1.5)</f>
        <v>7.875</v>
      </c>
      <c r="U253" s="291">
        <v>0.75</v>
      </c>
      <c r="V253" s="60"/>
      <c r="W253" s="56"/>
      <c r="X253" s="56"/>
      <c r="Y253" s="19">
        <v>8</v>
      </c>
      <c r="Z253" s="291">
        <v>2</v>
      </c>
      <c r="AA253" s="29">
        <f>(E253+J253+O253+T253+Y253)</f>
        <v>38.875</v>
      </c>
      <c r="AB253" s="282">
        <f>Z253+U253+P253+K253+F253</f>
        <v>8</v>
      </c>
      <c r="AC253" s="3"/>
      <c r="AD253" s="56"/>
      <c r="AE253" s="56"/>
      <c r="AF253" s="19">
        <v>1.5</v>
      </c>
      <c r="AG253" s="29">
        <f>AF253</f>
        <v>1.5</v>
      </c>
      <c r="AH253" s="3"/>
      <c r="AI253" s="227"/>
      <c r="AK253" s="187"/>
      <c r="AL253" s="187"/>
      <c r="AM253" s="187"/>
      <c r="AN253" s="187"/>
      <c r="AO253" s="187"/>
      <c r="AP253" s="187"/>
    </row>
    <row r="254" spans="1:42" s="1" customFormat="1" ht="14.25" thickBot="1">
      <c r="B254" s="268" t="s">
        <v>65</v>
      </c>
      <c r="C254" s="75"/>
      <c r="D254" s="75"/>
      <c r="E254" s="77">
        <v>3</v>
      </c>
      <c r="F254" s="292">
        <v>0</v>
      </c>
      <c r="G254" s="81"/>
      <c r="H254" s="75"/>
      <c r="I254" s="75"/>
      <c r="J254" s="77">
        <v>0</v>
      </c>
      <c r="K254" s="292">
        <v>0</v>
      </c>
      <c r="L254" s="81"/>
      <c r="M254" s="75"/>
      <c r="N254" s="75"/>
      <c r="O254" s="77">
        <v>0</v>
      </c>
      <c r="P254" s="292">
        <v>0</v>
      </c>
      <c r="Q254" s="81"/>
      <c r="R254" s="75"/>
      <c r="S254" s="75"/>
      <c r="T254" s="77">
        <v>0</v>
      </c>
      <c r="U254" s="292">
        <v>0</v>
      </c>
      <c r="V254" s="81"/>
      <c r="W254" s="75"/>
      <c r="X254" s="75"/>
      <c r="Y254" s="77">
        <v>0</v>
      </c>
      <c r="Z254" s="292">
        <v>0</v>
      </c>
      <c r="AA254" s="29">
        <f>(E254+J254+O254+T254+Y254)</f>
        <v>3</v>
      </c>
      <c r="AB254" s="287">
        <f t="shared" si="53"/>
        <v>0</v>
      </c>
      <c r="AC254" s="3"/>
      <c r="AD254" s="75"/>
      <c r="AE254" s="75"/>
      <c r="AF254" s="77">
        <v>0</v>
      </c>
      <c r="AG254" s="276">
        <v>0</v>
      </c>
      <c r="AH254" s="3"/>
      <c r="AI254" s="227"/>
      <c r="AK254" s="303"/>
      <c r="AL254" s="303"/>
      <c r="AM254" s="187"/>
      <c r="AN254" s="187"/>
      <c r="AO254" s="187"/>
      <c r="AP254" s="187"/>
    </row>
    <row r="255" spans="1:42" s="1" customFormat="1" ht="14.25" thickTop="1">
      <c r="A255" s="187"/>
      <c r="B255" s="214" t="s">
        <v>66</v>
      </c>
      <c r="C255" s="243"/>
      <c r="D255" s="243"/>
      <c r="E255" s="214">
        <f>SUM(E251:E254)</f>
        <v>25.5</v>
      </c>
      <c r="F255" s="215"/>
      <c r="G255" s="215"/>
      <c r="H255" s="243"/>
      <c r="I255" s="243"/>
      <c r="J255" s="214">
        <f>SUM(J251:J254)</f>
        <v>21.75</v>
      </c>
      <c r="K255" s="215"/>
      <c r="L255" s="215"/>
      <c r="M255" s="243"/>
      <c r="N255" s="243"/>
      <c r="O255" s="214">
        <f>SUM(O251:O254)</f>
        <v>23.75</v>
      </c>
      <c r="P255" s="215"/>
      <c r="Q255" s="215"/>
      <c r="R255" s="243"/>
      <c r="S255" s="243"/>
      <c r="T255" s="225">
        <f>SUM(T251:T254)</f>
        <v>22.875</v>
      </c>
      <c r="U255" s="215"/>
      <c r="V255" s="215"/>
      <c r="W255" s="243"/>
      <c r="X255" s="243"/>
      <c r="Y255" s="250">
        <f>SUM(Y251:Y254)</f>
        <v>23.5</v>
      </c>
      <c r="Z255" s="215"/>
      <c r="AA255" s="247">
        <f>SUM(AA251:AA254)</f>
        <v>117.375</v>
      </c>
      <c r="AB255" s="247">
        <f>SUM(AB251:AB254)</f>
        <v>22.75</v>
      </c>
      <c r="AC255" s="3"/>
      <c r="AD255" s="187"/>
      <c r="AE255" s="187"/>
      <c r="AF255" s="187"/>
      <c r="AG255" s="247">
        <f>SUM(AG252:AG254)</f>
        <v>1.5</v>
      </c>
      <c r="AH255" s="3"/>
      <c r="AI255" s="227"/>
      <c r="AK255" s="303"/>
      <c r="AL255" s="187"/>
      <c r="AM255" s="187"/>
      <c r="AN255" s="187"/>
      <c r="AO255" s="187"/>
      <c r="AP255" s="187"/>
    </row>
    <row r="256" spans="1:42" s="1" customFormat="1" ht="13.5" customHeight="1">
      <c r="A256" s="11"/>
      <c r="B256" s="217" t="s">
        <v>67</v>
      </c>
      <c r="C256" s="207">
        <f>C257+C258</f>
        <v>74</v>
      </c>
      <c r="D256" s="208"/>
      <c r="E256" s="209"/>
      <c r="F256" s="209"/>
      <c r="G256" s="208"/>
      <c r="H256" s="209"/>
      <c r="I256" s="209"/>
      <c r="J256" s="209"/>
      <c r="K256" s="209"/>
      <c r="L256" s="208"/>
      <c r="M256" s="208"/>
      <c r="N256" s="208"/>
      <c r="O256" s="208"/>
      <c r="P256" s="209"/>
      <c r="Q256" s="208"/>
      <c r="R256" s="208"/>
      <c r="S256" s="208"/>
      <c r="T256" s="208"/>
      <c r="U256" s="209"/>
      <c r="V256" s="208"/>
      <c r="W256" s="208"/>
      <c r="X256" s="208"/>
      <c r="Y256" s="210"/>
      <c r="Z256" s="209"/>
      <c r="AA256" s="211"/>
      <c r="AB256" s="209"/>
      <c r="AC256" s="211"/>
      <c r="AD256" s="211"/>
      <c r="AE256" s="211"/>
      <c r="AF256" s="211"/>
      <c r="AG256" s="211"/>
      <c r="AH256" s="3"/>
      <c r="AI256" s="227"/>
      <c r="AK256" s="187"/>
      <c r="AL256" s="187"/>
      <c r="AM256" s="187"/>
      <c r="AN256" s="187"/>
      <c r="AO256" s="187"/>
      <c r="AP256" s="187"/>
    </row>
    <row r="257" spans="1:42" s="1" customFormat="1" ht="13.5" customHeight="1">
      <c r="A257" s="11"/>
      <c r="B257" s="238" t="s">
        <v>68</v>
      </c>
      <c r="C257" s="239">
        <f>9+10+10+10+9</f>
        <v>48</v>
      </c>
      <c r="D257" s="239"/>
      <c r="E257" s="239"/>
      <c r="F257" s="239"/>
      <c r="G257" s="239"/>
      <c r="H257" s="239"/>
      <c r="I257" s="239"/>
      <c r="J257" s="239"/>
      <c r="K257" s="239"/>
      <c r="L257" s="239"/>
      <c r="M257" s="239"/>
      <c r="N257" s="239"/>
      <c r="O257" s="239"/>
      <c r="P257" s="239"/>
      <c r="Q257" s="239"/>
      <c r="R257" s="239"/>
      <c r="S257" s="239"/>
      <c r="T257" s="239"/>
      <c r="U257" s="239"/>
      <c r="V257" s="239"/>
      <c r="W257" s="239"/>
      <c r="X257" s="239"/>
      <c r="Y257" s="239"/>
      <c r="Z257" s="239"/>
      <c r="AA257" s="239"/>
      <c r="AB257" s="239"/>
      <c r="AC257" s="239"/>
      <c r="AD257" s="239"/>
      <c r="AE257" s="239"/>
      <c r="AF257" s="239"/>
      <c r="AG257" s="211"/>
      <c r="AH257" s="3"/>
      <c r="AI257" s="227"/>
      <c r="AK257" s="187"/>
      <c r="AL257" s="187"/>
      <c r="AM257" s="187"/>
      <c r="AN257" s="187"/>
      <c r="AO257" s="187"/>
      <c r="AP257" s="187"/>
    </row>
    <row r="258" spans="1:42" s="1" customFormat="1" ht="13.5" customHeight="1">
      <c r="A258" s="11"/>
      <c r="B258" s="238" t="s">
        <v>69</v>
      </c>
      <c r="C258" s="239">
        <f>24+2</f>
        <v>26</v>
      </c>
      <c r="D258" s="239"/>
      <c r="E258" s="239"/>
      <c r="F258" s="239"/>
      <c r="G258" s="239"/>
      <c r="H258" s="239"/>
      <c r="I258" s="239"/>
      <c r="J258" s="239"/>
      <c r="K258" s="239"/>
      <c r="L258" s="239"/>
      <c r="M258" s="239"/>
      <c r="N258" s="239"/>
      <c r="O258" s="239"/>
      <c r="P258" s="239"/>
      <c r="Q258" s="239"/>
      <c r="R258" s="239"/>
      <c r="S258" s="239"/>
      <c r="T258" s="239"/>
      <c r="U258" s="239"/>
      <c r="V258" s="239"/>
      <c r="W258" s="239"/>
      <c r="X258" s="239"/>
      <c r="Y258" s="239"/>
      <c r="Z258" s="239"/>
      <c r="AA258" s="239"/>
      <c r="AB258" s="239"/>
      <c r="AC258" s="239"/>
      <c r="AD258" s="239"/>
      <c r="AE258" s="239"/>
      <c r="AF258" s="239"/>
      <c r="AG258" s="211"/>
      <c r="AH258" s="3"/>
      <c r="AI258" s="227"/>
      <c r="AK258" s="187"/>
      <c r="AL258" s="187"/>
      <c r="AM258" s="187"/>
      <c r="AN258" s="187"/>
      <c r="AO258" s="187"/>
      <c r="AP258" s="187"/>
    </row>
    <row r="259" spans="1:42" s="1" customFormat="1" ht="4.5" customHeight="1">
      <c r="A259" s="11"/>
      <c r="B259" s="218"/>
      <c r="C259" s="219"/>
      <c r="D259" s="220"/>
      <c r="E259" s="221"/>
      <c r="F259" s="221"/>
      <c r="G259" s="220"/>
      <c r="H259" s="221"/>
      <c r="I259" s="221"/>
      <c r="J259" s="221"/>
      <c r="K259" s="221"/>
      <c r="L259" s="220"/>
      <c r="M259" s="220"/>
      <c r="N259" s="220"/>
      <c r="O259" s="220"/>
      <c r="P259" s="221"/>
      <c r="Q259" s="220"/>
      <c r="R259" s="220"/>
      <c r="S259" s="220"/>
      <c r="T259" s="220"/>
      <c r="U259" s="221"/>
      <c r="V259" s="220"/>
      <c r="W259" s="220"/>
      <c r="X259" s="220"/>
      <c r="Y259" s="222"/>
      <c r="Z259" s="221"/>
      <c r="AA259" s="223"/>
      <c r="AB259" s="221"/>
      <c r="AC259" s="3"/>
      <c r="AD259" s="168"/>
      <c r="AH259" s="3"/>
      <c r="AI259" s="227"/>
      <c r="AK259" s="187"/>
      <c r="AL259" s="187"/>
      <c r="AM259" s="187"/>
      <c r="AN259" s="187"/>
      <c r="AO259" s="187"/>
      <c r="AP259" s="187"/>
    </row>
    <row r="260" spans="1:42" s="227" customFormat="1" ht="4.5" customHeight="1">
      <c r="A260" s="228"/>
      <c r="B260" s="229"/>
      <c r="C260" s="230"/>
      <c r="D260" s="231"/>
      <c r="E260" s="232"/>
      <c r="F260" s="232"/>
      <c r="G260" s="231"/>
      <c r="H260" s="232"/>
      <c r="I260" s="232"/>
      <c r="J260" s="232"/>
      <c r="K260" s="232"/>
      <c r="L260" s="231"/>
      <c r="M260" s="231"/>
      <c r="N260" s="231"/>
      <c r="O260" s="231"/>
      <c r="P260" s="232"/>
      <c r="Q260" s="231"/>
      <c r="R260" s="231"/>
      <c r="S260" s="231"/>
      <c r="T260" s="231"/>
      <c r="U260" s="232"/>
      <c r="V260" s="231"/>
      <c r="W260" s="231"/>
      <c r="X260" s="231"/>
      <c r="Y260" s="233"/>
      <c r="Z260" s="232"/>
      <c r="AA260" s="234"/>
      <c r="AB260" s="232"/>
      <c r="AC260" s="235"/>
      <c r="AD260" s="236"/>
      <c r="AH260" s="235"/>
    </row>
    <row r="261" spans="1:42" s="187" customFormat="1" ht="4.5" customHeight="1">
      <c r="A261" s="224"/>
      <c r="B261" s="214"/>
      <c r="C261" s="215"/>
      <c r="D261" s="215"/>
      <c r="E261" s="214"/>
      <c r="F261" s="214"/>
      <c r="G261" s="215"/>
      <c r="H261" s="214"/>
      <c r="I261" s="214"/>
      <c r="J261" s="214"/>
      <c r="K261" s="214"/>
      <c r="L261" s="215"/>
      <c r="M261" s="215"/>
      <c r="N261" s="215"/>
      <c r="O261" s="215"/>
      <c r="P261" s="214"/>
      <c r="Q261" s="215"/>
      <c r="R261" s="215"/>
      <c r="S261" s="215"/>
      <c r="T261" s="215"/>
      <c r="U261" s="214"/>
      <c r="V261" s="215"/>
      <c r="W261" s="215"/>
      <c r="X261" s="215"/>
      <c r="Y261" s="216"/>
      <c r="Z261" s="214"/>
      <c r="AA261" s="225"/>
      <c r="AB261" s="214"/>
      <c r="AC261" s="226"/>
      <c r="AH261" s="226"/>
      <c r="AI261" s="227"/>
    </row>
    <row r="262" spans="1:42" s="1" customFormat="1">
      <c r="B262" s="1518" t="s">
        <v>18</v>
      </c>
      <c r="C262" s="1524">
        <v>45131</v>
      </c>
      <c r="D262" s="1524"/>
      <c r="E262" s="1524"/>
      <c r="F262" s="1524"/>
      <c r="G262" s="22"/>
      <c r="H262" s="1524">
        <v>45132</v>
      </c>
      <c r="I262" s="1524"/>
      <c r="J262" s="1524"/>
      <c r="K262" s="1524"/>
      <c r="L262" s="22"/>
      <c r="M262" s="1524">
        <v>45133</v>
      </c>
      <c r="N262" s="1524"/>
      <c r="O262" s="1524"/>
      <c r="P262" s="1524"/>
      <c r="Q262" s="22"/>
      <c r="R262" s="1524">
        <v>45134</v>
      </c>
      <c r="S262" s="1524"/>
      <c r="T262" s="1524"/>
      <c r="U262" s="1524"/>
      <c r="V262" s="22"/>
      <c r="W262" s="1524">
        <v>45135</v>
      </c>
      <c r="X262" s="1524"/>
      <c r="Y262" s="1524"/>
      <c r="Z262" s="1524"/>
      <c r="AA262" s="1517" t="s">
        <v>19</v>
      </c>
      <c r="AB262" s="1517" t="s">
        <v>20</v>
      </c>
      <c r="AC262" s="3"/>
      <c r="AD262" s="1524">
        <v>45136</v>
      </c>
      <c r="AE262" s="1524"/>
      <c r="AF262" s="1524"/>
      <c r="AG262" s="1517" t="s">
        <v>21</v>
      </c>
      <c r="AH262" s="3"/>
      <c r="AI262" s="227"/>
      <c r="AK262" s="194" t="s">
        <v>170</v>
      </c>
      <c r="AL262" s="195"/>
      <c r="AM262" s="195"/>
      <c r="AN262" s="195"/>
      <c r="AO262" s="195"/>
      <c r="AP262" s="195"/>
    </row>
    <row r="263" spans="1:42" s="176" customFormat="1" ht="14.25">
      <c r="B263" s="1518"/>
      <c r="C263" s="21" t="s">
        <v>23</v>
      </c>
      <c r="D263" s="21" t="s">
        <v>24</v>
      </c>
      <c r="E263" s="205" t="s">
        <v>144</v>
      </c>
      <c r="F263" s="18" t="s">
        <v>14</v>
      </c>
      <c r="G263" s="3"/>
      <c r="H263" s="21" t="s">
        <v>23</v>
      </c>
      <c r="I263" s="21" t="s">
        <v>24</v>
      </c>
      <c r="J263" s="205" t="s">
        <v>144</v>
      </c>
      <c r="K263" s="18" t="s">
        <v>14</v>
      </c>
      <c r="L263" s="3"/>
      <c r="M263" s="21" t="s">
        <v>23</v>
      </c>
      <c r="N263" s="21" t="s">
        <v>24</v>
      </c>
      <c r="O263" s="205" t="s">
        <v>144</v>
      </c>
      <c r="P263" s="18" t="s">
        <v>14</v>
      </c>
      <c r="Q263" s="3"/>
      <c r="R263" s="21" t="s">
        <v>23</v>
      </c>
      <c r="S263" s="21" t="s">
        <v>24</v>
      </c>
      <c r="T263" s="205" t="s">
        <v>144</v>
      </c>
      <c r="U263" s="18" t="s">
        <v>14</v>
      </c>
      <c r="V263" s="3"/>
      <c r="W263" s="21" t="s">
        <v>23</v>
      </c>
      <c r="X263" s="21" t="s">
        <v>24</v>
      </c>
      <c r="Y263" s="205" t="s">
        <v>144</v>
      </c>
      <c r="Z263" s="18" t="s">
        <v>14</v>
      </c>
      <c r="AA263" s="1523"/>
      <c r="AB263" s="1517"/>
      <c r="AC263" s="3"/>
      <c r="AD263" s="21" t="s">
        <v>23</v>
      </c>
      <c r="AE263" s="21" t="s">
        <v>24</v>
      </c>
      <c r="AF263" s="18" t="s">
        <v>25</v>
      </c>
      <c r="AG263" s="1523"/>
      <c r="AH263" s="174"/>
      <c r="AI263" s="257"/>
      <c r="AK263" s="188" t="s">
        <v>26</v>
      </c>
      <c r="AL263" s="196">
        <f>AA283</f>
        <v>599.54999999999995</v>
      </c>
      <c r="AM263" s="187"/>
      <c r="AN263" s="187"/>
      <c r="AO263" s="187"/>
      <c r="AP263" s="187"/>
    </row>
    <row r="264" spans="1:42" s="176" customFormat="1" ht="14.25">
      <c r="B264" s="171" t="s">
        <v>141</v>
      </c>
      <c r="C264" s="172">
        <v>0.33333333333333331</v>
      </c>
      <c r="D264" s="172">
        <v>0.20833333333333334</v>
      </c>
      <c r="E264" s="173">
        <v>8</v>
      </c>
      <c r="F264" s="277"/>
      <c r="G264" s="174"/>
      <c r="H264" s="172">
        <v>0.33333333333333331</v>
      </c>
      <c r="I264" s="172">
        <v>0.20833333333333334</v>
      </c>
      <c r="J264" s="173">
        <v>8</v>
      </c>
      <c r="K264" s="277"/>
      <c r="L264" s="174"/>
      <c r="M264" s="172">
        <v>0.33333333333333331</v>
      </c>
      <c r="N264" s="172">
        <v>0.125</v>
      </c>
      <c r="O264" s="173">
        <v>7</v>
      </c>
      <c r="P264" s="277"/>
      <c r="Q264" s="174"/>
      <c r="R264" s="172">
        <v>0.33333333333333331</v>
      </c>
      <c r="S264" s="172">
        <v>0.20833333333333334</v>
      </c>
      <c r="T264" s="173">
        <v>8</v>
      </c>
      <c r="U264" s="277"/>
      <c r="V264" s="174"/>
      <c r="W264" s="172">
        <v>0.375</v>
      </c>
      <c r="X264" s="172">
        <v>0.20833333333333334</v>
      </c>
      <c r="Y264" s="173">
        <v>7</v>
      </c>
      <c r="Z264" s="277"/>
      <c r="AA264" s="28">
        <f>(E264+J264+O264+T264+Y264)</f>
        <v>38</v>
      </c>
      <c r="AB264" s="298">
        <f>Z264+U264+P264+K264+F264</f>
        <v>0</v>
      </c>
      <c r="AC264" s="174"/>
      <c r="AD264" s="175">
        <v>0</v>
      </c>
      <c r="AE264" s="175">
        <v>0</v>
      </c>
      <c r="AF264" s="173" t="str">
        <f t="shared" ref="AF264:AF282" si="54">TEXT(AE264-AD264, "h")</f>
        <v>0</v>
      </c>
      <c r="AG264" s="28" t="str">
        <f t="shared" ref="AG264:AG281" si="55">AF264</f>
        <v>0</v>
      </c>
      <c r="AH264" s="174"/>
      <c r="AI264" s="257"/>
      <c r="AK264" s="188" t="s">
        <v>30</v>
      </c>
      <c r="AL264" s="190">
        <f>AB283</f>
        <v>0</v>
      </c>
      <c r="AM264" s="187"/>
      <c r="AN264" s="187"/>
      <c r="AO264" s="187"/>
      <c r="AP264" s="187"/>
    </row>
    <row r="265" spans="1:42" s="176" customFormat="1" ht="14.25">
      <c r="B265" s="171" t="s">
        <v>142</v>
      </c>
      <c r="C265" s="172">
        <v>0.39583333333333331</v>
      </c>
      <c r="D265" s="172">
        <v>0.20833333333333334</v>
      </c>
      <c r="E265" s="173">
        <v>7.5</v>
      </c>
      <c r="F265" s="277"/>
      <c r="G265" s="174"/>
      <c r="H265" s="172">
        <v>0.40625</v>
      </c>
      <c r="I265" s="172">
        <v>0.20833333333333334</v>
      </c>
      <c r="J265" s="173">
        <v>6.25</v>
      </c>
      <c r="K265" s="277"/>
      <c r="L265" s="174"/>
      <c r="M265" s="172">
        <v>0.375</v>
      </c>
      <c r="N265" s="172">
        <v>0.20833333333333334</v>
      </c>
      <c r="O265" s="173">
        <v>7</v>
      </c>
      <c r="P265" s="277"/>
      <c r="Q265" s="174"/>
      <c r="R265" s="172">
        <v>0.4375</v>
      </c>
      <c r="S265" s="172">
        <v>0.20833333333333334</v>
      </c>
      <c r="T265" s="173">
        <v>5.5</v>
      </c>
      <c r="U265" s="277"/>
      <c r="V265" s="174"/>
      <c r="W265" s="172">
        <v>0.39583333333333331</v>
      </c>
      <c r="X265" s="172">
        <v>0.20833333333333334</v>
      </c>
      <c r="Y265" s="173">
        <v>6.5</v>
      </c>
      <c r="Z265" s="277"/>
      <c r="AA265" s="28">
        <f>(E265+J265+O265+T265+Y265)</f>
        <v>32.75</v>
      </c>
      <c r="AB265" s="298">
        <f t="shared" ref="AB265:AB282" si="56">Z265+U265+P265+K265+F265</f>
        <v>0</v>
      </c>
      <c r="AC265" s="174"/>
      <c r="AD265" s="175">
        <v>0</v>
      </c>
      <c r="AE265" s="175">
        <v>0</v>
      </c>
      <c r="AF265" s="173" t="str">
        <f t="shared" si="54"/>
        <v>0</v>
      </c>
      <c r="AG265" s="28" t="str">
        <f t="shared" si="55"/>
        <v>0</v>
      </c>
      <c r="AH265" s="174"/>
      <c r="AI265" s="257"/>
      <c r="AK265" s="188" t="s">
        <v>32</v>
      </c>
      <c r="AL265" s="199">
        <f>AG283</f>
        <v>9.5</v>
      </c>
      <c r="AM265" s="187"/>
      <c r="AN265" s="187"/>
      <c r="AO265" s="187"/>
      <c r="AP265" s="187"/>
    </row>
    <row r="266" spans="1:42" s="176" customFormat="1" ht="14.25">
      <c r="B266" s="171" t="s">
        <v>31</v>
      </c>
      <c r="C266" s="172">
        <v>0.33333333333333331</v>
      </c>
      <c r="D266" s="172">
        <v>0.20833333333333334</v>
      </c>
      <c r="E266" s="173">
        <v>8</v>
      </c>
      <c r="F266" s="277"/>
      <c r="G266" s="174"/>
      <c r="H266" s="172">
        <v>0.34375</v>
      </c>
      <c r="I266" s="172">
        <v>0.20833333333333334</v>
      </c>
      <c r="J266" s="173">
        <v>7.75</v>
      </c>
      <c r="K266" s="277"/>
      <c r="L266" s="174"/>
      <c r="M266" s="172">
        <v>0.34375</v>
      </c>
      <c r="N266" s="172">
        <v>0.125</v>
      </c>
      <c r="O266" s="173">
        <v>6.75</v>
      </c>
      <c r="P266" s="277"/>
      <c r="Q266" s="174"/>
      <c r="R266" s="172">
        <v>0.33333333333333331</v>
      </c>
      <c r="S266" s="172">
        <v>0.20833333333333334</v>
      </c>
      <c r="T266" s="173">
        <v>8</v>
      </c>
      <c r="U266" s="277"/>
      <c r="V266" s="174"/>
      <c r="W266" s="172">
        <v>0.33333333333333331</v>
      </c>
      <c r="X266" s="172">
        <v>0.20833333333333334</v>
      </c>
      <c r="Y266" s="173">
        <v>8</v>
      </c>
      <c r="Z266" s="277"/>
      <c r="AA266" s="28">
        <f>(E266+J266+O266+T266+Y266)</f>
        <v>38.5</v>
      </c>
      <c r="AB266" s="298">
        <f t="shared" si="56"/>
        <v>0</v>
      </c>
      <c r="AC266" s="174"/>
      <c r="AD266" s="175">
        <v>0</v>
      </c>
      <c r="AE266" s="175">
        <v>0</v>
      </c>
      <c r="AF266" s="173" t="str">
        <f t="shared" si="54"/>
        <v>0</v>
      </c>
      <c r="AG266" s="28" t="str">
        <f t="shared" si="55"/>
        <v>0</v>
      </c>
      <c r="AH266" s="174"/>
      <c r="AI266" s="257"/>
      <c r="AK266" s="188" t="s">
        <v>34</v>
      </c>
      <c r="AL266" s="196">
        <f>AA288</f>
        <v>99</v>
      </c>
      <c r="AM266" s="187"/>
      <c r="AN266" s="187"/>
      <c r="AO266" s="187"/>
      <c r="AP266" s="187"/>
    </row>
    <row r="267" spans="1:42" s="176" customFormat="1" ht="14.25">
      <c r="B267" s="171" t="s">
        <v>169</v>
      </c>
      <c r="C267" s="172">
        <v>0.33333333333333331</v>
      </c>
      <c r="D267" s="172">
        <v>0.20833333333333334</v>
      </c>
      <c r="E267" s="173">
        <v>8</v>
      </c>
      <c r="F267" s="277"/>
      <c r="G267" s="174"/>
      <c r="H267" s="172">
        <v>0.33333333333333331</v>
      </c>
      <c r="I267" s="172">
        <v>0.20833333333333334</v>
      </c>
      <c r="J267" s="173">
        <v>8</v>
      </c>
      <c r="K267" s="277"/>
      <c r="L267" s="174"/>
      <c r="M267" s="172">
        <v>0.33333333333333331</v>
      </c>
      <c r="N267" s="172">
        <v>0.20833333333333334</v>
      </c>
      <c r="O267" s="173">
        <v>8</v>
      </c>
      <c r="P267" s="277"/>
      <c r="Q267" s="174"/>
      <c r="R267" s="172">
        <v>0.33333333333333331</v>
      </c>
      <c r="S267" s="172">
        <v>0.20833333333333334</v>
      </c>
      <c r="T267" s="173">
        <v>8</v>
      </c>
      <c r="U267" s="277"/>
      <c r="V267" s="174"/>
      <c r="W267" s="172">
        <v>0.375</v>
      </c>
      <c r="X267" s="172">
        <v>0.20833333333333334</v>
      </c>
      <c r="Y267" s="173">
        <v>7</v>
      </c>
      <c r="Z267" s="277"/>
      <c r="AA267" s="28">
        <f>(E267+J267+O267+T267+Y267)</f>
        <v>39</v>
      </c>
      <c r="AB267" s="298">
        <f t="shared" si="56"/>
        <v>0</v>
      </c>
      <c r="AC267" s="174"/>
      <c r="AD267" s="175">
        <v>0</v>
      </c>
      <c r="AE267" s="175">
        <v>0</v>
      </c>
      <c r="AF267" s="173" t="str">
        <f t="shared" si="54"/>
        <v>0</v>
      </c>
      <c r="AG267" s="28" t="str">
        <f t="shared" si="55"/>
        <v>0</v>
      </c>
      <c r="AH267" s="174"/>
      <c r="AI267" s="257"/>
      <c r="AK267" s="188" t="s">
        <v>145</v>
      </c>
      <c r="AL267" s="196">
        <f>AB288</f>
        <v>10.25</v>
      </c>
      <c r="AM267" s="187"/>
      <c r="AN267" s="187"/>
      <c r="AO267" s="187"/>
      <c r="AP267" s="187"/>
    </row>
    <row r="268" spans="1:42" s="1" customFormat="1" ht="14.25">
      <c r="B268" s="171" t="s">
        <v>33</v>
      </c>
      <c r="C268" s="172">
        <v>0.33333333333333331</v>
      </c>
      <c r="D268" s="172">
        <v>0.20833333333333334</v>
      </c>
      <c r="E268" s="173">
        <v>8</v>
      </c>
      <c r="F268" s="277"/>
      <c r="G268" s="174"/>
      <c r="H268" s="172">
        <v>0.33333333333333331</v>
      </c>
      <c r="I268" s="172">
        <v>0.20833333333333334</v>
      </c>
      <c r="J268" s="173">
        <v>8</v>
      </c>
      <c r="K268" s="277"/>
      <c r="L268" s="174"/>
      <c r="M268" s="172">
        <v>0.33333333333333331</v>
      </c>
      <c r="N268" s="172">
        <v>0.20833333333333334</v>
      </c>
      <c r="O268" s="173">
        <v>8</v>
      </c>
      <c r="P268" s="277"/>
      <c r="Q268" s="174"/>
      <c r="R268" s="172">
        <v>0.34375</v>
      </c>
      <c r="S268" s="172">
        <v>0.20833333333333334</v>
      </c>
      <c r="T268" s="173">
        <v>7.75</v>
      </c>
      <c r="U268" s="277"/>
      <c r="V268" s="174"/>
      <c r="W268" s="172">
        <v>0.33333333333333331</v>
      </c>
      <c r="X268" s="172">
        <v>0.20833333333333334</v>
      </c>
      <c r="Y268" s="173">
        <v>8</v>
      </c>
      <c r="Z268" s="277"/>
      <c r="AA268" s="28">
        <f>(E268+J268+O268+T268+Y268)</f>
        <v>39.75</v>
      </c>
      <c r="AB268" s="298">
        <f t="shared" si="56"/>
        <v>0</v>
      </c>
      <c r="AC268" s="174"/>
      <c r="AD268" s="175">
        <v>0</v>
      </c>
      <c r="AE268" s="175">
        <v>0</v>
      </c>
      <c r="AF268" s="173" t="str">
        <f t="shared" si="54"/>
        <v>0</v>
      </c>
      <c r="AG268" s="28" t="str">
        <f t="shared" si="55"/>
        <v>0</v>
      </c>
      <c r="AH268" s="3"/>
      <c r="AI268" s="227"/>
      <c r="AK268" s="188" t="s">
        <v>38</v>
      </c>
      <c r="AL268" s="196">
        <f>AG288</f>
        <v>8.75</v>
      </c>
      <c r="AM268" s="187"/>
      <c r="AN268" s="187"/>
      <c r="AO268" s="187"/>
      <c r="AP268" s="187"/>
    </row>
    <row r="269" spans="1:42" s="1" customFormat="1" ht="14.25">
      <c r="B269" s="13" t="s">
        <v>129</v>
      </c>
      <c r="C269" s="47">
        <v>0.38541666666666669</v>
      </c>
      <c r="D269" s="47">
        <v>0.20833333333333334</v>
      </c>
      <c r="E269" s="19">
        <v>6.75</v>
      </c>
      <c r="F269" s="277"/>
      <c r="G269" s="3"/>
      <c r="H269" s="47">
        <v>0.35416666666666669</v>
      </c>
      <c r="I269" s="47">
        <v>0.20833333333333334</v>
      </c>
      <c r="J269" s="19">
        <v>7.5</v>
      </c>
      <c r="K269" s="277"/>
      <c r="L269" s="3"/>
      <c r="M269" s="4">
        <v>0</v>
      </c>
      <c r="N269" s="4">
        <v>0</v>
      </c>
      <c r="O269" s="19">
        <v>0</v>
      </c>
      <c r="P269" s="277"/>
      <c r="Q269" s="3"/>
      <c r="R269" s="47">
        <v>0.35416666666666669</v>
      </c>
      <c r="S269" s="47">
        <v>0.20833333333333334</v>
      </c>
      <c r="T269" s="19">
        <v>7.5</v>
      </c>
      <c r="U269" s="277"/>
      <c r="V269" s="3"/>
      <c r="W269" s="47">
        <v>0.35416666666666669</v>
      </c>
      <c r="X269" s="47">
        <v>0.20833333333333334</v>
      </c>
      <c r="Y269" s="19">
        <v>7.5</v>
      </c>
      <c r="Z269" s="277"/>
      <c r="AA269" s="29">
        <f t="shared" ref="AA269:AA279" si="57">(E269+J269+O269+T269+Y269)</f>
        <v>29.25</v>
      </c>
      <c r="AB269" s="298">
        <f t="shared" si="56"/>
        <v>0</v>
      </c>
      <c r="AC269" s="3"/>
      <c r="AD269" s="4">
        <v>0</v>
      </c>
      <c r="AE269" s="4">
        <v>0</v>
      </c>
      <c r="AF269" s="19" t="str">
        <f t="shared" si="54"/>
        <v>0</v>
      </c>
      <c r="AG269" s="29" t="str">
        <f t="shared" si="55"/>
        <v>0</v>
      </c>
      <c r="AH269" s="3"/>
      <c r="AI269" s="227"/>
      <c r="AK269" s="188" t="s">
        <v>41</v>
      </c>
      <c r="AL269" s="189">
        <f>C289</f>
        <v>80</v>
      </c>
      <c r="AM269" s="191"/>
      <c r="AN269" s="191"/>
      <c r="AO269" s="191"/>
      <c r="AP269" s="191"/>
    </row>
    <row r="270" spans="1:42" s="1" customFormat="1" ht="14.25">
      <c r="B270" s="13" t="s">
        <v>35</v>
      </c>
      <c r="C270" s="47">
        <v>0.375</v>
      </c>
      <c r="D270" s="47">
        <v>0.20833333333333334</v>
      </c>
      <c r="E270" s="19">
        <v>7</v>
      </c>
      <c r="F270" s="277"/>
      <c r="G270" s="3"/>
      <c r="H270" s="47">
        <v>0.36458333333333331</v>
      </c>
      <c r="I270" s="47">
        <v>0.20833333333333334</v>
      </c>
      <c r="J270" s="19">
        <v>7.25</v>
      </c>
      <c r="K270" s="277"/>
      <c r="L270" s="3"/>
      <c r="M270" s="47">
        <v>0.375</v>
      </c>
      <c r="N270" s="47">
        <v>0.20833333333333334</v>
      </c>
      <c r="O270" s="19">
        <v>7</v>
      </c>
      <c r="P270" s="277"/>
      <c r="Q270" s="3"/>
      <c r="R270" s="47">
        <v>0.375</v>
      </c>
      <c r="S270" s="47">
        <v>0.20833333333333334</v>
      </c>
      <c r="T270" s="19">
        <v>7</v>
      </c>
      <c r="U270" s="277"/>
      <c r="V270" s="3"/>
      <c r="W270" s="47">
        <v>0.375</v>
      </c>
      <c r="X270" s="47">
        <v>0.20833333333333334</v>
      </c>
      <c r="Y270" s="19">
        <v>7</v>
      </c>
      <c r="Z270" s="277"/>
      <c r="AA270" s="29">
        <f t="shared" si="57"/>
        <v>35.25</v>
      </c>
      <c r="AB270" s="298">
        <f t="shared" si="56"/>
        <v>0</v>
      </c>
      <c r="AC270" s="3"/>
      <c r="AD270" s="4">
        <v>0</v>
      </c>
      <c r="AE270" s="4">
        <v>0</v>
      </c>
      <c r="AF270" s="19" t="str">
        <f t="shared" si="54"/>
        <v>0</v>
      </c>
      <c r="AG270" s="29" t="str">
        <f t="shared" si="55"/>
        <v>0</v>
      </c>
      <c r="AH270" s="3"/>
      <c r="AI270" s="227"/>
      <c r="AK270" s="187"/>
      <c r="AL270" s="187"/>
      <c r="AM270" s="187"/>
      <c r="AN270" s="187"/>
      <c r="AO270" s="187"/>
      <c r="AP270" s="187"/>
    </row>
    <row r="271" spans="1:42" s="1" customFormat="1" ht="14.25">
      <c r="B271" s="13" t="s">
        <v>37</v>
      </c>
      <c r="C271" s="47">
        <v>0.34375</v>
      </c>
      <c r="D271" s="47">
        <v>0.20833333333333334</v>
      </c>
      <c r="E271" s="19">
        <v>7.75</v>
      </c>
      <c r="F271" s="277"/>
      <c r="G271" s="3"/>
      <c r="H271" s="47">
        <v>0.35416666666666669</v>
      </c>
      <c r="I271" s="47">
        <v>0.20833333333333334</v>
      </c>
      <c r="J271" s="19">
        <v>7.5</v>
      </c>
      <c r="K271" s="277"/>
      <c r="L271" s="3"/>
      <c r="M271" s="47">
        <v>0.34375</v>
      </c>
      <c r="N271" s="47">
        <v>0.20833333333333334</v>
      </c>
      <c r="O271" s="19">
        <v>7.75</v>
      </c>
      <c r="P271" s="277"/>
      <c r="Q271" s="3"/>
      <c r="R271" s="47">
        <v>0.35416666666666669</v>
      </c>
      <c r="S271" s="47">
        <v>0.20833333333333334</v>
      </c>
      <c r="T271" s="19">
        <v>7.5</v>
      </c>
      <c r="U271" s="277"/>
      <c r="V271" s="3"/>
      <c r="W271" s="47">
        <v>0.35416666666666669</v>
      </c>
      <c r="X271" s="47">
        <v>0.20833333333333334</v>
      </c>
      <c r="Y271" s="19">
        <v>7.5</v>
      </c>
      <c r="Z271" s="277"/>
      <c r="AA271" s="29">
        <f t="shared" si="57"/>
        <v>38</v>
      </c>
      <c r="AB271" s="298">
        <f t="shared" si="56"/>
        <v>0</v>
      </c>
      <c r="AC271" s="3"/>
      <c r="AD271" s="4">
        <v>0</v>
      </c>
      <c r="AE271" s="4">
        <v>0</v>
      </c>
      <c r="AF271" s="19" t="str">
        <f t="shared" si="54"/>
        <v>0</v>
      </c>
      <c r="AG271" s="29" t="str">
        <f t="shared" si="55"/>
        <v>0</v>
      </c>
      <c r="AH271" s="3"/>
      <c r="AI271" s="227"/>
      <c r="AK271" s="187"/>
      <c r="AL271" s="187"/>
      <c r="AM271" s="187"/>
      <c r="AN271" s="187"/>
      <c r="AO271" s="187"/>
      <c r="AP271" s="187"/>
    </row>
    <row r="272" spans="1:42" s="1" customFormat="1" ht="14.25">
      <c r="B272" s="13" t="s">
        <v>39</v>
      </c>
      <c r="C272" s="47">
        <v>0.39583333333333331</v>
      </c>
      <c r="D272" s="47">
        <v>0.20833333333333334</v>
      </c>
      <c r="E272" s="19">
        <v>6.5</v>
      </c>
      <c r="F272" s="277"/>
      <c r="G272" s="3"/>
      <c r="H272" s="47">
        <v>0.41666666666666669</v>
      </c>
      <c r="I272" s="47">
        <v>0.20833333333333334</v>
      </c>
      <c r="J272" s="19">
        <v>6</v>
      </c>
      <c r="K272" s="277"/>
      <c r="L272" s="3"/>
      <c r="M272" s="47">
        <v>0.36458333333333331</v>
      </c>
      <c r="N272" s="47">
        <v>0.20833333333333334</v>
      </c>
      <c r="O272" s="19">
        <v>7.25</v>
      </c>
      <c r="P272" s="277"/>
      <c r="Q272" s="3"/>
      <c r="R272" s="47">
        <v>0.375</v>
      </c>
      <c r="S272" s="47">
        <v>0.20833333333333334</v>
      </c>
      <c r="T272" s="19">
        <v>7</v>
      </c>
      <c r="U272" s="277"/>
      <c r="V272" s="3"/>
      <c r="W272" s="47">
        <v>0.375</v>
      </c>
      <c r="X272" s="47">
        <v>0.20833333333333334</v>
      </c>
      <c r="Y272" s="19">
        <v>7</v>
      </c>
      <c r="Z272" s="277"/>
      <c r="AA272" s="29">
        <f t="shared" si="57"/>
        <v>33.75</v>
      </c>
      <c r="AB272" s="298">
        <f t="shared" si="56"/>
        <v>0</v>
      </c>
      <c r="AC272" s="3"/>
      <c r="AD272" s="4">
        <v>0</v>
      </c>
      <c r="AE272" s="4">
        <v>0</v>
      </c>
      <c r="AF272" s="19" t="str">
        <f t="shared" si="54"/>
        <v>0</v>
      </c>
      <c r="AG272" s="29" t="str">
        <f t="shared" si="55"/>
        <v>0</v>
      </c>
      <c r="AH272" s="3"/>
      <c r="AI272" s="227"/>
      <c r="AK272" s="187"/>
      <c r="AL272" s="187"/>
      <c r="AM272" s="187"/>
      <c r="AN272" s="187"/>
      <c r="AO272" s="187"/>
      <c r="AP272" s="187"/>
    </row>
    <row r="273" spans="2:42" s="1" customFormat="1" ht="14.25">
      <c r="B273" s="164" t="s">
        <v>40</v>
      </c>
      <c r="C273" s="47">
        <v>0.41666666666666669</v>
      </c>
      <c r="D273" s="47">
        <v>0.25</v>
      </c>
      <c r="E273" s="19">
        <v>7</v>
      </c>
      <c r="F273" s="277"/>
      <c r="G273" s="3"/>
      <c r="H273" s="47">
        <v>0.375</v>
      </c>
      <c r="I273" s="47">
        <v>0.20833333333333334</v>
      </c>
      <c r="J273" s="19">
        <v>7</v>
      </c>
      <c r="K273" s="277"/>
      <c r="L273" s="3"/>
      <c r="M273" s="47">
        <v>0.375</v>
      </c>
      <c r="N273" s="47">
        <v>0.20833333333333334</v>
      </c>
      <c r="O273" s="19">
        <v>7</v>
      </c>
      <c r="P273" s="277"/>
      <c r="Q273" s="3"/>
      <c r="R273" s="47">
        <v>0.36458333333333331</v>
      </c>
      <c r="S273" s="47">
        <v>0.20833333333333334</v>
      </c>
      <c r="T273" s="19">
        <v>7.15</v>
      </c>
      <c r="U273" s="277"/>
      <c r="V273" s="3"/>
      <c r="W273" s="47">
        <v>0.36458333333333331</v>
      </c>
      <c r="X273" s="47">
        <v>0.20833333333333334</v>
      </c>
      <c r="Y273" s="19">
        <v>7.25</v>
      </c>
      <c r="Z273" s="277"/>
      <c r="AA273" s="29">
        <f t="shared" si="57"/>
        <v>35.4</v>
      </c>
      <c r="AB273" s="298">
        <f t="shared" si="56"/>
        <v>0</v>
      </c>
      <c r="AC273" s="3"/>
      <c r="AD273" s="4">
        <v>0</v>
      </c>
      <c r="AE273" s="4">
        <v>0</v>
      </c>
      <c r="AF273" s="19" t="str">
        <f t="shared" si="54"/>
        <v>0</v>
      </c>
      <c r="AG273" s="29" t="str">
        <f t="shared" si="55"/>
        <v>0</v>
      </c>
      <c r="AH273" s="3"/>
      <c r="AI273" s="227"/>
      <c r="AK273" s="187"/>
      <c r="AL273" s="187"/>
      <c r="AM273" s="187"/>
      <c r="AN273" s="187"/>
      <c r="AO273" s="187"/>
      <c r="AP273" s="187"/>
    </row>
    <row r="274" spans="2:42" s="1" customFormat="1" ht="14.25">
      <c r="B274" s="164" t="s">
        <v>42</v>
      </c>
      <c r="C274" s="47">
        <v>0.36458333333333331</v>
      </c>
      <c r="D274" s="47">
        <v>0.20833333333333334</v>
      </c>
      <c r="E274" s="19">
        <v>7.25</v>
      </c>
      <c r="F274" s="277"/>
      <c r="G274" s="3"/>
      <c r="H274" s="47">
        <v>0.3611111111111111</v>
      </c>
      <c r="I274" s="47">
        <v>0.20833333333333334</v>
      </c>
      <c r="J274" s="19">
        <v>7.25</v>
      </c>
      <c r="K274" s="277"/>
      <c r="L274" s="3"/>
      <c r="M274" s="47">
        <v>0.35416666666666669</v>
      </c>
      <c r="N274" s="47">
        <v>0.20833333333333334</v>
      </c>
      <c r="O274" s="19">
        <v>7.5</v>
      </c>
      <c r="P274" s="277"/>
      <c r="Q274" s="3"/>
      <c r="R274" s="47">
        <v>0.3125</v>
      </c>
      <c r="S274" s="47">
        <v>0.1875</v>
      </c>
      <c r="T274" s="19">
        <v>8</v>
      </c>
      <c r="U274" s="277"/>
      <c r="V274" s="3"/>
      <c r="W274" s="47">
        <v>0.35416666666666669</v>
      </c>
      <c r="X274" s="47">
        <v>0.20833333333333334</v>
      </c>
      <c r="Y274" s="19">
        <v>7.5</v>
      </c>
      <c r="Z274" s="277"/>
      <c r="AA274" s="29">
        <f t="shared" si="57"/>
        <v>37.5</v>
      </c>
      <c r="AB274" s="298">
        <f t="shared" si="56"/>
        <v>0</v>
      </c>
      <c r="AC274" s="3"/>
      <c r="AD274" s="4">
        <v>0</v>
      </c>
      <c r="AE274" s="4">
        <v>0</v>
      </c>
      <c r="AF274" s="19" t="str">
        <f t="shared" si="54"/>
        <v>0</v>
      </c>
      <c r="AG274" s="29" t="str">
        <f t="shared" si="55"/>
        <v>0</v>
      </c>
      <c r="AH274" s="3"/>
      <c r="AI274" s="227"/>
      <c r="AK274" s="187"/>
      <c r="AL274" s="187"/>
      <c r="AM274" s="187"/>
      <c r="AN274" s="187"/>
      <c r="AO274" s="187"/>
      <c r="AP274" s="187"/>
    </row>
    <row r="275" spans="2:42" s="1" customFormat="1" ht="14.25">
      <c r="B275" s="13" t="s">
        <v>43</v>
      </c>
      <c r="C275" s="47">
        <v>0.33333333333333331</v>
      </c>
      <c r="D275" s="47">
        <v>0.20833333333333334</v>
      </c>
      <c r="E275" s="19">
        <v>8</v>
      </c>
      <c r="F275" s="277"/>
      <c r="G275" s="3"/>
      <c r="H275" s="47">
        <v>0.34375</v>
      </c>
      <c r="I275" s="47">
        <v>0.20833333333333334</v>
      </c>
      <c r="J275" s="19">
        <v>7.75</v>
      </c>
      <c r="K275" s="277"/>
      <c r="L275" s="3"/>
      <c r="M275" s="47">
        <v>0.33333333333333331</v>
      </c>
      <c r="N275" s="47">
        <v>0.20833333333333334</v>
      </c>
      <c r="O275" s="19">
        <v>8</v>
      </c>
      <c r="P275" s="277"/>
      <c r="Q275" s="3"/>
      <c r="R275" s="47">
        <v>0.33333333333333331</v>
      </c>
      <c r="S275" s="47">
        <v>0.20833333333333334</v>
      </c>
      <c r="T275" s="19">
        <v>8</v>
      </c>
      <c r="U275" s="277"/>
      <c r="V275" s="3"/>
      <c r="W275" s="47">
        <v>0.3125</v>
      </c>
      <c r="X275" s="47">
        <v>0.1875</v>
      </c>
      <c r="Y275" s="19">
        <v>8</v>
      </c>
      <c r="Z275" s="277"/>
      <c r="AA275" s="29">
        <f t="shared" si="57"/>
        <v>39.75</v>
      </c>
      <c r="AB275" s="298">
        <f t="shared" si="56"/>
        <v>0</v>
      </c>
      <c r="AC275" s="3"/>
      <c r="AD275" s="4">
        <v>0</v>
      </c>
      <c r="AE275" s="4">
        <v>0</v>
      </c>
      <c r="AF275" s="19" t="str">
        <f t="shared" si="54"/>
        <v>0</v>
      </c>
      <c r="AG275" s="29" t="str">
        <f t="shared" si="55"/>
        <v>0</v>
      </c>
      <c r="AH275" s="3"/>
      <c r="AI275" s="227"/>
      <c r="AK275" s="187"/>
      <c r="AL275" s="187"/>
      <c r="AM275" s="187"/>
      <c r="AN275" s="187"/>
      <c r="AO275" s="187"/>
      <c r="AP275" s="187"/>
    </row>
    <row r="276" spans="2:42" s="1" customFormat="1" ht="14.25">
      <c r="B276" s="13" t="s">
        <v>157</v>
      </c>
      <c r="C276" s="47">
        <v>0.375</v>
      </c>
      <c r="D276" s="47">
        <v>0.20833333333333334</v>
      </c>
      <c r="E276" s="19">
        <v>7</v>
      </c>
      <c r="F276" s="277"/>
      <c r="G276" s="3"/>
      <c r="H276" s="47">
        <v>0.36458333333333331</v>
      </c>
      <c r="I276" s="47">
        <v>0.20833333333333334</v>
      </c>
      <c r="J276" s="19">
        <v>7.25</v>
      </c>
      <c r="K276" s="277"/>
      <c r="L276" s="3"/>
      <c r="M276" s="4">
        <v>0</v>
      </c>
      <c r="N276" s="4">
        <v>0</v>
      </c>
      <c r="O276" s="19">
        <v>0</v>
      </c>
      <c r="P276" s="277"/>
      <c r="Q276" s="3"/>
      <c r="R276" s="47">
        <v>0.36458333333333331</v>
      </c>
      <c r="S276" s="47">
        <v>0.20833333333333334</v>
      </c>
      <c r="T276" s="19">
        <v>7.15</v>
      </c>
      <c r="U276" s="277"/>
      <c r="V276" s="3"/>
      <c r="W276" s="47">
        <v>0.375</v>
      </c>
      <c r="X276" s="47">
        <v>0.20833333333333334</v>
      </c>
      <c r="Y276" s="19">
        <v>7</v>
      </c>
      <c r="Z276" s="277"/>
      <c r="AA276" s="29">
        <f t="shared" si="57"/>
        <v>28.4</v>
      </c>
      <c r="AB276" s="298">
        <f t="shared" si="56"/>
        <v>0</v>
      </c>
      <c r="AC276" s="3"/>
      <c r="AD276" s="4">
        <v>0</v>
      </c>
      <c r="AE276" s="4">
        <v>0</v>
      </c>
      <c r="AF276" s="19" t="str">
        <f t="shared" si="54"/>
        <v>0</v>
      </c>
      <c r="AG276" s="29" t="str">
        <f t="shared" si="55"/>
        <v>0</v>
      </c>
      <c r="AH276" s="3"/>
      <c r="AI276" s="227"/>
      <c r="AK276" s="187"/>
      <c r="AL276" s="187"/>
      <c r="AM276" s="187"/>
      <c r="AN276" s="187"/>
      <c r="AO276" s="187"/>
      <c r="AP276" s="187"/>
    </row>
    <row r="277" spans="2:42" s="1" customFormat="1" ht="14.25">
      <c r="B277" s="13" t="s">
        <v>47</v>
      </c>
      <c r="C277" s="47">
        <v>0.35416666666666669</v>
      </c>
      <c r="D277" s="47">
        <v>0.20833333333333334</v>
      </c>
      <c r="E277" s="19">
        <v>7.5</v>
      </c>
      <c r="F277" s="277"/>
      <c r="G277" s="3"/>
      <c r="H277" s="47">
        <v>0.34375</v>
      </c>
      <c r="I277" s="47">
        <v>0.20833333333333334</v>
      </c>
      <c r="J277" s="19">
        <v>7.75</v>
      </c>
      <c r="K277" s="277"/>
      <c r="L277" s="3"/>
      <c r="M277" s="47">
        <v>0.33333333333333331</v>
      </c>
      <c r="N277" s="47">
        <v>0.20833333333333334</v>
      </c>
      <c r="O277" s="19">
        <v>8</v>
      </c>
      <c r="P277" s="277"/>
      <c r="Q277" s="3"/>
      <c r="R277" s="47">
        <v>0.33333333333333331</v>
      </c>
      <c r="S277" s="47">
        <v>0.20833333333333334</v>
      </c>
      <c r="T277" s="19">
        <v>8</v>
      </c>
      <c r="U277" s="277"/>
      <c r="V277" s="3"/>
      <c r="W277" s="47">
        <v>0.33333333333333331</v>
      </c>
      <c r="X277" s="47">
        <v>0.20833333333333334</v>
      </c>
      <c r="Y277" s="19">
        <v>8</v>
      </c>
      <c r="Z277" s="277"/>
      <c r="AA277" s="29">
        <f t="shared" si="57"/>
        <v>39.25</v>
      </c>
      <c r="AB277" s="298">
        <f t="shared" si="56"/>
        <v>0</v>
      </c>
      <c r="AC277" s="3"/>
      <c r="AD277" s="47">
        <v>0.35416666666666669</v>
      </c>
      <c r="AE277" s="47">
        <v>6.25E-2</v>
      </c>
      <c r="AF277" s="19">
        <v>5</v>
      </c>
      <c r="AG277" s="29">
        <f t="shared" si="55"/>
        <v>5</v>
      </c>
      <c r="AH277" s="3"/>
      <c r="AI277" s="227"/>
      <c r="AK277" s="187"/>
      <c r="AL277" s="187"/>
      <c r="AM277" s="187"/>
      <c r="AN277" s="187"/>
      <c r="AO277" s="187"/>
      <c r="AP277" s="187"/>
    </row>
    <row r="278" spans="2:42" s="1" customFormat="1" ht="14.25">
      <c r="B278" s="13" t="s">
        <v>46</v>
      </c>
      <c r="C278" s="47">
        <v>0</v>
      </c>
      <c r="D278" s="47">
        <v>0</v>
      </c>
      <c r="E278" s="19">
        <v>0</v>
      </c>
      <c r="F278" s="277"/>
      <c r="G278" s="3"/>
      <c r="H278" s="47">
        <v>0.33333333333333331</v>
      </c>
      <c r="I278" s="47">
        <v>0.20833333333333334</v>
      </c>
      <c r="J278" s="19">
        <v>8</v>
      </c>
      <c r="K278" s="277"/>
      <c r="L278" s="3"/>
      <c r="M278" s="47">
        <v>0.36458333333333331</v>
      </c>
      <c r="N278" s="47">
        <v>0.20833333333333334</v>
      </c>
      <c r="O278" s="19">
        <v>7.25</v>
      </c>
      <c r="P278" s="277"/>
      <c r="Q278" s="3"/>
      <c r="R278" s="47">
        <v>0.32291666666666669</v>
      </c>
      <c r="S278" s="47">
        <v>0.19791666666666666</v>
      </c>
      <c r="T278" s="19">
        <v>8</v>
      </c>
      <c r="U278" s="277"/>
      <c r="V278" s="3"/>
      <c r="W278" s="47">
        <v>0.34375</v>
      </c>
      <c r="X278" s="47">
        <v>0.20833333333333334</v>
      </c>
      <c r="Y278" s="19">
        <v>7.75</v>
      </c>
      <c r="Z278" s="277"/>
      <c r="AA278" s="29">
        <f t="shared" si="57"/>
        <v>31</v>
      </c>
      <c r="AB278" s="298">
        <f t="shared" si="56"/>
        <v>0</v>
      </c>
      <c r="AC278" s="3"/>
      <c r="AD278" s="47">
        <v>0.375</v>
      </c>
      <c r="AE278" s="47">
        <v>6.25E-2</v>
      </c>
      <c r="AF278" s="19">
        <v>4.5</v>
      </c>
      <c r="AG278" s="29">
        <f t="shared" si="55"/>
        <v>4.5</v>
      </c>
      <c r="AH278" s="3"/>
      <c r="AI278" s="227"/>
      <c r="AK278" s="187"/>
      <c r="AL278" s="187"/>
      <c r="AM278" s="187"/>
      <c r="AN278" s="187"/>
      <c r="AO278" s="187"/>
      <c r="AP278" s="187"/>
    </row>
    <row r="279" spans="2:42" s="1" customFormat="1" ht="14.25">
      <c r="B279" s="13" t="s">
        <v>54</v>
      </c>
      <c r="C279" s="4">
        <v>0</v>
      </c>
      <c r="D279" s="4">
        <v>0</v>
      </c>
      <c r="E279" s="19" t="str">
        <f>TEXT(D279-C279, "h")</f>
        <v>0</v>
      </c>
      <c r="F279" s="277"/>
      <c r="G279" s="3"/>
      <c r="H279" s="4">
        <v>0</v>
      </c>
      <c r="I279" s="4">
        <v>0</v>
      </c>
      <c r="J279" s="19" t="str">
        <f>TEXT(I279-H279, "h")</f>
        <v>0</v>
      </c>
      <c r="K279" s="277"/>
      <c r="L279" s="3"/>
      <c r="M279" s="4">
        <v>0</v>
      </c>
      <c r="N279" s="4">
        <v>0</v>
      </c>
      <c r="O279" s="19" t="str">
        <f>TEXT(N279-M279, "h")</f>
        <v>0</v>
      </c>
      <c r="P279" s="277"/>
      <c r="Q279" s="3"/>
      <c r="R279" s="4">
        <v>0</v>
      </c>
      <c r="S279" s="4">
        <v>0</v>
      </c>
      <c r="T279" s="19" t="str">
        <f>TEXT(S279-R279, "h")</f>
        <v>0</v>
      </c>
      <c r="U279" s="277"/>
      <c r="V279" s="3"/>
      <c r="W279" s="4">
        <v>0</v>
      </c>
      <c r="X279" s="4">
        <v>0</v>
      </c>
      <c r="Y279" s="19" t="str">
        <f>TEXT(X279-W279, "h")</f>
        <v>0</v>
      </c>
      <c r="Z279" s="277"/>
      <c r="AA279" s="29">
        <f t="shared" si="57"/>
        <v>0</v>
      </c>
      <c r="AB279" s="298">
        <f t="shared" si="56"/>
        <v>0</v>
      </c>
      <c r="AC279" s="3"/>
      <c r="AD279" s="4">
        <v>0</v>
      </c>
      <c r="AE279" s="4">
        <v>0</v>
      </c>
      <c r="AF279" s="19" t="str">
        <f t="shared" si="54"/>
        <v>0</v>
      </c>
      <c r="AG279" s="29" t="str">
        <f t="shared" si="55"/>
        <v>0</v>
      </c>
      <c r="AH279" s="3"/>
      <c r="AI279" s="227"/>
      <c r="AK279" s="187"/>
      <c r="AL279" s="187"/>
      <c r="AM279" s="187"/>
      <c r="AN279" s="187"/>
      <c r="AO279" s="187"/>
      <c r="AP279" s="187"/>
    </row>
    <row r="280" spans="2:42" s="1" customFormat="1" ht="14.25">
      <c r="B280" s="13" t="s">
        <v>55</v>
      </c>
      <c r="C280" s="4">
        <v>0</v>
      </c>
      <c r="D280" s="4">
        <v>0</v>
      </c>
      <c r="E280" s="19" t="str">
        <f>TEXT(D280-C280, "h")</f>
        <v>0</v>
      </c>
      <c r="F280" s="277"/>
      <c r="G280" s="3"/>
      <c r="H280" s="4">
        <v>0</v>
      </c>
      <c r="I280" s="4">
        <v>0</v>
      </c>
      <c r="J280" s="19" t="str">
        <f>TEXT(I280-H280, "h")</f>
        <v>0</v>
      </c>
      <c r="K280" s="277"/>
      <c r="L280" s="3"/>
      <c r="M280" s="4">
        <v>0</v>
      </c>
      <c r="N280" s="4">
        <v>0</v>
      </c>
      <c r="O280" s="19" t="str">
        <f>TEXT(N280-M280, "h")</f>
        <v>0</v>
      </c>
      <c r="P280" s="277"/>
      <c r="Q280" s="3"/>
      <c r="R280" s="4">
        <v>0</v>
      </c>
      <c r="S280" s="4">
        <v>0</v>
      </c>
      <c r="T280" s="19" t="str">
        <f>TEXT(S280-R280, "h")</f>
        <v>0</v>
      </c>
      <c r="U280" s="277"/>
      <c r="V280" s="3"/>
      <c r="W280" s="4">
        <v>0</v>
      </c>
      <c r="X280" s="4">
        <v>0</v>
      </c>
      <c r="Y280" s="19" t="str">
        <f>TEXT(X280-W280, "h")</f>
        <v>0</v>
      </c>
      <c r="Z280" s="277"/>
      <c r="AA280" s="29">
        <f>(E280+J280+O280+T280+Y280)</f>
        <v>0</v>
      </c>
      <c r="AB280" s="298">
        <f t="shared" si="56"/>
        <v>0</v>
      </c>
      <c r="AC280" s="3"/>
      <c r="AD280" s="4">
        <v>0</v>
      </c>
      <c r="AE280" s="4">
        <v>0</v>
      </c>
      <c r="AF280" s="19" t="str">
        <f t="shared" si="54"/>
        <v>0</v>
      </c>
      <c r="AG280" s="29" t="str">
        <f t="shared" si="55"/>
        <v>0</v>
      </c>
      <c r="AH280" s="3"/>
      <c r="AI280" s="227"/>
      <c r="AK280" s="187"/>
      <c r="AL280" s="187"/>
      <c r="AM280" s="187"/>
      <c r="AN280" s="187"/>
      <c r="AO280" s="187"/>
      <c r="AP280" s="187"/>
    </row>
    <row r="281" spans="2:42" s="1" customFormat="1" ht="14.25">
      <c r="B281" s="166" t="s">
        <v>53</v>
      </c>
      <c r="C281" s="47">
        <v>0.375</v>
      </c>
      <c r="D281" s="47">
        <v>0.20833333333333334</v>
      </c>
      <c r="E281" s="19">
        <v>7</v>
      </c>
      <c r="F281" s="277"/>
      <c r="G281" s="3"/>
      <c r="H281" s="47">
        <v>0.35416666666666669</v>
      </c>
      <c r="I281" s="47">
        <v>0.20833333333333334</v>
      </c>
      <c r="J281" s="19">
        <v>7.5</v>
      </c>
      <c r="K281" s="277"/>
      <c r="L281" s="3"/>
      <c r="M281" s="47">
        <v>0.35416666666666669</v>
      </c>
      <c r="N281" s="47">
        <v>0.20833333333333334</v>
      </c>
      <c r="O281" s="19">
        <v>7.5</v>
      </c>
      <c r="P281" s="277"/>
      <c r="Q281" s="3"/>
      <c r="R281" s="12" t="s">
        <v>29</v>
      </c>
      <c r="S281" s="12" t="s">
        <v>29</v>
      </c>
      <c r="T281" s="19">
        <v>6</v>
      </c>
      <c r="U281" s="277"/>
      <c r="V281" s="3"/>
      <c r="W281" s="12" t="s">
        <v>29</v>
      </c>
      <c r="X281" s="12" t="s">
        <v>29</v>
      </c>
      <c r="Y281" s="19">
        <v>6</v>
      </c>
      <c r="Z281" s="277"/>
      <c r="AA281" s="29">
        <f>(E281+J281+O281+T281+Y281)</f>
        <v>34</v>
      </c>
      <c r="AB281" s="298">
        <f t="shared" si="56"/>
        <v>0</v>
      </c>
      <c r="AC281" s="3"/>
      <c r="AD281" s="4">
        <v>0</v>
      </c>
      <c r="AE281" s="4">
        <v>0</v>
      </c>
      <c r="AF281" s="19" t="str">
        <f t="shared" si="54"/>
        <v>0</v>
      </c>
      <c r="AG281" s="29" t="str">
        <f t="shared" si="55"/>
        <v>0</v>
      </c>
      <c r="AH281" s="3"/>
      <c r="AI281" s="227"/>
      <c r="AK281" s="187"/>
      <c r="AL281" s="187"/>
      <c r="AM281" s="187"/>
      <c r="AN281" s="187"/>
      <c r="AO281" s="187"/>
      <c r="AP281" s="187"/>
    </row>
    <row r="282" spans="2:42" s="1" customFormat="1" ht="14.25">
      <c r="B282" s="166" t="s">
        <v>167</v>
      </c>
      <c r="C282" s="12" t="s">
        <v>29</v>
      </c>
      <c r="D282" s="12" t="s">
        <v>29</v>
      </c>
      <c r="E282" s="19">
        <v>6</v>
      </c>
      <c r="F282" s="277"/>
      <c r="G282" s="3"/>
      <c r="H282" s="12" t="s">
        <v>29</v>
      </c>
      <c r="I282" s="12" t="s">
        <v>29</v>
      </c>
      <c r="J282" s="19">
        <v>6</v>
      </c>
      <c r="K282" s="277"/>
      <c r="L282" s="3"/>
      <c r="M282" s="12" t="s">
        <v>29</v>
      </c>
      <c r="N282" s="12" t="s">
        <v>29</v>
      </c>
      <c r="O282" s="19">
        <v>6</v>
      </c>
      <c r="P282" s="277"/>
      <c r="Q282" s="3"/>
      <c r="R282" s="12" t="s">
        <v>29</v>
      </c>
      <c r="S282" s="12" t="s">
        <v>29</v>
      </c>
      <c r="T282" s="19">
        <v>6</v>
      </c>
      <c r="U282" s="277"/>
      <c r="V282" s="3"/>
      <c r="W282" s="12" t="s">
        <v>29</v>
      </c>
      <c r="X282" s="12" t="s">
        <v>29</v>
      </c>
      <c r="Y282" s="19">
        <v>6</v>
      </c>
      <c r="Z282" s="277"/>
      <c r="AA282" s="29">
        <f>(E282+J282+O282+T282+Y282)</f>
        <v>30</v>
      </c>
      <c r="AB282" s="298">
        <f t="shared" si="56"/>
        <v>0</v>
      </c>
      <c r="AC282" s="3"/>
      <c r="AD282" s="4">
        <v>0</v>
      </c>
      <c r="AE282" s="4">
        <v>0</v>
      </c>
      <c r="AF282" s="19" t="str">
        <f t="shared" si="54"/>
        <v>0</v>
      </c>
      <c r="AG282" s="29" t="str">
        <f>AF282</f>
        <v>0</v>
      </c>
      <c r="AH282" s="3"/>
      <c r="AI282" s="227"/>
      <c r="AK282" s="187"/>
      <c r="AL282" s="187"/>
      <c r="AM282" s="187"/>
      <c r="AN282" s="187"/>
      <c r="AO282" s="187"/>
      <c r="AP282" s="187"/>
    </row>
    <row r="283" spans="2:42" s="1" customFormat="1">
      <c r="B283" s="64" t="s">
        <v>61</v>
      </c>
      <c r="C283" s="64"/>
      <c r="D283" s="64"/>
      <c r="E283" s="167">
        <f>SUM(E264:E282)</f>
        <v>117.25</v>
      </c>
      <c r="F283" s="277">
        <f>SUM(F264:F282)</f>
        <v>0</v>
      </c>
      <c r="G283" s="3"/>
      <c r="H283" s="64"/>
      <c r="I283" s="64"/>
      <c r="J283" s="167">
        <f>SUM(J264:J282)</f>
        <v>124.75</v>
      </c>
      <c r="K283" s="277">
        <f>SUM(K264:K282)</f>
        <v>0</v>
      </c>
      <c r="L283" s="3"/>
      <c r="M283" s="64"/>
      <c r="N283" s="64"/>
      <c r="O283" s="167">
        <f>SUM(O264:O282)</f>
        <v>110</v>
      </c>
      <c r="P283" s="277">
        <f>SUM(P264:P282)</f>
        <v>0</v>
      </c>
      <c r="Q283" s="3"/>
      <c r="R283" s="64"/>
      <c r="S283" s="64"/>
      <c r="T283" s="167">
        <f>SUM(T264:T282)</f>
        <v>124.55000000000001</v>
      </c>
      <c r="U283" s="277">
        <f>SUM(U264:U282)</f>
        <v>0</v>
      </c>
      <c r="V283" s="3"/>
      <c r="W283" s="64"/>
      <c r="X283" s="64"/>
      <c r="Y283" s="167">
        <f>SUM(Y264:Y282)</f>
        <v>123</v>
      </c>
      <c r="Z283" s="277">
        <f>SUM(Z264:Z282)</f>
        <v>0</v>
      </c>
      <c r="AA283" s="247">
        <f>SUM(AA264:AA282)</f>
        <v>599.54999999999995</v>
      </c>
      <c r="AB283" s="284">
        <f>SUM(AB264:AB282)</f>
        <v>0</v>
      </c>
      <c r="AC283" s="3"/>
      <c r="AD283" s="64"/>
      <c r="AE283" s="64"/>
      <c r="AF283" s="64"/>
      <c r="AG283" s="247">
        <f>SUM(AG264:AG282)</f>
        <v>9.5</v>
      </c>
      <c r="AH283" s="3"/>
      <c r="AI283" s="227"/>
      <c r="AK283" s="187"/>
      <c r="AL283" s="187"/>
      <c r="AM283" s="187"/>
      <c r="AN283" s="187"/>
      <c r="AO283" s="187"/>
      <c r="AP283" s="187"/>
    </row>
    <row r="284" spans="2:42" s="1" customFormat="1">
      <c r="B284" s="63" t="s">
        <v>62</v>
      </c>
      <c r="C284" s="56"/>
      <c r="D284" s="56"/>
      <c r="E284" s="19">
        <v>8</v>
      </c>
      <c r="F284" s="60">
        <v>3.5</v>
      </c>
      <c r="G284" s="3"/>
      <c r="H284" s="56"/>
      <c r="I284" s="56"/>
      <c r="J284" s="19">
        <v>8</v>
      </c>
      <c r="K284" s="60">
        <v>0.5</v>
      </c>
      <c r="L284" s="3"/>
      <c r="M284" s="56"/>
      <c r="N284" s="56"/>
      <c r="O284" s="19">
        <v>5.5</v>
      </c>
      <c r="P284" s="60"/>
      <c r="Q284" s="60"/>
      <c r="R284" s="56"/>
      <c r="S284" s="56"/>
      <c r="T284" s="19">
        <v>5.5</v>
      </c>
      <c r="U284" s="60"/>
      <c r="V284" s="60"/>
      <c r="W284" s="56"/>
      <c r="X284" s="56"/>
      <c r="Y284" s="19" t="str">
        <f t="shared" ref="Y284" si="58">TEXT(X284-W284, "h")</f>
        <v>0</v>
      </c>
      <c r="Z284" s="60"/>
      <c r="AA284" s="28">
        <f>SUM(E284:Y284)</f>
        <v>31</v>
      </c>
      <c r="AB284" s="282">
        <f>Z284+U284+P284+K284+F284</f>
        <v>4</v>
      </c>
      <c r="AC284" s="3"/>
      <c r="AD284" s="56"/>
      <c r="AE284" s="56"/>
      <c r="AF284" s="19"/>
      <c r="AG284" s="29">
        <f>AF284</f>
        <v>0</v>
      </c>
      <c r="AH284" s="3"/>
      <c r="AI284" s="227"/>
      <c r="AK284" s="187"/>
      <c r="AL284" s="187"/>
      <c r="AM284" s="187"/>
      <c r="AN284" s="187"/>
      <c r="AO284" s="187"/>
      <c r="AP284" s="187"/>
    </row>
    <row r="285" spans="2:42" s="1" customFormat="1">
      <c r="B285" s="63" t="s">
        <v>63</v>
      </c>
      <c r="C285" s="56"/>
      <c r="D285" s="56"/>
      <c r="E285" s="19">
        <v>6</v>
      </c>
      <c r="F285" s="60"/>
      <c r="G285" s="60"/>
      <c r="H285" s="56"/>
      <c r="I285" s="56"/>
      <c r="J285" s="19">
        <v>7</v>
      </c>
      <c r="K285" s="60"/>
      <c r="L285" s="60"/>
      <c r="M285" s="56"/>
      <c r="N285" s="56"/>
      <c r="O285" s="19">
        <v>7</v>
      </c>
      <c r="P285" s="60"/>
      <c r="Q285" s="60"/>
      <c r="R285" s="56"/>
      <c r="S285" s="56"/>
      <c r="T285" s="19">
        <v>7</v>
      </c>
      <c r="U285" s="60"/>
      <c r="V285" s="60"/>
      <c r="W285" s="56"/>
      <c r="X285" s="56"/>
      <c r="Y285" s="19">
        <v>7</v>
      </c>
      <c r="Z285" s="60"/>
      <c r="AA285" s="28">
        <f>SUM(E285:Y285)</f>
        <v>34</v>
      </c>
      <c r="AB285" s="282">
        <f t="shared" ref="AB285:AB287" si="59">Z285+U285+P285+K285+F285</f>
        <v>0</v>
      </c>
      <c r="AC285" s="3"/>
      <c r="AD285" s="56"/>
      <c r="AE285" s="56"/>
      <c r="AF285" s="19"/>
      <c r="AG285" s="29">
        <f>AF285</f>
        <v>0</v>
      </c>
      <c r="AH285" s="3"/>
      <c r="AI285" s="227"/>
      <c r="AK285" s="187"/>
      <c r="AL285" s="187"/>
      <c r="AM285" s="187"/>
      <c r="AN285" s="187"/>
      <c r="AO285" s="187"/>
      <c r="AP285" s="187"/>
    </row>
    <row r="286" spans="2:42" s="1" customFormat="1">
      <c r="B286" s="63" t="s">
        <v>64</v>
      </c>
      <c r="C286" s="56"/>
      <c r="D286" s="56"/>
      <c r="E286" s="19">
        <v>6</v>
      </c>
      <c r="F286" s="60"/>
      <c r="G286" s="60"/>
      <c r="H286" s="56"/>
      <c r="I286" s="56"/>
      <c r="J286" s="19">
        <v>8</v>
      </c>
      <c r="K286" s="60"/>
      <c r="L286" s="60"/>
      <c r="M286" s="56"/>
      <c r="N286" s="56"/>
      <c r="O286" s="19">
        <v>8</v>
      </c>
      <c r="P286" s="60">
        <v>2</v>
      </c>
      <c r="Q286" s="60"/>
      <c r="R286" s="56"/>
      <c r="S286" s="56"/>
      <c r="T286" s="19">
        <v>8</v>
      </c>
      <c r="U286" s="60">
        <v>1</v>
      </c>
      <c r="V286" s="60"/>
      <c r="W286" s="56"/>
      <c r="X286" s="56"/>
      <c r="Y286" s="19">
        <v>8</v>
      </c>
      <c r="Z286" s="60">
        <v>3.25</v>
      </c>
      <c r="AA286" s="28">
        <f>SUM(E286:Y286)</f>
        <v>41</v>
      </c>
      <c r="AB286" s="282">
        <f t="shared" si="59"/>
        <v>6.25</v>
      </c>
      <c r="AC286" s="3"/>
      <c r="AD286" s="56"/>
      <c r="AE286" s="56"/>
      <c r="AF286" s="19">
        <f>6+2.75</f>
        <v>8.75</v>
      </c>
      <c r="AG286" s="29">
        <f>AF286</f>
        <v>8.75</v>
      </c>
      <c r="AH286" s="3"/>
      <c r="AI286" s="227"/>
      <c r="AK286" s="187"/>
      <c r="AL286" s="187"/>
      <c r="AM286" s="187"/>
      <c r="AN286" s="187"/>
      <c r="AO286" s="187"/>
      <c r="AP286" s="187"/>
    </row>
    <row r="287" spans="2:42" s="1" customFormat="1" ht="14.25" thickBot="1">
      <c r="B287" s="268" t="s">
        <v>65</v>
      </c>
      <c r="C287" s="75"/>
      <c r="D287" s="75"/>
      <c r="E287" s="77">
        <v>0</v>
      </c>
      <c r="F287" s="81"/>
      <c r="G287" s="81"/>
      <c r="H287" s="75"/>
      <c r="I287" s="75"/>
      <c r="J287" s="77">
        <v>0</v>
      </c>
      <c r="K287" s="81"/>
      <c r="L287" s="81"/>
      <c r="M287" s="75"/>
      <c r="N287" s="75"/>
      <c r="O287" s="77">
        <v>0</v>
      </c>
      <c r="P287" s="81"/>
      <c r="Q287" s="81"/>
      <c r="R287" s="75"/>
      <c r="S287" s="75"/>
      <c r="T287" s="77">
        <v>0</v>
      </c>
      <c r="U287" s="81"/>
      <c r="V287" s="81"/>
      <c r="W287" s="75"/>
      <c r="X287" s="75"/>
      <c r="Y287" s="77">
        <v>0</v>
      </c>
      <c r="Z287" s="81"/>
      <c r="AA287" s="80">
        <f>SUM(E287:Y287)</f>
        <v>0</v>
      </c>
      <c r="AB287" s="287">
        <f t="shared" si="59"/>
        <v>0</v>
      </c>
      <c r="AC287" s="3"/>
      <c r="AD287" s="75"/>
      <c r="AE287" s="75"/>
      <c r="AF287" s="77"/>
      <c r="AG287" s="276">
        <f>AF287</f>
        <v>0</v>
      </c>
      <c r="AH287" s="3"/>
      <c r="AI287" s="227"/>
      <c r="AK287" s="187"/>
      <c r="AL287" s="187"/>
      <c r="AM287" s="187"/>
      <c r="AN287" s="187"/>
      <c r="AO287" s="187"/>
      <c r="AP287" s="187"/>
    </row>
    <row r="288" spans="2:42" s="1" customFormat="1" ht="14.25" thickTop="1">
      <c r="B288" s="214" t="s">
        <v>66</v>
      </c>
      <c r="C288" s="243"/>
      <c r="D288" s="243"/>
      <c r="E288" s="214">
        <f>SUM(E284:E287)</f>
        <v>20</v>
      </c>
      <c r="F288" s="215"/>
      <c r="G288" s="215"/>
      <c r="H288" s="243"/>
      <c r="I288" s="243"/>
      <c r="J288" s="214">
        <f>SUM(J284:J287)</f>
        <v>23</v>
      </c>
      <c r="K288" s="215"/>
      <c r="L288" s="215"/>
      <c r="M288" s="243"/>
      <c r="N288" s="243"/>
      <c r="O288" s="214">
        <f>SUM(O284:O287)</f>
        <v>20.5</v>
      </c>
      <c r="P288" s="215"/>
      <c r="Q288" s="215"/>
      <c r="R288" s="243"/>
      <c r="S288" s="243"/>
      <c r="T288" s="214">
        <f>SUM(T284:T287)</f>
        <v>20.5</v>
      </c>
      <c r="U288" s="215"/>
      <c r="V288" s="215"/>
      <c r="W288" s="243"/>
      <c r="X288" s="243"/>
      <c r="Y288" s="305">
        <f>SUM(Y284:Y287)</f>
        <v>15</v>
      </c>
      <c r="Z288" s="215"/>
      <c r="AA288" s="247">
        <f>SUM(E288:Y288)</f>
        <v>99</v>
      </c>
      <c r="AB288" s="247">
        <f>SUM(AB284:AB287)</f>
        <v>10.25</v>
      </c>
      <c r="AC288" s="3"/>
      <c r="AD288" s="187"/>
      <c r="AE288" s="187"/>
      <c r="AF288" s="187"/>
      <c r="AG288" s="247">
        <f>SUM(AG286:AG287)</f>
        <v>8.75</v>
      </c>
      <c r="AH288" s="3"/>
      <c r="AI288" s="227"/>
      <c r="AK288" s="187"/>
      <c r="AL288" s="187"/>
      <c r="AM288" s="187"/>
      <c r="AN288" s="187"/>
      <c r="AO288" s="187"/>
      <c r="AP288" s="187"/>
    </row>
    <row r="289" spans="1:42" s="1" customFormat="1" ht="13.5" customHeight="1">
      <c r="A289" s="11"/>
      <c r="B289" s="217" t="s">
        <v>67</v>
      </c>
      <c r="C289" s="207">
        <f>C290+C291</f>
        <v>80</v>
      </c>
      <c r="D289" s="208"/>
      <c r="E289" s="209"/>
      <c r="F289" s="209"/>
      <c r="G289" s="208"/>
      <c r="H289" s="209"/>
      <c r="I289" s="209"/>
      <c r="J289" s="209"/>
      <c r="K289" s="209"/>
      <c r="L289" s="208"/>
      <c r="M289" s="208"/>
      <c r="N289" s="208"/>
      <c r="O289" s="208"/>
      <c r="P289" s="209"/>
      <c r="Q289" s="208"/>
      <c r="R289" s="208"/>
      <c r="S289" s="208"/>
      <c r="T289" s="208"/>
      <c r="U289" s="209"/>
      <c r="V289" s="208"/>
      <c r="W289" s="208"/>
      <c r="X289" s="208"/>
      <c r="Y289" s="210"/>
      <c r="Z289" s="209"/>
      <c r="AA289" s="211"/>
      <c r="AB289" s="209"/>
      <c r="AC289" s="211"/>
      <c r="AD289" s="211"/>
      <c r="AE289" s="211"/>
      <c r="AF289" s="211"/>
      <c r="AG289" s="211"/>
      <c r="AH289" s="3"/>
      <c r="AI289" s="227"/>
      <c r="AK289" s="187"/>
      <c r="AL289" s="187"/>
      <c r="AM289" s="187"/>
      <c r="AN289" s="187"/>
      <c r="AO289" s="187"/>
      <c r="AP289" s="187"/>
    </row>
    <row r="290" spans="1:42" s="1" customFormat="1" ht="13.5" customHeight="1">
      <c r="A290" s="11"/>
      <c r="B290" s="238" t="s">
        <v>68</v>
      </c>
      <c r="C290" s="239">
        <f>10+11+9+10+15</f>
        <v>55</v>
      </c>
      <c r="D290" s="208"/>
      <c r="E290" s="209"/>
      <c r="F290" s="209"/>
      <c r="G290" s="208"/>
      <c r="H290" s="209"/>
      <c r="I290" s="209"/>
      <c r="J290" s="209"/>
      <c r="K290" s="209"/>
      <c r="L290" s="208"/>
      <c r="M290" s="208"/>
      <c r="N290" s="208"/>
      <c r="O290" s="208"/>
      <c r="P290" s="209"/>
      <c r="Q290" s="208"/>
      <c r="R290" s="208"/>
      <c r="S290" s="208"/>
      <c r="T290" s="208"/>
      <c r="U290" s="209"/>
      <c r="V290" s="208"/>
      <c r="W290" s="208"/>
      <c r="X290" s="208"/>
      <c r="Y290" s="210"/>
      <c r="Z290" s="209"/>
      <c r="AA290" s="211"/>
      <c r="AB290" s="209"/>
      <c r="AC290" s="211"/>
      <c r="AD290" s="211"/>
      <c r="AE290" s="211"/>
      <c r="AF290" s="211"/>
      <c r="AG290" s="211"/>
      <c r="AH290" s="3"/>
      <c r="AI290" s="227"/>
      <c r="AK290" s="187"/>
      <c r="AL290" s="187"/>
      <c r="AM290" s="187"/>
      <c r="AN290" s="187"/>
      <c r="AO290" s="187"/>
      <c r="AP290" s="187"/>
    </row>
    <row r="291" spans="1:42" s="1" customFormat="1" ht="13.5" customHeight="1">
      <c r="A291" s="11"/>
      <c r="B291" s="238" t="s">
        <v>69</v>
      </c>
      <c r="C291" s="239">
        <f>6+7+7+5</f>
        <v>25</v>
      </c>
      <c r="D291" s="208"/>
      <c r="E291" s="209"/>
      <c r="F291" s="209"/>
      <c r="G291" s="208"/>
      <c r="H291" s="209"/>
      <c r="I291" s="209"/>
      <c r="J291" s="209"/>
      <c r="K291" s="209"/>
      <c r="L291" s="208"/>
      <c r="M291" s="208"/>
      <c r="N291" s="208"/>
      <c r="O291" s="208"/>
      <c r="P291" s="209"/>
      <c r="Q291" s="208"/>
      <c r="R291" s="208"/>
      <c r="S291" s="208"/>
      <c r="T291" s="208"/>
      <c r="U291" s="209"/>
      <c r="V291" s="208"/>
      <c r="W291" s="208"/>
      <c r="X291" s="208"/>
      <c r="Y291" s="210"/>
      <c r="Z291" s="209"/>
      <c r="AA291" s="211"/>
      <c r="AB291" s="209"/>
      <c r="AC291" s="211"/>
      <c r="AD291" s="211"/>
      <c r="AE291" s="211"/>
      <c r="AF291" s="211"/>
      <c r="AG291" s="211"/>
      <c r="AH291" s="3"/>
      <c r="AI291" s="227"/>
      <c r="AK291" s="187"/>
      <c r="AL291" s="187"/>
      <c r="AM291" s="187"/>
      <c r="AN291" s="187"/>
      <c r="AO291" s="187"/>
      <c r="AP291" s="187"/>
    </row>
    <row r="292" spans="1:42" s="1" customFormat="1" ht="4.5" customHeight="1">
      <c r="A292" s="11"/>
      <c r="B292" s="218"/>
      <c r="C292" s="219"/>
      <c r="D292" s="220"/>
      <c r="E292" s="221"/>
      <c r="F292" s="221"/>
      <c r="G292" s="220"/>
      <c r="H292" s="221"/>
      <c r="I292" s="221"/>
      <c r="J292" s="221"/>
      <c r="K292" s="221"/>
      <c r="L292" s="220"/>
      <c r="M292" s="220"/>
      <c r="N292" s="220"/>
      <c r="O292" s="220"/>
      <c r="P292" s="221"/>
      <c r="Q292" s="220"/>
      <c r="R292" s="220" t="s">
        <v>171</v>
      </c>
      <c r="S292" s="220"/>
      <c r="T292" s="220"/>
      <c r="U292" s="221"/>
      <c r="V292" s="220"/>
      <c r="W292" s="220"/>
      <c r="X292" s="220"/>
      <c r="Y292" s="222"/>
      <c r="Z292" s="221"/>
      <c r="AA292" s="223"/>
      <c r="AB292" s="221"/>
      <c r="AC292" s="3"/>
      <c r="AD292" s="168"/>
      <c r="AH292" s="3"/>
      <c r="AI292" s="227"/>
      <c r="AK292" s="187"/>
      <c r="AL292" s="187"/>
      <c r="AM292" s="187"/>
      <c r="AN292" s="187"/>
      <c r="AO292" s="187"/>
      <c r="AP292" s="187"/>
    </row>
    <row r="293" spans="1:42" s="227" customFormat="1" ht="4.5" customHeight="1">
      <c r="A293" s="228"/>
      <c r="B293" s="229"/>
      <c r="C293" s="230"/>
      <c r="D293" s="231"/>
      <c r="E293" s="232"/>
      <c r="F293" s="232"/>
      <c r="G293" s="231"/>
      <c r="H293" s="232"/>
      <c r="I293" s="232"/>
      <c r="J293" s="232"/>
      <c r="K293" s="232"/>
      <c r="L293" s="231"/>
      <c r="M293" s="231"/>
      <c r="N293" s="231"/>
      <c r="O293" s="231"/>
      <c r="P293" s="232"/>
      <c r="Q293" s="231"/>
      <c r="R293" s="231"/>
      <c r="S293" s="231"/>
      <c r="T293" s="231"/>
      <c r="U293" s="232"/>
      <c r="V293" s="231"/>
      <c r="W293" s="231"/>
      <c r="X293" s="231"/>
      <c r="Y293" s="233"/>
      <c r="Z293" s="232"/>
      <c r="AA293" s="234"/>
      <c r="AB293" s="232"/>
      <c r="AC293" s="235"/>
      <c r="AD293" s="236"/>
      <c r="AH293" s="235"/>
    </row>
    <row r="294" spans="1:42" s="187" customFormat="1" ht="4.5" customHeight="1">
      <c r="A294" s="224"/>
      <c r="B294" s="214"/>
      <c r="C294" s="215"/>
      <c r="D294" s="215"/>
      <c r="E294" s="214"/>
      <c r="F294" s="214"/>
      <c r="G294" s="215"/>
      <c r="H294" s="214"/>
      <c r="I294" s="214"/>
      <c r="J294" s="214"/>
      <c r="K294" s="214"/>
      <c r="L294" s="215"/>
      <c r="M294" s="215"/>
      <c r="N294" s="215"/>
      <c r="O294" s="215"/>
      <c r="P294" s="214"/>
      <c r="Q294" s="215"/>
      <c r="R294" s="215"/>
      <c r="S294" s="215"/>
      <c r="T294" s="215"/>
      <c r="U294" s="214"/>
      <c r="V294" s="215"/>
      <c r="W294" s="215"/>
      <c r="X294" s="215"/>
      <c r="Y294" s="216"/>
      <c r="Z294" s="214"/>
      <c r="AA294" s="225"/>
      <c r="AB294" s="214"/>
      <c r="AC294" s="226"/>
      <c r="AH294" s="226"/>
      <c r="AI294" s="227"/>
    </row>
    <row r="295" spans="1:42" s="1" customFormat="1">
      <c r="B295" s="1518" t="s">
        <v>18</v>
      </c>
      <c r="C295" s="1524">
        <v>45138</v>
      </c>
      <c r="D295" s="1524"/>
      <c r="E295" s="1524"/>
      <c r="F295" s="1524"/>
      <c r="G295" s="22"/>
      <c r="H295" s="1524">
        <v>45139</v>
      </c>
      <c r="I295" s="1524"/>
      <c r="J295" s="1524"/>
      <c r="K295" s="1524"/>
      <c r="L295" s="22"/>
      <c r="M295" s="1524">
        <v>45140</v>
      </c>
      <c r="N295" s="1524"/>
      <c r="O295" s="1524"/>
      <c r="P295" s="1524"/>
      <c r="Q295" s="22"/>
      <c r="R295" s="1524">
        <v>45141</v>
      </c>
      <c r="S295" s="1524"/>
      <c r="T295" s="1524"/>
      <c r="U295" s="1524"/>
      <c r="V295" s="22"/>
      <c r="W295" s="1524">
        <v>45142</v>
      </c>
      <c r="X295" s="1524"/>
      <c r="Y295" s="1524"/>
      <c r="Z295" s="1524"/>
      <c r="AA295" s="1517" t="s">
        <v>19</v>
      </c>
      <c r="AB295" s="1517" t="s">
        <v>20</v>
      </c>
      <c r="AC295" s="3"/>
      <c r="AD295" s="1524">
        <v>45143</v>
      </c>
      <c r="AE295" s="1524"/>
      <c r="AF295" s="1524"/>
      <c r="AG295" s="1517" t="s">
        <v>21</v>
      </c>
      <c r="AH295" s="3"/>
      <c r="AI295" s="227"/>
      <c r="AK295" s="194" t="s">
        <v>172</v>
      </c>
      <c r="AL295" s="195"/>
      <c r="AM295" s="195"/>
      <c r="AN295" s="195"/>
      <c r="AO295" s="195"/>
      <c r="AP295" s="195"/>
    </row>
    <row r="296" spans="1:42" s="176" customFormat="1" ht="14.25">
      <c r="B296" s="1518"/>
      <c r="C296" s="21" t="s">
        <v>23</v>
      </c>
      <c r="D296" s="21" t="s">
        <v>24</v>
      </c>
      <c r="E296" s="205" t="s">
        <v>25</v>
      </c>
      <c r="F296" s="18" t="s">
        <v>14</v>
      </c>
      <c r="G296" s="3"/>
      <c r="H296" s="21" t="s">
        <v>23</v>
      </c>
      <c r="I296" s="21" t="s">
        <v>24</v>
      </c>
      <c r="J296" s="18" t="s">
        <v>25</v>
      </c>
      <c r="K296" s="18" t="s">
        <v>14</v>
      </c>
      <c r="L296" s="3"/>
      <c r="M296" s="21" t="s">
        <v>23</v>
      </c>
      <c r="N296" s="21" t="s">
        <v>24</v>
      </c>
      <c r="O296" s="18" t="s">
        <v>25</v>
      </c>
      <c r="P296" s="18" t="s">
        <v>14</v>
      </c>
      <c r="Q296" s="3"/>
      <c r="R296" s="21" t="s">
        <v>23</v>
      </c>
      <c r="S296" s="21" t="s">
        <v>24</v>
      </c>
      <c r="T296" s="18" t="s">
        <v>25</v>
      </c>
      <c r="U296" s="18" t="s">
        <v>14</v>
      </c>
      <c r="V296" s="3"/>
      <c r="W296" s="21" t="s">
        <v>23</v>
      </c>
      <c r="X296" s="21" t="s">
        <v>24</v>
      </c>
      <c r="Y296" s="18" t="s">
        <v>25</v>
      </c>
      <c r="Z296" s="18" t="s">
        <v>14</v>
      </c>
      <c r="AA296" s="1523"/>
      <c r="AB296" s="1517"/>
      <c r="AC296" s="3"/>
      <c r="AD296" s="21" t="s">
        <v>23</v>
      </c>
      <c r="AE296" s="21" t="s">
        <v>24</v>
      </c>
      <c r="AF296" s="18" t="s">
        <v>25</v>
      </c>
      <c r="AG296" s="1523"/>
      <c r="AH296" s="174"/>
      <c r="AI296" s="257"/>
      <c r="AK296" s="188" t="s">
        <v>26</v>
      </c>
      <c r="AL296" s="190">
        <f>AA323</f>
        <v>697</v>
      </c>
      <c r="AM296" s="187"/>
      <c r="AN296" s="187"/>
      <c r="AO296" s="187"/>
      <c r="AP296" s="187"/>
    </row>
    <row r="297" spans="1:42" s="176" customFormat="1" ht="14.25">
      <c r="B297" s="171" t="s">
        <v>141</v>
      </c>
      <c r="C297" s="4">
        <v>0</v>
      </c>
      <c r="D297" s="4">
        <v>0</v>
      </c>
      <c r="E297" s="19" t="str">
        <f>TEXT(D297-C297, "h")</f>
        <v>0</v>
      </c>
      <c r="F297" s="277"/>
      <c r="G297" s="174"/>
      <c r="H297" s="172">
        <v>0.35416666666666669</v>
      </c>
      <c r="I297" s="172">
        <v>0.20833333333333334</v>
      </c>
      <c r="J297" s="173">
        <v>7.5</v>
      </c>
      <c r="K297" s="277"/>
      <c r="L297" s="174"/>
      <c r="M297" s="172">
        <v>0.35416666666666669</v>
      </c>
      <c r="N297" s="172">
        <v>0.20833333333333334</v>
      </c>
      <c r="O297" s="173">
        <v>8</v>
      </c>
      <c r="P297" s="277"/>
      <c r="Q297" s="174"/>
      <c r="R297" s="172">
        <v>0.39583333333333331</v>
      </c>
      <c r="S297" s="172">
        <v>0.20833333333333334</v>
      </c>
      <c r="T297" s="173">
        <v>0</v>
      </c>
      <c r="U297" s="277"/>
      <c r="V297" s="174"/>
      <c r="W297" s="172">
        <v>6.25E-2</v>
      </c>
      <c r="X297" s="172">
        <v>0.1875</v>
      </c>
      <c r="Y297" s="173">
        <v>3</v>
      </c>
      <c r="Z297" s="277"/>
      <c r="AA297" s="28">
        <f>(E297+J297+O297+T297+Y297)</f>
        <v>18.5</v>
      </c>
      <c r="AB297" s="298">
        <f>Z297+U297+P297+K297+F297</f>
        <v>0</v>
      </c>
      <c r="AC297" s="174"/>
      <c r="AD297" s="175">
        <v>0</v>
      </c>
      <c r="AE297" s="175">
        <v>0</v>
      </c>
      <c r="AF297" s="173">
        <v>0</v>
      </c>
      <c r="AG297" s="183">
        <f t="shared" ref="AG297:AG322" si="60">AF297</f>
        <v>0</v>
      </c>
      <c r="AH297" s="174"/>
      <c r="AI297" s="257"/>
      <c r="AK297" s="188" t="s">
        <v>30</v>
      </c>
      <c r="AL297" s="190">
        <f>AB323</f>
        <v>0</v>
      </c>
      <c r="AM297" s="187"/>
      <c r="AN297" s="187"/>
      <c r="AO297" s="187"/>
      <c r="AP297" s="187"/>
    </row>
    <row r="298" spans="1:42" s="176" customFormat="1" ht="14.25">
      <c r="B298" s="171" t="s">
        <v>142</v>
      </c>
      <c r="C298" s="177">
        <v>0.41666666666666669</v>
      </c>
      <c r="D298" s="172">
        <v>0.20833333333333334</v>
      </c>
      <c r="E298" s="173">
        <v>6</v>
      </c>
      <c r="F298" s="277"/>
      <c r="G298" s="174"/>
      <c r="H298" s="4">
        <v>0</v>
      </c>
      <c r="I298" s="4">
        <v>0</v>
      </c>
      <c r="J298" s="173">
        <v>0</v>
      </c>
      <c r="K298" s="277"/>
      <c r="L298" s="174"/>
      <c r="M298" s="172">
        <v>0.40625</v>
      </c>
      <c r="N298" s="172">
        <v>6.25E-2</v>
      </c>
      <c r="O298" s="173">
        <v>3.75</v>
      </c>
      <c r="P298" s="277"/>
      <c r="Q298" s="174"/>
      <c r="R298" s="172">
        <v>0.375</v>
      </c>
      <c r="S298" s="172">
        <v>0.16666666666666666</v>
      </c>
      <c r="T298" s="173">
        <v>6</v>
      </c>
      <c r="U298" s="277"/>
      <c r="V298" s="174"/>
      <c r="W298" s="172">
        <v>0</v>
      </c>
      <c r="X298" s="172">
        <v>0</v>
      </c>
      <c r="Y298" s="173">
        <v>0</v>
      </c>
      <c r="Z298" s="277"/>
      <c r="AA298" s="28">
        <f>(E298+J298+O298+T298+Y298)</f>
        <v>15.75</v>
      </c>
      <c r="AB298" s="298">
        <f t="shared" ref="AB298:AB322" si="61">Z298+U298+P298+K298+F298</f>
        <v>0</v>
      </c>
      <c r="AC298" s="174"/>
      <c r="AD298" s="175">
        <v>0</v>
      </c>
      <c r="AE298" s="175">
        <v>0</v>
      </c>
      <c r="AF298" s="173">
        <v>0</v>
      </c>
      <c r="AG298" s="28">
        <f t="shared" si="60"/>
        <v>0</v>
      </c>
      <c r="AH298" s="174"/>
      <c r="AI298" s="257"/>
      <c r="AK298" s="188" t="s">
        <v>32</v>
      </c>
      <c r="AL298" s="190">
        <f>AG323</f>
        <v>33</v>
      </c>
      <c r="AM298" s="187"/>
      <c r="AN298" s="187"/>
      <c r="AO298" s="187"/>
      <c r="AP298" s="187"/>
    </row>
    <row r="299" spans="1:42" s="176" customFormat="1" ht="14.25">
      <c r="B299" s="171" t="s">
        <v>31</v>
      </c>
      <c r="C299" s="172">
        <v>0.35416666666666669</v>
      </c>
      <c r="D299" s="172">
        <v>0.20833333333333334</v>
      </c>
      <c r="E299" s="173">
        <v>8</v>
      </c>
      <c r="F299" s="277"/>
      <c r="G299" s="174"/>
      <c r="H299" s="172">
        <v>0.33333333333333331</v>
      </c>
      <c r="I299" s="172">
        <v>0.20833333333333334</v>
      </c>
      <c r="J299" s="173">
        <v>8</v>
      </c>
      <c r="K299" s="277"/>
      <c r="L299" s="174"/>
      <c r="M299" s="172">
        <v>0.35416666666666669</v>
      </c>
      <c r="N299" s="172">
        <v>0.20833333333333334</v>
      </c>
      <c r="O299" s="173">
        <v>7.5</v>
      </c>
      <c r="P299" s="277"/>
      <c r="Q299" s="174"/>
      <c r="R299" s="172">
        <v>0.39583333333333331</v>
      </c>
      <c r="S299" s="172">
        <v>0.20833333333333334</v>
      </c>
      <c r="T299" s="173">
        <v>0</v>
      </c>
      <c r="U299" s="277"/>
      <c r="V299" s="174"/>
      <c r="W299" s="172">
        <v>0</v>
      </c>
      <c r="X299" s="172">
        <v>0</v>
      </c>
      <c r="Y299" s="173">
        <v>0</v>
      </c>
      <c r="Z299" s="277"/>
      <c r="AA299" s="28">
        <f>(E299+J299+O299+T299+Y299)</f>
        <v>23.5</v>
      </c>
      <c r="AB299" s="298">
        <f t="shared" si="61"/>
        <v>0</v>
      </c>
      <c r="AC299" s="174"/>
      <c r="AD299" s="175">
        <v>0</v>
      </c>
      <c r="AE299" s="175">
        <v>0</v>
      </c>
      <c r="AF299" s="173">
        <v>0</v>
      </c>
      <c r="AG299" s="28">
        <f t="shared" si="60"/>
        <v>0</v>
      </c>
      <c r="AH299" s="174"/>
      <c r="AI299" s="257"/>
      <c r="AK299" s="188" t="s">
        <v>34</v>
      </c>
      <c r="AL299" s="196">
        <f>AA328</f>
        <v>115</v>
      </c>
      <c r="AM299" s="187"/>
      <c r="AN299" s="187"/>
      <c r="AO299" s="187"/>
      <c r="AP299" s="187"/>
    </row>
    <row r="300" spans="1:42" s="176" customFormat="1" ht="14.25">
      <c r="B300" s="171" t="s">
        <v>169</v>
      </c>
      <c r="C300" s="4">
        <v>0</v>
      </c>
      <c r="D300" s="4">
        <v>0</v>
      </c>
      <c r="E300" s="19" t="str">
        <f>TEXT(D300-C300, "h")</f>
        <v>0</v>
      </c>
      <c r="F300" s="277"/>
      <c r="G300" s="174"/>
      <c r="H300" s="172">
        <v>0.33333333333333331</v>
      </c>
      <c r="I300" s="172">
        <v>0.20833333333333334</v>
      </c>
      <c r="J300" s="173">
        <v>8</v>
      </c>
      <c r="K300" s="277"/>
      <c r="L300" s="174"/>
      <c r="M300" s="172">
        <v>0.33333333333333331</v>
      </c>
      <c r="N300" s="172">
        <v>6.25E-2</v>
      </c>
      <c r="O300" s="173">
        <v>5.5</v>
      </c>
      <c r="P300" s="277"/>
      <c r="Q300" s="174"/>
      <c r="R300" s="172">
        <v>0.375</v>
      </c>
      <c r="S300" s="172">
        <v>0.16666666666666666</v>
      </c>
      <c r="T300" s="173">
        <v>6</v>
      </c>
      <c r="U300" s="277"/>
      <c r="V300" s="174"/>
      <c r="W300" s="172">
        <v>0.33333333333333331</v>
      </c>
      <c r="X300" s="172">
        <v>0.20833333333333334</v>
      </c>
      <c r="Y300" s="173">
        <v>8</v>
      </c>
      <c r="Z300" s="277"/>
      <c r="AA300" s="28">
        <f>(E300+J300+O300+T300+Y300)</f>
        <v>27.5</v>
      </c>
      <c r="AB300" s="298">
        <f t="shared" si="61"/>
        <v>0</v>
      </c>
      <c r="AC300" s="174"/>
      <c r="AD300" s="175">
        <v>0</v>
      </c>
      <c r="AE300" s="175">
        <v>0</v>
      </c>
      <c r="AF300" s="173">
        <v>0</v>
      </c>
      <c r="AG300" s="28">
        <f t="shared" si="60"/>
        <v>0</v>
      </c>
      <c r="AH300" s="174"/>
      <c r="AI300" s="257"/>
      <c r="AK300" s="188" t="s">
        <v>145</v>
      </c>
      <c r="AL300" s="196">
        <f>AB328</f>
        <v>7.75</v>
      </c>
      <c r="AM300" s="187"/>
      <c r="AN300" s="187"/>
      <c r="AO300" s="187"/>
      <c r="AP300" s="187"/>
    </row>
    <row r="301" spans="1:42" s="1" customFormat="1" ht="14.25">
      <c r="B301" s="171" t="s">
        <v>33</v>
      </c>
      <c r="C301" s="172">
        <v>0.33333333333333331</v>
      </c>
      <c r="D301" s="172">
        <v>0.20833333333333334</v>
      </c>
      <c r="E301" s="173">
        <v>8</v>
      </c>
      <c r="F301" s="277"/>
      <c r="G301" s="174"/>
      <c r="H301" s="172">
        <v>0.34375</v>
      </c>
      <c r="I301" s="172">
        <v>0.20833333333333334</v>
      </c>
      <c r="J301" s="173">
        <v>7.75</v>
      </c>
      <c r="K301" s="277"/>
      <c r="L301" s="174"/>
      <c r="M301" s="172">
        <v>0.33333333333333331</v>
      </c>
      <c r="N301" s="172">
        <v>6.25E-2</v>
      </c>
      <c r="O301" s="173">
        <v>5.5</v>
      </c>
      <c r="P301" s="277"/>
      <c r="Q301" s="174"/>
      <c r="R301" s="172">
        <v>0.375</v>
      </c>
      <c r="S301" s="172">
        <v>0.16666666666666666</v>
      </c>
      <c r="T301" s="173">
        <v>6</v>
      </c>
      <c r="U301" s="277"/>
      <c r="V301" s="174"/>
      <c r="W301" s="172">
        <v>0.34375</v>
      </c>
      <c r="X301" s="172">
        <v>0.20833333333333334</v>
      </c>
      <c r="Y301" s="173">
        <v>7.75</v>
      </c>
      <c r="Z301" s="277"/>
      <c r="AA301" s="28">
        <f>(E301+J301+O301+T301+Y301)</f>
        <v>35</v>
      </c>
      <c r="AB301" s="298">
        <f t="shared" si="61"/>
        <v>0</v>
      </c>
      <c r="AC301" s="174"/>
      <c r="AD301" s="175">
        <v>0</v>
      </c>
      <c r="AE301" s="175">
        <v>0</v>
      </c>
      <c r="AF301" s="173">
        <v>0</v>
      </c>
      <c r="AG301" s="28">
        <f t="shared" si="60"/>
        <v>0</v>
      </c>
      <c r="AH301" s="3"/>
      <c r="AI301" s="227"/>
      <c r="AK301" s="188" t="s">
        <v>38</v>
      </c>
      <c r="AL301" s="190">
        <f>AG328</f>
        <v>2</v>
      </c>
      <c r="AM301" s="187"/>
      <c r="AN301" s="187"/>
      <c r="AO301" s="187"/>
      <c r="AP301" s="187"/>
    </row>
    <row r="302" spans="1:42" s="1" customFormat="1" ht="14.25">
      <c r="B302" s="13" t="s">
        <v>129</v>
      </c>
      <c r="C302" s="47">
        <v>0.35416666666666669</v>
      </c>
      <c r="D302" s="47">
        <v>0.20833333333333334</v>
      </c>
      <c r="E302" s="19">
        <v>7.5</v>
      </c>
      <c r="F302" s="277"/>
      <c r="G302" s="3"/>
      <c r="H302" s="47">
        <v>0.35416666666666669</v>
      </c>
      <c r="I302" s="47">
        <v>0.20833333333333334</v>
      </c>
      <c r="J302" s="19">
        <v>7.5</v>
      </c>
      <c r="K302" s="277"/>
      <c r="L302" s="3"/>
      <c r="M302" s="47">
        <v>0.35416666666666669</v>
      </c>
      <c r="N302" s="47">
        <v>0.20833333333333334</v>
      </c>
      <c r="O302" s="19">
        <v>7.5</v>
      </c>
      <c r="P302" s="277"/>
      <c r="Q302" s="3"/>
      <c r="R302" s="47">
        <v>0.36458333333333331</v>
      </c>
      <c r="S302" s="47">
        <v>0.20833333333333334</v>
      </c>
      <c r="T302" s="19">
        <v>0</v>
      </c>
      <c r="U302" s="277"/>
      <c r="V302" s="3"/>
      <c r="W302" s="47">
        <v>0</v>
      </c>
      <c r="X302" s="47">
        <v>0</v>
      </c>
      <c r="Y302" s="19">
        <v>0</v>
      </c>
      <c r="Z302" s="277"/>
      <c r="AA302" s="29">
        <f t="shared" ref="AA302:AA321" si="62">(E302+J302+O302+T302+Y302)</f>
        <v>22.5</v>
      </c>
      <c r="AB302" s="298">
        <f t="shared" si="61"/>
        <v>0</v>
      </c>
      <c r="AC302" s="3"/>
      <c r="AD302" s="4">
        <v>0</v>
      </c>
      <c r="AE302" s="4">
        <v>0</v>
      </c>
      <c r="AF302" s="19">
        <v>0</v>
      </c>
      <c r="AG302" s="29">
        <f t="shared" si="60"/>
        <v>0</v>
      </c>
      <c r="AH302" s="3"/>
      <c r="AI302" s="227"/>
      <c r="AK302" s="188" t="s">
        <v>41</v>
      </c>
      <c r="AL302" s="189">
        <f>C329</f>
        <v>76</v>
      </c>
      <c r="AM302" s="191"/>
      <c r="AN302" s="191"/>
      <c r="AO302" s="191"/>
      <c r="AP302" s="191"/>
    </row>
    <row r="303" spans="1:42" s="1" customFormat="1" ht="14.25">
      <c r="B303" s="13" t="s">
        <v>35</v>
      </c>
      <c r="C303" s="47">
        <v>0.36458333333333331</v>
      </c>
      <c r="D303" s="47">
        <v>0.20833333333333334</v>
      </c>
      <c r="E303" s="19">
        <v>7.25</v>
      </c>
      <c r="F303" s="277"/>
      <c r="G303" s="3"/>
      <c r="H303" s="47">
        <v>0.35416666666666669</v>
      </c>
      <c r="I303" s="47">
        <v>0.20833333333333334</v>
      </c>
      <c r="J303" s="19">
        <v>7.5</v>
      </c>
      <c r="K303" s="277"/>
      <c r="L303" s="3"/>
      <c r="M303" s="47">
        <v>0.35416666666666669</v>
      </c>
      <c r="N303" s="172">
        <v>6.25E-2</v>
      </c>
      <c r="O303" s="19">
        <v>5</v>
      </c>
      <c r="P303" s="277"/>
      <c r="Q303" s="3"/>
      <c r="R303" s="47">
        <v>0.375</v>
      </c>
      <c r="S303" s="47">
        <v>0.20833333333333334</v>
      </c>
      <c r="T303" s="19">
        <v>0</v>
      </c>
      <c r="U303" s="277"/>
      <c r="V303" s="3"/>
      <c r="W303" s="47">
        <v>0.375</v>
      </c>
      <c r="X303" s="47">
        <v>0.20833333333333334</v>
      </c>
      <c r="Y303" s="19">
        <v>7</v>
      </c>
      <c r="Z303" s="277"/>
      <c r="AA303" s="29">
        <f t="shared" si="62"/>
        <v>26.75</v>
      </c>
      <c r="AB303" s="298">
        <f t="shared" si="61"/>
        <v>0</v>
      </c>
      <c r="AC303" s="3"/>
      <c r="AD303" s="47">
        <v>0.40625</v>
      </c>
      <c r="AE303" s="47">
        <v>0.20833333333333334</v>
      </c>
      <c r="AF303" s="19">
        <v>6.25</v>
      </c>
      <c r="AG303" s="29">
        <f t="shared" si="60"/>
        <v>6.25</v>
      </c>
      <c r="AH303" s="3"/>
      <c r="AI303" s="227"/>
      <c r="AK303" s="187"/>
      <c r="AL303" s="187"/>
      <c r="AM303" s="187"/>
      <c r="AN303" s="187"/>
      <c r="AO303" s="187"/>
      <c r="AP303" s="187"/>
    </row>
    <row r="304" spans="1:42" s="1" customFormat="1" ht="14.25">
      <c r="B304" s="13" t="s">
        <v>37</v>
      </c>
      <c r="C304" s="47">
        <v>0.35416666666666669</v>
      </c>
      <c r="D304" s="47">
        <v>0.20833333333333334</v>
      </c>
      <c r="E304" s="19">
        <v>8</v>
      </c>
      <c r="F304" s="277"/>
      <c r="G304" s="3"/>
      <c r="H304" s="47">
        <v>0.34375</v>
      </c>
      <c r="I304" s="47">
        <v>0.20833333333333334</v>
      </c>
      <c r="J304" s="19">
        <v>7.75</v>
      </c>
      <c r="K304" s="277"/>
      <c r="L304" s="3"/>
      <c r="M304" s="47">
        <v>0.35416666666666669</v>
      </c>
      <c r="N304" s="47">
        <v>0.20833333333333334</v>
      </c>
      <c r="O304" s="19">
        <v>7.5</v>
      </c>
      <c r="P304" s="277"/>
      <c r="Q304" s="3"/>
      <c r="R304" s="47">
        <v>0.36458333333333331</v>
      </c>
      <c r="S304" s="47">
        <v>0.20833333333333334</v>
      </c>
      <c r="T304" s="19">
        <v>0</v>
      </c>
      <c r="U304" s="277"/>
      <c r="V304" s="3"/>
      <c r="W304" s="47">
        <v>0</v>
      </c>
      <c r="X304" s="47">
        <v>0</v>
      </c>
      <c r="Y304" s="19">
        <v>0</v>
      </c>
      <c r="Z304" s="277"/>
      <c r="AA304" s="29">
        <f t="shared" si="62"/>
        <v>23.25</v>
      </c>
      <c r="AB304" s="298">
        <f t="shared" si="61"/>
        <v>0</v>
      </c>
      <c r="AC304" s="3"/>
      <c r="AD304" s="4">
        <v>0</v>
      </c>
      <c r="AE304" s="4">
        <v>0</v>
      </c>
      <c r="AF304" s="19">
        <v>0</v>
      </c>
      <c r="AG304" s="29">
        <f t="shared" si="60"/>
        <v>0</v>
      </c>
      <c r="AH304" s="3"/>
      <c r="AI304" s="227"/>
      <c r="AK304" s="187"/>
      <c r="AL304" s="187"/>
      <c r="AM304" s="187"/>
      <c r="AN304" s="187"/>
      <c r="AO304" s="187"/>
      <c r="AP304" s="187"/>
    </row>
    <row r="305" spans="2:42" s="1" customFormat="1" ht="14.25">
      <c r="B305" s="13" t="s">
        <v>39</v>
      </c>
      <c r="C305" s="47">
        <v>0.38541666666666669</v>
      </c>
      <c r="D305" s="47">
        <v>0.20833333333333334</v>
      </c>
      <c r="E305" s="19">
        <v>6.75</v>
      </c>
      <c r="F305" s="277"/>
      <c r="G305" s="3"/>
      <c r="H305" s="47">
        <v>0.39583333333333331</v>
      </c>
      <c r="I305" s="47">
        <v>0.20833333333333334</v>
      </c>
      <c r="J305" s="19">
        <v>6.5</v>
      </c>
      <c r="K305" s="277"/>
      <c r="L305" s="3"/>
      <c r="M305" s="47">
        <v>0.38541666666666669</v>
      </c>
      <c r="N305" s="172">
        <v>6.25E-2</v>
      </c>
      <c r="O305" s="19">
        <v>4.25</v>
      </c>
      <c r="P305" s="277"/>
      <c r="Q305" s="3"/>
      <c r="R305" s="47">
        <v>0.375</v>
      </c>
      <c r="S305" s="47">
        <v>0.16666666666666666</v>
      </c>
      <c r="T305" s="19">
        <v>6</v>
      </c>
      <c r="U305" s="277"/>
      <c r="V305" s="3"/>
      <c r="W305" s="47">
        <v>0.375</v>
      </c>
      <c r="X305" s="47">
        <v>0.20833333333333334</v>
      </c>
      <c r="Y305" s="19">
        <v>7</v>
      </c>
      <c r="Z305" s="277"/>
      <c r="AA305" s="29">
        <f t="shared" si="62"/>
        <v>30.5</v>
      </c>
      <c r="AB305" s="298">
        <f t="shared" si="61"/>
        <v>0</v>
      </c>
      <c r="AC305" s="3"/>
      <c r="AD305" s="4">
        <v>0</v>
      </c>
      <c r="AE305" s="4">
        <v>0</v>
      </c>
      <c r="AF305" s="19">
        <v>0</v>
      </c>
      <c r="AG305" s="29">
        <f t="shared" si="60"/>
        <v>0</v>
      </c>
      <c r="AH305" s="3"/>
      <c r="AI305" s="227"/>
      <c r="AK305" s="187"/>
      <c r="AL305" s="187"/>
      <c r="AM305" s="187"/>
      <c r="AN305" s="187"/>
      <c r="AO305" s="187"/>
      <c r="AP305" s="187"/>
    </row>
    <row r="306" spans="2:42" s="1" customFormat="1" ht="14.25">
      <c r="B306" s="164" t="s">
        <v>40</v>
      </c>
      <c r="C306" s="47">
        <v>0.375</v>
      </c>
      <c r="D306" s="47">
        <v>0.20833333333333334</v>
      </c>
      <c r="E306" s="19">
        <v>7</v>
      </c>
      <c r="F306" s="277"/>
      <c r="G306" s="3"/>
      <c r="H306" s="47">
        <v>0.33333333333333331</v>
      </c>
      <c r="I306" s="47">
        <v>0.20833333333333334</v>
      </c>
      <c r="J306" s="19">
        <v>8</v>
      </c>
      <c r="K306" s="277"/>
      <c r="L306" s="3"/>
      <c r="M306" s="47">
        <v>0</v>
      </c>
      <c r="N306" s="47">
        <v>0</v>
      </c>
      <c r="O306" s="19">
        <v>0</v>
      </c>
      <c r="P306" s="277"/>
      <c r="Q306" s="3"/>
      <c r="R306" s="47">
        <v>0</v>
      </c>
      <c r="S306" s="47">
        <v>0</v>
      </c>
      <c r="T306" s="19">
        <v>6</v>
      </c>
      <c r="U306" s="277"/>
      <c r="V306" s="3"/>
      <c r="W306" s="47">
        <v>0</v>
      </c>
      <c r="X306" s="47">
        <v>0</v>
      </c>
      <c r="Y306" s="19">
        <v>0</v>
      </c>
      <c r="Z306" s="277"/>
      <c r="AA306" s="29">
        <f t="shared" si="62"/>
        <v>21</v>
      </c>
      <c r="AB306" s="298">
        <f t="shared" si="61"/>
        <v>0</v>
      </c>
      <c r="AC306" s="3"/>
      <c r="AD306" s="4">
        <v>0</v>
      </c>
      <c r="AE306" s="4">
        <v>0</v>
      </c>
      <c r="AF306" s="19">
        <v>0</v>
      </c>
      <c r="AG306" s="29">
        <f t="shared" si="60"/>
        <v>0</v>
      </c>
      <c r="AH306" s="3"/>
      <c r="AI306" s="227"/>
      <c r="AK306" s="187"/>
      <c r="AL306" s="187"/>
      <c r="AM306" s="187"/>
      <c r="AN306" s="187"/>
      <c r="AO306" s="187"/>
      <c r="AP306" s="187"/>
    </row>
    <row r="307" spans="2:42" s="1" customFormat="1" ht="14.25">
      <c r="B307" s="164" t="s">
        <v>42</v>
      </c>
      <c r="C307" s="47">
        <v>0.35416666666666669</v>
      </c>
      <c r="D307" s="47">
        <v>0.20833333333333334</v>
      </c>
      <c r="E307" s="19">
        <v>7.5</v>
      </c>
      <c r="F307" s="277"/>
      <c r="G307" s="3"/>
      <c r="H307" s="47">
        <v>0.36458333333333331</v>
      </c>
      <c r="I307" s="47">
        <v>0.20833333333333334</v>
      </c>
      <c r="J307" s="19">
        <v>7.25</v>
      </c>
      <c r="K307" s="277"/>
      <c r="L307" s="3"/>
      <c r="M307" s="47">
        <v>0.33333333333333331</v>
      </c>
      <c r="N307" s="172">
        <v>6.25E-2</v>
      </c>
      <c r="O307" s="19">
        <v>5.5</v>
      </c>
      <c r="P307" s="277"/>
      <c r="Q307" s="3"/>
      <c r="R307" s="47">
        <v>0.375</v>
      </c>
      <c r="S307" s="47">
        <v>0.16666666666666666</v>
      </c>
      <c r="T307" s="19">
        <v>6</v>
      </c>
      <c r="U307" s="277"/>
      <c r="V307" s="3"/>
      <c r="W307" s="47">
        <v>0</v>
      </c>
      <c r="X307" s="47">
        <v>0</v>
      </c>
      <c r="Y307" s="19">
        <v>0</v>
      </c>
      <c r="Z307" s="277"/>
      <c r="AA307" s="29">
        <f t="shared" si="62"/>
        <v>26.25</v>
      </c>
      <c r="AB307" s="298">
        <f t="shared" si="61"/>
        <v>0</v>
      </c>
      <c r="AC307" s="3"/>
      <c r="AD307" s="4">
        <v>0</v>
      </c>
      <c r="AE307" s="4">
        <v>0</v>
      </c>
      <c r="AF307" s="19">
        <v>0</v>
      </c>
      <c r="AG307" s="29">
        <f t="shared" si="60"/>
        <v>0</v>
      </c>
      <c r="AH307" s="3"/>
      <c r="AI307" s="227"/>
      <c r="AK307" s="187"/>
      <c r="AL307" s="187"/>
      <c r="AM307" s="187"/>
      <c r="AN307" s="187"/>
      <c r="AO307" s="187"/>
      <c r="AP307" s="187"/>
    </row>
    <row r="308" spans="2:42" s="1" customFormat="1" ht="14.25">
      <c r="B308" s="13" t="s">
        <v>43</v>
      </c>
      <c r="C308" s="47">
        <v>0.33333333333333331</v>
      </c>
      <c r="D308" s="47">
        <v>0.20833333333333334</v>
      </c>
      <c r="E308" s="19">
        <v>8</v>
      </c>
      <c r="F308" s="277"/>
      <c r="G308" s="3"/>
      <c r="H308" s="47">
        <v>0.34375</v>
      </c>
      <c r="I308" s="47">
        <v>0.20833333333333334</v>
      </c>
      <c r="J308" s="19">
        <v>7.75</v>
      </c>
      <c r="K308" s="277"/>
      <c r="L308" s="3"/>
      <c r="M308" s="47">
        <v>0.32291666666666669</v>
      </c>
      <c r="N308" s="172">
        <v>6.25E-2</v>
      </c>
      <c r="O308" s="19">
        <v>5.75</v>
      </c>
      <c r="P308" s="277"/>
      <c r="Q308" s="3"/>
      <c r="R308" s="47">
        <v>0.375</v>
      </c>
      <c r="S308" s="47">
        <v>0.16666666666666666</v>
      </c>
      <c r="T308" s="19">
        <v>6</v>
      </c>
      <c r="U308" s="277"/>
      <c r="V308" s="3"/>
      <c r="W308" s="47">
        <v>0.34375</v>
      </c>
      <c r="X308" s="47">
        <v>0.20833333333333334</v>
      </c>
      <c r="Y308" s="19">
        <v>7.75</v>
      </c>
      <c r="Z308" s="277"/>
      <c r="AA308" s="29">
        <f t="shared" si="62"/>
        <v>35.25</v>
      </c>
      <c r="AB308" s="298">
        <f t="shared" si="61"/>
        <v>0</v>
      </c>
      <c r="AC308" s="3"/>
      <c r="AD308" s="47">
        <v>0.375</v>
      </c>
      <c r="AE308" s="47">
        <v>0.20833333333333334</v>
      </c>
      <c r="AF308" s="19">
        <v>7</v>
      </c>
      <c r="AG308" s="29">
        <f t="shared" si="60"/>
        <v>7</v>
      </c>
      <c r="AH308" s="3"/>
      <c r="AI308" s="227"/>
      <c r="AK308" s="187"/>
      <c r="AL308" s="187"/>
      <c r="AM308" s="187"/>
      <c r="AN308" s="187"/>
      <c r="AO308" s="187"/>
      <c r="AP308" s="187"/>
    </row>
    <row r="309" spans="2:42" s="1" customFormat="1" ht="14.25">
      <c r="B309" s="13" t="s">
        <v>157</v>
      </c>
      <c r="C309" s="4">
        <v>0</v>
      </c>
      <c r="D309" s="47">
        <v>0</v>
      </c>
      <c r="E309" s="19" t="str">
        <f>TEXT(D309-C309, "h")</f>
        <v>0</v>
      </c>
      <c r="F309" s="277"/>
      <c r="G309" s="3"/>
      <c r="H309" s="47">
        <v>0.35416666666666669</v>
      </c>
      <c r="I309" s="47">
        <v>0.20833333333333334</v>
      </c>
      <c r="J309" s="19">
        <v>7.5</v>
      </c>
      <c r="K309" s="277"/>
      <c r="L309" s="3"/>
      <c r="M309" s="47">
        <v>0.3125</v>
      </c>
      <c r="N309" s="172">
        <v>6.25E-2</v>
      </c>
      <c r="O309" s="19">
        <v>6</v>
      </c>
      <c r="P309" s="277"/>
      <c r="Q309" s="3"/>
      <c r="R309" s="47">
        <v>0.375</v>
      </c>
      <c r="S309" s="47">
        <v>0.16666666666666666</v>
      </c>
      <c r="T309" s="19">
        <v>6</v>
      </c>
      <c r="U309" s="277"/>
      <c r="V309" s="3"/>
      <c r="W309" s="47">
        <v>0.375</v>
      </c>
      <c r="X309" s="47">
        <v>0.20833333333333334</v>
      </c>
      <c r="Y309" s="19">
        <v>7</v>
      </c>
      <c r="Z309" s="277"/>
      <c r="AA309" s="29">
        <f t="shared" si="62"/>
        <v>26.5</v>
      </c>
      <c r="AB309" s="298">
        <f t="shared" si="61"/>
        <v>0</v>
      </c>
      <c r="AC309" s="3"/>
      <c r="AD309" s="4">
        <v>0</v>
      </c>
      <c r="AE309" s="4">
        <v>0</v>
      </c>
      <c r="AF309" s="19">
        <v>0</v>
      </c>
      <c r="AG309" s="29">
        <f t="shared" si="60"/>
        <v>0</v>
      </c>
      <c r="AH309" s="3"/>
      <c r="AI309" s="227"/>
      <c r="AK309" s="187"/>
      <c r="AL309" s="187"/>
      <c r="AM309" s="187"/>
      <c r="AN309" s="187"/>
      <c r="AO309" s="187"/>
      <c r="AP309" s="187"/>
    </row>
    <row r="310" spans="2:42" s="1" customFormat="1" ht="14.25">
      <c r="B310" s="13" t="s">
        <v>47</v>
      </c>
      <c r="C310" s="47">
        <v>0.33333333333333331</v>
      </c>
      <c r="D310" s="47">
        <v>0.20833333333333334</v>
      </c>
      <c r="E310" s="19">
        <v>8</v>
      </c>
      <c r="F310" s="277"/>
      <c r="G310" s="3"/>
      <c r="H310" s="47">
        <v>0.3125</v>
      </c>
      <c r="I310" s="47">
        <v>0.1875</v>
      </c>
      <c r="J310" s="19">
        <v>8</v>
      </c>
      <c r="K310" s="277"/>
      <c r="L310" s="3"/>
      <c r="M310" s="47">
        <v>0.3125</v>
      </c>
      <c r="N310" s="172">
        <v>6.25E-2</v>
      </c>
      <c r="O310" s="19">
        <v>6</v>
      </c>
      <c r="P310" s="277"/>
      <c r="Q310" s="3"/>
      <c r="R310" s="47">
        <v>0.375</v>
      </c>
      <c r="S310" s="47">
        <v>0.16666666666666666</v>
      </c>
      <c r="T310" s="19">
        <v>6</v>
      </c>
      <c r="U310" s="277"/>
      <c r="V310" s="3"/>
      <c r="W310" s="47">
        <v>0.33333333333333331</v>
      </c>
      <c r="X310" s="47">
        <v>0.20833333333333334</v>
      </c>
      <c r="Y310" s="19">
        <v>8</v>
      </c>
      <c r="Z310" s="277"/>
      <c r="AA310" s="29">
        <f t="shared" si="62"/>
        <v>36</v>
      </c>
      <c r="AB310" s="298">
        <f t="shared" si="61"/>
        <v>0</v>
      </c>
      <c r="AC310" s="3"/>
      <c r="AD310" s="47">
        <v>0.40625</v>
      </c>
      <c r="AE310" s="47">
        <v>0.20833333333333334</v>
      </c>
      <c r="AF310" s="19">
        <v>6.25</v>
      </c>
      <c r="AG310" s="29">
        <f t="shared" si="60"/>
        <v>6.25</v>
      </c>
      <c r="AH310" s="3"/>
      <c r="AI310" s="227"/>
      <c r="AK310" s="187"/>
      <c r="AL310" s="187"/>
      <c r="AM310" s="187"/>
      <c r="AN310" s="187"/>
      <c r="AO310" s="187"/>
      <c r="AP310" s="187"/>
    </row>
    <row r="311" spans="2:42" s="1" customFormat="1" ht="14.25">
      <c r="B311" s="13" t="s">
        <v>46</v>
      </c>
      <c r="C311" s="47">
        <v>0.375</v>
      </c>
      <c r="D311" s="47">
        <v>0.20833333333333334</v>
      </c>
      <c r="E311" s="19">
        <v>7</v>
      </c>
      <c r="F311" s="277"/>
      <c r="G311" s="3"/>
      <c r="H311" s="47">
        <v>0.375</v>
      </c>
      <c r="I311" s="47">
        <v>0.20833333333333334</v>
      </c>
      <c r="J311" s="19">
        <v>6</v>
      </c>
      <c r="K311" s="277"/>
      <c r="L311" s="3"/>
      <c r="M311" s="47">
        <v>0.36458333333333331</v>
      </c>
      <c r="N311" s="172">
        <v>6.25E-2</v>
      </c>
      <c r="O311" s="19">
        <v>4.75</v>
      </c>
      <c r="P311" s="277"/>
      <c r="Q311" s="3"/>
      <c r="R311" s="47">
        <v>0.375</v>
      </c>
      <c r="S311" s="47">
        <v>0.16666666666666666</v>
      </c>
      <c r="T311" s="19">
        <v>6</v>
      </c>
      <c r="U311" s="277"/>
      <c r="V311" s="3"/>
      <c r="W311" s="47">
        <v>0.35416666666666669</v>
      </c>
      <c r="X311" s="47">
        <v>0.20833333333333334</v>
      </c>
      <c r="Y311" s="19">
        <v>7.5</v>
      </c>
      <c r="Z311" s="277"/>
      <c r="AA311" s="29">
        <f t="shared" si="62"/>
        <v>31.25</v>
      </c>
      <c r="AB311" s="298">
        <f t="shared" si="61"/>
        <v>0</v>
      </c>
      <c r="AC311" s="3"/>
      <c r="AD311" s="4">
        <v>0</v>
      </c>
      <c r="AE311" s="4">
        <v>0</v>
      </c>
      <c r="AF311" s="19">
        <v>0</v>
      </c>
      <c r="AG311" s="29">
        <f t="shared" si="60"/>
        <v>0</v>
      </c>
      <c r="AH311" s="3"/>
      <c r="AI311" s="227"/>
      <c r="AK311" s="187"/>
      <c r="AL311" s="187"/>
      <c r="AM311" s="187"/>
      <c r="AN311" s="187"/>
      <c r="AO311" s="187"/>
      <c r="AP311" s="187"/>
    </row>
    <row r="312" spans="2:42" s="1" customFormat="1" ht="14.25">
      <c r="B312" s="13" t="s">
        <v>44</v>
      </c>
      <c r="C312" s="16" t="s">
        <v>29</v>
      </c>
      <c r="D312" s="16" t="s">
        <v>29</v>
      </c>
      <c r="E312" s="19">
        <v>6</v>
      </c>
      <c r="F312" s="277"/>
      <c r="G312" s="3"/>
      <c r="H312" s="16" t="s">
        <v>29</v>
      </c>
      <c r="I312" s="16" t="s">
        <v>29</v>
      </c>
      <c r="J312" s="19">
        <v>6</v>
      </c>
      <c r="K312" s="277"/>
      <c r="L312" s="3"/>
      <c r="M312" s="47">
        <v>0.33333333333333331</v>
      </c>
      <c r="N312" s="172">
        <v>6.25E-2</v>
      </c>
      <c r="O312" s="19">
        <v>5.5</v>
      </c>
      <c r="P312" s="277"/>
      <c r="Q312" s="3"/>
      <c r="R312" s="47">
        <v>0.375</v>
      </c>
      <c r="S312" s="47">
        <v>0.16666666666666666</v>
      </c>
      <c r="T312" s="19">
        <v>6</v>
      </c>
      <c r="U312" s="277"/>
      <c r="V312" s="3"/>
      <c r="W312" s="47">
        <v>0.33333333333333331</v>
      </c>
      <c r="X312" s="47">
        <v>0.20833333333333334</v>
      </c>
      <c r="Y312" s="19">
        <v>8</v>
      </c>
      <c r="Z312" s="277"/>
      <c r="AA312" s="29">
        <f>(E312+J312+O312+T312+Y312)</f>
        <v>31.5</v>
      </c>
      <c r="AB312" s="298">
        <f>Z312+U312+P312+K312+F312</f>
        <v>0</v>
      </c>
      <c r="AC312" s="3"/>
      <c r="AD312" s="4">
        <v>0</v>
      </c>
      <c r="AE312" s="4">
        <v>0</v>
      </c>
      <c r="AF312" s="19">
        <v>0</v>
      </c>
      <c r="AG312" s="29">
        <f>AF312</f>
        <v>0</v>
      </c>
      <c r="AH312" s="3"/>
      <c r="AI312" s="227"/>
      <c r="AK312" s="187"/>
      <c r="AL312" s="187"/>
      <c r="AM312" s="187"/>
      <c r="AN312" s="187"/>
      <c r="AO312" s="187"/>
      <c r="AP312" s="187"/>
    </row>
    <row r="313" spans="2:42" s="1" customFormat="1" ht="14.25">
      <c r="B313" s="13" t="s">
        <v>45</v>
      </c>
      <c r="C313" s="16" t="s">
        <v>29</v>
      </c>
      <c r="D313" s="16" t="s">
        <v>29</v>
      </c>
      <c r="E313" s="19">
        <v>6</v>
      </c>
      <c r="F313" s="277"/>
      <c r="G313" s="3"/>
      <c r="H313" s="16" t="s">
        <v>29</v>
      </c>
      <c r="I313" s="16" t="s">
        <v>29</v>
      </c>
      <c r="J313" s="19">
        <v>6</v>
      </c>
      <c r="K313" s="277"/>
      <c r="L313" s="3"/>
      <c r="M313" s="47">
        <v>0.33333333333333331</v>
      </c>
      <c r="N313" s="172">
        <v>6.25E-2</v>
      </c>
      <c r="O313" s="19">
        <v>5.5</v>
      </c>
      <c r="P313" s="277"/>
      <c r="Q313" s="3"/>
      <c r="R313" s="47">
        <v>0.375</v>
      </c>
      <c r="S313" s="47">
        <v>0.16666666666666666</v>
      </c>
      <c r="T313" s="19">
        <v>6</v>
      </c>
      <c r="U313" s="277"/>
      <c r="V313" s="3"/>
      <c r="W313" s="47">
        <v>0.33333333333333331</v>
      </c>
      <c r="X313" s="47">
        <v>0.20833333333333334</v>
      </c>
      <c r="Y313" s="19">
        <v>8</v>
      </c>
      <c r="Z313" s="277"/>
      <c r="AA313" s="29">
        <f>(E313+J313+O313+T313+Y313)</f>
        <v>31.5</v>
      </c>
      <c r="AB313" s="298">
        <f>Z313+U313+P313+K313+F313</f>
        <v>0</v>
      </c>
      <c r="AC313" s="3"/>
      <c r="AD313" s="4">
        <v>0</v>
      </c>
      <c r="AE313" s="4">
        <v>0</v>
      </c>
      <c r="AF313" s="19">
        <v>0</v>
      </c>
      <c r="AG313" s="29">
        <f>AF313</f>
        <v>0</v>
      </c>
      <c r="AH313" s="3"/>
      <c r="AI313" s="227"/>
      <c r="AK313" s="187"/>
      <c r="AL313" s="187"/>
      <c r="AM313" s="187"/>
      <c r="AN313" s="187"/>
      <c r="AO313" s="187"/>
      <c r="AP313" s="187"/>
    </row>
    <row r="314" spans="2:42" s="1" customFormat="1" ht="14.25">
      <c r="B314" s="13" t="s">
        <v>173</v>
      </c>
      <c r="C314" s="16" t="s">
        <v>29</v>
      </c>
      <c r="D314" s="16" t="s">
        <v>29</v>
      </c>
      <c r="E314" s="19">
        <v>6</v>
      </c>
      <c r="F314" s="277"/>
      <c r="G314" s="3"/>
      <c r="H314" s="16" t="s">
        <v>29</v>
      </c>
      <c r="I314" s="16" t="s">
        <v>29</v>
      </c>
      <c r="J314" s="19">
        <v>6</v>
      </c>
      <c r="K314" s="277"/>
      <c r="L314" s="3"/>
      <c r="M314" s="47">
        <v>0.33333333333333331</v>
      </c>
      <c r="N314" s="172">
        <v>6.25E-2</v>
      </c>
      <c r="O314" s="19">
        <v>5.5</v>
      </c>
      <c r="P314" s="277"/>
      <c r="Q314" s="3"/>
      <c r="R314" s="47">
        <v>0.375</v>
      </c>
      <c r="S314" s="47">
        <v>0.16666666666666666</v>
      </c>
      <c r="T314" s="19">
        <v>6</v>
      </c>
      <c r="U314" s="277"/>
      <c r="V314" s="3"/>
      <c r="W314" s="47">
        <v>0.33333333333333331</v>
      </c>
      <c r="X314" s="47">
        <v>0.20833333333333334</v>
      </c>
      <c r="Y314" s="19">
        <v>8</v>
      </c>
      <c r="Z314" s="277"/>
      <c r="AA314" s="29">
        <f>(E314+J314+O314+T314+Y314)</f>
        <v>31.5</v>
      </c>
      <c r="AB314" s="298">
        <f>Z314+U314+P314+K314+F314</f>
        <v>0</v>
      </c>
      <c r="AC314" s="3"/>
      <c r="AD314" s="4">
        <v>0</v>
      </c>
      <c r="AE314" s="4">
        <v>0</v>
      </c>
      <c r="AF314" s="19">
        <v>0</v>
      </c>
      <c r="AG314" s="29">
        <f>AF314</f>
        <v>0</v>
      </c>
      <c r="AH314" s="3"/>
      <c r="AI314" s="227"/>
      <c r="AK314" s="187"/>
      <c r="AL314" s="187"/>
      <c r="AM314" s="187"/>
      <c r="AN314" s="187"/>
      <c r="AO314" s="187"/>
      <c r="AP314" s="187"/>
    </row>
    <row r="315" spans="2:42" s="1" customFormat="1" ht="14.25">
      <c r="B315" s="13" t="s">
        <v>48</v>
      </c>
      <c r="C315" s="16" t="s">
        <v>29</v>
      </c>
      <c r="D315" s="16" t="s">
        <v>29</v>
      </c>
      <c r="E315" s="19">
        <v>6</v>
      </c>
      <c r="F315" s="277"/>
      <c r="G315" s="3"/>
      <c r="H315" s="16" t="s">
        <v>29</v>
      </c>
      <c r="I315" s="16" t="s">
        <v>29</v>
      </c>
      <c r="J315" s="19">
        <v>6</v>
      </c>
      <c r="K315" s="277"/>
      <c r="L315" s="3"/>
      <c r="M315" s="47" t="s">
        <v>29</v>
      </c>
      <c r="N315" s="172" t="s">
        <v>29</v>
      </c>
      <c r="O315" s="19">
        <v>6</v>
      </c>
      <c r="P315" s="277"/>
      <c r="Q315" s="3"/>
      <c r="R315" s="47" t="s">
        <v>29</v>
      </c>
      <c r="S315" s="47" t="s">
        <v>29</v>
      </c>
      <c r="T315" s="19">
        <v>6</v>
      </c>
      <c r="U315" s="277"/>
      <c r="V315" s="3"/>
      <c r="W315" s="47">
        <v>0.33333333333333331</v>
      </c>
      <c r="X315" s="47">
        <v>0.20833333333333334</v>
      </c>
      <c r="Y315" s="19">
        <v>8</v>
      </c>
      <c r="Z315" s="277"/>
      <c r="AA315" s="29">
        <f t="shared" ref="AA315:AA317" si="63">(E315+J315+O315+T315+Y315)</f>
        <v>32</v>
      </c>
      <c r="AB315" s="298">
        <f t="shared" ref="AB315:AB317" si="64">Z315+U315+P315+K315+F315</f>
        <v>0</v>
      </c>
      <c r="AC315" s="3"/>
      <c r="AD315" s="4">
        <v>0</v>
      </c>
      <c r="AE315" s="4">
        <v>0</v>
      </c>
      <c r="AF315" s="19">
        <v>0</v>
      </c>
      <c r="AG315" s="29">
        <f t="shared" ref="AG315:AG317" si="65">AF315</f>
        <v>0</v>
      </c>
      <c r="AH315" s="3"/>
      <c r="AI315" s="227"/>
      <c r="AK315" s="187"/>
      <c r="AL315" s="187"/>
      <c r="AM315" s="187"/>
      <c r="AN315" s="187"/>
      <c r="AO315" s="187"/>
      <c r="AP315" s="187"/>
    </row>
    <row r="316" spans="2:42" s="1" customFormat="1" ht="14.25">
      <c r="B316" s="13" t="s">
        <v>49</v>
      </c>
      <c r="C316" s="16" t="s">
        <v>29</v>
      </c>
      <c r="D316" s="16" t="s">
        <v>29</v>
      </c>
      <c r="E316" s="19">
        <v>6</v>
      </c>
      <c r="F316" s="277"/>
      <c r="G316" s="3"/>
      <c r="H316" s="16" t="s">
        <v>29</v>
      </c>
      <c r="I316" s="16" t="s">
        <v>29</v>
      </c>
      <c r="J316" s="19">
        <v>6</v>
      </c>
      <c r="K316" s="277"/>
      <c r="L316" s="3"/>
      <c r="M316" s="47" t="s">
        <v>29</v>
      </c>
      <c r="N316" s="172" t="s">
        <v>29</v>
      </c>
      <c r="O316" s="19">
        <v>6</v>
      </c>
      <c r="P316" s="277"/>
      <c r="Q316" s="3"/>
      <c r="R316" s="47" t="s">
        <v>29</v>
      </c>
      <c r="S316" s="47" t="s">
        <v>29</v>
      </c>
      <c r="T316" s="19">
        <v>6</v>
      </c>
      <c r="U316" s="277"/>
      <c r="V316" s="3"/>
      <c r="W316" s="47">
        <v>0.375</v>
      </c>
      <c r="X316" s="47">
        <v>0.20833333333333334</v>
      </c>
      <c r="Y316" s="19">
        <v>7</v>
      </c>
      <c r="Z316" s="277"/>
      <c r="AA316" s="29">
        <f t="shared" si="63"/>
        <v>31</v>
      </c>
      <c r="AB316" s="298">
        <f t="shared" si="64"/>
        <v>0</v>
      </c>
      <c r="AC316" s="3"/>
      <c r="AD316" s="4">
        <v>0</v>
      </c>
      <c r="AE316" s="4">
        <v>0</v>
      </c>
      <c r="AF316" s="19">
        <v>0</v>
      </c>
      <c r="AG316" s="29">
        <f t="shared" si="65"/>
        <v>0</v>
      </c>
      <c r="AH316" s="3"/>
      <c r="AI316" s="227"/>
      <c r="AK316" s="187"/>
      <c r="AL316" s="187"/>
      <c r="AM316" s="187"/>
      <c r="AN316" s="187"/>
      <c r="AO316" s="187"/>
      <c r="AP316" s="187"/>
    </row>
    <row r="317" spans="2:42" s="1" customFormat="1" ht="14.25">
      <c r="B317" s="13" t="s">
        <v>54</v>
      </c>
      <c r="C317" s="16" t="s">
        <v>29</v>
      </c>
      <c r="D317" s="16" t="s">
        <v>29</v>
      </c>
      <c r="E317" s="19">
        <v>0</v>
      </c>
      <c r="F317" s="277"/>
      <c r="G317" s="3"/>
      <c r="H317" s="16" t="s">
        <v>29</v>
      </c>
      <c r="I317" s="16" t="s">
        <v>29</v>
      </c>
      <c r="J317" s="19">
        <v>0</v>
      </c>
      <c r="K317" s="277"/>
      <c r="L317" s="3"/>
      <c r="M317" s="16" t="s">
        <v>29</v>
      </c>
      <c r="N317" s="16" t="s">
        <v>29</v>
      </c>
      <c r="O317" s="19">
        <v>0</v>
      </c>
      <c r="P317" s="277"/>
      <c r="Q317" s="3"/>
      <c r="R317" s="4">
        <v>0</v>
      </c>
      <c r="S317" s="4">
        <v>0</v>
      </c>
      <c r="T317" s="19">
        <v>0</v>
      </c>
      <c r="U317" s="277"/>
      <c r="V317" s="3"/>
      <c r="W317" s="4">
        <v>0</v>
      </c>
      <c r="X317" s="4">
        <v>0</v>
      </c>
      <c r="Y317" s="19">
        <v>0</v>
      </c>
      <c r="Z317" s="277"/>
      <c r="AA317" s="29">
        <f t="shared" si="63"/>
        <v>0</v>
      </c>
      <c r="AB317" s="298">
        <f t="shared" si="64"/>
        <v>0</v>
      </c>
      <c r="AC317" s="3"/>
      <c r="AD317" s="47">
        <v>0.39583333333333331</v>
      </c>
      <c r="AE317" s="47">
        <v>0.20833333333333334</v>
      </c>
      <c r="AF317" s="19">
        <v>6.5</v>
      </c>
      <c r="AG317" s="29">
        <f t="shared" si="65"/>
        <v>6.5</v>
      </c>
      <c r="AH317" s="3"/>
      <c r="AI317" s="227"/>
      <c r="AK317" s="187"/>
      <c r="AL317" s="187"/>
      <c r="AM317" s="187"/>
      <c r="AN317" s="187"/>
      <c r="AO317" s="187"/>
      <c r="AP317" s="187"/>
    </row>
    <row r="318" spans="2:42" s="1" customFormat="1" ht="14.25">
      <c r="B318" s="13" t="s">
        <v>55</v>
      </c>
      <c r="C318" s="16" t="s">
        <v>29</v>
      </c>
      <c r="D318" s="16" t="s">
        <v>29</v>
      </c>
      <c r="E318" s="19">
        <v>0</v>
      </c>
      <c r="F318" s="277"/>
      <c r="G318" s="3"/>
      <c r="H318" s="16" t="s">
        <v>29</v>
      </c>
      <c r="I318" s="16" t="s">
        <v>29</v>
      </c>
      <c r="J318" s="19">
        <v>0</v>
      </c>
      <c r="K318" s="277"/>
      <c r="L318" s="3"/>
      <c r="M318" s="16" t="s">
        <v>29</v>
      </c>
      <c r="N318" s="16" t="s">
        <v>29</v>
      </c>
      <c r="O318" s="19">
        <v>0</v>
      </c>
      <c r="P318" s="277"/>
      <c r="Q318" s="3"/>
      <c r="R318" s="4">
        <v>0</v>
      </c>
      <c r="S318" s="4">
        <v>0</v>
      </c>
      <c r="T318" s="19">
        <v>0</v>
      </c>
      <c r="U318" s="277"/>
      <c r="V318" s="3"/>
      <c r="W318" s="4">
        <v>0</v>
      </c>
      <c r="X318" s="4">
        <v>0</v>
      </c>
      <c r="Y318" s="19">
        <v>0</v>
      </c>
      <c r="Z318" s="277"/>
      <c r="AA318" s="29">
        <f t="shared" si="62"/>
        <v>0</v>
      </c>
      <c r="AB318" s="298">
        <f t="shared" si="61"/>
        <v>0</v>
      </c>
      <c r="AC318" s="3"/>
      <c r="AD318" s="47">
        <v>0.375</v>
      </c>
      <c r="AE318" s="47">
        <v>0.20833333333333334</v>
      </c>
      <c r="AF318" s="19">
        <v>7</v>
      </c>
      <c r="AG318" s="29">
        <f t="shared" si="60"/>
        <v>7</v>
      </c>
      <c r="AH318" s="3"/>
      <c r="AI318" s="227"/>
      <c r="AK318" s="187"/>
      <c r="AL318" s="187"/>
      <c r="AM318" s="187"/>
      <c r="AN318" s="187"/>
      <c r="AO318" s="187"/>
      <c r="AP318" s="187"/>
    </row>
    <row r="319" spans="2:42" s="1" customFormat="1" ht="14.25">
      <c r="B319" s="138" t="s">
        <v>167</v>
      </c>
      <c r="C319" s="16" t="s">
        <v>29</v>
      </c>
      <c r="D319" s="16" t="s">
        <v>29</v>
      </c>
      <c r="E319" s="19">
        <v>6</v>
      </c>
      <c r="F319" s="277"/>
      <c r="G319" s="3"/>
      <c r="H319" s="16" t="s">
        <v>29</v>
      </c>
      <c r="I319" s="16" t="s">
        <v>29</v>
      </c>
      <c r="J319" s="19">
        <v>8</v>
      </c>
      <c r="K319" s="277"/>
      <c r="L319" s="3"/>
      <c r="M319" s="16" t="s">
        <v>29</v>
      </c>
      <c r="N319" s="16" t="s">
        <v>29</v>
      </c>
      <c r="O319" s="19">
        <v>8</v>
      </c>
      <c r="P319" s="277"/>
      <c r="Q319" s="3"/>
      <c r="R319" s="16" t="s">
        <v>29</v>
      </c>
      <c r="S319" s="16" t="s">
        <v>29</v>
      </c>
      <c r="T319" s="19">
        <v>8</v>
      </c>
      <c r="U319" s="277"/>
      <c r="V319" s="3"/>
      <c r="W319" s="16" t="s">
        <v>29</v>
      </c>
      <c r="X319" s="16" t="s">
        <v>29</v>
      </c>
      <c r="Y319" s="19">
        <v>8</v>
      </c>
      <c r="Z319" s="277"/>
      <c r="AA319" s="29">
        <f t="shared" si="62"/>
        <v>38</v>
      </c>
      <c r="AB319" s="298">
        <f t="shared" si="61"/>
        <v>0</v>
      </c>
      <c r="AC319" s="3"/>
      <c r="AD319" s="4">
        <v>0</v>
      </c>
      <c r="AE319" s="4">
        <v>0</v>
      </c>
      <c r="AF319" s="19">
        <v>0</v>
      </c>
      <c r="AG319" s="29">
        <f t="shared" si="60"/>
        <v>0</v>
      </c>
      <c r="AH319" s="3"/>
      <c r="AI319" s="227"/>
      <c r="AK319" s="187"/>
      <c r="AL319" s="187"/>
      <c r="AM319" s="187"/>
      <c r="AN319" s="187"/>
      <c r="AO319" s="187"/>
      <c r="AP319" s="187"/>
    </row>
    <row r="320" spans="2:42" s="1" customFormat="1" ht="14.25">
      <c r="B320" s="138" t="s">
        <v>53</v>
      </c>
      <c r="C320" s="16" t="s">
        <v>29</v>
      </c>
      <c r="D320" s="16" t="s">
        <v>29</v>
      </c>
      <c r="E320" s="19">
        <v>6</v>
      </c>
      <c r="F320" s="277"/>
      <c r="G320" s="3"/>
      <c r="H320" s="16" t="s">
        <v>29</v>
      </c>
      <c r="I320" s="16" t="s">
        <v>29</v>
      </c>
      <c r="J320" s="19">
        <v>8</v>
      </c>
      <c r="K320" s="277"/>
      <c r="L320" s="3"/>
      <c r="M320" s="16" t="s">
        <v>29</v>
      </c>
      <c r="N320" s="16" t="s">
        <v>29</v>
      </c>
      <c r="O320" s="19">
        <v>8</v>
      </c>
      <c r="P320" s="277"/>
      <c r="Q320" s="3"/>
      <c r="R320" s="16" t="s">
        <v>29</v>
      </c>
      <c r="S320" s="16" t="s">
        <v>29</v>
      </c>
      <c r="T320" s="19">
        <v>8</v>
      </c>
      <c r="U320" s="277"/>
      <c r="V320" s="3"/>
      <c r="W320" s="16" t="s">
        <v>29</v>
      </c>
      <c r="X320" s="16" t="s">
        <v>29</v>
      </c>
      <c r="Y320" s="19">
        <v>8</v>
      </c>
      <c r="Z320" s="277"/>
      <c r="AA320" s="29">
        <f t="shared" si="62"/>
        <v>38</v>
      </c>
      <c r="AB320" s="298">
        <f t="shared" si="61"/>
        <v>0</v>
      </c>
      <c r="AC320" s="3"/>
      <c r="AD320" s="4">
        <v>0</v>
      </c>
      <c r="AE320" s="4">
        <v>0</v>
      </c>
      <c r="AF320" s="19">
        <v>0</v>
      </c>
      <c r="AG320" s="29">
        <f t="shared" si="60"/>
        <v>0</v>
      </c>
      <c r="AH320" s="3"/>
      <c r="AI320" s="227"/>
      <c r="AK320" s="187"/>
      <c r="AL320" s="187"/>
      <c r="AM320" s="187"/>
      <c r="AN320" s="187"/>
      <c r="AO320" s="187"/>
      <c r="AP320" s="187"/>
    </row>
    <row r="321" spans="1:42" s="1" customFormat="1" ht="14.25">
      <c r="B321" s="138" t="s">
        <v>57</v>
      </c>
      <c r="C321" s="16" t="s">
        <v>29</v>
      </c>
      <c r="D321" s="16" t="s">
        <v>29</v>
      </c>
      <c r="E321" s="19">
        <v>0</v>
      </c>
      <c r="F321" s="277"/>
      <c r="G321" s="3"/>
      <c r="H321" s="16" t="s">
        <v>29</v>
      </c>
      <c r="I321" s="16" t="s">
        <v>29</v>
      </c>
      <c r="J321" s="179">
        <v>8</v>
      </c>
      <c r="K321" s="277"/>
      <c r="L321" s="3"/>
      <c r="M321" s="16" t="s">
        <v>29</v>
      </c>
      <c r="N321" s="16" t="s">
        <v>29</v>
      </c>
      <c r="O321" s="179">
        <v>8</v>
      </c>
      <c r="P321" s="277"/>
      <c r="Q321" s="3"/>
      <c r="R321" s="16" t="s">
        <v>29</v>
      </c>
      <c r="S321" s="16" t="s">
        <v>29</v>
      </c>
      <c r="T321" s="179">
        <v>8</v>
      </c>
      <c r="U321" s="277"/>
      <c r="V321" s="3"/>
      <c r="W321" s="16" t="s">
        <v>29</v>
      </c>
      <c r="X321" s="16" t="s">
        <v>29</v>
      </c>
      <c r="Y321" s="178">
        <v>8</v>
      </c>
      <c r="Z321" s="277"/>
      <c r="AA321" s="29">
        <f t="shared" si="62"/>
        <v>32</v>
      </c>
      <c r="AB321" s="298">
        <f t="shared" si="61"/>
        <v>0</v>
      </c>
      <c r="AC321" s="3"/>
      <c r="AD321" s="4">
        <v>0</v>
      </c>
      <c r="AE321" s="4">
        <v>0</v>
      </c>
      <c r="AF321" s="19">
        <v>0</v>
      </c>
      <c r="AG321" s="29">
        <f t="shared" si="60"/>
        <v>0</v>
      </c>
      <c r="AH321" s="3"/>
      <c r="AI321" s="227"/>
      <c r="AK321" s="187"/>
      <c r="AL321" s="187"/>
      <c r="AM321" s="187"/>
      <c r="AN321" s="187"/>
      <c r="AO321" s="187"/>
      <c r="AP321" s="187"/>
    </row>
    <row r="322" spans="1:42" s="1" customFormat="1" ht="14.25">
      <c r="B322" s="138" t="s">
        <v>60</v>
      </c>
      <c r="C322" s="16" t="s">
        <v>29</v>
      </c>
      <c r="D322" s="16" t="s">
        <v>29</v>
      </c>
      <c r="E322" s="19">
        <v>0</v>
      </c>
      <c r="F322" s="277"/>
      <c r="G322" s="3"/>
      <c r="H322" s="16" t="s">
        <v>29</v>
      </c>
      <c r="I322" s="16" t="s">
        <v>29</v>
      </c>
      <c r="J322" s="179">
        <v>8</v>
      </c>
      <c r="K322" s="277"/>
      <c r="L322" s="3"/>
      <c r="M322" s="16" t="s">
        <v>29</v>
      </c>
      <c r="N322" s="16" t="s">
        <v>29</v>
      </c>
      <c r="O322" s="179">
        <v>8</v>
      </c>
      <c r="P322" s="277"/>
      <c r="Q322" s="3"/>
      <c r="R322" s="16" t="s">
        <v>29</v>
      </c>
      <c r="S322" s="16" t="s">
        <v>29</v>
      </c>
      <c r="T322" s="179">
        <v>8</v>
      </c>
      <c r="U322" s="277"/>
      <c r="V322" s="3"/>
      <c r="W322" s="16" t="s">
        <v>29</v>
      </c>
      <c r="X322" s="16" t="s">
        <v>29</v>
      </c>
      <c r="Y322" s="178">
        <v>8</v>
      </c>
      <c r="Z322" s="277"/>
      <c r="AA322" s="29">
        <f>(E322+J322+O322+T322+Y322)</f>
        <v>32</v>
      </c>
      <c r="AB322" s="298">
        <f t="shared" si="61"/>
        <v>0</v>
      </c>
      <c r="AC322" s="3"/>
      <c r="AD322" s="4">
        <v>0</v>
      </c>
      <c r="AE322" s="4">
        <v>0</v>
      </c>
      <c r="AF322" s="19">
        <v>0</v>
      </c>
      <c r="AG322" s="29">
        <f t="shared" si="60"/>
        <v>0</v>
      </c>
      <c r="AH322" s="3"/>
      <c r="AI322" s="227"/>
      <c r="AK322" s="187"/>
      <c r="AL322" s="187"/>
      <c r="AM322" s="187"/>
      <c r="AN322" s="187"/>
      <c r="AO322" s="187"/>
      <c r="AP322" s="187"/>
    </row>
    <row r="323" spans="1:42" s="1" customFormat="1">
      <c r="B323" s="64" t="s">
        <v>61</v>
      </c>
      <c r="C323" s="64"/>
      <c r="D323" s="64"/>
      <c r="E323" s="167">
        <f>SUM(E297:E322)</f>
        <v>131</v>
      </c>
      <c r="F323" s="277">
        <f>SUM(F297:F320)</f>
        <v>0</v>
      </c>
      <c r="G323" s="3"/>
      <c r="H323" s="64"/>
      <c r="I323" s="64"/>
      <c r="J323" s="64">
        <f>SUM(J297:J322)</f>
        <v>167</v>
      </c>
      <c r="K323" s="277">
        <f>SUM(K297:K320)</f>
        <v>0</v>
      </c>
      <c r="L323" s="3"/>
      <c r="M323" s="64"/>
      <c r="N323" s="64"/>
      <c r="O323" s="64">
        <f>SUM(O297:O322)</f>
        <v>143</v>
      </c>
      <c r="P323" s="277">
        <f>SUM(P297:P320)</f>
        <v>0</v>
      </c>
      <c r="Q323" s="3"/>
      <c r="R323" s="64"/>
      <c r="S323" s="64"/>
      <c r="T323" s="64">
        <f>SUM(T297:T322)</f>
        <v>122</v>
      </c>
      <c r="U323" s="277">
        <f>SUM(U297:U320)</f>
        <v>0</v>
      </c>
      <c r="V323" s="3"/>
      <c r="W323" s="64"/>
      <c r="X323" s="64"/>
      <c r="Y323" s="64">
        <f>SUM(Y297:Y322)</f>
        <v>134</v>
      </c>
      <c r="Z323" s="277">
        <f>SUM(Z297:Z320)</f>
        <v>0</v>
      </c>
      <c r="AA323" s="247">
        <f>SUM(AA297:AA322)</f>
        <v>697</v>
      </c>
      <c r="AB323" s="298">
        <f>SUM(AB297:AB320)</f>
        <v>0</v>
      </c>
      <c r="AC323" s="3"/>
      <c r="AD323" s="64"/>
      <c r="AE323" s="64"/>
      <c r="AF323" s="64"/>
      <c r="AG323" s="247">
        <f>SUM(AG297:AG320)</f>
        <v>33</v>
      </c>
      <c r="AH323" s="3"/>
      <c r="AI323" s="227"/>
      <c r="AK323" s="187"/>
      <c r="AL323" s="187"/>
      <c r="AM323" s="187"/>
      <c r="AN323" s="187"/>
      <c r="AO323" s="187"/>
      <c r="AP323" s="187"/>
    </row>
    <row r="324" spans="1:42" s="1" customFormat="1">
      <c r="B324" s="63" t="s">
        <v>62</v>
      </c>
      <c r="C324" s="56"/>
      <c r="D324" s="56"/>
      <c r="E324" s="19">
        <v>6</v>
      </c>
      <c r="F324" s="291"/>
      <c r="G324" s="3"/>
      <c r="H324" s="56"/>
      <c r="I324" s="56"/>
      <c r="J324" s="19">
        <v>8</v>
      </c>
      <c r="K324" s="291"/>
      <c r="L324" s="3"/>
      <c r="M324" s="56"/>
      <c r="N324" s="56"/>
      <c r="O324" s="19">
        <v>8</v>
      </c>
      <c r="P324" s="291"/>
      <c r="Q324" s="3"/>
      <c r="R324" s="56"/>
      <c r="S324" s="56"/>
      <c r="T324" s="19">
        <v>8</v>
      </c>
      <c r="U324" s="291"/>
      <c r="V324" s="3"/>
      <c r="W324" s="56"/>
      <c r="X324" s="56"/>
      <c r="Y324" s="19">
        <v>8</v>
      </c>
      <c r="Z324" s="291"/>
      <c r="AA324" s="28">
        <f>SUM(Y324+T324+O324+J324+E324)</f>
        <v>38</v>
      </c>
      <c r="AB324" s="282">
        <f>Z324+U324+P324+K324+F324</f>
        <v>0</v>
      </c>
      <c r="AC324" s="3"/>
      <c r="AD324" s="56"/>
      <c r="AE324" s="56"/>
      <c r="AF324" s="19"/>
      <c r="AG324" s="29">
        <v>0</v>
      </c>
      <c r="AH324" s="3"/>
      <c r="AI324" s="227"/>
      <c r="AK324" s="187"/>
      <c r="AL324" s="187"/>
      <c r="AM324" s="187"/>
      <c r="AN324" s="187"/>
      <c r="AO324" s="187"/>
      <c r="AP324" s="187"/>
    </row>
    <row r="325" spans="1:42" s="1" customFormat="1">
      <c r="B325" s="63" t="s">
        <v>63</v>
      </c>
      <c r="C325" s="56"/>
      <c r="D325" s="56"/>
      <c r="E325" s="19">
        <v>5</v>
      </c>
      <c r="F325" s="291"/>
      <c r="G325" s="60"/>
      <c r="H325" s="56"/>
      <c r="I325" s="56"/>
      <c r="J325" s="19">
        <v>8</v>
      </c>
      <c r="K325" s="291"/>
      <c r="L325" s="60"/>
      <c r="M325" s="56"/>
      <c r="N325" s="56"/>
      <c r="O325" s="19">
        <v>8</v>
      </c>
      <c r="P325" s="291"/>
      <c r="Q325" s="60"/>
      <c r="R325" s="56"/>
      <c r="S325" s="56"/>
      <c r="T325" s="19">
        <v>8</v>
      </c>
      <c r="U325" s="291"/>
      <c r="V325" s="60"/>
      <c r="W325" s="56"/>
      <c r="X325" s="56"/>
      <c r="Y325" s="19">
        <v>8</v>
      </c>
      <c r="Z325" s="291"/>
      <c r="AA325" s="28">
        <f t="shared" ref="AA325:AA327" si="66">SUM(Y325+T325+O325+J325+E325)</f>
        <v>37</v>
      </c>
      <c r="AB325" s="282">
        <f t="shared" ref="AB325:AB327" si="67">Z325+U325+P325+K325+F325</f>
        <v>0</v>
      </c>
      <c r="AC325" s="3"/>
      <c r="AD325" s="56"/>
      <c r="AE325" s="56"/>
      <c r="AF325" s="19"/>
      <c r="AG325" s="29">
        <f>AF325</f>
        <v>0</v>
      </c>
      <c r="AH325" s="3"/>
      <c r="AI325" s="227"/>
      <c r="AK325" s="187"/>
      <c r="AL325" s="187"/>
      <c r="AM325" s="187"/>
      <c r="AN325" s="187"/>
      <c r="AO325" s="187"/>
      <c r="AP325" s="187"/>
    </row>
    <row r="326" spans="1:42" s="1" customFormat="1">
      <c r="B326" s="63" t="s">
        <v>64</v>
      </c>
      <c r="C326" s="56"/>
      <c r="D326" s="56"/>
      <c r="E326" s="19">
        <v>8</v>
      </c>
      <c r="F326" s="291"/>
      <c r="G326" s="60"/>
      <c r="H326" s="56"/>
      <c r="I326" s="56"/>
      <c r="J326" s="19">
        <v>8</v>
      </c>
      <c r="K326" s="291">
        <v>2</v>
      </c>
      <c r="L326" s="60"/>
      <c r="M326" s="56"/>
      <c r="N326" s="56"/>
      <c r="O326" s="19">
        <v>8</v>
      </c>
      <c r="P326" s="291">
        <v>2.25</v>
      </c>
      <c r="Q326" s="60"/>
      <c r="R326" s="56"/>
      <c r="S326" s="56"/>
      <c r="T326" s="19">
        <v>8</v>
      </c>
      <c r="U326" s="291">
        <v>2</v>
      </c>
      <c r="V326" s="60"/>
      <c r="W326" s="56"/>
      <c r="X326" s="56"/>
      <c r="Y326" s="19">
        <v>8</v>
      </c>
      <c r="Z326" s="291">
        <v>1.5</v>
      </c>
      <c r="AA326" s="28">
        <f t="shared" si="66"/>
        <v>40</v>
      </c>
      <c r="AB326" s="282">
        <f>Z326+U326+P326+K326+F326</f>
        <v>7.75</v>
      </c>
      <c r="AC326" s="3"/>
      <c r="AD326" s="56"/>
      <c r="AE326" s="56"/>
      <c r="AF326" s="19">
        <v>2</v>
      </c>
      <c r="AG326" s="29">
        <f>AF326</f>
        <v>2</v>
      </c>
      <c r="AH326" s="3"/>
      <c r="AI326" s="227"/>
      <c r="AK326" s="187"/>
      <c r="AL326" s="187"/>
      <c r="AM326" s="187"/>
      <c r="AN326" s="187"/>
      <c r="AO326" s="187"/>
      <c r="AP326" s="187"/>
    </row>
    <row r="327" spans="1:42" s="1" customFormat="1" ht="14.25" thickBot="1">
      <c r="B327" s="268" t="s">
        <v>65</v>
      </c>
      <c r="C327" s="75"/>
      <c r="D327" s="75"/>
      <c r="E327" s="77">
        <v>0</v>
      </c>
      <c r="F327" s="292"/>
      <c r="G327" s="81"/>
      <c r="H327" s="75"/>
      <c r="I327" s="75"/>
      <c r="J327" s="77">
        <v>0</v>
      </c>
      <c r="K327" s="292"/>
      <c r="L327" s="81"/>
      <c r="M327" s="75"/>
      <c r="N327" s="75"/>
      <c r="O327" s="77">
        <v>0</v>
      </c>
      <c r="P327" s="292"/>
      <c r="Q327" s="81"/>
      <c r="R327" s="75"/>
      <c r="S327" s="75"/>
      <c r="T327" s="77">
        <v>0</v>
      </c>
      <c r="U327" s="292"/>
      <c r="V327" s="81"/>
      <c r="W327" s="75"/>
      <c r="X327" s="75"/>
      <c r="Y327" s="77">
        <v>0</v>
      </c>
      <c r="Z327" s="292"/>
      <c r="AA327" s="80">
        <f t="shared" si="66"/>
        <v>0</v>
      </c>
      <c r="AB327" s="287">
        <f t="shared" si="67"/>
        <v>0</v>
      </c>
      <c r="AC327" s="3"/>
      <c r="AD327" s="75"/>
      <c r="AE327" s="75"/>
      <c r="AF327" s="77"/>
      <c r="AG327" s="276">
        <v>0</v>
      </c>
      <c r="AH327" s="3"/>
      <c r="AI327" s="227"/>
      <c r="AK327" s="187"/>
      <c r="AL327" s="187"/>
      <c r="AM327" s="187"/>
      <c r="AN327" s="187"/>
      <c r="AO327" s="187"/>
      <c r="AP327" s="187"/>
    </row>
    <row r="328" spans="1:42" s="1" customFormat="1" ht="14.25" thickTop="1">
      <c r="B328" s="71" t="s">
        <v>66</v>
      </c>
      <c r="C328" s="68"/>
      <c r="D328" s="68"/>
      <c r="E328" s="71">
        <f>SUM(E324:E327)</f>
        <v>19</v>
      </c>
      <c r="F328" s="72"/>
      <c r="G328" s="72"/>
      <c r="H328" s="68"/>
      <c r="I328" s="68"/>
      <c r="J328" s="71">
        <f>SUM(J324:J327)</f>
        <v>24</v>
      </c>
      <c r="K328" s="72"/>
      <c r="L328" s="72"/>
      <c r="M328" s="68"/>
      <c r="N328" s="68"/>
      <c r="O328" s="71">
        <f>SUM(O324:O327)</f>
        <v>24</v>
      </c>
      <c r="P328" s="72"/>
      <c r="Q328" s="72"/>
      <c r="R328" s="68"/>
      <c r="S328" s="68"/>
      <c r="T328" s="71">
        <f>SUM(T324:T327)</f>
        <v>24</v>
      </c>
      <c r="U328" s="72"/>
      <c r="V328" s="72"/>
      <c r="W328" s="68"/>
      <c r="X328" s="68"/>
      <c r="Y328" s="66">
        <f>SUM(Y324:Y327)</f>
        <v>24</v>
      </c>
      <c r="Z328" s="72"/>
      <c r="AA328" s="247">
        <f>SUM(AA324:AA327)</f>
        <v>115</v>
      </c>
      <c r="AB328" s="247">
        <f>SUM(AB324:AB327)</f>
        <v>7.75</v>
      </c>
      <c r="AC328" s="3"/>
      <c r="AG328" s="247">
        <f>SUM(AG326:AG327)</f>
        <v>2</v>
      </c>
      <c r="AH328" s="3"/>
      <c r="AI328" s="227"/>
      <c r="AK328" s="187"/>
      <c r="AL328" s="187"/>
      <c r="AM328" s="187"/>
      <c r="AN328" s="187"/>
      <c r="AO328" s="187"/>
      <c r="AP328" s="187"/>
    </row>
    <row r="329" spans="1:42" s="1" customFormat="1" ht="13.5" customHeight="1">
      <c r="A329" s="11"/>
      <c r="B329" s="217" t="s">
        <v>67</v>
      </c>
      <c r="C329" s="207">
        <f>C330+C331</f>
        <v>76</v>
      </c>
      <c r="D329" s="208"/>
      <c r="E329" s="209"/>
      <c r="F329" s="209"/>
      <c r="G329" s="208"/>
      <c r="H329" s="209"/>
      <c r="I329" s="209"/>
      <c r="J329" s="209"/>
      <c r="K329" s="209"/>
      <c r="L329" s="208"/>
      <c r="M329" s="208"/>
      <c r="N329" s="208"/>
      <c r="O329" s="208"/>
      <c r="P329" s="209"/>
      <c r="Q329" s="208"/>
      <c r="R329" s="208"/>
      <c r="S329" s="208"/>
      <c r="T329" s="208"/>
      <c r="U329" s="209"/>
      <c r="V329" s="208"/>
      <c r="W329" s="208"/>
      <c r="X329" s="208"/>
      <c r="Y329" s="210"/>
      <c r="Z329" s="209"/>
      <c r="AA329" s="211"/>
      <c r="AB329" s="209"/>
      <c r="AC329" s="211"/>
      <c r="AD329" s="211"/>
      <c r="AE329" s="211"/>
      <c r="AF329" s="211"/>
      <c r="AG329" s="211"/>
      <c r="AH329" s="3"/>
      <c r="AI329" s="227"/>
      <c r="AK329" s="187"/>
      <c r="AL329" s="187"/>
      <c r="AM329" s="187"/>
      <c r="AN329" s="187"/>
      <c r="AO329" s="187"/>
      <c r="AP329" s="187"/>
    </row>
    <row r="330" spans="1:42" s="1" customFormat="1" ht="13.5" customHeight="1">
      <c r="A330" s="11"/>
      <c r="B330" s="238" t="s">
        <v>68</v>
      </c>
      <c r="C330" s="239">
        <f>12+13+18+17+13</f>
        <v>73</v>
      </c>
      <c r="D330" s="208"/>
      <c r="E330" s="209"/>
      <c r="F330" s="209"/>
      <c r="G330" s="208"/>
      <c r="H330" s="209"/>
      <c r="I330" s="209"/>
      <c r="J330" s="209"/>
      <c r="K330" s="209"/>
      <c r="L330" s="208"/>
      <c r="M330" s="208"/>
      <c r="N330" s="208"/>
      <c r="O330" s="208"/>
      <c r="P330" s="209"/>
      <c r="Q330" s="208"/>
      <c r="R330" s="208"/>
      <c r="S330" s="208"/>
      <c r="T330" s="208"/>
      <c r="U330" s="209"/>
      <c r="V330" s="208"/>
      <c r="W330" s="208"/>
      <c r="X330" s="208"/>
      <c r="Y330" s="210"/>
      <c r="Z330" s="209"/>
      <c r="AA330" s="211"/>
      <c r="AB330" s="209"/>
      <c r="AC330" s="211"/>
      <c r="AD330" s="211"/>
      <c r="AE330" s="211"/>
      <c r="AF330" s="211"/>
      <c r="AG330" s="211"/>
      <c r="AH330" s="3"/>
      <c r="AI330" s="227"/>
      <c r="AK330" s="187"/>
      <c r="AL330" s="187"/>
      <c r="AM330" s="187"/>
      <c r="AN330" s="187"/>
      <c r="AO330" s="187"/>
      <c r="AP330" s="187"/>
    </row>
    <row r="331" spans="1:42" s="1" customFormat="1" ht="13.5" customHeight="1">
      <c r="A331" s="11"/>
      <c r="B331" s="238" t="s">
        <v>69</v>
      </c>
      <c r="C331" s="239">
        <f>1+2</f>
        <v>3</v>
      </c>
      <c r="D331" s="208"/>
      <c r="E331" s="209"/>
      <c r="F331" s="209"/>
      <c r="G331" s="208"/>
      <c r="H331" s="209"/>
      <c r="I331" s="209"/>
      <c r="J331" s="209"/>
      <c r="K331" s="209"/>
      <c r="L331" s="208"/>
      <c r="M331" s="208"/>
      <c r="N331" s="208"/>
      <c r="O331" s="208"/>
      <c r="P331" s="209"/>
      <c r="Q331" s="208"/>
      <c r="R331" s="208"/>
      <c r="S331" s="208"/>
      <c r="T331" s="208"/>
      <c r="U331" s="209"/>
      <c r="V331" s="208"/>
      <c r="W331" s="208"/>
      <c r="X331" s="208"/>
      <c r="Y331" s="210"/>
      <c r="Z331" s="209"/>
      <c r="AA331" s="211"/>
      <c r="AB331" s="209"/>
      <c r="AC331" s="211"/>
      <c r="AD331" s="211"/>
      <c r="AE331" s="211"/>
      <c r="AF331" s="211"/>
      <c r="AG331" s="211"/>
      <c r="AH331" s="3"/>
      <c r="AI331" s="227"/>
      <c r="AK331" s="187"/>
      <c r="AL331" s="187"/>
      <c r="AM331" s="187"/>
      <c r="AN331" s="187"/>
      <c r="AO331" s="187"/>
      <c r="AP331" s="187"/>
    </row>
    <row r="332" spans="1:42" s="1" customFormat="1" ht="4.5" customHeight="1">
      <c r="A332" s="11"/>
      <c r="B332" s="218"/>
      <c r="C332" s="219"/>
      <c r="D332" s="220"/>
      <c r="E332" s="221"/>
      <c r="F332" s="221"/>
      <c r="G332" s="220"/>
      <c r="H332" s="221"/>
      <c r="I332" s="221"/>
      <c r="J332" s="221"/>
      <c r="K332" s="221"/>
      <c r="L332" s="220"/>
      <c r="M332" s="220"/>
      <c r="N332" s="220"/>
      <c r="O332" s="220"/>
      <c r="P332" s="221"/>
      <c r="Q332" s="220"/>
      <c r="R332" s="220"/>
      <c r="S332" s="220"/>
      <c r="T332" s="220"/>
      <c r="U332" s="221"/>
      <c r="V332" s="220"/>
      <c r="W332" s="220"/>
      <c r="X332" s="220"/>
      <c r="Y332" s="222"/>
      <c r="Z332" s="221"/>
      <c r="AA332" s="223"/>
      <c r="AB332" s="221"/>
      <c r="AC332" s="3"/>
      <c r="AD332" s="168"/>
      <c r="AH332" s="3"/>
      <c r="AI332" s="227"/>
      <c r="AK332" s="187"/>
      <c r="AL332" s="187"/>
      <c r="AM332" s="187"/>
      <c r="AN332" s="187"/>
      <c r="AO332" s="187"/>
      <c r="AP332" s="187"/>
    </row>
    <row r="333" spans="1:42" s="227" customFormat="1" ht="4.5" customHeight="1">
      <c r="A333" s="228"/>
      <c r="B333" s="229"/>
      <c r="C333" s="230"/>
      <c r="D333" s="231"/>
      <c r="E333" s="232"/>
      <c r="F333" s="232"/>
      <c r="G333" s="231"/>
      <c r="H333" s="232"/>
      <c r="I333" s="232"/>
      <c r="J333" s="232"/>
      <c r="K333" s="232"/>
      <c r="L333" s="231"/>
      <c r="M333" s="231"/>
      <c r="N333" s="231"/>
      <c r="O333" s="231"/>
      <c r="P333" s="232"/>
      <c r="Q333" s="231"/>
      <c r="R333" s="231"/>
      <c r="S333" s="231"/>
      <c r="T333" s="231"/>
      <c r="U333" s="232"/>
      <c r="V333" s="231"/>
      <c r="W333" s="231"/>
      <c r="X333" s="231"/>
      <c r="Y333" s="233"/>
      <c r="Z333" s="232"/>
      <c r="AA333" s="234"/>
      <c r="AB333" s="232"/>
      <c r="AC333" s="235"/>
      <c r="AD333" s="236"/>
      <c r="AH333" s="235"/>
    </row>
    <row r="334" spans="1:42" s="187" customFormat="1" ht="4.5" customHeight="1">
      <c r="A334" s="224"/>
      <c r="B334" s="214"/>
      <c r="C334" s="215"/>
      <c r="D334" s="215"/>
      <c r="E334" s="214"/>
      <c r="F334" s="214"/>
      <c r="G334" s="215"/>
      <c r="H334" s="214"/>
      <c r="I334" s="214"/>
      <c r="J334" s="214"/>
      <c r="K334" s="214"/>
      <c r="L334" s="215"/>
      <c r="M334" s="215"/>
      <c r="N334" s="215"/>
      <c r="O334" s="215"/>
      <c r="P334" s="214"/>
      <c r="Q334" s="215"/>
      <c r="R334" s="215"/>
      <c r="S334" s="215"/>
      <c r="T334" s="215"/>
      <c r="U334" s="214"/>
      <c r="V334" s="215"/>
      <c r="W334" s="215"/>
      <c r="X334" s="215"/>
      <c r="Y334" s="216"/>
      <c r="Z334" s="214"/>
      <c r="AA334" s="225"/>
      <c r="AB334" s="214"/>
      <c r="AC334" s="226"/>
      <c r="AH334" s="226"/>
      <c r="AI334" s="227"/>
    </row>
    <row r="335" spans="1:42" s="1" customFormat="1">
      <c r="B335" s="1518" t="s">
        <v>18</v>
      </c>
      <c r="C335" s="1524">
        <v>45145</v>
      </c>
      <c r="D335" s="1524"/>
      <c r="E335" s="1524"/>
      <c r="F335" s="1524"/>
      <c r="G335" s="22"/>
      <c r="H335" s="1524">
        <v>45146</v>
      </c>
      <c r="I335" s="1524"/>
      <c r="J335" s="1524"/>
      <c r="K335" s="1524"/>
      <c r="L335" s="22"/>
      <c r="M335" s="1524">
        <v>45147</v>
      </c>
      <c r="N335" s="1524"/>
      <c r="O335" s="1524"/>
      <c r="P335" s="1524"/>
      <c r="Q335" s="22"/>
      <c r="R335" s="1524">
        <v>45148</v>
      </c>
      <c r="S335" s="1524"/>
      <c r="T335" s="1524"/>
      <c r="U335" s="1524"/>
      <c r="V335" s="22"/>
      <c r="W335" s="1524">
        <v>45149</v>
      </c>
      <c r="X335" s="1524"/>
      <c r="Y335" s="1524"/>
      <c r="Z335" s="1524"/>
      <c r="AA335" s="1517" t="s">
        <v>19</v>
      </c>
      <c r="AB335" s="1517" t="s">
        <v>20</v>
      </c>
      <c r="AC335" s="3"/>
      <c r="AD335" s="1524">
        <v>45150</v>
      </c>
      <c r="AE335" s="1524"/>
      <c r="AF335" s="1524"/>
      <c r="AG335" s="1517" t="s">
        <v>21</v>
      </c>
      <c r="AH335" s="3"/>
      <c r="AI335" s="227"/>
      <c r="AK335" s="194" t="s">
        <v>174</v>
      </c>
      <c r="AL335" s="195"/>
      <c r="AM335" s="195"/>
      <c r="AN335" s="195"/>
      <c r="AO335" s="195"/>
      <c r="AP335" s="195"/>
    </row>
    <row r="336" spans="1:42" s="176" customFormat="1" ht="14.25">
      <c r="B336" s="1518"/>
      <c r="C336" s="21" t="s">
        <v>23</v>
      </c>
      <c r="D336" s="21" t="s">
        <v>24</v>
      </c>
      <c r="E336" s="205" t="s">
        <v>25</v>
      </c>
      <c r="F336" s="18" t="s">
        <v>14</v>
      </c>
      <c r="G336" s="3"/>
      <c r="H336" s="21" t="s">
        <v>23</v>
      </c>
      <c r="I336" s="21" t="s">
        <v>24</v>
      </c>
      <c r="J336" s="18" t="s">
        <v>25</v>
      </c>
      <c r="K336" s="18" t="s">
        <v>14</v>
      </c>
      <c r="L336" s="3"/>
      <c r="M336" s="21" t="s">
        <v>23</v>
      </c>
      <c r="N336" s="21" t="s">
        <v>24</v>
      </c>
      <c r="O336" s="18" t="s">
        <v>25</v>
      </c>
      <c r="P336" s="18" t="s">
        <v>14</v>
      </c>
      <c r="Q336" s="3"/>
      <c r="R336" s="21" t="s">
        <v>23</v>
      </c>
      <c r="S336" s="21" t="s">
        <v>24</v>
      </c>
      <c r="T336" s="18" t="s">
        <v>25</v>
      </c>
      <c r="U336" s="18" t="s">
        <v>14</v>
      </c>
      <c r="V336" s="3"/>
      <c r="W336" s="21" t="s">
        <v>23</v>
      </c>
      <c r="X336" s="21" t="s">
        <v>24</v>
      </c>
      <c r="Y336" s="18" t="s">
        <v>25</v>
      </c>
      <c r="Z336" s="18" t="s">
        <v>14</v>
      </c>
      <c r="AA336" s="1523"/>
      <c r="AB336" s="1517"/>
      <c r="AC336" s="3"/>
      <c r="AD336" s="21" t="s">
        <v>23</v>
      </c>
      <c r="AE336" s="21" t="s">
        <v>24</v>
      </c>
      <c r="AF336" s="18" t="s">
        <v>25</v>
      </c>
      <c r="AG336" s="1523"/>
      <c r="AH336" s="174"/>
      <c r="AI336" s="257"/>
      <c r="AK336" s="188" t="s">
        <v>26</v>
      </c>
      <c r="AL336" s="190">
        <f>AA363</f>
        <v>732</v>
      </c>
      <c r="AM336" s="187"/>
      <c r="AN336" s="187"/>
      <c r="AO336" s="187"/>
      <c r="AP336" s="187"/>
    </row>
    <row r="337" spans="2:42" s="176" customFormat="1" ht="14.25">
      <c r="B337" s="171" t="s">
        <v>141</v>
      </c>
      <c r="C337" s="47">
        <v>0.40625</v>
      </c>
      <c r="D337" s="47">
        <v>0.20833333333333334</v>
      </c>
      <c r="E337" s="19">
        <v>6.25</v>
      </c>
      <c r="F337" s="277"/>
      <c r="G337" s="174"/>
      <c r="H337" s="172">
        <v>0</v>
      </c>
      <c r="I337" s="172">
        <v>0</v>
      </c>
      <c r="J337" s="173">
        <v>0</v>
      </c>
      <c r="K337" s="277"/>
      <c r="L337" s="174"/>
      <c r="M337" s="172">
        <v>0</v>
      </c>
      <c r="N337" s="172">
        <v>0</v>
      </c>
      <c r="O337" s="173">
        <v>0</v>
      </c>
      <c r="P337" s="277"/>
      <c r="Q337" s="174"/>
      <c r="R337" s="172">
        <v>0</v>
      </c>
      <c r="S337" s="172">
        <v>0</v>
      </c>
      <c r="T337" s="173"/>
      <c r="U337" s="277"/>
      <c r="V337" s="174"/>
      <c r="W337" s="172">
        <v>0</v>
      </c>
      <c r="X337" s="172">
        <v>0</v>
      </c>
      <c r="Y337" s="173">
        <v>0</v>
      </c>
      <c r="Z337" s="277"/>
      <c r="AA337" s="28">
        <f>(E337+J337+O337+T337+Y337)</f>
        <v>6.25</v>
      </c>
      <c r="AB337" s="298">
        <f>Z337+U337+P337+K337+F337</f>
        <v>0</v>
      </c>
      <c r="AC337" s="174"/>
      <c r="AD337" s="175">
        <v>0</v>
      </c>
      <c r="AE337" s="175">
        <v>0</v>
      </c>
      <c r="AF337" s="173">
        <v>0</v>
      </c>
      <c r="AG337" s="183">
        <f t="shared" ref="AG337:AG349" si="68">AF337</f>
        <v>0</v>
      </c>
      <c r="AH337" s="174"/>
      <c r="AI337" s="257"/>
      <c r="AK337" s="188" t="s">
        <v>30</v>
      </c>
      <c r="AL337" s="190">
        <f>AB363</f>
        <v>1</v>
      </c>
      <c r="AM337" s="187"/>
      <c r="AN337" s="187"/>
      <c r="AO337" s="187"/>
      <c r="AP337" s="187"/>
    </row>
    <row r="338" spans="2:42" s="176" customFormat="1" ht="14.25">
      <c r="B338" s="318" t="s">
        <v>142</v>
      </c>
      <c r="C338" s="61">
        <v>0.41666666666666669</v>
      </c>
      <c r="D338" s="47">
        <v>0.20833333333333334</v>
      </c>
      <c r="E338" s="319">
        <v>6</v>
      </c>
      <c r="F338" s="320"/>
      <c r="G338" s="3"/>
      <c r="H338" s="47">
        <v>0.42708333333333331</v>
      </c>
      <c r="I338" s="47">
        <v>0.20833333333333334</v>
      </c>
      <c r="J338" s="319">
        <v>5.75</v>
      </c>
      <c r="K338" s="320"/>
      <c r="L338" s="3"/>
      <c r="M338" s="47">
        <v>0</v>
      </c>
      <c r="N338" s="47">
        <v>0</v>
      </c>
      <c r="O338" s="319">
        <v>0</v>
      </c>
      <c r="P338" s="320"/>
      <c r="Q338" s="3"/>
      <c r="R338" s="47">
        <v>0.41666666666666669</v>
      </c>
      <c r="S338" s="172">
        <v>0.20833333333333334</v>
      </c>
      <c r="T338" s="173">
        <v>6</v>
      </c>
      <c r="U338" s="277"/>
      <c r="V338" s="174"/>
      <c r="W338" s="326">
        <v>0</v>
      </c>
      <c r="X338" s="172">
        <v>0</v>
      </c>
      <c r="Y338" s="173">
        <v>0</v>
      </c>
      <c r="Z338" s="277"/>
      <c r="AA338" s="28">
        <f>(E338+J338+O338+T338+Y338)</f>
        <v>17.75</v>
      </c>
      <c r="AB338" s="298">
        <f t="shared" ref="AB338:AB349" si="69">Z338+U338+P338+K338+F338</f>
        <v>0</v>
      </c>
      <c r="AC338" s="174"/>
      <c r="AD338" s="175">
        <v>0</v>
      </c>
      <c r="AE338" s="175">
        <v>0</v>
      </c>
      <c r="AF338" s="173">
        <v>0</v>
      </c>
      <c r="AG338" s="28">
        <f t="shared" si="68"/>
        <v>0</v>
      </c>
      <c r="AH338" s="174"/>
      <c r="AI338" s="257"/>
      <c r="AK338" s="188" t="s">
        <v>32</v>
      </c>
      <c r="AL338" s="196">
        <f>AG363</f>
        <v>32.75</v>
      </c>
      <c r="AM338" s="187"/>
      <c r="AN338" s="187"/>
      <c r="AO338" s="187"/>
      <c r="AP338" s="187"/>
    </row>
    <row r="339" spans="2:42" s="176" customFormat="1" ht="14.25">
      <c r="B339" s="171" t="s">
        <v>31</v>
      </c>
      <c r="C339" s="172">
        <v>0.39583333333333331</v>
      </c>
      <c r="D339" s="172">
        <v>0.20833333333333334</v>
      </c>
      <c r="E339" s="173">
        <v>6.5</v>
      </c>
      <c r="F339" s="277"/>
      <c r="G339" s="174"/>
      <c r="H339" s="315">
        <v>0.40625</v>
      </c>
      <c r="I339" s="172">
        <v>0.20833333333333334</v>
      </c>
      <c r="J339" s="173">
        <v>6.25</v>
      </c>
      <c r="K339" s="277"/>
      <c r="L339" s="174"/>
      <c r="M339" s="172">
        <v>0.38541666666666669</v>
      </c>
      <c r="N339" s="172">
        <v>0.20833333333333334</v>
      </c>
      <c r="O339" s="173">
        <v>6.75</v>
      </c>
      <c r="P339" s="277"/>
      <c r="Q339" s="174"/>
      <c r="R339" s="172">
        <v>0.34375</v>
      </c>
      <c r="S339" s="172">
        <v>0.20833333333333334</v>
      </c>
      <c r="T339" s="173">
        <v>7.75</v>
      </c>
      <c r="U339" s="277"/>
      <c r="V339" s="174"/>
      <c r="W339" s="172">
        <v>0.34375</v>
      </c>
      <c r="X339" s="172">
        <v>0.20833333333333334</v>
      </c>
      <c r="Y339" s="173">
        <v>7.75</v>
      </c>
      <c r="Z339" s="277"/>
      <c r="AA339" s="28">
        <f>(E339+J339+O339+T339+Y339)</f>
        <v>35</v>
      </c>
      <c r="AB339" s="298">
        <f t="shared" si="69"/>
        <v>0</v>
      </c>
      <c r="AC339" s="174"/>
      <c r="AD339" s="175">
        <v>0</v>
      </c>
      <c r="AE339" s="175">
        <v>0</v>
      </c>
      <c r="AF339" s="173">
        <v>0</v>
      </c>
      <c r="AG339" s="28">
        <f t="shared" si="68"/>
        <v>0</v>
      </c>
      <c r="AH339" s="174"/>
      <c r="AI339" s="257"/>
      <c r="AK339" s="188" t="s">
        <v>145</v>
      </c>
      <c r="AL339" s="196">
        <f>AB368</f>
        <v>7.75</v>
      </c>
      <c r="AM339" s="187"/>
      <c r="AN339" s="187"/>
      <c r="AO339" s="187"/>
      <c r="AP339" s="187"/>
    </row>
    <row r="340" spans="2:42" s="1" customFormat="1" ht="14.25">
      <c r="B340" s="171" t="s">
        <v>33</v>
      </c>
      <c r="C340" s="172">
        <v>0.33333333333333331</v>
      </c>
      <c r="D340" s="172">
        <v>0.20833333333333334</v>
      </c>
      <c r="E340" s="173">
        <v>8</v>
      </c>
      <c r="F340" s="277"/>
      <c r="G340" s="174"/>
      <c r="H340" s="172">
        <v>0.35416666666666669</v>
      </c>
      <c r="I340" s="172">
        <v>0.20833333333333334</v>
      </c>
      <c r="J340" s="173">
        <v>7.5</v>
      </c>
      <c r="K340" s="277"/>
      <c r="L340" s="174"/>
      <c r="M340" s="172">
        <v>0.33333333333333331</v>
      </c>
      <c r="N340" s="172">
        <v>0.20833333333333334</v>
      </c>
      <c r="O340" s="173">
        <v>8</v>
      </c>
      <c r="P340" s="277"/>
      <c r="Q340" s="174"/>
      <c r="R340" s="172">
        <v>0.34375</v>
      </c>
      <c r="S340" s="172">
        <v>0.20833333333333334</v>
      </c>
      <c r="T340" s="173">
        <v>7.75</v>
      </c>
      <c r="U340" s="277"/>
      <c r="V340" s="174"/>
      <c r="W340" s="172">
        <v>0.33333333333333331</v>
      </c>
      <c r="X340" s="172">
        <v>0.20833333333333334</v>
      </c>
      <c r="Y340" s="173">
        <v>8</v>
      </c>
      <c r="Z340" s="277"/>
      <c r="AA340" s="28">
        <f>(E340+J340+O340+T340+Y340)</f>
        <v>39.25</v>
      </c>
      <c r="AB340" s="298">
        <f t="shared" si="69"/>
        <v>0</v>
      </c>
      <c r="AC340" s="174"/>
      <c r="AD340" s="175">
        <v>0</v>
      </c>
      <c r="AE340" s="175">
        <v>0</v>
      </c>
      <c r="AF340" s="173">
        <v>0</v>
      </c>
      <c r="AG340" s="28">
        <f t="shared" si="68"/>
        <v>0</v>
      </c>
      <c r="AH340" s="3"/>
      <c r="AI340" s="227"/>
      <c r="AK340" s="188" t="s">
        <v>34</v>
      </c>
      <c r="AL340" s="196">
        <f>AA368</f>
        <v>140</v>
      </c>
      <c r="AM340" s="187"/>
      <c r="AN340" s="187"/>
      <c r="AO340" s="187"/>
      <c r="AP340" s="187"/>
    </row>
    <row r="341" spans="2:42" s="1" customFormat="1" ht="14.25">
      <c r="B341" s="13" t="s">
        <v>129</v>
      </c>
      <c r="C341" s="47">
        <v>0.36458333333333331</v>
      </c>
      <c r="D341" s="314">
        <v>0.20833333333333334</v>
      </c>
      <c r="E341" s="19">
        <v>7.25</v>
      </c>
      <c r="F341" s="277"/>
      <c r="G341" s="3"/>
      <c r="H341" s="47">
        <v>0.35416666666666669</v>
      </c>
      <c r="I341" s="47">
        <v>0.20833333333333334</v>
      </c>
      <c r="J341" s="19">
        <v>7.5</v>
      </c>
      <c r="K341" s="277"/>
      <c r="L341" s="3"/>
      <c r="M341" s="47">
        <v>0.35416666666666669</v>
      </c>
      <c r="N341" s="47">
        <v>0.20833333333333334</v>
      </c>
      <c r="O341" s="19">
        <v>7.5</v>
      </c>
      <c r="P341" s="277"/>
      <c r="Q341" s="3"/>
      <c r="R341" s="47">
        <v>0.36458333333333331</v>
      </c>
      <c r="S341" s="47">
        <v>0.20833333333333334</v>
      </c>
      <c r="T341" s="19">
        <v>7.25</v>
      </c>
      <c r="U341" s="277"/>
      <c r="V341" s="3"/>
      <c r="W341" s="47">
        <v>0.375</v>
      </c>
      <c r="X341" s="47">
        <v>0.20833333333333334</v>
      </c>
      <c r="Y341" s="19">
        <v>7</v>
      </c>
      <c r="Z341" s="277"/>
      <c r="AA341" s="29">
        <f t="shared" ref="AA341:AA349" si="70">(E341+J341+O341+T341+Y341)</f>
        <v>36.5</v>
      </c>
      <c r="AB341" s="298">
        <f t="shared" si="69"/>
        <v>0</v>
      </c>
      <c r="AC341" s="3"/>
      <c r="AD341" s="4">
        <v>0</v>
      </c>
      <c r="AE341" s="4">
        <v>0</v>
      </c>
      <c r="AF341" s="19">
        <v>0</v>
      </c>
      <c r="AG341" s="29">
        <f t="shared" si="68"/>
        <v>0</v>
      </c>
      <c r="AH341" s="3"/>
      <c r="AI341" s="227"/>
      <c r="AK341" s="188" t="s">
        <v>38</v>
      </c>
      <c r="AL341" s="190">
        <f>AG368</f>
        <v>1</v>
      </c>
      <c r="AM341" s="191"/>
      <c r="AN341" s="191"/>
      <c r="AO341" s="191"/>
      <c r="AP341" s="191"/>
    </row>
    <row r="342" spans="2:42" s="1" customFormat="1" ht="14.25">
      <c r="B342" s="13" t="s">
        <v>35</v>
      </c>
      <c r="C342" s="47">
        <v>0.375</v>
      </c>
      <c r="D342" s="314">
        <v>0.20833333333333334</v>
      </c>
      <c r="E342" s="19">
        <v>7</v>
      </c>
      <c r="F342" s="277"/>
      <c r="G342" s="3"/>
      <c r="H342" s="314">
        <v>0.40625</v>
      </c>
      <c r="I342" s="47">
        <v>0.20833333333333334</v>
      </c>
      <c r="J342" s="19">
        <v>6.25</v>
      </c>
      <c r="K342" s="277"/>
      <c r="L342" s="3"/>
      <c r="M342" s="314">
        <v>0.38541666666666669</v>
      </c>
      <c r="N342" s="47">
        <v>0.20833333333333334</v>
      </c>
      <c r="O342" s="19">
        <v>6.75</v>
      </c>
      <c r="P342" s="277"/>
      <c r="Q342" s="3"/>
      <c r="R342" s="47">
        <v>0.36458333333333331</v>
      </c>
      <c r="S342" s="47">
        <v>0.20833333333333334</v>
      </c>
      <c r="T342" s="19">
        <v>7.25</v>
      </c>
      <c r="U342" s="277"/>
      <c r="V342" s="3"/>
      <c r="W342" s="327">
        <v>0.39583333333333331</v>
      </c>
      <c r="X342" s="47">
        <v>0.20833333333333334</v>
      </c>
      <c r="Y342" s="19">
        <v>6.5</v>
      </c>
      <c r="Z342" s="277"/>
      <c r="AA342" s="29">
        <f t="shared" si="70"/>
        <v>33.75</v>
      </c>
      <c r="AB342" s="298">
        <f t="shared" si="69"/>
        <v>0</v>
      </c>
      <c r="AC342" s="3"/>
      <c r="AD342" s="47">
        <v>0.40625</v>
      </c>
      <c r="AE342" s="47">
        <v>0.20833333333333334</v>
      </c>
      <c r="AF342" s="19">
        <v>6.25</v>
      </c>
      <c r="AG342" s="29">
        <f t="shared" si="68"/>
        <v>6.25</v>
      </c>
      <c r="AH342" s="3"/>
      <c r="AI342" s="227"/>
      <c r="AK342" s="188" t="s">
        <v>41</v>
      </c>
      <c r="AL342" s="189">
        <f>C369</f>
        <v>87</v>
      </c>
      <c r="AM342" s="187"/>
      <c r="AN342" s="187"/>
      <c r="AO342" s="187"/>
      <c r="AP342" s="187"/>
    </row>
    <row r="343" spans="2:42" s="1" customFormat="1" ht="14.25">
      <c r="B343" s="13" t="s">
        <v>37</v>
      </c>
      <c r="C343" s="47">
        <v>0.40625</v>
      </c>
      <c r="D343" s="314">
        <v>0.20833333333333334</v>
      </c>
      <c r="E343" s="19">
        <v>6.25</v>
      </c>
      <c r="F343" s="277"/>
      <c r="G343" s="3"/>
      <c r="H343" s="314">
        <v>0.38541666666666669</v>
      </c>
      <c r="I343" s="47">
        <v>0.20833333333333334</v>
      </c>
      <c r="J343" s="19">
        <v>6.75</v>
      </c>
      <c r="K343" s="277"/>
      <c r="L343" s="3"/>
      <c r="M343" s="314">
        <v>0.38541666666666669</v>
      </c>
      <c r="N343" s="47">
        <v>0.20833333333333334</v>
      </c>
      <c r="O343" s="19">
        <v>6.75</v>
      </c>
      <c r="P343" s="277"/>
      <c r="Q343" s="3"/>
      <c r="R343" s="47">
        <v>0.36458333333333331</v>
      </c>
      <c r="S343" s="47">
        <v>0.20833333333333334</v>
      </c>
      <c r="T343" s="19">
        <v>7.25</v>
      </c>
      <c r="U343" s="277"/>
      <c r="V343" s="3"/>
      <c r="W343" s="47">
        <v>0</v>
      </c>
      <c r="X343" s="47">
        <v>0</v>
      </c>
      <c r="Y343" s="19">
        <v>0</v>
      </c>
      <c r="Z343" s="277"/>
      <c r="AA343" s="29">
        <f t="shared" si="70"/>
        <v>27</v>
      </c>
      <c r="AB343" s="298">
        <f t="shared" si="69"/>
        <v>0</v>
      </c>
      <c r="AC343" s="3"/>
      <c r="AD343" s="4">
        <v>0</v>
      </c>
      <c r="AE343" s="4">
        <v>0</v>
      </c>
      <c r="AF343" s="19">
        <v>0</v>
      </c>
      <c r="AG343" s="29">
        <f t="shared" si="68"/>
        <v>0</v>
      </c>
      <c r="AH343" s="3"/>
      <c r="AI343" s="227"/>
      <c r="AK343" s="187"/>
      <c r="AL343" s="187"/>
      <c r="AM343" s="187"/>
      <c r="AN343" s="187"/>
      <c r="AO343" s="187"/>
      <c r="AP343" s="187"/>
    </row>
    <row r="344" spans="2:42" s="1" customFormat="1" ht="14.25">
      <c r="B344" s="13" t="s">
        <v>39</v>
      </c>
      <c r="C344" s="47">
        <v>0.39583333333333331</v>
      </c>
      <c r="D344" s="314">
        <v>0.20833333333333334</v>
      </c>
      <c r="E344" s="19">
        <v>6.5</v>
      </c>
      <c r="F344" s="277"/>
      <c r="G344" s="3"/>
      <c r="H344" s="314">
        <v>0.40625</v>
      </c>
      <c r="I344" s="47">
        <v>0.20833333333333334</v>
      </c>
      <c r="J344" s="19">
        <v>6.25</v>
      </c>
      <c r="K344" s="277"/>
      <c r="L344" s="3"/>
      <c r="M344" s="314">
        <v>0</v>
      </c>
      <c r="N344" s="172">
        <v>0</v>
      </c>
      <c r="O344" s="19">
        <v>0</v>
      </c>
      <c r="P344" s="277"/>
      <c r="Q344" s="3"/>
      <c r="R344" s="47">
        <v>0.39583333333333331</v>
      </c>
      <c r="S344" s="47">
        <v>0.20833333333333334</v>
      </c>
      <c r="T344" s="19">
        <v>6.5</v>
      </c>
      <c r="U344" s="277"/>
      <c r="V344" s="3"/>
      <c r="W344" s="326">
        <v>0.40625</v>
      </c>
      <c r="X344" s="47">
        <v>0.20833333333333334</v>
      </c>
      <c r="Y344" s="19">
        <v>6.25</v>
      </c>
      <c r="Z344" s="277"/>
      <c r="AA344" s="29">
        <f t="shared" si="70"/>
        <v>25.5</v>
      </c>
      <c r="AB344" s="298">
        <f t="shared" si="69"/>
        <v>0</v>
      </c>
      <c r="AC344" s="3"/>
      <c r="AD344" s="4">
        <v>0</v>
      </c>
      <c r="AE344" s="4">
        <v>0</v>
      </c>
      <c r="AF344" s="19">
        <v>0</v>
      </c>
      <c r="AG344" s="29">
        <f t="shared" si="68"/>
        <v>0</v>
      </c>
      <c r="AH344" s="3"/>
      <c r="AI344" s="227"/>
      <c r="AK344" s="187"/>
      <c r="AL344" s="187"/>
      <c r="AM344" s="187"/>
      <c r="AN344" s="187"/>
      <c r="AO344" s="187"/>
      <c r="AP344" s="187"/>
    </row>
    <row r="345" spans="2:42" s="1" customFormat="1" ht="14.25">
      <c r="B345" s="164" t="s">
        <v>40</v>
      </c>
      <c r="C345" s="47">
        <v>0</v>
      </c>
      <c r="D345" s="47">
        <v>0</v>
      </c>
      <c r="E345" s="19">
        <v>0</v>
      </c>
      <c r="F345" s="277"/>
      <c r="G345" s="3"/>
      <c r="H345" s="47">
        <v>0.33333333333333331</v>
      </c>
      <c r="I345" s="47">
        <v>0.20833333333333334</v>
      </c>
      <c r="J345" s="19">
        <v>8</v>
      </c>
      <c r="K345" s="277"/>
      <c r="L345" s="3"/>
      <c r="M345" s="314">
        <v>0.33333333333333331</v>
      </c>
      <c r="N345" s="47">
        <v>0.20833333333333334</v>
      </c>
      <c r="O345" s="19">
        <v>8</v>
      </c>
      <c r="P345" s="277"/>
      <c r="Q345" s="3"/>
      <c r="R345" s="47">
        <v>0.33333333333333331</v>
      </c>
      <c r="S345" s="47">
        <v>0.20833333333333334</v>
      </c>
      <c r="T345" s="19">
        <v>8</v>
      </c>
      <c r="U345" s="277"/>
      <c r="V345" s="3"/>
      <c r="W345" s="47">
        <v>0.34375</v>
      </c>
      <c r="X345" s="47">
        <v>0.20833333333333334</v>
      </c>
      <c r="Y345" s="19">
        <v>7.75</v>
      </c>
      <c r="Z345" s="277"/>
      <c r="AA345" s="29">
        <f t="shared" si="70"/>
        <v>31.75</v>
      </c>
      <c r="AB345" s="298">
        <f t="shared" si="69"/>
        <v>0</v>
      </c>
      <c r="AC345" s="3"/>
      <c r="AD345" s="4">
        <v>0</v>
      </c>
      <c r="AE345" s="4">
        <v>0</v>
      </c>
      <c r="AF345" s="19">
        <v>0</v>
      </c>
      <c r="AG345" s="29">
        <f t="shared" si="68"/>
        <v>0</v>
      </c>
      <c r="AH345" s="3"/>
      <c r="AI345" s="227"/>
      <c r="AK345" s="187"/>
      <c r="AL345" s="187"/>
      <c r="AM345" s="187"/>
      <c r="AN345" s="187"/>
      <c r="AO345" s="187"/>
      <c r="AP345" s="187"/>
    </row>
    <row r="346" spans="2:42" s="1" customFormat="1" ht="14.25">
      <c r="B346" s="164" t="s">
        <v>42</v>
      </c>
      <c r="C346" s="47">
        <v>0</v>
      </c>
      <c r="D346" s="47">
        <v>0</v>
      </c>
      <c r="E346" s="19">
        <v>0</v>
      </c>
      <c r="F346" s="277"/>
      <c r="G346" s="3"/>
      <c r="H346" s="47">
        <v>0</v>
      </c>
      <c r="I346" s="47">
        <v>0</v>
      </c>
      <c r="J346" s="19">
        <v>0</v>
      </c>
      <c r="K346" s="277"/>
      <c r="L346" s="3"/>
      <c r="M346" s="314">
        <v>0</v>
      </c>
      <c r="N346" s="172">
        <v>0</v>
      </c>
      <c r="O346" s="19">
        <v>0</v>
      </c>
      <c r="P346" s="277"/>
      <c r="Q346" s="3"/>
      <c r="R346" s="314">
        <v>0</v>
      </c>
      <c r="S346" s="172">
        <v>0</v>
      </c>
      <c r="T346" s="19">
        <v>0</v>
      </c>
      <c r="U346" s="277"/>
      <c r="V346" s="3"/>
      <c r="W346" s="314">
        <v>0</v>
      </c>
      <c r="X346" s="172">
        <v>0</v>
      </c>
      <c r="Y346" s="19">
        <v>0</v>
      </c>
      <c r="Z346" s="277"/>
      <c r="AA346" s="29">
        <f t="shared" si="70"/>
        <v>0</v>
      </c>
      <c r="AB346" s="298">
        <f t="shared" si="69"/>
        <v>0</v>
      </c>
      <c r="AC346" s="3"/>
      <c r="AD346" s="4">
        <v>0</v>
      </c>
      <c r="AE346" s="4">
        <v>0</v>
      </c>
      <c r="AF346" s="19">
        <v>0</v>
      </c>
      <c r="AG346" s="29">
        <f t="shared" si="68"/>
        <v>0</v>
      </c>
      <c r="AH346" s="3"/>
      <c r="AI346" s="227"/>
      <c r="AK346" s="187"/>
      <c r="AL346" s="187"/>
      <c r="AM346" s="187"/>
      <c r="AN346" s="187"/>
      <c r="AO346" s="187"/>
      <c r="AP346" s="187"/>
    </row>
    <row r="347" spans="2:42" s="1" customFormat="1" ht="14.25">
      <c r="B347" s="13" t="s">
        <v>43</v>
      </c>
      <c r="C347" s="47">
        <v>0</v>
      </c>
      <c r="D347" s="47">
        <v>0</v>
      </c>
      <c r="E347" s="19">
        <v>0</v>
      </c>
      <c r="F347" s="277"/>
      <c r="G347" s="3"/>
      <c r="H347" s="47">
        <v>0</v>
      </c>
      <c r="I347" s="47">
        <v>0</v>
      </c>
      <c r="J347" s="19">
        <v>0</v>
      </c>
      <c r="K347" s="277"/>
      <c r="L347" s="3"/>
      <c r="M347" s="314">
        <v>0.39583333333333331</v>
      </c>
      <c r="N347" s="172">
        <v>0</v>
      </c>
      <c r="O347" s="19">
        <v>6.5</v>
      </c>
      <c r="P347" s="277"/>
      <c r="Q347" s="3"/>
      <c r="R347" s="47">
        <v>0</v>
      </c>
      <c r="S347" s="47">
        <v>0</v>
      </c>
      <c r="T347" s="19">
        <v>0</v>
      </c>
      <c r="U347" s="277"/>
      <c r="V347" s="3"/>
      <c r="W347" s="47">
        <v>0.35416666666666669</v>
      </c>
      <c r="X347" s="47">
        <v>0.20833333333333334</v>
      </c>
      <c r="Y347" s="19">
        <v>7.5</v>
      </c>
      <c r="Z347" s="277"/>
      <c r="AA347" s="29">
        <f t="shared" si="70"/>
        <v>14</v>
      </c>
      <c r="AB347" s="298">
        <f t="shared" si="69"/>
        <v>0</v>
      </c>
      <c r="AC347" s="3"/>
      <c r="AD347" s="4">
        <v>0</v>
      </c>
      <c r="AE347" s="4">
        <v>0</v>
      </c>
      <c r="AF347" s="19">
        <v>0</v>
      </c>
      <c r="AG347" s="29">
        <f t="shared" si="68"/>
        <v>0</v>
      </c>
      <c r="AH347" s="3"/>
      <c r="AI347" s="227"/>
      <c r="AK347" s="187"/>
      <c r="AL347" s="187"/>
      <c r="AM347" s="187"/>
      <c r="AN347" s="187"/>
      <c r="AO347" s="187"/>
      <c r="AP347" s="187"/>
    </row>
    <row r="348" spans="2:42" s="1" customFormat="1" ht="14.25">
      <c r="B348" s="13" t="s">
        <v>47</v>
      </c>
      <c r="C348" s="47">
        <v>0.33333333333333331</v>
      </c>
      <c r="D348" s="314">
        <v>0.20833333333333334</v>
      </c>
      <c r="E348" s="19">
        <v>8</v>
      </c>
      <c r="F348" s="277"/>
      <c r="G348" s="3"/>
      <c r="H348" s="47">
        <v>0.33333333333333331</v>
      </c>
      <c r="I348" s="47">
        <v>0.20833333333333334</v>
      </c>
      <c r="J348" s="19">
        <v>8</v>
      </c>
      <c r="K348" s="277"/>
      <c r="L348" s="3"/>
      <c r="M348" s="314">
        <v>0.33333333333333331</v>
      </c>
      <c r="N348" s="47">
        <v>0.20833333333333334</v>
      </c>
      <c r="O348" s="19">
        <v>8</v>
      </c>
      <c r="P348" s="277"/>
      <c r="Q348" s="3"/>
      <c r="R348" s="47">
        <v>0.32291666666666669</v>
      </c>
      <c r="S348" s="47">
        <v>0.20833333333333334</v>
      </c>
      <c r="T348" s="19">
        <v>8.25</v>
      </c>
      <c r="U348" s="277">
        <v>0.25</v>
      </c>
      <c r="V348" s="3"/>
      <c r="W348" s="47">
        <v>0.34375</v>
      </c>
      <c r="X348" s="47">
        <v>0.20833333333333334</v>
      </c>
      <c r="Y348" s="19">
        <v>7.25</v>
      </c>
      <c r="Z348" s="277"/>
      <c r="AA348" s="29">
        <f t="shared" si="70"/>
        <v>39.5</v>
      </c>
      <c r="AB348" s="298">
        <f t="shared" si="69"/>
        <v>0.25</v>
      </c>
      <c r="AC348" s="3"/>
      <c r="AD348" s="47">
        <v>0.40625</v>
      </c>
      <c r="AE348" s="47">
        <v>0.20833333333333334</v>
      </c>
      <c r="AF348" s="19">
        <v>6.25</v>
      </c>
      <c r="AG348" s="29">
        <f t="shared" si="68"/>
        <v>6.25</v>
      </c>
      <c r="AH348" s="3"/>
      <c r="AI348" s="227"/>
      <c r="AK348" s="187"/>
      <c r="AL348" s="187"/>
      <c r="AM348" s="187"/>
      <c r="AN348" s="187"/>
      <c r="AO348" s="187"/>
      <c r="AP348" s="187"/>
    </row>
    <row r="349" spans="2:42" s="1" customFormat="1" ht="14.25">
      <c r="B349" s="13" t="s">
        <v>46</v>
      </c>
      <c r="C349" s="47">
        <v>0.375</v>
      </c>
      <c r="D349" s="47">
        <v>0.20833333333333334</v>
      </c>
      <c r="E349" s="19">
        <v>7</v>
      </c>
      <c r="F349" s="277"/>
      <c r="G349" s="3"/>
      <c r="H349" s="314">
        <v>0.375</v>
      </c>
      <c r="I349" s="47">
        <v>0.20833333333333334</v>
      </c>
      <c r="J349" s="19">
        <v>7</v>
      </c>
      <c r="K349" s="277"/>
      <c r="L349" s="3"/>
      <c r="M349" s="314">
        <v>0.33333333333333331</v>
      </c>
      <c r="N349" s="47">
        <v>0.20833333333333334</v>
      </c>
      <c r="O349" s="19">
        <v>8</v>
      </c>
      <c r="P349" s="277"/>
      <c r="Q349" s="3"/>
      <c r="R349" s="47">
        <v>0.34375</v>
      </c>
      <c r="S349" s="47">
        <v>0.20833333333333334</v>
      </c>
      <c r="T349" s="19">
        <v>7.75</v>
      </c>
      <c r="U349" s="277"/>
      <c r="V349" s="3"/>
      <c r="W349" s="47">
        <v>0.34375</v>
      </c>
      <c r="X349" s="47">
        <v>0.20833333333333334</v>
      </c>
      <c r="Y349" s="19">
        <v>7.25</v>
      </c>
      <c r="Z349" s="277"/>
      <c r="AA349" s="29">
        <f t="shared" si="70"/>
        <v>37</v>
      </c>
      <c r="AB349" s="298">
        <f t="shared" si="69"/>
        <v>0</v>
      </c>
      <c r="AC349" s="3"/>
      <c r="AD349" s="4">
        <v>0</v>
      </c>
      <c r="AE349" s="4">
        <v>0</v>
      </c>
      <c r="AF349" s="19">
        <v>0</v>
      </c>
      <c r="AG349" s="29">
        <f t="shared" si="68"/>
        <v>0</v>
      </c>
      <c r="AH349" s="3"/>
      <c r="AI349" s="227"/>
      <c r="AK349" s="187"/>
      <c r="AL349" s="187"/>
      <c r="AM349" s="187"/>
      <c r="AN349" s="187"/>
      <c r="AO349" s="187"/>
      <c r="AP349" s="187"/>
    </row>
    <row r="350" spans="2:42" s="1" customFormat="1" ht="14.25">
      <c r="B350" s="13" t="s">
        <v>44</v>
      </c>
      <c r="C350" s="47">
        <v>0.34375</v>
      </c>
      <c r="D350" s="47">
        <v>0.20833333333333334</v>
      </c>
      <c r="E350" s="19">
        <v>7.75</v>
      </c>
      <c r="F350" s="277"/>
      <c r="G350" s="3"/>
      <c r="H350" s="47">
        <v>0.34375</v>
      </c>
      <c r="I350" s="47">
        <v>0.20833333333333334</v>
      </c>
      <c r="J350" s="19">
        <v>7.75</v>
      </c>
      <c r="K350" s="277"/>
      <c r="L350" s="3"/>
      <c r="M350" s="314">
        <v>0.33333333333333331</v>
      </c>
      <c r="N350" s="47">
        <v>0.20833333333333334</v>
      </c>
      <c r="O350" s="19">
        <v>8</v>
      </c>
      <c r="P350" s="277"/>
      <c r="Q350" s="3"/>
      <c r="R350" s="47">
        <v>0.33333333333333331</v>
      </c>
      <c r="S350" s="47">
        <v>0.20833333333333334</v>
      </c>
      <c r="T350" s="19">
        <v>8</v>
      </c>
      <c r="U350" s="277"/>
      <c r="V350" s="3"/>
      <c r="W350" s="47">
        <v>0.33333333333333331</v>
      </c>
      <c r="X350" s="47">
        <v>0.20833333333333334</v>
      </c>
      <c r="Y350" s="19">
        <v>8</v>
      </c>
      <c r="Z350" s="277"/>
      <c r="AA350" s="29">
        <f>(E350+J350+O350+T350+Y350)</f>
        <v>39.5</v>
      </c>
      <c r="AB350" s="298">
        <f>Z350+U350+P350+K350+F350</f>
        <v>0</v>
      </c>
      <c r="AC350" s="3"/>
      <c r="AD350" s="4">
        <v>0</v>
      </c>
      <c r="AE350" s="4">
        <v>0</v>
      </c>
      <c r="AF350" s="19">
        <v>0</v>
      </c>
      <c r="AG350" s="29">
        <f>AF350</f>
        <v>0</v>
      </c>
      <c r="AH350" s="3"/>
      <c r="AI350" s="227"/>
      <c r="AK350" s="187"/>
      <c r="AL350" s="187"/>
      <c r="AM350" s="187"/>
      <c r="AN350" s="187"/>
      <c r="AO350" s="187"/>
      <c r="AP350" s="187"/>
    </row>
    <row r="351" spans="2:42" s="1" customFormat="1" ht="14.25">
      <c r="B351" s="13" t="s">
        <v>45</v>
      </c>
      <c r="C351" s="47">
        <v>0.375</v>
      </c>
      <c r="D351" s="47">
        <v>0.20833333333333334</v>
      </c>
      <c r="E351" s="19">
        <v>7</v>
      </c>
      <c r="F351" s="277"/>
      <c r="G351" s="3"/>
      <c r="H351" s="47">
        <v>0.33333333333333331</v>
      </c>
      <c r="I351" s="47">
        <v>0.20833333333333334</v>
      </c>
      <c r="J351" s="19">
        <v>8</v>
      </c>
      <c r="K351" s="277"/>
      <c r="L351" s="3"/>
      <c r="M351" s="314">
        <v>0.34375</v>
      </c>
      <c r="N351" s="47">
        <v>0.20833333333333334</v>
      </c>
      <c r="O351" s="19">
        <v>7.75</v>
      </c>
      <c r="P351" s="277"/>
      <c r="Q351" s="3"/>
      <c r="R351" s="47">
        <v>0.33333333333333331</v>
      </c>
      <c r="S351" s="47">
        <v>0.20833333333333334</v>
      </c>
      <c r="T351" s="19">
        <v>8</v>
      </c>
      <c r="U351" s="277"/>
      <c r="V351" s="3"/>
      <c r="W351" s="47">
        <v>0.34375</v>
      </c>
      <c r="X351" s="47">
        <v>0.20833333333333334</v>
      </c>
      <c r="Y351" s="19">
        <v>7.75</v>
      </c>
      <c r="Z351" s="277"/>
      <c r="AA351" s="29">
        <f>(E351+J351+O351+T351+Y351)</f>
        <v>38.5</v>
      </c>
      <c r="AB351" s="298">
        <f>Z351+U351+P351+K351+F351</f>
        <v>0</v>
      </c>
      <c r="AC351" s="3"/>
      <c r="AD351" s="4">
        <v>0</v>
      </c>
      <c r="AE351" s="4">
        <v>0</v>
      </c>
      <c r="AF351" s="19">
        <v>0</v>
      </c>
      <c r="AG351" s="29">
        <f>AF351</f>
        <v>0</v>
      </c>
      <c r="AH351" s="3"/>
      <c r="AI351" s="227"/>
      <c r="AK351" s="187"/>
      <c r="AL351" s="187"/>
      <c r="AM351" s="187"/>
      <c r="AN351" s="187"/>
      <c r="AO351" s="187"/>
      <c r="AP351" s="187"/>
    </row>
    <row r="352" spans="2:42" s="1" customFormat="1" ht="14.25">
      <c r="B352" s="13" t="s">
        <v>173</v>
      </c>
      <c r="C352" s="47">
        <v>0.375</v>
      </c>
      <c r="D352" s="47">
        <v>0.20833333333333334</v>
      </c>
      <c r="E352" s="19">
        <v>7</v>
      </c>
      <c r="F352" s="277"/>
      <c r="G352" s="3"/>
      <c r="H352" s="47">
        <v>0.33333333333333331</v>
      </c>
      <c r="I352" s="47">
        <v>0.20833333333333334</v>
      </c>
      <c r="J352" s="19">
        <v>8</v>
      </c>
      <c r="K352" s="277"/>
      <c r="L352" s="3"/>
      <c r="M352" s="314">
        <v>0.33333333333333331</v>
      </c>
      <c r="N352" s="47">
        <v>0.20833333333333334</v>
      </c>
      <c r="O352" s="19">
        <v>8</v>
      </c>
      <c r="P352" s="277"/>
      <c r="Q352" s="3"/>
      <c r="R352" s="47">
        <v>0.33333333333333331</v>
      </c>
      <c r="S352" s="47">
        <v>0.20833333333333334</v>
      </c>
      <c r="T352" s="19">
        <v>8</v>
      </c>
      <c r="U352" s="277"/>
      <c r="V352" s="3"/>
      <c r="W352" s="47">
        <v>0.34375</v>
      </c>
      <c r="X352" s="47">
        <v>0.20833333333333334</v>
      </c>
      <c r="Y352" s="19">
        <v>7.75</v>
      </c>
      <c r="Z352" s="277"/>
      <c r="AA352" s="29">
        <f>(E352+J352+O352+T352+Y352)</f>
        <v>38.75</v>
      </c>
      <c r="AB352" s="298">
        <f>Z352+U352+P352+K352+F352</f>
        <v>0</v>
      </c>
      <c r="AC352" s="3"/>
      <c r="AD352" s="47">
        <v>0.40625</v>
      </c>
      <c r="AE352" s="47">
        <v>0.20833333333333334</v>
      </c>
      <c r="AF352" s="19">
        <v>6.25</v>
      </c>
      <c r="AG352" s="29">
        <f>AF352</f>
        <v>6.25</v>
      </c>
      <c r="AH352" s="3"/>
      <c r="AI352" s="227"/>
      <c r="AK352" s="187"/>
      <c r="AL352" s="187"/>
      <c r="AM352" s="187"/>
      <c r="AN352" s="187"/>
      <c r="AO352" s="187"/>
      <c r="AP352" s="187"/>
    </row>
    <row r="353" spans="2:42" s="1" customFormat="1" ht="14.25">
      <c r="B353" s="13" t="s">
        <v>48</v>
      </c>
      <c r="C353" s="16">
        <v>0.33333333333333331</v>
      </c>
      <c r="D353" s="47">
        <v>0.20833333333333334</v>
      </c>
      <c r="E353" s="19">
        <v>8</v>
      </c>
      <c r="F353" s="277"/>
      <c r="G353" s="3"/>
      <c r="H353" s="47">
        <v>0.32291666666666669</v>
      </c>
      <c r="I353" s="47">
        <v>0.20833333333333334</v>
      </c>
      <c r="J353" s="19">
        <v>8.25</v>
      </c>
      <c r="K353" s="277">
        <v>0.25</v>
      </c>
      <c r="L353" s="3"/>
      <c r="M353" s="314">
        <v>0.41666666666666669</v>
      </c>
      <c r="N353" s="47">
        <v>0.20833333333333334</v>
      </c>
      <c r="O353" s="19">
        <v>6</v>
      </c>
      <c r="P353" s="277"/>
      <c r="Q353" s="3"/>
      <c r="R353" s="47">
        <v>0.3125</v>
      </c>
      <c r="S353" s="47">
        <v>0.20833333333333334</v>
      </c>
      <c r="T353" s="19">
        <v>8.5</v>
      </c>
      <c r="U353" s="277">
        <v>0.5</v>
      </c>
      <c r="V353" s="3"/>
      <c r="W353" s="47">
        <v>0.33333333333333331</v>
      </c>
      <c r="X353" s="47">
        <v>0.20833333333333334</v>
      </c>
      <c r="Y353" s="19">
        <v>8</v>
      </c>
      <c r="Z353" s="277"/>
      <c r="AA353" s="29">
        <f t="shared" ref="AA353:AA362" si="71">(E353+J353+O353+T353+Y353)</f>
        <v>38.75</v>
      </c>
      <c r="AB353" s="298">
        <f t="shared" ref="AB353:AB362" si="72">Z353+U353+P353+K353+F353</f>
        <v>0.75</v>
      </c>
      <c r="AC353" s="3"/>
      <c r="AD353" s="4">
        <v>0</v>
      </c>
      <c r="AE353" s="4">
        <v>0</v>
      </c>
      <c r="AF353" s="19">
        <v>0</v>
      </c>
      <c r="AG353" s="29">
        <f t="shared" ref="AG353:AG362" si="73">AF353</f>
        <v>0</v>
      </c>
      <c r="AH353" s="3"/>
      <c r="AI353" s="227"/>
      <c r="AK353" s="187"/>
      <c r="AL353" s="187"/>
      <c r="AM353" s="187"/>
      <c r="AN353" s="187"/>
      <c r="AO353" s="187"/>
      <c r="AP353" s="187"/>
    </row>
    <row r="354" spans="2:42" s="1" customFormat="1" ht="14.25">
      <c r="B354" s="13" t="s">
        <v>49</v>
      </c>
      <c r="C354" s="47">
        <v>0.38541666666666669</v>
      </c>
      <c r="D354" s="47">
        <v>0.20833333333333334</v>
      </c>
      <c r="E354" s="19">
        <v>6.75</v>
      </c>
      <c r="F354" s="277"/>
      <c r="G354" s="3"/>
      <c r="H354" s="47">
        <v>0.38541666666666669</v>
      </c>
      <c r="I354" s="47">
        <v>0.20833333333333334</v>
      </c>
      <c r="J354" s="19">
        <v>6.75</v>
      </c>
      <c r="K354" s="277"/>
      <c r="L354" s="3"/>
      <c r="M354" s="314">
        <v>0</v>
      </c>
      <c r="N354" s="172">
        <v>0</v>
      </c>
      <c r="O354" s="19">
        <v>0</v>
      </c>
      <c r="P354" s="277"/>
      <c r="Q354" s="3"/>
      <c r="R354" s="47">
        <v>0.34375</v>
      </c>
      <c r="S354" s="47">
        <v>0.20833333333333334</v>
      </c>
      <c r="T354" s="19">
        <v>7.75</v>
      </c>
      <c r="U354" s="277"/>
      <c r="V354" s="3"/>
      <c r="W354" s="47">
        <v>0</v>
      </c>
      <c r="X354" s="47">
        <v>0</v>
      </c>
      <c r="Y354" s="19">
        <v>0</v>
      </c>
      <c r="Z354" s="277"/>
      <c r="AA354" s="29">
        <f t="shared" si="71"/>
        <v>21.25</v>
      </c>
      <c r="AB354" s="298">
        <f t="shared" si="72"/>
        <v>0</v>
      </c>
      <c r="AC354" s="3"/>
      <c r="AD354" s="4">
        <v>0</v>
      </c>
      <c r="AE354" s="4">
        <v>0</v>
      </c>
      <c r="AF354" s="19">
        <v>0</v>
      </c>
      <c r="AG354" s="29">
        <f t="shared" si="73"/>
        <v>0</v>
      </c>
      <c r="AH354" s="3"/>
      <c r="AI354" s="227"/>
      <c r="AK354" s="187"/>
      <c r="AL354" s="187"/>
      <c r="AM354" s="187"/>
      <c r="AN354" s="187"/>
      <c r="AO354" s="187"/>
      <c r="AP354" s="187"/>
    </row>
    <row r="355" spans="2:42" s="1" customFormat="1" ht="14.25">
      <c r="B355" s="13" t="s">
        <v>50</v>
      </c>
      <c r="C355" s="4">
        <v>0</v>
      </c>
      <c r="D355" s="4">
        <v>0</v>
      </c>
      <c r="E355" s="19">
        <v>0</v>
      </c>
      <c r="F355" s="277"/>
      <c r="G355" s="3"/>
      <c r="H355" s="4">
        <v>0</v>
      </c>
      <c r="I355" s="4">
        <v>0</v>
      </c>
      <c r="J355" s="19">
        <v>0</v>
      </c>
      <c r="K355" s="277"/>
      <c r="L355" s="3"/>
      <c r="M355" s="314">
        <v>0.39583333333333331</v>
      </c>
      <c r="N355" s="47">
        <v>0.20833333333333334</v>
      </c>
      <c r="O355" s="19">
        <v>6.5</v>
      </c>
      <c r="P355" s="277"/>
      <c r="Q355" s="3"/>
      <c r="R355" s="47">
        <v>0.36458333333333331</v>
      </c>
      <c r="S355" s="47">
        <v>0.20833333333333334</v>
      </c>
      <c r="T355" s="19">
        <v>7.25</v>
      </c>
      <c r="U355" s="277"/>
      <c r="V355" s="3"/>
      <c r="W355" s="4">
        <v>0</v>
      </c>
      <c r="X355" s="4">
        <v>0</v>
      </c>
      <c r="Y355" s="19">
        <v>0</v>
      </c>
      <c r="Z355" s="277"/>
      <c r="AA355" s="29">
        <f t="shared" si="71"/>
        <v>13.75</v>
      </c>
      <c r="AB355" s="298">
        <f t="shared" si="72"/>
        <v>0</v>
      </c>
      <c r="AC355" s="3"/>
      <c r="AD355" s="4">
        <v>0</v>
      </c>
      <c r="AE355" s="4">
        <v>0</v>
      </c>
      <c r="AF355" s="19">
        <v>0</v>
      </c>
      <c r="AG355" s="29">
        <f t="shared" si="73"/>
        <v>0</v>
      </c>
      <c r="AH355" s="3"/>
      <c r="AI355" s="227"/>
      <c r="AK355" s="187"/>
      <c r="AL355" s="187"/>
      <c r="AM355" s="187"/>
      <c r="AN355" s="187"/>
      <c r="AO355" s="187"/>
      <c r="AP355" s="187"/>
    </row>
    <row r="356" spans="2:42" s="1" customFormat="1" ht="14.25">
      <c r="B356" s="13" t="s">
        <v>51</v>
      </c>
      <c r="C356" s="12" t="s">
        <v>29</v>
      </c>
      <c r="D356" s="12" t="s">
        <v>29</v>
      </c>
      <c r="E356" s="19">
        <v>8</v>
      </c>
      <c r="F356" s="277"/>
      <c r="G356" s="3"/>
      <c r="H356" s="12" t="s">
        <v>29</v>
      </c>
      <c r="I356" s="12" t="s">
        <v>29</v>
      </c>
      <c r="J356" s="19">
        <v>8</v>
      </c>
      <c r="K356" s="277"/>
      <c r="L356" s="3"/>
      <c r="M356" s="12" t="s">
        <v>29</v>
      </c>
      <c r="N356" s="12" t="s">
        <v>29</v>
      </c>
      <c r="O356" s="19">
        <v>8</v>
      </c>
      <c r="P356" s="277"/>
      <c r="Q356" s="3"/>
      <c r="R356" s="47">
        <v>0.375</v>
      </c>
      <c r="S356" s="47">
        <v>0.20833333333333334</v>
      </c>
      <c r="T356" s="19">
        <v>7</v>
      </c>
      <c r="U356" s="277"/>
      <c r="V356" s="3"/>
      <c r="W356" s="47">
        <v>0.36458333333333331</v>
      </c>
      <c r="X356" s="47">
        <v>0.20833333333333334</v>
      </c>
      <c r="Y356" s="19">
        <v>7.25</v>
      </c>
      <c r="Z356" s="277"/>
      <c r="AA356" s="29">
        <f t="shared" si="71"/>
        <v>38.25</v>
      </c>
      <c r="AB356" s="298">
        <f t="shared" si="72"/>
        <v>0</v>
      </c>
      <c r="AC356" s="3"/>
      <c r="AD356" s="4">
        <v>0</v>
      </c>
      <c r="AE356" s="4">
        <v>0</v>
      </c>
      <c r="AF356" s="19">
        <v>0</v>
      </c>
      <c r="AG356" s="29">
        <f t="shared" si="73"/>
        <v>0</v>
      </c>
      <c r="AH356" s="3"/>
      <c r="AI356" s="227"/>
      <c r="AK356" s="187"/>
      <c r="AL356" s="187"/>
      <c r="AM356" s="187"/>
      <c r="AN356" s="187"/>
      <c r="AO356" s="187"/>
      <c r="AP356" s="187"/>
    </row>
    <row r="357" spans="2:42" s="1" customFormat="1" ht="14.25">
      <c r="B357" s="13" t="s">
        <v>54</v>
      </c>
      <c r="C357" s="4">
        <v>0</v>
      </c>
      <c r="D357" s="4">
        <v>0</v>
      </c>
      <c r="E357" s="19">
        <v>0</v>
      </c>
      <c r="F357" s="277"/>
      <c r="G357" s="3"/>
      <c r="H357" s="4">
        <v>0</v>
      </c>
      <c r="I357" s="4">
        <v>0</v>
      </c>
      <c r="J357" s="19">
        <v>0</v>
      </c>
      <c r="K357" s="277"/>
      <c r="L357" s="3"/>
      <c r="M357" s="4">
        <v>0</v>
      </c>
      <c r="N357" s="4">
        <v>0</v>
      </c>
      <c r="O357" s="19">
        <v>0</v>
      </c>
      <c r="P357" s="277"/>
      <c r="Q357" s="3"/>
      <c r="R357" s="4">
        <v>0</v>
      </c>
      <c r="S357" s="4">
        <v>0</v>
      </c>
      <c r="T357" s="19">
        <v>0</v>
      </c>
      <c r="U357" s="277"/>
      <c r="V357" s="3"/>
      <c r="W357" s="4">
        <v>0</v>
      </c>
      <c r="X357" s="4">
        <v>0</v>
      </c>
      <c r="Y357" s="19">
        <v>0</v>
      </c>
      <c r="Z357" s="277"/>
      <c r="AA357" s="29">
        <f t="shared" si="71"/>
        <v>0</v>
      </c>
      <c r="AB357" s="298">
        <f t="shared" si="72"/>
        <v>0</v>
      </c>
      <c r="AC357" s="3"/>
      <c r="AD357" s="47">
        <v>0.39583333333333331</v>
      </c>
      <c r="AE357" s="47">
        <v>0.20833333333333334</v>
      </c>
      <c r="AF357" s="19">
        <v>6.5</v>
      </c>
      <c r="AG357" s="29">
        <f t="shared" si="73"/>
        <v>6.5</v>
      </c>
      <c r="AH357" s="3"/>
      <c r="AI357" s="227"/>
      <c r="AK357" s="187"/>
      <c r="AL357" s="187"/>
      <c r="AM357" s="187"/>
      <c r="AN357" s="187"/>
      <c r="AO357" s="187"/>
      <c r="AP357" s="187"/>
    </row>
    <row r="358" spans="2:42" s="1" customFormat="1" ht="14.25">
      <c r="B358" s="13" t="s">
        <v>55</v>
      </c>
      <c r="C358" s="4">
        <v>0</v>
      </c>
      <c r="D358" s="4">
        <v>0</v>
      </c>
      <c r="E358" s="19">
        <v>0</v>
      </c>
      <c r="F358" s="277"/>
      <c r="G358" s="3"/>
      <c r="H358" s="4">
        <v>0</v>
      </c>
      <c r="I358" s="4">
        <v>0</v>
      </c>
      <c r="J358" s="19">
        <v>0</v>
      </c>
      <c r="K358" s="277"/>
      <c r="L358" s="3"/>
      <c r="M358" s="4">
        <v>0</v>
      </c>
      <c r="N358" s="4">
        <v>0</v>
      </c>
      <c r="O358" s="19">
        <v>0</v>
      </c>
      <c r="P358" s="277"/>
      <c r="Q358" s="3"/>
      <c r="R358" s="4">
        <v>0</v>
      </c>
      <c r="S358" s="4">
        <v>0</v>
      </c>
      <c r="T358" s="19">
        <v>0</v>
      </c>
      <c r="U358" s="277"/>
      <c r="V358" s="3"/>
      <c r="W358" s="4">
        <v>0</v>
      </c>
      <c r="X358" s="4">
        <v>0</v>
      </c>
      <c r="Y358" s="19">
        <v>0</v>
      </c>
      <c r="Z358" s="277"/>
      <c r="AA358" s="29">
        <f t="shared" si="71"/>
        <v>0</v>
      </c>
      <c r="AB358" s="298">
        <f t="shared" si="72"/>
        <v>0</v>
      </c>
      <c r="AC358" s="3"/>
      <c r="AD358" s="47">
        <v>0.35416666666666669</v>
      </c>
      <c r="AE358" s="47">
        <v>0.20833333333333334</v>
      </c>
      <c r="AF358" s="19">
        <v>7.5</v>
      </c>
      <c r="AG358" s="29">
        <f t="shared" si="73"/>
        <v>7.5</v>
      </c>
      <c r="AH358" s="3"/>
      <c r="AI358" s="227"/>
      <c r="AK358" s="187"/>
      <c r="AL358" s="187"/>
      <c r="AM358" s="187"/>
      <c r="AN358" s="187"/>
      <c r="AO358" s="187"/>
      <c r="AP358" s="187"/>
    </row>
    <row r="359" spans="2:42" s="1" customFormat="1" ht="14.25">
      <c r="B359" s="138" t="s">
        <v>167</v>
      </c>
      <c r="C359" s="12" t="s">
        <v>29</v>
      </c>
      <c r="D359" s="12" t="s">
        <v>29</v>
      </c>
      <c r="E359" s="19">
        <v>8</v>
      </c>
      <c r="F359" s="277"/>
      <c r="G359" s="3"/>
      <c r="H359" s="12" t="s">
        <v>29</v>
      </c>
      <c r="I359" s="12" t="s">
        <v>29</v>
      </c>
      <c r="J359" s="19">
        <v>8</v>
      </c>
      <c r="K359" s="277"/>
      <c r="L359" s="3"/>
      <c r="M359" s="12" t="s">
        <v>29</v>
      </c>
      <c r="N359" s="12" t="s">
        <v>29</v>
      </c>
      <c r="O359" s="19">
        <v>8</v>
      </c>
      <c r="P359" s="277"/>
      <c r="Q359" s="3"/>
      <c r="R359" s="12" t="s">
        <v>29</v>
      </c>
      <c r="S359" s="12" t="s">
        <v>29</v>
      </c>
      <c r="T359" s="19">
        <v>8</v>
      </c>
      <c r="U359" s="277"/>
      <c r="V359" s="3"/>
      <c r="W359" s="12" t="s">
        <v>29</v>
      </c>
      <c r="X359" s="12" t="s">
        <v>29</v>
      </c>
      <c r="Y359" s="19">
        <v>8</v>
      </c>
      <c r="Z359" s="277"/>
      <c r="AA359" s="29">
        <f t="shared" si="71"/>
        <v>40</v>
      </c>
      <c r="AB359" s="298">
        <f t="shared" si="72"/>
        <v>0</v>
      </c>
      <c r="AC359" s="3"/>
      <c r="AD359" s="4">
        <v>0</v>
      </c>
      <c r="AE359" s="4">
        <v>0</v>
      </c>
      <c r="AF359" s="19">
        <v>0</v>
      </c>
      <c r="AG359" s="29">
        <f t="shared" si="73"/>
        <v>0</v>
      </c>
      <c r="AH359" s="3"/>
      <c r="AI359" s="227"/>
      <c r="AK359" s="187"/>
      <c r="AL359" s="187"/>
      <c r="AM359" s="187"/>
      <c r="AN359" s="187"/>
      <c r="AO359" s="187"/>
      <c r="AP359" s="187"/>
    </row>
    <row r="360" spans="2:42" s="1" customFormat="1" ht="14.25">
      <c r="B360" s="138" t="s">
        <v>53</v>
      </c>
      <c r="C360" s="12" t="s">
        <v>29</v>
      </c>
      <c r="D360" s="12" t="s">
        <v>29</v>
      </c>
      <c r="E360" s="19">
        <v>8</v>
      </c>
      <c r="F360" s="277"/>
      <c r="G360" s="3"/>
      <c r="H360" s="12" t="s">
        <v>29</v>
      </c>
      <c r="I360" s="12" t="s">
        <v>29</v>
      </c>
      <c r="J360" s="19">
        <v>8</v>
      </c>
      <c r="K360" s="277"/>
      <c r="L360" s="3"/>
      <c r="M360" s="12" t="s">
        <v>29</v>
      </c>
      <c r="N360" s="12" t="s">
        <v>29</v>
      </c>
      <c r="O360" s="19">
        <v>8</v>
      </c>
      <c r="P360" s="277"/>
      <c r="Q360" s="3"/>
      <c r="R360" s="12" t="s">
        <v>29</v>
      </c>
      <c r="S360" s="12" t="s">
        <v>29</v>
      </c>
      <c r="T360" s="19">
        <v>8</v>
      </c>
      <c r="U360" s="277"/>
      <c r="V360" s="3"/>
      <c r="W360" s="12" t="s">
        <v>29</v>
      </c>
      <c r="X360" s="12" t="s">
        <v>29</v>
      </c>
      <c r="Y360" s="19">
        <v>8</v>
      </c>
      <c r="Z360" s="277"/>
      <c r="AA360" s="29">
        <f t="shared" si="71"/>
        <v>40</v>
      </c>
      <c r="AB360" s="298">
        <f t="shared" si="72"/>
        <v>0</v>
      </c>
      <c r="AC360" s="3"/>
      <c r="AD360" s="4">
        <v>0</v>
      </c>
      <c r="AE360" s="4">
        <v>0</v>
      </c>
      <c r="AF360" s="19">
        <v>0</v>
      </c>
      <c r="AG360" s="29">
        <f t="shared" si="73"/>
        <v>0</v>
      </c>
      <c r="AH360" s="3"/>
      <c r="AI360" s="227"/>
      <c r="AK360" s="187"/>
      <c r="AL360" s="187"/>
      <c r="AM360" s="187"/>
      <c r="AN360" s="187"/>
      <c r="AO360" s="187"/>
      <c r="AP360" s="187"/>
    </row>
    <row r="361" spans="2:42" s="1" customFormat="1" ht="14.25">
      <c r="B361" s="138" t="s">
        <v>57</v>
      </c>
      <c r="C361" s="12" t="s">
        <v>29</v>
      </c>
      <c r="D361" s="12" t="s">
        <v>29</v>
      </c>
      <c r="E361" s="179">
        <v>8</v>
      </c>
      <c r="F361" s="277"/>
      <c r="G361" s="3"/>
      <c r="H361" s="12" t="s">
        <v>29</v>
      </c>
      <c r="I361" s="12" t="s">
        <v>29</v>
      </c>
      <c r="J361" s="179">
        <v>8</v>
      </c>
      <c r="K361" s="277"/>
      <c r="L361" s="3"/>
      <c r="M361" s="12" t="s">
        <v>29</v>
      </c>
      <c r="N361" s="12" t="s">
        <v>29</v>
      </c>
      <c r="O361" s="179">
        <v>8</v>
      </c>
      <c r="P361" s="277"/>
      <c r="Q361" s="3"/>
      <c r="R361" s="12" t="s">
        <v>29</v>
      </c>
      <c r="S361" s="12" t="s">
        <v>29</v>
      </c>
      <c r="T361" s="179">
        <v>8</v>
      </c>
      <c r="U361" s="277"/>
      <c r="V361" s="3"/>
      <c r="W361" s="12" t="s">
        <v>29</v>
      </c>
      <c r="X361" s="12" t="s">
        <v>29</v>
      </c>
      <c r="Y361" s="179">
        <v>8</v>
      </c>
      <c r="Z361" s="277"/>
      <c r="AA361" s="29">
        <f t="shared" si="71"/>
        <v>40</v>
      </c>
      <c r="AB361" s="298">
        <f t="shared" si="72"/>
        <v>0</v>
      </c>
      <c r="AC361" s="3"/>
      <c r="AD361" s="4">
        <v>0</v>
      </c>
      <c r="AE361" s="4">
        <v>0</v>
      </c>
      <c r="AF361" s="19">
        <v>0</v>
      </c>
      <c r="AG361" s="29">
        <f t="shared" si="73"/>
        <v>0</v>
      </c>
      <c r="AH361" s="3"/>
      <c r="AI361" s="227"/>
      <c r="AK361" s="187"/>
      <c r="AL361" s="187"/>
      <c r="AM361" s="187"/>
      <c r="AN361" s="187"/>
      <c r="AO361" s="187"/>
      <c r="AP361" s="187"/>
    </row>
    <row r="362" spans="2:42" s="1" customFormat="1" ht="14.25">
      <c r="B362" s="138" t="s">
        <v>60</v>
      </c>
      <c r="C362" s="12" t="s">
        <v>29</v>
      </c>
      <c r="D362" s="12" t="s">
        <v>29</v>
      </c>
      <c r="E362" s="179">
        <v>8</v>
      </c>
      <c r="F362" s="277"/>
      <c r="G362" s="3"/>
      <c r="H362" s="12" t="s">
        <v>29</v>
      </c>
      <c r="I362" s="12" t="s">
        <v>29</v>
      </c>
      <c r="J362" s="179">
        <v>8</v>
      </c>
      <c r="K362" s="277"/>
      <c r="L362" s="3"/>
      <c r="M362" s="12" t="s">
        <v>29</v>
      </c>
      <c r="N362" s="12" t="s">
        <v>29</v>
      </c>
      <c r="O362" s="179">
        <v>8</v>
      </c>
      <c r="P362" s="277"/>
      <c r="Q362" s="3"/>
      <c r="R362" s="12" t="s">
        <v>29</v>
      </c>
      <c r="S362" s="12" t="s">
        <v>29</v>
      </c>
      <c r="T362" s="179">
        <v>8</v>
      </c>
      <c r="U362" s="277"/>
      <c r="V362" s="3"/>
      <c r="W362" s="12" t="s">
        <v>29</v>
      </c>
      <c r="X362" s="12" t="s">
        <v>29</v>
      </c>
      <c r="Y362" s="179">
        <v>8</v>
      </c>
      <c r="Z362" s="277"/>
      <c r="AA362" s="29">
        <f t="shared" si="71"/>
        <v>40</v>
      </c>
      <c r="AB362" s="298">
        <f t="shared" si="72"/>
        <v>0</v>
      </c>
      <c r="AC362" s="3"/>
      <c r="AD362" s="4">
        <v>0</v>
      </c>
      <c r="AE362" s="4">
        <v>0</v>
      </c>
      <c r="AF362" s="19">
        <v>0</v>
      </c>
      <c r="AG362" s="29">
        <f t="shared" si="73"/>
        <v>0</v>
      </c>
      <c r="AH362" s="3"/>
      <c r="AI362" s="227"/>
      <c r="AK362" s="187"/>
      <c r="AL362" s="188" t="s">
        <v>175</v>
      </c>
      <c r="AM362" s="188" t="s">
        <v>14</v>
      </c>
      <c r="AN362" s="188" t="s">
        <v>176</v>
      </c>
      <c r="AO362" s="187"/>
      <c r="AP362" s="187"/>
    </row>
    <row r="363" spans="2:42" s="1" customFormat="1" ht="14.25">
      <c r="B363" s="64" t="s">
        <v>61</v>
      </c>
      <c r="C363" s="64"/>
      <c r="D363" s="64"/>
      <c r="E363" s="167">
        <f>SUM(E337:E362)</f>
        <v>145.25</v>
      </c>
      <c r="F363" s="277">
        <f>SUM(F337:F360)</f>
        <v>0</v>
      </c>
      <c r="G363" s="64"/>
      <c r="H363" s="64"/>
      <c r="I363" s="64"/>
      <c r="J363" s="167">
        <f>SUM(J337:J362)</f>
        <v>148</v>
      </c>
      <c r="K363" s="277">
        <f>SUM(K337:K360)</f>
        <v>0.25</v>
      </c>
      <c r="L363" s="64"/>
      <c r="M363" s="64"/>
      <c r="N363" s="64"/>
      <c r="O363" s="167">
        <f>SUM(O337:O362)</f>
        <v>142.5</v>
      </c>
      <c r="P363" s="277">
        <f>SUM(P337:P360)</f>
        <v>0</v>
      </c>
      <c r="Q363" s="64"/>
      <c r="R363" s="64"/>
      <c r="S363" s="64"/>
      <c r="T363" s="167">
        <f>SUM(T337:T362)</f>
        <v>160.25</v>
      </c>
      <c r="U363" s="277">
        <f>SUM(U337:U360)</f>
        <v>0.75</v>
      </c>
      <c r="V363" s="64"/>
      <c r="W363" s="64"/>
      <c r="X363" s="64"/>
      <c r="Y363" s="167">
        <f>SUM(Y337:Y362)</f>
        <v>136</v>
      </c>
      <c r="Z363" s="277">
        <f>SUM(Z337:Z360)</f>
        <v>0</v>
      </c>
      <c r="AA363" s="247">
        <f>SUM(AA337:AA362)</f>
        <v>732</v>
      </c>
      <c r="AB363" s="284">
        <f>SUM(AB337:AB360)</f>
        <v>1</v>
      </c>
      <c r="AC363" s="3"/>
      <c r="AD363" s="64"/>
      <c r="AE363" s="64"/>
      <c r="AF363" s="64"/>
      <c r="AG363" s="247">
        <f>SUM(AG337:AG360)</f>
        <v>32.75</v>
      </c>
      <c r="AH363" s="3"/>
      <c r="AI363" s="227"/>
      <c r="AK363" s="193" t="s">
        <v>177</v>
      </c>
      <c r="AL363" s="189">
        <f>SUM(J363,O363,T363,Y363)</f>
        <v>586.75</v>
      </c>
      <c r="AM363" s="189">
        <f>K363+U363</f>
        <v>1</v>
      </c>
      <c r="AN363" s="196">
        <f>AG363</f>
        <v>32.75</v>
      </c>
      <c r="AO363" s="187"/>
      <c r="AP363" s="187"/>
    </row>
    <row r="364" spans="2:42" s="1" customFormat="1" ht="14.25">
      <c r="B364" s="63" t="s">
        <v>62</v>
      </c>
      <c r="C364" s="57"/>
      <c r="D364" s="57"/>
      <c r="E364" s="19">
        <v>8</v>
      </c>
      <c r="F364" s="291"/>
      <c r="G364" s="60"/>
      <c r="H364" s="56"/>
      <c r="I364" s="56"/>
      <c r="J364" s="19">
        <v>8</v>
      </c>
      <c r="K364" s="291"/>
      <c r="L364" s="60"/>
      <c r="M364" s="56"/>
      <c r="N364" s="56"/>
      <c r="O364" s="19">
        <v>8</v>
      </c>
      <c r="P364" s="291"/>
      <c r="Q364" s="60"/>
      <c r="R364" s="56"/>
      <c r="S364" s="56"/>
      <c r="T364" s="19">
        <v>8</v>
      </c>
      <c r="U364" s="291"/>
      <c r="V364" s="60"/>
      <c r="W364" s="56"/>
      <c r="X364" s="56"/>
      <c r="Y364" s="19">
        <v>8</v>
      </c>
      <c r="Z364" s="291"/>
      <c r="AA364" s="28">
        <f>SUM(E364+J364+O364+T364+Y364)</f>
        <v>40</v>
      </c>
      <c r="AB364" s="282">
        <f>Z364+U364+P364+K364+F364</f>
        <v>0</v>
      </c>
      <c r="AC364" s="3"/>
      <c r="AD364" s="56"/>
      <c r="AE364" s="56"/>
      <c r="AF364" s="19"/>
      <c r="AG364" s="29">
        <v>0</v>
      </c>
      <c r="AH364" s="3"/>
      <c r="AI364" s="227"/>
      <c r="AK364" s="193" t="s">
        <v>178</v>
      </c>
      <c r="AL364" s="189">
        <f>J368+O368+T368+Y368</f>
        <v>112</v>
      </c>
      <c r="AM364" s="196">
        <f>K366+P366+U366+Z366</f>
        <v>7</v>
      </c>
      <c r="AN364" s="196">
        <v>1</v>
      </c>
      <c r="AO364" s="187"/>
      <c r="AP364" s="187"/>
    </row>
    <row r="365" spans="2:42" s="1" customFormat="1">
      <c r="B365" s="63" t="s">
        <v>63</v>
      </c>
      <c r="C365" s="56"/>
      <c r="D365" s="56"/>
      <c r="E365" s="19">
        <v>8</v>
      </c>
      <c r="F365" s="291"/>
      <c r="G365" s="60"/>
      <c r="H365" s="56"/>
      <c r="I365" s="56"/>
      <c r="J365" s="19">
        <v>8</v>
      </c>
      <c r="K365" s="291"/>
      <c r="L365" s="60"/>
      <c r="M365" s="56"/>
      <c r="N365" s="56"/>
      <c r="O365" s="19">
        <v>8</v>
      </c>
      <c r="P365" s="291"/>
      <c r="Q365" s="60"/>
      <c r="R365" s="56"/>
      <c r="S365" s="56"/>
      <c r="T365" s="19">
        <v>8</v>
      </c>
      <c r="U365" s="291"/>
      <c r="V365" s="60"/>
      <c r="W365" s="56"/>
      <c r="X365" s="56"/>
      <c r="Y365" s="19">
        <v>8</v>
      </c>
      <c r="Z365" s="291"/>
      <c r="AA365" s="28">
        <f t="shared" ref="AA365:AA367" si="74">SUM(E365+J365+O365+T365+Y365)</f>
        <v>40</v>
      </c>
      <c r="AB365" s="282">
        <f t="shared" ref="AB365" si="75">Z365+U365+P365+K365+F365</f>
        <v>0</v>
      </c>
      <c r="AC365" s="3"/>
      <c r="AD365" s="56"/>
      <c r="AE365" s="56"/>
      <c r="AF365" s="19"/>
      <c r="AG365" s="29">
        <f>AF365</f>
        <v>0</v>
      </c>
      <c r="AH365" s="3"/>
      <c r="AI365" s="227"/>
      <c r="AK365" s="187" t="s">
        <v>182</v>
      </c>
      <c r="AL365" s="187">
        <v>72</v>
      </c>
      <c r="AM365" s="187"/>
      <c r="AN365" s="187"/>
      <c r="AO365" s="187"/>
      <c r="AP365" s="187"/>
    </row>
    <row r="366" spans="2:42" s="1" customFormat="1">
      <c r="B366" s="63" t="s">
        <v>64</v>
      </c>
      <c r="C366" s="56"/>
      <c r="D366" s="56"/>
      <c r="E366" s="19">
        <v>8</v>
      </c>
      <c r="F366" s="291">
        <v>0.75</v>
      </c>
      <c r="G366" s="60"/>
      <c r="H366" s="56"/>
      <c r="I366" s="56"/>
      <c r="J366" s="19">
        <v>8</v>
      </c>
      <c r="K366" s="291">
        <v>2</v>
      </c>
      <c r="L366" s="60"/>
      <c r="M366" s="56"/>
      <c r="N366" s="56"/>
      <c r="O366" s="19">
        <v>8</v>
      </c>
      <c r="P366" s="291">
        <v>2</v>
      </c>
      <c r="Q366" s="60"/>
      <c r="R366" s="56"/>
      <c r="S366" s="56"/>
      <c r="T366" s="19">
        <v>8</v>
      </c>
      <c r="U366" s="291">
        <v>2</v>
      </c>
      <c r="V366" s="60"/>
      <c r="W366" s="56"/>
      <c r="X366" s="56"/>
      <c r="Y366" s="19">
        <v>8</v>
      </c>
      <c r="Z366" s="291">
        <v>1</v>
      </c>
      <c r="AA366" s="28">
        <f t="shared" si="74"/>
        <v>40</v>
      </c>
      <c r="AB366" s="282">
        <f>Z366+U366+P366+K366+F366</f>
        <v>7.75</v>
      </c>
      <c r="AC366" s="3"/>
      <c r="AD366" s="56"/>
      <c r="AE366" s="56"/>
      <c r="AF366" s="19">
        <v>1</v>
      </c>
      <c r="AG366" s="29">
        <f>AF366</f>
        <v>1</v>
      </c>
      <c r="AH366" s="3"/>
      <c r="AI366" s="227"/>
      <c r="AK366" s="187"/>
      <c r="AL366" s="187"/>
      <c r="AM366" s="187"/>
      <c r="AN366" s="187"/>
      <c r="AO366" s="187"/>
      <c r="AP366" s="187"/>
    </row>
    <row r="367" spans="2:42" s="1" customFormat="1" ht="14.25" thickBot="1">
      <c r="B367" s="268" t="s">
        <v>65</v>
      </c>
      <c r="C367" s="75"/>
      <c r="D367" s="75"/>
      <c r="E367" s="77">
        <v>4</v>
      </c>
      <c r="F367" s="292"/>
      <c r="G367" s="81"/>
      <c r="H367" s="75"/>
      <c r="I367" s="75"/>
      <c r="J367" s="77">
        <v>4</v>
      </c>
      <c r="K367" s="292"/>
      <c r="L367" s="81"/>
      <c r="M367" s="75"/>
      <c r="N367" s="75"/>
      <c r="O367" s="77">
        <v>4</v>
      </c>
      <c r="P367" s="292"/>
      <c r="Q367" s="81"/>
      <c r="R367" s="75"/>
      <c r="S367" s="75"/>
      <c r="T367" s="77">
        <v>4</v>
      </c>
      <c r="U367" s="292"/>
      <c r="V367" s="81"/>
      <c r="W367" s="75"/>
      <c r="X367" s="75"/>
      <c r="Y367" s="77">
        <v>4</v>
      </c>
      <c r="Z367" s="292"/>
      <c r="AA367" s="80">
        <f t="shared" si="74"/>
        <v>20</v>
      </c>
      <c r="AB367" s="287">
        <f t="shared" ref="AB367" si="76">Z367+U367+P367+K367+F367</f>
        <v>0</v>
      </c>
      <c r="AC367" s="3"/>
      <c r="AD367" s="75"/>
      <c r="AE367" s="75"/>
      <c r="AF367" s="77"/>
      <c r="AG367" s="276">
        <v>0</v>
      </c>
      <c r="AH367" s="3"/>
      <c r="AI367" s="227"/>
      <c r="AK367" s="187" t="s">
        <v>177</v>
      </c>
      <c r="AL367" s="336">
        <f>AL363+AL376+AL416</f>
        <v>1991</v>
      </c>
      <c r="AM367" s="337">
        <f>AM363+AL377</f>
        <v>3.5</v>
      </c>
      <c r="AN367" s="336">
        <f>AN363+AG403</f>
        <v>44.75</v>
      </c>
      <c r="AO367" s="335">
        <f>AM367+AN367</f>
        <v>48.25</v>
      </c>
      <c r="AP367" s="187"/>
    </row>
    <row r="368" spans="2:42" s="1" customFormat="1" ht="14.25" thickTop="1">
      <c r="B368" s="71" t="s">
        <v>66</v>
      </c>
      <c r="C368" s="68"/>
      <c r="D368" s="68"/>
      <c r="E368" s="71">
        <f>SUM(E364:E367)</f>
        <v>28</v>
      </c>
      <c r="F368" s="72"/>
      <c r="G368" s="72"/>
      <c r="H368" s="68"/>
      <c r="I368" s="68"/>
      <c r="J368" s="71">
        <f>SUM(J364:J367)</f>
        <v>28</v>
      </c>
      <c r="K368" s="72"/>
      <c r="L368" s="72"/>
      <c r="M368" s="68"/>
      <c r="N368" s="68"/>
      <c r="O368" s="71">
        <f>SUM(O364:O367)</f>
        <v>28</v>
      </c>
      <c r="P368" s="72"/>
      <c r="Q368" s="72"/>
      <c r="R368" s="68"/>
      <c r="S368" s="68"/>
      <c r="T368" s="71">
        <f>SUM(T364:T367)</f>
        <v>28</v>
      </c>
      <c r="U368" s="72"/>
      <c r="V368" s="72"/>
      <c r="W368" s="68"/>
      <c r="X368" s="68"/>
      <c r="Y368" s="71">
        <f>SUM(Y364:Y367)</f>
        <v>28</v>
      </c>
      <c r="Z368" s="72"/>
      <c r="AA368" s="247">
        <f>SUM(AA364:AA367)</f>
        <v>140</v>
      </c>
      <c r="AB368" s="247">
        <f>SUM(AB364:AB367)</f>
        <v>7.75</v>
      </c>
      <c r="AC368" s="3"/>
      <c r="AG368" s="247">
        <f>SUM(AG366:AG367)</f>
        <v>1</v>
      </c>
      <c r="AH368" s="3"/>
      <c r="AI368" s="227"/>
      <c r="AK368" s="187" t="s">
        <v>178</v>
      </c>
      <c r="AL368" s="336">
        <f>AL364+AL379+AL419</f>
        <v>376</v>
      </c>
      <c r="AM368" s="336">
        <f>AM364+AL380+AL420</f>
        <v>24.5</v>
      </c>
      <c r="AN368" s="336">
        <f>AN364+AL381+AL421</f>
        <v>3</v>
      </c>
      <c r="AO368" s="187"/>
      <c r="AP368" s="187"/>
    </row>
    <row r="369" spans="1:42" s="1" customFormat="1" ht="13.5" customHeight="1">
      <c r="A369" s="11"/>
      <c r="B369" s="217" t="s">
        <v>67</v>
      </c>
      <c r="C369" s="207">
        <f>C370+C371</f>
        <v>87</v>
      </c>
      <c r="D369" s="208"/>
      <c r="E369" s="209"/>
      <c r="F369" s="209"/>
      <c r="G369" s="208"/>
      <c r="H369" s="209"/>
      <c r="I369" s="209"/>
      <c r="J369" s="209"/>
      <c r="K369" s="209"/>
      <c r="L369" s="208"/>
      <c r="M369" s="208"/>
      <c r="N369" s="208"/>
      <c r="O369" s="208"/>
      <c r="P369" s="209"/>
      <c r="Q369" s="208"/>
      <c r="R369" s="208"/>
      <c r="S369" s="208"/>
      <c r="T369" s="208"/>
      <c r="U369" s="209"/>
      <c r="V369" s="208"/>
      <c r="W369" s="208"/>
      <c r="X369" s="208"/>
      <c r="Y369" s="210"/>
      <c r="Z369" s="209"/>
      <c r="AA369" s="211"/>
      <c r="AB369" s="209"/>
      <c r="AC369" s="211"/>
      <c r="AD369" s="211"/>
      <c r="AE369" s="211"/>
      <c r="AF369" s="211"/>
      <c r="AG369" s="211"/>
      <c r="AH369" s="3"/>
      <c r="AI369" s="227"/>
      <c r="AK369" s="187" t="s">
        <v>182</v>
      </c>
      <c r="AL369" s="338">
        <f>AL365+AL383+AL423</f>
        <v>251</v>
      </c>
      <c r="AM369" s="187"/>
      <c r="AN369" s="187"/>
      <c r="AO369" s="187"/>
      <c r="AP369" s="187"/>
    </row>
    <row r="370" spans="1:42" s="1" customFormat="1" ht="13.5" customHeight="1">
      <c r="A370" s="11"/>
      <c r="B370" s="238" t="s">
        <v>68</v>
      </c>
      <c r="C370" s="239">
        <f>15+15+11+14+12</f>
        <v>67</v>
      </c>
      <c r="D370" s="208"/>
      <c r="E370" s="209"/>
      <c r="F370" s="209"/>
      <c r="G370" s="208"/>
      <c r="H370" s="209"/>
      <c r="I370" s="209"/>
      <c r="J370" s="209"/>
      <c r="K370" s="209"/>
      <c r="L370" s="208"/>
      <c r="M370" s="208"/>
      <c r="N370" s="208"/>
      <c r="O370" s="208"/>
      <c r="P370" s="209"/>
      <c r="Q370" s="208"/>
      <c r="R370" s="208"/>
      <c r="S370" s="208"/>
      <c r="T370" s="208"/>
      <c r="U370" s="209"/>
      <c r="V370" s="208"/>
      <c r="W370" s="208"/>
      <c r="X370" s="208"/>
      <c r="Y370" s="210"/>
      <c r="Z370" s="209"/>
      <c r="AA370" s="211"/>
      <c r="AB370" s="209"/>
      <c r="AC370" s="211"/>
      <c r="AD370" s="211"/>
      <c r="AE370" s="211"/>
      <c r="AF370" s="211"/>
      <c r="AG370" s="211"/>
      <c r="AH370" s="3"/>
      <c r="AI370" s="227"/>
      <c r="AK370" s="187"/>
      <c r="AL370" s="187"/>
      <c r="AM370" s="187"/>
      <c r="AN370" s="187"/>
      <c r="AO370" s="187"/>
      <c r="AP370" s="187"/>
    </row>
    <row r="371" spans="1:42" s="1" customFormat="1" ht="13.5" customHeight="1">
      <c r="A371" s="11"/>
      <c r="B371" s="238" t="s">
        <v>69</v>
      </c>
      <c r="C371" s="239">
        <f>9+7+4</f>
        <v>20</v>
      </c>
      <c r="D371" s="208"/>
      <c r="E371" s="209"/>
      <c r="F371" s="209"/>
      <c r="G371" s="208"/>
      <c r="H371" s="209"/>
      <c r="I371" s="209"/>
      <c r="J371" s="209"/>
      <c r="K371" s="209"/>
      <c r="L371" s="208"/>
      <c r="M371" s="208"/>
      <c r="N371" s="208"/>
      <c r="O371" s="208"/>
      <c r="P371" s="209"/>
      <c r="Q371" s="208"/>
      <c r="R371" s="208"/>
      <c r="S371" s="208"/>
      <c r="T371" s="208"/>
      <c r="U371" s="209"/>
      <c r="V371" s="208"/>
      <c r="W371" s="208"/>
      <c r="X371" s="208"/>
      <c r="Y371" s="210"/>
      <c r="Z371" s="209"/>
      <c r="AA371" s="211"/>
      <c r="AB371" s="209"/>
      <c r="AC371" s="211"/>
      <c r="AD371" s="211"/>
      <c r="AE371" s="211"/>
      <c r="AF371" s="211"/>
      <c r="AG371" s="211"/>
      <c r="AH371" s="3"/>
      <c r="AI371" s="227"/>
      <c r="AK371" s="187"/>
      <c r="AL371" s="187"/>
      <c r="AM371" s="187"/>
      <c r="AN371" s="187"/>
      <c r="AO371" s="187"/>
      <c r="AP371" s="187"/>
    </row>
    <row r="372" spans="1:42" s="1" customFormat="1" ht="4.5" customHeight="1">
      <c r="A372" s="11"/>
      <c r="B372" s="218"/>
      <c r="C372" s="219"/>
      <c r="D372" s="220"/>
      <c r="E372" s="221"/>
      <c r="F372" s="221"/>
      <c r="G372" s="220"/>
      <c r="H372" s="221"/>
      <c r="I372" s="221"/>
      <c r="J372" s="221"/>
      <c r="K372" s="221"/>
      <c r="L372" s="220"/>
      <c r="M372" s="220"/>
      <c r="N372" s="220"/>
      <c r="O372" s="220"/>
      <c r="P372" s="221"/>
      <c r="Q372" s="220"/>
      <c r="R372" s="220"/>
      <c r="S372" s="220"/>
      <c r="T372" s="220"/>
      <c r="U372" s="221"/>
      <c r="V372" s="220"/>
      <c r="W372" s="220"/>
      <c r="X372" s="220"/>
      <c r="Y372" s="222"/>
      <c r="Z372" s="221"/>
      <c r="AA372" s="223"/>
      <c r="AB372" s="221"/>
      <c r="AC372" s="3"/>
      <c r="AD372" s="168"/>
      <c r="AH372" s="3"/>
      <c r="AI372" s="227"/>
      <c r="AK372" s="187"/>
      <c r="AL372" s="187"/>
      <c r="AM372" s="187"/>
      <c r="AN372" s="187"/>
      <c r="AO372" s="187"/>
      <c r="AP372" s="187"/>
    </row>
    <row r="373" spans="1:42" s="227" customFormat="1" ht="4.5" customHeight="1">
      <c r="A373" s="228"/>
      <c r="B373" s="229"/>
      <c r="C373" s="230"/>
      <c r="D373" s="231"/>
      <c r="E373" s="232"/>
      <c r="F373" s="232"/>
      <c r="G373" s="231"/>
      <c r="H373" s="232"/>
      <c r="I373" s="232"/>
      <c r="J373" s="232"/>
      <c r="K373" s="232"/>
      <c r="L373" s="231"/>
      <c r="M373" s="231"/>
      <c r="N373" s="231"/>
      <c r="O373" s="231"/>
      <c r="P373" s="232"/>
      <c r="Q373" s="231"/>
      <c r="R373" s="231"/>
      <c r="S373" s="231"/>
      <c r="T373" s="231"/>
      <c r="U373" s="232"/>
      <c r="V373" s="231"/>
      <c r="W373" s="231"/>
      <c r="X373" s="231"/>
      <c r="Y373" s="233"/>
      <c r="Z373" s="232"/>
      <c r="AA373" s="234"/>
      <c r="AB373" s="232"/>
      <c r="AC373" s="235"/>
      <c r="AD373" s="236"/>
      <c r="AH373" s="235"/>
    </row>
    <row r="374" spans="1:42" s="187" customFormat="1" ht="4.5" customHeight="1">
      <c r="A374" s="224"/>
      <c r="B374" s="214"/>
      <c r="C374" s="215"/>
      <c r="D374" s="215"/>
      <c r="E374" s="214"/>
      <c r="F374" s="214"/>
      <c r="G374" s="215"/>
      <c r="H374" s="214"/>
      <c r="I374" s="214"/>
      <c r="J374" s="214"/>
      <c r="K374" s="214"/>
      <c r="L374" s="215"/>
      <c r="M374" s="215"/>
      <c r="N374" s="215"/>
      <c r="O374" s="215"/>
      <c r="P374" s="214"/>
      <c r="Q374" s="215"/>
      <c r="R374" s="215"/>
      <c r="S374" s="215"/>
      <c r="T374" s="215"/>
      <c r="U374" s="214"/>
      <c r="V374" s="215"/>
      <c r="W374" s="215"/>
      <c r="X374" s="215"/>
      <c r="Y374" s="216"/>
      <c r="Z374" s="214"/>
      <c r="AA374" s="225"/>
      <c r="AB374" s="214"/>
      <c r="AC374" s="226"/>
      <c r="AH374" s="226"/>
      <c r="AI374" s="227"/>
    </row>
    <row r="375" spans="1:42" s="1" customFormat="1">
      <c r="B375" s="1518" t="s">
        <v>18</v>
      </c>
      <c r="C375" s="1524">
        <v>45152</v>
      </c>
      <c r="D375" s="1524"/>
      <c r="E375" s="1524"/>
      <c r="F375" s="1524"/>
      <c r="G375" s="22"/>
      <c r="H375" s="1524">
        <v>45153</v>
      </c>
      <c r="I375" s="1524"/>
      <c r="J375" s="1524"/>
      <c r="K375" s="1524"/>
      <c r="L375" s="22"/>
      <c r="M375" s="1524">
        <v>45154</v>
      </c>
      <c r="N375" s="1524"/>
      <c r="O375" s="1524"/>
      <c r="P375" s="1524"/>
      <c r="Q375" s="22"/>
      <c r="R375" s="1524">
        <v>45155</v>
      </c>
      <c r="S375" s="1524"/>
      <c r="T375" s="1524"/>
      <c r="U375" s="1524"/>
      <c r="V375" s="22"/>
      <c r="W375" s="1524">
        <v>45156</v>
      </c>
      <c r="X375" s="1524"/>
      <c r="Y375" s="1524"/>
      <c r="Z375" s="1524"/>
      <c r="AA375" s="1517" t="s">
        <v>19</v>
      </c>
      <c r="AB375" s="1517" t="s">
        <v>20</v>
      </c>
      <c r="AC375" s="3"/>
      <c r="AD375" s="1524">
        <v>45157</v>
      </c>
      <c r="AE375" s="1524"/>
      <c r="AF375" s="1524"/>
      <c r="AG375" s="1517" t="s">
        <v>21</v>
      </c>
      <c r="AH375" s="3"/>
      <c r="AI375" s="227"/>
      <c r="AK375" s="194" t="s">
        <v>179</v>
      </c>
      <c r="AL375" s="195"/>
      <c r="AM375" s="195"/>
      <c r="AN375" s="195"/>
      <c r="AO375" s="195"/>
      <c r="AP375" s="195"/>
    </row>
    <row r="376" spans="1:42" s="176" customFormat="1" ht="14.25">
      <c r="B376" s="1518"/>
      <c r="C376" s="21" t="s">
        <v>23</v>
      </c>
      <c r="D376" s="21" t="s">
        <v>24</v>
      </c>
      <c r="E376" s="205" t="s">
        <v>25</v>
      </c>
      <c r="F376" s="18" t="s">
        <v>14</v>
      </c>
      <c r="G376" s="3"/>
      <c r="H376" s="21" t="s">
        <v>23</v>
      </c>
      <c r="I376" s="21" t="s">
        <v>24</v>
      </c>
      <c r="J376" s="18" t="s">
        <v>25</v>
      </c>
      <c r="K376" s="18" t="s">
        <v>14</v>
      </c>
      <c r="L376" s="3"/>
      <c r="M376" s="21" t="s">
        <v>23</v>
      </c>
      <c r="N376" s="21" t="s">
        <v>24</v>
      </c>
      <c r="O376" s="18" t="s">
        <v>25</v>
      </c>
      <c r="P376" s="18" t="s">
        <v>14</v>
      </c>
      <c r="Q376" s="3"/>
      <c r="R376" s="21" t="s">
        <v>23</v>
      </c>
      <c r="S376" s="21" t="s">
        <v>24</v>
      </c>
      <c r="T376" s="18" t="s">
        <v>25</v>
      </c>
      <c r="U376" s="18" t="s">
        <v>14</v>
      </c>
      <c r="V376" s="3"/>
      <c r="W376" s="21" t="s">
        <v>23</v>
      </c>
      <c r="X376" s="21" t="s">
        <v>24</v>
      </c>
      <c r="Y376" s="18" t="s">
        <v>25</v>
      </c>
      <c r="Z376" s="18" t="s">
        <v>14</v>
      </c>
      <c r="AA376" s="1523"/>
      <c r="AB376" s="1517"/>
      <c r="AC376" s="3"/>
      <c r="AD376" s="21" t="s">
        <v>23</v>
      </c>
      <c r="AE376" s="21" t="s">
        <v>24</v>
      </c>
      <c r="AF376" s="18" t="s">
        <v>25</v>
      </c>
      <c r="AG376" s="1523"/>
      <c r="AH376" s="174"/>
      <c r="AI376" s="257"/>
      <c r="AK376" s="188" t="s">
        <v>26</v>
      </c>
      <c r="AL376" s="196">
        <f>AA403</f>
        <v>803.5</v>
      </c>
      <c r="AM376" s="187"/>
      <c r="AN376" s="187"/>
      <c r="AO376" s="187"/>
      <c r="AP376" s="187"/>
    </row>
    <row r="377" spans="1:42" s="176" customFormat="1" ht="14.25">
      <c r="B377" s="171" t="s">
        <v>46</v>
      </c>
      <c r="C377" s="47">
        <v>0.32291666666666669</v>
      </c>
      <c r="D377" s="47">
        <v>0.20833333333333334</v>
      </c>
      <c r="E377" s="19">
        <v>8</v>
      </c>
      <c r="F377" s="277">
        <v>0.25</v>
      </c>
      <c r="G377" s="174"/>
      <c r="H377" s="172">
        <v>0.35416666666666669</v>
      </c>
      <c r="I377" s="172">
        <v>0.20833333333333334</v>
      </c>
      <c r="J377" s="173">
        <v>7.5</v>
      </c>
      <c r="K377" s="277"/>
      <c r="L377" s="174"/>
      <c r="M377" s="172">
        <v>0.35416666666666669</v>
      </c>
      <c r="N377" s="172">
        <v>0.20833333333333334</v>
      </c>
      <c r="O377" s="173">
        <v>7.5</v>
      </c>
      <c r="P377" s="277"/>
      <c r="Q377" s="174"/>
      <c r="R377" s="172">
        <v>0.34375</v>
      </c>
      <c r="S377" s="172">
        <v>0.20833333333333334</v>
      </c>
      <c r="T377" s="173">
        <v>7.75</v>
      </c>
      <c r="U377" s="277"/>
      <c r="V377" s="174"/>
      <c r="W377" s="172">
        <v>0.35416666666666669</v>
      </c>
      <c r="X377" s="172">
        <v>0.20833333333333334</v>
      </c>
      <c r="Y377" s="173">
        <v>7.5</v>
      </c>
      <c r="Z377" s="277"/>
      <c r="AA377" s="28">
        <f t="shared" ref="AA377:AA402" si="77">(E377+J377+O377+T377+Y377)</f>
        <v>38.25</v>
      </c>
      <c r="AB377" s="298">
        <f t="shared" ref="AB377:AB402" si="78">Z377+U377+P377+K377+F377</f>
        <v>0.25</v>
      </c>
      <c r="AC377" s="174"/>
      <c r="AD377" s="175">
        <v>0</v>
      </c>
      <c r="AE377" s="175">
        <v>0</v>
      </c>
      <c r="AF377" s="173">
        <v>0</v>
      </c>
      <c r="AG377" s="183">
        <f t="shared" ref="AG377:AG396" si="79">AF377</f>
        <v>0</v>
      </c>
      <c r="AH377" s="174"/>
      <c r="AI377" s="257"/>
      <c r="AK377" s="188" t="s">
        <v>30</v>
      </c>
      <c r="AL377" s="199">
        <f>AB403</f>
        <v>2.5</v>
      </c>
      <c r="AM377" s="187"/>
      <c r="AN377" s="187"/>
      <c r="AO377" s="187"/>
      <c r="AP377" s="187"/>
    </row>
    <row r="378" spans="1:42" s="176" customFormat="1" ht="14.25">
      <c r="B378" s="171" t="s">
        <v>47</v>
      </c>
      <c r="C378" s="177">
        <v>0.3125</v>
      </c>
      <c r="D378" s="47">
        <v>0.20833333333333334</v>
      </c>
      <c r="E378" s="173">
        <v>8</v>
      </c>
      <c r="F378" s="277">
        <v>0.5</v>
      </c>
      <c r="G378" s="174"/>
      <c r="H378" s="315">
        <v>0.33333333333333331</v>
      </c>
      <c r="I378" s="47">
        <v>0.20833333333333334</v>
      </c>
      <c r="J378" s="173">
        <v>8</v>
      </c>
      <c r="K378" s="277"/>
      <c r="L378" s="174"/>
      <c r="M378" s="172">
        <v>0.3125</v>
      </c>
      <c r="N378" s="172">
        <v>0.20833333333333334</v>
      </c>
      <c r="O378" s="173">
        <v>8</v>
      </c>
      <c r="P378" s="277">
        <v>0.5</v>
      </c>
      <c r="Q378" s="174"/>
      <c r="R378" s="172">
        <v>0.3125</v>
      </c>
      <c r="S378" s="172">
        <v>0.20833333333333334</v>
      </c>
      <c r="T378" s="173">
        <v>8</v>
      </c>
      <c r="U378" s="277">
        <v>0.5</v>
      </c>
      <c r="V378" s="174"/>
      <c r="W378" s="172">
        <v>0.39583333333333331</v>
      </c>
      <c r="X378" s="172">
        <v>0.20833333333333334</v>
      </c>
      <c r="Y378" s="173">
        <v>6.5</v>
      </c>
      <c r="Z378" s="277"/>
      <c r="AA378" s="28">
        <f t="shared" si="77"/>
        <v>38.5</v>
      </c>
      <c r="AB378" s="298">
        <f>Z378+U378+P378+K378+F378</f>
        <v>1.5</v>
      </c>
      <c r="AC378" s="174"/>
      <c r="AD378" s="175">
        <v>0</v>
      </c>
      <c r="AE378" s="175">
        <v>0</v>
      </c>
      <c r="AF378" s="173">
        <v>0</v>
      </c>
      <c r="AG378" s="28">
        <f t="shared" si="79"/>
        <v>0</v>
      </c>
      <c r="AH378" s="174"/>
      <c r="AI378" s="257"/>
      <c r="AK378" s="188" t="s">
        <v>32</v>
      </c>
      <c r="AL378" s="190">
        <f>AG403</f>
        <v>12</v>
      </c>
      <c r="AM378" s="187"/>
      <c r="AN378" s="187"/>
      <c r="AO378" s="187"/>
      <c r="AP378" s="187"/>
    </row>
    <row r="379" spans="1:42" s="176" customFormat="1" ht="14.25">
      <c r="B379" s="171" t="s">
        <v>31</v>
      </c>
      <c r="C379" s="172">
        <v>0.34375</v>
      </c>
      <c r="D379" s="47">
        <v>0.20833333333333334</v>
      </c>
      <c r="E379" s="173">
        <v>7.75</v>
      </c>
      <c r="F379" s="277"/>
      <c r="G379" s="174"/>
      <c r="H379" s="315">
        <v>0.35416666666666669</v>
      </c>
      <c r="I379" s="47">
        <v>0.20833333333333334</v>
      </c>
      <c r="J379" s="173">
        <v>7.5</v>
      </c>
      <c r="K379" s="277"/>
      <c r="L379" s="174"/>
      <c r="M379" s="172">
        <v>0.35416666666666669</v>
      </c>
      <c r="N379" s="172">
        <v>0.20833333333333334</v>
      </c>
      <c r="O379" s="173">
        <v>7.5</v>
      </c>
      <c r="P379" s="277"/>
      <c r="Q379" s="174"/>
      <c r="R379" s="172">
        <v>0.35416666666666669</v>
      </c>
      <c r="S379" s="172">
        <v>0.20833333333333334</v>
      </c>
      <c r="T379" s="173">
        <v>7.5</v>
      </c>
      <c r="U379" s="277"/>
      <c r="V379" s="174"/>
      <c r="W379" s="172">
        <v>0.36458333333333331</v>
      </c>
      <c r="X379" s="172">
        <v>0.20833333333333334</v>
      </c>
      <c r="Y379" s="173">
        <v>7.25</v>
      </c>
      <c r="Z379" s="277"/>
      <c r="AA379" s="28">
        <f t="shared" si="77"/>
        <v>37.5</v>
      </c>
      <c r="AB379" s="298">
        <f t="shared" si="78"/>
        <v>0</v>
      </c>
      <c r="AC379" s="174"/>
      <c r="AD379" s="175">
        <v>0</v>
      </c>
      <c r="AE379" s="175">
        <v>0</v>
      </c>
      <c r="AF379" s="173">
        <v>0</v>
      </c>
      <c r="AG379" s="28">
        <f t="shared" si="79"/>
        <v>0</v>
      </c>
      <c r="AH379" s="174"/>
      <c r="AI379" s="257"/>
      <c r="AK379" s="188" t="s">
        <v>34</v>
      </c>
      <c r="AL379" s="196">
        <f>AA408</f>
        <v>124</v>
      </c>
      <c r="AM379" s="187"/>
      <c r="AN379" s="187"/>
      <c r="AO379" s="187"/>
      <c r="AP379" s="187"/>
    </row>
    <row r="380" spans="1:42" s="1" customFormat="1" ht="14.25">
      <c r="B380" s="171" t="s">
        <v>33</v>
      </c>
      <c r="C380" s="172">
        <v>0.33333333333333331</v>
      </c>
      <c r="D380" s="47">
        <v>0.20833333333333334</v>
      </c>
      <c r="E380" s="173">
        <v>8</v>
      </c>
      <c r="F380" s="277"/>
      <c r="G380" s="174"/>
      <c r="H380" s="172">
        <v>0.33333333333333331</v>
      </c>
      <c r="I380" s="47">
        <v>0.20833333333333334</v>
      </c>
      <c r="J380" s="173">
        <v>8</v>
      </c>
      <c r="K380" s="277"/>
      <c r="L380" s="174"/>
      <c r="M380" s="172">
        <v>0.33333333333333331</v>
      </c>
      <c r="N380" s="172">
        <v>0.20833333333333334</v>
      </c>
      <c r="O380" s="173">
        <v>7</v>
      </c>
      <c r="P380" s="277"/>
      <c r="Q380" s="174"/>
      <c r="R380" s="172">
        <v>0.34375</v>
      </c>
      <c r="S380" s="172">
        <v>0.20833333333333334</v>
      </c>
      <c r="T380" s="173">
        <v>7.75</v>
      </c>
      <c r="U380" s="277"/>
      <c r="V380" s="174"/>
      <c r="W380" s="172">
        <v>0.35416666666666669</v>
      </c>
      <c r="X380" s="172">
        <v>0.20833333333333334</v>
      </c>
      <c r="Y380" s="173">
        <v>7.5</v>
      </c>
      <c r="Z380" s="277"/>
      <c r="AA380" s="28">
        <f t="shared" si="77"/>
        <v>38.25</v>
      </c>
      <c r="AB380" s="298">
        <f t="shared" si="78"/>
        <v>0</v>
      </c>
      <c r="AC380" s="174"/>
      <c r="AD380" s="175">
        <v>0</v>
      </c>
      <c r="AE380" s="175">
        <v>0</v>
      </c>
      <c r="AF380" s="173">
        <v>0</v>
      </c>
      <c r="AG380" s="28">
        <f t="shared" si="79"/>
        <v>0</v>
      </c>
      <c r="AH380" s="3"/>
      <c r="AI380" s="227"/>
      <c r="AK380" s="188" t="s">
        <v>36</v>
      </c>
      <c r="AL380" s="196">
        <f>AB408</f>
        <v>8.25</v>
      </c>
      <c r="AM380" s="187"/>
      <c r="AN380" s="187"/>
      <c r="AO380" s="187"/>
      <c r="AP380" s="187"/>
    </row>
    <row r="381" spans="1:42" s="176" customFormat="1" ht="14.25">
      <c r="B381" s="318" t="s">
        <v>142</v>
      </c>
      <c r="C381" s="331">
        <v>0.4375</v>
      </c>
      <c r="D381" s="47">
        <v>0.20833333333333334</v>
      </c>
      <c r="E381" s="319">
        <v>5.5</v>
      </c>
      <c r="F381" s="320"/>
      <c r="G381" s="3"/>
      <c r="H381" s="326">
        <v>0.47916666666666669</v>
      </c>
      <c r="I381" s="47">
        <v>0.20833333333333334</v>
      </c>
      <c r="J381" s="319">
        <v>5</v>
      </c>
      <c r="K381" s="320"/>
      <c r="L381" s="3"/>
      <c r="M381" s="4">
        <v>0</v>
      </c>
      <c r="N381" s="4">
        <v>0</v>
      </c>
      <c r="O381" s="319">
        <v>0</v>
      </c>
      <c r="P381" s="320"/>
      <c r="Q381" s="3"/>
      <c r="R381" s="47">
        <v>0.39583333333333331</v>
      </c>
      <c r="S381" s="47">
        <v>0.20833333333333334</v>
      </c>
      <c r="T381" s="319">
        <v>6.5</v>
      </c>
      <c r="U381" s="320"/>
      <c r="V381" s="3"/>
      <c r="W381" s="47">
        <v>0.39583333333333331</v>
      </c>
      <c r="X381" s="47">
        <v>0.20833333333333334</v>
      </c>
      <c r="Y381" s="319">
        <v>6.5</v>
      </c>
      <c r="Z381" s="320"/>
      <c r="AA381" s="328">
        <f t="shared" si="77"/>
        <v>23.5</v>
      </c>
      <c r="AB381" s="298">
        <f t="shared" si="78"/>
        <v>0</v>
      </c>
      <c r="AC381" s="174"/>
      <c r="AD381" s="175">
        <v>0</v>
      </c>
      <c r="AE381" s="175">
        <v>0</v>
      </c>
      <c r="AF381" s="173">
        <v>0</v>
      </c>
      <c r="AG381" s="28">
        <f t="shared" si="79"/>
        <v>0</v>
      </c>
      <c r="AH381" s="174"/>
      <c r="AI381" s="257"/>
      <c r="AK381" s="188" t="s">
        <v>38</v>
      </c>
      <c r="AL381" s="199">
        <f>AG408</f>
        <v>1.5</v>
      </c>
      <c r="AM381" s="187"/>
      <c r="AN381" s="187"/>
      <c r="AO381" s="187"/>
      <c r="AP381" s="187"/>
    </row>
    <row r="382" spans="1:42" s="1" customFormat="1" ht="14.25">
      <c r="B382" s="13" t="s">
        <v>129</v>
      </c>
      <c r="C382" s="47">
        <v>0.34375</v>
      </c>
      <c r="D382" s="47">
        <v>0.20833333333333334</v>
      </c>
      <c r="E382" s="19">
        <v>7.75</v>
      </c>
      <c r="F382" s="277"/>
      <c r="G382" s="3"/>
      <c r="H382" s="47">
        <v>0.35416666666666669</v>
      </c>
      <c r="I382" s="47">
        <v>0.20833333333333334</v>
      </c>
      <c r="J382" s="19">
        <v>7.5</v>
      </c>
      <c r="K382" s="277"/>
      <c r="L382" s="3"/>
      <c r="M382" s="47">
        <v>0.35416666666666669</v>
      </c>
      <c r="N382" s="47">
        <v>0.20833333333333334</v>
      </c>
      <c r="O382" s="19">
        <v>7.5</v>
      </c>
      <c r="P382" s="277"/>
      <c r="Q382" s="3"/>
      <c r="R382" s="12">
        <v>0</v>
      </c>
      <c r="S382" s="12">
        <v>0</v>
      </c>
      <c r="T382" s="19">
        <v>0</v>
      </c>
      <c r="U382" s="277"/>
      <c r="V382" s="3"/>
      <c r="W382" s="16" t="s">
        <v>29</v>
      </c>
      <c r="X382" s="16" t="s">
        <v>29</v>
      </c>
      <c r="Y382" s="19">
        <v>8</v>
      </c>
      <c r="Z382" s="277"/>
      <c r="AA382" s="29">
        <f t="shared" si="77"/>
        <v>30.75</v>
      </c>
      <c r="AB382" s="298">
        <f t="shared" si="78"/>
        <v>0</v>
      </c>
      <c r="AC382" s="3"/>
      <c r="AD382" s="4">
        <v>0</v>
      </c>
      <c r="AE382" s="4">
        <v>0</v>
      </c>
      <c r="AF382" s="19">
        <v>0</v>
      </c>
      <c r="AG382" s="29">
        <f t="shared" si="79"/>
        <v>0</v>
      </c>
      <c r="AH382" s="3"/>
      <c r="AI382" s="227"/>
      <c r="AK382" s="188" t="s">
        <v>32</v>
      </c>
      <c r="AL382" s="190">
        <f>AG406</f>
        <v>1.5</v>
      </c>
      <c r="AM382" s="191"/>
      <c r="AN382" s="191"/>
      <c r="AO382" s="191"/>
      <c r="AP382" s="191"/>
    </row>
    <row r="383" spans="1:42" s="1" customFormat="1" ht="14.25">
      <c r="B383" s="13" t="s">
        <v>35</v>
      </c>
      <c r="C383" s="326">
        <v>0.39583333333333331</v>
      </c>
      <c r="D383" s="47">
        <v>0.20833333333333334</v>
      </c>
      <c r="E383" s="19">
        <v>6.5</v>
      </c>
      <c r="F383" s="277"/>
      <c r="G383" s="3"/>
      <c r="H383" s="326">
        <v>0.38541666666666669</v>
      </c>
      <c r="I383" s="47">
        <v>0.20833333333333334</v>
      </c>
      <c r="J383" s="19">
        <v>6.75</v>
      </c>
      <c r="K383" s="277"/>
      <c r="L383" s="3"/>
      <c r="M383" s="326">
        <v>0.38541666666666669</v>
      </c>
      <c r="N383" s="47">
        <v>0.20833333333333334</v>
      </c>
      <c r="O383" s="19">
        <v>6.75</v>
      </c>
      <c r="P383" s="277"/>
      <c r="Q383" s="3"/>
      <c r="R383" s="47">
        <v>0.41666666666666669</v>
      </c>
      <c r="S383" s="47">
        <v>0.20833333333333334</v>
      </c>
      <c r="T383" s="19">
        <v>6</v>
      </c>
      <c r="U383" s="277"/>
      <c r="V383" s="3"/>
      <c r="W383" s="47">
        <v>0.35416666666666669</v>
      </c>
      <c r="X383" s="47">
        <v>0.20833333333333334</v>
      </c>
      <c r="Y383" s="19">
        <v>7</v>
      </c>
      <c r="Z383" s="277"/>
      <c r="AA383" s="29">
        <f t="shared" si="77"/>
        <v>33</v>
      </c>
      <c r="AB383" s="298">
        <f t="shared" si="78"/>
        <v>0</v>
      </c>
      <c r="AC383" s="3"/>
      <c r="AD383" s="4">
        <v>0</v>
      </c>
      <c r="AE383" s="4">
        <v>0</v>
      </c>
      <c r="AF383" s="19">
        <v>0</v>
      </c>
      <c r="AG383" s="29">
        <f t="shared" si="79"/>
        <v>0</v>
      </c>
      <c r="AH383" s="3"/>
      <c r="AI383" s="227"/>
      <c r="AK383" s="188" t="s">
        <v>41</v>
      </c>
      <c r="AL383" s="189">
        <f>C409</f>
        <v>131</v>
      </c>
      <c r="AM383" s="187"/>
      <c r="AN383" s="187"/>
      <c r="AO383" s="187"/>
      <c r="AP383" s="187"/>
    </row>
    <row r="384" spans="1:42" s="1" customFormat="1" ht="14.25">
      <c r="B384" s="13" t="s">
        <v>37</v>
      </c>
      <c r="C384" s="326">
        <v>0.41666666666666669</v>
      </c>
      <c r="D384" s="47">
        <v>0.20833333333333334</v>
      </c>
      <c r="E384" s="19">
        <v>6</v>
      </c>
      <c r="F384" s="277"/>
      <c r="G384" s="3"/>
      <c r="H384" s="326">
        <v>0.40625</v>
      </c>
      <c r="I384" s="47">
        <v>0.20833333333333334</v>
      </c>
      <c r="J384" s="19">
        <v>6.25</v>
      </c>
      <c r="K384" s="277"/>
      <c r="L384" s="3"/>
      <c r="M384" s="326">
        <v>0.39583333333333331</v>
      </c>
      <c r="N384" s="47">
        <v>0.20833333333333334</v>
      </c>
      <c r="O384" s="19">
        <v>6.5</v>
      </c>
      <c r="P384" s="277"/>
      <c r="Q384" s="3"/>
      <c r="R384" s="12">
        <v>0</v>
      </c>
      <c r="S384" s="12">
        <v>0</v>
      </c>
      <c r="T384" s="19">
        <v>0</v>
      </c>
      <c r="U384" s="277"/>
      <c r="V384" s="3"/>
      <c r="W384" s="12">
        <v>0</v>
      </c>
      <c r="X384" s="12">
        <v>0</v>
      </c>
      <c r="Y384" s="19">
        <v>0</v>
      </c>
      <c r="Z384" s="277"/>
      <c r="AA384" s="29">
        <f>(E384+J384+O384+T384+Y384)</f>
        <v>18.75</v>
      </c>
      <c r="AB384" s="298">
        <f t="shared" si="78"/>
        <v>0</v>
      </c>
      <c r="AC384" s="3"/>
      <c r="AD384" s="4">
        <v>0</v>
      </c>
      <c r="AE384" s="4">
        <v>0</v>
      </c>
      <c r="AF384" s="19">
        <v>0</v>
      </c>
      <c r="AG384" s="29">
        <f t="shared" si="79"/>
        <v>0</v>
      </c>
      <c r="AH384" s="3"/>
      <c r="AI384" s="227"/>
      <c r="AK384" s="187"/>
      <c r="AL384" s="187"/>
      <c r="AM384" s="187"/>
      <c r="AN384" s="187"/>
      <c r="AO384" s="187"/>
      <c r="AP384" s="187"/>
    </row>
    <row r="385" spans="2:42" s="1" customFormat="1" ht="14.25">
      <c r="B385" s="13" t="s">
        <v>39</v>
      </c>
      <c r="C385" s="47">
        <v>0.4375</v>
      </c>
      <c r="D385" s="47">
        <v>0.20833333333333334</v>
      </c>
      <c r="E385" s="19">
        <v>5.5</v>
      </c>
      <c r="F385" s="277"/>
      <c r="G385" s="3"/>
      <c r="H385" s="326">
        <v>0.39583333333333331</v>
      </c>
      <c r="I385" s="47">
        <v>0.20833333333333334</v>
      </c>
      <c r="J385" s="19">
        <v>6.5</v>
      </c>
      <c r="K385" s="277"/>
      <c r="L385" s="3"/>
      <c r="M385" s="326">
        <v>0.40625</v>
      </c>
      <c r="N385" s="47">
        <v>0.20833333333333334</v>
      </c>
      <c r="O385" s="19">
        <v>6.25</v>
      </c>
      <c r="P385" s="277"/>
      <c r="Q385" s="3"/>
      <c r="R385" s="12" t="s">
        <v>29</v>
      </c>
      <c r="S385" s="12" t="s">
        <v>29</v>
      </c>
      <c r="T385" s="19">
        <v>8</v>
      </c>
      <c r="U385" s="277"/>
      <c r="V385" s="3"/>
      <c r="W385" s="16" t="s">
        <v>29</v>
      </c>
      <c r="X385" s="16" t="s">
        <v>29</v>
      </c>
      <c r="Y385" s="19">
        <v>8</v>
      </c>
      <c r="Z385" s="277"/>
      <c r="AA385" s="29">
        <f t="shared" si="77"/>
        <v>34.25</v>
      </c>
      <c r="AB385" s="298">
        <f t="shared" si="78"/>
        <v>0</v>
      </c>
      <c r="AC385" s="3"/>
      <c r="AD385" s="4">
        <v>0</v>
      </c>
      <c r="AE385" s="4">
        <v>0</v>
      </c>
      <c r="AF385" s="19">
        <v>0</v>
      </c>
      <c r="AG385" s="29">
        <f t="shared" si="79"/>
        <v>0</v>
      </c>
      <c r="AH385" s="3"/>
      <c r="AI385" s="227"/>
      <c r="AK385" s="187"/>
      <c r="AL385" s="187"/>
      <c r="AM385" s="187"/>
      <c r="AN385" s="187"/>
      <c r="AO385" s="187"/>
      <c r="AP385" s="187"/>
    </row>
    <row r="386" spans="2:42" s="1" customFormat="1" ht="14.25">
      <c r="B386" s="164" t="s">
        <v>40</v>
      </c>
      <c r="C386" s="47">
        <v>0.35416666666666669</v>
      </c>
      <c r="D386" s="47">
        <v>0.20833333333333334</v>
      </c>
      <c r="E386" s="19">
        <v>7.5</v>
      </c>
      <c r="F386" s="277"/>
      <c r="G386" s="3"/>
      <c r="H386" s="47">
        <v>0.33333333333333331</v>
      </c>
      <c r="I386" s="47">
        <v>0.20833333333333334</v>
      </c>
      <c r="J386" s="19">
        <v>8</v>
      </c>
      <c r="K386" s="277"/>
      <c r="L386" s="3"/>
      <c r="M386" s="314">
        <v>0.35416666666666669</v>
      </c>
      <c r="N386" s="47">
        <v>0.20833333333333334</v>
      </c>
      <c r="O386" s="19">
        <v>7.5</v>
      </c>
      <c r="P386" s="277"/>
      <c r="Q386" s="3"/>
      <c r="R386" s="12" t="s">
        <v>29</v>
      </c>
      <c r="S386" s="12" t="s">
        <v>29</v>
      </c>
      <c r="T386" s="19">
        <v>8</v>
      </c>
      <c r="U386" s="277"/>
      <c r="V386" s="3"/>
      <c r="W386" s="16" t="s">
        <v>29</v>
      </c>
      <c r="X386" s="16" t="s">
        <v>29</v>
      </c>
      <c r="Y386" s="19">
        <v>8</v>
      </c>
      <c r="Z386" s="277"/>
      <c r="AA386" s="29">
        <f t="shared" si="77"/>
        <v>39</v>
      </c>
      <c r="AB386" s="298">
        <f t="shared" si="78"/>
        <v>0</v>
      </c>
      <c r="AC386" s="3"/>
      <c r="AD386" s="4">
        <v>0</v>
      </c>
      <c r="AE386" s="4">
        <v>0</v>
      </c>
      <c r="AF386" s="19">
        <v>0</v>
      </c>
      <c r="AG386" s="29">
        <f t="shared" si="79"/>
        <v>0</v>
      </c>
      <c r="AH386" s="3"/>
      <c r="AI386" s="227"/>
      <c r="AK386" s="187"/>
      <c r="AL386" s="187"/>
      <c r="AM386" s="187"/>
      <c r="AN386" s="187"/>
      <c r="AO386" s="187"/>
      <c r="AP386" s="187"/>
    </row>
    <row r="387" spans="2:42" s="1" customFormat="1" ht="14.25">
      <c r="B387" s="164" t="s">
        <v>42</v>
      </c>
      <c r="C387" s="4">
        <v>0</v>
      </c>
      <c r="D387" s="4">
        <v>0</v>
      </c>
      <c r="E387" s="19">
        <v>0</v>
      </c>
      <c r="F387" s="277"/>
      <c r="G387" s="3"/>
      <c r="H387" s="4">
        <v>0</v>
      </c>
      <c r="I387" s="4">
        <v>0</v>
      </c>
      <c r="J387" s="19">
        <v>0</v>
      </c>
      <c r="K387" s="277"/>
      <c r="L387" s="3"/>
      <c r="M387" s="4">
        <v>0</v>
      </c>
      <c r="N387" s="4">
        <v>0</v>
      </c>
      <c r="O387" s="19">
        <v>0</v>
      </c>
      <c r="P387" s="277"/>
      <c r="Q387" s="3"/>
      <c r="R387" s="4">
        <v>0</v>
      </c>
      <c r="S387" s="4">
        <v>0</v>
      </c>
      <c r="T387" s="19">
        <v>0</v>
      </c>
      <c r="U387" s="277"/>
      <c r="V387" s="3"/>
      <c r="W387" s="4">
        <v>0</v>
      </c>
      <c r="X387" s="4">
        <v>0</v>
      </c>
      <c r="Y387" s="19">
        <v>0</v>
      </c>
      <c r="Z387" s="277"/>
      <c r="AA387" s="29">
        <f t="shared" si="77"/>
        <v>0</v>
      </c>
      <c r="AB387" s="298">
        <f t="shared" si="78"/>
        <v>0</v>
      </c>
      <c r="AC387" s="3"/>
      <c r="AD387" s="4">
        <v>0</v>
      </c>
      <c r="AE387" s="4">
        <v>0</v>
      </c>
      <c r="AF387" s="19">
        <v>0</v>
      </c>
      <c r="AG387" s="29">
        <f t="shared" si="79"/>
        <v>0</v>
      </c>
      <c r="AH387" s="3"/>
      <c r="AI387" s="227"/>
      <c r="AK387" s="187"/>
      <c r="AL387" s="187"/>
      <c r="AM387" s="187"/>
      <c r="AN387" s="187"/>
      <c r="AO387" s="187"/>
      <c r="AP387" s="187"/>
    </row>
    <row r="388" spans="2:42" s="1" customFormat="1" ht="14.25">
      <c r="B388" s="13" t="s">
        <v>43</v>
      </c>
      <c r="C388" s="47">
        <v>0.33333333333333331</v>
      </c>
      <c r="D388" s="47">
        <v>0.20833333333333334</v>
      </c>
      <c r="E388" s="19">
        <v>8</v>
      </c>
      <c r="F388" s="277"/>
      <c r="G388" s="3"/>
      <c r="H388" s="47">
        <v>0.35416666666666669</v>
      </c>
      <c r="I388" s="47">
        <v>0.20833333333333334</v>
      </c>
      <c r="J388" s="19">
        <v>7.5</v>
      </c>
      <c r="K388" s="277"/>
      <c r="L388" s="3"/>
      <c r="M388" s="314">
        <v>0.34375</v>
      </c>
      <c r="N388" s="47">
        <v>0.20833333333333334</v>
      </c>
      <c r="O388" s="19">
        <v>7.75</v>
      </c>
      <c r="P388" s="277"/>
      <c r="Q388" s="3"/>
      <c r="R388" s="47">
        <v>0.375</v>
      </c>
      <c r="S388" s="47">
        <v>0.20833333333333334</v>
      </c>
      <c r="T388" s="19">
        <v>7</v>
      </c>
      <c r="U388" s="277"/>
      <c r="V388" s="3"/>
      <c r="W388" s="47">
        <v>0.35416666666666669</v>
      </c>
      <c r="X388" s="47">
        <v>0.20833333333333334</v>
      </c>
      <c r="Y388" s="19">
        <v>7.5</v>
      </c>
      <c r="Z388" s="277"/>
      <c r="AA388" s="29">
        <f t="shared" si="77"/>
        <v>37.75</v>
      </c>
      <c r="AB388" s="298">
        <f t="shared" si="78"/>
        <v>0</v>
      </c>
      <c r="AC388" s="3"/>
      <c r="AD388" s="4">
        <v>0</v>
      </c>
      <c r="AE388" s="4">
        <v>0</v>
      </c>
      <c r="AF388" s="19">
        <v>0</v>
      </c>
      <c r="AG388" s="29">
        <f t="shared" si="79"/>
        <v>0</v>
      </c>
      <c r="AH388" s="3"/>
      <c r="AI388" s="227"/>
      <c r="AK388" s="187"/>
      <c r="AL388" s="187"/>
      <c r="AM388" s="187"/>
      <c r="AN388" s="187"/>
      <c r="AO388" s="187"/>
      <c r="AP388" s="187"/>
    </row>
    <row r="389" spans="2:42" s="1" customFormat="1" ht="14.25">
      <c r="B389" s="13" t="s">
        <v>44</v>
      </c>
      <c r="C389" s="326">
        <v>0.35416666666666669</v>
      </c>
      <c r="D389" s="47">
        <v>0.20833333333333334</v>
      </c>
      <c r="E389" s="19">
        <v>7.5</v>
      </c>
      <c r="F389" s="277"/>
      <c r="G389" s="3"/>
      <c r="H389" s="47">
        <v>0.35416666666666669</v>
      </c>
      <c r="I389" s="47">
        <v>0.20833333333333334</v>
      </c>
      <c r="J389" s="19">
        <v>7.5</v>
      </c>
      <c r="K389" s="277"/>
      <c r="L389" s="3"/>
      <c r="M389" s="314">
        <v>0.34375</v>
      </c>
      <c r="N389" s="47">
        <v>0.20833333333333334</v>
      </c>
      <c r="O389" s="19">
        <v>7.75</v>
      </c>
      <c r="P389" s="277"/>
      <c r="Q389" s="3"/>
      <c r="R389" s="16">
        <v>0.38541666666666669</v>
      </c>
      <c r="S389" s="16">
        <v>0.20833333333333334</v>
      </c>
      <c r="T389" s="19">
        <v>6.75</v>
      </c>
      <c r="U389" s="277"/>
      <c r="V389" s="3"/>
      <c r="W389" s="16" t="s">
        <v>29</v>
      </c>
      <c r="X389" s="16" t="s">
        <v>29</v>
      </c>
      <c r="Y389" s="19">
        <v>8</v>
      </c>
      <c r="Z389" s="277"/>
      <c r="AA389" s="29">
        <f t="shared" si="77"/>
        <v>37.5</v>
      </c>
      <c r="AB389" s="298">
        <f t="shared" si="78"/>
        <v>0</v>
      </c>
      <c r="AC389" s="3"/>
      <c r="AD389" s="4">
        <v>0</v>
      </c>
      <c r="AE389" s="4">
        <v>0</v>
      </c>
      <c r="AF389" s="19">
        <v>0</v>
      </c>
      <c r="AG389" s="29">
        <f t="shared" si="79"/>
        <v>0</v>
      </c>
      <c r="AH389" s="3"/>
      <c r="AI389" s="227"/>
      <c r="AK389" s="187"/>
      <c r="AL389" s="187"/>
      <c r="AM389" s="187"/>
      <c r="AN389" s="187"/>
      <c r="AO389" s="187"/>
      <c r="AP389" s="187"/>
    </row>
    <row r="390" spans="2:42" s="1" customFormat="1" ht="14.25">
      <c r="B390" s="13" t="s">
        <v>45</v>
      </c>
      <c r="C390" s="47">
        <v>0.33333333333333331</v>
      </c>
      <c r="D390" s="47">
        <v>0.20833333333333334</v>
      </c>
      <c r="E390" s="19">
        <v>8</v>
      </c>
      <c r="F390" s="277"/>
      <c r="G390" s="3"/>
      <c r="H390" s="47">
        <v>0.35416666666666669</v>
      </c>
      <c r="I390" s="47">
        <v>0.20833333333333334</v>
      </c>
      <c r="J390" s="19">
        <v>7.5</v>
      </c>
      <c r="K390" s="277"/>
      <c r="L390" s="3"/>
      <c r="M390" s="314">
        <v>0.35416666666666669</v>
      </c>
      <c r="N390" s="47">
        <v>0.20833333333333334</v>
      </c>
      <c r="O390" s="19">
        <v>7.5</v>
      </c>
      <c r="P390" s="277"/>
      <c r="Q390" s="3"/>
      <c r="R390" s="47">
        <v>0.34375</v>
      </c>
      <c r="S390" s="47">
        <v>0.20833333333333334</v>
      </c>
      <c r="T390" s="19">
        <v>7.75</v>
      </c>
      <c r="U390" s="277"/>
      <c r="V390" s="3"/>
      <c r="W390" s="47">
        <v>0.375</v>
      </c>
      <c r="X390" s="47">
        <v>0.20833333333333334</v>
      </c>
      <c r="Y390" s="19">
        <v>7</v>
      </c>
      <c r="Z390" s="277"/>
      <c r="AA390" s="29">
        <f t="shared" si="77"/>
        <v>37.75</v>
      </c>
      <c r="AB390" s="298">
        <f t="shared" si="78"/>
        <v>0</v>
      </c>
      <c r="AC390" s="3"/>
      <c r="AD390" s="4">
        <v>0</v>
      </c>
      <c r="AE390" s="4">
        <v>0</v>
      </c>
      <c r="AF390" s="19">
        <v>0</v>
      </c>
      <c r="AG390" s="29">
        <f t="shared" si="79"/>
        <v>0</v>
      </c>
      <c r="AH390" s="3"/>
      <c r="AI390" s="227"/>
      <c r="AK390" s="187"/>
      <c r="AL390" s="187"/>
      <c r="AM390" s="187"/>
      <c r="AN390" s="187"/>
      <c r="AO390" s="187"/>
      <c r="AP390" s="187"/>
    </row>
    <row r="391" spans="2:42" s="1" customFormat="1" ht="14.25">
      <c r="B391" s="13" t="s">
        <v>173</v>
      </c>
      <c r="C391" s="47">
        <v>0.32291666666666669</v>
      </c>
      <c r="D391" s="47">
        <v>0.20833333333333334</v>
      </c>
      <c r="E391" s="19">
        <v>8.25</v>
      </c>
      <c r="F391" s="277">
        <v>0.25</v>
      </c>
      <c r="G391" s="3"/>
      <c r="H391" s="47">
        <v>0.33333333333333331</v>
      </c>
      <c r="I391" s="47">
        <v>0.20833333333333334</v>
      </c>
      <c r="J391" s="19">
        <v>8</v>
      </c>
      <c r="K391" s="277"/>
      <c r="L391" s="3"/>
      <c r="M391" s="314">
        <v>0.3125</v>
      </c>
      <c r="N391" s="47">
        <v>0.20833333333333334</v>
      </c>
      <c r="O391" s="19">
        <v>8.5</v>
      </c>
      <c r="P391" s="277">
        <v>0.5</v>
      </c>
      <c r="Q391" s="3"/>
      <c r="R391" s="12" t="s">
        <v>29</v>
      </c>
      <c r="S391" s="12" t="s">
        <v>29</v>
      </c>
      <c r="T391" s="19">
        <v>8</v>
      </c>
      <c r="U391" s="277"/>
      <c r="V391" s="3"/>
      <c r="W391" s="47">
        <v>0.40625</v>
      </c>
      <c r="X391" s="47">
        <v>0.20833333333333334</v>
      </c>
      <c r="Y391" s="19">
        <v>6.25</v>
      </c>
      <c r="Z391" s="277"/>
      <c r="AA391" s="29">
        <f t="shared" si="77"/>
        <v>39</v>
      </c>
      <c r="AB391" s="298">
        <f t="shared" si="78"/>
        <v>0.75</v>
      </c>
      <c r="AC391" s="3"/>
      <c r="AD391" s="4">
        <v>0</v>
      </c>
      <c r="AE391" s="4">
        <v>0</v>
      </c>
      <c r="AF391" s="19">
        <v>0</v>
      </c>
      <c r="AG391" s="29">
        <f t="shared" si="79"/>
        <v>0</v>
      </c>
      <c r="AH391" s="3"/>
      <c r="AI391" s="227"/>
      <c r="AK391" s="187"/>
      <c r="AL391" s="187"/>
      <c r="AM391" s="187"/>
      <c r="AN391" s="187"/>
      <c r="AO391" s="187"/>
      <c r="AP391" s="187"/>
    </row>
    <row r="392" spans="2:42" s="1" customFormat="1" ht="14.25">
      <c r="B392" s="13" t="s">
        <v>48</v>
      </c>
      <c r="C392" s="47">
        <v>0.33333333333333331</v>
      </c>
      <c r="D392" s="47">
        <v>0.20833333333333334</v>
      </c>
      <c r="E392" s="19">
        <v>8</v>
      </c>
      <c r="F392" s="277"/>
      <c r="G392" s="3"/>
      <c r="H392" s="47">
        <v>0.33333333333333331</v>
      </c>
      <c r="I392" s="47">
        <v>0.20833333333333334</v>
      </c>
      <c r="J392" s="19">
        <v>8</v>
      </c>
      <c r="K392" s="277"/>
      <c r="L392" s="3"/>
      <c r="M392" s="326">
        <v>0.375</v>
      </c>
      <c r="N392" s="47">
        <v>0.20833333333333334</v>
      </c>
      <c r="O392" s="19">
        <v>7</v>
      </c>
      <c r="P392" s="277"/>
      <c r="Q392" s="3"/>
      <c r="R392" s="47">
        <v>0.34375</v>
      </c>
      <c r="S392" s="47">
        <v>0.20833333333333334</v>
      </c>
      <c r="T392" s="19">
        <v>7.75</v>
      </c>
      <c r="U392" s="277"/>
      <c r="V392" s="3"/>
      <c r="W392" s="47">
        <v>0.35416666666666669</v>
      </c>
      <c r="X392" s="47">
        <v>0.20833333333333334</v>
      </c>
      <c r="Y392" s="19">
        <v>7.5</v>
      </c>
      <c r="Z392" s="277"/>
      <c r="AA392" s="29">
        <f t="shared" si="77"/>
        <v>38.25</v>
      </c>
      <c r="AB392" s="298">
        <f t="shared" si="78"/>
        <v>0</v>
      </c>
      <c r="AC392" s="3"/>
      <c r="AD392" s="4">
        <v>0</v>
      </c>
      <c r="AE392" s="4">
        <v>0</v>
      </c>
      <c r="AF392" s="19">
        <v>0</v>
      </c>
      <c r="AG392" s="29">
        <f t="shared" si="79"/>
        <v>0</v>
      </c>
      <c r="AH392" s="3"/>
      <c r="AI392" s="227"/>
      <c r="AK392" s="187"/>
      <c r="AL392" s="187"/>
      <c r="AM392" s="187"/>
      <c r="AN392" s="187"/>
      <c r="AO392" s="187"/>
      <c r="AP392" s="187"/>
    </row>
    <row r="393" spans="2:42" s="1" customFormat="1" ht="14.25">
      <c r="B393" s="13" t="s">
        <v>49</v>
      </c>
      <c r="C393" s="326">
        <v>0.375</v>
      </c>
      <c r="D393" s="47">
        <v>0.20833333333333334</v>
      </c>
      <c r="E393" s="19">
        <v>7</v>
      </c>
      <c r="F393" s="277"/>
      <c r="G393" s="3"/>
      <c r="H393" s="47">
        <v>0.35416666666666669</v>
      </c>
      <c r="I393" s="47">
        <v>0.20833333333333334</v>
      </c>
      <c r="J393" s="19">
        <v>7.5</v>
      </c>
      <c r="K393" s="277"/>
      <c r="L393" s="3"/>
      <c r="M393" s="314">
        <v>0.35416666666666669</v>
      </c>
      <c r="N393" s="47">
        <v>0.20833333333333334</v>
      </c>
      <c r="O393" s="19">
        <v>7.5</v>
      </c>
      <c r="P393" s="277"/>
      <c r="Q393" s="3"/>
      <c r="R393" s="12" t="s">
        <v>29</v>
      </c>
      <c r="S393" s="12" t="s">
        <v>29</v>
      </c>
      <c r="T393" s="19">
        <v>8</v>
      </c>
      <c r="U393" s="277"/>
      <c r="V393" s="3"/>
      <c r="W393" s="16" t="s">
        <v>29</v>
      </c>
      <c r="X393" s="16" t="s">
        <v>29</v>
      </c>
      <c r="Y393" s="19">
        <v>8</v>
      </c>
      <c r="Z393" s="277"/>
      <c r="AA393" s="29">
        <f t="shared" si="77"/>
        <v>38</v>
      </c>
      <c r="AB393" s="298">
        <f t="shared" si="78"/>
        <v>0</v>
      </c>
      <c r="AC393" s="3"/>
      <c r="AD393" s="4">
        <v>0</v>
      </c>
      <c r="AE393" s="4">
        <v>0</v>
      </c>
      <c r="AF393" s="19">
        <v>0</v>
      </c>
      <c r="AG393" s="29">
        <f t="shared" si="79"/>
        <v>0</v>
      </c>
      <c r="AH393" s="3"/>
      <c r="AI393" s="227"/>
      <c r="AK393" s="187"/>
      <c r="AL393" s="187"/>
      <c r="AM393" s="187"/>
      <c r="AN393" s="187"/>
      <c r="AO393" s="187"/>
      <c r="AP393" s="187"/>
    </row>
    <row r="394" spans="2:42" s="1" customFormat="1" ht="14.25">
      <c r="B394" s="13" t="s">
        <v>50</v>
      </c>
      <c r="C394" s="47">
        <v>0.33333333333333331</v>
      </c>
      <c r="D394" s="47">
        <v>0.20833333333333334</v>
      </c>
      <c r="E394" s="19">
        <v>8</v>
      </c>
      <c r="F394" s="277"/>
      <c r="G394" s="3"/>
      <c r="H394" s="326">
        <v>0.39583333333333331</v>
      </c>
      <c r="I394" s="47">
        <v>0.20833333333333334</v>
      </c>
      <c r="J394" s="19">
        <v>6.5</v>
      </c>
      <c r="K394" s="277"/>
      <c r="L394" s="3"/>
      <c r="M394" s="326">
        <v>0.375</v>
      </c>
      <c r="N394" s="47">
        <v>0.20833333333333334</v>
      </c>
      <c r="O394" s="19">
        <v>7</v>
      </c>
      <c r="P394" s="277"/>
      <c r="Q394" s="3"/>
      <c r="R394" s="47">
        <v>0.38541666666666669</v>
      </c>
      <c r="S394" s="47">
        <v>0.20833333333333334</v>
      </c>
      <c r="T394" s="19">
        <v>6.75</v>
      </c>
      <c r="U394" s="277"/>
      <c r="V394" s="3"/>
      <c r="W394" s="47">
        <v>0.375</v>
      </c>
      <c r="X394" s="47">
        <v>0.20833333333333334</v>
      </c>
      <c r="Y394" s="19">
        <v>7</v>
      </c>
      <c r="Z394" s="277"/>
      <c r="AA394" s="29">
        <f t="shared" si="77"/>
        <v>35.25</v>
      </c>
      <c r="AB394" s="298">
        <f t="shared" si="78"/>
        <v>0</v>
      </c>
      <c r="AC394" s="3"/>
      <c r="AD394" s="4">
        <v>0</v>
      </c>
      <c r="AE394" s="4">
        <v>0</v>
      </c>
      <c r="AF394" s="19">
        <v>0</v>
      </c>
      <c r="AG394" s="29">
        <f t="shared" si="79"/>
        <v>0</v>
      </c>
      <c r="AH394" s="3"/>
      <c r="AI394" s="227"/>
      <c r="AK394" s="187"/>
      <c r="AL394" s="187"/>
      <c r="AM394" s="187"/>
      <c r="AN394" s="187"/>
      <c r="AO394" s="187"/>
      <c r="AP394" s="187"/>
    </row>
    <row r="395" spans="2:42" s="1" customFormat="1" ht="14.25">
      <c r="B395" s="13" t="s">
        <v>51</v>
      </c>
      <c r="C395" s="47">
        <v>0.375</v>
      </c>
      <c r="D395" s="47">
        <v>0.20833333333333334</v>
      </c>
      <c r="E395" s="19">
        <v>7</v>
      </c>
      <c r="F395" s="277"/>
      <c r="G395" s="3"/>
      <c r="H395" s="314">
        <v>0.35416666666666669</v>
      </c>
      <c r="I395" s="47">
        <v>0.20833333333333334</v>
      </c>
      <c r="J395" s="19">
        <v>7.5</v>
      </c>
      <c r="K395" s="277"/>
      <c r="L395" s="3"/>
      <c r="M395" s="314">
        <v>0.34375</v>
      </c>
      <c r="N395" s="47">
        <v>0.20833333333333334</v>
      </c>
      <c r="O395" s="19">
        <v>7.75</v>
      </c>
      <c r="P395" s="277"/>
      <c r="Q395" s="3"/>
      <c r="R395" s="47">
        <v>0.40625</v>
      </c>
      <c r="S395" s="47">
        <v>0.20833333333333334</v>
      </c>
      <c r="T395" s="19">
        <v>6.25</v>
      </c>
      <c r="U395" s="277"/>
      <c r="V395" s="3"/>
      <c r="W395" s="16" t="s">
        <v>29</v>
      </c>
      <c r="X395" s="16" t="s">
        <v>29</v>
      </c>
      <c r="Y395" s="19">
        <v>8</v>
      </c>
      <c r="Z395" s="277"/>
      <c r="AA395" s="29">
        <f t="shared" si="77"/>
        <v>36.5</v>
      </c>
      <c r="AB395" s="298">
        <f t="shared" si="78"/>
        <v>0</v>
      </c>
      <c r="AC395" s="3"/>
      <c r="AD395" s="4">
        <v>0</v>
      </c>
      <c r="AE395" s="4">
        <v>0</v>
      </c>
      <c r="AF395" s="19">
        <v>0</v>
      </c>
      <c r="AG395" s="29">
        <f t="shared" si="79"/>
        <v>0</v>
      </c>
      <c r="AH395" s="3"/>
      <c r="AI395" s="227"/>
      <c r="AK395" s="187"/>
      <c r="AL395" s="187"/>
      <c r="AM395" s="187"/>
      <c r="AN395" s="187"/>
      <c r="AO395" s="187"/>
      <c r="AP395" s="187"/>
    </row>
    <row r="396" spans="2:42" s="1" customFormat="1" ht="14.25">
      <c r="B396" s="329" t="s">
        <v>180</v>
      </c>
      <c r="C396" s="330">
        <v>0.33333333333333331</v>
      </c>
      <c r="D396" s="47">
        <v>0.20833333333333334</v>
      </c>
      <c r="E396" s="19">
        <v>8</v>
      </c>
      <c r="F396" s="277"/>
      <c r="G396" s="3"/>
      <c r="H396" s="4">
        <v>0</v>
      </c>
      <c r="I396" s="4">
        <v>0</v>
      </c>
      <c r="J396" s="19">
        <v>0</v>
      </c>
      <c r="K396" s="277"/>
      <c r="L396" s="3"/>
      <c r="M396" s="47">
        <v>0.36458333333333331</v>
      </c>
      <c r="N396" s="47">
        <v>0.20833333333333334</v>
      </c>
      <c r="O396" s="19">
        <v>7.25</v>
      </c>
      <c r="P396" s="277"/>
      <c r="Q396" s="3"/>
      <c r="R396" s="47">
        <v>0.45833333333333331</v>
      </c>
      <c r="S396" s="47">
        <v>0.20833333333333334</v>
      </c>
      <c r="T396" s="19">
        <v>5</v>
      </c>
      <c r="U396" s="277"/>
      <c r="V396" s="3"/>
      <c r="W396" s="47">
        <v>0.35416666666666669</v>
      </c>
      <c r="X396" s="47">
        <v>0.20833333333333334</v>
      </c>
      <c r="Y396" s="19">
        <v>7.5</v>
      </c>
      <c r="Z396" s="277"/>
      <c r="AA396" s="29">
        <f t="shared" si="77"/>
        <v>27.75</v>
      </c>
      <c r="AB396" s="298">
        <f t="shared" si="78"/>
        <v>0</v>
      </c>
      <c r="AC396" s="3"/>
      <c r="AD396" s="4">
        <v>0</v>
      </c>
      <c r="AE396" s="4">
        <v>0</v>
      </c>
      <c r="AF396" s="19">
        <v>0</v>
      </c>
      <c r="AG396" s="29">
        <f t="shared" si="79"/>
        <v>0</v>
      </c>
      <c r="AH396" s="3"/>
      <c r="AI396" s="227"/>
      <c r="AK396" s="187"/>
      <c r="AL396" s="187"/>
      <c r="AM396" s="187"/>
      <c r="AN396" s="187"/>
      <c r="AO396" s="187"/>
      <c r="AP396" s="187"/>
    </row>
    <row r="397" spans="2:42" s="1" customFormat="1" ht="14.25">
      <c r="B397" s="13" t="s">
        <v>54</v>
      </c>
      <c r="C397" s="4">
        <v>0</v>
      </c>
      <c r="D397" s="4">
        <v>0</v>
      </c>
      <c r="E397" s="19">
        <v>0</v>
      </c>
      <c r="F397" s="277"/>
      <c r="G397" s="3"/>
      <c r="H397" s="4">
        <v>0</v>
      </c>
      <c r="I397" s="4">
        <v>0</v>
      </c>
      <c r="J397" s="19">
        <v>0</v>
      </c>
      <c r="K397" s="277"/>
      <c r="L397" s="3"/>
      <c r="M397" s="4">
        <v>0</v>
      </c>
      <c r="N397" s="4">
        <v>0</v>
      </c>
      <c r="O397" s="19">
        <v>0</v>
      </c>
      <c r="P397" s="277"/>
      <c r="Q397" s="3"/>
      <c r="R397" s="4">
        <v>0</v>
      </c>
      <c r="S397" s="4">
        <v>0</v>
      </c>
      <c r="T397" s="19">
        <v>0</v>
      </c>
      <c r="U397" s="277"/>
      <c r="V397" s="3"/>
      <c r="W397" s="4">
        <v>0</v>
      </c>
      <c r="X397" s="4">
        <v>0</v>
      </c>
      <c r="Y397" s="19">
        <v>0</v>
      </c>
      <c r="Z397" s="277"/>
      <c r="AA397" s="29">
        <f t="shared" si="77"/>
        <v>0</v>
      </c>
      <c r="AB397" s="298">
        <f t="shared" si="78"/>
        <v>0</v>
      </c>
      <c r="AC397" s="3"/>
      <c r="AD397" s="4">
        <v>0</v>
      </c>
      <c r="AE397" s="4">
        <v>0</v>
      </c>
      <c r="AF397" s="19">
        <v>0</v>
      </c>
      <c r="AG397" s="29">
        <f>AF397</f>
        <v>0</v>
      </c>
      <c r="AH397" s="3"/>
      <c r="AI397" s="227"/>
      <c r="AK397" s="187"/>
      <c r="AL397" s="187"/>
      <c r="AM397" s="187"/>
      <c r="AN397" s="187"/>
      <c r="AO397" s="187"/>
      <c r="AP397" s="187"/>
    </row>
    <row r="398" spans="2:42" s="1" customFormat="1" ht="14.25">
      <c r="B398" s="13" t="s">
        <v>55</v>
      </c>
      <c r="C398" s="4">
        <v>0</v>
      </c>
      <c r="D398" s="4">
        <v>0</v>
      </c>
      <c r="E398" s="19">
        <v>0</v>
      </c>
      <c r="F398" s="277"/>
      <c r="G398" s="3"/>
      <c r="H398" s="4">
        <v>0</v>
      </c>
      <c r="I398" s="4">
        <v>0</v>
      </c>
      <c r="J398" s="19">
        <v>0</v>
      </c>
      <c r="K398" s="277"/>
      <c r="L398" s="3"/>
      <c r="M398" s="4">
        <v>0</v>
      </c>
      <c r="N398" s="4">
        <v>0</v>
      </c>
      <c r="O398" s="19">
        <v>0</v>
      </c>
      <c r="P398" s="277"/>
      <c r="Q398" s="3"/>
      <c r="R398" s="4">
        <v>0</v>
      </c>
      <c r="S398" s="4">
        <v>0</v>
      </c>
      <c r="T398" s="19">
        <v>0</v>
      </c>
      <c r="U398" s="277"/>
      <c r="V398" s="3"/>
      <c r="W398" s="4">
        <v>0</v>
      </c>
      <c r="X398" s="4">
        <v>0</v>
      </c>
      <c r="Y398" s="19">
        <v>0</v>
      </c>
      <c r="Z398" s="277"/>
      <c r="AA398" s="29">
        <f t="shared" si="77"/>
        <v>0</v>
      </c>
      <c r="AB398" s="298">
        <f t="shared" si="78"/>
        <v>0</v>
      </c>
      <c r="AC398" s="3"/>
      <c r="AD398" s="47">
        <v>0.375</v>
      </c>
      <c r="AE398" s="47">
        <v>0.45833333333333331</v>
      </c>
      <c r="AF398" s="19">
        <v>12</v>
      </c>
      <c r="AG398" s="29">
        <f>AF398</f>
        <v>12</v>
      </c>
      <c r="AH398" s="3"/>
      <c r="AI398" s="227"/>
      <c r="AK398" s="187"/>
      <c r="AL398" s="187"/>
      <c r="AM398" s="187"/>
      <c r="AN398" s="187"/>
      <c r="AO398" s="187"/>
      <c r="AP398" s="187"/>
    </row>
    <row r="399" spans="2:42" s="1" customFormat="1" ht="14.25">
      <c r="B399" s="138" t="s">
        <v>167</v>
      </c>
      <c r="C399" s="12" t="s">
        <v>29</v>
      </c>
      <c r="D399" s="12" t="s">
        <v>29</v>
      </c>
      <c r="E399" s="19">
        <v>8</v>
      </c>
      <c r="F399" s="277"/>
      <c r="G399" s="3"/>
      <c r="H399" s="12" t="s">
        <v>29</v>
      </c>
      <c r="I399" s="12" t="s">
        <v>29</v>
      </c>
      <c r="J399" s="19">
        <v>8</v>
      </c>
      <c r="K399" s="277"/>
      <c r="L399" s="3"/>
      <c r="M399" s="12" t="s">
        <v>29</v>
      </c>
      <c r="N399" s="12" t="s">
        <v>29</v>
      </c>
      <c r="O399" s="19">
        <v>8</v>
      </c>
      <c r="P399" s="277"/>
      <c r="Q399" s="3"/>
      <c r="R399" s="12" t="s">
        <v>29</v>
      </c>
      <c r="S399" s="12" t="s">
        <v>29</v>
      </c>
      <c r="T399" s="19">
        <v>0</v>
      </c>
      <c r="U399" s="277"/>
      <c r="V399" s="3"/>
      <c r="W399" s="12" t="s">
        <v>29</v>
      </c>
      <c r="X399" s="12" t="s">
        <v>29</v>
      </c>
      <c r="Y399" s="19">
        <v>0</v>
      </c>
      <c r="Z399" s="277"/>
      <c r="AA399" s="29">
        <f t="shared" si="77"/>
        <v>24</v>
      </c>
      <c r="AB399" s="298">
        <f t="shared" si="78"/>
        <v>0</v>
      </c>
      <c r="AC399" s="3"/>
      <c r="AD399" s="4">
        <v>0</v>
      </c>
      <c r="AE399" s="4">
        <v>0</v>
      </c>
      <c r="AF399" s="19">
        <v>0</v>
      </c>
      <c r="AG399" s="29">
        <f>AF399</f>
        <v>0</v>
      </c>
      <c r="AH399" s="3"/>
      <c r="AI399" s="227"/>
      <c r="AK399" s="187"/>
      <c r="AL399" s="187"/>
      <c r="AM399" s="187"/>
      <c r="AN399" s="187"/>
      <c r="AO399" s="187"/>
      <c r="AP399" s="187"/>
    </row>
    <row r="400" spans="2:42" s="1" customFormat="1" ht="15" customHeight="1">
      <c r="B400" s="138" t="s">
        <v>53</v>
      </c>
      <c r="C400" s="12" t="s">
        <v>29</v>
      </c>
      <c r="D400" s="12" t="s">
        <v>29</v>
      </c>
      <c r="E400" s="19">
        <v>8</v>
      </c>
      <c r="F400" s="277"/>
      <c r="G400" s="3"/>
      <c r="H400" s="12" t="s">
        <v>29</v>
      </c>
      <c r="I400" s="12" t="s">
        <v>29</v>
      </c>
      <c r="J400" s="19">
        <v>8</v>
      </c>
      <c r="K400" s="277"/>
      <c r="L400" s="3"/>
      <c r="M400" s="12" t="s">
        <v>29</v>
      </c>
      <c r="N400" s="12" t="s">
        <v>29</v>
      </c>
      <c r="O400" s="19">
        <v>8</v>
      </c>
      <c r="P400" s="277"/>
      <c r="Q400" s="3"/>
      <c r="R400" s="12" t="s">
        <v>29</v>
      </c>
      <c r="S400" s="12" t="s">
        <v>29</v>
      </c>
      <c r="T400" s="19">
        <v>8</v>
      </c>
      <c r="U400" s="277"/>
      <c r="V400" s="3"/>
      <c r="W400" s="12" t="s">
        <v>29</v>
      </c>
      <c r="X400" s="12" t="s">
        <v>29</v>
      </c>
      <c r="Y400" s="19">
        <v>8</v>
      </c>
      <c r="Z400" s="277"/>
      <c r="AA400" s="29">
        <f t="shared" si="77"/>
        <v>40</v>
      </c>
      <c r="AB400" s="298">
        <f t="shared" si="78"/>
        <v>0</v>
      </c>
      <c r="AC400" s="3"/>
      <c r="AD400" s="4">
        <v>0</v>
      </c>
      <c r="AE400" s="4">
        <v>0</v>
      </c>
      <c r="AF400" s="19">
        <v>0</v>
      </c>
      <c r="AG400" s="29">
        <f>AF400</f>
        <v>0</v>
      </c>
      <c r="AH400" s="3"/>
      <c r="AI400" s="227"/>
      <c r="AK400" s="187"/>
      <c r="AL400" s="187"/>
      <c r="AM400" s="187"/>
      <c r="AN400" s="187"/>
      <c r="AO400" s="187"/>
      <c r="AP400" s="187"/>
    </row>
    <row r="401" spans="1:42" s="1" customFormat="1" ht="14.25">
      <c r="B401" s="138" t="s">
        <v>57</v>
      </c>
      <c r="C401" s="12" t="s">
        <v>29</v>
      </c>
      <c r="D401" s="12" t="s">
        <v>29</v>
      </c>
      <c r="E401" s="19">
        <v>8</v>
      </c>
      <c r="F401" s="277"/>
      <c r="G401" s="3"/>
      <c r="H401" s="12" t="s">
        <v>29</v>
      </c>
      <c r="I401" s="12" t="s">
        <v>29</v>
      </c>
      <c r="J401" s="19">
        <v>8</v>
      </c>
      <c r="K401" s="277"/>
      <c r="L401" s="3"/>
      <c r="M401" s="12" t="s">
        <v>29</v>
      </c>
      <c r="N401" s="12" t="s">
        <v>29</v>
      </c>
      <c r="O401" s="19">
        <v>8</v>
      </c>
      <c r="P401" s="277"/>
      <c r="Q401" s="3"/>
      <c r="R401" s="12" t="s">
        <v>29</v>
      </c>
      <c r="S401" s="12" t="s">
        <v>29</v>
      </c>
      <c r="T401" s="19">
        <v>8</v>
      </c>
      <c r="U401" s="277"/>
      <c r="V401" s="3"/>
      <c r="W401" s="12" t="s">
        <v>29</v>
      </c>
      <c r="X401" s="12" t="s">
        <v>29</v>
      </c>
      <c r="Y401" s="19">
        <v>8</v>
      </c>
      <c r="Z401" s="277"/>
      <c r="AA401" s="29">
        <f t="shared" si="77"/>
        <v>40</v>
      </c>
      <c r="AB401" s="298">
        <f t="shared" si="78"/>
        <v>0</v>
      </c>
      <c r="AC401" s="3"/>
      <c r="AD401" s="4">
        <v>0</v>
      </c>
      <c r="AE401" s="4">
        <v>0</v>
      </c>
      <c r="AF401" s="19">
        <v>0</v>
      </c>
      <c r="AG401" s="29">
        <f t="shared" ref="AG401:AG402" si="80">AF401</f>
        <v>0</v>
      </c>
      <c r="AH401" s="3"/>
      <c r="AI401" s="227"/>
      <c r="AK401" s="187"/>
      <c r="AL401" s="187"/>
      <c r="AM401" s="187"/>
      <c r="AN401" s="187"/>
      <c r="AO401" s="187"/>
      <c r="AP401" s="187"/>
    </row>
    <row r="402" spans="1:42" s="1" customFormat="1" ht="14.25">
      <c r="B402" s="138" t="s">
        <v>60</v>
      </c>
      <c r="C402" s="12" t="s">
        <v>29</v>
      </c>
      <c r="D402" s="12" t="s">
        <v>29</v>
      </c>
      <c r="E402" s="19">
        <v>8</v>
      </c>
      <c r="F402" s="277"/>
      <c r="G402" s="3"/>
      <c r="H402" s="12" t="s">
        <v>29</v>
      </c>
      <c r="I402" s="12" t="s">
        <v>29</v>
      </c>
      <c r="J402" s="19">
        <v>8</v>
      </c>
      <c r="K402" s="277"/>
      <c r="L402" s="3"/>
      <c r="M402" s="12" t="s">
        <v>29</v>
      </c>
      <c r="N402" s="12" t="s">
        <v>29</v>
      </c>
      <c r="O402" s="19">
        <v>8</v>
      </c>
      <c r="P402" s="277"/>
      <c r="Q402" s="3"/>
      <c r="R402" s="12" t="s">
        <v>29</v>
      </c>
      <c r="S402" s="12" t="s">
        <v>29</v>
      </c>
      <c r="T402" s="19">
        <v>8</v>
      </c>
      <c r="U402" s="277"/>
      <c r="V402" s="3"/>
      <c r="W402" s="12" t="s">
        <v>29</v>
      </c>
      <c r="X402" s="12" t="s">
        <v>29</v>
      </c>
      <c r="Y402" s="19">
        <v>8</v>
      </c>
      <c r="Z402" s="277"/>
      <c r="AA402" s="29">
        <f t="shared" si="77"/>
        <v>40</v>
      </c>
      <c r="AB402" s="298">
        <f t="shared" si="78"/>
        <v>0</v>
      </c>
      <c r="AC402" s="3"/>
      <c r="AD402" s="4">
        <v>0</v>
      </c>
      <c r="AE402" s="4">
        <v>0</v>
      </c>
      <c r="AF402" s="19">
        <v>0</v>
      </c>
      <c r="AG402" s="29">
        <f t="shared" si="80"/>
        <v>0</v>
      </c>
      <c r="AH402" s="3"/>
      <c r="AI402" s="227"/>
      <c r="AK402" s="187"/>
      <c r="AL402" s="187"/>
      <c r="AM402" s="187"/>
      <c r="AN402" s="187"/>
      <c r="AO402" s="187"/>
      <c r="AP402" s="187"/>
    </row>
    <row r="403" spans="1:42" s="1" customFormat="1">
      <c r="B403" s="64" t="s">
        <v>61</v>
      </c>
      <c r="C403" s="64"/>
      <c r="D403" s="64"/>
      <c r="E403" s="167">
        <f>SUM(E377:E402)</f>
        <v>172.25</v>
      </c>
      <c r="F403" s="277">
        <f>SUM(F377:F400)</f>
        <v>1</v>
      </c>
      <c r="G403" s="64"/>
      <c r="H403" s="64"/>
      <c r="I403" s="64"/>
      <c r="J403" s="167">
        <f>SUM(J377:J402)</f>
        <v>163</v>
      </c>
      <c r="K403" s="277">
        <f>SUM(K377:K400)</f>
        <v>0</v>
      </c>
      <c r="L403" s="64"/>
      <c r="M403" s="64"/>
      <c r="N403" s="64"/>
      <c r="O403" s="333">
        <f>SUM(O377:O402)</f>
        <v>164.5</v>
      </c>
      <c r="P403" s="277">
        <f>SUM(P377:P400)</f>
        <v>1</v>
      </c>
      <c r="Q403" s="64"/>
      <c r="R403" s="64"/>
      <c r="S403" s="64"/>
      <c r="T403" s="167">
        <f>SUM(T377:T402)</f>
        <v>146.75</v>
      </c>
      <c r="U403" s="277">
        <f>SUM(U377:U400)</f>
        <v>0.5</v>
      </c>
      <c r="V403" s="64"/>
      <c r="W403" s="64"/>
      <c r="X403" s="64"/>
      <c r="Y403" s="333">
        <f>SUM(Y377:Y402)</f>
        <v>157</v>
      </c>
      <c r="Z403" s="277">
        <f>SUM(Z377:Z400)</f>
        <v>0</v>
      </c>
      <c r="AA403" s="247">
        <f>SUM(AA377:AA402)</f>
        <v>803.5</v>
      </c>
      <c r="AB403" s="284">
        <f>SUM(AB377:AB400)</f>
        <v>2.5</v>
      </c>
      <c r="AC403" s="3"/>
      <c r="AD403" s="64"/>
      <c r="AE403" s="64"/>
      <c r="AF403" s="64"/>
      <c r="AG403" s="247">
        <f>SUM(AG377:AG402)</f>
        <v>12</v>
      </c>
      <c r="AH403" s="3"/>
      <c r="AI403" s="227"/>
      <c r="AK403" s="187"/>
      <c r="AL403" s="187"/>
      <c r="AM403" s="187"/>
      <c r="AN403" s="187"/>
      <c r="AO403" s="187"/>
      <c r="AP403" s="187"/>
    </row>
    <row r="404" spans="1:42" s="1" customFormat="1">
      <c r="B404" s="63" t="s">
        <v>62</v>
      </c>
      <c r="C404" s="56"/>
      <c r="D404" s="56"/>
      <c r="E404" s="19">
        <v>8</v>
      </c>
      <c r="F404" s="291"/>
      <c r="G404" s="60"/>
      <c r="H404" s="56"/>
      <c r="I404" s="56"/>
      <c r="J404" s="19">
        <v>8</v>
      </c>
      <c r="K404" s="291"/>
      <c r="L404" s="60"/>
      <c r="M404" s="56"/>
      <c r="N404" s="56"/>
      <c r="O404" s="19">
        <v>8</v>
      </c>
      <c r="P404" s="291"/>
      <c r="Q404" s="60"/>
      <c r="R404" s="56"/>
      <c r="S404" s="56"/>
      <c r="T404" s="19">
        <v>8</v>
      </c>
      <c r="U404" s="291"/>
      <c r="V404" s="60"/>
      <c r="W404" s="56"/>
      <c r="X404" s="56"/>
      <c r="Y404" s="19">
        <v>8</v>
      </c>
      <c r="Z404" s="291"/>
      <c r="AA404" s="28">
        <f>SUM(E404+J404+O404+T404+Y404)</f>
        <v>40</v>
      </c>
      <c r="AB404" s="282">
        <f>Z404+U404+P404+K404+F404</f>
        <v>0</v>
      </c>
      <c r="AC404" s="3"/>
      <c r="AD404" s="56"/>
      <c r="AE404" s="56"/>
      <c r="AF404" s="19"/>
      <c r="AG404" s="29">
        <v>0</v>
      </c>
      <c r="AH404" s="3"/>
      <c r="AI404" s="227"/>
      <c r="AK404" s="187"/>
      <c r="AL404" s="187"/>
      <c r="AM404" s="187"/>
      <c r="AN404" s="187"/>
      <c r="AO404" s="187"/>
      <c r="AP404" s="187"/>
    </row>
    <row r="405" spans="1:42" s="1" customFormat="1">
      <c r="B405" s="63" t="s">
        <v>63</v>
      </c>
      <c r="C405" s="56"/>
      <c r="D405" s="56"/>
      <c r="E405" s="19">
        <v>8</v>
      </c>
      <c r="F405" s="291"/>
      <c r="G405" s="60"/>
      <c r="H405" s="56"/>
      <c r="I405" s="56"/>
      <c r="J405" s="19">
        <v>8</v>
      </c>
      <c r="K405" s="291"/>
      <c r="L405" s="60"/>
      <c r="M405" s="56"/>
      <c r="N405" s="56"/>
      <c r="O405" s="19">
        <v>8</v>
      </c>
      <c r="P405" s="291">
        <v>0.5</v>
      </c>
      <c r="Q405" s="60"/>
      <c r="R405" s="56"/>
      <c r="S405" s="56"/>
      <c r="T405" s="19">
        <v>0</v>
      </c>
      <c r="U405" s="291"/>
      <c r="V405" s="60"/>
      <c r="W405" s="56"/>
      <c r="X405" s="56"/>
      <c r="Y405" s="19">
        <v>0</v>
      </c>
      <c r="Z405" s="291"/>
      <c r="AA405" s="28">
        <f>SUM(E405+J405+O405+T405+Y405)</f>
        <v>24</v>
      </c>
      <c r="AB405" s="282">
        <f>Z405+U405+P405+K405+F405</f>
        <v>0.5</v>
      </c>
      <c r="AC405" s="3"/>
      <c r="AD405" s="56"/>
      <c r="AE405" s="56"/>
      <c r="AF405" s="19"/>
      <c r="AG405" s="29">
        <f>AF405</f>
        <v>0</v>
      </c>
      <c r="AH405" s="3"/>
      <c r="AI405" s="227"/>
      <c r="AK405" s="187"/>
      <c r="AL405" s="187"/>
      <c r="AM405" s="187"/>
      <c r="AN405" s="187"/>
      <c r="AO405" s="187"/>
      <c r="AP405" s="187"/>
    </row>
    <row r="406" spans="1:42" s="1" customFormat="1">
      <c r="B406" s="63" t="s">
        <v>64</v>
      </c>
      <c r="C406" s="56"/>
      <c r="D406" s="56"/>
      <c r="E406" s="19">
        <v>8</v>
      </c>
      <c r="F406" s="291"/>
      <c r="G406" s="60"/>
      <c r="H406" s="56"/>
      <c r="I406" s="56"/>
      <c r="J406" s="19">
        <v>8</v>
      </c>
      <c r="K406" s="291">
        <v>1</v>
      </c>
      <c r="L406" s="60"/>
      <c r="M406" s="56"/>
      <c r="N406" s="56"/>
      <c r="O406" s="19">
        <v>8</v>
      </c>
      <c r="P406" s="291">
        <v>2</v>
      </c>
      <c r="Q406" s="60"/>
      <c r="R406" s="56"/>
      <c r="S406" s="56"/>
      <c r="T406" s="19">
        <v>8</v>
      </c>
      <c r="U406" s="291">
        <v>2.5</v>
      </c>
      <c r="V406" s="60"/>
      <c r="W406" s="56"/>
      <c r="X406" s="56"/>
      <c r="Y406" s="19">
        <v>8</v>
      </c>
      <c r="Z406" s="291">
        <v>2.25</v>
      </c>
      <c r="AA406" s="28">
        <f>SUM(E406+J406+O406+T406+Y406)</f>
        <v>40</v>
      </c>
      <c r="AB406" s="282">
        <f>Z406+U406+P406+K406+F406</f>
        <v>7.75</v>
      </c>
      <c r="AC406" s="3"/>
      <c r="AD406" s="56"/>
      <c r="AE406" s="56"/>
      <c r="AF406" s="19"/>
      <c r="AG406" s="29">
        <v>1.5</v>
      </c>
      <c r="AH406" s="3"/>
      <c r="AI406" s="227"/>
      <c r="AK406" s="187"/>
      <c r="AL406" s="187"/>
      <c r="AM406" s="187"/>
      <c r="AN406" s="187"/>
      <c r="AO406" s="187"/>
      <c r="AP406" s="187"/>
    </row>
    <row r="407" spans="1:42" s="1" customFormat="1" ht="14.25" thickBot="1">
      <c r="B407" s="268" t="s">
        <v>65</v>
      </c>
      <c r="C407" s="75"/>
      <c r="D407" s="75"/>
      <c r="E407" s="77">
        <v>4</v>
      </c>
      <c r="F407" s="292"/>
      <c r="G407" s="81"/>
      <c r="H407" s="75"/>
      <c r="I407" s="75"/>
      <c r="J407" s="77">
        <v>4</v>
      </c>
      <c r="K407" s="292"/>
      <c r="L407" s="81"/>
      <c r="M407" s="75"/>
      <c r="N407" s="75"/>
      <c r="O407" s="77">
        <v>4</v>
      </c>
      <c r="P407" s="292"/>
      <c r="Q407" s="81"/>
      <c r="R407" s="75"/>
      <c r="S407" s="75"/>
      <c r="T407" s="77">
        <v>4</v>
      </c>
      <c r="U407" s="292"/>
      <c r="V407" s="81"/>
      <c r="W407" s="75"/>
      <c r="X407" s="75"/>
      <c r="Y407" s="77">
        <v>4</v>
      </c>
      <c r="Z407" s="292"/>
      <c r="AA407" s="80">
        <f>SUM(E407+J407+O407+T407+Y407)</f>
        <v>20</v>
      </c>
      <c r="AB407" s="294">
        <f>Z407+U407+P407+K407+F407</f>
        <v>0</v>
      </c>
      <c r="AC407" s="3"/>
      <c r="AD407" s="75"/>
      <c r="AE407" s="75"/>
      <c r="AF407" s="77"/>
      <c r="AG407" s="276">
        <v>0</v>
      </c>
      <c r="AH407" s="3"/>
      <c r="AI407" s="227"/>
      <c r="AK407" s="187"/>
      <c r="AL407" s="187"/>
      <c r="AM407" s="187"/>
      <c r="AN407" s="187"/>
      <c r="AO407" s="187"/>
      <c r="AP407" s="187"/>
    </row>
    <row r="408" spans="1:42" s="1" customFormat="1" ht="14.25" thickTop="1">
      <c r="B408" s="71" t="s">
        <v>66</v>
      </c>
      <c r="C408" s="68"/>
      <c r="D408" s="68"/>
      <c r="E408" s="71">
        <f>SUM(E404:E407)</f>
        <v>28</v>
      </c>
      <c r="F408" s="72"/>
      <c r="G408" s="72"/>
      <c r="H408" s="68"/>
      <c r="I408" s="68"/>
      <c r="J408" s="71">
        <f>SUM(J404:J407)</f>
        <v>28</v>
      </c>
      <c r="K408" s="72"/>
      <c r="L408" s="72"/>
      <c r="M408" s="68"/>
      <c r="N408" s="68"/>
      <c r="O408" s="71">
        <f>SUM(O404:O407)</f>
        <v>28</v>
      </c>
      <c r="P408" s="72"/>
      <c r="Q408" s="72"/>
      <c r="R408" s="68"/>
      <c r="S408" s="68"/>
      <c r="T408" s="71">
        <f>SUM(T404:T407)</f>
        <v>20</v>
      </c>
      <c r="U408" s="72"/>
      <c r="V408" s="72"/>
      <c r="W408" s="68"/>
      <c r="X408" s="68"/>
      <c r="Y408" s="102">
        <f>SUM(Y404:Y407)</f>
        <v>20</v>
      </c>
      <c r="Z408" s="72"/>
      <c r="AA408" s="247">
        <f>SUM(AA404:AA407)</f>
        <v>124</v>
      </c>
      <c r="AB408" s="247">
        <f>SUM(AB404:AB407)</f>
        <v>8.25</v>
      </c>
      <c r="AC408" s="3"/>
      <c r="AG408" s="247">
        <v>1.5</v>
      </c>
      <c r="AH408" s="3"/>
      <c r="AI408" s="227"/>
      <c r="AK408" s="187"/>
      <c r="AL408" s="187"/>
      <c r="AM408" s="187"/>
      <c r="AN408" s="187"/>
      <c r="AO408" s="187"/>
      <c r="AP408" s="187"/>
    </row>
    <row r="409" spans="1:42" s="1" customFormat="1" ht="13.5" customHeight="1">
      <c r="A409" s="11"/>
      <c r="B409" s="217" t="s">
        <v>67</v>
      </c>
      <c r="C409" s="207">
        <f>C410+C411</f>
        <v>131</v>
      </c>
      <c r="D409" s="208"/>
      <c r="E409" s="209"/>
      <c r="F409" s="209"/>
      <c r="G409" s="208"/>
      <c r="H409" s="209"/>
      <c r="I409" s="209"/>
      <c r="J409" s="209"/>
      <c r="K409" s="209"/>
      <c r="L409" s="208"/>
      <c r="M409" s="208"/>
      <c r="N409" s="208"/>
      <c r="O409" s="208"/>
      <c r="P409" s="209"/>
      <c r="Q409" s="208"/>
      <c r="R409" s="208"/>
      <c r="S409" s="208"/>
      <c r="T409" s="208"/>
      <c r="U409" s="209"/>
      <c r="V409" s="208"/>
      <c r="W409" s="208"/>
      <c r="X409" s="208"/>
      <c r="Y409" s="210"/>
      <c r="Z409" s="209"/>
      <c r="AA409" s="211"/>
      <c r="AB409" s="209"/>
      <c r="AC409" s="211"/>
      <c r="AD409" s="211"/>
      <c r="AE409" s="211"/>
      <c r="AF409" s="211"/>
      <c r="AG409" s="211"/>
      <c r="AH409" s="3"/>
      <c r="AI409" s="227"/>
      <c r="AK409" s="187"/>
      <c r="AL409" s="187"/>
      <c r="AM409" s="187"/>
      <c r="AN409" s="187"/>
      <c r="AO409" s="187"/>
      <c r="AP409" s="187"/>
    </row>
    <row r="410" spans="1:42" s="1" customFormat="1" ht="14.25">
      <c r="A410" s="11"/>
      <c r="B410" s="238" t="s">
        <v>68</v>
      </c>
      <c r="C410" s="239">
        <f>15+15+13</f>
        <v>43</v>
      </c>
      <c r="D410" s="208"/>
      <c r="E410" s="209"/>
      <c r="F410" s="209"/>
      <c r="G410" s="208"/>
      <c r="H410" s="209"/>
      <c r="I410" s="209"/>
      <c r="J410" s="209"/>
      <c r="K410" s="209"/>
      <c r="L410" s="208"/>
      <c r="M410" s="208"/>
      <c r="N410" s="208"/>
      <c r="O410" s="208"/>
      <c r="P410" s="209"/>
      <c r="Q410" s="208"/>
      <c r="R410" s="208"/>
      <c r="S410" s="208"/>
      <c r="T410" s="208"/>
      <c r="U410" s="209"/>
      <c r="V410" s="208"/>
      <c r="W410" s="208"/>
      <c r="X410" s="208"/>
      <c r="Y410" s="210"/>
      <c r="Z410" s="209"/>
      <c r="AA410" s="211"/>
      <c r="AB410" s="209"/>
      <c r="AC410" s="211"/>
      <c r="AD410" s="211"/>
      <c r="AE410" s="211"/>
      <c r="AF410" s="211"/>
      <c r="AG410" s="211"/>
      <c r="AH410" s="3"/>
      <c r="AI410" s="227"/>
      <c r="AK410" s="187"/>
      <c r="AL410" s="187"/>
      <c r="AM410" s="187"/>
      <c r="AN410" s="187"/>
      <c r="AO410" s="187"/>
      <c r="AP410" s="187"/>
    </row>
    <row r="411" spans="1:42" s="1" customFormat="1" ht="14.25">
      <c r="A411" s="11"/>
      <c r="B411" s="238" t="s">
        <v>69</v>
      </c>
      <c r="C411" s="239">
        <f>12+10+13+27+26</f>
        <v>88</v>
      </c>
      <c r="D411" s="208"/>
      <c r="E411" s="209"/>
      <c r="F411" s="209"/>
      <c r="G411" s="208"/>
      <c r="H411" s="209"/>
      <c r="I411" s="209"/>
      <c r="J411" s="209"/>
      <c r="K411" s="209"/>
      <c r="L411" s="208"/>
      <c r="M411" s="208"/>
      <c r="N411" s="208"/>
      <c r="O411" s="208"/>
      <c r="P411" s="209"/>
      <c r="Q411" s="208"/>
      <c r="R411" s="208"/>
      <c r="S411" s="208"/>
      <c r="T411" s="208"/>
      <c r="U411" s="209"/>
      <c r="V411" s="208"/>
      <c r="W411" s="208"/>
      <c r="X411" s="208"/>
      <c r="Y411" s="210"/>
      <c r="Z411" s="209"/>
      <c r="AA411" s="211"/>
      <c r="AB411" s="209"/>
      <c r="AC411" s="211"/>
      <c r="AD411" s="211"/>
      <c r="AE411" s="211"/>
      <c r="AF411" s="211"/>
      <c r="AG411" s="211"/>
      <c r="AH411" s="3"/>
      <c r="AI411" s="227"/>
      <c r="AK411" s="187"/>
      <c r="AL411" s="187"/>
      <c r="AM411" s="187"/>
      <c r="AN411" s="187"/>
      <c r="AO411" s="187"/>
      <c r="AP411" s="187"/>
    </row>
    <row r="412" spans="1:42" s="1" customFormat="1" ht="14.25">
      <c r="A412" s="11"/>
      <c r="B412" s="218"/>
      <c r="C412" s="332"/>
      <c r="D412" s="220"/>
      <c r="E412" s="221"/>
      <c r="F412" s="221"/>
      <c r="G412" s="220"/>
      <c r="H412" s="221"/>
      <c r="I412" s="221"/>
      <c r="J412" s="221"/>
      <c r="K412" s="221"/>
      <c r="L412" s="220"/>
      <c r="M412" s="220"/>
      <c r="N412" s="220"/>
      <c r="O412" s="220"/>
      <c r="P412" s="221"/>
      <c r="Q412" s="220"/>
      <c r="R412" s="220"/>
      <c r="S412" s="220"/>
      <c r="T412" s="220"/>
      <c r="U412" s="221"/>
      <c r="V412" s="220"/>
      <c r="W412" s="220"/>
      <c r="X412" s="220"/>
      <c r="Y412" s="222"/>
      <c r="Z412" s="221"/>
      <c r="AA412" s="223"/>
      <c r="AB412" s="221"/>
      <c r="AC412" s="3"/>
      <c r="AD412" s="168"/>
      <c r="AH412" s="3"/>
      <c r="AI412" s="227"/>
      <c r="AK412" s="187"/>
      <c r="AL412" s="187"/>
      <c r="AM412" s="187"/>
      <c r="AN412" s="187"/>
      <c r="AO412" s="187"/>
      <c r="AP412" s="187"/>
    </row>
    <row r="413" spans="1:42" s="227" customFormat="1" ht="14.25">
      <c r="A413" s="228"/>
      <c r="B413" s="229"/>
      <c r="C413" s="230"/>
      <c r="D413" s="231"/>
      <c r="E413" s="232"/>
      <c r="F413" s="232"/>
      <c r="G413" s="231"/>
      <c r="H413" s="232"/>
      <c r="I413" s="232"/>
      <c r="J413" s="232"/>
      <c r="K413" s="232"/>
      <c r="L413" s="231"/>
      <c r="M413" s="231"/>
      <c r="N413" s="231"/>
      <c r="O413" s="231"/>
      <c r="P413" s="232"/>
      <c r="Q413" s="231"/>
      <c r="R413" s="231"/>
      <c r="S413" s="231"/>
      <c r="T413" s="231"/>
      <c r="U413" s="232"/>
      <c r="V413" s="231"/>
      <c r="W413" s="231"/>
      <c r="X413" s="231"/>
      <c r="Y413" s="233"/>
      <c r="Z413" s="232"/>
      <c r="AA413" s="234"/>
      <c r="AB413" s="232"/>
      <c r="AC413" s="235"/>
      <c r="AD413" s="236"/>
      <c r="AH413" s="235"/>
    </row>
    <row r="414" spans="1:42" s="187" customFormat="1">
      <c r="A414" s="224"/>
      <c r="B414" s="214"/>
      <c r="C414" s="215"/>
      <c r="D414" s="215"/>
      <c r="E414" s="214"/>
      <c r="F414" s="214"/>
      <c r="G414" s="215"/>
      <c r="H414" s="214"/>
      <c r="I414" s="214"/>
      <c r="J414" s="214"/>
      <c r="K414" s="214"/>
      <c r="L414" s="215"/>
      <c r="M414" s="215"/>
      <c r="N414" s="215"/>
      <c r="O414" s="215"/>
      <c r="P414" s="214"/>
      <c r="Q414" s="215"/>
      <c r="R414" s="215"/>
      <c r="S414" s="215"/>
      <c r="T414" s="215"/>
      <c r="U414" s="214"/>
      <c r="V414" s="215"/>
      <c r="W414" s="215"/>
      <c r="X414" s="215"/>
      <c r="Y414" s="216"/>
      <c r="Z414" s="214"/>
      <c r="AA414" s="225"/>
      <c r="AB414" s="214"/>
      <c r="AC414" s="226"/>
      <c r="AH414" s="226"/>
      <c r="AI414" s="227"/>
    </row>
    <row r="415" spans="1:42" s="1" customFormat="1">
      <c r="B415" s="1518" t="s">
        <v>18</v>
      </c>
      <c r="C415" s="1524">
        <v>45159</v>
      </c>
      <c r="D415" s="1524"/>
      <c r="E415" s="1524"/>
      <c r="F415" s="1524"/>
      <c r="G415" s="22"/>
      <c r="H415" s="1524">
        <v>45160</v>
      </c>
      <c r="I415" s="1524"/>
      <c r="J415" s="1524"/>
      <c r="K415" s="1524"/>
      <c r="L415" s="22"/>
      <c r="M415" s="1524">
        <v>45161</v>
      </c>
      <c r="N415" s="1524"/>
      <c r="O415" s="1524"/>
      <c r="P415" s="1524"/>
      <c r="Q415" s="22"/>
      <c r="R415" s="1524">
        <v>45162</v>
      </c>
      <c r="S415" s="1524"/>
      <c r="T415" s="1524"/>
      <c r="U415" s="1524"/>
      <c r="V415" s="22"/>
      <c r="W415" s="1524">
        <v>45163</v>
      </c>
      <c r="X415" s="1524"/>
      <c r="Y415" s="1524"/>
      <c r="Z415" s="1524"/>
      <c r="AA415" s="1517" t="s">
        <v>19</v>
      </c>
      <c r="AB415" s="1517" t="s">
        <v>20</v>
      </c>
      <c r="AC415" s="3"/>
      <c r="AD415" s="1524">
        <v>45164</v>
      </c>
      <c r="AE415" s="1524"/>
      <c r="AF415" s="1524"/>
      <c r="AG415" s="1517" t="s">
        <v>21</v>
      </c>
      <c r="AH415" s="3"/>
      <c r="AI415" s="227"/>
      <c r="AK415" s="194" t="s">
        <v>181</v>
      </c>
      <c r="AL415" s="195"/>
      <c r="AM415" s="195"/>
      <c r="AN415" s="195"/>
      <c r="AO415" s="195"/>
      <c r="AP415" s="195"/>
    </row>
    <row r="416" spans="1:42" s="176" customFormat="1" ht="14.25">
      <c r="B416" s="1518"/>
      <c r="C416" s="21" t="s">
        <v>23</v>
      </c>
      <c r="D416" s="21" t="s">
        <v>24</v>
      </c>
      <c r="E416" s="205" t="s">
        <v>25</v>
      </c>
      <c r="F416" s="18" t="s">
        <v>14</v>
      </c>
      <c r="G416" s="3"/>
      <c r="H416" s="21" t="s">
        <v>23</v>
      </c>
      <c r="I416" s="21" t="s">
        <v>24</v>
      </c>
      <c r="J416" s="18" t="s">
        <v>25</v>
      </c>
      <c r="K416" s="18" t="s">
        <v>14</v>
      </c>
      <c r="L416" s="3"/>
      <c r="M416" s="21" t="s">
        <v>23</v>
      </c>
      <c r="N416" s="21" t="s">
        <v>24</v>
      </c>
      <c r="O416" s="18" t="s">
        <v>25</v>
      </c>
      <c r="P416" s="18" t="s">
        <v>14</v>
      </c>
      <c r="Q416" s="3"/>
      <c r="R416" s="21" t="s">
        <v>23</v>
      </c>
      <c r="S416" s="21" t="s">
        <v>24</v>
      </c>
      <c r="T416" s="18" t="s">
        <v>25</v>
      </c>
      <c r="U416" s="18" t="s">
        <v>14</v>
      </c>
      <c r="V416" s="3"/>
      <c r="W416" s="21" t="s">
        <v>23</v>
      </c>
      <c r="X416" s="21" t="s">
        <v>24</v>
      </c>
      <c r="Y416" s="18" t="s">
        <v>25</v>
      </c>
      <c r="Z416" s="18" t="s">
        <v>14</v>
      </c>
      <c r="AA416" s="1523"/>
      <c r="AB416" s="1517"/>
      <c r="AC416" s="3"/>
      <c r="AD416" s="21" t="s">
        <v>23</v>
      </c>
      <c r="AE416" s="21" t="s">
        <v>24</v>
      </c>
      <c r="AF416" s="18" t="s">
        <v>25</v>
      </c>
      <c r="AG416" s="1523"/>
      <c r="AH416" s="174"/>
      <c r="AI416" s="257"/>
      <c r="AK416" s="188" t="s">
        <v>26</v>
      </c>
      <c r="AL416" s="196">
        <f>AA444</f>
        <v>600.75</v>
      </c>
      <c r="AM416" s="187"/>
      <c r="AN416" s="187"/>
      <c r="AO416" s="187"/>
      <c r="AP416" s="187"/>
    </row>
    <row r="417" spans="2:42" s="176" customFormat="1" ht="14.25">
      <c r="B417" s="171" t="s">
        <v>46</v>
      </c>
      <c r="C417" s="47">
        <v>0.35416666666666669</v>
      </c>
      <c r="D417" s="47">
        <v>0.20833333333333334</v>
      </c>
      <c r="E417" s="19">
        <v>7.5</v>
      </c>
      <c r="F417" s="277"/>
      <c r="G417" s="174"/>
      <c r="H417" s="172">
        <v>0.35416666666666669</v>
      </c>
      <c r="I417" s="172">
        <v>0.20833333333333334</v>
      </c>
      <c r="J417" s="173">
        <v>8</v>
      </c>
      <c r="K417" s="277"/>
      <c r="L417" s="174"/>
      <c r="M417" s="12" t="s">
        <v>29</v>
      </c>
      <c r="N417" s="12" t="s">
        <v>29</v>
      </c>
      <c r="O417" s="19">
        <v>8</v>
      </c>
      <c r="P417" s="277"/>
      <c r="Q417" s="174"/>
      <c r="R417" s="172">
        <v>0.33333333333333331</v>
      </c>
      <c r="S417" s="172">
        <v>0.20833333333333334</v>
      </c>
      <c r="T417" s="173">
        <v>8</v>
      </c>
      <c r="U417" s="277"/>
      <c r="V417" s="174"/>
      <c r="W417" s="172">
        <v>0.33333333333333331</v>
      </c>
      <c r="X417" s="172">
        <v>0.20833333333333334</v>
      </c>
      <c r="Y417" s="173">
        <v>8</v>
      </c>
      <c r="Z417" s="277"/>
      <c r="AA417" s="28">
        <f t="shared" ref="AA417:AA439" si="81">(E417+J417+O417+T417+Y417)</f>
        <v>39.5</v>
      </c>
      <c r="AB417" s="298">
        <f t="shared" ref="AB417:AB443" si="82">Z417+U417+P417+K417+F417</f>
        <v>0</v>
      </c>
      <c r="AC417" s="174"/>
      <c r="AD417" s="175">
        <v>0</v>
      </c>
      <c r="AE417" s="175">
        <v>0</v>
      </c>
      <c r="AF417" s="173">
        <v>0</v>
      </c>
      <c r="AG417" s="183">
        <f t="shared" ref="AG417:AG434" si="83">AF417</f>
        <v>0</v>
      </c>
      <c r="AH417" s="174"/>
      <c r="AI417" s="257"/>
      <c r="AK417" s="188" t="s">
        <v>30</v>
      </c>
      <c r="AL417" s="190">
        <f>AB444</f>
        <v>0</v>
      </c>
      <c r="AM417" s="187"/>
      <c r="AN417" s="187"/>
      <c r="AO417" s="187"/>
      <c r="AP417" s="187"/>
    </row>
    <row r="418" spans="2:42" s="176" customFormat="1" ht="14.25">
      <c r="B418" s="171" t="s">
        <v>47</v>
      </c>
      <c r="C418" s="4">
        <v>0</v>
      </c>
      <c r="D418" s="4">
        <v>0</v>
      </c>
      <c r="E418" s="173">
        <v>0</v>
      </c>
      <c r="F418" s="277"/>
      <c r="G418" s="174"/>
      <c r="H418" s="4">
        <v>0</v>
      </c>
      <c r="I418" s="4">
        <v>0</v>
      </c>
      <c r="J418" s="19">
        <v>0</v>
      </c>
      <c r="K418" s="277"/>
      <c r="L418" s="174"/>
      <c r="M418" s="4">
        <v>0</v>
      </c>
      <c r="N418" s="4">
        <v>0</v>
      </c>
      <c r="O418" s="173">
        <v>0</v>
      </c>
      <c r="P418" s="277"/>
      <c r="Q418" s="174"/>
      <c r="R418" s="4">
        <v>0</v>
      </c>
      <c r="S418" s="4">
        <v>0</v>
      </c>
      <c r="T418" s="173">
        <v>0</v>
      </c>
      <c r="U418" s="277"/>
      <c r="V418" s="174"/>
      <c r="W418" s="4">
        <v>0</v>
      </c>
      <c r="X418" s="4">
        <v>0</v>
      </c>
      <c r="Y418" s="19">
        <v>0</v>
      </c>
      <c r="Z418" s="277"/>
      <c r="AA418" s="28">
        <f t="shared" si="81"/>
        <v>0</v>
      </c>
      <c r="AB418" s="298">
        <f t="shared" si="82"/>
        <v>0</v>
      </c>
      <c r="AC418" s="174"/>
      <c r="AD418" s="175">
        <v>0</v>
      </c>
      <c r="AE418" s="175">
        <v>0</v>
      </c>
      <c r="AF418" s="173">
        <v>0</v>
      </c>
      <c r="AG418" s="28">
        <f t="shared" si="83"/>
        <v>0</v>
      </c>
      <c r="AH418" s="174"/>
      <c r="AI418" s="257"/>
      <c r="AK418" s="188" t="s">
        <v>32</v>
      </c>
      <c r="AL418" s="190">
        <f>AG444</f>
        <v>0</v>
      </c>
      <c r="AM418" s="187"/>
      <c r="AN418" s="187"/>
      <c r="AO418" s="187"/>
      <c r="AP418" s="187"/>
    </row>
    <row r="419" spans="2:42" s="176" customFormat="1" ht="14.25">
      <c r="B419" s="171" t="s">
        <v>31</v>
      </c>
      <c r="C419" s="172">
        <v>0.33333333333333331</v>
      </c>
      <c r="D419" s="172">
        <v>0.20833333333333334</v>
      </c>
      <c r="E419" s="173">
        <v>8</v>
      </c>
      <c r="F419" s="277"/>
      <c r="G419" s="174"/>
      <c r="H419" s="315">
        <v>0.33333333333333331</v>
      </c>
      <c r="I419" s="172">
        <v>0.20833333333333334</v>
      </c>
      <c r="J419" s="173">
        <v>8</v>
      </c>
      <c r="K419" s="277"/>
      <c r="L419" s="174"/>
      <c r="M419" s="172">
        <v>0.33333333333333331</v>
      </c>
      <c r="N419" s="172">
        <v>0.20833333333333334</v>
      </c>
      <c r="O419" s="173">
        <v>8</v>
      </c>
      <c r="P419" s="277"/>
      <c r="Q419" s="174"/>
      <c r="R419" s="172">
        <v>0.34375</v>
      </c>
      <c r="S419" s="172">
        <v>0.20833333333333334</v>
      </c>
      <c r="T419" s="173">
        <v>7.75</v>
      </c>
      <c r="U419" s="277"/>
      <c r="V419" s="174"/>
      <c r="W419" s="12" t="s">
        <v>29</v>
      </c>
      <c r="X419" s="12" t="s">
        <v>29</v>
      </c>
      <c r="Y419" s="19">
        <v>8</v>
      </c>
      <c r="Z419" s="277"/>
      <c r="AA419" s="28">
        <f t="shared" si="81"/>
        <v>39.75</v>
      </c>
      <c r="AB419" s="298">
        <f t="shared" si="82"/>
        <v>0</v>
      </c>
      <c r="AC419" s="174"/>
      <c r="AD419" s="175">
        <v>0</v>
      </c>
      <c r="AE419" s="175">
        <v>0</v>
      </c>
      <c r="AF419" s="173">
        <v>0</v>
      </c>
      <c r="AG419" s="28">
        <f t="shared" si="83"/>
        <v>0</v>
      </c>
      <c r="AH419" s="174"/>
      <c r="AI419" s="257"/>
      <c r="AK419" s="188" t="s">
        <v>34</v>
      </c>
      <c r="AL419" s="190">
        <f>AA449</f>
        <v>140</v>
      </c>
      <c r="AM419" s="187"/>
      <c r="AN419" s="187"/>
      <c r="AO419" s="187"/>
      <c r="AP419" s="187"/>
    </row>
    <row r="420" spans="2:42" s="1" customFormat="1" ht="14.25">
      <c r="B420" s="171" t="s">
        <v>33</v>
      </c>
      <c r="C420" s="172">
        <v>0.34375</v>
      </c>
      <c r="D420" s="172">
        <v>0.20833333333333334</v>
      </c>
      <c r="E420" s="173">
        <v>7.75</v>
      </c>
      <c r="F420" s="277"/>
      <c r="G420" s="174"/>
      <c r="H420" s="172">
        <v>0.33333333333333331</v>
      </c>
      <c r="I420" s="172">
        <v>0.20833333333333334</v>
      </c>
      <c r="J420" s="173">
        <v>8</v>
      </c>
      <c r="K420" s="277"/>
      <c r="L420" s="174"/>
      <c r="M420" s="172">
        <v>0.40625</v>
      </c>
      <c r="N420" s="172">
        <v>0.20833333333333334</v>
      </c>
      <c r="O420" s="173">
        <v>6.25</v>
      </c>
      <c r="P420" s="277"/>
      <c r="Q420" s="174"/>
      <c r="R420" s="172" t="s">
        <v>29</v>
      </c>
      <c r="S420" s="172" t="s">
        <v>29</v>
      </c>
      <c r="T420" s="173">
        <v>0</v>
      </c>
      <c r="U420" s="277"/>
      <c r="V420" s="174"/>
      <c r="W420" s="172">
        <v>0.33333333333333331</v>
      </c>
      <c r="X420" s="172">
        <v>0.20833333333333334</v>
      </c>
      <c r="Y420" s="173">
        <v>8</v>
      </c>
      <c r="Z420" s="277"/>
      <c r="AA420" s="28">
        <f t="shared" si="81"/>
        <v>30</v>
      </c>
      <c r="AB420" s="298">
        <f t="shared" si="82"/>
        <v>0</v>
      </c>
      <c r="AC420" s="174"/>
      <c r="AD420" s="175">
        <v>0</v>
      </c>
      <c r="AE420" s="175">
        <v>0</v>
      </c>
      <c r="AF420" s="173">
        <v>0</v>
      </c>
      <c r="AG420" s="28">
        <f t="shared" si="83"/>
        <v>0</v>
      </c>
      <c r="AH420" s="3"/>
      <c r="AI420" s="227"/>
      <c r="AK420" s="188" t="s">
        <v>36</v>
      </c>
      <c r="AL420" s="196">
        <f>AB449</f>
        <v>9.25</v>
      </c>
      <c r="AM420" s="187"/>
      <c r="AN420" s="187"/>
      <c r="AO420" s="187"/>
      <c r="AP420" s="187"/>
    </row>
    <row r="421" spans="2:42" s="176" customFormat="1" ht="14.25">
      <c r="B421" s="171" t="s">
        <v>142</v>
      </c>
      <c r="C421" s="177">
        <v>0.38541666666666669</v>
      </c>
      <c r="D421" s="172">
        <v>0.20833333333333334</v>
      </c>
      <c r="E421" s="173">
        <v>6.75</v>
      </c>
      <c r="F421" s="277"/>
      <c r="G421" s="174"/>
      <c r="H421" s="326">
        <v>0.38541666666666669</v>
      </c>
      <c r="I421" s="47">
        <v>0.20833333333333334</v>
      </c>
      <c r="J421" s="173">
        <v>6.75</v>
      </c>
      <c r="K421" s="277"/>
      <c r="L421" s="174"/>
      <c r="M421" s="172">
        <v>0.38541666666666669</v>
      </c>
      <c r="N421" s="172">
        <v>0.20833333333333334</v>
      </c>
      <c r="O421" s="173">
        <v>6.75</v>
      </c>
      <c r="P421" s="277"/>
      <c r="Q421" s="174"/>
      <c r="R421" s="172">
        <v>0.39583333333333331</v>
      </c>
      <c r="S421" s="172">
        <v>0.20833333333333334</v>
      </c>
      <c r="T421" s="173">
        <v>6.5</v>
      </c>
      <c r="U421" s="277"/>
      <c r="V421" s="174"/>
      <c r="W421" s="172">
        <v>0.41666666666666669</v>
      </c>
      <c r="X421" s="172">
        <v>0.20833333333333334</v>
      </c>
      <c r="Y421" s="173">
        <v>6</v>
      </c>
      <c r="Z421" s="277"/>
      <c r="AA421" s="28">
        <f t="shared" si="81"/>
        <v>32.75</v>
      </c>
      <c r="AB421" s="298">
        <f t="shared" si="82"/>
        <v>0</v>
      </c>
      <c r="AC421" s="174"/>
      <c r="AD421" s="175">
        <v>0</v>
      </c>
      <c r="AE421" s="175">
        <v>0</v>
      </c>
      <c r="AF421" s="173">
        <v>0</v>
      </c>
      <c r="AG421" s="28">
        <f t="shared" si="83"/>
        <v>0</v>
      </c>
      <c r="AH421" s="174"/>
      <c r="AI421" s="257"/>
      <c r="AK421" s="188" t="s">
        <v>38</v>
      </c>
      <c r="AL421" s="199">
        <f>AG449</f>
        <v>0.5</v>
      </c>
      <c r="AM421" s="187"/>
      <c r="AN421" s="187"/>
      <c r="AO421" s="187"/>
      <c r="AP421" s="187"/>
    </row>
    <row r="422" spans="2:42" s="1" customFormat="1" ht="14.25">
      <c r="B422" s="13" t="s">
        <v>129</v>
      </c>
      <c r="C422" s="47">
        <v>0.34375</v>
      </c>
      <c r="D422" s="172">
        <v>0.20833333333333334</v>
      </c>
      <c r="E422" s="19">
        <v>7.75</v>
      </c>
      <c r="F422" s="277"/>
      <c r="G422" s="3"/>
      <c r="H422" s="47">
        <v>0.33333333333333331</v>
      </c>
      <c r="I422" s="47">
        <v>0.20833333333333334</v>
      </c>
      <c r="J422" s="19">
        <v>8</v>
      </c>
      <c r="K422" s="277"/>
      <c r="L422" s="3"/>
      <c r="M422" s="47">
        <v>0.34375</v>
      </c>
      <c r="N422" s="47">
        <v>0.20833333333333334</v>
      </c>
      <c r="O422" s="19">
        <v>7.75</v>
      </c>
      <c r="P422" s="277"/>
      <c r="Q422" s="3"/>
      <c r="R422" s="47">
        <v>0.35416666666666669</v>
      </c>
      <c r="S422" s="47">
        <v>0.20833333333333334</v>
      </c>
      <c r="T422" s="19">
        <v>7.5</v>
      </c>
      <c r="U422" s="277"/>
      <c r="V422" s="3"/>
      <c r="W422" s="47">
        <v>0.35416666666666669</v>
      </c>
      <c r="X422" s="47">
        <v>0.20833333333333334</v>
      </c>
      <c r="Y422" s="19">
        <v>7.5</v>
      </c>
      <c r="Z422" s="277"/>
      <c r="AA422" s="29">
        <f t="shared" si="81"/>
        <v>38.5</v>
      </c>
      <c r="AB422" s="298">
        <f t="shared" si="82"/>
        <v>0</v>
      </c>
      <c r="AC422" s="3"/>
      <c r="AD422" s="4">
        <v>0</v>
      </c>
      <c r="AE422" s="4">
        <v>0</v>
      </c>
      <c r="AF422" s="19">
        <v>0</v>
      </c>
      <c r="AG422" s="29">
        <f t="shared" si="83"/>
        <v>0</v>
      </c>
      <c r="AH422" s="3"/>
      <c r="AI422" s="227"/>
      <c r="AK422" s="188" t="s">
        <v>32</v>
      </c>
      <c r="AL422" s="190">
        <f>AG444</f>
        <v>0</v>
      </c>
      <c r="AM422" s="191"/>
      <c r="AN422" s="191"/>
      <c r="AO422" s="191"/>
      <c r="AP422" s="191"/>
    </row>
    <row r="423" spans="2:42" s="1" customFormat="1" ht="14.25">
      <c r="B423" s="13" t="s">
        <v>35</v>
      </c>
      <c r="C423" s="47">
        <v>0.38541666666666669</v>
      </c>
      <c r="D423" s="172">
        <v>0.20833333333333334</v>
      </c>
      <c r="E423" s="19">
        <v>6.75</v>
      </c>
      <c r="F423" s="277"/>
      <c r="G423" s="3"/>
      <c r="H423" s="326">
        <v>0.39583333333333331</v>
      </c>
      <c r="I423" s="47">
        <v>0.20833333333333334</v>
      </c>
      <c r="J423" s="19">
        <v>6.5</v>
      </c>
      <c r="K423" s="277"/>
      <c r="L423" s="3"/>
      <c r="M423" s="314">
        <v>0.39583333333333331</v>
      </c>
      <c r="N423" s="47">
        <v>0.20833333333333334</v>
      </c>
      <c r="O423" s="19">
        <v>6.5</v>
      </c>
      <c r="P423" s="277"/>
      <c r="Q423" s="3"/>
      <c r="R423" s="47">
        <v>0.39583333333333331</v>
      </c>
      <c r="S423" s="47">
        <v>0.20833333333333334</v>
      </c>
      <c r="T423" s="19">
        <v>6.5</v>
      </c>
      <c r="U423" s="277"/>
      <c r="V423" s="3"/>
      <c r="W423" s="47">
        <v>0.35416666666666669</v>
      </c>
      <c r="X423" s="47">
        <v>0.20833333333333334</v>
      </c>
      <c r="Y423" s="19">
        <v>7.5</v>
      </c>
      <c r="Z423" s="277"/>
      <c r="AA423" s="29">
        <f t="shared" si="81"/>
        <v>33.75</v>
      </c>
      <c r="AB423" s="298">
        <f t="shared" si="82"/>
        <v>0</v>
      </c>
      <c r="AC423" s="3"/>
      <c r="AD423" s="4">
        <v>0</v>
      </c>
      <c r="AE423" s="4">
        <v>0</v>
      </c>
      <c r="AF423" s="19">
        <v>0</v>
      </c>
      <c r="AG423" s="29">
        <f t="shared" si="83"/>
        <v>0</v>
      </c>
      <c r="AH423" s="3"/>
      <c r="AI423" s="227"/>
      <c r="AK423" s="188" t="s">
        <v>41</v>
      </c>
      <c r="AL423" s="190">
        <f>C450</f>
        <v>48</v>
      </c>
      <c r="AM423" s="187"/>
      <c r="AN423" s="187"/>
      <c r="AO423" s="187"/>
      <c r="AP423" s="187"/>
    </row>
    <row r="424" spans="2:42" s="1" customFormat="1" ht="14.25">
      <c r="B424" s="13" t="s">
        <v>37</v>
      </c>
      <c r="C424" s="12" t="s">
        <v>29</v>
      </c>
      <c r="D424" s="12" t="s">
        <v>29</v>
      </c>
      <c r="E424" s="19">
        <v>8</v>
      </c>
      <c r="F424" s="277"/>
      <c r="G424" s="3"/>
      <c r="H424" s="4">
        <v>0</v>
      </c>
      <c r="I424" s="4">
        <v>0</v>
      </c>
      <c r="J424" s="19">
        <v>0</v>
      </c>
      <c r="K424" s="277"/>
      <c r="L424" s="3"/>
      <c r="M424" s="4">
        <v>0</v>
      </c>
      <c r="N424" s="4">
        <v>0</v>
      </c>
      <c r="O424" s="19">
        <v>0</v>
      </c>
      <c r="P424" s="277"/>
      <c r="Q424" s="3"/>
      <c r="R424" s="47" t="s">
        <v>29</v>
      </c>
      <c r="S424" s="47" t="s">
        <v>29</v>
      </c>
      <c r="T424" s="19">
        <v>0</v>
      </c>
      <c r="U424" s="277"/>
      <c r="V424" s="3"/>
      <c r="W424" s="4">
        <v>0</v>
      </c>
      <c r="X424" s="4">
        <v>0</v>
      </c>
      <c r="Y424" s="19">
        <v>0</v>
      </c>
      <c r="Z424" s="277"/>
      <c r="AA424" s="29">
        <f t="shared" si="81"/>
        <v>8</v>
      </c>
      <c r="AB424" s="298">
        <f t="shared" si="82"/>
        <v>0</v>
      </c>
      <c r="AC424" s="3"/>
      <c r="AD424" s="4">
        <v>0</v>
      </c>
      <c r="AE424" s="4">
        <v>0</v>
      </c>
      <c r="AF424" s="19">
        <v>0</v>
      </c>
      <c r="AG424" s="29">
        <f t="shared" si="83"/>
        <v>0</v>
      </c>
      <c r="AH424" s="3"/>
      <c r="AI424" s="227"/>
      <c r="AK424" s="187"/>
      <c r="AL424" s="187"/>
      <c r="AM424" s="187"/>
      <c r="AN424" s="187"/>
      <c r="AO424" s="187"/>
      <c r="AP424" s="187"/>
    </row>
    <row r="425" spans="2:42" s="1" customFormat="1" ht="14.25">
      <c r="B425" s="13" t="s">
        <v>39</v>
      </c>
      <c r="C425" s="4">
        <v>0</v>
      </c>
      <c r="D425" s="4">
        <v>0</v>
      </c>
      <c r="E425" s="19">
        <v>0</v>
      </c>
      <c r="F425" s="277"/>
      <c r="G425" s="3"/>
      <c r="H425" s="4">
        <v>0</v>
      </c>
      <c r="I425" s="4">
        <v>0</v>
      </c>
      <c r="J425" s="19">
        <v>0</v>
      </c>
      <c r="K425" s="277"/>
      <c r="L425" s="3"/>
      <c r="M425" s="4">
        <v>0</v>
      </c>
      <c r="N425" s="4">
        <v>0</v>
      </c>
      <c r="O425" s="19">
        <v>0</v>
      </c>
      <c r="P425" s="277"/>
      <c r="Q425" s="3"/>
      <c r="R425" s="4">
        <v>0</v>
      </c>
      <c r="S425" s="4">
        <v>0</v>
      </c>
      <c r="T425" s="19">
        <v>0</v>
      </c>
      <c r="U425" s="277"/>
      <c r="V425" s="3"/>
      <c r="W425" s="4">
        <v>0</v>
      </c>
      <c r="X425" s="4">
        <v>0</v>
      </c>
      <c r="Y425" s="19">
        <v>0</v>
      </c>
      <c r="Z425" s="277"/>
      <c r="AA425" s="29">
        <f t="shared" si="81"/>
        <v>0</v>
      </c>
      <c r="AB425" s="298">
        <f t="shared" si="82"/>
        <v>0</v>
      </c>
      <c r="AC425" s="3"/>
      <c r="AD425" s="4">
        <v>0</v>
      </c>
      <c r="AE425" s="4">
        <v>0</v>
      </c>
      <c r="AF425" s="19">
        <v>0</v>
      </c>
      <c r="AG425" s="29">
        <f t="shared" si="83"/>
        <v>0</v>
      </c>
      <c r="AH425" s="3"/>
      <c r="AI425" s="227"/>
      <c r="AK425" s="187"/>
      <c r="AL425" s="187"/>
      <c r="AM425" s="187"/>
      <c r="AN425" s="187"/>
      <c r="AO425" s="187"/>
      <c r="AP425" s="187"/>
    </row>
    <row r="426" spans="2:42" s="1" customFormat="1" ht="14.25">
      <c r="B426" s="164" t="s">
        <v>40</v>
      </c>
      <c r="C426" s="4">
        <v>0</v>
      </c>
      <c r="D426" s="4">
        <v>0</v>
      </c>
      <c r="E426" s="19">
        <v>0</v>
      </c>
      <c r="F426" s="277"/>
      <c r="G426" s="3"/>
      <c r="H426" s="4">
        <v>0</v>
      </c>
      <c r="I426" s="4">
        <v>0</v>
      </c>
      <c r="J426" s="19">
        <v>0</v>
      </c>
      <c r="K426" s="277"/>
      <c r="L426" s="3"/>
      <c r="M426" s="4">
        <v>0</v>
      </c>
      <c r="N426" s="4">
        <v>0</v>
      </c>
      <c r="O426" s="19">
        <v>0</v>
      </c>
      <c r="P426" s="277"/>
      <c r="Q426" s="3"/>
      <c r="R426" s="4">
        <v>0</v>
      </c>
      <c r="S426" s="4">
        <v>0</v>
      </c>
      <c r="T426" s="19">
        <v>0</v>
      </c>
      <c r="U426" s="277"/>
      <c r="V426" s="3"/>
      <c r="W426" s="4">
        <v>0</v>
      </c>
      <c r="X426" s="4">
        <v>0</v>
      </c>
      <c r="Y426" s="19">
        <v>0</v>
      </c>
      <c r="Z426" s="277"/>
      <c r="AA426" s="29">
        <f t="shared" si="81"/>
        <v>0</v>
      </c>
      <c r="AB426" s="298">
        <f t="shared" si="82"/>
        <v>0</v>
      </c>
      <c r="AC426" s="3"/>
      <c r="AD426" s="4">
        <v>0</v>
      </c>
      <c r="AE426" s="4">
        <v>0</v>
      </c>
      <c r="AF426" s="19">
        <v>0</v>
      </c>
      <c r="AG426" s="29">
        <f t="shared" si="83"/>
        <v>0</v>
      </c>
      <c r="AH426" s="3"/>
      <c r="AI426" s="227"/>
      <c r="AK426" s="187"/>
      <c r="AL426" s="187"/>
      <c r="AM426" s="187"/>
      <c r="AN426" s="187"/>
      <c r="AO426" s="187"/>
      <c r="AP426" s="187"/>
    </row>
    <row r="427" spans="2:42" s="1" customFormat="1" ht="14.25">
      <c r="B427" s="164" t="s">
        <v>42</v>
      </c>
      <c r="C427" s="4">
        <v>0</v>
      </c>
      <c r="D427" s="4">
        <v>0</v>
      </c>
      <c r="E427" s="19">
        <v>0</v>
      </c>
      <c r="F427" s="277"/>
      <c r="G427" s="3"/>
      <c r="H427" s="4">
        <v>0</v>
      </c>
      <c r="I427" s="4">
        <v>0</v>
      </c>
      <c r="J427" s="19">
        <v>0</v>
      </c>
      <c r="K427" s="277"/>
      <c r="L427" s="3"/>
      <c r="M427" s="4">
        <v>0</v>
      </c>
      <c r="N427" s="4">
        <v>0</v>
      </c>
      <c r="O427" s="19">
        <v>0</v>
      </c>
      <c r="P427" s="277"/>
      <c r="Q427" s="3"/>
      <c r="R427" s="4">
        <v>0</v>
      </c>
      <c r="S427" s="4">
        <v>0</v>
      </c>
      <c r="T427" s="19">
        <v>0</v>
      </c>
      <c r="U427" s="277"/>
      <c r="V427" s="3"/>
      <c r="W427" s="4">
        <v>0</v>
      </c>
      <c r="X427" s="4">
        <v>0</v>
      </c>
      <c r="Y427" s="19">
        <v>0</v>
      </c>
      <c r="Z427" s="277"/>
      <c r="AA427" s="29">
        <f t="shared" si="81"/>
        <v>0</v>
      </c>
      <c r="AB427" s="298">
        <f t="shared" si="82"/>
        <v>0</v>
      </c>
      <c r="AC427" s="3"/>
      <c r="AD427" s="4">
        <v>0</v>
      </c>
      <c r="AE427" s="4">
        <v>0</v>
      </c>
      <c r="AF427" s="19">
        <v>0</v>
      </c>
      <c r="AG427" s="29">
        <f t="shared" si="83"/>
        <v>0</v>
      </c>
      <c r="AH427" s="3"/>
      <c r="AI427" s="227"/>
      <c r="AK427" s="187"/>
      <c r="AL427" s="187"/>
      <c r="AM427" s="187"/>
      <c r="AN427" s="187"/>
      <c r="AO427" s="187"/>
      <c r="AP427" s="187"/>
    </row>
    <row r="428" spans="2:42" s="1" customFormat="1" ht="14.25">
      <c r="B428" s="13" t="s">
        <v>43</v>
      </c>
      <c r="C428" s="47">
        <v>0.33333333333333331</v>
      </c>
      <c r="D428" s="172">
        <v>0.20833333333333334</v>
      </c>
      <c r="E428" s="19">
        <v>8</v>
      </c>
      <c r="F428" s="277"/>
      <c r="G428" s="3"/>
      <c r="H428" s="47">
        <v>0.33333333333333331</v>
      </c>
      <c r="I428" s="47">
        <v>0.20833333333333334</v>
      </c>
      <c r="J428" s="19">
        <v>8</v>
      </c>
      <c r="K428" s="277"/>
      <c r="L428" s="3"/>
      <c r="M428" s="314">
        <v>0.35416666666666669</v>
      </c>
      <c r="N428" s="47">
        <v>0.20833333333333334</v>
      </c>
      <c r="O428" s="19">
        <v>8</v>
      </c>
      <c r="P428" s="277"/>
      <c r="Q428" s="3"/>
      <c r="R428" s="314">
        <v>0.33333333333333331</v>
      </c>
      <c r="S428" s="47">
        <v>0.20833333333333334</v>
      </c>
      <c r="T428" s="19">
        <v>8</v>
      </c>
      <c r="U428" s="277"/>
      <c r="V428" s="3"/>
      <c r="W428" s="314">
        <v>0.35416666666666669</v>
      </c>
      <c r="X428" s="47">
        <v>0.20833333333333334</v>
      </c>
      <c r="Y428" s="19">
        <v>7.5</v>
      </c>
      <c r="Z428" s="277"/>
      <c r="AA428" s="29">
        <f t="shared" si="81"/>
        <v>39.5</v>
      </c>
      <c r="AB428" s="298">
        <f t="shared" si="82"/>
        <v>0</v>
      </c>
      <c r="AC428" s="3"/>
      <c r="AD428" s="4">
        <v>0</v>
      </c>
      <c r="AE428" s="4">
        <v>0</v>
      </c>
      <c r="AF428" s="19">
        <v>0</v>
      </c>
      <c r="AG428" s="29">
        <f t="shared" si="83"/>
        <v>0</v>
      </c>
      <c r="AH428" s="3"/>
      <c r="AI428" s="227"/>
      <c r="AK428" s="187"/>
      <c r="AL428" s="187"/>
      <c r="AM428" s="187"/>
      <c r="AN428" s="187"/>
      <c r="AO428" s="187"/>
      <c r="AP428" s="187"/>
    </row>
    <row r="429" spans="2:42" s="1" customFormat="1" ht="14.25">
      <c r="B429" s="13" t="s">
        <v>44</v>
      </c>
      <c r="C429" s="47">
        <v>0.33333333333333331</v>
      </c>
      <c r="D429" s="47">
        <v>0.20833333333333334</v>
      </c>
      <c r="E429" s="19">
        <v>8</v>
      </c>
      <c r="F429" s="277"/>
      <c r="G429" s="3"/>
      <c r="H429" s="47">
        <v>0.33333333333333331</v>
      </c>
      <c r="I429" s="47">
        <v>0.20833333333333334</v>
      </c>
      <c r="J429" s="19">
        <v>8</v>
      </c>
      <c r="K429" s="277"/>
      <c r="L429" s="3"/>
      <c r="M429" s="47">
        <v>0.39583333333333331</v>
      </c>
      <c r="N429" s="47">
        <v>0.20833333333333334</v>
      </c>
      <c r="O429" s="19">
        <v>6.5</v>
      </c>
      <c r="P429" s="277"/>
      <c r="Q429" s="3"/>
      <c r="R429" s="314">
        <v>0.375</v>
      </c>
      <c r="S429" s="47">
        <v>0.20833333333333334</v>
      </c>
      <c r="T429" s="19">
        <v>7</v>
      </c>
      <c r="U429" s="277"/>
      <c r="V429" s="3"/>
      <c r="W429" s="47">
        <v>0.35416666666666669</v>
      </c>
      <c r="X429" s="47">
        <v>0.20833333333333334</v>
      </c>
      <c r="Y429" s="19">
        <v>7.5</v>
      </c>
      <c r="Z429" s="277"/>
      <c r="AA429" s="29">
        <f t="shared" si="81"/>
        <v>37</v>
      </c>
      <c r="AB429" s="298">
        <f t="shared" si="82"/>
        <v>0</v>
      </c>
      <c r="AC429" s="3"/>
      <c r="AD429" s="4">
        <v>0</v>
      </c>
      <c r="AE429" s="4">
        <v>0</v>
      </c>
      <c r="AF429" s="19">
        <v>0</v>
      </c>
      <c r="AG429" s="29">
        <f t="shared" si="83"/>
        <v>0</v>
      </c>
      <c r="AH429" s="3"/>
      <c r="AI429" s="227"/>
      <c r="AK429" s="187"/>
      <c r="AL429" s="187"/>
      <c r="AM429" s="187"/>
      <c r="AN429" s="187"/>
      <c r="AO429" s="187"/>
      <c r="AP429" s="187"/>
    </row>
    <row r="430" spans="2:42" s="1" customFormat="1" ht="14.25">
      <c r="B430" s="13" t="s">
        <v>45</v>
      </c>
      <c r="C430" s="4">
        <v>0</v>
      </c>
      <c r="D430" s="4">
        <v>0</v>
      </c>
      <c r="E430" s="19">
        <v>0</v>
      </c>
      <c r="F430" s="277"/>
      <c r="G430" s="3"/>
      <c r="H430" s="4">
        <v>0</v>
      </c>
      <c r="I430" s="4">
        <v>0</v>
      </c>
      <c r="J430" s="19">
        <v>0</v>
      </c>
      <c r="K430" s="277"/>
      <c r="L430" s="3"/>
      <c r="M430" s="4">
        <v>0</v>
      </c>
      <c r="N430" s="4">
        <v>0</v>
      </c>
      <c r="O430" s="19">
        <v>0</v>
      </c>
      <c r="P430" s="277"/>
      <c r="Q430" s="3"/>
      <c r="R430" s="4">
        <v>0</v>
      </c>
      <c r="S430" s="4">
        <v>0</v>
      </c>
      <c r="T430" s="19">
        <v>0</v>
      </c>
      <c r="U430" s="277"/>
      <c r="V430" s="3"/>
      <c r="W430" s="4">
        <v>0</v>
      </c>
      <c r="X430" s="4">
        <v>0</v>
      </c>
      <c r="Y430" s="19">
        <v>0</v>
      </c>
      <c r="Z430" s="277"/>
      <c r="AA430" s="29">
        <f t="shared" si="81"/>
        <v>0</v>
      </c>
      <c r="AB430" s="298">
        <f t="shared" si="82"/>
        <v>0</v>
      </c>
      <c r="AC430" s="3"/>
      <c r="AD430" s="4">
        <v>0</v>
      </c>
      <c r="AE430" s="4">
        <v>0</v>
      </c>
      <c r="AF430" s="19">
        <v>0</v>
      </c>
      <c r="AG430" s="29">
        <f t="shared" si="83"/>
        <v>0</v>
      </c>
      <c r="AH430" s="3"/>
      <c r="AI430" s="227"/>
      <c r="AK430" s="187"/>
      <c r="AL430" s="187"/>
      <c r="AM430" s="187"/>
      <c r="AN430" s="187"/>
      <c r="AO430" s="187"/>
      <c r="AP430" s="187"/>
    </row>
    <row r="431" spans="2:42" s="1" customFormat="1" ht="14.25">
      <c r="B431" s="13" t="s">
        <v>173</v>
      </c>
      <c r="C431" s="4">
        <v>0</v>
      </c>
      <c r="D431" s="4">
        <v>0</v>
      </c>
      <c r="E431" s="19">
        <v>0</v>
      </c>
      <c r="F431" s="277"/>
      <c r="G431" s="3"/>
      <c r="H431" s="4">
        <v>0</v>
      </c>
      <c r="I431" s="4">
        <v>0</v>
      </c>
      <c r="J431" s="19">
        <v>0</v>
      </c>
      <c r="K431" s="277"/>
      <c r="L431" s="3"/>
      <c r="M431" s="4">
        <v>0</v>
      </c>
      <c r="N431" s="4">
        <v>0</v>
      </c>
      <c r="O431" s="19">
        <v>0</v>
      </c>
      <c r="P431" s="277"/>
      <c r="Q431" s="3"/>
      <c r="R431" s="4">
        <v>0</v>
      </c>
      <c r="S431" s="4">
        <v>0</v>
      </c>
      <c r="T431" s="19">
        <v>0</v>
      </c>
      <c r="U431" s="277"/>
      <c r="V431" s="3"/>
      <c r="W431" s="4">
        <v>0</v>
      </c>
      <c r="X431" s="4">
        <v>0</v>
      </c>
      <c r="Y431" s="19">
        <v>0</v>
      </c>
      <c r="Z431" s="277"/>
      <c r="AA431" s="29">
        <f t="shared" si="81"/>
        <v>0</v>
      </c>
      <c r="AB431" s="298">
        <f t="shared" si="82"/>
        <v>0</v>
      </c>
      <c r="AC431" s="3"/>
      <c r="AD431" s="4">
        <v>0</v>
      </c>
      <c r="AE431" s="4">
        <v>0</v>
      </c>
      <c r="AF431" s="19">
        <v>0</v>
      </c>
      <c r="AG431" s="29">
        <f t="shared" si="83"/>
        <v>0</v>
      </c>
      <c r="AH431" s="3"/>
      <c r="AI431" s="227"/>
      <c r="AK431" s="187"/>
      <c r="AL431" s="187"/>
      <c r="AM431" s="187"/>
      <c r="AN431" s="187"/>
      <c r="AO431" s="187"/>
      <c r="AP431" s="187"/>
    </row>
    <row r="432" spans="2:42" s="1" customFormat="1" ht="14.25">
      <c r="B432" s="13" t="s">
        <v>48</v>
      </c>
      <c r="C432" s="47">
        <v>0.33333333333333331</v>
      </c>
      <c r="D432" s="47">
        <v>0.20833333333333334</v>
      </c>
      <c r="E432" s="19">
        <v>8</v>
      </c>
      <c r="F432" s="277"/>
      <c r="G432" s="3"/>
      <c r="H432" s="47">
        <v>0.33333333333333331</v>
      </c>
      <c r="I432" s="47">
        <v>0.20833333333333334</v>
      </c>
      <c r="J432" s="19">
        <v>8</v>
      </c>
      <c r="K432" s="277"/>
      <c r="L432" s="3"/>
      <c r="M432" s="12" t="s">
        <v>29</v>
      </c>
      <c r="N432" s="12" t="s">
        <v>29</v>
      </c>
      <c r="O432" s="19">
        <v>8</v>
      </c>
      <c r="P432" s="277"/>
      <c r="Q432" s="3"/>
      <c r="R432" s="47">
        <v>0.33333333333333331</v>
      </c>
      <c r="S432" s="47">
        <v>0.20833333333333334</v>
      </c>
      <c r="T432" s="19">
        <v>8</v>
      </c>
      <c r="U432" s="277"/>
      <c r="V432" s="3"/>
      <c r="W432" s="47">
        <v>0.33333333333333331</v>
      </c>
      <c r="X432" s="47">
        <v>0.20833333333333334</v>
      </c>
      <c r="Y432" s="19">
        <v>8</v>
      </c>
      <c r="Z432" s="277"/>
      <c r="AA432" s="29">
        <f t="shared" si="81"/>
        <v>40</v>
      </c>
      <c r="AB432" s="298">
        <f t="shared" si="82"/>
        <v>0</v>
      </c>
      <c r="AC432" s="3"/>
      <c r="AD432" s="4">
        <v>0</v>
      </c>
      <c r="AE432" s="4">
        <v>0</v>
      </c>
      <c r="AF432" s="19">
        <v>0</v>
      </c>
      <c r="AG432" s="29">
        <f t="shared" si="83"/>
        <v>0</v>
      </c>
      <c r="AH432" s="3"/>
      <c r="AI432" s="227"/>
      <c r="AK432" s="187"/>
      <c r="AL432" s="187"/>
      <c r="AM432" s="187"/>
      <c r="AN432" s="187"/>
      <c r="AO432" s="187"/>
      <c r="AP432" s="187"/>
    </row>
    <row r="433" spans="2:42" s="1" customFormat="1" ht="14.25">
      <c r="B433" s="13" t="s">
        <v>49</v>
      </c>
      <c r="C433" s="12" t="s">
        <v>29</v>
      </c>
      <c r="D433" s="12" t="s">
        <v>29</v>
      </c>
      <c r="E433" s="19">
        <v>8</v>
      </c>
      <c r="F433" s="277"/>
      <c r="G433" s="3"/>
      <c r="H433" s="12" t="s">
        <v>29</v>
      </c>
      <c r="I433" s="12" t="s">
        <v>29</v>
      </c>
      <c r="J433" s="19">
        <v>8</v>
      </c>
      <c r="K433" s="277"/>
      <c r="L433" s="3"/>
      <c r="M433" s="12" t="s">
        <v>29</v>
      </c>
      <c r="N433" s="12" t="s">
        <v>29</v>
      </c>
      <c r="O433" s="19">
        <v>8</v>
      </c>
      <c r="P433" s="277"/>
      <c r="Q433" s="3"/>
      <c r="R433" s="47" t="s">
        <v>29</v>
      </c>
      <c r="S433" s="47" t="s">
        <v>29</v>
      </c>
      <c r="T433" s="19">
        <v>8</v>
      </c>
      <c r="U433" s="277"/>
      <c r="V433" s="3"/>
      <c r="W433" s="12" t="s">
        <v>29</v>
      </c>
      <c r="X433" s="12" t="s">
        <v>29</v>
      </c>
      <c r="Y433" s="19">
        <v>8</v>
      </c>
      <c r="Z433" s="277"/>
      <c r="AA433" s="29">
        <f>(E433+J433+O433+T433+Y433)</f>
        <v>40</v>
      </c>
      <c r="AB433" s="298">
        <f t="shared" si="82"/>
        <v>0</v>
      </c>
      <c r="AC433" s="3"/>
      <c r="AD433" s="4">
        <v>0</v>
      </c>
      <c r="AE433" s="4">
        <v>0</v>
      </c>
      <c r="AF433" s="19">
        <v>0</v>
      </c>
      <c r="AG433" s="29">
        <f t="shared" si="83"/>
        <v>0</v>
      </c>
      <c r="AH433" s="3"/>
      <c r="AI433" s="227"/>
      <c r="AK433" s="187"/>
      <c r="AL433" s="187"/>
      <c r="AM433" s="187"/>
      <c r="AN433" s="187"/>
      <c r="AO433" s="187"/>
      <c r="AP433" s="187"/>
    </row>
    <row r="434" spans="2:42" s="1" customFormat="1" ht="14.25">
      <c r="B434" s="13" t="s">
        <v>50</v>
      </c>
      <c r="C434" s="47">
        <v>0.375</v>
      </c>
      <c r="D434" s="47">
        <v>0.20833333333333334</v>
      </c>
      <c r="E434" s="19">
        <v>7</v>
      </c>
      <c r="F434" s="277"/>
      <c r="G434" s="3"/>
      <c r="H434" s="4">
        <v>0</v>
      </c>
      <c r="I434" s="4">
        <v>0</v>
      </c>
      <c r="J434" s="19">
        <v>0</v>
      </c>
      <c r="K434" s="277"/>
      <c r="L434" s="3"/>
      <c r="M434" s="4">
        <v>0</v>
      </c>
      <c r="N434" s="4">
        <v>0</v>
      </c>
      <c r="O434" s="19">
        <v>0</v>
      </c>
      <c r="P434" s="277"/>
      <c r="Q434" s="3"/>
      <c r="R434" s="47">
        <v>0.33333333333333331</v>
      </c>
      <c r="S434" s="47">
        <v>0.20833333333333334</v>
      </c>
      <c r="T434" s="19">
        <v>8</v>
      </c>
      <c r="U434" s="277"/>
      <c r="V434" s="3"/>
      <c r="W434" s="47">
        <v>0.375</v>
      </c>
      <c r="X434" s="47">
        <v>0.20833333333333334</v>
      </c>
      <c r="Y434" s="19">
        <v>7</v>
      </c>
      <c r="Z434" s="277"/>
      <c r="AA434" s="29">
        <f t="shared" si="81"/>
        <v>22</v>
      </c>
      <c r="AB434" s="298">
        <f t="shared" si="82"/>
        <v>0</v>
      </c>
      <c r="AC434" s="3"/>
      <c r="AD434" s="4">
        <v>0</v>
      </c>
      <c r="AE434" s="4">
        <v>0</v>
      </c>
      <c r="AF434" s="19">
        <v>0</v>
      </c>
      <c r="AG434" s="29">
        <f t="shared" si="83"/>
        <v>0</v>
      </c>
      <c r="AH434" s="3"/>
      <c r="AI434" s="227"/>
      <c r="AK434" s="187"/>
      <c r="AL434" s="187"/>
      <c r="AM434" s="187"/>
      <c r="AN434" s="187"/>
      <c r="AO434" s="187"/>
      <c r="AP434" s="187"/>
    </row>
    <row r="435" spans="2:42" s="1" customFormat="1" ht="14.25">
      <c r="B435" s="13" t="s">
        <v>51</v>
      </c>
      <c r="C435" s="4">
        <v>0</v>
      </c>
      <c r="D435" s="4">
        <v>0</v>
      </c>
      <c r="E435" s="19">
        <v>0</v>
      </c>
      <c r="F435" s="277"/>
      <c r="G435" s="3"/>
      <c r="H435" s="4">
        <v>0</v>
      </c>
      <c r="I435" s="4">
        <v>0</v>
      </c>
      <c r="J435" s="19">
        <v>0</v>
      </c>
      <c r="K435" s="277"/>
      <c r="L435" s="3"/>
      <c r="M435" s="4">
        <v>0</v>
      </c>
      <c r="N435" s="4">
        <v>0</v>
      </c>
      <c r="O435" s="19">
        <v>0</v>
      </c>
      <c r="P435" s="277"/>
      <c r="Q435" s="3"/>
      <c r="R435" s="4">
        <v>0</v>
      </c>
      <c r="S435" s="4">
        <v>0</v>
      </c>
      <c r="T435" s="19">
        <v>0</v>
      </c>
      <c r="U435" s="277"/>
      <c r="V435" s="3"/>
      <c r="W435" s="4">
        <v>0</v>
      </c>
      <c r="X435" s="4">
        <v>0</v>
      </c>
      <c r="Y435" s="19">
        <v>0</v>
      </c>
      <c r="Z435" s="277"/>
      <c r="AA435" s="29">
        <f t="shared" si="81"/>
        <v>0</v>
      </c>
      <c r="AB435" s="298">
        <f t="shared" si="82"/>
        <v>0</v>
      </c>
      <c r="AC435" s="3"/>
      <c r="AD435" s="4">
        <v>0</v>
      </c>
      <c r="AE435" s="4">
        <v>0</v>
      </c>
      <c r="AF435" s="19">
        <v>0</v>
      </c>
      <c r="AG435" s="29">
        <f>AF435</f>
        <v>0</v>
      </c>
      <c r="AH435" s="3"/>
      <c r="AI435" s="227"/>
      <c r="AK435" s="187"/>
      <c r="AL435" s="187"/>
      <c r="AM435" s="187"/>
      <c r="AN435" s="187"/>
      <c r="AO435" s="187"/>
      <c r="AP435" s="187"/>
    </row>
    <row r="436" spans="2:42" s="1" customFormat="1" ht="14.25">
      <c r="B436" s="13" t="s">
        <v>54</v>
      </c>
      <c r="C436" s="4">
        <v>0</v>
      </c>
      <c r="D436" s="4">
        <v>0</v>
      </c>
      <c r="E436" s="19">
        <v>0</v>
      </c>
      <c r="F436" s="277"/>
      <c r="G436" s="3"/>
      <c r="H436" s="4">
        <v>0</v>
      </c>
      <c r="I436" s="4">
        <v>0</v>
      </c>
      <c r="J436" s="19">
        <v>0</v>
      </c>
      <c r="K436" s="277"/>
      <c r="L436" s="3"/>
      <c r="M436" s="4">
        <v>0</v>
      </c>
      <c r="N436" s="4">
        <v>0</v>
      </c>
      <c r="O436" s="19">
        <v>0</v>
      </c>
      <c r="P436" s="277"/>
      <c r="Q436" s="3"/>
      <c r="R436" s="4">
        <v>0</v>
      </c>
      <c r="S436" s="4">
        <v>0</v>
      </c>
      <c r="T436" s="19">
        <v>0</v>
      </c>
      <c r="U436" s="277"/>
      <c r="V436" s="3"/>
      <c r="W436" s="4">
        <v>0</v>
      </c>
      <c r="X436" s="4">
        <v>0</v>
      </c>
      <c r="Y436" s="19">
        <v>0</v>
      </c>
      <c r="Z436" s="277"/>
      <c r="AA436" s="29">
        <f t="shared" si="81"/>
        <v>0</v>
      </c>
      <c r="AB436" s="298">
        <f t="shared" si="82"/>
        <v>0</v>
      </c>
      <c r="AC436" s="3"/>
      <c r="AD436" s="4">
        <v>0</v>
      </c>
      <c r="AE436" s="4">
        <v>0</v>
      </c>
      <c r="AF436" s="19">
        <v>0</v>
      </c>
      <c r="AG436" s="29">
        <f>AF436</f>
        <v>0</v>
      </c>
      <c r="AH436" s="3"/>
      <c r="AI436" s="227"/>
      <c r="AK436" s="187"/>
      <c r="AL436" s="187"/>
      <c r="AM436" s="187"/>
      <c r="AN436" s="187"/>
      <c r="AO436" s="187"/>
      <c r="AP436" s="187"/>
    </row>
    <row r="437" spans="2:42" s="1" customFormat="1" ht="14.25">
      <c r="B437" s="13" t="s">
        <v>55</v>
      </c>
      <c r="C437" s="4">
        <v>0</v>
      </c>
      <c r="D437" s="4">
        <v>0</v>
      </c>
      <c r="E437" s="19">
        <v>0</v>
      </c>
      <c r="F437" s="277"/>
      <c r="G437" s="3"/>
      <c r="H437" s="4">
        <v>0</v>
      </c>
      <c r="I437" s="4">
        <v>0</v>
      </c>
      <c r="J437" s="19">
        <v>0</v>
      </c>
      <c r="K437" s="277"/>
      <c r="L437" s="3"/>
      <c r="M437" s="4">
        <v>0</v>
      </c>
      <c r="N437" s="4">
        <v>0</v>
      </c>
      <c r="O437" s="19">
        <v>0</v>
      </c>
      <c r="P437" s="277"/>
      <c r="Q437" s="3"/>
      <c r="R437" s="4">
        <v>0</v>
      </c>
      <c r="S437" s="4">
        <v>0</v>
      </c>
      <c r="T437" s="19">
        <v>0</v>
      </c>
      <c r="U437" s="277"/>
      <c r="V437" s="3"/>
      <c r="W437" s="4">
        <v>0</v>
      </c>
      <c r="X437" s="4">
        <v>0</v>
      </c>
      <c r="Y437" s="19">
        <v>0</v>
      </c>
      <c r="Z437" s="277"/>
      <c r="AA437" s="29">
        <f t="shared" si="81"/>
        <v>0</v>
      </c>
      <c r="AB437" s="298">
        <f t="shared" si="82"/>
        <v>0</v>
      </c>
      <c r="AC437" s="3"/>
      <c r="AD437" s="4">
        <v>0</v>
      </c>
      <c r="AE437" s="4">
        <v>0</v>
      </c>
      <c r="AF437" s="19">
        <v>0</v>
      </c>
      <c r="AG437" s="29">
        <f>AF437</f>
        <v>0</v>
      </c>
      <c r="AH437" s="3"/>
      <c r="AI437" s="227"/>
      <c r="AK437" s="187"/>
      <c r="AL437" s="187"/>
      <c r="AM437" s="187"/>
      <c r="AN437" s="187"/>
      <c r="AO437" s="187"/>
      <c r="AP437" s="187"/>
    </row>
    <row r="438" spans="2:42" s="1" customFormat="1" ht="14.25">
      <c r="B438" s="138" t="s">
        <v>56</v>
      </c>
      <c r="C438" s="12" t="s">
        <v>29</v>
      </c>
      <c r="D438" s="12" t="s">
        <v>29</v>
      </c>
      <c r="E438" s="19">
        <v>8</v>
      </c>
      <c r="F438" s="277"/>
      <c r="G438" s="3"/>
      <c r="H438" s="12" t="s">
        <v>29</v>
      </c>
      <c r="I438" s="12" t="s">
        <v>29</v>
      </c>
      <c r="J438" s="19">
        <v>8</v>
      </c>
      <c r="K438" s="277"/>
      <c r="L438" s="3"/>
      <c r="M438" s="12" t="s">
        <v>29</v>
      </c>
      <c r="N438" s="12" t="s">
        <v>29</v>
      </c>
      <c r="O438" s="19">
        <v>8</v>
      </c>
      <c r="P438" s="277"/>
      <c r="Q438" s="3"/>
      <c r="R438" s="12" t="s">
        <v>29</v>
      </c>
      <c r="S438" s="12" t="s">
        <v>29</v>
      </c>
      <c r="T438" s="19">
        <v>8</v>
      </c>
      <c r="U438" s="277"/>
      <c r="V438" s="3"/>
      <c r="W438" s="12" t="s">
        <v>29</v>
      </c>
      <c r="X438" s="12" t="s">
        <v>29</v>
      </c>
      <c r="Y438" s="19">
        <v>8</v>
      </c>
      <c r="Z438" s="277"/>
      <c r="AA438" s="29">
        <f t="shared" si="81"/>
        <v>40</v>
      </c>
      <c r="AB438" s="298">
        <f t="shared" si="82"/>
        <v>0</v>
      </c>
      <c r="AC438" s="3"/>
      <c r="AD438" s="4">
        <v>0</v>
      </c>
      <c r="AE438" s="4">
        <v>0</v>
      </c>
      <c r="AF438" s="19">
        <v>0</v>
      </c>
      <c r="AG438" s="29">
        <f t="shared" ref="AG438:AG439" si="84">AF438</f>
        <v>0</v>
      </c>
      <c r="AH438" s="3"/>
      <c r="AI438" s="227"/>
      <c r="AK438" s="187"/>
      <c r="AL438" s="187"/>
      <c r="AM438" s="187"/>
      <c r="AN438" s="187"/>
      <c r="AO438" s="187"/>
      <c r="AP438" s="187"/>
    </row>
    <row r="439" spans="2:42" s="1" customFormat="1" ht="14.25">
      <c r="B439" s="138" t="s">
        <v>57</v>
      </c>
      <c r="C439" s="12" t="s">
        <v>29</v>
      </c>
      <c r="D439" s="12" t="s">
        <v>29</v>
      </c>
      <c r="E439" s="19">
        <v>8</v>
      </c>
      <c r="F439" s="277"/>
      <c r="G439" s="3"/>
      <c r="H439" s="12" t="s">
        <v>29</v>
      </c>
      <c r="I439" s="12" t="s">
        <v>29</v>
      </c>
      <c r="J439" s="19">
        <v>8</v>
      </c>
      <c r="K439" s="277"/>
      <c r="L439" s="3"/>
      <c r="M439" s="12" t="s">
        <v>29</v>
      </c>
      <c r="N439" s="12" t="s">
        <v>29</v>
      </c>
      <c r="O439" s="19">
        <v>8</v>
      </c>
      <c r="P439" s="277"/>
      <c r="Q439" s="3"/>
      <c r="R439" s="12" t="s">
        <v>29</v>
      </c>
      <c r="S439" s="12" t="s">
        <v>29</v>
      </c>
      <c r="T439" s="19">
        <v>8</v>
      </c>
      <c r="U439" s="277"/>
      <c r="V439" s="3"/>
      <c r="W439" s="12" t="s">
        <v>29</v>
      </c>
      <c r="X439" s="12" t="s">
        <v>29</v>
      </c>
      <c r="Y439" s="19">
        <v>8</v>
      </c>
      <c r="Z439" s="277"/>
      <c r="AA439" s="29">
        <f t="shared" si="81"/>
        <v>40</v>
      </c>
      <c r="AB439" s="298">
        <f t="shared" si="82"/>
        <v>0</v>
      </c>
      <c r="AC439" s="3"/>
      <c r="AD439" s="4">
        <v>0</v>
      </c>
      <c r="AE439" s="4">
        <v>0</v>
      </c>
      <c r="AF439" s="19">
        <v>0</v>
      </c>
      <c r="AG439" s="29">
        <f t="shared" si="84"/>
        <v>0</v>
      </c>
      <c r="AH439" s="3"/>
      <c r="AI439" s="227"/>
      <c r="AK439" s="187"/>
      <c r="AL439" s="187"/>
      <c r="AM439" s="187"/>
      <c r="AN439" s="187"/>
      <c r="AO439" s="187"/>
      <c r="AP439" s="187"/>
    </row>
    <row r="440" spans="2:42" s="1" customFormat="1" ht="14.25">
      <c r="B440" s="138" t="s">
        <v>53</v>
      </c>
      <c r="C440" s="12" t="s">
        <v>29</v>
      </c>
      <c r="D440" s="12" t="s">
        <v>29</v>
      </c>
      <c r="E440" s="19">
        <v>8</v>
      </c>
      <c r="F440" s="277"/>
      <c r="G440" s="3"/>
      <c r="H440" s="12" t="s">
        <v>29</v>
      </c>
      <c r="I440" s="12" t="s">
        <v>29</v>
      </c>
      <c r="J440" s="19">
        <v>8</v>
      </c>
      <c r="K440" s="277"/>
      <c r="L440" s="3"/>
      <c r="M440" s="12" t="s">
        <v>29</v>
      </c>
      <c r="N440" s="12" t="s">
        <v>29</v>
      </c>
      <c r="O440" s="19">
        <v>8</v>
      </c>
      <c r="P440" s="277"/>
      <c r="Q440" s="3"/>
      <c r="R440" s="12" t="s">
        <v>29</v>
      </c>
      <c r="S440" s="12" t="s">
        <v>29</v>
      </c>
      <c r="T440" s="19">
        <v>8</v>
      </c>
      <c r="U440" s="277"/>
      <c r="V440" s="3"/>
      <c r="W440" s="12" t="s">
        <v>29</v>
      </c>
      <c r="X440" s="12" t="s">
        <v>29</v>
      </c>
      <c r="Y440" s="19">
        <v>8</v>
      </c>
      <c r="Z440" s="277"/>
      <c r="AA440" s="29">
        <f>(E440+J440+O440+T440+Y440)</f>
        <v>40</v>
      </c>
      <c r="AB440" s="298">
        <f t="shared" si="82"/>
        <v>0</v>
      </c>
      <c r="AC440" s="3"/>
      <c r="AD440" s="4">
        <v>0</v>
      </c>
      <c r="AE440" s="4">
        <v>0</v>
      </c>
      <c r="AF440" s="19">
        <v>0</v>
      </c>
      <c r="AG440" s="29">
        <f>AF440</f>
        <v>0</v>
      </c>
      <c r="AH440" s="3"/>
      <c r="AI440" s="227"/>
      <c r="AK440" s="187"/>
      <c r="AL440" s="187"/>
      <c r="AM440" s="187"/>
      <c r="AN440" s="187"/>
      <c r="AO440" s="187"/>
      <c r="AP440" s="187"/>
    </row>
    <row r="441" spans="2:42" s="1" customFormat="1" ht="14.25">
      <c r="B441" s="138" t="s">
        <v>59</v>
      </c>
      <c r="C441" s="12" t="s">
        <v>29</v>
      </c>
      <c r="D441" s="12" t="s">
        <v>29</v>
      </c>
      <c r="E441" s="19">
        <v>8</v>
      </c>
      <c r="F441" s="277"/>
      <c r="G441" s="3"/>
      <c r="H441" s="12" t="s">
        <v>29</v>
      </c>
      <c r="I441" s="12" t="s">
        <v>29</v>
      </c>
      <c r="J441" s="19">
        <v>8</v>
      </c>
      <c r="K441" s="277"/>
      <c r="L441" s="3"/>
      <c r="M441" s="12" t="s">
        <v>29</v>
      </c>
      <c r="N441" s="12" t="s">
        <v>29</v>
      </c>
      <c r="O441" s="19">
        <v>8</v>
      </c>
      <c r="P441" s="277"/>
      <c r="Q441" s="3"/>
      <c r="R441" s="12" t="s">
        <v>29</v>
      </c>
      <c r="S441" s="12" t="s">
        <v>29</v>
      </c>
      <c r="T441" s="19">
        <v>8</v>
      </c>
      <c r="U441" s="277"/>
      <c r="V441" s="3"/>
      <c r="W441" s="12" t="s">
        <v>29</v>
      </c>
      <c r="X441" s="12" t="s">
        <v>29</v>
      </c>
      <c r="Y441" s="19">
        <v>8</v>
      </c>
      <c r="Z441" s="277"/>
      <c r="AA441" s="29">
        <f t="shared" ref="AA441:AA443" si="85">(E441+J441+O441+T441+Y441)</f>
        <v>40</v>
      </c>
      <c r="AB441" s="298">
        <f t="shared" si="82"/>
        <v>0</v>
      </c>
      <c r="AC441" s="3"/>
      <c r="AD441" s="4">
        <v>0</v>
      </c>
      <c r="AE441" s="4">
        <v>0</v>
      </c>
      <c r="AF441" s="19">
        <v>0</v>
      </c>
      <c r="AG441" s="29">
        <f t="shared" ref="AG441:AG443" si="86">AF441</f>
        <v>0</v>
      </c>
      <c r="AH441" s="3"/>
      <c r="AI441" s="227"/>
      <c r="AK441" s="187"/>
      <c r="AL441" s="187"/>
      <c r="AM441" s="187"/>
      <c r="AN441" s="187"/>
      <c r="AO441" s="187"/>
      <c r="AP441" s="187"/>
    </row>
    <row r="442" spans="2:42" s="1" customFormat="1" ht="14.25">
      <c r="B442" s="138" t="s">
        <v>60</v>
      </c>
      <c r="C442" s="12" t="s">
        <v>29</v>
      </c>
      <c r="D442" s="12" t="s">
        <v>29</v>
      </c>
      <c r="E442" s="19">
        <v>8</v>
      </c>
      <c r="F442" s="277"/>
      <c r="G442" s="3"/>
      <c r="H442" s="12" t="s">
        <v>29</v>
      </c>
      <c r="I442" s="12" t="s">
        <v>29</v>
      </c>
      <c r="J442" s="19">
        <v>8</v>
      </c>
      <c r="K442" s="277"/>
      <c r="L442" s="3"/>
      <c r="M442" s="12" t="s">
        <v>29</v>
      </c>
      <c r="N442" s="12" t="s">
        <v>29</v>
      </c>
      <c r="O442" s="19">
        <v>8</v>
      </c>
      <c r="P442" s="277"/>
      <c r="Q442" s="3"/>
      <c r="R442" s="12" t="s">
        <v>29</v>
      </c>
      <c r="S442" s="12" t="s">
        <v>29</v>
      </c>
      <c r="T442" s="19">
        <v>8</v>
      </c>
      <c r="U442" s="277"/>
      <c r="V442" s="3"/>
      <c r="W442" s="12" t="s">
        <v>29</v>
      </c>
      <c r="X442" s="12" t="s">
        <v>29</v>
      </c>
      <c r="Y442" s="19">
        <v>8</v>
      </c>
      <c r="Z442" s="277"/>
      <c r="AA442" s="29">
        <f t="shared" si="85"/>
        <v>40</v>
      </c>
      <c r="AB442" s="298">
        <f t="shared" si="82"/>
        <v>0</v>
      </c>
      <c r="AC442" s="3"/>
      <c r="AD442" s="4">
        <v>0</v>
      </c>
      <c r="AE442" s="4">
        <v>0</v>
      </c>
      <c r="AF442" s="19">
        <v>0</v>
      </c>
      <c r="AG442" s="29">
        <f t="shared" si="86"/>
        <v>0</v>
      </c>
      <c r="AH442" s="3"/>
      <c r="AI442" s="227"/>
      <c r="AK442" s="187"/>
      <c r="AL442" s="187"/>
      <c r="AM442" s="187"/>
      <c r="AN442" s="187"/>
      <c r="AO442" s="187"/>
      <c r="AP442" s="187"/>
    </row>
    <row r="443" spans="2:42" s="1" customFormat="1" ht="14.25">
      <c r="B443" s="138" t="s">
        <v>52</v>
      </c>
      <c r="C443" s="12" t="s">
        <v>29</v>
      </c>
      <c r="D443" s="12" t="s">
        <v>29</v>
      </c>
      <c r="E443" s="19">
        <v>0</v>
      </c>
      <c r="F443" s="277"/>
      <c r="G443" s="3"/>
      <c r="H443" s="12" t="s">
        <v>29</v>
      </c>
      <c r="I443" s="12" t="s">
        <v>29</v>
      </c>
      <c r="J443" s="19">
        <v>8</v>
      </c>
      <c r="K443" s="277"/>
      <c r="L443" s="3"/>
      <c r="M443" s="12" t="s">
        <v>29</v>
      </c>
      <c r="N443" s="12" t="s">
        <v>29</v>
      </c>
      <c r="O443" s="19">
        <v>8</v>
      </c>
      <c r="P443" s="277"/>
      <c r="Q443" s="3"/>
      <c r="R443" s="12" t="s">
        <v>29</v>
      </c>
      <c r="S443" s="12" t="s">
        <v>29</v>
      </c>
      <c r="T443" s="19">
        <v>8</v>
      </c>
      <c r="U443" s="277"/>
      <c r="V443" s="3"/>
      <c r="W443" s="12" t="s">
        <v>29</v>
      </c>
      <c r="X443" s="12" t="s">
        <v>29</v>
      </c>
      <c r="Y443" s="19">
        <v>8</v>
      </c>
      <c r="Z443" s="277"/>
      <c r="AA443" s="29">
        <f t="shared" si="85"/>
        <v>32</v>
      </c>
      <c r="AB443" s="298">
        <f t="shared" si="82"/>
        <v>0</v>
      </c>
      <c r="AC443" s="3"/>
      <c r="AD443" s="4">
        <v>0</v>
      </c>
      <c r="AE443" s="4">
        <v>0</v>
      </c>
      <c r="AF443" s="19">
        <v>0</v>
      </c>
      <c r="AG443" s="29">
        <f t="shared" si="86"/>
        <v>0</v>
      </c>
      <c r="AH443" s="3"/>
      <c r="AI443" s="227"/>
      <c r="AK443" s="187"/>
      <c r="AL443" s="187"/>
      <c r="AM443" s="187"/>
      <c r="AN443" s="187"/>
      <c r="AO443" s="187"/>
      <c r="AP443" s="187"/>
    </row>
    <row r="444" spans="2:42" s="1" customFormat="1">
      <c r="B444" s="64" t="s">
        <v>61</v>
      </c>
      <c r="C444" s="64"/>
      <c r="D444" s="64"/>
      <c r="E444" s="167">
        <f>SUM(E417:E443)</f>
        <v>131.5</v>
      </c>
      <c r="F444" s="277">
        <f>SUM(F417:F440)</f>
        <v>0</v>
      </c>
      <c r="G444" s="64"/>
      <c r="H444" s="64"/>
      <c r="I444" s="64"/>
      <c r="J444" s="64">
        <f>SUM(J417:J443)</f>
        <v>125.25</v>
      </c>
      <c r="K444" s="277">
        <f>SUM(K417:K440)</f>
        <v>0</v>
      </c>
      <c r="L444" s="64"/>
      <c r="M444" s="64"/>
      <c r="N444" s="64"/>
      <c r="O444" s="167">
        <f>SUM(O417:O443)</f>
        <v>121.75</v>
      </c>
      <c r="P444" s="277">
        <f>SUM(P417:P440)</f>
        <v>0</v>
      </c>
      <c r="Q444" s="64"/>
      <c r="R444" s="64"/>
      <c r="S444" s="64"/>
      <c r="T444" s="167">
        <f>SUM(T417:T443)</f>
        <v>123.25</v>
      </c>
      <c r="U444" s="277">
        <f>SUM(U417:U440)</f>
        <v>0</v>
      </c>
      <c r="V444" s="64"/>
      <c r="W444" s="64"/>
      <c r="X444" s="64"/>
      <c r="Y444" s="167">
        <f>SUM(Y417:Y443)</f>
        <v>131</v>
      </c>
      <c r="Z444" s="277">
        <f>SUM(Z417:Z440)</f>
        <v>0</v>
      </c>
      <c r="AA444" s="247">
        <f>SUM(AA417:AA442)</f>
        <v>600.75</v>
      </c>
      <c r="AB444" s="284">
        <f>SUM(AB417:AB440)</f>
        <v>0</v>
      </c>
      <c r="AC444" s="3"/>
      <c r="AD444" s="64"/>
      <c r="AE444" s="64"/>
      <c r="AF444" s="64"/>
      <c r="AG444" s="247">
        <f>SUM(AG417:AG440)</f>
        <v>0</v>
      </c>
      <c r="AH444" s="3"/>
      <c r="AI444" s="227"/>
      <c r="AK444" s="187"/>
      <c r="AL444" s="187"/>
      <c r="AM444" s="187"/>
      <c r="AN444" s="187"/>
      <c r="AO444" s="187"/>
      <c r="AP444" s="187"/>
    </row>
    <row r="445" spans="2:42" s="1" customFormat="1">
      <c r="B445" s="63" t="s">
        <v>62</v>
      </c>
      <c r="C445" s="56"/>
      <c r="D445" s="56"/>
      <c r="E445" s="19">
        <v>8</v>
      </c>
      <c r="F445" s="291"/>
      <c r="G445" s="60"/>
      <c r="H445" s="56"/>
      <c r="I445" s="56"/>
      <c r="J445" s="291">
        <v>8</v>
      </c>
      <c r="K445" s="291"/>
      <c r="L445" s="60"/>
      <c r="M445" s="56"/>
      <c r="N445" s="56"/>
      <c r="O445" s="291">
        <v>8</v>
      </c>
      <c r="P445" s="19"/>
      <c r="Q445" s="60"/>
      <c r="R445" s="56"/>
      <c r="S445" s="56"/>
      <c r="T445" s="291">
        <v>8</v>
      </c>
      <c r="U445" s="19"/>
      <c r="V445" s="60"/>
      <c r="W445" s="56"/>
      <c r="X445" s="56"/>
      <c r="Y445" s="291">
        <v>8</v>
      </c>
      <c r="Z445" s="19"/>
      <c r="AA445" s="28">
        <f>SUM(E445+J445+O445+T445+Y445)</f>
        <v>40</v>
      </c>
      <c r="AB445" s="282">
        <f>Z445+U445+P445+K445+F445</f>
        <v>0</v>
      </c>
      <c r="AC445" s="3"/>
      <c r="AD445" s="56"/>
      <c r="AE445" s="56"/>
      <c r="AF445" s="19"/>
      <c r="AG445" s="29">
        <v>0</v>
      </c>
      <c r="AH445" s="3"/>
      <c r="AI445" s="227"/>
      <c r="AK445" s="187"/>
      <c r="AL445" s="187"/>
      <c r="AM445" s="187"/>
      <c r="AN445" s="187"/>
      <c r="AO445" s="187"/>
      <c r="AP445" s="187"/>
    </row>
    <row r="446" spans="2:42" s="1" customFormat="1">
      <c r="B446" s="63" t="s">
        <v>63</v>
      </c>
      <c r="C446" s="56"/>
      <c r="D446" s="56"/>
      <c r="E446" s="19">
        <v>8</v>
      </c>
      <c r="F446" s="291">
        <v>0.5</v>
      </c>
      <c r="G446" s="60"/>
      <c r="H446" s="56"/>
      <c r="I446" s="56"/>
      <c r="J446" s="291">
        <v>8</v>
      </c>
      <c r="K446" s="291"/>
      <c r="L446" s="60"/>
      <c r="M446" s="56"/>
      <c r="N446" s="56"/>
      <c r="O446" s="291">
        <v>8</v>
      </c>
      <c r="P446" s="19"/>
      <c r="Q446" s="60"/>
      <c r="R446" s="56"/>
      <c r="S446" s="56"/>
      <c r="T446" s="291">
        <v>8</v>
      </c>
      <c r="U446" s="19"/>
      <c r="V446" s="60"/>
      <c r="W446" s="56"/>
      <c r="X446" s="56"/>
      <c r="Y446" s="291">
        <v>8</v>
      </c>
      <c r="Z446" s="19"/>
      <c r="AA446" s="28">
        <f>SUM(E446+J446+O446+T446+Y446)</f>
        <v>40</v>
      </c>
      <c r="AB446" s="282">
        <f>Z446+U446+P446+K446+F446</f>
        <v>0.5</v>
      </c>
      <c r="AC446" s="3"/>
      <c r="AD446" s="56"/>
      <c r="AE446" s="56"/>
      <c r="AF446" s="19"/>
      <c r="AG446" s="29">
        <f>AF446</f>
        <v>0</v>
      </c>
      <c r="AH446" s="3"/>
      <c r="AI446" s="227"/>
      <c r="AK446" s="187"/>
      <c r="AL446" s="187"/>
      <c r="AM446" s="187"/>
      <c r="AN446" s="187"/>
      <c r="AO446" s="187"/>
      <c r="AP446" s="187"/>
    </row>
    <row r="447" spans="2:42" s="1" customFormat="1">
      <c r="B447" s="63" t="s">
        <v>64</v>
      </c>
      <c r="C447" s="56"/>
      <c r="D447" s="56"/>
      <c r="E447" s="19">
        <v>8</v>
      </c>
      <c r="F447" s="291">
        <v>0.75</v>
      </c>
      <c r="G447" s="60"/>
      <c r="H447" s="56"/>
      <c r="I447" s="56"/>
      <c r="J447" s="291">
        <v>8</v>
      </c>
      <c r="K447" s="291">
        <v>1.5</v>
      </c>
      <c r="L447" s="60"/>
      <c r="M447" s="56"/>
      <c r="N447" s="56"/>
      <c r="O447" s="291">
        <v>8</v>
      </c>
      <c r="P447" s="19">
        <v>2</v>
      </c>
      <c r="Q447" s="60"/>
      <c r="R447" s="56"/>
      <c r="S447" s="56"/>
      <c r="T447" s="291">
        <v>8</v>
      </c>
      <c r="U447" s="19">
        <v>2</v>
      </c>
      <c r="V447" s="60"/>
      <c r="W447" s="56"/>
      <c r="X447" s="56"/>
      <c r="Y447" s="291">
        <v>8</v>
      </c>
      <c r="Z447" s="19">
        <v>2.5</v>
      </c>
      <c r="AA447" s="28">
        <f>SUM(E447+J447+O447+T447+Y447)</f>
        <v>40</v>
      </c>
      <c r="AB447" s="282">
        <f>Z447+U447+P447+K447+F447</f>
        <v>8.75</v>
      </c>
      <c r="AC447" s="3"/>
      <c r="AD447" s="56"/>
      <c r="AE447" s="56"/>
      <c r="AF447" s="19">
        <v>0.5</v>
      </c>
      <c r="AG447" s="29">
        <f>AF447</f>
        <v>0.5</v>
      </c>
      <c r="AH447" s="3"/>
      <c r="AI447" s="227"/>
      <c r="AK447" s="187"/>
      <c r="AL447" s="187"/>
      <c r="AM447" s="187"/>
      <c r="AN447" s="187"/>
      <c r="AO447" s="187"/>
      <c r="AP447" s="187"/>
    </row>
    <row r="448" spans="2:42" s="1" customFormat="1" ht="14.25" thickBot="1">
      <c r="B448" s="268" t="s">
        <v>65</v>
      </c>
      <c r="C448" s="75"/>
      <c r="D448" s="75"/>
      <c r="E448" s="77">
        <v>4</v>
      </c>
      <c r="F448" s="292"/>
      <c r="G448" s="81"/>
      <c r="H448" s="75"/>
      <c r="I448" s="75"/>
      <c r="J448" s="292">
        <v>4</v>
      </c>
      <c r="K448" s="292"/>
      <c r="L448" s="81"/>
      <c r="M448" s="75"/>
      <c r="N448" s="75"/>
      <c r="O448" s="292">
        <v>4</v>
      </c>
      <c r="P448" s="77"/>
      <c r="Q448" s="81"/>
      <c r="R448" s="75"/>
      <c r="S448" s="75"/>
      <c r="T448" s="292">
        <v>4</v>
      </c>
      <c r="U448" s="77"/>
      <c r="V448" s="81"/>
      <c r="W448" s="75"/>
      <c r="X448" s="75"/>
      <c r="Y448" s="292">
        <v>4</v>
      </c>
      <c r="Z448" s="77"/>
      <c r="AA448" s="80">
        <f>SUM(E448+J448+O448+T448+Y448)</f>
        <v>20</v>
      </c>
      <c r="AB448" s="294">
        <f>Z448+U448+P448+K448+F448</f>
        <v>0</v>
      </c>
      <c r="AC448" s="3"/>
      <c r="AD448" s="75"/>
      <c r="AE448" s="75"/>
      <c r="AF448" s="77"/>
      <c r="AG448" s="276">
        <v>0</v>
      </c>
      <c r="AH448" s="3"/>
      <c r="AI448" s="227"/>
      <c r="AK448" s="187"/>
      <c r="AL448" s="187"/>
      <c r="AM448" s="187"/>
      <c r="AN448" s="187"/>
      <c r="AO448" s="187"/>
      <c r="AP448" s="187"/>
    </row>
    <row r="449" spans="1:42" s="1" customFormat="1" ht="14.25" thickTop="1">
      <c r="B449" s="71" t="s">
        <v>66</v>
      </c>
      <c r="C449" s="68"/>
      <c r="D449" s="68"/>
      <c r="E449" s="71">
        <f>SUM(E445:E448)</f>
        <v>28</v>
      </c>
      <c r="F449" s="72"/>
      <c r="G449" s="72"/>
      <c r="H449" s="68"/>
      <c r="I449" s="68"/>
      <c r="J449" s="71">
        <f>SUM(J447:J448)</f>
        <v>12</v>
      </c>
      <c r="K449" s="72"/>
      <c r="L449" s="72"/>
      <c r="M449" s="68"/>
      <c r="N449" s="68"/>
      <c r="O449" s="71">
        <f>SUM(O447:O448)</f>
        <v>12</v>
      </c>
      <c r="P449" s="72"/>
      <c r="Q449" s="72"/>
      <c r="R449" s="68"/>
      <c r="S449" s="68"/>
      <c r="T449" s="71">
        <f>SUM(T447:T448)</f>
        <v>12</v>
      </c>
      <c r="U449" s="72"/>
      <c r="V449" s="72"/>
      <c r="W449" s="68"/>
      <c r="X449" s="68"/>
      <c r="Y449" s="66">
        <f>SUM(Y447:Y448)</f>
        <v>12</v>
      </c>
      <c r="Z449" s="72"/>
      <c r="AA449" s="247">
        <f>SUM(AA445:AA448)</f>
        <v>140</v>
      </c>
      <c r="AB449" s="247">
        <f>SUM(AB445:AB448)</f>
        <v>9.25</v>
      </c>
      <c r="AC449" s="3"/>
      <c r="AG449" s="247">
        <f>SUM(AG447:AG448)</f>
        <v>0.5</v>
      </c>
      <c r="AH449" s="3"/>
      <c r="AI449" s="227"/>
      <c r="AK449" s="187"/>
      <c r="AL449" s="187"/>
      <c r="AM449" s="187"/>
      <c r="AN449" s="187"/>
      <c r="AO449" s="187"/>
      <c r="AP449" s="187"/>
    </row>
    <row r="450" spans="1:42" s="1" customFormat="1" ht="13.5" customHeight="1">
      <c r="A450" s="11"/>
      <c r="B450" s="217" t="s">
        <v>67</v>
      </c>
      <c r="C450" s="207">
        <f>C451+C452</f>
        <v>48</v>
      </c>
      <c r="D450" s="208"/>
      <c r="E450" s="209"/>
      <c r="F450" s="209"/>
      <c r="G450" s="208"/>
      <c r="H450" s="209"/>
      <c r="I450" s="209"/>
      <c r="J450" s="209"/>
      <c r="K450" s="209"/>
      <c r="L450" s="208"/>
      <c r="M450" s="208"/>
      <c r="N450" s="208"/>
      <c r="O450" s="208"/>
      <c r="P450" s="209"/>
      <c r="Q450" s="208"/>
      <c r="R450" s="208"/>
      <c r="S450" s="208"/>
      <c r="T450" s="208"/>
      <c r="U450" s="209"/>
      <c r="V450" s="208"/>
      <c r="W450" s="208"/>
      <c r="X450" s="208"/>
      <c r="Y450" s="210"/>
      <c r="Z450" s="209"/>
      <c r="AA450" s="211"/>
      <c r="AB450" s="209"/>
      <c r="AC450" s="211"/>
      <c r="AD450" s="211"/>
      <c r="AE450" s="211"/>
      <c r="AF450" s="211"/>
      <c r="AG450" s="211"/>
      <c r="AH450" s="3"/>
      <c r="AI450" s="227"/>
      <c r="AK450" s="187"/>
      <c r="AL450" s="187"/>
      <c r="AM450" s="187"/>
      <c r="AN450" s="187"/>
      <c r="AO450" s="187"/>
      <c r="AP450" s="187"/>
    </row>
    <row r="451" spans="1:42" s="1" customFormat="1" ht="14.25">
      <c r="A451" s="11"/>
      <c r="B451" s="238" t="s">
        <v>68</v>
      </c>
      <c r="C451" s="239"/>
      <c r="D451" s="208"/>
      <c r="E451" s="209"/>
      <c r="F451" s="209"/>
      <c r="G451" s="208"/>
      <c r="H451" s="209"/>
      <c r="I451" s="209"/>
      <c r="J451" s="209"/>
      <c r="K451" s="209"/>
      <c r="L451" s="208"/>
      <c r="M451" s="208"/>
      <c r="N451" s="208"/>
      <c r="O451" s="208"/>
      <c r="P451" s="209"/>
      <c r="Q451" s="208"/>
      <c r="R451" s="208"/>
      <c r="S451" s="208"/>
      <c r="T451" s="208"/>
      <c r="U451" s="209"/>
      <c r="V451" s="208"/>
      <c r="W451" s="208"/>
      <c r="X451" s="208"/>
      <c r="Y451" s="210"/>
      <c r="Z451" s="209"/>
      <c r="AA451" s="211"/>
      <c r="AB451" s="209"/>
      <c r="AC451" s="211"/>
      <c r="AD451" s="211"/>
      <c r="AE451" s="211"/>
      <c r="AF451" s="211"/>
      <c r="AG451" s="211"/>
      <c r="AH451" s="3"/>
      <c r="AI451" s="227"/>
      <c r="AK451" s="187"/>
      <c r="AL451" s="187"/>
      <c r="AM451" s="187"/>
      <c r="AN451" s="187"/>
      <c r="AO451" s="187"/>
      <c r="AP451" s="187"/>
    </row>
    <row r="452" spans="1:42" s="1" customFormat="1" ht="14.25">
      <c r="A452" s="11"/>
      <c r="B452" s="238" t="s">
        <v>69</v>
      </c>
      <c r="C452" s="239">
        <f>16+9+6+9+8</f>
        <v>48</v>
      </c>
      <c r="D452" s="208"/>
      <c r="E452" s="209"/>
      <c r="F452" s="209"/>
      <c r="G452" s="208"/>
      <c r="H452" s="209"/>
      <c r="I452" s="209"/>
      <c r="J452" s="209"/>
      <c r="K452" s="209"/>
      <c r="L452" s="208"/>
      <c r="M452" s="208"/>
      <c r="N452" s="208"/>
      <c r="O452" s="208"/>
      <c r="P452" s="209"/>
      <c r="Q452" s="208"/>
      <c r="R452" s="208"/>
      <c r="S452" s="208"/>
      <c r="T452" s="208"/>
      <c r="U452" s="209"/>
      <c r="V452" s="208"/>
      <c r="W452" s="208"/>
      <c r="X452" s="208"/>
      <c r="Y452" s="210"/>
      <c r="Z452" s="209"/>
      <c r="AA452" s="211"/>
      <c r="AB452" s="209"/>
      <c r="AC452" s="211"/>
      <c r="AD452" s="211"/>
      <c r="AE452" s="211"/>
      <c r="AF452" s="211"/>
      <c r="AG452" s="211"/>
      <c r="AH452" s="3"/>
      <c r="AI452" s="227"/>
      <c r="AK452" s="187"/>
      <c r="AL452" s="187"/>
      <c r="AM452" s="187"/>
      <c r="AN452" s="187"/>
      <c r="AO452" s="187"/>
      <c r="AP452" s="187"/>
    </row>
    <row r="453" spans="1:42" s="1" customFormat="1" ht="14.25">
      <c r="A453" s="11"/>
      <c r="B453" s="218"/>
      <c r="C453" s="219"/>
      <c r="D453" s="220"/>
      <c r="E453" s="221"/>
      <c r="F453" s="221"/>
      <c r="G453" s="220"/>
      <c r="H453" s="221"/>
      <c r="I453" s="221"/>
      <c r="J453" s="221"/>
      <c r="K453" s="221"/>
      <c r="L453" s="220"/>
      <c r="M453" s="220"/>
      <c r="N453" s="220"/>
      <c r="O453" s="220"/>
      <c r="P453" s="221"/>
      <c r="Q453" s="220"/>
      <c r="R453" s="220"/>
      <c r="S453" s="220"/>
      <c r="T453" s="220"/>
      <c r="U453" s="221"/>
      <c r="V453" s="220"/>
      <c r="W453" s="220"/>
      <c r="X453" s="220"/>
      <c r="Y453" s="222"/>
      <c r="Z453" s="221"/>
      <c r="AA453" s="223"/>
      <c r="AB453" s="221"/>
      <c r="AC453" s="3"/>
      <c r="AD453" s="168"/>
      <c r="AH453" s="3"/>
      <c r="AI453" s="227"/>
      <c r="AK453" s="187"/>
      <c r="AL453" s="187"/>
      <c r="AM453" s="187"/>
      <c r="AN453" s="187"/>
      <c r="AO453" s="187"/>
      <c r="AP453" s="187"/>
    </row>
    <row r="454" spans="1:42" s="227" customFormat="1" ht="4.5" customHeight="1">
      <c r="A454" s="228"/>
      <c r="B454" s="229"/>
      <c r="C454" s="230"/>
      <c r="D454" s="231"/>
      <c r="E454" s="232"/>
      <c r="F454" s="232"/>
      <c r="G454" s="231"/>
      <c r="H454" s="232"/>
      <c r="I454" s="232"/>
      <c r="J454" s="232"/>
      <c r="K454" s="232"/>
      <c r="L454" s="231"/>
      <c r="M454" s="231"/>
      <c r="N454" s="231"/>
      <c r="O454" s="231"/>
      <c r="P454" s="232"/>
      <c r="Q454" s="231"/>
      <c r="R454" s="231"/>
      <c r="S454" s="231"/>
      <c r="T454" s="231"/>
      <c r="U454" s="232"/>
      <c r="V454" s="231"/>
      <c r="W454" s="231"/>
      <c r="X454" s="231"/>
      <c r="Y454" s="233"/>
      <c r="Z454" s="232"/>
      <c r="AA454" s="234"/>
      <c r="AB454" s="232"/>
      <c r="AC454" s="235"/>
      <c r="AD454" s="236"/>
      <c r="AH454" s="235"/>
    </row>
    <row r="455" spans="1:42" s="187" customFormat="1">
      <c r="A455" s="224"/>
      <c r="B455" s="214"/>
      <c r="C455" s="215"/>
      <c r="D455" s="215"/>
      <c r="E455" s="214"/>
      <c r="F455" s="214"/>
      <c r="G455" s="215"/>
      <c r="H455" s="214"/>
      <c r="I455" s="214"/>
      <c r="J455" s="214"/>
      <c r="K455" s="214"/>
      <c r="L455" s="215"/>
      <c r="M455" s="215"/>
      <c r="N455" s="215"/>
      <c r="O455" s="215"/>
      <c r="P455" s="214"/>
      <c r="Q455" s="215"/>
      <c r="R455" s="215"/>
      <c r="S455" s="215"/>
      <c r="T455" s="215"/>
      <c r="U455" s="214"/>
      <c r="V455" s="215"/>
      <c r="W455" s="215"/>
      <c r="X455" s="215"/>
      <c r="Y455" s="216"/>
      <c r="Z455" s="214"/>
      <c r="AA455" s="225"/>
      <c r="AB455" s="214"/>
      <c r="AC455" s="226"/>
      <c r="AH455" s="226"/>
      <c r="AI455" s="227"/>
    </row>
    <row r="456" spans="1:42" s="1" customFormat="1">
      <c r="B456" s="1518" t="s">
        <v>18</v>
      </c>
      <c r="C456" s="1524">
        <v>45166</v>
      </c>
      <c r="D456" s="1524"/>
      <c r="E456" s="1524"/>
      <c r="F456" s="1524"/>
      <c r="G456" s="22"/>
      <c r="H456" s="1524">
        <v>45167</v>
      </c>
      <c r="I456" s="1524"/>
      <c r="J456" s="1524"/>
      <c r="K456" s="1524"/>
      <c r="L456" s="22"/>
      <c r="M456" s="1524">
        <v>45168</v>
      </c>
      <c r="N456" s="1524"/>
      <c r="O456" s="1524"/>
      <c r="P456" s="1524"/>
      <c r="Q456" s="22"/>
      <c r="R456" s="1524">
        <v>45169</v>
      </c>
      <c r="S456" s="1524"/>
      <c r="T456" s="1524"/>
      <c r="U456" s="1524"/>
      <c r="V456" s="22"/>
      <c r="W456" s="1524">
        <v>45170</v>
      </c>
      <c r="X456" s="1524"/>
      <c r="Y456" s="1524"/>
      <c r="Z456" s="1524"/>
      <c r="AA456" s="1517" t="s">
        <v>19</v>
      </c>
      <c r="AB456" s="1517" t="s">
        <v>20</v>
      </c>
      <c r="AC456" s="3"/>
      <c r="AD456" s="1524">
        <v>45171</v>
      </c>
      <c r="AE456" s="1524"/>
      <c r="AF456" s="1524"/>
      <c r="AG456" s="1517" t="s">
        <v>21</v>
      </c>
      <c r="AH456" s="3"/>
      <c r="AI456" s="227"/>
      <c r="AK456" s="194" t="s">
        <v>174</v>
      </c>
      <c r="AL456" s="195"/>
      <c r="AM456" s="195"/>
      <c r="AN456" s="195"/>
      <c r="AO456" s="195"/>
      <c r="AP456" s="195"/>
    </row>
    <row r="457" spans="1:42" s="176" customFormat="1" ht="14.25">
      <c r="B457" s="1518"/>
      <c r="C457" s="21" t="s">
        <v>23</v>
      </c>
      <c r="D457" s="21" t="s">
        <v>24</v>
      </c>
      <c r="E457" s="205" t="s">
        <v>25</v>
      </c>
      <c r="F457" s="18" t="s">
        <v>14</v>
      </c>
      <c r="G457" s="3"/>
      <c r="H457" s="21" t="s">
        <v>23</v>
      </c>
      <c r="I457" s="21" t="s">
        <v>24</v>
      </c>
      <c r="J457" s="18" t="s">
        <v>25</v>
      </c>
      <c r="K457" s="18" t="s">
        <v>14</v>
      </c>
      <c r="L457" s="3"/>
      <c r="M457" s="21" t="s">
        <v>23</v>
      </c>
      <c r="N457" s="21" t="s">
        <v>24</v>
      </c>
      <c r="O457" s="18" t="s">
        <v>25</v>
      </c>
      <c r="P457" s="18" t="s">
        <v>14</v>
      </c>
      <c r="Q457" s="3"/>
      <c r="R457" s="21" t="s">
        <v>23</v>
      </c>
      <c r="S457" s="21" t="s">
        <v>24</v>
      </c>
      <c r="T457" s="18" t="s">
        <v>25</v>
      </c>
      <c r="U457" s="18" t="s">
        <v>14</v>
      </c>
      <c r="V457" s="3"/>
      <c r="W457" s="21" t="s">
        <v>23</v>
      </c>
      <c r="X457" s="21" t="s">
        <v>24</v>
      </c>
      <c r="Y457" s="18" t="s">
        <v>25</v>
      </c>
      <c r="Z457" s="18" t="s">
        <v>14</v>
      </c>
      <c r="AA457" s="1523"/>
      <c r="AB457" s="1517"/>
      <c r="AC457" s="3"/>
      <c r="AD457" s="21" t="s">
        <v>23</v>
      </c>
      <c r="AE457" s="21" t="s">
        <v>24</v>
      </c>
      <c r="AF457" s="18" t="s">
        <v>25</v>
      </c>
      <c r="AG457" s="1523"/>
      <c r="AH457" s="174"/>
      <c r="AI457" s="257"/>
      <c r="AK457" s="188" t="s">
        <v>26</v>
      </c>
      <c r="AL457" s="190">
        <f>AA484</f>
        <v>0</v>
      </c>
      <c r="AM457" s="187"/>
      <c r="AN457" s="187"/>
      <c r="AO457" s="187"/>
      <c r="AP457" s="187"/>
    </row>
    <row r="458" spans="1:42" s="176" customFormat="1" ht="14.25">
      <c r="B458" s="171" t="s">
        <v>46</v>
      </c>
      <c r="C458" s="47"/>
      <c r="D458" s="47"/>
      <c r="E458" s="19"/>
      <c r="F458" s="277"/>
      <c r="G458" s="174"/>
      <c r="H458" s="172"/>
      <c r="I458" s="172"/>
      <c r="J458" s="173"/>
      <c r="K458" s="277"/>
      <c r="L458" s="174"/>
      <c r="M458" s="172"/>
      <c r="N458" s="172"/>
      <c r="O458" s="173"/>
      <c r="P458" s="277"/>
      <c r="Q458" s="174"/>
      <c r="R458" s="172"/>
      <c r="S458" s="172"/>
      <c r="T458" s="173"/>
      <c r="U458" s="277"/>
      <c r="V458" s="174"/>
      <c r="W458" s="172"/>
      <c r="X458" s="172"/>
      <c r="Y458" s="173"/>
      <c r="Z458" s="277"/>
      <c r="AA458" s="28">
        <f t="shared" ref="AA458:AA482" si="87">(E458+J458+O458+T458+Y458)</f>
        <v>0</v>
      </c>
      <c r="AB458" s="298">
        <f t="shared" ref="AB458:AB482" si="88">Z458+U458+P458+K458+F458</f>
        <v>0</v>
      </c>
      <c r="AC458" s="174"/>
      <c r="AD458" s="175">
        <v>0</v>
      </c>
      <c r="AE458" s="175">
        <v>0</v>
      </c>
      <c r="AF458" s="173">
        <v>0</v>
      </c>
      <c r="AG458" s="183">
        <f t="shared" ref="AG458:AG475" si="89">AF458</f>
        <v>0</v>
      </c>
      <c r="AH458" s="174"/>
      <c r="AI458" s="257"/>
      <c r="AK458" s="188" t="s">
        <v>30</v>
      </c>
      <c r="AL458" s="190">
        <f>AB484</f>
        <v>0</v>
      </c>
      <c r="AM458" s="187"/>
      <c r="AN458" s="187"/>
      <c r="AO458" s="187"/>
      <c r="AP458" s="187"/>
    </row>
    <row r="459" spans="1:42" s="176" customFormat="1" ht="14.25">
      <c r="B459" s="171" t="s">
        <v>47</v>
      </c>
      <c r="C459" s="177"/>
      <c r="D459" s="172"/>
      <c r="E459" s="173"/>
      <c r="F459" s="277"/>
      <c r="G459" s="174"/>
      <c r="H459" s="315"/>
      <c r="I459" s="47"/>
      <c r="J459" s="173"/>
      <c r="K459" s="277"/>
      <c r="L459" s="174"/>
      <c r="M459" s="172"/>
      <c r="N459" s="172"/>
      <c r="O459" s="173"/>
      <c r="P459" s="277"/>
      <c r="Q459" s="174"/>
      <c r="R459" s="172"/>
      <c r="S459" s="172"/>
      <c r="T459" s="173"/>
      <c r="U459" s="277"/>
      <c r="V459" s="174"/>
      <c r="W459" s="172"/>
      <c r="X459" s="172"/>
      <c r="Y459" s="173"/>
      <c r="Z459" s="277"/>
      <c r="AA459" s="28">
        <f t="shared" si="87"/>
        <v>0</v>
      </c>
      <c r="AB459" s="298">
        <f t="shared" si="88"/>
        <v>0</v>
      </c>
      <c r="AC459" s="174"/>
      <c r="AD459" s="175">
        <v>0</v>
      </c>
      <c r="AE459" s="175">
        <v>0</v>
      </c>
      <c r="AF459" s="173">
        <v>0</v>
      </c>
      <c r="AG459" s="28">
        <f t="shared" si="89"/>
        <v>0</v>
      </c>
      <c r="AH459" s="174"/>
      <c r="AI459" s="257"/>
      <c r="AK459" s="188" t="s">
        <v>32</v>
      </c>
      <c r="AL459" s="190">
        <f>AG484</f>
        <v>0</v>
      </c>
      <c r="AM459" s="187"/>
      <c r="AN459" s="187"/>
      <c r="AO459" s="187"/>
      <c r="AP459" s="187"/>
    </row>
    <row r="460" spans="1:42" s="176" customFormat="1" ht="14.25">
      <c r="B460" s="171" t="s">
        <v>31</v>
      </c>
      <c r="C460" s="172"/>
      <c r="D460" s="172"/>
      <c r="E460" s="173"/>
      <c r="F460" s="277"/>
      <c r="G460" s="174"/>
      <c r="H460" s="315"/>
      <c r="I460" s="172"/>
      <c r="J460" s="173"/>
      <c r="K460" s="277"/>
      <c r="L460" s="174"/>
      <c r="M460" s="172"/>
      <c r="N460" s="172"/>
      <c r="O460" s="173"/>
      <c r="P460" s="277"/>
      <c r="Q460" s="174"/>
      <c r="R460" s="172"/>
      <c r="S460" s="172"/>
      <c r="T460" s="173"/>
      <c r="U460" s="277"/>
      <c r="V460" s="174"/>
      <c r="W460" s="172"/>
      <c r="X460" s="172"/>
      <c r="Y460" s="173"/>
      <c r="Z460" s="277"/>
      <c r="AA460" s="28">
        <f t="shared" si="87"/>
        <v>0</v>
      </c>
      <c r="AB460" s="298">
        <f t="shared" si="88"/>
        <v>0</v>
      </c>
      <c r="AC460" s="174"/>
      <c r="AD460" s="175">
        <v>0</v>
      </c>
      <c r="AE460" s="175">
        <v>0</v>
      </c>
      <c r="AF460" s="173">
        <v>0</v>
      </c>
      <c r="AG460" s="28">
        <f t="shared" si="89"/>
        <v>0</v>
      </c>
      <c r="AH460" s="174"/>
      <c r="AI460" s="257"/>
      <c r="AK460" s="188" t="s">
        <v>34</v>
      </c>
      <c r="AL460" s="196">
        <f>AA489</f>
        <v>132</v>
      </c>
      <c r="AM460" s="187"/>
      <c r="AN460" s="187"/>
      <c r="AO460" s="187"/>
      <c r="AP460" s="187"/>
    </row>
    <row r="461" spans="1:42" s="1" customFormat="1" ht="14.25">
      <c r="B461" s="171" t="s">
        <v>33</v>
      </c>
      <c r="C461" s="172"/>
      <c r="D461" s="172"/>
      <c r="E461" s="173"/>
      <c r="F461" s="277"/>
      <c r="G461" s="174"/>
      <c r="H461" s="172"/>
      <c r="I461" s="172"/>
      <c r="J461" s="173"/>
      <c r="K461" s="277"/>
      <c r="L461" s="174"/>
      <c r="M461" s="172"/>
      <c r="N461" s="172"/>
      <c r="O461" s="173"/>
      <c r="P461" s="277"/>
      <c r="Q461" s="174"/>
      <c r="R461" s="172"/>
      <c r="S461" s="172"/>
      <c r="T461" s="173"/>
      <c r="U461" s="277"/>
      <c r="V461" s="174"/>
      <c r="W461" s="172"/>
      <c r="X461" s="172"/>
      <c r="Y461" s="173"/>
      <c r="Z461" s="277"/>
      <c r="AA461" s="28">
        <f t="shared" si="87"/>
        <v>0</v>
      </c>
      <c r="AB461" s="298">
        <f t="shared" si="88"/>
        <v>0</v>
      </c>
      <c r="AC461" s="174"/>
      <c r="AD461" s="175">
        <v>0</v>
      </c>
      <c r="AE461" s="175">
        <v>0</v>
      </c>
      <c r="AF461" s="173">
        <v>0</v>
      </c>
      <c r="AG461" s="28">
        <f t="shared" si="89"/>
        <v>0</v>
      </c>
      <c r="AH461" s="3"/>
      <c r="AI461" s="227"/>
      <c r="AK461" s="188" t="s">
        <v>36</v>
      </c>
      <c r="AL461" s="196">
        <f>AB489</f>
        <v>0</v>
      </c>
      <c r="AM461" s="187"/>
      <c r="AN461" s="187"/>
      <c r="AO461" s="187"/>
      <c r="AP461" s="187"/>
    </row>
    <row r="462" spans="1:42" s="176" customFormat="1" ht="14.25">
      <c r="B462" s="171" t="s">
        <v>142</v>
      </c>
      <c r="C462" s="177"/>
      <c r="D462" s="172"/>
      <c r="E462" s="173"/>
      <c r="F462" s="277"/>
      <c r="G462" s="174"/>
      <c r="H462" s="315"/>
      <c r="I462" s="47"/>
      <c r="J462" s="173"/>
      <c r="K462" s="277"/>
      <c r="L462" s="174"/>
      <c r="M462" s="172"/>
      <c r="N462" s="172"/>
      <c r="O462" s="173"/>
      <c r="P462" s="277"/>
      <c r="Q462" s="174"/>
      <c r="R462" s="172"/>
      <c r="S462" s="172"/>
      <c r="T462" s="173"/>
      <c r="U462" s="277"/>
      <c r="V462" s="174"/>
      <c r="W462" s="172"/>
      <c r="X462" s="172"/>
      <c r="Y462" s="173"/>
      <c r="Z462" s="277"/>
      <c r="AA462" s="28">
        <f t="shared" si="87"/>
        <v>0</v>
      </c>
      <c r="AB462" s="298">
        <f t="shared" si="88"/>
        <v>0</v>
      </c>
      <c r="AC462" s="174"/>
      <c r="AD462" s="175">
        <v>0</v>
      </c>
      <c r="AE462" s="175">
        <v>0</v>
      </c>
      <c r="AF462" s="173">
        <v>0</v>
      </c>
      <c r="AG462" s="28">
        <f t="shared" si="89"/>
        <v>0</v>
      </c>
      <c r="AH462" s="174"/>
      <c r="AI462" s="257"/>
      <c r="AK462" s="188" t="s">
        <v>38</v>
      </c>
      <c r="AL462" s="190">
        <f>AG489</f>
        <v>0</v>
      </c>
      <c r="AM462" s="187"/>
      <c r="AN462" s="187"/>
      <c r="AO462" s="187"/>
      <c r="AP462" s="187"/>
    </row>
    <row r="463" spans="1:42" s="1" customFormat="1" ht="14.25">
      <c r="B463" s="13" t="s">
        <v>129</v>
      </c>
      <c r="C463" s="4">
        <v>0</v>
      </c>
      <c r="D463" s="4">
        <v>0</v>
      </c>
      <c r="E463" s="19">
        <v>0</v>
      </c>
      <c r="F463" s="277"/>
      <c r="G463" s="3"/>
      <c r="H463" s="47"/>
      <c r="I463" s="47"/>
      <c r="J463" s="19"/>
      <c r="K463" s="277"/>
      <c r="L463" s="3"/>
      <c r="M463" s="47"/>
      <c r="N463" s="47"/>
      <c r="O463" s="19"/>
      <c r="P463" s="277"/>
      <c r="Q463" s="3"/>
      <c r="R463" s="47"/>
      <c r="S463" s="47"/>
      <c r="T463" s="19"/>
      <c r="U463" s="277"/>
      <c r="V463" s="3"/>
      <c r="W463" s="47"/>
      <c r="X463" s="47"/>
      <c r="Y463" s="19"/>
      <c r="Z463" s="277"/>
      <c r="AA463" s="29">
        <f t="shared" si="87"/>
        <v>0</v>
      </c>
      <c r="AB463" s="298">
        <f t="shared" si="88"/>
        <v>0</v>
      </c>
      <c r="AC463" s="3"/>
      <c r="AD463" s="4">
        <v>0</v>
      </c>
      <c r="AE463" s="4">
        <v>0</v>
      </c>
      <c r="AF463" s="19">
        <v>0</v>
      </c>
      <c r="AG463" s="29">
        <f t="shared" si="89"/>
        <v>0</v>
      </c>
      <c r="AH463" s="3"/>
      <c r="AI463" s="227"/>
      <c r="AK463" s="188" t="s">
        <v>32</v>
      </c>
      <c r="AL463" s="190">
        <f>AG487</f>
        <v>0</v>
      </c>
      <c r="AM463" s="191"/>
      <c r="AN463" s="191"/>
      <c r="AO463" s="191"/>
      <c r="AP463" s="191"/>
    </row>
    <row r="464" spans="1:42" s="1" customFormat="1" ht="14.25">
      <c r="B464" s="13" t="s">
        <v>35</v>
      </c>
      <c r="C464" s="47"/>
      <c r="D464" s="314"/>
      <c r="E464" s="19"/>
      <c r="F464" s="277"/>
      <c r="G464" s="3"/>
      <c r="H464" s="314"/>
      <c r="I464" s="47"/>
      <c r="J464" s="19"/>
      <c r="K464" s="277"/>
      <c r="L464" s="3"/>
      <c r="M464" s="314"/>
      <c r="N464" s="47"/>
      <c r="O464" s="19"/>
      <c r="P464" s="277"/>
      <c r="Q464" s="3"/>
      <c r="R464" s="47"/>
      <c r="S464" s="47"/>
      <c r="T464" s="19"/>
      <c r="U464" s="277"/>
      <c r="V464" s="3"/>
      <c r="W464" s="47"/>
      <c r="X464" s="47"/>
      <c r="Y464" s="19"/>
      <c r="Z464" s="277"/>
      <c r="AA464" s="29">
        <f t="shared" si="87"/>
        <v>0</v>
      </c>
      <c r="AB464" s="298">
        <f t="shared" si="88"/>
        <v>0</v>
      </c>
      <c r="AC464" s="3"/>
      <c r="AD464" s="4">
        <v>0</v>
      </c>
      <c r="AE464" s="4">
        <v>0</v>
      </c>
      <c r="AF464" s="19">
        <v>0</v>
      </c>
      <c r="AG464" s="29">
        <f t="shared" si="89"/>
        <v>0</v>
      </c>
      <c r="AH464" s="3"/>
      <c r="AI464" s="227"/>
      <c r="AK464" s="188" t="s">
        <v>41</v>
      </c>
      <c r="AL464" s="189">
        <f>C490</f>
        <v>0</v>
      </c>
      <c r="AM464" s="187"/>
      <c r="AN464" s="187"/>
      <c r="AO464" s="187"/>
      <c r="AP464" s="187"/>
    </row>
    <row r="465" spans="2:42" s="1" customFormat="1" ht="14.25">
      <c r="B465" s="13" t="s">
        <v>37</v>
      </c>
      <c r="C465" s="47"/>
      <c r="D465" s="314"/>
      <c r="E465" s="19"/>
      <c r="F465" s="277"/>
      <c r="G465" s="3"/>
      <c r="H465" s="314"/>
      <c r="I465" s="47"/>
      <c r="J465" s="19"/>
      <c r="K465" s="277"/>
      <c r="L465" s="3"/>
      <c r="M465" s="314"/>
      <c r="N465" s="47"/>
      <c r="O465" s="19"/>
      <c r="P465" s="277"/>
      <c r="Q465" s="3"/>
      <c r="R465" s="47"/>
      <c r="S465" s="47"/>
      <c r="T465" s="19"/>
      <c r="U465" s="277"/>
      <c r="V465" s="3"/>
      <c r="W465" s="47"/>
      <c r="X465" s="47"/>
      <c r="Y465" s="19"/>
      <c r="Z465" s="277"/>
      <c r="AA465" s="29">
        <f t="shared" si="87"/>
        <v>0</v>
      </c>
      <c r="AB465" s="298">
        <f t="shared" si="88"/>
        <v>0</v>
      </c>
      <c r="AC465" s="3"/>
      <c r="AD465" s="4">
        <v>0</v>
      </c>
      <c r="AE465" s="4">
        <v>0</v>
      </c>
      <c r="AF465" s="19">
        <v>0</v>
      </c>
      <c r="AG465" s="29">
        <f t="shared" si="89"/>
        <v>0</v>
      </c>
      <c r="AH465" s="3"/>
      <c r="AI465" s="227"/>
      <c r="AK465" s="187"/>
      <c r="AL465" s="187"/>
      <c r="AM465" s="187"/>
      <c r="AN465" s="187"/>
      <c r="AO465" s="187"/>
      <c r="AP465" s="187"/>
    </row>
    <row r="466" spans="2:42" s="1" customFormat="1" ht="14.25">
      <c r="B466" s="13" t="s">
        <v>39</v>
      </c>
      <c r="C466" s="47"/>
      <c r="D466" s="314"/>
      <c r="E466" s="19"/>
      <c r="F466" s="277"/>
      <c r="G466" s="3"/>
      <c r="H466" s="314"/>
      <c r="I466" s="47"/>
      <c r="J466" s="19"/>
      <c r="K466" s="277"/>
      <c r="L466" s="3"/>
      <c r="M466" s="314"/>
      <c r="N466" s="172"/>
      <c r="O466" s="19"/>
      <c r="P466" s="277"/>
      <c r="Q466" s="3"/>
      <c r="R466" s="47"/>
      <c r="S466" s="47"/>
      <c r="T466" s="19"/>
      <c r="U466" s="277"/>
      <c r="V466" s="3"/>
      <c r="W466" s="47"/>
      <c r="X466" s="47"/>
      <c r="Y466" s="19"/>
      <c r="Z466" s="277"/>
      <c r="AA466" s="29">
        <f t="shared" si="87"/>
        <v>0</v>
      </c>
      <c r="AB466" s="298">
        <f t="shared" si="88"/>
        <v>0</v>
      </c>
      <c r="AC466" s="3"/>
      <c r="AD466" s="4">
        <v>0</v>
      </c>
      <c r="AE466" s="4">
        <v>0</v>
      </c>
      <c r="AF466" s="19">
        <v>0</v>
      </c>
      <c r="AG466" s="29">
        <f t="shared" si="89"/>
        <v>0</v>
      </c>
      <c r="AH466" s="3"/>
      <c r="AI466" s="227"/>
      <c r="AK466" s="187"/>
      <c r="AL466" s="187"/>
      <c r="AM466" s="187"/>
      <c r="AN466" s="187"/>
      <c r="AO466" s="187"/>
      <c r="AP466" s="187"/>
    </row>
    <row r="467" spans="2:42" s="1" customFormat="1" ht="14.25">
      <c r="B467" s="164" t="s">
        <v>40</v>
      </c>
      <c r="C467" s="47"/>
      <c r="D467" s="47"/>
      <c r="E467" s="19"/>
      <c r="F467" s="277"/>
      <c r="G467" s="3"/>
      <c r="H467" s="47"/>
      <c r="I467" s="47"/>
      <c r="J467" s="19"/>
      <c r="K467" s="277"/>
      <c r="L467" s="3"/>
      <c r="M467" s="314"/>
      <c r="N467" s="47"/>
      <c r="O467" s="19"/>
      <c r="P467" s="277"/>
      <c r="Q467" s="3"/>
      <c r="R467" s="47"/>
      <c r="S467" s="47"/>
      <c r="T467" s="19"/>
      <c r="U467" s="277"/>
      <c r="V467" s="3"/>
      <c r="W467" s="47"/>
      <c r="X467" s="47"/>
      <c r="Y467" s="19"/>
      <c r="Z467" s="277"/>
      <c r="AA467" s="29">
        <f t="shared" si="87"/>
        <v>0</v>
      </c>
      <c r="AB467" s="298">
        <f t="shared" si="88"/>
        <v>0</v>
      </c>
      <c r="AC467" s="3"/>
      <c r="AD467" s="4">
        <v>0</v>
      </c>
      <c r="AE467" s="4">
        <v>0</v>
      </c>
      <c r="AF467" s="19">
        <v>0</v>
      </c>
      <c r="AG467" s="29">
        <f t="shared" si="89"/>
        <v>0</v>
      </c>
      <c r="AH467" s="3"/>
      <c r="AI467" s="227"/>
      <c r="AK467" s="187"/>
      <c r="AL467" s="187"/>
      <c r="AM467" s="187"/>
      <c r="AN467" s="187"/>
      <c r="AO467" s="187"/>
      <c r="AP467" s="187"/>
    </row>
    <row r="468" spans="2:42" s="1" customFormat="1" ht="14.25">
      <c r="B468" s="164" t="s">
        <v>42</v>
      </c>
      <c r="C468" s="47"/>
      <c r="D468" s="47"/>
      <c r="E468" s="19"/>
      <c r="F468" s="277"/>
      <c r="G468" s="3"/>
      <c r="H468" s="47"/>
      <c r="I468" s="47"/>
      <c r="J468" s="19"/>
      <c r="K468" s="277"/>
      <c r="L468" s="3"/>
      <c r="M468" s="314"/>
      <c r="N468" s="172"/>
      <c r="O468" s="19"/>
      <c r="P468" s="277"/>
      <c r="Q468" s="3"/>
      <c r="R468" s="47"/>
      <c r="S468" s="47"/>
      <c r="T468" s="19"/>
      <c r="U468" s="277"/>
      <c r="V468" s="3"/>
      <c r="W468" s="47"/>
      <c r="X468" s="47"/>
      <c r="Y468" s="19"/>
      <c r="Z468" s="277"/>
      <c r="AA468" s="29">
        <f t="shared" si="87"/>
        <v>0</v>
      </c>
      <c r="AB468" s="298">
        <f t="shared" si="88"/>
        <v>0</v>
      </c>
      <c r="AC468" s="3"/>
      <c r="AD468" s="4">
        <v>0</v>
      </c>
      <c r="AE468" s="4">
        <v>0</v>
      </c>
      <c r="AF468" s="19">
        <v>0</v>
      </c>
      <c r="AG468" s="29">
        <f t="shared" si="89"/>
        <v>0</v>
      </c>
      <c r="AH468" s="3"/>
      <c r="AI468" s="227"/>
      <c r="AK468" s="187"/>
      <c r="AL468" s="187"/>
      <c r="AM468" s="187"/>
      <c r="AN468" s="187"/>
      <c r="AO468" s="187"/>
      <c r="AP468" s="187"/>
    </row>
    <row r="469" spans="2:42" s="1" customFormat="1" ht="14.25">
      <c r="B469" s="13" t="s">
        <v>43</v>
      </c>
      <c r="C469" s="47"/>
      <c r="D469" s="47"/>
      <c r="E469" s="19"/>
      <c r="F469" s="277"/>
      <c r="G469" s="3"/>
      <c r="H469" s="47"/>
      <c r="I469" s="47"/>
      <c r="J469" s="19"/>
      <c r="K469" s="277"/>
      <c r="L469" s="3"/>
      <c r="M469" s="314"/>
      <c r="N469" s="172"/>
      <c r="O469" s="19"/>
      <c r="P469" s="277"/>
      <c r="Q469" s="3"/>
      <c r="R469" s="47"/>
      <c r="S469" s="47"/>
      <c r="T469" s="19"/>
      <c r="U469" s="277"/>
      <c r="V469" s="3"/>
      <c r="W469" s="47"/>
      <c r="X469" s="47"/>
      <c r="Y469" s="19"/>
      <c r="Z469" s="277"/>
      <c r="AA469" s="29">
        <f t="shared" si="87"/>
        <v>0</v>
      </c>
      <c r="AB469" s="298">
        <f t="shared" si="88"/>
        <v>0</v>
      </c>
      <c r="AC469" s="3"/>
      <c r="AD469" s="4">
        <v>0</v>
      </c>
      <c r="AE469" s="4">
        <v>0</v>
      </c>
      <c r="AF469" s="19">
        <v>0</v>
      </c>
      <c r="AG469" s="29">
        <f t="shared" si="89"/>
        <v>0</v>
      </c>
      <c r="AH469" s="3"/>
      <c r="AI469" s="227"/>
      <c r="AK469" s="187"/>
      <c r="AL469" s="187"/>
      <c r="AM469" s="187"/>
      <c r="AN469" s="187"/>
      <c r="AO469" s="187"/>
      <c r="AP469" s="187"/>
    </row>
    <row r="470" spans="2:42" s="1" customFormat="1" ht="14.25">
      <c r="B470" s="13" t="s">
        <v>44</v>
      </c>
      <c r="C470" s="4">
        <v>0</v>
      </c>
      <c r="D470" s="4">
        <v>0</v>
      </c>
      <c r="E470" s="19">
        <v>0</v>
      </c>
      <c r="F470" s="277"/>
      <c r="G470" s="3"/>
      <c r="H470" s="47"/>
      <c r="I470" s="47"/>
      <c r="J470" s="19"/>
      <c r="K470" s="277"/>
      <c r="L470" s="3"/>
      <c r="M470" s="314"/>
      <c r="N470" s="47"/>
      <c r="O470" s="316"/>
      <c r="P470" s="277"/>
      <c r="Q470" s="3"/>
      <c r="R470" s="47"/>
      <c r="S470" s="47"/>
      <c r="T470" s="19"/>
      <c r="U470" s="277"/>
      <c r="V470" s="3"/>
      <c r="W470" s="47"/>
      <c r="X470" s="47"/>
      <c r="Y470" s="19"/>
      <c r="Z470" s="277"/>
      <c r="AA470" s="29">
        <f t="shared" si="87"/>
        <v>0</v>
      </c>
      <c r="AB470" s="298">
        <f t="shared" si="88"/>
        <v>0</v>
      </c>
      <c r="AC470" s="3"/>
      <c r="AD470" s="4">
        <v>0</v>
      </c>
      <c r="AE470" s="4">
        <v>0</v>
      </c>
      <c r="AF470" s="19">
        <v>0</v>
      </c>
      <c r="AG470" s="29">
        <f t="shared" si="89"/>
        <v>0</v>
      </c>
      <c r="AH470" s="3"/>
      <c r="AI470" s="227"/>
      <c r="AK470" s="187"/>
      <c r="AL470" s="187"/>
      <c r="AM470" s="187"/>
      <c r="AN470" s="187"/>
      <c r="AO470" s="187"/>
      <c r="AP470" s="187"/>
    </row>
    <row r="471" spans="2:42" s="1" customFormat="1" ht="14.25">
      <c r="B471" s="13" t="s">
        <v>45</v>
      </c>
      <c r="C471" s="47"/>
      <c r="D471" s="47"/>
      <c r="E471" s="19"/>
      <c r="F471" s="277"/>
      <c r="G471" s="3"/>
      <c r="H471" s="47"/>
      <c r="I471" s="47"/>
      <c r="J471" s="19"/>
      <c r="K471" s="277"/>
      <c r="L471" s="3"/>
      <c r="M471" s="314"/>
      <c r="N471" s="47"/>
      <c r="O471" s="19"/>
      <c r="P471" s="277"/>
      <c r="Q471" s="3"/>
      <c r="R471" s="47"/>
      <c r="S471" s="47"/>
      <c r="T471" s="19"/>
      <c r="U471" s="277"/>
      <c r="V471" s="3"/>
      <c r="W471" s="47"/>
      <c r="X471" s="47"/>
      <c r="Y471" s="19"/>
      <c r="Z471" s="277"/>
      <c r="AA471" s="29">
        <f t="shared" si="87"/>
        <v>0</v>
      </c>
      <c r="AB471" s="298">
        <f t="shared" si="88"/>
        <v>0</v>
      </c>
      <c r="AC471" s="3"/>
      <c r="AD471" s="4">
        <v>0</v>
      </c>
      <c r="AE471" s="4">
        <v>0</v>
      </c>
      <c r="AF471" s="19">
        <v>0</v>
      </c>
      <c r="AG471" s="29">
        <f t="shared" si="89"/>
        <v>0</v>
      </c>
      <c r="AH471" s="3"/>
      <c r="AI471" s="227"/>
      <c r="AK471" s="187"/>
      <c r="AL471" s="187"/>
      <c r="AM471" s="187"/>
      <c r="AN471" s="187"/>
      <c r="AO471" s="187"/>
      <c r="AP471" s="187"/>
    </row>
    <row r="472" spans="2:42" s="1" customFormat="1" ht="14.25">
      <c r="B472" s="13" t="s">
        <v>173</v>
      </c>
      <c r="C472" s="47"/>
      <c r="D472" s="47"/>
      <c r="E472" s="19"/>
      <c r="F472" s="277"/>
      <c r="G472" s="3"/>
      <c r="H472" s="47"/>
      <c r="I472" s="47"/>
      <c r="J472" s="19"/>
      <c r="K472" s="277"/>
      <c r="L472" s="3"/>
      <c r="M472" s="314"/>
      <c r="N472" s="47"/>
      <c r="O472" s="19"/>
      <c r="P472" s="277"/>
      <c r="Q472" s="3"/>
      <c r="R472" s="47"/>
      <c r="S472" s="47"/>
      <c r="T472" s="19"/>
      <c r="U472" s="277"/>
      <c r="V472" s="3"/>
      <c r="W472" s="47"/>
      <c r="X472" s="47"/>
      <c r="Y472" s="19"/>
      <c r="Z472" s="277"/>
      <c r="AA472" s="29">
        <f t="shared" si="87"/>
        <v>0</v>
      </c>
      <c r="AB472" s="298">
        <f t="shared" si="88"/>
        <v>0</v>
      </c>
      <c r="AC472" s="3"/>
      <c r="AD472" s="4">
        <v>0</v>
      </c>
      <c r="AE472" s="4">
        <v>0</v>
      </c>
      <c r="AF472" s="19">
        <v>0</v>
      </c>
      <c r="AG472" s="29">
        <f t="shared" si="89"/>
        <v>0</v>
      </c>
      <c r="AH472" s="3"/>
      <c r="AI472" s="227"/>
      <c r="AK472" s="187"/>
      <c r="AL472" s="187"/>
      <c r="AM472" s="187"/>
      <c r="AN472" s="187"/>
      <c r="AO472" s="187"/>
      <c r="AP472" s="187"/>
    </row>
    <row r="473" spans="2:42" s="1" customFormat="1" ht="14.25">
      <c r="B473" s="13" t="s">
        <v>48</v>
      </c>
      <c r="C473" s="47"/>
      <c r="D473" s="47"/>
      <c r="E473" s="19"/>
      <c r="F473" s="277"/>
      <c r="G473" s="3"/>
      <c r="H473" s="47"/>
      <c r="I473" s="47"/>
      <c r="J473" s="19"/>
      <c r="K473" s="277"/>
      <c r="L473" s="3"/>
      <c r="M473" s="314"/>
      <c r="N473" s="47"/>
      <c r="O473" s="19"/>
      <c r="P473" s="277"/>
      <c r="Q473" s="3"/>
      <c r="R473" s="47"/>
      <c r="S473" s="47"/>
      <c r="T473" s="19"/>
      <c r="U473" s="277"/>
      <c r="V473" s="3"/>
      <c r="W473" s="47"/>
      <c r="X473" s="47"/>
      <c r="Y473" s="19"/>
      <c r="Z473" s="277"/>
      <c r="AA473" s="29">
        <f t="shared" si="87"/>
        <v>0</v>
      </c>
      <c r="AB473" s="298">
        <f t="shared" si="88"/>
        <v>0</v>
      </c>
      <c r="AC473" s="3"/>
      <c r="AD473" s="4"/>
      <c r="AE473" s="4"/>
      <c r="AF473" s="19"/>
      <c r="AG473" s="29">
        <f t="shared" si="89"/>
        <v>0</v>
      </c>
      <c r="AH473" s="3"/>
      <c r="AI473" s="227"/>
      <c r="AK473" s="187"/>
      <c r="AL473" s="187"/>
      <c r="AM473" s="187"/>
      <c r="AN473" s="187"/>
      <c r="AO473" s="187"/>
      <c r="AP473" s="187"/>
    </row>
    <row r="474" spans="2:42" s="1" customFormat="1" ht="14.25">
      <c r="B474" s="13" t="s">
        <v>49</v>
      </c>
      <c r="C474" s="4">
        <v>0</v>
      </c>
      <c r="D474" s="4">
        <v>0</v>
      </c>
      <c r="E474" s="19">
        <v>0</v>
      </c>
      <c r="F474" s="277"/>
      <c r="G474" s="3"/>
      <c r="H474" s="47"/>
      <c r="I474" s="47"/>
      <c r="J474" s="19"/>
      <c r="K474" s="277"/>
      <c r="L474" s="3"/>
      <c r="M474" s="314"/>
      <c r="N474" s="47"/>
      <c r="O474" s="19"/>
      <c r="P474" s="277"/>
      <c r="Q474" s="3"/>
      <c r="R474" s="47"/>
      <c r="S474" s="47"/>
      <c r="T474" s="19"/>
      <c r="U474" s="277"/>
      <c r="V474" s="3"/>
      <c r="W474" s="47"/>
      <c r="X474" s="47"/>
      <c r="Y474" s="19"/>
      <c r="Z474" s="277"/>
      <c r="AA474" s="29">
        <f t="shared" si="87"/>
        <v>0</v>
      </c>
      <c r="AB474" s="298">
        <f t="shared" si="88"/>
        <v>0</v>
      </c>
      <c r="AC474" s="3"/>
      <c r="AD474" s="4">
        <v>0</v>
      </c>
      <c r="AE474" s="4">
        <v>0</v>
      </c>
      <c r="AF474" s="19">
        <v>0</v>
      </c>
      <c r="AG474" s="29">
        <f t="shared" si="89"/>
        <v>0</v>
      </c>
      <c r="AH474" s="3"/>
      <c r="AI474" s="227"/>
      <c r="AK474" s="187"/>
      <c r="AL474" s="187"/>
      <c r="AM474" s="187"/>
      <c r="AN474" s="187"/>
      <c r="AO474" s="187"/>
      <c r="AP474" s="187"/>
    </row>
    <row r="475" spans="2:42" s="1" customFormat="1" ht="14.25">
      <c r="B475" s="13" t="s">
        <v>50</v>
      </c>
      <c r="C475" s="47"/>
      <c r="D475" s="47"/>
      <c r="E475" s="19"/>
      <c r="F475" s="277"/>
      <c r="G475" s="3"/>
      <c r="H475" s="47"/>
      <c r="I475" s="47"/>
      <c r="J475" s="19"/>
      <c r="K475" s="277"/>
      <c r="L475" s="3"/>
      <c r="M475" s="314"/>
      <c r="N475" s="172"/>
      <c r="O475" s="19"/>
      <c r="P475" s="277"/>
      <c r="Q475" s="3"/>
      <c r="R475" s="47"/>
      <c r="S475" s="47"/>
      <c r="T475" s="19"/>
      <c r="U475" s="277"/>
      <c r="V475" s="3"/>
      <c r="W475" s="47"/>
      <c r="X475" s="47"/>
      <c r="Y475" s="19"/>
      <c r="Z475" s="277"/>
      <c r="AA475" s="29">
        <f t="shared" si="87"/>
        <v>0</v>
      </c>
      <c r="AB475" s="298">
        <f t="shared" si="88"/>
        <v>0</v>
      </c>
      <c r="AC475" s="3"/>
      <c r="AD475" s="4">
        <v>0</v>
      </c>
      <c r="AE475" s="4">
        <v>0</v>
      </c>
      <c r="AF475" s="19">
        <v>0</v>
      </c>
      <c r="AG475" s="29">
        <f t="shared" si="89"/>
        <v>0</v>
      </c>
      <c r="AH475" s="3"/>
      <c r="AI475" s="227"/>
      <c r="AK475" s="187"/>
      <c r="AL475" s="187"/>
      <c r="AM475" s="187"/>
      <c r="AN475" s="187"/>
      <c r="AO475" s="187"/>
      <c r="AP475" s="187"/>
    </row>
    <row r="476" spans="2:42" s="1" customFormat="1" ht="14.25">
      <c r="B476" s="13" t="s">
        <v>51</v>
      </c>
      <c r="C476" s="4"/>
      <c r="D476" s="4"/>
      <c r="E476" s="19"/>
      <c r="F476" s="277"/>
      <c r="G476" s="3"/>
      <c r="H476" s="4"/>
      <c r="I476" s="4"/>
      <c r="J476" s="19"/>
      <c r="K476" s="277"/>
      <c r="L476" s="3"/>
      <c r="M476" s="314"/>
      <c r="N476" s="47"/>
      <c r="O476" s="19"/>
      <c r="P476" s="277"/>
      <c r="Q476" s="3"/>
      <c r="R476" s="4"/>
      <c r="S476" s="4"/>
      <c r="T476" s="19"/>
      <c r="U476" s="277"/>
      <c r="V476" s="3"/>
      <c r="W476" s="4"/>
      <c r="X476" s="4"/>
      <c r="Y476" s="19"/>
      <c r="Z476" s="277"/>
      <c r="AA476" s="29">
        <f t="shared" si="87"/>
        <v>0</v>
      </c>
      <c r="AB476" s="298">
        <f t="shared" si="88"/>
        <v>0</v>
      </c>
      <c r="AC476" s="3"/>
      <c r="AD476" s="4"/>
      <c r="AE476" s="4"/>
      <c r="AF476" s="19"/>
      <c r="AG476" s="29"/>
      <c r="AH476" s="3"/>
      <c r="AI476" s="227"/>
      <c r="AK476" s="187"/>
      <c r="AL476" s="187"/>
      <c r="AM476" s="187"/>
      <c r="AN476" s="187"/>
      <c r="AO476" s="187"/>
      <c r="AP476" s="187"/>
    </row>
    <row r="477" spans="2:42" s="1" customFormat="1" ht="14.25">
      <c r="B477" s="13" t="s">
        <v>54</v>
      </c>
      <c r="C477" s="4">
        <v>0</v>
      </c>
      <c r="D477" s="4">
        <v>0</v>
      </c>
      <c r="E477" s="19"/>
      <c r="F477" s="277"/>
      <c r="G477" s="3"/>
      <c r="H477" s="4">
        <v>0</v>
      </c>
      <c r="I477" s="4">
        <v>0</v>
      </c>
      <c r="J477" s="19"/>
      <c r="K477" s="277"/>
      <c r="L477" s="3"/>
      <c r="M477" s="4">
        <v>0</v>
      </c>
      <c r="N477" s="4">
        <v>0</v>
      </c>
      <c r="O477" s="19"/>
      <c r="P477" s="277"/>
      <c r="Q477" s="3"/>
      <c r="R477" s="4">
        <v>0</v>
      </c>
      <c r="S477" s="4">
        <v>0</v>
      </c>
      <c r="T477" s="19"/>
      <c r="U477" s="277"/>
      <c r="V477" s="3"/>
      <c r="W477" s="4">
        <v>0</v>
      </c>
      <c r="X477" s="4">
        <v>0</v>
      </c>
      <c r="Y477" s="19"/>
      <c r="Z477" s="277"/>
      <c r="AA477" s="29">
        <f t="shared" si="87"/>
        <v>0</v>
      </c>
      <c r="AB477" s="298">
        <f t="shared" si="88"/>
        <v>0</v>
      </c>
      <c r="AC477" s="3"/>
      <c r="AD477" s="4"/>
      <c r="AE477" s="4"/>
      <c r="AF477" s="19"/>
      <c r="AG477" s="29">
        <f>AF477</f>
        <v>0</v>
      </c>
      <c r="AH477" s="3"/>
      <c r="AI477" s="227"/>
      <c r="AK477" s="187"/>
      <c r="AL477" s="187"/>
      <c r="AM477" s="187"/>
      <c r="AN477" s="187"/>
      <c r="AO477" s="187"/>
      <c r="AP477" s="187"/>
    </row>
    <row r="478" spans="2:42" s="1" customFormat="1" ht="14.25">
      <c r="B478" s="13" t="s">
        <v>55</v>
      </c>
      <c r="C478" s="4">
        <v>0</v>
      </c>
      <c r="D478" s="4">
        <v>0</v>
      </c>
      <c r="E478" s="19"/>
      <c r="F478" s="277"/>
      <c r="G478" s="3"/>
      <c r="H478" s="4">
        <v>0</v>
      </c>
      <c r="I478" s="4">
        <v>0</v>
      </c>
      <c r="J478" s="19"/>
      <c r="K478" s="277"/>
      <c r="L478" s="3"/>
      <c r="M478" s="4">
        <v>0</v>
      </c>
      <c r="N478" s="4">
        <v>0</v>
      </c>
      <c r="O478" s="19"/>
      <c r="P478" s="277"/>
      <c r="Q478" s="3"/>
      <c r="R478" s="4">
        <v>0</v>
      </c>
      <c r="S478" s="4">
        <v>0</v>
      </c>
      <c r="T478" s="19"/>
      <c r="U478" s="277"/>
      <c r="V478" s="3"/>
      <c r="W478" s="4">
        <v>0</v>
      </c>
      <c r="X478" s="4">
        <v>0</v>
      </c>
      <c r="Y478" s="19"/>
      <c r="Z478" s="277"/>
      <c r="AA478" s="29">
        <f t="shared" si="87"/>
        <v>0</v>
      </c>
      <c r="AB478" s="298">
        <f t="shared" si="88"/>
        <v>0</v>
      </c>
      <c r="AC478" s="3"/>
      <c r="AD478" s="4"/>
      <c r="AE478" s="4"/>
      <c r="AF478" s="19"/>
      <c r="AG478" s="29">
        <f>AF478</f>
        <v>0</v>
      </c>
      <c r="AH478" s="3"/>
      <c r="AI478" s="227"/>
      <c r="AK478" s="187"/>
      <c r="AL478" s="187"/>
      <c r="AM478" s="187"/>
      <c r="AN478" s="187"/>
      <c r="AO478" s="187"/>
      <c r="AP478" s="187"/>
    </row>
    <row r="479" spans="2:42" s="1" customFormat="1" ht="14.25">
      <c r="B479" s="138" t="s">
        <v>56</v>
      </c>
      <c r="C479" s="12" t="s">
        <v>29</v>
      </c>
      <c r="D479" s="12" t="s">
        <v>29</v>
      </c>
      <c r="E479" s="19"/>
      <c r="F479" s="277"/>
      <c r="G479" s="3"/>
      <c r="H479" s="12" t="s">
        <v>29</v>
      </c>
      <c r="I479" s="12" t="s">
        <v>29</v>
      </c>
      <c r="J479" s="19"/>
      <c r="K479" s="277"/>
      <c r="L479" s="3"/>
      <c r="M479" s="12" t="s">
        <v>29</v>
      </c>
      <c r="N479" s="12" t="s">
        <v>29</v>
      </c>
      <c r="O479" s="19"/>
      <c r="P479" s="277"/>
      <c r="Q479" s="3"/>
      <c r="R479" s="12" t="s">
        <v>29</v>
      </c>
      <c r="S479" s="12" t="s">
        <v>29</v>
      </c>
      <c r="T479" s="19"/>
      <c r="U479" s="277"/>
      <c r="V479" s="3"/>
      <c r="W479" s="12" t="s">
        <v>29</v>
      </c>
      <c r="X479" s="12" t="s">
        <v>29</v>
      </c>
      <c r="Y479" s="19"/>
      <c r="Z479" s="277"/>
      <c r="AA479" s="29">
        <f t="shared" si="87"/>
        <v>0</v>
      </c>
      <c r="AB479" s="298">
        <f t="shared" si="88"/>
        <v>0</v>
      </c>
      <c r="AC479" s="3"/>
      <c r="AD479" s="4">
        <v>0</v>
      </c>
      <c r="AE479" s="4">
        <v>0</v>
      </c>
      <c r="AF479" s="19">
        <v>0</v>
      </c>
      <c r="AG479" s="29">
        <f t="shared" ref="AG479:AG480" si="90">AF479</f>
        <v>0</v>
      </c>
      <c r="AH479" s="3"/>
      <c r="AI479" s="227"/>
      <c r="AK479" s="187"/>
      <c r="AL479" s="187"/>
      <c r="AM479" s="187"/>
      <c r="AN479" s="187"/>
      <c r="AO479" s="187"/>
      <c r="AP479" s="187"/>
    </row>
    <row r="480" spans="2:42" s="1" customFormat="1" ht="14.25">
      <c r="B480" s="138" t="s">
        <v>57</v>
      </c>
      <c r="C480" s="12" t="s">
        <v>29</v>
      </c>
      <c r="D480" s="12" t="s">
        <v>29</v>
      </c>
      <c r="E480" s="19"/>
      <c r="F480" s="277"/>
      <c r="G480" s="3"/>
      <c r="H480" s="12" t="s">
        <v>29</v>
      </c>
      <c r="I480" s="12" t="s">
        <v>29</v>
      </c>
      <c r="J480" s="19"/>
      <c r="K480" s="277"/>
      <c r="L480" s="3"/>
      <c r="M480" s="12" t="s">
        <v>29</v>
      </c>
      <c r="N480" s="12" t="s">
        <v>29</v>
      </c>
      <c r="O480" s="19"/>
      <c r="P480" s="277"/>
      <c r="Q480" s="3"/>
      <c r="R480" s="12" t="s">
        <v>29</v>
      </c>
      <c r="S480" s="12" t="s">
        <v>29</v>
      </c>
      <c r="T480" s="19"/>
      <c r="U480" s="277"/>
      <c r="V480" s="3"/>
      <c r="W480" s="12" t="s">
        <v>29</v>
      </c>
      <c r="X480" s="12" t="s">
        <v>29</v>
      </c>
      <c r="Y480" s="19"/>
      <c r="Z480" s="277"/>
      <c r="AA480" s="29">
        <f t="shared" si="87"/>
        <v>0</v>
      </c>
      <c r="AB480" s="298">
        <f t="shared" si="88"/>
        <v>0</v>
      </c>
      <c r="AC480" s="3"/>
      <c r="AD480" s="4">
        <v>0</v>
      </c>
      <c r="AE480" s="4">
        <v>0</v>
      </c>
      <c r="AF480" s="19">
        <v>0</v>
      </c>
      <c r="AG480" s="29">
        <f t="shared" si="90"/>
        <v>0</v>
      </c>
      <c r="AH480" s="3"/>
      <c r="AI480" s="227"/>
      <c r="AK480" s="187"/>
      <c r="AL480" s="187"/>
      <c r="AM480" s="187"/>
      <c r="AN480" s="187"/>
      <c r="AO480" s="187"/>
      <c r="AP480" s="187"/>
    </row>
    <row r="481" spans="1:42" s="1" customFormat="1" ht="14.25">
      <c r="B481" s="138" t="s">
        <v>53</v>
      </c>
      <c r="C481" s="12" t="s">
        <v>29</v>
      </c>
      <c r="D481" s="12" t="s">
        <v>29</v>
      </c>
      <c r="E481" s="19"/>
      <c r="F481" s="277"/>
      <c r="G481" s="3"/>
      <c r="H481" s="12" t="s">
        <v>29</v>
      </c>
      <c r="I481" s="12" t="s">
        <v>29</v>
      </c>
      <c r="J481" s="19"/>
      <c r="K481" s="277"/>
      <c r="L481" s="3"/>
      <c r="M481" s="12" t="s">
        <v>29</v>
      </c>
      <c r="N481" s="12" t="s">
        <v>29</v>
      </c>
      <c r="O481" s="19"/>
      <c r="P481" s="277"/>
      <c r="Q481" s="3"/>
      <c r="R481" s="12" t="s">
        <v>29</v>
      </c>
      <c r="S481" s="12" t="s">
        <v>29</v>
      </c>
      <c r="T481" s="19"/>
      <c r="U481" s="277"/>
      <c r="V481" s="3"/>
      <c r="W481" s="12" t="s">
        <v>29</v>
      </c>
      <c r="X481" s="12" t="s">
        <v>29</v>
      </c>
      <c r="Y481" s="19"/>
      <c r="Z481" s="277"/>
      <c r="AA481" s="29">
        <f t="shared" si="87"/>
        <v>0</v>
      </c>
      <c r="AB481" s="298">
        <f t="shared" si="88"/>
        <v>0</v>
      </c>
      <c r="AC481" s="3"/>
      <c r="AD481" s="4">
        <v>0</v>
      </c>
      <c r="AE481" s="4">
        <v>0</v>
      </c>
      <c r="AF481" s="19">
        <v>0</v>
      </c>
      <c r="AG481" s="29">
        <f>AF481</f>
        <v>0</v>
      </c>
      <c r="AH481" s="3"/>
      <c r="AI481" s="227"/>
      <c r="AK481" s="187"/>
      <c r="AL481" s="187"/>
      <c r="AM481" s="187"/>
      <c r="AN481" s="187"/>
      <c r="AO481" s="187"/>
      <c r="AP481" s="187"/>
    </row>
    <row r="482" spans="1:42" s="1" customFormat="1" ht="14.25">
      <c r="B482" s="138" t="s">
        <v>60</v>
      </c>
      <c r="C482" s="12" t="s">
        <v>29</v>
      </c>
      <c r="D482" s="12" t="s">
        <v>29</v>
      </c>
      <c r="E482" s="19"/>
      <c r="F482" s="277"/>
      <c r="G482" s="3"/>
      <c r="H482" s="12" t="s">
        <v>29</v>
      </c>
      <c r="I482" s="12" t="s">
        <v>29</v>
      </c>
      <c r="J482" s="19"/>
      <c r="K482" s="277"/>
      <c r="L482" s="3"/>
      <c r="M482" s="12" t="s">
        <v>29</v>
      </c>
      <c r="N482" s="12" t="s">
        <v>29</v>
      </c>
      <c r="O482" s="19"/>
      <c r="P482" s="277"/>
      <c r="Q482" s="3"/>
      <c r="R482" s="12" t="s">
        <v>29</v>
      </c>
      <c r="S482" s="12" t="s">
        <v>29</v>
      </c>
      <c r="T482" s="19"/>
      <c r="U482" s="277"/>
      <c r="V482" s="3"/>
      <c r="W482" s="12" t="s">
        <v>29</v>
      </c>
      <c r="X482" s="12" t="s">
        <v>29</v>
      </c>
      <c r="Y482" s="19"/>
      <c r="Z482" s="277"/>
      <c r="AA482" s="29">
        <f t="shared" si="87"/>
        <v>0</v>
      </c>
      <c r="AB482" s="298">
        <f t="shared" si="88"/>
        <v>0</v>
      </c>
      <c r="AC482" s="3"/>
      <c r="AD482" s="4">
        <v>0</v>
      </c>
      <c r="AE482" s="4">
        <v>0</v>
      </c>
      <c r="AF482" s="19">
        <v>0</v>
      </c>
      <c r="AG482" s="29">
        <f t="shared" ref="AG482" si="91">AF482</f>
        <v>0</v>
      </c>
      <c r="AH482" s="3"/>
      <c r="AI482" s="227"/>
      <c r="AK482" s="187"/>
      <c r="AL482" s="187"/>
      <c r="AM482" s="187"/>
      <c r="AN482" s="187"/>
      <c r="AO482" s="187"/>
      <c r="AP482" s="187"/>
    </row>
    <row r="483" spans="1:42" s="1" customFormat="1" ht="14.25">
      <c r="B483" s="138" t="s">
        <v>52</v>
      </c>
      <c r="C483" s="12" t="s">
        <v>29</v>
      </c>
      <c r="D483" s="12" t="s">
        <v>29</v>
      </c>
      <c r="E483" s="19">
        <v>0</v>
      </c>
      <c r="F483" s="277"/>
      <c r="G483" s="3"/>
      <c r="H483" s="12" t="s">
        <v>29</v>
      </c>
      <c r="I483" s="12" t="s">
        <v>29</v>
      </c>
      <c r="J483" s="19">
        <v>8</v>
      </c>
      <c r="K483" s="277"/>
      <c r="L483" s="3"/>
      <c r="M483" s="12"/>
      <c r="N483" s="12"/>
      <c r="O483" s="19"/>
      <c r="P483" s="277"/>
      <c r="Q483" s="3"/>
      <c r="R483" s="12"/>
      <c r="S483" s="12"/>
      <c r="T483" s="19"/>
      <c r="U483" s="277"/>
      <c r="V483" s="3"/>
      <c r="W483" s="12"/>
      <c r="X483" s="12"/>
      <c r="Y483" s="19"/>
      <c r="Z483" s="277"/>
      <c r="AA483" s="29"/>
      <c r="AB483" s="298"/>
      <c r="AC483" s="3"/>
      <c r="AD483" s="4"/>
      <c r="AE483" s="4"/>
      <c r="AF483" s="19"/>
      <c r="AG483" s="29"/>
      <c r="AH483" s="3"/>
      <c r="AI483" s="227"/>
      <c r="AK483" s="187"/>
      <c r="AL483" s="187"/>
      <c r="AM483" s="187"/>
      <c r="AN483" s="187"/>
      <c r="AO483" s="187"/>
      <c r="AP483" s="187"/>
    </row>
    <row r="484" spans="1:42" s="1" customFormat="1">
      <c r="B484" s="64" t="s">
        <v>61</v>
      </c>
      <c r="C484" s="64"/>
      <c r="D484" s="64"/>
      <c r="E484" s="167">
        <f>SUM(E458:E483)</f>
        <v>0</v>
      </c>
      <c r="F484" s="277">
        <f>SUM(F458:F483)</f>
        <v>0</v>
      </c>
      <c r="G484" s="64"/>
      <c r="H484" s="64"/>
      <c r="I484" s="64"/>
      <c r="J484" s="167">
        <f>SUM(J458:J483)</f>
        <v>8</v>
      </c>
      <c r="K484" s="277">
        <f>SUM(K458:K483)</f>
        <v>0</v>
      </c>
      <c r="L484" s="64"/>
      <c r="M484" s="64"/>
      <c r="N484" s="64"/>
      <c r="O484" s="167">
        <f>SUM(O458:O483)</f>
        <v>0</v>
      </c>
      <c r="P484" s="277">
        <f>SUM(P458:P483)</f>
        <v>0</v>
      </c>
      <c r="Q484" s="64"/>
      <c r="R484" s="64"/>
      <c r="S484" s="64"/>
      <c r="T484" s="167">
        <f>SUM(T458:T483)</f>
        <v>0</v>
      </c>
      <c r="U484" s="277">
        <f>SUM(U458:U483)</f>
        <v>0</v>
      </c>
      <c r="V484" s="64"/>
      <c r="W484" s="64"/>
      <c r="X484" s="64"/>
      <c r="Y484" s="167">
        <f>SUM(Y458:Y483)</f>
        <v>0</v>
      </c>
      <c r="Z484" s="277">
        <f>SUM(Z458:Z483)</f>
        <v>0</v>
      </c>
      <c r="AA484" s="247">
        <f>SUM(AA458:AA483)</f>
        <v>0</v>
      </c>
      <c r="AB484" s="284">
        <f>SUM(AB458:AB483)</f>
        <v>0</v>
      </c>
      <c r="AC484" s="3"/>
      <c r="AD484" s="64"/>
      <c r="AE484" s="64"/>
      <c r="AF484" s="64"/>
      <c r="AG484" s="247">
        <f>SUM(AG458:AG483)</f>
        <v>0</v>
      </c>
      <c r="AH484" s="3"/>
      <c r="AI484" s="227"/>
      <c r="AK484" s="187"/>
      <c r="AL484" s="187"/>
      <c r="AM484" s="187"/>
      <c r="AN484" s="187"/>
      <c r="AO484" s="187"/>
      <c r="AP484" s="187"/>
    </row>
    <row r="485" spans="1:42" s="1" customFormat="1">
      <c r="B485" s="63" t="s">
        <v>62</v>
      </c>
      <c r="C485" s="56"/>
      <c r="D485" s="56"/>
      <c r="E485" s="19">
        <v>8</v>
      </c>
      <c r="F485" s="291"/>
      <c r="G485" s="60"/>
      <c r="H485" s="56"/>
      <c r="I485" s="56"/>
      <c r="J485" s="19">
        <v>8</v>
      </c>
      <c r="K485" s="291"/>
      <c r="L485" s="60"/>
      <c r="M485" s="56"/>
      <c r="N485" s="56"/>
      <c r="O485" s="19">
        <v>8</v>
      </c>
      <c r="P485" s="291"/>
      <c r="Q485" s="60"/>
      <c r="R485" s="56"/>
      <c r="S485" s="56"/>
      <c r="T485" s="19">
        <v>8</v>
      </c>
      <c r="U485" s="291"/>
      <c r="V485" s="60"/>
      <c r="W485" s="56"/>
      <c r="X485" s="56"/>
      <c r="Y485" s="19">
        <v>8</v>
      </c>
      <c r="Z485" s="291"/>
      <c r="AA485" s="28">
        <f>SUM(E485+J485+O485+T485+Y485)</f>
        <v>40</v>
      </c>
      <c r="AB485" s="282">
        <f>Z485+U485+P485+K485+F485</f>
        <v>0</v>
      </c>
      <c r="AC485" s="3"/>
      <c r="AD485" s="56"/>
      <c r="AE485" s="56"/>
      <c r="AF485" s="19"/>
      <c r="AG485" s="29">
        <v>0</v>
      </c>
      <c r="AH485" s="3"/>
      <c r="AI485" s="227"/>
      <c r="AK485" s="187"/>
      <c r="AL485" s="187"/>
      <c r="AM485" s="187"/>
      <c r="AN485" s="187"/>
      <c r="AO485" s="187"/>
      <c r="AP485" s="187"/>
    </row>
    <row r="486" spans="1:42" s="1" customFormat="1">
      <c r="B486" s="63" t="s">
        <v>63</v>
      </c>
      <c r="C486" s="56"/>
      <c r="D486" s="56"/>
      <c r="E486" s="19">
        <v>8</v>
      </c>
      <c r="F486" s="291"/>
      <c r="G486" s="60"/>
      <c r="H486" s="56"/>
      <c r="I486" s="56"/>
      <c r="J486" s="19">
        <v>8</v>
      </c>
      <c r="K486" s="291"/>
      <c r="L486" s="60"/>
      <c r="M486" s="56"/>
      <c r="N486" s="56"/>
      <c r="O486" s="19">
        <v>8</v>
      </c>
      <c r="P486" s="291"/>
      <c r="Q486" s="60"/>
      <c r="R486" s="56"/>
      <c r="S486" s="56"/>
      <c r="T486" s="19">
        <v>8</v>
      </c>
      <c r="U486" s="291"/>
      <c r="V486" s="60"/>
      <c r="W486" s="56"/>
      <c r="X486" s="56"/>
      <c r="Y486" s="19">
        <v>8</v>
      </c>
      <c r="Z486" s="291"/>
      <c r="AA486" s="28">
        <f>SUM(E486+J486+O486+T486+Y486)</f>
        <v>40</v>
      </c>
      <c r="AB486" s="282">
        <f>Z486+U486+P486+K486+F486</f>
        <v>0</v>
      </c>
      <c r="AC486" s="3"/>
      <c r="AD486" s="56"/>
      <c r="AE486" s="56"/>
      <c r="AF486" s="19"/>
      <c r="AG486" s="29">
        <f>AF486</f>
        <v>0</v>
      </c>
      <c r="AH486" s="3"/>
      <c r="AI486" s="227"/>
      <c r="AK486" s="187"/>
      <c r="AL486" s="187"/>
      <c r="AM486" s="187"/>
      <c r="AN486" s="187"/>
      <c r="AO486" s="187"/>
      <c r="AP486" s="187"/>
    </row>
    <row r="487" spans="1:42" s="1" customFormat="1">
      <c r="B487" s="63" t="s">
        <v>64</v>
      </c>
      <c r="C487" s="56"/>
      <c r="D487" s="56"/>
      <c r="E487" s="19">
        <v>8</v>
      </c>
      <c r="F487" s="291"/>
      <c r="G487" s="60"/>
      <c r="H487" s="56"/>
      <c r="I487" s="56"/>
      <c r="J487" s="19">
        <v>8</v>
      </c>
      <c r="K487" s="291"/>
      <c r="L487" s="60"/>
      <c r="M487" s="56"/>
      <c r="N487" s="56"/>
      <c r="O487" s="19">
        <v>8</v>
      </c>
      <c r="P487" s="291"/>
      <c r="Q487" s="60"/>
      <c r="R487" s="56"/>
      <c r="S487" s="56"/>
      <c r="T487" s="19">
        <v>8</v>
      </c>
      <c r="U487" s="291"/>
      <c r="V487" s="60"/>
      <c r="W487" s="56"/>
      <c r="X487" s="56"/>
      <c r="Y487" s="19">
        <v>0</v>
      </c>
      <c r="Z487" s="291"/>
      <c r="AA487" s="28">
        <f>SUM(E487+J487+O487+T487+Y487)</f>
        <v>32</v>
      </c>
      <c r="AB487" s="282">
        <f>Z487+U487+P487+K487+F487</f>
        <v>0</v>
      </c>
      <c r="AC487" s="3"/>
      <c r="AD487" s="56"/>
      <c r="AE487" s="56"/>
      <c r="AF487" s="19"/>
      <c r="AG487" s="29">
        <f>AF487</f>
        <v>0</v>
      </c>
      <c r="AH487" s="3"/>
      <c r="AI487" s="227"/>
      <c r="AK487" s="187"/>
      <c r="AL487" s="187"/>
      <c r="AM487" s="187"/>
      <c r="AN487" s="187"/>
      <c r="AO487" s="187"/>
      <c r="AP487" s="187"/>
    </row>
    <row r="488" spans="1:42" s="1" customFormat="1" ht="14.25" thickBot="1">
      <c r="B488" s="268" t="s">
        <v>65</v>
      </c>
      <c r="C488" s="75"/>
      <c r="D488" s="75"/>
      <c r="E488" s="77">
        <v>4</v>
      </c>
      <c r="F488" s="292"/>
      <c r="G488" s="81"/>
      <c r="H488" s="75"/>
      <c r="I488" s="75"/>
      <c r="J488" s="77">
        <v>4</v>
      </c>
      <c r="K488" s="292"/>
      <c r="L488" s="81"/>
      <c r="M488" s="75"/>
      <c r="N488" s="75"/>
      <c r="O488" s="77">
        <v>4</v>
      </c>
      <c r="P488" s="292"/>
      <c r="Q488" s="81"/>
      <c r="R488" s="75"/>
      <c r="S488" s="75"/>
      <c r="T488" s="77">
        <v>4</v>
      </c>
      <c r="U488" s="292"/>
      <c r="V488" s="81"/>
      <c r="W488" s="75"/>
      <c r="X488" s="75"/>
      <c r="Y488" s="77">
        <v>4</v>
      </c>
      <c r="Z488" s="292"/>
      <c r="AA488" s="80">
        <f>SUM(E488+J488+O488+T488+Y488)</f>
        <v>20</v>
      </c>
      <c r="AB488" s="294">
        <f>Z488+U488+P488+K488+F488</f>
        <v>0</v>
      </c>
      <c r="AC488" s="3"/>
      <c r="AD488" s="75"/>
      <c r="AE488" s="75"/>
      <c r="AF488" s="77"/>
      <c r="AG488" s="276">
        <v>0</v>
      </c>
      <c r="AH488" s="3"/>
      <c r="AI488" s="227"/>
      <c r="AK488" s="187"/>
      <c r="AL488" s="187"/>
      <c r="AM488" s="187"/>
      <c r="AN488" s="187"/>
      <c r="AO488" s="187"/>
      <c r="AP488" s="187"/>
    </row>
    <row r="489" spans="1:42" s="1" customFormat="1" ht="14.25" thickTop="1">
      <c r="B489" s="71" t="s">
        <v>66</v>
      </c>
      <c r="C489" s="68"/>
      <c r="D489" s="68"/>
      <c r="E489" s="71">
        <f>SUM(E485:E488)</f>
        <v>28</v>
      </c>
      <c r="F489" s="72"/>
      <c r="G489" s="72"/>
      <c r="H489" s="68"/>
      <c r="I489" s="68"/>
      <c r="J489" s="71">
        <f>SUM(J485:J488)</f>
        <v>28</v>
      </c>
      <c r="K489" s="72"/>
      <c r="L489" s="72"/>
      <c r="M489" s="68"/>
      <c r="N489" s="68"/>
      <c r="O489" s="71">
        <f>SUM(O485:O488)</f>
        <v>28</v>
      </c>
      <c r="P489" s="72"/>
      <c r="Q489" s="72"/>
      <c r="R489" s="68"/>
      <c r="S489" s="68"/>
      <c r="T489" s="71">
        <f>SUM(T485:T488)</f>
        <v>28</v>
      </c>
      <c r="U489" s="72"/>
      <c r="V489" s="72"/>
      <c r="W489" s="68"/>
      <c r="X489" s="68"/>
      <c r="Y489" s="102">
        <f>SUM(Y485:Y488)</f>
        <v>20</v>
      </c>
      <c r="Z489" s="72"/>
      <c r="AA489" s="247">
        <f>SUM(AA485:AA488)</f>
        <v>132</v>
      </c>
      <c r="AB489" s="247">
        <f>SUM(AB485:AB488)</f>
        <v>0</v>
      </c>
      <c r="AC489" s="3"/>
      <c r="AG489" s="247">
        <f>SUM(AG487:AG488)</f>
        <v>0</v>
      </c>
      <c r="AH489" s="3"/>
      <c r="AI489" s="227"/>
      <c r="AK489" s="187"/>
      <c r="AL489" s="187"/>
      <c r="AM489" s="187"/>
      <c r="AN489" s="187"/>
      <c r="AO489" s="187"/>
      <c r="AP489" s="187"/>
    </row>
    <row r="490" spans="1:42" s="1" customFormat="1" ht="13.5" customHeight="1">
      <c r="A490" s="11"/>
      <c r="B490" s="217" t="s">
        <v>67</v>
      </c>
      <c r="C490" s="207">
        <f>C491+C492</f>
        <v>0</v>
      </c>
      <c r="D490" s="208"/>
      <c r="E490" s="209"/>
      <c r="F490" s="209"/>
      <c r="G490" s="208"/>
      <c r="H490" s="209"/>
      <c r="I490" s="209"/>
      <c r="J490" s="209"/>
      <c r="K490" s="209"/>
      <c r="L490" s="208"/>
      <c r="M490" s="208"/>
      <c r="N490" s="208"/>
      <c r="O490" s="208"/>
      <c r="P490" s="209"/>
      <c r="Q490" s="208"/>
      <c r="R490" s="208"/>
      <c r="S490" s="208"/>
      <c r="T490" s="208"/>
      <c r="U490" s="209"/>
      <c r="V490" s="208"/>
      <c r="W490" s="208"/>
      <c r="X490" s="208"/>
      <c r="Y490" s="210"/>
      <c r="Z490" s="209"/>
      <c r="AA490" s="211"/>
      <c r="AB490" s="209"/>
      <c r="AC490" s="211"/>
      <c r="AD490" s="211"/>
      <c r="AE490" s="211"/>
      <c r="AF490" s="211"/>
      <c r="AG490" s="211"/>
      <c r="AH490" s="3"/>
      <c r="AI490" s="227"/>
      <c r="AK490" s="187"/>
      <c r="AL490" s="187"/>
      <c r="AM490" s="187"/>
      <c r="AN490" s="187"/>
      <c r="AO490" s="187"/>
      <c r="AP490" s="187"/>
    </row>
    <row r="491" spans="1:42" s="1" customFormat="1" ht="14.25">
      <c r="A491" s="11"/>
      <c r="B491" s="238" t="s">
        <v>68</v>
      </c>
      <c r="C491" s="239"/>
      <c r="D491" s="208"/>
      <c r="E491" s="209"/>
      <c r="F491" s="209"/>
      <c r="G491" s="208"/>
      <c r="H491" s="209"/>
      <c r="I491" s="209"/>
      <c r="J491" s="209"/>
      <c r="K491" s="209"/>
      <c r="L491" s="208"/>
      <c r="M491" s="208"/>
      <c r="N491" s="208"/>
      <c r="O491" s="208"/>
      <c r="P491" s="209"/>
      <c r="Q491" s="208"/>
      <c r="R491" s="208"/>
      <c r="S491" s="208"/>
      <c r="T491" s="208"/>
      <c r="U491" s="209"/>
      <c r="V491" s="208"/>
      <c r="W491" s="208"/>
      <c r="X491" s="208"/>
      <c r="Y491" s="210"/>
      <c r="Z491" s="209"/>
      <c r="AA491" s="211"/>
      <c r="AB491" s="209"/>
      <c r="AC491" s="211"/>
      <c r="AD491" s="211"/>
      <c r="AE491" s="211"/>
      <c r="AF491" s="211"/>
      <c r="AG491" s="211"/>
      <c r="AH491" s="3"/>
      <c r="AI491" s="227"/>
      <c r="AK491" s="187"/>
      <c r="AL491" s="187"/>
      <c r="AM491" s="187"/>
      <c r="AN491" s="187"/>
      <c r="AO491" s="187"/>
      <c r="AP491" s="187"/>
    </row>
    <row r="492" spans="1:42" s="1" customFormat="1" ht="14.25">
      <c r="A492" s="11"/>
      <c r="B492" s="238" t="s">
        <v>69</v>
      </c>
      <c r="C492" s="239"/>
      <c r="D492" s="208"/>
      <c r="E492" s="209"/>
      <c r="F492" s="209"/>
      <c r="G492" s="208"/>
      <c r="H492" s="209"/>
      <c r="I492" s="209"/>
      <c r="J492" s="209"/>
      <c r="K492" s="209"/>
      <c r="L492" s="208"/>
      <c r="M492" s="208"/>
      <c r="N492" s="208"/>
      <c r="O492" s="208"/>
      <c r="P492" s="209"/>
      <c r="Q492" s="208"/>
      <c r="R492" s="208"/>
      <c r="S492" s="208"/>
      <c r="T492" s="208"/>
      <c r="U492" s="209"/>
      <c r="V492" s="208"/>
      <c r="W492" s="208"/>
      <c r="X492" s="208"/>
      <c r="Y492" s="210"/>
      <c r="Z492" s="209"/>
      <c r="AA492" s="211"/>
      <c r="AB492" s="209"/>
      <c r="AC492" s="211"/>
      <c r="AD492" s="211"/>
      <c r="AE492" s="211"/>
      <c r="AF492" s="211"/>
      <c r="AG492" s="211"/>
      <c r="AH492" s="3"/>
      <c r="AI492" s="227"/>
      <c r="AK492" s="187"/>
      <c r="AL492" s="187"/>
      <c r="AM492" s="187"/>
      <c r="AN492" s="187"/>
      <c r="AO492" s="187"/>
      <c r="AP492" s="187"/>
    </row>
    <row r="493" spans="1:42" s="1" customFormat="1" ht="14.25">
      <c r="A493" s="11"/>
      <c r="B493" s="218"/>
      <c r="C493" s="219"/>
      <c r="D493" s="220"/>
      <c r="E493" s="221"/>
      <c r="F493" s="221"/>
      <c r="G493" s="220"/>
      <c r="H493" s="221"/>
      <c r="I493" s="221"/>
      <c r="J493" s="221"/>
      <c r="K493" s="221"/>
      <c r="L493" s="220"/>
      <c r="M493" s="220"/>
      <c r="N493" s="220"/>
      <c r="O493" s="220"/>
      <c r="P493" s="221"/>
      <c r="Q493" s="220"/>
      <c r="R493" s="220"/>
      <c r="S493" s="220"/>
      <c r="T493" s="220"/>
      <c r="U493" s="221"/>
      <c r="V493" s="220"/>
      <c r="W493" s="220"/>
      <c r="X493" s="220"/>
      <c r="Y493" s="222"/>
      <c r="Z493" s="221"/>
      <c r="AA493" s="223"/>
      <c r="AB493" s="221"/>
      <c r="AC493" s="3"/>
      <c r="AD493" s="168"/>
      <c r="AH493" s="3"/>
      <c r="AI493" s="227"/>
      <c r="AK493" s="187"/>
      <c r="AL493" s="187"/>
      <c r="AM493" s="187"/>
      <c r="AN493" s="187"/>
      <c r="AO493" s="187"/>
      <c r="AP493" s="187"/>
    </row>
    <row r="494" spans="1:42" s="227" customFormat="1" ht="14.25">
      <c r="A494" s="228"/>
      <c r="B494" s="229"/>
      <c r="C494" s="230"/>
      <c r="D494" s="231"/>
      <c r="E494" s="232"/>
      <c r="F494" s="232"/>
      <c r="G494" s="231"/>
      <c r="H494" s="232"/>
      <c r="I494" s="232"/>
      <c r="J494" s="232"/>
      <c r="K494" s="232"/>
      <c r="L494" s="231"/>
      <c r="M494" s="231"/>
      <c r="N494" s="231"/>
      <c r="O494" s="231"/>
      <c r="P494" s="232"/>
      <c r="Q494" s="231"/>
      <c r="R494" s="231"/>
      <c r="S494" s="231"/>
      <c r="T494" s="231"/>
      <c r="U494" s="232"/>
      <c r="V494" s="231"/>
      <c r="W494" s="231"/>
      <c r="X494" s="231"/>
      <c r="Y494" s="233"/>
      <c r="Z494" s="232"/>
      <c r="AA494" s="234"/>
      <c r="AB494" s="232"/>
      <c r="AC494" s="235"/>
      <c r="AD494" s="236"/>
      <c r="AH494" s="235"/>
    </row>
    <row r="495" spans="1:42" s="1" customFormat="1">
      <c r="E495" s="3"/>
      <c r="F495" s="3"/>
      <c r="G495" s="3"/>
      <c r="J495" s="3"/>
      <c r="K495" s="3"/>
      <c r="L495" s="3"/>
      <c r="O495" s="3"/>
      <c r="P495" s="3"/>
      <c r="Q495" s="3"/>
      <c r="T495" s="3"/>
      <c r="U495" s="3"/>
      <c r="V495" s="3"/>
      <c r="Y495" s="3"/>
      <c r="Z495" s="3"/>
      <c r="AA495" s="3"/>
      <c r="AB495" s="3"/>
      <c r="AC495" s="3"/>
      <c r="AH495" s="3"/>
    </row>
    <row r="496" spans="1:42" s="1" customFormat="1">
      <c r="E496" s="3"/>
      <c r="F496" s="3"/>
      <c r="G496" s="3"/>
      <c r="J496" s="3"/>
      <c r="K496" s="3"/>
      <c r="L496" s="3"/>
      <c r="O496" s="3"/>
      <c r="P496" s="3"/>
      <c r="Q496" s="3"/>
      <c r="T496" s="3"/>
      <c r="U496" s="3"/>
      <c r="V496" s="3"/>
      <c r="Y496" s="3"/>
      <c r="Z496" s="3"/>
      <c r="AA496" s="3"/>
      <c r="AB496" s="3"/>
      <c r="AC496" s="3"/>
      <c r="AH496" s="3"/>
    </row>
    <row r="497" spans="5:34" s="1" customFormat="1">
      <c r="E497" s="3"/>
      <c r="F497" s="3"/>
      <c r="G497" s="3"/>
      <c r="J497" s="3"/>
      <c r="K497" s="3"/>
      <c r="L497" s="3"/>
      <c r="O497" s="3"/>
      <c r="P497" s="3"/>
      <c r="Q497" s="3"/>
      <c r="T497" s="3"/>
      <c r="U497" s="3"/>
      <c r="V497" s="3"/>
      <c r="W497" s="53"/>
      <c r="Y497" s="3"/>
      <c r="Z497" s="3"/>
      <c r="AA497" s="3"/>
      <c r="AB497" s="3"/>
      <c r="AC497" s="3"/>
      <c r="AH497" s="3"/>
    </row>
    <row r="498" spans="5:34" s="1" customFormat="1">
      <c r="E498" s="3"/>
      <c r="F498" s="3"/>
      <c r="G498" s="3"/>
      <c r="J498" s="3"/>
      <c r="K498" s="3"/>
      <c r="L498" s="3"/>
      <c r="O498" s="3"/>
      <c r="P498" s="3"/>
      <c r="Q498" s="3"/>
      <c r="T498" s="3"/>
      <c r="U498" s="3"/>
      <c r="V498" s="3"/>
      <c r="Y498" s="3"/>
      <c r="Z498" s="3"/>
      <c r="AA498" s="3"/>
      <c r="AB498" s="3"/>
      <c r="AC498" s="3"/>
      <c r="AH498" s="3"/>
    </row>
    <row r="499" spans="5:34" s="1" customFormat="1">
      <c r="E499" s="3"/>
      <c r="F499" s="3"/>
      <c r="G499" s="3"/>
      <c r="J499" s="3"/>
      <c r="K499" s="3"/>
      <c r="L499" s="3"/>
      <c r="O499" s="3"/>
      <c r="P499" s="3"/>
      <c r="Q499" s="3"/>
      <c r="T499" s="3"/>
      <c r="U499" s="3"/>
      <c r="V499" s="3"/>
      <c r="Y499" s="3"/>
      <c r="Z499" s="3"/>
      <c r="AA499" s="3"/>
      <c r="AB499" s="3"/>
      <c r="AC499" s="3"/>
      <c r="AH499" s="3"/>
    </row>
    <row r="500" spans="5:34" s="1" customFormat="1">
      <c r="E500" s="3"/>
      <c r="F500" s="3"/>
      <c r="G500" s="3"/>
      <c r="J500" s="3"/>
      <c r="K500" s="3"/>
      <c r="L500" s="3"/>
      <c r="O500" s="3"/>
      <c r="P500" s="3"/>
      <c r="Q500" s="3"/>
      <c r="T500" s="3"/>
      <c r="U500" s="3"/>
      <c r="V500" s="3"/>
      <c r="Y500" s="3"/>
      <c r="Z500" s="3"/>
      <c r="AA500" s="3"/>
      <c r="AB500" s="3"/>
      <c r="AC500" s="3"/>
      <c r="AH500" s="3"/>
    </row>
    <row r="501" spans="5:34" s="1" customFormat="1">
      <c r="E501" s="3"/>
      <c r="F501" s="3"/>
      <c r="G501" s="3"/>
      <c r="J501" s="3"/>
      <c r="K501" s="3"/>
      <c r="L501" s="3"/>
      <c r="O501" s="3"/>
      <c r="P501" s="3"/>
      <c r="Q501" s="3"/>
      <c r="T501" s="3"/>
      <c r="U501" s="3"/>
      <c r="V501" s="3"/>
      <c r="Y501" s="3"/>
      <c r="Z501" s="3"/>
      <c r="AA501" s="3"/>
      <c r="AB501" s="3"/>
      <c r="AC501" s="3"/>
      <c r="AH501" s="3"/>
    </row>
    <row r="502" spans="5:34" s="1" customFormat="1">
      <c r="E502" s="3"/>
      <c r="F502" s="3"/>
      <c r="G502" s="3"/>
      <c r="J502" s="3"/>
      <c r="K502" s="3"/>
      <c r="L502" s="3"/>
      <c r="O502" s="3"/>
      <c r="P502" s="3"/>
      <c r="Q502" s="3"/>
      <c r="T502" s="3"/>
      <c r="U502" s="3"/>
      <c r="V502" s="3"/>
      <c r="Y502" s="3"/>
      <c r="Z502" s="3"/>
      <c r="AA502" s="3"/>
      <c r="AB502" s="3"/>
      <c r="AC502" s="3"/>
      <c r="AH502" s="3"/>
    </row>
    <row r="503" spans="5:34" s="1" customFormat="1">
      <c r="E503" s="3"/>
      <c r="F503" s="3"/>
      <c r="G503" s="3"/>
      <c r="J503" s="3"/>
      <c r="K503" s="3"/>
      <c r="L503" s="3"/>
      <c r="O503" s="3"/>
      <c r="P503" s="3"/>
      <c r="Q503" s="3"/>
      <c r="T503" s="3"/>
      <c r="U503" s="3"/>
      <c r="V503" s="3"/>
      <c r="Y503" s="3"/>
      <c r="Z503" s="3"/>
      <c r="AA503" s="3"/>
      <c r="AB503" s="3"/>
      <c r="AC503" s="3"/>
      <c r="AH503" s="3"/>
    </row>
    <row r="504" spans="5:34" s="1" customFormat="1">
      <c r="E504" s="3"/>
      <c r="F504" s="3"/>
      <c r="G504" s="3"/>
      <c r="J504" s="3"/>
      <c r="K504" s="3"/>
      <c r="L504" s="3"/>
      <c r="O504" s="3"/>
      <c r="P504" s="3"/>
      <c r="Q504" s="3"/>
      <c r="T504" s="3"/>
      <c r="U504" s="3"/>
      <c r="V504" s="3"/>
      <c r="Y504" s="3"/>
      <c r="Z504" s="3"/>
      <c r="AA504" s="3"/>
      <c r="AB504" s="3"/>
      <c r="AC504" s="3"/>
      <c r="AH504" s="3"/>
    </row>
    <row r="505" spans="5:34" s="1" customFormat="1">
      <c r="E505" s="3"/>
      <c r="F505" s="3"/>
      <c r="G505" s="3"/>
      <c r="J505" s="3"/>
      <c r="K505" s="3"/>
      <c r="L505" s="3"/>
      <c r="O505" s="3"/>
      <c r="P505" s="3"/>
      <c r="Q505" s="3"/>
      <c r="T505" s="3"/>
      <c r="U505" s="3"/>
      <c r="V505" s="3"/>
      <c r="Y505" s="3"/>
      <c r="Z505" s="3"/>
      <c r="AA505" s="3"/>
      <c r="AB505" s="3"/>
      <c r="AC505" s="3"/>
      <c r="AH505" s="3"/>
    </row>
    <row r="506" spans="5:34" s="1" customFormat="1">
      <c r="E506" s="3"/>
      <c r="F506" s="3"/>
      <c r="G506" s="3"/>
      <c r="J506" s="3"/>
      <c r="K506" s="3"/>
      <c r="L506" s="3"/>
      <c r="O506" s="3"/>
      <c r="P506" s="3"/>
      <c r="Q506" s="3"/>
      <c r="T506" s="3"/>
      <c r="U506" s="3"/>
      <c r="V506" s="3"/>
      <c r="Y506" s="3"/>
      <c r="Z506" s="3"/>
      <c r="AA506" s="3"/>
      <c r="AB506" s="3"/>
      <c r="AC506" s="3"/>
      <c r="AH506" s="3"/>
    </row>
    <row r="507" spans="5:34" s="1" customFormat="1">
      <c r="E507" s="3"/>
      <c r="F507" s="3"/>
      <c r="G507" s="3"/>
      <c r="J507" s="3"/>
      <c r="K507" s="3"/>
      <c r="L507" s="3"/>
      <c r="O507" s="3"/>
      <c r="P507" s="3"/>
      <c r="Q507" s="3"/>
      <c r="T507" s="3"/>
      <c r="U507" s="3"/>
      <c r="V507" s="3"/>
      <c r="Y507" s="3"/>
      <c r="Z507" s="3"/>
      <c r="AA507" s="3"/>
      <c r="AB507" s="3"/>
      <c r="AC507" s="3"/>
      <c r="AH507" s="3"/>
    </row>
    <row r="508" spans="5:34" s="1" customFormat="1">
      <c r="E508" s="3"/>
      <c r="F508" s="3"/>
      <c r="G508" s="3"/>
      <c r="J508" s="3"/>
      <c r="K508" s="3"/>
      <c r="L508" s="3"/>
      <c r="O508" s="3"/>
      <c r="P508" s="3"/>
      <c r="Q508" s="3"/>
      <c r="T508" s="3"/>
      <c r="U508" s="3"/>
      <c r="V508" s="3"/>
      <c r="Y508" s="3"/>
      <c r="Z508" s="3"/>
      <c r="AA508" s="3"/>
      <c r="AB508" s="3"/>
      <c r="AC508" s="3"/>
      <c r="AH508" s="3"/>
    </row>
    <row r="509" spans="5:34" s="1" customFormat="1">
      <c r="E509" s="3"/>
      <c r="F509" s="3"/>
      <c r="G509" s="3"/>
      <c r="J509" s="3"/>
      <c r="K509" s="3"/>
      <c r="L509" s="3"/>
      <c r="O509" s="3"/>
      <c r="P509" s="3"/>
      <c r="Q509" s="3"/>
      <c r="T509" s="3"/>
      <c r="U509" s="3"/>
      <c r="V509" s="3"/>
      <c r="Y509" s="3"/>
      <c r="Z509" s="3"/>
      <c r="AA509" s="3"/>
      <c r="AB509" s="3"/>
      <c r="AC509" s="3"/>
      <c r="AH509" s="3"/>
    </row>
    <row r="510" spans="5:34" s="1" customFormat="1">
      <c r="E510" s="3"/>
      <c r="F510" s="3"/>
      <c r="G510" s="3"/>
      <c r="J510" s="3"/>
      <c r="K510" s="3"/>
      <c r="L510" s="3"/>
      <c r="O510" s="3"/>
      <c r="P510" s="3"/>
      <c r="Q510" s="3"/>
      <c r="T510" s="3"/>
      <c r="U510" s="3"/>
      <c r="V510" s="3"/>
      <c r="Y510" s="3"/>
      <c r="Z510" s="3"/>
      <c r="AA510" s="3"/>
      <c r="AB510" s="3"/>
      <c r="AC510" s="3"/>
      <c r="AH510" s="3"/>
    </row>
    <row r="511" spans="5:34" s="1" customFormat="1">
      <c r="E511" s="3"/>
      <c r="F511" s="3"/>
      <c r="G511" s="3"/>
      <c r="J511" s="3"/>
      <c r="K511" s="3"/>
      <c r="L511" s="3"/>
      <c r="O511" s="3"/>
      <c r="P511" s="3"/>
      <c r="Q511" s="3"/>
      <c r="T511" s="3"/>
      <c r="U511" s="3"/>
      <c r="V511" s="3"/>
      <c r="Y511" s="3"/>
      <c r="Z511" s="3"/>
      <c r="AA511" s="3"/>
      <c r="AB511" s="3"/>
      <c r="AC511" s="3"/>
      <c r="AH511" s="3"/>
    </row>
    <row r="512" spans="5:34" s="1" customFormat="1">
      <c r="E512" s="3"/>
      <c r="F512" s="3"/>
      <c r="G512" s="3"/>
      <c r="J512" s="3"/>
      <c r="K512" s="3"/>
      <c r="L512" s="3"/>
      <c r="O512" s="3"/>
      <c r="P512" s="3"/>
      <c r="Q512" s="3"/>
      <c r="T512" s="3"/>
      <c r="U512" s="3"/>
      <c r="V512" s="3"/>
      <c r="Y512" s="3"/>
      <c r="Z512" s="3"/>
      <c r="AA512" s="3"/>
      <c r="AB512" s="3"/>
      <c r="AC512" s="3"/>
      <c r="AH512" s="3"/>
    </row>
    <row r="513" spans="5:34" s="1" customFormat="1">
      <c r="E513" s="3"/>
      <c r="F513" s="3"/>
      <c r="G513" s="3"/>
      <c r="J513" s="3"/>
      <c r="K513" s="3"/>
      <c r="L513" s="3"/>
      <c r="O513" s="3"/>
      <c r="P513" s="3"/>
      <c r="Q513" s="3"/>
      <c r="T513" s="3"/>
      <c r="U513" s="3"/>
      <c r="V513" s="3"/>
      <c r="Y513" s="3"/>
      <c r="Z513" s="3"/>
      <c r="AA513" s="3"/>
      <c r="AB513" s="3"/>
      <c r="AC513" s="3"/>
      <c r="AH513" s="3"/>
    </row>
    <row r="514" spans="5:34" s="1" customFormat="1">
      <c r="E514" s="3"/>
      <c r="F514" s="3"/>
      <c r="G514" s="3"/>
      <c r="J514" s="3"/>
      <c r="K514" s="3"/>
      <c r="L514" s="3"/>
      <c r="O514" s="3"/>
      <c r="P514" s="3"/>
      <c r="Q514" s="3"/>
      <c r="T514" s="3"/>
      <c r="U514" s="3"/>
      <c r="V514" s="3"/>
      <c r="Y514" s="3"/>
      <c r="Z514" s="3"/>
      <c r="AA514" s="3"/>
      <c r="AB514" s="3"/>
      <c r="AC514" s="3"/>
      <c r="AH514" s="3"/>
    </row>
    <row r="515" spans="5:34" s="1" customFormat="1">
      <c r="E515" s="3"/>
      <c r="F515" s="3"/>
      <c r="G515" s="3"/>
      <c r="J515" s="3"/>
      <c r="K515" s="3"/>
      <c r="L515" s="3"/>
      <c r="O515" s="3"/>
      <c r="P515" s="3"/>
      <c r="Q515" s="3"/>
      <c r="T515" s="3"/>
      <c r="U515" s="3"/>
      <c r="V515" s="3"/>
      <c r="Y515" s="3"/>
      <c r="Z515" s="3"/>
      <c r="AA515" s="3"/>
      <c r="AB515" s="3"/>
      <c r="AC515" s="3"/>
      <c r="AH515" s="3"/>
    </row>
    <row r="516" spans="5:34" s="1" customFormat="1">
      <c r="E516" s="3"/>
      <c r="F516" s="3"/>
      <c r="G516" s="3"/>
      <c r="J516" s="3"/>
      <c r="K516" s="3"/>
      <c r="L516" s="3"/>
      <c r="O516" s="3"/>
      <c r="P516" s="3"/>
      <c r="Q516" s="3"/>
      <c r="T516" s="3"/>
      <c r="U516" s="3"/>
      <c r="V516" s="3"/>
      <c r="Y516" s="3"/>
      <c r="Z516" s="3"/>
      <c r="AA516" s="3"/>
      <c r="AB516" s="3"/>
      <c r="AC516" s="3"/>
      <c r="AH516" s="3"/>
    </row>
    <row r="517" spans="5:34" s="1" customFormat="1">
      <c r="E517" s="3"/>
      <c r="F517" s="3"/>
      <c r="G517" s="3"/>
      <c r="J517" s="3"/>
      <c r="K517" s="3"/>
      <c r="L517" s="3"/>
      <c r="O517" s="3"/>
      <c r="P517" s="3"/>
      <c r="Q517" s="3"/>
      <c r="T517" s="3"/>
      <c r="U517" s="3"/>
      <c r="V517" s="3"/>
      <c r="Y517" s="3"/>
      <c r="Z517" s="3"/>
      <c r="AA517" s="3"/>
      <c r="AB517" s="3"/>
      <c r="AC517" s="3"/>
      <c r="AH517" s="3"/>
    </row>
    <row r="518" spans="5:34" s="1" customFormat="1">
      <c r="E518" s="3"/>
      <c r="F518" s="3"/>
      <c r="G518" s="3"/>
      <c r="J518" s="3"/>
      <c r="K518" s="3"/>
      <c r="L518" s="3"/>
      <c r="O518" s="3"/>
      <c r="P518" s="3"/>
      <c r="Q518" s="3"/>
      <c r="T518" s="3"/>
      <c r="U518" s="3"/>
      <c r="V518" s="3"/>
      <c r="Y518" s="3"/>
      <c r="Z518" s="3"/>
      <c r="AA518" s="3"/>
      <c r="AB518" s="3"/>
      <c r="AC518" s="3"/>
      <c r="AH518" s="3"/>
    </row>
    <row r="519" spans="5:34" s="1" customFormat="1">
      <c r="E519" s="3"/>
      <c r="F519" s="3"/>
      <c r="G519" s="3"/>
      <c r="J519" s="3"/>
      <c r="K519" s="3"/>
      <c r="L519" s="3"/>
      <c r="O519" s="3"/>
      <c r="P519" s="3"/>
      <c r="Q519" s="3"/>
      <c r="T519" s="3"/>
      <c r="U519" s="3"/>
      <c r="V519" s="3"/>
      <c r="Y519" s="3"/>
      <c r="Z519" s="3"/>
      <c r="AA519" s="3"/>
      <c r="AB519" s="3"/>
      <c r="AC519" s="3"/>
      <c r="AH519" s="3"/>
    </row>
    <row r="520" spans="5:34" s="1" customFormat="1">
      <c r="E520" s="3"/>
      <c r="F520" s="3"/>
      <c r="G520" s="3"/>
      <c r="J520" s="3"/>
      <c r="K520" s="3"/>
      <c r="L520" s="3"/>
      <c r="O520" s="3"/>
      <c r="P520" s="3"/>
      <c r="Q520" s="3"/>
      <c r="T520" s="3"/>
      <c r="U520" s="3"/>
      <c r="V520" s="3"/>
      <c r="Y520" s="3"/>
      <c r="Z520" s="3"/>
      <c r="AA520" s="3"/>
      <c r="AB520" s="3"/>
      <c r="AC520" s="3"/>
      <c r="AH520" s="3"/>
    </row>
    <row r="521" spans="5:34" s="1" customFormat="1">
      <c r="E521" s="3"/>
      <c r="F521" s="3"/>
      <c r="G521" s="3"/>
      <c r="J521" s="3"/>
      <c r="K521" s="3"/>
      <c r="L521" s="3"/>
      <c r="O521" s="3"/>
      <c r="P521" s="3"/>
      <c r="Q521" s="3"/>
      <c r="T521" s="3"/>
      <c r="U521" s="3"/>
      <c r="V521" s="3"/>
      <c r="Y521" s="3"/>
      <c r="Z521" s="3"/>
      <c r="AA521" s="3"/>
      <c r="AB521" s="3"/>
      <c r="AC521" s="3"/>
      <c r="AH521" s="3"/>
    </row>
    <row r="522" spans="5:34" s="1" customFormat="1">
      <c r="E522" s="3"/>
      <c r="F522" s="3"/>
      <c r="G522" s="3"/>
      <c r="J522" s="3"/>
      <c r="K522" s="3"/>
      <c r="L522" s="3"/>
      <c r="O522" s="3"/>
      <c r="P522" s="3"/>
      <c r="Q522" s="3"/>
      <c r="T522" s="3"/>
      <c r="U522" s="3"/>
      <c r="V522" s="3"/>
      <c r="Y522" s="3"/>
      <c r="Z522" s="3"/>
      <c r="AA522" s="3"/>
      <c r="AB522" s="3"/>
      <c r="AC522" s="3"/>
      <c r="AH522" s="3"/>
    </row>
    <row r="523" spans="5:34" s="1" customFormat="1">
      <c r="E523" s="3"/>
      <c r="F523" s="3"/>
      <c r="G523" s="3"/>
      <c r="J523" s="3"/>
      <c r="K523" s="3"/>
      <c r="L523" s="3"/>
      <c r="O523" s="3"/>
      <c r="P523" s="3"/>
      <c r="Q523" s="3"/>
      <c r="T523" s="3"/>
      <c r="U523" s="3"/>
      <c r="V523" s="3"/>
      <c r="Y523" s="3"/>
      <c r="Z523" s="3"/>
      <c r="AA523" s="3"/>
      <c r="AB523" s="3"/>
      <c r="AC523" s="3"/>
      <c r="AH523" s="3"/>
    </row>
    <row r="524" spans="5:34" s="1" customFormat="1">
      <c r="E524" s="3"/>
      <c r="F524" s="3"/>
      <c r="G524" s="3"/>
      <c r="J524" s="3"/>
      <c r="K524" s="3"/>
      <c r="L524" s="3"/>
      <c r="O524" s="3"/>
      <c r="P524" s="3"/>
      <c r="Q524" s="3"/>
      <c r="T524" s="3"/>
      <c r="U524" s="3"/>
      <c r="V524" s="3"/>
      <c r="Y524" s="3"/>
      <c r="Z524" s="3"/>
      <c r="AA524" s="3"/>
      <c r="AB524" s="3"/>
      <c r="AC524" s="3"/>
      <c r="AH524" s="3"/>
    </row>
    <row r="525" spans="5:34" s="1" customFormat="1">
      <c r="E525" s="3"/>
      <c r="F525" s="3"/>
      <c r="G525" s="3"/>
      <c r="J525" s="3"/>
      <c r="K525" s="3"/>
      <c r="L525" s="3"/>
      <c r="O525" s="3"/>
      <c r="P525" s="3"/>
      <c r="Q525" s="3"/>
      <c r="T525" s="3"/>
      <c r="U525" s="3"/>
      <c r="V525" s="3"/>
      <c r="Y525" s="3"/>
      <c r="Z525" s="3"/>
      <c r="AA525" s="3"/>
      <c r="AB525" s="3"/>
      <c r="AC525" s="3"/>
      <c r="AH525" s="3"/>
    </row>
    <row r="526" spans="5:34" s="1" customFormat="1">
      <c r="E526" s="3"/>
      <c r="F526" s="3"/>
      <c r="G526" s="3"/>
      <c r="J526" s="3"/>
      <c r="K526" s="3"/>
      <c r="L526" s="3"/>
      <c r="O526" s="3"/>
      <c r="P526" s="3"/>
      <c r="Q526" s="3"/>
      <c r="T526" s="3"/>
      <c r="U526" s="3"/>
      <c r="V526" s="3"/>
      <c r="Y526" s="3"/>
      <c r="Z526" s="3"/>
      <c r="AA526" s="3"/>
      <c r="AB526" s="3"/>
      <c r="AC526" s="3"/>
      <c r="AH526" s="3"/>
    </row>
    <row r="527" spans="5:34" s="1" customFormat="1">
      <c r="E527" s="3"/>
      <c r="F527" s="3"/>
      <c r="G527" s="3"/>
      <c r="J527" s="3"/>
      <c r="K527" s="3"/>
      <c r="L527" s="3"/>
      <c r="O527" s="3"/>
      <c r="P527" s="3"/>
      <c r="Q527" s="3"/>
      <c r="T527" s="3"/>
      <c r="U527" s="3"/>
      <c r="V527" s="3"/>
      <c r="Y527" s="3"/>
      <c r="Z527" s="3"/>
      <c r="AA527" s="3"/>
      <c r="AB527" s="3"/>
      <c r="AC527" s="3"/>
      <c r="AH527" s="3"/>
    </row>
    <row r="528" spans="5:34" s="1" customFormat="1">
      <c r="E528" s="3"/>
      <c r="F528" s="3"/>
      <c r="G528" s="3"/>
      <c r="J528" s="3"/>
      <c r="K528" s="3"/>
      <c r="L528" s="3"/>
      <c r="O528" s="3"/>
      <c r="P528" s="3"/>
      <c r="Q528" s="3"/>
      <c r="T528" s="3"/>
      <c r="U528" s="3"/>
      <c r="V528" s="3"/>
      <c r="Y528" s="3"/>
      <c r="Z528" s="3"/>
      <c r="AA528" s="3"/>
      <c r="AB528" s="3"/>
      <c r="AC528" s="3"/>
      <c r="AH528" s="3"/>
    </row>
    <row r="529" spans="5:34" s="1" customFormat="1">
      <c r="E529" s="3"/>
      <c r="F529" s="3"/>
      <c r="G529" s="3"/>
      <c r="J529" s="3"/>
      <c r="K529" s="3"/>
      <c r="L529" s="3"/>
      <c r="O529" s="3"/>
      <c r="P529" s="3"/>
      <c r="Q529" s="3"/>
      <c r="T529" s="3"/>
      <c r="U529" s="3"/>
      <c r="V529" s="3"/>
      <c r="Y529" s="3"/>
      <c r="Z529" s="3"/>
      <c r="AA529" s="3"/>
      <c r="AB529" s="3"/>
      <c r="AC529" s="3"/>
      <c r="AH529" s="3"/>
    </row>
    <row r="530" spans="5:34" s="1" customFormat="1">
      <c r="E530" s="3"/>
      <c r="F530" s="3"/>
      <c r="G530" s="3"/>
      <c r="J530" s="3"/>
      <c r="K530" s="3"/>
      <c r="L530" s="3"/>
      <c r="O530" s="3"/>
      <c r="P530" s="3"/>
      <c r="Q530" s="3"/>
      <c r="T530" s="3"/>
      <c r="U530" s="3"/>
      <c r="V530" s="3"/>
      <c r="Y530" s="3"/>
      <c r="Z530" s="3"/>
      <c r="AA530" s="3"/>
      <c r="AB530" s="3"/>
      <c r="AC530" s="3"/>
      <c r="AH530" s="3"/>
    </row>
    <row r="531" spans="5:34" s="1" customFormat="1">
      <c r="E531" s="3"/>
      <c r="F531" s="3"/>
      <c r="G531" s="3"/>
      <c r="J531" s="3"/>
      <c r="K531" s="3"/>
      <c r="L531" s="3"/>
      <c r="O531" s="3"/>
      <c r="P531" s="3"/>
      <c r="Q531" s="3"/>
      <c r="T531" s="3"/>
      <c r="U531" s="3"/>
      <c r="V531" s="3"/>
      <c r="Y531" s="3"/>
      <c r="Z531" s="3"/>
      <c r="AA531" s="3"/>
      <c r="AB531" s="3"/>
      <c r="AC531" s="3"/>
      <c r="AH531" s="3"/>
    </row>
    <row r="532" spans="5:34" s="1" customFormat="1">
      <c r="E532" s="3"/>
      <c r="F532" s="3"/>
      <c r="G532" s="3"/>
      <c r="J532" s="3"/>
      <c r="K532" s="3"/>
      <c r="L532" s="3"/>
      <c r="O532" s="3"/>
      <c r="P532" s="3"/>
      <c r="Q532" s="3"/>
      <c r="T532" s="3"/>
      <c r="U532" s="3"/>
      <c r="V532" s="3"/>
      <c r="Y532" s="3"/>
      <c r="Z532" s="3"/>
      <c r="AA532" s="3"/>
      <c r="AB532" s="3"/>
      <c r="AC532" s="3"/>
      <c r="AH532" s="3"/>
    </row>
    <row r="533" spans="5:34" s="1" customFormat="1">
      <c r="E533" s="3"/>
      <c r="F533" s="3"/>
      <c r="G533" s="3"/>
      <c r="J533" s="3"/>
      <c r="K533" s="3"/>
      <c r="L533" s="3"/>
      <c r="O533" s="3"/>
      <c r="P533" s="3"/>
      <c r="Q533" s="3"/>
      <c r="T533" s="3"/>
      <c r="U533" s="3"/>
      <c r="V533" s="3"/>
      <c r="Y533" s="3"/>
      <c r="Z533" s="3"/>
      <c r="AA533" s="3"/>
      <c r="AB533" s="3"/>
      <c r="AC533" s="3"/>
      <c r="AH533" s="3"/>
    </row>
    <row r="534" spans="5:34" s="1" customFormat="1">
      <c r="E534" s="3"/>
      <c r="F534" s="3"/>
      <c r="G534" s="3"/>
      <c r="J534" s="3"/>
      <c r="K534" s="3"/>
      <c r="L534" s="3"/>
      <c r="O534" s="3"/>
      <c r="P534" s="3"/>
      <c r="Q534" s="3"/>
      <c r="T534" s="3"/>
      <c r="U534" s="3"/>
      <c r="V534" s="3"/>
      <c r="Y534" s="3"/>
      <c r="Z534" s="3"/>
      <c r="AA534" s="3"/>
      <c r="AB534" s="3"/>
      <c r="AC534" s="3"/>
      <c r="AH534" s="3"/>
    </row>
    <row r="535" spans="5:34" s="1" customFormat="1">
      <c r="E535" s="3"/>
      <c r="F535" s="3"/>
      <c r="G535" s="3"/>
      <c r="J535" s="3"/>
      <c r="K535" s="3"/>
      <c r="L535" s="3"/>
      <c r="O535" s="3"/>
      <c r="P535" s="3"/>
      <c r="Q535" s="3"/>
      <c r="T535" s="3"/>
      <c r="U535" s="3"/>
      <c r="V535" s="3"/>
      <c r="Y535" s="3"/>
      <c r="Z535" s="3"/>
      <c r="AA535" s="3"/>
      <c r="AB535" s="3"/>
      <c r="AC535" s="3"/>
      <c r="AH535" s="3"/>
    </row>
    <row r="536" spans="5:34" s="1" customFormat="1">
      <c r="E536" s="3"/>
      <c r="F536" s="3"/>
      <c r="G536" s="3"/>
      <c r="J536" s="3"/>
      <c r="K536" s="3"/>
      <c r="L536" s="3"/>
      <c r="O536" s="3"/>
      <c r="P536" s="3"/>
      <c r="Q536" s="3"/>
      <c r="T536" s="3"/>
      <c r="U536" s="3"/>
      <c r="V536" s="3"/>
      <c r="Y536" s="3"/>
      <c r="Z536" s="3"/>
      <c r="AA536" s="3"/>
      <c r="AB536" s="3"/>
      <c r="AC536" s="3"/>
      <c r="AH536" s="3"/>
    </row>
    <row r="537" spans="5:34" s="1" customFormat="1">
      <c r="E537" s="3"/>
      <c r="F537" s="3"/>
      <c r="G537" s="3"/>
      <c r="J537" s="3"/>
      <c r="K537" s="3"/>
      <c r="L537" s="3"/>
      <c r="O537" s="3"/>
      <c r="P537" s="3"/>
      <c r="Q537" s="3"/>
      <c r="T537" s="3"/>
      <c r="U537" s="3"/>
      <c r="V537" s="3"/>
      <c r="Y537" s="3"/>
      <c r="Z537" s="3"/>
      <c r="AA537" s="3"/>
      <c r="AB537" s="3"/>
      <c r="AC537" s="3"/>
      <c r="AH537" s="3"/>
    </row>
    <row r="538" spans="5:34" s="1" customFormat="1">
      <c r="E538" s="3"/>
      <c r="F538" s="3"/>
      <c r="G538" s="3"/>
      <c r="J538" s="3"/>
      <c r="K538" s="3"/>
      <c r="L538" s="3"/>
      <c r="O538" s="3"/>
      <c r="P538" s="3"/>
      <c r="Q538" s="3"/>
      <c r="T538" s="3"/>
      <c r="U538" s="3"/>
      <c r="V538" s="3"/>
      <c r="Y538" s="3"/>
      <c r="Z538" s="3"/>
      <c r="AA538" s="3"/>
      <c r="AB538" s="3"/>
      <c r="AC538" s="3"/>
      <c r="AH538" s="3"/>
    </row>
    <row r="539" spans="5:34" s="1" customFormat="1">
      <c r="E539" s="3"/>
      <c r="F539" s="3"/>
      <c r="G539" s="3"/>
      <c r="J539" s="3"/>
      <c r="K539" s="3"/>
      <c r="L539" s="3"/>
      <c r="O539" s="3"/>
      <c r="P539" s="3"/>
      <c r="Q539" s="3"/>
      <c r="T539" s="3"/>
      <c r="U539" s="3"/>
      <c r="V539" s="3"/>
      <c r="Y539" s="3"/>
      <c r="Z539" s="3"/>
      <c r="AA539" s="3"/>
      <c r="AB539" s="3"/>
      <c r="AC539" s="3"/>
      <c r="AH539" s="3"/>
    </row>
    <row r="540" spans="5:34" s="1" customFormat="1">
      <c r="E540" s="3"/>
      <c r="F540" s="3"/>
      <c r="G540" s="3"/>
      <c r="J540" s="3"/>
      <c r="K540" s="3"/>
      <c r="L540" s="3"/>
      <c r="O540" s="3"/>
      <c r="P540" s="3"/>
      <c r="Q540" s="3"/>
      <c r="T540" s="3"/>
      <c r="U540" s="3"/>
      <c r="V540" s="3"/>
      <c r="Y540" s="3"/>
      <c r="Z540" s="3"/>
      <c r="AA540" s="3"/>
      <c r="AB540" s="3"/>
      <c r="AC540" s="3"/>
      <c r="AH540" s="3"/>
    </row>
    <row r="541" spans="5:34" s="1" customFormat="1">
      <c r="E541" s="3"/>
      <c r="F541" s="3"/>
      <c r="G541" s="3"/>
      <c r="J541" s="3"/>
      <c r="K541" s="3"/>
      <c r="L541" s="3"/>
      <c r="O541" s="3"/>
      <c r="P541" s="3"/>
      <c r="Q541" s="3"/>
      <c r="T541" s="3"/>
      <c r="U541" s="3"/>
      <c r="V541" s="3"/>
      <c r="Y541" s="3"/>
      <c r="Z541" s="3"/>
      <c r="AA541" s="3"/>
      <c r="AB541" s="3"/>
      <c r="AC541" s="3"/>
      <c r="AH541" s="3"/>
    </row>
    <row r="542" spans="5:34" s="1" customFormat="1">
      <c r="E542" s="3"/>
      <c r="F542" s="3"/>
      <c r="G542" s="3"/>
      <c r="J542" s="3"/>
      <c r="K542" s="3"/>
      <c r="L542" s="3"/>
      <c r="O542" s="3"/>
      <c r="P542" s="3"/>
      <c r="Q542" s="3"/>
      <c r="T542" s="3"/>
      <c r="U542" s="3"/>
      <c r="V542" s="3"/>
      <c r="Y542" s="3"/>
      <c r="Z542" s="3"/>
      <c r="AA542" s="3"/>
      <c r="AB542" s="3"/>
      <c r="AC542" s="3"/>
      <c r="AH542" s="3"/>
    </row>
    <row r="543" spans="5:34" s="1" customFormat="1">
      <c r="E543" s="3"/>
      <c r="F543" s="3"/>
      <c r="G543" s="3"/>
      <c r="J543" s="3"/>
      <c r="K543" s="3"/>
      <c r="L543" s="3"/>
      <c r="O543" s="3"/>
      <c r="P543" s="3"/>
      <c r="Q543" s="3"/>
      <c r="T543" s="3"/>
      <c r="U543" s="3"/>
      <c r="V543" s="3"/>
      <c r="Y543" s="3"/>
      <c r="Z543" s="3"/>
      <c r="AA543" s="3"/>
      <c r="AB543" s="3"/>
      <c r="AC543" s="3"/>
      <c r="AH543" s="3"/>
    </row>
    <row r="544" spans="5:34" s="1" customFormat="1">
      <c r="E544" s="3"/>
      <c r="F544" s="3"/>
      <c r="G544" s="3"/>
      <c r="J544" s="3"/>
      <c r="K544" s="3"/>
      <c r="L544" s="3"/>
      <c r="O544" s="3"/>
      <c r="P544" s="3"/>
      <c r="Q544" s="3"/>
      <c r="T544" s="3"/>
      <c r="U544" s="3"/>
      <c r="V544" s="3"/>
      <c r="Y544" s="3"/>
      <c r="Z544" s="3"/>
      <c r="AA544" s="3"/>
      <c r="AB544" s="3"/>
      <c r="AC544" s="3"/>
      <c r="AH544" s="3"/>
    </row>
    <row r="545" spans="5:34" s="1" customFormat="1">
      <c r="E545" s="3"/>
      <c r="F545" s="3"/>
      <c r="G545" s="3"/>
      <c r="J545" s="3"/>
      <c r="K545" s="3"/>
      <c r="L545" s="3"/>
      <c r="O545" s="3"/>
      <c r="P545" s="3"/>
      <c r="Q545" s="3"/>
      <c r="T545" s="3"/>
      <c r="U545" s="3"/>
      <c r="V545" s="3"/>
      <c r="Y545" s="3"/>
      <c r="Z545" s="3"/>
      <c r="AA545" s="3"/>
      <c r="AB545" s="3"/>
      <c r="AC545" s="3"/>
      <c r="AH545" s="3"/>
    </row>
    <row r="546" spans="5:34" s="1" customFormat="1">
      <c r="E546" s="3"/>
      <c r="F546" s="3"/>
      <c r="G546" s="3"/>
      <c r="J546" s="3"/>
      <c r="K546" s="3"/>
      <c r="L546" s="3"/>
      <c r="O546" s="3"/>
      <c r="P546" s="3"/>
      <c r="Q546" s="3"/>
      <c r="T546" s="3"/>
      <c r="U546" s="3"/>
      <c r="V546" s="3"/>
      <c r="Y546" s="3"/>
      <c r="Z546" s="3"/>
      <c r="AA546" s="3"/>
      <c r="AB546" s="3"/>
      <c r="AC546" s="3"/>
      <c r="AH546" s="3"/>
    </row>
    <row r="547" spans="5:34" s="1" customFormat="1">
      <c r="E547" s="3"/>
      <c r="F547" s="3"/>
      <c r="G547" s="3"/>
      <c r="J547" s="3"/>
      <c r="K547" s="3"/>
      <c r="L547" s="3"/>
      <c r="O547" s="3"/>
      <c r="P547" s="3"/>
      <c r="Q547" s="3"/>
      <c r="T547" s="3"/>
      <c r="U547" s="3"/>
      <c r="V547" s="3"/>
      <c r="Y547" s="3"/>
      <c r="Z547" s="3"/>
      <c r="AA547" s="3"/>
      <c r="AB547" s="3"/>
      <c r="AC547" s="3"/>
      <c r="AH547" s="3"/>
    </row>
    <row r="548" spans="5:34" s="1" customFormat="1">
      <c r="E548" s="3"/>
      <c r="F548" s="3"/>
      <c r="G548" s="3"/>
      <c r="J548" s="3"/>
      <c r="K548" s="3"/>
      <c r="L548" s="3"/>
      <c r="O548" s="3"/>
      <c r="P548" s="3"/>
      <c r="Q548" s="3"/>
      <c r="T548" s="3"/>
      <c r="U548" s="3"/>
      <c r="V548" s="3"/>
      <c r="Y548" s="3"/>
      <c r="Z548" s="3"/>
      <c r="AA548" s="3"/>
      <c r="AB548" s="3"/>
      <c r="AC548" s="3"/>
      <c r="AH548" s="3"/>
    </row>
    <row r="549" spans="5:34" s="1" customFormat="1">
      <c r="E549" s="3"/>
      <c r="F549" s="3"/>
      <c r="G549" s="3"/>
      <c r="J549" s="3"/>
      <c r="K549" s="3"/>
      <c r="L549" s="3"/>
      <c r="O549" s="3"/>
      <c r="P549" s="3"/>
      <c r="Q549" s="3"/>
      <c r="T549" s="3"/>
      <c r="U549" s="3"/>
      <c r="V549" s="3"/>
      <c r="Y549" s="3"/>
      <c r="Z549" s="3"/>
      <c r="AA549" s="3"/>
      <c r="AB549" s="3"/>
      <c r="AC549" s="3"/>
      <c r="AH549" s="3"/>
    </row>
    <row r="550" spans="5:34" s="1" customFormat="1">
      <c r="E550" s="3"/>
      <c r="F550" s="3"/>
      <c r="G550" s="3"/>
      <c r="J550" s="3"/>
      <c r="K550" s="3"/>
      <c r="L550" s="3"/>
      <c r="O550" s="3"/>
      <c r="P550" s="3"/>
      <c r="Q550" s="3"/>
      <c r="T550" s="3"/>
      <c r="U550" s="3"/>
      <c r="V550" s="3"/>
      <c r="Y550" s="3"/>
      <c r="Z550" s="3"/>
      <c r="AA550" s="3"/>
      <c r="AB550" s="3"/>
      <c r="AC550" s="3"/>
      <c r="AH550" s="3"/>
    </row>
    <row r="551" spans="5:34" s="1" customFormat="1">
      <c r="E551" s="3"/>
      <c r="F551" s="3"/>
      <c r="G551" s="3"/>
      <c r="J551" s="3"/>
      <c r="K551" s="3"/>
      <c r="L551" s="3"/>
      <c r="O551" s="3"/>
      <c r="P551" s="3"/>
      <c r="Q551" s="3"/>
      <c r="T551" s="3"/>
      <c r="U551" s="3"/>
      <c r="V551" s="3"/>
      <c r="Y551" s="3"/>
      <c r="Z551" s="3"/>
      <c r="AA551" s="3"/>
      <c r="AB551" s="3"/>
      <c r="AC551" s="3"/>
      <c r="AH551" s="3"/>
    </row>
    <row r="552" spans="5:34" s="1" customFormat="1">
      <c r="E552" s="3"/>
      <c r="F552" s="3"/>
      <c r="G552" s="3"/>
      <c r="J552" s="3"/>
      <c r="K552" s="3"/>
      <c r="L552" s="3"/>
      <c r="O552" s="3"/>
      <c r="P552" s="3"/>
      <c r="Q552" s="3"/>
      <c r="T552" s="3"/>
      <c r="U552" s="3"/>
      <c r="V552" s="3"/>
      <c r="Y552" s="3"/>
      <c r="Z552" s="3"/>
      <c r="AA552" s="3"/>
      <c r="AB552" s="3"/>
      <c r="AC552" s="3"/>
      <c r="AH552" s="3"/>
    </row>
    <row r="553" spans="5:34" s="1" customFormat="1">
      <c r="E553" s="3"/>
      <c r="F553" s="3"/>
      <c r="G553" s="3"/>
      <c r="J553" s="3"/>
      <c r="K553" s="3"/>
      <c r="L553" s="3"/>
      <c r="O553" s="3"/>
      <c r="P553" s="3"/>
      <c r="Q553" s="3"/>
      <c r="T553" s="3"/>
      <c r="U553" s="3"/>
      <c r="V553" s="3"/>
      <c r="Y553" s="3"/>
      <c r="Z553" s="3"/>
      <c r="AA553" s="3"/>
      <c r="AB553" s="3"/>
      <c r="AC553" s="3"/>
      <c r="AH553" s="3"/>
    </row>
    <row r="554" spans="5:34" s="1" customFormat="1">
      <c r="E554" s="3"/>
      <c r="F554" s="3"/>
      <c r="G554" s="3"/>
      <c r="J554" s="3"/>
      <c r="K554" s="3"/>
      <c r="L554" s="3"/>
      <c r="O554" s="3"/>
      <c r="P554" s="3"/>
      <c r="Q554" s="3"/>
      <c r="T554" s="3"/>
      <c r="U554" s="3"/>
      <c r="V554" s="3"/>
      <c r="Y554" s="3"/>
      <c r="Z554" s="3"/>
      <c r="AA554" s="3"/>
      <c r="AB554" s="3"/>
      <c r="AC554" s="3"/>
      <c r="AH554" s="3"/>
    </row>
    <row r="555" spans="5:34" s="1" customFormat="1">
      <c r="E555" s="3"/>
      <c r="F555" s="3"/>
      <c r="G555" s="3"/>
      <c r="J555" s="3"/>
      <c r="K555" s="3"/>
      <c r="L555" s="3"/>
      <c r="O555" s="3"/>
      <c r="P555" s="3"/>
      <c r="Q555" s="3"/>
      <c r="T555" s="3"/>
      <c r="U555" s="3"/>
      <c r="V555" s="3"/>
      <c r="Y555" s="3"/>
      <c r="Z555" s="3"/>
      <c r="AA555" s="3"/>
      <c r="AB555" s="3"/>
      <c r="AC555" s="3"/>
      <c r="AH555" s="3"/>
    </row>
    <row r="556" spans="5:34" s="1" customFormat="1">
      <c r="E556" s="3"/>
      <c r="F556" s="3"/>
      <c r="G556" s="3"/>
      <c r="J556" s="3"/>
      <c r="K556" s="3"/>
      <c r="L556" s="3"/>
      <c r="O556" s="3"/>
      <c r="P556" s="3"/>
      <c r="Q556" s="3"/>
      <c r="T556" s="3"/>
      <c r="U556" s="3"/>
      <c r="V556" s="3"/>
      <c r="Y556" s="3"/>
      <c r="Z556" s="3"/>
      <c r="AA556" s="3"/>
      <c r="AB556" s="3"/>
      <c r="AC556" s="3"/>
      <c r="AH556" s="3"/>
    </row>
    <row r="557" spans="5:34" s="1" customFormat="1">
      <c r="E557" s="3"/>
      <c r="F557" s="3"/>
      <c r="G557" s="3"/>
      <c r="J557" s="3"/>
      <c r="K557" s="3"/>
      <c r="L557" s="3"/>
      <c r="O557" s="3"/>
      <c r="P557" s="3"/>
      <c r="Q557" s="3"/>
      <c r="T557" s="3"/>
      <c r="U557" s="3"/>
      <c r="V557" s="3"/>
      <c r="Y557" s="3"/>
      <c r="Z557" s="3"/>
      <c r="AA557" s="3"/>
      <c r="AB557" s="3"/>
      <c r="AC557" s="3"/>
      <c r="AH557" s="3"/>
    </row>
    <row r="558" spans="5:34" s="1" customFormat="1">
      <c r="E558" s="3"/>
      <c r="F558" s="3"/>
      <c r="G558" s="3"/>
      <c r="J558" s="3"/>
      <c r="K558" s="3"/>
      <c r="L558" s="3"/>
      <c r="O558" s="3"/>
      <c r="P558" s="3"/>
      <c r="Q558" s="3"/>
      <c r="T558" s="3"/>
      <c r="U558" s="3"/>
      <c r="V558" s="3"/>
      <c r="Y558" s="3"/>
      <c r="Z558" s="3"/>
      <c r="AA558" s="3"/>
      <c r="AB558" s="3"/>
      <c r="AC558" s="3"/>
      <c r="AH558" s="3"/>
    </row>
    <row r="559" spans="5:34" s="1" customFormat="1">
      <c r="E559" s="3"/>
      <c r="F559" s="3"/>
      <c r="G559" s="3"/>
      <c r="J559" s="3"/>
      <c r="K559" s="3"/>
      <c r="L559" s="3"/>
      <c r="O559" s="3"/>
      <c r="P559" s="3"/>
      <c r="Q559" s="3"/>
      <c r="T559" s="3"/>
      <c r="U559" s="3"/>
      <c r="V559" s="3"/>
      <c r="Y559" s="3"/>
      <c r="Z559" s="3"/>
      <c r="AA559" s="3"/>
      <c r="AB559" s="3"/>
      <c r="AC559" s="3"/>
      <c r="AH559" s="3"/>
    </row>
    <row r="560" spans="5:34" s="1" customFormat="1">
      <c r="E560" s="3"/>
      <c r="F560" s="3"/>
      <c r="G560" s="3"/>
      <c r="J560" s="3"/>
      <c r="K560" s="3"/>
      <c r="L560" s="3"/>
      <c r="O560" s="3"/>
      <c r="P560" s="3"/>
      <c r="Q560" s="3"/>
      <c r="T560" s="3"/>
      <c r="U560" s="3"/>
      <c r="V560" s="3"/>
      <c r="Y560" s="3"/>
      <c r="Z560" s="3"/>
      <c r="AA560" s="3"/>
      <c r="AB560" s="3"/>
      <c r="AC560" s="3"/>
      <c r="AH560" s="3"/>
    </row>
    <row r="561" spans="5:34" s="1" customFormat="1">
      <c r="E561" s="3"/>
      <c r="F561" s="3"/>
      <c r="G561" s="3"/>
      <c r="J561" s="3"/>
      <c r="K561" s="3"/>
      <c r="L561" s="3"/>
      <c r="O561" s="3"/>
      <c r="P561" s="3"/>
      <c r="Q561" s="3"/>
      <c r="T561" s="3"/>
      <c r="U561" s="3"/>
      <c r="V561" s="3"/>
      <c r="Y561" s="3"/>
      <c r="Z561" s="3"/>
      <c r="AA561" s="3"/>
      <c r="AB561" s="3"/>
      <c r="AC561" s="3"/>
      <c r="AH561" s="3"/>
    </row>
    <row r="562" spans="5:34" s="1" customFormat="1">
      <c r="E562" s="3"/>
      <c r="F562" s="3"/>
      <c r="G562" s="3"/>
      <c r="J562" s="3"/>
      <c r="K562" s="3"/>
      <c r="L562" s="3"/>
      <c r="O562" s="3"/>
      <c r="P562" s="3"/>
      <c r="Q562" s="3"/>
      <c r="T562" s="3"/>
      <c r="U562" s="3"/>
      <c r="V562" s="3"/>
      <c r="Y562" s="3"/>
      <c r="Z562" s="3"/>
      <c r="AA562" s="3"/>
      <c r="AB562" s="3"/>
      <c r="AC562" s="3"/>
      <c r="AH562" s="3"/>
    </row>
    <row r="563" spans="5:34" s="1" customFormat="1">
      <c r="E563" s="3"/>
      <c r="F563" s="3"/>
      <c r="G563" s="3"/>
      <c r="J563" s="3"/>
      <c r="K563" s="3"/>
      <c r="L563" s="3"/>
      <c r="O563" s="3"/>
      <c r="P563" s="3"/>
      <c r="Q563" s="3"/>
      <c r="T563" s="3"/>
      <c r="U563" s="3"/>
      <c r="V563" s="3"/>
      <c r="Y563" s="3"/>
      <c r="Z563" s="3"/>
      <c r="AA563" s="3"/>
      <c r="AB563" s="3"/>
      <c r="AC563" s="3"/>
      <c r="AH563" s="3"/>
    </row>
    <row r="564" spans="5:34" s="1" customFormat="1">
      <c r="E564" s="3"/>
      <c r="F564" s="3"/>
      <c r="G564" s="3"/>
      <c r="J564" s="3"/>
      <c r="K564" s="3"/>
      <c r="L564" s="3"/>
      <c r="O564" s="3"/>
      <c r="P564" s="3"/>
      <c r="Q564" s="3"/>
      <c r="T564" s="3"/>
      <c r="U564" s="3"/>
      <c r="V564" s="3"/>
      <c r="Y564" s="3"/>
      <c r="Z564" s="3"/>
      <c r="AA564" s="3"/>
      <c r="AB564" s="3"/>
      <c r="AC564" s="3"/>
      <c r="AH564" s="3"/>
    </row>
    <row r="565" spans="5:34" s="1" customFormat="1">
      <c r="E565" s="3"/>
      <c r="F565" s="3"/>
      <c r="G565" s="3"/>
      <c r="J565" s="3"/>
      <c r="K565" s="3"/>
      <c r="L565" s="3"/>
      <c r="O565" s="3"/>
      <c r="P565" s="3"/>
      <c r="Q565" s="3"/>
      <c r="T565" s="3"/>
      <c r="U565" s="3"/>
      <c r="V565" s="3"/>
      <c r="Y565" s="3"/>
      <c r="Z565" s="3"/>
      <c r="AA565" s="3"/>
      <c r="AB565" s="3"/>
      <c r="AC565" s="3"/>
      <c r="AH565" s="3"/>
    </row>
    <row r="566" spans="5:34" s="1" customFormat="1">
      <c r="E566" s="3"/>
      <c r="F566" s="3"/>
      <c r="G566" s="3"/>
      <c r="J566" s="3"/>
      <c r="K566" s="3"/>
      <c r="L566" s="3"/>
      <c r="O566" s="3"/>
      <c r="P566" s="3"/>
      <c r="Q566" s="3"/>
      <c r="T566" s="3"/>
      <c r="U566" s="3"/>
      <c r="V566" s="3"/>
      <c r="Y566" s="3"/>
      <c r="Z566" s="3"/>
      <c r="AA566" s="3"/>
      <c r="AB566" s="3"/>
      <c r="AC566" s="3"/>
      <c r="AH566" s="3"/>
    </row>
    <row r="567" spans="5:34" s="1" customFormat="1">
      <c r="E567" s="3"/>
      <c r="F567" s="3"/>
      <c r="G567" s="3"/>
      <c r="J567" s="3"/>
      <c r="K567" s="3"/>
      <c r="L567" s="3"/>
      <c r="O567" s="3"/>
      <c r="P567" s="3"/>
      <c r="Q567" s="3"/>
      <c r="T567" s="3"/>
      <c r="U567" s="3"/>
      <c r="V567" s="3"/>
      <c r="Y567" s="3"/>
      <c r="Z567" s="3"/>
      <c r="AA567" s="3"/>
      <c r="AB567" s="3"/>
      <c r="AC567" s="3"/>
      <c r="AH567" s="3"/>
    </row>
    <row r="568" spans="5:34" s="1" customFormat="1">
      <c r="E568" s="3"/>
      <c r="F568" s="3"/>
      <c r="G568" s="3"/>
      <c r="J568" s="3"/>
      <c r="K568" s="3"/>
      <c r="L568" s="3"/>
      <c r="O568" s="3"/>
      <c r="P568" s="3"/>
      <c r="Q568" s="3"/>
      <c r="T568" s="3"/>
      <c r="U568" s="3"/>
      <c r="V568" s="3"/>
      <c r="Y568" s="3"/>
      <c r="Z568" s="3"/>
      <c r="AA568" s="3"/>
      <c r="AB568" s="3"/>
      <c r="AC568" s="3"/>
      <c r="AH568" s="3"/>
    </row>
    <row r="569" spans="5:34" s="1" customFormat="1">
      <c r="E569" s="3"/>
      <c r="F569" s="3"/>
      <c r="G569" s="3"/>
      <c r="J569" s="3"/>
      <c r="K569" s="3"/>
      <c r="L569" s="3"/>
      <c r="O569" s="3"/>
      <c r="P569" s="3"/>
      <c r="Q569" s="3"/>
      <c r="T569" s="3"/>
      <c r="U569" s="3"/>
      <c r="V569" s="3"/>
      <c r="Y569" s="3"/>
      <c r="Z569" s="3"/>
      <c r="AA569" s="3"/>
      <c r="AB569" s="3"/>
      <c r="AC569" s="3"/>
      <c r="AH569" s="3"/>
    </row>
    <row r="570" spans="5:34" s="1" customFormat="1">
      <c r="E570" s="3"/>
      <c r="F570" s="3"/>
      <c r="G570" s="3"/>
      <c r="J570" s="3"/>
      <c r="K570" s="3"/>
      <c r="L570" s="3"/>
      <c r="O570" s="3"/>
      <c r="P570" s="3"/>
      <c r="Q570" s="3"/>
      <c r="T570" s="3"/>
      <c r="U570" s="3"/>
      <c r="V570" s="3"/>
      <c r="Y570" s="3"/>
      <c r="Z570" s="3"/>
      <c r="AA570" s="3"/>
      <c r="AB570" s="3"/>
      <c r="AC570" s="3"/>
      <c r="AH570" s="3"/>
    </row>
    <row r="571" spans="5:34" s="1" customFormat="1">
      <c r="E571" s="3"/>
      <c r="F571" s="3"/>
      <c r="G571" s="3"/>
      <c r="J571" s="3"/>
      <c r="K571" s="3"/>
      <c r="L571" s="3"/>
      <c r="O571" s="3"/>
      <c r="P571" s="3"/>
      <c r="Q571" s="3"/>
      <c r="T571" s="3"/>
      <c r="U571" s="3"/>
      <c r="V571" s="3"/>
      <c r="Y571" s="3"/>
      <c r="Z571" s="3"/>
      <c r="AA571" s="3"/>
      <c r="AB571" s="3"/>
      <c r="AC571" s="3"/>
      <c r="AH571" s="3"/>
    </row>
    <row r="572" spans="5:34" s="1" customFormat="1">
      <c r="E572" s="3"/>
      <c r="F572" s="3"/>
      <c r="G572" s="3"/>
      <c r="J572" s="3"/>
      <c r="K572" s="3"/>
      <c r="L572" s="3"/>
      <c r="O572" s="3"/>
      <c r="P572" s="3"/>
      <c r="Q572" s="3"/>
      <c r="T572" s="3"/>
      <c r="U572" s="3"/>
      <c r="V572" s="3"/>
      <c r="Y572" s="3"/>
      <c r="Z572" s="3"/>
      <c r="AA572" s="3"/>
      <c r="AB572" s="3"/>
      <c r="AC572" s="3"/>
      <c r="AH572" s="3"/>
    </row>
    <row r="573" spans="5:34" s="1" customFormat="1">
      <c r="E573" s="3"/>
      <c r="F573" s="3"/>
      <c r="G573" s="3"/>
      <c r="J573" s="3"/>
      <c r="K573" s="3"/>
      <c r="L573" s="3"/>
      <c r="O573" s="3"/>
      <c r="P573" s="3"/>
      <c r="Q573" s="3"/>
      <c r="T573" s="3"/>
      <c r="U573" s="3"/>
      <c r="V573" s="3"/>
      <c r="Y573" s="3"/>
      <c r="Z573" s="3"/>
      <c r="AA573" s="3"/>
      <c r="AB573" s="3"/>
      <c r="AC573" s="3"/>
      <c r="AH573" s="3"/>
    </row>
    <row r="574" spans="5:34" s="1" customFormat="1">
      <c r="E574" s="3"/>
      <c r="F574" s="3"/>
      <c r="G574" s="3"/>
      <c r="J574" s="3"/>
      <c r="K574" s="3"/>
      <c r="L574" s="3"/>
      <c r="O574" s="3"/>
      <c r="P574" s="3"/>
      <c r="Q574" s="3"/>
      <c r="T574" s="3"/>
      <c r="U574" s="3"/>
      <c r="V574" s="3"/>
      <c r="Y574" s="3"/>
      <c r="Z574" s="3"/>
      <c r="AA574" s="3"/>
      <c r="AB574" s="3"/>
      <c r="AC574" s="3"/>
      <c r="AH574" s="3"/>
    </row>
    <row r="575" spans="5:34" s="1" customFormat="1">
      <c r="E575" s="3"/>
      <c r="F575" s="3"/>
      <c r="G575" s="3"/>
      <c r="J575" s="3"/>
      <c r="K575" s="3"/>
      <c r="L575" s="3"/>
      <c r="O575" s="3"/>
      <c r="P575" s="3"/>
      <c r="Q575" s="3"/>
      <c r="T575" s="3"/>
      <c r="U575" s="3"/>
      <c r="V575" s="3"/>
      <c r="Y575" s="3"/>
      <c r="Z575" s="3"/>
      <c r="AA575" s="3"/>
      <c r="AB575" s="3"/>
      <c r="AC575" s="3"/>
      <c r="AH575" s="3"/>
    </row>
    <row r="576" spans="5:34" s="1" customFormat="1">
      <c r="E576" s="3"/>
      <c r="F576" s="3"/>
      <c r="G576" s="3"/>
      <c r="J576" s="3"/>
      <c r="K576" s="3"/>
      <c r="L576" s="3"/>
      <c r="O576" s="3"/>
      <c r="P576" s="3"/>
      <c r="Q576" s="3"/>
      <c r="T576" s="3"/>
      <c r="U576" s="3"/>
      <c r="V576" s="3"/>
      <c r="Y576" s="3"/>
      <c r="Z576" s="3"/>
      <c r="AA576" s="3"/>
      <c r="AB576" s="3"/>
      <c r="AC576" s="3"/>
      <c r="AH576" s="3"/>
    </row>
    <row r="577" spans="5:34" s="1" customFormat="1">
      <c r="E577" s="3"/>
      <c r="F577" s="3"/>
      <c r="G577" s="3"/>
      <c r="J577" s="3"/>
      <c r="K577" s="3"/>
      <c r="L577" s="3"/>
      <c r="O577" s="3"/>
      <c r="P577" s="3"/>
      <c r="Q577" s="3"/>
      <c r="T577" s="3"/>
      <c r="U577" s="3"/>
      <c r="V577" s="3"/>
      <c r="Y577" s="3"/>
      <c r="Z577" s="3"/>
      <c r="AA577" s="3"/>
      <c r="AB577" s="3"/>
      <c r="AC577" s="3"/>
      <c r="AH577" s="3"/>
    </row>
    <row r="578" spans="5:34" s="1" customFormat="1">
      <c r="E578" s="3"/>
      <c r="F578" s="3"/>
      <c r="G578" s="3"/>
      <c r="J578" s="3"/>
      <c r="K578" s="3"/>
      <c r="L578" s="3"/>
      <c r="O578" s="3"/>
      <c r="P578" s="3"/>
      <c r="Q578" s="3"/>
      <c r="T578" s="3"/>
      <c r="U578" s="3"/>
      <c r="V578" s="3"/>
      <c r="Y578" s="3"/>
      <c r="Z578" s="3"/>
      <c r="AA578" s="3"/>
      <c r="AB578" s="3"/>
      <c r="AC578" s="3"/>
      <c r="AH578" s="3"/>
    </row>
    <row r="579" spans="5:34" s="1" customFormat="1">
      <c r="E579" s="3"/>
      <c r="F579" s="3"/>
      <c r="G579" s="3"/>
      <c r="J579" s="3"/>
      <c r="K579" s="3"/>
      <c r="L579" s="3"/>
      <c r="O579" s="3"/>
      <c r="P579" s="3"/>
      <c r="Q579" s="3"/>
      <c r="T579" s="3"/>
      <c r="U579" s="3"/>
      <c r="V579" s="3"/>
      <c r="Y579" s="3"/>
      <c r="Z579" s="3"/>
      <c r="AA579" s="3"/>
      <c r="AB579" s="3"/>
      <c r="AC579" s="3"/>
      <c r="AH579" s="3"/>
    </row>
    <row r="580" spans="5:34" s="1" customFormat="1">
      <c r="E580" s="3"/>
      <c r="F580" s="3"/>
      <c r="G580" s="3"/>
      <c r="J580" s="3"/>
      <c r="K580" s="3"/>
      <c r="L580" s="3"/>
      <c r="O580" s="3"/>
      <c r="P580" s="3"/>
      <c r="Q580" s="3"/>
      <c r="T580" s="3"/>
      <c r="U580" s="3"/>
      <c r="V580" s="3"/>
      <c r="Y580" s="3"/>
      <c r="Z580" s="3"/>
      <c r="AA580" s="3"/>
      <c r="AB580" s="3"/>
      <c r="AC580" s="3"/>
      <c r="AH580" s="3"/>
    </row>
    <row r="581" spans="5:34" s="1" customFormat="1">
      <c r="E581" s="3"/>
      <c r="F581" s="3"/>
      <c r="G581" s="3"/>
      <c r="J581" s="3"/>
      <c r="K581" s="3"/>
      <c r="L581" s="3"/>
      <c r="O581" s="3"/>
      <c r="P581" s="3"/>
      <c r="Q581" s="3"/>
      <c r="T581" s="3"/>
      <c r="U581" s="3"/>
      <c r="V581" s="3"/>
      <c r="Y581" s="3"/>
      <c r="Z581" s="3"/>
      <c r="AA581" s="3"/>
      <c r="AB581" s="3"/>
      <c r="AC581" s="3"/>
      <c r="AH581" s="3"/>
    </row>
    <row r="582" spans="5:34" s="1" customFormat="1">
      <c r="E582" s="3"/>
      <c r="F582" s="3"/>
      <c r="G582" s="3"/>
      <c r="J582" s="3"/>
      <c r="K582" s="3"/>
      <c r="L582" s="3"/>
      <c r="O582" s="3"/>
      <c r="P582" s="3"/>
      <c r="Q582" s="3"/>
      <c r="T582" s="3"/>
      <c r="U582" s="3"/>
      <c r="V582" s="3"/>
      <c r="Y582" s="3"/>
      <c r="Z582" s="3"/>
      <c r="AA582" s="3"/>
      <c r="AB582" s="3"/>
      <c r="AC582" s="3"/>
      <c r="AH582" s="3"/>
    </row>
    <row r="583" spans="5:34" s="1" customFormat="1">
      <c r="E583" s="3"/>
      <c r="F583" s="3"/>
      <c r="G583" s="3"/>
      <c r="J583" s="3"/>
      <c r="K583" s="3"/>
      <c r="L583" s="3"/>
      <c r="O583" s="3"/>
      <c r="P583" s="3"/>
      <c r="Q583" s="3"/>
      <c r="T583" s="3"/>
      <c r="U583" s="3"/>
      <c r="V583" s="3"/>
      <c r="Y583" s="3"/>
      <c r="Z583" s="3"/>
      <c r="AA583" s="3"/>
      <c r="AB583" s="3"/>
      <c r="AC583" s="3"/>
      <c r="AH583" s="3"/>
    </row>
    <row r="584" spans="5:34" s="1" customFormat="1">
      <c r="E584" s="3"/>
      <c r="F584" s="3"/>
      <c r="G584" s="3"/>
      <c r="J584" s="3"/>
      <c r="K584" s="3"/>
      <c r="L584" s="3"/>
      <c r="O584" s="3"/>
      <c r="P584" s="3"/>
      <c r="Q584" s="3"/>
      <c r="T584" s="3"/>
      <c r="U584" s="3"/>
      <c r="V584" s="3"/>
      <c r="Y584" s="3"/>
      <c r="Z584" s="3"/>
      <c r="AA584" s="3"/>
      <c r="AB584" s="3"/>
      <c r="AC584" s="3"/>
      <c r="AH584" s="3"/>
    </row>
    <row r="585" spans="5:34" s="1" customFormat="1">
      <c r="E585" s="3"/>
      <c r="F585" s="3"/>
      <c r="G585" s="3"/>
      <c r="J585" s="3"/>
      <c r="K585" s="3"/>
      <c r="L585" s="3"/>
      <c r="O585" s="3"/>
      <c r="P585" s="3"/>
      <c r="Q585" s="3"/>
      <c r="T585" s="3"/>
      <c r="U585" s="3"/>
      <c r="V585" s="3"/>
      <c r="Y585" s="3"/>
      <c r="Z585" s="3"/>
      <c r="AA585" s="3"/>
      <c r="AB585" s="3"/>
      <c r="AC585" s="3"/>
      <c r="AH585" s="3"/>
    </row>
    <row r="586" spans="5:34" s="1" customFormat="1">
      <c r="E586" s="3"/>
      <c r="F586" s="3"/>
      <c r="G586" s="3"/>
      <c r="J586" s="3"/>
      <c r="K586" s="3"/>
      <c r="L586" s="3"/>
      <c r="O586" s="3"/>
      <c r="P586" s="3"/>
      <c r="Q586" s="3"/>
      <c r="T586" s="3"/>
      <c r="U586" s="3"/>
      <c r="V586" s="3"/>
      <c r="Y586" s="3"/>
      <c r="Z586" s="3"/>
      <c r="AA586" s="3"/>
      <c r="AB586" s="3"/>
      <c r="AC586" s="3"/>
      <c r="AH586" s="3"/>
    </row>
    <row r="587" spans="5:34" s="1" customFormat="1">
      <c r="E587" s="3"/>
      <c r="F587" s="3"/>
      <c r="G587" s="3"/>
      <c r="J587" s="3"/>
      <c r="K587" s="3"/>
      <c r="L587" s="3"/>
      <c r="O587" s="3"/>
      <c r="P587" s="3"/>
      <c r="Q587" s="3"/>
      <c r="T587" s="3"/>
      <c r="U587" s="3"/>
      <c r="V587" s="3"/>
      <c r="Y587" s="3"/>
      <c r="Z587" s="3"/>
      <c r="AA587" s="3"/>
      <c r="AB587" s="3"/>
      <c r="AC587" s="3"/>
      <c r="AH587" s="3"/>
    </row>
    <row r="588" spans="5:34" s="1" customFormat="1">
      <c r="E588" s="3"/>
      <c r="F588" s="3"/>
      <c r="G588" s="3"/>
      <c r="J588" s="3"/>
      <c r="K588" s="3"/>
      <c r="L588" s="3"/>
      <c r="O588" s="3"/>
      <c r="P588" s="3"/>
      <c r="Q588" s="3"/>
      <c r="T588" s="3"/>
      <c r="U588" s="3"/>
      <c r="V588" s="3"/>
      <c r="Y588" s="3"/>
      <c r="Z588" s="3"/>
      <c r="AA588" s="3"/>
      <c r="AB588" s="3"/>
      <c r="AC588" s="3"/>
      <c r="AH588" s="3"/>
    </row>
    <row r="589" spans="5:34" s="1" customFormat="1">
      <c r="E589" s="3"/>
      <c r="F589" s="3"/>
      <c r="G589" s="3"/>
      <c r="J589" s="3"/>
      <c r="K589" s="3"/>
      <c r="L589" s="3"/>
      <c r="O589" s="3"/>
      <c r="P589" s="3"/>
      <c r="Q589" s="3"/>
      <c r="T589" s="3"/>
      <c r="U589" s="3"/>
      <c r="V589" s="3"/>
      <c r="Y589" s="3"/>
      <c r="Z589" s="3"/>
      <c r="AA589" s="3"/>
      <c r="AB589" s="3"/>
      <c r="AC589" s="3"/>
      <c r="AH589" s="3"/>
    </row>
    <row r="590" spans="5:34" s="1" customFormat="1">
      <c r="E590" s="3"/>
      <c r="F590" s="3"/>
      <c r="G590" s="3"/>
      <c r="J590" s="3"/>
      <c r="K590" s="3"/>
      <c r="L590" s="3"/>
      <c r="O590" s="3"/>
      <c r="P590" s="3"/>
      <c r="Q590" s="3"/>
      <c r="T590" s="3"/>
      <c r="U590" s="3"/>
      <c r="V590" s="3"/>
      <c r="Y590" s="3"/>
      <c r="Z590" s="3"/>
      <c r="AA590" s="3"/>
      <c r="AB590" s="3"/>
      <c r="AC590" s="3"/>
      <c r="AH590" s="3"/>
    </row>
    <row r="591" spans="5:34" s="1" customFormat="1">
      <c r="E591" s="3"/>
      <c r="F591" s="3"/>
      <c r="G591" s="3"/>
      <c r="J591" s="3"/>
      <c r="K591" s="3"/>
      <c r="L591" s="3"/>
      <c r="O591" s="3"/>
      <c r="P591" s="3"/>
      <c r="Q591" s="3"/>
      <c r="T591" s="3"/>
      <c r="U591" s="3"/>
      <c r="V591" s="3"/>
      <c r="Y591" s="3"/>
      <c r="Z591" s="3"/>
      <c r="AA591" s="3"/>
      <c r="AB591" s="3"/>
      <c r="AC591" s="3"/>
      <c r="AH591" s="3"/>
    </row>
    <row r="592" spans="5:34" s="1" customFormat="1">
      <c r="E592" s="3"/>
      <c r="F592" s="3"/>
      <c r="G592" s="3"/>
      <c r="J592" s="3"/>
      <c r="K592" s="3"/>
      <c r="L592" s="3"/>
      <c r="O592" s="3"/>
      <c r="P592" s="3"/>
      <c r="Q592" s="3"/>
      <c r="T592" s="3"/>
      <c r="U592" s="3"/>
      <c r="V592" s="3"/>
      <c r="Y592" s="3"/>
      <c r="Z592" s="3"/>
      <c r="AA592" s="3"/>
      <c r="AB592" s="3"/>
      <c r="AC592" s="3"/>
      <c r="AH592" s="3"/>
    </row>
    <row r="593" spans="5:34" s="1" customFormat="1">
      <c r="E593" s="3"/>
      <c r="F593" s="3"/>
      <c r="G593" s="3"/>
      <c r="J593" s="3"/>
      <c r="K593" s="3"/>
      <c r="L593" s="3"/>
      <c r="O593" s="3"/>
      <c r="P593" s="3"/>
      <c r="Q593" s="3"/>
      <c r="T593" s="3"/>
      <c r="U593" s="3"/>
      <c r="V593" s="3"/>
      <c r="Y593" s="3"/>
      <c r="Z593" s="3"/>
      <c r="AA593" s="3"/>
      <c r="AB593" s="3"/>
      <c r="AC593" s="3"/>
      <c r="AH593" s="3"/>
    </row>
    <row r="594" spans="5:34" s="1" customFormat="1">
      <c r="E594" s="3"/>
      <c r="F594" s="3"/>
      <c r="G594" s="3"/>
      <c r="J594" s="3"/>
      <c r="K594" s="3"/>
      <c r="L594" s="3"/>
      <c r="O594" s="3"/>
      <c r="P594" s="3"/>
      <c r="Q594" s="3"/>
      <c r="T594" s="3"/>
      <c r="U594" s="3"/>
      <c r="V594" s="3"/>
      <c r="Y594" s="3"/>
      <c r="Z594" s="3"/>
      <c r="AA594" s="3"/>
      <c r="AB594" s="3"/>
      <c r="AC594" s="3"/>
      <c r="AH594" s="3"/>
    </row>
    <row r="595" spans="5:34" s="1" customFormat="1">
      <c r="E595" s="3"/>
      <c r="F595" s="3"/>
      <c r="G595" s="3"/>
      <c r="J595" s="3"/>
      <c r="K595" s="3"/>
      <c r="L595" s="3"/>
      <c r="O595" s="3"/>
      <c r="P595" s="3"/>
      <c r="Q595" s="3"/>
      <c r="T595" s="3"/>
      <c r="U595" s="3"/>
      <c r="V595" s="3"/>
      <c r="Y595" s="3"/>
      <c r="Z595" s="3"/>
      <c r="AA595" s="3"/>
      <c r="AB595" s="3"/>
      <c r="AC595" s="3"/>
      <c r="AH595" s="3"/>
    </row>
    <row r="596" spans="5:34" s="1" customFormat="1">
      <c r="E596" s="3"/>
      <c r="F596" s="3"/>
      <c r="G596" s="3"/>
      <c r="J596" s="3"/>
      <c r="K596" s="3"/>
      <c r="L596" s="3"/>
      <c r="O596" s="3"/>
      <c r="P596" s="3"/>
      <c r="Q596" s="3"/>
      <c r="T596" s="3"/>
      <c r="U596" s="3"/>
      <c r="V596" s="3"/>
      <c r="Y596" s="3"/>
      <c r="Z596" s="3"/>
      <c r="AA596" s="3"/>
      <c r="AB596" s="3"/>
      <c r="AC596" s="3"/>
      <c r="AH596" s="3"/>
    </row>
    <row r="597" spans="5:34" s="1" customFormat="1">
      <c r="E597" s="3"/>
      <c r="F597" s="3"/>
      <c r="G597" s="3"/>
      <c r="J597" s="3"/>
      <c r="K597" s="3"/>
      <c r="L597" s="3"/>
      <c r="O597" s="3"/>
      <c r="P597" s="3"/>
      <c r="Q597" s="3"/>
      <c r="T597" s="3"/>
      <c r="U597" s="3"/>
      <c r="V597" s="3"/>
      <c r="Y597" s="3"/>
      <c r="Z597" s="3"/>
      <c r="AA597" s="3"/>
      <c r="AB597" s="3"/>
      <c r="AC597" s="3"/>
      <c r="AH597" s="3"/>
    </row>
    <row r="598" spans="5:34" s="1" customFormat="1">
      <c r="E598" s="3"/>
      <c r="F598" s="3"/>
      <c r="G598" s="3"/>
      <c r="J598" s="3"/>
      <c r="K598" s="3"/>
      <c r="L598" s="3"/>
      <c r="O598" s="3"/>
      <c r="P598" s="3"/>
      <c r="Q598" s="3"/>
      <c r="T598" s="3"/>
      <c r="U598" s="3"/>
      <c r="V598" s="3"/>
      <c r="Y598" s="3"/>
      <c r="Z598" s="3"/>
      <c r="AA598" s="3"/>
      <c r="AB598" s="3"/>
      <c r="AC598" s="3"/>
      <c r="AH598" s="3"/>
    </row>
    <row r="599" spans="5:34" s="1" customFormat="1">
      <c r="E599" s="3"/>
      <c r="F599" s="3"/>
      <c r="G599" s="3"/>
      <c r="J599" s="3"/>
      <c r="K599" s="3"/>
      <c r="L599" s="3"/>
      <c r="O599" s="3"/>
      <c r="P599" s="3"/>
      <c r="Q599" s="3"/>
      <c r="T599" s="3"/>
      <c r="U599" s="3"/>
      <c r="V599" s="3"/>
      <c r="Y599" s="3"/>
      <c r="Z599" s="3"/>
      <c r="AA599" s="3"/>
      <c r="AB599" s="3"/>
      <c r="AC599" s="3"/>
      <c r="AH599" s="3"/>
    </row>
    <row r="600" spans="5:34" s="1" customFormat="1">
      <c r="E600" s="3"/>
      <c r="F600" s="3"/>
      <c r="G600" s="3"/>
      <c r="J600" s="3"/>
      <c r="K600" s="3"/>
      <c r="L600" s="3"/>
      <c r="O600" s="3"/>
      <c r="P600" s="3"/>
      <c r="Q600" s="3"/>
      <c r="T600" s="3"/>
      <c r="U600" s="3"/>
      <c r="V600" s="3"/>
      <c r="Y600" s="3"/>
      <c r="Z600" s="3"/>
      <c r="AA600" s="3"/>
      <c r="AB600" s="3"/>
      <c r="AC600" s="3"/>
      <c r="AH600" s="3"/>
    </row>
    <row r="601" spans="5:34" s="1" customFormat="1">
      <c r="E601" s="3"/>
      <c r="F601" s="3"/>
      <c r="G601" s="3"/>
      <c r="J601" s="3"/>
      <c r="K601" s="3"/>
      <c r="L601" s="3"/>
      <c r="O601" s="3"/>
      <c r="P601" s="3"/>
      <c r="Q601" s="3"/>
      <c r="T601" s="3"/>
      <c r="U601" s="3"/>
      <c r="V601" s="3"/>
      <c r="Y601" s="3"/>
      <c r="Z601" s="3"/>
      <c r="AA601" s="3"/>
      <c r="AB601" s="3"/>
      <c r="AC601" s="3"/>
      <c r="AH601" s="3"/>
    </row>
    <row r="602" spans="5:34" s="1" customFormat="1">
      <c r="E602" s="3"/>
      <c r="F602" s="3"/>
      <c r="G602" s="3"/>
      <c r="J602" s="3"/>
      <c r="K602" s="3"/>
      <c r="L602" s="3"/>
      <c r="O602" s="3"/>
      <c r="P602" s="3"/>
      <c r="Q602" s="3"/>
      <c r="T602" s="3"/>
      <c r="U602" s="3"/>
      <c r="V602" s="3"/>
      <c r="Y602" s="3"/>
      <c r="Z602" s="3"/>
      <c r="AA602" s="3"/>
      <c r="AB602" s="3"/>
      <c r="AC602" s="3"/>
      <c r="AH602" s="3"/>
    </row>
    <row r="603" spans="5:34" s="1" customFormat="1">
      <c r="E603" s="3"/>
      <c r="F603" s="3"/>
      <c r="G603" s="3"/>
      <c r="J603" s="3"/>
      <c r="K603" s="3"/>
      <c r="L603" s="3"/>
      <c r="O603" s="3"/>
      <c r="P603" s="3"/>
      <c r="Q603" s="3"/>
      <c r="T603" s="3"/>
      <c r="U603" s="3"/>
      <c r="V603" s="3"/>
      <c r="Y603" s="3"/>
      <c r="Z603" s="3"/>
      <c r="AA603" s="3"/>
      <c r="AB603" s="3"/>
      <c r="AC603" s="3"/>
      <c r="AH603" s="3"/>
    </row>
    <row r="604" spans="5:34" s="1" customFormat="1">
      <c r="E604" s="3"/>
      <c r="F604" s="3"/>
      <c r="G604" s="3"/>
      <c r="J604" s="3"/>
      <c r="K604" s="3"/>
      <c r="L604" s="3"/>
      <c r="O604" s="3"/>
      <c r="P604" s="3"/>
      <c r="Q604" s="3"/>
      <c r="T604" s="3"/>
      <c r="U604" s="3"/>
      <c r="V604" s="3"/>
      <c r="Y604" s="3"/>
      <c r="Z604" s="3"/>
      <c r="AA604" s="3"/>
      <c r="AB604" s="3"/>
      <c r="AC604" s="3"/>
      <c r="AH604" s="3"/>
    </row>
    <row r="605" spans="5:34" s="1" customFormat="1">
      <c r="E605" s="3"/>
      <c r="F605" s="3"/>
      <c r="G605" s="3"/>
      <c r="J605" s="3"/>
      <c r="K605" s="3"/>
      <c r="L605" s="3"/>
      <c r="O605" s="3"/>
      <c r="P605" s="3"/>
      <c r="Q605" s="3"/>
      <c r="T605" s="3"/>
      <c r="U605" s="3"/>
      <c r="V605" s="3"/>
      <c r="Y605" s="3"/>
      <c r="Z605" s="3"/>
      <c r="AA605" s="3"/>
      <c r="AB605" s="3"/>
      <c r="AC605" s="3"/>
      <c r="AH605" s="3"/>
    </row>
    <row r="606" spans="5:34" s="1" customFormat="1">
      <c r="E606" s="3"/>
      <c r="F606" s="3"/>
      <c r="G606" s="3"/>
      <c r="J606" s="3"/>
      <c r="K606" s="3"/>
      <c r="L606" s="3"/>
      <c r="O606" s="3"/>
      <c r="P606" s="3"/>
      <c r="Q606" s="3"/>
      <c r="T606" s="3"/>
      <c r="U606" s="3"/>
      <c r="V606" s="3"/>
      <c r="Y606" s="3"/>
      <c r="Z606" s="3"/>
      <c r="AA606" s="3"/>
      <c r="AB606" s="3"/>
      <c r="AC606" s="3"/>
      <c r="AH606" s="3"/>
    </row>
    <row r="607" spans="5:34" s="1" customFormat="1">
      <c r="E607" s="3"/>
      <c r="F607" s="3"/>
      <c r="G607" s="3"/>
      <c r="J607" s="3"/>
      <c r="K607" s="3"/>
      <c r="L607" s="3"/>
      <c r="O607" s="3"/>
      <c r="P607" s="3"/>
      <c r="Q607" s="3"/>
      <c r="T607" s="3"/>
      <c r="U607" s="3"/>
      <c r="V607" s="3"/>
      <c r="Y607" s="3"/>
      <c r="Z607" s="3"/>
      <c r="AA607" s="3"/>
      <c r="AB607" s="3"/>
      <c r="AC607" s="3"/>
      <c r="AH607" s="3"/>
    </row>
    <row r="608" spans="5:34" s="1" customFormat="1">
      <c r="E608" s="3"/>
      <c r="F608" s="3"/>
      <c r="G608" s="3"/>
      <c r="J608" s="3"/>
      <c r="K608" s="3"/>
      <c r="L608" s="3"/>
      <c r="O608" s="3"/>
      <c r="P608" s="3"/>
      <c r="Q608" s="3"/>
      <c r="T608" s="3"/>
      <c r="U608" s="3"/>
      <c r="V608" s="3"/>
      <c r="Y608" s="3"/>
      <c r="Z608" s="3"/>
      <c r="AA608" s="3"/>
      <c r="AB608" s="3"/>
      <c r="AC608" s="3"/>
      <c r="AH608" s="3"/>
    </row>
    <row r="609" spans="5:34" s="1" customFormat="1">
      <c r="E609" s="3"/>
      <c r="F609" s="3"/>
      <c r="G609" s="3"/>
      <c r="J609" s="3"/>
      <c r="K609" s="3"/>
      <c r="L609" s="3"/>
      <c r="O609" s="3"/>
      <c r="P609" s="3"/>
      <c r="Q609" s="3"/>
      <c r="T609" s="3"/>
      <c r="U609" s="3"/>
      <c r="V609" s="3"/>
      <c r="Y609" s="3"/>
      <c r="Z609" s="3"/>
      <c r="AA609" s="3"/>
      <c r="AB609" s="3"/>
      <c r="AC609" s="3"/>
      <c r="AH609" s="3"/>
    </row>
    <row r="610" spans="5:34" s="1" customFormat="1">
      <c r="E610" s="3"/>
      <c r="F610" s="3"/>
      <c r="G610" s="3"/>
      <c r="J610" s="3"/>
      <c r="K610" s="3"/>
      <c r="L610" s="3"/>
      <c r="O610" s="3"/>
      <c r="P610" s="3"/>
      <c r="Q610" s="3"/>
      <c r="T610" s="3"/>
      <c r="U610" s="3"/>
      <c r="V610" s="3"/>
      <c r="Y610" s="3"/>
      <c r="Z610" s="3"/>
      <c r="AA610" s="3"/>
      <c r="AB610" s="3"/>
      <c r="AC610" s="3"/>
      <c r="AH610" s="3"/>
    </row>
    <row r="611" spans="5:34" s="1" customFormat="1">
      <c r="E611" s="3"/>
      <c r="F611" s="3"/>
      <c r="G611" s="3"/>
      <c r="J611" s="3"/>
      <c r="K611" s="3"/>
      <c r="L611" s="3"/>
      <c r="O611" s="3"/>
      <c r="P611" s="3"/>
      <c r="Q611" s="3"/>
      <c r="T611" s="3"/>
      <c r="U611" s="3"/>
      <c r="V611" s="3"/>
      <c r="Y611" s="3"/>
      <c r="Z611" s="3"/>
      <c r="AA611" s="3"/>
      <c r="AB611" s="3"/>
      <c r="AC611" s="3"/>
      <c r="AH611" s="3"/>
    </row>
    <row r="612" spans="5:34" s="1" customFormat="1">
      <c r="E612" s="3"/>
      <c r="F612" s="3"/>
      <c r="G612" s="3"/>
      <c r="J612" s="3"/>
      <c r="K612" s="3"/>
      <c r="L612" s="3"/>
      <c r="O612" s="3"/>
      <c r="P612" s="3"/>
      <c r="Q612" s="3"/>
      <c r="T612" s="3"/>
      <c r="U612" s="3"/>
      <c r="V612" s="3"/>
      <c r="Y612" s="3"/>
      <c r="Z612" s="3"/>
      <c r="AA612" s="3"/>
      <c r="AB612" s="3"/>
      <c r="AC612" s="3"/>
      <c r="AH612" s="3"/>
    </row>
    <row r="613" spans="5:34" s="1" customFormat="1">
      <c r="E613" s="3"/>
      <c r="F613" s="3"/>
      <c r="G613" s="3"/>
      <c r="J613" s="3"/>
      <c r="K613" s="3"/>
      <c r="L613" s="3"/>
      <c r="O613" s="3"/>
      <c r="P613" s="3"/>
      <c r="Q613" s="3"/>
      <c r="T613" s="3"/>
      <c r="U613" s="3"/>
      <c r="V613" s="3"/>
      <c r="Y613" s="3"/>
      <c r="Z613" s="3"/>
      <c r="AA613" s="3"/>
      <c r="AB613" s="3"/>
      <c r="AC613" s="3"/>
      <c r="AH613" s="3"/>
    </row>
    <row r="614" spans="5:34" s="1" customFormat="1">
      <c r="E614" s="3"/>
      <c r="F614" s="3"/>
      <c r="G614" s="3"/>
      <c r="J614" s="3"/>
      <c r="K614" s="3"/>
      <c r="L614" s="3"/>
      <c r="O614" s="3"/>
      <c r="P614" s="3"/>
      <c r="Q614" s="3"/>
      <c r="T614" s="3"/>
      <c r="U614" s="3"/>
      <c r="V614" s="3"/>
      <c r="Y614" s="3"/>
      <c r="Z614" s="3"/>
      <c r="AA614" s="3"/>
      <c r="AB614" s="3"/>
      <c r="AC614" s="3"/>
      <c r="AH614" s="3"/>
    </row>
    <row r="615" spans="5:34" s="1" customFormat="1">
      <c r="E615" s="3"/>
      <c r="F615" s="3"/>
      <c r="G615" s="3"/>
      <c r="J615" s="3"/>
      <c r="K615" s="3"/>
      <c r="L615" s="3"/>
      <c r="O615" s="3"/>
      <c r="P615" s="3"/>
      <c r="Q615" s="3"/>
      <c r="T615" s="3"/>
      <c r="U615" s="3"/>
      <c r="V615" s="3"/>
      <c r="Y615" s="3"/>
      <c r="Z615" s="3"/>
      <c r="AA615" s="3"/>
      <c r="AB615" s="3"/>
      <c r="AC615" s="3"/>
      <c r="AH615" s="3"/>
    </row>
    <row r="616" spans="5:34" s="1" customFormat="1">
      <c r="E616" s="3"/>
      <c r="F616" s="3"/>
      <c r="G616" s="3"/>
      <c r="J616" s="3"/>
      <c r="K616" s="3"/>
      <c r="L616" s="3"/>
      <c r="O616" s="3"/>
      <c r="P616" s="3"/>
      <c r="Q616" s="3"/>
      <c r="T616" s="3"/>
      <c r="U616" s="3"/>
      <c r="V616" s="3"/>
      <c r="Y616" s="3"/>
      <c r="Z616" s="3"/>
      <c r="AA616" s="3"/>
      <c r="AB616" s="3"/>
      <c r="AC616" s="3"/>
      <c r="AH616" s="3"/>
    </row>
    <row r="617" spans="5:34" s="1" customFormat="1">
      <c r="E617" s="3"/>
      <c r="F617" s="3"/>
      <c r="G617" s="3"/>
      <c r="J617" s="3"/>
      <c r="K617" s="3"/>
      <c r="L617" s="3"/>
      <c r="O617" s="3"/>
      <c r="P617" s="3"/>
      <c r="Q617" s="3"/>
      <c r="T617" s="3"/>
      <c r="U617" s="3"/>
      <c r="V617" s="3"/>
      <c r="Y617" s="3"/>
      <c r="Z617" s="3"/>
      <c r="AA617" s="3"/>
      <c r="AB617" s="3"/>
      <c r="AC617" s="3"/>
      <c r="AH617" s="3"/>
    </row>
    <row r="618" spans="5:34" s="1" customFormat="1">
      <c r="E618" s="3"/>
      <c r="F618" s="3"/>
      <c r="G618" s="3"/>
      <c r="J618" s="3"/>
      <c r="K618" s="3"/>
      <c r="L618" s="3"/>
      <c r="O618" s="3"/>
      <c r="P618" s="3"/>
      <c r="Q618" s="3"/>
      <c r="T618" s="3"/>
      <c r="U618" s="3"/>
      <c r="V618" s="3"/>
      <c r="Y618" s="3"/>
      <c r="Z618" s="3"/>
      <c r="AA618" s="3"/>
      <c r="AB618" s="3"/>
      <c r="AC618" s="3"/>
      <c r="AH618" s="3"/>
    </row>
    <row r="619" spans="5:34" s="1" customFormat="1">
      <c r="E619" s="3"/>
      <c r="F619" s="3"/>
      <c r="G619" s="3"/>
      <c r="J619" s="3"/>
      <c r="K619" s="3"/>
      <c r="L619" s="3"/>
      <c r="O619" s="3"/>
      <c r="P619" s="3"/>
      <c r="Q619" s="3"/>
      <c r="T619" s="3"/>
      <c r="U619" s="3"/>
      <c r="V619" s="3"/>
      <c r="Y619" s="3"/>
      <c r="Z619" s="3"/>
      <c r="AA619" s="3"/>
      <c r="AB619" s="3"/>
      <c r="AC619" s="3"/>
      <c r="AH619" s="3"/>
    </row>
    <row r="620" spans="5:34" s="1" customFormat="1">
      <c r="E620" s="3"/>
      <c r="F620" s="3"/>
      <c r="G620" s="3"/>
      <c r="J620" s="3"/>
      <c r="K620" s="3"/>
      <c r="L620" s="3"/>
      <c r="O620" s="3"/>
      <c r="P620" s="3"/>
      <c r="Q620" s="3"/>
      <c r="T620" s="3"/>
      <c r="U620" s="3"/>
      <c r="V620" s="3"/>
      <c r="Y620" s="3"/>
      <c r="Z620" s="3"/>
      <c r="AA620" s="3"/>
      <c r="AB620" s="3"/>
      <c r="AC620" s="3"/>
      <c r="AH620" s="3"/>
    </row>
    <row r="621" spans="5:34" s="1" customFormat="1">
      <c r="E621" s="3"/>
      <c r="F621" s="3"/>
      <c r="G621" s="3"/>
      <c r="J621" s="3"/>
      <c r="K621" s="3"/>
      <c r="L621" s="3"/>
      <c r="O621" s="3"/>
      <c r="P621" s="3"/>
      <c r="Q621" s="3"/>
      <c r="T621" s="3"/>
      <c r="U621" s="3"/>
      <c r="V621" s="3"/>
      <c r="Y621" s="3"/>
      <c r="Z621" s="3"/>
      <c r="AA621" s="3"/>
      <c r="AB621" s="3"/>
      <c r="AC621" s="3"/>
      <c r="AH621" s="3"/>
    </row>
    <row r="622" spans="5:34" s="1" customFormat="1">
      <c r="E622" s="3"/>
      <c r="F622" s="3"/>
      <c r="G622" s="3"/>
      <c r="J622" s="3"/>
      <c r="K622" s="3"/>
      <c r="L622" s="3"/>
      <c r="O622" s="3"/>
      <c r="P622" s="3"/>
      <c r="Q622" s="3"/>
      <c r="T622" s="3"/>
      <c r="U622" s="3"/>
      <c r="V622" s="3"/>
      <c r="Y622" s="3"/>
      <c r="Z622" s="3"/>
      <c r="AA622" s="3"/>
      <c r="AB622" s="3"/>
      <c r="AC622" s="3"/>
      <c r="AH622" s="3"/>
    </row>
    <row r="623" spans="5:34" s="1" customFormat="1">
      <c r="E623" s="3"/>
      <c r="F623" s="3"/>
      <c r="G623" s="3"/>
      <c r="J623" s="3"/>
      <c r="K623" s="3"/>
      <c r="L623" s="3"/>
      <c r="O623" s="3"/>
      <c r="P623" s="3"/>
      <c r="Q623" s="3"/>
      <c r="T623" s="3"/>
      <c r="U623" s="3"/>
      <c r="V623" s="3"/>
      <c r="Y623" s="3"/>
      <c r="Z623" s="3"/>
      <c r="AA623" s="3"/>
      <c r="AB623" s="3"/>
      <c r="AC623" s="3"/>
      <c r="AH623" s="3"/>
    </row>
    <row r="624" spans="5:34" s="1" customFormat="1">
      <c r="E624" s="3"/>
      <c r="F624" s="3"/>
      <c r="G624" s="3"/>
      <c r="J624" s="3"/>
      <c r="K624" s="3"/>
      <c r="L624" s="3"/>
      <c r="O624" s="3"/>
      <c r="P624" s="3"/>
      <c r="Q624" s="3"/>
      <c r="T624" s="3"/>
      <c r="U624" s="3"/>
      <c r="V624" s="3"/>
      <c r="Y624" s="3"/>
      <c r="Z624" s="3"/>
      <c r="AA624" s="3"/>
      <c r="AB624" s="3"/>
      <c r="AC624" s="3"/>
      <c r="AH624" s="3"/>
    </row>
    <row r="625" spans="5:34" s="1" customFormat="1">
      <c r="E625" s="3"/>
      <c r="F625" s="3"/>
      <c r="G625" s="3"/>
      <c r="J625" s="3"/>
      <c r="K625" s="3"/>
      <c r="L625" s="3"/>
      <c r="O625" s="3"/>
      <c r="P625" s="3"/>
      <c r="Q625" s="3"/>
      <c r="T625" s="3"/>
      <c r="U625" s="3"/>
      <c r="V625" s="3"/>
      <c r="Y625" s="3"/>
      <c r="Z625" s="3"/>
      <c r="AA625" s="3"/>
      <c r="AB625" s="3"/>
      <c r="AC625" s="3"/>
      <c r="AH625" s="3"/>
    </row>
    <row r="626" spans="5:34" s="1" customFormat="1">
      <c r="E626" s="3"/>
      <c r="F626" s="3"/>
      <c r="G626" s="3"/>
      <c r="J626" s="3"/>
      <c r="K626" s="3"/>
      <c r="L626" s="3"/>
      <c r="O626" s="3"/>
      <c r="P626" s="3"/>
      <c r="Q626" s="3"/>
      <c r="T626" s="3"/>
      <c r="U626" s="3"/>
      <c r="V626" s="3"/>
      <c r="Y626" s="3"/>
      <c r="Z626" s="3"/>
      <c r="AA626" s="3"/>
      <c r="AB626" s="3"/>
      <c r="AC626" s="3"/>
      <c r="AH626" s="3"/>
    </row>
    <row r="627" spans="5:34" s="1" customFormat="1">
      <c r="E627" s="3"/>
      <c r="F627" s="3"/>
      <c r="G627" s="3"/>
      <c r="J627" s="3"/>
      <c r="K627" s="3"/>
      <c r="L627" s="3"/>
      <c r="O627" s="3"/>
      <c r="P627" s="3"/>
      <c r="Q627" s="3"/>
      <c r="T627" s="3"/>
      <c r="U627" s="3"/>
      <c r="V627" s="3"/>
      <c r="Y627" s="3"/>
      <c r="Z627" s="3"/>
      <c r="AA627" s="3"/>
      <c r="AB627" s="3"/>
      <c r="AC627" s="3"/>
      <c r="AH627" s="3"/>
    </row>
    <row r="628" spans="5:34" s="1" customFormat="1">
      <c r="E628" s="3"/>
      <c r="F628" s="3"/>
      <c r="G628" s="3"/>
      <c r="J628" s="3"/>
      <c r="K628" s="3"/>
      <c r="L628" s="3"/>
      <c r="O628" s="3"/>
      <c r="P628" s="3"/>
      <c r="Q628" s="3"/>
      <c r="T628" s="3"/>
      <c r="U628" s="3"/>
      <c r="V628" s="3"/>
      <c r="Y628" s="3"/>
      <c r="Z628" s="3"/>
      <c r="AA628" s="3"/>
      <c r="AB628" s="3"/>
      <c r="AC628" s="3"/>
      <c r="AH628" s="3"/>
    </row>
    <row r="629" spans="5:34" s="1" customFormat="1">
      <c r="E629" s="3"/>
      <c r="F629" s="3"/>
      <c r="G629" s="3"/>
      <c r="J629" s="3"/>
      <c r="K629" s="3"/>
      <c r="L629" s="3"/>
      <c r="O629" s="3"/>
      <c r="P629" s="3"/>
      <c r="Q629" s="3"/>
      <c r="T629" s="3"/>
      <c r="U629" s="3"/>
      <c r="V629" s="3"/>
      <c r="Y629" s="3"/>
      <c r="Z629" s="3"/>
      <c r="AA629" s="3"/>
      <c r="AB629" s="3"/>
      <c r="AC629" s="3"/>
      <c r="AH629" s="3"/>
    </row>
    <row r="630" spans="5:34" s="1" customFormat="1">
      <c r="E630" s="3"/>
      <c r="F630" s="3"/>
      <c r="G630" s="3"/>
      <c r="J630" s="3"/>
      <c r="K630" s="3"/>
      <c r="L630" s="3"/>
      <c r="O630" s="3"/>
      <c r="P630" s="3"/>
      <c r="Q630" s="3"/>
      <c r="T630" s="3"/>
      <c r="U630" s="3"/>
      <c r="V630" s="3"/>
      <c r="Y630" s="3"/>
      <c r="Z630" s="3"/>
      <c r="AA630" s="3"/>
      <c r="AB630" s="3"/>
      <c r="AC630" s="3"/>
      <c r="AH630" s="3"/>
    </row>
    <row r="631" spans="5:34" s="1" customFormat="1">
      <c r="E631" s="3"/>
      <c r="F631" s="3"/>
      <c r="G631" s="3"/>
      <c r="J631" s="3"/>
      <c r="K631" s="3"/>
      <c r="L631" s="3"/>
      <c r="O631" s="3"/>
      <c r="P631" s="3"/>
      <c r="Q631" s="3"/>
      <c r="T631" s="3"/>
      <c r="U631" s="3"/>
      <c r="V631" s="3"/>
      <c r="Y631" s="3"/>
      <c r="Z631" s="3"/>
      <c r="AA631" s="3"/>
      <c r="AB631" s="3"/>
      <c r="AC631" s="3"/>
      <c r="AH631" s="3"/>
    </row>
    <row r="632" spans="5:34" s="1" customFormat="1">
      <c r="E632" s="3"/>
      <c r="F632" s="3"/>
      <c r="G632" s="3"/>
      <c r="J632" s="3"/>
      <c r="K632" s="3"/>
      <c r="L632" s="3"/>
      <c r="O632" s="3"/>
      <c r="P632" s="3"/>
      <c r="Q632" s="3"/>
      <c r="T632" s="3"/>
      <c r="U632" s="3"/>
      <c r="V632" s="3"/>
      <c r="Y632" s="3"/>
      <c r="Z632" s="3"/>
      <c r="AA632" s="3"/>
      <c r="AB632" s="3"/>
      <c r="AC632" s="3"/>
      <c r="AH632" s="3"/>
    </row>
    <row r="633" spans="5:34" s="1" customFormat="1">
      <c r="E633" s="3"/>
      <c r="F633" s="3"/>
      <c r="G633" s="3"/>
      <c r="J633" s="3"/>
      <c r="K633" s="3"/>
      <c r="L633" s="3"/>
      <c r="O633" s="3"/>
      <c r="P633" s="3"/>
      <c r="Q633" s="3"/>
      <c r="T633" s="3"/>
      <c r="U633" s="3"/>
      <c r="V633" s="3"/>
      <c r="Y633" s="3"/>
      <c r="Z633" s="3"/>
      <c r="AA633" s="3"/>
      <c r="AB633" s="3"/>
      <c r="AC633" s="3"/>
      <c r="AH633" s="3"/>
    </row>
    <row r="634" spans="5:34" s="1" customFormat="1">
      <c r="E634" s="3"/>
      <c r="F634" s="3"/>
      <c r="G634" s="3"/>
      <c r="J634" s="3"/>
      <c r="K634" s="3"/>
      <c r="L634" s="3"/>
      <c r="O634" s="3"/>
      <c r="P634" s="3"/>
      <c r="Q634" s="3"/>
      <c r="T634" s="3"/>
      <c r="U634" s="3"/>
      <c r="V634" s="3"/>
      <c r="Y634" s="3"/>
      <c r="Z634" s="3"/>
      <c r="AA634" s="3"/>
      <c r="AB634" s="3"/>
      <c r="AC634" s="3"/>
      <c r="AH634" s="3"/>
    </row>
    <row r="635" spans="5:34" s="1" customFormat="1">
      <c r="E635" s="3"/>
      <c r="F635" s="3"/>
      <c r="G635" s="3"/>
      <c r="J635" s="3"/>
      <c r="K635" s="3"/>
      <c r="L635" s="3"/>
      <c r="O635" s="3"/>
      <c r="P635" s="3"/>
      <c r="Q635" s="3"/>
      <c r="T635" s="3"/>
      <c r="U635" s="3"/>
      <c r="V635" s="3"/>
      <c r="Y635" s="3"/>
      <c r="Z635" s="3"/>
      <c r="AA635" s="3"/>
      <c r="AB635" s="3"/>
      <c r="AC635" s="3"/>
      <c r="AH635" s="3"/>
    </row>
    <row r="636" spans="5:34" s="1" customFormat="1">
      <c r="E636" s="3"/>
      <c r="F636" s="3"/>
      <c r="G636" s="3"/>
      <c r="J636" s="3"/>
      <c r="K636" s="3"/>
      <c r="L636" s="3"/>
      <c r="O636" s="3"/>
      <c r="P636" s="3"/>
      <c r="Q636" s="3"/>
      <c r="T636" s="3"/>
      <c r="U636" s="3"/>
      <c r="V636" s="3"/>
      <c r="Y636" s="3"/>
      <c r="Z636" s="3"/>
      <c r="AA636" s="3"/>
      <c r="AB636" s="3"/>
      <c r="AC636" s="3"/>
      <c r="AH636" s="3"/>
    </row>
    <row r="637" spans="5:34" s="1" customFormat="1">
      <c r="E637" s="3"/>
      <c r="F637" s="3"/>
      <c r="G637" s="3"/>
      <c r="J637" s="3"/>
      <c r="K637" s="3"/>
      <c r="L637" s="3"/>
      <c r="O637" s="3"/>
      <c r="P637" s="3"/>
      <c r="Q637" s="3"/>
      <c r="T637" s="3"/>
      <c r="U637" s="3"/>
      <c r="V637" s="3"/>
      <c r="Y637" s="3"/>
      <c r="Z637" s="3"/>
      <c r="AA637" s="3"/>
      <c r="AB637" s="3"/>
      <c r="AC637" s="3"/>
      <c r="AH637" s="3"/>
    </row>
    <row r="638" spans="5:34" s="1" customFormat="1">
      <c r="E638" s="3"/>
      <c r="F638" s="3"/>
      <c r="G638" s="3"/>
      <c r="J638" s="3"/>
      <c r="K638" s="3"/>
      <c r="L638" s="3"/>
      <c r="O638" s="3"/>
      <c r="P638" s="3"/>
      <c r="Q638" s="3"/>
      <c r="T638" s="3"/>
      <c r="U638" s="3"/>
      <c r="V638" s="3"/>
      <c r="Y638" s="3"/>
      <c r="Z638" s="3"/>
      <c r="AA638" s="3"/>
      <c r="AB638" s="3"/>
      <c r="AC638" s="3"/>
      <c r="AH638" s="3"/>
    </row>
    <row r="639" spans="5:34" s="1" customFormat="1">
      <c r="E639" s="3"/>
      <c r="F639" s="3"/>
      <c r="G639" s="3"/>
      <c r="J639" s="3"/>
      <c r="K639" s="3"/>
      <c r="L639" s="3"/>
      <c r="O639" s="3"/>
      <c r="P639" s="3"/>
      <c r="Q639" s="3"/>
      <c r="T639" s="3"/>
      <c r="U639" s="3"/>
      <c r="V639" s="3"/>
      <c r="Y639" s="3"/>
      <c r="Z639" s="3"/>
      <c r="AA639" s="3"/>
      <c r="AB639" s="3"/>
      <c r="AC639" s="3"/>
      <c r="AH639" s="3"/>
    </row>
    <row r="640" spans="5:34" s="1" customFormat="1">
      <c r="E640" s="3"/>
      <c r="F640" s="3"/>
      <c r="G640" s="3"/>
      <c r="J640" s="3"/>
      <c r="K640" s="3"/>
      <c r="L640" s="3"/>
      <c r="O640" s="3"/>
      <c r="P640" s="3"/>
      <c r="Q640" s="3"/>
      <c r="T640" s="3"/>
      <c r="U640" s="3"/>
      <c r="V640" s="3"/>
      <c r="Y640" s="3"/>
      <c r="Z640" s="3"/>
      <c r="AA640" s="3"/>
      <c r="AB640" s="3"/>
      <c r="AC640" s="3"/>
      <c r="AH640" s="3"/>
    </row>
    <row r="641" spans="5:34" s="1" customFormat="1">
      <c r="E641" s="3"/>
      <c r="F641" s="3"/>
      <c r="G641" s="3"/>
      <c r="J641" s="3"/>
      <c r="K641" s="3"/>
      <c r="L641" s="3"/>
      <c r="O641" s="3"/>
      <c r="P641" s="3"/>
      <c r="Q641" s="3"/>
      <c r="T641" s="3"/>
      <c r="U641" s="3"/>
      <c r="V641" s="3"/>
      <c r="Y641" s="3"/>
      <c r="Z641" s="3"/>
      <c r="AA641" s="3"/>
      <c r="AB641" s="3"/>
      <c r="AC641" s="3"/>
      <c r="AH641" s="3"/>
    </row>
    <row r="642" spans="5:34" s="1" customFormat="1">
      <c r="E642" s="3"/>
      <c r="F642" s="3"/>
      <c r="G642" s="3"/>
      <c r="J642" s="3"/>
      <c r="K642" s="3"/>
      <c r="L642" s="3"/>
      <c r="O642" s="3"/>
      <c r="P642" s="3"/>
      <c r="Q642" s="3"/>
      <c r="T642" s="3"/>
      <c r="U642" s="3"/>
      <c r="V642" s="3"/>
      <c r="Y642" s="3"/>
      <c r="Z642" s="3"/>
      <c r="AA642" s="3"/>
      <c r="AB642" s="3"/>
      <c r="AC642" s="3"/>
      <c r="AH642" s="3"/>
    </row>
    <row r="643" spans="5:34" s="1" customFormat="1">
      <c r="E643" s="3"/>
      <c r="F643" s="3"/>
      <c r="G643" s="3"/>
      <c r="J643" s="3"/>
      <c r="K643" s="3"/>
      <c r="L643" s="3"/>
      <c r="O643" s="3"/>
      <c r="P643" s="3"/>
      <c r="Q643" s="3"/>
      <c r="T643" s="3"/>
      <c r="U643" s="3"/>
      <c r="V643" s="3"/>
      <c r="Y643" s="3"/>
      <c r="Z643" s="3"/>
      <c r="AA643" s="3"/>
      <c r="AB643" s="3"/>
      <c r="AC643" s="3"/>
      <c r="AH643" s="3"/>
    </row>
    <row r="644" spans="5:34" s="1" customFormat="1">
      <c r="E644" s="3"/>
      <c r="F644" s="3"/>
      <c r="G644" s="3"/>
      <c r="J644" s="3"/>
      <c r="K644" s="3"/>
      <c r="L644" s="3"/>
      <c r="O644" s="3"/>
      <c r="P644" s="3"/>
      <c r="Q644" s="3"/>
      <c r="T644" s="3"/>
      <c r="U644" s="3"/>
      <c r="V644" s="3"/>
      <c r="Y644" s="3"/>
      <c r="Z644" s="3"/>
      <c r="AA644" s="3"/>
      <c r="AB644" s="3"/>
      <c r="AC644" s="3"/>
      <c r="AH644" s="3"/>
    </row>
    <row r="645" spans="5:34" s="1" customFormat="1">
      <c r="E645" s="3"/>
      <c r="F645" s="3"/>
      <c r="G645" s="3"/>
      <c r="J645" s="3"/>
      <c r="K645" s="3"/>
      <c r="L645" s="3"/>
      <c r="O645" s="3"/>
      <c r="P645" s="3"/>
      <c r="Q645" s="3"/>
      <c r="T645" s="3"/>
      <c r="U645" s="3"/>
      <c r="V645" s="3"/>
      <c r="Y645" s="3"/>
      <c r="Z645" s="3"/>
      <c r="AA645" s="3"/>
      <c r="AB645" s="3"/>
      <c r="AC645" s="3"/>
      <c r="AH645" s="3"/>
    </row>
    <row r="646" spans="5:34" s="1" customFormat="1">
      <c r="E646" s="3"/>
      <c r="F646" s="3"/>
      <c r="G646" s="3"/>
      <c r="J646" s="3"/>
      <c r="K646" s="3"/>
      <c r="L646" s="3"/>
      <c r="O646" s="3"/>
      <c r="P646" s="3"/>
      <c r="Q646" s="3"/>
      <c r="T646" s="3"/>
      <c r="U646" s="3"/>
      <c r="V646" s="3"/>
      <c r="Y646" s="3"/>
      <c r="Z646" s="3"/>
      <c r="AA646" s="3"/>
      <c r="AB646" s="3"/>
      <c r="AC646" s="3"/>
      <c r="AH646" s="3"/>
    </row>
    <row r="647" spans="5:34" s="1" customFormat="1">
      <c r="E647" s="3"/>
      <c r="F647" s="3"/>
      <c r="G647" s="3"/>
      <c r="J647" s="3"/>
      <c r="K647" s="3"/>
      <c r="L647" s="3"/>
      <c r="O647" s="3"/>
      <c r="P647" s="3"/>
      <c r="Q647" s="3"/>
      <c r="T647" s="3"/>
      <c r="U647" s="3"/>
      <c r="V647" s="3"/>
      <c r="Y647" s="3"/>
      <c r="Z647" s="3"/>
      <c r="AA647" s="3"/>
      <c r="AB647" s="3"/>
      <c r="AC647" s="3"/>
      <c r="AH647" s="3"/>
    </row>
    <row r="648" spans="5:34" s="1" customFormat="1">
      <c r="E648" s="3"/>
      <c r="F648" s="3"/>
      <c r="G648" s="3"/>
      <c r="J648" s="3"/>
      <c r="K648" s="3"/>
      <c r="L648" s="3"/>
      <c r="O648" s="3"/>
      <c r="P648" s="3"/>
      <c r="Q648" s="3"/>
      <c r="T648" s="3"/>
      <c r="U648" s="3"/>
      <c r="V648" s="3"/>
      <c r="Y648" s="3"/>
      <c r="Z648" s="3"/>
      <c r="AA648" s="3"/>
      <c r="AB648" s="3"/>
      <c r="AC648" s="3"/>
      <c r="AH648" s="3"/>
    </row>
    <row r="649" spans="5:34" s="1" customFormat="1">
      <c r="E649" s="3"/>
      <c r="F649" s="3"/>
      <c r="G649" s="3"/>
      <c r="J649" s="3"/>
      <c r="K649" s="3"/>
      <c r="L649" s="3"/>
      <c r="O649" s="3"/>
      <c r="P649" s="3"/>
      <c r="Q649" s="3"/>
      <c r="T649" s="3"/>
      <c r="U649" s="3"/>
      <c r="V649" s="3"/>
      <c r="Y649" s="3"/>
      <c r="Z649" s="3"/>
      <c r="AA649" s="3"/>
      <c r="AB649" s="3"/>
      <c r="AC649" s="3"/>
      <c r="AH649" s="3"/>
    </row>
    <row r="650" spans="5:34" s="1" customFormat="1">
      <c r="E650" s="3"/>
      <c r="F650" s="3"/>
      <c r="G650" s="3"/>
      <c r="J650" s="3"/>
      <c r="K650" s="3"/>
      <c r="L650" s="3"/>
      <c r="O650" s="3"/>
      <c r="P650" s="3"/>
      <c r="Q650" s="3"/>
      <c r="T650" s="3"/>
      <c r="U650" s="3"/>
      <c r="V650" s="3"/>
      <c r="Y650" s="3"/>
      <c r="Z650" s="3"/>
      <c r="AA650" s="3"/>
      <c r="AB650" s="3"/>
      <c r="AC650" s="3"/>
      <c r="AH650" s="3"/>
    </row>
    <row r="651" spans="5:34" s="1" customFormat="1">
      <c r="E651" s="3"/>
      <c r="F651" s="3"/>
      <c r="G651" s="3"/>
      <c r="J651" s="3"/>
      <c r="K651" s="3"/>
      <c r="L651" s="3"/>
      <c r="O651" s="3"/>
      <c r="P651" s="3"/>
      <c r="Q651" s="3"/>
      <c r="T651" s="3"/>
      <c r="U651" s="3"/>
      <c r="V651" s="3"/>
      <c r="Y651" s="3"/>
      <c r="Z651" s="3"/>
      <c r="AA651" s="3"/>
      <c r="AB651" s="3"/>
      <c r="AC651" s="3"/>
      <c r="AH651" s="3"/>
    </row>
    <row r="652" spans="5:34" s="1" customFormat="1">
      <c r="E652" s="3"/>
      <c r="F652" s="3"/>
      <c r="G652" s="3"/>
      <c r="J652" s="3"/>
      <c r="K652" s="3"/>
      <c r="L652" s="3"/>
      <c r="O652" s="3"/>
      <c r="P652" s="3"/>
      <c r="Q652" s="3"/>
      <c r="T652" s="3"/>
      <c r="U652" s="3"/>
      <c r="V652" s="3"/>
      <c r="Y652" s="3"/>
      <c r="Z652" s="3"/>
      <c r="AA652" s="3"/>
      <c r="AB652" s="3"/>
      <c r="AC652" s="3"/>
      <c r="AH652" s="3"/>
    </row>
    <row r="653" spans="5:34" s="1" customFormat="1">
      <c r="E653" s="3"/>
      <c r="F653" s="3"/>
      <c r="G653" s="3"/>
      <c r="J653" s="3"/>
      <c r="K653" s="3"/>
      <c r="L653" s="3"/>
      <c r="O653" s="3"/>
      <c r="P653" s="3"/>
      <c r="Q653" s="3"/>
      <c r="T653" s="3"/>
      <c r="U653" s="3"/>
      <c r="V653" s="3"/>
      <c r="Y653" s="3"/>
      <c r="Z653" s="3"/>
      <c r="AA653" s="3"/>
      <c r="AB653" s="3"/>
      <c r="AC653" s="3"/>
      <c r="AH653" s="3"/>
    </row>
    <row r="654" spans="5:34" s="1" customFormat="1">
      <c r="E654" s="3"/>
      <c r="F654" s="3"/>
      <c r="G654" s="3"/>
      <c r="J654" s="3"/>
      <c r="K654" s="3"/>
      <c r="L654" s="3"/>
      <c r="O654" s="3"/>
      <c r="P654" s="3"/>
      <c r="Q654" s="3"/>
      <c r="T654" s="3"/>
      <c r="U654" s="3"/>
      <c r="V654" s="3"/>
      <c r="Y654" s="3"/>
      <c r="Z654" s="3"/>
      <c r="AA654" s="3"/>
      <c r="AB654" s="3"/>
      <c r="AC654" s="3"/>
      <c r="AH654" s="3"/>
    </row>
    <row r="655" spans="5:34" s="1" customFormat="1">
      <c r="E655" s="3"/>
      <c r="F655" s="3"/>
      <c r="G655" s="3"/>
      <c r="J655" s="3"/>
      <c r="K655" s="3"/>
      <c r="L655" s="3"/>
      <c r="O655" s="3"/>
      <c r="P655" s="3"/>
      <c r="Q655" s="3"/>
      <c r="T655" s="3"/>
      <c r="U655" s="3"/>
      <c r="V655" s="3"/>
      <c r="Y655" s="3"/>
      <c r="Z655" s="3"/>
      <c r="AA655" s="3"/>
      <c r="AB655" s="3"/>
      <c r="AC655" s="3"/>
      <c r="AH655" s="3"/>
    </row>
    <row r="656" spans="5:34" s="1" customFormat="1">
      <c r="E656" s="3"/>
      <c r="F656" s="3"/>
      <c r="G656" s="3"/>
      <c r="J656" s="3"/>
      <c r="K656" s="3"/>
      <c r="L656" s="3"/>
      <c r="O656" s="3"/>
      <c r="P656" s="3"/>
      <c r="Q656" s="3"/>
      <c r="T656" s="3"/>
      <c r="U656" s="3"/>
      <c r="V656" s="3"/>
      <c r="Y656" s="3"/>
      <c r="Z656" s="3"/>
      <c r="AA656" s="3"/>
      <c r="AB656" s="3"/>
      <c r="AC656" s="3"/>
      <c r="AH656" s="3"/>
    </row>
    <row r="657" spans="5:34" s="1" customFormat="1">
      <c r="E657" s="3"/>
      <c r="F657" s="3"/>
      <c r="G657" s="3"/>
      <c r="J657" s="3"/>
      <c r="K657" s="3"/>
      <c r="L657" s="3"/>
      <c r="O657" s="3"/>
      <c r="P657" s="3"/>
      <c r="Q657" s="3"/>
      <c r="T657" s="3"/>
      <c r="U657" s="3"/>
      <c r="V657" s="3"/>
      <c r="Y657" s="3"/>
      <c r="Z657" s="3"/>
      <c r="AA657" s="3"/>
      <c r="AB657" s="3"/>
      <c r="AC657" s="3"/>
      <c r="AH657" s="3"/>
    </row>
    <row r="658" spans="5:34" s="1" customFormat="1">
      <c r="E658" s="3"/>
      <c r="F658" s="3"/>
      <c r="G658" s="3"/>
      <c r="J658" s="3"/>
      <c r="K658" s="3"/>
      <c r="L658" s="3"/>
      <c r="O658" s="3"/>
      <c r="P658" s="3"/>
      <c r="Q658" s="3"/>
      <c r="T658" s="3"/>
      <c r="U658" s="3"/>
      <c r="V658" s="3"/>
      <c r="Y658" s="3"/>
      <c r="Z658" s="3"/>
      <c r="AA658" s="3"/>
      <c r="AB658" s="3"/>
      <c r="AC658" s="3"/>
      <c r="AH658" s="3"/>
    </row>
    <row r="659" spans="5:34" s="1" customFormat="1">
      <c r="E659" s="3"/>
      <c r="F659" s="3"/>
      <c r="G659" s="3"/>
      <c r="J659" s="3"/>
      <c r="K659" s="3"/>
      <c r="L659" s="3"/>
      <c r="O659" s="3"/>
      <c r="P659" s="3"/>
      <c r="Q659" s="3"/>
      <c r="T659" s="3"/>
      <c r="U659" s="3"/>
      <c r="V659" s="3"/>
      <c r="Y659" s="3"/>
      <c r="Z659" s="3"/>
      <c r="AA659" s="3"/>
      <c r="AB659" s="3"/>
      <c r="AC659" s="3"/>
      <c r="AH659" s="3"/>
    </row>
    <row r="660" spans="5:34" s="1" customFormat="1">
      <c r="E660" s="3"/>
      <c r="F660" s="3"/>
      <c r="G660" s="3"/>
      <c r="J660" s="3"/>
      <c r="K660" s="3"/>
      <c r="L660" s="3"/>
      <c r="O660" s="3"/>
      <c r="P660" s="3"/>
      <c r="Q660" s="3"/>
      <c r="T660" s="3"/>
      <c r="U660" s="3"/>
      <c r="V660" s="3"/>
      <c r="Y660" s="3"/>
      <c r="Z660" s="3"/>
      <c r="AA660" s="3"/>
      <c r="AB660" s="3"/>
      <c r="AC660" s="3"/>
      <c r="AH660" s="3"/>
    </row>
    <row r="661" spans="5:34" s="1" customFormat="1">
      <c r="E661" s="3"/>
      <c r="F661" s="3"/>
      <c r="G661" s="3"/>
      <c r="J661" s="3"/>
      <c r="K661" s="3"/>
      <c r="L661" s="3"/>
      <c r="O661" s="3"/>
      <c r="P661" s="3"/>
      <c r="Q661" s="3"/>
      <c r="T661" s="3"/>
      <c r="U661" s="3"/>
      <c r="V661" s="3"/>
      <c r="Y661" s="3"/>
      <c r="Z661" s="3"/>
      <c r="AA661" s="3"/>
      <c r="AB661" s="3"/>
      <c r="AC661" s="3"/>
      <c r="AH661" s="3"/>
    </row>
    <row r="662" spans="5:34" s="1" customFormat="1">
      <c r="E662" s="3"/>
      <c r="F662" s="3"/>
      <c r="G662" s="3"/>
      <c r="J662" s="3"/>
      <c r="K662" s="3"/>
      <c r="L662" s="3"/>
      <c r="O662" s="3"/>
      <c r="P662" s="3"/>
      <c r="Q662" s="3"/>
      <c r="T662" s="3"/>
      <c r="U662" s="3"/>
      <c r="V662" s="3"/>
      <c r="Y662" s="3"/>
      <c r="Z662" s="3"/>
      <c r="AA662" s="3"/>
      <c r="AB662" s="3"/>
      <c r="AC662" s="3"/>
      <c r="AH662" s="3"/>
    </row>
    <row r="663" spans="5:34" s="1" customFormat="1">
      <c r="E663" s="3"/>
      <c r="F663" s="3"/>
      <c r="G663" s="3"/>
      <c r="J663" s="3"/>
      <c r="K663" s="3"/>
      <c r="L663" s="3"/>
      <c r="O663" s="3"/>
      <c r="P663" s="3"/>
      <c r="Q663" s="3"/>
      <c r="T663" s="3"/>
      <c r="U663" s="3"/>
      <c r="V663" s="3"/>
      <c r="Y663" s="3"/>
      <c r="Z663" s="3"/>
      <c r="AA663" s="3"/>
      <c r="AB663" s="3"/>
      <c r="AC663" s="3"/>
      <c r="AH663" s="3"/>
    </row>
    <row r="664" spans="5:34" s="1" customFormat="1">
      <c r="E664" s="3"/>
      <c r="F664" s="3"/>
      <c r="G664" s="3"/>
      <c r="J664" s="3"/>
      <c r="K664" s="3"/>
      <c r="L664" s="3"/>
      <c r="O664" s="3"/>
      <c r="P664" s="3"/>
      <c r="Q664" s="3"/>
      <c r="T664" s="3"/>
      <c r="U664" s="3"/>
      <c r="V664" s="3"/>
      <c r="Y664" s="3"/>
      <c r="Z664" s="3"/>
      <c r="AA664" s="3"/>
      <c r="AB664" s="3"/>
      <c r="AC664" s="3"/>
      <c r="AH664" s="3"/>
    </row>
    <row r="665" spans="5:34" s="1" customFormat="1">
      <c r="E665" s="3"/>
      <c r="F665" s="3"/>
      <c r="G665" s="3"/>
      <c r="J665" s="3"/>
      <c r="K665" s="3"/>
      <c r="L665" s="3"/>
      <c r="O665" s="3"/>
      <c r="P665" s="3"/>
      <c r="Q665" s="3"/>
      <c r="T665" s="3"/>
      <c r="U665" s="3"/>
      <c r="V665" s="3"/>
      <c r="Y665" s="3"/>
      <c r="Z665" s="3"/>
      <c r="AA665" s="3"/>
      <c r="AB665" s="3"/>
      <c r="AC665" s="3"/>
      <c r="AH665" s="3"/>
    </row>
    <row r="666" spans="5:34" s="1" customFormat="1">
      <c r="E666" s="3"/>
      <c r="F666" s="3"/>
      <c r="G666" s="3"/>
      <c r="J666" s="3"/>
      <c r="K666" s="3"/>
      <c r="L666" s="3"/>
      <c r="O666" s="3"/>
      <c r="P666" s="3"/>
      <c r="Q666" s="3"/>
      <c r="T666" s="3"/>
      <c r="U666" s="3"/>
      <c r="V666" s="3"/>
      <c r="Y666" s="3"/>
      <c r="Z666" s="3"/>
      <c r="AA666" s="3"/>
      <c r="AB666" s="3"/>
      <c r="AC666" s="3"/>
      <c r="AH666" s="3"/>
    </row>
    <row r="667" spans="5:34" s="1" customFormat="1">
      <c r="E667" s="3"/>
      <c r="F667" s="3"/>
      <c r="G667" s="3"/>
      <c r="J667" s="3"/>
      <c r="K667" s="3"/>
      <c r="L667" s="3"/>
      <c r="O667" s="3"/>
      <c r="P667" s="3"/>
      <c r="Q667" s="3"/>
      <c r="T667" s="3"/>
      <c r="U667" s="3"/>
      <c r="V667" s="3"/>
      <c r="Y667" s="3"/>
      <c r="Z667" s="3"/>
      <c r="AA667" s="3"/>
      <c r="AB667" s="3"/>
      <c r="AC667" s="3"/>
      <c r="AH667" s="3"/>
    </row>
    <row r="668" spans="5:34" s="1" customFormat="1">
      <c r="E668" s="3"/>
      <c r="F668" s="3"/>
      <c r="G668" s="3"/>
      <c r="J668" s="3"/>
      <c r="K668" s="3"/>
      <c r="L668" s="3"/>
      <c r="O668" s="3"/>
      <c r="P668" s="3"/>
      <c r="Q668" s="3"/>
      <c r="T668" s="3"/>
      <c r="U668" s="3"/>
      <c r="V668" s="3"/>
      <c r="Y668" s="3"/>
      <c r="Z668" s="3"/>
      <c r="AA668" s="3"/>
      <c r="AB668" s="3"/>
      <c r="AC668" s="3"/>
      <c r="AH668" s="3"/>
    </row>
    <row r="669" spans="5:34" s="1" customFormat="1">
      <c r="E669" s="3"/>
      <c r="F669" s="3"/>
      <c r="G669" s="3"/>
      <c r="J669" s="3"/>
      <c r="K669" s="3"/>
      <c r="L669" s="3"/>
      <c r="O669" s="3"/>
      <c r="P669" s="3"/>
      <c r="Q669" s="3"/>
      <c r="T669" s="3"/>
      <c r="U669" s="3"/>
      <c r="V669" s="3"/>
      <c r="Y669" s="3"/>
      <c r="Z669" s="3"/>
      <c r="AA669" s="3"/>
      <c r="AB669" s="3"/>
      <c r="AC669" s="3"/>
      <c r="AH669" s="3"/>
    </row>
    <row r="670" spans="5:34" s="1" customFormat="1">
      <c r="E670" s="3"/>
      <c r="F670" s="3"/>
      <c r="G670" s="3"/>
      <c r="J670" s="3"/>
      <c r="K670" s="3"/>
      <c r="L670" s="3"/>
      <c r="O670" s="3"/>
      <c r="P670" s="3"/>
      <c r="Q670" s="3"/>
      <c r="T670" s="3"/>
      <c r="U670" s="3"/>
      <c r="V670" s="3"/>
      <c r="Y670" s="3"/>
      <c r="Z670" s="3"/>
      <c r="AA670" s="3"/>
      <c r="AB670" s="3"/>
      <c r="AC670" s="3"/>
      <c r="AH670" s="3"/>
    </row>
    <row r="671" spans="5:34" s="1" customFormat="1">
      <c r="E671" s="3"/>
      <c r="F671" s="3"/>
      <c r="G671" s="3"/>
      <c r="J671" s="3"/>
      <c r="K671" s="3"/>
      <c r="L671" s="3"/>
      <c r="O671" s="3"/>
      <c r="P671" s="3"/>
      <c r="Q671" s="3"/>
      <c r="T671" s="3"/>
      <c r="U671" s="3"/>
      <c r="V671" s="3"/>
      <c r="Y671" s="3"/>
      <c r="Z671" s="3"/>
      <c r="AA671" s="3"/>
      <c r="AB671" s="3"/>
      <c r="AC671" s="3"/>
      <c r="AH671" s="3"/>
    </row>
    <row r="672" spans="5:34" s="1" customFormat="1">
      <c r="E672" s="3"/>
      <c r="F672" s="3"/>
      <c r="G672" s="3"/>
      <c r="J672" s="3"/>
      <c r="K672" s="3"/>
      <c r="L672" s="3"/>
      <c r="O672" s="3"/>
      <c r="P672" s="3"/>
      <c r="Q672" s="3"/>
      <c r="T672" s="3"/>
      <c r="U672" s="3"/>
      <c r="V672" s="3"/>
      <c r="Y672" s="3"/>
      <c r="Z672" s="3"/>
      <c r="AA672" s="3"/>
      <c r="AB672" s="3"/>
      <c r="AC672" s="3"/>
      <c r="AH672" s="3"/>
    </row>
    <row r="673" spans="5:34" s="1" customFormat="1">
      <c r="E673" s="3"/>
      <c r="F673" s="3"/>
      <c r="G673" s="3"/>
      <c r="J673" s="3"/>
      <c r="K673" s="3"/>
      <c r="L673" s="3"/>
      <c r="O673" s="3"/>
      <c r="P673" s="3"/>
      <c r="Q673" s="3"/>
      <c r="T673" s="3"/>
      <c r="U673" s="3"/>
      <c r="V673" s="3"/>
      <c r="Y673" s="3"/>
      <c r="Z673" s="3"/>
      <c r="AA673" s="3"/>
      <c r="AB673" s="3"/>
      <c r="AC673" s="3"/>
      <c r="AH673" s="3"/>
    </row>
    <row r="674" spans="5:34" s="1" customFormat="1">
      <c r="E674" s="3"/>
      <c r="F674" s="3"/>
      <c r="G674" s="3"/>
      <c r="J674" s="3"/>
      <c r="K674" s="3"/>
      <c r="L674" s="3"/>
      <c r="O674" s="3"/>
      <c r="P674" s="3"/>
      <c r="Q674" s="3"/>
      <c r="T674" s="3"/>
      <c r="U674" s="3"/>
      <c r="V674" s="3"/>
      <c r="Y674" s="3"/>
      <c r="Z674" s="3"/>
      <c r="AA674" s="3"/>
      <c r="AB674" s="3"/>
      <c r="AC674" s="3"/>
      <c r="AH674" s="3"/>
    </row>
    <row r="675" spans="5:34" s="1" customFormat="1">
      <c r="E675" s="3"/>
      <c r="F675" s="3"/>
      <c r="G675" s="3"/>
      <c r="J675" s="3"/>
      <c r="K675" s="3"/>
      <c r="L675" s="3"/>
      <c r="O675" s="3"/>
      <c r="P675" s="3"/>
      <c r="Q675" s="3"/>
      <c r="T675" s="3"/>
      <c r="U675" s="3"/>
      <c r="V675" s="3"/>
      <c r="Y675" s="3"/>
      <c r="Z675" s="3"/>
      <c r="AA675" s="3"/>
      <c r="AB675" s="3"/>
      <c r="AC675" s="3"/>
      <c r="AH675" s="3"/>
    </row>
    <row r="676" spans="5:34" s="1" customFormat="1">
      <c r="E676" s="3"/>
      <c r="F676" s="3"/>
      <c r="G676" s="3"/>
      <c r="J676" s="3"/>
      <c r="K676" s="3"/>
      <c r="L676" s="3"/>
      <c r="O676" s="3"/>
      <c r="P676" s="3"/>
      <c r="Q676" s="3"/>
      <c r="T676" s="3"/>
      <c r="U676" s="3"/>
      <c r="V676" s="3"/>
      <c r="Y676" s="3"/>
      <c r="Z676" s="3"/>
      <c r="AA676" s="3"/>
      <c r="AB676" s="3"/>
      <c r="AC676" s="3"/>
      <c r="AH676" s="3"/>
    </row>
    <row r="677" spans="5:34" s="1" customFormat="1">
      <c r="E677" s="3"/>
      <c r="F677" s="3"/>
      <c r="G677" s="3"/>
      <c r="J677" s="3"/>
      <c r="K677" s="3"/>
      <c r="L677" s="3"/>
      <c r="O677" s="3"/>
      <c r="P677" s="3"/>
      <c r="Q677" s="3"/>
      <c r="T677" s="3"/>
      <c r="U677" s="3"/>
      <c r="V677" s="3"/>
      <c r="Y677" s="3"/>
      <c r="Z677" s="3"/>
      <c r="AA677" s="3"/>
      <c r="AB677" s="3"/>
      <c r="AC677" s="3"/>
      <c r="AH677" s="3"/>
    </row>
    <row r="678" spans="5:34" s="1" customFormat="1">
      <c r="E678" s="3"/>
      <c r="F678" s="3"/>
      <c r="G678" s="3"/>
      <c r="J678" s="3"/>
      <c r="K678" s="3"/>
      <c r="L678" s="3"/>
      <c r="O678" s="3"/>
      <c r="P678" s="3"/>
      <c r="Q678" s="3"/>
      <c r="T678" s="3"/>
      <c r="U678" s="3"/>
      <c r="V678" s="3"/>
      <c r="Y678" s="3"/>
      <c r="Z678" s="3"/>
      <c r="AA678" s="3"/>
      <c r="AB678" s="3"/>
      <c r="AC678" s="3"/>
      <c r="AH678" s="3"/>
    </row>
    <row r="679" spans="5:34" s="1" customFormat="1">
      <c r="E679" s="3"/>
      <c r="F679" s="3"/>
      <c r="G679" s="3"/>
      <c r="J679" s="3"/>
      <c r="K679" s="3"/>
      <c r="L679" s="3"/>
      <c r="O679" s="3"/>
      <c r="P679" s="3"/>
      <c r="Q679" s="3"/>
      <c r="T679" s="3"/>
      <c r="U679" s="3"/>
      <c r="V679" s="3"/>
      <c r="Y679" s="3"/>
      <c r="Z679" s="3"/>
      <c r="AA679" s="3"/>
      <c r="AB679" s="3"/>
      <c r="AC679" s="3"/>
      <c r="AH679" s="3"/>
    </row>
    <row r="680" spans="5:34" s="1" customFormat="1">
      <c r="E680" s="3"/>
      <c r="F680" s="3"/>
      <c r="G680" s="3"/>
      <c r="J680" s="3"/>
      <c r="K680" s="3"/>
      <c r="L680" s="3"/>
      <c r="O680" s="3"/>
      <c r="P680" s="3"/>
      <c r="Q680" s="3"/>
      <c r="T680" s="3"/>
      <c r="U680" s="3"/>
      <c r="V680" s="3"/>
      <c r="Y680" s="3"/>
      <c r="Z680" s="3"/>
      <c r="AA680" s="3"/>
      <c r="AB680" s="3"/>
      <c r="AC680" s="3"/>
      <c r="AH680" s="3"/>
    </row>
    <row r="681" spans="5:34" s="1" customFormat="1">
      <c r="E681" s="3"/>
      <c r="F681" s="3"/>
      <c r="G681" s="3"/>
      <c r="J681" s="3"/>
      <c r="K681" s="3"/>
      <c r="L681" s="3"/>
      <c r="O681" s="3"/>
      <c r="P681" s="3"/>
      <c r="Q681" s="3"/>
      <c r="T681" s="3"/>
      <c r="U681" s="3"/>
      <c r="V681" s="3"/>
      <c r="Y681" s="3"/>
      <c r="Z681" s="3"/>
      <c r="AA681" s="3"/>
      <c r="AB681" s="3"/>
      <c r="AC681" s="3"/>
      <c r="AH681" s="3"/>
    </row>
    <row r="682" spans="5:34" s="1" customFormat="1">
      <c r="E682" s="3"/>
      <c r="F682" s="3"/>
      <c r="G682" s="3"/>
      <c r="J682" s="3"/>
      <c r="K682" s="3"/>
      <c r="L682" s="3"/>
      <c r="O682" s="3"/>
      <c r="P682" s="3"/>
      <c r="Q682" s="3"/>
      <c r="T682" s="3"/>
      <c r="U682" s="3"/>
      <c r="V682" s="3"/>
      <c r="Y682" s="3"/>
      <c r="Z682" s="3"/>
      <c r="AA682" s="3"/>
      <c r="AB682" s="3"/>
      <c r="AC682" s="3"/>
      <c r="AH682" s="3"/>
    </row>
    <row r="683" spans="5:34" s="1" customFormat="1">
      <c r="E683" s="3"/>
      <c r="F683" s="3"/>
      <c r="G683" s="3"/>
      <c r="J683" s="3"/>
      <c r="K683" s="3"/>
      <c r="L683" s="3"/>
      <c r="O683" s="3"/>
      <c r="P683" s="3"/>
      <c r="Q683" s="3"/>
      <c r="T683" s="3"/>
      <c r="U683" s="3"/>
      <c r="V683" s="3"/>
      <c r="Y683" s="3"/>
      <c r="Z683" s="3"/>
      <c r="AA683" s="3"/>
      <c r="AB683" s="3"/>
      <c r="AC683" s="3"/>
      <c r="AH683" s="3"/>
    </row>
    <row r="684" spans="5:34" s="1" customFormat="1">
      <c r="E684" s="3"/>
      <c r="F684" s="3"/>
      <c r="G684" s="3"/>
      <c r="J684" s="3"/>
      <c r="K684" s="3"/>
      <c r="L684" s="3"/>
      <c r="O684" s="3"/>
      <c r="P684" s="3"/>
      <c r="Q684" s="3"/>
      <c r="T684" s="3"/>
      <c r="U684" s="3"/>
      <c r="V684" s="3"/>
      <c r="Y684" s="3"/>
      <c r="Z684" s="3"/>
      <c r="AA684" s="3"/>
      <c r="AB684" s="3"/>
      <c r="AC684" s="3"/>
      <c r="AH684" s="3"/>
    </row>
    <row r="685" spans="5:34" s="1" customFormat="1">
      <c r="E685" s="3"/>
      <c r="F685" s="3"/>
      <c r="G685" s="3"/>
      <c r="J685" s="3"/>
      <c r="K685" s="3"/>
      <c r="L685" s="3"/>
      <c r="O685" s="3"/>
      <c r="P685" s="3"/>
      <c r="Q685" s="3"/>
      <c r="T685" s="3"/>
      <c r="U685" s="3"/>
      <c r="V685" s="3"/>
      <c r="Y685" s="3"/>
      <c r="Z685" s="3"/>
      <c r="AA685" s="3"/>
      <c r="AB685" s="3"/>
      <c r="AC685" s="3"/>
      <c r="AH685" s="3"/>
    </row>
    <row r="686" spans="5:34" s="1" customFormat="1">
      <c r="E686" s="3"/>
      <c r="F686" s="3"/>
      <c r="G686" s="3"/>
      <c r="J686" s="3"/>
      <c r="K686" s="3"/>
      <c r="L686" s="3"/>
      <c r="O686" s="3"/>
      <c r="P686" s="3"/>
      <c r="Q686" s="3"/>
      <c r="T686" s="3"/>
      <c r="U686" s="3"/>
      <c r="V686" s="3"/>
      <c r="Y686" s="3"/>
      <c r="Z686" s="3"/>
      <c r="AA686" s="3"/>
      <c r="AB686" s="3"/>
      <c r="AC686" s="3"/>
      <c r="AH686" s="3"/>
    </row>
    <row r="687" spans="5:34" s="1" customFormat="1">
      <c r="E687" s="3"/>
      <c r="F687" s="3"/>
      <c r="G687" s="3"/>
      <c r="J687" s="3"/>
      <c r="K687" s="3"/>
      <c r="L687" s="3"/>
      <c r="O687" s="3"/>
      <c r="P687" s="3"/>
      <c r="Q687" s="3"/>
      <c r="T687" s="3"/>
      <c r="U687" s="3"/>
      <c r="V687" s="3"/>
      <c r="Y687" s="3"/>
      <c r="Z687" s="3"/>
      <c r="AA687" s="3"/>
      <c r="AB687" s="3"/>
      <c r="AC687" s="3"/>
      <c r="AH687" s="3"/>
    </row>
    <row r="688" spans="5:34" s="1" customFormat="1">
      <c r="E688" s="3"/>
      <c r="F688" s="3"/>
      <c r="G688" s="3"/>
      <c r="J688" s="3"/>
      <c r="K688" s="3"/>
      <c r="L688" s="3"/>
      <c r="O688" s="3"/>
      <c r="P688" s="3"/>
      <c r="Q688" s="3"/>
      <c r="T688" s="3"/>
      <c r="U688" s="3"/>
      <c r="V688" s="3"/>
      <c r="Y688" s="3"/>
      <c r="Z688" s="3"/>
      <c r="AA688" s="3"/>
      <c r="AB688" s="3"/>
      <c r="AC688" s="3"/>
      <c r="AH688" s="3"/>
    </row>
    <row r="689" spans="5:34" s="1" customFormat="1">
      <c r="E689" s="3"/>
      <c r="F689" s="3"/>
      <c r="G689" s="3"/>
      <c r="J689" s="3"/>
      <c r="K689" s="3"/>
      <c r="L689" s="3"/>
      <c r="O689" s="3"/>
      <c r="P689" s="3"/>
      <c r="Q689" s="3"/>
      <c r="T689" s="3"/>
      <c r="U689" s="3"/>
      <c r="V689" s="3"/>
      <c r="Y689" s="3"/>
      <c r="Z689" s="3"/>
      <c r="AA689" s="3"/>
      <c r="AB689" s="3"/>
      <c r="AC689" s="3"/>
      <c r="AH689" s="3"/>
    </row>
    <row r="690" spans="5:34" s="1" customFormat="1">
      <c r="E690" s="3"/>
      <c r="F690" s="3"/>
      <c r="G690" s="3"/>
      <c r="J690" s="3"/>
      <c r="K690" s="3"/>
      <c r="L690" s="3"/>
      <c r="O690" s="3"/>
      <c r="P690" s="3"/>
      <c r="Q690" s="3"/>
      <c r="T690" s="3"/>
      <c r="U690" s="3"/>
      <c r="V690" s="3"/>
      <c r="Y690" s="3"/>
      <c r="Z690" s="3"/>
      <c r="AA690" s="3"/>
      <c r="AB690" s="3"/>
      <c r="AC690" s="3"/>
      <c r="AH690" s="3"/>
    </row>
    <row r="691" spans="5:34" s="1" customFormat="1">
      <c r="E691" s="3"/>
      <c r="F691" s="3"/>
      <c r="G691" s="3"/>
      <c r="J691" s="3"/>
      <c r="K691" s="3"/>
      <c r="L691" s="3"/>
      <c r="O691" s="3"/>
      <c r="P691" s="3"/>
      <c r="Q691" s="3"/>
      <c r="T691" s="3"/>
      <c r="U691" s="3"/>
      <c r="V691" s="3"/>
      <c r="Y691" s="3"/>
      <c r="Z691" s="3"/>
      <c r="AA691" s="3"/>
      <c r="AB691" s="3"/>
      <c r="AC691" s="3"/>
      <c r="AH691" s="3"/>
    </row>
    <row r="692" spans="5:34" s="1" customFormat="1">
      <c r="E692" s="3"/>
      <c r="F692" s="3"/>
      <c r="G692" s="3"/>
      <c r="J692" s="3"/>
      <c r="K692" s="3"/>
      <c r="L692" s="3"/>
      <c r="O692" s="3"/>
      <c r="P692" s="3"/>
      <c r="Q692" s="3"/>
      <c r="T692" s="3"/>
      <c r="U692" s="3"/>
      <c r="V692" s="3"/>
      <c r="Y692" s="3"/>
      <c r="Z692" s="3"/>
      <c r="AA692" s="3"/>
      <c r="AB692" s="3"/>
      <c r="AC692" s="3"/>
      <c r="AH692" s="3"/>
    </row>
    <row r="693" spans="5:34" s="1" customFormat="1">
      <c r="E693" s="3"/>
      <c r="F693" s="3"/>
      <c r="G693" s="3"/>
      <c r="J693" s="3"/>
      <c r="K693" s="3"/>
      <c r="L693" s="3"/>
      <c r="O693" s="3"/>
      <c r="P693" s="3"/>
      <c r="Q693" s="3"/>
      <c r="T693" s="3"/>
      <c r="U693" s="3"/>
      <c r="V693" s="3"/>
      <c r="Y693" s="3"/>
      <c r="Z693" s="3"/>
      <c r="AA693" s="3"/>
      <c r="AB693" s="3"/>
      <c r="AC693" s="3"/>
      <c r="AH693" s="3"/>
    </row>
    <row r="694" spans="5:34" s="1" customFormat="1">
      <c r="E694" s="3"/>
      <c r="F694" s="3"/>
      <c r="G694" s="3"/>
      <c r="J694" s="3"/>
      <c r="K694" s="3"/>
      <c r="L694" s="3"/>
      <c r="O694" s="3"/>
      <c r="P694" s="3"/>
      <c r="Q694" s="3"/>
      <c r="T694" s="3"/>
      <c r="U694" s="3"/>
      <c r="V694" s="3"/>
      <c r="Y694" s="3"/>
      <c r="Z694" s="3"/>
      <c r="AA694" s="3"/>
      <c r="AB694" s="3"/>
      <c r="AC694" s="3"/>
      <c r="AH694" s="3"/>
    </row>
    <row r="695" spans="5:34" s="1" customFormat="1">
      <c r="E695" s="3"/>
      <c r="F695" s="3"/>
      <c r="G695" s="3"/>
      <c r="J695" s="3"/>
      <c r="K695" s="3"/>
      <c r="L695" s="3"/>
      <c r="O695" s="3"/>
      <c r="P695" s="3"/>
      <c r="Q695" s="3"/>
      <c r="T695" s="3"/>
      <c r="U695" s="3"/>
      <c r="V695" s="3"/>
      <c r="Y695" s="3"/>
      <c r="Z695" s="3"/>
      <c r="AA695" s="3"/>
      <c r="AB695" s="3"/>
      <c r="AC695" s="3"/>
      <c r="AH695" s="3"/>
    </row>
    <row r="696" spans="5:34" s="1" customFormat="1">
      <c r="E696" s="3"/>
      <c r="F696" s="3"/>
      <c r="G696" s="3"/>
      <c r="J696" s="3"/>
      <c r="K696" s="3"/>
      <c r="L696" s="3"/>
      <c r="O696" s="3"/>
      <c r="P696" s="3"/>
      <c r="Q696" s="3"/>
      <c r="T696" s="3"/>
      <c r="U696" s="3"/>
      <c r="V696" s="3"/>
      <c r="Y696" s="3"/>
      <c r="Z696" s="3"/>
      <c r="AA696" s="3"/>
      <c r="AB696" s="3"/>
      <c r="AC696" s="3"/>
      <c r="AH696" s="3"/>
    </row>
    <row r="697" spans="5:34" s="1" customFormat="1">
      <c r="E697" s="3"/>
      <c r="F697" s="3"/>
      <c r="G697" s="3"/>
      <c r="J697" s="3"/>
      <c r="K697" s="3"/>
      <c r="L697" s="3"/>
      <c r="O697" s="3"/>
      <c r="P697" s="3"/>
      <c r="Q697" s="3"/>
      <c r="T697" s="3"/>
      <c r="U697" s="3"/>
      <c r="V697" s="3"/>
      <c r="Y697" s="3"/>
      <c r="Z697" s="3"/>
      <c r="AA697" s="3"/>
      <c r="AB697" s="3"/>
      <c r="AC697" s="3"/>
      <c r="AH697" s="3"/>
    </row>
    <row r="698" spans="5:34" s="1" customFormat="1">
      <c r="E698" s="3"/>
      <c r="F698" s="3"/>
      <c r="G698" s="3"/>
      <c r="J698" s="3"/>
      <c r="K698" s="3"/>
      <c r="L698" s="3"/>
      <c r="O698" s="3"/>
      <c r="P698" s="3"/>
      <c r="Q698" s="3"/>
      <c r="T698" s="3"/>
      <c r="U698" s="3"/>
      <c r="V698" s="3"/>
      <c r="Y698" s="3"/>
      <c r="Z698" s="3"/>
      <c r="AA698" s="3"/>
      <c r="AB698" s="3"/>
      <c r="AC698" s="3"/>
      <c r="AH698" s="3"/>
    </row>
    <row r="699" spans="5:34" s="1" customFormat="1">
      <c r="E699" s="3"/>
      <c r="F699" s="3"/>
      <c r="G699" s="3"/>
      <c r="J699" s="3"/>
      <c r="K699" s="3"/>
      <c r="L699" s="3"/>
      <c r="O699" s="3"/>
      <c r="P699" s="3"/>
      <c r="Q699" s="3"/>
      <c r="T699" s="3"/>
      <c r="U699" s="3"/>
      <c r="V699" s="3"/>
      <c r="Y699" s="3"/>
      <c r="Z699" s="3"/>
      <c r="AA699" s="3"/>
      <c r="AB699" s="3"/>
      <c r="AC699" s="3"/>
      <c r="AH699" s="3"/>
    </row>
    <row r="700" spans="5:34" s="1" customFormat="1">
      <c r="E700" s="3"/>
      <c r="F700" s="3"/>
      <c r="G700" s="3"/>
      <c r="J700" s="3"/>
      <c r="K700" s="3"/>
      <c r="L700" s="3"/>
      <c r="O700" s="3"/>
      <c r="P700" s="3"/>
      <c r="Q700" s="3"/>
      <c r="T700" s="3"/>
      <c r="U700" s="3"/>
      <c r="V700" s="3"/>
      <c r="Y700" s="3"/>
      <c r="Z700" s="3"/>
      <c r="AA700" s="3"/>
      <c r="AB700" s="3"/>
      <c r="AC700" s="3"/>
      <c r="AH700" s="3"/>
    </row>
    <row r="701" spans="5:34" s="1" customFormat="1">
      <c r="E701" s="3"/>
      <c r="F701" s="3"/>
      <c r="G701" s="3"/>
      <c r="J701" s="3"/>
      <c r="K701" s="3"/>
      <c r="L701" s="3"/>
      <c r="O701" s="3"/>
      <c r="P701" s="3"/>
      <c r="Q701" s="3"/>
      <c r="T701" s="3"/>
      <c r="U701" s="3"/>
      <c r="V701" s="3"/>
      <c r="Y701" s="3"/>
      <c r="Z701" s="3"/>
      <c r="AA701" s="3"/>
      <c r="AB701" s="3"/>
      <c r="AC701" s="3"/>
      <c r="AH701" s="3"/>
    </row>
    <row r="702" spans="5:34" s="1" customFormat="1">
      <c r="E702" s="3"/>
      <c r="F702" s="3"/>
      <c r="G702" s="3"/>
      <c r="J702" s="3"/>
      <c r="K702" s="3"/>
      <c r="L702" s="3"/>
      <c r="O702" s="3"/>
      <c r="P702" s="3"/>
      <c r="Q702" s="3"/>
      <c r="T702" s="3"/>
      <c r="U702" s="3"/>
      <c r="V702" s="3"/>
      <c r="Y702" s="3"/>
      <c r="Z702" s="3"/>
      <c r="AA702" s="3"/>
      <c r="AB702" s="3"/>
      <c r="AC702" s="3"/>
      <c r="AH702" s="3"/>
    </row>
    <row r="703" spans="5:34" s="1" customFormat="1">
      <c r="E703" s="3"/>
      <c r="F703" s="3"/>
      <c r="G703" s="3"/>
      <c r="J703" s="3"/>
      <c r="K703" s="3"/>
      <c r="L703" s="3"/>
      <c r="O703" s="3"/>
      <c r="P703" s="3"/>
      <c r="Q703" s="3"/>
      <c r="T703" s="3"/>
      <c r="U703" s="3"/>
      <c r="V703" s="3"/>
      <c r="Y703" s="3"/>
      <c r="Z703" s="3"/>
      <c r="AA703" s="3"/>
      <c r="AB703" s="3"/>
      <c r="AC703" s="3"/>
      <c r="AH703" s="3"/>
    </row>
    <row r="704" spans="5:34" s="1" customFormat="1">
      <c r="E704" s="3"/>
      <c r="F704" s="3"/>
      <c r="G704" s="3"/>
      <c r="J704" s="3"/>
      <c r="K704" s="3"/>
      <c r="L704" s="3"/>
      <c r="O704" s="3"/>
      <c r="P704" s="3"/>
      <c r="Q704" s="3"/>
      <c r="T704" s="3"/>
      <c r="U704" s="3"/>
      <c r="V704" s="3"/>
      <c r="Y704" s="3"/>
      <c r="Z704" s="3"/>
      <c r="AA704" s="3"/>
      <c r="AB704" s="3"/>
      <c r="AC704" s="3"/>
      <c r="AH704" s="3"/>
    </row>
    <row r="705" spans="5:34" s="1" customFormat="1">
      <c r="E705" s="3"/>
      <c r="F705" s="3"/>
      <c r="G705" s="3"/>
      <c r="J705" s="3"/>
      <c r="K705" s="3"/>
      <c r="L705" s="3"/>
      <c r="O705" s="3"/>
      <c r="P705" s="3"/>
      <c r="Q705" s="3"/>
      <c r="T705" s="3"/>
      <c r="U705" s="3"/>
      <c r="V705" s="3"/>
      <c r="Y705" s="3"/>
      <c r="Z705" s="3"/>
      <c r="AA705" s="3"/>
      <c r="AB705" s="3"/>
      <c r="AC705" s="3"/>
      <c r="AH705" s="3"/>
    </row>
    <row r="706" spans="5:34" s="1" customFormat="1">
      <c r="E706" s="3"/>
      <c r="F706" s="3"/>
      <c r="G706" s="3"/>
      <c r="J706" s="3"/>
      <c r="K706" s="3"/>
      <c r="L706" s="3"/>
      <c r="O706" s="3"/>
      <c r="P706" s="3"/>
      <c r="Q706" s="3"/>
      <c r="T706" s="3"/>
      <c r="U706" s="3"/>
      <c r="V706" s="3"/>
      <c r="Y706" s="3"/>
      <c r="Z706" s="3"/>
      <c r="AA706" s="3"/>
      <c r="AB706" s="3"/>
      <c r="AC706" s="3"/>
      <c r="AH706" s="3"/>
    </row>
    <row r="707" spans="5:34" s="1" customFormat="1">
      <c r="E707" s="3"/>
      <c r="F707" s="3"/>
      <c r="G707" s="3"/>
      <c r="J707" s="3"/>
      <c r="K707" s="3"/>
      <c r="L707" s="3"/>
      <c r="O707" s="3"/>
      <c r="P707" s="3"/>
      <c r="Q707" s="3"/>
      <c r="T707" s="3"/>
      <c r="U707" s="3"/>
      <c r="V707" s="3"/>
      <c r="Y707" s="3"/>
      <c r="Z707" s="3"/>
      <c r="AA707" s="3"/>
      <c r="AB707" s="3"/>
      <c r="AC707" s="3"/>
      <c r="AH707" s="3"/>
    </row>
    <row r="708" spans="5:34" s="1" customFormat="1">
      <c r="E708" s="3"/>
      <c r="F708" s="3"/>
      <c r="G708" s="3"/>
      <c r="J708" s="3"/>
      <c r="K708" s="3"/>
      <c r="L708" s="3"/>
      <c r="O708" s="3"/>
      <c r="P708" s="3"/>
      <c r="Q708" s="3"/>
      <c r="T708" s="3"/>
      <c r="U708" s="3"/>
      <c r="V708" s="3"/>
      <c r="Y708" s="3"/>
      <c r="Z708" s="3"/>
      <c r="AA708" s="3"/>
      <c r="AB708" s="3"/>
      <c r="AC708" s="3"/>
      <c r="AH708" s="3"/>
    </row>
    <row r="709" spans="5:34" s="1" customFormat="1">
      <c r="E709" s="3"/>
      <c r="F709" s="3"/>
      <c r="G709" s="3"/>
      <c r="J709" s="3"/>
      <c r="K709" s="3"/>
      <c r="L709" s="3"/>
      <c r="O709" s="3"/>
      <c r="P709" s="3"/>
      <c r="Q709" s="3"/>
      <c r="T709" s="3"/>
      <c r="U709" s="3"/>
      <c r="V709" s="3"/>
      <c r="Y709" s="3"/>
      <c r="Z709" s="3"/>
      <c r="AA709" s="3"/>
      <c r="AB709" s="3"/>
      <c r="AC709" s="3"/>
      <c r="AH709" s="3"/>
    </row>
    <row r="710" spans="5:34" s="1" customFormat="1">
      <c r="E710" s="3"/>
      <c r="F710" s="3"/>
      <c r="G710" s="3"/>
      <c r="J710" s="3"/>
      <c r="K710" s="3"/>
      <c r="L710" s="3"/>
      <c r="O710" s="3"/>
      <c r="P710" s="3"/>
      <c r="Q710" s="3"/>
      <c r="T710" s="3"/>
      <c r="U710" s="3"/>
      <c r="V710" s="3"/>
      <c r="Y710" s="3"/>
      <c r="Z710" s="3"/>
      <c r="AA710" s="3"/>
      <c r="AB710" s="3"/>
      <c r="AC710" s="3"/>
      <c r="AH710" s="3"/>
    </row>
    <row r="711" spans="5:34" s="1" customFormat="1">
      <c r="E711" s="3"/>
      <c r="F711" s="3"/>
      <c r="G711" s="3"/>
      <c r="J711" s="3"/>
      <c r="K711" s="3"/>
      <c r="L711" s="3"/>
      <c r="O711" s="3"/>
      <c r="P711" s="3"/>
      <c r="Q711" s="3"/>
      <c r="T711" s="3"/>
      <c r="U711" s="3"/>
      <c r="V711" s="3"/>
      <c r="Y711" s="3"/>
      <c r="Z711" s="3"/>
      <c r="AA711" s="3"/>
      <c r="AB711" s="3"/>
      <c r="AC711" s="3"/>
      <c r="AH711" s="3"/>
    </row>
    <row r="712" spans="5:34" s="1" customFormat="1">
      <c r="E712" s="3"/>
      <c r="F712" s="3"/>
      <c r="G712" s="3"/>
      <c r="J712" s="3"/>
      <c r="K712" s="3"/>
      <c r="L712" s="3"/>
      <c r="O712" s="3"/>
      <c r="P712" s="3"/>
      <c r="Q712" s="3"/>
      <c r="T712" s="3"/>
      <c r="U712" s="3"/>
      <c r="V712" s="3"/>
      <c r="Y712" s="3"/>
      <c r="Z712" s="3"/>
      <c r="AA712" s="3"/>
      <c r="AB712" s="3"/>
      <c r="AC712" s="3"/>
      <c r="AH712" s="3"/>
    </row>
    <row r="713" spans="5:34" s="1" customFormat="1">
      <c r="E713" s="3"/>
      <c r="F713" s="3"/>
      <c r="G713" s="3"/>
      <c r="J713" s="3"/>
      <c r="K713" s="3"/>
      <c r="L713" s="3"/>
      <c r="O713" s="3"/>
      <c r="P713" s="3"/>
      <c r="Q713" s="3"/>
      <c r="T713" s="3"/>
      <c r="U713" s="3"/>
      <c r="V713" s="3"/>
      <c r="Y713" s="3"/>
      <c r="Z713" s="3"/>
      <c r="AA713" s="3"/>
      <c r="AB713" s="3"/>
      <c r="AC713" s="3"/>
      <c r="AH713" s="3"/>
    </row>
    <row r="714" spans="5:34" s="1" customFormat="1">
      <c r="E714" s="3"/>
      <c r="F714" s="3"/>
      <c r="G714" s="3"/>
      <c r="J714" s="3"/>
      <c r="K714" s="3"/>
      <c r="L714" s="3"/>
      <c r="O714" s="3"/>
      <c r="P714" s="3"/>
      <c r="Q714" s="3"/>
      <c r="T714" s="3"/>
      <c r="U714" s="3"/>
      <c r="V714" s="3"/>
      <c r="Y714" s="3"/>
      <c r="Z714" s="3"/>
      <c r="AA714" s="3"/>
      <c r="AB714" s="3"/>
      <c r="AC714" s="3"/>
      <c r="AH714" s="3"/>
    </row>
    <row r="715" spans="5:34" s="1" customFormat="1">
      <c r="E715" s="3"/>
      <c r="F715" s="3"/>
      <c r="G715" s="3"/>
      <c r="J715" s="3"/>
      <c r="K715" s="3"/>
      <c r="L715" s="3"/>
      <c r="O715" s="3"/>
      <c r="P715" s="3"/>
      <c r="Q715" s="3"/>
      <c r="T715" s="3"/>
      <c r="U715" s="3"/>
      <c r="V715" s="3"/>
      <c r="Y715" s="3"/>
      <c r="Z715" s="3"/>
      <c r="AA715" s="3"/>
      <c r="AB715" s="3"/>
      <c r="AC715" s="3"/>
      <c r="AH715" s="3"/>
    </row>
    <row r="716" spans="5:34" s="1" customFormat="1">
      <c r="E716" s="3"/>
      <c r="F716" s="3"/>
      <c r="G716" s="3"/>
      <c r="J716" s="3"/>
      <c r="K716" s="3"/>
      <c r="L716" s="3"/>
      <c r="O716" s="3"/>
      <c r="P716" s="3"/>
      <c r="Q716" s="3"/>
      <c r="T716" s="3"/>
      <c r="U716" s="3"/>
      <c r="V716" s="3"/>
      <c r="Y716" s="3"/>
      <c r="Z716" s="3"/>
      <c r="AA716" s="3"/>
      <c r="AB716" s="3"/>
      <c r="AC716" s="3"/>
      <c r="AH716" s="3"/>
    </row>
    <row r="717" spans="5:34" s="1" customFormat="1">
      <c r="E717" s="3"/>
      <c r="F717" s="3"/>
      <c r="G717" s="3"/>
      <c r="J717" s="3"/>
      <c r="K717" s="3"/>
      <c r="L717" s="3"/>
      <c r="O717" s="3"/>
      <c r="P717" s="3"/>
      <c r="Q717" s="3"/>
      <c r="T717" s="3"/>
      <c r="U717" s="3"/>
      <c r="V717" s="3"/>
      <c r="Y717" s="3"/>
      <c r="Z717" s="3"/>
      <c r="AA717" s="3"/>
      <c r="AB717" s="3"/>
      <c r="AC717" s="3"/>
      <c r="AH717" s="3"/>
    </row>
    <row r="718" spans="5:34" s="1" customFormat="1">
      <c r="E718" s="3"/>
      <c r="F718" s="3"/>
      <c r="G718" s="3"/>
      <c r="J718" s="3"/>
      <c r="K718" s="3"/>
      <c r="L718" s="3"/>
      <c r="O718" s="3"/>
      <c r="P718" s="3"/>
      <c r="Q718" s="3"/>
      <c r="T718" s="3"/>
      <c r="U718" s="3"/>
      <c r="V718" s="3"/>
      <c r="Y718" s="3"/>
      <c r="Z718" s="3"/>
      <c r="AA718" s="3"/>
      <c r="AB718" s="3"/>
      <c r="AC718" s="3"/>
      <c r="AH718" s="3"/>
    </row>
    <row r="719" spans="5:34" s="1" customFormat="1">
      <c r="E719" s="3"/>
      <c r="F719" s="3"/>
      <c r="G719" s="3"/>
      <c r="J719" s="3"/>
      <c r="K719" s="3"/>
      <c r="L719" s="3"/>
      <c r="O719" s="3"/>
      <c r="P719" s="3"/>
      <c r="Q719" s="3"/>
      <c r="T719" s="3"/>
      <c r="U719" s="3"/>
      <c r="V719" s="3"/>
      <c r="Y719" s="3"/>
      <c r="Z719" s="3"/>
      <c r="AA719" s="3"/>
      <c r="AB719" s="3"/>
      <c r="AC719" s="3"/>
      <c r="AH719" s="3"/>
    </row>
    <row r="720" spans="5:34" s="1" customFormat="1">
      <c r="E720" s="3"/>
      <c r="F720" s="3"/>
      <c r="G720" s="3"/>
      <c r="J720" s="3"/>
      <c r="K720" s="3"/>
      <c r="L720" s="3"/>
      <c r="O720" s="3"/>
      <c r="P720" s="3"/>
      <c r="Q720" s="3"/>
      <c r="T720" s="3"/>
      <c r="U720" s="3"/>
      <c r="V720" s="3"/>
      <c r="Y720" s="3"/>
      <c r="Z720" s="3"/>
      <c r="AA720" s="3"/>
      <c r="AB720" s="3"/>
      <c r="AC720" s="3"/>
      <c r="AH720" s="3"/>
    </row>
    <row r="721" spans="5:34" s="1" customFormat="1">
      <c r="E721" s="3"/>
      <c r="F721" s="3"/>
      <c r="G721" s="3"/>
      <c r="J721" s="3"/>
      <c r="K721" s="3"/>
      <c r="L721" s="3"/>
      <c r="O721" s="3"/>
      <c r="P721" s="3"/>
      <c r="Q721" s="3"/>
      <c r="T721" s="3"/>
      <c r="U721" s="3"/>
      <c r="V721" s="3"/>
      <c r="Y721" s="3"/>
      <c r="Z721" s="3"/>
      <c r="AA721" s="3"/>
      <c r="AB721" s="3"/>
      <c r="AC721" s="3"/>
      <c r="AH721" s="3"/>
    </row>
    <row r="722" spans="5:34" s="1" customFormat="1">
      <c r="E722" s="3"/>
      <c r="F722" s="3"/>
      <c r="G722" s="3"/>
      <c r="J722" s="3"/>
      <c r="K722" s="3"/>
      <c r="L722" s="3"/>
      <c r="O722" s="3"/>
      <c r="P722" s="3"/>
      <c r="Q722" s="3"/>
      <c r="T722" s="3"/>
      <c r="U722" s="3"/>
      <c r="V722" s="3"/>
      <c r="Y722" s="3"/>
      <c r="Z722" s="3"/>
      <c r="AA722" s="3"/>
      <c r="AB722" s="3"/>
      <c r="AC722" s="3"/>
      <c r="AH722" s="3"/>
    </row>
    <row r="723" spans="5:34" s="1" customFormat="1">
      <c r="E723" s="3"/>
      <c r="F723" s="3"/>
      <c r="G723" s="3"/>
      <c r="J723" s="3"/>
      <c r="K723" s="3"/>
      <c r="L723" s="3"/>
      <c r="O723" s="3"/>
      <c r="P723" s="3"/>
      <c r="Q723" s="3"/>
      <c r="T723" s="3"/>
      <c r="U723" s="3"/>
      <c r="V723" s="3"/>
      <c r="Y723" s="3"/>
      <c r="Z723" s="3"/>
      <c r="AA723" s="3"/>
      <c r="AB723" s="3"/>
      <c r="AC723" s="3"/>
      <c r="AH723" s="3"/>
    </row>
    <row r="724" spans="5:34" s="1" customFormat="1">
      <c r="E724" s="3"/>
      <c r="F724" s="3"/>
      <c r="G724" s="3"/>
      <c r="J724" s="3"/>
      <c r="K724" s="3"/>
      <c r="L724" s="3"/>
      <c r="O724" s="3"/>
      <c r="P724" s="3"/>
      <c r="Q724" s="3"/>
      <c r="T724" s="3"/>
      <c r="U724" s="3"/>
      <c r="V724" s="3"/>
      <c r="Y724" s="3"/>
      <c r="Z724" s="3"/>
      <c r="AA724" s="3"/>
      <c r="AB724" s="3"/>
      <c r="AC724" s="3"/>
      <c r="AH724" s="3"/>
    </row>
    <row r="725" spans="5:34" s="1" customFormat="1">
      <c r="E725" s="3"/>
      <c r="F725" s="3"/>
      <c r="G725" s="3"/>
      <c r="J725" s="3"/>
      <c r="K725" s="3"/>
      <c r="L725" s="3"/>
      <c r="O725" s="3"/>
      <c r="P725" s="3"/>
      <c r="Q725" s="3"/>
      <c r="T725" s="3"/>
      <c r="U725" s="3"/>
      <c r="V725" s="3"/>
      <c r="Y725" s="3"/>
      <c r="Z725" s="3"/>
      <c r="AA725" s="3"/>
      <c r="AB725" s="3"/>
      <c r="AC725" s="3"/>
      <c r="AH725" s="3"/>
    </row>
    <row r="726" spans="5:34" s="1" customFormat="1">
      <c r="E726" s="3"/>
      <c r="F726" s="3"/>
      <c r="G726" s="3"/>
      <c r="J726" s="3"/>
      <c r="K726" s="3"/>
      <c r="L726" s="3"/>
      <c r="O726" s="3"/>
      <c r="P726" s="3"/>
      <c r="Q726" s="3"/>
      <c r="T726" s="3"/>
      <c r="U726" s="3"/>
      <c r="V726" s="3"/>
      <c r="Y726" s="3"/>
      <c r="Z726" s="3"/>
      <c r="AA726" s="3"/>
      <c r="AB726" s="3"/>
      <c r="AC726" s="3"/>
      <c r="AH726" s="3"/>
    </row>
    <row r="727" spans="5:34" s="1" customFormat="1">
      <c r="E727" s="3"/>
      <c r="F727" s="3"/>
      <c r="G727" s="3"/>
      <c r="J727" s="3"/>
      <c r="K727" s="3"/>
      <c r="L727" s="3"/>
      <c r="O727" s="3"/>
      <c r="P727" s="3"/>
      <c r="Q727" s="3"/>
      <c r="T727" s="3"/>
      <c r="U727" s="3"/>
      <c r="V727" s="3"/>
      <c r="Y727" s="3"/>
      <c r="Z727" s="3"/>
      <c r="AA727" s="3"/>
      <c r="AB727" s="3"/>
      <c r="AC727" s="3"/>
      <c r="AH727" s="3"/>
    </row>
    <row r="728" spans="5:34" s="1" customFormat="1">
      <c r="E728" s="3"/>
      <c r="F728" s="3"/>
      <c r="G728" s="3"/>
      <c r="J728" s="3"/>
      <c r="K728" s="3"/>
      <c r="L728" s="3"/>
      <c r="O728" s="3"/>
      <c r="P728" s="3"/>
      <c r="Q728" s="3"/>
      <c r="T728" s="3"/>
      <c r="U728" s="3"/>
      <c r="V728" s="3"/>
      <c r="Y728" s="3"/>
      <c r="Z728" s="3"/>
      <c r="AA728" s="3"/>
      <c r="AB728" s="3"/>
      <c r="AC728" s="3"/>
      <c r="AH728" s="3"/>
    </row>
    <row r="729" spans="5:34" s="1" customFormat="1">
      <c r="E729" s="3"/>
      <c r="F729" s="3"/>
      <c r="G729" s="3"/>
      <c r="J729" s="3"/>
      <c r="K729" s="3"/>
      <c r="L729" s="3"/>
      <c r="O729" s="3"/>
      <c r="P729" s="3"/>
      <c r="Q729" s="3"/>
      <c r="T729" s="3"/>
      <c r="U729" s="3"/>
      <c r="V729" s="3"/>
      <c r="Y729" s="3"/>
      <c r="Z729" s="3"/>
      <c r="AA729" s="3"/>
      <c r="AB729" s="3"/>
      <c r="AC729" s="3"/>
      <c r="AH729" s="3"/>
    </row>
    <row r="730" spans="5:34" s="1" customFormat="1">
      <c r="E730" s="3"/>
      <c r="F730" s="3"/>
      <c r="G730" s="3"/>
      <c r="J730" s="3"/>
      <c r="K730" s="3"/>
      <c r="L730" s="3"/>
      <c r="O730" s="3"/>
      <c r="P730" s="3"/>
      <c r="Q730" s="3"/>
      <c r="T730" s="3"/>
      <c r="U730" s="3"/>
      <c r="V730" s="3"/>
      <c r="Y730" s="3"/>
      <c r="Z730" s="3"/>
      <c r="AA730" s="3"/>
      <c r="AB730" s="3"/>
      <c r="AC730" s="3"/>
      <c r="AH730" s="3"/>
    </row>
    <row r="731" spans="5:34" s="1" customFormat="1">
      <c r="E731" s="3"/>
      <c r="F731" s="3"/>
      <c r="G731" s="3"/>
      <c r="J731" s="3"/>
      <c r="K731" s="3"/>
      <c r="L731" s="3"/>
      <c r="O731" s="3"/>
      <c r="P731" s="3"/>
      <c r="Q731" s="3"/>
      <c r="T731" s="3"/>
      <c r="U731" s="3"/>
      <c r="V731" s="3"/>
      <c r="Y731" s="3"/>
      <c r="Z731" s="3"/>
      <c r="AA731" s="3"/>
      <c r="AB731" s="3"/>
      <c r="AC731" s="3"/>
      <c r="AH731" s="3"/>
    </row>
    <row r="732" spans="5:34" s="1" customFormat="1">
      <c r="E732" s="3"/>
      <c r="F732" s="3"/>
      <c r="G732" s="3"/>
      <c r="J732" s="3"/>
      <c r="K732" s="3"/>
      <c r="L732" s="3"/>
      <c r="O732" s="3"/>
      <c r="P732" s="3"/>
      <c r="Q732" s="3"/>
      <c r="T732" s="3"/>
      <c r="U732" s="3"/>
      <c r="V732" s="3"/>
      <c r="Y732" s="3"/>
      <c r="Z732" s="3"/>
      <c r="AA732" s="3"/>
      <c r="AB732" s="3"/>
      <c r="AC732" s="3"/>
      <c r="AH732" s="3"/>
    </row>
    <row r="733" spans="5:34" s="1" customFormat="1">
      <c r="E733" s="3"/>
      <c r="F733" s="3"/>
      <c r="G733" s="3"/>
      <c r="J733" s="3"/>
      <c r="K733" s="3"/>
      <c r="L733" s="3"/>
      <c r="O733" s="3"/>
      <c r="P733" s="3"/>
      <c r="Q733" s="3"/>
      <c r="T733" s="3"/>
      <c r="U733" s="3"/>
      <c r="V733" s="3"/>
      <c r="Y733" s="3"/>
      <c r="Z733" s="3"/>
      <c r="AA733" s="3"/>
      <c r="AB733" s="3"/>
      <c r="AC733" s="3"/>
      <c r="AH733" s="3"/>
    </row>
    <row r="734" spans="5:34" s="1" customFormat="1">
      <c r="E734" s="3"/>
      <c r="F734" s="3"/>
      <c r="G734" s="3"/>
      <c r="J734" s="3"/>
      <c r="K734" s="3"/>
      <c r="L734" s="3"/>
      <c r="O734" s="3"/>
      <c r="P734" s="3"/>
      <c r="Q734" s="3"/>
      <c r="T734" s="3"/>
      <c r="U734" s="3"/>
      <c r="V734" s="3"/>
      <c r="Y734" s="3"/>
      <c r="Z734" s="3"/>
      <c r="AA734" s="3"/>
      <c r="AB734" s="3"/>
      <c r="AC734" s="3"/>
      <c r="AH734" s="3"/>
    </row>
    <row r="735" spans="5:34" s="1" customFormat="1">
      <c r="E735" s="3"/>
      <c r="F735" s="3"/>
      <c r="G735" s="3"/>
      <c r="J735" s="3"/>
      <c r="K735" s="3"/>
      <c r="L735" s="3"/>
      <c r="O735" s="3"/>
      <c r="P735" s="3"/>
      <c r="Q735" s="3"/>
      <c r="T735" s="3"/>
      <c r="U735" s="3"/>
      <c r="V735" s="3"/>
      <c r="Y735" s="3"/>
      <c r="Z735" s="3"/>
      <c r="AA735" s="3"/>
      <c r="AB735" s="3"/>
      <c r="AC735" s="3"/>
      <c r="AH735" s="3"/>
    </row>
    <row r="736" spans="5:34" s="1" customFormat="1">
      <c r="E736" s="3"/>
      <c r="F736" s="3"/>
      <c r="G736" s="3"/>
      <c r="J736" s="3"/>
      <c r="K736" s="3"/>
      <c r="L736" s="3"/>
      <c r="O736" s="3"/>
      <c r="P736" s="3"/>
      <c r="Q736" s="3"/>
      <c r="T736" s="3"/>
      <c r="U736" s="3"/>
      <c r="V736" s="3"/>
      <c r="Y736" s="3"/>
      <c r="Z736" s="3"/>
      <c r="AA736" s="3"/>
      <c r="AB736" s="3"/>
      <c r="AC736" s="3"/>
      <c r="AH736" s="3"/>
    </row>
    <row r="737" spans="5:34" s="1" customFormat="1">
      <c r="E737" s="3"/>
      <c r="F737" s="3"/>
      <c r="G737" s="3"/>
      <c r="J737" s="3"/>
      <c r="K737" s="3"/>
      <c r="L737" s="3"/>
      <c r="O737" s="3"/>
      <c r="P737" s="3"/>
      <c r="Q737" s="3"/>
      <c r="T737" s="3"/>
      <c r="U737" s="3"/>
      <c r="V737" s="3"/>
      <c r="Y737" s="3"/>
      <c r="Z737" s="3"/>
      <c r="AA737" s="3"/>
      <c r="AB737" s="3"/>
      <c r="AC737" s="3"/>
      <c r="AH737" s="3"/>
    </row>
    <row r="738" spans="5:34" s="1" customFormat="1">
      <c r="E738" s="3"/>
      <c r="F738" s="3"/>
      <c r="G738" s="3"/>
      <c r="J738" s="3"/>
      <c r="K738" s="3"/>
      <c r="L738" s="3"/>
      <c r="O738" s="3"/>
      <c r="P738" s="3"/>
      <c r="Q738" s="3"/>
      <c r="T738" s="3"/>
      <c r="U738" s="3"/>
      <c r="V738" s="3"/>
      <c r="Y738" s="3"/>
      <c r="Z738" s="3"/>
      <c r="AA738" s="3"/>
      <c r="AB738" s="3"/>
      <c r="AC738" s="3"/>
      <c r="AH738" s="3"/>
    </row>
    <row r="739" spans="5:34" s="1" customFormat="1">
      <c r="E739" s="3"/>
      <c r="F739" s="3"/>
      <c r="G739" s="3"/>
      <c r="J739" s="3"/>
      <c r="K739" s="3"/>
      <c r="L739" s="3"/>
      <c r="O739" s="3"/>
      <c r="P739" s="3"/>
      <c r="Q739" s="3"/>
      <c r="T739" s="3"/>
      <c r="U739" s="3"/>
      <c r="V739" s="3"/>
      <c r="Y739" s="3"/>
      <c r="Z739" s="3"/>
      <c r="AA739" s="3"/>
      <c r="AB739" s="3"/>
      <c r="AC739" s="3"/>
      <c r="AH739" s="3"/>
    </row>
    <row r="740" spans="5:34" s="1" customFormat="1">
      <c r="E740" s="3"/>
      <c r="F740" s="3"/>
      <c r="G740" s="3"/>
      <c r="J740" s="3"/>
      <c r="K740" s="3"/>
      <c r="L740" s="3"/>
      <c r="O740" s="3"/>
      <c r="P740" s="3"/>
      <c r="Q740" s="3"/>
      <c r="T740" s="3"/>
      <c r="U740" s="3"/>
      <c r="V740" s="3"/>
      <c r="Y740" s="3"/>
      <c r="Z740" s="3"/>
      <c r="AA740" s="3"/>
      <c r="AB740" s="3"/>
      <c r="AC740" s="3"/>
      <c r="AH740" s="3"/>
    </row>
    <row r="741" spans="5:34" s="1" customFormat="1">
      <c r="E741" s="3"/>
      <c r="F741" s="3"/>
      <c r="G741" s="3"/>
      <c r="J741" s="3"/>
      <c r="K741" s="3"/>
      <c r="L741" s="3"/>
      <c r="O741" s="3"/>
      <c r="P741" s="3"/>
      <c r="Q741" s="3"/>
      <c r="T741" s="3"/>
      <c r="U741" s="3"/>
      <c r="V741" s="3"/>
      <c r="Y741" s="3"/>
      <c r="Z741" s="3"/>
      <c r="AA741" s="3"/>
      <c r="AB741" s="3"/>
      <c r="AC741" s="3"/>
      <c r="AH741" s="3"/>
    </row>
    <row r="742" spans="5:34" s="1" customFormat="1">
      <c r="E742" s="3"/>
      <c r="F742" s="3"/>
      <c r="G742" s="3"/>
      <c r="J742" s="3"/>
      <c r="K742" s="3"/>
      <c r="L742" s="3"/>
      <c r="O742" s="3"/>
      <c r="P742" s="3"/>
      <c r="Q742" s="3"/>
      <c r="T742" s="3"/>
      <c r="U742" s="3"/>
      <c r="V742" s="3"/>
      <c r="Y742" s="3"/>
      <c r="Z742" s="3"/>
      <c r="AA742" s="3"/>
      <c r="AB742" s="3"/>
      <c r="AC742" s="3"/>
      <c r="AH742" s="3"/>
    </row>
    <row r="743" spans="5:34" s="1" customFormat="1">
      <c r="E743" s="3"/>
      <c r="F743" s="3"/>
      <c r="G743" s="3"/>
      <c r="J743" s="3"/>
      <c r="K743" s="3"/>
      <c r="L743" s="3"/>
      <c r="O743" s="3"/>
      <c r="P743" s="3"/>
      <c r="Q743" s="3"/>
      <c r="T743" s="3"/>
      <c r="U743" s="3"/>
      <c r="V743" s="3"/>
      <c r="Y743" s="3"/>
      <c r="Z743" s="3"/>
      <c r="AA743" s="3"/>
      <c r="AB743" s="3"/>
      <c r="AC743" s="3"/>
      <c r="AH743" s="3"/>
    </row>
    <row r="744" spans="5:34" s="1" customFormat="1">
      <c r="E744" s="3"/>
      <c r="F744" s="3"/>
      <c r="G744" s="3"/>
      <c r="J744" s="3"/>
      <c r="K744" s="3"/>
      <c r="L744" s="3"/>
      <c r="O744" s="3"/>
      <c r="P744" s="3"/>
      <c r="Q744" s="3"/>
      <c r="T744" s="3"/>
      <c r="U744" s="3"/>
      <c r="V744" s="3"/>
      <c r="Y744" s="3"/>
      <c r="Z744" s="3"/>
      <c r="AA744" s="3"/>
      <c r="AB744" s="3"/>
      <c r="AC744" s="3"/>
      <c r="AH744" s="3"/>
    </row>
    <row r="745" spans="5:34" s="1" customFormat="1">
      <c r="E745" s="3"/>
      <c r="F745" s="3"/>
      <c r="G745" s="3"/>
      <c r="J745" s="3"/>
      <c r="K745" s="3"/>
      <c r="L745" s="3"/>
      <c r="O745" s="3"/>
      <c r="P745" s="3"/>
      <c r="Q745" s="3"/>
      <c r="T745" s="3"/>
      <c r="U745" s="3"/>
      <c r="V745" s="3"/>
      <c r="Y745" s="3"/>
      <c r="Z745" s="3"/>
      <c r="AA745" s="3"/>
      <c r="AB745" s="3"/>
      <c r="AC745" s="3"/>
      <c r="AH745" s="3"/>
    </row>
    <row r="746" spans="5:34" s="1" customFormat="1">
      <c r="E746" s="3"/>
      <c r="F746" s="3"/>
      <c r="G746" s="3"/>
      <c r="J746" s="3"/>
      <c r="K746" s="3"/>
      <c r="L746" s="3"/>
      <c r="O746" s="3"/>
      <c r="P746" s="3"/>
      <c r="Q746" s="3"/>
      <c r="T746" s="3"/>
      <c r="U746" s="3"/>
      <c r="V746" s="3"/>
      <c r="Y746" s="3"/>
      <c r="Z746" s="3"/>
      <c r="AA746" s="3"/>
      <c r="AB746" s="3"/>
      <c r="AC746" s="3"/>
      <c r="AH746" s="3"/>
    </row>
    <row r="747" spans="5:34" s="1" customFormat="1">
      <c r="E747" s="3"/>
      <c r="F747" s="3"/>
      <c r="G747" s="3"/>
      <c r="J747" s="3"/>
      <c r="K747" s="3"/>
      <c r="L747" s="3"/>
      <c r="O747" s="3"/>
      <c r="P747" s="3"/>
      <c r="Q747" s="3"/>
      <c r="T747" s="3"/>
      <c r="U747" s="3"/>
      <c r="V747" s="3"/>
      <c r="Y747" s="3"/>
      <c r="Z747" s="3"/>
      <c r="AA747" s="3"/>
      <c r="AB747" s="3"/>
      <c r="AC747" s="3"/>
      <c r="AH747" s="3"/>
    </row>
    <row r="748" spans="5:34" s="1" customFormat="1">
      <c r="E748" s="3"/>
      <c r="F748" s="3"/>
      <c r="G748" s="3"/>
      <c r="J748" s="3"/>
      <c r="K748" s="3"/>
      <c r="L748" s="3"/>
      <c r="O748" s="3"/>
      <c r="P748" s="3"/>
      <c r="Q748" s="3"/>
      <c r="T748" s="3"/>
      <c r="U748" s="3"/>
      <c r="V748" s="3"/>
      <c r="Y748" s="3"/>
      <c r="Z748" s="3"/>
      <c r="AA748" s="3"/>
      <c r="AB748" s="3"/>
      <c r="AC748" s="3"/>
      <c r="AH748" s="3"/>
    </row>
    <row r="749" spans="5:34" s="1" customFormat="1">
      <c r="E749" s="3"/>
      <c r="F749" s="3"/>
      <c r="G749" s="3"/>
      <c r="J749" s="3"/>
      <c r="K749" s="3"/>
      <c r="L749" s="3"/>
      <c r="O749" s="3"/>
      <c r="P749" s="3"/>
      <c r="Q749" s="3"/>
      <c r="T749" s="3"/>
      <c r="U749" s="3"/>
      <c r="V749" s="3"/>
      <c r="Y749" s="3"/>
      <c r="Z749" s="3"/>
      <c r="AA749" s="3"/>
      <c r="AB749" s="3"/>
      <c r="AC749" s="3"/>
      <c r="AH749" s="3"/>
    </row>
    <row r="750" spans="5:34" s="1" customFormat="1">
      <c r="E750" s="3"/>
      <c r="F750" s="3"/>
      <c r="G750" s="3"/>
      <c r="J750" s="3"/>
      <c r="K750" s="3"/>
      <c r="L750" s="3"/>
      <c r="O750" s="3"/>
      <c r="P750" s="3"/>
      <c r="Q750" s="3"/>
      <c r="T750" s="3"/>
      <c r="U750" s="3"/>
      <c r="V750" s="3"/>
      <c r="Y750" s="3"/>
      <c r="Z750" s="3"/>
      <c r="AA750" s="3"/>
      <c r="AB750" s="3"/>
      <c r="AC750" s="3"/>
      <c r="AH750" s="3"/>
    </row>
    <row r="751" spans="5:34" s="1" customFormat="1">
      <c r="E751" s="3"/>
      <c r="F751" s="3"/>
      <c r="G751" s="3"/>
      <c r="J751" s="3"/>
      <c r="K751" s="3"/>
      <c r="L751" s="3"/>
      <c r="O751" s="3"/>
      <c r="P751" s="3"/>
      <c r="Q751" s="3"/>
      <c r="T751" s="3"/>
      <c r="U751" s="3"/>
      <c r="V751" s="3"/>
      <c r="Y751" s="3"/>
      <c r="Z751" s="3"/>
      <c r="AA751" s="3"/>
      <c r="AB751" s="3"/>
      <c r="AC751" s="3"/>
      <c r="AH751" s="3"/>
    </row>
    <row r="752" spans="5:34" s="1" customFormat="1">
      <c r="E752" s="3"/>
      <c r="F752" s="3"/>
      <c r="G752" s="3"/>
      <c r="J752" s="3"/>
      <c r="K752" s="3"/>
      <c r="L752" s="3"/>
      <c r="O752" s="3"/>
      <c r="P752" s="3"/>
      <c r="Q752" s="3"/>
      <c r="T752" s="3"/>
      <c r="U752" s="3"/>
      <c r="V752" s="3"/>
      <c r="Y752" s="3"/>
      <c r="Z752" s="3"/>
      <c r="AA752" s="3"/>
      <c r="AB752" s="3"/>
      <c r="AC752" s="3"/>
      <c r="AH752" s="3"/>
    </row>
    <row r="753" spans="5:34" s="1" customFormat="1">
      <c r="E753" s="3"/>
      <c r="F753" s="3"/>
      <c r="G753" s="3"/>
      <c r="J753" s="3"/>
      <c r="K753" s="3"/>
      <c r="L753" s="3"/>
      <c r="O753" s="3"/>
      <c r="P753" s="3"/>
      <c r="Q753" s="3"/>
      <c r="T753" s="3"/>
      <c r="U753" s="3"/>
      <c r="V753" s="3"/>
      <c r="Y753" s="3"/>
      <c r="Z753" s="3"/>
      <c r="AA753" s="3"/>
      <c r="AB753" s="3"/>
      <c r="AC753" s="3"/>
      <c r="AH753" s="3"/>
    </row>
    <row r="754" spans="5:34" s="1" customFormat="1">
      <c r="E754" s="3"/>
      <c r="F754" s="3"/>
      <c r="G754" s="3"/>
      <c r="J754" s="3"/>
      <c r="K754" s="3"/>
      <c r="L754" s="3"/>
      <c r="O754" s="3"/>
      <c r="P754" s="3"/>
      <c r="Q754" s="3"/>
      <c r="T754" s="3"/>
      <c r="U754" s="3"/>
      <c r="V754" s="3"/>
      <c r="Y754" s="3"/>
      <c r="Z754" s="3"/>
      <c r="AA754" s="3"/>
      <c r="AB754" s="3"/>
      <c r="AC754" s="3"/>
      <c r="AH754" s="3"/>
    </row>
    <row r="755" spans="5:34" s="1" customFormat="1">
      <c r="E755" s="3"/>
      <c r="F755" s="3"/>
      <c r="G755" s="3"/>
      <c r="J755" s="3"/>
      <c r="K755" s="3"/>
      <c r="L755" s="3"/>
      <c r="O755" s="3"/>
      <c r="P755" s="3"/>
      <c r="Q755" s="3"/>
      <c r="T755" s="3"/>
      <c r="U755" s="3"/>
      <c r="V755" s="3"/>
      <c r="Y755" s="3"/>
      <c r="Z755" s="3"/>
      <c r="AA755" s="3"/>
      <c r="AB755" s="3"/>
      <c r="AC755" s="3"/>
      <c r="AH755" s="3"/>
    </row>
    <row r="756" spans="5:34" s="1" customFormat="1">
      <c r="E756" s="3"/>
      <c r="F756" s="3"/>
      <c r="G756" s="3"/>
      <c r="J756" s="3"/>
      <c r="K756" s="3"/>
      <c r="L756" s="3"/>
      <c r="O756" s="3"/>
      <c r="P756" s="3"/>
      <c r="Q756" s="3"/>
      <c r="T756" s="3"/>
      <c r="U756" s="3"/>
      <c r="V756" s="3"/>
      <c r="Y756" s="3"/>
      <c r="Z756" s="3"/>
      <c r="AA756" s="3"/>
      <c r="AB756" s="3"/>
      <c r="AC756" s="3"/>
      <c r="AH756" s="3"/>
    </row>
    <row r="757" spans="5:34" s="1" customFormat="1">
      <c r="E757" s="3"/>
      <c r="F757" s="3"/>
      <c r="G757" s="3"/>
      <c r="J757" s="3"/>
      <c r="K757" s="3"/>
      <c r="L757" s="3"/>
      <c r="O757" s="3"/>
      <c r="P757" s="3"/>
      <c r="Q757" s="3"/>
      <c r="T757" s="3"/>
      <c r="U757" s="3"/>
      <c r="V757" s="3"/>
      <c r="Y757" s="3"/>
      <c r="Z757" s="3"/>
      <c r="AA757" s="3"/>
      <c r="AB757" s="3"/>
      <c r="AC757" s="3"/>
      <c r="AH757" s="3"/>
    </row>
    <row r="758" spans="5:34" s="1" customFormat="1">
      <c r="E758" s="3"/>
      <c r="F758" s="3"/>
      <c r="G758" s="3"/>
      <c r="J758" s="3"/>
      <c r="K758" s="3"/>
      <c r="L758" s="3"/>
      <c r="O758" s="3"/>
      <c r="P758" s="3"/>
      <c r="Q758" s="3"/>
      <c r="T758" s="3"/>
      <c r="U758" s="3"/>
      <c r="V758" s="3"/>
      <c r="Y758" s="3"/>
      <c r="Z758" s="3"/>
      <c r="AA758" s="3"/>
      <c r="AB758" s="3"/>
      <c r="AC758" s="3"/>
      <c r="AH758" s="3"/>
    </row>
    <row r="759" spans="5:34" s="1" customFormat="1">
      <c r="E759" s="3"/>
      <c r="F759" s="3"/>
      <c r="G759" s="3"/>
      <c r="J759" s="3"/>
      <c r="K759" s="3"/>
      <c r="L759" s="3"/>
      <c r="O759" s="3"/>
      <c r="P759" s="3"/>
      <c r="Q759" s="3"/>
      <c r="T759" s="3"/>
      <c r="U759" s="3"/>
      <c r="V759" s="3"/>
      <c r="Y759" s="3"/>
      <c r="Z759" s="3"/>
      <c r="AA759" s="3"/>
      <c r="AB759" s="3"/>
      <c r="AC759" s="3"/>
      <c r="AH759" s="3"/>
    </row>
    <row r="760" spans="5:34" s="1" customFormat="1">
      <c r="E760" s="3"/>
      <c r="F760" s="3"/>
      <c r="G760" s="3"/>
      <c r="J760" s="3"/>
      <c r="K760" s="3"/>
      <c r="L760" s="3"/>
      <c r="O760" s="3"/>
      <c r="P760" s="3"/>
      <c r="Q760" s="3"/>
      <c r="T760" s="3"/>
      <c r="U760" s="3"/>
      <c r="V760" s="3"/>
      <c r="Y760" s="3"/>
      <c r="Z760" s="3"/>
      <c r="AA760" s="3"/>
      <c r="AB760" s="3"/>
      <c r="AC760" s="3"/>
      <c r="AH760" s="3"/>
    </row>
    <row r="761" spans="5:34" s="1" customFormat="1">
      <c r="E761" s="3"/>
      <c r="F761" s="3"/>
      <c r="G761" s="3"/>
      <c r="J761" s="3"/>
      <c r="K761" s="3"/>
      <c r="L761" s="3"/>
      <c r="O761" s="3"/>
      <c r="P761" s="3"/>
      <c r="Q761" s="3"/>
      <c r="T761" s="3"/>
      <c r="U761" s="3"/>
      <c r="V761" s="3"/>
      <c r="Y761" s="3"/>
      <c r="Z761" s="3"/>
      <c r="AA761" s="3"/>
      <c r="AB761" s="3"/>
      <c r="AC761" s="3"/>
      <c r="AH761" s="3"/>
    </row>
    <row r="762" spans="5:34" s="1" customFormat="1">
      <c r="E762" s="3"/>
      <c r="F762" s="3"/>
      <c r="G762" s="3"/>
      <c r="J762" s="3"/>
      <c r="K762" s="3"/>
      <c r="L762" s="3"/>
      <c r="O762" s="3"/>
      <c r="P762" s="3"/>
      <c r="Q762" s="3"/>
      <c r="T762" s="3"/>
      <c r="U762" s="3"/>
      <c r="V762" s="3"/>
      <c r="Y762" s="3"/>
      <c r="Z762" s="3"/>
      <c r="AA762" s="3"/>
      <c r="AB762" s="3"/>
      <c r="AC762" s="3"/>
      <c r="AH762" s="3"/>
    </row>
    <row r="763" spans="5:34" s="1" customFormat="1">
      <c r="E763" s="3"/>
      <c r="F763" s="3"/>
      <c r="G763" s="3"/>
      <c r="J763" s="3"/>
      <c r="K763" s="3"/>
      <c r="L763" s="3"/>
      <c r="O763" s="3"/>
      <c r="P763" s="3"/>
      <c r="Q763" s="3"/>
      <c r="T763" s="3"/>
      <c r="U763" s="3"/>
      <c r="V763" s="3"/>
      <c r="Y763" s="3"/>
      <c r="Z763" s="3"/>
      <c r="AA763" s="3"/>
      <c r="AB763" s="3"/>
      <c r="AC763" s="3"/>
      <c r="AH763" s="3"/>
    </row>
    <row r="764" spans="5:34" s="1" customFormat="1">
      <c r="E764" s="3"/>
      <c r="F764" s="3"/>
      <c r="G764" s="3"/>
      <c r="J764" s="3"/>
      <c r="K764" s="3"/>
      <c r="L764" s="3"/>
      <c r="O764" s="3"/>
      <c r="P764" s="3"/>
      <c r="Q764" s="3"/>
      <c r="T764" s="3"/>
      <c r="U764" s="3"/>
      <c r="V764" s="3"/>
      <c r="Y764" s="3"/>
      <c r="Z764" s="3"/>
      <c r="AA764" s="3"/>
      <c r="AB764" s="3"/>
      <c r="AC764" s="3"/>
      <c r="AH764" s="3"/>
    </row>
    <row r="765" spans="5:34" s="1" customFormat="1">
      <c r="E765" s="3"/>
      <c r="F765" s="3"/>
      <c r="G765" s="3"/>
      <c r="J765" s="3"/>
      <c r="K765" s="3"/>
      <c r="L765" s="3"/>
      <c r="O765" s="3"/>
      <c r="P765" s="3"/>
      <c r="Q765" s="3"/>
      <c r="T765" s="3"/>
      <c r="U765" s="3"/>
      <c r="V765" s="3"/>
      <c r="Y765" s="3"/>
      <c r="Z765" s="3"/>
      <c r="AA765" s="3"/>
      <c r="AB765" s="3"/>
      <c r="AC765" s="3"/>
      <c r="AH765" s="3"/>
    </row>
    <row r="766" spans="5:34" s="1" customFormat="1">
      <c r="E766" s="3"/>
      <c r="F766" s="3"/>
      <c r="G766" s="3"/>
      <c r="J766" s="3"/>
      <c r="K766" s="3"/>
      <c r="L766" s="3"/>
      <c r="O766" s="3"/>
      <c r="P766" s="3"/>
      <c r="Q766" s="3"/>
      <c r="T766" s="3"/>
      <c r="U766" s="3"/>
      <c r="V766" s="3"/>
      <c r="Y766" s="3"/>
      <c r="Z766" s="3"/>
      <c r="AA766" s="3"/>
      <c r="AB766" s="3"/>
      <c r="AC766" s="3"/>
      <c r="AH766" s="3"/>
    </row>
    <row r="767" spans="5:34" s="1" customFormat="1">
      <c r="E767" s="3"/>
      <c r="F767" s="3"/>
      <c r="G767" s="3"/>
      <c r="J767" s="3"/>
      <c r="K767" s="3"/>
      <c r="L767" s="3"/>
      <c r="O767" s="3"/>
      <c r="P767" s="3"/>
      <c r="Q767" s="3"/>
      <c r="T767" s="3"/>
      <c r="U767" s="3"/>
      <c r="V767" s="3"/>
      <c r="Y767" s="3"/>
      <c r="Z767" s="3"/>
      <c r="AA767" s="3"/>
      <c r="AB767" s="3"/>
      <c r="AC767" s="3"/>
      <c r="AH767" s="3"/>
    </row>
    <row r="768" spans="5:34" s="1" customFormat="1">
      <c r="E768" s="3"/>
      <c r="F768" s="3"/>
      <c r="G768" s="3"/>
      <c r="J768" s="3"/>
      <c r="K768" s="3"/>
      <c r="L768" s="3"/>
      <c r="O768" s="3"/>
      <c r="P768" s="3"/>
      <c r="Q768" s="3"/>
      <c r="T768" s="3"/>
      <c r="U768" s="3"/>
      <c r="V768" s="3"/>
      <c r="Y768" s="3"/>
      <c r="Z768" s="3"/>
      <c r="AA768" s="3"/>
      <c r="AB768" s="3"/>
      <c r="AC768" s="3"/>
      <c r="AH768" s="3"/>
    </row>
    <row r="769" spans="5:34" s="1" customFormat="1">
      <c r="E769" s="3"/>
      <c r="F769" s="3"/>
      <c r="G769" s="3"/>
      <c r="J769" s="3"/>
      <c r="K769" s="3"/>
      <c r="L769" s="3"/>
      <c r="O769" s="3"/>
      <c r="P769" s="3"/>
      <c r="Q769" s="3"/>
      <c r="T769" s="3"/>
      <c r="U769" s="3"/>
      <c r="V769" s="3"/>
      <c r="Y769" s="3"/>
      <c r="Z769" s="3"/>
      <c r="AA769" s="3"/>
      <c r="AB769" s="3"/>
      <c r="AC769" s="3"/>
      <c r="AH769" s="3"/>
    </row>
    <row r="770" spans="5:34" s="1" customFormat="1">
      <c r="E770" s="3"/>
      <c r="F770" s="3"/>
      <c r="G770" s="3"/>
      <c r="J770" s="3"/>
      <c r="K770" s="3"/>
      <c r="L770" s="3"/>
      <c r="O770" s="3"/>
      <c r="P770" s="3"/>
      <c r="Q770" s="3"/>
      <c r="T770" s="3"/>
      <c r="U770" s="3"/>
      <c r="V770" s="3"/>
      <c r="Y770" s="3"/>
      <c r="Z770" s="3"/>
      <c r="AA770" s="3"/>
      <c r="AB770" s="3"/>
      <c r="AC770" s="3"/>
      <c r="AH770" s="3"/>
    </row>
    <row r="771" spans="5:34" s="1" customFormat="1">
      <c r="E771" s="3"/>
      <c r="F771" s="3"/>
      <c r="G771" s="3"/>
      <c r="J771" s="3"/>
      <c r="K771" s="3"/>
      <c r="L771" s="3"/>
      <c r="O771" s="3"/>
      <c r="P771" s="3"/>
      <c r="Q771" s="3"/>
      <c r="T771" s="3"/>
      <c r="U771" s="3"/>
      <c r="V771" s="3"/>
      <c r="Y771" s="3"/>
      <c r="Z771" s="3"/>
      <c r="AA771" s="3"/>
      <c r="AB771" s="3"/>
      <c r="AC771" s="3"/>
      <c r="AH771" s="3"/>
    </row>
    <row r="772" spans="5:34" s="1" customFormat="1">
      <c r="E772" s="3"/>
      <c r="F772" s="3"/>
      <c r="G772" s="3"/>
      <c r="J772" s="3"/>
      <c r="K772" s="3"/>
      <c r="L772" s="3"/>
      <c r="O772" s="3"/>
      <c r="P772" s="3"/>
      <c r="Q772" s="3"/>
      <c r="T772" s="3"/>
      <c r="U772" s="3"/>
      <c r="V772" s="3"/>
      <c r="Y772" s="3"/>
      <c r="Z772" s="3"/>
      <c r="AA772" s="3"/>
      <c r="AB772" s="3"/>
      <c r="AC772" s="3"/>
      <c r="AH772" s="3"/>
    </row>
    <row r="773" spans="5:34" s="1" customFormat="1">
      <c r="E773" s="3"/>
      <c r="F773" s="3"/>
      <c r="G773" s="3"/>
      <c r="J773" s="3"/>
      <c r="K773" s="3"/>
      <c r="L773" s="3"/>
      <c r="O773" s="3"/>
      <c r="P773" s="3"/>
      <c r="Q773" s="3"/>
      <c r="T773" s="3"/>
      <c r="U773" s="3"/>
      <c r="V773" s="3"/>
      <c r="Y773" s="3"/>
      <c r="Z773" s="3"/>
      <c r="AA773" s="3"/>
      <c r="AB773" s="3"/>
      <c r="AC773" s="3"/>
      <c r="AH773" s="3"/>
    </row>
    <row r="774" spans="5:34" s="1" customFormat="1">
      <c r="E774" s="3"/>
      <c r="F774" s="3"/>
      <c r="G774" s="3"/>
      <c r="J774" s="3"/>
      <c r="K774" s="3"/>
      <c r="L774" s="3"/>
      <c r="O774" s="3"/>
      <c r="P774" s="3"/>
      <c r="Q774" s="3"/>
      <c r="T774" s="3"/>
      <c r="U774" s="3"/>
      <c r="V774" s="3"/>
      <c r="Y774" s="3"/>
      <c r="Z774" s="3"/>
      <c r="AA774" s="3"/>
      <c r="AB774" s="3"/>
      <c r="AC774" s="3"/>
      <c r="AH774" s="3"/>
    </row>
    <row r="775" spans="5:34" s="1" customFormat="1">
      <c r="E775" s="3"/>
      <c r="F775" s="3"/>
      <c r="G775" s="3"/>
      <c r="J775" s="3"/>
      <c r="K775" s="3"/>
      <c r="L775" s="3"/>
      <c r="O775" s="3"/>
      <c r="P775" s="3"/>
      <c r="Q775" s="3"/>
      <c r="T775" s="3"/>
      <c r="U775" s="3"/>
      <c r="V775" s="3"/>
      <c r="Y775" s="3"/>
      <c r="Z775" s="3"/>
      <c r="AA775" s="3"/>
      <c r="AB775" s="3"/>
      <c r="AC775" s="3"/>
      <c r="AH775" s="3"/>
    </row>
    <row r="776" spans="5:34" s="1" customFormat="1">
      <c r="E776" s="3"/>
      <c r="F776" s="3"/>
      <c r="G776" s="3"/>
      <c r="J776" s="3"/>
      <c r="K776" s="3"/>
      <c r="L776" s="3"/>
      <c r="O776" s="3"/>
      <c r="P776" s="3"/>
      <c r="Q776" s="3"/>
      <c r="T776" s="3"/>
      <c r="U776" s="3"/>
      <c r="V776" s="3"/>
      <c r="Y776" s="3"/>
      <c r="Z776" s="3"/>
      <c r="AA776" s="3"/>
      <c r="AB776" s="3"/>
      <c r="AC776" s="3"/>
      <c r="AH776" s="3"/>
    </row>
    <row r="777" spans="5:34" s="1" customFormat="1">
      <c r="E777" s="3"/>
      <c r="F777" s="3"/>
      <c r="G777" s="3"/>
      <c r="J777" s="3"/>
      <c r="K777" s="3"/>
      <c r="L777" s="3"/>
      <c r="O777" s="3"/>
      <c r="P777" s="3"/>
      <c r="Q777" s="3"/>
      <c r="T777" s="3"/>
      <c r="U777" s="3"/>
      <c r="V777" s="3"/>
      <c r="Y777" s="3"/>
      <c r="Z777" s="3"/>
      <c r="AA777" s="3"/>
      <c r="AB777" s="3"/>
      <c r="AC777" s="3"/>
      <c r="AH777" s="3"/>
    </row>
    <row r="778" spans="5:34" s="1" customFormat="1">
      <c r="E778" s="3"/>
      <c r="F778" s="3"/>
      <c r="G778" s="3"/>
      <c r="J778" s="3"/>
      <c r="K778" s="3"/>
      <c r="L778" s="3"/>
      <c r="O778" s="3"/>
      <c r="P778" s="3"/>
      <c r="Q778" s="3"/>
      <c r="T778" s="3"/>
      <c r="U778" s="3"/>
      <c r="V778" s="3"/>
      <c r="Y778" s="3"/>
      <c r="Z778" s="3"/>
      <c r="AA778" s="3"/>
      <c r="AB778" s="3"/>
      <c r="AC778" s="3"/>
      <c r="AH778" s="3"/>
    </row>
    <row r="779" spans="5:34" s="1" customFormat="1">
      <c r="E779" s="3"/>
      <c r="F779" s="3"/>
      <c r="G779" s="3"/>
      <c r="J779" s="3"/>
      <c r="K779" s="3"/>
      <c r="L779" s="3"/>
      <c r="O779" s="3"/>
      <c r="P779" s="3"/>
      <c r="Q779" s="3"/>
      <c r="T779" s="3"/>
      <c r="U779" s="3"/>
      <c r="V779" s="3"/>
      <c r="Y779" s="3"/>
      <c r="Z779" s="3"/>
      <c r="AA779" s="3"/>
      <c r="AB779" s="3"/>
      <c r="AC779" s="3"/>
      <c r="AH779" s="3"/>
    </row>
    <row r="780" spans="5:34" s="1" customFormat="1">
      <c r="E780" s="3"/>
      <c r="F780" s="3"/>
      <c r="G780" s="3"/>
      <c r="J780" s="3"/>
      <c r="K780" s="3"/>
      <c r="L780" s="3"/>
      <c r="O780" s="3"/>
      <c r="P780" s="3"/>
      <c r="Q780" s="3"/>
      <c r="T780" s="3"/>
      <c r="U780" s="3"/>
      <c r="V780" s="3"/>
      <c r="Y780" s="3"/>
      <c r="Z780" s="3"/>
      <c r="AA780" s="3"/>
      <c r="AB780" s="3"/>
      <c r="AC780" s="3"/>
      <c r="AH780" s="3"/>
    </row>
    <row r="781" spans="5:34" s="1" customFormat="1">
      <c r="E781" s="3"/>
      <c r="F781" s="3"/>
      <c r="G781" s="3"/>
      <c r="J781" s="3"/>
      <c r="K781" s="3"/>
      <c r="L781" s="3"/>
      <c r="O781" s="3"/>
      <c r="P781" s="3"/>
      <c r="Q781" s="3"/>
      <c r="T781" s="3"/>
      <c r="U781" s="3"/>
      <c r="V781" s="3"/>
      <c r="Y781" s="3"/>
      <c r="Z781" s="3"/>
      <c r="AA781" s="3"/>
      <c r="AB781" s="3"/>
      <c r="AC781" s="3"/>
      <c r="AH781" s="3"/>
    </row>
    <row r="782" spans="5:34" s="1" customFormat="1">
      <c r="E782" s="3"/>
      <c r="F782" s="3"/>
      <c r="G782" s="3"/>
      <c r="J782" s="3"/>
      <c r="K782" s="3"/>
      <c r="L782" s="3"/>
      <c r="O782" s="3"/>
      <c r="P782" s="3"/>
      <c r="Q782" s="3"/>
      <c r="T782" s="3"/>
      <c r="U782" s="3"/>
      <c r="V782" s="3"/>
      <c r="Y782" s="3"/>
      <c r="Z782" s="3"/>
      <c r="AA782" s="3"/>
      <c r="AB782" s="3"/>
      <c r="AC782" s="3"/>
      <c r="AH782" s="3"/>
    </row>
    <row r="783" spans="5:34" s="1" customFormat="1">
      <c r="E783" s="3"/>
      <c r="F783" s="3"/>
      <c r="G783" s="3"/>
      <c r="J783" s="3"/>
      <c r="K783" s="3"/>
      <c r="L783" s="3"/>
      <c r="O783" s="3"/>
      <c r="P783" s="3"/>
      <c r="Q783" s="3"/>
      <c r="T783" s="3"/>
      <c r="U783" s="3"/>
      <c r="V783" s="3"/>
      <c r="Y783" s="3"/>
      <c r="Z783" s="3"/>
      <c r="AA783" s="3"/>
      <c r="AB783" s="3"/>
      <c r="AC783" s="3"/>
      <c r="AH783" s="3"/>
    </row>
    <row r="784" spans="5:34" s="1" customFormat="1">
      <c r="E784" s="3"/>
      <c r="F784" s="3"/>
      <c r="G784" s="3"/>
      <c r="J784" s="3"/>
      <c r="K784" s="3"/>
      <c r="L784" s="3"/>
      <c r="O784" s="3"/>
      <c r="P784" s="3"/>
      <c r="Q784" s="3"/>
      <c r="T784" s="3"/>
      <c r="U784" s="3"/>
      <c r="V784" s="3"/>
      <c r="Y784" s="3"/>
      <c r="Z784" s="3"/>
      <c r="AA784" s="3"/>
      <c r="AB784" s="3"/>
      <c r="AC784" s="3"/>
      <c r="AH784" s="3"/>
    </row>
    <row r="785" spans="5:34" s="1" customFormat="1">
      <c r="E785" s="3"/>
      <c r="F785" s="3"/>
      <c r="G785" s="3"/>
      <c r="J785" s="3"/>
      <c r="K785" s="3"/>
      <c r="L785" s="3"/>
      <c r="O785" s="3"/>
      <c r="P785" s="3"/>
      <c r="Q785" s="3"/>
      <c r="T785" s="3"/>
      <c r="U785" s="3"/>
      <c r="V785" s="3"/>
      <c r="Y785" s="3"/>
      <c r="Z785" s="3"/>
      <c r="AA785" s="3"/>
      <c r="AB785" s="3"/>
      <c r="AC785" s="3"/>
      <c r="AH785" s="3"/>
    </row>
    <row r="786" spans="5:34" s="1" customFormat="1">
      <c r="E786" s="3"/>
      <c r="F786" s="3"/>
      <c r="G786" s="3"/>
      <c r="J786" s="3"/>
      <c r="K786" s="3"/>
      <c r="L786" s="3"/>
      <c r="O786" s="3"/>
      <c r="P786" s="3"/>
      <c r="Q786" s="3"/>
      <c r="T786" s="3"/>
      <c r="U786" s="3"/>
      <c r="V786" s="3"/>
      <c r="Y786" s="3"/>
      <c r="Z786" s="3"/>
      <c r="AA786" s="3"/>
      <c r="AB786" s="3"/>
      <c r="AC786" s="3"/>
      <c r="AH786" s="3"/>
    </row>
    <row r="787" spans="5:34" s="1" customFormat="1">
      <c r="E787" s="3"/>
      <c r="F787" s="3"/>
      <c r="G787" s="3"/>
      <c r="J787" s="3"/>
      <c r="K787" s="3"/>
      <c r="L787" s="3"/>
      <c r="O787" s="3"/>
      <c r="P787" s="3"/>
      <c r="Q787" s="3"/>
      <c r="T787" s="3"/>
      <c r="U787" s="3"/>
      <c r="V787" s="3"/>
      <c r="Y787" s="3"/>
      <c r="Z787" s="3"/>
      <c r="AA787" s="3"/>
      <c r="AB787" s="3"/>
      <c r="AC787" s="3"/>
      <c r="AH787" s="3"/>
    </row>
    <row r="788" spans="5:34" s="1" customFormat="1">
      <c r="E788" s="3"/>
      <c r="F788" s="3"/>
      <c r="G788" s="3"/>
      <c r="J788" s="3"/>
      <c r="K788" s="3"/>
      <c r="L788" s="3"/>
      <c r="O788" s="3"/>
      <c r="P788" s="3"/>
      <c r="Q788" s="3"/>
      <c r="T788" s="3"/>
      <c r="U788" s="3"/>
      <c r="V788" s="3"/>
      <c r="Y788" s="3"/>
      <c r="Z788" s="3"/>
      <c r="AA788" s="3"/>
      <c r="AB788" s="3"/>
      <c r="AC788" s="3"/>
      <c r="AH788" s="3"/>
    </row>
    <row r="789" spans="5:34" s="1" customFormat="1">
      <c r="E789" s="3"/>
      <c r="F789" s="3"/>
      <c r="G789" s="3"/>
      <c r="J789" s="3"/>
      <c r="K789" s="3"/>
      <c r="L789" s="3"/>
      <c r="O789" s="3"/>
      <c r="P789" s="3"/>
      <c r="Q789" s="3"/>
      <c r="T789" s="3"/>
      <c r="U789" s="3"/>
      <c r="V789" s="3"/>
      <c r="Y789" s="3"/>
      <c r="Z789" s="3"/>
      <c r="AA789" s="3"/>
      <c r="AB789" s="3"/>
      <c r="AC789" s="3"/>
      <c r="AH789" s="3"/>
    </row>
    <row r="790" spans="5:34" s="1" customFormat="1">
      <c r="E790" s="3"/>
      <c r="F790" s="3"/>
      <c r="G790" s="3"/>
      <c r="J790" s="3"/>
      <c r="K790" s="3"/>
      <c r="L790" s="3"/>
      <c r="O790" s="3"/>
      <c r="P790" s="3"/>
      <c r="Q790" s="3"/>
      <c r="T790" s="3"/>
      <c r="U790" s="3"/>
      <c r="V790" s="3"/>
      <c r="Y790" s="3"/>
      <c r="Z790" s="3"/>
      <c r="AA790" s="3"/>
      <c r="AB790" s="3"/>
      <c r="AC790" s="3"/>
      <c r="AH790" s="3"/>
    </row>
    <row r="791" spans="5:34" s="1" customFormat="1">
      <c r="E791" s="3"/>
      <c r="F791" s="3"/>
      <c r="G791" s="3"/>
      <c r="J791" s="3"/>
      <c r="K791" s="3"/>
      <c r="L791" s="3"/>
      <c r="O791" s="3"/>
      <c r="P791" s="3"/>
      <c r="Q791" s="3"/>
      <c r="T791" s="3"/>
      <c r="U791" s="3"/>
      <c r="V791" s="3"/>
      <c r="Y791" s="3"/>
      <c r="Z791" s="3"/>
      <c r="AA791" s="3"/>
      <c r="AB791" s="3"/>
      <c r="AC791" s="3"/>
      <c r="AH791" s="3"/>
    </row>
    <row r="792" spans="5:34" s="1" customFormat="1">
      <c r="E792" s="3"/>
      <c r="F792" s="3"/>
      <c r="G792" s="3"/>
      <c r="J792" s="3"/>
      <c r="K792" s="3"/>
      <c r="L792" s="3"/>
      <c r="O792" s="3"/>
      <c r="P792" s="3"/>
      <c r="Q792" s="3"/>
      <c r="T792" s="3"/>
      <c r="U792" s="3"/>
      <c r="V792" s="3"/>
      <c r="Y792" s="3"/>
      <c r="Z792" s="3"/>
      <c r="AA792" s="3"/>
      <c r="AB792" s="3"/>
      <c r="AC792" s="3"/>
      <c r="AH792" s="3"/>
    </row>
    <row r="793" spans="5:34" s="1" customFormat="1">
      <c r="E793" s="3"/>
      <c r="F793" s="3"/>
      <c r="G793" s="3"/>
      <c r="J793" s="3"/>
      <c r="K793" s="3"/>
      <c r="L793" s="3"/>
      <c r="O793" s="3"/>
      <c r="P793" s="3"/>
      <c r="Q793" s="3"/>
      <c r="T793" s="3"/>
      <c r="U793" s="3"/>
      <c r="V793" s="3"/>
      <c r="Y793" s="3"/>
      <c r="Z793" s="3"/>
      <c r="AA793" s="3"/>
      <c r="AB793" s="3"/>
      <c r="AC793" s="3"/>
      <c r="AH793" s="3"/>
    </row>
    <row r="794" spans="5:34" s="1" customFormat="1">
      <c r="E794" s="3"/>
      <c r="F794" s="3"/>
      <c r="G794" s="3"/>
      <c r="J794" s="3"/>
      <c r="K794" s="3"/>
      <c r="L794" s="3"/>
      <c r="O794" s="3"/>
      <c r="P794" s="3"/>
      <c r="Q794" s="3"/>
      <c r="T794" s="3"/>
      <c r="U794" s="3"/>
      <c r="V794" s="3"/>
      <c r="Y794" s="3"/>
      <c r="Z794" s="3"/>
      <c r="AA794" s="3"/>
      <c r="AB794" s="3"/>
      <c r="AC794" s="3"/>
      <c r="AH794" s="3"/>
    </row>
    <row r="795" spans="5:34" s="1" customFormat="1">
      <c r="E795" s="3"/>
      <c r="F795" s="3"/>
      <c r="G795" s="3"/>
      <c r="J795" s="3"/>
      <c r="K795" s="3"/>
      <c r="L795" s="3"/>
      <c r="O795" s="3"/>
      <c r="P795" s="3"/>
      <c r="Q795" s="3"/>
      <c r="T795" s="3"/>
      <c r="U795" s="3"/>
      <c r="V795" s="3"/>
      <c r="Y795" s="3"/>
      <c r="Z795" s="3"/>
      <c r="AA795" s="3"/>
      <c r="AB795" s="3"/>
      <c r="AC795" s="3"/>
      <c r="AH795" s="3"/>
    </row>
    <row r="796" spans="5:34" s="1" customFormat="1">
      <c r="E796" s="3"/>
      <c r="F796" s="3"/>
      <c r="G796" s="3"/>
      <c r="J796" s="3"/>
      <c r="K796" s="3"/>
      <c r="L796" s="3"/>
      <c r="O796" s="3"/>
      <c r="P796" s="3"/>
      <c r="Q796" s="3"/>
      <c r="T796" s="3"/>
      <c r="U796" s="3"/>
      <c r="V796" s="3"/>
      <c r="Y796" s="3"/>
      <c r="Z796" s="3"/>
      <c r="AA796" s="3"/>
      <c r="AB796" s="3"/>
      <c r="AC796" s="3"/>
      <c r="AH796" s="3"/>
    </row>
    <row r="797" spans="5:34" s="1" customFormat="1">
      <c r="E797" s="3"/>
      <c r="F797" s="3"/>
      <c r="G797" s="3"/>
      <c r="J797" s="3"/>
      <c r="K797" s="3"/>
      <c r="L797" s="3"/>
      <c r="O797" s="3"/>
      <c r="P797" s="3"/>
      <c r="Q797" s="3"/>
      <c r="T797" s="3"/>
      <c r="U797" s="3"/>
      <c r="V797" s="3"/>
      <c r="Y797" s="3"/>
      <c r="Z797" s="3"/>
      <c r="AA797" s="3"/>
      <c r="AB797" s="3"/>
      <c r="AC797" s="3"/>
      <c r="AH797" s="3"/>
    </row>
    <row r="798" spans="5:34" s="1" customFormat="1">
      <c r="E798" s="3"/>
      <c r="F798" s="3"/>
      <c r="G798" s="3"/>
      <c r="J798" s="3"/>
      <c r="K798" s="3"/>
      <c r="L798" s="3"/>
      <c r="O798" s="3"/>
      <c r="P798" s="3"/>
      <c r="Q798" s="3"/>
      <c r="T798" s="3"/>
      <c r="U798" s="3"/>
      <c r="V798" s="3"/>
      <c r="Y798" s="3"/>
      <c r="Z798" s="3"/>
      <c r="AA798" s="3"/>
      <c r="AB798" s="3"/>
      <c r="AC798" s="3"/>
      <c r="AH798" s="3"/>
    </row>
    <row r="799" spans="5:34" s="1" customFormat="1">
      <c r="E799" s="3"/>
      <c r="F799" s="3"/>
      <c r="G799" s="3"/>
      <c r="J799" s="3"/>
      <c r="K799" s="3"/>
      <c r="L799" s="3"/>
      <c r="O799" s="3"/>
      <c r="P799" s="3"/>
      <c r="Q799" s="3"/>
      <c r="T799" s="3"/>
      <c r="U799" s="3"/>
      <c r="V799" s="3"/>
      <c r="Y799" s="3"/>
      <c r="Z799" s="3"/>
      <c r="AA799" s="3"/>
      <c r="AB799" s="3"/>
      <c r="AC799" s="3"/>
      <c r="AH799" s="3"/>
    </row>
    <row r="800" spans="5:34" s="1" customFormat="1">
      <c r="E800" s="3"/>
      <c r="F800" s="3"/>
      <c r="G800" s="3"/>
      <c r="J800" s="3"/>
      <c r="K800" s="3"/>
      <c r="L800" s="3"/>
      <c r="O800" s="3"/>
      <c r="P800" s="3"/>
      <c r="Q800" s="3"/>
      <c r="T800" s="3"/>
      <c r="U800" s="3"/>
      <c r="V800" s="3"/>
      <c r="Y800" s="3"/>
      <c r="Z800" s="3"/>
      <c r="AA800" s="3"/>
      <c r="AB800" s="3"/>
      <c r="AC800" s="3"/>
      <c r="AH800" s="3"/>
    </row>
    <row r="801" spans="5:34" s="1" customFormat="1">
      <c r="E801" s="3"/>
      <c r="F801" s="3"/>
      <c r="G801" s="3"/>
      <c r="J801" s="3"/>
      <c r="K801" s="3"/>
      <c r="L801" s="3"/>
      <c r="O801" s="3"/>
      <c r="P801" s="3"/>
      <c r="Q801" s="3"/>
      <c r="T801" s="3"/>
      <c r="U801" s="3"/>
      <c r="V801" s="3"/>
      <c r="Y801" s="3"/>
      <c r="Z801" s="3"/>
      <c r="AA801" s="3"/>
      <c r="AB801" s="3"/>
      <c r="AC801" s="3"/>
      <c r="AH801" s="3"/>
    </row>
    <row r="802" spans="5:34" s="1" customFormat="1">
      <c r="E802" s="3"/>
      <c r="F802" s="3"/>
      <c r="G802" s="3"/>
      <c r="J802" s="3"/>
      <c r="K802" s="3"/>
      <c r="L802" s="3"/>
      <c r="O802" s="3"/>
      <c r="P802" s="3"/>
      <c r="Q802" s="3"/>
      <c r="T802" s="3"/>
      <c r="U802" s="3"/>
      <c r="V802" s="3"/>
      <c r="Y802" s="3"/>
      <c r="Z802" s="3"/>
      <c r="AA802" s="3"/>
      <c r="AB802" s="3"/>
      <c r="AC802" s="3"/>
      <c r="AH802" s="3"/>
    </row>
    <row r="803" spans="5:34" s="1" customFormat="1">
      <c r="E803" s="3"/>
      <c r="F803" s="3"/>
      <c r="G803" s="3"/>
      <c r="J803" s="3"/>
      <c r="K803" s="3"/>
      <c r="L803" s="3"/>
      <c r="O803" s="3"/>
      <c r="P803" s="3"/>
      <c r="Q803" s="3"/>
      <c r="T803" s="3"/>
      <c r="U803" s="3"/>
      <c r="V803" s="3"/>
      <c r="Y803" s="3"/>
      <c r="Z803" s="3"/>
      <c r="AA803" s="3"/>
      <c r="AB803" s="3"/>
      <c r="AC803" s="3"/>
      <c r="AH803" s="3"/>
    </row>
    <row r="804" spans="5:34" s="1" customFormat="1">
      <c r="E804" s="3"/>
      <c r="F804" s="3"/>
      <c r="G804" s="3"/>
      <c r="J804" s="3"/>
      <c r="K804" s="3"/>
      <c r="L804" s="3"/>
      <c r="O804" s="3"/>
      <c r="P804" s="3"/>
      <c r="Q804" s="3"/>
      <c r="T804" s="3"/>
      <c r="U804" s="3"/>
      <c r="V804" s="3"/>
      <c r="Y804" s="3"/>
      <c r="Z804" s="3"/>
      <c r="AA804" s="3"/>
      <c r="AB804" s="3"/>
      <c r="AC804" s="3"/>
      <c r="AH804" s="3"/>
    </row>
    <row r="805" spans="5:34" s="1" customFormat="1">
      <c r="E805" s="3"/>
      <c r="F805" s="3"/>
      <c r="G805" s="3"/>
      <c r="J805" s="3"/>
      <c r="K805" s="3"/>
      <c r="L805" s="3"/>
      <c r="O805" s="3"/>
      <c r="P805" s="3"/>
      <c r="Q805" s="3"/>
      <c r="T805" s="3"/>
      <c r="U805" s="3"/>
      <c r="V805" s="3"/>
      <c r="Y805" s="3"/>
      <c r="Z805" s="3"/>
      <c r="AA805" s="3"/>
      <c r="AB805" s="3"/>
      <c r="AC805" s="3"/>
      <c r="AH805" s="3"/>
    </row>
    <row r="806" spans="5:34" s="1" customFormat="1">
      <c r="E806" s="3"/>
      <c r="F806" s="3"/>
      <c r="G806" s="3"/>
      <c r="J806" s="3"/>
      <c r="K806" s="3"/>
      <c r="L806" s="3"/>
      <c r="O806" s="3"/>
      <c r="P806" s="3"/>
      <c r="Q806" s="3"/>
      <c r="T806" s="3"/>
      <c r="U806" s="3"/>
      <c r="V806" s="3"/>
      <c r="Y806" s="3"/>
      <c r="Z806" s="3"/>
      <c r="AA806" s="3"/>
      <c r="AB806" s="3"/>
      <c r="AC806" s="3"/>
      <c r="AH806" s="3"/>
    </row>
    <row r="807" spans="5:34" s="1" customFormat="1">
      <c r="E807" s="3"/>
      <c r="F807" s="3"/>
      <c r="G807" s="3"/>
      <c r="J807" s="3"/>
      <c r="K807" s="3"/>
      <c r="L807" s="3"/>
      <c r="O807" s="3"/>
      <c r="P807" s="3"/>
      <c r="Q807" s="3"/>
      <c r="T807" s="3"/>
      <c r="U807" s="3"/>
      <c r="V807" s="3"/>
      <c r="Y807" s="3"/>
      <c r="Z807" s="3"/>
      <c r="AA807" s="3"/>
      <c r="AB807" s="3"/>
      <c r="AC807" s="3"/>
      <c r="AH807" s="3"/>
    </row>
    <row r="808" spans="5:34" s="1" customFormat="1">
      <c r="E808" s="3"/>
      <c r="F808" s="3"/>
      <c r="G808" s="3"/>
      <c r="J808" s="3"/>
      <c r="K808" s="3"/>
      <c r="L808" s="3"/>
      <c r="O808" s="3"/>
      <c r="P808" s="3"/>
      <c r="Q808" s="3"/>
      <c r="T808" s="3"/>
      <c r="U808" s="3"/>
      <c r="V808" s="3"/>
      <c r="Y808" s="3"/>
      <c r="Z808" s="3"/>
      <c r="AA808" s="3"/>
      <c r="AB808" s="3"/>
      <c r="AC808" s="3"/>
      <c r="AH808" s="3"/>
    </row>
    <row r="809" spans="5:34" s="1" customFormat="1">
      <c r="E809" s="3"/>
      <c r="F809" s="3"/>
      <c r="G809" s="3"/>
      <c r="J809" s="3"/>
      <c r="K809" s="3"/>
      <c r="L809" s="3"/>
      <c r="O809" s="3"/>
      <c r="P809" s="3"/>
      <c r="Q809" s="3"/>
      <c r="T809" s="3"/>
      <c r="U809" s="3"/>
      <c r="V809" s="3"/>
      <c r="Y809" s="3"/>
      <c r="Z809" s="3"/>
      <c r="AA809" s="3"/>
      <c r="AB809" s="3"/>
      <c r="AC809" s="3"/>
      <c r="AH809" s="3"/>
    </row>
    <row r="810" spans="5:34" s="1" customFormat="1">
      <c r="E810" s="3"/>
      <c r="F810" s="3"/>
      <c r="G810" s="3"/>
      <c r="J810" s="3"/>
      <c r="K810" s="3"/>
      <c r="L810" s="3"/>
      <c r="O810" s="3"/>
      <c r="P810" s="3"/>
      <c r="Q810" s="3"/>
      <c r="T810" s="3"/>
      <c r="U810" s="3"/>
      <c r="V810" s="3"/>
      <c r="Y810" s="3"/>
      <c r="Z810" s="3"/>
      <c r="AA810" s="3"/>
      <c r="AB810" s="3"/>
      <c r="AC810" s="3"/>
      <c r="AH810" s="3"/>
    </row>
    <row r="811" spans="5:34" s="1" customFormat="1">
      <c r="E811" s="3"/>
      <c r="F811" s="3"/>
      <c r="G811" s="3"/>
      <c r="J811" s="3"/>
      <c r="K811" s="3"/>
      <c r="L811" s="3"/>
      <c r="O811" s="3"/>
      <c r="P811" s="3"/>
      <c r="Q811" s="3"/>
      <c r="T811" s="3"/>
      <c r="U811" s="3"/>
      <c r="V811" s="3"/>
      <c r="Y811" s="3"/>
      <c r="Z811" s="3"/>
      <c r="AA811" s="3"/>
      <c r="AB811" s="3"/>
      <c r="AC811" s="3"/>
      <c r="AH811" s="3"/>
    </row>
    <row r="812" spans="5:34" s="1" customFormat="1">
      <c r="E812" s="3"/>
      <c r="F812" s="3"/>
      <c r="G812" s="3"/>
      <c r="J812" s="3"/>
      <c r="K812" s="3"/>
      <c r="L812" s="3"/>
      <c r="O812" s="3"/>
      <c r="P812" s="3"/>
      <c r="Q812" s="3"/>
      <c r="T812" s="3"/>
      <c r="U812" s="3"/>
      <c r="V812" s="3"/>
      <c r="Y812" s="3"/>
      <c r="Z812" s="3"/>
      <c r="AA812" s="3"/>
      <c r="AB812" s="3"/>
      <c r="AC812" s="3"/>
      <c r="AH812" s="3"/>
    </row>
    <row r="813" spans="5:34" s="1" customFormat="1">
      <c r="E813" s="3"/>
      <c r="F813" s="3"/>
      <c r="G813" s="3"/>
      <c r="J813" s="3"/>
      <c r="K813" s="3"/>
      <c r="L813" s="3"/>
      <c r="O813" s="3"/>
      <c r="P813" s="3"/>
      <c r="Q813" s="3"/>
      <c r="T813" s="3"/>
      <c r="U813" s="3"/>
      <c r="V813" s="3"/>
      <c r="Y813" s="3"/>
      <c r="Z813" s="3"/>
      <c r="AA813" s="3"/>
      <c r="AB813" s="3"/>
      <c r="AC813" s="3"/>
      <c r="AH813" s="3"/>
    </row>
    <row r="814" spans="5:34" s="1" customFormat="1">
      <c r="E814" s="3"/>
      <c r="F814" s="3"/>
      <c r="G814" s="3"/>
      <c r="J814" s="3"/>
      <c r="K814" s="3"/>
      <c r="L814" s="3"/>
      <c r="O814" s="3"/>
      <c r="P814" s="3"/>
      <c r="Q814" s="3"/>
      <c r="T814" s="3"/>
      <c r="U814" s="3"/>
      <c r="V814" s="3"/>
      <c r="Y814" s="3"/>
      <c r="Z814" s="3"/>
      <c r="AA814" s="3"/>
      <c r="AB814" s="3"/>
      <c r="AC814" s="3"/>
      <c r="AH814" s="3"/>
    </row>
    <row r="815" spans="5:34" s="1" customFormat="1">
      <c r="E815" s="3"/>
      <c r="F815" s="3"/>
      <c r="G815" s="3"/>
      <c r="J815" s="3"/>
      <c r="K815" s="3"/>
      <c r="L815" s="3"/>
      <c r="O815" s="3"/>
      <c r="P815" s="3"/>
      <c r="Q815" s="3"/>
      <c r="T815" s="3"/>
      <c r="U815" s="3"/>
      <c r="V815" s="3"/>
      <c r="Y815" s="3"/>
      <c r="Z815" s="3"/>
      <c r="AA815" s="3"/>
      <c r="AB815" s="3"/>
      <c r="AC815" s="3"/>
      <c r="AH815" s="3"/>
    </row>
    <row r="816" spans="5:34" s="1" customFormat="1">
      <c r="E816" s="3"/>
      <c r="F816" s="3"/>
      <c r="G816" s="3"/>
      <c r="J816" s="3"/>
      <c r="K816" s="3"/>
      <c r="L816" s="3"/>
      <c r="O816" s="3"/>
      <c r="P816" s="3"/>
      <c r="Q816" s="3"/>
      <c r="T816" s="3"/>
      <c r="U816" s="3"/>
      <c r="V816" s="3"/>
      <c r="Y816" s="3"/>
      <c r="Z816" s="3"/>
      <c r="AA816" s="3"/>
      <c r="AB816" s="3"/>
      <c r="AC816" s="3"/>
      <c r="AH816" s="3"/>
    </row>
    <row r="817" spans="5:34" s="1" customFormat="1">
      <c r="E817" s="3"/>
      <c r="F817" s="3"/>
      <c r="G817" s="3"/>
      <c r="J817" s="3"/>
      <c r="K817" s="3"/>
      <c r="L817" s="3"/>
      <c r="O817" s="3"/>
      <c r="P817" s="3"/>
      <c r="Q817" s="3"/>
      <c r="T817" s="3"/>
      <c r="U817" s="3"/>
      <c r="V817" s="3"/>
      <c r="Y817" s="3"/>
      <c r="Z817" s="3"/>
      <c r="AA817" s="3"/>
      <c r="AB817" s="3"/>
      <c r="AC817" s="3"/>
      <c r="AH817" s="3"/>
    </row>
    <row r="818" spans="5:34" s="1" customFormat="1">
      <c r="E818" s="3"/>
      <c r="F818" s="3"/>
      <c r="G818" s="3"/>
      <c r="J818" s="3"/>
      <c r="K818" s="3"/>
      <c r="L818" s="3"/>
      <c r="O818" s="3"/>
      <c r="P818" s="3"/>
      <c r="Q818" s="3"/>
      <c r="T818" s="3"/>
      <c r="U818" s="3"/>
      <c r="V818" s="3"/>
      <c r="Y818" s="3"/>
      <c r="Z818" s="3"/>
      <c r="AA818" s="3"/>
      <c r="AB818" s="3"/>
      <c r="AC818" s="3"/>
      <c r="AH818" s="3"/>
    </row>
    <row r="819" spans="5:34" s="1" customFormat="1">
      <c r="E819" s="3"/>
      <c r="F819" s="3"/>
      <c r="G819" s="3"/>
      <c r="J819" s="3"/>
      <c r="K819" s="3"/>
      <c r="L819" s="3"/>
      <c r="O819" s="3"/>
      <c r="P819" s="3"/>
      <c r="Q819" s="3"/>
      <c r="T819" s="3"/>
      <c r="U819" s="3"/>
      <c r="V819" s="3"/>
      <c r="Y819" s="3"/>
      <c r="Z819" s="3"/>
      <c r="AA819" s="3"/>
      <c r="AB819" s="3"/>
      <c r="AC819" s="3"/>
      <c r="AH819" s="3"/>
    </row>
    <row r="820" spans="5:34" s="1" customFormat="1">
      <c r="E820" s="3"/>
      <c r="F820" s="3"/>
      <c r="G820" s="3"/>
      <c r="J820" s="3"/>
      <c r="K820" s="3"/>
      <c r="L820" s="3"/>
      <c r="O820" s="3"/>
      <c r="P820" s="3"/>
      <c r="Q820" s="3"/>
      <c r="T820" s="3"/>
      <c r="U820" s="3"/>
      <c r="V820" s="3"/>
      <c r="Y820" s="3"/>
      <c r="Z820" s="3"/>
      <c r="AA820" s="3"/>
      <c r="AB820" s="3"/>
      <c r="AC820" s="3"/>
      <c r="AH820" s="3"/>
    </row>
    <row r="821" spans="5:34" s="1" customFormat="1">
      <c r="E821" s="3"/>
      <c r="F821" s="3"/>
      <c r="G821" s="3"/>
      <c r="J821" s="3"/>
      <c r="K821" s="3"/>
      <c r="L821" s="3"/>
      <c r="O821" s="3"/>
      <c r="P821" s="3"/>
      <c r="Q821" s="3"/>
      <c r="T821" s="3"/>
      <c r="U821" s="3"/>
      <c r="V821" s="3"/>
      <c r="Y821" s="3"/>
      <c r="Z821" s="3"/>
      <c r="AA821" s="3"/>
      <c r="AB821" s="3"/>
      <c r="AC821" s="3"/>
      <c r="AH821" s="3"/>
    </row>
    <row r="822" spans="5:34" s="1" customFormat="1">
      <c r="E822" s="3"/>
      <c r="F822" s="3"/>
      <c r="G822" s="3"/>
      <c r="J822" s="3"/>
      <c r="K822" s="3"/>
      <c r="L822" s="3"/>
      <c r="O822" s="3"/>
      <c r="P822" s="3"/>
      <c r="Q822" s="3"/>
      <c r="T822" s="3"/>
      <c r="U822" s="3"/>
      <c r="V822" s="3"/>
      <c r="Y822" s="3"/>
      <c r="Z822" s="3"/>
      <c r="AA822" s="3"/>
      <c r="AB822" s="3"/>
      <c r="AC822" s="3"/>
      <c r="AH822" s="3"/>
    </row>
    <row r="823" spans="5:34" s="1" customFormat="1">
      <c r="E823" s="3"/>
      <c r="F823" s="3"/>
      <c r="G823" s="3"/>
      <c r="J823" s="3"/>
      <c r="K823" s="3"/>
      <c r="L823" s="3"/>
      <c r="O823" s="3"/>
      <c r="P823" s="3"/>
      <c r="Q823" s="3"/>
      <c r="T823" s="3"/>
      <c r="U823" s="3"/>
      <c r="V823" s="3"/>
      <c r="Y823" s="3"/>
      <c r="Z823" s="3"/>
      <c r="AA823" s="3"/>
      <c r="AB823" s="3"/>
      <c r="AC823" s="3"/>
      <c r="AH823" s="3"/>
    </row>
    <row r="824" spans="5:34" s="1" customFormat="1">
      <c r="E824" s="3"/>
      <c r="F824" s="3"/>
      <c r="G824" s="3"/>
      <c r="J824" s="3"/>
      <c r="K824" s="3"/>
      <c r="L824" s="3"/>
      <c r="O824" s="3"/>
      <c r="P824" s="3"/>
      <c r="Q824" s="3"/>
      <c r="T824" s="3"/>
      <c r="U824" s="3"/>
      <c r="V824" s="3"/>
      <c r="Y824" s="3"/>
      <c r="Z824" s="3"/>
      <c r="AA824" s="3"/>
      <c r="AB824" s="3"/>
      <c r="AC824" s="3"/>
      <c r="AH824" s="3"/>
    </row>
    <row r="825" spans="5:34" s="1" customFormat="1">
      <c r="E825" s="3"/>
      <c r="F825" s="3"/>
      <c r="G825" s="3"/>
      <c r="J825" s="3"/>
      <c r="K825" s="3"/>
      <c r="L825" s="3"/>
      <c r="O825" s="3"/>
      <c r="P825" s="3"/>
      <c r="Q825" s="3"/>
      <c r="T825" s="3"/>
      <c r="U825" s="3"/>
      <c r="V825" s="3"/>
      <c r="Y825" s="3"/>
      <c r="Z825" s="3"/>
      <c r="AA825" s="3"/>
      <c r="AB825" s="3"/>
      <c r="AC825" s="3"/>
      <c r="AH825" s="3"/>
    </row>
    <row r="826" spans="5:34" s="1" customFormat="1">
      <c r="E826" s="3"/>
      <c r="F826" s="3"/>
      <c r="G826" s="3"/>
      <c r="J826" s="3"/>
      <c r="K826" s="3"/>
      <c r="L826" s="3"/>
      <c r="O826" s="3"/>
      <c r="P826" s="3"/>
      <c r="Q826" s="3"/>
      <c r="T826" s="3"/>
      <c r="U826" s="3"/>
      <c r="V826" s="3"/>
      <c r="Y826" s="3"/>
      <c r="Z826" s="3"/>
      <c r="AA826" s="3"/>
      <c r="AB826" s="3"/>
      <c r="AC826" s="3"/>
      <c r="AH826" s="3"/>
    </row>
    <row r="827" spans="5:34" s="1" customFormat="1">
      <c r="E827" s="3"/>
      <c r="F827" s="3"/>
      <c r="G827" s="3"/>
      <c r="J827" s="3"/>
      <c r="K827" s="3"/>
      <c r="L827" s="3"/>
      <c r="O827" s="3"/>
      <c r="P827" s="3"/>
      <c r="Q827" s="3"/>
      <c r="T827" s="3"/>
      <c r="U827" s="3"/>
      <c r="V827" s="3"/>
      <c r="Y827" s="3"/>
      <c r="Z827" s="3"/>
      <c r="AA827" s="3"/>
      <c r="AB827" s="3"/>
      <c r="AC827" s="3"/>
      <c r="AH827" s="3"/>
    </row>
    <row r="828" spans="5:34" s="1" customFormat="1">
      <c r="E828" s="3"/>
      <c r="F828" s="3"/>
      <c r="G828" s="3"/>
      <c r="J828" s="3"/>
      <c r="K828" s="3"/>
      <c r="L828" s="3"/>
      <c r="O828" s="3"/>
      <c r="P828" s="3"/>
      <c r="Q828" s="3"/>
      <c r="T828" s="3"/>
      <c r="U828" s="3"/>
      <c r="V828" s="3"/>
      <c r="Y828" s="3"/>
      <c r="Z828" s="3"/>
      <c r="AA828" s="3"/>
      <c r="AB828" s="3"/>
      <c r="AC828" s="3"/>
      <c r="AH828" s="3"/>
    </row>
    <row r="829" spans="5:34" s="1" customFormat="1">
      <c r="E829" s="3"/>
      <c r="F829" s="3"/>
      <c r="G829" s="3"/>
      <c r="J829" s="3"/>
      <c r="K829" s="3"/>
      <c r="L829" s="3"/>
      <c r="O829" s="3"/>
      <c r="P829" s="3"/>
      <c r="Q829" s="3"/>
      <c r="T829" s="3"/>
      <c r="U829" s="3"/>
      <c r="V829" s="3"/>
      <c r="Y829" s="3"/>
      <c r="Z829" s="3"/>
      <c r="AA829" s="3"/>
      <c r="AB829" s="3"/>
      <c r="AC829" s="3"/>
      <c r="AH829" s="3"/>
    </row>
    <row r="830" spans="5:34" s="1" customFormat="1">
      <c r="E830" s="3"/>
      <c r="F830" s="3"/>
      <c r="G830" s="3"/>
      <c r="J830" s="3"/>
      <c r="K830" s="3"/>
      <c r="L830" s="3"/>
      <c r="O830" s="3"/>
      <c r="P830" s="3"/>
      <c r="Q830" s="3"/>
      <c r="T830" s="3"/>
      <c r="U830" s="3"/>
      <c r="V830" s="3"/>
      <c r="Y830" s="3"/>
      <c r="Z830" s="3"/>
      <c r="AA830" s="3"/>
      <c r="AB830" s="3"/>
      <c r="AC830" s="3"/>
      <c r="AH830" s="3"/>
    </row>
    <row r="831" spans="5:34" s="1" customFormat="1">
      <c r="E831" s="3"/>
      <c r="F831" s="3"/>
      <c r="G831" s="3"/>
      <c r="J831" s="3"/>
      <c r="K831" s="3"/>
      <c r="L831" s="3"/>
      <c r="O831" s="3"/>
      <c r="P831" s="3"/>
      <c r="Q831" s="3"/>
      <c r="T831" s="3"/>
      <c r="U831" s="3"/>
      <c r="V831" s="3"/>
      <c r="Y831" s="3"/>
      <c r="Z831" s="3"/>
      <c r="AA831" s="3"/>
      <c r="AB831" s="3"/>
      <c r="AC831" s="3"/>
      <c r="AH831" s="3"/>
    </row>
    <row r="832" spans="5:34" s="1" customFormat="1">
      <c r="E832" s="3"/>
      <c r="F832" s="3"/>
      <c r="G832" s="3"/>
      <c r="J832" s="3"/>
      <c r="K832" s="3"/>
      <c r="L832" s="3"/>
      <c r="O832" s="3"/>
      <c r="P832" s="3"/>
      <c r="Q832" s="3"/>
      <c r="T832" s="3"/>
      <c r="U832" s="3"/>
      <c r="V832" s="3"/>
      <c r="Y832" s="3"/>
      <c r="Z832" s="3"/>
      <c r="AA832" s="3"/>
      <c r="AB832" s="3"/>
      <c r="AC832" s="3"/>
      <c r="AH832" s="3"/>
    </row>
    <row r="833" spans="5:34" s="1" customFormat="1">
      <c r="E833" s="3"/>
      <c r="F833" s="3"/>
      <c r="G833" s="3"/>
      <c r="J833" s="3"/>
      <c r="K833" s="3"/>
      <c r="L833" s="3"/>
      <c r="O833" s="3"/>
      <c r="P833" s="3"/>
      <c r="Q833" s="3"/>
      <c r="T833" s="3"/>
      <c r="U833" s="3"/>
      <c r="V833" s="3"/>
      <c r="Y833" s="3"/>
      <c r="Z833" s="3"/>
      <c r="AA833" s="3"/>
      <c r="AB833" s="3"/>
      <c r="AC833" s="3"/>
      <c r="AH833" s="3"/>
    </row>
    <row r="834" spans="5:34" s="1" customFormat="1">
      <c r="E834" s="3"/>
      <c r="F834" s="3"/>
      <c r="G834" s="3"/>
      <c r="J834" s="3"/>
      <c r="K834" s="3"/>
      <c r="L834" s="3"/>
      <c r="O834" s="3"/>
      <c r="P834" s="3"/>
      <c r="Q834" s="3"/>
      <c r="T834" s="3"/>
      <c r="U834" s="3"/>
      <c r="V834" s="3"/>
      <c r="Y834" s="3"/>
      <c r="Z834" s="3"/>
      <c r="AA834" s="3"/>
      <c r="AB834" s="3"/>
      <c r="AC834" s="3"/>
      <c r="AH834" s="3"/>
    </row>
    <row r="835" spans="5:34" s="1" customFormat="1">
      <c r="E835" s="3"/>
      <c r="F835" s="3"/>
      <c r="G835" s="3"/>
      <c r="J835" s="3"/>
      <c r="K835" s="3"/>
      <c r="L835" s="3"/>
      <c r="O835" s="3"/>
      <c r="P835" s="3"/>
      <c r="Q835" s="3"/>
      <c r="T835" s="3"/>
      <c r="U835" s="3"/>
      <c r="V835" s="3"/>
      <c r="Y835" s="3"/>
      <c r="Z835" s="3"/>
      <c r="AA835" s="3"/>
      <c r="AB835" s="3"/>
      <c r="AC835" s="3"/>
      <c r="AH835" s="3"/>
    </row>
    <row r="836" spans="5:34" s="1" customFormat="1">
      <c r="E836" s="3"/>
      <c r="F836" s="3"/>
      <c r="G836" s="3"/>
      <c r="J836" s="3"/>
      <c r="K836" s="3"/>
      <c r="L836" s="3"/>
      <c r="O836" s="3"/>
      <c r="P836" s="3"/>
      <c r="Q836" s="3"/>
      <c r="T836" s="3"/>
      <c r="U836" s="3"/>
      <c r="V836" s="3"/>
      <c r="Y836" s="3"/>
      <c r="Z836" s="3"/>
      <c r="AA836" s="3"/>
      <c r="AB836" s="3"/>
      <c r="AC836" s="3"/>
      <c r="AH836" s="3"/>
    </row>
    <row r="837" spans="5:34" s="1" customFormat="1">
      <c r="E837" s="3"/>
      <c r="F837" s="3"/>
      <c r="G837" s="3"/>
      <c r="J837" s="3"/>
      <c r="K837" s="3"/>
      <c r="L837" s="3"/>
      <c r="O837" s="3"/>
      <c r="P837" s="3"/>
      <c r="Q837" s="3"/>
      <c r="T837" s="3"/>
      <c r="U837" s="3"/>
      <c r="V837" s="3"/>
      <c r="Y837" s="3"/>
      <c r="Z837" s="3"/>
      <c r="AA837" s="3"/>
      <c r="AB837" s="3"/>
      <c r="AC837" s="3"/>
      <c r="AH837" s="3"/>
    </row>
    <row r="838" spans="5:34" s="1" customFormat="1">
      <c r="E838" s="3"/>
      <c r="F838" s="3"/>
      <c r="G838" s="3"/>
      <c r="J838" s="3"/>
      <c r="K838" s="3"/>
      <c r="L838" s="3"/>
      <c r="O838" s="3"/>
      <c r="P838" s="3"/>
      <c r="Q838" s="3"/>
      <c r="T838" s="3"/>
      <c r="U838" s="3"/>
      <c r="V838" s="3"/>
      <c r="Y838" s="3"/>
      <c r="Z838" s="3"/>
      <c r="AA838" s="3"/>
      <c r="AB838" s="3"/>
      <c r="AC838" s="3"/>
      <c r="AH838" s="3"/>
    </row>
    <row r="839" spans="5:34" s="1" customFormat="1">
      <c r="E839" s="3"/>
      <c r="F839" s="3"/>
      <c r="G839" s="3"/>
      <c r="J839" s="3"/>
      <c r="K839" s="3"/>
      <c r="L839" s="3"/>
      <c r="O839" s="3"/>
      <c r="P839" s="3"/>
      <c r="Q839" s="3"/>
      <c r="T839" s="3"/>
      <c r="U839" s="3"/>
      <c r="V839" s="3"/>
      <c r="Y839" s="3"/>
      <c r="Z839" s="3"/>
      <c r="AA839" s="3"/>
      <c r="AB839" s="3"/>
      <c r="AC839" s="3"/>
      <c r="AH839" s="3"/>
    </row>
    <row r="840" spans="5:34" s="1" customFormat="1">
      <c r="E840" s="3"/>
      <c r="F840" s="3"/>
      <c r="G840" s="3"/>
      <c r="J840" s="3"/>
      <c r="K840" s="3"/>
      <c r="L840" s="3"/>
      <c r="O840" s="3"/>
      <c r="P840" s="3"/>
      <c r="Q840" s="3"/>
      <c r="T840" s="3"/>
      <c r="U840" s="3"/>
      <c r="V840" s="3"/>
      <c r="Y840" s="3"/>
      <c r="Z840" s="3"/>
      <c r="AA840" s="3"/>
      <c r="AB840" s="3"/>
      <c r="AC840" s="3"/>
      <c r="AH840" s="3"/>
    </row>
    <row r="841" spans="5:34" s="1" customFormat="1">
      <c r="E841" s="3"/>
      <c r="F841" s="3"/>
      <c r="G841" s="3"/>
      <c r="J841" s="3"/>
      <c r="K841" s="3"/>
      <c r="L841" s="3"/>
      <c r="O841" s="3"/>
      <c r="P841" s="3"/>
      <c r="Q841" s="3"/>
      <c r="T841" s="3"/>
      <c r="U841" s="3"/>
      <c r="V841" s="3"/>
      <c r="Y841" s="3"/>
      <c r="Z841" s="3"/>
      <c r="AA841" s="3"/>
      <c r="AB841" s="3"/>
      <c r="AC841" s="3"/>
      <c r="AH841" s="3"/>
    </row>
    <row r="842" spans="5:34" s="1" customFormat="1">
      <c r="E842" s="3"/>
      <c r="F842" s="3"/>
      <c r="G842" s="3"/>
      <c r="J842" s="3"/>
      <c r="K842" s="3"/>
      <c r="L842" s="3"/>
      <c r="O842" s="3"/>
      <c r="P842" s="3"/>
      <c r="Q842" s="3"/>
      <c r="T842" s="3"/>
      <c r="U842" s="3"/>
      <c r="V842" s="3"/>
      <c r="Y842" s="3"/>
      <c r="Z842" s="3"/>
      <c r="AA842" s="3"/>
      <c r="AB842" s="3"/>
      <c r="AC842" s="3"/>
      <c r="AH842" s="3"/>
    </row>
    <row r="843" spans="5:34" s="1" customFormat="1">
      <c r="E843" s="3"/>
      <c r="F843" s="3"/>
      <c r="G843" s="3"/>
      <c r="J843" s="3"/>
      <c r="K843" s="3"/>
      <c r="L843" s="3"/>
      <c r="O843" s="3"/>
      <c r="P843" s="3"/>
      <c r="Q843" s="3"/>
      <c r="T843" s="3"/>
      <c r="U843" s="3"/>
      <c r="V843" s="3"/>
      <c r="Y843" s="3"/>
      <c r="Z843" s="3"/>
      <c r="AA843" s="3"/>
      <c r="AB843" s="3"/>
      <c r="AC843" s="3"/>
      <c r="AH843" s="3"/>
    </row>
    <row r="844" spans="5:34" s="1" customFormat="1">
      <c r="E844" s="3"/>
      <c r="F844" s="3"/>
      <c r="G844" s="3"/>
      <c r="J844" s="3"/>
      <c r="K844" s="3"/>
      <c r="L844" s="3"/>
      <c r="O844" s="3"/>
      <c r="P844" s="3"/>
      <c r="Q844" s="3"/>
      <c r="T844" s="3"/>
      <c r="U844" s="3"/>
      <c r="V844" s="3"/>
      <c r="Y844" s="3"/>
      <c r="Z844" s="3"/>
      <c r="AA844" s="3"/>
      <c r="AB844" s="3"/>
      <c r="AC844" s="3"/>
      <c r="AH844" s="3"/>
    </row>
    <row r="845" spans="5:34" s="1" customFormat="1">
      <c r="E845" s="3"/>
      <c r="F845" s="3"/>
      <c r="G845" s="3"/>
      <c r="J845" s="3"/>
      <c r="K845" s="3"/>
      <c r="L845" s="3"/>
      <c r="O845" s="3"/>
      <c r="P845" s="3"/>
      <c r="Q845" s="3"/>
      <c r="T845" s="3"/>
      <c r="U845" s="3"/>
      <c r="V845" s="3"/>
      <c r="Y845" s="3"/>
      <c r="Z845" s="3"/>
      <c r="AA845" s="3"/>
      <c r="AB845" s="3"/>
      <c r="AC845" s="3"/>
      <c r="AH845" s="3"/>
    </row>
    <row r="846" spans="5:34" s="1" customFormat="1">
      <c r="E846" s="3"/>
      <c r="F846" s="3"/>
      <c r="G846" s="3"/>
      <c r="J846" s="3"/>
      <c r="K846" s="3"/>
      <c r="L846" s="3"/>
      <c r="O846" s="3"/>
      <c r="P846" s="3"/>
      <c r="Q846" s="3"/>
      <c r="T846" s="3"/>
      <c r="U846" s="3"/>
      <c r="V846" s="3"/>
      <c r="Y846" s="3"/>
      <c r="Z846" s="3"/>
      <c r="AA846" s="3"/>
      <c r="AB846" s="3"/>
      <c r="AC846" s="3"/>
      <c r="AH846" s="3"/>
    </row>
    <row r="847" spans="5:34" s="1" customFormat="1">
      <c r="E847" s="3"/>
      <c r="F847" s="3"/>
      <c r="G847" s="3"/>
      <c r="J847" s="3"/>
      <c r="K847" s="3"/>
      <c r="L847" s="3"/>
      <c r="O847" s="3"/>
      <c r="P847" s="3"/>
      <c r="Q847" s="3"/>
      <c r="T847" s="3"/>
      <c r="U847" s="3"/>
      <c r="V847" s="3"/>
      <c r="Y847" s="3"/>
      <c r="Z847" s="3"/>
      <c r="AA847" s="3"/>
      <c r="AB847" s="3"/>
      <c r="AC847" s="3"/>
      <c r="AH847" s="3"/>
    </row>
    <row r="848" spans="5:34" s="1" customFormat="1">
      <c r="E848" s="3"/>
      <c r="F848" s="3"/>
      <c r="G848" s="3"/>
      <c r="J848" s="3"/>
      <c r="K848" s="3"/>
      <c r="L848" s="3"/>
      <c r="O848" s="3"/>
      <c r="P848" s="3"/>
      <c r="Q848" s="3"/>
      <c r="T848" s="3"/>
      <c r="U848" s="3"/>
      <c r="V848" s="3"/>
      <c r="Y848" s="3"/>
      <c r="Z848" s="3"/>
      <c r="AA848" s="3"/>
      <c r="AB848" s="3"/>
      <c r="AC848" s="3"/>
      <c r="AH848" s="3"/>
    </row>
    <row r="849" spans="5:34" s="1" customFormat="1">
      <c r="E849" s="3"/>
      <c r="F849" s="3"/>
      <c r="G849" s="3"/>
      <c r="J849" s="3"/>
      <c r="K849" s="3"/>
      <c r="L849" s="3"/>
      <c r="O849" s="3"/>
      <c r="P849" s="3"/>
      <c r="Q849" s="3"/>
      <c r="T849" s="3"/>
      <c r="U849" s="3"/>
      <c r="V849" s="3"/>
      <c r="Y849" s="3"/>
      <c r="Z849" s="3"/>
      <c r="AA849" s="3"/>
      <c r="AB849" s="3"/>
      <c r="AC849" s="3"/>
      <c r="AH849" s="3"/>
    </row>
    <row r="850" spans="5:34" s="1" customFormat="1">
      <c r="E850" s="3"/>
      <c r="F850" s="3"/>
      <c r="G850" s="3"/>
      <c r="J850" s="3"/>
      <c r="K850" s="3"/>
      <c r="L850" s="3"/>
      <c r="O850" s="3"/>
      <c r="P850" s="3"/>
      <c r="Q850" s="3"/>
      <c r="T850" s="3"/>
      <c r="U850" s="3"/>
      <c r="V850" s="3"/>
      <c r="Y850" s="3"/>
      <c r="Z850" s="3"/>
      <c r="AA850" s="3"/>
      <c r="AB850" s="3"/>
      <c r="AC850" s="3"/>
      <c r="AH850" s="3"/>
    </row>
    <row r="851" spans="5:34" s="1" customFormat="1">
      <c r="E851" s="3"/>
      <c r="F851" s="3"/>
      <c r="G851" s="3"/>
      <c r="J851" s="3"/>
      <c r="K851" s="3"/>
      <c r="L851" s="3"/>
      <c r="O851" s="3"/>
      <c r="P851" s="3"/>
      <c r="Q851" s="3"/>
      <c r="T851" s="3"/>
      <c r="U851" s="3"/>
      <c r="V851" s="3"/>
      <c r="Y851" s="3"/>
      <c r="Z851" s="3"/>
      <c r="AA851" s="3"/>
      <c r="AB851" s="3"/>
      <c r="AC851" s="3"/>
      <c r="AH851" s="3"/>
    </row>
    <row r="852" spans="5:34" s="1" customFormat="1">
      <c r="E852" s="3"/>
      <c r="F852" s="3"/>
      <c r="G852" s="3"/>
      <c r="J852" s="3"/>
      <c r="K852" s="3"/>
      <c r="L852" s="3"/>
      <c r="O852" s="3"/>
      <c r="P852" s="3"/>
      <c r="Q852" s="3"/>
      <c r="T852" s="3"/>
      <c r="U852" s="3"/>
      <c r="V852" s="3"/>
      <c r="Y852" s="3"/>
      <c r="Z852" s="3"/>
      <c r="AA852" s="3"/>
      <c r="AB852" s="3"/>
      <c r="AC852" s="3"/>
      <c r="AH852" s="3"/>
    </row>
    <row r="853" spans="5:34" s="1" customFormat="1">
      <c r="E853" s="3"/>
      <c r="F853" s="3"/>
      <c r="G853" s="3"/>
      <c r="J853" s="3"/>
      <c r="K853" s="3"/>
      <c r="L853" s="3"/>
      <c r="O853" s="3"/>
      <c r="P853" s="3"/>
      <c r="Q853" s="3"/>
      <c r="T853" s="3"/>
      <c r="U853" s="3"/>
      <c r="V853" s="3"/>
      <c r="Y853" s="3"/>
      <c r="Z853" s="3"/>
      <c r="AA853" s="3"/>
      <c r="AB853" s="3"/>
      <c r="AC853" s="3"/>
      <c r="AH853" s="3"/>
    </row>
    <row r="854" spans="5:34" s="1" customFormat="1">
      <c r="E854" s="3"/>
      <c r="F854" s="3"/>
      <c r="G854" s="3"/>
      <c r="J854" s="3"/>
      <c r="K854" s="3"/>
      <c r="L854" s="3"/>
      <c r="O854" s="3"/>
      <c r="P854" s="3"/>
      <c r="Q854" s="3"/>
      <c r="T854" s="3"/>
      <c r="U854" s="3"/>
      <c r="V854" s="3"/>
      <c r="Y854" s="3"/>
      <c r="Z854" s="3"/>
      <c r="AA854" s="3"/>
      <c r="AB854" s="3"/>
      <c r="AC854" s="3"/>
      <c r="AH854" s="3"/>
    </row>
    <row r="855" spans="5:34" s="1" customFormat="1">
      <c r="E855" s="3"/>
      <c r="F855" s="3"/>
      <c r="G855" s="3"/>
      <c r="J855" s="3"/>
      <c r="K855" s="3"/>
      <c r="L855" s="3"/>
      <c r="O855" s="3"/>
      <c r="P855" s="3"/>
      <c r="Q855" s="3"/>
      <c r="T855" s="3"/>
      <c r="U855" s="3"/>
      <c r="V855" s="3"/>
      <c r="Y855" s="3"/>
      <c r="Z855" s="3"/>
      <c r="AA855" s="3"/>
      <c r="AB855" s="3"/>
      <c r="AC855" s="3"/>
      <c r="AH855" s="3"/>
    </row>
    <row r="856" spans="5:34" s="1" customFormat="1">
      <c r="E856" s="3"/>
      <c r="F856" s="3"/>
      <c r="G856" s="3"/>
      <c r="J856" s="3"/>
      <c r="K856" s="3"/>
      <c r="L856" s="3"/>
      <c r="O856" s="3"/>
      <c r="P856" s="3"/>
      <c r="Q856" s="3"/>
      <c r="T856" s="3"/>
      <c r="U856" s="3"/>
      <c r="V856" s="3"/>
      <c r="Y856" s="3"/>
      <c r="Z856" s="3"/>
      <c r="AA856" s="3"/>
      <c r="AB856" s="3"/>
      <c r="AC856" s="3"/>
      <c r="AH856" s="3"/>
    </row>
    <row r="857" spans="5:34" s="1" customFormat="1">
      <c r="E857" s="3"/>
      <c r="F857" s="3"/>
      <c r="G857" s="3"/>
      <c r="J857" s="3"/>
      <c r="K857" s="3"/>
      <c r="L857" s="3"/>
      <c r="O857" s="3"/>
      <c r="P857" s="3"/>
      <c r="Q857" s="3"/>
      <c r="T857" s="3"/>
      <c r="U857" s="3"/>
      <c r="V857" s="3"/>
      <c r="Y857" s="3"/>
      <c r="Z857" s="3"/>
      <c r="AA857" s="3"/>
      <c r="AB857" s="3"/>
      <c r="AC857" s="3"/>
      <c r="AH857" s="3"/>
    </row>
    <row r="858" spans="5:34" s="1" customFormat="1">
      <c r="E858" s="3"/>
      <c r="F858" s="3"/>
      <c r="G858" s="3"/>
      <c r="J858" s="3"/>
      <c r="K858" s="3"/>
      <c r="L858" s="3"/>
      <c r="O858" s="3"/>
      <c r="P858" s="3"/>
      <c r="Q858" s="3"/>
      <c r="T858" s="3"/>
      <c r="U858" s="3"/>
      <c r="V858" s="3"/>
      <c r="Y858" s="3"/>
      <c r="Z858" s="3"/>
      <c r="AA858" s="3"/>
      <c r="AB858" s="3"/>
      <c r="AC858" s="3"/>
      <c r="AH858" s="3"/>
    </row>
    <row r="859" spans="5:34" s="1" customFormat="1">
      <c r="E859" s="3"/>
      <c r="F859" s="3"/>
      <c r="G859" s="3"/>
      <c r="J859" s="3"/>
      <c r="K859" s="3"/>
      <c r="L859" s="3"/>
      <c r="O859" s="3"/>
      <c r="P859" s="3"/>
      <c r="Q859" s="3"/>
      <c r="T859" s="3"/>
      <c r="U859" s="3"/>
      <c r="V859" s="3"/>
      <c r="Y859" s="3"/>
      <c r="Z859" s="3"/>
      <c r="AA859" s="3"/>
      <c r="AB859" s="3"/>
      <c r="AC859" s="3"/>
      <c r="AH859" s="3"/>
    </row>
    <row r="860" spans="5:34" s="1" customFormat="1">
      <c r="E860" s="3"/>
      <c r="F860" s="3"/>
      <c r="G860" s="3"/>
      <c r="J860" s="3"/>
      <c r="K860" s="3"/>
      <c r="L860" s="3"/>
      <c r="O860" s="3"/>
      <c r="P860" s="3"/>
      <c r="Q860" s="3"/>
      <c r="T860" s="3"/>
      <c r="U860" s="3"/>
      <c r="V860" s="3"/>
      <c r="Y860" s="3"/>
      <c r="Z860" s="3"/>
      <c r="AA860" s="3"/>
      <c r="AB860" s="3"/>
      <c r="AC860" s="3"/>
      <c r="AH860" s="3"/>
    </row>
    <row r="861" spans="5:34" s="1" customFormat="1">
      <c r="E861" s="3"/>
      <c r="F861" s="3"/>
      <c r="G861" s="3"/>
      <c r="J861" s="3"/>
      <c r="K861" s="3"/>
      <c r="L861" s="3"/>
      <c r="O861" s="3"/>
      <c r="P861" s="3"/>
      <c r="Q861" s="3"/>
      <c r="T861" s="3"/>
      <c r="U861" s="3"/>
      <c r="V861" s="3"/>
      <c r="Y861" s="3"/>
      <c r="Z861" s="3"/>
      <c r="AA861" s="3"/>
      <c r="AB861" s="3"/>
      <c r="AC861" s="3"/>
      <c r="AH861" s="3"/>
    </row>
    <row r="862" spans="5:34" s="1" customFormat="1">
      <c r="E862" s="3"/>
      <c r="F862" s="3"/>
      <c r="G862" s="3"/>
      <c r="J862" s="3"/>
      <c r="K862" s="3"/>
      <c r="L862" s="3"/>
      <c r="O862" s="3"/>
      <c r="P862" s="3"/>
      <c r="Q862" s="3"/>
      <c r="T862" s="3"/>
      <c r="U862" s="3"/>
      <c r="V862" s="3"/>
      <c r="Y862" s="3"/>
      <c r="Z862" s="3"/>
      <c r="AA862" s="3"/>
      <c r="AB862" s="3"/>
      <c r="AC862" s="3"/>
      <c r="AH862" s="3"/>
    </row>
    <row r="863" spans="5:34" s="1" customFormat="1">
      <c r="E863" s="3"/>
      <c r="F863" s="3"/>
      <c r="G863" s="3"/>
      <c r="J863" s="3"/>
      <c r="K863" s="3"/>
      <c r="L863" s="3"/>
      <c r="O863" s="3"/>
      <c r="P863" s="3"/>
      <c r="Q863" s="3"/>
      <c r="T863" s="3"/>
      <c r="U863" s="3"/>
      <c r="V863" s="3"/>
      <c r="Y863" s="3"/>
      <c r="Z863" s="3"/>
      <c r="AA863" s="3"/>
      <c r="AB863" s="3"/>
      <c r="AC863" s="3"/>
      <c r="AH863" s="3"/>
    </row>
    <row r="864" spans="5:34" s="1" customFormat="1">
      <c r="E864" s="3"/>
      <c r="F864" s="3"/>
      <c r="G864" s="3"/>
      <c r="J864" s="3"/>
      <c r="K864" s="3"/>
      <c r="L864" s="3"/>
      <c r="O864" s="3"/>
      <c r="P864" s="3"/>
      <c r="Q864" s="3"/>
      <c r="T864" s="3"/>
      <c r="U864" s="3"/>
      <c r="V864" s="3"/>
      <c r="Y864" s="3"/>
      <c r="Z864" s="3"/>
      <c r="AA864" s="3"/>
      <c r="AB864" s="3"/>
      <c r="AC864" s="3"/>
      <c r="AH864" s="3"/>
    </row>
    <row r="865" spans="5:34" s="1" customFormat="1">
      <c r="E865" s="3"/>
      <c r="F865" s="3"/>
      <c r="G865" s="3"/>
      <c r="J865" s="3"/>
      <c r="K865" s="3"/>
      <c r="L865" s="3"/>
      <c r="O865" s="3"/>
      <c r="P865" s="3"/>
      <c r="Q865" s="3"/>
      <c r="T865" s="3"/>
      <c r="U865" s="3"/>
      <c r="V865" s="3"/>
      <c r="Y865" s="3"/>
      <c r="Z865" s="3"/>
      <c r="AA865" s="3"/>
      <c r="AB865" s="3"/>
      <c r="AC865" s="3"/>
      <c r="AH865" s="3"/>
    </row>
    <row r="866" spans="5:34" s="1" customFormat="1">
      <c r="E866" s="3"/>
      <c r="F866" s="3"/>
      <c r="G866" s="3"/>
      <c r="J866" s="3"/>
      <c r="K866" s="3"/>
      <c r="L866" s="3"/>
      <c r="O866" s="3"/>
      <c r="P866" s="3"/>
      <c r="Q866" s="3"/>
      <c r="T866" s="3"/>
      <c r="U866" s="3"/>
      <c r="V866" s="3"/>
      <c r="Y866" s="3"/>
      <c r="Z866" s="3"/>
      <c r="AA866" s="3"/>
      <c r="AB866" s="3"/>
      <c r="AC866" s="3"/>
      <c r="AH866" s="3"/>
    </row>
    <row r="867" spans="5:34" s="1" customFormat="1">
      <c r="E867" s="3"/>
      <c r="F867" s="3"/>
      <c r="G867" s="3"/>
      <c r="J867" s="3"/>
      <c r="K867" s="3"/>
      <c r="L867" s="3"/>
      <c r="O867" s="3"/>
      <c r="P867" s="3"/>
      <c r="Q867" s="3"/>
      <c r="T867" s="3"/>
      <c r="U867" s="3"/>
      <c r="V867" s="3"/>
      <c r="Y867" s="3"/>
      <c r="Z867" s="3"/>
      <c r="AA867" s="3"/>
      <c r="AB867" s="3"/>
      <c r="AC867" s="3"/>
      <c r="AH867" s="3"/>
    </row>
    <row r="868" spans="5:34" s="1" customFormat="1">
      <c r="E868" s="3"/>
      <c r="F868" s="3"/>
      <c r="G868" s="3"/>
      <c r="J868" s="3"/>
      <c r="K868" s="3"/>
      <c r="L868" s="3"/>
      <c r="O868" s="3"/>
      <c r="P868" s="3"/>
      <c r="Q868" s="3"/>
      <c r="T868" s="3"/>
      <c r="U868" s="3"/>
      <c r="V868" s="3"/>
      <c r="Y868" s="3"/>
      <c r="Z868" s="3"/>
      <c r="AA868" s="3"/>
      <c r="AB868" s="3"/>
      <c r="AC868" s="3"/>
      <c r="AH868" s="3"/>
    </row>
    <row r="869" spans="5:34" s="1" customFormat="1">
      <c r="E869" s="3"/>
      <c r="F869" s="3"/>
      <c r="G869" s="3"/>
      <c r="J869" s="3"/>
      <c r="K869" s="3"/>
      <c r="L869" s="3"/>
      <c r="O869" s="3"/>
      <c r="P869" s="3"/>
      <c r="Q869" s="3"/>
      <c r="T869" s="3"/>
      <c r="U869" s="3"/>
      <c r="V869" s="3"/>
      <c r="Y869" s="3"/>
      <c r="Z869" s="3"/>
      <c r="AA869" s="3"/>
      <c r="AB869" s="3"/>
      <c r="AC869" s="3"/>
      <c r="AH869" s="3"/>
    </row>
    <row r="870" spans="5:34" s="1" customFormat="1">
      <c r="E870" s="3"/>
      <c r="F870" s="3"/>
      <c r="G870" s="3"/>
      <c r="J870" s="3"/>
      <c r="K870" s="3"/>
      <c r="L870" s="3"/>
      <c r="O870" s="3"/>
      <c r="P870" s="3"/>
      <c r="Q870" s="3"/>
      <c r="T870" s="3"/>
      <c r="U870" s="3"/>
      <c r="V870" s="3"/>
      <c r="Y870" s="3"/>
      <c r="Z870" s="3"/>
      <c r="AA870" s="3"/>
      <c r="AB870" s="3"/>
      <c r="AC870" s="3"/>
      <c r="AH870" s="3"/>
    </row>
    <row r="871" spans="5:34" s="1" customFormat="1">
      <c r="E871" s="3"/>
      <c r="F871" s="3"/>
      <c r="G871" s="3"/>
      <c r="J871" s="3"/>
      <c r="K871" s="3"/>
      <c r="L871" s="3"/>
      <c r="O871" s="3"/>
      <c r="P871" s="3"/>
      <c r="Q871" s="3"/>
      <c r="T871" s="3"/>
      <c r="U871" s="3"/>
      <c r="V871" s="3"/>
      <c r="Y871" s="3"/>
      <c r="Z871" s="3"/>
      <c r="AA871" s="3"/>
      <c r="AB871" s="3"/>
      <c r="AC871" s="3"/>
      <c r="AH871" s="3"/>
    </row>
    <row r="872" spans="5:34" s="1" customFormat="1">
      <c r="E872" s="3"/>
      <c r="F872" s="3"/>
      <c r="G872" s="3"/>
      <c r="J872" s="3"/>
      <c r="K872" s="3"/>
      <c r="L872" s="3"/>
      <c r="O872" s="3"/>
      <c r="P872" s="3"/>
      <c r="Q872" s="3"/>
      <c r="T872" s="3"/>
      <c r="U872" s="3"/>
      <c r="V872" s="3"/>
      <c r="Y872" s="3"/>
      <c r="Z872" s="3"/>
      <c r="AA872" s="3"/>
      <c r="AB872" s="3"/>
      <c r="AC872" s="3"/>
      <c r="AH872" s="3"/>
    </row>
    <row r="873" spans="5:34" s="1" customFormat="1">
      <c r="E873" s="3"/>
      <c r="F873" s="3"/>
      <c r="G873" s="3"/>
      <c r="J873" s="3"/>
      <c r="K873" s="3"/>
      <c r="L873" s="3"/>
      <c r="O873" s="3"/>
      <c r="P873" s="3"/>
      <c r="Q873" s="3"/>
      <c r="T873" s="3"/>
      <c r="U873" s="3"/>
      <c r="V873" s="3"/>
      <c r="Y873" s="3"/>
      <c r="Z873" s="3"/>
      <c r="AA873" s="3"/>
      <c r="AB873" s="3"/>
      <c r="AC873" s="3"/>
      <c r="AH873" s="3"/>
    </row>
    <row r="874" spans="5:34" s="1" customFormat="1">
      <c r="E874" s="3"/>
      <c r="F874" s="3"/>
      <c r="G874" s="3"/>
      <c r="J874" s="3"/>
      <c r="K874" s="3"/>
      <c r="L874" s="3"/>
      <c r="O874" s="3"/>
      <c r="P874" s="3"/>
      <c r="Q874" s="3"/>
      <c r="T874" s="3"/>
      <c r="U874" s="3"/>
      <c r="V874" s="3"/>
      <c r="Y874" s="3"/>
      <c r="Z874" s="3"/>
      <c r="AA874" s="3"/>
      <c r="AB874" s="3"/>
      <c r="AC874" s="3"/>
      <c r="AH874" s="3"/>
    </row>
    <row r="875" spans="5:34" s="1" customFormat="1">
      <c r="E875" s="3"/>
      <c r="F875" s="3"/>
      <c r="G875" s="3"/>
      <c r="J875" s="3"/>
      <c r="K875" s="3"/>
      <c r="L875" s="3"/>
      <c r="O875" s="3"/>
      <c r="P875" s="3"/>
      <c r="Q875" s="3"/>
      <c r="T875" s="3"/>
      <c r="U875" s="3"/>
      <c r="V875" s="3"/>
      <c r="Y875" s="3"/>
      <c r="Z875" s="3"/>
      <c r="AA875" s="3"/>
      <c r="AB875" s="3"/>
      <c r="AC875" s="3"/>
      <c r="AH875" s="3"/>
    </row>
    <row r="876" spans="5:34" s="1" customFormat="1">
      <c r="E876" s="3"/>
      <c r="F876" s="3"/>
      <c r="G876" s="3"/>
      <c r="J876" s="3"/>
      <c r="K876" s="3"/>
      <c r="L876" s="3"/>
      <c r="O876" s="3"/>
      <c r="P876" s="3"/>
      <c r="Q876" s="3"/>
      <c r="T876" s="3"/>
      <c r="U876" s="3"/>
      <c r="V876" s="3"/>
      <c r="Y876" s="3"/>
      <c r="Z876" s="3"/>
      <c r="AA876" s="3"/>
      <c r="AB876" s="3"/>
      <c r="AC876" s="3"/>
      <c r="AH876" s="3"/>
    </row>
    <row r="877" spans="5:34" s="1" customFormat="1">
      <c r="E877" s="3"/>
      <c r="F877" s="3"/>
      <c r="G877" s="3"/>
      <c r="J877" s="3"/>
      <c r="K877" s="3"/>
      <c r="L877" s="3"/>
      <c r="O877" s="3"/>
      <c r="P877" s="3"/>
      <c r="Q877" s="3"/>
      <c r="T877" s="3"/>
      <c r="U877" s="3"/>
      <c r="V877" s="3"/>
      <c r="Y877" s="3"/>
      <c r="Z877" s="3"/>
      <c r="AA877" s="3"/>
      <c r="AB877" s="3"/>
      <c r="AC877" s="3"/>
      <c r="AH877" s="3"/>
    </row>
    <row r="878" spans="5:34" s="1" customFormat="1">
      <c r="E878" s="3"/>
      <c r="F878" s="3"/>
      <c r="G878" s="3"/>
      <c r="J878" s="3"/>
      <c r="K878" s="3"/>
      <c r="L878" s="3"/>
      <c r="O878" s="3"/>
      <c r="P878" s="3"/>
      <c r="Q878" s="3"/>
      <c r="T878" s="3"/>
      <c r="U878" s="3"/>
      <c r="V878" s="3"/>
      <c r="Y878" s="3"/>
      <c r="Z878" s="3"/>
      <c r="AA878" s="3"/>
      <c r="AB878" s="3"/>
      <c r="AC878" s="3"/>
      <c r="AH878" s="3"/>
    </row>
    <row r="879" spans="5:34" s="1" customFormat="1">
      <c r="E879" s="3"/>
      <c r="F879" s="3"/>
      <c r="G879" s="3"/>
      <c r="J879" s="3"/>
      <c r="K879" s="3"/>
      <c r="L879" s="3"/>
      <c r="O879" s="3"/>
      <c r="P879" s="3"/>
      <c r="Q879" s="3"/>
      <c r="T879" s="3"/>
      <c r="U879" s="3"/>
      <c r="V879" s="3"/>
      <c r="Y879" s="3"/>
      <c r="Z879" s="3"/>
      <c r="AA879" s="3"/>
      <c r="AB879" s="3"/>
      <c r="AC879" s="3"/>
      <c r="AH879" s="3"/>
    </row>
    <row r="880" spans="5:34" s="1" customFormat="1">
      <c r="E880" s="3"/>
      <c r="F880" s="3"/>
      <c r="G880" s="3"/>
      <c r="J880" s="3"/>
      <c r="K880" s="3"/>
      <c r="L880" s="3"/>
      <c r="O880" s="3"/>
      <c r="P880" s="3"/>
      <c r="Q880" s="3"/>
      <c r="T880" s="3"/>
      <c r="U880" s="3"/>
      <c r="V880" s="3"/>
      <c r="Y880" s="3"/>
      <c r="Z880" s="3"/>
      <c r="AA880" s="3"/>
      <c r="AB880" s="3"/>
      <c r="AC880" s="3"/>
      <c r="AH880" s="3"/>
    </row>
    <row r="881" spans="5:34" s="1" customFormat="1">
      <c r="E881" s="3"/>
      <c r="F881" s="3"/>
      <c r="G881" s="3"/>
      <c r="J881" s="3"/>
      <c r="K881" s="3"/>
      <c r="L881" s="3"/>
      <c r="O881" s="3"/>
      <c r="P881" s="3"/>
      <c r="Q881" s="3"/>
      <c r="T881" s="3"/>
      <c r="U881" s="3"/>
      <c r="V881" s="3"/>
      <c r="Y881" s="3"/>
      <c r="Z881" s="3"/>
      <c r="AA881" s="3"/>
      <c r="AB881" s="3"/>
      <c r="AC881" s="3"/>
      <c r="AH881" s="3"/>
    </row>
    <row r="882" spans="5:34" s="1" customFormat="1">
      <c r="E882" s="3"/>
      <c r="F882" s="3"/>
      <c r="G882" s="3"/>
      <c r="J882" s="3"/>
      <c r="K882" s="3"/>
      <c r="L882" s="3"/>
      <c r="O882" s="3"/>
      <c r="P882" s="3"/>
      <c r="Q882" s="3"/>
      <c r="T882" s="3"/>
      <c r="U882" s="3"/>
      <c r="V882" s="3"/>
      <c r="Y882" s="3"/>
      <c r="Z882" s="3"/>
      <c r="AA882" s="3"/>
      <c r="AB882" s="3"/>
      <c r="AC882" s="3"/>
      <c r="AH882" s="3"/>
    </row>
    <row r="883" spans="5:34" s="1" customFormat="1">
      <c r="E883" s="3"/>
      <c r="F883" s="3"/>
      <c r="G883" s="3"/>
      <c r="J883" s="3"/>
      <c r="K883" s="3"/>
      <c r="L883" s="3"/>
      <c r="O883" s="3"/>
      <c r="P883" s="3"/>
      <c r="Q883" s="3"/>
      <c r="T883" s="3"/>
      <c r="U883" s="3"/>
      <c r="V883" s="3"/>
      <c r="Y883" s="3"/>
      <c r="Z883" s="3"/>
      <c r="AA883" s="3"/>
      <c r="AB883" s="3"/>
      <c r="AC883" s="3"/>
      <c r="AH883" s="3"/>
    </row>
    <row r="884" spans="5:34" s="1" customFormat="1">
      <c r="E884" s="3"/>
      <c r="F884" s="3"/>
      <c r="G884" s="3"/>
      <c r="J884" s="3"/>
      <c r="K884" s="3"/>
      <c r="L884" s="3"/>
      <c r="O884" s="3"/>
      <c r="P884" s="3"/>
      <c r="Q884" s="3"/>
      <c r="T884" s="3"/>
      <c r="U884" s="3"/>
      <c r="V884" s="3"/>
      <c r="Y884" s="3"/>
      <c r="Z884" s="3"/>
      <c r="AA884" s="3"/>
      <c r="AB884" s="3"/>
      <c r="AC884" s="3"/>
      <c r="AH884" s="3"/>
    </row>
    <row r="885" spans="5:34" s="1" customFormat="1">
      <c r="E885" s="3"/>
      <c r="F885" s="3"/>
      <c r="G885" s="3"/>
      <c r="J885" s="3"/>
      <c r="K885" s="3"/>
      <c r="L885" s="3"/>
      <c r="O885" s="3"/>
      <c r="P885" s="3"/>
      <c r="Q885" s="3"/>
      <c r="T885" s="3"/>
      <c r="U885" s="3"/>
      <c r="V885" s="3"/>
      <c r="Y885" s="3"/>
      <c r="Z885" s="3"/>
      <c r="AA885" s="3"/>
      <c r="AB885" s="3"/>
      <c r="AC885" s="3"/>
      <c r="AH885" s="3"/>
    </row>
    <row r="886" spans="5:34" s="1" customFormat="1">
      <c r="E886" s="3"/>
      <c r="F886" s="3"/>
      <c r="G886" s="3"/>
      <c r="J886" s="3"/>
      <c r="K886" s="3"/>
      <c r="L886" s="3"/>
      <c r="O886" s="3"/>
      <c r="P886" s="3"/>
      <c r="Q886" s="3"/>
      <c r="T886" s="3"/>
      <c r="U886" s="3"/>
      <c r="V886" s="3"/>
      <c r="Y886" s="3"/>
      <c r="Z886" s="3"/>
      <c r="AA886" s="3"/>
      <c r="AB886" s="3"/>
      <c r="AC886" s="3"/>
      <c r="AH886" s="3"/>
    </row>
    <row r="887" spans="5:34" s="1" customFormat="1">
      <c r="E887" s="3"/>
      <c r="F887" s="3"/>
      <c r="G887" s="3"/>
      <c r="J887" s="3"/>
      <c r="K887" s="3"/>
      <c r="L887" s="3"/>
      <c r="O887" s="3"/>
      <c r="P887" s="3"/>
      <c r="Q887" s="3"/>
      <c r="T887" s="3"/>
      <c r="U887" s="3"/>
      <c r="V887" s="3"/>
      <c r="Y887" s="3"/>
      <c r="Z887" s="3"/>
      <c r="AA887" s="3"/>
      <c r="AB887" s="3"/>
      <c r="AC887" s="3"/>
      <c r="AH887" s="3"/>
    </row>
    <row r="888" spans="5:34" s="1" customFormat="1">
      <c r="E888" s="3"/>
      <c r="F888" s="3"/>
      <c r="G888" s="3"/>
      <c r="J888" s="3"/>
      <c r="K888" s="3"/>
      <c r="L888" s="3"/>
      <c r="O888" s="3"/>
      <c r="P888" s="3"/>
      <c r="Q888" s="3"/>
      <c r="T888" s="3"/>
      <c r="U888" s="3"/>
      <c r="V888" s="3"/>
      <c r="Y888" s="3"/>
      <c r="Z888" s="3"/>
      <c r="AA888" s="3"/>
      <c r="AB888" s="3"/>
      <c r="AC888" s="3"/>
      <c r="AH888" s="3"/>
    </row>
    <row r="889" spans="5:34" s="1" customFormat="1">
      <c r="E889" s="3"/>
      <c r="F889" s="3"/>
      <c r="G889" s="3"/>
      <c r="J889" s="3"/>
      <c r="K889" s="3"/>
      <c r="L889" s="3"/>
      <c r="O889" s="3"/>
      <c r="P889" s="3"/>
      <c r="Q889" s="3"/>
      <c r="T889" s="3"/>
      <c r="U889" s="3"/>
      <c r="V889" s="3"/>
      <c r="Y889" s="3"/>
      <c r="Z889" s="3"/>
      <c r="AA889" s="3"/>
      <c r="AB889" s="3"/>
      <c r="AC889" s="3"/>
      <c r="AH889" s="3"/>
    </row>
    <row r="890" spans="5:34" s="1" customFormat="1">
      <c r="E890" s="3"/>
      <c r="F890" s="3"/>
      <c r="G890" s="3"/>
      <c r="J890" s="3"/>
      <c r="K890" s="3"/>
      <c r="L890" s="3"/>
      <c r="O890" s="3"/>
      <c r="P890" s="3"/>
      <c r="Q890" s="3"/>
      <c r="T890" s="3"/>
      <c r="U890" s="3"/>
      <c r="V890" s="3"/>
      <c r="Y890" s="3"/>
      <c r="Z890" s="3"/>
      <c r="AA890" s="3"/>
      <c r="AB890" s="3"/>
      <c r="AC890" s="3"/>
      <c r="AH890" s="3"/>
    </row>
    <row r="891" spans="5:34" s="1" customFormat="1">
      <c r="E891" s="3"/>
      <c r="F891" s="3"/>
      <c r="G891" s="3"/>
      <c r="J891" s="3"/>
      <c r="K891" s="3"/>
      <c r="L891" s="3"/>
      <c r="O891" s="3"/>
      <c r="P891" s="3"/>
      <c r="Q891" s="3"/>
      <c r="T891" s="3"/>
      <c r="U891" s="3"/>
      <c r="V891" s="3"/>
      <c r="Y891" s="3"/>
      <c r="Z891" s="3"/>
      <c r="AA891" s="3"/>
      <c r="AB891" s="3"/>
      <c r="AC891" s="3"/>
      <c r="AH891" s="3"/>
    </row>
    <row r="892" spans="5:34" s="1" customFormat="1">
      <c r="E892" s="3"/>
      <c r="F892" s="3"/>
      <c r="G892" s="3"/>
      <c r="J892" s="3"/>
      <c r="K892" s="3"/>
      <c r="L892" s="3"/>
      <c r="O892" s="3"/>
      <c r="P892" s="3"/>
      <c r="Q892" s="3"/>
      <c r="T892" s="3"/>
      <c r="U892" s="3"/>
      <c r="V892" s="3"/>
      <c r="Y892" s="3"/>
      <c r="Z892" s="3"/>
      <c r="AA892" s="3"/>
      <c r="AB892" s="3"/>
      <c r="AC892" s="3"/>
      <c r="AH892" s="3"/>
    </row>
    <row r="893" spans="5:34" s="1" customFormat="1">
      <c r="E893" s="3"/>
      <c r="F893" s="3"/>
      <c r="G893" s="3"/>
      <c r="J893" s="3"/>
      <c r="K893" s="3"/>
      <c r="L893" s="3"/>
      <c r="O893" s="3"/>
      <c r="P893" s="3"/>
      <c r="Q893" s="3"/>
      <c r="T893" s="3"/>
      <c r="U893" s="3"/>
      <c r="V893" s="3"/>
      <c r="Y893" s="3"/>
      <c r="Z893" s="3"/>
      <c r="AA893" s="3"/>
      <c r="AB893" s="3"/>
      <c r="AC893" s="3"/>
      <c r="AH893" s="3"/>
    </row>
    <row r="894" spans="5:34" s="1" customFormat="1">
      <c r="E894" s="3"/>
      <c r="F894" s="3"/>
      <c r="G894" s="3"/>
      <c r="J894" s="3"/>
      <c r="K894" s="3"/>
      <c r="L894" s="3"/>
      <c r="O894" s="3"/>
      <c r="P894" s="3"/>
      <c r="Q894" s="3"/>
      <c r="T894" s="3"/>
      <c r="U894" s="3"/>
      <c r="V894" s="3"/>
      <c r="Y894" s="3"/>
      <c r="Z894" s="3"/>
      <c r="AA894" s="3"/>
      <c r="AB894" s="3"/>
      <c r="AC894" s="3"/>
      <c r="AH894" s="3"/>
    </row>
    <row r="895" spans="5:34" s="1" customFormat="1">
      <c r="E895" s="3"/>
      <c r="F895" s="3"/>
      <c r="G895" s="3"/>
      <c r="J895" s="3"/>
      <c r="K895" s="3"/>
      <c r="L895" s="3"/>
      <c r="O895" s="3"/>
      <c r="P895" s="3"/>
      <c r="Q895" s="3"/>
      <c r="T895" s="3"/>
      <c r="U895" s="3"/>
      <c r="V895" s="3"/>
      <c r="Y895" s="3"/>
      <c r="Z895" s="3"/>
      <c r="AA895" s="3"/>
      <c r="AB895" s="3"/>
      <c r="AC895" s="3"/>
      <c r="AH895" s="3"/>
    </row>
    <row r="896" spans="5:34" s="1" customFormat="1">
      <c r="E896" s="3"/>
      <c r="F896" s="3"/>
      <c r="G896" s="3"/>
      <c r="J896" s="3"/>
      <c r="K896" s="3"/>
      <c r="L896" s="3"/>
      <c r="O896" s="3"/>
      <c r="P896" s="3"/>
      <c r="Q896" s="3"/>
      <c r="T896" s="3"/>
      <c r="U896" s="3"/>
      <c r="V896" s="3"/>
      <c r="Y896" s="3"/>
      <c r="Z896" s="3"/>
      <c r="AA896" s="3"/>
      <c r="AB896" s="3"/>
      <c r="AC896" s="3"/>
      <c r="AH896" s="3"/>
    </row>
    <row r="897" spans="5:34" s="1" customFormat="1">
      <c r="E897" s="3"/>
      <c r="F897" s="3"/>
      <c r="G897" s="3"/>
      <c r="J897" s="3"/>
      <c r="K897" s="3"/>
      <c r="L897" s="3"/>
      <c r="O897" s="3"/>
      <c r="P897" s="3"/>
      <c r="Q897" s="3"/>
      <c r="T897" s="3"/>
      <c r="U897" s="3"/>
      <c r="V897" s="3"/>
      <c r="Y897" s="3"/>
      <c r="Z897" s="3"/>
      <c r="AA897" s="3"/>
      <c r="AB897" s="3"/>
      <c r="AC897" s="3"/>
      <c r="AH897" s="3"/>
    </row>
    <row r="898" spans="5:34" s="1" customFormat="1">
      <c r="E898" s="3"/>
      <c r="F898" s="3"/>
      <c r="G898" s="3"/>
      <c r="J898" s="3"/>
      <c r="K898" s="3"/>
      <c r="L898" s="3"/>
      <c r="O898" s="3"/>
      <c r="P898" s="3"/>
      <c r="Q898" s="3"/>
      <c r="T898" s="3"/>
      <c r="U898" s="3"/>
      <c r="V898" s="3"/>
      <c r="Y898" s="3"/>
      <c r="Z898" s="3"/>
      <c r="AA898" s="3"/>
      <c r="AB898" s="3"/>
      <c r="AC898" s="3"/>
      <c r="AH898" s="3"/>
    </row>
    <row r="899" spans="5:34" s="1" customFormat="1">
      <c r="E899" s="3"/>
      <c r="F899" s="3"/>
      <c r="G899" s="3"/>
      <c r="J899" s="3"/>
      <c r="K899" s="3"/>
      <c r="L899" s="3"/>
      <c r="O899" s="3"/>
      <c r="P899" s="3"/>
      <c r="Q899" s="3"/>
      <c r="T899" s="3"/>
      <c r="U899" s="3"/>
      <c r="V899" s="3"/>
      <c r="Y899" s="3"/>
      <c r="Z899" s="3"/>
      <c r="AA899" s="3"/>
      <c r="AB899" s="3"/>
      <c r="AC899" s="3"/>
      <c r="AH899" s="3"/>
    </row>
    <row r="900" spans="5:34" s="1" customFormat="1">
      <c r="E900" s="3"/>
      <c r="F900" s="3"/>
      <c r="G900" s="3"/>
      <c r="J900" s="3"/>
      <c r="K900" s="3"/>
      <c r="L900" s="3"/>
      <c r="O900" s="3"/>
      <c r="P900" s="3"/>
      <c r="Q900" s="3"/>
      <c r="T900" s="3"/>
      <c r="U900" s="3"/>
      <c r="V900" s="3"/>
      <c r="Y900" s="3"/>
      <c r="Z900" s="3"/>
      <c r="AA900" s="3"/>
      <c r="AB900" s="3"/>
      <c r="AC900" s="3"/>
      <c r="AH900" s="3"/>
    </row>
    <row r="901" spans="5:34" s="1" customFormat="1">
      <c r="E901" s="3"/>
      <c r="F901" s="3"/>
      <c r="G901" s="3"/>
      <c r="J901" s="3"/>
      <c r="K901" s="3"/>
      <c r="L901" s="3"/>
      <c r="O901" s="3"/>
      <c r="P901" s="3"/>
      <c r="Q901" s="3"/>
      <c r="T901" s="3"/>
      <c r="U901" s="3"/>
      <c r="V901" s="3"/>
      <c r="Y901" s="3"/>
      <c r="Z901" s="3"/>
      <c r="AA901" s="3"/>
      <c r="AB901" s="3"/>
      <c r="AC901" s="3"/>
      <c r="AH901" s="3"/>
    </row>
    <row r="902" spans="5:34" s="1" customFormat="1">
      <c r="E902" s="3"/>
      <c r="F902" s="3"/>
      <c r="G902" s="3"/>
      <c r="J902" s="3"/>
      <c r="K902" s="3"/>
      <c r="L902" s="3"/>
      <c r="O902" s="3"/>
      <c r="P902" s="3"/>
      <c r="Q902" s="3"/>
      <c r="T902" s="3"/>
      <c r="U902" s="3"/>
      <c r="V902" s="3"/>
      <c r="Y902" s="3"/>
      <c r="Z902" s="3"/>
      <c r="AA902" s="3"/>
      <c r="AB902" s="3"/>
      <c r="AC902" s="3"/>
      <c r="AH902" s="3"/>
    </row>
    <row r="903" spans="5:34" s="1" customFormat="1">
      <c r="E903" s="3"/>
      <c r="F903" s="3"/>
      <c r="G903" s="3"/>
      <c r="J903" s="3"/>
      <c r="K903" s="3"/>
      <c r="L903" s="3"/>
      <c r="O903" s="3"/>
      <c r="P903" s="3"/>
      <c r="Q903" s="3"/>
      <c r="T903" s="3"/>
      <c r="U903" s="3"/>
      <c r="V903" s="3"/>
      <c r="Y903" s="3"/>
      <c r="Z903" s="3"/>
      <c r="AA903" s="3"/>
      <c r="AB903" s="3"/>
      <c r="AC903" s="3"/>
      <c r="AH903" s="3"/>
    </row>
    <row r="904" spans="5:34" s="1" customFormat="1">
      <c r="E904" s="3"/>
      <c r="F904" s="3"/>
      <c r="G904" s="3"/>
      <c r="J904" s="3"/>
      <c r="K904" s="3"/>
      <c r="L904" s="3"/>
      <c r="O904" s="3"/>
      <c r="P904" s="3"/>
      <c r="Q904" s="3"/>
      <c r="T904" s="3"/>
      <c r="U904" s="3"/>
      <c r="V904" s="3"/>
      <c r="Y904" s="3"/>
      <c r="Z904" s="3"/>
      <c r="AA904" s="3"/>
      <c r="AB904" s="3"/>
      <c r="AC904" s="3"/>
      <c r="AH904" s="3"/>
    </row>
    <row r="905" spans="5:34" s="1" customFormat="1">
      <c r="E905" s="3"/>
      <c r="F905" s="3"/>
      <c r="G905" s="3"/>
      <c r="J905" s="3"/>
      <c r="K905" s="3"/>
      <c r="L905" s="3"/>
      <c r="O905" s="3"/>
      <c r="P905" s="3"/>
      <c r="Q905" s="3"/>
      <c r="T905" s="3"/>
      <c r="U905" s="3"/>
      <c r="V905" s="3"/>
      <c r="Y905" s="3"/>
      <c r="Z905" s="3"/>
      <c r="AA905" s="3"/>
      <c r="AB905" s="3"/>
      <c r="AC905" s="3"/>
      <c r="AH905" s="3"/>
    </row>
    <row r="906" spans="5:34" s="1" customFormat="1">
      <c r="E906" s="3"/>
      <c r="F906" s="3"/>
      <c r="G906" s="3"/>
      <c r="J906" s="3"/>
      <c r="K906" s="3"/>
      <c r="L906" s="3"/>
      <c r="O906" s="3"/>
      <c r="P906" s="3"/>
      <c r="Q906" s="3"/>
      <c r="T906" s="3"/>
      <c r="U906" s="3"/>
      <c r="V906" s="3"/>
      <c r="Y906" s="3"/>
      <c r="Z906" s="3"/>
      <c r="AA906" s="3"/>
      <c r="AB906" s="3"/>
      <c r="AC906" s="3"/>
      <c r="AH906" s="3"/>
    </row>
    <row r="907" spans="5:34" s="1" customFormat="1">
      <c r="E907" s="3"/>
      <c r="F907" s="3"/>
      <c r="G907" s="3"/>
      <c r="J907" s="3"/>
      <c r="K907" s="3"/>
      <c r="L907" s="3"/>
      <c r="O907" s="3"/>
      <c r="P907" s="3"/>
      <c r="Q907" s="3"/>
      <c r="T907" s="3"/>
      <c r="U907" s="3"/>
      <c r="V907" s="3"/>
      <c r="Y907" s="3"/>
      <c r="Z907" s="3"/>
      <c r="AA907" s="3"/>
      <c r="AB907" s="3"/>
      <c r="AC907" s="3"/>
      <c r="AH907" s="3"/>
    </row>
    <row r="908" spans="5:34" s="1" customFormat="1">
      <c r="E908" s="3"/>
      <c r="F908" s="3"/>
      <c r="G908" s="3"/>
      <c r="J908" s="3"/>
      <c r="K908" s="3"/>
      <c r="L908" s="3"/>
      <c r="O908" s="3"/>
      <c r="P908" s="3"/>
      <c r="Q908" s="3"/>
      <c r="T908" s="3"/>
      <c r="U908" s="3"/>
      <c r="V908" s="3"/>
      <c r="Y908" s="3"/>
      <c r="Z908" s="3"/>
      <c r="AA908" s="3"/>
      <c r="AB908" s="3"/>
      <c r="AC908" s="3"/>
      <c r="AH908" s="3"/>
    </row>
    <row r="909" spans="5:34" s="1" customFormat="1">
      <c r="E909" s="3"/>
      <c r="F909" s="3"/>
      <c r="G909" s="3"/>
      <c r="J909" s="3"/>
      <c r="K909" s="3"/>
      <c r="L909" s="3"/>
      <c r="O909" s="3"/>
      <c r="P909" s="3"/>
      <c r="Q909" s="3"/>
      <c r="T909" s="3"/>
      <c r="U909" s="3"/>
      <c r="V909" s="3"/>
      <c r="Y909" s="3"/>
      <c r="Z909" s="3"/>
      <c r="AA909" s="3"/>
      <c r="AB909" s="3"/>
      <c r="AC909" s="3"/>
      <c r="AH909" s="3"/>
    </row>
    <row r="910" spans="5:34" s="1" customFormat="1">
      <c r="E910" s="3"/>
      <c r="F910" s="3"/>
      <c r="G910" s="3"/>
      <c r="J910" s="3"/>
      <c r="K910" s="3"/>
      <c r="L910" s="3"/>
      <c r="O910" s="3"/>
      <c r="P910" s="3"/>
      <c r="Q910" s="3"/>
      <c r="T910" s="3"/>
      <c r="U910" s="3"/>
      <c r="V910" s="3"/>
      <c r="Y910" s="3"/>
      <c r="Z910" s="3"/>
      <c r="AA910" s="3"/>
      <c r="AB910" s="3"/>
      <c r="AC910" s="3"/>
      <c r="AH910" s="3"/>
    </row>
    <row r="911" spans="5:34" s="1" customFormat="1">
      <c r="E911" s="3"/>
      <c r="F911" s="3"/>
      <c r="G911" s="3"/>
      <c r="J911" s="3"/>
      <c r="K911" s="3"/>
      <c r="L911" s="3"/>
      <c r="O911" s="3"/>
      <c r="P911" s="3"/>
      <c r="Q911" s="3"/>
      <c r="T911" s="3"/>
      <c r="U911" s="3"/>
      <c r="V911" s="3"/>
      <c r="Y911" s="3"/>
      <c r="Z911" s="3"/>
      <c r="AA911" s="3"/>
      <c r="AB911" s="3"/>
      <c r="AC911" s="3"/>
      <c r="AH911" s="3"/>
    </row>
    <row r="912" spans="5:34" s="1" customFormat="1">
      <c r="E912" s="3"/>
      <c r="F912" s="3"/>
      <c r="G912" s="3"/>
      <c r="J912" s="3"/>
      <c r="K912" s="3"/>
      <c r="L912" s="3"/>
      <c r="O912" s="3"/>
      <c r="P912" s="3"/>
      <c r="Q912" s="3"/>
      <c r="T912" s="3"/>
      <c r="U912" s="3"/>
      <c r="V912" s="3"/>
      <c r="Y912" s="3"/>
      <c r="Z912" s="3"/>
      <c r="AA912" s="3"/>
      <c r="AB912" s="3"/>
      <c r="AC912" s="3"/>
      <c r="AH912" s="3"/>
    </row>
    <row r="913" spans="5:34" s="1" customFormat="1">
      <c r="E913" s="3"/>
      <c r="F913" s="3"/>
      <c r="G913" s="3"/>
      <c r="J913" s="3"/>
      <c r="K913" s="3"/>
      <c r="L913" s="3"/>
      <c r="O913" s="3"/>
      <c r="P913" s="3"/>
      <c r="Q913" s="3"/>
      <c r="T913" s="3"/>
      <c r="U913" s="3"/>
      <c r="V913" s="3"/>
      <c r="Y913" s="3"/>
      <c r="Z913" s="3"/>
      <c r="AA913" s="3"/>
      <c r="AB913" s="3"/>
      <c r="AC913" s="3"/>
      <c r="AH913" s="3"/>
    </row>
    <row r="914" spans="5:34" s="1" customFormat="1">
      <c r="E914" s="3"/>
      <c r="F914" s="3"/>
      <c r="G914" s="3"/>
      <c r="J914" s="3"/>
      <c r="K914" s="3"/>
      <c r="L914" s="3"/>
      <c r="O914" s="3"/>
      <c r="P914" s="3"/>
      <c r="Q914" s="3"/>
      <c r="T914" s="3"/>
      <c r="U914" s="3"/>
      <c r="V914" s="3"/>
      <c r="Y914" s="3"/>
      <c r="Z914" s="3"/>
      <c r="AA914" s="3"/>
      <c r="AB914" s="3"/>
      <c r="AC914" s="3"/>
      <c r="AH914" s="3"/>
    </row>
    <row r="915" spans="5:34" s="1" customFormat="1">
      <c r="E915" s="3"/>
      <c r="F915" s="3"/>
      <c r="G915" s="3"/>
      <c r="J915" s="3"/>
      <c r="K915" s="3"/>
      <c r="L915" s="3"/>
      <c r="O915" s="3"/>
      <c r="P915" s="3"/>
      <c r="Q915" s="3"/>
      <c r="T915" s="3"/>
      <c r="U915" s="3"/>
      <c r="V915" s="3"/>
      <c r="Y915" s="3"/>
      <c r="Z915" s="3"/>
      <c r="AA915" s="3"/>
      <c r="AB915" s="3"/>
      <c r="AC915" s="3"/>
      <c r="AH915" s="3"/>
    </row>
    <row r="916" spans="5:34" s="1" customFormat="1">
      <c r="E916" s="3"/>
      <c r="F916" s="3"/>
      <c r="G916" s="3"/>
      <c r="J916" s="3"/>
      <c r="K916" s="3"/>
      <c r="L916" s="3"/>
      <c r="O916" s="3"/>
      <c r="P916" s="3"/>
      <c r="Q916" s="3"/>
      <c r="T916" s="3"/>
      <c r="U916" s="3"/>
      <c r="V916" s="3"/>
      <c r="Y916" s="3"/>
      <c r="Z916" s="3"/>
      <c r="AA916" s="3"/>
      <c r="AB916" s="3"/>
      <c r="AC916" s="3"/>
      <c r="AH916" s="3"/>
    </row>
    <row r="917" spans="5:34" s="1" customFormat="1">
      <c r="E917" s="3"/>
      <c r="F917" s="3"/>
      <c r="G917" s="3"/>
      <c r="J917" s="3"/>
      <c r="K917" s="3"/>
      <c r="L917" s="3"/>
      <c r="O917" s="3"/>
      <c r="P917" s="3"/>
      <c r="Q917" s="3"/>
      <c r="T917" s="3"/>
      <c r="U917" s="3"/>
      <c r="V917" s="3"/>
      <c r="Y917" s="3"/>
      <c r="Z917" s="3"/>
      <c r="AA917" s="3"/>
      <c r="AB917" s="3"/>
      <c r="AC917" s="3"/>
      <c r="AH917" s="3"/>
    </row>
    <row r="918" spans="5:34" s="1" customFormat="1">
      <c r="E918" s="3"/>
      <c r="F918" s="3"/>
      <c r="G918" s="3"/>
      <c r="J918" s="3"/>
      <c r="K918" s="3"/>
      <c r="L918" s="3"/>
      <c r="O918" s="3"/>
      <c r="P918" s="3"/>
      <c r="Q918" s="3"/>
      <c r="T918" s="3"/>
      <c r="U918" s="3"/>
      <c r="V918" s="3"/>
      <c r="Y918" s="3"/>
      <c r="Z918" s="3"/>
      <c r="AA918" s="3"/>
      <c r="AB918" s="3"/>
      <c r="AC918" s="3"/>
      <c r="AH918" s="3"/>
    </row>
    <row r="919" spans="5:34" s="1" customFormat="1">
      <c r="E919" s="3"/>
      <c r="F919" s="3"/>
      <c r="G919" s="3"/>
      <c r="J919" s="3"/>
      <c r="K919" s="3"/>
      <c r="L919" s="3"/>
      <c r="O919" s="3"/>
      <c r="P919" s="3"/>
      <c r="Q919" s="3"/>
      <c r="T919" s="3"/>
      <c r="U919" s="3"/>
      <c r="V919" s="3"/>
      <c r="Y919" s="3"/>
      <c r="Z919" s="3"/>
      <c r="AA919" s="3"/>
      <c r="AB919" s="3"/>
      <c r="AC919" s="3"/>
      <c r="AH919" s="3"/>
    </row>
    <row r="920" spans="5:34" s="1" customFormat="1">
      <c r="E920" s="3"/>
      <c r="F920" s="3"/>
      <c r="G920" s="3"/>
      <c r="J920" s="3"/>
      <c r="K920" s="3"/>
      <c r="L920" s="3"/>
      <c r="O920" s="3"/>
      <c r="P920" s="3"/>
      <c r="Q920" s="3"/>
      <c r="T920" s="3"/>
      <c r="U920" s="3"/>
      <c r="V920" s="3"/>
      <c r="Y920" s="3"/>
      <c r="Z920" s="3"/>
      <c r="AA920" s="3"/>
      <c r="AB920" s="3"/>
      <c r="AC920" s="3"/>
      <c r="AH920" s="3"/>
    </row>
    <row r="921" spans="5:34" s="1" customFormat="1">
      <c r="E921" s="3"/>
      <c r="F921" s="3"/>
      <c r="G921" s="3"/>
      <c r="J921" s="3"/>
      <c r="K921" s="3"/>
      <c r="L921" s="3"/>
      <c r="O921" s="3"/>
      <c r="P921" s="3"/>
      <c r="Q921" s="3"/>
      <c r="T921" s="3"/>
      <c r="U921" s="3"/>
      <c r="V921" s="3"/>
      <c r="Y921" s="3"/>
      <c r="Z921" s="3"/>
      <c r="AA921" s="3"/>
      <c r="AB921" s="3"/>
      <c r="AC921" s="3"/>
      <c r="AH921" s="3"/>
    </row>
    <row r="922" spans="5:34" s="1" customFormat="1">
      <c r="E922" s="3"/>
      <c r="F922" s="3"/>
      <c r="G922" s="3"/>
      <c r="J922" s="3"/>
      <c r="K922" s="3"/>
      <c r="L922" s="3"/>
      <c r="O922" s="3"/>
      <c r="P922" s="3"/>
      <c r="Q922" s="3"/>
      <c r="T922" s="3"/>
      <c r="U922" s="3"/>
      <c r="V922" s="3"/>
      <c r="Y922" s="3"/>
      <c r="Z922" s="3"/>
      <c r="AA922" s="3"/>
      <c r="AB922" s="3"/>
      <c r="AC922" s="3"/>
      <c r="AH922" s="3"/>
    </row>
    <row r="923" spans="5:34" s="1" customFormat="1">
      <c r="E923" s="3"/>
      <c r="F923" s="3"/>
      <c r="G923" s="3"/>
      <c r="J923" s="3"/>
      <c r="K923" s="3"/>
      <c r="L923" s="3"/>
      <c r="O923" s="3"/>
      <c r="P923" s="3"/>
      <c r="Q923" s="3"/>
      <c r="T923" s="3"/>
      <c r="U923" s="3"/>
      <c r="V923" s="3"/>
      <c r="Y923" s="3"/>
      <c r="Z923" s="3"/>
      <c r="AA923" s="3"/>
      <c r="AB923" s="3"/>
      <c r="AC923" s="3"/>
      <c r="AH923" s="3"/>
    </row>
    <row r="924" spans="5:34" s="1" customFormat="1">
      <c r="E924" s="3"/>
      <c r="F924" s="3"/>
      <c r="G924" s="3"/>
      <c r="J924" s="3"/>
      <c r="K924" s="3"/>
      <c r="L924" s="3"/>
      <c r="O924" s="3"/>
      <c r="P924" s="3"/>
      <c r="Q924" s="3"/>
      <c r="T924" s="3"/>
      <c r="U924" s="3"/>
      <c r="V924" s="3"/>
      <c r="Y924" s="3"/>
      <c r="Z924" s="3"/>
      <c r="AA924" s="3"/>
      <c r="AB924" s="3"/>
      <c r="AC924" s="3"/>
      <c r="AH924" s="3"/>
    </row>
    <row r="925" spans="5:34" s="1" customFormat="1">
      <c r="E925" s="3"/>
      <c r="F925" s="3"/>
      <c r="G925" s="3"/>
      <c r="J925" s="3"/>
      <c r="K925" s="3"/>
      <c r="L925" s="3"/>
      <c r="O925" s="3"/>
      <c r="P925" s="3"/>
      <c r="Q925" s="3"/>
      <c r="T925" s="3"/>
      <c r="U925" s="3"/>
      <c r="V925" s="3"/>
      <c r="Y925" s="3"/>
      <c r="Z925" s="3"/>
      <c r="AA925" s="3"/>
      <c r="AB925" s="3"/>
      <c r="AC925" s="3"/>
      <c r="AH925" s="3"/>
    </row>
    <row r="926" spans="5:34" s="1" customFormat="1">
      <c r="E926" s="3"/>
      <c r="F926" s="3"/>
      <c r="G926" s="3"/>
      <c r="J926" s="3"/>
      <c r="K926" s="3"/>
      <c r="L926" s="3"/>
      <c r="O926" s="3"/>
      <c r="P926" s="3"/>
      <c r="Q926" s="3"/>
      <c r="T926" s="3"/>
      <c r="U926" s="3"/>
      <c r="V926" s="3"/>
      <c r="Y926" s="3"/>
      <c r="Z926" s="3"/>
      <c r="AA926" s="3"/>
      <c r="AB926" s="3"/>
      <c r="AC926" s="3"/>
      <c r="AH926" s="3"/>
    </row>
    <row r="927" spans="5:34" s="1" customFormat="1">
      <c r="E927" s="3"/>
      <c r="F927" s="3"/>
      <c r="G927" s="3"/>
      <c r="J927" s="3"/>
      <c r="K927" s="3"/>
      <c r="L927" s="3"/>
      <c r="O927" s="3"/>
      <c r="P927" s="3"/>
      <c r="Q927" s="3"/>
      <c r="T927" s="3"/>
      <c r="U927" s="3"/>
      <c r="V927" s="3"/>
      <c r="Y927" s="3"/>
      <c r="Z927" s="3"/>
      <c r="AA927" s="3"/>
      <c r="AB927" s="3"/>
      <c r="AC927" s="3"/>
      <c r="AH927" s="3"/>
    </row>
    <row r="928" spans="5:34" s="1" customFormat="1">
      <c r="E928" s="3"/>
      <c r="F928" s="3"/>
      <c r="G928" s="3"/>
      <c r="J928" s="3"/>
      <c r="K928" s="3"/>
      <c r="L928" s="3"/>
      <c r="O928" s="3"/>
      <c r="P928" s="3"/>
      <c r="Q928" s="3"/>
      <c r="T928" s="3"/>
      <c r="U928" s="3"/>
      <c r="V928" s="3"/>
      <c r="Y928" s="3"/>
      <c r="Z928" s="3"/>
      <c r="AA928" s="3"/>
      <c r="AB928" s="3"/>
      <c r="AC928" s="3"/>
      <c r="AH928" s="3"/>
    </row>
    <row r="929" spans="5:34" s="1" customFormat="1">
      <c r="E929" s="3"/>
      <c r="F929" s="3"/>
      <c r="G929" s="3"/>
      <c r="J929" s="3"/>
      <c r="K929" s="3"/>
      <c r="L929" s="3"/>
      <c r="O929" s="3"/>
      <c r="P929" s="3"/>
      <c r="Q929" s="3"/>
      <c r="T929" s="3"/>
      <c r="U929" s="3"/>
      <c r="V929" s="3"/>
      <c r="Y929" s="3"/>
      <c r="Z929" s="3"/>
      <c r="AA929" s="3"/>
      <c r="AB929" s="3"/>
      <c r="AC929" s="3"/>
      <c r="AH929" s="3"/>
    </row>
    <row r="930" spans="5:34" s="1" customFormat="1">
      <c r="E930" s="3"/>
      <c r="F930" s="3"/>
      <c r="G930" s="3"/>
      <c r="J930" s="3"/>
      <c r="K930" s="3"/>
      <c r="L930" s="3"/>
      <c r="O930" s="3"/>
      <c r="P930" s="3"/>
      <c r="Q930" s="3"/>
      <c r="T930" s="3"/>
      <c r="U930" s="3"/>
      <c r="V930" s="3"/>
      <c r="Y930" s="3"/>
      <c r="Z930" s="3"/>
      <c r="AA930" s="3"/>
      <c r="AB930" s="3"/>
      <c r="AC930" s="3"/>
      <c r="AH930" s="3"/>
    </row>
    <row r="931" spans="5:34" s="1" customFormat="1">
      <c r="E931" s="3"/>
      <c r="F931" s="3"/>
      <c r="G931" s="3"/>
      <c r="J931" s="3"/>
      <c r="K931" s="3"/>
      <c r="L931" s="3"/>
      <c r="O931" s="3"/>
      <c r="P931" s="3"/>
      <c r="Q931" s="3"/>
      <c r="T931" s="3"/>
      <c r="U931" s="3"/>
      <c r="V931" s="3"/>
      <c r="Y931" s="3"/>
      <c r="Z931" s="3"/>
      <c r="AA931" s="3"/>
      <c r="AB931" s="3"/>
      <c r="AC931" s="3"/>
      <c r="AH931" s="3"/>
    </row>
    <row r="932" spans="5:34" s="1" customFormat="1">
      <c r="E932" s="3"/>
      <c r="F932" s="3"/>
      <c r="G932" s="3"/>
      <c r="J932" s="3"/>
      <c r="K932" s="3"/>
      <c r="L932" s="3"/>
      <c r="O932" s="3"/>
      <c r="P932" s="3"/>
      <c r="Q932" s="3"/>
      <c r="T932" s="3"/>
      <c r="U932" s="3"/>
      <c r="V932" s="3"/>
      <c r="Y932" s="3"/>
      <c r="Z932" s="3"/>
      <c r="AA932" s="3"/>
      <c r="AB932" s="3"/>
      <c r="AC932" s="3"/>
      <c r="AH932" s="3"/>
    </row>
    <row r="933" spans="5:34" s="1" customFormat="1">
      <c r="E933" s="3"/>
      <c r="F933" s="3"/>
      <c r="G933" s="3"/>
      <c r="J933" s="3"/>
      <c r="K933" s="3"/>
      <c r="L933" s="3"/>
      <c r="O933" s="3"/>
      <c r="P933" s="3"/>
      <c r="Q933" s="3"/>
      <c r="T933" s="3"/>
      <c r="U933" s="3"/>
      <c r="V933" s="3"/>
      <c r="Y933" s="3"/>
      <c r="Z933" s="3"/>
      <c r="AA933" s="3"/>
      <c r="AB933" s="3"/>
      <c r="AC933" s="3"/>
      <c r="AH933" s="3"/>
    </row>
    <row r="934" spans="5:34" s="1" customFormat="1">
      <c r="E934" s="3"/>
      <c r="F934" s="3"/>
      <c r="G934" s="3"/>
      <c r="J934" s="3"/>
      <c r="K934" s="3"/>
      <c r="L934" s="3"/>
      <c r="O934" s="3"/>
      <c r="P934" s="3"/>
      <c r="Q934" s="3"/>
      <c r="T934" s="3"/>
      <c r="U934" s="3"/>
      <c r="V934" s="3"/>
      <c r="Y934" s="3"/>
      <c r="Z934" s="3"/>
      <c r="AA934" s="3"/>
      <c r="AB934" s="3"/>
      <c r="AC934" s="3"/>
      <c r="AH934" s="3"/>
    </row>
    <row r="935" spans="5:34" s="1" customFormat="1">
      <c r="E935" s="3"/>
      <c r="F935" s="3"/>
      <c r="G935" s="3"/>
      <c r="J935" s="3"/>
      <c r="K935" s="3"/>
      <c r="L935" s="3"/>
      <c r="O935" s="3"/>
      <c r="P935" s="3"/>
      <c r="Q935" s="3"/>
      <c r="T935" s="3"/>
      <c r="U935" s="3"/>
      <c r="V935" s="3"/>
      <c r="Y935" s="3"/>
      <c r="Z935" s="3"/>
      <c r="AA935" s="3"/>
      <c r="AB935" s="3"/>
      <c r="AC935" s="3"/>
      <c r="AH935" s="3"/>
    </row>
    <row r="936" spans="5:34" s="1" customFormat="1">
      <c r="E936" s="3"/>
      <c r="F936" s="3"/>
      <c r="G936" s="3"/>
      <c r="J936" s="3"/>
      <c r="K936" s="3"/>
      <c r="L936" s="3"/>
      <c r="O936" s="3"/>
      <c r="P936" s="3"/>
      <c r="Q936" s="3"/>
      <c r="T936" s="3"/>
      <c r="U936" s="3"/>
      <c r="V936" s="3"/>
      <c r="Y936" s="3"/>
      <c r="Z936" s="3"/>
      <c r="AA936" s="3"/>
      <c r="AB936" s="3"/>
      <c r="AC936" s="3"/>
      <c r="AH936" s="3"/>
    </row>
    <row r="937" spans="5:34" s="1" customFormat="1">
      <c r="E937" s="3"/>
      <c r="F937" s="3"/>
      <c r="G937" s="3"/>
      <c r="J937" s="3"/>
      <c r="K937" s="3"/>
      <c r="L937" s="3"/>
      <c r="O937" s="3"/>
      <c r="P937" s="3"/>
      <c r="Q937" s="3"/>
      <c r="T937" s="3"/>
      <c r="U937" s="3"/>
      <c r="V937" s="3"/>
      <c r="Y937" s="3"/>
      <c r="Z937" s="3"/>
      <c r="AA937" s="3"/>
      <c r="AB937" s="3"/>
      <c r="AC937" s="3"/>
      <c r="AH937" s="3"/>
    </row>
    <row r="938" spans="5:34" s="1" customFormat="1">
      <c r="E938" s="3"/>
      <c r="F938" s="3"/>
      <c r="G938" s="3"/>
      <c r="J938" s="3"/>
      <c r="K938" s="3"/>
      <c r="L938" s="3"/>
      <c r="O938" s="3"/>
      <c r="P938" s="3"/>
      <c r="Q938" s="3"/>
      <c r="T938" s="3"/>
      <c r="U938" s="3"/>
      <c r="V938" s="3"/>
      <c r="Y938" s="3"/>
      <c r="Z938" s="3"/>
      <c r="AA938" s="3"/>
      <c r="AB938" s="3"/>
      <c r="AC938" s="3"/>
      <c r="AH938" s="3"/>
    </row>
    <row r="939" spans="5:34" s="1" customFormat="1">
      <c r="E939" s="3"/>
      <c r="F939" s="3"/>
      <c r="G939" s="3"/>
      <c r="J939" s="3"/>
      <c r="K939" s="3"/>
      <c r="L939" s="3"/>
      <c r="O939" s="3"/>
      <c r="P939" s="3"/>
      <c r="Q939" s="3"/>
      <c r="T939" s="3"/>
      <c r="U939" s="3"/>
      <c r="V939" s="3"/>
      <c r="Y939" s="3"/>
      <c r="Z939" s="3"/>
      <c r="AA939" s="3"/>
      <c r="AB939" s="3"/>
      <c r="AC939" s="3"/>
      <c r="AH939" s="3"/>
    </row>
    <row r="940" spans="5:34" s="1" customFormat="1">
      <c r="E940" s="3"/>
      <c r="F940" s="3"/>
      <c r="G940" s="3"/>
      <c r="J940" s="3"/>
      <c r="K940" s="3"/>
      <c r="L940" s="3"/>
      <c r="O940" s="3"/>
      <c r="P940" s="3"/>
      <c r="Q940" s="3"/>
      <c r="T940" s="3"/>
      <c r="U940" s="3"/>
      <c r="V940" s="3"/>
      <c r="Y940" s="3"/>
      <c r="Z940" s="3"/>
      <c r="AA940" s="3"/>
      <c r="AB940" s="3"/>
      <c r="AC940" s="3"/>
      <c r="AH940" s="3"/>
    </row>
    <row r="941" spans="5:34" s="1" customFormat="1">
      <c r="E941" s="3"/>
      <c r="F941" s="3"/>
      <c r="G941" s="3"/>
      <c r="J941" s="3"/>
      <c r="K941" s="3"/>
      <c r="L941" s="3"/>
      <c r="O941" s="3"/>
      <c r="P941" s="3"/>
      <c r="Q941" s="3"/>
      <c r="T941" s="3"/>
      <c r="U941" s="3"/>
      <c r="V941" s="3"/>
      <c r="Y941" s="3"/>
      <c r="Z941" s="3"/>
      <c r="AA941" s="3"/>
      <c r="AB941" s="3"/>
      <c r="AC941" s="3"/>
      <c r="AH941" s="3"/>
    </row>
    <row r="942" spans="5:34" s="1" customFormat="1">
      <c r="E942" s="3"/>
      <c r="F942" s="3"/>
      <c r="G942" s="3"/>
      <c r="J942" s="3"/>
      <c r="K942" s="3"/>
      <c r="L942" s="3"/>
      <c r="O942" s="3"/>
      <c r="P942" s="3"/>
      <c r="Q942" s="3"/>
      <c r="T942" s="3"/>
      <c r="U942" s="3"/>
      <c r="V942" s="3"/>
      <c r="Y942" s="3"/>
      <c r="Z942" s="3"/>
      <c r="AA942" s="3"/>
      <c r="AB942" s="3"/>
      <c r="AC942" s="3"/>
      <c r="AH942" s="3"/>
    </row>
    <row r="943" spans="5:34" s="1" customFormat="1">
      <c r="E943" s="3"/>
      <c r="F943" s="3"/>
      <c r="G943" s="3"/>
      <c r="J943" s="3"/>
      <c r="K943" s="3"/>
      <c r="L943" s="3"/>
      <c r="O943" s="3"/>
      <c r="P943" s="3"/>
      <c r="Q943" s="3"/>
      <c r="T943" s="3"/>
      <c r="U943" s="3"/>
      <c r="V943" s="3"/>
      <c r="Y943" s="3"/>
      <c r="Z943" s="3"/>
      <c r="AA943" s="3"/>
      <c r="AB943" s="3"/>
      <c r="AC943" s="3"/>
      <c r="AH943" s="3"/>
    </row>
    <row r="944" spans="5:34" s="1" customFormat="1">
      <c r="E944" s="3"/>
      <c r="F944" s="3"/>
      <c r="G944" s="3"/>
      <c r="J944" s="3"/>
      <c r="K944" s="3"/>
      <c r="L944" s="3"/>
      <c r="O944" s="3"/>
      <c r="P944" s="3"/>
      <c r="Q944" s="3"/>
      <c r="T944" s="3"/>
      <c r="U944" s="3"/>
      <c r="V944" s="3"/>
      <c r="Y944" s="3"/>
      <c r="Z944" s="3"/>
      <c r="AA944" s="3"/>
      <c r="AB944" s="3"/>
      <c r="AC944" s="3"/>
      <c r="AH944" s="3"/>
    </row>
    <row r="945" spans="5:34" s="1" customFormat="1">
      <c r="E945" s="3"/>
      <c r="F945" s="3"/>
      <c r="G945" s="3"/>
      <c r="J945" s="3"/>
      <c r="K945" s="3"/>
      <c r="L945" s="3"/>
      <c r="O945" s="3"/>
      <c r="P945" s="3"/>
      <c r="Q945" s="3"/>
      <c r="T945" s="3"/>
      <c r="U945" s="3"/>
      <c r="V945" s="3"/>
      <c r="Y945" s="3"/>
      <c r="Z945" s="3"/>
      <c r="AA945" s="3"/>
      <c r="AB945" s="3"/>
      <c r="AC945" s="3"/>
      <c r="AH945" s="3"/>
    </row>
    <row r="946" spans="5:34" s="1" customFormat="1">
      <c r="E946" s="3"/>
      <c r="F946" s="3"/>
      <c r="G946" s="3"/>
      <c r="J946" s="3"/>
      <c r="K946" s="3"/>
      <c r="L946" s="3"/>
      <c r="O946" s="3"/>
      <c r="P946" s="3"/>
      <c r="Q946" s="3"/>
      <c r="T946" s="3"/>
      <c r="U946" s="3"/>
      <c r="V946" s="3"/>
      <c r="Y946" s="3"/>
      <c r="Z946" s="3"/>
      <c r="AA946" s="3"/>
      <c r="AB946" s="3"/>
      <c r="AC946" s="3"/>
      <c r="AH946" s="3"/>
    </row>
    <row r="947" spans="5:34" s="1" customFormat="1">
      <c r="E947" s="3"/>
      <c r="F947" s="3"/>
      <c r="G947" s="3"/>
      <c r="J947" s="3"/>
      <c r="K947" s="3"/>
      <c r="L947" s="3"/>
      <c r="O947" s="3"/>
      <c r="P947" s="3"/>
      <c r="Q947" s="3"/>
      <c r="T947" s="3"/>
      <c r="U947" s="3"/>
      <c r="V947" s="3"/>
      <c r="Y947" s="3"/>
      <c r="Z947" s="3"/>
      <c r="AA947" s="3"/>
      <c r="AB947" s="3"/>
      <c r="AC947" s="3"/>
      <c r="AH947" s="3"/>
    </row>
    <row r="948" spans="5:34" s="1" customFormat="1">
      <c r="E948" s="3"/>
      <c r="F948" s="3"/>
      <c r="G948" s="3"/>
      <c r="J948" s="3"/>
      <c r="K948" s="3"/>
      <c r="L948" s="3"/>
      <c r="O948" s="3"/>
      <c r="P948" s="3"/>
      <c r="Q948" s="3"/>
      <c r="T948" s="3"/>
      <c r="U948" s="3"/>
      <c r="V948" s="3"/>
      <c r="Y948" s="3"/>
      <c r="Z948" s="3"/>
      <c r="AA948" s="3"/>
      <c r="AB948" s="3"/>
      <c r="AC948" s="3"/>
      <c r="AH948" s="3"/>
    </row>
    <row r="949" spans="5:34" s="1" customFormat="1">
      <c r="E949" s="3"/>
      <c r="F949" s="3"/>
      <c r="G949" s="3"/>
      <c r="J949" s="3"/>
      <c r="K949" s="3"/>
      <c r="L949" s="3"/>
      <c r="O949" s="3"/>
      <c r="P949" s="3"/>
      <c r="Q949" s="3"/>
      <c r="T949" s="3"/>
      <c r="U949" s="3"/>
      <c r="V949" s="3"/>
      <c r="Y949" s="3"/>
      <c r="Z949" s="3"/>
      <c r="AA949" s="3"/>
      <c r="AB949" s="3"/>
      <c r="AC949" s="3"/>
      <c r="AH949" s="3"/>
    </row>
    <row r="950" spans="5:34" s="1" customFormat="1">
      <c r="E950" s="3"/>
      <c r="F950" s="3"/>
      <c r="G950" s="3"/>
      <c r="J950" s="3"/>
      <c r="K950" s="3"/>
      <c r="L950" s="3"/>
      <c r="O950" s="3"/>
      <c r="P950" s="3"/>
      <c r="Q950" s="3"/>
      <c r="T950" s="3"/>
      <c r="U950" s="3"/>
      <c r="V950" s="3"/>
      <c r="Y950" s="3"/>
      <c r="Z950" s="3"/>
      <c r="AA950" s="3"/>
      <c r="AB950" s="3"/>
      <c r="AC950" s="3"/>
      <c r="AH950" s="3"/>
    </row>
    <row r="951" spans="5:34" s="1" customFormat="1">
      <c r="E951" s="3"/>
      <c r="F951" s="3"/>
      <c r="G951" s="3"/>
      <c r="J951" s="3"/>
      <c r="K951" s="3"/>
      <c r="L951" s="3"/>
      <c r="O951" s="3"/>
      <c r="P951" s="3"/>
      <c r="Q951" s="3"/>
      <c r="T951" s="3"/>
      <c r="U951" s="3"/>
      <c r="V951" s="3"/>
      <c r="Y951" s="3"/>
      <c r="Z951" s="3"/>
      <c r="AA951" s="3"/>
      <c r="AB951" s="3"/>
      <c r="AC951" s="3"/>
      <c r="AH951" s="3"/>
    </row>
    <row r="952" spans="5:34" s="1" customFormat="1">
      <c r="E952" s="3"/>
      <c r="F952" s="3"/>
      <c r="G952" s="3"/>
      <c r="J952" s="3"/>
      <c r="K952" s="3"/>
      <c r="L952" s="3"/>
      <c r="O952" s="3"/>
      <c r="P952" s="3"/>
      <c r="Q952" s="3"/>
      <c r="T952" s="3"/>
      <c r="U952" s="3"/>
      <c r="V952" s="3"/>
      <c r="Y952" s="3"/>
      <c r="Z952" s="3"/>
      <c r="AA952" s="3"/>
      <c r="AB952" s="3"/>
      <c r="AC952" s="3"/>
      <c r="AH952" s="3"/>
    </row>
    <row r="953" spans="5:34" s="1" customFormat="1">
      <c r="E953" s="3"/>
      <c r="F953" s="3"/>
      <c r="G953" s="3"/>
      <c r="J953" s="3"/>
      <c r="K953" s="3"/>
      <c r="L953" s="3"/>
      <c r="O953" s="3"/>
      <c r="P953" s="3"/>
      <c r="Q953" s="3"/>
      <c r="T953" s="3"/>
      <c r="U953" s="3"/>
      <c r="V953" s="3"/>
      <c r="Y953" s="3"/>
      <c r="Z953" s="3"/>
      <c r="AA953" s="3"/>
      <c r="AB953" s="3"/>
      <c r="AC953" s="3"/>
      <c r="AH953" s="3"/>
    </row>
    <row r="954" spans="5:34" s="1" customFormat="1">
      <c r="E954" s="3"/>
      <c r="F954" s="3"/>
      <c r="G954" s="3"/>
      <c r="J954" s="3"/>
      <c r="K954" s="3"/>
      <c r="L954" s="3"/>
      <c r="O954" s="3"/>
      <c r="P954" s="3"/>
      <c r="Q954" s="3"/>
      <c r="T954" s="3"/>
      <c r="U954" s="3"/>
      <c r="V954" s="3"/>
      <c r="Y954" s="3"/>
      <c r="Z954" s="3"/>
      <c r="AA954" s="3"/>
      <c r="AB954" s="3"/>
      <c r="AC954" s="3"/>
      <c r="AH954" s="3"/>
    </row>
    <row r="955" spans="5:34" s="1" customFormat="1">
      <c r="E955" s="3"/>
      <c r="F955" s="3"/>
      <c r="G955" s="3"/>
      <c r="J955" s="3"/>
      <c r="K955" s="3"/>
      <c r="L955" s="3"/>
      <c r="O955" s="3"/>
      <c r="P955" s="3"/>
      <c r="Q955" s="3"/>
      <c r="T955" s="3"/>
      <c r="U955" s="3"/>
      <c r="V955" s="3"/>
      <c r="Y955" s="3"/>
      <c r="Z955" s="3"/>
      <c r="AA955" s="3"/>
      <c r="AB955" s="3"/>
      <c r="AC955" s="3"/>
      <c r="AH955" s="3"/>
    </row>
    <row r="956" spans="5:34" s="1" customFormat="1">
      <c r="E956" s="3"/>
      <c r="F956" s="3"/>
      <c r="G956" s="3"/>
      <c r="J956" s="3"/>
      <c r="K956" s="3"/>
      <c r="L956" s="3"/>
      <c r="O956" s="3"/>
      <c r="P956" s="3"/>
      <c r="Q956" s="3"/>
      <c r="T956" s="3"/>
      <c r="U956" s="3"/>
      <c r="V956" s="3"/>
      <c r="Y956" s="3"/>
      <c r="Z956" s="3"/>
      <c r="AA956" s="3"/>
      <c r="AB956" s="3"/>
      <c r="AC956" s="3"/>
      <c r="AH956" s="3"/>
    </row>
    <row r="957" spans="5:34" s="1" customFormat="1">
      <c r="E957" s="3"/>
      <c r="F957" s="3"/>
      <c r="G957" s="3"/>
      <c r="J957" s="3"/>
      <c r="K957" s="3"/>
      <c r="L957" s="3"/>
      <c r="O957" s="3"/>
      <c r="P957" s="3"/>
      <c r="Q957" s="3"/>
      <c r="T957" s="3"/>
      <c r="U957" s="3"/>
      <c r="V957" s="3"/>
      <c r="Y957" s="3"/>
      <c r="Z957" s="3"/>
      <c r="AA957" s="3"/>
      <c r="AB957" s="3"/>
      <c r="AC957" s="3"/>
      <c r="AH957" s="3"/>
    </row>
    <row r="958" spans="5:34" s="1" customFormat="1">
      <c r="E958" s="3"/>
      <c r="F958" s="3"/>
      <c r="G958" s="3"/>
      <c r="J958" s="3"/>
      <c r="K958" s="3"/>
      <c r="L958" s="3"/>
      <c r="O958" s="3"/>
      <c r="P958" s="3"/>
      <c r="Q958" s="3"/>
      <c r="T958" s="3"/>
      <c r="U958" s="3"/>
      <c r="V958" s="3"/>
      <c r="Y958" s="3"/>
      <c r="Z958" s="3"/>
      <c r="AA958" s="3"/>
      <c r="AB958" s="3"/>
      <c r="AC958" s="3"/>
      <c r="AH958" s="3"/>
    </row>
    <row r="959" spans="5:34" s="1" customFormat="1">
      <c r="E959" s="3"/>
      <c r="F959" s="3"/>
      <c r="G959" s="3"/>
      <c r="J959" s="3"/>
      <c r="K959" s="3"/>
      <c r="L959" s="3"/>
      <c r="O959" s="3"/>
      <c r="P959" s="3"/>
      <c r="Q959" s="3"/>
      <c r="T959" s="3"/>
      <c r="U959" s="3"/>
      <c r="V959" s="3"/>
      <c r="Y959" s="3"/>
      <c r="Z959" s="3"/>
      <c r="AA959" s="3"/>
      <c r="AB959" s="3"/>
      <c r="AC959" s="3"/>
      <c r="AH959" s="3"/>
    </row>
    <row r="960" spans="5:34" s="1" customFormat="1">
      <c r="E960" s="3"/>
      <c r="F960" s="3"/>
      <c r="G960" s="3"/>
      <c r="J960" s="3"/>
      <c r="K960" s="3"/>
      <c r="L960" s="3"/>
      <c r="O960" s="3"/>
      <c r="P960" s="3"/>
      <c r="Q960" s="3"/>
      <c r="T960" s="3"/>
      <c r="U960" s="3"/>
      <c r="V960" s="3"/>
      <c r="Y960" s="3"/>
      <c r="Z960" s="3"/>
      <c r="AA960" s="3"/>
      <c r="AB960" s="3"/>
      <c r="AC960" s="3"/>
      <c r="AH960" s="3"/>
    </row>
    <row r="961" spans="5:34" s="1" customFormat="1">
      <c r="E961" s="3"/>
      <c r="F961" s="3"/>
      <c r="G961" s="3"/>
      <c r="J961" s="3"/>
      <c r="K961" s="3"/>
      <c r="L961" s="3"/>
      <c r="O961" s="3"/>
      <c r="P961" s="3"/>
      <c r="Q961" s="3"/>
      <c r="T961" s="3"/>
      <c r="U961" s="3"/>
      <c r="V961" s="3"/>
      <c r="Y961" s="3"/>
      <c r="Z961" s="3"/>
      <c r="AA961" s="3"/>
      <c r="AB961" s="3"/>
      <c r="AC961" s="3"/>
      <c r="AH961" s="3"/>
    </row>
    <row r="962" spans="5:34" s="1" customFormat="1">
      <c r="E962" s="3"/>
      <c r="F962" s="3"/>
      <c r="G962" s="3"/>
      <c r="J962" s="3"/>
      <c r="K962" s="3"/>
      <c r="L962" s="3"/>
      <c r="O962" s="3"/>
      <c r="P962" s="3"/>
      <c r="Q962" s="3"/>
      <c r="T962" s="3"/>
      <c r="U962" s="3"/>
      <c r="V962" s="3"/>
      <c r="Y962" s="3"/>
      <c r="Z962" s="3"/>
      <c r="AA962" s="3"/>
      <c r="AB962" s="3"/>
      <c r="AC962" s="3"/>
      <c r="AH962" s="3"/>
    </row>
    <row r="963" spans="5:34" s="1" customFormat="1">
      <c r="E963" s="3"/>
      <c r="F963" s="3"/>
      <c r="G963" s="3"/>
      <c r="J963" s="3"/>
      <c r="K963" s="3"/>
      <c r="L963" s="3"/>
      <c r="O963" s="3"/>
      <c r="P963" s="3"/>
      <c r="Q963" s="3"/>
      <c r="T963" s="3"/>
      <c r="U963" s="3"/>
      <c r="V963" s="3"/>
      <c r="Y963" s="3"/>
      <c r="Z963" s="3"/>
      <c r="AA963" s="3"/>
      <c r="AB963" s="3"/>
      <c r="AC963" s="3"/>
      <c r="AH963" s="3"/>
    </row>
    <row r="964" spans="5:34" s="1" customFormat="1">
      <c r="E964" s="3"/>
      <c r="F964" s="3"/>
      <c r="G964" s="3"/>
      <c r="J964" s="3"/>
      <c r="K964" s="3"/>
      <c r="L964" s="3"/>
      <c r="O964" s="3"/>
      <c r="P964" s="3"/>
      <c r="Q964" s="3"/>
      <c r="T964" s="3"/>
      <c r="U964" s="3"/>
      <c r="V964" s="3"/>
      <c r="Y964" s="3"/>
      <c r="Z964" s="3"/>
      <c r="AA964" s="3"/>
      <c r="AB964" s="3"/>
      <c r="AC964" s="3"/>
      <c r="AH964" s="3"/>
    </row>
    <row r="965" spans="5:34" s="1" customFormat="1">
      <c r="E965" s="3"/>
      <c r="F965" s="3"/>
      <c r="G965" s="3"/>
      <c r="J965" s="3"/>
      <c r="K965" s="3"/>
      <c r="L965" s="3"/>
      <c r="O965" s="3"/>
      <c r="P965" s="3"/>
      <c r="Q965" s="3"/>
      <c r="T965" s="3"/>
      <c r="U965" s="3"/>
      <c r="V965" s="3"/>
      <c r="Y965" s="3"/>
      <c r="Z965" s="3"/>
      <c r="AA965" s="3"/>
      <c r="AB965" s="3"/>
      <c r="AC965" s="3"/>
      <c r="AH965" s="3"/>
    </row>
    <row r="966" spans="5:34" s="1" customFormat="1">
      <c r="E966" s="3"/>
      <c r="F966" s="3"/>
      <c r="G966" s="3"/>
      <c r="J966" s="3"/>
      <c r="K966" s="3"/>
      <c r="L966" s="3"/>
      <c r="O966" s="3"/>
      <c r="P966" s="3"/>
      <c r="Q966" s="3"/>
      <c r="T966" s="3"/>
      <c r="U966" s="3"/>
      <c r="V966" s="3"/>
      <c r="Y966" s="3"/>
      <c r="Z966" s="3"/>
      <c r="AA966" s="3"/>
      <c r="AB966" s="3"/>
      <c r="AC966" s="3"/>
      <c r="AH966" s="3"/>
    </row>
    <row r="967" spans="5:34" s="1" customFormat="1">
      <c r="E967" s="3"/>
      <c r="F967" s="3"/>
      <c r="G967" s="3"/>
      <c r="J967" s="3"/>
      <c r="K967" s="3"/>
      <c r="L967" s="3"/>
      <c r="O967" s="3"/>
      <c r="P967" s="3"/>
      <c r="Q967" s="3"/>
      <c r="T967" s="3"/>
      <c r="U967" s="3"/>
      <c r="V967" s="3"/>
      <c r="Y967" s="3"/>
      <c r="Z967" s="3"/>
      <c r="AA967" s="3"/>
      <c r="AB967" s="3"/>
      <c r="AC967" s="3"/>
      <c r="AH967" s="3"/>
    </row>
    <row r="968" spans="5:34" s="1" customFormat="1">
      <c r="E968" s="3"/>
      <c r="F968" s="3"/>
      <c r="G968" s="3"/>
      <c r="J968" s="3"/>
      <c r="K968" s="3"/>
      <c r="L968" s="3"/>
      <c r="O968" s="3"/>
      <c r="P968" s="3"/>
      <c r="Q968" s="3"/>
      <c r="T968" s="3"/>
      <c r="U968" s="3"/>
      <c r="V968" s="3"/>
      <c r="Y968" s="3"/>
      <c r="Z968" s="3"/>
      <c r="AA968" s="3"/>
      <c r="AB968" s="3"/>
      <c r="AC968" s="3"/>
      <c r="AH968" s="3"/>
    </row>
    <row r="969" spans="5:34" s="1" customFormat="1">
      <c r="E969" s="3"/>
      <c r="F969" s="3"/>
      <c r="G969" s="3"/>
      <c r="J969" s="3"/>
      <c r="K969" s="3"/>
      <c r="L969" s="3"/>
      <c r="O969" s="3"/>
      <c r="P969" s="3"/>
      <c r="Q969" s="3"/>
      <c r="T969" s="3"/>
      <c r="U969" s="3"/>
      <c r="V969" s="3"/>
      <c r="Y969" s="3"/>
      <c r="Z969" s="3"/>
      <c r="AA969" s="3"/>
      <c r="AB969" s="3"/>
      <c r="AC969" s="3"/>
      <c r="AH969" s="3"/>
    </row>
    <row r="970" spans="5:34" s="1" customFormat="1">
      <c r="E970" s="3"/>
      <c r="F970" s="3"/>
      <c r="G970" s="3"/>
      <c r="J970" s="3"/>
      <c r="K970" s="3"/>
      <c r="L970" s="3"/>
      <c r="O970" s="3"/>
      <c r="P970" s="3"/>
      <c r="Q970" s="3"/>
      <c r="T970" s="3"/>
      <c r="U970" s="3"/>
      <c r="V970" s="3"/>
      <c r="Y970" s="3"/>
      <c r="Z970" s="3"/>
      <c r="AA970" s="3"/>
      <c r="AB970" s="3"/>
      <c r="AC970" s="3"/>
      <c r="AH970" s="3"/>
    </row>
    <row r="971" spans="5:34" s="1" customFormat="1">
      <c r="E971" s="3"/>
      <c r="F971" s="3"/>
      <c r="G971" s="3"/>
      <c r="J971" s="3"/>
      <c r="K971" s="3"/>
      <c r="L971" s="3"/>
      <c r="O971" s="3"/>
      <c r="P971" s="3"/>
      <c r="Q971" s="3"/>
      <c r="T971" s="3"/>
      <c r="U971" s="3"/>
      <c r="V971" s="3"/>
      <c r="Y971" s="3"/>
      <c r="Z971" s="3"/>
      <c r="AA971" s="3"/>
      <c r="AB971" s="3"/>
      <c r="AC971" s="3"/>
      <c r="AH971" s="3"/>
    </row>
    <row r="972" spans="5:34" s="1" customFormat="1">
      <c r="E972" s="3"/>
      <c r="F972" s="3"/>
      <c r="G972" s="3"/>
      <c r="J972" s="3"/>
      <c r="K972" s="3"/>
      <c r="L972" s="3"/>
      <c r="O972" s="3"/>
      <c r="P972" s="3"/>
      <c r="Q972" s="3"/>
      <c r="T972" s="3"/>
      <c r="U972" s="3"/>
      <c r="V972" s="3"/>
      <c r="Y972" s="3"/>
      <c r="Z972" s="3"/>
      <c r="AA972" s="3"/>
      <c r="AB972" s="3"/>
      <c r="AC972" s="3"/>
      <c r="AH972" s="3"/>
    </row>
    <row r="973" spans="5:34" s="1" customFormat="1">
      <c r="E973" s="3"/>
      <c r="F973" s="3"/>
      <c r="G973" s="3"/>
      <c r="J973" s="3"/>
      <c r="K973" s="3"/>
      <c r="L973" s="3"/>
      <c r="O973" s="3"/>
      <c r="P973" s="3"/>
      <c r="Q973" s="3"/>
      <c r="T973" s="3"/>
      <c r="U973" s="3"/>
      <c r="V973" s="3"/>
      <c r="Y973" s="3"/>
      <c r="Z973" s="3"/>
      <c r="AA973" s="3"/>
      <c r="AB973" s="3"/>
      <c r="AC973" s="3"/>
      <c r="AH973" s="3"/>
    </row>
    <row r="974" spans="5:34" s="1" customFormat="1">
      <c r="E974" s="3"/>
      <c r="F974" s="3"/>
      <c r="G974" s="3"/>
      <c r="J974" s="3"/>
      <c r="K974" s="3"/>
      <c r="L974" s="3"/>
      <c r="O974" s="3"/>
      <c r="P974" s="3"/>
      <c r="Q974" s="3"/>
      <c r="T974" s="3"/>
      <c r="U974" s="3"/>
      <c r="V974" s="3"/>
      <c r="Y974" s="3"/>
      <c r="Z974" s="3"/>
      <c r="AA974" s="3"/>
      <c r="AB974" s="3"/>
      <c r="AC974" s="3"/>
      <c r="AH974" s="3"/>
    </row>
    <row r="975" spans="5:34" s="1" customFormat="1">
      <c r="E975" s="3"/>
      <c r="F975" s="3"/>
      <c r="G975" s="3"/>
      <c r="J975" s="3"/>
      <c r="K975" s="3"/>
      <c r="L975" s="3"/>
      <c r="O975" s="3"/>
      <c r="P975" s="3"/>
      <c r="Q975" s="3"/>
      <c r="T975" s="3"/>
      <c r="U975" s="3"/>
      <c r="V975" s="3"/>
      <c r="Y975" s="3"/>
      <c r="Z975" s="3"/>
      <c r="AA975" s="3"/>
      <c r="AB975" s="3"/>
      <c r="AC975" s="3"/>
      <c r="AH975" s="3"/>
    </row>
    <row r="976" spans="5:34" s="1" customFormat="1">
      <c r="E976" s="3"/>
      <c r="F976" s="3"/>
      <c r="G976" s="3"/>
      <c r="J976" s="3"/>
      <c r="K976" s="3"/>
      <c r="L976" s="3"/>
      <c r="O976" s="3"/>
      <c r="P976" s="3"/>
      <c r="Q976" s="3"/>
      <c r="T976" s="3"/>
      <c r="U976" s="3"/>
      <c r="V976" s="3"/>
      <c r="Y976" s="3"/>
      <c r="Z976" s="3"/>
      <c r="AA976" s="3"/>
      <c r="AB976" s="3"/>
      <c r="AC976" s="3"/>
      <c r="AH976" s="3"/>
    </row>
    <row r="977" spans="5:34" s="1" customFormat="1">
      <c r="E977" s="3"/>
      <c r="F977" s="3"/>
      <c r="G977" s="3"/>
      <c r="J977" s="3"/>
      <c r="K977" s="3"/>
      <c r="L977" s="3"/>
      <c r="O977" s="3"/>
      <c r="P977" s="3"/>
      <c r="Q977" s="3"/>
      <c r="T977" s="3"/>
      <c r="U977" s="3"/>
      <c r="V977" s="3"/>
      <c r="Y977" s="3"/>
      <c r="Z977" s="3"/>
      <c r="AA977" s="3"/>
      <c r="AB977" s="3"/>
      <c r="AC977" s="3"/>
      <c r="AH977" s="3"/>
    </row>
    <row r="978" spans="5:34" s="1" customFormat="1">
      <c r="E978" s="3"/>
      <c r="F978" s="3"/>
      <c r="G978" s="3"/>
      <c r="J978" s="3"/>
      <c r="K978" s="3"/>
      <c r="L978" s="3"/>
      <c r="O978" s="3"/>
      <c r="P978" s="3"/>
      <c r="Q978" s="3"/>
      <c r="T978" s="3"/>
      <c r="U978" s="3"/>
      <c r="V978" s="3"/>
      <c r="Y978" s="3"/>
      <c r="Z978" s="3"/>
      <c r="AA978" s="3"/>
      <c r="AB978" s="3"/>
      <c r="AC978" s="3"/>
      <c r="AH978" s="3"/>
    </row>
    <row r="979" spans="5:34" s="1" customFormat="1">
      <c r="E979" s="3"/>
      <c r="F979" s="3"/>
      <c r="G979" s="3"/>
      <c r="J979" s="3"/>
      <c r="K979" s="3"/>
      <c r="L979" s="3"/>
      <c r="O979" s="3"/>
      <c r="P979" s="3"/>
      <c r="Q979" s="3"/>
      <c r="T979" s="3"/>
      <c r="U979" s="3"/>
      <c r="V979" s="3"/>
      <c r="Y979" s="3"/>
      <c r="Z979" s="3"/>
      <c r="AA979" s="3"/>
      <c r="AB979" s="3"/>
      <c r="AC979" s="3"/>
      <c r="AH979" s="3"/>
    </row>
    <row r="980" spans="5:34" s="1" customFormat="1">
      <c r="E980" s="3"/>
      <c r="F980" s="3"/>
      <c r="G980" s="3"/>
      <c r="J980" s="3"/>
      <c r="K980" s="3"/>
      <c r="L980" s="3"/>
      <c r="O980" s="3"/>
      <c r="P980" s="3"/>
      <c r="Q980" s="3"/>
      <c r="T980" s="3"/>
      <c r="U980" s="3"/>
      <c r="V980" s="3"/>
      <c r="Y980" s="3"/>
      <c r="Z980" s="3"/>
      <c r="AA980" s="3"/>
      <c r="AB980" s="3"/>
      <c r="AC980" s="3"/>
      <c r="AH980" s="3"/>
    </row>
    <row r="981" spans="5:34" s="1" customFormat="1">
      <c r="E981" s="3"/>
      <c r="F981" s="3"/>
      <c r="G981" s="3"/>
      <c r="J981" s="3"/>
      <c r="K981" s="3"/>
      <c r="L981" s="3"/>
      <c r="O981" s="3"/>
      <c r="P981" s="3"/>
      <c r="Q981" s="3"/>
      <c r="T981" s="3"/>
      <c r="U981" s="3"/>
      <c r="V981" s="3"/>
      <c r="Y981" s="3"/>
      <c r="Z981" s="3"/>
      <c r="AA981" s="3"/>
      <c r="AB981" s="3"/>
      <c r="AC981" s="3"/>
      <c r="AH981" s="3"/>
    </row>
    <row r="982" spans="5:34" s="1" customFormat="1">
      <c r="E982" s="3"/>
      <c r="F982" s="3"/>
      <c r="G982" s="3"/>
      <c r="J982" s="3"/>
      <c r="K982" s="3"/>
      <c r="L982" s="3"/>
      <c r="O982" s="3"/>
      <c r="P982" s="3"/>
      <c r="Q982" s="3"/>
      <c r="T982" s="3"/>
      <c r="U982" s="3"/>
      <c r="V982" s="3"/>
      <c r="Y982" s="3"/>
      <c r="Z982" s="3"/>
      <c r="AA982" s="3"/>
      <c r="AB982" s="3"/>
      <c r="AC982" s="3"/>
      <c r="AH982" s="3"/>
    </row>
    <row r="983" spans="5:34" s="1" customFormat="1">
      <c r="E983" s="3"/>
      <c r="F983" s="3"/>
      <c r="G983" s="3"/>
      <c r="J983" s="3"/>
      <c r="K983" s="3"/>
      <c r="L983" s="3"/>
      <c r="O983" s="3"/>
      <c r="P983" s="3"/>
      <c r="Q983" s="3"/>
      <c r="T983" s="3"/>
      <c r="U983" s="3"/>
      <c r="V983" s="3"/>
      <c r="Y983" s="3"/>
      <c r="Z983" s="3"/>
      <c r="AA983" s="3"/>
      <c r="AB983" s="3"/>
      <c r="AC983" s="3"/>
      <c r="AH983" s="3"/>
    </row>
    <row r="984" spans="5:34" s="1" customFormat="1">
      <c r="E984" s="3"/>
      <c r="F984" s="3"/>
      <c r="G984" s="3"/>
      <c r="J984" s="3"/>
      <c r="K984" s="3"/>
      <c r="L984" s="3"/>
      <c r="O984" s="3"/>
      <c r="P984" s="3"/>
      <c r="Q984" s="3"/>
      <c r="T984" s="3"/>
      <c r="U984" s="3"/>
      <c r="V984" s="3"/>
      <c r="Y984" s="3"/>
      <c r="Z984" s="3"/>
      <c r="AA984" s="3"/>
      <c r="AB984" s="3"/>
      <c r="AC984" s="3"/>
      <c r="AH984" s="3"/>
    </row>
    <row r="985" spans="5:34" s="1" customFormat="1">
      <c r="E985" s="3"/>
      <c r="F985" s="3"/>
      <c r="G985" s="3"/>
      <c r="J985" s="3"/>
      <c r="K985" s="3"/>
      <c r="L985" s="3"/>
      <c r="O985" s="3"/>
      <c r="P985" s="3"/>
      <c r="Q985" s="3"/>
      <c r="T985" s="3"/>
      <c r="U985" s="3"/>
      <c r="V985" s="3"/>
      <c r="Y985" s="3"/>
      <c r="Z985" s="3"/>
      <c r="AA985" s="3"/>
      <c r="AB985" s="3"/>
      <c r="AC985" s="3"/>
      <c r="AH985" s="3"/>
    </row>
    <row r="986" spans="5:34" s="1" customFormat="1">
      <c r="E986" s="3"/>
      <c r="F986" s="3"/>
      <c r="G986" s="3"/>
      <c r="J986" s="3"/>
      <c r="K986" s="3"/>
      <c r="L986" s="3"/>
      <c r="O986" s="3"/>
      <c r="P986" s="3"/>
      <c r="Q986" s="3"/>
      <c r="T986" s="3"/>
      <c r="U986" s="3"/>
      <c r="V986" s="3"/>
      <c r="Y986" s="3"/>
      <c r="Z986" s="3"/>
      <c r="AA986" s="3"/>
      <c r="AB986" s="3"/>
      <c r="AC986" s="3"/>
      <c r="AH986" s="3"/>
    </row>
    <row r="987" spans="5:34" s="1" customFormat="1">
      <c r="E987" s="3"/>
      <c r="F987" s="3"/>
      <c r="G987" s="3"/>
      <c r="J987" s="3"/>
      <c r="K987" s="3"/>
      <c r="L987" s="3"/>
      <c r="O987" s="3"/>
      <c r="P987" s="3"/>
      <c r="Q987" s="3"/>
      <c r="T987" s="3"/>
      <c r="U987" s="3"/>
      <c r="V987" s="3"/>
      <c r="Y987" s="3"/>
      <c r="Z987" s="3"/>
      <c r="AA987" s="3"/>
      <c r="AB987" s="3"/>
      <c r="AC987" s="3"/>
      <c r="AH987" s="3"/>
    </row>
    <row r="988" spans="5:34" s="1" customFormat="1">
      <c r="E988" s="3"/>
      <c r="F988" s="3"/>
      <c r="G988" s="3"/>
      <c r="J988" s="3"/>
      <c r="K988" s="3"/>
      <c r="L988" s="3"/>
      <c r="O988" s="3"/>
      <c r="P988" s="3"/>
      <c r="Q988" s="3"/>
      <c r="T988" s="3"/>
      <c r="U988" s="3"/>
      <c r="V988" s="3"/>
      <c r="Y988" s="3"/>
      <c r="Z988" s="3"/>
      <c r="AA988" s="3"/>
      <c r="AB988" s="3"/>
      <c r="AC988" s="3"/>
      <c r="AH988" s="3"/>
    </row>
    <row r="989" spans="5:34" s="1" customFormat="1">
      <c r="E989" s="3"/>
      <c r="F989" s="3"/>
      <c r="G989" s="3"/>
      <c r="J989" s="3"/>
      <c r="K989" s="3"/>
      <c r="L989" s="3"/>
      <c r="O989" s="3"/>
      <c r="P989" s="3"/>
      <c r="Q989" s="3"/>
      <c r="T989" s="3"/>
      <c r="U989" s="3"/>
      <c r="V989" s="3"/>
      <c r="Y989" s="3"/>
      <c r="Z989" s="3"/>
      <c r="AA989" s="3"/>
      <c r="AB989" s="3"/>
      <c r="AC989" s="3"/>
      <c r="AH989" s="3"/>
    </row>
    <row r="990" spans="5:34" s="1" customFormat="1">
      <c r="E990" s="3"/>
      <c r="F990" s="3"/>
      <c r="G990" s="3"/>
      <c r="J990" s="3"/>
      <c r="K990" s="3"/>
      <c r="L990" s="3"/>
      <c r="O990" s="3"/>
      <c r="P990" s="3"/>
      <c r="Q990" s="3"/>
      <c r="T990" s="3"/>
      <c r="U990" s="3"/>
      <c r="V990" s="3"/>
      <c r="Y990" s="3"/>
      <c r="Z990" s="3"/>
      <c r="AA990" s="3"/>
      <c r="AB990" s="3"/>
      <c r="AC990" s="3"/>
      <c r="AH990" s="3"/>
    </row>
    <row r="991" spans="5:34" s="1" customFormat="1">
      <c r="E991" s="3"/>
      <c r="F991" s="3"/>
      <c r="G991" s="3"/>
      <c r="J991" s="3"/>
      <c r="K991" s="3"/>
      <c r="L991" s="3"/>
      <c r="O991" s="3"/>
      <c r="P991" s="3"/>
      <c r="Q991" s="3"/>
      <c r="T991" s="3"/>
      <c r="U991" s="3"/>
      <c r="V991" s="3"/>
      <c r="Y991" s="3"/>
      <c r="Z991" s="3"/>
      <c r="AA991" s="3"/>
      <c r="AB991" s="3"/>
      <c r="AC991" s="3"/>
      <c r="AH991" s="3"/>
    </row>
    <row r="992" spans="5:34" s="1" customFormat="1">
      <c r="E992" s="3"/>
      <c r="F992" s="3"/>
      <c r="G992" s="3"/>
      <c r="J992" s="3"/>
      <c r="K992" s="3"/>
      <c r="L992" s="3"/>
      <c r="O992" s="3"/>
      <c r="P992" s="3"/>
      <c r="Q992" s="3"/>
      <c r="T992" s="3"/>
      <c r="U992" s="3"/>
      <c r="V992" s="3"/>
      <c r="Y992" s="3"/>
      <c r="Z992" s="3"/>
      <c r="AA992" s="3"/>
      <c r="AB992" s="3"/>
      <c r="AC992" s="3"/>
      <c r="AH992" s="3"/>
    </row>
    <row r="993" spans="5:34" s="1" customFormat="1">
      <c r="E993" s="3"/>
      <c r="F993" s="3"/>
      <c r="G993" s="3"/>
      <c r="J993" s="3"/>
      <c r="K993" s="3"/>
      <c r="L993" s="3"/>
      <c r="O993" s="3"/>
      <c r="P993" s="3"/>
      <c r="Q993" s="3"/>
      <c r="T993" s="3"/>
      <c r="U993" s="3"/>
      <c r="V993" s="3"/>
      <c r="Y993" s="3"/>
      <c r="Z993" s="3"/>
      <c r="AA993" s="3"/>
      <c r="AB993" s="3"/>
      <c r="AC993" s="3"/>
      <c r="AH993" s="3"/>
    </row>
    <row r="994" spans="5:34" s="1" customFormat="1">
      <c r="E994" s="3"/>
      <c r="F994" s="3"/>
      <c r="G994" s="3"/>
      <c r="J994" s="3"/>
      <c r="K994" s="3"/>
      <c r="L994" s="3"/>
      <c r="O994" s="3"/>
      <c r="P994" s="3"/>
      <c r="Q994" s="3"/>
      <c r="T994" s="3"/>
      <c r="U994" s="3"/>
      <c r="V994" s="3"/>
      <c r="Y994" s="3"/>
      <c r="Z994" s="3"/>
      <c r="AA994" s="3"/>
      <c r="AB994" s="3"/>
      <c r="AC994" s="3"/>
      <c r="AH994" s="3"/>
    </row>
    <row r="995" spans="5:34" s="1" customFormat="1">
      <c r="E995" s="3"/>
      <c r="F995" s="3"/>
      <c r="G995" s="3"/>
      <c r="J995" s="3"/>
      <c r="K995" s="3"/>
      <c r="L995" s="3"/>
      <c r="O995" s="3"/>
      <c r="P995" s="3"/>
      <c r="Q995" s="3"/>
      <c r="T995" s="3"/>
      <c r="U995" s="3"/>
      <c r="V995" s="3"/>
      <c r="Y995" s="3"/>
      <c r="Z995" s="3"/>
      <c r="AA995" s="3"/>
      <c r="AB995" s="3"/>
      <c r="AC995" s="3"/>
      <c r="AH995" s="3"/>
    </row>
    <row r="996" spans="5:34" s="1" customFormat="1">
      <c r="E996" s="3"/>
      <c r="F996" s="3"/>
      <c r="G996" s="3"/>
      <c r="J996" s="3"/>
      <c r="K996" s="3"/>
      <c r="L996" s="3"/>
      <c r="O996" s="3"/>
      <c r="P996" s="3"/>
      <c r="Q996" s="3"/>
      <c r="T996" s="3"/>
      <c r="U996" s="3"/>
      <c r="V996" s="3"/>
      <c r="Y996" s="3"/>
      <c r="Z996" s="3"/>
      <c r="AA996" s="3"/>
      <c r="AB996" s="3"/>
      <c r="AC996" s="3"/>
      <c r="AH996" s="3"/>
    </row>
    <row r="997" spans="5:34" s="1" customFormat="1">
      <c r="E997" s="3"/>
      <c r="F997" s="3"/>
      <c r="G997" s="3"/>
      <c r="J997" s="3"/>
      <c r="K997" s="3"/>
      <c r="L997" s="3"/>
      <c r="O997" s="3"/>
      <c r="P997" s="3"/>
      <c r="Q997" s="3"/>
      <c r="T997" s="3"/>
      <c r="U997" s="3"/>
      <c r="V997" s="3"/>
      <c r="Y997" s="3"/>
      <c r="Z997" s="3"/>
      <c r="AA997" s="3"/>
      <c r="AB997" s="3"/>
      <c r="AC997" s="3"/>
      <c r="AH997" s="3"/>
    </row>
    <row r="998" spans="5:34" s="1" customFormat="1">
      <c r="E998" s="3"/>
      <c r="F998" s="3"/>
      <c r="G998" s="3"/>
      <c r="J998" s="3"/>
      <c r="K998" s="3"/>
      <c r="L998" s="3"/>
      <c r="O998" s="3"/>
      <c r="P998" s="3"/>
      <c r="Q998" s="3"/>
      <c r="T998" s="3"/>
      <c r="U998" s="3"/>
      <c r="V998" s="3"/>
      <c r="Y998" s="3"/>
      <c r="Z998" s="3"/>
      <c r="AA998" s="3"/>
      <c r="AB998" s="3"/>
      <c r="AC998" s="3"/>
      <c r="AH998" s="3"/>
    </row>
    <row r="999" spans="5:34" s="1" customFormat="1">
      <c r="E999" s="3"/>
      <c r="F999" s="3"/>
      <c r="G999" s="3"/>
      <c r="J999" s="3"/>
      <c r="K999" s="3"/>
      <c r="L999" s="3"/>
      <c r="O999" s="3"/>
      <c r="P999" s="3"/>
      <c r="Q999" s="3"/>
      <c r="T999" s="3"/>
      <c r="U999" s="3"/>
      <c r="V999" s="3"/>
      <c r="Y999" s="3"/>
      <c r="Z999" s="3"/>
      <c r="AA999" s="3"/>
      <c r="AB999" s="3"/>
      <c r="AC999" s="3"/>
      <c r="AH999" s="3"/>
    </row>
    <row r="1000" spans="5:34" s="1" customFormat="1">
      <c r="E1000" s="3"/>
      <c r="F1000" s="3"/>
      <c r="G1000" s="3"/>
      <c r="J1000" s="3"/>
      <c r="K1000" s="3"/>
      <c r="L1000" s="3"/>
      <c r="O1000" s="3"/>
      <c r="P1000" s="3"/>
      <c r="Q1000" s="3"/>
      <c r="T1000" s="3"/>
      <c r="U1000" s="3"/>
      <c r="V1000" s="3"/>
      <c r="Y1000" s="3"/>
      <c r="Z1000" s="3"/>
      <c r="AA1000" s="3"/>
      <c r="AB1000" s="3"/>
      <c r="AC1000" s="3"/>
      <c r="AH1000" s="3"/>
    </row>
    <row r="1001" spans="5:34" s="1" customFormat="1">
      <c r="E1001" s="3"/>
      <c r="F1001" s="3"/>
      <c r="G1001" s="3"/>
      <c r="J1001" s="3"/>
      <c r="K1001" s="3"/>
      <c r="L1001" s="3"/>
      <c r="O1001" s="3"/>
      <c r="P1001" s="3"/>
      <c r="Q1001" s="3"/>
      <c r="T1001" s="3"/>
      <c r="U1001" s="3"/>
      <c r="V1001" s="3"/>
      <c r="Y1001" s="3"/>
      <c r="Z1001" s="3"/>
      <c r="AA1001" s="3"/>
      <c r="AB1001" s="3"/>
      <c r="AC1001" s="3"/>
      <c r="AH1001" s="3"/>
    </row>
    <row r="1002" spans="5:34" s="1" customFormat="1">
      <c r="E1002" s="3"/>
      <c r="F1002" s="3"/>
      <c r="G1002" s="3"/>
      <c r="J1002" s="3"/>
      <c r="K1002" s="3"/>
      <c r="L1002" s="3"/>
      <c r="O1002" s="3"/>
      <c r="P1002" s="3"/>
      <c r="Q1002" s="3"/>
      <c r="T1002" s="3"/>
      <c r="U1002" s="3"/>
      <c r="V1002" s="3"/>
      <c r="Y1002" s="3"/>
      <c r="Z1002" s="3"/>
      <c r="AA1002" s="3"/>
      <c r="AB1002" s="3"/>
      <c r="AC1002" s="3"/>
      <c r="AH1002" s="3"/>
    </row>
    <row r="1003" spans="5:34" s="1" customFormat="1">
      <c r="E1003" s="3"/>
      <c r="F1003" s="3"/>
      <c r="G1003" s="3"/>
      <c r="J1003" s="3"/>
      <c r="K1003" s="3"/>
      <c r="L1003" s="3"/>
      <c r="O1003" s="3"/>
      <c r="P1003" s="3"/>
      <c r="Q1003" s="3"/>
      <c r="T1003" s="3"/>
      <c r="U1003" s="3"/>
      <c r="V1003" s="3"/>
      <c r="Y1003" s="3"/>
      <c r="Z1003" s="3"/>
      <c r="AA1003" s="3"/>
      <c r="AB1003" s="3"/>
      <c r="AC1003" s="3"/>
      <c r="AH1003" s="3"/>
    </row>
    <row r="1004" spans="5:34" s="1" customFormat="1">
      <c r="E1004" s="3"/>
      <c r="F1004" s="3"/>
      <c r="G1004" s="3"/>
      <c r="J1004" s="3"/>
      <c r="K1004" s="3"/>
      <c r="L1004" s="3"/>
      <c r="O1004" s="3"/>
      <c r="P1004" s="3"/>
      <c r="Q1004" s="3"/>
      <c r="T1004" s="3"/>
      <c r="U1004" s="3"/>
      <c r="V1004" s="3"/>
      <c r="Y1004" s="3"/>
      <c r="Z1004" s="3"/>
      <c r="AA1004" s="3"/>
      <c r="AB1004" s="3"/>
      <c r="AC1004" s="3"/>
      <c r="AH1004" s="3"/>
    </row>
    <row r="1005" spans="5:34" s="1" customFormat="1">
      <c r="E1005" s="3"/>
      <c r="F1005" s="3"/>
      <c r="G1005" s="3"/>
      <c r="J1005" s="3"/>
      <c r="K1005" s="3"/>
      <c r="L1005" s="3"/>
      <c r="O1005" s="3"/>
      <c r="P1005" s="3"/>
      <c r="Q1005" s="3"/>
      <c r="T1005" s="3"/>
      <c r="U1005" s="3"/>
      <c r="V1005" s="3"/>
      <c r="Y1005" s="3"/>
      <c r="Z1005" s="3"/>
      <c r="AA1005" s="3"/>
      <c r="AB1005" s="3"/>
      <c r="AC1005" s="3"/>
      <c r="AH1005" s="3"/>
    </row>
    <row r="1006" spans="5:34" s="1" customFormat="1">
      <c r="E1006" s="3"/>
      <c r="F1006" s="3"/>
      <c r="G1006" s="3"/>
      <c r="J1006" s="3"/>
      <c r="K1006" s="3"/>
      <c r="L1006" s="3"/>
      <c r="O1006" s="3"/>
      <c r="P1006" s="3"/>
      <c r="Q1006" s="3"/>
      <c r="T1006" s="3"/>
      <c r="U1006" s="3"/>
      <c r="V1006" s="3"/>
      <c r="Y1006" s="3"/>
      <c r="Z1006" s="3"/>
      <c r="AA1006" s="3"/>
      <c r="AB1006" s="3"/>
      <c r="AC1006" s="3"/>
      <c r="AH1006" s="3"/>
    </row>
    <row r="1007" spans="5:34" s="1" customFormat="1">
      <c r="E1007" s="3"/>
      <c r="F1007" s="3"/>
      <c r="G1007" s="3"/>
      <c r="J1007" s="3"/>
      <c r="K1007" s="3"/>
      <c r="L1007" s="3"/>
      <c r="O1007" s="3"/>
      <c r="P1007" s="3"/>
      <c r="Q1007" s="3"/>
      <c r="T1007" s="3"/>
      <c r="U1007" s="3"/>
      <c r="V1007" s="3"/>
      <c r="Y1007" s="3"/>
      <c r="Z1007" s="3"/>
      <c r="AA1007" s="3"/>
      <c r="AB1007" s="3"/>
      <c r="AC1007" s="3"/>
      <c r="AH1007" s="3"/>
    </row>
    <row r="1008" spans="5:34" s="1" customFormat="1">
      <c r="E1008" s="3"/>
      <c r="F1008" s="3"/>
      <c r="G1008" s="3"/>
      <c r="J1008" s="3"/>
      <c r="K1008" s="3"/>
      <c r="L1008" s="3"/>
      <c r="O1008" s="3"/>
      <c r="P1008" s="3"/>
      <c r="Q1008" s="3"/>
      <c r="T1008" s="3"/>
      <c r="U1008" s="3"/>
      <c r="V1008" s="3"/>
      <c r="Y1008" s="3"/>
      <c r="Z1008" s="3"/>
      <c r="AA1008" s="3"/>
      <c r="AB1008" s="3"/>
      <c r="AC1008" s="3"/>
      <c r="AH1008" s="3"/>
    </row>
    <row r="1009" spans="5:34" s="1" customFormat="1">
      <c r="E1009" s="3"/>
      <c r="F1009" s="3"/>
      <c r="G1009" s="3"/>
      <c r="J1009" s="3"/>
      <c r="K1009" s="3"/>
      <c r="L1009" s="3"/>
      <c r="O1009" s="3"/>
      <c r="P1009" s="3"/>
      <c r="Q1009" s="3"/>
      <c r="T1009" s="3"/>
      <c r="U1009" s="3"/>
      <c r="V1009" s="3"/>
      <c r="Y1009" s="3"/>
      <c r="Z1009" s="3"/>
      <c r="AA1009" s="3"/>
      <c r="AB1009" s="3"/>
      <c r="AC1009" s="3"/>
      <c r="AH1009" s="3"/>
    </row>
    <row r="1010" spans="5:34" s="1" customFormat="1">
      <c r="E1010" s="3"/>
      <c r="F1010" s="3"/>
      <c r="G1010" s="3"/>
      <c r="J1010" s="3"/>
      <c r="K1010" s="3"/>
      <c r="L1010" s="3"/>
      <c r="O1010" s="3"/>
      <c r="P1010" s="3"/>
      <c r="Q1010" s="3"/>
      <c r="T1010" s="3"/>
      <c r="U1010" s="3"/>
      <c r="V1010" s="3"/>
      <c r="Y1010" s="3"/>
      <c r="Z1010" s="3"/>
      <c r="AA1010" s="3"/>
      <c r="AB1010" s="3"/>
      <c r="AC1010" s="3"/>
      <c r="AH1010" s="3"/>
    </row>
    <row r="1011" spans="5:34" s="1" customFormat="1">
      <c r="E1011" s="3"/>
      <c r="F1011" s="3"/>
      <c r="G1011" s="3"/>
      <c r="J1011" s="3"/>
      <c r="K1011" s="3"/>
      <c r="L1011" s="3"/>
      <c r="O1011" s="3"/>
      <c r="P1011" s="3"/>
      <c r="Q1011" s="3"/>
      <c r="T1011" s="3"/>
      <c r="U1011" s="3"/>
      <c r="V1011" s="3"/>
      <c r="Y1011" s="3"/>
      <c r="Z1011" s="3"/>
      <c r="AA1011" s="3"/>
      <c r="AB1011" s="3"/>
      <c r="AC1011" s="3"/>
      <c r="AH1011" s="3"/>
    </row>
    <row r="1012" spans="5:34" s="1" customFormat="1">
      <c r="E1012" s="3"/>
      <c r="F1012" s="3"/>
      <c r="G1012" s="3"/>
      <c r="J1012" s="3"/>
      <c r="K1012" s="3"/>
      <c r="L1012" s="3"/>
      <c r="O1012" s="3"/>
      <c r="P1012" s="3"/>
      <c r="Q1012" s="3"/>
      <c r="T1012" s="3"/>
      <c r="U1012" s="3"/>
      <c r="V1012" s="3"/>
      <c r="Y1012" s="3"/>
      <c r="Z1012" s="3"/>
      <c r="AA1012" s="3"/>
      <c r="AB1012" s="3"/>
      <c r="AC1012" s="3"/>
      <c r="AH1012" s="3"/>
    </row>
    <row r="1013" spans="5:34" s="1" customFormat="1">
      <c r="E1013" s="3"/>
      <c r="F1013" s="3"/>
      <c r="G1013" s="3"/>
      <c r="J1013" s="3"/>
      <c r="K1013" s="3"/>
      <c r="L1013" s="3"/>
      <c r="O1013" s="3"/>
      <c r="P1013" s="3"/>
      <c r="Q1013" s="3"/>
      <c r="T1013" s="3"/>
      <c r="U1013" s="3"/>
      <c r="V1013" s="3"/>
      <c r="Y1013" s="3"/>
      <c r="Z1013" s="3"/>
      <c r="AA1013" s="3"/>
      <c r="AB1013" s="3"/>
      <c r="AC1013" s="3"/>
      <c r="AH1013" s="3"/>
    </row>
    <row r="1014" spans="5:34" s="1" customFormat="1">
      <c r="E1014" s="3"/>
      <c r="F1014" s="3"/>
      <c r="G1014" s="3"/>
      <c r="J1014" s="3"/>
      <c r="K1014" s="3"/>
      <c r="L1014" s="3"/>
      <c r="O1014" s="3"/>
      <c r="P1014" s="3"/>
      <c r="Q1014" s="3"/>
      <c r="T1014" s="3"/>
      <c r="U1014" s="3"/>
      <c r="V1014" s="3"/>
      <c r="Y1014" s="3"/>
      <c r="Z1014" s="3"/>
      <c r="AA1014" s="3"/>
      <c r="AB1014" s="3"/>
      <c r="AC1014" s="3"/>
      <c r="AH1014" s="3"/>
    </row>
    <row r="1015" spans="5:34" s="1" customFormat="1">
      <c r="E1015" s="3"/>
      <c r="F1015" s="3"/>
      <c r="G1015" s="3"/>
      <c r="J1015" s="3"/>
      <c r="K1015" s="3"/>
      <c r="L1015" s="3"/>
      <c r="O1015" s="3"/>
      <c r="P1015" s="3"/>
      <c r="Q1015" s="3"/>
      <c r="T1015" s="3"/>
      <c r="U1015" s="3"/>
      <c r="V1015" s="3"/>
      <c r="Y1015" s="3"/>
      <c r="Z1015" s="3"/>
      <c r="AA1015" s="3"/>
      <c r="AB1015" s="3"/>
      <c r="AC1015" s="3"/>
      <c r="AH1015" s="3"/>
    </row>
    <row r="1016" spans="5:34" s="1" customFormat="1">
      <c r="E1016" s="3"/>
      <c r="F1016" s="3"/>
      <c r="G1016" s="3"/>
      <c r="J1016" s="3"/>
      <c r="K1016" s="3"/>
      <c r="L1016" s="3"/>
      <c r="O1016" s="3"/>
      <c r="P1016" s="3"/>
      <c r="Q1016" s="3"/>
      <c r="T1016" s="3"/>
      <c r="U1016" s="3"/>
      <c r="V1016" s="3"/>
      <c r="Y1016" s="3"/>
      <c r="Z1016" s="3"/>
      <c r="AA1016" s="3"/>
      <c r="AB1016" s="3"/>
      <c r="AC1016" s="3"/>
      <c r="AH1016" s="3"/>
    </row>
    <row r="1017" spans="5:34" s="1" customFormat="1">
      <c r="E1017" s="3"/>
      <c r="F1017" s="3"/>
      <c r="G1017" s="3"/>
      <c r="J1017" s="3"/>
      <c r="K1017" s="3"/>
      <c r="L1017" s="3"/>
      <c r="O1017" s="3"/>
      <c r="P1017" s="3"/>
      <c r="Q1017" s="3"/>
      <c r="T1017" s="3"/>
      <c r="U1017" s="3"/>
      <c r="V1017" s="3"/>
      <c r="Y1017" s="3"/>
      <c r="Z1017" s="3"/>
      <c r="AA1017" s="3"/>
      <c r="AB1017" s="3"/>
      <c r="AC1017" s="3"/>
      <c r="AH1017" s="3"/>
    </row>
    <row r="1018" spans="5:34" s="1" customFormat="1">
      <c r="E1018" s="3"/>
      <c r="F1018" s="3"/>
      <c r="G1018" s="3"/>
      <c r="J1018" s="3"/>
      <c r="K1018" s="3"/>
      <c r="L1018" s="3"/>
      <c r="O1018" s="3"/>
      <c r="P1018" s="3"/>
      <c r="Q1018" s="3"/>
      <c r="T1018" s="3"/>
      <c r="U1018" s="3"/>
      <c r="V1018" s="3"/>
      <c r="Y1018" s="3"/>
      <c r="Z1018" s="3"/>
      <c r="AA1018" s="3"/>
      <c r="AB1018" s="3"/>
      <c r="AC1018" s="3"/>
      <c r="AH1018" s="3"/>
    </row>
    <row r="1019" spans="5:34" s="1" customFormat="1">
      <c r="E1019" s="3"/>
      <c r="F1019" s="3"/>
      <c r="G1019" s="3"/>
      <c r="J1019" s="3"/>
      <c r="K1019" s="3"/>
      <c r="L1019" s="3"/>
      <c r="O1019" s="3"/>
      <c r="P1019" s="3"/>
      <c r="Q1019" s="3"/>
      <c r="T1019" s="3"/>
      <c r="U1019" s="3"/>
      <c r="V1019" s="3"/>
      <c r="Y1019" s="3"/>
      <c r="Z1019" s="3"/>
      <c r="AA1019" s="3"/>
      <c r="AB1019" s="3"/>
      <c r="AC1019" s="3"/>
      <c r="AH1019" s="3"/>
    </row>
    <row r="1020" spans="5:34" s="1" customFormat="1">
      <c r="E1020" s="3"/>
      <c r="F1020" s="3"/>
      <c r="G1020" s="3"/>
      <c r="J1020" s="3"/>
      <c r="K1020" s="3"/>
      <c r="L1020" s="3"/>
      <c r="O1020" s="3"/>
      <c r="P1020" s="3"/>
      <c r="Q1020" s="3"/>
      <c r="T1020" s="3"/>
      <c r="U1020" s="3"/>
      <c r="V1020" s="3"/>
      <c r="Y1020" s="3"/>
      <c r="Z1020" s="3"/>
      <c r="AA1020" s="3"/>
      <c r="AB1020" s="3"/>
      <c r="AC1020" s="3"/>
      <c r="AH1020" s="3"/>
    </row>
    <row r="1021" spans="5:34" s="1" customFormat="1">
      <c r="E1021" s="3"/>
      <c r="F1021" s="3"/>
      <c r="G1021" s="3"/>
      <c r="J1021" s="3"/>
      <c r="K1021" s="3"/>
      <c r="L1021" s="3"/>
      <c r="O1021" s="3"/>
      <c r="P1021" s="3"/>
      <c r="Q1021" s="3"/>
      <c r="T1021" s="3"/>
      <c r="U1021" s="3"/>
      <c r="V1021" s="3"/>
      <c r="Y1021" s="3"/>
      <c r="Z1021" s="3"/>
      <c r="AA1021" s="3"/>
      <c r="AB1021" s="3"/>
      <c r="AC1021" s="3"/>
      <c r="AH1021" s="3"/>
    </row>
    <row r="1022" spans="5:34" s="1" customFormat="1">
      <c r="E1022" s="3"/>
      <c r="F1022" s="3"/>
      <c r="G1022" s="3"/>
      <c r="J1022" s="3"/>
      <c r="K1022" s="3"/>
      <c r="L1022" s="3"/>
      <c r="O1022" s="3"/>
      <c r="P1022" s="3"/>
      <c r="Q1022" s="3"/>
      <c r="T1022" s="3"/>
      <c r="U1022" s="3"/>
      <c r="V1022" s="3"/>
      <c r="Y1022" s="3"/>
      <c r="Z1022" s="3"/>
      <c r="AA1022" s="3"/>
      <c r="AB1022" s="3"/>
      <c r="AC1022" s="3"/>
      <c r="AH1022" s="3"/>
    </row>
    <row r="1023" spans="5:34" s="1" customFormat="1">
      <c r="E1023" s="3"/>
      <c r="F1023" s="3"/>
      <c r="G1023" s="3"/>
      <c r="J1023" s="3"/>
      <c r="K1023" s="3"/>
      <c r="L1023" s="3"/>
      <c r="O1023" s="3"/>
      <c r="P1023" s="3"/>
      <c r="Q1023" s="3"/>
      <c r="T1023" s="3"/>
      <c r="U1023" s="3"/>
      <c r="V1023" s="3"/>
      <c r="Y1023" s="3"/>
      <c r="Z1023" s="3"/>
      <c r="AA1023" s="3"/>
      <c r="AB1023" s="3"/>
      <c r="AC1023" s="3"/>
      <c r="AH1023" s="3"/>
    </row>
    <row r="1024" spans="5:34" s="1" customFormat="1">
      <c r="E1024" s="3"/>
      <c r="F1024" s="3"/>
      <c r="G1024" s="3"/>
      <c r="J1024" s="3"/>
      <c r="K1024" s="3"/>
      <c r="L1024" s="3"/>
      <c r="O1024" s="3"/>
      <c r="P1024" s="3"/>
      <c r="Q1024" s="3"/>
      <c r="T1024" s="3"/>
      <c r="U1024" s="3"/>
      <c r="V1024" s="3"/>
      <c r="Y1024" s="3"/>
      <c r="Z1024" s="3"/>
      <c r="AA1024" s="3"/>
      <c r="AB1024" s="3"/>
      <c r="AC1024" s="3"/>
      <c r="AH1024" s="3"/>
    </row>
    <row r="1025" spans="5:34" s="1" customFormat="1">
      <c r="E1025" s="3"/>
      <c r="F1025" s="3"/>
      <c r="G1025" s="3"/>
      <c r="J1025" s="3"/>
      <c r="K1025" s="3"/>
      <c r="L1025" s="3"/>
      <c r="O1025" s="3"/>
      <c r="P1025" s="3"/>
      <c r="Q1025" s="3"/>
      <c r="T1025" s="3"/>
      <c r="U1025" s="3"/>
      <c r="V1025" s="3"/>
      <c r="Y1025" s="3"/>
      <c r="Z1025" s="3"/>
      <c r="AA1025" s="3"/>
      <c r="AB1025" s="3"/>
      <c r="AC1025" s="3"/>
      <c r="AH1025" s="3"/>
    </row>
    <row r="1026" spans="5:34" s="1" customFormat="1">
      <c r="E1026" s="3"/>
      <c r="F1026" s="3"/>
      <c r="G1026" s="3"/>
      <c r="J1026" s="3"/>
      <c r="K1026" s="3"/>
      <c r="L1026" s="3"/>
      <c r="O1026" s="3"/>
      <c r="P1026" s="3"/>
      <c r="Q1026" s="3"/>
      <c r="T1026" s="3"/>
      <c r="U1026" s="3"/>
      <c r="V1026" s="3"/>
      <c r="Y1026" s="3"/>
      <c r="Z1026" s="3"/>
      <c r="AA1026" s="3"/>
      <c r="AB1026" s="3"/>
      <c r="AC1026" s="3"/>
      <c r="AH1026" s="3"/>
    </row>
    <row r="1027" spans="5:34" s="1" customFormat="1">
      <c r="E1027" s="3"/>
      <c r="F1027" s="3"/>
      <c r="G1027" s="3"/>
      <c r="J1027" s="3"/>
      <c r="K1027" s="3"/>
      <c r="L1027" s="3"/>
      <c r="O1027" s="3"/>
      <c r="P1027" s="3"/>
      <c r="Q1027" s="3"/>
      <c r="T1027" s="3"/>
      <c r="U1027" s="3"/>
      <c r="V1027" s="3"/>
      <c r="Y1027" s="3"/>
      <c r="Z1027" s="3"/>
      <c r="AA1027" s="3"/>
      <c r="AB1027" s="3"/>
      <c r="AC1027" s="3"/>
      <c r="AH1027" s="3"/>
    </row>
    <row r="1028" spans="5:34" s="1" customFormat="1">
      <c r="E1028" s="3"/>
      <c r="F1028" s="3"/>
      <c r="G1028" s="3"/>
      <c r="J1028" s="3"/>
      <c r="K1028" s="3"/>
      <c r="L1028" s="3"/>
      <c r="O1028" s="3"/>
      <c r="P1028" s="3"/>
      <c r="Q1028" s="3"/>
      <c r="T1028" s="3"/>
      <c r="U1028" s="3"/>
      <c r="V1028" s="3"/>
      <c r="Y1028" s="3"/>
      <c r="Z1028" s="3"/>
      <c r="AA1028" s="3"/>
      <c r="AB1028" s="3"/>
      <c r="AC1028" s="3"/>
      <c r="AH1028" s="3"/>
    </row>
    <row r="1029" spans="5:34" s="1" customFormat="1">
      <c r="E1029" s="3"/>
      <c r="F1029" s="3"/>
      <c r="G1029" s="3"/>
      <c r="J1029" s="3"/>
      <c r="K1029" s="3"/>
      <c r="L1029" s="3"/>
      <c r="O1029" s="3"/>
      <c r="P1029" s="3"/>
      <c r="Q1029" s="3"/>
      <c r="T1029" s="3"/>
      <c r="U1029" s="3"/>
      <c r="V1029" s="3"/>
      <c r="Y1029" s="3"/>
      <c r="Z1029" s="3"/>
      <c r="AA1029" s="3"/>
      <c r="AB1029" s="3"/>
      <c r="AC1029" s="3"/>
      <c r="AH1029" s="3"/>
    </row>
    <row r="1030" spans="5:34" s="1" customFormat="1">
      <c r="E1030" s="3"/>
      <c r="F1030" s="3"/>
      <c r="G1030" s="3"/>
      <c r="J1030" s="3"/>
      <c r="K1030" s="3"/>
      <c r="L1030" s="3"/>
      <c r="O1030" s="3"/>
      <c r="P1030" s="3"/>
      <c r="Q1030" s="3"/>
      <c r="T1030" s="3"/>
      <c r="U1030" s="3"/>
      <c r="V1030" s="3"/>
      <c r="Y1030" s="3"/>
      <c r="Z1030" s="3"/>
      <c r="AA1030" s="3"/>
      <c r="AB1030" s="3"/>
      <c r="AC1030" s="3"/>
      <c r="AH1030" s="3"/>
    </row>
    <row r="1031" spans="5:34" s="1" customFormat="1">
      <c r="E1031" s="3"/>
      <c r="F1031" s="3"/>
      <c r="G1031" s="3"/>
      <c r="J1031" s="3"/>
      <c r="K1031" s="3"/>
      <c r="L1031" s="3"/>
      <c r="O1031" s="3"/>
      <c r="P1031" s="3"/>
      <c r="Q1031" s="3"/>
      <c r="T1031" s="3"/>
      <c r="U1031" s="3"/>
      <c r="V1031" s="3"/>
      <c r="Y1031" s="3"/>
      <c r="Z1031" s="3"/>
      <c r="AA1031" s="3"/>
      <c r="AB1031" s="3"/>
      <c r="AC1031" s="3"/>
      <c r="AH1031" s="3"/>
    </row>
    <row r="1032" spans="5:34" s="1" customFormat="1">
      <c r="E1032" s="3"/>
      <c r="F1032" s="3"/>
      <c r="G1032" s="3"/>
      <c r="J1032" s="3"/>
      <c r="K1032" s="3"/>
      <c r="L1032" s="3"/>
      <c r="O1032" s="3"/>
      <c r="P1032" s="3"/>
      <c r="Q1032" s="3"/>
      <c r="T1032" s="3"/>
      <c r="U1032" s="3"/>
      <c r="V1032" s="3"/>
      <c r="Y1032" s="3"/>
      <c r="Z1032" s="3"/>
      <c r="AA1032" s="3"/>
      <c r="AB1032" s="3"/>
      <c r="AC1032" s="3"/>
      <c r="AH1032" s="3"/>
    </row>
    <row r="1033" spans="5:34" s="1" customFormat="1">
      <c r="E1033" s="3"/>
      <c r="F1033" s="3"/>
      <c r="G1033" s="3"/>
      <c r="J1033" s="3"/>
      <c r="K1033" s="3"/>
      <c r="L1033" s="3"/>
      <c r="O1033" s="3"/>
      <c r="P1033" s="3"/>
      <c r="Q1033" s="3"/>
      <c r="T1033" s="3"/>
      <c r="U1033" s="3"/>
      <c r="V1033" s="3"/>
      <c r="Y1033" s="3"/>
      <c r="Z1033" s="3"/>
      <c r="AA1033" s="3"/>
      <c r="AB1033" s="3"/>
      <c r="AC1033" s="3"/>
      <c r="AH1033" s="3"/>
    </row>
    <row r="1034" spans="5:34" s="1" customFormat="1">
      <c r="E1034" s="3"/>
      <c r="F1034" s="3"/>
      <c r="G1034" s="3"/>
      <c r="J1034" s="3"/>
      <c r="K1034" s="3"/>
      <c r="L1034" s="3"/>
      <c r="O1034" s="3"/>
      <c r="P1034" s="3"/>
      <c r="Q1034" s="3"/>
      <c r="T1034" s="3"/>
      <c r="U1034" s="3"/>
      <c r="V1034" s="3"/>
      <c r="Y1034" s="3"/>
      <c r="Z1034" s="3"/>
      <c r="AA1034" s="3"/>
      <c r="AB1034" s="3"/>
      <c r="AC1034" s="3"/>
      <c r="AH1034" s="3"/>
    </row>
    <row r="1035" spans="5:34" s="1" customFormat="1">
      <c r="E1035" s="3"/>
      <c r="F1035" s="3"/>
      <c r="G1035" s="3"/>
      <c r="J1035" s="3"/>
      <c r="K1035" s="3"/>
      <c r="L1035" s="3"/>
      <c r="O1035" s="3"/>
      <c r="P1035" s="3"/>
      <c r="Q1035" s="3"/>
      <c r="T1035" s="3"/>
      <c r="U1035" s="3"/>
      <c r="V1035" s="3"/>
      <c r="Y1035" s="3"/>
      <c r="Z1035" s="3"/>
      <c r="AA1035" s="3"/>
      <c r="AB1035" s="3"/>
      <c r="AC1035" s="3"/>
      <c r="AH1035" s="3"/>
    </row>
    <row r="1036" spans="5:34" s="1" customFormat="1">
      <c r="E1036" s="3"/>
      <c r="F1036" s="3"/>
      <c r="G1036" s="3"/>
      <c r="J1036" s="3"/>
      <c r="K1036" s="3"/>
      <c r="L1036" s="3"/>
      <c r="O1036" s="3"/>
      <c r="P1036" s="3"/>
      <c r="Q1036" s="3"/>
      <c r="T1036" s="3"/>
      <c r="U1036" s="3"/>
      <c r="V1036" s="3"/>
      <c r="Y1036" s="3"/>
      <c r="Z1036" s="3"/>
      <c r="AA1036" s="3"/>
      <c r="AB1036" s="3"/>
      <c r="AC1036" s="3"/>
      <c r="AH1036" s="3"/>
    </row>
    <row r="1037" spans="5:34" s="1" customFormat="1">
      <c r="E1037" s="3"/>
      <c r="F1037" s="3"/>
      <c r="G1037" s="3"/>
      <c r="J1037" s="3"/>
      <c r="K1037" s="3"/>
      <c r="L1037" s="3"/>
      <c r="O1037" s="3"/>
      <c r="P1037" s="3"/>
      <c r="Q1037" s="3"/>
      <c r="T1037" s="3"/>
      <c r="U1037" s="3"/>
      <c r="V1037" s="3"/>
      <c r="Y1037" s="3"/>
      <c r="Z1037" s="3"/>
      <c r="AA1037" s="3"/>
      <c r="AB1037" s="3"/>
      <c r="AC1037" s="3"/>
      <c r="AH1037" s="3"/>
    </row>
    <row r="1038" spans="5:34" s="1" customFormat="1">
      <c r="E1038" s="3"/>
      <c r="F1038" s="3"/>
      <c r="G1038" s="3"/>
      <c r="J1038" s="3"/>
      <c r="K1038" s="3"/>
      <c r="L1038" s="3"/>
      <c r="O1038" s="3"/>
      <c r="P1038" s="3"/>
      <c r="Q1038" s="3"/>
      <c r="T1038" s="3"/>
      <c r="U1038" s="3"/>
      <c r="V1038" s="3"/>
      <c r="Y1038" s="3"/>
      <c r="Z1038" s="3"/>
      <c r="AA1038" s="3"/>
      <c r="AB1038" s="3"/>
      <c r="AC1038" s="3"/>
      <c r="AH1038" s="3"/>
    </row>
    <row r="1039" spans="5:34" s="1" customFormat="1">
      <c r="E1039" s="3"/>
      <c r="F1039" s="3"/>
      <c r="G1039" s="3"/>
      <c r="J1039" s="3"/>
      <c r="K1039" s="3"/>
      <c r="L1039" s="3"/>
      <c r="O1039" s="3"/>
      <c r="P1039" s="3"/>
      <c r="Q1039" s="3"/>
      <c r="T1039" s="3"/>
      <c r="U1039" s="3"/>
      <c r="V1039" s="3"/>
      <c r="Y1039" s="3"/>
      <c r="Z1039" s="3"/>
      <c r="AA1039" s="3"/>
      <c r="AB1039" s="3"/>
      <c r="AC1039" s="3"/>
      <c r="AH1039" s="3"/>
    </row>
    <row r="1040" spans="5:34" s="1" customFormat="1">
      <c r="E1040" s="3"/>
      <c r="F1040" s="3"/>
      <c r="G1040" s="3"/>
      <c r="J1040" s="3"/>
      <c r="K1040" s="3"/>
      <c r="L1040" s="3"/>
      <c r="O1040" s="3"/>
      <c r="P1040" s="3"/>
      <c r="Q1040" s="3"/>
      <c r="T1040" s="3"/>
      <c r="U1040" s="3"/>
      <c r="V1040" s="3"/>
      <c r="Y1040" s="3"/>
      <c r="Z1040" s="3"/>
      <c r="AA1040" s="3"/>
      <c r="AB1040" s="3"/>
      <c r="AC1040" s="3"/>
      <c r="AH1040" s="3"/>
    </row>
    <row r="1041" spans="5:34" s="1" customFormat="1">
      <c r="E1041" s="3"/>
      <c r="F1041" s="3"/>
      <c r="G1041" s="3"/>
      <c r="J1041" s="3"/>
      <c r="K1041" s="3"/>
      <c r="L1041" s="3"/>
      <c r="O1041" s="3"/>
      <c r="P1041" s="3"/>
      <c r="Q1041" s="3"/>
      <c r="T1041" s="3"/>
      <c r="U1041" s="3"/>
      <c r="V1041" s="3"/>
      <c r="Y1041" s="3"/>
      <c r="Z1041" s="3"/>
      <c r="AA1041" s="3"/>
      <c r="AB1041" s="3"/>
      <c r="AC1041" s="3"/>
      <c r="AH1041" s="3"/>
    </row>
    <row r="1042" spans="5:34" s="1" customFormat="1">
      <c r="E1042" s="3"/>
      <c r="F1042" s="3"/>
      <c r="G1042" s="3"/>
      <c r="J1042" s="3"/>
      <c r="K1042" s="3"/>
      <c r="L1042" s="3"/>
      <c r="O1042" s="3"/>
      <c r="P1042" s="3"/>
      <c r="Q1042" s="3"/>
      <c r="T1042" s="3"/>
      <c r="U1042" s="3"/>
      <c r="V1042" s="3"/>
      <c r="Y1042" s="3"/>
      <c r="Z1042" s="3"/>
      <c r="AA1042" s="3"/>
      <c r="AB1042" s="3"/>
      <c r="AC1042" s="3"/>
      <c r="AH1042" s="3"/>
    </row>
    <row r="1043" spans="5:34" s="1" customFormat="1">
      <c r="E1043" s="3"/>
      <c r="F1043" s="3"/>
      <c r="G1043" s="3"/>
      <c r="J1043" s="3"/>
      <c r="K1043" s="3"/>
      <c r="L1043" s="3"/>
      <c r="O1043" s="3"/>
      <c r="P1043" s="3"/>
      <c r="Q1043" s="3"/>
      <c r="T1043" s="3"/>
      <c r="U1043" s="3"/>
      <c r="V1043" s="3"/>
      <c r="Y1043" s="3"/>
      <c r="Z1043" s="3"/>
      <c r="AA1043" s="3"/>
      <c r="AB1043" s="3"/>
      <c r="AC1043" s="3"/>
      <c r="AH1043" s="3"/>
    </row>
    <row r="1044" spans="5:34" s="1" customFormat="1">
      <c r="E1044" s="3"/>
      <c r="F1044" s="3"/>
      <c r="G1044" s="3"/>
      <c r="J1044" s="3"/>
      <c r="K1044" s="3"/>
      <c r="L1044" s="3"/>
      <c r="O1044" s="3"/>
      <c r="P1044" s="3"/>
      <c r="Q1044" s="3"/>
      <c r="T1044" s="3"/>
      <c r="U1044" s="3"/>
      <c r="V1044" s="3"/>
      <c r="Y1044" s="3"/>
      <c r="Z1044" s="3"/>
      <c r="AA1044" s="3"/>
      <c r="AB1044" s="3"/>
      <c r="AC1044" s="3"/>
      <c r="AH1044" s="3"/>
    </row>
    <row r="1045" spans="5:34" s="1" customFormat="1">
      <c r="E1045" s="3"/>
      <c r="F1045" s="3"/>
      <c r="G1045" s="3"/>
      <c r="J1045" s="3"/>
      <c r="K1045" s="3"/>
      <c r="L1045" s="3"/>
      <c r="O1045" s="3"/>
      <c r="P1045" s="3"/>
      <c r="Q1045" s="3"/>
      <c r="T1045" s="3"/>
      <c r="U1045" s="3"/>
      <c r="V1045" s="3"/>
      <c r="Y1045" s="3"/>
      <c r="Z1045" s="3"/>
      <c r="AA1045" s="3"/>
      <c r="AB1045" s="3"/>
      <c r="AC1045" s="3"/>
      <c r="AH1045" s="3"/>
    </row>
    <row r="1046" spans="5:34" s="1" customFormat="1">
      <c r="E1046" s="3"/>
      <c r="F1046" s="3"/>
      <c r="G1046" s="3"/>
      <c r="J1046" s="3"/>
      <c r="K1046" s="3"/>
      <c r="L1046" s="3"/>
      <c r="O1046" s="3"/>
      <c r="P1046" s="3"/>
      <c r="Q1046" s="3"/>
      <c r="T1046" s="3"/>
      <c r="U1046" s="3"/>
      <c r="V1046" s="3"/>
      <c r="Y1046" s="3"/>
      <c r="Z1046" s="3"/>
      <c r="AA1046" s="3"/>
      <c r="AB1046" s="3"/>
      <c r="AC1046" s="3"/>
      <c r="AH1046" s="3"/>
    </row>
    <row r="1047" spans="5:34" s="1" customFormat="1">
      <c r="E1047" s="3"/>
      <c r="F1047" s="3"/>
      <c r="G1047" s="3"/>
      <c r="J1047" s="3"/>
      <c r="K1047" s="3"/>
      <c r="L1047" s="3"/>
      <c r="O1047" s="3"/>
      <c r="P1047" s="3"/>
      <c r="Q1047" s="3"/>
      <c r="T1047" s="3"/>
      <c r="U1047" s="3"/>
      <c r="V1047" s="3"/>
      <c r="Y1047" s="3"/>
      <c r="Z1047" s="3"/>
      <c r="AA1047" s="3"/>
      <c r="AB1047" s="3"/>
      <c r="AC1047" s="3"/>
      <c r="AH1047" s="3"/>
    </row>
    <row r="1048" spans="5:34" s="1" customFormat="1">
      <c r="E1048" s="3"/>
      <c r="F1048" s="3"/>
      <c r="G1048" s="3"/>
      <c r="J1048" s="3"/>
      <c r="K1048" s="3"/>
      <c r="L1048" s="3"/>
      <c r="O1048" s="3"/>
      <c r="P1048" s="3"/>
      <c r="Q1048" s="3"/>
      <c r="T1048" s="3"/>
      <c r="U1048" s="3"/>
      <c r="V1048" s="3"/>
      <c r="Y1048" s="3"/>
      <c r="Z1048" s="3"/>
      <c r="AA1048" s="3"/>
      <c r="AB1048" s="3"/>
      <c r="AC1048" s="3"/>
      <c r="AH1048" s="3"/>
    </row>
    <row r="1049" spans="5:34" s="1" customFormat="1">
      <c r="E1049" s="3"/>
      <c r="F1049" s="3"/>
      <c r="G1049" s="3"/>
      <c r="J1049" s="3"/>
      <c r="K1049" s="3"/>
      <c r="L1049" s="3"/>
      <c r="O1049" s="3"/>
      <c r="P1049" s="3"/>
      <c r="Q1049" s="3"/>
      <c r="T1049" s="3"/>
      <c r="U1049" s="3"/>
      <c r="V1049" s="3"/>
      <c r="Y1049" s="3"/>
      <c r="Z1049" s="3"/>
      <c r="AA1049" s="3"/>
      <c r="AB1049" s="3"/>
      <c r="AC1049" s="3"/>
      <c r="AH1049" s="3"/>
    </row>
    <row r="1050" spans="5:34" s="1" customFormat="1">
      <c r="E1050" s="3"/>
      <c r="F1050" s="3"/>
      <c r="G1050" s="3"/>
      <c r="J1050" s="3"/>
      <c r="K1050" s="3"/>
      <c r="L1050" s="3"/>
      <c r="O1050" s="3"/>
      <c r="P1050" s="3"/>
      <c r="Q1050" s="3"/>
      <c r="T1050" s="3"/>
      <c r="U1050" s="3"/>
      <c r="V1050" s="3"/>
      <c r="Y1050" s="3"/>
      <c r="Z1050" s="3"/>
      <c r="AA1050" s="3"/>
      <c r="AB1050" s="3"/>
      <c r="AC1050" s="3"/>
      <c r="AH1050" s="3"/>
    </row>
    <row r="1051" spans="5:34" s="1" customFormat="1">
      <c r="E1051" s="3"/>
      <c r="F1051" s="3"/>
      <c r="G1051" s="3"/>
      <c r="J1051" s="3"/>
      <c r="K1051" s="3"/>
      <c r="L1051" s="3"/>
      <c r="O1051" s="3"/>
      <c r="P1051" s="3"/>
      <c r="Q1051" s="3"/>
      <c r="T1051" s="3"/>
      <c r="U1051" s="3"/>
      <c r="V1051" s="3"/>
      <c r="Y1051" s="3"/>
      <c r="Z1051" s="3"/>
      <c r="AA1051" s="3"/>
      <c r="AB1051" s="3"/>
      <c r="AC1051" s="3"/>
      <c r="AH1051" s="3"/>
    </row>
    <row r="1052" spans="5:34" s="1" customFormat="1">
      <c r="E1052" s="3"/>
      <c r="F1052" s="3"/>
      <c r="G1052" s="3"/>
      <c r="J1052" s="3"/>
      <c r="K1052" s="3"/>
      <c r="L1052" s="3"/>
      <c r="O1052" s="3"/>
      <c r="P1052" s="3"/>
      <c r="Q1052" s="3"/>
      <c r="T1052" s="3"/>
      <c r="U1052" s="3"/>
      <c r="V1052" s="3"/>
      <c r="Y1052" s="3"/>
      <c r="Z1052" s="3"/>
      <c r="AA1052" s="3"/>
      <c r="AB1052" s="3"/>
      <c r="AC1052" s="3"/>
      <c r="AH1052" s="3"/>
    </row>
    <row r="1053" spans="5:34" s="1" customFormat="1">
      <c r="E1053" s="3"/>
      <c r="F1053" s="3"/>
      <c r="G1053" s="3"/>
      <c r="J1053" s="3"/>
      <c r="K1053" s="3"/>
      <c r="L1053" s="3"/>
      <c r="O1053" s="3"/>
      <c r="P1053" s="3"/>
      <c r="Q1053" s="3"/>
      <c r="T1053" s="3"/>
      <c r="U1053" s="3"/>
      <c r="V1053" s="3"/>
      <c r="Y1053" s="3"/>
      <c r="Z1053" s="3"/>
      <c r="AA1053" s="3"/>
      <c r="AB1053" s="3"/>
      <c r="AC1053" s="3"/>
      <c r="AH1053" s="3"/>
    </row>
    <row r="1054" spans="5:34" s="1" customFormat="1">
      <c r="E1054" s="3"/>
      <c r="F1054" s="3"/>
      <c r="G1054" s="3"/>
      <c r="J1054" s="3"/>
      <c r="K1054" s="3"/>
      <c r="L1054" s="3"/>
      <c r="O1054" s="3"/>
      <c r="P1054" s="3"/>
      <c r="Q1054" s="3"/>
      <c r="T1054" s="3"/>
      <c r="U1054" s="3"/>
      <c r="V1054" s="3"/>
      <c r="Y1054" s="3"/>
      <c r="Z1054" s="3"/>
      <c r="AA1054" s="3"/>
      <c r="AB1054" s="3"/>
      <c r="AC1054" s="3"/>
      <c r="AH1054" s="3"/>
    </row>
    <row r="1055" spans="5:34" s="1" customFormat="1">
      <c r="E1055" s="3"/>
      <c r="F1055" s="3"/>
      <c r="G1055" s="3"/>
      <c r="J1055" s="3"/>
      <c r="K1055" s="3"/>
      <c r="L1055" s="3"/>
      <c r="O1055" s="3"/>
      <c r="P1055" s="3"/>
      <c r="Q1055" s="3"/>
      <c r="T1055" s="3"/>
      <c r="U1055" s="3"/>
      <c r="V1055" s="3"/>
      <c r="Y1055" s="3"/>
      <c r="Z1055" s="3"/>
      <c r="AA1055" s="3"/>
      <c r="AB1055" s="3"/>
      <c r="AC1055" s="3"/>
      <c r="AH1055" s="3"/>
    </row>
    <row r="1056" spans="5:34" s="1" customFormat="1">
      <c r="E1056" s="3"/>
      <c r="F1056" s="3"/>
      <c r="G1056" s="3"/>
      <c r="J1056" s="3"/>
      <c r="K1056" s="3"/>
      <c r="L1056" s="3"/>
      <c r="O1056" s="3"/>
      <c r="P1056" s="3"/>
      <c r="Q1056" s="3"/>
      <c r="T1056" s="3"/>
      <c r="U1056" s="3"/>
      <c r="V1056" s="3"/>
      <c r="Y1056" s="3"/>
      <c r="Z1056" s="3"/>
      <c r="AA1056" s="3"/>
      <c r="AB1056" s="3"/>
      <c r="AC1056" s="3"/>
      <c r="AH1056" s="3"/>
    </row>
    <row r="1057" spans="5:34" s="1" customFormat="1">
      <c r="E1057" s="3"/>
      <c r="F1057" s="3"/>
      <c r="G1057" s="3"/>
      <c r="J1057" s="3"/>
      <c r="K1057" s="3"/>
      <c r="L1057" s="3"/>
      <c r="O1057" s="3"/>
      <c r="P1057" s="3"/>
      <c r="Q1057" s="3"/>
      <c r="T1057" s="3"/>
      <c r="U1057" s="3"/>
      <c r="V1057" s="3"/>
      <c r="Y1057" s="3"/>
      <c r="Z1057" s="3"/>
      <c r="AA1057" s="3"/>
      <c r="AB1057" s="3"/>
      <c r="AC1057" s="3"/>
      <c r="AH1057" s="3"/>
    </row>
    <row r="1058" spans="5:34" s="1" customFormat="1">
      <c r="E1058" s="3"/>
      <c r="F1058" s="3"/>
      <c r="G1058" s="3"/>
      <c r="J1058" s="3"/>
      <c r="K1058" s="3"/>
      <c r="L1058" s="3"/>
      <c r="O1058" s="3"/>
      <c r="P1058" s="3"/>
      <c r="Q1058" s="3"/>
      <c r="T1058" s="3"/>
      <c r="U1058" s="3"/>
      <c r="V1058" s="3"/>
      <c r="Y1058" s="3"/>
      <c r="Z1058" s="3"/>
      <c r="AA1058" s="3"/>
      <c r="AB1058" s="3"/>
      <c r="AC1058" s="3"/>
      <c r="AH1058" s="3"/>
    </row>
    <row r="1059" spans="5:34" s="1" customFormat="1">
      <c r="E1059" s="3"/>
      <c r="F1059" s="3"/>
      <c r="G1059" s="3"/>
      <c r="J1059" s="3"/>
      <c r="K1059" s="3"/>
      <c r="L1059" s="3"/>
      <c r="O1059" s="3"/>
      <c r="P1059" s="3"/>
      <c r="Q1059" s="3"/>
      <c r="T1059" s="3"/>
      <c r="U1059" s="3"/>
      <c r="V1059" s="3"/>
      <c r="Y1059" s="3"/>
      <c r="Z1059" s="3"/>
      <c r="AA1059" s="3"/>
      <c r="AB1059" s="3"/>
      <c r="AC1059" s="3"/>
      <c r="AH1059" s="3"/>
    </row>
    <row r="1060" spans="5:34" s="1" customFormat="1">
      <c r="E1060" s="3"/>
      <c r="F1060" s="3"/>
      <c r="G1060" s="3"/>
      <c r="J1060" s="3"/>
      <c r="K1060" s="3"/>
      <c r="L1060" s="3"/>
      <c r="O1060" s="3"/>
      <c r="P1060" s="3"/>
      <c r="Q1060" s="3"/>
      <c r="T1060" s="3"/>
      <c r="U1060" s="3"/>
      <c r="V1060" s="3"/>
      <c r="Y1060" s="3"/>
      <c r="Z1060" s="3"/>
      <c r="AA1060" s="3"/>
      <c r="AB1060" s="3"/>
      <c r="AC1060" s="3"/>
      <c r="AH1060" s="3"/>
    </row>
    <row r="1061" spans="5:34" s="1" customFormat="1">
      <c r="E1061" s="3"/>
      <c r="F1061" s="3"/>
      <c r="G1061" s="3"/>
      <c r="J1061" s="3"/>
      <c r="K1061" s="3"/>
      <c r="L1061" s="3"/>
      <c r="O1061" s="3"/>
      <c r="P1061" s="3"/>
      <c r="Q1061" s="3"/>
      <c r="T1061" s="3"/>
      <c r="U1061" s="3"/>
      <c r="V1061" s="3"/>
      <c r="Y1061" s="3"/>
      <c r="Z1061" s="3"/>
      <c r="AA1061" s="3"/>
      <c r="AB1061" s="3"/>
      <c r="AC1061" s="3"/>
      <c r="AH1061" s="3"/>
    </row>
    <row r="1062" spans="5:34" s="1" customFormat="1">
      <c r="E1062" s="3"/>
      <c r="F1062" s="3"/>
      <c r="G1062" s="3"/>
      <c r="J1062" s="3"/>
      <c r="K1062" s="3"/>
      <c r="L1062" s="3"/>
      <c r="O1062" s="3"/>
      <c r="P1062" s="3"/>
      <c r="Q1062" s="3"/>
      <c r="T1062" s="3"/>
      <c r="U1062" s="3"/>
      <c r="V1062" s="3"/>
      <c r="Y1062" s="3"/>
      <c r="Z1062" s="3"/>
      <c r="AA1062" s="3"/>
      <c r="AB1062" s="3"/>
      <c r="AC1062" s="3"/>
      <c r="AH1062" s="3"/>
    </row>
    <row r="1063" spans="5:34" s="1" customFormat="1">
      <c r="E1063" s="3"/>
      <c r="F1063" s="3"/>
      <c r="G1063" s="3"/>
      <c r="J1063" s="3"/>
      <c r="K1063" s="3"/>
      <c r="L1063" s="3"/>
      <c r="O1063" s="3"/>
      <c r="P1063" s="3"/>
      <c r="Q1063" s="3"/>
      <c r="T1063" s="3"/>
      <c r="U1063" s="3"/>
      <c r="V1063" s="3"/>
      <c r="Y1063" s="3"/>
      <c r="Z1063" s="3"/>
      <c r="AA1063" s="3"/>
      <c r="AB1063" s="3"/>
      <c r="AC1063" s="3"/>
      <c r="AH1063" s="3"/>
    </row>
    <row r="1064" spans="5:34" s="1" customFormat="1">
      <c r="E1064" s="3"/>
      <c r="F1064" s="3"/>
      <c r="G1064" s="3"/>
      <c r="J1064" s="3"/>
      <c r="K1064" s="3"/>
      <c r="L1064" s="3"/>
      <c r="O1064" s="3"/>
      <c r="P1064" s="3"/>
      <c r="Q1064" s="3"/>
      <c r="T1064" s="3"/>
      <c r="U1064" s="3"/>
      <c r="V1064" s="3"/>
      <c r="Y1064" s="3"/>
      <c r="Z1064" s="3"/>
      <c r="AA1064" s="3"/>
      <c r="AB1064" s="3"/>
      <c r="AC1064" s="3"/>
      <c r="AH1064" s="3"/>
    </row>
    <row r="1065" spans="5:34" s="1" customFormat="1">
      <c r="E1065" s="3"/>
      <c r="F1065" s="3"/>
      <c r="G1065" s="3"/>
      <c r="J1065" s="3"/>
      <c r="K1065" s="3"/>
      <c r="L1065" s="3"/>
      <c r="O1065" s="3"/>
      <c r="P1065" s="3"/>
      <c r="Q1065" s="3"/>
      <c r="T1065" s="3"/>
      <c r="U1065" s="3"/>
      <c r="V1065" s="3"/>
      <c r="Y1065" s="3"/>
      <c r="Z1065" s="3"/>
      <c r="AA1065" s="3"/>
      <c r="AB1065" s="3"/>
      <c r="AC1065" s="3"/>
      <c r="AH1065" s="3"/>
    </row>
    <row r="1066" spans="5:34" s="1" customFormat="1">
      <c r="E1066" s="3"/>
      <c r="F1066" s="3"/>
      <c r="G1066" s="3"/>
      <c r="J1066" s="3"/>
      <c r="K1066" s="3"/>
      <c r="L1066" s="3"/>
      <c r="O1066" s="3"/>
      <c r="P1066" s="3"/>
      <c r="Q1066" s="3"/>
      <c r="T1066" s="3"/>
      <c r="U1066" s="3"/>
      <c r="V1066" s="3"/>
      <c r="Y1066" s="3"/>
      <c r="Z1066" s="3"/>
      <c r="AA1066" s="3"/>
      <c r="AB1066" s="3"/>
      <c r="AC1066" s="3"/>
      <c r="AH1066" s="3"/>
    </row>
    <row r="1067" spans="5:34" s="1" customFormat="1">
      <c r="E1067" s="3"/>
      <c r="F1067" s="3"/>
      <c r="G1067" s="3"/>
      <c r="J1067" s="3"/>
      <c r="K1067" s="3"/>
      <c r="L1067" s="3"/>
      <c r="O1067" s="3"/>
      <c r="P1067" s="3"/>
      <c r="Q1067" s="3"/>
      <c r="T1067" s="3"/>
      <c r="U1067" s="3"/>
      <c r="V1067" s="3"/>
      <c r="Y1067" s="3"/>
      <c r="Z1067" s="3"/>
      <c r="AA1067" s="3"/>
      <c r="AB1067" s="3"/>
      <c r="AC1067" s="3"/>
      <c r="AH1067" s="3"/>
    </row>
    <row r="1068" spans="5:34" s="1" customFormat="1">
      <c r="E1068" s="3"/>
      <c r="F1068" s="3"/>
      <c r="G1068" s="3"/>
      <c r="J1068" s="3"/>
      <c r="K1068" s="3"/>
      <c r="L1068" s="3"/>
      <c r="O1068" s="3"/>
      <c r="P1068" s="3"/>
      <c r="Q1068" s="3"/>
      <c r="T1068" s="3"/>
      <c r="U1068" s="3"/>
      <c r="V1068" s="3"/>
      <c r="Y1068" s="3"/>
      <c r="Z1068" s="3"/>
      <c r="AA1068" s="3"/>
      <c r="AB1068" s="3"/>
      <c r="AC1068" s="3"/>
      <c r="AH1068" s="3"/>
    </row>
    <row r="1069" spans="5:34" s="1" customFormat="1">
      <c r="E1069" s="3"/>
      <c r="F1069" s="3"/>
      <c r="G1069" s="3"/>
      <c r="J1069" s="3"/>
      <c r="K1069" s="3"/>
      <c r="L1069" s="3"/>
      <c r="O1069" s="3"/>
      <c r="P1069" s="3"/>
      <c r="Q1069" s="3"/>
      <c r="T1069" s="3"/>
      <c r="U1069" s="3"/>
      <c r="V1069" s="3"/>
      <c r="Y1069" s="3"/>
      <c r="Z1069" s="3"/>
      <c r="AA1069" s="3"/>
      <c r="AB1069" s="3"/>
      <c r="AC1069" s="3"/>
      <c r="AH1069" s="3"/>
    </row>
    <row r="1070" spans="5:34" s="1" customFormat="1">
      <c r="E1070" s="3"/>
      <c r="F1070" s="3"/>
      <c r="G1070" s="3"/>
      <c r="J1070" s="3"/>
      <c r="K1070" s="3"/>
      <c r="L1070" s="3"/>
      <c r="O1070" s="3"/>
      <c r="P1070" s="3"/>
      <c r="Q1070" s="3"/>
      <c r="T1070" s="3"/>
      <c r="U1070" s="3"/>
      <c r="V1070" s="3"/>
      <c r="Y1070" s="3"/>
      <c r="Z1070" s="3"/>
      <c r="AA1070" s="3"/>
      <c r="AB1070" s="3"/>
      <c r="AC1070" s="3"/>
      <c r="AH1070" s="3"/>
    </row>
    <row r="1071" spans="5:34" s="1" customFormat="1">
      <c r="E1071" s="3"/>
      <c r="F1071" s="3"/>
      <c r="G1071" s="3"/>
      <c r="J1071" s="3"/>
      <c r="K1071" s="3"/>
      <c r="L1071" s="3"/>
      <c r="O1071" s="3"/>
      <c r="P1071" s="3"/>
      <c r="Q1071" s="3"/>
      <c r="T1071" s="3"/>
      <c r="U1071" s="3"/>
      <c r="V1071" s="3"/>
      <c r="Y1071" s="3"/>
      <c r="Z1071" s="3"/>
      <c r="AA1071" s="3"/>
      <c r="AB1071" s="3"/>
      <c r="AC1071" s="3"/>
      <c r="AH1071" s="3"/>
    </row>
    <row r="1072" spans="5:34" s="1" customFormat="1">
      <c r="E1072" s="3"/>
      <c r="F1072" s="3"/>
      <c r="G1072" s="3"/>
      <c r="J1072" s="3"/>
      <c r="K1072" s="3"/>
      <c r="L1072" s="3"/>
      <c r="O1072" s="3"/>
      <c r="P1072" s="3"/>
      <c r="Q1072" s="3"/>
      <c r="T1072" s="3"/>
      <c r="U1072" s="3"/>
      <c r="V1072" s="3"/>
      <c r="Y1072" s="3"/>
      <c r="Z1072" s="3"/>
      <c r="AA1072" s="3"/>
      <c r="AB1072" s="3"/>
      <c r="AC1072" s="3"/>
      <c r="AH1072" s="3"/>
    </row>
    <row r="1073" spans="5:34" s="1" customFormat="1">
      <c r="E1073" s="3"/>
      <c r="F1073" s="3"/>
      <c r="G1073" s="3"/>
      <c r="J1073" s="3"/>
      <c r="K1073" s="3"/>
      <c r="L1073" s="3"/>
      <c r="O1073" s="3"/>
      <c r="P1073" s="3"/>
      <c r="Q1073" s="3"/>
      <c r="T1073" s="3"/>
      <c r="U1073" s="3"/>
      <c r="V1073" s="3"/>
      <c r="Y1073" s="3"/>
      <c r="Z1073" s="3"/>
      <c r="AA1073" s="3"/>
      <c r="AB1073" s="3"/>
      <c r="AC1073" s="3"/>
      <c r="AH1073" s="3"/>
    </row>
    <row r="1074" spans="5:34" s="1" customFormat="1">
      <c r="E1074" s="3"/>
      <c r="F1074" s="3"/>
      <c r="G1074" s="3"/>
      <c r="J1074" s="3"/>
      <c r="K1074" s="3"/>
      <c r="L1074" s="3"/>
      <c r="O1074" s="3"/>
      <c r="P1074" s="3"/>
      <c r="Q1074" s="3"/>
      <c r="T1074" s="3"/>
      <c r="U1074" s="3"/>
      <c r="V1074" s="3"/>
      <c r="Y1074" s="3"/>
      <c r="Z1074" s="3"/>
      <c r="AA1074" s="3"/>
      <c r="AB1074" s="3"/>
      <c r="AC1074" s="3"/>
      <c r="AH1074" s="3"/>
    </row>
    <row r="1075" spans="5:34" s="1" customFormat="1">
      <c r="E1075" s="3"/>
      <c r="F1075" s="3"/>
      <c r="G1075" s="3"/>
      <c r="J1075" s="3"/>
      <c r="K1075" s="3"/>
      <c r="L1075" s="3"/>
      <c r="O1075" s="3"/>
      <c r="P1075" s="3"/>
      <c r="Q1075" s="3"/>
      <c r="T1075" s="3"/>
      <c r="U1075" s="3"/>
      <c r="V1075" s="3"/>
      <c r="Y1075" s="3"/>
      <c r="Z1075" s="3"/>
      <c r="AA1075" s="3"/>
      <c r="AB1075" s="3"/>
      <c r="AC1075" s="3"/>
      <c r="AH1075" s="3"/>
    </row>
    <row r="1076" spans="5:34" s="1" customFormat="1">
      <c r="E1076" s="3"/>
      <c r="F1076" s="3"/>
      <c r="G1076" s="3"/>
      <c r="J1076" s="3"/>
      <c r="K1076" s="3"/>
      <c r="L1076" s="3"/>
      <c r="O1076" s="3"/>
      <c r="P1076" s="3"/>
      <c r="Q1076" s="3"/>
      <c r="T1076" s="3"/>
      <c r="U1076" s="3"/>
      <c r="V1076" s="3"/>
      <c r="Y1076" s="3"/>
      <c r="Z1076" s="3"/>
      <c r="AA1076" s="3"/>
      <c r="AB1076" s="3"/>
      <c r="AC1076" s="3"/>
      <c r="AH1076" s="3"/>
    </row>
    <row r="1077" spans="5:34" s="1" customFormat="1">
      <c r="E1077" s="3"/>
      <c r="F1077" s="3"/>
      <c r="G1077" s="3"/>
      <c r="J1077" s="3"/>
      <c r="K1077" s="3"/>
      <c r="L1077" s="3"/>
      <c r="O1077" s="3"/>
      <c r="P1077" s="3"/>
      <c r="Q1077" s="3"/>
      <c r="T1077" s="3"/>
      <c r="U1077" s="3"/>
      <c r="V1077" s="3"/>
      <c r="Y1077" s="3"/>
      <c r="Z1077" s="3"/>
      <c r="AA1077" s="3"/>
      <c r="AB1077" s="3"/>
      <c r="AC1077" s="3"/>
      <c r="AH1077" s="3"/>
    </row>
    <row r="1078" spans="5:34" s="1" customFormat="1">
      <c r="E1078" s="3"/>
      <c r="F1078" s="3"/>
      <c r="G1078" s="3"/>
      <c r="J1078" s="3"/>
      <c r="K1078" s="3"/>
      <c r="L1078" s="3"/>
      <c r="O1078" s="3"/>
      <c r="P1078" s="3"/>
      <c r="Q1078" s="3"/>
      <c r="T1078" s="3"/>
      <c r="U1078" s="3"/>
      <c r="V1078" s="3"/>
      <c r="Y1078" s="3"/>
      <c r="Z1078" s="3"/>
      <c r="AA1078" s="3"/>
      <c r="AB1078" s="3"/>
      <c r="AC1078" s="3"/>
      <c r="AH1078" s="3"/>
    </row>
    <row r="1079" spans="5:34" s="1" customFormat="1">
      <c r="E1079" s="3"/>
      <c r="F1079" s="3"/>
      <c r="G1079" s="3"/>
      <c r="J1079" s="3"/>
      <c r="K1079" s="3"/>
      <c r="L1079" s="3"/>
      <c r="O1079" s="3"/>
      <c r="P1079" s="3"/>
      <c r="Q1079" s="3"/>
      <c r="T1079" s="3"/>
      <c r="U1079" s="3"/>
      <c r="V1079" s="3"/>
      <c r="Y1079" s="3"/>
      <c r="Z1079" s="3"/>
      <c r="AA1079" s="3"/>
      <c r="AB1079" s="3"/>
      <c r="AC1079" s="3"/>
      <c r="AH1079" s="3"/>
    </row>
    <row r="1080" spans="5:34" s="1" customFormat="1">
      <c r="E1080" s="3"/>
      <c r="F1080" s="3"/>
      <c r="G1080" s="3"/>
      <c r="J1080" s="3"/>
      <c r="K1080" s="3"/>
      <c r="L1080" s="3"/>
      <c r="O1080" s="3"/>
      <c r="P1080" s="3"/>
      <c r="Q1080" s="3"/>
      <c r="T1080" s="3"/>
      <c r="U1080" s="3"/>
      <c r="V1080" s="3"/>
      <c r="Y1080" s="3"/>
      <c r="Z1080" s="3"/>
      <c r="AA1080" s="3"/>
      <c r="AB1080" s="3"/>
      <c r="AC1080" s="3"/>
      <c r="AH1080" s="3"/>
    </row>
    <row r="1081" spans="5:34" s="1" customFormat="1">
      <c r="E1081" s="3"/>
      <c r="F1081" s="3"/>
      <c r="G1081" s="3"/>
      <c r="J1081" s="3"/>
      <c r="K1081" s="3"/>
      <c r="L1081" s="3"/>
      <c r="O1081" s="3"/>
      <c r="P1081" s="3"/>
      <c r="Q1081" s="3"/>
      <c r="T1081" s="3"/>
      <c r="U1081" s="3"/>
      <c r="V1081" s="3"/>
      <c r="Y1081" s="3"/>
      <c r="Z1081" s="3"/>
      <c r="AA1081" s="3"/>
      <c r="AB1081" s="3"/>
      <c r="AC1081" s="3"/>
      <c r="AH1081" s="3"/>
    </row>
    <row r="1082" spans="5:34" s="1" customFormat="1">
      <c r="E1082" s="3"/>
      <c r="F1082" s="3"/>
      <c r="G1082" s="3"/>
      <c r="J1082" s="3"/>
      <c r="K1082" s="3"/>
      <c r="L1082" s="3"/>
      <c r="O1082" s="3"/>
      <c r="P1082" s="3"/>
      <c r="Q1082" s="3"/>
      <c r="T1082" s="3"/>
      <c r="U1082" s="3"/>
      <c r="V1082" s="3"/>
      <c r="Y1082" s="3"/>
      <c r="Z1082" s="3"/>
      <c r="AA1082" s="3"/>
      <c r="AB1082" s="3"/>
      <c r="AC1082" s="3"/>
      <c r="AH1082" s="3"/>
    </row>
    <row r="1083" spans="5:34" s="1" customFormat="1">
      <c r="E1083" s="3"/>
      <c r="F1083" s="3"/>
      <c r="G1083" s="3"/>
      <c r="J1083" s="3"/>
      <c r="K1083" s="3"/>
      <c r="L1083" s="3"/>
      <c r="O1083" s="3"/>
      <c r="P1083" s="3"/>
      <c r="Q1083" s="3"/>
      <c r="T1083" s="3"/>
      <c r="U1083" s="3"/>
      <c r="V1083" s="3"/>
      <c r="Y1083" s="3"/>
      <c r="Z1083" s="3"/>
      <c r="AA1083" s="3"/>
      <c r="AB1083" s="3"/>
      <c r="AC1083" s="3"/>
      <c r="AH1083" s="3"/>
    </row>
    <row r="1084" spans="5:34" s="1" customFormat="1">
      <c r="E1084" s="3"/>
      <c r="F1084" s="3"/>
      <c r="G1084" s="3"/>
      <c r="J1084" s="3"/>
      <c r="K1084" s="3"/>
      <c r="L1084" s="3"/>
      <c r="O1084" s="3"/>
      <c r="P1084" s="3"/>
      <c r="Q1084" s="3"/>
      <c r="T1084" s="3"/>
      <c r="U1084" s="3"/>
      <c r="V1084" s="3"/>
      <c r="Y1084" s="3"/>
      <c r="Z1084" s="3"/>
      <c r="AA1084" s="3"/>
      <c r="AB1084" s="3"/>
      <c r="AC1084" s="3"/>
      <c r="AH1084" s="3"/>
    </row>
    <row r="1085" spans="5:34" s="1" customFormat="1">
      <c r="E1085" s="3"/>
      <c r="F1085" s="3"/>
      <c r="G1085" s="3"/>
      <c r="J1085" s="3"/>
      <c r="K1085" s="3"/>
      <c r="L1085" s="3"/>
      <c r="O1085" s="3"/>
      <c r="P1085" s="3"/>
      <c r="Q1085" s="3"/>
      <c r="T1085" s="3"/>
      <c r="U1085" s="3"/>
      <c r="V1085" s="3"/>
      <c r="Y1085" s="3"/>
      <c r="Z1085" s="3"/>
      <c r="AA1085" s="3"/>
      <c r="AB1085" s="3"/>
      <c r="AC1085" s="3"/>
      <c r="AH1085" s="3"/>
    </row>
    <row r="1086" spans="5:34" s="1" customFormat="1">
      <c r="E1086" s="3"/>
      <c r="F1086" s="3"/>
      <c r="G1086" s="3"/>
      <c r="J1086" s="3"/>
      <c r="K1086" s="3"/>
      <c r="L1086" s="3"/>
      <c r="O1086" s="3"/>
      <c r="P1086" s="3"/>
      <c r="Q1086" s="3"/>
      <c r="T1086" s="3"/>
      <c r="U1086" s="3"/>
      <c r="V1086" s="3"/>
      <c r="Y1086" s="3"/>
      <c r="Z1086" s="3"/>
      <c r="AA1086" s="3"/>
      <c r="AB1086" s="3"/>
      <c r="AC1086" s="3"/>
      <c r="AH1086" s="3"/>
    </row>
    <row r="1087" spans="5:34" s="1" customFormat="1">
      <c r="E1087" s="3"/>
      <c r="F1087" s="3"/>
      <c r="G1087" s="3"/>
      <c r="J1087" s="3"/>
      <c r="K1087" s="3"/>
      <c r="L1087" s="3"/>
      <c r="O1087" s="3"/>
      <c r="P1087" s="3"/>
      <c r="Q1087" s="3"/>
      <c r="T1087" s="3"/>
      <c r="U1087" s="3"/>
      <c r="V1087" s="3"/>
      <c r="Y1087" s="3"/>
      <c r="Z1087" s="3"/>
      <c r="AA1087" s="3"/>
      <c r="AB1087" s="3"/>
      <c r="AC1087" s="3"/>
      <c r="AH1087" s="3"/>
    </row>
    <row r="1088" spans="5:34" s="1" customFormat="1">
      <c r="E1088" s="3"/>
      <c r="F1088" s="3"/>
      <c r="G1088" s="3"/>
      <c r="J1088" s="3"/>
      <c r="K1088" s="3"/>
      <c r="L1088" s="3"/>
      <c r="O1088" s="3"/>
      <c r="P1088" s="3"/>
      <c r="Q1088" s="3"/>
      <c r="T1088" s="3"/>
      <c r="U1088" s="3"/>
      <c r="V1088" s="3"/>
      <c r="Y1088" s="3"/>
      <c r="Z1088" s="3"/>
      <c r="AA1088" s="3"/>
      <c r="AB1088" s="3"/>
      <c r="AC1088" s="3"/>
      <c r="AH1088" s="3"/>
    </row>
    <row r="1089" spans="5:34" s="1" customFormat="1">
      <c r="E1089" s="3"/>
      <c r="F1089" s="3"/>
      <c r="G1089" s="3"/>
      <c r="J1089" s="3"/>
      <c r="K1089" s="3"/>
      <c r="L1089" s="3"/>
      <c r="O1089" s="3"/>
      <c r="P1089" s="3"/>
      <c r="Q1089" s="3"/>
      <c r="T1089" s="3"/>
      <c r="U1089" s="3"/>
      <c r="V1089" s="3"/>
      <c r="Y1089" s="3"/>
      <c r="Z1089" s="3"/>
      <c r="AA1089" s="3"/>
      <c r="AB1089" s="3"/>
      <c r="AC1089" s="3"/>
      <c r="AH1089" s="3"/>
    </row>
    <row r="1090" spans="5:34" s="1" customFormat="1">
      <c r="E1090" s="3"/>
      <c r="F1090" s="3"/>
      <c r="G1090" s="3"/>
      <c r="J1090" s="3"/>
      <c r="K1090" s="3"/>
      <c r="L1090" s="3"/>
      <c r="O1090" s="3"/>
      <c r="P1090" s="3"/>
      <c r="Q1090" s="3"/>
      <c r="T1090" s="3"/>
      <c r="U1090" s="3"/>
      <c r="V1090" s="3"/>
      <c r="Y1090" s="3"/>
      <c r="Z1090" s="3"/>
      <c r="AA1090" s="3"/>
      <c r="AB1090" s="3"/>
      <c r="AC1090" s="3"/>
      <c r="AH1090" s="3"/>
    </row>
    <row r="1091" spans="5:34" s="1" customFormat="1">
      <c r="E1091" s="3"/>
      <c r="F1091" s="3"/>
      <c r="G1091" s="3"/>
      <c r="J1091" s="3"/>
      <c r="K1091" s="3"/>
      <c r="L1091" s="3"/>
      <c r="O1091" s="3"/>
      <c r="P1091" s="3"/>
      <c r="Q1091" s="3"/>
      <c r="T1091" s="3"/>
      <c r="U1091" s="3"/>
      <c r="V1091" s="3"/>
      <c r="Y1091" s="3"/>
      <c r="Z1091" s="3"/>
      <c r="AA1091" s="3"/>
      <c r="AB1091" s="3"/>
      <c r="AC1091" s="3"/>
      <c r="AH1091" s="3"/>
    </row>
    <row r="1092" spans="5:34" s="1" customFormat="1">
      <c r="E1092" s="3"/>
      <c r="F1092" s="3"/>
      <c r="G1092" s="3"/>
      <c r="J1092" s="3"/>
      <c r="K1092" s="3"/>
      <c r="L1092" s="3"/>
      <c r="O1092" s="3"/>
      <c r="P1092" s="3"/>
      <c r="Q1092" s="3"/>
      <c r="T1092" s="3"/>
      <c r="U1092" s="3"/>
      <c r="V1092" s="3"/>
      <c r="Y1092" s="3"/>
      <c r="Z1092" s="3"/>
      <c r="AA1092" s="3"/>
      <c r="AB1092" s="3"/>
      <c r="AC1092" s="3"/>
      <c r="AH1092" s="3"/>
    </row>
    <row r="1093" spans="5:34" s="1" customFormat="1">
      <c r="E1093" s="3"/>
      <c r="F1093" s="3"/>
      <c r="G1093" s="3"/>
      <c r="J1093" s="3"/>
      <c r="K1093" s="3"/>
      <c r="L1093" s="3"/>
      <c r="O1093" s="3"/>
      <c r="P1093" s="3"/>
      <c r="Q1093" s="3"/>
      <c r="T1093" s="3"/>
      <c r="U1093" s="3"/>
      <c r="V1093" s="3"/>
      <c r="Y1093" s="3"/>
      <c r="Z1093" s="3"/>
      <c r="AA1093" s="3"/>
      <c r="AB1093" s="3"/>
      <c r="AC1093" s="3"/>
      <c r="AH1093" s="3"/>
    </row>
    <row r="1094" spans="5:34" s="1" customFormat="1">
      <c r="E1094" s="3"/>
      <c r="F1094" s="3"/>
      <c r="G1094" s="3"/>
      <c r="J1094" s="3"/>
      <c r="K1094" s="3"/>
      <c r="L1094" s="3"/>
      <c r="O1094" s="3"/>
      <c r="P1094" s="3"/>
      <c r="Q1094" s="3"/>
      <c r="T1094" s="3"/>
      <c r="U1094" s="3"/>
      <c r="V1094" s="3"/>
      <c r="Y1094" s="3"/>
      <c r="Z1094" s="3"/>
      <c r="AA1094" s="3"/>
      <c r="AB1094" s="3"/>
      <c r="AC1094" s="3"/>
      <c r="AH1094" s="3"/>
    </row>
    <row r="1095" spans="5:34" s="1" customFormat="1">
      <c r="E1095" s="3"/>
      <c r="F1095" s="3"/>
      <c r="G1095" s="3"/>
      <c r="J1095" s="3"/>
      <c r="K1095" s="3"/>
      <c r="L1095" s="3"/>
      <c r="O1095" s="3"/>
      <c r="P1095" s="3"/>
      <c r="Q1095" s="3"/>
      <c r="T1095" s="3"/>
      <c r="U1095" s="3"/>
      <c r="V1095" s="3"/>
      <c r="Y1095" s="3"/>
      <c r="Z1095" s="3"/>
      <c r="AA1095" s="3"/>
      <c r="AB1095" s="3"/>
      <c r="AC1095" s="3"/>
      <c r="AH1095" s="3"/>
    </row>
    <row r="1096" spans="5:34" s="1" customFormat="1">
      <c r="E1096" s="3"/>
      <c r="F1096" s="3"/>
      <c r="G1096" s="3"/>
      <c r="J1096" s="3"/>
      <c r="K1096" s="3"/>
      <c r="L1096" s="3"/>
      <c r="O1096" s="3"/>
      <c r="P1096" s="3"/>
      <c r="Q1096" s="3"/>
      <c r="T1096" s="3"/>
      <c r="U1096" s="3"/>
      <c r="V1096" s="3"/>
      <c r="Y1096" s="3"/>
      <c r="Z1096" s="3"/>
      <c r="AA1096" s="3"/>
      <c r="AB1096" s="3"/>
      <c r="AC1096" s="3"/>
      <c r="AH1096" s="3"/>
    </row>
    <row r="1097" spans="5:34" s="1" customFormat="1">
      <c r="E1097" s="3"/>
      <c r="F1097" s="3"/>
      <c r="G1097" s="3"/>
      <c r="J1097" s="3"/>
      <c r="K1097" s="3"/>
      <c r="L1097" s="3"/>
      <c r="O1097" s="3"/>
      <c r="P1097" s="3"/>
      <c r="Q1097" s="3"/>
      <c r="T1097" s="3"/>
      <c r="U1097" s="3"/>
      <c r="V1097" s="3"/>
      <c r="Y1097" s="3"/>
      <c r="Z1097" s="3"/>
      <c r="AA1097" s="3"/>
      <c r="AB1097" s="3"/>
      <c r="AC1097" s="3"/>
      <c r="AH1097" s="3"/>
    </row>
    <row r="1098" spans="5:34" s="1" customFormat="1">
      <c r="E1098" s="3"/>
      <c r="F1098" s="3"/>
      <c r="G1098" s="3"/>
      <c r="J1098" s="3"/>
      <c r="K1098" s="3"/>
      <c r="L1098" s="3"/>
      <c r="O1098" s="3"/>
      <c r="P1098" s="3"/>
      <c r="Q1098" s="3"/>
      <c r="T1098" s="3"/>
      <c r="U1098" s="3"/>
      <c r="V1098" s="3"/>
      <c r="Y1098" s="3"/>
      <c r="Z1098" s="3"/>
      <c r="AA1098" s="3"/>
      <c r="AB1098" s="3"/>
      <c r="AC1098" s="3"/>
      <c r="AH1098" s="3"/>
    </row>
    <row r="1099" spans="5:34" s="1" customFormat="1">
      <c r="E1099" s="3"/>
      <c r="F1099" s="3"/>
      <c r="G1099" s="3"/>
      <c r="J1099" s="3"/>
      <c r="K1099" s="3"/>
      <c r="L1099" s="3"/>
      <c r="O1099" s="3"/>
      <c r="P1099" s="3"/>
      <c r="Q1099" s="3"/>
      <c r="T1099" s="3"/>
      <c r="U1099" s="3"/>
      <c r="V1099" s="3"/>
      <c r="Y1099" s="3"/>
      <c r="Z1099" s="3"/>
      <c r="AA1099" s="3"/>
      <c r="AB1099" s="3"/>
      <c r="AC1099" s="3"/>
      <c r="AH1099" s="3"/>
    </row>
    <row r="1100" spans="5:34" s="1" customFormat="1">
      <c r="E1100" s="3"/>
      <c r="F1100" s="3"/>
      <c r="G1100" s="3"/>
      <c r="J1100" s="3"/>
      <c r="K1100" s="3"/>
      <c r="L1100" s="3"/>
      <c r="O1100" s="3"/>
      <c r="P1100" s="3"/>
      <c r="Q1100" s="3"/>
      <c r="T1100" s="3"/>
      <c r="U1100" s="3"/>
      <c r="V1100" s="3"/>
      <c r="Y1100" s="3"/>
      <c r="Z1100" s="3"/>
      <c r="AA1100" s="3"/>
      <c r="AB1100" s="3"/>
      <c r="AC1100" s="3"/>
      <c r="AH1100" s="3"/>
    </row>
  </sheetData>
  <mergeCells count="168">
    <mergeCell ref="AG375:AG376"/>
    <mergeCell ref="B415:B416"/>
    <mergeCell ref="C415:F415"/>
    <mergeCell ref="H415:K415"/>
    <mergeCell ref="M415:P415"/>
    <mergeCell ref="R415:U415"/>
    <mergeCell ref="W415:Z415"/>
    <mergeCell ref="AA456:AA457"/>
    <mergeCell ref="AB456:AB457"/>
    <mergeCell ref="AD456:AF456"/>
    <mergeCell ref="AG456:AG457"/>
    <mergeCell ref="AA415:AA416"/>
    <mergeCell ref="AB415:AB416"/>
    <mergeCell ref="AD415:AF415"/>
    <mergeCell ref="AG415:AG416"/>
    <mergeCell ref="B456:B457"/>
    <mergeCell ref="C456:F456"/>
    <mergeCell ref="H456:K456"/>
    <mergeCell ref="M456:P456"/>
    <mergeCell ref="R456:U456"/>
    <mergeCell ref="W456:Z456"/>
    <mergeCell ref="B375:B376"/>
    <mergeCell ref="C375:F375"/>
    <mergeCell ref="H375:K375"/>
    <mergeCell ref="M375:P375"/>
    <mergeCell ref="R375:U375"/>
    <mergeCell ref="W375:Z375"/>
    <mergeCell ref="AA375:AA376"/>
    <mergeCell ref="AB375:AB376"/>
    <mergeCell ref="AD375:AF375"/>
    <mergeCell ref="AG295:AG296"/>
    <mergeCell ref="B335:B336"/>
    <mergeCell ref="C335:F335"/>
    <mergeCell ref="H335:K335"/>
    <mergeCell ref="M335:P335"/>
    <mergeCell ref="R335:U335"/>
    <mergeCell ref="W335:Z335"/>
    <mergeCell ref="AA335:AA336"/>
    <mergeCell ref="AB335:AB336"/>
    <mergeCell ref="AD335:AF335"/>
    <mergeCell ref="AG335:AG336"/>
    <mergeCell ref="B295:B296"/>
    <mergeCell ref="C295:F295"/>
    <mergeCell ref="H295:K295"/>
    <mergeCell ref="M295:P295"/>
    <mergeCell ref="R295:U295"/>
    <mergeCell ref="W295:Z295"/>
    <mergeCell ref="AA295:AA296"/>
    <mergeCell ref="AB295:AB296"/>
    <mergeCell ref="AD295:AF295"/>
    <mergeCell ref="AG229:AG230"/>
    <mergeCell ref="B262:B263"/>
    <mergeCell ref="C262:F262"/>
    <mergeCell ref="H262:K262"/>
    <mergeCell ref="M262:P262"/>
    <mergeCell ref="R262:U262"/>
    <mergeCell ref="W262:Z262"/>
    <mergeCell ref="AA262:AA263"/>
    <mergeCell ref="AB262:AB263"/>
    <mergeCell ref="AD262:AF262"/>
    <mergeCell ref="AG262:AG263"/>
    <mergeCell ref="B229:B230"/>
    <mergeCell ref="C229:F229"/>
    <mergeCell ref="H229:K229"/>
    <mergeCell ref="M229:P229"/>
    <mergeCell ref="R229:U229"/>
    <mergeCell ref="W229:Z229"/>
    <mergeCell ref="AA229:AA230"/>
    <mergeCell ref="AB229:AB230"/>
    <mergeCell ref="AD229:AF229"/>
    <mergeCell ref="AG161:AG162"/>
    <mergeCell ref="B196:B197"/>
    <mergeCell ref="C196:F196"/>
    <mergeCell ref="H196:K196"/>
    <mergeCell ref="M196:P196"/>
    <mergeCell ref="R196:U196"/>
    <mergeCell ref="W196:Z196"/>
    <mergeCell ref="AA196:AA197"/>
    <mergeCell ref="AB196:AB197"/>
    <mergeCell ref="AD196:AF196"/>
    <mergeCell ref="AG196:AG197"/>
    <mergeCell ref="B161:B162"/>
    <mergeCell ref="C161:F161"/>
    <mergeCell ref="H161:K161"/>
    <mergeCell ref="M161:P161"/>
    <mergeCell ref="R161:U161"/>
    <mergeCell ref="W161:Z161"/>
    <mergeCell ref="AA161:AA162"/>
    <mergeCell ref="AB161:AB162"/>
    <mergeCell ref="AD161:AF161"/>
    <mergeCell ref="AA110:AA111"/>
    <mergeCell ref="AB110:AB111"/>
    <mergeCell ref="AD110:AF110"/>
    <mergeCell ref="AG110:AG111"/>
    <mergeCell ref="B136:B137"/>
    <mergeCell ref="C136:F136"/>
    <mergeCell ref="H136:J136"/>
    <mergeCell ref="M136:O136"/>
    <mergeCell ref="R136:T136"/>
    <mergeCell ref="W136:Y136"/>
    <mergeCell ref="AA136:AA137"/>
    <mergeCell ref="AB136:AB137"/>
    <mergeCell ref="AD136:AF136"/>
    <mergeCell ref="AG136:AG137"/>
    <mergeCell ref="B110:B111"/>
    <mergeCell ref="C110:F110"/>
    <mergeCell ref="H110:K110"/>
    <mergeCell ref="M110:P110"/>
    <mergeCell ref="R110:U110"/>
    <mergeCell ref="W110:Z110"/>
    <mergeCell ref="B86:B87"/>
    <mergeCell ref="C86:F86"/>
    <mergeCell ref="H86:K86"/>
    <mergeCell ref="M86:P86"/>
    <mergeCell ref="R86:U86"/>
    <mergeCell ref="W86:Z86"/>
    <mergeCell ref="AD68:AG79"/>
    <mergeCell ref="AA46:AA47"/>
    <mergeCell ref="AB46:AB47"/>
    <mergeCell ref="AD46:AF46"/>
    <mergeCell ref="AG46:AG47"/>
    <mergeCell ref="AD48:AG57"/>
    <mergeCell ref="W46:Z46"/>
    <mergeCell ref="AA86:AA87"/>
    <mergeCell ref="AB86:AB87"/>
    <mergeCell ref="AD86:AF86"/>
    <mergeCell ref="AG86:AG87"/>
    <mergeCell ref="AD30:AG37"/>
    <mergeCell ref="AA10:AA11"/>
    <mergeCell ref="AB10:AB11"/>
    <mergeCell ref="AD10:AF10"/>
    <mergeCell ref="AG10:AG11"/>
    <mergeCell ref="AD12:AG19"/>
    <mergeCell ref="B66:B67"/>
    <mergeCell ref="C66:F66"/>
    <mergeCell ref="H66:J66"/>
    <mergeCell ref="M66:O66"/>
    <mergeCell ref="R66:T66"/>
    <mergeCell ref="B46:B47"/>
    <mergeCell ref="C46:F46"/>
    <mergeCell ref="H46:K46"/>
    <mergeCell ref="M46:P46"/>
    <mergeCell ref="R46:U46"/>
    <mergeCell ref="W66:Y66"/>
    <mergeCell ref="AA66:AA67"/>
    <mergeCell ref="AB66:AB67"/>
    <mergeCell ref="AD66:AF66"/>
    <mergeCell ref="AG66:AG67"/>
    <mergeCell ref="B28:B29"/>
    <mergeCell ref="C28:F28"/>
    <mergeCell ref="H28:K28"/>
    <mergeCell ref="M28:P28"/>
    <mergeCell ref="R28:U28"/>
    <mergeCell ref="S1:AG1"/>
    <mergeCell ref="AK1:AP1"/>
    <mergeCell ref="AK2:AP2"/>
    <mergeCell ref="A10:A11"/>
    <mergeCell ref="B10:B11"/>
    <mergeCell ref="C10:F10"/>
    <mergeCell ref="H10:K10"/>
    <mergeCell ref="M10:P15"/>
    <mergeCell ref="R10:U15"/>
    <mergeCell ref="W10:Z15"/>
    <mergeCell ref="W28:Z28"/>
    <mergeCell ref="AA28:AA29"/>
    <mergeCell ref="AB28:AB29"/>
    <mergeCell ref="AD28:AF28"/>
    <mergeCell ref="AG28:AG29"/>
  </mergeCells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S111"/>
  <sheetViews>
    <sheetView topLeftCell="B1" workbookViewId="0">
      <selection activeCell="C46" sqref="C46:D46"/>
    </sheetView>
  </sheetViews>
  <sheetFormatPr defaultRowHeight="13.5"/>
  <cols>
    <col min="1" max="1" width="12.5703125" hidden="1" customWidth="1"/>
    <col min="2" max="2" width="25.42578125" customWidth="1"/>
    <col min="3" max="4" width="9.42578125" style="1"/>
    <col min="5" max="5" width="9" style="2" customWidth="1"/>
    <col min="6" max="6" width="4.5703125" style="2" customWidth="1"/>
    <col min="7" max="8" width="9.42578125" style="1"/>
    <col min="9" max="9" width="9" style="2" customWidth="1"/>
    <col min="10" max="10" width="1" style="2" customWidth="1"/>
    <col min="11" max="12" width="9.42578125" style="1"/>
    <col min="13" max="13" width="9" style="2" customWidth="1"/>
    <col min="14" max="14" width="1" style="3" customWidth="1"/>
    <col min="15" max="16" width="9.42578125" style="1"/>
    <col min="17" max="17" width="9" style="2" customWidth="1"/>
    <col min="18" max="18" width="1" style="3" customWidth="1"/>
    <col min="19" max="20" width="9.42578125" style="1"/>
    <col min="21" max="22" width="9" style="2" customWidth="1"/>
    <col min="23" max="23" width="1" style="2" customWidth="1"/>
    <col min="24" max="24" width="10.5703125" style="1" customWidth="1"/>
    <col min="25" max="27" width="9.42578125" style="1"/>
    <col min="28" max="28" width="12" style="1" customWidth="1"/>
    <col min="29" max="45" width="9.42578125" style="1"/>
  </cols>
  <sheetData>
    <row r="1" spans="1:27" s="1" customFormat="1" ht="33" customHeight="1">
      <c r="E1" s="3"/>
      <c r="F1" s="3"/>
      <c r="I1" s="3"/>
      <c r="J1" s="3"/>
      <c r="M1" s="3"/>
      <c r="N1" s="3"/>
      <c r="P1" s="1529" t="s">
        <v>183</v>
      </c>
      <c r="Q1" s="1529"/>
      <c r="R1" s="1529"/>
      <c r="S1" s="1529"/>
      <c r="T1" s="1529"/>
      <c r="U1" s="1529"/>
      <c r="V1" s="1529"/>
      <c r="W1" s="1529"/>
    </row>
    <row r="2" spans="1:27" s="1" customFormat="1" ht="15.75" customHeight="1">
      <c r="E2" s="3"/>
      <c r="F2" s="3"/>
      <c r="I2" s="3"/>
      <c r="J2" s="3"/>
      <c r="M2" s="3"/>
      <c r="N2" s="3"/>
      <c r="P2" s="100"/>
      <c r="Q2" s="101"/>
      <c r="R2" s="101"/>
      <c r="S2" s="101"/>
      <c r="T2" s="104"/>
      <c r="U2" s="105" t="s">
        <v>184</v>
      </c>
      <c r="V2" s="106">
        <v>11695</v>
      </c>
      <c r="W2" s="107"/>
      <c r="X2" s="132" t="s">
        <v>185</v>
      </c>
      <c r="Y2" s="129">
        <f>V2-(V6+AA6)</f>
        <v>11306</v>
      </c>
    </row>
    <row r="3" spans="1:27" s="1" customFormat="1" ht="18.75" customHeight="1">
      <c r="E3" s="3"/>
      <c r="F3" s="3"/>
      <c r="I3" s="3"/>
      <c r="J3" s="3"/>
      <c r="M3" s="3"/>
      <c r="N3" s="3"/>
      <c r="P3" s="100"/>
      <c r="Q3" s="101"/>
      <c r="R3" s="101"/>
      <c r="S3" s="101"/>
      <c r="T3" s="109"/>
      <c r="U3" s="101" t="s">
        <v>186</v>
      </c>
      <c r="V3" s="101">
        <v>1162</v>
      </c>
      <c r="W3" s="100"/>
      <c r="X3" s="133" t="s">
        <v>185</v>
      </c>
      <c r="Y3" s="130">
        <f>V3-(V7+AA7)</f>
        <v>1156.25</v>
      </c>
    </row>
    <row r="4" spans="1:27" s="1" customFormat="1" ht="17.25" customHeight="1">
      <c r="E4" s="3"/>
      <c r="F4" s="3"/>
      <c r="I4" s="3"/>
      <c r="J4" s="3"/>
      <c r="M4" s="3"/>
      <c r="N4" s="3"/>
      <c r="P4" s="100"/>
      <c r="Q4" s="101"/>
      <c r="R4" s="101"/>
      <c r="S4" s="101"/>
      <c r="T4" s="111"/>
      <c r="U4" s="112" t="s">
        <v>187</v>
      </c>
      <c r="V4" s="113">
        <v>1680</v>
      </c>
      <c r="W4" s="114"/>
      <c r="X4" s="134" t="s">
        <v>185</v>
      </c>
      <c r="Y4" s="131">
        <f>V4-V8</f>
        <v>1680</v>
      </c>
    </row>
    <row r="5" spans="1:27" s="1" customFormat="1" ht="6" customHeight="1">
      <c r="E5" s="3"/>
      <c r="F5" s="3"/>
      <c r="I5" s="3"/>
      <c r="J5" s="3"/>
      <c r="M5" s="3"/>
      <c r="N5" s="3"/>
      <c r="P5" s="100"/>
      <c r="Q5" s="101"/>
      <c r="R5" s="101"/>
      <c r="S5" s="101"/>
      <c r="T5" s="101"/>
      <c r="U5" s="101"/>
      <c r="V5" s="116"/>
      <c r="W5" s="100"/>
      <c r="Y5" s="117"/>
    </row>
    <row r="6" spans="1:27" s="1" customFormat="1" ht="16.5" customHeight="1">
      <c r="E6" s="3"/>
      <c r="F6" s="3"/>
      <c r="I6" s="3"/>
      <c r="J6" s="3"/>
      <c r="M6" s="3"/>
      <c r="N6" s="3"/>
      <c r="P6" s="100"/>
      <c r="Q6" s="100"/>
      <c r="R6" s="100"/>
      <c r="S6" s="118"/>
      <c r="T6" s="107"/>
      <c r="U6" s="105" t="s">
        <v>188</v>
      </c>
      <c r="V6" s="119">
        <f>V16+V27+V40+V55+V70+V86+V105</f>
        <v>389</v>
      </c>
      <c r="W6" s="107"/>
      <c r="X6" s="120" t="s">
        <v>189</v>
      </c>
      <c r="Y6" s="108"/>
      <c r="Z6" s="108"/>
      <c r="AA6" s="121">
        <f>AA70+AA86</f>
        <v>0</v>
      </c>
    </row>
    <row r="7" spans="1:27" s="1" customFormat="1" ht="16.5" customHeight="1">
      <c r="E7" s="3"/>
      <c r="F7" s="3"/>
      <c r="I7" s="3"/>
      <c r="J7" s="3"/>
      <c r="M7" s="3"/>
      <c r="N7" s="3"/>
      <c r="P7" s="100"/>
      <c r="Q7" s="100"/>
      <c r="R7" s="100"/>
      <c r="S7" s="122"/>
      <c r="T7" s="100"/>
      <c r="U7" s="101" t="s">
        <v>190</v>
      </c>
      <c r="V7" s="123">
        <f>V19+V30+V43+V58+V73+V89</f>
        <v>0</v>
      </c>
      <c r="W7" s="100"/>
      <c r="X7" s="124" t="s">
        <v>191</v>
      </c>
      <c r="AA7" s="110">
        <f>AA73+AA89+1+2+1+1.75</f>
        <v>5.75</v>
      </c>
    </row>
    <row r="8" spans="1:27" s="1" customFormat="1" ht="16.5" customHeight="1">
      <c r="E8" s="3"/>
      <c r="F8" s="3"/>
      <c r="I8" s="3"/>
      <c r="J8" s="3"/>
      <c r="M8" s="3"/>
      <c r="N8" s="3"/>
      <c r="P8" s="100"/>
      <c r="Q8" s="100"/>
      <c r="R8" s="100"/>
      <c r="S8" s="125"/>
      <c r="T8" s="114"/>
      <c r="U8" s="112" t="s">
        <v>192</v>
      </c>
      <c r="V8" s="126">
        <f>X19+X30+X43+X58+AB73+AB89+AB108</f>
        <v>0</v>
      </c>
      <c r="W8" s="114"/>
      <c r="X8" s="127"/>
      <c r="Y8" s="115"/>
      <c r="Z8" s="115"/>
      <c r="AA8" s="128"/>
    </row>
    <row r="9" spans="1:27" s="1" customFormat="1" ht="6.75" customHeight="1">
      <c r="E9" s="3"/>
      <c r="F9" s="3"/>
      <c r="I9" s="3"/>
      <c r="J9" s="3"/>
      <c r="M9" s="3"/>
      <c r="N9" s="3"/>
      <c r="P9" s="100"/>
      <c r="Q9" s="100"/>
      <c r="R9" s="100"/>
      <c r="T9" s="100"/>
      <c r="U9" s="101"/>
      <c r="V9" s="123"/>
      <c r="W9" s="100"/>
      <c r="X9" s="124"/>
      <c r="AA9" s="53"/>
    </row>
    <row r="10" spans="1:27" ht="13.5" hidden="1" customHeight="1">
      <c r="A10" s="1528" t="s">
        <v>119</v>
      </c>
      <c r="B10" s="1518" t="s">
        <v>18</v>
      </c>
      <c r="C10" s="1524">
        <v>45063</v>
      </c>
      <c r="D10" s="1524"/>
      <c r="E10" s="1524"/>
      <c r="F10" s="22"/>
      <c r="G10" s="1524">
        <v>45064</v>
      </c>
      <c r="H10" s="1524"/>
      <c r="I10" s="1524"/>
      <c r="J10" s="22"/>
      <c r="K10" s="1525" t="s">
        <v>120</v>
      </c>
      <c r="L10" s="1525"/>
      <c r="M10" s="1525"/>
      <c r="O10" s="1525" t="s">
        <v>120</v>
      </c>
      <c r="P10" s="1525"/>
      <c r="Q10" s="1525"/>
      <c r="S10" s="1525" t="s">
        <v>120</v>
      </c>
      <c r="T10" s="1525"/>
      <c r="U10" s="1525"/>
      <c r="V10" s="1517" t="s">
        <v>19</v>
      </c>
      <c r="W10" s="22"/>
    </row>
    <row r="11" spans="1:27" ht="13.35" hidden="1" customHeight="1">
      <c r="A11" s="1528"/>
      <c r="B11" s="1518"/>
      <c r="C11" s="21" t="s">
        <v>23</v>
      </c>
      <c r="D11" s="21" t="s">
        <v>24</v>
      </c>
      <c r="E11" s="18" t="s">
        <v>25</v>
      </c>
      <c r="F11" s="23"/>
      <c r="G11" s="21" t="s">
        <v>23</v>
      </c>
      <c r="H11" s="21" t="s">
        <v>24</v>
      </c>
      <c r="I11" s="18" t="s">
        <v>25</v>
      </c>
      <c r="J11" s="23"/>
      <c r="K11" s="1525"/>
      <c r="L11" s="1525"/>
      <c r="M11" s="1525"/>
      <c r="O11" s="1525"/>
      <c r="P11" s="1525"/>
      <c r="Q11" s="1525"/>
      <c r="S11" s="1525"/>
      <c r="T11" s="1525"/>
      <c r="U11" s="1525"/>
      <c r="V11" s="1517"/>
      <c r="W11" s="23"/>
    </row>
    <row r="12" spans="1:27" ht="13.5" hidden="1" customHeight="1">
      <c r="A12" s="8" t="s">
        <v>123</v>
      </c>
      <c r="B12" s="13"/>
      <c r="C12" s="12"/>
      <c r="D12" s="12"/>
      <c r="E12" s="19"/>
      <c r="F12" s="24"/>
      <c r="G12" s="12"/>
      <c r="H12" s="12"/>
      <c r="I12" s="19"/>
      <c r="J12" s="24"/>
      <c r="K12" s="1525"/>
      <c r="L12" s="1525"/>
      <c r="M12" s="1525"/>
      <c r="O12" s="1525"/>
      <c r="P12" s="1525"/>
      <c r="Q12" s="1525"/>
      <c r="S12" s="1525"/>
      <c r="T12" s="1525"/>
      <c r="U12" s="1525"/>
      <c r="V12" s="29">
        <f>I12+E12</f>
        <v>0</v>
      </c>
      <c r="W12" s="24"/>
    </row>
    <row r="13" spans="1:27" ht="13.5" hidden="1" customHeight="1">
      <c r="A13" s="8" t="s">
        <v>123</v>
      </c>
      <c r="B13" s="13"/>
      <c r="C13" s="12"/>
      <c r="D13" s="12"/>
      <c r="E13" s="20"/>
      <c r="F13" s="25"/>
      <c r="G13" s="12"/>
      <c r="H13" s="12"/>
      <c r="I13" s="20"/>
      <c r="J13" s="25"/>
      <c r="K13" s="1525"/>
      <c r="L13" s="1525"/>
      <c r="M13" s="1525"/>
      <c r="O13" s="1525"/>
      <c r="P13" s="1525"/>
      <c r="Q13" s="1525"/>
      <c r="S13" s="1525"/>
      <c r="T13" s="1525"/>
      <c r="U13" s="1525"/>
      <c r="V13" s="29">
        <f>I13+E13</f>
        <v>0</v>
      </c>
      <c r="W13" s="25"/>
    </row>
    <row r="14" spans="1:27" ht="13.5" hidden="1" customHeight="1">
      <c r="A14" s="8" t="s">
        <v>123</v>
      </c>
      <c r="B14" s="13"/>
      <c r="C14" s="12"/>
      <c r="D14" s="12"/>
      <c r="E14" s="20"/>
      <c r="F14" s="25"/>
      <c r="G14" s="12"/>
      <c r="H14" s="12"/>
      <c r="I14" s="20"/>
      <c r="J14" s="25"/>
      <c r="K14" s="1525"/>
      <c r="L14" s="1525"/>
      <c r="M14" s="1525"/>
      <c r="O14" s="1525"/>
      <c r="P14" s="1525"/>
      <c r="Q14" s="1525"/>
      <c r="S14" s="1525"/>
      <c r="T14" s="1525"/>
      <c r="U14" s="1525"/>
      <c r="V14" s="29">
        <f t="shared" ref="V14:V15" si="0">I14+E14</f>
        <v>0</v>
      </c>
      <c r="W14" s="25"/>
    </row>
    <row r="15" spans="1:27" ht="13.5" hidden="1" customHeight="1">
      <c r="A15" s="8" t="s">
        <v>123</v>
      </c>
      <c r="B15" s="13"/>
      <c r="C15" s="12"/>
      <c r="D15" s="12"/>
      <c r="E15" s="20"/>
      <c r="F15" s="25"/>
      <c r="G15" s="12"/>
      <c r="H15" s="12"/>
      <c r="I15" s="20"/>
      <c r="J15" s="25"/>
      <c r="K15" s="1525"/>
      <c r="L15" s="1525"/>
      <c r="M15" s="1525"/>
      <c r="O15" s="1525"/>
      <c r="P15" s="1525"/>
      <c r="Q15" s="1525"/>
      <c r="S15" s="1525"/>
      <c r="T15" s="1525"/>
      <c r="U15" s="1525"/>
      <c r="V15" s="29">
        <f t="shared" si="0"/>
        <v>0</v>
      </c>
      <c r="W15" s="25"/>
    </row>
    <row r="16" spans="1:27" ht="13.5" hidden="1" customHeight="1">
      <c r="A16" s="8"/>
      <c r="B16" s="63" t="s">
        <v>61</v>
      </c>
      <c r="C16" s="63"/>
      <c r="D16" s="63"/>
      <c r="E16" s="63"/>
      <c r="F16" s="63"/>
      <c r="G16" s="63"/>
      <c r="H16" s="63"/>
      <c r="I16" s="63">
        <f>SUM(I12:I15)</f>
        <v>0</v>
      </c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27">
        <f>SUM(V12:V15)</f>
        <v>0</v>
      </c>
      <c r="W16" s="25"/>
    </row>
    <row r="17" spans="1:24" ht="13.5" hidden="1" customHeight="1">
      <c r="A17" s="8"/>
      <c r="B17" s="31" t="s">
        <v>193</v>
      </c>
      <c r="C17" s="56"/>
      <c r="D17" s="57"/>
      <c r="E17" s="19"/>
      <c r="F17" s="59"/>
      <c r="G17" s="57"/>
      <c r="H17" s="57"/>
      <c r="I17" s="19"/>
      <c r="J17" s="59"/>
      <c r="K17" s="57"/>
      <c r="L17" s="57"/>
      <c r="M17" s="54"/>
      <c r="N17" s="59"/>
      <c r="O17" s="57"/>
      <c r="P17" s="57"/>
      <c r="Q17" s="54"/>
      <c r="R17" s="59"/>
      <c r="S17" s="57"/>
      <c r="T17" s="57"/>
      <c r="U17" s="54"/>
      <c r="V17" s="28">
        <f>SUM(E17:U17)</f>
        <v>0</v>
      </c>
      <c r="W17" s="25"/>
    </row>
    <row r="18" spans="1:24" ht="13.5" hidden="1" customHeight="1">
      <c r="A18" s="8"/>
      <c r="B18" s="74" t="s">
        <v>194</v>
      </c>
      <c r="C18" s="75"/>
      <c r="D18" s="76"/>
      <c r="E18" s="77"/>
      <c r="F18" s="78"/>
      <c r="G18" s="76"/>
      <c r="H18" s="76"/>
      <c r="I18" s="77"/>
      <c r="J18" s="78"/>
      <c r="K18" s="76"/>
      <c r="L18" s="76"/>
      <c r="M18" s="79"/>
      <c r="N18" s="78"/>
      <c r="O18" s="76"/>
      <c r="P18" s="76"/>
      <c r="Q18" s="79"/>
      <c r="R18" s="78"/>
      <c r="S18" s="76"/>
      <c r="T18" s="76"/>
      <c r="U18" s="79"/>
      <c r="V18" s="80">
        <f>SUM(E18:U18)</f>
        <v>0</v>
      </c>
      <c r="W18" s="25"/>
      <c r="X18" s="103" t="s">
        <v>195</v>
      </c>
    </row>
    <row r="19" spans="1:24" s="1" customFormat="1" ht="13.5" hidden="1" customHeight="1">
      <c r="A19" s="11"/>
      <c r="B19" s="71" t="s">
        <v>66</v>
      </c>
      <c r="C19" s="72"/>
      <c r="D19" s="72"/>
      <c r="E19" s="71">
        <f>SUM(E17:E18)</f>
        <v>0</v>
      </c>
      <c r="F19" s="71"/>
      <c r="G19" s="71"/>
      <c r="H19" s="71"/>
      <c r="I19" s="71">
        <f>SUM(I17:I18)</f>
        <v>0</v>
      </c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65">
        <f>SUM(U17:U18)</f>
        <v>0</v>
      </c>
      <c r="V19" s="73">
        <f>SUM(V17:V18)</f>
        <v>0</v>
      </c>
      <c r="W19" s="3"/>
      <c r="X19" s="103"/>
    </row>
    <row r="20" spans="1:24" s="1" customFormat="1" ht="13.5" hidden="1" customHeight="1">
      <c r="A20" s="11"/>
      <c r="B20" s="71"/>
      <c r="C20" s="72"/>
      <c r="D20" s="72"/>
      <c r="E20" s="71"/>
      <c r="F20" s="71"/>
      <c r="G20" s="71"/>
      <c r="H20" s="71"/>
      <c r="I20" s="71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65"/>
      <c r="V20" s="73"/>
      <c r="W20" s="3"/>
    </row>
    <row r="21" spans="1:24" s="3" customFormat="1" ht="13.35" hidden="1" customHeight="1">
      <c r="B21" s="1518" t="s">
        <v>18</v>
      </c>
      <c r="C21" s="1524">
        <v>45068</v>
      </c>
      <c r="D21" s="1524"/>
      <c r="E21" s="1524"/>
      <c r="F21" s="22"/>
      <c r="G21" s="1524">
        <v>45069</v>
      </c>
      <c r="H21" s="1524"/>
      <c r="I21" s="1524"/>
      <c r="J21" s="22"/>
      <c r="K21" s="1524">
        <v>45070</v>
      </c>
      <c r="L21" s="1524"/>
      <c r="M21" s="1524"/>
      <c r="N21" s="22"/>
      <c r="O21" s="1524">
        <v>45071</v>
      </c>
      <c r="P21" s="1524"/>
      <c r="Q21" s="1524"/>
      <c r="R21" s="22"/>
      <c r="S21" s="1524">
        <v>45072</v>
      </c>
      <c r="T21" s="1524"/>
      <c r="U21" s="1524"/>
      <c r="V21" s="1517" t="s">
        <v>19</v>
      </c>
    </row>
    <row r="22" spans="1:24" s="3" customFormat="1" ht="13.35" hidden="1" customHeight="1">
      <c r="B22" s="1518"/>
      <c r="C22" s="21" t="s">
        <v>23</v>
      </c>
      <c r="D22" s="21" t="s">
        <v>24</v>
      </c>
      <c r="E22" s="18" t="s">
        <v>25</v>
      </c>
      <c r="F22" s="23"/>
      <c r="G22" s="21" t="s">
        <v>23</v>
      </c>
      <c r="H22" s="21" t="s">
        <v>24</v>
      </c>
      <c r="I22" s="18" t="s">
        <v>25</v>
      </c>
      <c r="J22" s="23"/>
      <c r="K22" s="21" t="s">
        <v>23</v>
      </c>
      <c r="L22" s="21" t="s">
        <v>24</v>
      </c>
      <c r="M22" s="18" t="s">
        <v>25</v>
      </c>
      <c r="N22" s="23"/>
      <c r="O22" s="21" t="s">
        <v>23</v>
      </c>
      <c r="P22" s="21" t="s">
        <v>24</v>
      </c>
      <c r="Q22" s="18" t="s">
        <v>25</v>
      </c>
      <c r="R22" s="23"/>
      <c r="S22" s="21" t="s">
        <v>23</v>
      </c>
      <c r="T22" s="21" t="s">
        <v>24</v>
      </c>
      <c r="U22" s="18" t="s">
        <v>25</v>
      </c>
      <c r="V22" s="1517"/>
      <c r="W22" s="5"/>
    </row>
    <row r="23" spans="1:24" s="3" customFormat="1" ht="14.25" hidden="1">
      <c r="B23" s="13"/>
      <c r="C23" s="12"/>
      <c r="D23" s="12"/>
      <c r="E23" s="19"/>
      <c r="F23" s="24"/>
      <c r="G23" s="12"/>
      <c r="H23" s="16"/>
      <c r="I23" s="19"/>
      <c r="J23" s="24"/>
      <c r="K23" s="12"/>
      <c r="L23" s="16"/>
      <c r="M23" s="19"/>
      <c r="N23" s="24"/>
      <c r="O23" s="12"/>
      <c r="P23" s="16"/>
      <c r="Q23" s="19"/>
      <c r="R23" s="24"/>
      <c r="S23" s="12"/>
      <c r="T23" s="12"/>
      <c r="U23" s="19"/>
      <c r="V23" s="29">
        <f>I23+E23+M23+Q23</f>
        <v>0</v>
      </c>
      <c r="W23" s="5"/>
    </row>
    <row r="24" spans="1:24" s="3" customFormat="1" ht="14.25" hidden="1">
      <c r="B24" s="13"/>
      <c r="C24" s="12"/>
      <c r="D24" s="12"/>
      <c r="E24" s="20"/>
      <c r="F24" s="25"/>
      <c r="G24" s="16"/>
      <c r="H24" s="16"/>
      <c r="I24" s="20"/>
      <c r="J24" s="25"/>
      <c r="K24" s="16"/>
      <c r="L24" s="16"/>
      <c r="M24" s="20"/>
      <c r="N24" s="25"/>
      <c r="O24" s="16"/>
      <c r="P24" s="16"/>
      <c r="Q24" s="20"/>
      <c r="R24" s="25"/>
      <c r="S24" s="16"/>
      <c r="T24" s="16"/>
      <c r="U24" s="20"/>
      <c r="V24" s="29">
        <f>I24+E24+M24+Q24+U24</f>
        <v>0</v>
      </c>
    </row>
    <row r="25" spans="1:24" s="3" customFormat="1" ht="14.25" hidden="1">
      <c r="B25" s="13"/>
      <c r="C25" s="12"/>
      <c r="D25" s="12"/>
      <c r="E25" s="20"/>
      <c r="F25" s="25"/>
      <c r="G25" s="16"/>
      <c r="H25" s="16"/>
      <c r="I25" s="20"/>
      <c r="J25" s="25"/>
      <c r="K25" s="16"/>
      <c r="L25" s="16"/>
      <c r="M25" s="20"/>
      <c r="N25" s="25"/>
      <c r="O25" s="16"/>
      <c r="P25" s="16"/>
      <c r="Q25" s="20"/>
      <c r="R25" s="25"/>
      <c r="S25" s="16"/>
      <c r="T25" s="16"/>
      <c r="U25" s="20"/>
      <c r="V25" s="29">
        <f t="shared" ref="V25:V26" si="1">I25+E25+M25+Q25+U25</f>
        <v>0</v>
      </c>
    </row>
    <row r="26" spans="1:24" s="3" customFormat="1" ht="14.25" hidden="1">
      <c r="B26" s="13"/>
      <c r="C26" s="12"/>
      <c r="D26" s="12"/>
      <c r="E26" s="20"/>
      <c r="F26" s="25"/>
      <c r="G26" s="16"/>
      <c r="H26" s="16"/>
      <c r="I26" s="20"/>
      <c r="J26" s="25"/>
      <c r="K26" s="16"/>
      <c r="L26" s="16"/>
      <c r="M26" s="20"/>
      <c r="N26" s="25"/>
      <c r="O26" s="16"/>
      <c r="P26" s="16"/>
      <c r="Q26" s="20"/>
      <c r="R26" s="25"/>
      <c r="S26" s="16"/>
      <c r="T26" s="16"/>
      <c r="U26" s="20"/>
      <c r="V26" s="29">
        <f t="shared" si="1"/>
        <v>0</v>
      </c>
    </row>
    <row r="27" spans="1:24" ht="13.5" hidden="1" customHeight="1">
      <c r="A27" s="8"/>
      <c r="B27" s="64" t="s">
        <v>61</v>
      </c>
      <c r="C27" s="64"/>
      <c r="D27" s="64"/>
      <c r="E27" s="64">
        <f>SUM(E23:E26)</f>
        <v>0</v>
      </c>
      <c r="F27" s="64"/>
      <c r="G27" s="64"/>
      <c r="H27" s="64"/>
      <c r="I27" s="64">
        <f>SUM(I23:I26)</f>
        <v>0</v>
      </c>
      <c r="J27" s="64"/>
      <c r="K27" s="64"/>
      <c r="L27" s="64"/>
      <c r="M27" s="64">
        <f>SUM(M23:M26)</f>
        <v>0</v>
      </c>
      <c r="N27" s="64"/>
      <c r="O27" s="64"/>
      <c r="P27" s="64"/>
      <c r="Q27" s="64">
        <f>SUM(Q23:Q26)</f>
        <v>0</v>
      </c>
      <c r="R27" s="64"/>
      <c r="S27" s="64"/>
      <c r="T27" s="64"/>
      <c r="U27" s="64">
        <f>SUM(U23:U26)</f>
        <v>0</v>
      </c>
      <c r="V27" s="58">
        <f>SUM(V23:V26)</f>
        <v>0</v>
      </c>
      <c r="W27" s="25"/>
    </row>
    <row r="28" spans="1:24" ht="13.5" hidden="1" customHeight="1">
      <c r="A28" s="8"/>
      <c r="B28" s="31" t="s">
        <v>193</v>
      </c>
      <c r="C28" s="56"/>
      <c r="D28" s="56"/>
      <c r="E28" s="19"/>
      <c r="F28" s="60"/>
      <c r="G28" s="56"/>
      <c r="H28" s="56"/>
      <c r="I28" s="19"/>
      <c r="J28" s="60"/>
      <c r="K28" s="56"/>
      <c r="L28" s="56"/>
      <c r="M28" s="19"/>
      <c r="N28" s="60"/>
      <c r="O28" s="56"/>
      <c r="P28" s="56"/>
      <c r="Q28" s="19"/>
      <c r="R28" s="60"/>
      <c r="S28" s="56"/>
      <c r="T28" s="56"/>
      <c r="U28" s="19"/>
      <c r="V28" s="28">
        <f>SUM(E28:U28)</f>
        <v>0</v>
      </c>
      <c r="W28" s="25"/>
    </row>
    <row r="29" spans="1:24" ht="13.5" hidden="1" customHeight="1">
      <c r="A29" s="8"/>
      <c r="B29" s="74" t="s">
        <v>194</v>
      </c>
      <c r="C29" s="75"/>
      <c r="D29" s="75"/>
      <c r="E29" s="77"/>
      <c r="F29" s="81"/>
      <c r="G29" s="75"/>
      <c r="H29" s="75"/>
      <c r="I29" s="77"/>
      <c r="J29" s="81"/>
      <c r="K29" s="75"/>
      <c r="L29" s="75"/>
      <c r="M29" s="77"/>
      <c r="N29" s="81"/>
      <c r="O29" s="75"/>
      <c r="P29" s="75"/>
      <c r="Q29" s="77"/>
      <c r="R29" s="81"/>
      <c r="S29" s="75"/>
      <c r="T29" s="75"/>
      <c r="U29" s="77"/>
      <c r="V29" s="80">
        <f>SUM(E29:U29)</f>
        <v>0</v>
      </c>
      <c r="W29" s="25"/>
      <c r="X29" s="103" t="s">
        <v>195</v>
      </c>
    </row>
    <row r="30" spans="1:24" s="1" customFormat="1" hidden="1">
      <c r="B30" s="71" t="s">
        <v>66</v>
      </c>
      <c r="D30" s="68"/>
      <c r="E30" s="71">
        <f>SUM(E28:E29)</f>
        <v>0</v>
      </c>
      <c r="F30" s="72"/>
      <c r="G30" s="68"/>
      <c r="H30" s="68"/>
      <c r="I30" s="71">
        <f>SUM(I28:I29)</f>
        <v>0</v>
      </c>
      <c r="J30" s="72"/>
      <c r="K30" s="68"/>
      <c r="L30" s="68"/>
      <c r="M30" s="71">
        <f>SUM(M28:M29)</f>
        <v>0</v>
      </c>
      <c r="N30" s="72"/>
      <c r="O30" s="68"/>
      <c r="P30" s="68"/>
      <c r="Q30" s="71">
        <f>SUM(Q28:Q29)</f>
        <v>0</v>
      </c>
      <c r="R30" s="72"/>
      <c r="S30" s="68"/>
      <c r="T30" s="68"/>
      <c r="U30" s="71">
        <f>SUM(U28:U29)</f>
        <v>0</v>
      </c>
      <c r="V30" s="73">
        <f>SUM(E30:U30)</f>
        <v>0</v>
      </c>
      <c r="W30" s="3"/>
      <c r="X30" s="103"/>
    </row>
    <row r="31" spans="1:24" s="1" customFormat="1" hidden="1">
      <c r="B31" s="71"/>
      <c r="D31" s="68"/>
      <c r="E31" s="71"/>
      <c r="F31" s="72"/>
      <c r="G31" s="68"/>
      <c r="H31" s="68"/>
      <c r="I31" s="72"/>
      <c r="J31" s="72"/>
      <c r="K31" s="68"/>
      <c r="L31" s="68"/>
      <c r="M31" s="72"/>
      <c r="N31" s="72"/>
      <c r="O31" s="68"/>
      <c r="P31" s="68"/>
      <c r="Q31" s="72"/>
      <c r="R31" s="72"/>
      <c r="S31" s="68"/>
      <c r="T31" s="68"/>
      <c r="U31" s="66"/>
      <c r="V31" s="73"/>
      <c r="W31" s="3"/>
    </row>
    <row r="32" spans="1:24" s="1" customFormat="1" hidden="1">
      <c r="B32" s="1518" t="s">
        <v>18</v>
      </c>
      <c r="C32" s="1524">
        <v>45075</v>
      </c>
      <c r="D32" s="1524"/>
      <c r="E32" s="1524"/>
      <c r="F32" s="3"/>
      <c r="G32" s="1524">
        <v>45076</v>
      </c>
      <c r="H32" s="1524"/>
      <c r="I32" s="1524"/>
      <c r="J32" s="3"/>
      <c r="K32" s="1524">
        <v>45077</v>
      </c>
      <c r="L32" s="1524"/>
      <c r="M32" s="1524"/>
      <c r="N32" s="3"/>
      <c r="O32" s="1524">
        <v>45078</v>
      </c>
      <c r="P32" s="1524"/>
      <c r="Q32" s="1524"/>
      <c r="R32" s="3"/>
      <c r="S32" s="1524">
        <v>45079</v>
      </c>
      <c r="T32" s="1524"/>
      <c r="U32" s="1524"/>
      <c r="V32" s="1517" t="s">
        <v>19</v>
      </c>
      <c r="W32" s="3"/>
    </row>
    <row r="33" spans="1:24" s="1" customFormat="1" hidden="1">
      <c r="B33" s="1518"/>
      <c r="C33" s="21" t="s">
        <v>23</v>
      </c>
      <c r="D33" s="21" t="s">
        <v>24</v>
      </c>
      <c r="E33" s="18" t="s">
        <v>25</v>
      </c>
      <c r="F33" s="3"/>
      <c r="G33" s="21" t="s">
        <v>23</v>
      </c>
      <c r="H33" s="21" t="s">
        <v>24</v>
      </c>
      <c r="I33" s="18" t="s">
        <v>25</v>
      </c>
      <c r="J33" s="3"/>
      <c r="K33" s="21" t="s">
        <v>23</v>
      </c>
      <c r="L33" s="21" t="s">
        <v>24</v>
      </c>
      <c r="M33" s="18" t="s">
        <v>25</v>
      </c>
      <c r="N33" s="3"/>
      <c r="O33" s="21" t="s">
        <v>23</v>
      </c>
      <c r="P33" s="21" t="s">
        <v>24</v>
      </c>
      <c r="Q33" s="18" t="s">
        <v>25</v>
      </c>
      <c r="R33" s="3"/>
      <c r="S33" s="21" t="s">
        <v>23</v>
      </c>
      <c r="T33" s="21" t="s">
        <v>24</v>
      </c>
      <c r="U33" s="18" t="s">
        <v>25</v>
      </c>
      <c r="V33" s="1523"/>
      <c r="W33" s="3"/>
    </row>
    <row r="34" spans="1:24" s="1" customFormat="1" ht="14.25" hidden="1">
      <c r="B34" s="13"/>
      <c r="C34" s="26"/>
      <c r="D34" s="26"/>
      <c r="E34" s="19"/>
      <c r="F34" s="3"/>
      <c r="G34" s="12"/>
      <c r="H34" s="16"/>
      <c r="I34" s="19"/>
      <c r="J34" s="3"/>
      <c r="K34" s="12"/>
      <c r="L34" s="16"/>
      <c r="M34" s="19"/>
      <c r="N34" s="3"/>
      <c r="O34" s="12"/>
      <c r="P34" s="47"/>
      <c r="Q34" s="19"/>
      <c r="R34" s="3"/>
      <c r="S34" s="47"/>
      <c r="T34" s="47"/>
      <c r="U34" s="19"/>
      <c r="V34" s="29"/>
      <c r="W34" s="3"/>
    </row>
    <row r="35" spans="1:24" s="1" customFormat="1" ht="14.25" hidden="1">
      <c r="B35" s="13"/>
      <c r="C35" s="26"/>
      <c r="D35" s="26"/>
      <c r="E35" s="19"/>
      <c r="F35" s="3"/>
      <c r="G35" s="12"/>
      <c r="H35" s="16"/>
      <c r="I35" s="19"/>
      <c r="J35" s="3"/>
      <c r="K35" s="12"/>
      <c r="L35" s="16"/>
      <c r="M35" s="19"/>
      <c r="N35" s="3"/>
      <c r="O35" s="12"/>
      <c r="P35" s="47"/>
      <c r="Q35" s="19"/>
      <c r="R35" s="3"/>
      <c r="S35" s="4"/>
      <c r="T35" s="4"/>
      <c r="U35" s="19"/>
      <c r="V35" s="29"/>
      <c r="W35" s="3"/>
    </row>
    <row r="36" spans="1:24" s="1" customFormat="1" ht="14.25" hidden="1">
      <c r="B36" s="13"/>
      <c r="C36" s="26"/>
      <c r="D36" s="26"/>
      <c r="E36" s="19"/>
      <c r="F36" s="3"/>
      <c r="G36" s="12"/>
      <c r="H36" s="12"/>
      <c r="I36" s="19"/>
      <c r="J36" s="3"/>
      <c r="K36" s="12"/>
      <c r="L36" s="4"/>
      <c r="M36" s="19"/>
      <c r="N36" s="3"/>
      <c r="O36" s="16"/>
      <c r="P36" s="47"/>
      <c r="Q36" s="19"/>
      <c r="R36" s="3"/>
      <c r="S36" s="47"/>
      <c r="T36" s="47"/>
      <c r="U36" s="19"/>
      <c r="V36" s="29"/>
      <c r="W36" s="3"/>
    </row>
    <row r="37" spans="1:24" s="1" customFormat="1" ht="14.25" hidden="1">
      <c r="B37" s="13"/>
      <c r="C37" s="26"/>
      <c r="D37" s="26"/>
      <c r="E37" s="19"/>
      <c r="F37" s="3"/>
      <c r="G37" s="16"/>
      <c r="H37" s="16"/>
      <c r="I37" s="19"/>
      <c r="J37" s="3"/>
      <c r="K37" s="12"/>
      <c r="L37" s="16"/>
      <c r="M37" s="19"/>
      <c r="N37" s="3"/>
      <c r="O37" s="16"/>
      <c r="P37" s="47"/>
      <c r="Q37" s="19"/>
      <c r="R37" s="3"/>
      <c r="S37" s="47"/>
      <c r="T37" s="47"/>
      <c r="U37" s="19"/>
      <c r="V37" s="29"/>
      <c r="W37" s="3"/>
    </row>
    <row r="38" spans="1:24" s="1" customFormat="1" ht="14.25" hidden="1">
      <c r="B38" s="13"/>
      <c r="C38" s="26"/>
      <c r="D38" s="26"/>
      <c r="E38" s="19"/>
      <c r="F38" s="3"/>
      <c r="G38" s="16"/>
      <c r="H38" s="16"/>
      <c r="I38" s="19"/>
      <c r="J38" s="3"/>
      <c r="K38" s="4"/>
      <c r="L38" s="4"/>
      <c r="M38" s="19"/>
      <c r="N38" s="3"/>
      <c r="O38" s="16"/>
      <c r="P38" s="47"/>
      <c r="Q38" s="19"/>
      <c r="R38" s="3"/>
      <c r="S38" s="47"/>
      <c r="T38" s="47"/>
      <c r="U38" s="19"/>
      <c r="V38" s="29"/>
      <c r="W38" s="3"/>
    </row>
    <row r="39" spans="1:24" s="1" customFormat="1" ht="14.25" hidden="1">
      <c r="B39" s="13"/>
      <c r="C39" s="26"/>
      <c r="D39" s="26"/>
      <c r="E39" s="19"/>
      <c r="F39" s="3"/>
      <c r="G39" s="12"/>
      <c r="H39" s="12"/>
      <c r="I39" s="19"/>
      <c r="J39" s="3"/>
      <c r="K39" s="12"/>
      <c r="L39" s="16"/>
      <c r="M39" s="19"/>
      <c r="N39" s="3"/>
      <c r="O39" s="16"/>
      <c r="P39" s="47"/>
      <c r="Q39" s="19"/>
      <c r="R39" s="3"/>
      <c r="S39" s="47"/>
      <c r="T39" s="47"/>
      <c r="U39" s="19"/>
      <c r="V39" s="29"/>
      <c r="W39" s="3"/>
    </row>
    <row r="40" spans="1:24" ht="13.5" hidden="1" customHeight="1">
      <c r="A40" s="8"/>
      <c r="B40" s="64" t="s">
        <v>139</v>
      </c>
      <c r="C40" s="64"/>
      <c r="D40" s="64"/>
      <c r="E40" s="64">
        <f>SUM(E34:E39)</f>
        <v>0</v>
      </c>
      <c r="F40" s="64"/>
      <c r="G40" s="64"/>
      <c r="H40" s="64"/>
      <c r="I40" s="64">
        <f>SUM(I34:I39)</f>
        <v>0</v>
      </c>
      <c r="J40" s="64"/>
      <c r="K40" s="64"/>
      <c r="L40" s="64"/>
      <c r="M40" s="64">
        <f>SUM(M34:M39)</f>
        <v>0</v>
      </c>
      <c r="N40" s="64"/>
      <c r="O40" s="64"/>
      <c r="P40" s="64"/>
      <c r="Q40" s="64">
        <f>SUM(Q34:Q39)</f>
        <v>0</v>
      </c>
      <c r="R40" s="64"/>
      <c r="S40" s="64"/>
      <c r="T40" s="64"/>
      <c r="U40" s="64">
        <f>SUM(U34:U39)</f>
        <v>0</v>
      </c>
      <c r="V40" s="55"/>
      <c r="W40" s="25"/>
    </row>
    <row r="41" spans="1:24" ht="13.5" hidden="1" customHeight="1">
      <c r="A41" s="8"/>
      <c r="B41" s="31" t="s">
        <v>193</v>
      </c>
      <c r="C41" s="56"/>
      <c r="D41" s="56"/>
      <c r="E41" s="19"/>
      <c r="F41" s="60"/>
      <c r="G41" s="56"/>
      <c r="H41" s="56"/>
      <c r="I41" s="19"/>
      <c r="J41" s="60"/>
      <c r="K41" s="56"/>
      <c r="L41" s="56"/>
      <c r="M41" s="19"/>
      <c r="N41" s="60"/>
      <c r="O41" s="56"/>
      <c r="P41" s="56"/>
      <c r="Q41" s="19"/>
      <c r="R41" s="60"/>
      <c r="S41" s="56"/>
      <c r="T41" s="56"/>
      <c r="U41" s="19"/>
      <c r="V41" s="28"/>
      <c r="W41" s="25"/>
    </row>
    <row r="42" spans="1:24" ht="13.5" hidden="1" customHeight="1">
      <c r="A42" s="8"/>
      <c r="B42" s="74" t="s">
        <v>196</v>
      </c>
      <c r="C42" s="75"/>
      <c r="D42" s="75"/>
      <c r="E42" s="77"/>
      <c r="F42" s="81"/>
      <c r="G42" s="75"/>
      <c r="H42" s="75"/>
      <c r="I42" s="77"/>
      <c r="J42" s="81"/>
      <c r="K42" s="75"/>
      <c r="L42" s="75"/>
      <c r="M42" s="77"/>
      <c r="N42" s="81"/>
      <c r="O42" s="75"/>
      <c r="P42" s="75"/>
      <c r="Q42" s="77"/>
      <c r="R42" s="81"/>
      <c r="S42" s="75"/>
      <c r="T42" s="75"/>
      <c r="U42" s="77"/>
      <c r="V42" s="80"/>
      <c r="W42" s="25"/>
      <c r="X42" s="103" t="s">
        <v>195</v>
      </c>
    </row>
    <row r="43" spans="1:24" s="1" customFormat="1" hidden="1">
      <c r="B43" s="71" t="s">
        <v>66</v>
      </c>
      <c r="C43" s="68"/>
      <c r="D43" s="68"/>
      <c r="E43" s="71">
        <f>SUM(E41:E42)</f>
        <v>0</v>
      </c>
      <c r="F43" s="72"/>
      <c r="G43" s="68"/>
      <c r="H43" s="68"/>
      <c r="I43" s="71">
        <f>SUM(I41:I42)</f>
        <v>0</v>
      </c>
      <c r="J43" s="72"/>
      <c r="K43" s="68"/>
      <c r="L43" s="68"/>
      <c r="M43" s="71">
        <f>SUM(M41:M42)</f>
        <v>0</v>
      </c>
      <c r="N43" s="72"/>
      <c r="O43" s="68"/>
      <c r="P43" s="68"/>
      <c r="Q43" s="71">
        <f>SUM(Q41:Q42)</f>
        <v>0</v>
      </c>
      <c r="R43" s="72"/>
      <c r="S43" s="68"/>
      <c r="T43" s="68"/>
      <c r="U43" s="66"/>
      <c r="V43" s="73"/>
      <c r="W43" s="3"/>
      <c r="X43" s="103"/>
    </row>
    <row r="44" spans="1:24" s="1" customFormat="1">
      <c r="B44" s="71"/>
      <c r="C44" s="68"/>
      <c r="D44" s="68"/>
      <c r="E44" s="71"/>
      <c r="F44" s="72"/>
      <c r="G44" s="68"/>
      <c r="H44" s="68"/>
      <c r="I44" s="72"/>
      <c r="J44" s="72"/>
      <c r="K44" s="68"/>
      <c r="L44" s="68"/>
      <c r="M44" s="72"/>
      <c r="N44" s="72"/>
      <c r="O44" s="68"/>
      <c r="P44" s="68"/>
      <c r="Q44" s="72"/>
      <c r="R44" s="72"/>
      <c r="S44" s="68"/>
      <c r="T44" s="68"/>
      <c r="U44" s="66"/>
      <c r="V44" s="73"/>
      <c r="W44" s="3"/>
    </row>
    <row r="45" spans="1:24" s="1" customFormat="1" ht="13.5" customHeight="1">
      <c r="B45" s="1518" t="s">
        <v>18</v>
      </c>
      <c r="C45" s="1524">
        <v>45082</v>
      </c>
      <c r="D45" s="1524"/>
      <c r="E45" s="1524"/>
      <c r="F45" s="22"/>
      <c r="G45" s="1524">
        <v>45083</v>
      </c>
      <c r="H45" s="1524"/>
      <c r="I45" s="1524"/>
      <c r="J45" s="22"/>
      <c r="K45" s="1524">
        <v>45084</v>
      </c>
      <c r="L45" s="1524"/>
      <c r="M45" s="1524"/>
      <c r="N45" s="22"/>
      <c r="O45" s="1524">
        <v>45085</v>
      </c>
      <c r="P45" s="1524"/>
      <c r="Q45" s="1524"/>
      <c r="R45" s="22"/>
      <c r="S45" s="1524">
        <v>45086</v>
      </c>
      <c r="T45" s="1524"/>
      <c r="U45" s="1524"/>
      <c r="V45" s="1517" t="s">
        <v>19</v>
      </c>
      <c r="W45" s="3"/>
    </row>
    <row r="46" spans="1:24" s="1" customFormat="1">
      <c r="B46" s="1518"/>
      <c r="C46" s="21" t="s">
        <v>23</v>
      </c>
      <c r="D46" s="21" t="s">
        <v>24</v>
      </c>
      <c r="E46" s="18" t="s">
        <v>25</v>
      </c>
      <c r="F46" s="3"/>
      <c r="G46" s="21" t="s">
        <v>23</v>
      </c>
      <c r="H46" s="21" t="s">
        <v>24</v>
      </c>
      <c r="I46" s="18" t="s">
        <v>25</v>
      </c>
      <c r="J46" s="3"/>
      <c r="K46" s="21" t="s">
        <v>23</v>
      </c>
      <c r="L46" s="21" t="s">
        <v>24</v>
      </c>
      <c r="M46" s="18" t="s">
        <v>25</v>
      </c>
      <c r="N46" s="3"/>
      <c r="O46" s="21" t="s">
        <v>23</v>
      </c>
      <c r="P46" s="21" t="s">
        <v>24</v>
      </c>
      <c r="Q46" s="18" t="s">
        <v>25</v>
      </c>
      <c r="R46" s="3"/>
      <c r="S46" s="21" t="s">
        <v>23</v>
      </c>
      <c r="T46" s="21" t="s">
        <v>24</v>
      </c>
      <c r="U46" s="18" t="s">
        <v>25</v>
      </c>
      <c r="V46" s="1523"/>
      <c r="W46" s="3"/>
    </row>
    <row r="47" spans="1:24" s="1" customFormat="1" ht="15.75">
      <c r="B47" s="136" t="s">
        <v>147</v>
      </c>
      <c r="C47" s="61">
        <v>0</v>
      </c>
      <c r="D47" s="47">
        <v>0</v>
      </c>
      <c r="E47" s="19">
        <v>0</v>
      </c>
      <c r="F47" s="3"/>
      <c r="G47" s="47">
        <v>0.40277777777777773</v>
      </c>
      <c r="H47" s="47">
        <v>0.70833333333333337</v>
      </c>
      <c r="I47" s="19">
        <v>8</v>
      </c>
      <c r="J47" s="3"/>
      <c r="K47" s="47">
        <v>0.40625</v>
      </c>
      <c r="L47" s="47">
        <v>0.65625</v>
      </c>
      <c r="M47" s="19">
        <v>6</v>
      </c>
      <c r="N47" s="3"/>
      <c r="O47" s="47">
        <v>0.40625</v>
      </c>
      <c r="P47" s="47">
        <v>0.65625</v>
      </c>
      <c r="Q47" s="19">
        <v>6</v>
      </c>
      <c r="R47" s="3"/>
      <c r="S47" s="47">
        <v>0.40625</v>
      </c>
      <c r="T47" s="47">
        <v>0.65625</v>
      </c>
      <c r="U47" s="19">
        <v>6</v>
      </c>
      <c r="V47" s="29"/>
      <c r="W47" s="3"/>
    </row>
    <row r="48" spans="1:24" s="1" customFormat="1" ht="15.75">
      <c r="B48" s="137" t="s">
        <v>146</v>
      </c>
      <c r="C48" s="61">
        <v>0</v>
      </c>
      <c r="D48" s="47">
        <v>0</v>
      </c>
      <c r="E48" s="19">
        <v>0</v>
      </c>
      <c r="F48" s="3"/>
      <c r="G48" s="47">
        <v>0.35416666666666669</v>
      </c>
      <c r="H48" s="47">
        <v>0.625</v>
      </c>
      <c r="I48" s="19">
        <v>7</v>
      </c>
      <c r="J48" s="3"/>
      <c r="K48" s="47">
        <v>0.35416666666666669</v>
      </c>
      <c r="L48" s="47">
        <v>0.64583333333333337</v>
      </c>
      <c r="M48" s="19">
        <v>6</v>
      </c>
      <c r="N48" s="3"/>
      <c r="O48" s="47">
        <v>0.35416666666666669</v>
      </c>
      <c r="P48" s="47">
        <v>0.64583333333333337</v>
      </c>
      <c r="Q48" s="19">
        <v>6</v>
      </c>
      <c r="R48" s="3"/>
      <c r="S48" s="47">
        <v>0.35416666666666669</v>
      </c>
      <c r="T48" s="47">
        <v>0.64583333333333337</v>
      </c>
      <c r="U48" s="19">
        <v>6</v>
      </c>
      <c r="V48" s="29"/>
      <c r="W48" s="3"/>
    </row>
    <row r="49" spans="2:27" s="1" customFormat="1" ht="15.75">
      <c r="B49" s="137" t="s">
        <v>39</v>
      </c>
      <c r="C49" s="61">
        <v>0</v>
      </c>
      <c r="D49" s="47">
        <v>0</v>
      </c>
      <c r="E49" s="19">
        <v>0</v>
      </c>
      <c r="F49" s="3"/>
      <c r="G49" s="47">
        <v>0</v>
      </c>
      <c r="H49" s="47">
        <v>0</v>
      </c>
      <c r="I49" s="19">
        <v>0</v>
      </c>
      <c r="J49" s="3"/>
      <c r="K49" s="47">
        <v>0</v>
      </c>
      <c r="L49" s="47">
        <v>0</v>
      </c>
      <c r="M49" s="19">
        <v>0</v>
      </c>
      <c r="N49" s="3"/>
      <c r="O49" s="47">
        <v>0</v>
      </c>
      <c r="P49" s="47">
        <v>0</v>
      </c>
      <c r="Q49" s="19">
        <v>0</v>
      </c>
      <c r="R49" s="3"/>
      <c r="S49" s="47">
        <v>0</v>
      </c>
      <c r="T49" s="47">
        <v>0</v>
      </c>
      <c r="U49" s="19">
        <v>0</v>
      </c>
      <c r="V49" s="29"/>
      <c r="W49" s="3"/>
    </row>
    <row r="50" spans="2:27" s="1" customFormat="1" ht="15.75">
      <c r="B50" s="137" t="s">
        <v>31</v>
      </c>
      <c r="C50" s="61">
        <v>0</v>
      </c>
      <c r="D50" s="47">
        <v>0</v>
      </c>
      <c r="E50" s="19">
        <v>0</v>
      </c>
      <c r="F50" s="3"/>
      <c r="G50" s="47">
        <v>0.375</v>
      </c>
      <c r="H50" s="47">
        <v>0.625</v>
      </c>
      <c r="I50" s="19">
        <v>8</v>
      </c>
      <c r="J50" s="3"/>
      <c r="K50" s="47">
        <v>0.35416666666666669</v>
      </c>
      <c r="L50" s="47">
        <v>0.64583333333333337</v>
      </c>
      <c r="M50" s="19">
        <v>6</v>
      </c>
      <c r="N50" s="3"/>
      <c r="O50" s="47">
        <v>0.35416666666666669</v>
      </c>
      <c r="P50" s="47">
        <v>0.64583333333333337</v>
      </c>
      <c r="Q50" s="19">
        <v>6</v>
      </c>
      <c r="R50" s="3"/>
      <c r="S50" s="47">
        <v>0.35416666666666669</v>
      </c>
      <c r="T50" s="47">
        <v>0.64583333333333337</v>
      </c>
      <c r="U50" s="19">
        <v>6</v>
      </c>
      <c r="V50" s="29"/>
      <c r="W50" s="3"/>
    </row>
    <row r="51" spans="2:27" s="1" customFormat="1" ht="14.25">
      <c r="B51" s="13"/>
      <c r="C51" s="61"/>
      <c r="D51" s="47"/>
      <c r="E51" s="19"/>
      <c r="F51" s="3"/>
      <c r="G51" s="47"/>
      <c r="H51" s="47"/>
      <c r="I51" s="19"/>
      <c r="J51" s="3"/>
      <c r="K51" s="47"/>
      <c r="L51" s="47"/>
      <c r="M51" s="19"/>
      <c r="N51" s="3"/>
      <c r="O51" s="47"/>
      <c r="P51" s="47"/>
      <c r="Q51" s="19"/>
      <c r="R51" s="3"/>
      <c r="S51" s="47"/>
      <c r="T51" s="47"/>
      <c r="U51" s="19"/>
      <c r="V51" s="29"/>
      <c r="W51" s="3"/>
    </row>
    <row r="52" spans="2:27" s="1" customFormat="1" ht="14.25">
      <c r="B52" s="13"/>
      <c r="C52" s="61"/>
      <c r="D52" s="47"/>
      <c r="E52" s="19"/>
      <c r="F52" s="3"/>
      <c r="G52" s="47"/>
      <c r="H52" s="47"/>
      <c r="I52" s="19"/>
      <c r="J52" s="3"/>
      <c r="K52" s="47"/>
      <c r="L52" s="47"/>
      <c r="M52" s="19"/>
      <c r="N52" s="3"/>
      <c r="O52" s="47"/>
      <c r="P52" s="47"/>
      <c r="Q52" s="19"/>
      <c r="R52" s="3"/>
      <c r="S52" s="47"/>
      <c r="T52" s="47"/>
      <c r="U52" s="19"/>
      <c r="V52" s="29"/>
      <c r="W52" s="3"/>
    </row>
    <row r="53" spans="2:27" s="1" customFormat="1" ht="14.25">
      <c r="B53" s="13"/>
      <c r="C53" s="4"/>
      <c r="D53" s="4"/>
      <c r="E53" s="19"/>
      <c r="F53" s="3"/>
      <c r="G53" s="4"/>
      <c r="H53" s="4"/>
      <c r="I53" s="19"/>
      <c r="J53" s="3"/>
      <c r="K53" s="47"/>
      <c r="L53" s="47"/>
      <c r="M53" s="19"/>
      <c r="N53" s="3"/>
      <c r="O53" s="47"/>
      <c r="P53" s="47"/>
      <c r="Q53" s="19"/>
      <c r="R53" s="3"/>
      <c r="S53" s="47"/>
      <c r="T53" s="47"/>
      <c r="U53" s="19"/>
      <c r="V53" s="29"/>
      <c r="W53" s="3"/>
    </row>
    <row r="54" spans="2:27" s="1" customFormat="1" ht="14.25">
      <c r="B54" s="13"/>
      <c r="C54" s="4"/>
      <c r="D54" s="4"/>
      <c r="E54" s="19"/>
      <c r="F54" s="3"/>
      <c r="G54" s="4"/>
      <c r="H54" s="4"/>
      <c r="I54" s="19"/>
      <c r="J54" s="3"/>
      <c r="K54" s="4"/>
      <c r="L54" s="4"/>
      <c r="M54" s="19"/>
      <c r="N54" s="3"/>
      <c r="O54" s="4"/>
      <c r="P54" s="4"/>
      <c r="Q54" s="19"/>
      <c r="R54" s="3"/>
      <c r="S54" s="12"/>
      <c r="T54" s="12"/>
      <c r="U54" s="19"/>
      <c r="V54" s="29"/>
      <c r="W54" s="3"/>
    </row>
    <row r="55" spans="2:27" s="1" customFormat="1">
      <c r="B55" s="64" t="s">
        <v>61</v>
      </c>
      <c r="C55" s="64"/>
      <c r="D55" s="64"/>
      <c r="E55" s="64">
        <v>0</v>
      </c>
      <c r="F55" s="64"/>
      <c r="G55" s="64"/>
      <c r="H55" s="64"/>
      <c r="I55" s="64">
        <f>SUM(I47:I54)</f>
        <v>23</v>
      </c>
      <c r="J55" s="64"/>
      <c r="K55" s="64"/>
      <c r="L55" s="64"/>
      <c r="M55" s="64">
        <f>SUM(M47:M54)</f>
        <v>18</v>
      </c>
      <c r="N55" s="64"/>
      <c r="O55" s="64"/>
      <c r="P55" s="64"/>
      <c r="Q55" s="64">
        <f>SUM(Q47:Q54)</f>
        <v>18</v>
      </c>
      <c r="R55" s="64"/>
      <c r="S55" s="64"/>
      <c r="T55" s="64"/>
      <c r="U55" s="64">
        <f>SUM(U47:U54)</f>
        <v>18</v>
      </c>
      <c r="V55" s="55">
        <f>SUM(E55:U55)</f>
        <v>77</v>
      </c>
      <c r="W55" s="3"/>
    </row>
    <row r="56" spans="2:27" s="1" customFormat="1">
      <c r="B56" s="31" t="s">
        <v>193</v>
      </c>
      <c r="C56" s="56"/>
      <c r="D56" s="57"/>
      <c r="E56" s="19"/>
      <c r="F56" s="59"/>
      <c r="G56" s="57"/>
      <c r="H56" s="57"/>
      <c r="I56" s="19"/>
      <c r="J56" s="59"/>
      <c r="K56" s="57"/>
      <c r="L56" s="57"/>
      <c r="M56" s="19"/>
      <c r="N56" s="59"/>
      <c r="O56" s="57"/>
      <c r="P56" s="57"/>
      <c r="Q56" s="19"/>
      <c r="R56" s="59"/>
      <c r="S56" s="57"/>
      <c r="T56" s="57"/>
      <c r="U56" s="19"/>
      <c r="V56" s="28"/>
      <c r="W56" s="3"/>
    </row>
    <row r="57" spans="2:27" s="1" customFormat="1">
      <c r="B57" s="74" t="s">
        <v>194</v>
      </c>
      <c r="C57" s="75"/>
      <c r="D57" s="76"/>
      <c r="E57" s="77"/>
      <c r="F57" s="78"/>
      <c r="G57" s="76"/>
      <c r="H57" s="76"/>
      <c r="I57" s="77"/>
      <c r="J57" s="78"/>
      <c r="K57" s="76"/>
      <c r="L57" s="76"/>
      <c r="M57" s="77"/>
      <c r="N57" s="78"/>
      <c r="O57" s="76"/>
      <c r="P57" s="76"/>
      <c r="Q57" s="77"/>
      <c r="R57" s="78"/>
      <c r="S57" s="76"/>
      <c r="T57" s="76"/>
      <c r="U57" s="77"/>
      <c r="V57" s="80"/>
      <c r="W57" s="3"/>
      <c r="X57" s="103" t="s">
        <v>195</v>
      </c>
    </row>
    <row r="58" spans="2:27" s="1" customFormat="1">
      <c r="B58" s="71" t="s">
        <v>66</v>
      </c>
      <c r="E58" s="71">
        <f>SUM(E56:E57)</f>
        <v>0</v>
      </c>
      <c r="F58" s="72"/>
      <c r="G58" s="68"/>
      <c r="H58" s="68"/>
      <c r="I58" s="71">
        <f>SUM(I56:I57)</f>
        <v>0</v>
      </c>
      <c r="J58" s="72"/>
      <c r="K58" s="68"/>
      <c r="L58" s="68"/>
      <c r="M58" s="71">
        <f>SUM(M56:M57)</f>
        <v>0</v>
      </c>
      <c r="N58" s="72"/>
      <c r="O58" s="68"/>
      <c r="P58" s="68"/>
      <c r="Q58" s="71">
        <f>SUM(Q56:Q57)</f>
        <v>0</v>
      </c>
      <c r="R58" s="72"/>
      <c r="S58" s="68"/>
      <c r="T58" s="68"/>
      <c r="U58" s="102">
        <f>SUM(U56:U57)</f>
        <v>0</v>
      </c>
      <c r="V58" s="73">
        <f>SUM(V56:V57)</f>
        <v>0</v>
      </c>
      <c r="W58" s="3"/>
      <c r="X58" s="103"/>
    </row>
    <row r="59" spans="2:27" s="1" customFormat="1">
      <c r="B59" s="71"/>
      <c r="E59" s="71"/>
      <c r="F59" s="72"/>
      <c r="G59" s="68"/>
      <c r="H59" s="68"/>
      <c r="I59" s="72"/>
      <c r="J59" s="72"/>
      <c r="K59" s="68"/>
      <c r="L59" s="68"/>
      <c r="M59" s="72"/>
      <c r="N59" s="72"/>
      <c r="O59" s="68"/>
      <c r="P59" s="68"/>
      <c r="Q59" s="72"/>
      <c r="R59" s="72"/>
      <c r="S59" s="68"/>
      <c r="T59" s="68"/>
      <c r="U59" s="66"/>
      <c r="V59" s="73"/>
      <c r="W59" s="3"/>
    </row>
    <row r="60" spans="2:27" s="1" customFormat="1" ht="13.5" customHeight="1">
      <c r="B60" s="1518" t="s">
        <v>18</v>
      </c>
      <c r="C60" s="1524">
        <v>45089</v>
      </c>
      <c r="D60" s="1524"/>
      <c r="E60" s="1524"/>
      <c r="F60" s="22"/>
      <c r="G60" s="1524">
        <v>45090</v>
      </c>
      <c r="H60" s="1524"/>
      <c r="I60" s="1524"/>
      <c r="J60" s="22"/>
      <c r="K60" s="1524">
        <v>45091</v>
      </c>
      <c r="L60" s="1524"/>
      <c r="M60" s="1524"/>
      <c r="N60" s="22"/>
      <c r="O60" s="1524">
        <v>45092</v>
      </c>
      <c r="P60" s="1524"/>
      <c r="Q60" s="1524"/>
      <c r="R60" s="22"/>
      <c r="S60" s="1524">
        <v>45093</v>
      </c>
      <c r="T60" s="1524"/>
      <c r="U60" s="1524"/>
      <c r="V60" s="1517" t="s">
        <v>19</v>
      </c>
      <c r="W60" s="3"/>
      <c r="X60" s="1524">
        <v>45094</v>
      </c>
      <c r="Y60" s="1524"/>
      <c r="Z60" s="1524"/>
      <c r="AA60" s="1517" t="s">
        <v>21</v>
      </c>
    </row>
    <row r="61" spans="2:27" s="1" customFormat="1">
      <c r="B61" s="1518"/>
      <c r="C61" s="21" t="s">
        <v>23</v>
      </c>
      <c r="D61" s="21" t="s">
        <v>24</v>
      </c>
      <c r="E61" s="18" t="s">
        <v>25</v>
      </c>
      <c r="F61" s="3"/>
      <c r="G61" s="21" t="s">
        <v>23</v>
      </c>
      <c r="H61" s="21" t="s">
        <v>24</v>
      </c>
      <c r="I61" s="18" t="s">
        <v>25</v>
      </c>
      <c r="J61" s="3"/>
      <c r="K61" s="21" t="s">
        <v>23</v>
      </c>
      <c r="L61" s="21" t="s">
        <v>24</v>
      </c>
      <c r="M61" s="18" t="s">
        <v>25</v>
      </c>
      <c r="N61" s="3"/>
      <c r="O61" s="21" t="s">
        <v>23</v>
      </c>
      <c r="P61" s="21" t="s">
        <v>24</v>
      </c>
      <c r="Q61" s="18" t="s">
        <v>25</v>
      </c>
      <c r="R61" s="3"/>
      <c r="S61" s="21" t="s">
        <v>23</v>
      </c>
      <c r="T61" s="21" t="s">
        <v>24</v>
      </c>
      <c r="U61" s="18" t="s">
        <v>25</v>
      </c>
      <c r="V61" s="1523"/>
      <c r="W61" s="3"/>
      <c r="X61" s="21" t="s">
        <v>23</v>
      </c>
      <c r="Y61" s="21" t="s">
        <v>24</v>
      </c>
      <c r="Z61" s="18" t="s">
        <v>25</v>
      </c>
      <c r="AA61" s="1523"/>
    </row>
    <row r="62" spans="2:27" s="1" customFormat="1" ht="15.75">
      <c r="B62" s="136" t="s">
        <v>147</v>
      </c>
      <c r="C62" s="47">
        <v>0.40625</v>
      </c>
      <c r="D62" s="47">
        <v>0.65625</v>
      </c>
      <c r="E62" s="19">
        <v>6</v>
      </c>
      <c r="F62" s="3"/>
      <c r="G62" s="47">
        <v>0.40625</v>
      </c>
      <c r="H62" s="47">
        <v>0.65625</v>
      </c>
      <c r="I62" s="19">
        <v>6</v>
      </c>
      <c r="J62" s="3"/>
      <c r="K62" s="47">
        <v>0.40625</v>
      </c>
      <c r="L62" s="47">
        <v>0.65625</v>
      </c>
      <c r="M62" s="19">
        <v>6</v>
      </c>
      <c r="N62" s="3"/>
      <c r="O62" s="47">
        <v>0.40625</v>
      </c>
      <c r="P62" s="47">
        <v>0.65625</v>
      </c>
      <c r="Q62" s="19">
        <v>6</v>
      </c>
      <c r="R62" s="3"/>
      <c r="S62" s="47">
        <v>0.40625</v>
      </c>
      <c r="T62" s="47">
        <v>0.65625</v>
      </c>
      <c r="U62" s="19">
        <v>6</v>
      </c>
      <c r="V62" s="29">
        <f>(E62+I62+M62+Q62+U62)</f>
        <v>30</v>
      </c>
      <c r="W62" s="3"/>
      <c r="X62" s="4"/>
      <c r="Y62" s="4"/>
      <c r="Z62" s="19"/>
      <c r="AA62" s="29">
        <f t="shared" ref="AA62:AA69" si="2">Z62</f>
        <v>0</v>
      </c>
    </row>
    <row r="63" spans="2:27" s="1" customFormat="1" ht="15.75">
      <c r="B63" s="137" t="s">
        <v>146</v>
      </c>
      <c r="C63" s="47">
        <v>0.35416666666666669</v>
      </c>
      <c r="D63" s="47">
        <v>0.64583333333333337</v>
      </c>
      <c r="E63" s="19">
        <v>6</v>
      </c>
      <c r="F63" s="3"/>
      <c r="G63" s="47">
        <v>0.35416666666666669</v>
      </c>
      <c r="H63" s="47">
        <v>0.64583333333333337</v>
      </c>
      <c r="I63" s="19">
        <v>6</v>
      </c>
      <c r="J63" s="3"/>
      <c r="K63" s="47">
        <v>0.35416666666666669</v>
      </c>
      <c r="L63" s="47">
        <v>0.64583333333333337</v>
      </c>
      <c r="M63" s="19">
        <v>6</v>
      </c>
      <c r="N63" s="3"/>
      <c r="O63" s="47">
        <v>0.35416666666666669</v>
      </c>
      <c r="P63" s="47">
        <v>0.64583333333333337</v>
      </c>
      <c r="Q63" s="19">
        <v>6</v>
      </c>
      <c r="R63" s="3"/>
      <c r="S63" s="47">
        <v>0.35416666666666669</v>
      </c>
      <c r="T63" s="47">
        <v>0.64583333333333337</v>
      </c>
      <c r="U63" s="19">
        <v>6</v>
      </c>
      <c r="V63" s="29">
        <f>(E63+I63+M63+Q63+U63)</f>
        <v>30</v>
      </c>
      <c r="W63" s="3"/>
      <c r="X63" s="4"/>
      <c r="Y63" s="4"/>
      <c r="Z63" s="19"/>
      <c r="AA63" s="29">
        <f t="shared" si="2"/>
        <v>0</v>
      </c>
    </row>
    <row r="64" spans="2:27" s="1" customFormat="1" ht="15.75">
      <c r="B64" s="137" t="s">
        <v>39</v>
      </c>
      <c r="C64" s="47">
        <v>0</v>
      </c>
      <c r="D64" s="47">
        <v>0</v>
      </c>
      <c r="E64" s="19">
        <v>0</v>
      </c>
      <c r="F64" s="3"/>
      <c r="G64" s="47">
        <v>0</v>
      </c>
      <c r="H64" s="47">
        <v>0</v>
      </c>
      <c r="I64" s="19"/>
      <c r="J64" s="3"/>
      <c r="K64" s="47">
        <v>0</v>
      </c>
      <c r="L64" s="47">
        <v>0</v>
      </c>
      <c r="M64" s="19">
        <v>0</v>
      </c>
      <c r="N64" s="3"/>
      <c r="O64" s="47">
        <v>0</v>
      </c>
      <c r="P64" s="47">
        <v>0</v>
      </c>
      <c r="Q64" s="19">
        <v>0</v>
      </c>
      <c r="R64" s="3"/>
      <c r="S64" s="47">
        <v>0</v>
      </c>
      <c r="T64" s="47">
        <v>0</v>
      </c>
      <c r="U64" s="19">
        <v>0</v>
      </c>
      <c r="V64" s="29">
        <f t="shared" ref="V64:V69" si="3">(E64+I64+M64+Q64+U64)</f>
        <v>0</v>
      </c>
      <c r="W64" s="3"/>
      <c r="X64" s="47"/>
      <c r="Y64" s="47"/>
      <c r="Z64" s="19"/>
      <c r="AA64" s="29">
        <f t="shared" si="2"/>
        <v>0</v>
      </c>
    </row>
    <row r="65" spans="2:28" s="1" customFormat="1" ht="15.75">
      <c r="B65" s="137" t="s">
        <v>31</v>
      </c>
      <c r="C65" s="47">
        <v>0.35416666666666669</v>
      </c>
      <c r="D65" s="47">
        <v>0.64583333333333337</v>
      </c>
      <c r="E65" s="19">
        <v>6</v>
      </c>
      <c r="F65" s="3"/>
      <c r="G65" s="47">
        <v>0.35416666666666669</v>
      </c>
      <c r="H65" s="47">
        <v>0.64583333333333337</v>
      </c>
      <c r="I65" s="19">
        <v>6</v>
      </c>
      <c r="J65" s="3"/>
      <c r="K65" s="47">
        <v>0.35416666666666669</v>
      </c>
      <c r="L65" s="47">
        <v>0.64583333333333337</v>
      </c>
      <c r="M65" s="19">
        <v>6</v>
      </c>
      <c r="N65" s="3"/>
      <c r="O65" s="47">
        <v>0.35416666666666669</v>
      </c>
      <c r="P65" s="47">
        <v>0.64583333333333337</v>
      </c>
      <c r="Q65" s="19">
        <v>6</v>
      </c>
      <c r="R65" s="3"/>
      <c r="S65" s="47">
        <v>0.35416666666666669</v>
      </c>
      <c r="T65" s="47">
        <v>0.64583333333333337</v>
      </c>
      <c r="U65" s="19">
        <v>6</v>
      </c>
      <c r="V65" s="29">
        <f t="shared" si="3"/>
        <v>30</v>
      </c>
      <c r="W65" s="3"/>
      <c r="X65" s="47"/>
      <c r="Y65" s="47"/>
      <c r="Z65" s="19"/>
      <c r="AA65" s="29">
        <f t="shared" si="2"/>
        <v>0</v>
      </c>
    </row>
    <row r="66" spans="2:28" s="1" customFormat="1" ht="15.75">
      <c r="B66" s="139"/>
      <c r="C66" s="4"/>
      <c r="D66" s="4"/>
      <c r="E66" s="19"/>
      <c r="F66" s="3"/>
      <c r="G66" s="47"/>
      <c r="H66" s="47"/>
      <c r="I66" s="19"/>
      <c r="J66" s="3"/>
      <c r="K66" s="47"/>
      <c r="L66" s="47"/>
      <c r="M66" s="19"/>
      <c r="N66" s="3"/>
      <c r="O66" s="47"/>
      <c r="P66" s="47"/>
      <c r="Q66" s="19"/>
      <c r="R66" s="3"/>
      <c r="S66" s="47"/>
      <c r="T66" s="47"/>
      <c r="U66" s="19"/>
      <c r="V66" s="29">
        <f t="shared" si="3"/>
        <v>0</v>
      </c>
      <c r="W66" s="3"/>
      <c r="X66" s="4"/>
      <c r="Y66" s="4"/>
      <c r="Z66" s="19"/>
      <c r="AA66" s="29">
        <f t="shared" si="2"/>
        <v>0</v>
      </c>
    </row>
    <row r="67" spans="2:28" s="1" customFormat="1" ht="14.25">
      <c r="B67" s="13"/>
      <c r="C67" s="47"/>
      <c r="D67" s="47"/>
      <c r="E67" s="19"/>
      <c r="F67" s="3"/>
      <c r="G67" s="4"/>
      <c r="H67" s="4"/>
      <c r="I67" s="19"/>
      <c r="J67" s="3"/>
      <c r="K67" s="47"/>
      <c r="L67" s="47"/>
      <c r="M67" s="19"/>
      <c r="N67" s="3"/>
      <c r="O67" s="47"/>
      <c r="P67" s="47"/>
      <c r="Q67" s="19"/>
      <c r="R67" s="3"/>
      <c r="S67" s="47"/>
      <c r="T67" s="47"/>
      <c r="U67" s="19"/>
      <c r="V67" s="29">
        <f>(E67+I67+M67+Q67+U67)</f>
        <v>0</v>
      </c>
      <c r="W67" s="3"/>
      <c r="X67" s="4"/>
      <c r="Y67" s="4"/>
      <c r="Z67" s="19"/>
      <c r="AA67" s="29">
        <f t="shared" si="2"/>
        <v>0</v>
      </c>
    </row>
    <row r="68" spans="2:28" s="1" customFormat="1" ht="14.25">
      <c r="B68" s="13"/>
      <c r="C68" s="47"/>
      <c r="D68" s="47"/>
      <c r="E68" s="19"/>
      <c r="F68" s="3"/>
      <c r="G68" s="4"/>
      <c r="H68" s="4"/>
      <c r="I68" s="19"/>
      <c r="J68" s="3"/>
      <c r="K68" s="4"/>
      <c r="L68" s="4"/>
      <c r="M68" s="19"/>
      <c r="N68" s="3"/>
      <c r="O68" s="4"/>
      <c r="P68" s="4"/>
      <c r="Q68" s="19"/>
      <c r="R68" s="3"/>
      <c r="S68" s="47"/>
      <c r="T68" s="47"/>
      <c r="U68" s="19"/>
      <c r="V68" s="29">
        <f>(E68+I68+M68+Q68+U68)</f>
        <v>0</v>
      </c>
      <c r="W68" s="3"/>
      <c r="X68" s="4"/>
      <c r="Y68" s="4"/>
      <c r="Z68" s="19"/>
      <c r="AA68" s="29">
        <f t="shared" si="2"/>
        <v>0</v>
      </c>
    </row>
    <row r="69" spans="2:28" s="1" customFormat="1" ht="14.25">
      <c r="B69" s="13"/>
      <c r="C69" s="4"/>
      <c r="D69" s="4"/>
      <c r="E69" s="19"/>
      <c r="F69" s="3"/>
      <c r="G69" s="47"/>
      <c r="H69" s="47"/>
      <c r="I69" s="19"/>
      <c r="J69" s="3"/>
      <c r="K69" s="4"/>
      <c r="L69" s="4"/>
      <c r="M69" s="19"/>
      <c r="N69" s="3"/>
      <c r="O69" s="4"/>
      <c r="P69" s="4"/>
      <c r="Q69" s="19"/>
      <c r="R69" s="3"/>
      <c r="S69" s="4"/>
      <c r="T69" s="4"/>
      <c r="U69" s="19"/>
      <c r="V69" s="29">
        <f t="shared" si="3"/>
        <v>0</v>
      </c>
      <c r="W69" s="3"/>
      <c r="X69" s="47"/>
      <c r="Y69" s="47"/>
      <c r="Z69" s="19"/>
      <c r="AA69" s="29">
        <f t="shared" si="2"/>
        <v>0</v>
      </c>
    </row>
    <row r="70" spans="2:28" s="1" customFormat="1">
      <c r="B70" s="64" t="s">
        <v>61</v>
      </c>
      <c r="C70" s="64"/>
      <c r="D70" s="64"/>
      <c r="E70" s="64">
        <f>SUM(E62:E69)</f>
        <v>18</v>
      </c>
      <c r="F70" s="64"/>
      <c r="G70" s="64"/>
      <c r="H70" s="64"/>
      <c r="I70" s="64">
        <f>SUM(I62:I69)</f>
        <v>18</v>
      </c>
      <c r="J70" s="64"/>
      <c r="K70" s="64"/>
      <c r="L70" s="64"/>
      <c r="M70" s="64">
        <f>SUM(M62:M69)</f>
        <v>18</v>
      </c>
      <c r="N70" s="64"/>
      <c r="O70" s="64"/>
      <c r="P70" s="64"/>
      <c r="Q70" s="64">
        <f>SUM(Q62:Q69)</f>
        <v>18</v>
      </c>
      <c r="R70" s="64"/>
      <c r="S70" s="64"/>
      <c r="T70" s="64"/>
      <c r="U70" s="64">
        <f>SUM(U62:U69)</f>
        <v>18</v>
      </c>
      <c r="V70" s="55">
        <f>SUM(E70:U70)</f>
        <v>90</v>
      </c>
      <c r="W70" s="3"/>
      <c r="X70" s="64"/>
      <c r="Y70" s="64"/>
      <c r="Z70" s="64">
        <f>SUM(Z62:Z69)</f>
        <v>0</v>
      </c>
      <c r="AA70" s="55">
        <f>SUM(AA62:AA69)</f>
        <v>0</v>
      </c>
    </row>
    <row r="71" spans="2:28" s="1" customFormat="1">
      <c r="B71" s="31" t="s">
        <v>193</v>
      </c>
      <c r="C71" s="56"/>
      <c r="D71" s="57"/>
      <c r="E71" s="19"/>
      <c r="F71" s="59"/>
      <c r="G71" s="57"/>
      <c r="H71" s="57"/>
      <c r="I71" s="19"/>
      <c r="J71" s="59"/>
      <c r="K71" s="57"/>
      <c r="L71" s="57"/>
      <c r="M71" s="19"/>
      <c r="N71" s="59"/>
      <c r="O71" s="57"/>
      <c r="P71" s="57"/>
      <c r="Q71" s="19"/>
      <c r="R71" s="59"/>
      <c r="S71" s="57"/>
      <c r="T71" s="57"/>
      <c r="U71" s="19"/>
      <c r="V71" s="28">
        <f>SUM(E71:U71)</f>
        <v>0</v>
      </c>
      <c r="W71" s="3"/>
      <c r="X71" s="56"/>
      <c r="Y71" s="56"/>
      <c r="Z71" s="19"/>
      <c r="AA71" s="29">
        <f>Z71</f>
        <v>0</v>
      </c>
    </row>
    <row r="72" spans="2:28" s="1" customFormat="1">
      <c r="B72" s="74" t="s">
        <v>194</v>
      </c>
      <c r="C72" s="75"/>
      <c r="D72" s="76"/>
      <c r="E72" s="77"/>
      <c r="F72" s="78"/>
      <c r="G72" s="76"/>
      <c r="H72" s="76"/>
      <c r="I72" s="77"/>
      <c r="J72" s="78"/>
      <c r="K72" s="76"/>
      <c r="L72" s="76"/>
      <c r="M72" s="77"/>
      <c r="N72" s="78"/>
      <c r="O72" s="76"/>
      <c r="P72" s="76"/>
      <c r="Q72" s="77"/>
      <c r="R72" s="78"/>
      <c r="S72" s="76"/>
      <c r="T72" s="76"/>
      <c r="U72" s="77"/>
      <c r="V72" s="80"/>
      <c r="W72" s="3"/>
      <c r="X72" s="75"/>
      <c r="Y72" s="75"/>
      <c r="Z72" s="77"/>
      <c r="AA72" s="80"/>
      <c r="AB72" s="103" t="s">
        <v>195</v>
      </c>
    </row>
    <row r="73" spans="2:28" s="1" customFormat="1">
      <c r="B73" s="71" t="s">
        <v>66</v>
      </c>
      <c r="C73" s="68"/>
      <c r="D73" s="68"/>
      <c r="E73" s="69">
        <f>SUM(E71:E72)</f>
        <v>0</v>
      </c>
      <c r="F73" s="69"/>
      <c r="G73" s="69"/>
      <c r="H73" s="69"/>
      <c r="I73" s="69">
        <f>SUM(I71:I72)</f>
        <v>0</v>
      </c>
      <c r="J73" s="69"/>
      <c r="K73" s="69"/>
      <c r="L73" s="69"/>
      <c r="M73" s="69">
        <f>SUM(M71:M72)</f>
        <v>0</v>
      </c>
      <c r="N73" s="69"/>
      <c r="O73" s="69"/>
      <c r="P73" s="69"/>
      <c r="Q73" s="69">
        <f>SUM(Q71:Q72)</f>
        <v>0</v>
      </c>
      <c r="R73" s="69"/>
      <c r="S73" s="69"/>
      <c r="T73" s="69"/>
      <c r="U73" s="66">
        <f>SUM(U71:U72)</f>
        <v>0</v>
      </c>
      <c r="V73" s="70">
        <f>SUM(V71:V72)</f>
        <v>0</v>
      </c>
      <c r="W73" s="3"/>
      <c r="AA73" s="53">
        <f>SUM(AA71:AA72)</f>
        <v>0</v>
      </c>
      <c r="AB73" s="103"/>
    </row>
    <row r="74" spans="2:28" s="1" customFormat="1">
      <c r="B74" s="71"/>
      <c r="C74" s="68"/>
      <c r="D74" s="68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6"/>
      <c r="V74" s="70"/>
      <c r="W74" s="3"/>
    </row>
    <row r="75" spans="2:28" s="1" customFormat="1" ht="13.35" customHeight="1">
      <c r="B75" s="1518" t="s">
        <v>18</v>
      </c>
      <c r="C75" s="1524">
        <v>45096</v>
      </c>
      <c r="D75" s="1524"/>
      <c r="E75" s="1524"/>
      <c r="F75" s="22"/>
      <c r="G75" s="1524">
        <v>45097</v>
      </c>
      <c r="H75" s="1524"/>
      <c r="I75" s="1524"/>
      <c r="J75" s="22"/>
      <c r="K75" s="1524">
        <v>45098</v>
      </c>
      <c r="L75" s="1524"/>
      <c r="M75" s="1524"/>
      <c r="N75" s="22"/>
      <c r="O75" s="1524">
        <v>45099</v>
      </c>
      <c r="P75" s="1524"/>
      <c r="Q75" s="1524"/>
      <c r="R75" s="22"/>
      <c r="S75" s="1524">
        <v>45100</v>
      </c>
      <c r="T75" s="1524"/>
      <c r="U75" s="1524"/>
      <c r="V75" s="1517" t="s">
        <v>19</v>
      </c>
      <c r="W75" s="3"/>
      <c r="X75" s="1524">
        <v>45101</v>
      </c>
      <c r="Y75" s="1524"/>
      <c r="Z75" s="1524"/>
      <c r="AA75" s="1517" t="s">
        <v>21</v>
      </c>
    </row>
    <row r="76" spans="2:28" s="1" customFormat="1">
      <c r="B76" s="1518"/>
      <c r="C76" s="21" t="s">
        <v>23</v>
      </c>
      <c r="D76" s="21" t="s">
        <v>24</v>
      </c>
      <c r="E76" s="18" t="s">
        <v>25</v>
      </c>
      <c r="F76" s="3"/>
      <c r="G76" s="21" t="s">
        <v>23</v>
      </c>
      <c r="H76" s="21" t="s">
        <v>24</v>
      </c>
      <c r="I76" s="18" t="s">
        <v>25</v>
      </c>
      <c r="J76" s="3"/>
      <c r="K76" s="21" t="s">
        <v>23</v>
      </c>
      <c r="L76" s="21" t="s">
        <v>24</v>
      </c>
      <c r="M76" s="18" t="s">
        <v>25</v>
      </c>
      <c r="N76" s="3"/>
      <c r="O76" s="21" t="s">
        <v>23</v>
      </c>
      <c r="P76" s="21" t="s">
        <v>24</v>
      </c>
      <c r="Q76" s="18" t="s">
        <v>25</v>
      </c>
      <c r="R76" s="3"/>
      <c r="S76" s="21" t="s">
        <v>23</v>
      </c>
      <c r="T76" s="21" t="s">
        <v>24</v>
      </c>
      <c r="U76" s="18" t="s">
        <v>25</v>
      </c>
      <c r="V76" s="1523"/>
      <c r="W76" s="3"/>
      <c r="X76" s="21" t="s">
        <v>23</v>
      </c>
      <c r="Y76" s="21" t="s">
        <v>24</v>
      </c>
      <c r="Z76" s="18" t="s">
        <v>25</v>
      </c>
      <c r="AA76" s="1523"/>
    </row>
    <row r="77" spans="2:28" s="1" customFormat="1" ht="15.75">
      <c r="B77" s="136" t="s">
        <v>147</v>
      </c>
      <c r="C77" s="61"/>
      <c r="D77" s="47"/>
      <c r="E77" s="19">
        <v>4</v>
      </c>
      <c r="F77" s="3"/>
      <c r="G77" s="47"/>
      <c r="H77" s="47"/>
      <c r="I77" s="19">
        <v>4</v>
      </c>
      <c r="J77" s="3"/>
      <c r="K77" s="47"/>
      <c r="L77" s="47"/>
      <c r="M77" s="19">
        <v>3</v>
      </c>
      <c r="N77" s="3"/>
      <c r="O77" s="47"/>
      <c r="P77" s="47"/>
      <c r="Q77" s="19">
        <v>2</v>
      </c>
      <c r="R77" s="3"/>
      <c r="S77" s="47"/>
      <c r="T77" s="47"/>
      <c r="U77" s="19">
        <v>4</v>
      </c>
      <c r="V77" s="29">
        <f t="shared" ref="V77:V84" si="4">(E77+I77+M77+Q77+U77)</f>
        <v>17</v>
      </c>
      <c r="W77" s="3"/>
      <c r="X77" s="4"/>
      <c r="Y77" s="4"/>
      <c r="Z77" s="19"/>
      <c r="AA77" s="29">
        <f t="shared" ref="AA77:AA84" si="5">Z77</f>
        <v>0</v>
      </c>
    </row>
    <row r="78" spans="2:28" s="1" customFormat="1" ht="15.75">
      <c r="B78" s="137" t="s">
        <v>146</v>
      </c>
      <c r="C78" s="47"/>
      <c r="D78" s="47"/>
      <c r="E78" s="19">
        <v>5</v>
      </c>
      <c r="F78" s="3"/>
      <c r="G78" s="47"/>
      <c r="H78" s="47"/>
      <c r="I78" s="19">
        <v>5</v>
      </c>
      <c r="J78" s="3"/>
      <c r="K78" s="4"/>
      <c r="L78" s="4"/>
      <c r="M78" s="19">
        <v>4</v>
      </c>
      <c r="N78" s="3"/>
      <c r="O78" s="47"/>
      <c r="P78" s="47"/>
      <c r="Q78" s="19">
        <v>4</v>
      </c>
      <c r="R78" s="3"/>
      <c r="S78" s="47"/>
      <c r="T78" s="47"/>
      <c r="U78" s="19">
        <v>5</v>
      </c>
      <c r="V78" s="29">
        <f t="shared" si="4"/>
        <v>23</v>
      </c>
      <c r="W78" s="3"/>
      <c r="X78" s="4"/>
      <c r="Y78" s="4"/>
      <c r="Z78" s="19"/>
      <c r="AA78" s="29">
        <f t="shared" si="5"/>
        <v>0</v>
      </c>
    </row>
    <row r="79" spans="2:28" s="1" customFormat="1" ht="15.75">
      <c r="B79" s="137" t="s">
        <v>39</v>
      </c>
      <c r="C79" s="61"/>
      <c r="D79" s="47"/>
      <c r="E79" s="19">
        <v>5</v>
      </c>
      <c r="F79" s="3"/>
      <c r="G79" s="47"/>
      <c r="H79" s="47"/>
      <c r="I79" s="19">
        <v>2</v>
      </c>
      <c r="J79" s="3"/>
      <c r="K79" s="47"/>
      <c r="L79" s="47"/>
      <c r="M79" s="19">
        <v>5</v>
      </c>
      <c r="N79" s="3"/>
      <c r="O79" s="47"/>
      <c r="P79" s="47"/>
      <c r="Q79" s="19">
        <v>5</v>
      </c>
      <c r="R79" s="3"/>
      <c r="S79" s="47"/>
      <c r="T79" s="47"/>
      <c r="U79" s="19">
        <v>3</v>
      </c>
      <c r="V79" s="29">
        <f t="shared" si="4"/>
        <v>20</v>
      </c>
      <c r="W79" s="3"/>
      <c r="X79" s="47"/>
      <c r="Y79" s="47"/>
      <c r="Z79" s="19"/>
      <c r="AA79" s="29">
        <f t="shared" si="5"/>
        <v>0</v>
      </c>
    </row>
    <row r="80" spans="2:28" s="1" customFormat="1" ht="15.75">
      <c r="B80" s="137" t="s">
        <v>31</v>
      </c>
      <c r="C80" s="47"/>
      <c r="D80" s="47"/>
      <c r="E80" s="19">
        <v>5</v>
      </c>
      <c r="F80" s="3"/>
      <c r="G80" s="47"/>
      <c r="H80" s="47"/>
      <c r="I80" s="19">
        <v>5</v>
      </c>
      <c r="J80" s="3"/>
      <c r="K80" s="47"/>
      <c r="L80" s="47"/>
      <c r="M80" s="19">
        <v>5</v>
      </c>
      <c r="N80" s="3"/>
      <c r="O80" s="47"/>
      <c r="P80" s="47"/>
      <c r="Q80" s="19">
        <v>4</v>
      </c>
      <c r="R80" s="3"/>
      <c r="S80" s="47"/>
      <c r="T80" s="47"/>
      <c r="U80" s="19">
        <v>4</v>
      </c>
      <c r="V80" s="29">
        <f t="shared" si="4"/>
        <v>23</v>
      </c>
      <c r="W80" s="3"/>
      <c r="X80" s="47"/>
      <c r="Y80" s="47"/>
      <c r="Z80" s="19"/>
      <c r="AA80" s="29">
        <f t="shared" si="5"/>
        <v>0</v>
      </c>
    </row>
    <row r="81" spans="2:28" s="1" customFormat="1" ht="16.5">
      <c r="B81" s="140" t="s">
        <v>53</v>
      </c>
      <c r="C81" s="61"/>
      <c r="D81" s="47"/>
      <c r="E81" s="19">
        <v>5</v>
      </c>
      <c r="F81" s="3"/>
      <c r="G81" s="47"/>
      <c r="H81" s="47"/>
      <c r="I81" s="19">
        <v>6</v>
      </c>
      <c r="J81" s="3"/>
      <c r="K81" s="47"/>
      <c r="L81" s="47"/>
      <c r="M81" s="19">
        <v>2</v>
      </c>
      <c r="N81" s="3"/>
      <c r="O81" s="47"/>
      <c r="P81" s="47"/>
      <c r="Q81" s="19">
        <v>5</v>
      </c>
      <c r="R81" s="3"/>
      <c r="S81" s="47"/>
      <c r="T81" s="47"/>
      <c r="U81" s="19">
        <v>4</v>
      </c>
      <c r="V81" s="29">
        <f t="shared" si="4"/>
        <v>22</v>
      </c>
      <c r="W81" s="3"/>
      <c r="X81" s="4"/>
      <c r="Y81" s="4"/>
      <c r="Z81" s="19"/>
      <c r="AA81" s="29">
        <f t="shared" si="5"/>
        <v>0</v>
      </c>
    </row>
    <row r="82" spans="2:28" s="1" customFormat="1" ht="14.25">
      <c r="B82" s="13"/>
      <c r="C82" s="4"/>
      <c r="D82" s="4"/>
      <c r="E82" s="19"/>
      <c r="F82" s="3"/>
      <c r="G82" s="47"/>
      <c r="H82" s="47"/>
      <c r="I82" s="19"/>
      <c r="J82" s="3"/>
      <c r="K82" s="47"/>
      <c r="L82" s="47"/>
      <c r="M82" s="19"/>
      <c r="N82" s="3"/>
      <c r="O82" s="47"/>
      <c r="P82" s="47"/>
      <c r="Q82" s="19"/>
      <c r="R82" s="3"/>
      <c r="S82" s="47"/>
      <c r="T82" s="47"/>
      <c r="U82" s="19"/>
      <c r="V82" s="29">
        <f t="shared" si="4"/>
        <v>0</v>
      </c>
      <c r="W82" s="3"/>
      <c r="X82" s="4"/>
      <c r="Y82" s="4"/>
      <c r="Z82" s="19"/>
      <c r="AA82" s="29">
        <f t="shared" si="5"/>
        <v>0</v>
      </c>
    </row>
    <row r="83" spans="2:28" s="1" customFormat="1" ht="14.25">
      <c r="B83" s="13"/>
      <c r="C83" s="61"/>
      <c r="D83" s="47"/>
      <c r="E83" s="19"/>
      <c r="F83" s="3"/>
      <c r="G83" s="4"/>
      <c r="H83" s="4"/>
      <c r="I83" s="19"/>
      <c r="J83" s="3"/>
      <c r="K83" s="4"/>
      <c r="L83" s="4"/>
      <c r="M83" s="19"/>
      <c r="N83" s="3"/>
      <c r="O83" s="4"/>
      <c r="P83" s="4"/>
      <c r="Q83" s="19"/>
      <c r="R83" s="3"/>
      <c r="S83" s="4"/>
      <c r="T83" s="4">
        <v>0</v>
      </c>
      <c r="U83" s="19"/>
      <c r="V83" s="29">
        <f t="shared" si="4"/>
        <v>0</v>
      </c>
      <c r="W83" s="3"/>
      <c r="X83" s="4"/>
      <c r="Y83" s="4"/>
      <c r="Z83" s="19"/>
      <c r="AA83" s="29">
        <f t="shared" si="5"/>
        <v>0</v>
      </c>
    </row>
    <row r="84" spans="2:28" s="1" customFormat="1" ht="14.25">
      <c r="B84" s="13"/>
      <c r="C84" s="4"/>
      <c r="D84" s="4"/>
      <c r="E84" s="19"/>
      <c r="F84" s="3"/>
      <c r="G84" s="4"/>
      <c r="H84" s="4"/>
      <c r="I84" s="19"/>
      <c r="J84" s="3"/>
      <c r="K84" s="4"/>
      <c r="L84" s="4"/>
      <c r="M84" s="19"/>
      <c r="N84" s="3"/>
      <c r="O84" s="4"/>
      <c r="P84" s="4"/>
      <c r="Q84" s="19"/>
      <c r="R84" s="3"/>
      <c r="S84" s="4"/>
      <c r="T84" s="4"/>
      <c r="U84" s="19"/>
      <c r="V84" s="29">
        <f t="shared" si="4"/>
        <v>0</v>
      </c>
      <c r="W84" s="3"/>
      <c r="X84" s="47"/>
      <c r="Y84" s="47"/>
      <c r="Z84" s="19"/>
      <c r="AA84" s="29">
        <f t="shared" si="5"/>
        <v>0</v>
      </c>
    </row>
    <row r="85" spans="2:28" s="1" customFormat="1" ht="14.25">
      <c r="B85" s="13"/>
      <c r="C85" s="4"/>
      <c r="D85" s="4"/>
      <c r="E85" s="19"/>
      <c r="F85" s="3"/>
      <c r="G85" s="4"/>
      <c r="H85" s="4"/>
      <c r="I85" s="19"/>
      <c r="J85" s="3"/>
      <c r="K85" s="47"/>
      <c r="L85" s="47"/>
      <c r="M85" s="19"/>
      <c r="N85" s="3"/>
      <c r="O85" s="47"/>
      <c r="P85" s="47"/>
      <c r="Q85" s="19"/>
      <c r="R85" s="3"/>
      <c r="S85" s="47"/>
      <c r="T85" s="47"/>
      <c r="U85" s="19"/>
      <c r="V85" s="29">
        <f>(E85+I85+M85+Q85+U85)</f>
        <v>0</v>
      </c>
      <c r="W85" s="3"/>
      <c r="X85" s="47"/>
      <c r="Y85" s="47"/>
      <c r="Z85" s="19"/>
      <c r="AA85" s="29">
        <f>Z85</f>
        <v>0</v>
      </c>
    </row>
    <row r="86" spans="2:28" s="1" customFormat="1">
      <c r="B86" s="64" t="s">
        <v>61</v>
      </c>
      <c r="C86" s="64"/>
      <c r="D86" s="64"/>
      <c r="E86" s="64">
        <f>SUM(E77:E85)</f>
        <v>24</v>
      </c>
      <c r="F86" s="64"/>
      <c r="G86" s="64"/>
      <c r="H86" s="64"/>
      <c r="I86" s="64">
        <f>SUM(I77:I85)</f>
        <v>22</v>
      </c>
      <c r="J86" s="64"/>
      <c r="K86" s="64"/>
      <c r="L86" s="64"/>
      <c r="M86" s="64">
        <f>SUM(M77:M85)</f>
        <v>19</v>
      </c>
      <c r="N86" s="64"/>
      <c r="O86" s="64"/>
      <c r="P86" s="64"/>
      <c r="Q86" s="64">
        <f>SUM(Q77:Q85)</f>
        <v>20</v>
      </c>
      <c r="R86" s="64"/>
      <c r="S86" s="64"/>
      <c r="T86" s="64"/>
      <c r="U86" s="64">
        <f>SUM(U77:U85)</f>
        <v>20</v>
      </c>
      <c r="V86" s="55">
        <f>SUM(E86:U86)</f>
        <v>105</v>
      </c>
      <c r="W86" s="3"/>
      <c r="X86" s="64"/>
      <c r="Y86" s="64"/>
      <c r="Z86" s="64">
        <f>SUM(Z77:Z84)</f>
        <v>0</v>
      </c>
      <c r="AA86" s="55">
        <f>SUM(AA77:AA84)</f>
        <v>0</v>
      </c>
    </row>
    <row r="87" spans="2:28" s="1" customFormat="1">
      <c r="B87" s="31" t="s">
        <v>193</v>
      </c>
      <c r="C87" s="56"/>
      <c r="D87" s="56"/>
      <c r="E87" s="19"/>
      <c r="F87" s="60"/>
      <c r="G87" s="56"/>
      <c r="H87" s="56"/>
      <c r="I87" s="19"/>
      <c r="J87" s="60"/>
      <c r="K87" s="56"/>
      <c r="L87" s="56"/>
      <c r="M87" s="19"/>
      <c r="N87" s="60"/>
      <c r="O87" s="56"/>
      <c r="P87" s="56"/>
      <c r="Q87" s="19"/>
      <c r="R87" s="60"/>
      <c r="S87" s="56"/>
      <c r="T87" s="56"/>
      <c r="U87" s="19"/>
      <c r="V87" s="28">
        <f>SUM(E87:U87)</f>
        <v>0</v>
      </c>
      <c r="W87" s="3"/>
      <c r="X87" s="56"/>
      <c r="Y87" s="56"/>
      <c r="Z87" s="19"/>
      <c r="AA87" s="29">
        <f>Z87</f>
        <v>0</v>
      </c>
    </row>
    <row r="88" spans="2:28" s="1" customFormat="1">
      <c r="B88" s="74" t="s">
        <v>194</v>
      </c>
      <c r="C88" s="75"/>
      <c r="D88" s="75"/>
      <c r="E88" s="77"/>
      <c r="F88" s="81"/>
      <c r="G88" s="75"/>
      <c r="H88" s="75"/>
      <c r="I88" s="77"/>
      <c r="J88" s="81"/>
      <c r="K88" s="75"/>
      <c r="L88" s="75"/>
      <c r="M88" s="77"/>
      <c r="N88" s="81"/>
      <c r="O88" s="75"/>
      <c r="P88" s="75"/>
      <c r="Q88" s="77"/>
      <c r="R88" s="81"/>
      <c r="S88" s="75"/>
      <c r="T88" s="75"/>
      <c r="U88" s="77"/>
      <c r="V88" s="80">
        <f>SUM(E88:U88)</f>
        <v>0</v>
      </c>
      <c r="W88" s="3"/>
      <c r="X88" s="75"/>
      <c r="Y88" s="75"/>
      <c r="Z88" s="77"/>
      <c r="AA88" s="80"/>
      <c r="AB88" s="103" t="s">
        <v>195</v>
      </c>
    </row>
    <row r="89" spans="2:28" s="1" customFormat="1">
      <c r="B89" s="71" t="s">
        <v>66</v>
      </c>
      <c r="C89" s="68"/>
      <c r="D89" s="68"/>
      <c r="E89" s="71">
        <f>SUM(E87:E88)</f>
        <v>0</v>
      </c>
      <c r="F89" s="72"/>
      <c r="G89" s="68"/>
      <c r="H89" s="68"/>
      <c r="I89" s="71">
        <f>SUM(I87:I88)</f>
        <v>0</v>
      </c>
      <c r="J89" s="72"/>
      <c r="K89" s="68"/>
      <c r="L89" s="68"/>
      <c r="M89" s="71">
        <f>SUM(M87:M88)</f>
        <v>0</v>
      </c>
      <c r="N89" s="72"/>
      <c r="O89" s="68"/>
      <c r="P89" s="68"/>
      <c r="Q89" s="71">
        <f>SUM(Q87:Q88)</f>
        <v>0</v>
      </c>
      <c r="R89" s="72"/>
      <c r="S89" s="68"/>
      <c r="T89" s="68"/>
      <c r="U89" s="66">
        <f>SUM(U87:U88)</f>
        <v>0</v>
      </c>
      <c r="V89" s="73">
        <f>SUM(V87:V88)</f>
        <v>0</v>
      </c>
      <c r="W89" s="3"/>
      <c r="AA89" s="53">
        <f>SUM(AA87:AA88)</f>
        <v>0</v>
      </c>
      <c r="AB89" s="103"/>
    </row>
    <row r="90" spans="2:28" s="1" customFormat="1">
      <c r="E90" s="3"/>
      <c r="F90" s="3"/>
      <c r="I90" s="3"/>
      <c r="J90" s="3"/>
      <c r="M90" s="3"/>
      <c r="N90" s="3"/>
      <c r="Q90" s="3"/>
      <c r="R90" s="3"/>
      <c r="U90" s="3"/>
      <c r="V90" s="3"/>
      <c r="W90" s="3"/>
    </row>
    <row r="91" spans="2:28" s="1" customFormat="1" ht="13.35" customHeight="1">
      <c r="B91" s="1518" t="s">
        <v>18</v>
      </c>
      <c r="C91" s="1524">
        <v>45103</v>
      </c>
      <c r="D91" s="1524"/>
      <c r="E91" s="1524"/>
      <c r="F91" s="22"/>
      <c r="G91" s="1524">
        <v>45104</v>
      </c>
      <c r="H91" s="1524"/>
      <c r="I91" s="1524"/>
      <c r="J91" s="22"/>
      <c r="K91" s="1524">
        <v>45105</v>
      </c>
      <c r="L91" s="1524"/>
      <c r="M91" s="1524"/>
      <c r="N91" s="22"/>
      <c r="O91" s="1524">
        <v>45106</v>
      </c>
      <c r="P91" s="1524"/>
      <c r="Q91" s="1524"/>
      <c r="R91" s="22"/>
      <c r="S91" s="1524">
        <v>45107</v>
      </c>
      <c r="T91" s="1524"/>
      <c r="U91" s="1524"/>
      <c r="V91" s="1517" t="s">
        <v>19</v>
      </c>
      <c r="W91" s="3"/>
      <c r="X91" s="1524">
        <v>45108</v>
      </c>
      <c r="Y91" s="1524"/>
      <c r="Z91" s="1524"/>
      <c r="AA91" s="1517" t="s">
        <v>21</v>
      </c>
    </row>
    <row r="92" spans="2:28" s="1" customFormat="1">
      <c r="B92" s="1518"/>
      <c r="C92" s="21" t="s">
        <v>23</v>
      </c>
      <c r="D92" s="21" t="s">
        <v>24</v>
      </c>
      <c r="E92" s="18" t="s">
        <v>25</v>
      </c>
      <c r="F92" s="3"/>
      <c r="G92" s="21" t="s">
        <v>23</v>
      </c>
      <c r="H92" s="21" t="s">
        <v>24</v>
      </c>
      <c r="I92" s="18" t="s">
        <v>25</v>
      </c>
      <c r="J92" s="3"/>
      <c r="K92" s="21" t="s">
        <v>23</v>
      </c>
      <c r="L92" s="21" t="s">
        <v>24</v>
      </c>
      <c r="M92" s="18" t="s">
        <v>25</v>
      </c>
      <c r="N92" s="3"/>
      <c r="O92" s="21" t="s">
        <v>23</v>
      </c>
      <c r="P92" s="21" t="s">
        <v>24</v>
      </c>
      <c r="Q92" s="18" t="s">
        <v>25</v>
      </c>
      <c r="R92" s="3"/>
      <c r="S92" s="21" t="s">
        <v>23</v>
      </c>
      <c r="T92" s="21" t="s">
        <v>24</v>
      </c>
      <c r="U92" s="18" t="s">
        <v>25</v>
      </c>
      <c r="V92" s="1523"/>
      <c r="W92" s="3"/>
      <c r="X92" s="21" t="s">
        <v>23</v>
      </c>
      <c r="Y92" s="21" t="s">
        <v>24</v>
      </c>
      <c r="Z92" s="18" t="s">
        <v>25</v>
      </c>
      <c r="AA92" s="1523"/>
    </row>
    <row r="93" spans="2:28" s="1" customFormat="1" ht="15.75">
      <c r="B93" s="136" t="s">
        <v>147</v>
      </c>
      <c r="C93" s="4">
        <v>0</v>
      </c>
      <c r="D93" s="4">
        <v>0</v>
      </c>
      <c r="E93" s="19">
        <v>0</v>
      </c>
      <c r="F93" s="3"/>
      <c r="G93" s="47"/>
      <c r="H93" s="47"/>
      <c r="I93" s="19">
        <v>0</v>
      </c>
      <c r="J93" s="3"/>
      <c r="K93" s="47"/>
      <c r="L93" s="47"/>
      <c r="M93" s="19">
        <v>0</v>
      </c>
      <c r="N93" s="3"/>
      <c r="O93" s="47"/>
      <c r="P93" s="47"/>
      <c r="Q93" s="19">
        <v>0</v>
      </c>
      <c r="R93" s="3"/>
      <c r="S93" s="47"/>
      <c r="T93" s="47"/>
      <c r="U93" s="19">
        <v>0</v>
      </c>
      <c r="V93" s="29">
        <f t="shared" ref="V93:V104" si="6">(E93+I93+M93+Q93+U93)</f>
        <v>0</v>
      </c>
      <c r="W93" s="3"/>
      <c r="X93" s="4"/>
      <c r="Y93" s="4"/>
      <c r="Z93" s="19"/>
      <c r="AA93" s="29">
        <f t="shared" ref="AA93:AA104" si="7">Z93</f>
        <v>0</v>
      </c>
    </row>
    <row r="94" spans="2:28" s="1" customFormat="1" ht="15.75">
      <c r="B94" s="137" t="s">
        <v>146</v>
      </c>
      <c r="C94" s="47"/>
      <c r="D94" s="47"/>
      <c r="E94" s="19">
        <v>3</v>
      </c>
      <c r="F94" s="3"/>
      <c r="G94" s="47"/>
      <c r="H94" s="47"/>
      <c r="I94" s="19">
        <v>4</v>
      </c>
      <c r="J94" s="3"/>
      <c r="K94" s="4"/>
      <c r="L94" s="4"/>
      <c r="M94" s="19">
        <v>3</v>
      </c>
      <c r="N94" s="3"/>
      <c r="O94" s="47"/>
      <c r="P94" s="47"/>
      <c r="Q94" s="19">
        <v>2</v>
      </c>
      <c r="R94" s="3"/>
      <c r="S94" s="47"/>
      <c r="T94" s="47"/>
      <c r="U94" s="19">
        <v>3</v>
      </c>
      <c r="V94" s="29">
        <f t="shared" si="6"/>
        <v>15</v>
      </c>
      <c r="W94" s="3"/>
      <c r="X94" s="4"/>
      <c r="Y94" s="4"/>
      <c r="Z94" s="19"/>
      <c r="AA94" s="29">
        <f t="shared" si="7"/>
        <v>0</v>
      </c>
    </row>
    <row r="95" spans="2:28" s="1" customFormat="1" ht="15.75">
      <c r="B95" s="137" t="s">
        <v>39</v>
      </c>
      <c r="C95" s="61"/>
      <c r="D95" s="47"/>
      <c r="E95" s="19">
        <v>0</v>
      </c>
      <c r="F95" s="3"/>
      <c r="G95" s="47"/>
      <c r="H95" s="47"/>
      <c r="I95" s="19">
        <v>0</v>
      </c>
      <c r="J95" s="3"/>
      <c r="K95" s="47"/>
      <c r="L95" s="47"/>
      <c r="M95" s="19">
        <v>0</v>
      </c>
      <c r="N95" s="3"/>
      <c r="O95" s="47"/>
      <c r="P95" s="47"/>
      <c r="Q95" s="19">
        <v>0</v>
      </c>
      <c r="R95" s="3"/>
      <c r="S95" s="47"/>
      <c r="T95" s="47"/>
      <c r="U95" s="19">
        <v>0</v>
      </c>
      <c r="V95" s="29">
        <f t="shared" si="6"/>
        <v>0</v>
      </c>
      <c r="W95" s="3"/>
      <c r="X95" s="47"/>
      <c r="Y95" s="47"/>
      <c r="Z95" s="19"/>
      <c r="AA95" s="29">
        <f t="shared" si="7"/>
        <v>0</v>
      </c>
    </row>
    <row r="96" spans="2:28" s="1" customFormat="1" ht="16.5">
      <c r="B96" s="140" t="s">
        <v>53</v>
      </c>
      <c r="C96" s="47"/>
      <c r="D96" s="47"/>
      <c r="E96" s="19">
        <v>4</v>
      </c>
      <c r="F96" s="3"/>
      <c r="G96" s="47"/>
      <c r="H96" s="47"/>
      <c r="I96" s="19">
        <v>4</v>
      </c>
      <c r="J96" s="3"/>
      <c r="K96" s="47"/>
      <c r="L96" s="47"/>
      <c r="M96" s="19">
        <v>5</v>
      </c>
      <c r="N96" s="3"/>
      <c r="O96" s="47"/>
      <c r="P96" s="47"/>
      <c r="Q96" s="19">
        <v>5</v>
      </c>
      <c r="R96" s="3"/>
      <c r="S96" s="47"/>
      <c r="T96" s="47"/>
      <c r="U96" s="19"/>
      <c r="V96" s="29">
        <f t="shared" si="6"/>
        <v>18</v>
      </c>
      <c r="W96" s="3"/>
      <c r="X96" s="47"/>
      <c r="Y96" s="47"/>
      <c r="Z96" s="19"/>
      <c r="AA96" s="29">
        <f t="shared" si="7"/>
        <v>0</v>
      </c>
    </row>
    <row r="97" spans="2:28" s="1" customFormat="1" ht="16.5">
      <c r="B97" s="140" t="s">
        <v>42</v>
      </c>
      <c r="C97" s="61"/>
      <c r="D97" s="47"/>
      <c r="E97" s="19">
        <v>3</v>
      </c>
      <c r="F97" s="3"/>
      <c r="G97" s="47"/>
      <c r="H97" s="47"/>
      <c r="I97" s="19">
        <v>3</v>
      </c>
      <c r="J97" s="3"/>
      <c r="K97" s="47"/>
      <c r="L97" s="47"/>
      <c r="M97" s="19">
        <v>3</v>
      </c>
      <c r="N97" s="3"/>
      <c r="O97" s="47"/>
      <c r="P97" s="47"/>
      <c r="Q97" s="19">
        <v>0</v>
      </c>
      <c r="R97" s="3"/>
      <c r="S97" s="47"/>
      <c r="T97" s="47"/>
      <c r="U97" s="19">
        <v>0</v>
      </c>
      <c r="V97" s="29">
        <f t="shared" si="6"/>
        <v>9</v>
      </c>
      <c r="W97" s="3"/>
      <c r="X97" s="4"/>
      <c r="Y97" s="4"/>
      <c r="Z97" s="19"/>
      <c r="AA97" s="29">
        <f t="shared" si="7"/>
        <v>0</v>
      </c>
    </row>
    <row r="98" spans="2:28" s="1" customFormat="1" ht="14.25">
      <c r="B98" s="141" t="s">
        <v>40</v>
      </c>
      <c r="C98" s="61"/>
      <c r="D98" s="47"/>
      <c r="E98" s="19">
        <v>3</v>
      </c>
      <c r="F98" s="3"/>
      <c r="G98" s="47"/>
      <c r="H98" s="47"/>
      <c r="I98" s="19">
        <v>2</v>
      </c>
      <c r="J98" s="3"/>
      <c r="K98" s="47"/>
      <c r="L98" s="47"/>
      <c r="M98" s="19">
        <v>3</v>
      </c>
      <c r="N98" s="3"/>
      <c r="O98" s="47"/>
      <c r="P98" s="47"/>
      <c r="Q98" s="19">
        <v>4</v>
      </c>
      <c r="R98" s="3"/>
      <c r="S98" s="47"/>
      <c r="T98" s="47"/>
      <c r="U98" s="19">
        <v>3</v>
      </c>
      <c r="V98" s="29"/>
      <c r="W98" s="3"/>
      <c r="X98" s="4"/>
      <c r="Y98" s="4"/>
      <c r="Z98" s="19"/>
      <c r="AA98" s="29"/>
    </row>
    <row r="99" spans="2:28" s="1" customFormat="1" ht="16.5">
      <c r="B99" s="140" t="s">
        <v>159</v>
      </c>
      <c r="C99" s="61"/>
      <c r="D99" s="47"/>
      <c r="E99" s="19">
        <v>5</v>
      </c>
      <c r="F99" s="3"/>
      <c r="G99" s="47"/>
      <c r="H99" s="47"/>
      <c r="I99" s="19">
        <v>5</v>
      </c>
      <c r="J99" s="3"/>
      <c r="K99" s="47"/>
      <c r="L99" s="47"/>
      <c r="M99" s="19">
        <v>3</v>
      </c>
      <c r="N99" s="3"/>
      <c r="O99" s="47"/>
      <c r="P99" s="47"/>
      <c r="Q99" s="19">
        <v>5</v>
      </c>
      <c r="R99" s="3"/>
      <c r="S99" s="47"/>
      <c r="T99" s="47"/>
      <c r="U99" s="19">
        <v>5</v>
      </c>
      <c r="V99" s="29"/>
      <c r="W99" s="3"/>
      <c r="X99" s="4"/>
      <c r="Y99" s="4"/>
      <c r="Z99" s="19"/>
      <c r="AA99" s="29"/>
    </row>
    <row r="100" spans="2:28" s="1" customFormat="1" ht="16.5">
      <c r="B100" s="140" t="s">
        <v>160</v>
      </c>
      <c r="C100" s="4"/>
      <c r="D100" s="47"/>
      <c r="E100" s="19">
        <v>0</v>
      </c>
      <c r="F100" s="3"/>
      <c r="G100" s="47"/>
      <c r="H100" s="47"/>
      <c r="I100" s="19">
        <v>0</v>
      </c>
      <c r="J100" s="3"/>
      <c r="K100" s="47"/>
      <c r="L100" s="47"/>
      <c r="M100" s="19">
        <v>0</v>
      </c>
      <c r="N100" s="3"/>
      <c r="O100" s="47"/>
      <c r="P100" s="47"/>
      <c r="Q100" s="19">
        <v>4</v>
      </c>
      <c r="R100" s="3"/>
      <c r="S100" s="47"/>
      <c r="T100" s="47"/>
      <c r="U100" s="19">
        <v>5</v>
      </c>
      <c r="V100" s="29">
        <f t="shared" si="6"/>
        <v>9</v>
      </c>
      <c r="W100" s="3"/>
      <c r="X100" s="4"/>
      <c r="Y100" s="4"/>
      <c r="Z100" s="19"/>
      <c r="AA100" s="29">
        <f t="shared" si="7"/>
        <v>0</v>
      </c>
    </row>
    <row r="101" spans="2:28" s="1" customFormat="1" ht="16.5">
      <c r="B101" s="140" t="s">
        <v>46</v>
      </c>
      <c r="C101" s="61"/>
      <c r="D101" s="47"/>
      <c r="E101" s="19">
        <v>0</v>
      </c>
      <c r="F101" s="3"/>
      <c r="G101" s="4"/>
      <c r="H101" s="4"/>
      <c r="I101" s="19">
        <v>0</v>
      </c>
      <c r="J101" s="3"/>
      <c r="K101" s="4"/>
      <c r="L101" s="4"/>
      <c r="M101" s="19">
        <v>0</v>
      </c>
      <c r="N101" s="3"/>
      <c r="O101" s="4"/>
      <c r="P101" s="4"/>
      <c r="Q101" s="19">
        <v>4</v>
      </c>
      <c r="R101" s="3"/>
      <c r="S101" s="4"/>
      <c r="T101" s="4"/>
      <c r="U101" s="19">
        <v>4</v>
      </c>
      <c r="V101" s="29">
        <f t="shared" si="6"/>
        <v>8</v>
      </c>
      <c r="W101" s="3"/>
      <c r="X101" s="4"/>
      <c r="Y101" s="4"/>
      <c r="Z101" s="19"/>
      <c r="AA101" s="29">
        <f t="shared" si="7"/>
        <v>0</v>
      </c>
    </row>
    <row r="102" spans="2:28" s="1" customFormat="1" ht="14.25">
      <c r="B102" s="141" t="s">
        <v>161</v>
      </c>
      <c r="C102" s="4"/>
      <c r="D102" s="4"/>
      <c r="E102" s="19">
        <v>0</v>
      </c>
      <c r="F102" s="3"/>
      <c r="G102" s="4"/>
      <c r="H102" s="4"/>
      <c r="I102" s="19">
        <v>0</v>
      </c>
      <c r="J102" s="3"/>
      <c r="K102" s="4"/>
      <c r="L102" s="4"/>
      <c r="M102" s="19">
        <v>0</v>
      </c>
      <c r="N102" s="3"/>
      <c r="O102" s="4"/>
      <c r="P102" s="4"/>
      <c r="Q102" s="19">
        <v>4</v>
      </c>
      <c r="R102" s="3"/>
      <c r="S102" s="4"/>
      <c r="T102" s="4"/>
      <c r="U102" s="19">
        <v>4</v>
      </c>
      <c r="V102" s="29">
        <f t="shared" si="6"/>
        <v>8</v>
      </c>
      <c r="W102" s="3"/>
      <c r="X102" s="47"/>
      <c r="Y102" s="47"/>
      <c r="Z102" s="19"/>
      <c r="AA102" s="29">
        <f t="shared" si="7"/>
        <v>0</v>
      </c>
    </row>
    <row r="103" spans="2:28" s="1" customFormat="1" ht="14.25">
      <c r="B103" s="142" t="s">
        <v>43</v>
      </c>
      <c r="C103" s="4"/>
      <c r="D103" s="4"/>
      <c r="E103" s="19">
        <v>0</v>
      </c>
      <c r="F103" s="3"/>
      <c r="G103" s="47"/>
      <c r="H103" s="4"/>
      <c r="I103" s="19">
        <v>0</v>
      </c>
      <c r="J103" s="3"/>
      <c r="K103" s="47"/>
      <c r="L103" s="47"/>
      <c r="M103" s="19">
        <v>0</v>
      </c>
      <c r="N103" s="3"/>
      <c r="O103" s="47"/>
      <c r="P103" s="47"/>
      <c r="Q103" s="19"/>
      <c r="R103" s="3"/>
      <c r="S103" s="47"/>
      <c r="T103" s="47"/>
      <c r="U103" s="19">
        <v>4</v>
      </c>
      <c r="V103" s="29">
        <f t="shared" si="6"/>
        <v>4</v>
      </c>
      <c r="W103" s="3"/>
      <c r="X103" s="47"/>
      <c r="Y103" s="47"/>
      <c r="Z103" s="19"/>
      <c r="AA103" s="29">
        <f t="shared" si="7"/>
        <v>0</v>
      </c>
    </row>
    <row r="104" spans="2:28" s="1" customFormat="1" ht="14.25">
      <c r="B104" s="142" t="s">
        <v>157</v>
      </c>
      <c r="C104" s="4"/>
      <c r="D104" s="4"/>
      <c r="E104" s="19">
        <v>0</v>
      </c>
      <c r="F104" s="3"/>
      <c r="G104" s="47"/>
      <c r="H104" s="4"/>
      <c r="I104" s="19">
        <v>0</v>
      </c>
      <c r="J104" s="3"/>
      <c r="K104" s="47"/>
      <c r="L104" s="47"/>
      <c r="M104" s="19">
        <v>0</v>
      </c>
      <c r="N104" s="3"/>
      <c r="O104" s="47"/>
      <c r="P104" s="47"/>
      <c r="Q104" s="19">
        <v>4</v>
      </c>
      <c r="R104" s="3"/>
      <c r="S104" s="47"/>
      <c r="T104" s="47"/>
      <c r="U104" s="19">
        <v>4</v>
      </c>
      <c r="V104" s="29">
        <f t="shared" si="6"/>
        <v>8</v>
      </c>
      <c r="W104" s="3"/>
      <c r="X104" s="47"/>
      <c r="Y104" s="47"/>
      <c r="Z104" s="19"/>
      <c r="AA104" s="29">
        <f t="shared" si="7"/>
        <v>0</v>
      </c>
    </row>
    <row r="105" spans="2:28" s="1" customFormat="1">
      <c r="B105" s="64" t="s">
        <v>61</v>
      </c>
      <c r="C105" s="64"/>
      <c r="D105" s="64"/>
      <c r="E105" s="64">
        <f>SUM(E93:E104)</f>
        <v>18</v>
      </c>
      <c r="F105" s="64"/>
      <c r="G105" s="64"/>
      <c r="H105" s="64"/>
      <c r="I105" s="64">
        <f>SUM(I93:I104)</f>
        <v>18</v>
      </c>
      <c r="J105" s="64"/>
      <c r="K105" s="64"/>
      <c r="L105" s="64"/>
      <c r="M105" s="64">
        <f>SUM(M93:M104)</f>
        <v>17</v>
      </c>
      <c r="N105" s="64"/>
      <c r="O105" s="64"/>
      <c r="P105" s="64"/>
      <c r="Q105" s="64">
        <f>SUM(Q93:Q104)</f>
        <v>32</v>
      </c>
      <c r="R105" s="64"/>
      <c r="S105" s="64"/>
      <c r="T105" s="64"/>
      <c r="U105" s="64">
        <f>SUM(U93:U104)</f>
        <v>32</v>
      </c>
      <c r="V105" s="55">
        <f>SUM(E105:U105)</f>
        <v>117</v>
      </c>
      <c r="W105" s="3"/>
      <c r="X105" s="64"/>
      <c r="Y105" s="64"/>
      <c r="Z105" s="64">
        <f>SUM(Z93:Z102)</f>
        <v>0</v>
      </c>
      <c r="AA105" s="55">
        <f>SUM(AA93:AA102)</f>
        <v>0</v>
      </c>
    </row>
    <row r="106" spans="2:28" s="1" customFormat="1">
      <c r="B106" s="31" t="s">
        <v>193</v>
      </c>
      <c r="C106" s="56"/>
      <c r="D106" s="56"/>
      <c r="E106" s="19"/>
      <c r="F106" s="60"/>
      <c r="G106" s="56"/>
      <c r="H106" s="56"/>
      <c r="I106" s="19"/>
      <c r="J106" s="60"/>
      <c r="K106" s="56"/>
      <c r="L106" s="56"/>
      <c r="M106" s="19"/>
      <c r="N106" s="60"/>
      <c r="O106" s="56"/>
      <c r="P106" s="56"/>
      <c r="Q106" s="19"/>
      <c r="R106" s="60"/>
      <c r="S106" s="56"/>
      <c r="T106" s="56"/>
      <c r="U106" s="19"/>
      <c r="V106" s="28">
        <f>SUM(E106:U106)</f>
        <v>0</v>
      </c>
      <c r="W106" s="3"/>
      <c r="X106" s="56"/>
      <c r="Y106" s="56"/>
      <c r="Z106" s="19"/>
      <c r="AA106" s="29">
        <f>Z106</f>
        <v>0</v>
      </c>
    </row>
    <row r="107" spans="2:28" s="1" customFormat="1">
      <c r="B107" s="74" t="s">
        <v>194</v>
      </c>
      <c r="C107" s="75"/>
      <c r="D107" s="75"/>
      <c r="E107" s="77"/>
      <c r="F107" s="81"/>
      <c r="G107" s="75"/>
      <c r="H107" s="75"/>
      <c r="I107" s="77"/>
      <c r="J107" s="81"/>
      <c r="K107" s="75"/>
      <c r="L107" s="75"/>
      <c r="M107" s="77"/>
      <c r="N107" s="81"/>
      <c r="O107" s="75"/>
      <c r="P107" s="75"/>
      <c r="Q107" s="77"/>
      <c r="R107" s="81"/>
      <c r="S107" s="75"/>
      <c r="T107" s="75"/>
      <c r="U107" s="77"/>
      <c r="V107" s="80">
        <f>SUM(E107:U107)</f>
        <v>0</v>
      </c>
      <c r="W107" s="3"/>
      <c r="X107" s="75"/>
      <c r="Y107" s="75"/>
      <c r="Z107" s="77"/>
      <c r="AA107" s="80"/>
      <c r="AB107" s="103" t="s">
        <v>195</v>
      </c>
    </row>
    <row r="108" spans="2:28" s="1" customFormat="1">
      <c r="B108" s="71" t="s">
        <v>66</v>
      </c>
      <c r="C108" s="68"/>
      <c r="D108" s="68"/>
      <c r="E108" s="71">
        <f>SUM(E106:E107)</f>
        <v>0</v>
      </c>
      <c r="F108" s="72"/>
      <c r="G108" s="68"/>
      <c r="H108" s="68"/>
      <c r="I108" s="71">
        <f>SUM(I106:I107)</f>
        <v>0</v>
      </c>
      <c r="J108" s="72"/>
      <c r="K108" s="68"/>
      <c r="L108" s="68"/>
      <c r="M108" s="71">
        <f>SUM(M106:M107)</f>
        <v>0</v>
      </c>
      <c r="N108" s="72"/>
      <c r="O108" s="68"/>
      <c r="P108" s="68"/>
      <c r="Q108" s="71">
        <f>SUM(Q106:Q107)</f>
        <v>0</v>
      </c>
      <c r="R108" s="72"/>
      <c r="S108" s="68"/>
      <c r="T108" s="68"/>
      <c r="U108" s="66">
        <f>SUM(U106:U107)</f>
        <v>0</v>
      </c>
      <c r="V108" s="73">
        <f>SUM(V106:V107)</f>
        <v>0</v>
      </c>
      <c r="W108" s="3"/>
      <c r="AA108" s="53">
        <f>SUM(AA106:AA107)</f>
        <v>0</v>
      </c>
      <c r="AB108" s="103"/>
    </row>
    <row r="111" spans="2:28">
      <c r="B111" t="s">
        <v>197</v>
      </c>
      <c r="E111" s="2">
        <f>E105+E86+E70+E55</f>
        <v>60</v>
      </c>
      <c r="I111" s="2">
        <f>I105+I86+I70+I55</f>
        <v>81</v>
      </c>
      <c r="M111" s="2">
        <f>M105+M86+M70+M55</f>
        <v>72</v>
      </c>
      <c r="Q111" s="2">
        <f>Q105+Q86+Q70+Q55</f>
        <v>88</v>
      </c>
      <c r="U111" s="2">
        <f>U105+U86+U70+U55</f>
        <v>88</v>
      </c>
    </row>
  </sheetData>
  <mergeCells count="57">
    <mergeCell ref="A10:A11"/>
    <mergeCell ref="O10:Q15"/>
    <mergeCell ref="K10:M15"/>
    <mergeCell ref="G10:I10"/>
    <mergeCell ref="C10:E10"/>
    <mergeCell ref="B10:B11"/>
    <mergeCell ref="P1:W1"/>
    <mergeCell ref="V21:V22"/>
    <mergeCell ref="B32:B33"/>
    <mergeCell ref="C32:E32"/>
    <mergeCell ref="G32:I32"/>
    <mergeCell ref="K32:M32"/>
    <mergeCell ref="O32:Q32"/>
    <mergeCell ref="S32:U32"/>
    <mergeCell ref="V32:V33"/>
    <mergeCell ref="B21:B22"/>
    <mergeCell ref="C21:E21"/>
    <mergeCell ref="G21:I21"/>
    <mergeCell ref="K21:M21"/>
    <mergeCell ref="O21:Q21"/>
    <mergeCell ref="S21:U21"/>
    <mergeCell ref="V10:V11"/>
    <mergeCell ref="S10:U15"/>
    <mergeCell ref="V45:V46"/>
    <mergeCell ref="B60:B61"/>
    <mergeCell ref="C60:E60"/>
    <mergeCell ref="G60:I60"/>
    <mergeCell ref="K60:M60"/>
    <mergeCell ref="O60:Q60"/>
    <mergeCell ref="S60:U60"/>
    <mergeCell ref="V60:V61"/>
    <mergeCell ref="B45:B46"/>
    <mergeCell ref="C45:E45"/>
    <mergeCell ref="G45:I45"/>
    <mergeCell ref="K45:M45"/>
    <mergeCell ref="O45:Q45"/>
    <mergeCell ref="S45:U45"/>
    <mergeCell ref="X60:Z60"/>
    <mergeCell ref="AA60:AA61"/>
    <mergeCell ref="B75:B76"/>
    <mergeCell ref="C75:E75"/>
    <mergeCell ref="G75:I75"/>
    <mergeCell ref="K75:M75"/>
    <mergeCell ref="O75:Q75"/>
    <mergeCell ref="S75:U75"/>
    <mergeCell ref="V75:V76"/>
    <mergeCell ref="X75:Z75"/>
    <mergeCell ref="AA75:AA76"/>
    <mergeCell ref="S91:U91"/>
    <mergeCell ref="V91:V92"/>
    <mergeCell ref="X91:Z91"/>
    <mergeCell ref="AA91:AA92"/>
    <mergeCell ref="B91:B92"/>
    <mergeCell ref="C91:E91"/>
    <mergeCell ref="G91:I91"/>
    <mergeCell ref="K91:M91"/>
    <mergeCell ref="O91:Q91"/>
  </mergeCells>
  <conditionalFormatting sqref="B47:B50">
    <cfRule type="duplicateValues" dxfId="29" priority="13"/>
  </conditionalFormatting>
  <conditionalFormatting sqref="B62:B65">
    <cfRule type="duplicateValues" dxfId="28" priority="12"/>
  </conditionalFormatting>
  <conditionalFormatting sqref="B77:B80">
    <cfRule type="duplicateValues" dxfId="27" priority="11"/>
  </conditionalFormatting>
  <conditionalFormatting sqref="B81">
    <cfRule type="duplicateValues" dxfId="26" priority="8"/>
  </conditionalFormatting>
  <conditionalFormatting sqref="B93:B95">
    <cfRule type="duplicateValues" dxfId="25" priority="10"/>
  </conditionalFormatting>
  <conditionalFormatting sqref="B96">
    <cfRule type="duplicateValues" dxfId="24" priority="7"/>
  </conditionalFormatting>
  <conditionalFormatting sqref="B97">
    <cfRule type="duplicateValues" dxfId="23" priority="9"/>
  </conditionalFormatting>
  <conditionalFormatting sqref="B99">
    <cfRule type="duplicateValues" dxfId="22" priority="5"/>
  </conditionalFormatting>
  <conditionalFormatting sqref="B100">
    <cfRule type="duplicateValues" dxfId="21" priority="6"/>
  </conditionalFormatting>
  <conditionalFormatting sqref="B101">
    <cfRule type="duplicateValues" dxfId="20" priority="4"/>
  </conditionalFormatting>
  <conditionalFormatting sqref="B102">
    <cfRule type="duplicateValues" dxfId="19" priority="3"/>
  </conditionalFormatting>
  <conditionalFormatting sqref="B103">
    <cfRule type="duplicateValues" dxfId="18" priority="2"/>
  </conditionalFormatting>
  <conditionalFormatting sqref="B104">
    <cfRule type="duplicateValues" dxfId="17" priority="1"/>
  </conditionalFormatting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3"/>
  <sheetViews>
    <sheetView workbookViewId="0"/>
  </sheetViews>
  <sheetFormatPr defaultRowHeight="13.5"/>
  <sheetData>
    <row r="1" spans="1:1">
      <c r="A1" s="135" t="s">
        <v>198</v>
      </c>
    </row>
    <row r="2" spans="1:1">
      <c r="A2" s="135" t="s">
        <v>199</v>
      </c>
    </row>
    <row r="3" spans="1:1">
      <c r="A3" s="135" t="s">
        <v>200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U74"/>
  <sheetViews>
    <sheetView topLeftCell="B1" workbookViewId="0">
      <selection activeCell="V66" sqref="V66"/>
    </sheetView>
  </sheetViews>
  <sheetFormatPr defaultColWidth="9.42578125" defaultRowHeight="13.5"/>
  <cols>
    <col min="1" max="1" width="12.5703125" hidden="1" customWidth="1"/>
    <col min="2" max="2" width="29.42578125" customWidth="1"/>
    <col min="3" max="3" width="9" style="2" customWidth="1"/>
    <col min="4" max="4" width="11" customWidth="1"/>
    <col min="5" max="5" width="11.42578125" customWidth="1"/>
    <col min="6" max="6" width="1.42578125" style="1" customWidth="1"/>
    <col min="7" max="9" width="9.42578125" style="1"/>
    <col min="10" max="10" width="1.42578125" style="1" customWidth="1"/>
    <col min="11" max="13" width="9.42578125" style="1"/>
    <col min="14" max="14" width="1.42578125" style="1" customWidth="1"/>
    <col min="15" max="17" width="9.42578125" style="1"/>
    <col min="18" max="18" width="1.42578125" style="1" customWidth="1"/>
    <col min="19" max="47" width="9.42578125" style="1"/>
  </cols>
  <sheetData>
    <row r="1" spans="1:27" s="1" customFormat="1" ht="55.5" customHeight="1">
      <c r="C1" s="3"/>
      <c r="O1" s="1529" t="s">
        <v>183</v>
      </c>
      <c r="P1" s="1529"/>
      <c r="Q1" s="1529"/>
      <c r="R1" s="1529"/>
      <c r="S1" s="1529"/>
      <c r="T1" s="1529"/>
      <c r="U1" s="1529"/>
      <c r="V1" s="1529"/>
    </row>
    <row r="2" spans="1:27" hidden="1">
      <c r="A2" s="1528" t="s">
        <v>119</v>
      </c>
      <c r="B2" s="1518" t="s">
        <v>18</v>
      </c>
      <c r="C2" s="1523" t="s">
        <v>201</v>
      </c>
      <c r="D2" s="1517" t="s">
        <v>202</v>
      </c>
      <c r="E2" s="1517" t="s">
        <v>203</v>
      </c>
      <c r="F2" s="32">
        <v>45049</v>
      </c>
      <c r="G2" s="32">
        <v>45050</v>
      </c>
      <c r="H2" s="14">
        <v>45061</v>
      </c>
      <c r="I2" s="14">
        <v>45062</v>
      </c>
      <c r="J2" s="14">
        <v>45063</v>
      </c>
      <c r="K2" s="14">
        <v>45064</v>
      </c>
      <c r="L2" s="14">
        <v>45065</v>
      </c>
      <c r="M2" s="14">
        <v>45068</v>
      </c>
      <c r="N2" s="14">
        <v>45069</v>
      </c>
      <c r="O2" s="14">
        <v>45070</v>
      </c>
      <c r="P2" s="14">
        <v>45071</v>
      </c>
      <c r="Q2" s="14">
        <v>45072</v>
      </c>
      <c r="R2" s="14">
        <v>45076</v>
      </c>
      <c r="S2" s="14">
        <v>45077</v>
      </c>
    </row>
    <row r="3" spans="1:27" ht="63.75" hidden="1">
      <c r="A3" s="1528"/>
      <c r="B3" s="1518"/>
      <c r="C3" s="1523"/>
      <c r="D3" s="1517"/>
      <c r="E3" s="1517"/>
      <c r="F3" s="33" t="s">
        <v>204</v>
      </c>
      <c r="G3" s="33" t="s">
        <v>204</v>
      </c>
      <c r="H3" s="15" t="s">
        <v>204</v>
      </c>
      <c r="I3" s="15" t="s">
        <v>204</v>
      </c>
      <c r="J3" s="15" t="s">
        <v>204</v>
      </c>
      <c r="K3" s="15" t="s">
        <v>204</v>
      </c>
      <c r="L3" s="15" t="s">
        <v>204</v>
      </c>
      <c r="M3" s="15" t="s">
        <v>204</v>
      </c>
      <c r="N3" s="15" t="s">
        <v>204</v>
      </c>
      <c r="O3" s="15" t="s">
        <v>204</v>
      </c>
      <c r="P3" s="15" t="s">
        <v>204</v>
      </c>
      <c r="Q3" s="15" t="s">
        <v>204</v>
      </c>
      <c r="R3" s="15" t="s">
        <v>204</v>
      </c>
      <c r="S3" s="15" t="s">
        <v>204</v>
      </c>
    </row>
    <row r="4" spans="1:27" ht="13.5" hidden="1" customHeight="1">
      <c r="A4" s="8" t="s">
        <v>123</v>
      </c>
      <c r="B4" s="13" t="s">
        <v>205</v>
      </c>
      <c r="C4" s="9"/>
      <c r="D4" s="10">
        <f>25*C4+((25*C4)*0.03)</f>
        <v>0</v>
      </c>
      <c r="E4" s="6">
        <f>70*C4</f>
        <v>0</v>
      </c>
      <c r="F4" s="34">
        <v>8.5</v>
      </c>
      <c r="G4" s="34">
        <v>3.25</v>
      </c>
      <c r="H4" s="34">
        <v>5.75</v>
      </c>
      <c r="I4" s="34">
        <v>7.25</v>
      </c>
      <c r="J4" s="34">
        <v>9.25</v>
      </c>
      <c r="K4" s="34">
        <v>8</v>
      </c>
      <c r="L4" s="34">
        <v>0</v>
      </c>
      <c r="M4" s="34">
        <v>7</v>
      </c>
      <c r="N4" s="34">
        <v>7</v>
      </c>
      <c r="O4" s="34">
        <v>8.5</v>
      </c>
      <c r="P4" s="34">
        <v>7</v>
      </c>
      <c r="Q4" s="34">
        <v>0</v>
      </c>
      <c r="R4" s="12"/>
      <c r="S4" s="12"/>
    </row>
    <row r="5" spans="1:27" ht="13.5" hidden="1" customHeight="1">
      <c r="A5" s="8" t="s">
        <v>123</v>
      </c>
      <c r="B5" s="13" t="s">
        <v>206</v>
      </c>
      <c r="C5" s="7"/>
      <c r="D5" s="10">
        <f>21.59*C5+((21.59*C5)*0.03)</f>
        <v>0</v>
      </c>
      <c r="E5" s="6">
        <f>70*C5</f>
        <v>0</v>
      </c>
      <c r="F5" s="34">
        <v>8.25</v>
      </c>
      <c r="G5" s="34">
        <v>0</v>
      </c>
      <c r="H5" s="34">
        <v>0</v>
      </c>
      <c r="I5" s="34">
        <v>6.5</v>
      </c>
      <c r="J5" s="34">
        <v>7.25</v>
      </c>
      <c r="K5" s="34">
        <v>7.25</v>
      </c>
      <c r="L5" s="34">
        <v>7.5</v>
      </c>
      <c r="M5" s="34">
        <v>0</v>
      </c>
      <c r="N5" s="34">
        <v>8</v>
      </c>
      <c r="O5" s="34">
        <v>7.25</v>
      </c>
      <c r="P5" s="34">
        <v>7</v>
      </c>
      <c r="Q5" s="34">
        <v>6.75</v>
      </c>
      <c r="R5" s="17"/>
      <c r="S5" s="12"/>
    </row>
    <row r="6" spans="1:27" s="3" customFormat="1"/>
    <row r="7" spans="1:27" s="3" customFormat="1" ht="13.5" customHeight="1">
      <c r="B7" s="1518" t="s">
        <v>18</v>
      </c>
      <c r="C7" s="1524">
        <v>45049</v>
      </c>
      <c r="D7" s="1524"/>
      <c r="E7" s="1524"/>
      <c r="F7" s="22"/>
      <c r="G7" s="1524">
        <v>45050</v>
      </c>
      <c r="H7" s="1524"/>
      <c r="I7" s="1524"/>
      <c r="J7" s="22"/>
      <c r="K7" s="1534">
        <v>0</v>
      </c>
      <c r="L7" s="1534"/>
      <c r="M7" s="1534"/>
      <c r="N7" s="160"/>
      <c r="O7" s="1534">
        <v>0</v>
      </c>
      <c r="P7" s="1534"/>
      <c r="Q7" s="1534"/>
      <c r="R7" s="160"/>
      <c r="S7" s="1534">
        <v>0</v>
      </c>
      <c r="T7" s="1534"/>
      <c r="U7" s="1534"/>
      <c r="V7" s="1530" t="s">
        <v>19</v>
      </c>
      <c r="W7" s="1530" t="s">
        <v>207</v>
      </c>
      <c r="Y7" s="1537" t="s">
        <v>208</v>
      </c>
      <c r="Z7" s="1537"/>
      <c r="AA7" s="1537"/>
    </row>
    <row r="8" spans="1:27" s="3" customFormat="1" ht="14.25">
      <c r="B8" s="1518"/>
      <c r="C8" s="21" t="s">
        <v>23</v>
      </c>
      <c r="D8" s="21" t="s">
        <v>24</v>
      </c>
      <c r="E8" s="18" t="s">
        <v>25</v>
      </c>
      <c r="F8" s="23"/>
      <c r="G8" s="21" t="s">
        <v>23</v>
      </c>
      <c r="H8" s="21" t="s">
        <v>24</v>
      </c>
      <c r="I8" s="18" t="s">
        <v>25</v>
      </c>
      <c r="J8" s="23"/>
      <c r="K8" s="1534"/>
      <c r="L8" s="1534"/>
      <c r="M8" s="1534"/>
      <c r="N8" s="161"/>
      <c r="O8" s="1534"/>
      <c r="P8" s="1534"/>
      <c r="Q8" s="1534"/>
      <c r="R8" s="161"/>
      <c r="S8" s="1534"/>
      <c r="T8" s="1534"/>
      <c r="U8" s="1534"/>
      <c r="V8" s="1531"/>
      <c r="W8" s="1531"/>
      <c r="Y8" s="37" t="s">
        <v>209</v>
      </c>
      <c r="Z8" s="148" t="s">
        <v>210</v>
      </c>
      <c r="AA8" s="149">
        <f>V19+V27+(V35-Q33)</f>
        <v>143.75</v>
      </c>
    </row>
    <row r="9" spans="1:27" s="3" customFormat="1" ht="14.25">
      <c r="B9" s="13" t="s">
        <v>205</v>
      </c>
      <c r="C9" s="16">
        <v>0.375</v>
      </c>
      <c r="D9" s="12" t="s">
        <v>211</v>
      </c>
      <c r="E9" s="19">
        <v>8.5</v>
      </c>
      <c r="F9" s="24"/>
      <c r="G9" s="12" t="s">
        <v>212</v>
      </c>
      <c r="H9" s="16">
        <v>0.52083333333333337</v>
      </c>
      <c r="I9" s="19">
        <v>3.25</v>
      </c>
      <c r="J9" s="24"/>
      <c r="K9" s="1534"/>
      <c r="L9" s="1534"/>
      <c r="M9" s="1534"/>
      <c r="N9" s="162"/>
      <c r="O9" s="1534"/>
      <c r="P9" s="1534"/>
      <c r="Q9" s="1534"/>
      <c r="R9" s="162"/>
      <c r="S9" s="1534"/>
      <c r="T9" s="1534"/>
      <c r="U9" s="1534"/>
      <c r="V9" s="35">
        <f>I9+E9+M9+Q9</f>
        <v>11.75</v>
      </c>
      <c r="W9" s="35"/>
      <c r="Y9" s="37"/>
      <c r="Z9" s="148" t="s">
        <v>213</v>
      </c>
      <c r="AA9" s="150">
        <f>V20+V28+(V36-0.25)</f>
        <v>13</v>
      </c>
    </row>
    <row r="10" spans="1:27" s="3" customFormat="1" ht="15" thickBot="1">
      <c r="B10" s="40" t="s">
        <v>206</v>
      </c>
      <c r="C10" s="44">
        <v>0.375</v>
      </c>
      <c r="D10" s="41" t="s">
        <v>214</v>
      </c>
      <c r="E10" s="42">
        <v>8.25</v>
      </c>
      <c r="F10" s="43"/>
      <c r="G10" s="44">
        <v>0</v>
      </c>
      <c r="H10" s="44">
        <v>0</v>
      </c>
      <c r="I10" s="42">
        <v>0</v>
      </c>
      <c r="J10" s="43"/>
      <c r="K10" s="1535"/>
      <c r="L10" s="1535"/>
      <c r="M10" s="1535"/>
      <c r="N10" s="163"/>
      <c r="O10" s="1535"/>
      <c r="P10" s="1535"/>
      <c r="Q10" s="1535"/>
      <c r="R10" s="163"/>
      <c r="S10" s="1535"/>
      <c r="T10" s="1535"/>
      <c r="U10" s="1535"/>
      <c r="V10" s="39">
        <f>I10+E10+M10+Q10+U10</f>
        <v>8.25</v>
      </c>
      <c r="W10" s="39"/>
      <c r="Y10" s="37"/>
      <c r="Z10" s="148" t="s">
        <v>215</v>
      </c>
      <c r="AA10" s="150"/>
    </row>
    <row r="11" spans="1:27" s="1" customFormat="1" ht="15.75" thickTop="1" thickBot="1">
      <c r="B11" s="1533" t="s">
        <v>216</v>
      </c>
      <c r="C11" s="1533"/>
      <c r="D11" s="1533"/>
      <c r="E11" s="1533"/>
      <c r="F11" s="1533"/>
      <c r="G11" s="1533"/>
      <c r="H11" s="1533"/>
      <c r="I11" s="1533"/>
      <c r="J11" s="1533"/>
      <c r="K11" s="1533"/>
      <c r="L11" s="1533"/>
      <c r="M11" s="1533"/>
      <c r="N11" s="1533"/>
      <c r="O11" s="1533"/>
      <c r="P11" s="1533"/>
      <c r="Q11" s="1533"/>
      <c r="R11" s="1533"/>
      <c r="S11" s="1533"/>
      <c r="T11" s="1533"/>
      <c r="U11" s="1533"/>
      <c r="V11" s="146">
        <f>SUM(V9:V10)</f>
        <v>20</v>
      </c>
      <c r="W11" s="35"/>
      <c r="Y11" s="151"/>
      <c r="Z11" s="152" t="s">
        <v>217</v>
      </c>
      <c r="AA11" s="153">
        <f>10+W19+W27+W35</f>
        <v>126</v>
      </c>
    </row>
    <row r="12" spans="1:27" s="1" customFormat="1" ht="15" thickTop="1">
      <c r="B12" s="31" t="s">
        <v>193</v>
      </c>
      <c r="C12" s="56"/>
      <c r="D12" s="57"/>
      <c r="E12" s="19">
        <v>5</v>
      </c>
      <c r="F12" s="59"/>
      <c r="G12" s="57"/>
      <c r="H12" s="57"/>
      <c r="I12" s="19">
        <v>5.5</v>
      </c>
      <c r="J12" s="59"/>
      <c r="K12" s="57"/>
      <c r="L12" s="57"/>
      <c r="M12" s="54"/>
      <c r="N12" s="59"/>
      <c r="O12" s="57"/>
      <c r="P12" s="57"/>
      <c r="Q12" s="54"/>
      <c r="R12" s="59"/>
      <c r="S12" s="57"/>
      <c r="T12" s="57"/>
      <c r="U12" s="54"/>
      <c r="V12" s="144">
        <f>SUM(E12:U12)</f>
        <v>10.5</v>
      </c>
      <c r="W12" s="35"/>
      <c r="Y12" s="37" t="s">
        <v>218</v>
      </c>
      <c r="Z12" s="148" t="s">
        <v>210</v>
      </c>
      <c r="AA12" s="150">
        <f>7+V43+V51+V58+V65</f>
        <v>115</v>
      </c>
    </row>
    <row r="13" spans="1:27" s="1" customFormat="1" ht="14.25">
      <c r="B13" s="31" t="s">
        <v>194</v>
      </c>
      <c r="C13" s="56"/>
      <c r="D13" s="57"/>
      <c r="E13" s="54"/>
      <c r="F13" s="59"/>
      <c r="G13" s="57"/>
      <c r="H13" s="57"/>
      <c r="I13" s="54"/>
      <c r="J13" s="59"/>
      <c r="K13" s="57"/>
      <c r="L13" s="57"/>
      <c r="M13" s="54"/>
      <c r="N13" s="59"/>
      <c r="O13" s="57"/>
      <c r="P13" s="57"/>
      <c r="Q13" s="54"/>
      <c r="R13" s="59"/>
      <c r="S13" s="57"/>
      <c r="T13" s="57"/>
      <c r="U13" s="54"/>
      <c r="V13" s="35"/>
      <c r="W13" s="35"/>
      <c r="Y13" s="37"/>
      <c r="Z13" s="148" t="s">
        <v>213</v>
      </c>
      <c r="AA13" s="149">
        <f>Q36+U36+V44+V52+V59+V66</f>
        <v>5.25</v>
      </c>
    </row>
    <row r="14" spans="1:27" s="1" customFormat="1" ht="14.25">
      <c r="B14" s="4"/>
      <c r="E14" s="3"/>
      <c r="F14" s="3"/>
      <c r="I14" s="3"/>
      <c r="J14" s="3"/>
      <c r="M14" s="3"/>
      <c r="N14" s="3"/>
      <c r="Q14" s="3"/>
      <c r="R14" s="3"/>
      <c r="U14" s="3"/>
      <c r="V14" s="37"/>
      <c r="W14" s="37"/>
      <c r="Y14" s="37"/>
      <c r="Z14" s="148" t="s">
        <v>215</v>
      </c>
      <c r="AA14" s="37"/>
    </row>
    <row r="15" spans="1:27" s="3" customFormat="1" ht="15" thickBot="1">
      <c r="B15" s="1518" t="s">
        <v>18</v>
      </c>
      <c r="C15" s="1524">
        <v>45061</v>
      </c>
      <c r="D15" s="1524"/>
      <c r="E15" s="1524"/>
      <c r="F15" s="22"/>
      <c r="G15" s="1524">
        <v>45062</v>
      </c>
      <c r="H15" s="1524"/>
      <c r="I15" s="1524"/>
      <c r="J15" s="22"/>
      <c r="K15" s="1524">
        <v>45063</v>
      </c>
      <c r="L15" s="1524"/>
      <c r="M15" s="1524"/>
      <c r="N15" s="22"/>
      <c r="O15" s="1524">
        <v>45064</v>
      </c>
      <c r="P15" s="1524"/>
      <c r="Q15" s="1524"/>
      <c r="R15" s="22"/>
      <c r="S15" s="1524">
        <v>45065</v>
      </c>
      <c r="T15" s="1524"/>
      <c r="U15" s="1524"/>
      <c r="V15" s="1530" t="s">
        <v>19</v>
      </c>
      <c r="W15" s="1530" t="s">
        <v>207</v>
      </c>
      <c r="Y15" s="151"/>
      <c r="Z15" s="152" t="s">
        <v>217</v>
      </c>
      <c r="AA15" s="153">
        <f>6+W43+W51+W57+W64</f>
        <v>100</v>
      </c>
    </row>
    <row r="16" spans="1:27" s="3" customFormat="1" ht="15" thickTop="1">
      <c r="B16" s="1518"/>
      <c r="C16" s="21" t="s">
        <v>23</v>
      </c>
      <c r="D16" s="21" t="s">
        <v>24</v>
      </c>
      <c r="E16" s="18" t="s">
        <v>25</v>
      </c>
      <c r="F16" s="23"/>
      <c r="G16" s="21" t="s">
        <v>23</v>
      </c>
      <c r="H16" s="21" t="s">
        <v>24</v>
      </c>
      <c r="I16" s="18" t="s">
        <v>25</v>
      </c>
      <c r="J16" s="23"/>
      <c r="K16" s="21" t="s">
        <v>23</v>
      </c>
      <c r="L16" s="21" t="s">
        <v>24</v>
      </c>
      <c r="M16" s="18" t="s">
        <v>25</v>
      </c>
      <c r="N16" s="23"/>
      <c r="O16" s="21" t="s">
        <v>23</v>
      </c>
      <c r="P16" s="21" t="s">
        <v>24</v>
      </c>
      <c r="Q16" s="18" t="s">
        <v>25</v>
      </c>
      <c r="R16" s="23"/>
      <c r="S16" s="21" t="s">
        <v>23</v>
      </c>
      <c r="T16" s="21" t="s">
        <v>24</v>
      </c>
      <c r="U16" s="18" t="s">
        <v>25</v>
      </c>
      <c r="V16" s="1531"/>
      <c r="W16" s="1531"/>
      <c r="Y16" s="37" t="s">
        <v>219</v>
      </c>
      <c r="Z16" s="148" t="s">
        <v>210</v>
      </c>
      <c r="AA16" s="149">
        <f>V71</f>
        <v>6.25</v>
      </c>
    </row>
    <row r="17" spans="2:27" s="3" customFormat="1" ht="14.25">
      <c r="B17" s="13" t="s">
        <v>205</v>
      </c>
      <c r="C17" s="16">
        <v>0.375</v>
      </c>
      <c r="D17" s="16">
        <v>0.11458333333333333</v>
      </c>
      <c r="E17" s="19">
        <v>5.75</v>
      </c>
      <c r="F17" s="24"/>
      <c r="G17" s="12" t="s">
        <v>212</v>
      </c>
      <c r="H17" s="16" t="s">
        <v>220</v>
      </c>
      <c r="I17" s="19">
        <v>7.25</v>
      </c>
      <c r="J17" s="24"/>
      <c r="K17" s="12" t="s">
        <v>75</v>
      </c>
      <c r="L17" s="16">
        <v>0.26041666666666669</v>
      </c>
      <c r="M17" s="19">
        <v>9.25</v>
      </c>
      <c r="N17" s="24"/>
      <c r="O17" s="12" t="s">
        <v>75</v>
      </c>
      <c r="P17" s="16">
        <v>0.20833333333333334</v>
      </c>
      <c r="Q17" s="19">
        <v>8</v>
      </c>
      <c r="R17" s="24"/>
      <c r="S17" s="12">
        <v>0</v>
      </c>
      <c r="T17" s="12">
        <v>0</v>
      </c>
      <c r="U17" s="19">
        <v>0</v>
      </c>
      <c r="V17" s="35">
        <f>I17+E17+M17+Q17</f>
        <v>30.25</v>
      </c>
      <c r="W17" s="146">
        <f>3+5+4+6</f>
        <v>18</v>
      </c>
      <c r="Y17" s="37"/>
      <c r="Z17" s="148" t="s">
        <v>213</v>
      </c>
      <c r="AA17" s="149">
        <f>V73</f>
        <v>0.75</v>
      </c>
    </row>
    <row r="18" spans="2:27" s="3" customFormat="1" ht="15" thickBot="1">
      <c r="B18" s="40" t="s">
        <v>206</v>
      </c>
      <c r="C18" s="41">
        <v>0</v>
      </c>
      <c r="D18" s="41">
        <v>0</v>
      </c>
      <c r="E18" s="42">
        <v>0</v>
      </c>
      <c r="F18" s="43"/>
      <c r="G18" s="44">
        <v>0.375</v>
      </c>
      <c r="H18" s="44">
        <v>0.14583333333333334</v>
      </c>
      <c r="I18" s="42">
        <v>6.5</v>
      </c>
      <c r="J18" s="43"/>
      <c r="K18" s="44">
        <v>0.375</v>
      </c>
      <c r="L18" s="44">
        <v>0.17708333333333334</v>
      </c>
      <c r="M18" s="42">
        <v>7.25</v>
      </c>
      <c r="N18" s="43"/>
      <c r="O18" s="44">
        <v>0.375</v>
      </c>
      <c r="P18" s="44">
        <v>0.17708333333333334</v>
      </c>
      <c r="Q18" s="42">
        <v>7.25</v>
      </c>
      <c r="R18" s="43"/>
      <c r="S18" s="44">
        <v>0.33333333333333331</v>
      </c>
      <c r="T18" s="44">
        <v>0.14583333333333334</v>
      </c>
      <c r="U18" s="42">
        <v>7.5</v>
      </c>
      <c r="V18" s="145">
        <f>I18+E18+M18+Q18+U18</f>
        <v>28.5</v>
      </c>
      <c r="W18" s="147">
        <f>6+6+6+5</f>
        <v>23</v>
      </c>
      <c r="Y18" s="37"/>
      <c r="Z18" s="148" t="s">
        <v>215</v>
      </c>
      <c r="AA18" s="37"/>
    </row>
    <row r="19" spans="2:27" s="1" customFormat="1" ht="15.75" thickTop="1" thickBot="1">
      <c r="B19" s="1533" t="s">
        <v>216</v>
      </c>
      <c r="C19" s="1533"/>
      <c r="D19" s="1533"/>
      <c r="E19" s="1533"/>
      <c r="F19" s="1533"/>
      <c r="G19" s="1533"/>
      <c r="H19" s="1533"/>
      <c r="I19" s="1533"/>
      <c r="J19" s="1533"/>
      <c r="K19" s="1533"/>
      <c r="L19" s="1533"/>
      <c r="M19" s="1533"/>
      <c r="N19" s="1533"/>
      <c r="O19" s="1533"/>
      <c r="P19" s="1533"/>
      <c r="Q19" s="1533"/>
      <c r="R19" s="1533"/>
      <c r="S19" s="1533"/>
      <c r="T19" s="1533"/>
      <c r="U19" s="1533"/>
      <c r="V19" s="36">
        <f>SUM(V17:V18)</f>
        <v>58.75</v>
      </c>
      <c r="W19" s="146">
        <f>SUM(W17:W18)</f>
        <v>41</v>
      </c>
      <c r="X19" s="53"/>
      <c r="Y19" s="151"/>
      <c r="Z19" s="152" t="s">
        <v>217</v>
      </c>
      <c r="AA19" s="153">
        <f>W71</f>
        <v>4</v>
      </c>
    </row>
    <row r="20" spans="2:27" s="1" customFormat="1" ht="15" thickTop="1">
      <c r="B20" s="31" t="s">
        <v>193</v>
      </c>
      <c r="C20" s="56"/>
      <c r="D20" s="57"/>
      <c r="E20" s="19">
        <v>2.5</v>
      </c>
      <c r="F20" s="59"/>
      <c r="G20" s="57"/>
      <c r="H20" s="57"/>
      <c r="I20" s="19">
        <v>1.5</v>
      </c>
      <c r="J20" s="59"/>
      <c r="K20" s="57"/>
      <c r="L20" s="57"/>
      <c r="M20" s="19">
        <v>1</v>
      </c>
      <c r="N20" s="59"/>
      <c r="O20" s="57"/>
      <c r="P20" s="57"/>
      <c r="Q20" s="19">
        <v>0.5</v>
      </c>
      <c r="R20" s="59"/>
      <c r="S20" s="57"/>
      <c r="T20" s="57"/>
      <c r="U20" s="19">
        <v>0.5</v>
      </c>
      <c r="V20" s="146">
        <f>SUM(E20:U20)</f>
        <v>6</v>
      </c>
      <c r="W20" s="35"/>
      <c r="X20" s="53"/>
      <c r="Y20" s="154"/>
      <c r="Z20" s="38"/>
      <c r="AA20" s="38"/>
    </row>
    <row r="21" spans="2:27" s="1" customFormat="1" ht="14.25">
      <c r="B21" s="31" t="s">
        <v>194</v>
      </c>
      <c r="C21" s="56"/>
      <c r="D21" s="57"/>
      <c r="E21" s="54"/>
      <c r="F21" s="59"/>
      <c r="G21" s="57"/>
      <c r="H21" s="57"/>
      <c r="I21" s="54"/>
      <c r="J21" s="59"/>
      <c r="K21" s="57"/>
      <c r="L21" s="57"/>
      <c r="M21" s="54"/>
      <c r="N21" s="59"/>
      <c r="O21" s="57"/>
      <c r="P21" s="57"/>
      <c r="Q21" s="54"/>
      <c r="R21" s="59"/>
      <c r="S21" s="57"/>
      <c r="T21" s="57"/>
      <c r="U21" s="54"/>
      <c r="V21" s="35"/>
      <c r="W21" s="35"/>
      <c r="Y21" s="155" t="s">
        <v>221</v>
      </c>
      <c r="Z21" s="156" t="s">
        <v>210</v>
      </c>
      <c r="AA21" s="157">
        <f>AA8+AA12+AA16</f>
        <v>265</v>
      </c>
    </row>
    <row r="22" spans="2:27" s="1" customFormat="1" ht="14.25">
      <c r="B22" s="4"/>
      <c r="E22" s="3"/>
      <c r="F22" s="3"/>
      <c r="I22" s="3"/>
      <c r="J22" s="3"/>
      <c r="M22" s="3"/>
      <c r="N22" s="3"/>
      <c r="Q22" s="3"/>
      <c r="R22" s="3"/>
      <c r="U22" s="3"/>
      <c r="V22" s="37"/>
      <c r="W22" s="37"/>
      <c r="Y22" s="155"/>
      <c r="Z22" s="156" t="s">
        <v>213</v>
      </c>
      <c r="AA22" s="157">
        <f>AA9+AA13+AA17</f>
        <v>19</v>
      </c>
    </row>
    <row r="23" spans="2:27" s="3" customFormat="1" ht="14.25">
      <c r="B23" s="1518" t="s">
        <v>18</v>
      </c>
      <c r="C23" s="1524">
        <v>45068</v>
      </c>
      <c r="D23" s="1524"/>
      <c r="E23" s="1524"/>
      <c r="F23" s="22"/>
      <c r="G23" s="1524">
        <v>45069</v>
      </c>
      <c r="H23" s="1524"/>
      <c r="I23" s="1524"/>
      <c r="J23" s="22"/>
      <c r="K23" s="1524">
        <v>45070</v>
      </c>
      <c r="L23" s="1524"/>
      <c r="M23" s="1524"/>
      <c r="N23" s="22"/>
      <c r="O23" s="1524">
        <v>45071</v>
      </c>
      <c r="P23" s="1524"/>
      <c r="Q23" s="1524"/>
      <c r="R23" s="22"/>
      <c r="S23" s="1524">
        <v>45072</v>
      </c>
      <c r="T23" s="1524"/>
      <c r="U23" s="1524"/>
      <c r="V23" s="1530" t="s">
        <v>19</v>
      </c>
      <c r="W23" s="1530" t="s">
        <v>207</v>
      </c>
      <c r="Y23" s="158"/>
      <c r="Z23" s="156" t="s">
        <v>215</v>
      </c>
      <c r="AA23" s="158"/>
    </row>
    <row r="24" spans="2:27" s="3" customFormat="1" ht="15" thickBot="1">
      <c r="B24" s="1518"/>
      <c r="C24" s="21" t="s">
        <v>23</v>
      </c>
      <c r="D24" s="21" t="s">
        <v>24</v>
      </c>
      <c r="E24" s="18" t="s">
        <v>25</v>
      </c>
      <c r="F24" s="23"/>
      <c r="G24" s="21" t="s">
        <v>23</v>
      </c>
      <c r="H24" s="21" t="s">
        <v>24</v>
      </c>
      <c r="I24" s="18" t="s">
        <v>25</v>
      </c>
      <c r="J24" s="23"/>
      <c r="K24" s="21" t="s">
        <v>23</v>
      </c>
      <c r="L24" s="21" t="s">
        <v>24</v>
      </c>
      <c r="M24" s="18" t="s">
        <v>25</v>
      </c>
      <c r="N24" s="23"/>
      <c r="O24" s="21" t="s">
        <v>23</v>
      </c>
      <c r="P24" s="21" t="s">
        <v>24</v>
      </c>
      <c r="Q24" s="18" t="s">
        <v>25</v>
      </c>
      <c r="R24" s="23"/>
      <c r="S24" s="21" t="s">
        <v>23</v>
      </c>
      <c r="T24" s="21" t="s">
        <v>24</v>
      </c>
      <c r="U24" s="18" t="s">
        <v>25</v>
      </c>
      <c r="V24" s="1531"/>
      <c r="W24" s="1531"/>
      <c r="Y24" s="158"/>
      <c r="Z24" s="159" t="s">
        <v>217</v>
      </c>
      <c r="AA24" s="157">
        <f>AA11+AA15+AA19</f>
        <v>230</v>
      </c>
    </row>
    <row r="25" spans="2:27" s="3" customFormat="1" ht="15" thickTop="1">
      <c r="B25" s="13" t="s">
        <v>205</v>
      </c>
      <c r="C25" s="16">
        <v>0.375</v>
      </c>
      <c r="D25" s="16">
        <v>0.16666666666666666</v>
      </c>
      <c r="E25" s="19">
        <v>7</v>
      </c>
      <c r="F25" s="24"/>
      <c r="G25" s="16">
        <v>0.375</v>
      </c>
      <c r="H25" s="16" t="s">
        <v>222</v>
      </c>
      <c r="I25" s="19">
        <v>7</v>
      </c>
      <c r="J25" s="24"/>
      <c r="K25" s="12" t="s">
        <v>75</v>
      </c>
      <c r="L25" s="16">
        <v>0.22916666666666666</v>
      </c>
      <c r="M25" s="19">
        <v>8</v>
      </c>
      <c r="N25" s="24"/>
      <c r="O25" s="12" t="s">
        <v>75</v>
      </c>
      <c r="P25" s="16">
        <v>0.16666666666666666</v>
      </c>
      <c r="Q25" s="19">
        <v>7</v>
      </c>
      <c r="R25" s="24"/>
      <c r="S25" s="12">
        <v>0</v>
      </c>
      <c r="T25" s="12">
        <v>0</v>
      </c>
      <c r="U25" s="19">
        <v>0</v>
      </c>
      <c r="V25" s="146">
        <f>I25+E25+M25+Q25</f>
        <v>29</v>
      </c>
      <c r="W25" s="146">
        <f>7+4+5+5</f>
        <v>21</v>
      </c>
      <c r="Y25" s="37"/>
      <c r="Z25" s="37"/>
      <c r="AA25" s="37"/>
    </row>
    <row r="26" spans="2:27" s="3" customFormat="1" ht="15" thickBot="1">
      <c r="B26" s="40" t="s">
        <v>206</v>
      </c>
      <c r="C26" s="41">
        <v>0</v>
      </c>
      <c r="D26" s="41">
        <v>0</v>
      </c>
      <c r="E26" s="42"/>
      <c r="F26" s="43"/>
      <c r="G26" s="44">
        <v>0.375</v>
      </c>
      <c r="H26" s="44">
        <v>0.20833333333333334</v>
      </c>
      <c r="I26" s="42">
        <v>8</v>
      </c>
      <c r="J26" s="43"/>
      <c r="K26" s="44">
        <v>0.375</v>
      </c>
      <c r="L26" s="44">
        <v>0.17708333333333334</v>
      </c>
      <c r="M26" s="42">
        <v>7.25</v>
      </c>
      <c r="N26" s="43"/>
      <c r="O26" s="44">
        <v>0.375</v>
      </c>
      <c r="P26" s="44">
        <v>0.16666666666666666</v>
      </c>
      <c r="Q26" s="42">
        <v>7</v>
      </c>
      <c r="R26" s="43"/>
      <c r="S26" s="44">
        <v>0.33333333333333331</v>
      </c>
      <c r="T26" s="44">
        <v>0.11458333333333333</v>
      </c>
      <c r="U26" s="42">
        <v>6.75</v>
      </c>
      <c r="V26" s="147">
        <f>I26+E26+M26+Q26+U26</f>
        <v>29</v>
      </c>
      <c r="W26" s="147">
        <f>6+7+7+6</f>
        <v>26</v>
      </c>
      <c r="Y26" s="37"/>
      <c r="Z26" s="37"/>
      <c r="AA26" s="37"/>
    </row>
    <row r="27" spans="2:27" s="1" customFormat="1" ht="14.25" thickTop="1">
      <c r="B27" s="1532" t="s">
        <v>216</v>
      </c>
      <c r="C27" s="1532"/>
      <c r="D27" s="1532"/>
      <c r="E27" s="1532"/>
      <c r="F27" s="1532"/>
      <c r="G27" s="1532"/>
      <c r="H27" s="1532"/>
      <c r="I27" s="1532"/>
      <c r="J27" s="1532"/>
      <c r="K27" s="1532"/>
      <c r="L27" s="1532"/>
      <c r="M27" s="1532"/>
      <c r="N27" s="1532"/>
      <c r="O27" s="1532"/>
      <c r="P27" s="1532"/>
      <c r="Q27" s="1532"/>
      <c r="R27" s="1532"/>
      <c r="S27" s="1532"/>
      <c r="T27" s="1532"/>
      <c r="U27" s="1532"/>
      <c r="V27" s="146">
        <f>SUM(V25:V26)</f>
        <v>58</v>
      </c>
      <c r="W27" s="146">
        <f>SUM(W25:W26)</f>
        <v>47</v>
      </c>
    </row>
    <row r="28" spans="2:27" s="1" customFormat="1">
      <c r="B28" s="31" t="s">
        <v>193</v>
      </c>
      <c r="C28" s="56"/>
      <c r="D28" s="57"/>
      <c r="E28" s="19">
        <v>0.25</v>
      </c>
      <c r="F28" s="59"/>
      <c r="G28" s="57"/>
      <c r="H28" s="57"/>
      <c r="I28" s="19">
        <v>0.5</v>
      </c>
      <c r="J28" s="59"/>
      <c r="K28" s="57"/>
      <c r="L28" s="57"/>
      <c r="M28" s="19">
        <v>0.5</v>
      </c>
      <c r="N28" s="59"/>
      <c r="O28" s="57"/>
      <c r="P28" s="57"/>
      <c r="Q28" s="19">
        <v>0.5</v>
      </c>
      <c r="R28" s="59"/>
      <c r="S28" s="57"/>
      <c r="T28" s="57"/>
      <c r="U28" s="19">
        <v>2</v>
      </c>
      <c r="V28" s="35">
        <f>SUM(E28:U28)</f>
        <v>3.75</v>
      </c>
      <c r="W28" s="35"/>
    </row>
    <row r="29" spans="2:27" s="1" customFormat="1">
      <c r="B29" s="31" t="s">
        <v>194</v>
      </c>
      <c r="C29" s="56"/>
      <c r="D29" s="57"/>
      <c r="E29" s="54"/>
      <c r="F29" s="59"/>
      <c r="G29" s="57"/>
      <c r="H29" s="57"/>
      <c r="I29" s="54"/>
      <c r="J29" s="59"/>
      <c r="K29" s="57"/>
      <c r="L29" s="57"/>
      <c r="M29" s="54"/>
      <c r="N29" s="59"/>
      <c r="O29" s="57"/>
      <c r="P29" s="57"/>
      <c r="Q29" s="54"/>
      <c r="R29" s="59"/>
      <c r="S29" s="57"/>
      <c r="T29" s="57"/>
      <c r="U29" s="54"/>
      <c r="V29" s="35"/>
      <c r="W29" s="35"/>
    </row>
    <row r="30" spans="2:27" s="1" customFormat="1" ht="14.25">
      <c r="C30" s="3"/>
      <c r="V30" s="38"/>
      <c r="W30" s="38"/>
    </row>
    <row r="31" spans="2:27" s="3" customFormat="1" ht="13.5" customHeight="1">
      <c r="B31" s="1518" t="s">
        <v>18</v>
      </c>
      <c r="C31" s="1536">
        <v>0</v>
      </c>
      <c r="D31" s="1536"/>
      <c r="E31" s="1536"/>
      <c r="F31" s="22"/>
      <c r="G31" s="1524">
        <v>45076</v>
      </c>
      <c r="H31" s="1524"/>
      <c r="I31" s="1524"/>
      <c r="J31" s="22"/>
      <c r="K31" s="1524">
        <v>45077</v>
      </c>
      <c r="L31" s="1524"/>
      <c r="M31" s="1524"/>
      <c r="N31" s="22"/>
      <c r="O31" s="1524">
        <v>45078</v>
      </c>
      <c r="P31" s="1524"/>
      <c r="Q31" s="1524"/>
      <c r="R31" s="22"/>
      <c r="S31" s="1524">
        <v>45079</v>
      </c>
      <c r="T31" s="1524"/>
      <c r="U31" s="1524"/>
      <c r="V31" s="1530" t="s">
        <v>19</v>
      </c>
      <c r="W31" s="1530" t="s">
        <v>207</v>
      </c>
    </row>
    <row r="32" spans="2:27" s="3" customFormat="1">
      <c r="B32" s="1518"/>
      <c r="C32" s="1536"/>
      <c r="D32" s="1536"/>
      <c r="E32" s="1536"/>
      <c r="F32" s="23"/>
      <c r="G32" s="21" t="s">
        <v>23</v>
      </c>
      <c r="H32" s="21" t="s">
        <v>24</v>
      </c>
      <c r="I32" s="18" t="s">
        <v>25</v>
      </c>
      <c r="J32" s="23"/>
      <c r="K32" s="21" t="s">
        <v>23</v>
      </c>
      <c r="L32" s="21" t="s">
        <v>24</v>
      </c>
      <c r="M32" s="18" t="s">
        <v>25</v>
      </c>
      <c r="N32" s="23"/>
      <c r="O32" s="21" t="s">
        <v>23</v>
      </c>
      <c r="P32" s="21" t="s">
        <v>24</v>
      </c>
      <c r="Q32" s="18" t="s">
        <v>25</v>
      </c>
      <c r="R32" s="23"/>
      <c r="S32" s="21" t="s">
        <v>23</v>
      </c>
      <c r="T32" s="21" t="s">
        <v>24</v>
      </c>
      <c r="U32" s="18" t="s">
        <v>25</v>
      </c>
      <c r="V32" s="1531"/>
      <c r="W32" s="1531"/>
    </row>
    <row r="33" spans="2:23" s="3" customFormat="1" ht="14.25">
      <c r="B33" s="13" t="s">
        <v>205</v>
      </c>
      <c r="C33" s="1536"/>
      <c r="D33" s="1536"/>
      <c r="E33" s="1536"/>
      <c r="F33" s="24"/>
      <c r="G33" s="16">
        <v>0.375</v>
      </c>
      <c r="H33" s="16">
        <v>0.125</v>
      </c>
      <c r="I33" s="19">
        <v>6</v>
      </c>
      <c r="J33" s="24"/>
      <c r="K33" s="12" t="s">
        <v>75</v>
      </c>
      <c r="L33" s="16">
        <v>0.16666666666666666</v>
      </c>
      <c r="M33" s="19">
        <v>7</v>
      </c>
      <c r="N33" s="24"/>
      <c r="O33" s="16">
        <v>0.375</v>
      </c>
      <c r="P33" s="47">
        <v>0.16666666666666666</v>
      </c>
      <c r="Q33" s="19">
        <v>7</v>
      </c>
      <c r="R33" s="24"/>
      <c r="S33" s="12">
        <v>0</v>
      </c>
      <c r="T33" s="12">
        <v>0</v>
      </c>
      <c r="U33" s="19">
        <v>0</v>
      </c>
      <c r="V33" s="146">
        <f>I33+E33+M33+Q33</f>
        <v>20</v>
      </c>
      <c r="W33" s="146">
        <f>6+6+4</f>
        <v>16</v>
      </c>
    </row>
    <row r="34" spans="2:23" s="3" customFormat="1" ht="15" thickBot="1">
      <c r="B34" s="13" t="s">
        <v>206</v>
      </c>
      <c r="C34" s="1536"/>
      <c r="D34" s="1536"/>
      <c r="E34" s="1536"/>
      <c r="F34" s="25"/>
      <c r="G34" s="16">
        <v>0.375</v>
      </c>
      <c r="H34" s="16">
        <v>0.19791666666666666</v>
      </c>
      <c r="I34" s="20">
        <v>7</v>
      </c>
      <c r="J34" s="25"/>
      <c r="K34" s="16">
        <v>0.375</v>
      </c>
      <c r="L34" s="16">
        <v>0.16666666666666666</v>
      </c>
      <c r="M34" s="20">
        <v>7</v>
      </c>
      <c r="N34" s="25"/>
      <c r="O34" s="12">
        <v>0</v>
      </c>
      <c r="P34" s="12">
        <v>0</v>
      </c>
      <c r="Q34" s="20">
        <v>0</v>
      </c>
      <c r="R34" s="25"/>
      <c r="S34" s="12">
        <v>0</v>
      </c>
      <c r="T34" s="12">
        <v>0</v>
      </c>
      <c r="U34" s="20">
        <v>0</v>
      </c>
      <c r="V34" s="147">
        <f>I34+E34+M34+Q34+U34</f>
        <v>14</v>
      </c>
      <c r="W34" s="147">
        <f>7+5</f>
        <v>12</v>
      </c>
    </row>
    <row r="35" spans="2:23" s="1" customFormat="1" ht="14.25" thickTop="1">
      <c r="B35" s="1532" t="s">
        <v>216</v>
      </c>
      <c r="C35" s="1532"/>
      <c r="D35" s="1532"/>
      <c r="E35" s="1532"/>
      <c r="F35" s="1532"/>
      <c r="G35" s="1532"/>
      <c r="H35" s="1532"/>
      <c r="I35" s="1532"/>
      <c r="J35" s="1532"/>
      <c r="K35" s="1532"/>
      <c r="L35" s="1532"/>
      <c r="M35" s="1532"/>
      <c r="N35" s="1532"/>
      <c r="O35" s="1532"/>
      <c r="P35" s="1532"/>
      <c r="Q35" s="1532"/>
      <c r="R35" s="1532"/>
      <c r="S35" s="1532"/>
      <c r="T35" s="1532"/>
      <c r="U35" s="1532"/>
      <c r="V35" s="146">
        <f>SUM(V33:V34)</f>
        <v>34</v>
      </c>
      <c r="W35" s="146">
        <f>SUM(W33:W34)</f>
        <v>28</v>
      </c>
    </row>
    <row r="36" spans="2:23" s="1" customFormat="1">
      <c r="B36" s="31" t="s">
        <v>193</v>
      </c>
      <c r="C36" s="56"/>
      <c r="D36" s="57"/>
      <c r="E36" s="19">
        <v>0</v>
      </c>
      <c r="F36" s="59"/>
      <c r="G36" s="57"/>
      <c r="H36" s="57"/>
      <c r="I36" s="19">
        <v>1.25</v>
      </c>
      <c r="J36" s="59"/>
      <c r="K36" s="57"/>
      <c r="L36" s="57"/>
      <c r="M36" s="19">
        <v>1.5</v>
      </c>
      <c r="N36" s="59"/>
      <c r="O36" s="57"/>
      <c r="P36" s="57"/>
      <c r="Q36" s="19">
        <v>0.5</v>
      </c>
      <c r="R36" s="59"/>
      <c r="S36" s="57"/>
      <c r="T36" s="57"/>
      <c r="U36" s="19">
        <v>0.25</v>
      </c>
      <c r="V36" s="144">
        <f>SUM(E36:U36)</f>
        <v>3.5</v>
      </c>
      <c r="W36" s="35"/>
    </row>
    <row r="37" spans="2:23" s="1" customFormat="1">
      <c r="B37" s="31" t="s">
        <v>194</v>
      </c>
      <c r="C37" s="56"/>
      <c r="D37" s="57"/>
      <c r="E37" s="54"/>
      <c r="F37" s="59"/>
      <c r="G37" s="57"/>
      <c r="H37" s="57"/>
      <c r="I37" s="54"/>
      <c r="J37" s="59"/>
      <c r="K37" s="57"/>
      <c r="L37" s="57"/>
      <c r="M37" s="54"/>
      <c r="N37" s="59"/>
      <c r="O37" s="57"/>
      <c r="P37" s="57"/>
      <c r="Q37" s="54"/>
      <c r="R37" s="59"/>
      <c r="S37" s="57"/>
      <c r="T37" s="57"/>
      <c r="U37" s="54"/>
      <c r="V37" s="35"/>
      <c r="W37" s="35"/>
    </row>
    <row r="38" spans="2:23" s="1" customFormat="1">
      <c r="C38" s="3"/>
    </row>
    <row r="39" spans="2:23" s="3" customFormat="1" ht="13.5" customHeight="1">
      <c r="B39" s="1518" t="s">
        <v>18</v>
      </c>
      <c r="C39" s="1524">
        <v>45082</v>
      </c>
      <c r="D39" s="1524"/>
      <c r="E39" s="1524"/>
      <c r="F39" s="22"/>
      <c r="G39" s="1524">
        <v>45083</v>
      </c>
      <c r="H39" s="1524"/>
      <c r="I39" s="1524"/>
      <c r="J39" s="22"/>
      <c r="K39" s="1524">
        <v>45084</v>
      </c>
      <c r="L39" s="1524"/>
      <c r="M39" s="1524"/>
      <c r="N39" s="22"/>
      <c r="O39" s="1524">
        <v>45085</v>
      </c>
      <c r="P39" s="1524"/>
      <c r="Q39" s="1524"/>
      <c r="R39" s="22"/>
      <c r="S39" s="1524">
        <v>45086</v>
      </c>
      <c r="T39" s="1524"/>
      <c r="U39" s="1524"/>
      <c r="V39" s="1530" t="s">
        <v>19</v>
      </c>
      <c r="W39" s="1530" t="s">
        <v>207</v>
      </c>
    </row>
    <row r="40" spans="2:23" s="3" customFormat="1" ht="13.35" customHeight="1">
      <c r="B40" s="1518"/>
      <c r="C40" s="21" t="s">
        <v>23</v>
      </c>
      <c r="D40" s="21" t="s">
        <v>24</v>
      </c>
      <c r="E40" s="18" t="s">
        <v>25</v>
      </c>
      <c r="F40" s="23"/>
      <c r="G40" s="21" t="s">
        <v>23</v>
      </c>
      <c r="H40" s="21" t="s">
        <v>24</v>
      </c>
      <c r="I40" s="18" t="s">
        <v>25</v>
      </c>
      <c r="J40" s="23"/>
      <c r="K40" s="21" t="s">
        <v>23</v>
      </c>
      <c r="L40" s="21" t="s">
        <v>24</v>
      </c>
      <c r="M40" s="18" t="s">
        <v>25</v>
      </c>
      <c r="N40" s="23"/>
      <c r="O40" s="21" t="s">
        <v>23</v>
      </c>
      <c r="P40" s="21" t="s">
        <v>24</v>
      </c>
      <c r="Q40" s="18" t="s">
        <v>25</v>
      </c>
      <c r="R40" s="23"/>
      <c r="S40" s="21" t="s">
        <v>23</v>
      </c>
      <c r="T40" s="21" t="s">
        <v>24</v>
      </c>
      <c r="U40" s="18" t="s">
        <v>25</v>
      </c>
      <c r="V40" s="1531"/>
      <c r="W40" s="1531"/>
    </row>
    <row r="41" spans="2:23" s="3" customFormat="1" ht="13.35" customHeight="1" thickBot="1">
      <c r="B41" s="13" t="s">
        <v>205</v>
      </c>
      <c r="C41" s="12" t="s">
        <v>75</v>
      </c>
      <c r="D41" s="47">
        <v>0.14583333333333334</v>
      </c>
      <c r="E41" s="19">
        <v>6.5</v>
      </c>
      <c r="F41" s="24"/>
      <c r="G41" s="12" t="s">
        <v>75</v>
      </c>
      <c r="H41" s="47">
        <v>0.22916666666666666</v>
      </c>
      <c r="I41" s="19">
        <v>8.5</v>
      </c>
      <c r="J41" s="24"/>
      <c r="K41" s="47">
        <v>0.375</v>
      </c>
      <c r="L41" s="47">
        <v>0.21875</v>
      </c>
      <c r="M41" s="19">
        <v>8.25</v>
      </c>
      <c r="N41" s="24"/>
      <c r="O41" s="47">
        <v>0.375</v>
      </c>
      <c r="P41" s="47">
        <v>8.3333333333333329E-2</v>
      </c>
      <c r="Q41" s="19">
        <v>5</v>
      </c>
      <c r="R41" s="24"/>
      <c r="S41" s="52">
        <v>0</v>
      </c>
      <c r="T41" s="52">
        <v>0</v>
      </c>
      <c r="U41" s="19">
        <v>0</v>
      </c>
      <c r="V41" s="35">
        <f>I41+E41+M41+Q41</f>
        <v>28.25</v>
      </c>
      <c r="W41" s="146">
        <f>7+4+9+9</f>
        <v>29</v>
      </c>
    </row>
    <row r="42" spans="2:23" s="3" customFormat="1" ht="14.1" customHeight="1" thickTop="1" thickBot="1">
      <c r="B42" s="13" t="s">
        <v>206</v>
      </c>
      <c r="C42" s="52">
        <v>0</v>
      </c>
      <c r="D42" s="52">
        <v>0</v>
      </c>
      <c r="E42" s="19">
        <v>0</v>
      </c>
      <c r="F42" s="25"/>
      <c r="G42" s="12" t="s">
        <v>75</v>
      </c>
      <c r="H42" s="47">
        <v>0.21875</v>
      </c>
      <c r="I42" s="20">
        <v>8.25</v>
      </c>
      <c r="J42" s="25"/>
      <c r="K42" s="4">
        <v>0</v>
      </c>
      <c r="L42" s="4">
        <v>0</v>
      </c>
      <c r="M42" s="20">
        <v>0</v>
      </c>
      <c r="N42" s="25"/>
      <c r="O42" s="52">
        <v>0</v>
      </c>
      <c r="P42" s="52">
        <v>0</v>
      </c>
      <c r="Q42" s="20">
        <v>0</v>
      </c>
      <c r="R42" s="25"/>
      <c r="S42" s="52">
        <v>0</v>
      </c>
      <c r="T42" s="52">
        <v>0</v>
      </c>
      <c r="U42" s="20">
        <v>0</v>
      </c>
      <c r="V42" s="39">
        <f>I42+E42+M42+Q42+U42</f>
        <v>8.25</v>
      </c>
      <c r="W42" s="147">
        <v>5</v>
      </c>
    </row>
    <row r="43" spans="2:23" s="1" customFormat="1" ht="14.1" customHeight="1" thickTop="1">
      <c r="B43" s="1532" t="s">
        <v>216</v>
      </c>
      <c r="C43" s="1532"/>
      <c r="D43" s="1532"/>
      <c r="E43" s="1532"/>
      <c r="F43" s="1532"/>
      <c r="G43" s="1532"/>
      <c r="H43" s="1532"/>
      <c r="I43" s="1532"/>
      <c r="J43" s="1532"/>
      <c r="K43" s="1532"/>
      <c r="L43" s="1532"/>
      <c r="M43" s="1532"/>
      <c r="N43" s="1532"/>
      <c r="O43" s="1532"/>
      <c r="P43" s="1532"/>
      <c r="Q43" s="1532"/>
      <c r="R43" s="1532"/>
      <c r="S43" s="1532"/>
      <c r="T43" s="1532"/>
      <c r="U43" s="1532"/>
      <c r="V43" s="144">
        <f>SUM(V41:V42)</f>
        <v>36.5</v>
      </c>
      <c r="W43" s="146">
        <f>SUM(W41:W42)</f>
        <v>34</v>
      </c>
    </row>
    <row r="44" spans="2:23" s="1" customFormat="1" ht="13.35" customHeight="1">
      <c r="B44" s="31" t="s">
        <v>193</v>
      </c>
      <c r="C44" s="56"/>
      <c r="D44" s="57"/>
      <c r="E44" s="19">
        <v>0.25</v>
      </c>
      <c r="F44" s="59"/>
      <c r="G44" s="57"/>
      <c r="H44" s="57"/>
      <c r="I44" s="19">
        <v>0.5</v>
      </c>
      <c r="J44" s="59"/>
      <c r="K44" s="57"/>
      <c r="L44" s="57"/>
      <c r="M44" s="19">
        <v>0.5</v>
      </c>
      <c r="N44" s="59"/>
      <c r="O44" s="57"/>
      <c r="P44" s="57"/>
      <c r="Q44" s="19">
        <v>0.25</v>
      </c>
      <c r="R44" s="59"/>
      <c r="S44" s="57"/>
      <c r="T44" s="57"/>
      <c r="U44" s="19">
        <v>0.25</v>
      </c>
      <c r="V44" s="35">
        <f>SUM(E44:U44)</f>
        <v>1.75</v>
      </c>
      <c r="W44" s="35"/>
    </row>
    <row r="45" spans="2:23" s="1" customFormat="1" ht="13.35" customHeight="1">
      <c r="B45" s="31" t="s">
        <v>194</v>
      </c>
      <c r="C45" s="56"/>
      <c r="D45" s="57"/>
      <c r="E45" s="54"/>
      <c r="F45" s="59"/>
      <c r="G45" s="57"/>
      <c r="H45" s="57"/>
      <c r="I45" s="54"/>
      <c r="J45" s="59"/>
      <c r="K45" s="57"/>
      <c r="L45" s="57"/>
      <c r="M45" s="54"/>
      <c r="N45" s="59"/>
      <c r="O45" s="57"/>
      <c r="P45" s="57"/>
      <c r="Q45" s="54"/>
      <c r="R45" s="59"/>
      <c r="S45" s="57"/>
      <c r="T45" s="57"/>
      <c r="U45" s="54"/>
      <c r="V45" s="35"/>
      <c r="W45" s="35"/>
    </row>
    <row r="46" spans="2:23" s="1" customFormat="1">
      <c r="C46" s="3"/>
    </row>
    <row r="47" spans="2:23" s="3" customFormat="1">
      <c r="B47" s="1518" t="s">
        <v>18</v>
      </c>
      <c r="C47" s="1524">
        <v>45089</v>
      </c>
      <c r="D47" s="1524"/>
      <c r="E47" s="1524"/>
      <c r="F47" s="22"/>
      <c r="G47" s="1524">
        <v>45090</v>
      </c>
      <c r="H47" s="1524"/>
      <c r="I47" s="1524"/>
      <c r="J47" s="22"/>
      <c r="K47" s="1524">
        <v>45091</v>
      </c>
      <c r="L47" s="1524"/>
      <c r="M47" s="1524"/>
      <c r="N47" s="22"/>
      <c r="O47" s="1524">
        <v>45092</v>
      </c>
      <c r="P47" s="1524"/>
      <c r="Q47" s="1524"/>
      <c r="R47" s="22"/>
      <c r="S47" s="1524">
        <v>45093</v>
      </c>
      <c r="T47" s="1524"/>
      <c r="U47" s="1524"/>
      <c r="V47" s="1530" t="s">
        <v>19</v>
      </c>
      <c r="W47" s="1530" t="s">
        <v>207</v>
      </c>
    </row>
    <row r="48" spans="2:23" s="3" customFormat="1" ht="13.35" customHeight="1">
      <c r="B48" s="1518"/>
      <c r="C48" s="21" t="s">
        <v>23</v>
      </c>
      <c r="D48" s="21" t="s">
        <v>24</v>
      </c>
      <c r="E48" s="18" t="s">
        <v>25</v>
      </c>
      <c r="F48" s="23"/>
      <c r="G48" s="21" t="s">
        <v>23</v>
      </c>
      <c r="H48" s="21" t="s">
        <v>24</v>
      </c>
      <c r="I48" s="18" t="s">
        <v>25</v>
      </c>
      <c r="J48" s="23"/>
      <c r="K48" s="21" t="s">
        <v>23</v>
      </c>
      <c r="L48" s="21" t="s">
        <v>24</v>
      </c>
      <c r="M48" s="18" t="s">
        <v>25</v>
      </c>
      <c r="N48" s="23"/>
      <c r="O48" s="21" t="s">
        <v>23</v>
      </c>
      <c r="P48" s="21" t="s">
        <v>24</v>
      </c>
      <c r="Q48" s="18" t="s">
        <v>25</v>
      </c>
      <c r="R48" s="23"/>
      <c r="S48" s="21" t="s">
        <v>23</v>
      </c>
      <c r="T48" s="21" t="s">
        <v>24</v>
      </c>
      <c r="U48" s="18" t="s">
        <v>25</v>
      </c>
      <c r="V48" s="1531"/>
      <c r="W48" s="1531"/>
    </row>
    <row r="49" spans="2:23" s="3" customFormat="1" ht="13.35" customHeight="1" thickBot="1">
      <c r="B49" s="13" t="s">
        <v>205</v>
      </c>
      <c r="C49" s="52">
        <v>0</v>
      </c>
      <c r="D49" s="52">
        <v>0</v>
      </c>
      <c r="E49" s="19">
        <v>0</v>
      </c>
      <c r="F49" s="24"/>
      <c r="G49" s="12" t="s">
        <v>75</v>
      </c>
      <c r="H49" s="47">
        <v>0.20833333333333334</v>
      </c>
      <c r="I49" s="19">
        <v>7.5</v>
      </c>
      <c r="J49" s="24"/>
      <c r="K49" s="12" t="s">
        <v>75</v>
      </c>
      <c r="L49" s="47">
        <v>0.25</v>
      </c>
      <c r="M49" s="19">
        <v>8.5</v>
      </c>
      <c r="N49" s="24"/>
      <c r="O49" s="12" t="s">
        <v>75</v>
      </c>
      <c r="P49" s="47">
        <v>0.20833333333333334</v>
      </c>
      <c r="Q49" s="19">
        <v>8</v>
      </c>
      <c r="R49" s="24"/>
      <c r="S49" s="52">
        <v>0</v>
      </c>
      <c r="T49" s="52">
        <v>0</v>
      </c>
      <c r="U49" s="19">
        <v>0</v>
      </c>
      <c r="V49" s="146">
        <f>I49+E49+M49+U49+Q49</f>
        <v>24</v>
      </c>
      <c r="W49" s="146">
        <f>6+7+6</f>
        <v>19</v>
      </c>
    </row>
    <row r="50" spans="2:23" s="3" customFormat="1" ht="15.75" thickTop="1" thickBot="1">
      <c r="B50" s="13" t="s">
        <v>206</v>
      </c>
      <c r="C50" s="52">
        <v>0</v>
      </c>
      <c r="D50" s="52">
        <v>0</v>
      </c>
      <c r="E50" s="19">
        <v>0</v>
      </c>
      <c r="F50" s="25"/>
      <c r="G50" s="12" t="s">
        <v>75</v>
      </c>
      <c r="H50" s="47">
        <v>0.1875</v>
      </c>
      <c r="I50" s="20">
        <v>6.5</v>
      </c>
      <c r="J50" s="25"/>
      <c r="K50" s="4">
        <v>0</v>
      </c>
      <c r="L50" s="4">
        <v>0</v>
      </c>
      <c r="M50" s="20">
        <v>0</v>
      </c>
      <c r="N50" s="25"/>
      <c r="O50" s="4">
        <v>0</v>
      </c>
      <c r="P50" s="4">
        <v>0</v>
      </c>
      <c r="Q50" s="20">
        <v>0</v>
      </c>
      <c r="R50" s="25"/>
      <c r="S50" s="4">
        <v>0</v>
      </c>
      <c r="T50" s="4">
        <v>0</v>
      </c>
      <c r="U50" s="20">
        <v>0</v>
      </c>
      <c r="V50" s="145">
        <f>I50+E50+M50+Q50+U50</f>
        <v>6.5</v>
      </c>
      <c r="W50" s="147">
        <f>6</f>
        <v>6</v>
      </c>
    </row>
    <row r="51" spans="2:23" s="1" customFormat="1" ht="14.25" thickTop="1">
      <c r="B51" s="1532" t="s">
        <v>216</v>
      </c>
      <c r="C51" s="1532"/>
      <c r="D51" s="1532"/>
      <c r="E51" s="1532"/>
      <c r="F51" s="1532"/>
      <c r="G51" s="1532"/>
      <c r="H51" s="1532"/>
      <c r="I51" s="1532"/>
      <c r="J51" s="1532"/>
      <c r="K51" s="1532"/>
      <c r="L51" s="1532"/>
      <c r="M51" s="1532"/>
      <c r="N51" s="1532"/>
      <c r="O51" s="1532"/>
      <c r="P51" s="1532"/>
      <c r="Q51" s="1532"/>
      <c r="R51" s="1532"/>
      <c r="S51" s="1532"/>
      <c r="T51" s="1532"/>
      <c r="U51" s="1532"/>
      <c r="V51" s="144">
        <f>SUM(V49:V50)</f>
        <v>30.5</v>
      </c>
      <c r="W51" s="146">
        <f>SUM(W49:W50)</f>
        <v>25</v>
      </c>
    </row>
    <row r="52" spans="2:23" s="1" customFormat="1" ht="13.35" customHeight="1">
      <c r="B52" s="31" t="s">
        <v>193</v>
      </c>
      <c r="C52" s="56"/>
      <c r="D52" s="56"/>
      <c r="E52" s="19">
        <v>0.25</v>
      </c>
      <c r="F52" s="60"/>
      <c r="G52" s="56"/>
      <c r="H52" s="56"/>
      <c r="I52" s="19">
        <v>0.75</v>
      </c>
      <c r="J52" s="60"/>
      <c r="K52" s="56"/>
      <c r="L52" s="56"/>
      <c r="M52" s="19">
        <v>0.25</v>
      </c>
      <c r="N52" s="60"/>
      <c r="O52" s="56"/>
      <c r="P52" s="56"/>
      <c r="Q52" s="19"/>
      <c r="R52" s="60"/>
      <c r="S52" s="56"/>
      <c r="T52" s="56"/>
      <c r="U52" s="19"/>
      <c r="V52" s="35">
        <f>SUM(E52:U52)</f>
        <v>1.25</v>
      </c>
      <c r="W52" s="35"/>
    </row>
    <row r="53" spans="2:23" s="1" customFormat="1" ht="13.35" customHeight="1">
      <c r="B53" s="31" t="s">
        <v>194</v>
      </c>
      <c r="C53" s="56"/>
      <c r="D53" s="56"/>
      <c r="E53" s="19"/>
      <c r="F53" s="60"/>
      <c r="G53" s="56"/>
      <c r="H53" s="56"/>
      <c r="I53" s="19"/>
      <c r="J53" s="60"/>
      <c r="K53" s="56"/>
      <c r="L53" s="56"/>
      <c r="M53" s="19"/>
      <c r="N53" s="60"/>
      <c r="O53" s="56"/>
      <c r="P53" s="56"/>
      <c r="Q53" s="19"/>
      <c r="R53" s="60"/>
      <c r="S53" s="56"/>
      <c r="T53" s="56"/>
      <c r="U53" s="19"/>
      <c r="V53" s="35"/>
      <c r="W53" s="35"/>
    </row>
    <row r="54" spans="2:23" s="1" customFormat="1">
      <c r="C54" s="3"/>
    </row>
    <row r="55" spans="2:23" s="3" customFormat="1">
      <c r="B55" s="1518" t="s">
        <v>18</v>
      </c>
      <c r="C55" s="1524">
        <v>45096</v>
      </c>
      <c r="D55" s="1524"/>
      <c r="E55" s="1524"/>
      <c r="F55" s="22"/>
      <c r="G55" s="1524">
        <v>45097</v>
      </c>
      <c r="H55" s="1524"/>
      <c r="I55" s="1524"/>
      <c r="J55" s="22"/>
      <c r="K55" s="1524">
        <v>45098</v>
      </c>
      <c r="L55" s="1524"/>
      <c r="M55" s="1524"/>
      <c r="N55" s="22"/>
      <c r="O55" s="1524">
        <v>45099</v>
      </c>
      <c r="P55" s="1524"/>
      <c r="Q55" s="1524"/>
      <c r="R55" s="22"/>
      <c r="S55" s="1524">
        <v>45100</v>
      </c>
      <c r="T55" s="1524"/>
      <c r="U55" s="1524"/>
      <c r="V55" s="1530" t="s">
        <v>19</v>
      </c>
      <c r="W55" s="1530" t="s">
        <v>207</v>
      </c>
    </row>
    <row r="56" spans="2:23" s="3" customFormat="1" ht="13.35" customHeight="1">
      <c r="B56" s="1518"/>
      <c r="C56" s="21" t="s">
        <v>23</v>
      </c>
      <c r="D56" s="21" t="s">
        <v>24</v>
      </c>
      <c r="E56" s="18" t="s">
        <v>25</v>
      </c>
      <c r="F56" s="23"/>
      <c r="G56" s="21" t="s">
        <v>23</v>
      </c>
      <c r="H56" s="21" t="s">
        <v>24</v>
      </c>
      <c r="I56" s="18" t="s">
        <v>25</v>
      </c>
      <c r="J56" s="23"/>
      <c r="K56" s="21" t="s">
        <v>23</v>
      </c>
      <c r="L56" s="21" t="s">
        <v>24</v>
      </c>
      <c r="M56" s="18" t="s">
        <v>25</v>
      </c>
      <c r="N56" s="23"/>
      <c r="O56" s="21" t="s">
        <v>23</v>
      </c>
      <c r="P56" s="21" t="s">
        <v>24</v>
      </c>
      <c r="Q56" s="18" t="s">
        <v>25</v>
      </c>
      <c r="R56" s="23"/>
      <c r="S56" s="21" t="s">
        <v>23</v>
      </c>
      <c r="T56" s="21" t="s">
        <v>24</v>
      </c>
      <c r="U56" s="18" t="s">
        <v>25</v>
      </c>
      <c r="V56" s="1531"/>
      <c r="W56" s="1531"/>
    </row>
    <row r="57" spans="2:23" s="3" customFormat="1" ht="15" thickBot="1">
      <c r="B57" s="13" t="s">
        <v>205</v>
      </c>
      <c r="C57" s="52">
        <v>0</v>
      </c>
      <c r="D57" s="52">
        <v>0</v>
      </c>
      <c r="E57" s="19">
        <v>0</v>
      </c>
      <c r="F57" s="24"/>
      <c r="G57" s="47">
        <v>0.375</v>
      </c>
      <c r="H57" s="47">
        <v>0.19791666666666666</v>
      </c>
      <c r="I57" s="19">
        <v>7.25</v>
      </c>
      <c r="J57" s="24"/>
      <c r="K57" s="47">
        <v>0.39583333333333331</v>
      </c>
      <c r="L57" s="47">
        <v>0.16666666666666666</v>
      </c>
      <c r="M57" s="19">
        <v>6.5</v>
      </c>
      <c r="N57" s="24"/>
      <c r="O57" s="47">
        <v>0.375</v>
      </c>
      <c r="P57" s="47">
        <v>0.14583333333333334</v>
      </c>
      <c r="Q57" s="19">
        <v>6.5</v>
      </c>
      <c r="R57" s="24"/>
      <c r="S57" s="52">
        <v>0</v>
      </c>
      <c r="T57" s="52">
        <v>0</v>
      </c>
      <c r="U57" s="19">
        <v>0</v>
      </c>
      <c r="V57" s="35">
        <f>I57+E57+M57+U57+Q57</f>
        <v>20.25</v>
      </c>
      <c r="W57" s="146">
        <f>5+6+5</f>
        <v>16</v>
      </c>
    </row>
    <row r="58" spans="2:23" s="1" customFormat="1" ht="14.25" thickTop="1">
      <c r="B58" s="1532" t="s">
        <v>216</v>
      </c>
      <c r="C58" s="1532"/>
      <c r="D58" s="1532"/>
      <c r="E58" s="1532"/>
      <c r="F58" s="1532"/>
      <c r="G58" s="1532"/>
      <c r="H58" s="1532"/>
      <c r="I58" s="1532"/>
      <c r="J58" s="1532"/>
      <c r="K58" s="1532"/>
      <c r="L58" s="1532"/>
      <c r="M58" s="1532"/>
      <c r="N58" s="1532"/>
      <c r="O58" s="1532"/>
      <c r="P58" s="1532"/>
      <c r="Q58" s="1532"/>
      <c r="R58" s="1532"/>
      <c r="S58" s="1532"/>
      <c r="T58" s="1532"/>
      <c r="U58" s="1532"/>
      <c r="V58" s="35">
        <f>SUM(V57:V57)</f>
        <v>20.25</v>
      </c>
      <c r="W58" s="35"/>
    </row>
    <row r="59" spans="2:23" s="1" customFormat="1" ht="13.35" customHeight="1">
      <c r="B59" s="31" t="s">
        <v>193</v>
      </c>
      <c r="C59" s="56"/>
      <c r="D59" s="56"/>
      <c r="E59" s="19"/>
      <c r="F59" s="60"/>
      <c r="G59" s="56"/>
      <c r="H59" s="56"/>
      <c r="I59" s="19">
        <v>0.25</v>
      </c>
      <c r="J59" s="60"/>
      <c r="K59" s="56"/>
      <c r="L59" s="56"/>
      <c r="M59" s="19">
        <v>0.25</v>
      </c>
      <c r="N59" s="60"/>
      <c r="O59" s="56"/>
      <c r="P59" s="56"/>
      <c r="Q59" s="19">
        <v>0.5</v>
      </c>
      <c r="R59" s="60"/>
      <c r="S59" s="56"/>
      <c r="T59" s="56"/>
      <c r="U59" s="19"/>
      <c r="V59" s="146">
        <f>SUM(E59:U59)</f>
        <v>1</v>
      </c>
      <c r="W59" s="35"/>
    </row>
    <row r="60" spans="2:23" s="1" customFormat="1" ht="13.35" customHeight="1">
      <c r="B60" s="31" t="s">
        <v>194</v>
      </c>
      <c r="C60" s="56"/>
      <c r="D60" s="56"/>
      <c r="E60" s="19"/>
      <c r="F60" s="60"/>
      <c r="G60" s="56"/>
      <c r="H60" s="56"/>
      <c r="I60" s="19"/>
      <c r="J60" s="60"/>
      <c r="K60" s="56"/>
      <c r="L60" s="56"/>
      <c r="M60" s="19"/>
      <c r="N60" s="60"/>
      <c r="O60" s="56"/>
      <c r="P60" s="56"/>
      <c r="Q60" s="19"/>
      <c r="R60" s="60"/>
      <c r="S60" s="56"/>
      <c r="T60" s="56"/>
      <c r="U60" s="19"/>
      <c r="V60" s="35"/>
      <c r="W60" s="35"/>
    </row>
    <row r="61" spans="2:23" s="1" customFormat="1">
      <c r="C61" s="3"/>
    </row>
    <row r="62" spans="2:23" s="3" customFormat="1">
      <c r="B62" s="1518" t="s">
        <v>18</v>
      </c>
      <c r="C62" s="1524">
        <v>45103</v>
      </c>
      <c r="D62" s="1524"/>
      <c r="E62" s="1524"/>
      <c r="F62" s="22"/>
      <c r="G62" s="1524">
        <v>45104</v>
      </c>
      <c r="H62" s="1524"/>
      <c r="I62" s="1524"/>
      <c r="J62" s="22"/>
      <c r="K62" s="1524">
        <v>45105</v>
      </c>
      <c r="L62" s="1524"/>
      <c r="M62" s="1524"/>
      <c r="N62" s="22"/>
      <c r="O62" s="1524">
        <v>45106</v>
      </c>
      <c r="P62" s="1524"/>
      <c r="Q62" s="1524"/>
      <c r="R62" s="22"/>
      <c r="S62" s="1524">
        <v>45107</v>
      </c>
      <c r="T62" s="1524"/>
      <c r="U62" s="1524"/>
      <c r="V62" s="1530" t="s">
        <v>19</v>
      </c>
      <c r="W62" s="1530" t="s">
        <v>207</v>
      </c>
    </row>
    <row r="63" spans="2:23" s="3" customFormat="1" ht="13.35" customHeight="1">
      <c r="B63" s="1518"/>
      <c r="C63" s="21" t="s">
        <v>23</v>
      </c>
      <c r="D63" s="21" t="s">
        <v>24</v>
      </c>
      <c r="E63" s="18" t="s">
        <v>25</v>
      </c>
      <c r="F63" s="23"/>
      <c r="G63" s="21" t="s">
        <v>23</v>
      </c>
      <c r="H63" s="21" t="s">
        <v>24</v>
      </c>
      <c r="I63" s="18" t="s">
        <v>25</v>
      </c>
      <c r="J63" s="23"/>
      <c r="K63" s="21" t="s">
        <v>23</v>
      </c>
      <c r="L63" s="21" t="s">
        <v>24</v>
      </c>
      <c r="M63" s="18" t="s">
        <v>25</v>
      </c>
      <c r="N63" s="23"/>
      <c r="O63" s="21" t="s">
        <v>23</v>
      </c>
      <c r="P63" s="21" t="s">
        <v>24</v>
      </c>
      <c r="Q63" s="18" t="s">
        <v>25</v>
      </c>
      <c r="R63" s="23"/>
      <c r="S63" s="21" t="s">
        <v>23</v>
      </c>
      <c r="T63" s="21" t="s">
        <v>24</v>
      </c>
      <c r="U63" s="18" t="s">
        <v>25</v>
      </c>
      <c r="V63" s="1531"/>
      <c r="W63" s="1531"/>
    </row>
    <row r="64" spans="2:23" s="3" customFormat="1" ht="15" thickBot="1">
      <c r="B64" s="13" t="s">
        <v>205</v>
      </c>
      <c r="C64" s="52">
        <v>0</v>
      </c>
      <c r="D64" s="52">
        <v>0</v>
      </c>
      <c r="E64" s="19">
        <v>0</v>
      </c>
      <c r="F64" s="24"/>
      <c r="G64" s="47">
        <v>0.375</v>
      </c>
      <c r="H64" s="47">
        <v>0.20833333333333334</v>
      </c>
      <c r="I64" s="19">
        <v>8</v>
      </c>
      <c r="J64" s="24"/>
      <c r="K64" s="47">
        <v>0.375</v>
      </c>
      <c r="L64" s="47">
        <v>0.16666666666666666</v>
      </c>
      <c r="M64" s="19">
        <v>7</v>
      </c>
      <c r="N64" s="24"/>
      <c r="O64" s="47">
        <v>0.38541666666666669</v>
      </c>
      <c r="P64" s="47">
        <v>0.125</v>
      </c>
      <c r="Q64" s="19">
        <v>5.75</v>
      </c>
      <c r="R64" s="24"/>
      <c r="S64" s="52">
        <v>0</v>
      </c>
      <c r="T64" s="52">
        <v>0</v>
      </c>
      <c r="U64" s="19">
        <v>0</v>
      </c>
      <c r="V64" s="35">
        <f>I64+E64+M64+U64+Q64</f>
        <v>20.75</v>
      </c>
      <c r="W64" s="146">
        <f>8+6+5</f>
        <v>19</v>
      </c>
    </row>
    <row r="65" spans="2:23" s="1" customFormat="1" ht="14.25" thickTop="1">
      <c r="B65" s="1532" t="s">
        <v>216</v>
      </c>
      <c r="C65" s="1532"/>
      <c r="D65" s="1532"/>
      <c r="E65" s="1532"/>
      <c r="F65" s="1532"/>
      <c r="G65" s="1532"/>
      <c r="H65" s="1532"/>
      <c r="I65" s="1532"/>
      <c r="J65" s="1532"/>
      <c r="K65" s="1532"/>
      <c r="L65" s="1532"/>
      <c r="M65" s="1532"/>
      <c r="N65" s="1532"/>
      <c r="O65" s="1532"/>
      <c r="P65" s="1532"/>
      <c r="Q65" s="1532"/>
      <c r="R65" s="1532"/>
      <c r="S65" s="1532"/>
      <c r="T65" s="1532"/>
      <c r="U65" s="1532"/>
      <c r="V65" s="35">
        <f>SUM(V64:V64)</f>
        <v>20.75</v>
      </c>
      <c r="W65" s="35"/>
    </row>
    <row r="66" spans="2:23" s="1" customFormat="1" ht="13.35" customHeight="1">
      <c r="B66" s="31" t="s">
        <v>193</v>
      </c>
      <c r="C66" s="56"/>
      <c r="D66" s="56"/>
      <c r="E66" s="19"/>
      <c r="F66" s="60"/>
      <c r="G66" s="56"/>
      <c r="H66" s="56"/>
      <c r="I66" s="19">
        <v>0.25</v>
      </c>
      <c r="J66" s="60"/>
      <c r="K66" s="56"/>
      <c r="L66" s="56"/>
      <c r="M66" s="19">
        <v>0</v>
      </c>
      <c r="N66" s="60"/>
      <c r="O66" s="56"/>
      <c r="P66" s="56"/>
      <c r="Q66" s="19">
        <v>0.25</v>
      </c>
      <c r="R66" s="60"/>
      <c r="S66" s="56"/>
      <c r="T66" s="56"/>
      <c r="U66" s="19"/>
      <c r="V66" s="144">
        <f>SUM(E66:U66)</f>
        <v>0.5</v>
      </c>
      <c r="W66" s="35"/>
    </row>
    <row r="67" spans="2:23" s="1" customFormat="1" ht="13.35" customHeight="1">
      <c r="B67" s="31" t="s">
        <v>194</v>
      </c>
      <c r="C67" s="56"/>
      <c r="D67" s="56"/>
      <c r="E67" s="19"/>
      <c r="F67" s="60"/>
      <c r="G67" s="56"/>
      <c r="H67" s="56"/>
      <c r="I67" s="19"/>
      <c r="J67" s="60"/>
      <c r="K67" s="56"/>
      <c r="L67" s="56"/>
      <c r="M67" s="19"/>
      <c r="N67" s="60"/>
      <c r="O67" s="56"/>
      <c r="P67" s="56"/>
      <c r="Q67" s="19"/>
      <c r="R67" s="60"/>
      <c r="S67" s="56"/>
      <c r="T67" s="56"/>
      <c r="U67" s="19"/>
      <c r="V67" s="35"/>
      <c r="W67" s="35"/>
    </row>
    <row r="68" spans="2:23" s="1" customFormat="1">
      <c r="C68" s="3"/>
    </row>
    <row r="69" spans="2:23" s="3" customFormat="1">
      <c r="B69" s="1518" t="s">
        <v>18</v>
      </c>
      <c r="C69" s="1524">
        <v>45110</v>
      </c>
      <c r="D69" s="1524"/>
      <c r="E69" s="1524"/>
      <c r="F69" s="22"/>
      <c r="G69" s="1524">
        <v>45111</v>
      </c>
      <c r="H69" s="1524"/>
      <c r="I69" s="1524"/>
      <c r="J69" s="22"/>
      <c r="K69" s="1524">
        <v>45112</v>
      </c>
      <c r="L69" s="1524"/>
      <c r="M69" s="1524"/>
      <c r="N69" s="22"/>
      <c r="O69" s="1524">
        <v>45113</v>
      </c>
      <c r="P69" s="1524"/>
      <c r="Q69" s="1524"/>
      <c r="R69" s="22"/>
      <c r="S69" s="1524">
        <v>45114</v>
      </c>
      <c r="T69" s="1524"/>
      <c r="U69" s="1524"/>
      <c r="V69" s="1530" t="s">
        <v>19</v>
      </c>
      <c r="W69" s="1530" t="s">
        <v>207</v>
      </c>
    </row>
    <row r="70" spans="2:23" s="3" customFormat="1" ht="13.35" customHeight="1">
      <c r="B70" s="1518"/>
      <c r="C70" s="21" t="s">
        <v>23</v>
      </c>
      <c r="D70" s="21" t="s">
        <v>24</v>
      </c>
      <c r="E70" s="18" t="s">
        <v>25</v>
      </c>
      <c r="F70" s="23"/>
      <c r="G70" s="21" t="s">
        <v>23</v>
      </c>
      <c r="H70" s="21" t="s">
        <v>24</v>
      </c>
      <c r="I70" s="18" t="s">
        <v>25</v>
      </c>
      <c r="J70" s="23"/>
      <c r="K70" s="21" t="s">
        <v>23</v>
      </c>
      <c r="L70" s="21" t="s">
        <v>24</v>
      </c>
      <c r="M70" s="18" t="s">
        <v>25</v>
      </c>
      <c r="N70" s="23"/>
      <c r="O70" s="21" t="s">
        <v>23</v>
      </c>
      <c r="P70" s="21" t="s">
        <v>24</v>
      </c>
      <c r="Q70" s="18" t="s">
        <v>25</v>
      </c>
      <c r="R70" s="23"/>
      <c r="S70" s="21" t="s">
        <v>23</v>
      </c>
      <c r="T70" s="21" t="s">
        <v>24</v>
      </c>
      <c r="U70" s="18" t="s">
        <v>25</v>
      </c>
      <c r="V70" s="1531"/>
      <c r="W70" s="1531"/>
    </row>
    <row r="71" spans="2:23" s="3" customFormat="1" ht="15" thickBot="1">
      <c r="B71" s="13" t="s">
        <v>205</v>
      </c>
      <c r="C71" s="52">
        <v>0</v>
      </c>
      <c r="D71" s="52">
        <v>0</v>
      </c>
      <c r="E71" s="19">
        <v>0</v>
      </c>
      <c r="F71" s="24"/>
      <c r="G71" s="52">
        <v>0</v>
      </c>
      <c r="H71" s="52">
        <v>0</v>
      </c>
      <c r="I71" s="19">
        <v>0</v>
      </c>
      <c r="J71" s="24"/>
      <c r="K71" s="47">
        <v>0.38541666666666669</v>
      </c>
      <c r="L71" s="47">
        <v>0.14583333333333334</v>
      </c>
      <c r="M71" s="19">
        <v>6.25</v>
      </c>
      <c r="N71" s="24"/>
      <c r="O71" s="52">
        <v>0</v>
      </c>
      <c r="P71" s="52">
        <v>0</v>
      </c>
      <c r="Q71" s="19">
        <v>0</v>
      </c>
      <c r="R71" s="24"/>
      <c r="S71" s="52">
        <v>0</v>
      </c>
      <c r="T71" s="52">
        <v>0</v>
      </c>
      <c r="U71" s="19">
        <v>0</v>
      </c>
      <c r="V71" s="35">
        <f>I71+E71+M71+U71+Q71</f>
        <v>6.25</v>
      </c>
      <c r="W71" s="146">
        <v>4</v>
      </c>
    </row>
    <row r="72" spans="2:23" s="1" customFormat="1" ht="14.25" thickTop="1">
      <c r="B72" s="1532" t="s">
        <v>216</v>
      </c>
      <c r="C72" s="1532"/>
      <c r="D72" s="1532"/>
      <c r="E72" s="1532"/>
      <c r="F72" s="1532"/>
      <c r="G72" s="1532"/>
      <c r="H72" s="1532"/>
      <c r="I72" s="1532"/>
      <c r="J72" s="1532"/>
      <c r="K72" s="1532"/>
      <c r="L72" s="1532"/>
      <c r="M72" s="1532"/>
      <c r="N72" s="1532"/>
      <c r="O72" s="1532"/>
      <c r="P72" s="1532"/>
      <c r="Q72" s="1532"/>
      <c r="R72" s="1532"/>
      <c r="S72" s="1532"/>
      <c r="T72" s="1532"/>
      <c r="U72" s="1532"/>
      <c r="V72" s="35">
        <f>SUM(V71:V71)</f>
        <v>6.25</v>
      </c>
      <c r="W72" s="35"/>
    </row>
    <row r="73" spans="2:23" s="1" customFormat="1" ht="13.35" customHeight="1">
      <c r="B73" s="31" t="s">
        <v>193</v>
      </c>
      <c r="C73" s="56"/>
      <c r="D73" s="56"/>
      <c r="E73" s="19">
        <v>0</v>
      </c>
      <c r="F73" s="60"/>
      <c r="G73" s="56"/>
      <c r="H73" s="56"/>
      <c r="I73" s="19">
        <v>0</v>
      </c>
      <c r="J73" s="60"/>
      <c r="K73" s="56"/>
      <c r="L73" s="56"/>
      <c r="M73" s="19">
        <v>0</v>
      </c>
      <c r="N73" s="60"/>
      <c r="O73" s="56"/>
      <c r="P73" s="56"/>
      <c r="Q73" s="19">
        <v>0.75</v>
      </c>
      <c r="R73" s="60"/>
      <c r="S73" s="56"/>
      <c r="T73" s="56"/>
      <c r="U73" s="19"/>
      <c r="V73" s="35">
        <f>SUM(E73:U73)</f>
        <v>0.75</v>
      </c>
      <c r="W73" s="35"/>
    </row>
    <row r="74" spans="2:23" s="1" customFormat="1" ht="13.35" customHeight="1">
      <c r="B74" s="31" t="s">
        <v>194</v>
      </c>
      <c r="C74" s="56"/>
      <c r="D74" s="56"/>
      <c r="E74" s="19"/>
      <c r="F74" s="60"/>
      <c r="G74" s="56"/>
      <c r="H74" s="56"/>
      <c r="I74" s="19"/>
      <c r="J74" s="60"/>
      <c r="K74" s="56"/>
      <c r="L74" s="56"/>
      <c r="M74" s="19"/>
      <c r="N74" s="60"/>
      <c r="O74" s="56"/>
      <c r="P74" s="56"/>
      <c r="Q74" s="19"/>
      <c r="R74" s="60"/>
      <c r="S74" s="56"/>
      <c r="T74" s="56"/>
      <c r="U74" s="19"/>
      <c r="V74" s="35"/>
      <c r="W74" s="35"/>
    </row>
  </sheetData>
  <mergeCells count="88">
    <mergeCell ref="S55:U55"/>
    <mergeCell ref="V55:V56"/>
    <mergeCell ref="W55:W56"/>
    <mergeCell ref="B58:U58"/>
    <mergeCell ref="B55:B56"/>
    <mergeCell ref="C55:E55"/>
    <mergeCell ref="G55:I55"/>
    <mergeCell ref="K55:M55"/>
    <mergeCell ref="O55:Q55"/>
    <mergeCell ref="Y7:AA7"/>
    <mergeCell ref="W7:W8"/>
    <mergeCell ref="W15:W16"/>
    <mergeCell ref="W23:W24"/>
    <mergeCell ref="W31:W32"/>
    <mergeCell ref="W39:W40"/>
    <mergeCell ref="S31:U31"/>
    <mergeCell ref="V31:V32"/>
    <mergeCell ref="B35:U35"/>
    <mergeCell ref="C31:E34"/>
    <mergeCell ref="B31:B32"/>
    <mergeCell ref="G31:I31"/>
    <mergeCell ref="K31:M31"/>
    <mergeCell ref="O31:Q31"/>
    <mergeCell ref="K39:M39"/>
    <mergeCell ref="O39:Q39"/>
    <mergeCell ref="S23:U23"/>
    <mergeCell ref="V23:V24"/>
    <mergeCell ref="B27:U27"/>
    <mergeCell ref="B23:B24"/>
    <mergeCell ref="C23:E23"/>
    <mergeCell ref="G23:I23"/>
    <mergeCell ref="K23:M23"/>
    <mergeCell ref="O23:Q23"/>
    <mergeCell ref="V15:V16"/>
    <mergeCell ref="B19:U19"/>
    <mergeCell ref="B15:B16"/>
    <mergeCell ref="C15:E15"/>
    <mergeCell ref="G15:I15"/>
    <mergeCell ref="K15:M15"/>
    <mergeCell ref="O15:Q15"/>
    <mergeCell ref="A2:A3"/>
    <mergeCell ref="B2:B3"/>
    <mergeCell ref="C2:C3"/>
    <mergeCell ref="D2:D3"/>
    <mergeCell ref="E2:E3"/>
    <mergeCell ref="O1:V1"/>
    <mergeCell ref="S39:U39"/>
    <mergeCell ref="V39:V40"/>
    <mergeCell ref="B43:U43"/>
    <mergeCell ref="V7:V8"/>
    <mergeCell ref="B11:U11"/>
    <mergeCell ref="K7:M10"/>
    <mergeCell ref="O7:Q10"/>
    <mergeCell ref="S7:U10"/>
    <mergeCell ref="B7:B8"/>
    <mergeCell ref="C7:E7"/>
    <mergeCell ref="G7:I7"/>
    <mergeCell ref="S15:U15"/>
    <mergeCell ref="C39:E39"/>
    <mergeCell ref="B39:B40"/>
    <mergeCell ref="G39:I39"/>
    <mergeCell ref="S47:U47"/>
    <mergeCell ref="V47:V48"/>
    <mergeCell ref="W47:W48"/>
    <mergeCell ref="B51:U51"/>
    <mergeCell ref="B47:B48"/>
    <mergeCell ref="C47:E47"/>
    <mergeCell ref="G47:I47"/>
    <mergeCell ref="K47:M47"/>
    <mergeCell ref="O47:Q47"/>
    <mergeCell ref="S62:U62"/>
    <mergeCell ref="V62:V63"/>
    <mergeCell ref="W62:W63"/>
    <mergeCell ref="B65:U65"/>
    <mergeCell ref="B62:B63"/>
    <mergeCell ref="C62:E62"/>
    <mergeCell ref="G62:I62"/>
    <mergeCell ref="K62:M62"/>
    <mergeCell ref="O62:Q62"/>
    <mergeCell ref="S69:U69"/>
    <mergeCell ref="V69:V70"/>
    <mergeCell ref="W69:W70"/>
    <mergeCell ref="B72:U72"/>
    <mergeCell ref="B69:B70"/>
    <mergeCell ref="C69:E69"/>
    <mergeCell ref="G69:I69"/>
    <mergeCell ref="K69:M69"/>
    <mergeCell ref="O69:Q69"/>
  </mergeCells>
  <pageMargins left="0.7" right="0.7" top="0.75" bottom="0.75" header="0.3" footer="0.3"/>
  <pageSetup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P533"/>
  <sheetViews>
    <sheetView workbookViewId="0">
      <selection activeCell="D80" sqref="D80"/>
    </sheetView>
  </sheetViews>
  <sheetFormatPr defaultRowHeight="13.5"/>
  <cols>
    <col min="1" max="1" width="25.7109375" customWidth="1"/>
    <col min="2" max="4" width="3.42578125" style="503" customWidth="1"/>
    <col min="5" max="6" width="3.5703125" style="503" customWidth="1"/>
    <col min="7" max="7" width="3.7109375" style="503" customWidth="1"/>
    <col min="8" max="9" width="3.42578125" style="503" customWidth="1"/>
    <col min="10" max="11" width="4" style="503" customWidth="1"/>
    <col min="12" max="12" width="3.7109375" style="503" customWidth="1"/>
    <col min="13" max="14" width="3.42578125" style="503" customWidth="1"/>
    <col min="15" max="16" width="4" style="503" customWidth="1"/>
  </cols>
  <sheetData>
    <row r="1" spans="1:16">
      <c r="A1" t="s">
        <v>223</v>
      </c>
      <c r="B1" s="1538" t="s">
        <v>224</v>
      </c>
      <c r="C1" s="1539"/>
      <c r="D1" s="1539"/>
      <c r="E1" s="1539"/>
      <c r="F1" s="1540"/>
      <c r="G1" s="1541" t="s">
        <v>225</v>
      </c>
      <c r="H1" s="1541"/>
      <c r="I1" s="1541"/>
      <c r="J1" s="1541"/>
      <c r="K1" s="1541"/>
      <c r="L1" s="1538" t="s">
        <v>226</v>
      </c>
      <c r="M1" s="1539"/>
      <c r="N1" s="1539"/>
      <c r="O1" s="1539"/>
      <c r="P1" s="1540"/>
    </row>
    <row r="2" spans="1:16">
      <c r="B2" s="504">
        <v>29</v>
      </c>
      <c r="C2" s="503">
        <v>30</v>
      </c>
      <c r="D2" s="503">
        <v>1</v>
      </c>
      <c r="E2" s="503">
        <v>2</v>
      </c>
      <c r="F2" s="505">
        <v>3</v>
      </c>
      <c r="G2" s="504">
        <v>29</v>
      </c>
      <c r="H2" s="503">
        <v>30</v>
      </c>
      <c r="I2" s="503">
        <v>1</v>
      </c>
      <c r="J2" s="503">
        <v>2</v>
      </c>
      <c r="K2" s="505">
        <v>3</v>
      </c>
      <c r="L2" s="504">
        <v>29</v>
      </c>
      <c r="M2" s="503">
        <v>30</v>
      </c>
      <c r="N2" s="503">
        <v>1</v>
      </c>
      <c r="O2" s="503">
        <v>2</v>
      </c>
      <c r="P2" s="505">
        <v>3</v>
      </c>
    </row>
    <row r="3" spans="1:16">
      <c r="A3" t="s">
        <v>227</v>
      </c>
      <c r="B3" s="504" t="s">
        <v>228</v>
      </c>
      <c r="F3" s="505"/>
      <c r="H3" s="503" t="s">
        <v>228</v>
      </c>
      <c r="J3" s="503" t="s">
        <v>228</v>
      </c>
      <c r="L3" s="504"/>
      <c r="P3" s="505"/>
    </row>
    <row r="4" spans="1:16">
      <c r="A4" t="s">
        <v>229</v>
      </c>
      <c r="B4" s="504"/>
      <c r="F4" s="505"/>
      <c r="J4" s="503" t="s">
        <v>228</v>
      </c>
      <c r="L4" s="504"/>
      <c r="P4" s="505"/>
    </row>
    <row r="5" spans="1:16">
      <c r="A5" t="s">
        <v>230</v>
      </c>
      <c r="B5" s="504"/>
      <c r="F5" s="505"/>
      <c r="I5" s="503" t="s">
        <v>228</v>
      </c>
      <c r="L5" s="504"/>
      <c r="P5" s="505"/>
    </row>
    <row r="6" spans="1:16">
      <c r="B6" s="504"/>
      <c r="F6" s="505"/>
      <c r="L6" s="504"/>
      <c r="P6" s="505"/>
    </row>
    <row r="7" spans="1:16">
      <c r="B7" s="504"/>
      <c r="F7" s="505"/>
      <c r="L7" s="504"/>
      <c r="P7" s="505"/>
    </row>
    <row r="8" spans="1:16">
      <c r="B8" s="504"/>
      <c r="F8" s="505"/>
      <c r="L8" s="504"/>
      <c r="P8" s="505"/>
    </row>
    <row r="9" spans="1:16">
      <c r="B9" s="504"/>
      <c r="F9" s="505"/>
      <c r="L9" s="504"/>
      <c r="P9" s="505"/>
    </row>
    <row r="10" spans="1:16">
      <c r="B10" s="504"/>
      <c r="F10" s="505"/>
      <c r="L10" s="504"/>
      <c r="P10" s="505"/>
    </row>
    <row r="11" spans="1:16">
      <c r="B11" s="504"/>
      <c r="F11" s="505"/>
      <c r="L11" s="504"/>
      <c r="P11" s="505"/>
    </row>
    <row r="12" spans="1:16">
      <c r="B12" s="504"/>
      <c r="F12" s="505"/>
      <c r="L12" s="504"/>
      <c r="P12" s="505"/>
    </row>
    <row r="13" spans="1:16">
      <c r="B13" s="504"/>
      <c r="F13" s="505"/>
      <c r="L13" s="504"/>
      <c r="P13" s="505"/>
    </row>
    <row r="14" spans="1:16">
      <c r="B14" s="504"/>
      <c r="F14" s="505"/>
      <c r="L14" s="504"/>
      <c r="P14" s="505"/>
    </row>
    <row r="15" spans="1:16">
      <c r="B15" s="504"/>
      <c r="F15" s="505"/>
      <c r="L15" s="504"/>
      <c r="P15" s="505"/>
    </row>
    <row r="16" spans="1:16">
      <c r="B16" s="504"/>
      <c r="F16" s="505"/>
      <c r="L16" s="504"/>
      <c r="P16" s="505"/>
    </row>
    <row r="17" spans="2:16">
      <c r="B17" s="504"/>
      <c r="F17" s="505"/>
      <c r="L17" s="504"/>
      <c r="P17" s="505"/>
    </row>
    <row r="18" spans="2:16">
      <c r="B18" s="504"/>
      <c r="F18" s="505"/>
      <c r="L18" s="504"/>
      <c r="P18" s="505"/>
    </row>
    <row r="19" spans="2:16">
      <c r="B19" s="504"/>
      <c r="F19" s="505"/>
      <c r="L19" s="504"/>
      <c r="P19" s="505"/>
    </row>
    <row r="20" spans="2:16">
      <c r="B20" s="504"/>
      <c r="F20" s="505"/>
      <c r="L20" s="504"/>
      <c r="P20" s="505"/>
    </row>
    <row r="21" spans="2:16">
      <c r="B21" s="504"/>
      <c r="F21" s="505"/>
      <c r="L21" s="504"/>
      <c r="P21" s="505"/>
    </row>
    <row r="22" spans="2:16">
      <c r="B22" s="504"/>
      <c r="F22" s="505"/>
      <c r="L22" s="504"/>
      <c r="P22" s="505"/>
    </row>
    <row r="23" spans="2:16">
      <c r="B23" s="504"/>
      <c r="F23" s="505"/>
      <c r="L23" s="504"/>
      <c r="P23" s="505"/>
    </row>
    <row r="24" spans="2:16">
      <c r="B24" s="504"/>
      <c r="F24" s="505"/>
      <c r="L24" s="504"/>
      <c r="P24" s="505"/>
    </row>
    <row r="25" spans="2:16">
      <c r="B25" s="504"/>
      <c r="F25" s="505"/>
      <c r="L25" s="504"/>
      <c r="P25" s="505"/>
    </row>
    <row r="26" spans="2:16">
      <c r="B26" s="504"/>
      <c r="F26" s="505"/>
      <c r="L26" s="504"/>
      <c r="P26" s="505"/>
    </row>
    <row r="27" spans="2:16">
      <c r="B27" s="504"/>
      <c r="F27" s="505"/>
      <c r="L27" s="504"/>
      <c r="P27" s="505"/>
    </row>
    <row r="28" spans="2:16">
      <c r="B28" s="504"/>
      <c r="F28" s="505"/>
      <c r="L28" s="504"/>
      <c r="P28" s="505"/>
    </row>
    <row r="29" spans="2:16">
      <c r="B29" s="504"/>
      <c r="F29" s="505"/>
      <c r="L29" s="504"/>
      <c r="P29" s="505"/>
    </row>
    <row r="30" spans="2:16">
      <c r="B30" s="504"/>
      <c r="F30" s="505"/>
      <c r="L30" s="504"/>
      <c r="P30" s="505"/>
    </row>
    <row r="31" spans="2:16">
      <c r="B31" s="504"/>
      <c r="F31" s="505"/>
      <c r="L31" s="504"/>
      <c r="P31" s="505"/>
    </row>
    <row r="32" spans="2:16">
      <c r="B32" s="504"/>
      <c r="F32" s="505"/>
      <c r="L32" s="504"/>
      <c r="P32" s="505"/>
    </row>
    <row r="33" spans="2:16">
      <c r="B33" s="504"/>
      <c r="F33" s="505"/>
      <c r="L33" s="504"/>
      <c r="P33" s="505"/>
    </row>
    <row r="34" spans="2:16">
      <c r="B34" s="504"/>
      <c r="F34" s="505"/>
      <c r="L34" s="504"/>
      <c r="P34" s="505"/>
    </row>
    <row r="35" spans="2:16">
      <c r="B35" s="504"/>
      <c r="F35" s="505"/>
      <c r="L35" s="504"/>
      <c r="P35" s="505"/>
    </row>
    <row r="36" spans="2:16">
      <c r="B36" s="504"/>
      <c r="F36" s="505"/>
      <c r="L36" s="504"/>
      <c r="P36" s="505"/>
    </row>
    <row r="37" spans="2:16">
      <c r="B37" s="504"/>
      <c r="F37" s="505"/>
      <c r="L37" s="504"/>
      <c r="P37" s="505"/>
    </row>
    <row r="38" spans="2:16">
      <c r="B38" s="504"/>
      <c r="F38" s="505"/>
      <c r="L38" s="504"/>
      <c r="P38" s="505"/>
    </row>
    <row r="39" spans="2:16">
      <c r="B39" s="504"/>
      <c r="F39" s="505"/>
      <c r="L39" s="504"/>
      <c r="P39" s="505"/>
    </row>
    <row r="40" spans="2:16">
      <c r="B40" s="504"/>
      <c r="F40" s="505"/>
      <c r="L40" s="504"/>
      <c r="P40" s="505"/>
    </row>
    <row r="41" spans="2:16">
      <c r="B41" s="504"/>
      <c r="F41" s="505"/>
      <c r="L41" s="504"/>
      <c r="P41" s="505"/>
    </row>
    <row r="42" spans="2:16">
      <c r="B42" s="504"/>
      <c r="F42" s="505"/>
      <c r="L42" s="504"/>
      <c r="P42" s="505"/>
    </row>
    <row r="43" spans="2:16">
      <c r="B43" s="504"/>
      <c r="F43" s="505"/>
      <c r="L43" s="504"/>
      <c r="P43" s="505"/>
    </row>
    <row r="44" spans="2:16">
      <c r="B44" s="504"/>
      <c r="F44" s="505"/>
      <c r="L44" s="504"/>
      <c r="P44" s="505"/>
    </row>
    <row r="45" spans="2:16">
      <c r="B45" s="504"/>
      <c r="F45" s="505"/>
      <c r="L45" s="504"/>
      <c r="P45" s="505"/>
    </row>
    <row r="46" spans="2:16">
      <c r="B46" s="504"/>
      <c r="F46" s="505"/>
      <c r="L46" s="504"/>
      <c r="P46" s="505"/>
    </row>
    <row r="47" spans="2:16">
      <c r="B47" s="504"/>
      <c r="F47" s="505"/>
      <c r="L47" s="504"/>
      <c r="P47" s="505"/>
    </row>
    <row r="48" spans="2:16">
      <c r="B48" s="504"/>
      <c r="F48" s="505"/>
      <c r="L48" s="504"/>
      <c r="P48" s="505"/>
    </row>
    <row r="49" spans="2:16">
      <c r="B49" s="504"/>
      <c r="F49" s="505"/>
      <c r="L49" s="504"/>
      <c r="P49" s="505"/>
    </row>
    <row r="50" spans="2:16">
      <c r="B50" s="504"/>
      <c r="F50" s="505"/>
      <c r="L50" s="504"/>
      <c r="P50" s="505"/>
    </row>
    <row r="51" spans="2:16">
      <c r="B51" s="504"/>
      <c r="F51" s="505"/>
      <c r="L51" s="504"/>
      <c r="P51" s="505"/>
    </row>
    <row r="52" spans="2:16">
      <c r="B52" s="504"/>
      <c r="F52" s="505"/>
      <c r="L52" s="504"/>
      <c r="P52" s="505"/>
    </row>
    <row r="53" spans="2:16">
      <c r="B53" s="504"/>
      <c r="F53" s="505"/>
      <c r="L53" s="504"/>
      <c r="P53" s="505"/>
    </row>
    <row r="54" spans="2:16">
      <c r="B54" s="504"/>
      <c r="F54" s="505"/>
      <c r="L54" s="504"/>
      <c r="P54" s="505"/>
    </row>
    <row r="55" spans="2:16">
      <c r="B55" s="504"/>
      <c r="F55" s="505"/>
      <c r="L55" s="504"/>
      <c r="P55" s="505"/>
    </row>
    <row r="56" spans="2:16">
      <c r="B56" s="504"/>
      <c r="F56" s="505"/>
      <c r="L56" s="504"/>
      <c r="P56" s="505"/>
    </row>
    <row r="57" spans="2:16">
      <c r="B57" s="504"/>
      <c r="F57" s="505"/>
      <c r="L57" s="504"/>
      <c r="P57" s="505"/>
    </row>
    <row r="58" spans="2:16">
      <c r="B58" s="504"/>
      <c r="F58" s="505"/>
      <c r="L58" s="504"/>
      <c r="P58" s="505"/>
    </row>
    <row r="59" spans="2:16">
      <c r="B59" s="504"/>
      <c r="F59" s="505"/>
      <c r="L59" s="504"/>
      <c r="P59" s="505"/>
    </row>
    <row r="60" spans="2:16">
      <c r="B60" s="504"/>
      <c r="F60" s="505"/>
      <c r="L60" s="504"/>
      <c r="P60" s="505"/>
    </row>
    <row r="61" spans="2:16">
      <c r="B61" s="504"/>
      <c r="F61" s="505"/>
      <c r="L61" s="504"/>
      <c r="P61" s="505"/>
    </row>
    <row r="62" spans="2:16">
      <c r="B62" s="504"/>
      <c r="F62" s="505"/>
      <c r="L62" s="504"/>
      <c r="P62" s="505"/>
    </row>
    <row r="63" spans="2:16">
      <c r="B63" s="504"/>
      <c r="F63" s="505"/>
      <c r="L63" s="504"/>
      <c r="P63" s="505"/>
    </row>
    <row r="64" spans="2:16">
      <c r="B64" s="504"/>
      <c r="F64" s="505"/>
      <c r="L64" s="504"/>
      <c r="P64" s="505"/>
    </row>
    <row r="65" spans="2:16">
      <c r="B65" s="504"/>
      <c r="F65" s="505"/>
      <c r="L65" s="504"/>
      <c r="P65" s="505"/>
    </row>
    <row r="66" spans="2:16">
      <c r="B66" s="504"/>
      <c r="F66" s="505"/>
      <c r="L66" s="504"/>
      <c r="P66" s="505"/>
    </row>
    <row r="67" spans="2:16">
      <c r="B67" s="504"/>
      <c r="F67" s="505"/>
      <c r="L67" s="504"/>
      <c r="P67" s="505"/>
    </row>
    <row r="68" spans="2:16">
      <c r="B68" s="504"/>
      <c r="F68" s="505"/>
      <c r="L68" s="504"/>
      <c r="P68" s="505"/>
    </row>
    <row r="69" spans="2:16">
      <c r="B69" s="504"/>
      <c r="F69" s="505"/>
      <c r="L69" s="504"/>
      <c r="P69" s="505"/>
    </row>
    <row r="70" spans="2:16">
      <c r="B70" s="504"/>
      <c r="F70" s="505"/>
      <c r="L70" s="504"/>
      <c r="P70" s="505"/>
    </row>
    <row r="71" spans="2:16">
      <c r="B71" s="504"/>
      <c r="F71" s="505"/>
      <c r="L71" s="504"/>
      <c r="P71" s="505"/>
    </row>
    <row r="72" spans="2:16">
      <c r="B72" s="504"/>
      <c r="F72" s="505"/>
      <c r="L72" s="504"/>
      <c r="P72" s="505"/>
    </row>
    <row r="73" spans="2:16">
      <c r="B73" s="504"/>
      <c r="F73" s="505"/>
      <c r="L73" s="504"/>
      <c r="P73" s="505"/>
    </row>
    <row r="74" spans="2:16">
      <c r="B74" s="504"/>
      <c r="F74" s="505"/>
      <c r="L74" s="504"/>
      <c r="P74" s="505"/>
    </row>
    <row r="75" spans="2:16">
      <c r="B75" s="504"/>
      <c r="F75" s="505"/>
      <c r="L75" s="504"/>
      <c r="P75" s="505"/>
    </row>
    <row r="76" spans="2:16">
      <c r="B76" s="504"/>
      <c r="F76" s="505"/>
      <c r="L76" s="504"/>
      <c r="P76" s="505"/>
    </row>
    <row r="77" spans="2:16">
      <c r="B77" s="504"/>
      <c r="F77" s="505"/>
      <c r="L77" s="504"/>
      <c r="P77" s="505"/>
    </row>
    <row r="78" spans="2:16">
      <c r="B78" s="504"/>
      <c r="F78" s="505"/>
      <c r="L78" s="504"/>
      <c r="P78" s="505"/>
    </row>
    <row r="79" spans="2:16">
      <c r="B79" s="504"/>
      <c r="F79" s="505"/>
      <c r="L79" s="504"/>
      <c r="P79" s="505"/>
    </row>
    <row r="80" spans="2:16">
      <c r="B80" s="504"/>
      <c r="F80" s="505"/>
      <c r="L80" s="504"/>
      <c r="P80" s="505"/>
    </row>
    <row r="81" spans="2:16">
      <c r="B81" s="504"/>
      <c r="F81" s="505"/>
      <c r="L81" s="504"/>
      <c r="P81" s="505"/>
    </row>
    <row r="82" spans="2:16">
      <c r="B82" s="504"/>
      <c r="F82" s="505"/>
      <c r="L82" s="504"/>
      <c r="P82" s="505"/>
    </row>
    <row r="83" spans="2:16">
      <c r="B83" s="504"/>
      <c r="F83" s="505"/>
      <c r="L83" s="504"/>
      <c r="P83" s="505"/>
    </row>
    <row r="84" spans="2:16">
      <c r="B84" s="504"/>
      <c r="F84" s="505"/>
      <c r="L84" s="504"/>
      <c r="P84" s="505"/>
    </row>
    <row r="85" spans="2:16">
      <c r="B85" s="504"/>
      <c r="F85" s="505"/>
      <c r="L85" s="504"/>
      <c r="P85" s="505"/>
    </row>
    <row r="86" spans="2:16">
      <c r="B86" s="504"/>
      <c r="F86" s="505"/>
      <c r="L86" s="504"/>
      <c r="P86" s="505"/>
    </row>
    <row r="87" spans="2:16">
      <c r="B87" s="504"/>
      <c r="F87" s="505"/>
      <c r="L87" s="504"/>
      <c r="P87" s="505"/>
    </row>
    <row r="88" spans="2:16">
      <c r="B88" s="504"/>
      <c r="F88" s="505"/>
      <c r="L88" s="504"/>
      <c r="P88" s="505"/>
    </row>
    <row r="89" spans="2:16">
      <c r="B89" s="504"/>
      <c r="F89" s="505"/>
      <c r="L89" s="504"/>
      <c r="P89" s="505"/>
    </row>
    <row r="90" spans="2:16">
      <c r="B90" s="504"/>
      <c r="F90" s="505"/>
      <c r="L90" s="504"/>
      <c r="P90" s="505"/>
    </row>
    <row r="91" spans="2:16">
      <c r="B91" s="504"/>
      <c r="F91" s="505"/>
      <c r="L91" s="504"/>
      <c r="P91" s="505"/>
    </row>
    <row r="92" spans="2:16">
      <c r="B92" s="504"/>
      <c r="F92" s="505"/>
      <c r="L92" s="504"/>
      <c r="P92" s="505"/>
    </row>
    <row r="93" spans="2:16">
      <c r="B93" s="504"/>
      <c r="F93" s="505"/>
      <c r="L93" s="504"/>
      <c r="P93" s="505"/>
    </row>
    <row r="94" spans="2:16">
      <c r="B94" s="504"/>
      <c r="F94" s="505"/>
      <c r="L94" s="504"/>
      <c r="P94" s="505"/>
    </row>
    <row r="95" spans="2:16">
      <c r="B95" s="504"/>
      <c r="F95" s="505"/>
      <c r="L95" s="504"/>
      <c r="P95" s="505"/>
    </row>
    <row r="96" spans="2:16">
      <c r="B96" s="504"/>
      <c r="F96" s="505"/>
      <c r="L96" s="504"/>
      <c r="P96" s="505"/>
    </row>
    <row r="97" spans="2:16">
      <c r="B97" s="504"/>
      <c r="F97" s="505"/>
      <c r="L97" s="504"/>
      <c r="P97" s="505"/>
    </row>
    <row r="98" spans="2:16">
      <c r="B98" s="504"/>
      <c r="F98" s="505"/>
      <c r="L98" s="504"/>
      <c r="P98" s="505"/>
    </row>
    <row r="99" spans="2:16">
      <c r="B99" s="504"/>
      <c r="F99" s="505"/>
      <c r="L99" s="504"/>
      <c r="P99" s="505"/>
    </row>
    <row r="100" spans="2:16">
      <c r="B100" s="504"/>
      <c r="F100" s="505"/>
      <c r="L100" s="504"/>
      <c r="P100" s="505"/>
    </row>
    <row r="101" spans="2:16">
      <c r="B101" s="504"/>
      <c r="F101" s="505"/>
      <c r="L101" s="504"/>
      <c r="P101" s="505"/>
    </row>
    <row r="102" spans="2:16">
      <c r="B102" s="504"/>
      <c r="F102" s="505"/>
      <c r="L102" s="504"/>
      <c r="P102" s="505"/>
    </row>
    <row r="103" spans="2:16">
      <c r="B103" s="504"/>
      <c r="F103" s="505"/>
      <c r="L103" s="504"/>
      <c r="P103" s="505"/>
    </row>
    <row r="104" spans="2:16">
      <c r="B104" s="504"/>
      <c r="F104" s="505"/>
      <c r="L104" s="504"/>
      <c r="P104" s="505"/>
    </row>
    <row r="105" spans="2:16">
      <c r="B105" s="504"/>
      <c r="F105" s="505"/>
      <c r="L105" s="504"/>
      <c r="P105" s="505"/>
    </row>
    <row r="106" spans="2:16">
      <c r="B106" s="504"/>
      <c r="F106" s="505"/>
      <c r="L106" s="504"/>
      <c r="P106" s="505"/>
    </row>
    <row r="107" spans="2:16">
      <c r="B107" s="504"/>
      <c r="F107" s="505"/>
      <c r="L107" s="504"/>
      <c r="P107" s="505"/>
    </row>
    <row r="108" spans="2:16">
      <c r="B108" s="504"/>
      <c r="F108" s="505"/>
      <c r="L108" s="504"/>
      <c r="P108" s="505"/>
    </row>
    <row r="109" spans="2:16">
      <c r="B109" s="504"/>
      <c r="F109" s="505"/>
      <c r="L109" s="504"/>
      <c r="P109" s="505"/>
    </row>
    <row r="110" spans="2:16">
      <c r="B110" s="504"/>
      <c r="F110" s="505"/>
      <c r="L110" s="504"/>
      <c r="P110" s="505"/>
    </row>
    <row r="111" spans="2:16">
      <c r="B111" s="504"/>
      <c r="F111" s="505"/>
      <c r="L111" s="504"/>
      <c r="P111" s="505"/>
    </row>
    <row r="112" spans="2:16">
      <c r="B112" s="504"/>
      <c r="F112" s="505"/>
      <c r="L112" s="504"/>
      <c r="P112" s="505"/>
    </row>
    <row r="113" spans="2:16">
      <c r="B113" s="504"/>
      <c r="F113" s="505"/>
      <c r="L113" s="504"/>
      <c r="P113" s="505"/>
    </row>
    <row r="114" spans="2:16">
      <c r="B114" s="504"/>
      <c r="F114" s="505"/>
      <c r="L114" s="504"/>
      <c r="P114" s="505"/>
    </row>
    <row r="115" spans="2:16">
      <c r="B115" s="504"/>
      <c r="F115" s="505"/>
      <c r="L115" s="504"/>
      <c r="P115" s="505"/>
    </row>
    <row r="116" spans="2:16">
      <c r="B116" s="504"/>
      <c r="F116" s="505"/>
      <c r="L116" s="504"/>
      <c r="P116" s="505"/>
    </row>
    <row r="117" spans="2:16">
      <c r="B117" s="504"/>
      <c r="F117" s="505"/>
      <c r="L117" s="504"/>
      <c r="P117" s="505"/>
    </row>
    <row r="118" spans="2:16">
      <c r="B118" s="504"/>
      <c r="F118" s="505"/>
      <c r="L118" s="504"/>
      <c r="P118" s="505"/>
    </row>
    <row r="119" spans="2:16">
      <c r="B119" s="504"/>
      <c r="F119" s="505"/>
      <c r="L119" s="504"/>
      <c r="P119" s="505"/>
    </row>
    <row r="120" spans="2:16">
      <c r="B120" s="504"/>
      <c r="F120" s="505"/>
      <c r="L120" s="504"/>
      <c r="P120" s="505"/>
    </row>
    <row r="121" spans="2:16">
      <c r="B121" s="504"/>
      <c r="F121" s="505"/>
      <c r="L121" s="504"/>
      <c r="P121" s="505"/>
    </row>
    <row r="122" spans="2:16">
      <c r="B122" s="504"/>
      <c r="F122" s="505"/>
      <c r="L122" s="504"/>
      <c r="P122" s="505"/>
    </row>
    <row r="123" spans="2:16">
      <c r="B123" s="504"/>
      <c r="F123" s="505"/>
      <c r="L123" s="504"/>
      <c r="P123" s="505"/>
    </row>
    <row r="124" spans="2:16">
      <c r="B124" s="504"/>
      <c r="F124" s="505"/>
      <c r="L124" s="504"/>
      <c r="P124" s="505"/>
    </row>
    <row r="125" spans="2:16">
      <c r="B125" s="504"/>
      <c r="F125" s="505"/>
      <c r="L125" s="504"/>
      <c r="P125" s="505"/>
    </row>
    <row r="126" spans="2:16">
      <c r="B126" s="504"/>
      <c r="F126" s="505"/>
      <c r="L126" s="504"/>
      <c r="P126" s="505"/>
    </row>
    <row r="127" spans="2:16">
      <c r="B127" s="504"/>
      <c r="F127" s="505"/>
      <c r="L127" s="504"/>
      <c r="P127" s="505"/>
    </row>
    <row r="128" spans="2:16">
      <c r="B128" s="504"/>
      <c r="F128" s="505"/>
      <c r="L128" s="504"/>
      <c r="P128" s="505"/>
    </row>
    <row r="129" spans="2:16">
      <c r="B129" s="504"/>
      <c r="F129" s="505"/>
      <c r="L129" s="504"/>
      <c r="P129" s="505"/>
    </row>
    <row r="130" spans="2:16">
      <c r="B130" s="504"/>
      <c r="F130" s="505"/>
      <c r="L130" s="504"/>
      <c r="P130" s="505"/>
    </row>
    <row r="131" spans="2:16">
      <c r="B131" s="504"/>
      <c r="F131" s="505"/>
      <c r="L131" s="504"/>
      <c r="P131" s="505"/>
    </row>
    <row r="132" spans="2:16">
      <c r="B132" s="504"/>
      <c r="F132" s="505"/>
      <c r="L132" s="504"/>
      <c r="P132" s="505"/>
    </row>
    <row r="133" spans="2:16">
      <c r="B133" s="504"/>
      <c r="F133" s="505"/>
      <c r="L133" s="504"/>
      <c r="P133" s="505"/>
    </row>
    <row r="134" spans="2:16">
      <c r="B134" s="504"/>
      <c r="F134" s="505"/>
      <c r="L134" s="504"/>
      <c r="P134" s="505"/>
    </row>
    <row r="135" spans="2:16">
      <c r="B135" s="504"/>
      <c r="F135" s="505"/>
      <c r="L135" s="504"/>
      <c r="P135" s="505"/>
    </row>
    <row r="136" spans="2:16">
      <c r="B136" s="504"/>
      <c r="F136" s="505"/>
      <c r="L136" s="504"/>
      <c r="P136" s="505"/>
    </row>
    <row r="137" spans="2:16">
      <c r="B137" s="504"/>
      <c r="F137" s="505"/>
      <c r="L137" s="504"/>
      <c r="P137" s="505"/>
    </row>
    <row r="138" spans="2:16">
      <c r="B138" s="504"/>
      <c r="F138" s="505"/>
      <c r="L138" s="504"/>
      <c r="P138" s="505"/>
    </row>
    <row r="139" spans="2:16">
      <c r="B139" s="504"/>
      <c r="F139" s="505"/>
      <c r="L139" s="504"/>
      <c r="P139" s="505"/>
    </row>
    <row r="140" spans="2:16">
      <c r="B140" s="504"/>
      <c r="F140" s="505"/>
      <c r="L140" s="504"/>
      <c r="P140" s="505"/>
    </row>
    <row r="141" spans="2:16">
      <c r="B141" s="504"/>
      <c r="F141" s="505"/>
      <c r="L141" s="504"/>
      <c r="P141" s="505"/>
    </row>
    <row r="142" spans="2:16">
      <c r="B142" s="504"/>
      <c r="F142" s="505"/>
      <c r="L142" s="504"/>
      <c r="P142" s="505"/>
    </row>
    <row r="143" spans="2:16">
      <c r="B143" s="504"/>
      <c r="F143" s="505"/>
      <c r="L143" s="504"/>
      <c r="P143" s="505"/>
    </row>
    <row r="144" spans="2:16">
      <c r="B144" s="504"/>
      <c r="F144" s="505"/>
      <c r="L144" s="504"/>
      <c r="P144" s="505"/>
    </row>
    <row r="145" spans="2:16">
      <c r="B145" s="504"/>
      <c r="F145" s="505"/>
      <c r="L145" s="504"/>
      <c r="P145" s="505"/>
    </row>
    <row r="146" spans="2:16">
      <c r="B146" s="504"/>
      <c r="F146" s="505"/>
      <c r="L146" s="504"/>
      <c r="P146" s="505"/>
    </row>
    <row r="147" spans="2:16">
      <c r="B147" s="504"/>
      <c r="F147" s="505"/>
      <c r="L147" s="504"/>
      <c r="P147" s="505"/>
    </row>
    <row r="148" spans="2:16">
      <c r="B148" s="504"/>
      <c r="F148" s="505"/>
      <c r="L148" s="504"/>
      <c r="P148" s="505"/>
    </row>
    <row r="149" spans="2:16">
      <c r="B149" s="504"/>
      <c r="F149" s="505"/>
      <c r="L149" s="504"/>
      <c r="P149" s="505"/>
    </row>
    <row r="150" spans="2:16">
      <c r="B150" s="504"/>
      <c r="F150" s="505"/>
      <c r="L150" s="504"/>
      <c r="P150" s="505"/>
    </row>
    <row r="151" spans="2:16">
      <c r="B151" s="504"/>
      <c r="F151" s="505"/>
      <c r="L151" s="504"/>
      <c r="P151" s="505"/>
    </row>
    <row r="152" spans="2:16">
      <c r="B152" s="504"/>
      <c r="F152" s="505"/>
      <c r="L152" s="504"/>
      <c r="P152" s="505"/>
    </row>
    <row r="153" spans="2:16">
      <c r="B153" s="504"/>
      <c r="F153" s="505"/>
      <c r="L153" s="504"/>
      <c r="P153" s="505"/>
    </row>
    <row r="154" spans="2:16">
      <c r="B154" s="504"/>
      <c r="F154" s="505"/>
      <c r="L154" s="504"/>
      <c r="P154" s="505"/>
    </row>
    <row r="155" spans="2:16">
      <c r="B155" s="504"/>
      <c r="F155" s="505"/>
      <c r="L155" s="504"/>
      <c r="P155" s="505"/>
    </row>
    <row r="156" spans="2:16">
      <c r="B156" s="504"/>
      <c r="F156" s="505"/>
      <c r="L156" s="504"/>
      <c r="P156" s="505"/>
    </row>
    <row r="157" spans="2:16">
      <c r="B157" s="504"/>
      <c r="F157" s="505"/>
      <c r="L157" s="504"/>
      <c r="P157" s="505"/>
    </row>
    <row r="158" spans="2:16">
      <c r="B158" s="504"/>
      <c r="F158" s="505"/>
      <c r="L158" s="504"/>
      <c r="P158" s="505"/>
    </row>
    <row r="159" spans="2:16">
      <c r="B159" s="504"/>
      <c r="F159" s="505"/>
      <c r="L159" s="504"/>
      <c r="P159" s="505"/>
    </row>
    <row r="160" spans="2:16">
      <c r="B160" s="504"/>
      <c r="F160" s="505"/>
      <c r="L160" s="504"/>
      <c r="P160" s="505"/>
    </row>
    <row r="161" spans="2:16">
      <c r="B161" s="504"/>
      <c r="F161" s="505"/>
      <c r="L161" s="504"/>
      <c r="P161" s="505"/>
    </row>
    <row r="162" spans="2:16">
      <c r="B162" s="504"/>
      <c r="F162" s="505"/>
      <c r="L162" s="504"/>
      <c r="P162" s="505"/>
    </row>
    <row r="163" spans="2:16">
      <c r="B163" s="504"/>
      <c r="F163" s="505"/>
      <c r="L163" s="504"/>
      <c r="P163" s="505"/>
    </row>
    <row r="164" spans="2:16">
      <c r="B164" s="504"/>
      <c r="F164" s="505"/>
      <c r="L164" s="504"/>
      <c r="P164" s="505"/>
    </row>
    <row r="165" spans="2:16">
      <c r="B165" s="504"/>
      <c r="F165" s="505"/>
      <c r="L165" s="504"/>
      <c r="P165" s="505"/>
    </row>
    <row r="166" spans="2:16">
      <c r="B166" s="504"/>
      <c r="F166" s="505"/>
      <c r="L166" s="504"/>
      <c r="P166" s="505"/>
    </row>
    <row r="167" spans="2:16">
      <c r="B167" s="504"/>
      <c r="F167" s="505"/>
      <c r="L167" s="504"/>
      <c r="P167" s="505"/>
    </row>
    <row r="168" spans="2:16">
      <c r="B168" s="504"/>
      <c r="F168" s="505"/>
      <c r="L168" s="504"/>
      <c r="P168" s="505"/>
    </row>
    <row r="169" spans="2:16">
      <c r="B169" s="504"/>
      <c r="F169" s="505"/>
      <c r="L169" s="504"/>
      <c r="P169" s="505"/>
    </row>
    <row r="170" spans="2:16">
      <c r="B170" s="504"/>
      <c r="F170" s="505"/>
      <c r="L170" s="504"/>
      <c r="P170" s="505"/>
    </row>
    <row r="171" spans="2:16">
      <c r="B171" s="504"/>
      <c r="F171" s="505"/>
      <c r="L171" s="504"/>
      <c r="P171" s="505"/>
    </row>
    <row r="172" spans="2:16">
      <c r="B172" s="504"/>
      <c r="F172" s="505"/>
      <c r="L172" s="504"/>
      <c r="P172" s="505"/>
    </row>
    <row r="173" spans="2:16">
      <c r="B173" s="504"/>
      <c r="F173" s="505"/>
      <c r="L173" s="504"/>
      <c r="P173" s="505"/>
    </row>
    <row r="174" spans="2:16">
      <c r="B174" s="504"/>
      <c r="F174" s="505"/>
      <c r="L174" s="504"/>
      <c r="P174" s="505"/>
    </row>
    <row r="175" spans="2:16">
      <c r="B175" s="504"/>
      <c r="F175" s="505"/>
      <c r="L175" s="504"/>
      <c r="P175" s="505"/>
    </row>
    <row r="176" spans="2:16">
      <c r="B176" s="504"/>
      <c r="F176" s="505"/>
      <c r="L176" s="504"/>
      <c r="P176" s="505"/>
    </row>
    <row r="177" spans="2:16">
      <c r="B177" s="504"/>
      <c r="F177" s="505"/>
      <c r="L177" s="504"/>
      <c r="P177" s="505"/>
    </row>
    <row r="178" spans="2:16">
      <c r="B178" s="504"/>
      <c r="F178" s="505"/>
      <c r="L178" s="504"/>
      <c r="P178" s="505"/>
    </row>
    <row r="179" spans="2:16">
      <c r="B179" s="504"/>
      <c r="F179" s="505"/>
      <c r="L179" s="504"/>
      <c r="P179" s="505"/>
    </row>
    <row r="180" spans="2:16">
      <c r="B180" s="504"/>
      <c r="F180" s="505"/>
      <c r="L180" s="504"/>
      <c r="P180" s="505"/>
    </row>
    <row r="181" spans="2:16">
      <c r="B181" s="504"/>
      <c r="F181" s="505"/>
      <c r="L181" s="504"/>
      <c r="P181" s="505"/>
    </row>
    <row r="182" spans="2:16">
      <c r="B182" s="504"/>
      <c r="F182" s="505"/>
      <c r="L182" s="504"/>
      <c r="P182" s="505"/>
    </row>
    <row r="183" spans="2:16">
      <c r="B183" s="504"/>
      <c r="F183" s="505"/>
      <c r="L183" s="504"/>
      <c r="P183" s="505"/>
    </row>
    <row r="184" spans="2:16">
      <c r="B184" s="504"/>
      <c r="F184" s="505"/>
      <c r="L184" s="504"/>
      <c r="P184" s="505"/>
    </row>
    <row r="185" spans="2:16">
      <c r="B185" s="504"/>
      <c r="F185" s="505"/>
      <c r="L185" s="504"/>
      <c r="P185" s="505"/>
    </row>
    <row r="186" spans="2:16">
      <c r="B186" s="504"/>
      <c r="F186" s="505"/>
      <c r="L186" s="504"/>
      <c r="P186" s="505"/>
    </row>
    <row r="187" spans="2:16">
      <c r="B187" s="504"/>
      <c r="F187" s="505"/>
      <c r="L187" s="504"/>
      <c r="P187" s="505"/>
    </row>
    <row r="188" spans="2:16">
      <c r="B188" s="504"/>
      <c r="F188" s="505"/>
      <c r="L188" s="504"/>
      <c r="P188" s="505"/>
    </row>
    <row r="189" spans="2:16">
      <c r="B189" s="504"/>
      <c r="F189" s="505"/>
      <c r="L189" s="504"/>
      <c r="P189" s="505"/>
    </row>
    <row r="190" spans="2:16">
      <c r="B190" s="504"/>
      <c r="F190" s="505"/>
      <c r="L190" s="504"/>
      <c r="P190" s="505"/>
    </row>
    <row r="191" spans="2:16">
      <c r="B191" s="504"/>
      <c r="F191" s="505"/>
      <c r="L191" s="504"/>
      <c r="P191" s="505"/>
    </row>
    <row r="192" spans="2:16">
      <c r="B192" s="504"/>
      <c r="F192" s="505"/>
      <c r="L192" s="504"/>
      <c r="P192" s="505"/>
    </row>
    <row r="193" spans="2:16">
      <c r="B193" s="504"/>
      <c r="F193" s="505"/>
      <c r="L193" s="504"/>
      <c r="P193" s="505"/>
    </row>
    <row r="194" spans="2:16">
      <c r="B194" s="504"/>
      <c r="F194" s="505"/>
      <c r="L194" s="504"/>
      <c r="P194" s="505"/>
    </row>
    <row r="195" spans="2:16">
      <c r="B195" s="504"/>
      <c r="F195" s="505"/>
      <c r="L195" s="504"/>
      <c r="P195" s="505"/>
    </row>
    <row r="196" spans="2:16">
      <c r="B196" s="504"/>
      <c r="F196" s="505"/>
      <c r="L196" s="504"/>
      <c r="P196" s="505"/>
    </row>
    <row r="197" spans="2:16">
      <c r="B197" s="504"/>
      <c r="F197" s="505"/>
      <c r="L197" s="504"/>
      <c r="P197" s="505"/>
    </row>
    <row r="198" spans="2:16">
      <c r="B198" s="504"/>
      <c r="F198" s="505"/>
      <c r="L198" s="504"/>
      <c r="P198" s="505"/>
    </row>
    <row r="199" spans="2:16">
      <c r="B199" s="504"/>
      <c r="F199" s="505"/>
      <c r="L199" s="504"/>
      <c r="P199" s="505"/>
    </row>
    <row r="200" spans="2:16">
      <c r="B200" s="504"/>
      <c r="F200" s="505"/>
      <c r="L200" s="504"/>
      <c r="P200" s="505"/>
    </row>
    <row r="201" spans="2:16">
      <c r="B201" s="504"/>
      <c r="F201" s="505"/>
      <c r="L201" s="504"/>
      <c r="P201" s="505"/>
    </row>
    <row r="202" spans="2:16">
      <c r="B202" s="504"/>
      <c r="F202" s="505"/>
      <c r="L202" s="504"/>
      <c r="P202" s="505"/>
    </row>
    <row r="203" spans="2:16">
      <c r="B203" s="504"/>
      <c r="F203" s="505"/>
      <c r="L203" s="504"/>
      <c r="P203" s="505"/>
    </row>
    <row r="204" spans="2:16">
      <c r="B204" s="504"/>
      <c r="F204" s="505"/>
      <c r="L204" s="504"/>
      <c r="P204" s="505"/>
    </row>
    <row r="205" spans="2:16">
      <c r="B205" s="504"/>
      <c r="F205" s="505"/>
      <c r="L205" s="504"/>
      <c r="P205" s="505"/>
    </row>
    <row r="206" spans="2:16">
      <c r="B206" s="504"/>
      <c r="F206" s="505"/>
      <c r="L206" s="504"/>
      <c r="P206" s="505"/>
    </row>
    <row r="207" spans="2:16">
      <c r="B207" s="504"/>
      <c r="F207" s="505"/>
      <c r="L207" s="504"/>
      <c r="P207" s="505"/>
    </row>
    <row r="208" spans="2:16">
      <c r="B208" s="504"/>
      <c r="F208" s="505"/>
      <c r="L208" s="504"/>
      <c r="P208" s="505"/>
    </row>
    <row r="209" spans="2:16">
      <c r="B209" s="504"/>
      <c r="F209" s="505"/>
      <c r="L209" s="504"/>
      <c r="P209" s="505"/>
    </row>
    <row r="210" spans="2:16">
      <c r="B210" s="504"/>
      <c r="F210" s="505"/>
      <c r="L210" s="504"/>
      <c r="P210" s="505"/>
    </row>
    <row r="211" spans="2:16">
      <c r="B211" s="504"/>
      <c r="F211" s="505"/>
      <c r="L211" s="504"/>
      <c r="P211" s="505"/>
    </row>
    <row r="212" spans="2:16">
      <c r="B212" s="504"/>
      <c r="F212" s="505"/>
      <c r="L212" s="504"/>
      <c r="P212" s="505"/>
    </row>
    <row r="213" spans="2:16">
      <c r="B213" s="504"/>
      <c r="F213" s="505"/>
      <c r="L213" s="504"/>
      <c r="P213" s="505"/>
    </row>
    <row r="214" spans="2:16">
      <c r="B214" s="504"/>
      <c r="F214" s="505"/>
      <c r="L214" s="504"/>
      <c r="P214" s="505"/>
    </row>
    <row r="215" spans="2:16">
      <c r="B215" s="504"/>
      <c r="F215" s="505"/>
      <c r="L215" s="504"/>
      <c r="P215" s="505"/>
    </row>
    <row r="216" spans="2:16">
      <c r="B216" s="504"/>
      <c r="F216" s="505"/>
      <c r="L216" s="504"/>
      <c r="P216" s="505"/>
    </row>
    <row r="217" spans="2:16">
      <c r="B217" s="504"/>
      <c r="F217" s="505"/>
      <c r="L217" s="504"/>
      <c r="P217" s="505"/>
    </row>
    <row r="218" spans="2:16">
      <c r="B218" s="504"/>
      <c r="F218" s="505"/>
      <c r="L218" s="504"/>
      <c r="P218" s="505"/>
    </row>
    <row r="219" spans="2:16">
      <c r="B219" s="504"/>
      <c r="F219" s="505"/>
      <c r="L219" s="504"/>
      <c r="P219" s="505"/>
    </row>
    <row r="220" spans="2:16">
      <c r="B220" s="504"/>
      <c r="F220" s="505"/>
      <c r="L220" s="504"/>
      <c r="P220" s="505"/>
    </row>
    <row r="221" spans="2:16">
      <c r="B221" s="504"/>
      <c r="F221" s="505"/>
      <c r="L221" s="504"/>
      <c r="P221" s="505"/>
    </row>
    <row r="222" spans="2:16">
      <c r="B222" s="504"/>
      <c r="F222" s="505"/>
      <c r="L222" s="504"/>
      <c r="P222" s="505"/>
    </row>
    <row r="223" spans="2:16">
      <c r="B223" s="504"/>
      <c r="F223" s="505"/>
      <c r="L223" s="504"/>
      <c r="P223" s="505"/>
    </row>
    <row r="224" spans="2:16">
      <c r="B224" s="504"/>
      <c r="F224" s="505"/>
      <c r="L224" s="504"/>
      <c r="P224" s="505"/>
    </row>
    <row r="225" spans="2:16">
      <c r="B225" s="504"/>
      <c r="F225" s="505"/>
      <c r="L225" s="504"/>
      <c r="P225" s="505"/>
    </row>
    <row r="226" spans="2:16">
      <c r="B226" s="504"/>
      <c r="F226" s="505"/>
      <c r="L226" s="504"/>
      <c r="P226" s="505"/>
    </row>
    <row r="227" spans="2:16">
      <c r="B227" s="504"/>
      <c r="F227" s="505"/>
      <c r="L227" s="504"/>
      <c r="P227" s="505"/>
    </row>
    <row r="228" spans="2:16">
      <c r="B228" s="504"/>
      <c r="F228" s="505"/>
      <c r="L228" s="504"/>
      <c r="P228" s="505"/>
    </row>
    <row r="229" spans="2:16">
      <c r="B229" s="504"/>
      <c r="F229" s="505"/>
      <c r="L229" s="504"/>
      <c r="P229" s="505"/>
    </row>
    <row r="230" spans="2:16">
      <c r="B230" s="504"/>
      <c r="F230" s="505"/>
      <c r="L230" s="504"/>
      <c r="P230" s="505"/>
    </row>
    <row r="231" spans="2:16">
      <c r="B231" s="504"/>
      <c r="F231" s="505"/>
      <c r="L231" s="504"/>
      <c r="P231" s="505"/>
    </row>
    <row r="232" spans="2:16">
      <c r="B232" s="504"/>
      <c r="F232" s="505"/>
      <c r="L232" s="504"/>
      <c r="P232" s="505"/>
    </row>
    <row r="233" spans="2:16">
      <c r="B233" s="504"/>
      <c r="F233" s="505"/>
      <c r="L233" s="504"/>
      <c r="P233" s="505"/>
    </row>
    <row r="234" spans="2:16">
      <c r="B234" s="504"/>
      <c r="F234" s="505"/>
      <c r="L234" s="504"/>
      <c r="P234" s="505"/>
    </row>
    <row r="235" spans="2:16">
      <c r="B235" s="504"/>
      <c r="F235" s="505"/>
      <c r="L235" s="504"/>
      <c r="P235" s="505"/>
    </row>
    <row r="236" spans="2:16">
      <c r="B236" s="504"/>
      <c r="F236" s="505"/>
      <c r="L236" s="504"/>
      <c r="P236" s="505"/>
    </row>
    <row r="237" spans="2:16">
      <c r="B237" s="504"/>
      <c r="F237" s="505"/>
      <c r="L237" s="504"/>
      <c r="P237" s="505"/>
    </row>
    <row r="238" spans="2:16">
      <c r="B238" s="504"/>
      <c r="F238" s="505"/>
      <c r="L238" s="504"/>
      <c r="P238" s="505"/>
    </row>
    <row r="239" spans="2:16">
      <c r="B239" s="504"/>
      <c r="F239" s="505"/>
      <c r="L239" s="504"/>
      <c r="P239" s="505"/>
    </row>
    <row r="240" spans="2:16">
      <c r="B240" s="504"/>
      <c r="F240" s="505"/>
      <c r="L240" s="504"/>
      <c r="P240" s="505"/>
    </row>
    <row r="241" spans="2:16">
      <c r="B241" s="504"/>
      <c r="F241" s="505"/>
      <c r="L241" s="504"/>
      <c r="P241" s="505"/>
    </row>
    <row r="242" spans="2:16">
      <c r="B242" s="504"/>
      <c r="F242" s="505"/>
      <c r="L242" s="504"/>
      <c r="P242" s="505"/>
    </row>
    <row r="243" spans="2:16">
      <c r="B243" s="504"/>
      <c r="F243" s="505"/>
      <c r="L243" s="504"/>
      <c r="P243" s="505"/>
    </row>
    <row r="244" spans="2:16">
      <c r="B244" s="504"/>
      <c r="F244" s="505"/>
      <c r="L244" s="504"/>
      <c r="P244" s="505"/>
    </row>
    <row r="245" spans="2:16">
      <c r="B245" s="504"/>
      <c r="F245" s="505"/>
      <c r="L245" s="504"/>
      <c r="P245" s="505"/>
    </row>
    <row r="246" spans="2:16">
      <c r="B246" s="504"/>
      <c r="F246" s="505"/>
      <c r="L246" s="504"/>
      <c r="P246" s="505"/>
    </row>
    <row r="247" spans="2:16">
      <c r="B247" s="504"/>
      <c r="F247" s="505"/>
      <c r="L247" s="504"/>
      <c r="P247" s="505"/>
    </row>
    <row r="248" spans="2:16">
      <c r="B248" s="504"/>
      <c r="F248" s="505"/>
      <c r="L248" s="504"/>
      <c r="P248" s="505"/>
    </row>
    <row r="249" spans="2:16">
      <c r="B249" s="504"/>
      <c r="F249" s="505"/>
      <c r="L249" s="504"/>
      <c r="P249" s="505"/>
    </row>
    <row r="250" spans="2:16">
      <c r="B250" s="504"/>
      <c r="F250" s="505"/>
      <c r="L250" s="504"/>
      <c r="P250" s="505"/>
    </row>
    <row r="251" spans="2:16">
      <c r="B251" s="504"/>
      <c r="F251" s="505"/>
      <c r="L251" s="504"/>
      <c r="P251" s="505"/>
    </row>
    <row r="252" spans="2:16">
      <c r="B252" s="504"/>
      <c r="F252" s="505"/>
      <c r="L252" s="504"/>
      <c r="P252" s="505"/>
    </row>
    <row r="253" spans="2:16">
      <c r="B253" s="504"/>
      <c r="F253" s="505"/>
      <c r="L253" s="504"/>
      <c r="P253" s="505"/>
    </row>
    <row r="254" spans="2:16">
      <c r="B254" s="504"/>
      <c r="F254" s="505"/>
      <c r="L254" s="504"/>
      <c r="P254" s="505"/>
    </row>
    <row r="255" spans="2:16">
      <c r="B255" s="504"/>
      <c r="F255" s="505"/>
      <c r="L255" s="504"/>
      <c r="P255" s="505"/>
    </row>
    <row r="256" spans="2:16">
      <c r="B256" s="504"/>
      <c r="F256" s="505"/>
      <c r="L256" s="504"/>
      <c r="P256" s="505"/>
    </row>
    <row r="257" spans="2:16">
      <c r="B257" s="504"/>
      <c r="F257" s="505"/>
      <c r="L257" s="504"/>
      <c r="P257" s="505"/>
    </row>
    <row r="258" spans="2:16">
      <c r="B258" s="504"/>
      <c r="F258" s="505"/>
      <c r="L258" s="504"/>
      <c r="P258" s="505"/>
    </row>
    <row r="259" spans="2:16">
      <c r="B259" s="504"/>
      <c r="F259" s="505"/>
      <c r="L259" s="504"/>
      <c r="P259" s="505"/>
    </row>
    <row r="260" spans="2:16">
      <c r="B260" s="504"/>
      <c r="F260" s="505"/>
      <c r="L260" s="504"/>
      <c r="P260" s="505"/>
    </row>
    <row r="261" spans="2:16">
      <c r="B261" s="504"/>
      <c r="F261" s="505"/>
      <c r="L261" s="504"/>
      <c r="P261" s="505"/>
    </row>
    <row r="262" spans="2:16">
      <c r="B262" s="504"/>
      <c r="F262" s="505"/>
      <c r="L262" s="504"/>
      <c r="P262" s="505"/>
    </row>
    <row r="263" spans="2:16">
      <c r="B263" s="504"/>
      <c r="F263" s="505"/>
      <c r="L263" s="504"/>
      <c r="P263" s="505"/>
    </row>
    <row r="264" spans="2:16">
      <c r="B264" s="504"/>
      <c r="F264" s="505"/>
      <c r="L264" s="504"/>
      <c r="P264" s="505"/>
    </row>
    <row r="265" spans="2:16">
      <c r="B265" s="504"/>
      <c r="F265" s="505"/>
      <c r="L265" s="504"/>
      <c r="P265" s="505"/>
    </row>
    <row r="266" spans="2:16">
      <c r="B266" s="504"/>
      <c r="F266" s="505"/>
      <c r="L266" s="504"/>
      <c r="P266" s="505"/>
    </row>
    <row r="267" spans="2:16">
      <c r="B267" s="504"/>
      <c r="F267" s="505"/>
      <c r="L267" s="504"/>
      <c r="P267" s="505"/>
    </row>
    <row r="268" spans="2:16">
      <c r="B268" s="504"/>
      <c r="F268" s="505"/>
      <c r="L268" s="504"/>
      <c r="P268" s="505"/>
    </row>
    <row r="269" spans="2:16">
      <c r="B269" s="504"/>
      <c r="F269" s="505"/>
      <c r="L269" s="504"/>
      <c r="P269" s="505"/>
    </row>
    <row r="270" spans="2:16">
      <c r="B270" s="504"/>
      <c r="F270" s="505"/>
      <c r="L270" s="504"/>
      <c r="P270" s="505"/>
    </row>
    <row r="271" spans="2:16">
      <c r="B271" s="504"/>
      <c r="F271" s="505"/>
      <c r="L271" s="504"/>
      <c r="P271" s="505"/>
    </row>
    <row r="272" spans="2:16">
      <c r="B272" s="504"/>
      <c r="F272" s="505"/>
      <c r="L272" s="504"/>
      <c r="P272" s="505"/>
    </row>
    <row r="273" spans="2:16">
      <c r="B273" s="504"/>
      <c r="F273" s="505"/>
      <c r="L273" s="504"/>
      <c r="P273" s="505"/>
    </row>
    <row r="274" spans="2:16">
      <c r="B274" s="504"/>
      <c r="F274" s="505"/>
      <c r="L274" s="504"/>
      <c r="P274" s="505"/>
    </row>
    <row r="275" spans="2:16">
      <c r="B275" s="504"/>
      <c r="F275" s="505"/>
      <c r="L275" s="504"/>
      <c r="P275" s="505"/>
    </row>
    <row r="276" spans="2:16">
      <c r="B276" s="504"/>
      <c r="F276" s="505"/>
      <c r="L276" s="504"/>
      <c r="P276" s="505"/>
    </row>
    <row r="277" spans="2:16">
      <c r="B277" s="504"/>
      <c r="F277" s="505"/>
      <c r="L277" s="504"/>
      <c r="P277" s="505"/>
    </row>
    <row r="278" spans="2:16">
      <c r="B278" s="504"/>
      <c r="F278" s="505"/>
      <c r="L278" s="504"/>
      <c r="P278" s="505"/>
    </row>
    <row r="279" spans="2:16">
      <c r="B279" s="504"/>
      <c r="F279" s="505"/>
      <c r="L279" s="504"/>
      <c r="P279" s="505"/>
    </row>
    <row r="280" spans="2:16">
      <c r="B280" s="504"/>
      <c r="F280" s="505"/>
      <c r="L280" s="504"/>
      <c r="P280" s="505"/>
    </row>
    <row r="281" spans="2:16">
      <c r="B281" s="504"/>
      <c r="F281" s="505"/>
      <c r="L281" s="504"/>
      <c r="P281" s="505"/>
    </row>
    <row r="282" spans="2:16">
      <c r="B282" s="504"/>
      <c r="F282" s="505"/>
      <c r="L282" s="504"/>
      <c r="P282" s="505"/>
    </row>
    <row r="283" spans="2:16">
      <c r="B283" s="504"/>
      <c r="F283" s="505"/>
      <c r="L283" s="504"/>
      <c r="P283" s="505"/>
    </row>
    <row r="284" spans="2:16">
      <c r="B284" s="504"/>
      <c r="F284" s="505"/>
      <c r="L284" s="504"/>
      <c r="P284" s="505"/>
    </row>
    <row r="285" spans="2:16">
      <c r="B285" s="504"/>
      <c r="F285" s="505"/>
      <c r="L285" s="504"/>
      <c r="P285" s="505"/>
    </row>
    <row r="286" spans="2:16">
      <c r="B286" s="504"/>
      <c r="F286" s="505"/>
      <c r="L286" s="504"/>
      <c r="P286" s="505"/>
    </row>
    <row r="287" spans="2:16">
      <c r="B287" s="504"/>
      <c r="F287" s="505"/>
      <c r="L287" s="504"/>
      <c r="P287" s="505"/>
    </row>
    <row r="288" spans="2:16">
      <c r="B288" s="504"/>
      <c r="F288" s="505"/>
      <c r="L288" s="504"/>
      <c r="P288" s="505"/>
    </row>
    <row r="289" spans="2:16">
      <c r="B289" s="504"/>
      <c r="F289" s="505"/>
      <c r="L289" s="504"/>
      <c r="P289" s="505"/>
    </row>
    <row r="290" spans="2:16">
      <c r="B290" s="504"/>
      <c r="F290" s="505"/>
      <c r="L290" s="504"/>
      <c r="P290" s="505"/>
    </row>
    <row r="291" spans="2:16">
      <c r="B291" s="504"/>
      <c r="F291" s="505"/>
      <c r="L291" s="504"/>
      <c r="P291" s="505"/>
    </row>
    <row r="292" spans="2:16">
      <c r="B292" s="504"/>
      <c r="F292" s="505"/>
      <c r="L292" s="504"/>
      <c r="P292" s="505"/>
    </row>
    <row r="293" spans="2:16">
      <c r="B293" s="504"/>
      <c r="F293" s="505"/>
      <c r="L293" s="504"/>
      <c r="P293" s="505"/>
    </row>
    <row r="294" spans="2:16">
      <c r="B294" s="504"/>
      <c r="F294" s="505"/>
      <c r="L294" s="504"/>
      <c r="P294" s="505"/>
    </row>
    <row r="295" spans="2:16">
      <c r="B295" s="504"/>
      <c r="F295" s="505"/>
      <c r="L295" s="504"/>
      <c r="P295" s="505"/>
    </row>
    <row r="296" spans="2:16">
      <c r="B296" s="504"/>
      <c r="F296" s="505"/>
      <c r="L296" s="504"/>
      <c r="P296" s="505"/>
    </row>
    <row r="297" spans="2:16">
      <c r="B297" s="504"/>
      <c r="F297" s="505"/>
      <c r="L297" s="504"/>
      <c r="P297" s="505"/>
    </row>
    <row r="298" spans="2:16">
      <c r="B298" s="504"/>
      <c r="F298" s="505"/>
      <c r="L298" s="504"/>
      <c r="P298" s="505"/>
    </row>
    <row r="299" spans="2:16">
      <c r="B299" s="504"/>
      <c r="F299" s="505"/>
      <c r="L299" s="504"/>
      <c r="P299" s="505"/>
    </row>
    <row r="300" spans="2:16">
      <c r="B300" s="504"/>
      <c r="F300" s="505"/>
      <c r="L300" s="504"/>
      <c r="P300" s="505"/>
    </row>
    <row r="301" spans="2:16">
      <c r="B301" s="504"/>
      <c r="F301" s="505"/>
      <c r="L301" s="504"/>
      <c r="P301" s="505"/>
    </row>
    <row r="302" spans="2:16">
      <c r="B302" s="504"/>
      <c r="F302" s="505"/>
      <c r="L302" s="504"/>
      <c r="P302" s="505"/>
    </row>
    <row r="303" spans="2:16">
      <c r="B303" s="504"/>
      <c r="F303" s="505"/>
      <c r="L303" s="504"/>
      <c r="P303" s="505"/>
    </row>
    <row r="304" spans="2:16">
      <c r="B304" s="504"/>
      <c r="F304" s="505"/>
      <c r="L304" s="504"/>
      <c r="P304" s="505"/>
    </row>
    <row r="305" spans="2:16">
      <c r="B305" s="504"/>
      <c r="F305" s="505"/>
      <c r="L305" s="504"/>
      <c r="P305" s="505"/>
    </row>
    <row r="306" spans="2:16">
      <c r="B306" s="504"/>
      <c r="F306" s="505"/>
      <c r="L306" s="504"/>
      <c r="P306" s="505"/>
    </row>
    <row r="307" spans="2:16">
      <c r="B307" s="504"/>
      <c r="F307" s="505"/>
      <c r="L307" s="504"/>
      <c r="P307" s="505"/>
    </row>
    <row r="308" spans="2:16">
      <c r="B308" s="504"/>
      <c r="F308" s="505"/>
      <c r="L308" s="504"/>
      <c r="P308" s="505"/>
    </row>
    <row r="309" spans="2:16">
      <c r="B309" s="504"/>
      <c r="F309" s="505"/>
      <c r="L309" s="504"/>
      <c r="P309" s="505"/>
    </row>
    <row r="310" spans="2:16">
      <c r="B310" s="504"/>
      <c r="F310" s="505"/>
      <c r="L310" s="504"/>
      <c r="P310" s="505"/>
    </row>
    <row r="311" spans="2:16">
      <c r="B311" s="504"/>
      <c r="F311" s="505"/>
      <c r="L311" s="504"/>
      <c r="P311" s="505"/>
    </row>
    <row r="312" spans="2:16">
      <c r="B312" s="504"/>
      <c r="F312" s="505"/>
      <c r="L312" s="504"/>
      <c r="P312" s="505"/>
    </row>
    <row r="313" spans="2:16">
      <c r="B313" s="504"/>
      <c r="F313" s="505"/>
      <c r="L313" s="504"/>
      <c r="P313" s="505"/>
    </row>
    <row r="314" spans="2:16">
      <c r="B314" s="504"/>
      <c r="F314" s="505"/>
      <c r="L314" s="504"/>
      <c r="P314" s="505"/>
    </row>
    <row r="315" spans="2:16">
      <c r="B315" s="504"/>
      <c r="F315" s="505"/>
      <c r="L315" s="504"/>
      <c r="P315" s="505"/>
    </row>
    <row r="316" spans="2:16">
      <c r="B316" s="504"/>
      <c r="F316" s="505"/>
      <c r="L316" s="504"/>
      <c r="P316" s="505"/>
    </row>
    <row r="317" spans="2:16">
      <c r="B317" s="504"/>
      <c r="F317" s="505"/>
      <c r="L317" s="504"/>
      <c r="P317" s="505"/>
    </row>
    <row r="318" spans="2:16">
      <c r="B318" s="504"/>
      <c r="F318" s="505"/>
      <c r="L318" s="504"/>
      <c r="P318" s="505"/>
    </row>
    <row r="319" spans="2:16">
      <c r="B319" s="504"/>
      <c r="F319" s="505"/>
      <c r="L319" s="504"/>
      <c r="P319" s="505"/>
    </row>
    <row r="320" spans="2:16">
      <c r="B320" s="504"/>
      <c r="F320" s="505"/>
      <c r="L320" s="504"/>
      <c r="P320" s="505"/>
    </row>
    <row r="321" spans="2:16">
      <c r="B321" s="504"/>
      <c r="F321" s="505"/>
      <c r="L321" s="504"/>
      <c r="P321" s="505"/>
    </row>
    <row r="322" spans="2:16">
      <c r="B322" s="504"/>
      <c r="F322" s="505"/>
      <c r="L322" s="504"/>
      <c r="P322" s="505"/>
    </row>
    <row r="323" spans="2:16">
      <c r="B323" s="504"/>
      <c r="F323" s="505"/>
      <c r="L323" s="504"/>
      <c r="P323" s="505"/>
    </row>
    <row r="324" spans="2:16">
      <c r="B324" s="504"/>
      <c r="F324" s="505"/>
      <c r="L324" s="504"/>
      <c r="P324" s="505"/>
    </row>
    <row r="325" spans="2:16">
      <c r="B325" s="504"/>
      <c r="F325" s="505"/>
      <c r="L325" s="504"/>
      <c r="P325" s="505"/>
    </row>
    <row r="326" spans="2:16">
      <c r="B326" s="504"/>
      <c r="F326" s="505"/>
      <c r="L326" s="504"/>
      <c r="P326" s="505"/>
    </row>
    <row r="327" spans="2:16">
      <c r="B327" s="504"/>
      <c r="F327" s="505"/>
      <c r="L327" s="504"/>
      <c r="P327" s="505"/>
    </row>
    <row r="328" spans="2:16">
      <c r="B328" s="504"/>
      <c r="F328" s="505"/>
      <c r="L328" s="504"/>
      <c r="P328" s="505"/>
    </row>
    <row r="329" spans="2:16">
      <c r="B329" s="504"/>
      <c r="F329" s="505"/>
      <c r="L329" s="504"/>
      <c r="P329" s="505"/>
    </row>
    <row r="330" spans="2:16">
      <c r="B330" s="504"/>
      <c r="F330" s="505"/>
      <c r="L330" s="504"/>
      <c r="P330" s="505"/>
    </row>
    <row r="331" spans="2:16">
      <c r="B331" s="504"/>
      <c r="F331" s="505"/>
      <c r="L331" s="504"/>
      <c r="P331" s="505"/>
    </row>
    <row r="332" spans="2:16">
      <c r="B332" s="504"/>
      <c r="F332" s="505"/>
      <c r="L332" s="504"/>
      <c r="P332" s="505"/>
    </row>
    <row r="333" spans="2:16">
      <c r="B333" s="504"/>
      <c r="F333" s="505"/>
      <c r="L333" s="504"/>
      <c r="P333" s="505"/>
    </row>
    <row r="334" spans="2:16">
      <c r="B334" s="504"/>
      <c r="F334" s="505"/>
      <c r="L334" s="504"/>
      <c r="P334" s="505"/>
    </row>
    <row r="335" spans="2:16">
      <c r="B335" s="504"/>
      <c r="F335" s="505"/>
      <c r="L335" s="504"/>
      <c r="P335" s="505"/>
    </row>
    <row r="336" spans="2:16">
      <c r="B336" s="504"/>
      <c r="F336" s="505"/>
      <c r="L336" s="504"/>
      <c r="P336" s="505"/>
    </row>
    <row r="337" spans="2:16">
      <c r="B337" s="504"/>
      <c r="F337" s="505"/>
      <c r="L337" s="504"/>
      <c r="P337" s="505"/>
    </row>
    <row r="338" spans="2:16">
      <c r="B338" s="504"/>
      <c r="F338" s="505"/>
      <c r="L338" s="504"/>
      <c r="P338" s="505"/>
    </row>
    <row r="339" spans="2:16">
      <c r="B339" s="504"/>
      <c r="F339" s="505"/>
      <c r="L339" s="504"/>
      <c r="P339" s="505"/>
    </row>
    <row r="340" spans="2:16">
      <c r="B340" s="504"/>
      <c r="F340" s="505"/>
      <c r="L340" s="504"/>
      <c r="P340" s="505"/>
    </row>
    <row r="341" spans="2:16">
      <c r="B341" s="504"/>
      <c r="F341" s="505"/>
      <c r="L341" s="504"/>
      <c r="P341" s="505"/>
    </row>
    <row r="342" spans="2:16">
      <c r="B342" s="504"/>
      <c r="F342" s="505"/>
      <c r="L342" s="504"/>
      <c r="P342" s="505"/>
    </row>
    <row r="343" spans="2:16">
      <c r="B343" s="504"/>
      <c r="F343" s="505"/>
      <c r="L343" s="504"/>
      <c r="P343" s="505"/>
    </row>
    <row r="344" spans="2:16">
      <c r="B344" s="504"/>
      <c r="F344" s="505"/>
      <c r="L344" s="504"/>
      <c r="P344" s="505"/>
    </row>
    <row r="345" spans="2:16">
      <c r="B345" s="504"/>
      <c r="F345" s="505"/>
      <c r="L345" s="504"/>
      <c r="P345" s="505"/>
    </row>
    <row r="346" spans="2:16">
      <c r="B346" s="504"/>
      <c r="F346" s="505"/>
      <c r="L346" s="504"/>
      <c r="P346" s="505"/>
    </row>
    <row r="347" spans="2:16">
      <c r="B347" s="504"/>
      <c r="F347" s="505"/>
      <c r="L347" s="504"/>
      <c r="P347" s="505"/>
    </row>
    <row r="348" spans="2:16">
      <c r="B348" s="504"/>
      <c r="F348" s="505"/>
      <c r="L348" s="504"/>
      <c r="P348" s="505"/>
    </row>
    <row r="349" spans="2:16">
      <c r="B349" s="504"/>
      <c r="F349" s="505"/>
      <c r="L349" s="504"/>
      <c r="P349" s="505"/>
    </row>
    <row r="350" spans="2:16">
      <c r="B350" s="504"/>
      <c r="F350" s="505"/>
      <c r="L350" s="504"/>
      <c r="P350" s="505"/>
    </row>
    <row r="351" spans="2:16">
      <c r="B351" s="504"/>
      <c r="F351" s="505"/>
      <c r="L351" s="504"/>
      <c r="P351" s="505"/>
    </row>
    <row r="352" spans="2:16">
      <c r="B352" s="504"/>
      <c r="F352" s="505"/>
      <c r="L352" s="504"/>
      <c r="P352" s="505"/>
    </row>
    <row r="353" spans="2:16">
      <c r="B353" s="504"/>
      <c r="F353" s="505"/>
      <c r="L353" s="504"/>
      <c r="P353" s="505"/>
    </row>
    <row r="354" spans="2:16">
      <c r="B354" s="504"/>
      <c r="F354" s="505"/>
      <c r="L354" s="504"/>
      <c r="P354" s="505"/>
    </row>
    <row r="355" spans="2:16">
      <c r="B355" s="504"/>
      <c r="F355" s="505"/>
      <c r="L355" s="504"/>
      <c r="P355" s="505"/>
    </row>
    <row r="356" spans="2:16">
      <c r="B356" s="504"/>
      <c r="F356" s="505"/>
      <c r="L356" s="504"/>
      <c r="P356" s="505"/>
    </row>
    <row r="357" spans="2:16">
      <c r="B357" s="504"/>
      <c r="F357" s="505"/>
      <c r="L357" s="504"/>
      <c r="P357" s="505"/>
    </row>
    <row r="358" spans="2:16">
      <c r="B358" s="504"/>
      <c r="F358" s="505"/>
      <c r="L358" s="504"/>
      <c r="P358" s="505"/>
    </row>
    <row r="359" spans="2:16">
      <c r="B359" s="504"/>
      <c r="F359" s="505"/>
      <c r="L359" s="504"/>
      <c r="P359" s="505"/>
    </row>
    <row r="360" spans="2:16">
      <c r="B360" s="504"/>
      <c r="F360" s="505"/>
      <c r="L360" s="504"/>
      <c r="P360" s="505"/>
    </row>
    <row r="361" spans="2:16">
      <c r="B361" s="504"/>
      <c r="F361" s="505"/>
      <c r="L361" s="504"/>
      <c r="P361" s="505"/>
    </row>
    <row r="362" spans="2:16">
      <c r="B362" s="504"/>
      <c r="F362" s="505"/>
      <c r="L362" s="504"/>
      <c r="P362" s="505"/>
    </row>
    <row r="363" spans="2:16">
      <c r="B363" s="504"/>
      <c r="F363" s="505"/>
      <c r="L363" s="504"/>
      <c r="P363" s="505"/>
    </row>
    <row r="364" spans="2:16">
      <c r="B364" s="504"/>
      <c r="F364" s="505"/>
      <c r="L364" s="504"/>
      <c r="P364" s="505"/>
    </row>
    <row r="365" spans="2:16">
      <c r="B365" s="504"/>
      <c r="F365" s="505"/>
      <c r="L365" s="504"/>
      <c r="P365" s="505"/>
    </row>
    <row r="366" spans="2:16">
      <c r="B366" s="504"/>
      <c r="F366" s="505"/>
      <c r="L366" s="504"/>
      <c r="P366" s="505"/>
    </row>
    <row r="367" spans="2:16">
      <c r="B367" s="504"/>
      <c r="F367" s="505"/>
      <c r="L367" s="504"/>
      <c r="P367" s="505"/>
    </row>
    <row r="368" spans="2:16">
      <c r="B368" s="504"/>
      <c r="F368" s="505"/>
      <c r="L368" s="504"/>
      <c r="P368" s="505"/>
    </row>
    <row r="369" spans="2:16">
      <c r="B369" s="504"/>
      <c r="F369" s="505"/>
      <c r="L369" s="504"/>
      <c r="P369" s="505"/>
    </row>
    <row r="370" spans="2:16">
      <c r="B370" s="504"/>
      <c r="F370" s="505"/>
      <c r="L370" s="504"/>
      <c r="P370" s="505"/>
    </row>
    <row r="371" spans="2:16">
      <c r="B371" s="504"/>
      <c r="F371" s="505"/>
      <c r="L371" s="504"/>
      <c r="P371" s="505"/>
    </row>
    <row r="372" spans="2:16">
      <c r="B372" s="504"/>
      <c r="F372" s="505"/>
      <c r="L372" s="504"/>
      <c r="P372" s="505"/>
    </row>
    <row r="373" spans="2:16">
      <c r="B373" s="504"/>
      <c r="F373" s="505"/>
      <c r="L373" s="504"/>
      <c r="P373" s="505"/>
    </row>
    <row r="374" spans="2:16">
      <c r="B374" s="504"/>
      <c r="F374" s="505"/>
      <c r="L374" s="504"/>
      <c r="P374" s="505"/>
    </row>
    <row r="375" spans="2:16">
      <c r="B375" s="504"/>
      <c r="F375" s="505"/>
      <c r="L375" s="504"/>
      <c r="P375" s="505"/>
    </row>
    <row r="376" spans="2:16">
      <c r="B376" s="504"/>
      <c r="F376" s="505"/>
      <c r="L376" s="504"/>
      <c r="P376" s="505"/>
    </row>
    <row r="377" spans="2:16">
      <c r="B377" s="504"/>
      <c r="F377" s="505"/>
      <c r="L377" s="504"/>
      <c r="P377" s="505"/>
    </row>
    <row r="378" spans="2:16">
      <c r="B378" s="504"/>
      <c r="F378" s="505"/>
      <c r="L378" s="504"/>
      <c r="P378" s="505"/>
    </row>
    <row r="379" spans="2:16">
      <c r="B379" s="504"/>
      <c r="F379" s="505"/>
      <c r="L379" s="504"/>
      <c r="P379" s="505"/>
    </row>
    <row r="380" spans="2:16">
      <c r="B380" s="504"/>
      <c r="F380" s="505"/>
      <c r="L380" s="504"/>
      <c r="P380" s="505"/>
    </row>
    <row r="381" spans="2:16">
      <c r="B381" s="504"/>
      <c r="F381" s="505"/>
      <c r="L381" s="504"/>
      <c r="P381" s="505"/>
    </row>
    <row r="382" spans="2:16">
      <c r="B382" s="504"/>
      <c r="F382" s="505"/>
      <c r="L382" s="504"/>
      <c r="P382" s="505"/>
    </row>
    <row r="383" spans="2:16">
      <c r="B383" s="504"/>
      <c r="F383" s="505"/>
      <c r="L383" s="504"/>
      <c r="P383" s="505"/>
    </row>
    <row r="384" spans="2:16">
      <c r="B384" s="504"/>
      <c r="F384" s="505"/>
      <c r="L384" s="504"/>
      <c r="P384" s="505"/>
    </row>
    <row r="385" spans="2:16">
      <c r="B385" s="504"/>
      <c r="F385" s="505"/>
      <c r="L385" s="504"/>
      <c r="P385" s="505"/>
    </row>
    <row r="386" spans="2:16">
      <c r="B386" s="504"/>
      <c r="F386" s="505"/>
      <c r="L386" s="504"/>
      <c r="P386" s="505"/>
    </row>
    <row r="387" spans="2:16">
      <c r="B387" s="504"/>
      <c r="F387" s="505"/>
      <c r="L387" s="504"/>
      <c r="P387" s="505"/>
    </row>
    <row r="388" spans="2:16">
      <c r="B388" s="504"/>
      <c r="F388" s="505"/>
      <c r="L388" s="504"/>
      <c r="P388" s="505"/>
    </row>
    <row r="389" spans="2:16">
      <c r="B389" s="504"/>
      <c r="F389" s="505"/>
      <c r="L389" s="504"/>
      <c r="P389" s="505"/>
    </row>
    <row r="390" spans="2:16">
      <c r="B390" s="504"/>
      <c r="F390" s="505"/>
      <c r="L390" s="504"/>
      <c r="P390" s="505"/>
    </row>
    <row r="391" spans="2:16">
      <c r="B391" s="504"/>
      <c r="F391" s="505"/>
      <c r="L391" s="504"/>
      <c r="P391" s="505"/>
    </row>
    <row r="392" spans="2:16">
      <c r="B392" s="504"/>
      <c r="F392" s="505"/>
      <c r="L392" s="504"/>
      <c r="P392" s="505"/>
    </row>
    <row r="393" spans="2:16">
      <c r="B393" s="504"/>
      <c r="F393" s="505"/>
      <c r="L393" s="504"/>
      <c r="P393" s="505"/>
    </row>
    <row r="394" spans="2:16">
      <c r="B394" s="504"/>
      <c r="F394" s="505"/>
      <c r="L394" s="504"/>
      <c r="P394" s="505"/>
    </row>
    <row r="395" spans="2:16">
      <c r="B395" s="504"/>
      <c r="F395" s="505"/>
      <c r="L395" s="504"/>
      <c r="P395" s="505"/>
    </row>
    <row r="396" spans="2:16">
      <c r="B396" s="504"/>
      <c r="F396" s="505"/>
      <c r="L396" s="504"/>
      <c r="P396" s="505"/>
    </row>
    <row r="397" spans="2:16">
      <c r="B397" s="504"/>
      <c r="F397" s="505"/>
      <c r="L397" s="504"/>
      <c r="P397" s="505"/>
    </row>
    <row r="398" spans="2:16">
      <c r="B398" s="504"/>
      <c r="F398" s="505"/>
      <c r="L398" s="504"/>
      <c r="P398" s="505"/>
    </row>
    <row r="399" spans="2:16">
      <c r="B399" s="504"/>
      <c r="F399" s="505"/>
      <c r="L399" s="504"/>
      <c r="P399" s="505"/>
    </row>
    <row r="400" spans="2:16">
      <c r="B400" s="504"/>
      <c r="F400" s="505"/>
      <c r="L400" s="504"/>
      <c r="P400" s="505"/>
    </row>
    <row r="401" spans="2:16">
      <c r="B401" s="504"/>
      <c r="F401" s="505"/>
      <c r="L401" s="504"/>
      <c r="P401" s="505"/>
    </row>
    <row r="402" spans="2:16">
      <c r="B402" s="504"/>
      <c r="F402" s="505"/>
      <c r="L402" s="504"/>
      <c r="P402" s="505"/>
    </row>
    <row r="403" spans="2:16">
      <c r="B403" s="504"/>
      <c r="F403" s="505"/>
      <c r="L403" s="504"/>
      <c r="P403" s="505"/>
    </row>
    <row r="404" spans="2:16">
      <c r="B404" s="504"/>
      <c r="F404" s="505"/>
      <c r="L404" s="504"/>
      <c r="P404" s="505"/>
    </row>
    <row r="405" spans="2:16">
      <c r="B405" s="504"/>
      <c r="F405" s="505"/>
      <c r="L405" s="504"/>
      <c r="P405" s="505"/>
    </row>
    <row r="406" spans="2:16">
      <c r="B406" s="504"/>
      <c r="F406" s="505"/>
      <c r="L406" s="504"/>
      <c r="P406" s="505"/>
    </row>
    <row r="407" spans="2:16">
      <c r="B407" s="504"/>
      <c r="F407" s="505"/>
      <c r="L407" s="504"/>
      <c r="P407" s="505"/>
    </row>
    <row r="408" spans="2:16">
      <c r="B408" s="504"/>
      <c r="F408" s="505"/>
      <c r="L408" s="504"/>
      <c r="P408" s="505"/>
    </row>
    <row r="409" spans="2:16">
      <c r="B409" s="504"/>
      <c r="F409" s="505"/>
      <c r="L409" s="504"/>
      <c r="P409" s="505"/>
    </row>
    <row r="410" spans="2:16">
      <c r="B410" s="504"/>
      <c r="F410" s="505"/>
      <c r="L410" s="504"/>
      <c r="P410" s="505"/>
    </row>
    <row r="411" spans="2:16">
      <c r="B411" s="504"/>
      <c r="F411" s="505"/>
      <c r="L411" s="504"/>
      <c r="P411" s="505"/>
    </row>
    <row r="412" spans="2:16">
      <c r="B412" s="504"/>
      <c r="F412" s="505"/>
      <c r="L412" s="504"/>
      <c r="P412" s="505"/>
    </row>
    <row r="413" spans="2:16">
      <c r="B413" s="504"/>
      <c r="F413" s="505"/>
      <c r="L413" s="504"/>
      <c r="P413" s="505"/>
    </row>
    <row r="414" spans="2:16">
      <c r="B414" s="504"/>
      <c r="F414" s="505"/>
      <c r="L414" s="504"/>
      <c r="P414" s="505"/>
    </row>
    <row r="415" spans="2:16">
      <c r="B415" s="504"/>
      <c r="F415" s="505"/>
      <c r="L415" s="504"/>
      <c r="P415" s="505"/>
    </row>
    <row r="416" spans="2:16">
      <c r="B416" s="504"/>
      <c r="F416" s="505"/>
      <c r="L416" s="504"/>
      <c r="P416" s="505"/>
    </row>
    <row r="417" spans="2:16">
      <c r="B417" s="504"/>
      <c r="F417" s="505"/>
      <c r="L417" s="504"/>
      <c r="P417" s="505"/>
    </row>
    <row r="418" spans="2:16">
      <c r="B418" s="504"/>
      <c r="F418" s="505"/>
      <c r="L418" s="504"/>
      <c r="P418" s="505"/>
    </row>
    <row r="419" spans="2:16">
      <c r="B419" s="504"/>
      <c r="F419" s="505"/>
      <c r="L419" s="504"/>
      <c r="P419" s="505"/>
    </row>
    <row r="420" spans="2:16">
      <c r="B420" s="504"/>
      <c r="F420" s="505"/>
      <c r="L420" s="504"/>
      <c r="P420" s="505"/>
    </row>
    <row r="421" spans="2:16">
      <c r="B421" s="504"/>
      <c r="F421" s="505"/>
      <c r="L421" s="504"/>
      <c r="P421" s="505"/>
    </row>
    <row r="422" spans="2:16">
      <c r="B422" s="504"/>
      <c r="F422" s="505"/>
      <c r="L422" s="504"/>
      <c r="P422" s="505"/>
    </row>
    <row r="423" spans="2:16">
      <c r="B423" s="504"/>
      <c r="F423" s="505"/>
      <c r="L423" s="504"/>
      <c r="P423" s="505"/>
    </row>
    <row r="424" spans="2:16">
      <c r="B424" s="504"/>
      <c r="F424" s="505"/>
      <c r="L424" s="504"/>
      <c r="P424" s="505"/>
    </row>
    <row r="425" spans="2:16">
      <c r="B425" s="504"/>
      <c r="F425" s="505"/>
      <c r="L425" s="504"/>
      <c r="P425" s="505"/>
    </row>
    <row r="426" spans="2:16">
      <c r="B426" s="504"/>
      <c r="F426" s="505"/>
      <c r="L426" s="504"/>
      <c r="P426" s="505"/>
    </row>
    <row r="427" spans="2:16">
      <c r="B427" s="504"/>
      <c r="F427" s="505"/>
      <c r="L427" s="504"/>
      <c r="P427" s="505"/>
    </row>
    <row r="428" spans="2:16">
      <c r="B428" s="504"/>
      <c r="F428" s="505"/>
      <c r="L428" s="504"/>
      <c r="P428" s="505"/>
    </row>
    <row r="429" spans="2:16">
      <c r="B429" s="504"/>
      <c r="F429" s="505"/>
      <c r="L429" s="504"/>
      <c r="P429" s="505"/>
    </row>
    <row r="430" spans="2:16">
      <c r="B430" s="504"/>
      <c r="F430" s="505"/>
      <c r="L430" s="504"/>
      <c r="P430" s="505"/>
    </row>
    <row r="431" spans="2:16">
      <c r="B431" s="504"/>
      <c r="F431" s="505"/>
      <c r="L431" s="504"/>
      <c r="P431" s="505"/>
    </row>
    <row r="432" spans="2:16">
      <c r="B432" s="504"/>
      <c r="F432" s="505"/>
      <c r="L432" s="504"/>
      <c r="P432" s="505"/>
    </row>
    <row r="433" spans="2:16">
      <c r="B433" s="504"/>
      <c r="F433" s="505"/>
      <c r="L433" s="504"/>
      <c r="P433" s="505"/>
    </row>
    <row r="434" spans="2:16">
      <c r="B434" s="504"/>
      <c r="F434" s="505"/>
      <c r="L434" s="504"/>
      <c r="P434" s="505"/>
    </row>
    <row r="435" spans="2:16">
      <c r="B435" s="504"/>
      <c r="F435" s="505"/>
      <c r="L435" s="504"/>
      <c r="P435" s="505"/>
    </row>
    <row r="436" spans="2:16">
      <c r="B436" s="504"/>
      <c r="F436" s="505"/>
      <c r="L436" s="504"/>
      <c r="P436" s="505"/>
    </row>
    <row r="437" spans="2:16">
      <c r="B437" s="504"/>
      <c r="F437" s="505"/>
      <c r="L437" s="504"/>
      <c r="P437" s="505"/>
    </row>
    <row r="438" spans="2:16">
      <c r="B438" s="504"/>
      <c r="F438" s="505"/>
      <c r="L438" s="504"/>
      <c r="P438" s="505"/>
    </row>
    <row r="439" spans="2:16">
      <c r="B439" s="504"/>
      <c r="F439" s="505"/>
      <c r="L439" s="504"/>
      <c r="P439" s="505"/>
    </row>
    <row r="440" spans="2:16">
      <c r="B440" s="504"/>
      <c r="F440" s="505"/>
      <c r="L440" s="504"/>
      <c r="P440" s="505"/>
    </row>
    <row r="441" spans="2:16">
      <c r="B441" s="504"/>
      <c r="F441" s="505"/>
      <c r="L441" s="504"/>
      <c r="P441" s="505"/>
    </row>
    <row r="442" spans="2:16">
      <c r="B442" s="504"/>
      <c r="F442" s="505"/>
      <c r="L442" s="504"/>
      <c r="P442" s="505"/>
    </row>
    <row r="443" spans="2:16">
      <c r="B443" s="504"/>
      <c r="F443" s="505"/>
      <c r="L443" s="504"/>
      <c r="P443" s="505"/>
    </row>
    <row r="444" spans="2:16">
      <c r="B444" s="504"/>
      <c r="F444" s="505"/>
      <c r="L444" s="504"/>
      <c r="P444" s="505"/>
    </row>
    <row r="445" spans="2:16">
      <c r="B445" s="504"/>
      <c r="F445" s="505"/>
      <c r="L445" s="504"/>
      <c r="P445" s="505"/>
    </row>
    <row r="446" spans="2:16">
      <c r="B446" s="504"/>
      <c r="F446" s="505"/>
      <c r="L446" s="504"/>
      <c r="P446" s="505"/>
    </row>
    <row r="447" spans="2:16">
      <c r="B447" s="504"/>
      <c r="F447" s="505"/>
      <c r="L447" s="504"/>
      <c r="P447" s="505"/>
    </row>
    <row r="448" spans="2:16">
      <c r="B448" s="504"/>
      <c r="F448" s="505"/>
      <c r="L448" s="504"/>
      <c r="P448" s="505"/>
    </row>
    <row r="449" spans="2:16">
      <c r="B449" s="504"/>
      <c r="F449" s="505"/>
      <c r="L449" s="504"/>
      <c r="P449" s="505"/>
    </row>
    <row r="450" spans="2:16">
      <c r="B450" s="504"/>
      <c r="F450" s="505"/>
      <c r="L450" s="504"/>
      <c r="P450" s="505"/>
    </row>
    <row r="451" spans="2:16">
      <c r="B451" s="504"/>
      <c r="F451" s="505"/>
      <c r="L451" s="504"/>
      <c r="P451" s="505"/>
    </row>
    <row r="452" spans="2:16">
      <c r="B452" s="504"/>
      <c r="F452" s="505"/>
      <c r="L452" s="504"/>
      <c r="P452" s="505"/>
    </row>
    <row r="453" spans="2:16">
      <c r="B453" s="504"/>
      <c r="F453" s="505"/>
      <c r="L453" s="504"/>
      <c r="P453" s="505"/>
    </row>
    <row r="454" spans="2:16">
      <c r="B454" s="504"/>
      <c r="F454" s="505"/>
      <c r="L454" s="504"/>
      <c r="P454" s="505"/>
    </row>
    <row r="455" spans="2:16">
      <c r="B455" s="504"/>
      <c r="F455" s="505"/>
      <c r="L455" s="504"/>
      <c r="P455" s="505"/>
    </row>
    <row r="456" spans="2:16">
      <c r="B456" s="504"/>
      <c r="F456" s="505"/>
      <c r="L456" s="504"/>
      <c r="P456" s="505"/>
    </row>
    <row r="457" spans="2:16">
      <c r="B457" s="504"/>
      <c r="F457" s="505"/>
      <c r="L457" s="504"/>
      <c r="P457" s="505"/>
    </row>
    <row r="458" spans="2:16">
      <c r="B458" s="504"/>
      <c r="F458" s="505"/>
      <c r="L458" s="504"/>
      <c r="P458" s="505"/>
    </row>
    <row r="459" spans="2:16">
      <c r="B459" s="504"/>
      <c r="F459" s="505"/>
      <c r="L459" s="504"/>
      <c r="P459" s="505"/>
    </row>
    <row r="460" spans="2:16">
      <c r="B460" s="504"/>
      <c r="F460" s="505"/>
      <c r="L460" s="504"/>
      <c r="P460" s="505"/>
    </row>
    <row r="461" spans="2:16">
      <c r="B461" s="504"/>
      <c r="F461" s="505"/>
      <c r="L461" s="504"/>
      <c r="P461" s="505"/>
    </row>
    <row r="462" spans="2:16">
      <c r="B462" s="504"/>
      <c r="F462" s="505"/>
      <c r="L462" s="504"/>
      <c r="P462" s="505"/>
    </row>
    <row r="463" spans="2:16">
      <c r="B463" s="504"/>
      <c r="F463" s="505"/>
      <c r="L463" s="504"/>
      <c r="P463" s="505"/>
    </row>
    <row r="464" spans="2:16">
      <c r="B464" s="504"/>
      <c r="F464" s="505"/>
      <c r="L464" s="504"/>
      <c r="P464" s="505"/>
    </row>
    <row r="465" spans="2:16">
      <c r="B465" s="504"/>
      <c r="F465" s="505"/>
      <c r="L465" s="504"/>
      <c r="P465" s="505"/>
    </row>
    <row r="466" spans="2:16">
      <c r="B466" s="504"/>
      <c r="F466" s="505"/>
      <c r="L466" s="504"/>
      <c r="P466" s="505"/>
    </row>
    <row r="467" spans="2:16">
      <c r="B467" s="504"/>
      <c r="F467" s="505"/>
      <c r="L467" s="504"/>
      <c r="P467" s="505"/>
    </row>
    <row r="468" spans="2:16">
      <c r="B468" s="504"/>
      <c r="F468" s="505"/>
      <c r="L468" s="504"/>
      <c r="P468" s="505"/>
    </row>
    <row r="469" spans="2:16">
      <c r="B469" s="504"/>
      <c r="F469" s="505"/>
      <c r="L469" s="504"/>
      <c r="P469" s="505"/>
    </row>
    <row r="470" spans="2:16">
      <c r="B470" s="504"/>
      <c r="F470" s="505"/>
      <c r="L470" s="504"/>
      <c r="P470" s="505"/>
    </row>
    <row r="471" spans="2:16">
      <c r="B471" s="504"/>
      <c r="F471" s="505"/>
      <c r="L471" s="504"/>
      <c r="P471" s="505"/>
    </row>
    <row r="472" spans="2:16">
      <c r="B472" s="504"/>
      <c r="F472" s="505"/>
      <c r="L472" s="504"/>
      <c r="P472" s="505"/>
    </row>
    <row r="473" spans="2:16">
      <c r="B473" s="504"/>
      <c r="F473" s="505"/>
      <c r="L473" s="504"/>
      <c r="P473" s="505"/>
    </row>
    <row r="474" spans="2:16">
      <c r="B474" s="504"/>
      <c r="F474" s="505"/>
      <c r="L474" s="504"/>
      <c r="P474" s="505"/>
    </row>
    <row r="475" spans="2:16">
      <c r="B475" s="504"/>
      <c r="F475" s="505"/>
      <c r="L475" s="504"/>
      <c r="P475" s="505"/>
    </row>
    <row r="476" spans="2:16">
      <c r="B476" s="504"/>
      <c r="F476" s="505"/>
      <c r="L476" s="504"/>
      <c r="P476" s="505"/>
    </row>
    <row r="477" spans="2:16">
      <c r="B477" s="504"/>
      <c r="F477" s="505"/>
      <c r="L477" s="504"/>
      <c r="P477" s="505"/>
    </row>
    <row r="478" spans="2:16">
      <c r="B478" s="504"/>
      <c r="F478" s="505"/>
      <c r="L478" s="504"/>
      <c r="P478" s="505"/>
    </row>
    <row r="479" spans="2:16">
      <c r="B479" s="504"/>
      <c r="F479" s="505"/>
      <c r="L479" s="504"/>
      <c r="P479" s="505"/>
    </row>
    <row r="480" spans="2:16">
      <c r="B480" s="504"/>
      <c r="F480" s="505"/>
      <c r="L480" s="504"/>
      <c r="P480" s="505"/>
    </row>
    <row r="481" spans="2:16">
      <c r="B481" s="504"/>
      <c r="F481" s="505"/>
      <c r="L481" s="504"/>
      <c r="P481" s="505"/>
    </row>
    <row r="482" spans="2:16">
      <c r="B482" s="504"/>
      <c r="F482" s="505"/>
      <c r="L482" s="504"/>
      <c r="P482" s="505"/>
    </row>
    <row r="483" spans="2:16">
      <c r="B483" s="504"/>
      <c r="F483" s="505"/>
      <c r="L483" s="504"/>
      <c r="P483" s="505"/>
    </row>
    <row r="484" spans="2:16">
      <c r="B484" s="504"/>
      <c r="F484" s="505"/>
      <c r="L484" s="504"/>
      <c r="P484" s="505"/>
    </row>
    <row r="485" spans="2:16">
      <c r="B485" s="504"/>
      <c r="F485" s="505"/>
      <c r="L485" s="504"/>
      <c r="P485" s="505"/>
    </row>
    <row r="486" spans="2:16">
      <c r="B486" s="504"/>
      <c r="F486" s="505"/>
      <c r="L486" s="504"/>
      <c r="P486" s="505"/>
    </row>
    <row r="487" spans="2:16">
      <c r="B487" s="504"/>
      <c r="F487" s="505"/>
      <c r="L487" s="504"/>
      <c r="P487" s="505"/>
    </row>
    <row r="488" spans="2:16">
      <c r="B488" s="504"/>
      <c r="F488" s="505"/>
      <c r="L488" s="504"/>
      <c r="P488" s="505"/>
    </row>
    <row r="489" spans="2:16">
      <c r="B489" s="504"/>
      <c r="F489" s="505"/>
      <c r="L489" s="504"/>
      <c r="P489" s="505"/>
    </row>
    <row r="490" spans="2:16">
      <c r="B490" s="504"/>
      <c r="F490" s="505"/>
      <c r="L490" s="504"/>
      <c r="P490" s="505"/>
    </row>
    <row r="491" spans="2:16">
      <c r="B491" s="504"/>
      <c r="F491" s="505"/>
      <c r="L491" s="504"/>
      <c r="P491" s="505"/>
    </row>
    <row r="492" spans="2:16">
      <c r="B492" s="504"/>
      <c r="F492" s="505"/>
      <c r="L492" s="504"/>
      <c r="P492" s="505"/>
    </row>
    <row r="493" spans="2:16">
      <c r="B493" s="504"/>
      <c r="F493" s="505"/>
      <c r="L493" s="504"/>
      <c r="P493" s="505"/>
    </row>
    <row r="494" spans="2:16">
      <c r="B494" s="504"/>
      <c r="F494" s="505"/>
      <c r="L494" s="504"/>
      <c r="P494" s="505"/>
    </row>
    <row r="495" spans="2:16">
      <c r="B495" s="504"/>
      <c r="F495" s="505"/>
      <c r="L495" s="504"/>
      <c r="P495" s="505"/>
    </row>
    <row r="496" spans="2:16">
      <c r="B496" s="504"/>
      <c r="F496" s="505"/>
      <c r="L496" s="504"/>
      <c r="P496" s="505"/>
    </row>
    <row r="497" spans="2:16">
      <c r="B497" s="504"/>
      <c r="F497" s="505"/>
      <c r="L497" s="504"/>
      <c r="P497" s="505"/>
    </row>
    <row r="498" spans="2:16">
      <c r="B498" s="504"/>
      <c r="F498" s="505"/>
      <c r="L498" s="504"/>
      <c r="P498" s="505"/>
    </row>
    <row r="499" spans="2:16">
      <c r="B499" s="504"/>
      <c r="F499" s="505"/>
      <c r="L499" s="504"/>
      <c r="P499" s="505"/>
    </row>
    <row r="500" spans="2:16">
      <c r="B500" s="504"/>
      <c r="F500" s="505"/>
      <c r="L500" s="504"/>
      <c r="P500" s="505"/>
    </row>
    <row r="501" spans="2:16">
      <c r="B501" s="504"/>
      <c r="F501" s="505"/>
      <c r="L501" s="504"/>
      <c r="P501" s="505"/>
    </row>
    <row r="502" spans="2:16">
      <c r="B502" s="504"/>
      <c r="F502" s="505"/>
      <c r="L502" s="504"/>
      <c r="P502" s="505"/>
    </row>
    <row r="503" spans="2:16">
      <c r="B503" s="504"/>
      <c r="F503" s="505"/>
      <c r="L503" s="504"/>
      <c r="P503" s="505"/>
    </row>
    <row r="504" spans="2:16">
      <c r="B504" s="504"/>
      <c r="F504" s="505"/>
      <c r="L504" s="504"/>
      <c r="P504" s="505"/>
    </row>
    <row r="505" spans="2:16">
      <c r="B505" s="504"/>
      <c r="F505" s="505"/>
      <c r="L505" s="504"/>
      <c r="P505" s="505"/>
    </row>
    <row r="506" spans="2:16">
      <c r="B506" s="504"/>
      <c r="F506" s="505"/>
      <c r="L506" s="504"/>
      <c r="P506" s="505"/>
    </row>
    <row r="507" spans="2:16">
      <c r="B507" s="504"/>
      <c r="F507" s="505"/>
      <c r="L507" s="504"/>
      <c r="P507" s="505"/>
    </row>
    <row r="508" spans="2:16">
      <c r="B508" s="504"/>
      <c r="F508" s="505"/>
      <c r="L508" s="504"/>
      <c r="P508" s="505"/>
    </row>
    <row r="509" spans="2:16">
      <c r="B509" s="504"/>
      <c r="F509" s="505"/>
      <c r="L509" s="504"/>
      <c r="P509" s="505"/>
    </row>
    <row r="510" spans="2:16">
      <c r="B510" s="504"/>
      <c r="F510" s="505"/>
      <c r="L510" s="504"/>
      <c r="P510" s="505"/>
    </row>
    <row r="511" spans="2:16">
      <c r="B511" s="504"/>
      <c r="F511" s="505"/>
      <c r="L511" s="504"/>
      <c r="P511" s="505"/>
    </row>
    <row r="512" spans="2:16">
      <c r="B512" s="504"/>
      <c r="F512" s="505"/>
      <c r="L512" s="504"/>
      <c r="P512" s="505"/>
    </row>
    <row r="513" spans="2:16">
      <c r="B513" s="504"/>
      <c r="F513" s="505"/>
      <c r="L513" s="504"/>
      <c r="P513" s="505"/>
    </row>
    <row r="514" spans="2:16">
      <c r="B514" s="504"/>
      <c r="F514" s="505"/>
      <c r="L514" s="504"/>
      <c r="P514" s="505"/>
    </row>
    <row r="515" spans="2:16">
      <c r="B515" s="504"/>
      <c r="F515" s="505"/>
      <c r="L515" s="504"/>
      <c r="P515" s="505"/>
    </row>
    <row r="516" spans="2:16">
      <c r="B516" s="504"/>
      <c r="F516" s="505"/>
      <c r="L516" s="504"/>
      <c r="P516" s="505"/>
    </row>
    <row r="517" spans="2:16">
      <c r="B517" s="504"/>
      <c r="F517" s="505"/>
      <c r="L517" s="504"/>
      <c r="P517" s="505"/>
    </row>
    <row r="518" spans="2:16">
      <c r="B518" s="504"/>
      <c r="F518" s="505"/>
      <c r="L518" s="504"/>
      <c r="P518" s="505"/>
    </row>
    <row r="519" spans="2:16">
      <c r="B519" s="504"/>
      <c r="F519" s="505"/>
      <c r="L519" s="504"/>
      <c r="P519" s="505"/>
    </row>
    <row r="520" spans="2:16">
      <c r="B520" s="504"/>
      <c r="F520" s="505"/>
      <c r="L520" s="504"/>
      <c r="P520" s="505"/>
    </row>
    <row r="521" spans="2:16">
      <c r="B521" s="504"/>
      <c r="F521" s="505"/>
      <c r="L521" s="504"/>
      <c r="P521" s="505"/>
    </row>
    <row r="522" spans="2:16">
      <c r="B522" s="504"/>
      <c r="F522" s="505"/>
      <c r="L522" s="504"/>
      <c r="P522" s="505"/>
    </row>
    <row r="523" spans="2:16">
      <c r="B523" s="504"/>
      <c r="F523" s="505"/>
      <c r="L523" s="504"/>
      <c r="P523" s="505"/>
    </row>
    <row r="524" spans="2:16">
      <c r="B524" s="504"/>
      <c r="F524" s="505"/>
      <c r="L524" s="504"/>
      <c r="P524" s="505"/>
    </row>
    <row r="525" spans="2:16">
      <c r="B525" s="504"/>
      <c r="F525" s="505"/>
      <c r="L525" s="504"/>
      <c r="P525" s="505"/>
    </row>
    <row r="526" spans="2:16">
      <c r="B526" s="504"/>
      <c r="F526" s="505"/>
      <c r="L526" s="504"/>
      <c r="P526" s="505"/>
    </row>
    <row r="527" spans="2:16">
      <c r="B527" s="504"/>
      <c r="F527" s="505"/>
      <c r="L527" s="504"/>
      <c r="P527" s="505"/>
    </row>
    <row r="528" spans="2:16">
      <c r="B528" s="504"/>
      <c r="F528" s="505"/>
      <c r="L528" s="504"/>
      <c r="P528" s="505"/>
    </row>
    <row r="529" spans="2:16">
      <c r="B529" s="504"/>
      <c r="F529" s="505"/>
      <c r="L529" s="504"/>
      <c r="P529" s="505"/>
    </row>
    <row r="530" spans="2:16">
      <c r="B530" s="504"/>
      <c r="F530" s="505"/>
      <c r="L530" s="504"/>
      <c r="P530" s="505"/>
    </row>
    <row r="531" spans="2:16">
      <c r="B531" s="504"/>
      <c r="F531" s="505"/>
      <c r="L531" s="504"/>
      <c r="P531" s="505"/>
    </row>
    <row r="532" spans="2:16">
      <c r="B532" s="504"/>
      <c r="F532" s="505"/>
      <c r="L532" s="504"/>
      <c r="P532" s="505"/>
    </row>
    <row r="533" spans="2:16" ht="14.25" thickBot="1">
      <c r="B533" s="506"/>
      <c r="C533" s="507"/>
      <c r="D533" s="507"/>
      <c r="E533" s="507"/>
      <c r="F533" s="508"/>
      <c r="L533" s="506"/>
      <c r="M533" s="507"/>
      <c r="N533" s="507"/>
      <c r="O533" s="507"/>
      <c r="P533" s="508"/>
    </row>
  </sheetData>
  <mergeCells count="3">
    <mergeCell ref="B1:F1"/>
    <mergeCell ref="G1:K1"/>
    <mergeCell ref="L1:P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W1059"/>
  <sheetViews>
    <sheetView topLeftCell="A870" zoomScaleNormal="100" workbookViewId="0">
      <pane xSplit="2" topLeftCell="C1" activePane="topRight" state="frozen"/>
      <selection pane="topRight" activeCell="B2" sqref="B2"/>
      <selection activeCell="B2" sqref="B2"/>
    </sheetView>
  </sheetViews>
  <sheetFormatPr defaultColWidth="9.42578125" defaultRowHeight="13.5" outlineLevelRow="1"/>
  <cols>
    <col min="1" max="1" width="12.5703125" style="313" hidden="1" customWidth="1"/>
    <col min="2" max="2" width="31.5703125" style="313" customWidth="1"/>
    <col min="3" max="4" width="7.42578125" style="180" customWidth="1"/>
    <col min="5" max="6" width="6.42578125" style="374" customWidth="1"/>
    <col min="7" max="7" width="1" style="374" customWidth="1"/>
    <col min="8" max="9" width="6.42578125" style="180" customWidth="1"/>
    <col min="10" max="10" width="7.5703125" style="374" customWidth="1"/>
    <col min="11" max="11" width="6.42578125" style="374" customWidth="1"/>
    <col min="12" max="12" width="1" style="374" customWidth="1"/>
    <col min="13" max="14" width="7.42578125" style="180" customWidth="1"/>
    <col min="15" max="16" width="6.42578125" style="374" customWidth="1"/>
    <col min="17" max="17" width="1" style="4" customWidth="1"/>
    <col min="18" max="18" width="7.42578125" style="4" customWidth="1"/>
    <col min="19" max="19" width="7.42578125" style="180" customWidth="1"/>
    <col min="20" max="21" width="6.42578125" style="374" customWidth="1"/>
    <col min="22" max="22" width="1" style="4" customWidth="1"/>
    <col min="23" max="23" width="6.42578125" style="4" customWidth="1"/>
    <col min="24" max="24" width="6.42578125" style="180" customWidth="1"/>
    <col min="25" max="26" width="6.42578125" style="374" customWidth="1"/>
    <col min="27" max="27" width="8.5703125" style="374" bestFit="1" customWidth="1"/>
    <col min="28" max="28" width="7.42578125" style="374" customWidth="1"/>
    <col min="29" max="29" width="1" style="374" customWidth="1"/>
    <col min="30" max="31" width="7.5703125" style="180" customWidth="1"/>
    <col min="32" max="32" width="6.42578125" style="180" customWidth="1"/>
    <col min="33" max="33" width="7.5703125" style="180" customWidth="1"/>
    <col min="34" max="34" width="2.42578125" style="4" customWidth="1"/>
    <col min="35" max="35" width="2.42578125" style="255" customWidth="1"/>
    <col min="36" max="36" width="1.42578125" style="180" customWidth="1"/>
    <col min="37" max="37" width="13.5703125" style="193" bestFit="1" customWidth="1"/>
    <col min="38" max="38" width="10.5703125" style="193" bestFit="1" customWidth="1"/>
    <col min="39" max="39" width="9.42578125" style="193"/>
    <col min="40" max="40" width="11.85546875" style="193" customWidth="1"/>
    <col min="41" max="42" width="9.42578125" style="193"/>
    <col min="43" max="49" width="9.42578125" style="180"/>
    <col min="50" max="16384" width="9.42578125" style="313"/>
  </cols>
  <sheetData>
    <row r="1" spans="1:49" s="180" customFormat="1" ht="33" customHeight="1">
      <c r="E1" s="4"/>
      <c r="F1" s="4"/>
      <c r="G1" s="4"/>
      <c r="J1" s="4"/>
      <c r="K1" s="4"/>
      <c r="L1" s="4"/>
      <c r="O1" s="4"/>
      <c r="P1" s="4"/>
      <c r="Q1" s="4"/>
      <c r="R1" s="4"/>
      <c r="S1" s="1520" t="s">
        <v>0</v>
      </c>
      <c r="T1" s="1520"/>
      <c r="U1" s="1520"/>
      <c r="V1" s="1520"/>
      <c r="W1" s="1520"/>
      <c r="X1" s="1520"/>
      <c r="Y1" s="1520"/>
      <c r="Z1" s="1520"/>
      <c r="AA1" s="1520"/>
      <c r="AB1" s="1520"/>
      <c r="AC1" s="1520"/>
      <c r="AD1" s="1520"/>
      <c r="AE1" s="1520"/>
      <c r="AF1" s="1520"/>
      <c r="AG1" s="1520"/>
      <c r="AH1" s="4"/>
      <c r="AI1" s="255"/>
      <c r="AK1" s="1517" t="s">
        <v>1</v>
      </c>
      <c r="AL1" s="1517"/>
      <c r="AM1" s="1517"/>
      <c r="AN1" s="1517"/>
      <c r="AO1" s="1517"/>
      <c r="AP1" s="1517"/>
    </row>
    <row r="2" spans="1:49" s="180" customFormat="1" ht="13.5" customHeight="1">
      <c r="E2" s="4"/>
      <c r="F2" s="4"/>
      <c r="G2" s="4"/>
      <c r="J2" s="4"/>
      <c r="K2" s="4"/>
      <c r="L2" s="4"/>
      <c r="O2" s="4"/>
      <c r="P2" s="4"/>
      <c r="Q2" s="4"/>
      <c r="R2" s="4"/>
      <c r="S2" s="258"/>
      <c r="T2" s="258"/>
      <c r="U2" s="4"/>
      <c r="V2" s="258"/>
      <c r="W2" s="493"/>
      <c r="X2" s="258"/>
      <c r="Z2" s="258" t="s">
        <v>2</v>
      </c>
      <c r="AA2" s="260">
        <f>13755+2315+460</f>
        <v>16530</v>
      </c>
      <c r="AB2" s="4"/>
      <c r="AC2" s="258"/>
      <c r="AD2" s="266" t="s">
        <v>3</v>
      </c>
      <c r="AE2" s="262">
        <f>AA2-(AA5+AE5)</f>
        <v>-412.47000000000116</v>
      </c>
      <c r="AF2" s="262"/>
      <c r="AH2" s="4"/>
      <c r="AI2" s="255"/>
      <c r="AK2" s="1521" t="s">
        <v>4</v>
      </c>
      <c r="AL2" s="1521"/>
      <c r="AM2" s="1521"/>
      <c r="AN2" s="1521"/>
      <c r="AO2" s="1521"/>
      <c r="AP2" s="1521"/>
    </row>
    <row r="3" spans="1:49" s="180" customFormat="1" ht="13.5" customHeight="1">
      <c r="E3" s="4"/>
      <c r="F3" s="4"/>
      <c r="G3" s="4"/>
      <c r="J3" s="4"/>
      <c r="K3" s="4"/>
      <c r="L3" s="4"/>
      <c r="O3" s="4"/>
      <c r="P3" s="4"/>
      <c r="Q3" s="4"/>
      <c r="R3" s="4"/>
      <c r="S3" s="258"/>
      <c r="T3" s="258"/>
      <c r="U3" s="4"/>
      <c r="V3" s="258"/>
      <c r="W3" s="493"/>
      <c r="X3" s="258"/>
      <c r="Z3" s="258" t="s">
        <v>5</v>
      </c>
      <c r="AA3" s="261">
        <f>800+176+50</f>
        <v>1026</v>
      </c>
      <c r="AB3" s="4"/>
      <c r="AC3" s="258"/>
      <c r="AD3" s="266" t="s">
        <v>3</v>
      </c>
      <c r="AE3" s="263">
        <f>AA3-(AA6+AE6)</f>
        <v>236.25</v>
      </c>
      <c r="AH3" s="4"/>
      <c r="AI3" s="255"/>
      <c r="AK3" s="192" t="s">
        <v>6</v>
      </c>
      <c r="AL3" s="193"/>
      <c r="AM3" s="193"/>
      <c r="AN3" s="193"/>
      <c r="AO3" s="193"/>
      <c r="AP3" s="193"/>
    </row>
    <row r="4" spans="1:49" s="180" customFormat="1" ht="13.5" customHeight="1">
      <c r="E4" s="4"/>
      <c r="F4" s="4"/>
      <c r="G4" s="4"/>
      <c r="J4" s="4"/>
      <c r="K4" s="4"/>
      <c r="L4" s="4"/>
      <c r="O4" s="4"/>
      <c r="P4" s="4"/>
      <c r="Q4" s="4"/>
      <c r="R4" s="4"/>
      <c r="S4" s="258"/>
      <c r="T4" s="258"/>
      <c r="U4" s="4"/>
      <c r="V4" s="258"/>
      <c r="W4" s="493"/>
      <c r="X4" s="258"/>
      <c r="Z4" s="258" t="s">
        <v>7</v>
      </c>
      <c r="AA4" s="260">
        <f>1500+294+225</f>
        <v>2019</v>
      </c>
      <c r="AB4" s="4"/>
      <c r="AC4" s="258"/>
      <c r="AD4" s="266" t="s">
        <v>3</v>
      </c>
      <c r="AE4" s="262">
        <f>AA4-AA7</f>
        <v>18</v>
      </c>
      <c r="AH4" s="4"/>
      <c r="AI4" s="255"/>
      <c r="AK4" s="193" t="s">
        <v>8</v>
      </c>
      <c r="AL4" s="193"/>
      <c r="AM4" s="193"/>
      <c r="AN4" s="193"/>
      <c r="AO4" s="193"/>
      <c r="AP4" s="193"/>
    </row>
    <row r="5" spans="1:49" s="180" customFormat="1" ht="13.5" customHeight="1">
      <c r="E5" s="4"/>
      <c r="F5" s="4"/>
      <c r="G5" s="4"/>
      <c r="J5" s="4"/>
      <c r="K5" s="4"/>
      <c r="L5" s="4"/>
      <c r="O5" s="4"/>
      <c r="P5" s="263"/>
      <c r="Q5" s="4"/>
      <c r="R5" s="4"/>
      <c r="S5" s="258"/>
      <c r="T5" s="258"/>
      <c r="U5" s="4"/>
      <c r="V5" s="258"/>
      <c r="W5" s="493"/>
      <c r="Z5" s="258" t="s">
        <v>9</v>
      </c>
      <c r="AA5" s="265">
        <f>AA46+AA92+AA139+AA187+AA234+$AA$279+$AA$326+AA374+AA416+AA454+AA492+AA527+AA562+AA596+AA630+AA664+AA696+AA724+AA752+AA780+AA808+AA835+AA862+AA888+AA914+AA940+AA966</f>
        <v>16675.5</v>
      </c>
      <c r="AB5" s="4"/>
      <c r="AD5" s="264" t="s">
        <v>10</v>
      </c>
      <c r="AE5" s="263">
        <f>AB46+AG46+AB92+AG92+AB139+AG139+AB187+AG187+AB234+AG234+AB279+$AG$279+$AG$326+$AG$379+AB374+AB326+AG374+AB416+AG416+AB454+AG454+AB492+AG492+AB527+AG527+AB562+AG562+AB596+AG596+AB630+AG630+AB664+AG664+AB696+AB724+AG696+AG724+AB752+AG752+AB780+AG780+AB808+AG808+AB835+AG835+AB862+AG862+AB888+AG888+AB914+AG914+AB940+AG940+AB966+AG966</f>
        <v>266.97000000000003</v>
      </c>
      <c r="AH5" s="4"/>
      <c r="AI5" s="255"/>
      <c r="AK5" s="193" t="s">
        <v>11</v>
      </c>
      <c r="AL5" s="193"/>
      <c r="AM5" s="193"/>
      <c r="AN5" s="193"/>
      <c r="AO5" s="193"/>
      <c r="AP5" s="193"/>
    </row>
    <row r="6" spans="1:49" s="180" customFormat="1" ht="13.5" customHeight="1">
      <c r="E6" s="4"/>
      <c r="F6" s="4"/>
      <c r="G6" s="4"/>
      <c r="J6" s="4"/>
      <c r="K6" s="4"/>
      <c r="L6" s="4"/>
      <c r="O6" s="4"/>
      <c r="P6" s="4"/>
      <c r="Q6" s="4"/>
      <c r="R6" s="4"/>
      <c r="S6" s="258"/>
      <c r="U6" s="4"/>
      <c r="V6" s="258"/>
      <c r="W6" s="4"/>
      <c r="Z6" s="258" t="s">
        <v>12</v>
      </c>
      <c r="AA6" s="265">
        <f>AA49+AA95+AA142+AA190+AA237+$AA$282+$AA$329+$AA$377+AA419+AA457+AA495+AA530+AA565+AA599+AA633+AA667+AA699+AA727+AA755+AA783+AA811+AA865+AA838+AA891+AA917+AA943+AA969</f>
        <v>754.5</v>
      </c>
      <c r="AB6" s="4"/>
      <c r="AD6" s="264" t="s">
        <v>13</v>
      </c>
      <c r="AE6" s="263">
        <f>AB49+AG49+AB95+AG95+AB142+AG142+AB190+AG190+AB237+AG237+AB282+$AG$282+$AB$329+$AG$329+$AB$377+$AG$377+AB419+AG419+AB457+AG457+AB495+AG495+AB530+AG530+AB565+AG565+AB599+AG599+AB633+AG633+AB667+AG667+AB699+AB727+AG699+AG727+AB755+AG755+AB783+AG783+AB811+AG81+AG811+AB838+AG838+AB865+AG865+AB969+AF969</f>
        <v>35.25</v>
      </c>
      <c r="AH6" s="4"/>
      <c r="AI6" s="255"/>
      <c r="AK6" s="310" t="s">
        <v>14</v>
      </c>
      <c r="AL6" s="193"/>
      <c r="AM6" s="193"/>
      <c r="AN6" s="193"/>
      <c r="AO6" s="193"/>
      <c r="AP6" s="193"/>
    </row>
    <row r="7" spans="1:49" s="180" customFormat="1" ht="13.5" customHeight="1">
      <c r="E7" s="4"/>
      <c r="F7" s="4"/>
      <c r="G7" s="4"/>
      <c r="J7" s="4"/>
      <c r="K7" s="4"/>
      <c r="L7" s="4"/>
      <c r="O7" s="4"/>
      <c r="P7" s="4"/>
      <c r="Q7" s="4"/>
      <c r="R7" s="4"/>
      <c r="S7" s="258"/>
      <c r="U7" s="4"/>
      <c r="V7" s="258"/>
      <c r="W7" s="4"/>
      <c r="Z7" s="258" t="s">
        <v>15</v>
      </c>
      <c r="AA7" s="265">
        <f>C50+C96+C143+C191+C238+$C$283+$C$330+$C$378+$C$420+C458+C496+C531+C566+C600+C634+C668+C700+C728+C756+C784+C812+C839+C866+C892+C918+C944+C970</f>
        <v>2001</v>
      </c>
      <c r="AB7" s="4"/>
      <c r="AE7" s="259"/>
      <c r="AH7" s="4"/>
      <c r="AI7" s="255"/>
      <c r="AK7" s="202" t="s">
        <v>16</v>
      </c>
      <c r="AL7" s="193"/>
      <c r="AM7" s="193"/>
      <c r="AN7" s="193"/>
      <c r="AO7" s="193"/>
      <c r="AP7" s="193"/>
    </row>
    <row r="8" spans="1:49" s="180" customFormat="1" ht="13.5" customHeight="1">
      <c r="E8" s="4"/>
      <c r="F8" s="4"/>
      <c r="G8" s="4"/>
      <c r="J8" s="4"/>
      <c r="K8" s="4"/>
      <c r="L8" s="4"/>
      <c r="O8" s="4"/>
      <c r="P8" s="4"/>
      <c r="Q8" s="4"/>
      <c r="R8" s="4"/>
      <c r="S8" s="258"/>
      <c r="U8" s="4"/>
      <c r="V8" s="258"/>
      <c r="W8" s="4"/>
      <c r="Z8" s="4"/>
      <c r="AA8" s="435"/>
      <c r="AB8" s="4"/>
      <c r="AH8" s="4"/>
      <c r="AI8" s="255"/>
      <c r="AK8" s="203" t="s">
        <v>17</v>
      </c>
      <c r="AL8" s="193"/>
      <c r="AM8" s="193"/>
      <c r="AN8" s="193"/>
      <c r="AO8" s="193"/>
      <c r="AP8" s="193"/>
    </row>
    <row r="9" spans="1:49" s="180" customFormat="1" ht="6.75" customHeight="1">
      <c r="E9" s="4"/>
      <c r="F9" s="4"/>
      <c r="G9" s="4"/>
      <c r="J9" s="4"/>
      <c r="K9" s="4"/>
      <c r="L9" s="4"/>
      <c r="O9" s="4"/>
      <c r="P9" s="4"/>
      <c r="Q9" s="4"/>
      <c r="R9" s="4"/>
      <c r="S9" s="258"/>
      <c r="T9" s="258"/>
      <c r="U9" s="4"/>
      <c r="V9" s="258"/>
      <c r="W9" s="4"/>
      <c r="X9" s="258"/>
      <c r="Y9" s="258"/>
      <c r="Z9" s="4"/>
      <c r="AA9" s="362"/>
      <c r="AB9" s="4"/>
      <c r="AC9" s="258"/>
      <c r="AD9" s="363"/>
      <c r="AG9" s="259"/>
      <c r="AH9" s="4"/>
      <c r="AI9" s="255"/>
      <c r="AK9" s="193"/>
      <c r="AL9" s="193"/>
      <c r="AM9" s="193"/>
      <c r="AN9" s="193"/>
      <c r="AO9" s="193"/>
      <c r="AP9" s="193"/>
    </row>
    <row r="10" spans="1:49" s="180" customFormat="1">
      <c r="A10" s="313"/>
      <c r="E10" s="4"/>
      <c r="F10" s="4"/>
      <c r="G10" s="4"/>
      <c r="J10" s="4"/>
      <c r="K10" s="4"/>
      <c r="L10" s="4"/>
      <c r="O10" s="4"/>
      <c r="P10" s="4"/>
      <c r="Q10" s="4"/>
      <c r="R10" s="4"/>
      <c r="T10" s="4"/>
      <c r="U10" s="4"/>
      <c r="V10" s="4"/>
      <c r="W10" s="4"/>
      <c r="Y10" s="4"/>
      <c r="Z10" s="4"/>
      <c r="AA10" s="4"/>
      <c r="AB10" s="4"/>
      <c r="AC10" s="4"/>
      <c r="AH10" s="4"/>
      <c r="AI10" s="255"/>
    </row>
    <row r="11" spans="1:49" s="180" customFormat="1" ht="13.5" hidden="1" customHeight="1">
      <c r="A11" s="228"/>
      <c r="B11" s="229"/>
      <c r="C11" s="230"/>
      <c r="D11" s="230"/>
      <c r="E11" s="232"/>
      <c r="F11" s="232"/>
      <c r="G11" s="230"/>
      <c r="H11" s="232"/>
      <c r="I11" s="232"/>
      <c r="J11" s="232"/>
      <c r="K11" s="232"/>
      <c r="L11" s="230"/>
      <c r="M11" s="230"/>
      <c r="N11" s="230"/>
      <c r="O11" s="230"/>
      <c r="P11" s="232"/>
      <c r="Q11" s="230"/>
      <c r="R11" s="230"/>
      <c r="S11" s="230"/>
      <c r="T11" s="230"/>
      <c r="U11" s="232"/>
      <c r="V11" s="230"/>
      <c r="W11" s="230"/>
      <c r="X11" s="230"/>
      <c r="Y11" s="233"/>
      <c r="Z11" s="232"/>
      <c r="AA11" s="234"/>
      <c r="AB11" s="232"/>
      <c r="AC11" s="373"/>
      <c r="AD11" s="236"/>
      <c r="AE11" s="255"/>
      <c r="AF11" s="255"/>
      <c r="AG11" s="255"/>
      <c r="AH11" s="373"/>
      <c r="AI11" s="255"/>
      <c r="AJ11" s="255"/>
      <c r="AK11" s="255"/>
      <c r="AL11" s="255"/>
      <c r="AM11" s="255"/>
      <c r="AN11" s="255"/>
      <c r="AO11" s="255"/>
      <c r="AP11" s="255"/>
      <c r="AQ11" s="255"/>
      <c r="AR11" s="255"/>
      <c r="AS11" s="255"/>
      <c r="AT11" s="255"/>
      <c r="AU11" s="255"/>
      <c r="AV11" s="255"/>
      <c r="AW11" s="255"/>
    </row>
    <row r="12" spans="1:49" ht="11.1" hidden="1" customHeight="1">
      <c r="A12" s="180"/>
      <c r="B12" s="180"/>
      <c r="E12" s="4"/>
      <c r="F12" s="4"/>
      <c r="G12" s="4"/>
      <c r="J12" s="4"/>
      <c r="K12" s="4"/>
      <c r="L12" s="4"/>
      <c r="O12" s="4"/>
      <c r="P12" s="4"/>
      <c r="T12" s="4"/>
      <c r="U12" s="4"/>
      <c r="Y12" s="4"/>
      <c r="Z12" s="4"/>
      <c r="AA12" s="4"/>
      <c r="AB12" s="4"/>
      <c r="AC12" s="4"/>
      <c r="AI12" s="180"/>
      <c r="AK12" s="180"/>
      <c r="AL12" s="180"/>
      <c r="AM12" s="180"/>
      <c r="AN12" s="180"/>
      <c r="AO12" s="180"/>
      <c r="AP12" s="180"/>
    </row>
    <row r="13" spans="1:49" ht="13.5" hidden="1" customHeight="1">
      <c r="A13" s="180"/>
      <c r="B13" s="1518" t="s">
        <v>18</v>
      </c>
      <c r="C13" s="1519">
        <v>45313</v>
      </c>
      <c r="D13" s="1519"/>
      <c r="E13" s="1519"/>
      <c r="F13" s="1519"/>
      <c r="G13" s="365"/>
      <c r="H13" s="1519">
        <v>45314</v>
      </c>
      <c r="I13" s="1519"/>
      <c r="J13" s="1519"/>
      <c r="K13" s="1519"/>
      <c r="L13" s="365"/>
      <c r="M13" s="1519">
        <v>45315</v>
      </c>
      <c r="N13" s="1519"/>
      <c r="O13" s="1519"/>
      <c r="P13" s="1519"/>
      <c r="Q13" s="365"/>
      <c r="R13" s="1519">
        <v>45316</v>
      </c>
      <c r="S13" s="1519"/>
      <c r="T13" s="1519"/>
      <c r="U13" s="1519"/>
      <c r="V13" s="365"/>
      <c r="W13" s="1519">
        <v>45317</v>
      </c>
      <c r="X13" s="1519"/>
      <c r="Y13" s="1519"/>
      <c r="Z13" s="1519"/>
      <c r="AA13" s="1517" t="s">
        <v>19</v>
      </c>
      <c r="AB13" s="1517" t="s">
        <v>20</v>
      </c>
      <c r="AC13" s="4"/>
      <c r="AD13" s="1519">
        <v>45318</v>
      </c>
      <c r="AE13" s="1519"/>
      <c r="AF13" s="1519"/>
      <c r="AG13" s="1517" t="s">
        <v>21</v>
      </c>
      <c r="AK13" s="194" t="s">
        <v>84</v>
      </c>
      <c r="AL13" s="366"/>
      <c r="AM13" s="366"/>
      <c r="AN13" s="366"/>
      <c r="AO13" s="366"/>
      <c r="AP13" s="366"/>
    </row>
    <row r="14" spans="1:49" hidden="1">
      <c r="A14" s="367"/>
      <c r="B14" s="1518"/>
      <c r="C14" s="21" t="s">
        <v>23</v>
      </c>
      <c r="D14" s="21" t="s">
        <v>24</v>
      </c>
      <c r="E14" s="205" t="s">
        <v>25</v>
      </c>
      <c r="F14" s="18" t="s">
        <v>14</v>
      </c>
      <c r="G14" s="4"/>
      <c r="H14" s="21" t="s">
        <v>23</v>
      </c>
      <c r="I14" s="21" t="s">
        <v>24</v>
      </c>
      <c r="J14" s="18" t="s">
        <v>25</v>
      </c>
      <c r="K14" s="18" t="s">
        <v>14</v>
      </c>
      <c r="L14" s="4"/>
      <c r="M14" s="21" t="s">
        <v>23</v>
      </c>
      <c r="N14" s="21" t="s">
        <v>24</v>
      </c>
      <c r="O14" s="18" t="s">
        <v>25</v>
      </c>
      <c r="P14" s="18" t="s">
        <v>14</v>
      </c>
      <c r="R14" s="484" t="s">
        <v>23</v>
      </c>
      <c r="S14" s="21" t="s">
        <v>24</v>
      </c>
      <c r="T14" s="18" t="s">
        <v>25</v>
      </c>
      <c r="U14" s="18" t="s">
        <v>14</v>
      </c>
      <c r="W14" s="484" t="s">
        <v>23</v>
      </c>
      <c r="X14" s="21" t="s">
        <v>24</v>
      </c>
      <c r="Y14" s="18" t="s">
        <v>25</v>
      </c>
      <c r="Z14" s="18" t="s">
        <v>14</v>
      </c>
      <c r="AA14" s="1517"/>
      <c r="AB14" s="1517"/>
      <c r="AC14" s="4"/>
      <c r="AD14" s="21" t="s">
        <v>23</v>
      </c>
      <c r="AE14" s="21" t="s">
        <v>24</v>
      </c>
      <c r="AF14" s="18" t="s">
        <v>25</v>
      </c>
      <c r="AG14" s="1517"/>
      <c r="AH14" s="175"/>
      <c r="AI14" s="368"/>
      <c r="AJ14" s="367"/>
      <c r="AK14" s="188" t="s">
        <v>26</v>
      </c>
      <c r="AL14" s="196">
        <f>AA46</f>
        <v>174</v>
      </c>
      <c r="AM14" s="510">
        <v>38</v>
      </c>
      <c r="AN14" s="510">
        <f t="shared" ref="AN14:AN20" si="0">AL14*AM14</f>
        <v>6612</v>
      </c>
      <c r="AQ14" s="367"/>
      <c r="AR14" s="367"/>
      <c r="AS14" s="367"/>
      <c r="AT14" s="367"/>
      <c r="AU14" s="367"/>
      <c r="AV14" s="367"/>
      <c r="AW14" s="367"/>
    </row>
    <row r="15" spans="1:49" hidden="1">
      <c r="A15" s="367"/>
      <c r="B15" s="171" t="s">
        <v>71</v>
      </c>
      <c r="C15" s="1545" t="s">
        <v>231</v>
      </c>
      <c r="D15" s="1545"/>
      <c r="E15" s="1545"/>
      <c r="F15" s="277"/>
      <c r="G15" s="4"/>
      <c r="H15" s="1545" t="s">
        <v>231</v>
      </c>
      <c r="I15" s="1545"/>
      <c r="J15" s="1545"/>
      <c r="K15" s="277"/>
      <c r="L15" s="4"/>
      <c r="M15" s="1545" t="s">
        <v>231</v>
      </c>
      <c r="N15" s="1545"/>
      <c r="O15" s="1545"/>
      <c r="P15" s="277"/>
      <c r="R15" s="1545" t="s">
        <v>231</v>
      </c>
      <c r="S15" s="1545"/>
      <c r="T15" s="1545"/>
      <c r="U15" s="277"/>
      <c r="W15" s="47">
        <v>0.36458333333333331</v>
      </c>
      <c r="X15" s="47">
        <v>0.25</v>
      </c>
      <c r="Y15" s="19">
        <v>8</v>
      </c>
      <c r="Z15" s="277"/>
      <c r="AA15" s="28">
        <f t="shared" ref="AA15:AA18" si="1">(E15+J15+O15+T15+Y15)</f>
        <v>8</v>
      </c>
      <c r="AB15" s="298">
        <f t="shared" ref="AB15:AB18" si="2">Z15+U15+P15+K15+F15</f>
        <v>0</v>
      </c>
      <c r="AC15" s="4"/>
      <c r="AD15" s="175"/>
      <c r="AE15" s="175"/>
      <c r="AF15" s="173"/>
      <c r="AG15" s="28">
        <f t="shared" ref="AG15:AG43" si="3">AF15</f>
        <v>0</v>
      </c>
      <c r="AH15" s="175"/>
      <c r="AI15" s="368"/>
      <c r="AJ15" s="367"/>
      <c r="AK15" s="188" t="s">
        <v>30</v>
      </c>
      <c r="AL15" s="196">
        <f>AB46</f>
        <v>0</v>
      </c>
      <c r="AM15" s="511">
        <v>57</v>
      </c>
      <c r="AN15" s="510">
        <f t="shared" si="0"/>
        <v>0</v>
      </c>
      <c r="AQ15" s="367"/>
      <c r="AR15" s="367"/>
      <c r="AS15" s="367"/>
      <c r="AT15" s="367"/>
      <c r="AU15" s="367"/>
      <c r="AV15" s="367"/>
      <c r="AW15" s="367"/>
    </row>
    <row r="16" spans="1:49" hidden="1">
      <c r="A16" s="367"/>
      <c r="B16" s="171" t="s">
        <v>72</v>
      </c>
      <c r="C16" s="1545"/>
      <c r="D16" s="1545"/>
      <c r="E16" s="1545"/>
      <c r="F16" s="277"/>
      <c r="G16" s="4"/>
      <c r="H16" s="1545"/>
      <c r="I16" s="1545"/>
      <c r="J16" s="1545"/>
      <c r="K16" s="277"/>
      <c r="L16" s="4"/>
      <c r="M16" s="1545"/>
      <c r="N16" s="1545"/>
      <c r="O16" s="1545"/>
      <c r="P16" s="277"/>
      <c r="R16" s="1545"/>
      <c r="S16" s="1545"/>
      <c r="T16" s="1545"/>
      <c r="U16" s="277"/>
      <c r="W16" s="47" t="s">
        <v>116</v>
      </c>
      <c r="X16" s="47">
        <v>0</v>
      </c>
      <c r="Y16" s="19">
        <v>0</v>
      </c>
      <c r="Z16" s="277"/>
      <c r="AA16" s="28">
        <f t="shared" si="1"/>
        <v>0</v>
      </c>
      <c r="AB16" s="298">
        <f t="shared" si="2"/>
        <v>0</v>
      </c>
      <c r="AC16" s="4"/>
      <c r="AD16" s="175"/>
      <c r="AE16" s="175"/>
      <c r="AF16" s="173"/>
      <c r="AG16" s="28">
        <f t="shared" si="3"/>
        <v>0</v>
      </c>
      <c r="AH16" s="175"/>
      <c r="AI16" s="368"/>
      <c r="AJ16" s="367"/>
      <c r="AK16" s="188" t="s">
        <v>32</v>
      </c>
      <c r="AL16" s="196">
        <f>AG46</f>
        <v>0</v>
      </c>
      <c r="AM16" s="510">
        <v>57</v>
      </c>
      <c r="AN16" s="510">
        <f t="shared" si="0"/>
        <v>0</v>
      </c>
      <c r="AQ16" s="367"/>
      <c r="AR16" s="367"/>
      <c r="AS16" s="367"/>
      <c r="AT16" s="367"/>
      <c r="AU16" s="367"/>
      <c r="AV16" s="367"/>
      <c r="AW16" s="367"/>
    </row>
    <row r="17" spans="1:49" hidden="1">
      <c r="A17" s="401"/>
      <c r="B17" s="171" t="s">
        <v>91</v>
      </c>
      <c r="C17" s="1545"/>
      <c r="D17" s="1545"/>
      <c r="E17" s="1545"/>
      <c r="F17" s="277"/>
      <c r="G17" s="399"/>
      <c r="H17" s="1545"/>
      <c r="I17" s="1545"/>
      <c r="J17" s="1545"/>
      <c r="K17" s="277"/>
      <c r="L17" s="399"/>
      <c r="M17" s="1545"/>
      <c r="N17" s="1545"/>
      <c r="O17" s="1545"/>
      <c r="P17" s="277"/>
      <c r="Q17" s="399"/>
      <c r="R17" s="1545"/>
      <c r="S17" s="1545"/>
      <c r="T17" s="1545"/>
      <c r="U17" s="277"/>
      <c r="V17" s="399"/>
      <c r="W17" s="47">
        <v>0.375</v>
      </c>
      <c r="X17" s="47">
        <v>0.25</v>
      </c>
      <c r="Y17" s="19">
        <v>8</v>
      </c>
      <c r="Z17" s="277"/>
      <c r="AA17" s="29">
        <f t="shared" si="1"/>
        <v>8</v>
      </c>
      <c r="AB17" s="298">
        <f t="shared" si="2"/>
        <v>0</v>
      </c>
      <c r="AC17" s="399"/>
      <c r="AD17" s="345"/>
      <c r="AE17" s="345"/>
      <c r="AF17" s="346"/>
      <c r="AG17" s="29">
        <f t="shared" si="3"/>
        <v>0</v>
      </c>
      <c r="AH17" s="399"/>
      <c r="AI17" s="402"/>
      <c r="AJ17" s="401"/>
      <c r="AK17" s="403" t="s">
        <v>34</v>
      </c>
      <c r="AL17" s="404">
        <f>AA47</f>
        <v>6</v>
      </c>
      <c r="AM17" s="510">
        <v>50</v>
      </c>
      <c r="AN17" s="510">
        <f t="shared" si="0"/>
        <v>300</v>
      </c>
      <c r="AO17" s="405"/>
      <c r="AP17" s="405"/>
      <c r="AQ17" s="401"/>
      <c r="AR17" s="401"/>
      <c r="AS17" s="401"/>
      <c r="AT17" s="401"/>
      <c r="AU17" s="401"/>
      <c r="AV17" s="401"/>
      <c r="AW17" s="401"/>
    </row>
    <row r="18" spans="1:49" hidden="1">
      <c r="A18" s="180"/>
      <c r="B18" s="171" t="s">
        <v>52</v>
      </c>
      <c r="C18" s="1545"/>
      <c r="D18" s="1545"/>
      <c r="E18" s="1545"/>
      <c r="F18" s="277"/>
      <c r="G18" s="175"/>
      <c r="H18" s="1545"/>
      <c r="I18" s="1545"/>
      <c r="J18" s="1545"/>
      <c r="K18" s="277"/>
      <c r="L18" s="175"/>
      <c r="M18" s="1545"/>
      <c r="N18" s="1545"/>
      <c r="O18" s="1545"/>
      <c r="P18" s="277"/>
      <c r="Q18" s="175"/>
      <c r="R18" s="1545"/>
      <c r="S18" s="1545"/>
      <c r="T18" s="1545"/>
      <c r="U18" s="277"/>
      <c r="V18" s="175"/>
      <c r="W18" s="47">
        <v>0.36458333333333331</v>
      </c>
      <c r="X18" s="47">
        <v>0.25</v>
      </c>
      <c r="Y18" s="19">
        <v>8</v>
      </c>
      <c r="Z18" s="277"/>
      <c r="AA18" s="344">
        <f t="shared" si="1"/>
        <v>8</v>
      </c>
      <c r="AB18" s="298">
        <f t="shared" si="2"/>
        <v>0</v>
      </c>
      <c r="AC18" s="175"/>
      <c r="AD18" s="345"/>
      <c r="AE18" s="345"/>
      <c r="AF18" s="346"/>
      <c r="AG18" s="344">
        <f t="shared" si="3"/>
        <v>0</v>
      </c>
      <c r="AK18" s="188" t="s">
        <v>36</v>
      </c>
      <c r="AL18" s="196">
        <f>AB47</f>
        <v>0</v>
      </c>
      <c r="AM18" s="510">
        <v>75</v>
      </c>
      <c r="AN18" s="510">
        <f t="shared" si="0"/>
        <v>0</v>
      </c>
    </row>
    <row r="19" spans="1:49" hidden="1">
      <c r="A19" s="367"/>
      <c r="B19" s="171" t="s">
        <v>39</v>
      </c>
      <c r="C19" s="1545"/>
      <c r="D19" s="1545"/>
      <c r="E19" s="1545"/>
      <c r="F19" s="277"/>
      <c r="G19" s="4"/>
      <c r="H19" s="1545"/>
      <c r="I19" s="1545"/>
      <c r="J19" s="1545"/>
      <c r="K19" s="277"/>
      <c r="L19" s="4"/>
      <c r="M19" s="1545"/>
      <c r="N19" s="1545"/>
      <c r="O19" s="1545"/>
      <c r="P19" s="277"/>
      <c r="R19" s="1545"/>
      <c r="S19" s="1545"/>
      <c r="T19" s="1545"/>
      <c r="U19" s="277"/>
      <c r="W19" s="47"/>
      <c r="X19" s="47"/>
      <c r="Y19" s="19"/>
      <c r="Z19" s="277"/>
      <c r="AA19" s="344">
        <f>(E19+J19+O19+T19+Y19)</f>
        <v>0</v>
      </c>
      <c r="AB19" s="298">
        <f>Z19+U19+P19+K19+F19</f>
        <v>0</v>
      </c>
      <c r="AC19" s="4"/>
      <c r="AD19" s="345"/>
      <c r="AE19" s="345"/>
      <c r="AF19" s="346"/>
      <c r="AG19" s="29">
        <f t="shared" si="3"/>
        <v>0</v>
      </c>
      <c r="AH19" s="175"/>
      <c r="AI19" s="368"/>
      <c r="AJ19" s="367"/>
      <c r="AK19" s="188" t="s">
        <v>38</v>
      </c>
      <c r="AL19" s="196">
        <f>AG47</f>
        <v>0</v>
      </c>
      <c r="AM19" s="510">
        <v>75</v>
      </c>
      <c r="AN19" s="510">
        <f t="shared" si="0"/>
        <v>0</v>
      </c>
      <c r="AQ19" s="367"/>
      <c r="AR19" s="367"/>
      <c r="AS19" s="367"/>
      <c r="AT19" s="367"/>
      <c r="AU19" s="367"/>
      <c r="AV19" s="367"/>
      <c r="AW19" s="367"/>
    </row>
    <row r="20" spans="1:49" ht="14.25" hidden="1" thickBot="1">
      <c r="A20" s="180"/>
      <c r="B20" s="418" t="s">
        <v>109</v>
      </c>
      <c r="C20" s="1545"/>
      <c r="D20" s="1545"/>
      <c r="E20" s="1545"/>
      <c r="F20" s="277"/>
      <c r="G20" s="4"/>
      <c r="H20" s="1545"/>
      <c r="I20" s="1545"/>
      <c r="J20" s="1545"/>
      <c r="K20" s="277"/>
      <c r="L20" s="4"/>
      <c r="M20" s="1545"/>
      <c r="N20" s="1545"/>
      <c r="O20" s="1545"/>
      <c r="P20" s="277"/>
      <c r="R20" s="1545"/>
      <c r="S20" s="1545"/>
      <c r="T20" s="1545"/>
      <c r="U20" s="277"/>
      <c r="W20" s="47">
        <v>0.375</v>
      </c>
      <c r="X20" s="47">
        <v>0.25</v>
      </c>
      <c r="Y20" s="19">
        <v>8</v>
      </c>
      <c r="Z20" s="277"/>
      <c r="AA20" s="29">
        <f t="shared" ref="AA20:AA33" si="4">(E19+J20+O20+T20+Y20)</f>
        <v>8</v>
      </c>
      <c r="AB20" s="298">
        <f t="shared" ref="AB20:AB33" si="5">Z20+U20+P20+K20+F19</f>
        <v>0</v>
      </c>
      <c r="AC20" s="4"/>
      <c r="AD20" s="345"/>
      <c r="AE20" s="345"/>
      <c r="AF20" s="346"/>
      <c r="AG20" s="29">
        <f t="shared" si="3"/>
        <v>0</v>
      </c>
      <c r="AK20" s="188" t="s">
        <v>41</v>
      </c>
      <c r="AL20" s="196">
        <f>C50</f>
        <v>16</v>
      </c>
      <c r="AM20" s="512">
        <v>45</v>
      </c>
      <c r="AN20" s="512">
        <f t="shared" si="0"/>
        <v>720</v>
      </c>
      <c r="AO20" s="369"/>
      <c r="AP20" s="369"/>
    </row>
    <row r="21" spans="1:49" ht="14.25" hidden="1" thickTop="1">
      <c r="A21" s="180"/>
      <c r="B21" s="418" t="s">
        <v>93</v>
      </c>
      <c r="C21" s="1545"/>
      <c r="D21" s="1545"/>
      <c r="E21" s="1545"/>
      <c r="F21" s="277"/>
      <c r="G21" s="4"/>
      <c r="H21" s="1545"/>
      <c r="I21" s="1545"/>
      <c r="J21" s="1545"/>
      <c r="K21" s="277"/>
      <c r="L21" s="4"/>
      <c r="M21" s="1545"/>
      <c r="N21" s="1545"/>
      <c r="O21" s="1545"/>
      <c r="P21" s="277"/>
      <c r="R21" s="1545"/>
      <c r="S21" s="1545"/>
      <c r="T21" s="1545"/>
      <c r="U21" s="277"/>
      <c r="W21" s="47" t="s">
        <v>116</v>
      </c>
      <c r="X21" s="47">
        <v>0</v>
      </c>
      <c r="Y21" s="19">
        <v>0</v>
      </c>
      <c r="Z21" s="277"/>
      <c r="AA21" s="29">
        <f t="shared" si="4"/>
        <v>0</v>
      </c>
      <c r="AB21" s="298">
        <f t="shared" si="5"/>
        <v>0</v>
      </c>
      <c r="AC21" s="4"/>
      <c r="AD21" s="345"/>
      <c r="AE21" s="345"/>
      <c r="AF21" s="346"/>
      <c r="AG21" s="29">
        <f t="shared" si="3"/>
        <v>0</v>
      </c>
      <c r="AN21" s="510">
        <f>SUM(AN14:AN20)</f>
        <v>7632</v>
      </c>
    </row>
    <row r="22" spans="1:49" hidden="1">
      <c r="A22" s="180"/>
      <c r="B22" s="418" t="s">
        <v>97</v>
      </c>
      <c r="C22" s="1545"/>
      <c r="D22" s="1545"/>
      <c r="E22" s="1545"/>
      <c r="F22" s="277"/>
      <c r="G22" s="4"/>
      <c r="H22" s="1545"/>
      <c r="I22" s="1545"/>
      <c r="J22" s="1545"/>
      <c r="K22" s="277"/>
      <c r="L22" s="4"/>
      <c r="M22" s="1545"/>
      <c r="N22" s="1545"/>
      <c r="O22" s="1545"/>
      <c r="P22" s="277"/>
      <c r="R22" s="1545"/>
      <c r="S22" s="1545"/>
      <c r="T22" s="1545"/>
      <c r="U22" s="277"/>
      <c r="W22" s="47" t="s">
        <v>116</v>
      </c>
      <c r="X22" s="47">
        <v>0</v>
      </c>
      <c r="Y22" s="19">
        <v>0</v>
      </c>
      <c r="Z22" s="277"/>
      <c r="AA22" s="29">
        <f>(E22+J22+O22+T22+Y22)</f>
        <v>0</v>
      </c>
      <c r="AB22" s="298">
        <f t="shared" si="5"/>
        <v>0</v>
      </c>
      <c r="AC22" s="4"/>
      <c r="AD22" s="345"/>
      <c r="AE22" s="345"/>
      <c r="AF22" s="346"/>
      <c r="AG22" s="29">
        <f t="shared" si="3"/>
        <v>0</v>
      </c>
    </row>
    <row r="23" spans="1:49" hidden="1">
      <c r="A23" s="180"/>
      <c r="B23" s="418" t="s">
        <v>53</v>
      </c>
      <c r="C23" s="1545"/>
      <c r="D23" s="1545"/>
      <c r="E23" s="1545"/>
      <c r="F23" s="277"/>
      <c r="G23" s="4"/>
      <c r="H23" s="1545"/>
      <c r="I23" s="1545"/>
      <c r="J23" s="1545"/>
      <c r="K23" s="277"/>
      <c r="L23" s="4"/>
      <c r="M23" s="1545"/>
      <c r="N23" s="1545"/>
      <c r="O23" s="1545"/>
      <c r="P23" s="277"/>
      <c r="R23" s="1545"/>
      <c r="S23" s="1545"/>
      <c r="T23" s="1545"/>
      <c r="U23" s="277"/>
      <c r="W23" s="47">
        <v>0</v>
      </c>
      <c r="X23" s="47">
        <v>0</v>
      </c>
      <c r="Y23" s="19">
        <v>0</v>
      </c>
      <c r="Z23" s="277"/>
      <c r="AA23" s="29">
        <f t="shared" si="4"/>
        <v>0</v>
      </c>
      <c r="AB23" s="298">
        <f t="shared" si="5"/>
        <v>0</v>
      </c>
      <c r="AC23" s="4"/>
      <c r="AD23" s="345"/>
      <c r="AE23" s="345"/>
      <c r="AF23" s="346"/>
      <c r="AG23" s="29">
        <f t="shared" si="3"/>
        <v>0</v>
      </c>
    </row>
    <row r="24" spans="1:49" hidden="1">
      <c r="A24" s="180"/>
      <c r="B24" s="418" t="s">
        <v>35</v>
      </c>
      <c r="C24" s="1545"/>
      <c r="D24" s="1545"/>
      <c r="E24" s="1545"/>
      <c r="F24" s="277"/>
      <c r="G24" s="4"/>
      <c r="H24" s="1545"/>
      <c r="I24" s="1545"/>
      <c r="J24" s="1545"/>
      <c r="K24" s="277"/>
      <c r="L24" s="4"/>
      <c r="M24" s="1545"/>
      <c r="N24" s="1545"/>
      <c r="O24" s="1545"/>
      <c r="P24" s="277"/>
      <c r="R24" s="1545"/>
      <c r="S24" s="1545"/>
      <c r="T24" s="1545"/>
      <c r="U24" s="277"/>
      <c r="W24" s="47">
        <v>0.375</v>
      </c>
      <c r="X24" s="47">
        <v>0.25</v>
      </c>
      <c r="Y24" s="19">
        <v>8</v>
      </c>
      <c r="Z24" s="277"/>
      <c r="AA24" s="29">
        <f t="shared" si="4"/>
        <v>8</v>
      </c>
      <c r="AB24" s="298">
        <f t="shared" si="5"/>
        <v>0</v>
      </c>
      <c r="AC24" s="4"/>
      <c r="AD24" s="345"/>
      <c r="AE24" s="345"/>
      <c r="AF24" s="346"/>
      <c r="AG24" s="29">
        <f t="shared" si="3"/>
        <v>0</v>
      </c>
    </row>
    <row r="25" spans="1:49" hidden="1">
      <c r="A25" s="180"/>
      <c r="B25" s="418" t="s">
        <v>115</v>
      </c>
      <c r="C25" s="1545"/>
      <c r="D25" s="1545"/>
      <c r="E25" s="1545"/>
      <c r="F25" s="277"/>
      <c r="G25" s="4"/>
      <c r="H25" s="1545"/>
      <c r="I25" s="1545"/>
      <c r="J25" s="1545"/>
      <c r="K25" s="277"/>
      <c r="L25" s="4"/>
      <c r="M25" s="1545"/>
      <c r="N25" s="1545"/>
      <c r="O25" s="1545"/>
      <c r="P25" s="277"/>
      <c r="R25" s="1545"/>
      <c r="S25" s="1545"/>
      <c r="T25" s="1545"/>
      <c r="U25" s="277"/>
      <c r="W25" s="47">
        <v>0.39583333333333331</v>
      </c>
      <c r="X25" s="47">
        <v>0.25</v>
      </c>
      <c r="Y25" s="19">
        <v>7.5</v>
      </c>
      <c r="Z25" s="277"/>
      <c r="AA25" s="29">
        <f t="shared" si="4"/>
        <v>7.5</v>
      </c>
      <c r="AB25" s="298">
        <f t="shared" si="5"/>
        <v>0</v>
      </c>
      <c r="AC25" s="4"/>
      <c r="AD25" s="345"/>
      <c r="AE25" s="345"/>
      <c r="AF25" s="346"/>
      <c r="AG25" s="29">
        <f t="shared" si="3"/>
        <v>0</v>
      </c>
    </row>
    <row r="26" spans="1:49" hidden="1">
      <c r="A26" s="180"/>
      <c r="B26" s="418" t="s">
        <v>46</v>
      </c>
      <c r="C26" s="1545"/>
      <c r="D26" s="1545"/>
      <c r="E26" s="1545"/>
      <c r="F26" s="277"/>
      <c r="G26" s="4"/>
      <c r="H26" s="1545"/>
      <c r="I26" s="1545"/>
      <c r="J26" s="1545"/>
      <c r="K26" s="277"/>
      <c r="L26" s="4"/>
      <c r="M26" s="1545"/>
      <c r="N26" s="1545"/>
      <c r="O26" s="1545"/>
      <c r="P26" s="277"/>
      <c r="R26" s="1545"/>
      <c r="S26" s="1545"/>
      <c r="T26" s="1545"/>
      <c r="U26" s="277"/>
      <c r="W26" s="47">
        <v>0.34375</v>
      </c>
      <c r="X26" s="47">
        <v>0.25</v>
      </c>
      <c r="Y26" s="19">
        <v>8</v>
      </c>
      <c r="Z26" s="277"/>
      <c r="AA26" s="29">
        <f t="shared" si="4"/>
        <v>8</v>
      </c>
      <c r="AB26" s="298">
        <f t="shared" si="5"/>
        <v>0</v>
      </c>
      <c r="AC26" s="4"/>
      <c r="AD26" s="345"/>
      <c r="AE26" s="345"/>
      <c r="AF26" s="346"/>
      <c r="AG26" s="29">
        <f t="shared" si="3"/>
        <v>0</v>
      </c>
    </row>
    <row r="27" spans="1:49" hidden="1">
      <c r="A27" s="180"/>
      <c r="B27" s="418" t="s">
        <v>50</v>
      </c>
      <c r="C27" s="1545"/>
      <c r="D27" s="1545"/>
      <c r="E27" s="1545"/>
      <c r="F27" s="277"/>
      <c r="G27" s="4"/>
      <c r="H27" s="1545"/>
      <c r="I27" s="1545"/>
      <c r="J27" s="1545"/>
      <c r="K27" s="277"/>
      <c r="L27" s="4"/>
      <c r="M27" s="1545"/>
      <c r="N27" s="1545"/>
      <c r="O27" s="1545"/>
      <c r="P27" s="277"/>
      <c r="R27" s="1545"/>
      <c r="S27" s="1545"/>
      <c r="T27" s="1545"/>
      <c r="U27" s="277"/>
      <c r="W27" s="47">
        <v>0.38541666666666669</v>
      </c>
      <c r="X27" s="47">
        <v>0.25</v>
      </c>
      <c r="Y27" s="19">
        <v>7.75</v>
      </c>
      <c r="Z27" s="277"/>
      <c r="AA27" s="29">
        <f t="shared" si="4"/>
        <v>7.75</v>
      </c>
      <c r="AB27" s="298">
        <f t="shared" si="5"/>
        <v>0</v>
      </c>
      <c r="AC27" s="4"/>
      <c r="AD27" s="345"/>
      <c r="AE27" s="345"/>
      <c r="AF27" s="346"/>
      <c r="AG27" s="29">
        <f t="shared" si="3"/>
        <v>0</v>
      </c>
    </row>
    <row r="28" spans="1:49" hidden="1">
      <c r="A28" s="180"/>
      <c r="B28" s="419" t="s">
        <v>43</v>
      </c>
      <c r="C28" s="1545"/>
      <c r="D28" s="1545"/>
      <c r="E28" s="1545"/>
      <c r="F28" s="277"/>
      <c r="G28" s="4"/>
      <c r="H28" s="1545"/>
      <c r="I28" s="1545"/>
      <c r="J28" s="1545"/>
      <c r="K28" s="277"/>
      <c r="L28" s="4"/>
      <c r="M28" s="1545"/>
      <c r="N28" s="1545"/>
      <c r="O28" s="1545"/>
      <c r="P28" s="277"/>
      <c r="R28" s="1545"/>
      <c r="S28" s="1545"/>
      <c r="T28" s="1545"/>
      <c r="U28" s="277"/>
      <c r="W28" s="47">
        <v>0.33333333333333331</v>
      </c>
      <c r="X28" s="47">
        <v>0.25</v>
      </c>
      <c r="Y28" s="19">
        <v>8</v>
      </c>
      <c r="Z28" s="277"/>
      <c r="AA28" s="29">
        <f t="shared" si="4"/>
        <v>8</v>
      </c>
      <c r="AB28" s="298">
        <f t="shared" si="5"/>
        <v>0</v>
      </c>
      <c r="AC28" s="4"/>
      <c r="AD28" s="345"/>
      <c r="AE28" s="345"/>
      <c r="AF28" s="346"/>
      <c r="AG28" s="29">
        <f t="shared" si="3"/>
        <v>0</v>
      </c>
    </row>
    <row r="29" spans="1:49" hidden="1">
      <c r="A29" s="180"/>
      <c r="B29" s="419" t="s">
        <v>113</v>
      </c>
      <c r="C29" s="1545"/>
      <c r="D29" s="1545"/>
      <c r="E29" s="1545"/>
      <c r="F29" s="277"/>
      <c r="G29" s="4"/>
      <c r="H29" s="1545"/>
      <c r="I29" s="1545"/>
      <c r="J29" s="1545"/>
      <c r="K29" s="277"/>
      <c r="L29" s="4"/>
      <c r="M29" s="1545"/>
      <c r="N29" s="1545"/>
      <c r="O29" s="1545"/>
      <c r="P29" s="277"/>
      <c r="R29" s="1545"/>
      <c r="S29" s="1545"/>
      <c r="T29" s="1545"/>
      <c r="U29" s="277"/>
      <c r="W29" s="47">
        <v>0.38541666666666669</v>
      </c>
      <c r="X29" s="47">
        <v>0.25</v>
      </c>
      <c r="Y29" s="19">
        <v>7.75</v>
      </c>
      <c r="Z29" s="277"/>
      <c r="AA29" s="29">
        <f t="shared" si="4"/>
        <v>7.75</v>
      </c>
      <c r="AB29" s="298">
        <f t="shared" si="5"/>
        <v>0</v>
      </c>
      <c r="AC29" s="4"/>
      <c r="AD29" s="345"/>
      <c r="AE29" s="345"/>
      <c r="AF29" s="346"/>
      <c r="AG29" s="29">
        <f t="shared" si="3"/>
        <v>0</v>
      </c>
    </row>
    <row r="30" spans="1:49" hidden="1">
      <c r="A30" s="180"/>
      <c r="B30" s="418" t="s">
        <v>108</v>
      </c>
      <c r="C30" s="1545"/>
      <c r="D30" s="1545"/>
      <c r="E30" s="1545"/>
      <c r="F30" s="277"/>
      <c r="G30" s="4"/>
      <c r="H30" s="1545"/>
      <c r="I30" s="1545"/>
      <c r="J30" s="1545"/>
      <c r="K30" s="277"/>
      <c r="L30" s="4"/>
      <c r="M30" s="1545"/>
      <c r="N30" s="1545"/>
      <c r="O30" s="1545"/>
      <c r="P30" s="277"/>
      <c r="R30" s="1545"/>
      <c r="S30" s="1545"/>
      <c r="T30" s="1545"/>
      <c r="U30" s="277"/>
      <c r="W30" s="47">
        <v>0.375</v>
      </c>
      <c r="X30" s="47">
        <v>0.25</v>
      </c>
      <c r="Y30" s="19">
        <v>8</v>
      </c>
      <c r="Z30" s="277"/>
      <c r="AA30" s="29">
        <f t="shared" si="4"/>
        <v>8</v>
      </c>
      <c r="AB30" s="298">
        <f t="shared" si="5"/>
        <v>0</v>
      </c>
      <c r="AC30" s="4"/>
      <c r="AD30" s="345"/>
      <c r="AE30" s="345"/>
      <c r="AF30" s="346"/>
      <c r="AG30" s="29">
        <f t="shared" si="3"/>
        <v>0</v>
      </c>
    </row>
    <row r="31" spans="1:49" hidden="1">
      <c r="A31" s="180"/>
      <c r="B31" s="418" t="s">
        <v>44</v>
      </c>
      <c r="C31" s="1545"/>
      <c r="D31" s="1545"/>
      <c r="E31" s="1545"/>
      <c r="F31" s="277"/>
      <c r="G31" s="4"/>
      <c r="H31" s="1545"/>
      <c r="I31" s="1545"/>
      <c r="J31" s="1545"/>
      <c r="K31" s="277"/>
      <c r="L31" s="4"/>
      <c r="M31" s="1545"/>
      <c r="N31" s="1545"/>
      <c r="O31" s="1545"/>
      <c r="P31" s="277"/>
      <c r="R31" s="1545"/>
      <c r="S31" s="1545"/>
      <c r="T31" s="1545"/>
      <c r="U31" s="277"/>
      <c r="W31" s="47">
        <v>0.375</v>
      </c>
      <c r="X31" s="47">
        <v>0.25</v>
      </c>
      <c r="Y31" s="19">
        <v>8</v>
      </c>
      <c r="Z31" s="277"/>
      <c r="AA31" s="29">
        <f t="shared" si="4"/>
        <v>8</v>
      </c>
      <c r="AB31" s="298">
        <f t="shared" si="5"/>
        <v>0</v>
      </c>
      <c r="AC31" s="4"/>
      <c r="AD31" s="345"/>
      <c r="AE31" s="345"/>
      <c r="AF31" s="346"/>
      <c r="AG31" s="29">
        <f t="shared" si="3"/>
        <v>0</v>
      </c>
    </row>
    <row r="32" spans="1:49" hidden="1">
      <c r="A32" s="180"/>
      <c r="B32" s="418" t="s">
        <v>45</v>
      </c>
      <c r="C32" s="1545"/>
      <c r="D32" s="1545"/>
      <c r="E32" s="1545"/>
      <c r="F32" s="277"/>
      <c r="G32" s="4"/>
      <c r="H32" s="1545"/>
      <c r="I32" s="1545"/>
      <c r="J32" s="1545"/>
      <c r="K32" s="277"/>
      <c r="L32" s="4"/>
      <c r="M32" s="1545"/>
      <c r="N32" s="1545"/>
      <c r="O32" s="1545"/>
      <c r="P32" s="277"/>
      <c r="R32" s="1545"/>
      <c r="S32" s="1545"/>
      <c r="T32" s="1545"/>
      <c r="U32" s="277"/>
      <c r="W32" s="47">
        <v>0.41666666666666669</v>
      </c>
      <c r="X32" s="47">
        <v>0.25</v>
      </c>
      <c r="Y32" s="19">
        <v>7</v>
      </c>
      <c r="Z32" s="277"/>
      <c r="AA32" s="29">
        <f t="shared" si="4"/>
        <v>7</v>
      </c>
      <c r="AB32" s="298">
        <f t="shared" si="5"/>
        <v>0</v>
      </c>
      <c r="AC32" s="4"/>
      <c r="AD32" s="345"/>
      <c r="AE32" s="345"/>
      <c r="AF32" s="346"/>
      <c r="AG32" s="29">
        <f t="shared" si="3"/>
        <v>0</v>
      </c>
    </row>
    <row r="33" spans="1:37" hidden="1">
      <c r="A33" s="180"/>
      <c r="B33" s="418" t="s">
        <v>112</v>
      </c>
      <c r="C33" s="1545"/>
      <c r="D33" s="1545"/>
      <c r="E33" s="1545"/>
      <c r="F33" s="277"/>
      <c r="G33" s="4"/>
      <c r="H33" s="1545"/>
      <c r="I33" s="1545"/>
      <c r="J33" s="1545"/>
      <c r="K33" s="277"/>
      <c r="L33" s="4"/>
      <c r="M33" s="1545"/>
      <c r="N33" s="1545"/>
      <c r="O33" s="1545"/>
      <c r="P33" s="277"/>
      <c r="R33" s="1545"/>
      <c r="S33" s="1545"/>
      <c r="T33" s="1545"/>
      <c r="U33" s="277"/>
      <c r="W33" s="47">
        <v>0.375</v>
      </c>
      <c r="X33" s="47">
        <v>0.25</v>
      </c>
      <c r="Y33" s="19">
        <v>8</v>
      </c>
      <c r="Z33" s="277"/>
      <c r="AA33" s="29">
        <f t="shared" si="4"/>
        <v>8</v>
      </c>
      <c r="AB33" s="298">
        <f t="shared" si="5"/>
        <v>0</v>
      </c>
      <c r="AC33" s="4"/>
      <c r="AD33" s="410"/>
      <c r="AE33" s="4"/>
      <c r="AF33" s="19"/>
      <c r="AG33" s="29">
        <f t="shared" si="3"/>
        <v>0</v>
      </c>
    </row>
    <row r="34" spans="1:37" hidden="1">
      <c r="A34" s="180"/>
      <c r="B34" s="418" t="s">
        <v>96</v>
      </c>
      <c r="C34" s="1545"/>
      <c r="D34" s="1545"/>
      <c r="E34" s="1545"/>
      <c r="F34" s="277"/>
      <c r="G34" s="4"/>
      <c r="H34" s="1545"/>
      <c r="I34" s="1545"/>
      <c r="J34" s="1545"/>
      <c r="K34" s="277"/>
      <c r="L34" s="4"/>
      <c r="M34" s="1545"/>
      <c r="N34" s="1545"/>
      <c r="O34" s="1545"/>
      <c r="P34" s="277"/>
      <c r="R34" s="1545"/>
      <c r="S34" s="1545"/>
      <c r="T34" s="1545"/>
      <c r="U34" s="277"/>
      <c r="W34" s="47" t="s">
        <v>116</v>
      </c>
      <c r="X34" s="47">
        <v>0</v>
      </c>
      <c r="Y34" s="19">
        <v>0</v>
      </c>
      <c r="Z34" s="277"/>
      <c r="AA34" s="29">
        <f t="shared" ref="AA34:AA42" si="6">(E34+J34+O34+T34+Y34)</f>
        <v>0</v>
      </c>
      <c r="AB34" s="298">
        <f t="shared" ref="AB34:AB45" si="7">Z34+U34+P34+K34+F34</f>
        <v>0</v>
      </c>
      <c r="AC34" s="4"/>
      <c r="AD34" s="4"/>
      <c r="AE34" s="4"/>
      <c r="AF34" s="19"/>
      <c r="AG34" s="29">
        <f t="shared" si="3"/>
        <v>0</v>
      </c>
    </row>
    <row r="35" spans="1:37" hidden="1">
      <c r="A35" s="180"/>
      <c r="B35" s="418" t="s">
        <v>42</v>
      </c>
      <c r="C35" s="1545"/>
      <c r="D35" s="1545"/>
      <c r="E35" s="1545"/>
      <c r="F35" s="277"/>
      <c r="G35" s="4"/>
      <c r="H35" s="1545"/>
      <c r="I35" s="1545"/>
      <c r="J35" s="1545"/>
      <c r="K35" s="277"/>
      <c r="L35" s="4"/>
      <c r="M35" s="1545"/>
      <c r="N35" s="1545"/>
      <c r="O35" s="1545"/>
      <c r="P35" s="277"/>
      <c r="R35" s="1545"/>
      <c r="S35" s="1545"/>
      <c r="T35" s="1545"/>
      <c r="U35" s="277"/>
      <c r="W35" s="47">
        <v>0.36458333333333331</v>
      </c>
      <c r="X35" s="47">
        <v>0.25</v>
      </c>
      <c r="Y35" s="19">
        <v>8</v>
      </c>
      <c r="Z35" s="277"/>
      <c r="AA35" s="29">
        <f t="shared" si="6"/>
        <v>8</v>
      </c>
      <c r="AB35" s="298">
        <f t="shared" si="7"/>
        <v>0</v>
      </c>
      <c r="AC35" s="4"/>
      <c r="AD35" s="4"/>
      <c r="AE35" s="4"/>
      <c r="AF35" s="19"/>
      <c r="AG35" s="29">
        <f t="shared" si="3"/>
        <v>0</v>
      </c>
    </row>
    <row r="36" spans="1:37" hidden="1">
      <c r="A36" s="180"/>
      <c r="B36" s="13" t="s">
        <v>54</v>
      </c>
      <c r="C36" s="1545"/>
      <c r="D36" s="1545"/>
      <c r="E36" s="1545"/>
      <c r="F36" s="277"/>
      <c r="G36" s="4"/>
      <c r="H36" s="1545"/>
      <c r="I36" s="1545"/>
      <c r="J36" s="1545"/>
      <c r="K36" s="277"/>
      <c r="L36" s="4"/>
      <c r="M36" s="1545"/>
      <c r="N36" s="1545"/>
      <c r="O36" s="1545"/>
      <c r="P36" s="277"/>
      <c r="R36" s="1545"/>
      <c r="S36" s="1545"/>
      <c r="T36" s="1545"/>
      <c r="U36" s="277"/>
      <c r="X36" s="4"/>
      <c r="Y36" s="19"/>
      <c r="Z36" s="277"/>
      <c r="AA36" s="29">
        <f t="shared" si="6"/>
        <v>0</v>
      </c>
      <c r="AB36" s="298">
        <f t="shared" si="7"/>
        <v>0</v>
      </c>
      <c r="AC36" s="4"/>
      <c r="AD36" s="4"/>
      <c r="AE36" s="4"/>
      <c r="AF36" s="19"/>
      <c r="AG36" s="29">
        <f t="shared" si="3"/>
        <v>0</v>
      </c>
    </row>
    <row r="37" spans="1:37" hidden="1">
      <c r="A37" s="180"/>
      <c r="B37" s="13" t="s">
        <v>55</v>
      </c>
      <c r="C37" s="1545"/>
      <c r="D37" s="1545"/>
      <c r="E37" s="1545"/>
      <c r="F37" s="277"/>
      <c r="G37" s="4"/>
      <c r="H37" s="1545"/>
      <c r="I37" s="1545"/>
      <c r="J37" s="1545"/>
      <c r="K37" s="277"/>
      <c r="L37" s="4"/>
      <c r="M37" s="1545"/>
      <c r="N37" s="1545"/>
      <c r="O37" s="1545"/>
      <c r="P37" s="277"/>
      <c r="R37" s="1545"/>
      <c r="S37" s="1545"/>
      <c r="T37" s="1545"/>
      <c r="U37" s="277"/>
      <c r="X37" s="4"/>
      <c r="Y37" s="19"/>
      <c r="Z37" s="277"/>
      <c r="AA37" s="29">
        <f t="shared" si="6"/>
        <v>0</v>
      </c>
      <c r="AB37" s="298">
        <f t="shared" si="7"/>
        <v>0</v>
      </c>
      <c r="AC37" s="4"/>
      <c r="AD37" s="4"/>
      <c r="AE37" s="4"/>
      <c r="AF37" s="19"/>
      <c r="AG37" s="29">
        <f t="shared" si="3"/>
        <v>0</v>
      </c>
    </row>
    <row r="38" spans="1:37" hidden="1">
      <c r="A38" s="180"/>
      <c r="B38" s="166" t="s">
        <v>48</v>
      </c>
      <c r="C38" s="1545"/>
      <c r="D38" s="1545"/>
      <c r="E38" s="1545"/>
      <c r="F38" s="277"/>
      <c r="G38" s="4"/>
      <c r="H38" s="1545"/>
      <c r="I38" s="1545"/>
      <c r="J38" s="1545"/>
      <c r="K38" s="277"/>
      <c r="L38" s="4"/>
      <c r="M38" s="1545"/>
      <c r="N38" s="1545"/>
      <c r="O38" s="1545"/>
      <c r="P38" s="277"/>
      <c r="R38" s="1545"/>
      <c r="S38" s="1545"/>
      <c r="T38" s="1545"/>
      <c r="U38" s="277"/>
      <c r="W38" s="16" t="s">
        <v>29</v>
      </c>
      <c r="X38" s="16" t="s">
        <v>29</v>
      </c>
      <c r="Y38" s="19">
        <v>8</v>
      </c>
      <c r="Z38" s="277"/>
      <c r="AA38" s="29">
        <f t="shared" si="6"/>
        <v>8</v>
      </c>
      <c r="AB38" s="298">
        <f t="shared" si="7"/>
        <v>0</v>
      </c>
      <c r="AC38" s="4"/>
      <c r="AD38" s="4"/>
      <c r="AE38" s="4"/>
      <c r="AF38" s="19"/>
      <c r="AG38" s="29">
        <f t="shared" si="3"/>
        <v>0</v>
      </c>
    </row>
    <row r="39" spans="1:37" hidden="1">
      <c r="A39" s="180"/>
      <c r="B39" s="166" t="s">
        <v>49</v>
      </c>
      <c r="C39" s="1545"/>
      <c r="D39" s="1545"/>
      <c r="E39" s="1545"/>
      <c r="F39" s="277"/>
      <c r="G39" s="4"/>
      <c r="H39" s="1545"/>
      <c r="I39" s="1545"/>
      <c r="J39" s="1545"/>
      <c r="K39" s="277"/>
      <c r="L39" s="4"/>
      <c r="M39" s="1545"/>
      <c r="N39" s="1545"/>
      <c r="O39" s="1545"/>
      <c r="P39" s="277"/>
      <c r="R39" s="1545"/>
      <c r="S39" s="1545"/>
      <c r="T39" s="1545"/>
      <c r="U39" s="277"/>
      <c r="W39" s="47" t="s">
        <v>29</v>
      </c>
      <c r="X39" s="47" t="s">
        <v>29</v>
      </c>
      <c r="Y39" s="19">
        <v>8</v>
      </c>
      <c r="Z39" s="277"/>
      <c r="AA39" s="29">
        <f t="shared" si="6"/>
        <v>8</v>
      </c>
      <c r="AB39" s="298">
        <f t="shared" si="7"/>
        <v>0</v>
      </c>
      <c r="AC39" s="4"/>
      <c r="AD39" s="4"/>
      <c r="AE39" s="4"/>
      <c r="AF39" s="19"/>
      <c r="AG39" s="29">
        <f t="shared" si="3"/>
        <v>0</v>
      </c>
    </row>
    <row r="40" spans="1:37" hidden="1">
      <c r="A40" s="180"/>
      <c r="B40" s="166" t="s">
        <v>107</v>
      </c>
      <c r="C40" s="1545"/>
      <c r="D40" s="1545"/>
      <c r="E40" s="1545"/>
      <c r="F40" s="277"/>
      <c r="G40" s="4"/>
      <c r="H40" s="1545"/>
      <c r="I40" s="1545"/>
      <c r="J40" s="1545"/>
      <c r="K40" s="277"/>
      <c r="L40" s="4"/>
      <c r="M40" s="1545"/>
      <c r="N40" s="1545"/>
      <c r="O40" s="1545"/>
      <c r="P40" s="277"/>
      <c r="R40" s="1545"/>
      <c r="S40" s="1545"/>
      <c r="T40" s="1545"/>
      <c r="U40" s="277"/>
      <c r="W40" s="47" t="s">
        <v>29</v>
      </c>
      <c r="X40" s="47" t="s">
        <v>29</v>
      </c>
      <c r="Y40" s="19">
        <v>8</v>
      </c>
      <c r="Z40" s="277"/>
      <c r="AA40" s="29">
        <f t="shared" si="6"/>
        <v>8</v>
      </c>
      <c r="AB40" s="298">
        <f t="shared" si="7"/>
        <v>0</v>
      </c>
      <c r="AC40" s="4"/>
      <c r="AD40" s="4"/>
      <c r="AE40" s="4"/>
      <c r="AF40" s="19"/>
      <c r="AG40" s="29">
        <f t="shared" si="3"/>
        <v>0</v>
      </c>
    </row>
    <row r="41" spans="1:37" hidden="1">
      <c r="A41" s="180"/>
      <c r="B41" s="166" t="s">
        <v>59</v>
      </c>
      <c r="C41" s="1545"/>
      <c r="D41" s="1545"/>
      <c r="E41" s="1545"/>
      <c r="F41" s="277"/>
      <c r="G41" s="4"/>
      <c r="H41" s="1545"/>
      <c r="I41" s="1545"/>
      <c r="J41" s="1545"/>
      <c r="K41" s="277"/>
      <c r="L41" s="4"/>
      <c r="M41" s="1545"/>
      <c r="N41" s="1545"/>
      <c r="O41" s="1545"/>
      <c r="P41" s="277"/>
      <c r="R41" s="1545"/>
      <c r="S41" s="1545"/>
      <c r="T41" s="1545"/>
      <c r="U41" s="277"/>
      <c r="W41" s="47" t="s">
        <v>29</v>
      </c>
      <c r="X41" s="16" t="s">
        <v>29</v>
      </c>
      <c r="Y41" s="19">
        <v>8</v>
      </c>
      <c r="Z41" s="277"/>
      <c r="AA41" s="29">
        <f t="shared" si="6"/>
        <v>8</v>
      </c>
      <c r="AB41" s="298">
        <f t="shared" si="7"/>
        <v>0</v>
      </c>
      <c r="AC41" s="4"/>
      <c r="AD41" s="4"/>
      <c r="AE41" s="4"/>
      <c r="AF41" s="19"/>
      <c r="AG41" s="29">
        <f t="shared" si="3"/>
        <v>0</v>
      </c>
    </row>
    <row r="42" spans="1:37" hidden="1">
      <c r="A42" s="180"/>
      <c r="B42" s="166" t="s">
        <v>60</v>
      </c>
      <c r="C42" s="1545"/>
      <c r="D42" s="1545"/>
      <c r="E42" s="1545"/>
      <c r="F42" s="277"/>
      <c r="G42" s="4"/>
      <c r="H42" s="1545"/>
      <c r="I42" s="1545"/>
      <c r="J42" s="1545"/>
      <c r="K42" s="277"/>
      <c r="L42" s="4"/>
      <c r="M42" s="1545"/>
      <c r="N42" s="1545"/>
      <c r="O42" s="1545"/>
      <c r="P42" s="277"/>
      <c r="R42" s="1545"/>
      <c r="S42" s="1545"/>
      <c r="T42" s="1545"/>
      <c r="U42" s="277"/>
      <c r="W42" s="16" t="s">
        <v>29</v>
      </c>
      <c r="X42" s="16" t="s">
        <v>29</v>
      </c>
      <c r="Y42" s="19">
        <v>8</v>
      </c>
      <c r="Z42" s="277"/>
      <c r="AA42" s="29">
        <f t="shared" si="6"/>
        <v>8</v>
      </c>
      <c r="AB42" s="298">
        <f t="shared" si="7"/>
        <v>0</v>
      </c>
      <c r="AC42" s="4"/>
      <c r="AD42" s="4"/>
      <c r="AE42" s="4"/>
      <c r="AF42" s="19"/>
      <c r="AG42" s="29">
        <f t="shared" si="3"/>
        <v>0</v>
      </c>
    </row>
    <row r="43" spans="1:37" hidden="1">
      <c r="A43" s="180"/>
      <c r="B43" s="63" t="s">
        <v>63</v>
      </c>
      <c r="C43" s="1545"/>
      <c r="D43" s="1545"/>
      <c r="E43" s="1545"/>
      <c r="F43" s="277"/>
      <c r="G43" s="60"/>
      <c r="H43" s="1545"/>
      <c r="I43" s="1545"/>
      <c r="J43" s="1545"/>
      <c r="K43" s="277"/>
      <c r="L43" s="60"/>
      <c r="M43" s="1545"/>
      <c r="N43" s="1545"/>
      <c r="O43" s="1545"/>
      <c r="P43" s="277"/>
      <c r="Q43" s="60"/>
      <c r="R43" s="1545"/>
      <c r="S43" s="1545"/>
      <c r="T43" s="1545"/>
      <c r="U43" s="277"/>
      <c r="V43" s="60"/>
      <c r="W43" s="16" t="s">
        <v>29</v>
      </c>
      <c r="X43" s="16" t="s">
        <v>29</v>
      </c>
      <c r="Y43" s="19">
        <v>8</v>
      </c>
      <c r="Z43" s="277"/>
      <c r="AA43" s="28">
        <f>SUM(E43+J43+O43+T43+Y43)</f>
        <v>8</v>
      </c>
      <c r="AB43" s="298">
        <f t="shared" si="7"/>
        <v>0</v>
      </c>
      <c r="AC43" s="4"/>
      <c r="AD43" s="56"/>
      <c r="AE43" s="56"/>
      <c r="AF43" s="19"/>
      <c r="AG43" s="29">
        <f t="shared" si="3"/>
        <v>0</v>
      </c>
      <c r="AK43" s="407"/>
    </row>
    <row r="44" spans="1:37" hidden="1">
      <c r="A44" s="180"/>
      <c r="B44" s="63" t="s">
        <v>62</v>
      </c>
      <c r="C44" s="1545"/>
      <c r="D44" s="1545"/>
      <c r="E44" s="1545"/>
      <c r="F44" s="277"/>
      <c r="G44" s="60"/>
      <c r="H44" s="1545"/>
      <c r="I44" s="1545"/>
      <c r="J44" s="1545"/>
      <c r="K44" s="277"/>
      <c r="L44" s="60"/>
      <c r="M44" s="1545"/>
      <c r="N44" s="1545"/>
      <c r="O44" s="1545"/>
      <c r="P44" s="277"/>
      <c r="Q44" s="60"/>
      <c r="R44" s="1545"/>
      <c r="S44" s="1545"/>
      <c r="T44" s="1545"/>
      <c r="U44" s="277"/>
      <c r="V44" s="60"/>
      <c r="W44" s="16" t="s">
        <v>29</v>
      </c>
      <c r="X44" s="16" t="s">
        <v>29</v>
      </c>
      <c r="Y44" s="19">
        <v>8</v>
      </c>
      <c r="Z44" s="277"/>
      <c r="AA44" s="28">
        <f>SUM(E44+J44+O44+T44+Y44)</f>
        <v>8</v>
      </c>
      <c r="AB44" s="298">
        <f t="shared" si="7"/>
        <v>0</v>
      </c>
      <c r="AC44" s="4"/>
      <c r="AD44" s="56"/>
      <c r="AE44" s="56"/>
      <c r="AF44" s="19"/>
      <c r="AG44" s="29">
        <v>0</v>
      </c>
    </row>
    <row r="45" spans="1:37" hidden="1">
      <c r="A45" s="180"/>
      <c r="B45" s="63"/>
      <c r="C45" s="1545"/>
      <c r="D45" s="1545"/>
      <c r="E45" s="1545"/>
      <c r="F45" s="277"/>
      <c r="G45" s="60"/>
      <c r="H45" s="1545"/>
      <c r="I45" s="1545"/>
      <c r="J45" s="1545"/>
      <c r="K45" s="277"/>
      <c r="L45" s="60"/>
      <c r="M45" s="1545"/>
      <c r="N45" s="1545"/>
      <c r="O45" s="1545"/>
      <c r="P45" s="277"/>
      <c r="Q45" s="60"/>
      <c r="R45" s="1545"/>
      <c r="S45" s="1545"/>
      <c r="T45" s="1545"/>
      <c r="U45" s="277"/>
      <c r="V45" s="60"/>
      <c r="X45" s="4"/>
      <c r="Y45" s="19"/>
      <c r="Z45" s="277"/>
      <c r="AA45" s="28">
        <f>SUM(E45+J45+O45+T45+Y45)</f>
        <v>0</v>
      </c>
      <c r="AB45" s="298">
        <f t="shared" si="7"/>
        <v>0</v>
      </c>
      <c r="AC45" s="4"/>
      <c r="AD45" s="56"/>
      <c r="AE45" s="56"/>
      <c r="AF45" s="19"/>
      <c r="AG45" s="29">
        <f>AF45</f>
        <v>0</v>
      </c>
    </row>
    <row r="46" spans="1:37" hidden="1">
      <c r="A46" s="180"/>
      <c r="B46" s="64" t="s">
        <v>61</v>
      </c>
      <c r="C46" s="64"/>
      <c r="D46" s="64"/>
      <c r="E46" s="167"/>
      <c r="F46" s="277"/>
      <c r="G46" s="64"/>
      <c r="H46" s="64"/>
      <c r="I46" s="64"/>
      <c r="J46" s="64"/>
      <c r="K46" s="277"/>
      <c r="L46" s="64"/>
      <c r="M46" s="64"/>
      <c r="N46" s="64"/>
      <c r="O46" s="167"/>
      <c r="P46" s="277"/>
      <c r="Q46" s="64"/>
      <c r="R46" s="167"/>
      <c r="S46" s="64"/>
      <c r="T46" s="167"/>
      <c r="U46" s="277">
        <f>SUM(U15:U42)</f>
        <v>0</v>
      </c>
      <c r="V46" s="64"/>
      <c r="W46" s="167"/>
      <c r="X46" s="64"/>
      <c r="Y46" s="167">
        <f>SUM(Y15:Y45)</f>
        <v>174</v>
      </c>
      <c r="Z46" s="277">
        <f>SUM(Z15:Z37)</f>
        <v>0</v>
      </c>
      <c r="AA46" s="370">
        <f>SUM(AA15:AA45)</f>
        <v>174</v>
      </c>
      <c r="AB46" s="289">
        <f>SUM(AB15:AB45)</f>
        <v>0</v>
      </c>
      <c r="AC46" s="4"/>
      <c r="AD46" s="64"/>
      <c r="AE46" s="64"/>
      <c r="AF46" s="167">
        <f>SUM(AF15:AF45)</f>
        <v>0</v>
      </c>
      <c r="AG46" s="370">
        <f>SUM(AG15:AG37)</f>
        <v>0</v>
      </c>
    </row>
    <row r="47" spans="1:37" hidden="1">
      <c r="A47" s="180"/>
      <c r="B47" s="63" t="s">
        <v>64</v>
      </c>
      <c r="C47" s="56"/>
      <c r="D47" s="56"/>
      <c r="E47" s="19"/>
      <c r="F47" s="291"/>
      <c r="G47" s="60"/>
      <c r="H47" s="56"/>
      <c r="I47" s="56"/>
      <c r="J47" s="19"/>
      <c r="K47" s="291"/>
      <c r="L47" s="60"/>
      <c r="M47" s="56"/>
      <c r="N47" s="56"/>
      <c r="O47" s="19"/>
      <c r="P47" s="19"/>
      <c r="Q47" s="60"/>
      <c r="R47" s="56"/>
      <c r="S47" s="56"/>
      <c r="T47" s="19"/>
      <c r="U47" s="19"/>
      <c r="V47" s="60"/>
      <c r="W47" s="56"/>
      <c r="X47" s="56"/>
      <c r="Y47" s="19">
        <v>6</v>
      </c>
      <c r="Z47" s="19"/>
      <c r="AA47" s="28">
        <f>SUM(E47+J47+O47+T47+Y47)</f>
        <v>6</v>
      </c>
      <c r="AB47" s="296">
        <f>Z47+U47+P47+K47+F47</f>
        <v>0</v>
      </c>
      <c r="AC47" s="4"/>
      <c r="AD47" s="56"/>
      <c r="AE47" s="56"/>
      <c r="AF47" s="19"/>
      <c r="AG47" s="29">
        <f>AF47</f>
        <v>0</v>
      </c>
    </row>
    <row r="48" spans="1:37" ht="13.5" hidden="1" customHeight="1">
      <c r="A48" s="180"/>
      <c r="B48" s="63" t="s">
        <v>110</v>
      </c>
      <c r="C48" s="56"/>
      <c r="D48" s="56"/>
      <c r="E48" s="19"/>
      <c r="F48" s="291"/>
      <c r="G48" s="60"/>
      <c r="H48" s="56"/>
      <c r="I48" s="56"/>
      <c r="J48" s="19"/>
      <c r="K48" s="291"/>
      <c r="L48" s="60"/>
      <c r="M48" s="56"/>
      <c r="N48" s="56"/>
      <c r="O48" s="19"/>
      <c r="P48" s="19"/>
      <c r="Q48" s="60"/>
      <c r="R48" s="56"/>
      <c r="S48" s="56"/>
      <c r="T48" s="19"/>
      <c r="U48" s="19">
        <v>0</v>
      </c>
      <c r="V48" s="60"/>
      <c r="W48" s="56"/>
      <c r="X48" s="56"/>
      <c r="Y48" s="19">
        <v>4</v>
      </c>
      <c r="Z48" s="19">
        <v>0</v>
      </c>
      <c r="AA48" s="28">
        <f>SUM(E48+J48+O48+T48+Y48)</f>
        <v>4</v>
      </c>
      <c r="AB48" s="296">
        <f>Z48+U48+P48+K48+F48</f>
        <v>0</v>
      </c>
      <c r="AC48" s="4"/>
      <c r="AD48" s="56"/>
      <c r="AE48" s="56"/>
      <c r="AF48" s="19"/>
      <c r="AG48" s="29">
        <f>AF48</f>
        <v>0</v>
      </c>
    </row>
    <row r="49" spans="1:49" hidden="1">
      <c r="A49" s="180"/>
      <c r="B49" s="71" t="s">
        <v>66</v>
      </c>
      <c r="C49" s="371"/>
      <c r="D49" s="371"/>
      <c r="E49" s="71">
        <f t="shared" ref="E49:AB49" si="8">SUM(E47:E48)</f>
        <v>0</v>
      </c>
      <c r="F49" s="71">
        <f t="shared" si="8"/>
        <v>0</v>
      </c>
      <c r="G49" s="71">
        <f t="shared" si="8"/>
        <v>0</v>
      </c>
      <c r="H49" s="71">
        <f t="shared" si="8"/>
        <v>0</v>
      </c>
      <c r="I49" s="71">
        <f t="shared" si="8"/>
        <v>0</v>
      </c>
      <c r="J49" s="71">
        <f t="shared" si="8"/>
        <v>0</v>
      </c>
      <c r="K49" s="71">
        <f t="shared" si="8"/>
        <v>0</v>
      </c>
      <c r="L49" s="71">
        <f t="shared" si="8"/>
        <v>0</v>
      </c>
      <c r="M49" s="71">
        <f t="shared" si="8"/>
        <v>0</v>
      </c>
      <c r="N49" s="71">
        <f t="shared" si="8"/>
        <v>0</v>
      </c>
      <c r="O49" s="71">
        <f t="shared" si="8"/>
        <v>0</v>
      </c>
      <c r="P49" s="71">
        <f t="shared" si="8"/>
        <v>0</v>
      </c>
      <c r="Q49" s="71">
        <f t="shared" si="8"/>
        <v>0</v>
      </c>
      <c r="R49" s="71">
        <f t="shared" si="8"/>
        <v>0</v>
      </c>
      <c r="S49" s="71">
        <f t="shared" si="8"/>
        <v>0</v>
      </c>
      <c r="T49" s="71">
        <f t="shared" si="8"/>
        <v>0</v>
      </c>
      <c r="U49" s="71">
        <f t="shared" si="8"/>
        <v>0</v>
      </c>
      <c r="V49" s="71">
        <f t="shared" si="8"/>
        <v>0</v>
      </c>
      <c r="W49" s="71">
        <f t="shared" si="8"/>
        <v>0</v>
      </c>
      <c r="X49" s="71">
        <f t="shared" si="8"/>
        <v>0</v>
      </c>
      <c r="Y49" s="71">
        <f t="shared" si="8"/>
        <v>10</v>
      </c>
      <c r="Z49" s="71">
        <f t="shared" si="8"/>
        <v>0</v>
      </c>
      <c r="AA49" s="370">
        <f t="shared" si="8"/>
        <v>10</v>
      </c>
      <c r="AB49" s="370">
        <f t="shared" si="8"/>
        <v>0</v>
      </c>
      <c r="AC49" s="4"/>
      <c r="AG49" s="370">
        <f>SUM(AG47:AG48)</f>
        <v>0</v>
      </c>
    </row>
    <row r="50" spans="1:49" ht="13.5" hidden="1" customHeight="1">
      <c r="A50" s="180"/>
      <c r="B50" s="217" t="s">
        <v>67</v>
      </c>
      <c r="C50" s="207">
        <f>C51+C52</f>
        <v>16</v>
      </c>
      <c r="D50" s="207"/>
      <c r="E50" s="209"/>
      <c r="F50" s="209"/>
      <c r="G50" s="207"/>
      <c r="H50" s="209"/>
      <c r="I50" s="209"/>
      <c r="J50" s="209"/>
      <c r="K50" s="209"/>
      <c r="L50" s="207"/>
      <c r="M50" s="207"/>
      <c r="N50" s="207"/>
      <c r="O50" s="207"/>
      <c r="P50" s="209"/>
      <c r="Q50" s="207"/>
      <c r="R50" s="207"/>
      <c r="S50" s="207"/>
      <c r="T50" s="207"/>
      <c r="U50" s="209"/>
      <c r="V50" s="207"/>
      <c r="W50" s="207"/>
      <c r="X50" s="207"/>
      <c r="Y50" s="210"/>
      <c r="Z50" s="209"/>
      <c r="AA50" s="211"/>
      <c r="AB50" s="209"/>
      <c r="AC50" s="211"/>
      <c r="AD50" s="211"/>
      <c r="AE50" s="211"/>
      <c r="AF50" s="211"/>
      <c r="AG50" s="211"/>
    </row>
    <row r="51" spans="1:49" hidden="1">
      <c r="A51" s="180"/>
      <c r="B51" s="238" t="s">
        <v>68</v>
      </c>
      <c r="C51" s="239">
        <f>16</f>
        <v>16</v>
      </c>
      <c r="D51" s="207"/>
      <c r="E51" s="209"/>
      <c r="F51" s="209"/>
      <c r="G51" s="207"/>
      <c r="H51" s="209"/>
      <c r="I51" s="209"/>
      <c r="J51" s="209"/>
      <c r="K51" s="209"/>
      <c r="L51" s="207"/>
      <c r="M51" s="207"/>
      <c r="N51" s="207"/>
      <c r="O51" s="207"/>
      <c r="P51" s="209"/>
      <c r="Q51" s="207"/>
      <c r="R51" s="207"/>
      <c r="S51" s="207"/>
      <c r="T51" s="207"/>
      <c r="U51" s="209"/>
      <c r="V51" s="207"/>
      <c r="W51" s="207"/>
      <c r="X51" s="207"/>
      <c r="Y51" s="210"/>
      <c r="Z51" s="209"/>
      <c r="AA51" s="211"/>
      <c r="AB51" s="209"/>
      <c r="AC51" s="211"/>
      <c r="AD51" s="211"/>
      <c r="AE51" s="211"/>
      <c r="AF51" s="211"/>
      <c r="AG51" s="211"/>
    </row>
    <row r="52" spans="1:49" hidden="1">
      <c r="A52" s="180"/>
      <c r="B52" s="238" t="s">
        <v>69</v>
      </c>
      <c r="C52" s="239"/>
      <c r="D52" s="207"/>
      <c r="E52" s="209"/>
      <c r="F52" s="209"/>
      <c r="G52" s="207"/>
      <c r="H52" s="209"/>
      <c r="I52" s="209"/>
      <c r="J52" s="209"/>
      <c r="K52" s="209"/>
      <c r="L52" s="207"/>
      <c r="M52" s="207"/>
      <c r="N52" s="207"/>
      <c r="O52" s="207"/>
      <c r="P52" s="209"/>
      <c r="Q52" s="207"/>
      <c r="R52" s="207"/>
      <c r="S52" s="207"/>
      <c r="T52" s="207"/>
      <c r="U52" s="209"/>
      <c r="V52" s="207"/>
      <c r="W52" s="207"/>
      <c r="X52" s="207"/>
      <c r="Y52" s="210"/>
      <c r="Z52" s="209"/>
      <c r="AA52" s="211"/>
      <c r="AB52" s="209"/>
      <c r="AC52" s="211"/>
      <c r="AD52" s="211"/>
      <c r="AE52" s="211"/>
      <c r="AF52" s="211"/>
      <c r="AG52" s="211"/>
    </row>
    <row r="53" spans="1:49" hidden="1">
      <c r="A53" s="180"/>
    </row>
    <row r="54" spans="1:49" hidden="1">
      <c r="A54" s="180"/>
      <c r="B54" s="229"/>
      <c r="C54" s="230"/>
      <c r="D54" s="230"/>
      <c r="E54" s="232"/>
      <c r="F54" s="232"/>
      <c r="G54" s="230"/>
      <c r="H54" s="232"/>
      <c r="I54" s="232"/>
      <c r="J54" s="232"/>
      <c r="K54" s="232"/>
      <c r="L54" s="230"/>
      <c r="M54" s="230"/>
      <c r="N54" s="230"/>
      <c r="O54" s="230"/>
      <c r="P54" s="232"/>
      <c r="Q54" s="230"/>
      <c r="R54" s="230"/>
      <c r="S54" s="230"/>
      <c r="T54" s="230"/>
      <c r="U54" s="232"/>
      <c r="V54" s="230"/>
      <c r="W54" s="230"/>
      <c r="X54" s="230"/>
      <c r="Y54" s="233"/>
      <c r="Z54" s="232"/>
      <c r="AA54" s="234"/>
      <c r="AB54" s="232"/>
      <c r="AC54" s="373"/>
      <c r="AD54" s="236"/>
      <c r="AE54" s="255"/>
      <c r="AF54" s="255"/>
      <c r="AG54" s="255"/>
    </row>
    <row r="55" spans="1:49" hidden="1">
      <c r="B55" s="180"/>
      <c r="E55" s="4"/>
      <c r="F55" s="4"/>
      <c r="G55" s="4"/>
      <c r="J55" s="4"/>
      <c r="K55" s="4"/>
      <c r="L55" s="4"/>
      <c r="O55" s="4"/>
      <c r="P55" s="4"/>
      <c r="T55" s="4"/>
      <c r="U55" s="4"/>
      <c r="Y55" s="4"/>
      <c r="Z55" s="4"/>
      <c r="AA55" s="4"/>
      <c r="AB55" s="4"/>
      <c r="AC55" s="4"/>
    </row>
    <row r="56" spans="1:49" hidden="1">
      <c r="A56" s="228"/>
      <c r="B56" s="1518" t="s">
        <v>18</v>
      </c>
      <c r="C56" s="1519">
        <v>45320</v>
      </c>
      <c r="D56" s="1519"/>
      <c r="E56" s="1519"/>
      <c r="F56" s="1519"/>
      <c r="G56" s="365"/>
      <c r="H56" s="1519">
        <v>45321</v>
      </c>
      <c r="I56" s="1519"/>
      <c r="J56" s="1519"/>
      <c r="K56" s="1519"/>
      <c r="L56" s="365"/>
      <c r="M56" s="1519">
        <v>45322</v>
      </c>
      <c r="N56" s="1519"/>
      <c r="O56" s="1519"/>
      <c r="P56" s="1519"/>
      <c r="Q56" s="365"/>
      <c r="R56" s="1519">
        <v>45323</v>
      </c>
      <c r="S56" s="1519"/>
      <c r="T56" s="1519"/>
      <c r="U56" s="1519"/>
      <c r="V56" s="365"/>
      <c r="W56" s="1519">
        <v>45324</v>
      </c>
      <c r="X56" s="1519"/>
      <c r="Y56" s="1519"/>
      <c r="Z56" s="1519"/>
      <c r="AA56" s="1517" t="s">
        <v>19</v>
      </c>
      <c r="AB56" s="1517" t="s">
        <v>20</v>
      </c>
      <c r="AC56" s="4"/>
      <c r="AD56" s="1519">
        <v>45325</v>
      </c>
      <c r="AE56" s="1519"/>
      <c r="AF56" s="1519"/>
      <c r="AG56" s="1517" t="s">
        <v>21</v>
      </c>
      <c r="AH56" s="373"/>
      <c r="AJ56" s="255"/>
      <c r="AK56" s="255"/>
      <c r="AL56" s="255"/>
      <c r="AM56" s="255"/>
      <c r="AN56" s="255"/>
      <c r="AO56" s="255"/>
      <c r="AP56" s="255"/>
      <c r="AQ56" s="255"/>
      <c r="AR56" s="255"/>
      <c r="AS56" s="255"/>
      <c r="AT56" s="255"/>
      <c r="AU56" s="255"/>
      <c r="AV56" s="255"/>
      <c r="AW56" s="255"/>
    </row>
    <row r="57" spans="1:49" hidden="1">
      <c r="A57" s="180"/>
      <c r="B57" s="1518"/>
      <c r="C57" s="21" t="s">
        <v>23</v>
      </c>
      <c r="D57" s="21" t="s">
        <v>24</v>
      </c>
      <c r="E57" s="205" t="s">
        <v>25</v>
      </c>
      <c r="F57" s="18" t="s">
        <v>14</v>
      </c>
      <c r="G57" s="4"/>
      <c r="H57" s="21" t="s">
        <v>23</v>
      </c>
      <c r="I57" s="21" t="s">
        <v>24</v>
      </c>
      <c r="J57" s="18" t="s">
        <v>25</v>
      </c>
      <c r="K57" s="18" t="s">
        <v>14</v>
      </c>
      <c r="L57" s="4"/>
      <c r="M57" s="21" t="s">
        <v>23</v>
      </c>
      <c r="N57" s="21" t="s">
        <v>24</v>
      </c>
      <c r="O57" s="18" t="s">
        <v>25</v>
      </c>
      <c r="P57" s="18" t="s">
        <v>14</v>
      </c>
      <c r="R57" s="484" t="s">
        <v>23</v>
      </c>
      <c r="S57" s="21" t="s">
        <v>24</v>
      </c>
      <c r="T57" s="18" t="s">
        <v>25</v>
      </c>
      <c r="U57" s="18" t="s">
        <v>14</v>
      </c>
      <c r="W57" s="484" t="s">
        <v>23</v>
      </c>
      <c r="X57" s="21" t="s">
        <v>24</v>
      </c>
      <c r="Y57" s="18" t="s">
        <v>25</v>
      </c>
      <c r="Z57" s="18" t="s">
        <v>14</v>
      </c>
      <c r="AA57" s="1517"/>
      <c r="AB57" s="1517"/>
      <c r="AC57" s="4"/>
      <c r="AD57" s="21" t="s">
        <v>23</v>
      </c>
      <c r="AE57" s="21" t="s">
        <v>24</v>
      </c>
      <c r="AF57" s="18" t="s">
        <v>25</v>
      </c>
      <c r="AG57" s="1517"/>
      <c r="AI57" s="180"/>
      <c r="AK57" s="180"/>
      <c r="AL57" s="180"/>
      <c r="AM57" s="180"/>
      <c r="AN57" s="180"/>
      <c r="AO57" s="180"/>
      <c r="AP57" s="180"/>
    </row>
    <row r="58" spans="1:49" hidden="1">
      <c r="A58" s="180"/>
      <c r="B58" s="171" t="s">
        <v>71</v>
      </c>
      <c r="C58" s="172">
        <v>0.36458333333333331</v>
      </c>
      <c r="D58" s="172">
        <v>0.25</v>
      </c>
      <c r="E58" s="173">
        <v>8</v>
      </c>
      <c r="F58" s="277"/>
      <c r="G58" s="4"/>
      <c r="H58" s="172">
        <v>0.35416666666666669</v>
      </c>
      <c r="I58" s="172">
        <v>0.25</v>
      </c>
      <c r="J58" s="173">
        <v>8</v>
      </c>
      <c r="K58" s="277"/>
      <c r="L58" s="4"/>
      <c r="M58" s="47">
        <v>0.36458333333333331</v>
      </c>
      <c r="N58" s="47">
        <v>0.25</v>
      </c>
      <c r="O58" s="173">
        <v>8</v>
      </c>
      <c r="P58" s="277"/>
      <c r="R58" s="47">
        <v>0.36458333333333331</v>
      </c>
      <c r="S58" s="47">
        <v>0.25</v>
      </c>
      <c r="T58" s="19">
        <v>8</v>
      </c>
      <c r="U58" s="277"/>
      <c r="W58" s="47">
        <v>0.36458333333333331</v>
      </c>
      <c r="X58" s="47">
        <v>0.25</v>
      </c>
      <c r="Y58" s="19">
        <v>8</v>
      </c>
      <c r="Z58" s="277"/>
      <c r="AA58" s="28">
        <f t="shared" ref="AA58:AA61" si="9">(E58+J58+O58+T58+Y58)</f>
        <v>40</v>
      </c>
      <c r="AB58" s="298">
        <f t="shared" ref="AB58:AB61" si="10">Z58+U58+P58+K58+F58</f>
        <v>0</v>
      </c>
      <c r="AC58" s="4"/>
      <c r="AD58" s="175"/>
      <c r="AE58" s="175"/>
      <c r="AF58" s="173"/>
      <c r="AG58" s="28">
        <f t="shared" ref="AG58:AG89" si="11">AF58</f>
        <v>0</v>
      </c>
      <c r="AK58" s="194" t="s">
        <v>84</v>
      </c>
      <c r="AL58" s="366"/>
      <c r="AM58" s="366"/>
      <c r="AN58" s="366"/>
      <c r="AO58" s="366"/>
      <c r="AP58" s="366"/>
    </row>
    <row r="59" spans="1:49" hidden="1">
      <c r="A59" s="367"/>
      <c r="B59" s="171" t="s">
        <v>72</v>
      </c>
      <c r="C59" s="172" t="s">
        <v>116</v>
      </c>
      <c r="D59" s="172">
        <v>0</v>
      </c>
      <c r="E59" s="173">
        <v>0</v>
      </c>
      <c r="F59" s="277"/>
      <c r="G59" s="4"/>
      <c r="H59" s="47">
        <v>0.375</v>
      </c>
      <c r="I59" s="172">
        <v>0.25</v>
      </c>
      <c r="J59" s="173">
        <v>8</v>
      </c>
      <c r="K59" s="277"/>
      <c r="L59" s="4"/>
      <c r="M59" s="172">
        <v>0.375</v>
      </c>
      <c r="N59" s="47">
        <v>0.25</v>
      </c>
      <c r="O59" s="173">
        <v>8</v>
      </c>
      <c r="P59" s="277"/>
      <c r="R59" s="47">
        <v>0.375</v>
      </c>
      <c r="S59" s="47">
        <v>0.25</v>
      </c>
      <c r="T59" s="19">
        <v>8</v>
      </c>
      <c r="U59" s="277"/>
      <c r="W59" s="47">
        <v>0.375</v>
      </c>
      <c r="X59" s="47">
        <v>0.25</v>
      </c>
      <c r="Y59" s="19">
        <v>8</v>
      </c>
      <c r="Z59" s="277"/>
      <c r="AA59" s="28">
        <f t="shared" si="9"/>
        <v>32</v>
      </c>
      <c r="AB59" s="298">
        <f t="shared" si="10"/>
        <v>0</v>
      </c>
      <c r="AC59" s="4"/>
      <c r="AD59" s="175"/>
      <c r="AE59" s="175"/>
      <c r="AF59" s="173"/>
      <c r="AG59" s="28">
        <f t="shared" si="11"/>
        <v>0</v>
      </c>
      <c r="AH59" s="175"/>
      <c r="AI59" s="368"/>
      <c r="AJ59" s="367"/>
      <c r="AK59" s="188" t="s">
        <v>26</v>
      </c>
      <c r="AL59" s="196">
        <f>AA92</f>
        <v>1108.75</v>
      </c>
      <c r="AM59" s="510">
        <v>38</v>
      </c>
      <c r="AN59" s="510">
        <f t="shared" ref="AN59:AN65" si="12">AL59*AM59</f>
        <v>42132.5</v>
      </c>
      <c r="AQ59" s="367"/>
      <c r="AR59" s="367"/>
      <c r="AS59" s="367"/>
      <c r="AT59" s="367"/>
      <c r="AU59" s="367"/>
      <c r="AV59" s="367"/>
      <c r="AW59" s="367"/>
    </row>
    <row r="60" spans="1:49" hidden="1">
      <c r="A60" s="367"/>
      <c r="B60" s="171" t="s">
        <v>91</v>
      </c>
      <c r="C60" s="172">
        <v>0.375</v>
      </c>
      <c r="D60" s="172">
        <v>0.25</v>
      </c>
      <c r="E60" s="19">
        <v>8</v>
      </c>
      <c r="F60" s="277"/>
      <c r="G60" s="399"/>
      <c r="H60" s="47">
        <v>0.375</v>
      </c>
      <c r="I60" s="172">
        <v>0.25</v>
      </c>
      <c r="J60" s="19">
        <v>8</v>
      </c>
      <c r="K60" s="277"/>
      <c r="L60" s="399"/>
      <c r="M60" s="47">
        <v>0.375</v>
      </c>
      <c r="N60" s="47">
        <v>0.25</v>
      </c>
      <c r="O60" s="319">
        <v>8</v>
      </c>
      <c r="P60" s="277"/>
      <c r="Q60" s="399"/>
      <c r="R60" s="47">
        <v>0.375</v>
      </c>
      <c r="S60" s="47">
        <v>0.25</v>
      </c>
      <c r="T60" s="19">
        <v>8</v>
      </c>
      <c r="U60" s="277"/>
      <c r="V60" s="399"/>
      <c r="W60" s="47">
        <v>0.36458333333333331</v>
      </c>
      <c r="X60" s="47" t="s">
        <v>114</v>
      </c>
      <c r="Y60" s="19">
        <v>8</v>
      </c>
      <c r="Z60" s="277"/>
      <c r="AA60" s="29">
        <f t="shared" si="9"/>
        <v>40</v>
      </c>
      <c r="AB60" s="298">
        <f t="shared" si="10"/>
        <v>0</v>
      </c>
      <c r="AC60" s="399"/>
      <c r="AD60" s="345"/>
      <c r="AE60" s="345"/>
      <c r="AF60" s="346"/>
      <c r="AG60" s="29">
        <f t="shared" si="11"/>
        <v>0</v>
      </c>
      <c r="AH60" s="175"/>
      <c r="AI60" s="368"/>
      <c r="AJ60" s="367"/>
      <c r="AK60" s="188" t="s">
        <v>30</v>
      </c>
      <c r="AL60" s="196">
        <f>AB92</f>
        <v>0</v>
      </c>
      <c r="AM60" s="511">
        <v>57</v>
      </c>
      <c r="AN60" s="510">
        <f t="shared" si="12"/>
        <v>0</v>
      </c>
      <c r="AQ60" s="367"/>
      <c r="AR60" s="367"/>
      <c r="AS60" s="367"/>
      <c r="AT60" s="367"/>
      <c r="AU60" s="367"/>
      <c r="AV60" s="367"/>
      <c r="AW60" s="367"/>
    </row>
    <row r="61" spans="1:49" hidden="1">
      <c r="A61" s="367"/>
      <c r="B61" s="171" t="s">
        <v>52</v>
      </c>
      <c r="C61" s="172">
        <v>0.35416666666666669</v>
      </c>
      <c r="D61" s="172">
        <v>0.25</v>
      </c>
      <c r="E61" s="319">
        <v>8</v>
      </c>
      <c r="F61" s="277"/>
      <c r="G61" s="175"/>
      <c r="H61" s="47">
        <v>0.35416666666666669</v>
      </c>
      <c r="I61" s="172">
        <v>0.25</v>
      </c>
      <c r="J61" s="319">
        <v>8</v>
      </c>
      <c r="K61" s="277"/>
      <c r="L61" s="175"/>
      <c r="M61" s="47">
        <v>0.36458333333333331</v>
      </c>
      <c r="N61" s="47">
        <v>0.25</v>
      </c>
      <c r="O61" s="319">
        <v>8</v>
      </c>
      <c r="P61" s="277"/>
      <c r="Q61" s="175"/>
      <c r="R61" s="47">
        <v>0.35416666666666669</v>
      </c>
      <c r="S61" s="47">
        <v>0.25</v>
      </c>
      <c r="T61" s="19">
        <v>8</v>
      </c>
      <c r="U61" s="277"/>
      <c r="V61" s="175"/>
      <c r="W61" s="47">
        <v>0.36458333333333331</v>
      </c>
      <c r="X61" s="47">
        <v>0.25</v>
      </c>
      <c r="Y61" s="19">
        <v>8</v>
      </c>
      <c r="Z61" s="277"/>
      <c r="AA61" s="344">
        <f t="shared" si="9"/>
        <v>40</v>
      </c>
      <c r="AB61" s="298">
        <f t="shared" si="10"/>
        <v>0</v>
      </c>
      <c r="AC61" s="175"/>
      <c r="AD61" s="345"/>
      <c r="AE61" s="345"/>
      <c r="AF61" s="346"/>
      <c r="AG61" s="344">
        <f t="shared" si="11"/>
        <v>0</v>
      </c>
      <c r="AH61" s="175"/>
      <c r="AI61" s="368"/>
      <c r="AJ61" s="367"/>
      <c r="AK61" s="188" t="s">
        <v>32</v>
      </c>
      <c r="AL61" s="196">
        <f>AG92</f>
        <v>0</v>
      </c>
      <c r="AM61" s="510">
        <v>57</v>
      </c>
      <c r="AN61" s="510">
        <f t="shared" si="12"/>
        <v>0</v>
      </c>
      <c r="AQ61" s="367"/>
      <c r="AR61" s="367"/>
      <c r="AS61" s="367"/>
      <c r="AT61" s="367"/>
      <c r="AU61" s="367"/>
      <c r="AV61" s="367"/>
      <c r="AW61" s="367"/>
    </row>
    <row r="62" spans="1:49" hidden="1">
      <c r="A62" s="180"/>
      <c r="B62" s="171" t="s">
        <v>53</v>
      </c>
      <c r="C62" s="172">
        <v>0</v>
      </c>
      <c r="D62" s="172">
        <v>0</v>
      </c>
      <c r="E62" s="19">
        <v>0</v>
      </c>
      <c r="F62" s="277"/>
      <c r="G62" s="4"/>
      <c r="H62" s="47">
        <v>0.29166666666666669</v>
      </c>
      <c r="I62" s="172">
        <v>0.25</v>
      </c>
      <c r="J62" s="319">
        <v>8</v>
      </c>
      <c r="K62" s="277"/>
      <c r="L62" s="4"/>
      <c r="M62" s="47">
        <v>0.35416666666666669</v>
      </c>
      <c r="N62" s="47">
        <v>0.25</v>
      </c>
      <c r="O62" s="319">
        <v>8</v>
      </c>
      <c r="P62" s="277"/>
      <c r="R62" s="47">
        <v>0.36458333333333331</v>
      </c>
      <c r="S62" s="47">
        <v>0.25</v>
      </c>
      <c r="T62" s="19">
        <v>8</v>
      </c>
      <c r="U62" s="277"/>
      <c r="W62" s="47">
        <v>0.34375</v>
      </c>
      <c r="X62" s="47">
        <v>0.25</v>
      </c>
      <c r="Y62" s="19">
        <v>8</v>
      </c>
      <c r="Z62" s="277"/>
      <c r="AA62" s="344">
        <f>(E62+J62+O62+T62+Y62)</f>
        <v>32</v>
      </c>
      <c r="AB62" s="298">
        <f>Z62+U62+P62+K62+F62</f>
        <v>0</v>
      </c>
      <c r="AC62" s="4"/>
      <c r="AD62" s="345"/>
      <c r="AE62" s="345"/>
      <c r="AF62" s="346"/>
      <c r="AG62" s="29">
        <f t="shared" si="11"/>
        <v>0</v>
      </c>
      <c r="AJ62" s="401"/>
      <c r="AK62" s="403" t="s">
        <v>34</v>
      </c>
      <c r="AL62" s="404">
        <f>AA93</f>
        <v>40</v>
      </c>
      <c r="AM62" s="510">
        <v>50</v>
      </c>
      <c r="AN62" s="510">
        <f t="shared" si="12"/>
        <v>2000</v>
      </c>
      <c r="AO62" s="405"/>
      <c r="AP62" s="405"/>
      <c r="AQ62" s="401"/>
      <c r="AR62" s="401"/>
      <c r="AS62" s="401"/>
      <c r="AT62" s="401"/>
      <c r="AU62" s="401"/>
      <c r="AV62" s="401"/>
      <c r="AW62" s="401"/>
    </row>
    <row r="63" spans="1:49" hidden="1">
      <c r="A63" s="367"/>
      <c r="B63" s="418" t="s">
        <v>109</v>
      </c>
      <c r="C63" s="172">
        <v>0.375</v>
      </c>
      <c r="D63" s="172">
        <v>0.25</v>
      </c>
      <c r="E63" s="19">
        <v>8</v>
      </c>
      <c r="F63" s="277"/>
      <c r="G63" s="4"/>
      <c r="H63" s="47">
        <v>0.375</v>
      </c>
      <c r="I63" s="172">
        <v>0.25</v>
      </c>
      <c r="J63" s="319">
        <v>8</v>
      </c>
      <c r="K63" s="277"/>
      <c r="L63" s="4"/>
      <c r="M63" s="47">
        <v>0.375</v>
      </c>
      <c r="N63" s="47">
        <v>0.25</v>
      </c>
      <c r="O63" s="319">
        <v>8</v>
      </c>
      <c r="P63" s="277"/>
      <c r="R63" s="47" t="s">
        <v>114</v>
      </c>
      <c r="S63" s="47">
        <v>0.25</v>
      </c>
      <c r="T63" s="19">
        <v>8</v>
      </c>
      <c r="U63" s="277"/>
      <c r="W63" s="47">
        <v>0.375</v>
      </c>
      <c r="X63" s="47">
        <v>0.25</v>
      </c>
      <c r="Y63" s="19">
        <v>8</v>
      </c>
      <c r="Z63" s="277"/>
      <c r="AA63" s="29">
        <f t="shared" ref="AA63:AA71" si="13">(E62+J63+O63+T63+Y63)</f>
        <v>32</v>
      </c>
      <c r="AB63" s="298">
        <f t="shared" ref="AB63:AB71" si="14">Z63+U63+P63+K63+F62</f>
        <v>0</v>
      </c>
      <c r="AC63" s="4"/>
      <c r="AD63" s="345"/>
      <c r="AE63" s="345"/>
      <c r="AF63" s="346"/>
      <c r="AG63" s="29">
        <f t="shared" si="11"/>
        <v>0</v>
      </c>
      <c r="AH63" s="175"/>
      <c r="AI63" s="368"/>
      <c r="AK63" s="188" t="s">
        <v>36</v>
      </c>
      <c r="AL63" s="196">
        <f>AB93</f>
        <v>0.25</v>
      </c>
      <c r="AM63" s="510">
        <v>75</v>
      </c>
      <c r="AN63" s="510">
        <f t="shared" si="12"/>
        <v>18.75</v>
      </c>
    </row>
    <row r="64" spans="1:49" hidden="1">
      <c r="A64" s="180"/>
      <c r="B64" s="418" t="s">
        <v>93</v>
      </c>
      <c r="C64" s="172">
        <v>0.35416666666666669</v>
      </c>
      <c r="D64" s="172">
        <v>0.25</v>
      </c>
      <c r="E64" s="19">
        <v>8</v>
      </c>
      <c r="F64" s="277"/>
      <c r="G64" s="4"/>
      <c r="H64" s="47">
        <v>0.35416666666666669</v>
      </c>
      <c r="I64" s="172">
        <v>0.25</v>
      </c>
      <c r="J64" s="319">
        <v>8</v>
      </c>
      <c r="K64" s="277"/>
      <c r="L64" s="4"/>
      <c r="M64" s="47">
        <v>0.36458333333333331</v>
      </c>
      <c r="N64" s="47">
        <v>0.25</v>
      </c>
      <c r="O64" s="319">
        <v>8</v>
      </c>
      <c r="P64" s="277"/>
      <c r="R64" s="47">
        <v>0.34375</v>
      </c>
      <c r="S64" s="47">
        <v>0.25</v>
      </c>
      <c r="T64" s="19">
        <v>8</v>
      </c>
      <c r="U64" s="277"/>
      <c r="W64" s="47">
        <v>0.375</v>
      </c>
      <c r="X64" s="47">
        <v>0.25</v>
      </c>
      <c r="Y64" s="19">
        <v>8</v>
      </c>
      <c r="Z64" s="277"/>
      <c r="AA64" s="29">
        <f t="shared" si="13"/>
        <v>40</v>
      </c>
      <c r="AB64" s="298">
        <f t="shared" si="14"/>
        <v>0</v>
      </c>
      <c r="AC64" s="4"/>
      <c r="AD64" s="345"/>
      <c r="AE64" s="345"/>
      <c r="AF64" s="346"/>
      <c r="AG64" s="29">
        <f t="shared" si="11"/>
        <v>0</v>
      </c>
      <c r="AJ64" s="367"/>
      <c r="AK64" s="188" t="s">
        <v>38</v>
      </c>
      <c r="AL64" s="196">
        <f>AG93</f>
        <v>0</v>
      </c>
      <c r="AM64" s="510">
        <v>75</v>
      </c>
      <c r="AN64" s="510">
        <f t="shared" si="12"/>
        <v>0</v>
      </c>
      <c r="AQ64" s="367"/>
      <c r="AR64" s="367"/>
      <c r="AS64" s="367"/>
      <c r="AT64" s="367"/>
      <c r="AU64" s="367"/>
      <c r="AV64" s="367"/>
      <c r="AW64" s="367"/>
    </row>
    <row r="65" spans="1:42" ht="14.25" hidden="1" thickBot="1">
      <c r="A65" s="180"/>
      <c r="B65" s="418" t="s">
        <v>97</v>
      </c>
      <c r="C65" s="172">
        <v>0.375</v>
      </c>
      <c r="D65" s="172">
        <v>0.25</v>
      </c>
      <c r="E65" s="19">
        <v>8</v>
      </c>
      <c r="F65" s="277"/>
      <c r="G65" s="4"/>
      <c r="H65" s="47">
        <v>0.36458333333333331</v>
      </c>
      <c r="I65" s="172">
        <v>0.25</v>
      </c>
      <c r="J65" s="319">
        <v>8</v>
      </c>
      <c r="K65" s="277"/>
      <c r="L65" s="4"/>
      <c r="M65" s="47">
        <v>0.36458333333333331</v>
      </c>
      <c r="N65" s="47">
        <v>0.25</v>
      </c>
      <c r="O65" s="319">
        <v>8</v>
      </c>
      <c r="P65" s="277"/>
      <c r="R65" s="47">
        <v>0.375</v>
      </c>
      <c r="S65" s="47">
        <v>0.25</v>
      </c>
      <c r="T65" s="19">
        <v>8</v>
      </c>
      <c r="U65" s="277"/>
      <c r="W65" s="47">
        <v>0</v>
      </c>
      <c r="X65" s="47">
        <v>0</v>
      </c>
      <c r="Y65" s="19">
        <v>0</v>
      </c>
      <c r="Z65" s="277"/>
      <c r="AA65" s="29">
        <f t="shared" si="13"/>
        <v>32</v>
      </c>
      <c r="AB65" s="298">
        <f t="shared" si="14"/>
        <v>0</v>
      </c>
      <c r="AC65" s="4"/>
      <c r="AD65" s="345"/>
      <c r="AE65" s="345"/>
      <c r="AF65" s="346"/>
      <c r="AG65" s="29">
        <f t="shared" si="11"/>
        <v>0</v>
      </c>
      <c r="AK65" s="188" t="s">
        <v>41</v>
      </c>
      <c r="AL65" s="196">
        <f>C96</f>
        <v>81</v>
      </c>
      <c r="AM65" s="512">
        <v>45</v>
      </c>
      <c r="AN65" s="512">
        <f t="shared" si="12"/>
        <v>3645</v>
      </c>
      <c r="AO65" s="369"/>
      <c r="AP65" s="369"/>
    </row>
    <row r="66" spans="1:42" ht="14.25" hidden="1" thickTop="1">
      <c r="A66" s="180"/>
      <c r="B66" s="418" t="s">
        <v>35</v>
      </c>
      <c r="C66" s="172">
        <v>0.375</v>
      </c>
      <c r="D66" s="172">
        <v>0.25</v>
      </c>
      <c r="E66" s="19">
        <v>8</v>
      </c>
      <c r="F66" s="277"/>
      <c r="G66" s="4"/>
      <c r="H66" s="47">
        <v>0.39583333333333331</v>
      </c>
      <c r="I66" s="172">
        <v>0.25</v>
      </c>
      <c r="J66" s="319">
        <v>7.5</v>
      </c>
      <c r="K66" s="277"/>
      <c r="L66" s="4"/>
      <c r="M66" s="47">
        <v>0.38541666666666669</v>
      </c>
      <c r="N66" s="47">
        <v>0.25</v>
      </c>
      <c r="O66" s="319">
        <v>7.75</v>
      </c>
      <c r="P66" s="277"/>
      <c r="R66" s="47">
        <v>0.39583333333333331</v>
      </c>
      <c r="S66" s="47">
        <v>0.25</v>
      </c>
      <c r="T66" s="19">
        <v>7.5</v>
      </c>
      <c r="U66" s="277"/>
      <c r="W66" s="47">
        <v>0.33333333333333331</v>
      </c>
      <c r="X66" s="47">
        <v>0.25</v>
      </c>
      <c r="Y66" s="19">
        <v>8</v>
      </c>
      <c r="Z66" s="277"/>
      <c r="AA66" s="29">
        <f t="shared" si="13"/>
        <v>38.75</v>
      </c>
      <c r="AB66" s="298">
        <f t="shared" si="14"/>
        <v>0</v>
      </c>
      <c r="AC66" s="4"/>
      <c r="AD66" s="345"/>
      <c r="AE66" s="345"/>
      <c r="AF66" s="346"/>
      <c r="AG66" s="29">
        <f t="shared" si="11"/>
        <v>0</v>
      </c>
      <c r="AN66" s="510">
        <f>SUM(AN59:AN65)</f>
        <v>47796.25</v>
      </c>
    </row>
    <row r="67" spans="1:42" hidden="1">
      <c r="A67" s="180"/>
      <c r="B67" s="418" t="s">
        <v>115</v>
      </c>
      <c r="C67" s="172">
        <v>0.36458333333333331</v>
      </c>
      <c r="D67" s="172">
        <v>0.25</v>
      </c>
      <c r="E67" s="19">
        <v>8</v>
      </c>
      <c r="F67" s="277"/>
      <c r="G67" s="4"/>
      <c r="H67" s="47">
        <v>0.36458333333333331</v>
      </c>
      <c r="I67" s="172">
        <v>0.25</v>
      </c>
      <c r="J67" s="319">
        <v>8</v>
      </c>
      <c r="K67" s="277"/>
      <c r="L67" s="4"/>
      <c r="M67" s="47">
        <v>0.36458333333333331</v>
      </c>
      <c r="N67" s="47">
        <v>0.25</v>
      </c>
      <c r="O67" s="319">
        <v>8</v>
      </c>
      <c r="P67" s="277"/>
      <c r="R67" s="47">
        <v>0.375</v>
      </c>
      <c r="S67" s="47">
        <v>0.25</v>
      </c>
      <c r="T67" s="19">
        <v>8</v>
      </c>
      <c r="U67" s="277"/>
      <c r="W67" s="47">
        <v>0.36458333333333331</v>
      </c>
      <c r="X67" s="47" t="s">
        <v>114</v>
      </c>
      <c r="Y67" s="19">
        <v>8</v>
      </c>
      <c r="Z67" s="277"/>
      <c r="AA67" s="29">
        <f t="shared" si="13"/>
        <v>40</v>
      </c>
      <c r="AB67" s="298">
        <f t="shared" si="14"/>
        <v>0</v>
      </c>
      <c r="AC67" s="4"/>
      <c r="AD67" s="345"/>
      <c r="AE67" s="345"/>
      <c r="AF67" s="346"/>
      <c r="AG67" s="29">
        <f t="shared" si="11"/>
        <v>0</v>
      </c>
    </row>
    <row r="68" spans="1:42" hidden="1">
      <c r="A68" s="180"/>
      <c r="B68" s="418" t="s">
        <v>46</v>
      </c>
      <c r="C68" s="172">
        <v>0.34375</v>
      </c>
      <c r="D68" s="172">
        <v>0.25</v>
      </c>
      <c r="E68" s="19">
        <v>8</v>
      </c>
      <c r="F68" s="277"/>
      <c r="G68" s="4"/>
      <c r="H68" s="47">
        <v>0.34375</v>
      </c>
      <c r="I68" s="172">
        <v>0.25</v>
      </c>
      <c r="J68" s="19">
        <v>8</v>
      </c>
      <c r="K68" s="277"/>
      <c r="L68" s="4"/>
      <c r="M68" s="47">
        <v>0.34375</v>
      </c>
      <c r="N68" s="47">
        <v>0.25</v>
      </c>
      <c r="O68" s="319">
        <v>8</v>
      </c>
      <c r="P68" s="277"/>
      <c r="R68" s="47">
        <v>0.35416666666666669</v>
      </c>
      <c r="S68" s="47">
        <v>0.25</v>
      </c>
      <c r="T68" s="19">
        <v>8</v>
      </c>
      <c r="U68" s="277"/>
      <c r="W68" s="47">
        <v>0.35416666666666669</v>
      </c>
      <c r="X68" s="47">
        <v>0.25</v>
      </c>
      <c r="Y68" s="19">
        <v>8</v>
      </c>
      <c r="Z68" s="277"/>
      <c r="AA68" s="29">
        <f t="shared" si="13"/>
        <v>40</v>
      </c>
      <c r="AB68" s="298">
        <f t="shared" si="14"/>
        <v>0</v>
      </c>
      <c r="AC68" s="4"/>
      <c r="AD68" s="345"/>
      <c r="AE68" s="345"/>
      <c r="AF68" s="346"/>
      <c r="AG68" s="29">
        <f t="shared" si="11"/>
        <v>0</v>
      </c>
    </row>
    <row r="69" spans="1:42" hidden="1">
      <c r="A69" s="180"/>
      <c r="B69" s="418" t="s">
        <v>50</v>
      </c>
      <c r="C69" s="172">
        <v>0.375</v>
      </c>
      <c r="D69" s="172">
        <v>0.25</v>
      </c>
      <c r="E69" s="19">
        <v>8</v>
      </c>
      <c r="F69" s="277"/>
      <c r="G69" s="4"/>
      <c r="H69" s="47">
        <v>0.375</v>
      </c>
      <c r="I69" s="172">
        <v>0.25</v>
      </c>
      <c r="J69" s="319">
        <v>8</v>
      </c>
      <c r="K69" s="277"/>
      <c r="L69" s="4"/>
      <c r="M69" s="47">
        <v>0.375</v>
      </c>
      <c r="N69" s="47">
        <v>0.25</v>
      </c>
      <c r="O69" s="319">
        <v>8</v>
      </c>
      <c r="P69" s="277"/>
      <c r="R69" s="47" t="s">
        <v>114</v>
      </c>
      <c r="S69" s="47">
        <v>0.25</v>
      </c>
      <c r="T69" s="19">
        <v>8</v>
      </c>
      <c r="U69" s="277"/>
      <c r="W69" s="47">
        <v>0.375</v>
      </c>
      <c r="X69" s="47">
        <v>0.25</v>
      </c>
      <c r="Y69" s="19">
        <v>8</v>
      </c>
      <c r="Z69" s="277"/>
      <c r="AA69" s="29">
        <f t="shared" si="13"/>
        <v>40</v>
      </c>
      <c r="AB69" s="298">
        <f t="shared" si="14"/>
        <v>0</v>
      </c>
      <c r="AC69" s="4"/>
      <c r="AD69" s="345"/>
      <c r="AE69" s="345"/>
      <c r="AF69" s="346"/>
      <c r="AG69" s="29">
        <f t="shared" si="11"/>
        <v>0</v>
      </c>
    </row>
    <row r="70" spans="1:42" hidden="1">
      <c r="A70" s="180"/>
      <c r="B70" s="419" t="s">
        <v>43</v>
      </c>
      <c r="C70" s="172">
        <v>0.34375</v>
      </c>
      <c r="D70" s="172">
        <v>0.25</v>
      </c>
      <c r="E70" s="19">
        <v>8</v>
      </c>
      <c r="F70" s="277"/>
      <c r="G70" s="4"/>
      <c r="H70" s="47">
        <v>0.33333333333333331</v>
      </c>
      <c r="I70" s="172">
        <v>0.25</v>
      </c>
      <c r="J70" s="19">
        <v>8</v>
      </c>
      <c r="K70" s="277"/>
      <c r="L70" s="4"/>
      <c r="M70" s="47">
        <v>0.34375</v>
      </c>
      <c r="N70" s="47">
        <v>0.25</v>
      </c>
      <c r="O70" s="319">
        <v>8</v>
      </c>
      <c r="P70" s="277"/>
      <c r="R70" s="47" t="s">
        <v>114</v>
      </c>
      <c r="S70" s="47">
        <v>0.25</v>
      </c>
      <c r="T70" s="19">
        <v>8</v>
      </c>
      <c r="U70" s="277"/>
      <c r="W70" s="47">
        <v>0.34375</v>
      </c>
      <c r="X70" s="47">
        <v>0.25</v>
      </c>
      <c r="Y70" s="19">
        <v>8</v>
      </c>
      <c r="Z70" s="277"/>
      <c r="AA70" s="29">
        <f t="shared" si="13"/>
        <v>40</v>
      </c>
      <c r="AB70" s="298">
        <f t="shared" si="14"/>
        <v>0</v>
      </c>
      <c r="AC70" s="4"/>
      <c r="AD70" s="345"/>
      <c r="AE70" s="345"/>
      <c r="AF70" s="346"/>
      <c r="AG70" s="29">
        <f t="shared" si="11"/>
        <v>0</v>
      </c>
    </row>
    <row r="71" spans="1:42" hidden="1">
      <c r="A71" s="180"/>
      <c r="B71" s="419" t="s">
        <v>113</v>
      </c>
      <c r="C71" s="172">
        <v>0.375</v>
      </c>
      <c r="D71" s="172">
        <v>0.25</v>
      </c>
      <c r="E71" s="19">
        <v>8</v>
      </c>
      <c r="F71" s="277"/>
      <c r="G71" s="4"/>
      <c r="H71" s="47">
        <v>0.38541666666666669</v>
      </c>
      <c r="I71" s="172">
        <v>0.25</v>
      </c>
      <c r="J71" s="19">
        <v>7.75</v>
      </c>
      <c r="K71" s="277"/>
      <c r="L71" s="4"/>
      <c r="M71" s="47">
        <v>0.375</v>
      </c>
      <c r="N71" s="47">
        <v>0.25</v>
      </c>
      <c r="O71" s="319">
        <v>8</v>
      </c>
      <c r="P71" s="277"/>
      <c r="R71" s="47">
        <v>0.38541666666666669</v>
      </c>
      <c r="S71" s="47">
        <v>0.25</v>
      </c>
      <c r="T71" s="19">
        <v>7.75</v>
      </c>
      <c r="U71" s="277"/>
      <c r="W71" s="47">
        <v>0.375</v>
      </c>
      <c r="X71" s="47">
        <v>0.25</v>
      </c>
      <c r="Y71" s="19">
        <v>8</v>
      </c>
      <c r="Z71" s="277"/>
      <c r="AA71" s="29">
        <f t="shared" si="13"/>
        <v>39.5</v>
      </c>
      <c r="AB71" s="298">
        <f t="shared" si="14"/>
        <v>0</v>
      </c>
      <c r="AC71" s="4"/>
      <c r="AD71" s="345"/>
      <c r="AE71" s="345"/>
      <c r="AF71" s="346"/>
      <c r="AG71" s="29">
        <f t="shared" si="11"/>
        <v>0</v>
      </c>
    </row>
    <row r="72" spans="1:42" hidden="1">
      <c r="A72" s="180"/>
      <c r="B72" s="418" t="s">
        <v>108</v>
      </c>
      <c r="C72" s="172">
        <v>0.375</v>
      </c>
      <c r="D72" s="172">
        <v>0.25</v>
      </c>
      <c r="E72" s="19">
        <v>8</v>
      </c>
      <c r="F72" s="277"/>
      <c r="G72" s="4"/>
      <c r="H72" s="47">
        <v>0.375</v>
      </c>
      <c r="I72" s="172">
        <v>0.25</v>
      </c>
      <c r="J72" s="19">
        <v>8</v>
      </c>
      <c r="K72" s="277"/>
      <c r="L72" s="4"/>
      <c r="M72" s="47" t="s">
        <v>116</v>
      </c>
      <c r="N72" s="47">
        <v>0</v>
      </c>
      <c r="O72" s="319">
        <v>0</v>
      </c>
      <c r="P72" s="277"/>
      <c r="R72" s="47">
        <v>0.375</v>
      </c>
      <c r="S72" s="47">
        <v>0.25</v>
      </c>
      <c r="T72" s="19">
        <v>8</v>
      </c>
      <c r="U72" s="277"/>
      <c r="W72" s="47">
        <v>0.375</v>
      </c>
      <c r="X72" s="47">
        <v>0.25</v>
      </c>
      <c r="Y72" s="19">
        <v>8</v>
      </c>
      <c r="Z72" s="277"/>
      <c r="AA72" s="29">
        <f t="shared" ref="AA72:AA88" si="15">(E72+J72+O72+T72+Y72)</f>
        <v>32</v>
      </c>
      <c r="AB72" s="298">
        <f t="shared" ref="AB72:AB91" si="16">Z72+U72+P72+K72+F72</f>
        <v>0</v>
      </c>
      <c r="AC72" s="4"/>
      <c r="AD72" s="345"/>
      <c r="AE72" s="345"/>
      <c r="AF72" s="346"/>
      <c r="AG72" s="29">
        <f t="shared" si="11"/>
        <v>0</v>
      </c>
    </row>
    <row r="73" spans="1:42" hidden="1">
      <c r="A73" s="180"/>
      <c r="B73" s="418" t="s">
        <v>44</v>
      </c>
      <c r="C73" s="172">
        <v>0.375</v>
      </c>
      <c r="D73" s="172">
        <v>0.25</v>
      </c>
      <c r="E73" s="19">
        <v>8</v>
      </c>
      <c r="F73" s="277"/>
      <c r="G73" s="4"/>
      <c r="H73" s="47">
        <v>0.375</v>
      </c>
      <c r="I73" s="172">
        <v>0.25</v>
      </c>
      <c r="J73" s="19">
        <v>8</v>
      </c>
      <c r="K73" s="277"/>
      <c r="L73" s="4"/>
      <c r="M73" s="47">
        <v>0.375</v>
      </c>
      <c r="N73" s="47">
        <v>0.25</v>
      </c>
      <c r="O73" s="319">
        <v>8</v>
      </c>
      <c r="P73" s="277"/>
      <c r="R73" s="47">
        <v>0.375</v>
      </c>
      <c r="S73" s="47">
        <v>0.25</v>
      </c>
      <c r="T73" s="19">
        <v>8</v>
      </c>
      <c r="U73" s="277"/>
      <c r="W73" s="47">
        <v>0.375</v>
      </c>
      <c r="X73" s="47">
        <v>0.25</v>
      </c>
      <c r="Y73" s="19">
        <v>8</v>
      </c>
      <c r="Z73" s="277"/>
      <c r="AA73" s="29">
        <f t="shared" si="15"/>
        <v>40</v>
      </c>
      <c r="AB73" s="298">
        <f t="shared" si="16"/>
        <v>0</v>
      </c>
      <c r="AC73" s="4"/>
      <c r="AD73" s="345"/>
      <c r="AE73" s="345"/>
      <c r="AF73" s="346"/>
      <c r="AG73" s="29">
        <f t="shared" si="11"/>
        <v>0</v>
      </c>
    </row>
    <row r="74" spans="1:42" hidden="1">
      <c r="A74" s="180"/>
      <c r="B74" s="418" t="s">
        <v>45</v>
      </c>
      <c r="C74" s="172">
        <v>0.38541666666666669</v>
      </c>
      <c r="D74" s="172">
        <v>0.25</v>
      </c>
      <c r="E74" s="19">
        <v>7.75</v>
      </c>
      <c r="F74" s="277"/>
      <c r="G74" s="4"/>
      <c r="H74" s="47">
        <v>0.41666666666666669</v>
      </c>
      <c r="I74" s="172">
        <v>0.25</v>
      </c>
      <c r="J74" s="19">
        <v>7</v>
      </c>
      <c r="K74" s="277"/>
      <c r="L74" s="4"/>
      <c r="M74" s="47">
        <v>0.375</v>
      </c>
      <c r="N74" s="47">
        <v>0.25</v>
      </c>
      <c r="O74" s="319">
        <v>8</v>
      </c>
      <c r="P74" s="277"/>
      <c r="R74" s="47">
        <v>0.38541666666666669</v>
      </c>
      <c r="S74" s="47">
        <v>0.25</v>
      </c>
      <c r="T74" s="19">
        <v>7.75</v>
      </c>
      <c r="U74" s="277"/>
      <c r="W74" s="47">
        <v>0.375</v>
      </c>
      <c r="X74" s="47">
        <v>0.25</v>
      </c>
      <c r="Y74" s="19">
        <v>8</v>
      </c>
      <c r="Z74" s="277"/>
      <c r="AA74" s="29">
        <f t="shared" si="15"/>
        <v>38.5</v>
      </c>
      <c r="AB74" s="298">
        <f t="shared" si="16"/>
        <v>0</v>
      </c>
      <c r="AC74" s="4"/>
      <c r="AD74" s="345"/>
      <c r="AE74" s="345"/>
      <c r="AF74" s="346"/>
      <c r="AG74" s="29">
        <f t="shared" si="11"/>
        <v>0</v>
      </c>
    </row>
    <row r="75" spans="1:42" hidden="1">
      <c r="A75" s="180"/>
      <c r="B75" s="418" t="s">
        <v>112</v>
      </c>
      <c r="C75" s="172">
        <v>0.375</v>
      </c>
      <c r="D75" s="172">
        <v>0.25</v>
      </c>
      <c r="E75" s="19">
        <v>8</v>
      </c>
      <c r="F75" s="277"/>
      <c r="G75" s="4"/>
      <c r="H75" s="47">
        <v>0.375</v>
      </c>
      <c r="I75" s="172">
        <v>0.25</v>
      </c>
      <c r="J75" s="19">
        <v>8</v>
      </c>
      <c r="K75" s="277"/>
      <c r="L75" s="4"/>
      <c r="M75" s="47">
        <v>0.375</v>
      </c>
      <c r="N75" s="47">
        <v>0.25</v>
      </c>
      <c r="O75" s="19">
        <v>8</v>
      </c>
      <c r="P75" s="277"/>
      <c r="R75" s="47">
        <v>0</v>
      </c>
      <c r="S75" s="47">
        <v>0</v>
      </c>
      <c r="T75" s="19">
        <v>0</v>
      </c>
      <c r="U75" s="277"/>
      <c r="W75" s="47">
        <v>0.375</v>
      </c>
      <c r="X75" s="47">
        <v>0.25</v>
      </c>
      <c r="Y75" s="19">
        <v>8</v>
      </c>
      <c r="Z75" s="277"/>
      <c r="AA75" s="29">
        <f t="shared" si="15"/>
        <v>32</v>
      </c>
      <c r="AB75" s="298">
        <f t="shared" si="16"/>
        <v>0</v>
      </c>
      <c r="AC75" s="4"/>
      <c r="AD75" s="410"/>
      <c r="AE75" s="4"/>
      <c r="AF75" s="19"/>
      <c r="AG75" s="29">
        <f t="shared" si="11"/>
        <v>0</v>
      </c>
    </row>
    <row r="76" spans="1:42" hidden="1">
      <c r="A76" s="180"/>
      <c r="B76" s="418" t="s">
        <v>96</v>
      </c>
      <c r="C76" s="172">
        <v>0.36458333333333331</v>
      </c>
      <c r="D76" s="172">
        <v>0.25</v>
      </c>
      <c r="E76" s="19">
        <v>8</v>
      </c>
      <c r="F76" s="277"/>
      <c r="G76" s="4"/>
      <c r="H76" s="47">
        <v>0.32291666666666669</v>
      </c>
      <c r="I76" s="172">
        <v>0.25</v>
      </c>
      <c r="J76" s="19">
        <v>8</v>
      </c>
      <c r="K76" s="277"/>
      <c r="L76" s="4"/>
      <c r="M76" s="47">
        <v>0.36458333333333331</v>
      </c>
      <c r="N76" s="47">
        <v>0.25</v>
      </c>
      <c r="O76" s="19">
        <v>8</v>
      </c>
      <c r="P76" s="277"/>
      <c r="R76" s="47">
        <v>0.34375</v>
      </c>
      <c r="S76" s="47">
        <v>0.25</v>
      </c>
      <c r="T76" s="19">
        <v>8</v>
      </c>
      <c r="U76" s="277"/>
      <c r="W76" s="47">
        <v>0.35416666666666669</v>
      </c>
      <c r="X76" s="47">
        <v>0.25</v>
      </c>
      <c r="Y76" s="19">
        <v>8</v>
      </c>
      <c r="Z76" s="277"/>
      <c r="AA76" s="29">
        <f t="shared" si="15"/>
        <v>40</v>
      </c>
      <c r="AB76" s="298">
        <f t="shared" si="16"/>
        <v>0</v>
      </c>
      <c r="AC76" s="4"/>
      <c r="AD76" s="4"/>
      <c r="AE76" s="4"/>
      <c r="AF76" s="19"/>
      <c r="AG76" s="29">
        <f t="shared" si="11"/>
        <v>0</v>
      </c>
    </row>
    <row r="77" spans="1:42" hidden="1">
      <c r="A77" s="180"/>
      <c r="B77" s="418" t="s">
        <v>42</v>
      </c>
      <c r="C77" s="172">
        <v>0.375</v>
      </c>
      <c r="D77" s="172">
        <v>0.25</v>
      </c>
      <c r="E77" s="19">
        <v>8</v>
      </c>
      <c r="F77" s="277"/>
      <c r="G77" s="4"/>
      <c r="H77" s="47">
        <v>0.375</v>
      </c>
      <c r="I77" s="172">
        <v>0.25</v>
      </c>
      <c r="J77" s="19">
        <v>8</v>
      </c>
      <c r="K77" s="277"/>
      <c r="L77" s="4"/>
      <c r="M77" s="47">
        <v>0.35416666666666669</v>
      </c>
      <c r="N77" s="47">
        <v>0.25</v>
      </c>
      <c r="O77" s="19">
        <v>8</v>
      </c>
      <c r="P77" s="277"/>
      <c r="R77" s="47" t="s">
        <v>114</v>
      </c>
      <c r="S77" s="47">
        <v>0.25</v>
      </c>
      <c r="T77" s="19">
        <v>8</v>
      </c>
      <c r="U77" s="277"/>
      <c r="W77" s="47">
        <v>0.34375</v>
      </c>
      <c r="X77" s="47">
        <v>0.25</v>
      </c>
      <c r="Y77" s="19">
        <v>8</v>
      </c>
      <c r="Z77" s="277"/>
      <c r="AA77" s="29">
        <f t="shared" si="15"/>
        <v>40</v>
      </c>
      <c r="AB77" s="298">
        <f t="shared" si="16"/>
        <v>0</v>
      </c>
      <c r="AC77" s="4"/>
      <c r="AD77" s="4"/>
      <c r="AE77" s="4"/>
      <c r="AF77" s="19"/>
      <c r="AG77" s="29">
        <f t="shared" si="11"/>
        <v>0</v>
      </c>
    </row>
    <row r="78" spans="1:42" hidden="1">
      <c r="A78" s="180"/>
      <c r="B78" s="418" t="s">
        <v>232</v>
      </c>
      <c r="C78" s="172" t="s">
        <v>29</v>
      </c>
      <c r="D78" s="172" t="s">
        <v>29</v>
      </c>
      <c r="E78" s="19"/>
      <c r="F78" s="277"/>
      <c r="G78" s="4"/>
      <c r="H78" s="172" t="s">
        <v>29</v>
      </c>
      <c r="I78" s="172" t="s">
        <v>29</v>
      </c>
      <c r="J78" s="19"/>
      <c r="K78" s="277"/>
      <c r="L78" s="4"/>
      <c r="M78" s="47">
        <v>0.36458333333333331</v>
      </c>
      <c r="N78" s="47">
        <v>0.25</v>
      </c>
      <c r="O78" s="19">
        <v>8</v>
      </c>
      <c r="P78" s="277"/>
      <c r="R78" s="47">
        <v>0.375</v>
      </c>
      <c r="S78" s="47">
        <v>0.25</v>
      </c>
      <c r="T78" s="19">
        <v>8</v>
      </c>
      <c r="U78" s="277"/>
      <c r="W78" s="47">
        <v>0.375</v>
      </c>
      <c r="X78" s="47">
        <v>0.25</v>
      </c>
      <c r="Y78" s="19">
        <v>8</v>
      </c>
      <c r="Z78" s="277"/>
      <c r="AA78" s="29">
        <f>(E78+J78+O78+T78+Y78)</f>
        <v>24</v>
      </c>
      <c r="AB78" s="298">
        <f>Z78+U78+P78+K78+F78</f>
        <v>0</v>
      </c>
      <c r="AC78" s="4"/>
      <c r="AD78" s="4"/>
      <c r="AE78" s="4"/>
      <c r="AF78" s="19"/>
      <c r="AG78" s="29"/>
    </row>
    <row r="79" spans="1:42" hidden="1">
      <c r="A79" s="180"/>
      <c r="B79" s="418" t="s">
        <v>233</v>
      </c>
      <c r="C79" s="172" t="s">
        <v>29</v>
      </c>
      <c r="D79" s="172" t="s">
        <v>29</v>
      </c>
      <c r="E79" s="19"/>
      <c r="F79" s="277"/>
      <c r="G79" s="4"/>
      <c r="H79" s="172" t="s">
        <v>29</v>
      </c>
      <c r="I79" s="172" t="s">
        <v>29</v>
      </c>
      <c r="J79" s="19"/>
      <c r="K79" s="277"/>
      <c r="L79" s="4"/>
      <c r="M79" s="47">
        <v>0.375</v>
      </c>
      <c r="N79" s="47">
        <v>0.25</v>
      </c>
      <c r="O79" s="19">
        <v>8</v>
      </c>
      <c r="P79" s="277"/>
      <c r="R79" s="47">
        <v>0.36458333333333331</v>
      </c>
      <c r="S79" s="47">
        <v>0.25</v>
      </c>
      <c r="T79" s="19">
        <v>8</v>
      </c>
      <c r="U79" s="277"/>
      <c r="W79" s="47">
        <v>0.36458333333333331</v>
      </c>
      <c r="X79" s="47">
        <v>0.25</v>
      </c>
      <c r="Y79" s="19">
        <v>8</v>
      </c>
      <c r="Z79" s="277"/>
      <c r="AA79" s="29">
        <f>(E79+J79+O79+T79+Y79)</f>
        <v>24</v>
      </c>
      <c r="AB79" s="298">
        <f>Z79+U79+P79+K79+F79</f>
        <v>0</v>
      </c>
      <c r="AC79" s="4"/>
      <c r="AD79" s="4"/>
      <c r="AE79" s="4"/>
      <c r="AF79" s="19"/>
      <c r="AG79" s="29"/>
    </row>
    <row r="80" spans="1:42" hidden="1">
      <c r="A80" s="180"/>
      <c r="B80" s="418" t="s">
        <v>234</v>
      </c>
      <c r="C80" s="172" t="s">
        <v>29</v>
      </c>
      <c r="D80" s="172" t="s">
        <v>29</v>
      </c>
      <c r="E80" s="19"/>
      <c r="F80" s="277"/>
      <c r="G80" s="4"/>
      <c r="H80" s="172" t="s">
        <v>29</v>
      </c>
      <c r="I80" s="172" t="s">
        <v>29</v>
      </c>
      <c r="J80" s="19"/>
      <c r="K80" s="277"/>
      <c r="L80" s="4"/>
      <c r="M80" s="47">
        <v>0.36458333333333331</v>
      </c>
      <c r="N80" s="47">
        <v>0.25</v>
      </c>
      <c r="O80" s="319">
        <v>8</v>
      </c>
      <c r="P80" s="277"/>
      <c r="R80" s="47">
        <v>0.375</v>
      </c>
      <c r="S80" s="47">
        <v>0.25</v>
      </c>
      <c r="T80" s="19">
        <v>8</v>
      </c>
      <c r="U80" s="277"/>
      <c r="W80" s="47">
        <v>0.375</v>
      </c>
      <c r="X80" s="47">
        <v>0.25</v>
      </c>
      <c r="Y80" s="19">
        <v>8</v>
      </c>
      <c r="Z80" s="277"/>
      <c r="AA80" s="29">
        <f t="shared" ref="AA80:AA81" si="17">(E80+J80+O80+T80+Y80)</f>
        <v>24</v>
      </c>
      <c r="AB80" s="298">
        <f t="shared" ref="AB80:AB81" si="18">Z80+U80+P80+K80+F80</f>
        <v>0</v>
      </c>
      <c r="AC80" s="4"/>
      <c r="AD80" s="4"/>
      <c r="AE80" s="4"/>
      <c r="AF80" s="19"/>
      <c r="AG80" s="29">
        <f t="shared" ref="AG80:AG81" si="19">AF80</f>
        <v>0</v>
      </c>
    </row>
    <row r="81" spans="1:37" hidden="1">
      <c r="A81" s="180"/>
      <c r="B81" s="418" t="s">
        <v>235</v>
      </c>
      <c r="C81" s="172" t="s">
        <v>29</v>
      </c>
      <c r="D81" s="172" t="s">
        <v>29</v>
      </c>
      <c r="E81" s="19"/>
      <c r="F81" s="277"/>
      <c r="G81" s="4"/>
      <c r="H81" s="172" t="s">
        <v>29</v>
      </c>
      <c r="I81" s="172" t="s">
        <v>29</v>
      </c>
      <c r="J81" s="19"/>
      <c r="K81" s="277"/>
      <c r="L81" s="4"/>
      <c r="M81" s="47">
        <v>0.375</v>
      </c>
      <c r="N81" s="47">
        <v>0.25</v>
      </c>
      <c r="O81" s="319">
        <v>8</v>
      </c>
      <c r="P81" s="277"/>
      <c r="R81" s="47">
        <v>0.375</v>
      </c>
      <c r="S81" s="47">
        <v>0.25</v>
      </c>
      <c r="T81" s="19">
        <v>8</v>
      </c>
      <c r="U81" s="277"/>
      <c r="W81" s="47">
        <v>0.375</v>
      </c>
      <c r="X81" s="47">
        <v>0.25</v>
      </c>
      <c r="Y81" s="19">
        <v>8</v>
      </c>
      <c r="Z81" s="277"/>
      <c r="AA81" s="29">
        <f t="shared" si="17"/>
        <v>24</v>
      </c>
      <c r="AB81" s="298">
        <f t="shared" si="18"/>
        <v>0</v>
      </c>
      <c r="AC81" s="4"/>
      <c r="AD81" s="4"/>
      <c r="AE81" s="4"/>
      <c r="AF81" s="19"/>
      <c r="AG81" s="29">
        <f t="shared" si="19"/>
        <v>0</v>
      </c>
    </row>
    <row r="82" spans="1:37" hidden="1">
      <c r="A82" s="180"/>
      <c r="B82" s="13" t="s">
        <v>54</v>
      </c>
      <c r="C82" s="172" t="s">
        <v>29</v>
      </c>
      <c r="D82" s="172" t="s">
        <v>29</v>
      </c>
      <c r="E82" s="19"/>
      <c r="F82" s="277"/>
      <c r="G82" s="4"/>
      <c r="H82" s="172" t="s">
        <v>29</v>
      </c>
      <c r="I82" s="172" t="s">
        <v>29</v>
      </c>
      <c r="J82" s="19"/>
      <c r="K82" s="277"/>
      <c r="L82" s="4"/>
      <c r="M82" s="4"/>
      <c r="N82" s="47"/>
      <c r="O82" s="319"/>
      <c r="P82" s="277"/>
      <c r="S82" s="4"/>
      <c r="T82" s="19"/>
      <c r="U82" s="277"/>
      <c r="X82" s="4"/>
      <c r="Y82" s="19"/>
      <c r="Z82" s="277"/>
      <c r="AA82" s="29">
        <f t="shared" si="15"/>
        <v>0</v>
      </c>
      <c r="AB82" s="298">
        <f t="shared" si="16"/>
        <v>0</v>
      </c>
      <c r="AC82" s="4"/>
      <c r="AD82" s="4"/>
      <c r="AE82" s="4"/>
      <c r="AF82" s="19"/>
      <c r="AG82" s="29">
        <f t="shared" si="11"/>
        <v>0</v>
      </c>
    </row>
    <row r="83" spans="1:37" hidden="1">
      <c r="A83" s="180"/>
      <c r="B83" s="13" t="s">
        <v>55</v>
      </c>
      <c r="C83" s="172" t="s">
        <v>29</v>
      </c>
      <c r="D83" s="172" t="s">
        <v>29</v>
      </c>
      <c r="E83" s="19"/>
      <c r="F83" s="277"/>
      <c r="G83" s="4"/>
      <c r="H83" s="172" t="s">
        <v>29</v>
      </c>
      <c r="I83" s="172" t="s">
        <v>29</v>
      </c>
      <c r="J83" s="19"/>
      <c r="K83" s="277"/>
      <c r="L83" s="4"/>
      <c r="M83" s="4"/>
      <c r="N83" s="47"/>
      <c r="O83" s="319"/>
      <c r="P83" s="277"/>
      <c r="S83" s="4"/>
      <c r="T83" s="19"/>
      <c r="U83" s="277"/>
      <c r="X83" s="4"/>
      <c r="Y83" s="19"/>
      <c r="Z83" s="277"/>
      <c r="AA83" s="29">
        <f t="shared" si="15"/>
        <v>0</v>
      </c>
      <c r="AB83" s="298">
        <f t="shared" si="16"/>
        <v>0</v>
      </c>
      <c r="AC83" s="4"/>
      <c r="AD83" s="4"/>
      <c r="AE83" s="4"/>
      <c r="AF83" s="19"/>
      <c r="AG83" s="29">
        <f t="shared" si="11"/>
        <v>0</v>
      </c>
    </row>
    <row r="84" spans="1:37" hidden="1">
      <c r="A84" s="180"/>
      <c r="B84" s="166" t="s">
        <v>48</v>
      </c>
      <c r="C84" s="16" t="s">
        <v>29</v>
      </c>
      <c r="D84" s="16" t="s">
        <v>29</v>
      </c>
      <c r="E84" s="19">
        <v>8</v>
      </c>
      <c r="F84" s="277"/>
      <c r="G84" s="4"/>
      <c r="H84" s="16" t="s">
        <v>29</v>
      </c>
      <c r="I84" s="16" t="s">
        <v>29</v>
      </c>
      <c r="J84" s="19">
        <v>8</v>
      </c>
      <c r="K84" s="277"/>
      <c r="L84" s="4"/>
      <c r="M84" s="16" t="s">
        <v>29</v>
      </c>
      <c r="N84" s="16" t="s">
        <v>29</v>
      </c>
      <c r="O84" s="19">
        <v>8</v>
      </c>
      <c r="P84" s="277"/>
      <c r="R84" s="16" t="s">
        <v>29</v>
      </c>
      <c r="S84" s="16" t="s">
        <v>29</v>
      </c>
      <c r="T84" s="19">
        <v>8</v>
      </c>
      <c r="U84" s="277"/>
      <c r="W84" s="16" t="s">
        <v>29</v>
      </c>
      <c r="X84" s="16" t="s">
        <v>29</v>
      </c>
      <c r="Y84" s="19">
        <v>0</v>
      </c>
      <c r="Z84" s="277"/>
      <c r="AA84" s="29">
        <f t="shared" si="15"/>
        <v>32</v>
      </c>
      <c r="AB84" s="298">
        <f t="shared" si="16"/>
        <v>0</v>
      </c>
      <c r="AC84" s="4"/>
      <c r="AD84" s="4"/>
      <c r="AE84" s="4"/>
      <c r="AF84" s="19"/>
      <c r="AG84" s="29">
        <f t="shared" si="11"/>
        <v>0</v>
      </c>
    </row>
    <row r="85" spans="1:37" hidden="1">
      <c r="A85" s="180"/>
      <c r="B85" s="166" t="s">
        <v>49</v>
      </c>
      <c r="C85" s="47" t="s">
        <v>29</v>
      </c>
      <c r="D85" s="47" t="s">
        <v>29</v>
      </c>
      <c r="E85" s="19">
        <v>8</v>
      </c>
      <c r="F85" s="277"/>
      <c r="G85" s="4"/>
      <c r="H85" s="47" t="s">
        <v>29</v>
      </c>
      <c r="I85" s="47" t="s">
        <v>29</v>
      </c>
      <c r="J85" s="19">
        <v>8</v>
      </c>
      <c r="K85" s="277"/>
      <c r="L85" s="4"/>
      <c r="M85" s="47" t="s">
        <v>29</v>
      </c>
      <c r="N85" s="47" t="s">
        <v>29</v>
      </c>
      <c r="O85" s="19">
        <v>8</v>
      </c>
      <c r="P85" s="277"/>
      <c r="R85" s="47" t="s">
        <v>29</v>
      </c>
      <c r="S85" s="47" t="s">
        <v>29</v>
      </c>
      <c r="T85" s="19">
        <v>8</v>
      </c>
      <c r="U85" s="277"/>
      <c r="W85" s="47" t="s">
        <v>29</v>
      </c>
      <c r="X85" s="47" t="s">
        <v>29</v>
      </c>
      <c r="Y85" s="19">
        <v>8</v>
      </c>
      <c r="Z85" s="277"/>
      <c r="AA85" s="29">
        <f t="shared" si="15"/>
        <v>40</v>
      </c>
      <c r="AB85" s="298">
        <f t="shared" si="16"/>
        <v>0</v>
      </c>
      <c r="AC85" s="4"/>
      <c r="AD85" s="4"/>
      <c r="AE85" s="4"/>
      <c r="AF85" s="19"/>
      <c r="AG85" s="29">
        <f t="shared" si="11"/>
        <v>0</v>
      </c>
    </row>
    <row r="86" spans="1:37" hidden="1">
      <c r="A86" s="180"/>
      <c r="B86" s="166" t="s">
        <v>107</v>
      </c>
      <c r="C86" s="47" t="s">
        <v>29</v>
      </c>
      <c r="D86" s="47" t="s">
        <v>29</v>
      </c>
      <c r="E86" s="19">
        <v>8</v>
      </c>
      <c r="F86" s="277"/>
      <c r="G86" s="4"/>
      <c r="H86" s="47" t="s">
        <v>29</v>
      </c>
      <c r="I86" s="47" t="s">
        <v>29</v>
      </c>
      <c r="J86" s="19">
        <v>8</v>
      </c>
      <c r="K86" s="277"/>
      <c r="L86" s="4"/>
      <c r="M86" s="47" t="s">
        <v>29</v>
      </c>
      <c r="N86" s="47" t="s">
        <v>29</v>
      </c>
      <c r="O86" s="19">
        <v>8</v>
      </c>
      <c r="P86" s="277"/>
      <c r="R86" s="47" t="s">
        <v>29</v>
      </c>
      <c r="S86" s="47" t="s">
        <v>29</v>
      </c>
      <c r="T86" s="19">
        <v>8</v>
      </c>
      <c r="U86" s="277"/>
      <c r="W86" s="47" t="s">
        <v>29</v>
      </c>
      <c r="X86" s="47" t="s">
        <v>29</v>
      </c>
      <c r="Y86" s="19">
        <v>8</v>
      </c>
      <c r="Z86" s="277"/>
      <c r="AA86" s="29">
        <f t="shared" si="15"/>
        <v>40</v>
      </c>
      <c r="AB86" s="298">
        <f t="shared" si="16"/>
        <v>0</v>
      </c>
      <c r="AC86" s="4"/>
      <c r="AD86" s="4"/>
      <c r="AE86" s="4"/>
      <c r="AF86" s="19"/>
      <c r="AG86" s="29">
        <f t="shared" si="11"/>
        <v>0</v>
      </c>
    </row>
    <row r="87" spans="1:37" hidden="1">
      <c r="A87" s="180"/>
      <c r="B87" s="166" t="s">
        <v>59</v>
      </c>
      <c r="C87" s="47" t="s">
        <v>29</v>
      </c>
      <c r="D87" s="16" t="s">
        <v>29</v>
      </c>
      <c r="E87" s="19">
        <v>0</v>
      </c>
      <c r="F87" s="277"/>
      <c r="G87" s="4"/>
      <c r="H87" s="47" t="s">
        <v>29</v>
      </c>
      <c r="I87" s="16" t="s">
        <v>29</v>
      </c>
      <c r="J87" s="19">
        <v>8</v>
      </c>
      <c r="K87" s="277"/>
      <c r="L87" s="4"/>
      <c r="M87" s="47" t="s">
        <v>29</v>
      </c>
      <c r="N87" s="16" t="s">
        <v>29</v>
      </c>
      <c r="O87" s="19">
        <v>8</v>
      </c>
      <c r="P87" s="277"/>
      <c r="R87" s="47" t="s">
        <v>29</v>
      </c>
      <c r="S87" s="16" t="s">
        <v>29</v>
      </c>
      <c r="T87" s="19">
        <v>8</v>
      </c>
      <c r="U87" s="277"/>
      <c r="W87" s="47" t="s">
        <v>29</v>
      </c>
      <c r="X87" s="16" t="s">
        <v>29</v>
      </c>
      <c r="Y87" s="19">
        <v>8</v>
      </c>
      <c r="Z87" s="277"/>
      <c r="AA87" s="29">
        <f t="shared" si="15"/>
        <v>32</v>
      </c>
      <c r="AB87" s="298">
        <f t="shared" si="16"/>
        <v>0</v>
      </c>
      <c r="AC87" s="4"/>
      <c r="AD87" s="4"/>
      <c r="AE87" s="4"/>
      <c r="AF87" s="19"/>
      <c r="AG87" s="29">
        <f t="shared" si="11"/>
        <v>0</v>
      </c>
    </row>
    <row r="88" spans="1:37" hidden="1">
      <c r="A88" s="180"/>
      <c r="B88" s="166" t="s">
        <v>60</v>
      </c>
      <c r="C88" s="16" t="s">
        <v>29</v>
      </c>
      <c r="D88" s="16" t="s">
        <v>29</v>
      </c>
      <c r="E88" s="19">
        <v>8</v>
      </c>
      <c r="F88" s="277"/>
      <c r="G88" s="4"/>
      <c r="H88" s="16" t="s">
        <v>29</v>
      </c>
      <c r="I88" s="16" t="s">
        <v>29</v>
      </c>
      <c r="J88" s="19">
        <v>8</v>
      </c>
      <c r="K88" s="277"/>
      <c r="L88" s="4"/>
      <c r="M88" s="16" t="s">
        <v>29</v>
      </c>
      <c r="N88" s="16" t="s">
        <v>29</v>
      </c>
      <c r="O88" s="19">
        <v>8</v>
      </c>
      <c r="P88" s="277"/>
      <c r="R88" s="16" t="s">
        <v>29</v>
      </c>
      <c r="S88" s="16" t="s">
        <v>29</v>
      </c>
      <c r="T88" s="19">
        <v>8</v>
      </c>
      <c r="U88" s="277"/>
      <c r="W88" s="16" t="s">
        <v>29</v>
      </c>
      <c r="X88" s="16" t="s">
        <v>29</v>
      </c>
      <c r="Y88" s="19">
        <v>8</v>
      </c>
      <c r="Z88" s="277"/>
      <c r="AA88" s="29">
        <f t="shared" si="15"/>
        <v>40</v>
      </c>
      <c r="AB88" s="298">
        <f t="shared" si="16"/>
        <v>0</v>
      </c>
      <c r="AC88" s="4"/>
      <c r="AD88" s="4"/>
      <c r="AE88" s="4"/>
      <c r="AF88" s="19"/>
      <c r="AG88" s="29">
        <f t="shared" si="11"/>
        <v>0</v>
      </c>
    </row>
    <row r="89" spans="1:37" hidden="1">
      <c r="A89" s="180"/>
      <c r="B89" s="63" t="s">
        <v>63</v>
      </c>
      <c r="C89" s="12" t="s">
        <v>29</v>
      </c>
      <c r="D89" s="12" t="s">
        <v>29</v>
      </c>
      <c r="E89" s="19">
        <v>8</v>
      </c>
      <c r="F89" s="277"/>
      <c r="G89" s="60"/>
      <c r="H89" s="12" t="s">
        <v>29</v>
      </c>
      <c r="I89" s="12" t="s">
        <v>29</v>
      </c>
      <c r="J89" s="19">
        <v>8</v>
      </c>
      <c r="K89" s="277"/>
      <c r="L89" s="60"/>
      <c r="M89" s="16" t="s">
        <v>29</v>
      </c>
      <c r="N89" s="16" t="s">
        <v>29</v>
      </c>
      <c r="O89" s="19">
        <v>8</v>
      </c>
      <c r="P89" s="277"/>
      <c r="Q89" s="60"/>
      <c r="R89" s="16" t="s">
        <v>29</v>
      </c>
      <c r="S89" s="16" t="s">
        <v>29</v>
      </c>
      <c r="T89" s="19">
        <v>8</v>
      </c>
      <c r="U89" s="277"/>
      <c r="V89" s="60"/>
      <c r="W89" s="16" t="s">
        <v>29</v>
      </c>
      <c r="X89" s="16" t="s">
        <v>29</v>
      </c>
      <c r="Y89" s="19">
        <v>8</v>
      </c>
      <c r="Z89" s="277"/>
      <c r="AA89" s="28">
        <f>SUM(E89+J89+O89+T89+Y89)</f>
        <v>40</v>
      </c>
      <c r="AB89" s="298">
        <f t="shared" si="16"/>
        <v>0</v>
      </c>
      <c r="AC89" s="4"/>
      <c r="AD89" s="56"/>
      <c r="AE89" s="56"/>
      <c r="AF89" s="19"/>
      <c r="AG89" s="29">
        <f t="shared" si="11"/>
        <v>0</v>
      </c>
    </row>
    <row r="90" spans="1:37" hidden="1">
      <c r="A90" s="180"/>
      <c r="B90" s="63" t="s">
        <v>62</v>
      </c>
      <c r="C90" s="16" t="s">
        <v>29</v>
      </c>
      <c r="D90" s="16" t="s">
        <v>29</v>
      </c>
      <c r="E90" s="19">
        <v>8</v>
      </c>
      <c r="F90" s="277"/>
      <c r="G90" s="60"/>
      <c r="H90" s="16" t="s">
        <v>29</v>
      </c>
      <c r="I90" s="16" t="s">
        <v>29</v>
      </c>
      <c r="J90" s="19">
        <v>8</v>
      </c>
      <c r="K90" s="277"/>
      <c r="L90" s="60"/>
      <c r="M90" s="16" t="s">
        <v>29</v>
      </c>
      <c r="N90" s="16" t="s">
        <v>29</v>
      </c>
      <c r="O90" s="19">
        <v>8</v>
      </c>
      <c r="P90" s="277"/>
      <c r="Q90" s="60"/>
      <c r="R90" s="16" t="s">
        <v>29</v>
      </c>
      <c r="S90" s="16" t="s">
        <v>29</v>
      </c>
      <c r="T90" s="19">
        <v>8</v>
      </c>
      <c r="U90" s="277"/>
      <c r="V90" s="60"/>
      <c r="W90" s="16" t="s">
        <v>29</v>
      </c>
      <c r="X90" s="16" t="s">
        <v>29</v>
      </c>
      <c r="Y90" s="19">
        <v>8</v>
      </c>
      <c r="Z90" s="277"/>
      <c r="AA90" s="28">
        <f>SUM(E90+J90+O90+T90+Y90)</f>
        <v>40</v>
      </c>
      <c r="AB90" s="298">
        <f t="shared" si="16"/>
        <v>0</v>
      </c>
      <c r="AC90" s="4"/>
      <c r="AD90" s="56"/>
      <c r="AE90" s="56"/>
      <c r="AF90" s="19"/>
      <c r="AG90" s="29">
        <v>0</v>
      </c>
    </row>
    <row r="91" spans="1:37" hidden="1">
      <c r="A91" s="180"/>
      <c r="B91" s="63"/>
      <c r="C91" s="4"/>
      <c r="D91" s="4"/>
      <c r="E91" s="19"/>
      <c r="F91" s="277"/>
      <c r="G91" s="60"/>
      <c r="H91" s="4"/>
      <c r="I91" s="4"/>
      <c r="J91" s="19"/>
      <c r="K91" s="277"/>
      <c r="L91" s="60"/>
      <c r="M91" s="47"/>
      <c r="N91" s="47"/>
      <c r="O91" s="19"/>
      <c r="P91" s="277"/>
      <c r="Q91" s="60"/>
      <c r="S91" s="4"/>
      <c r="T91" s="19"/>
      <c r="U91" s="277"/>
      <c r="V91" s="60"/>
      <c r="X91" s="4"/>
      <c r="Y91" s="19"/>
      <c r="Z91" s="277"/>
      <c r="AA91" s="28">
        <f>SUM(E91+J91+O91+T91+Y91)</f>
        <v>0</v>
      </c>
      <c r="AB91" s="298">
        <f t="shared" si="16"/>
        <v>0</v>
      </c>
      <c r="AC91" s="4"/>
      <c r="AD91" s="56"/>
      <c r="AE91" s="56"/>
      <c r="AF91" s="19"/>
      <c r="AG91" s="29">
        <f>AF91</f>
        <v>0</v>
      </c>
      <c r="AK91" s="407"/>
    </row>
    <row r="92" spans="1:37" hidden="1">
      <c r="A92" s="180"/>
      <c r="B92" s="64" t="s">
        <v>61</v>
      </c>
      <c r="C92" s="64"/>
      <c r="D92" s="64"/>
      <c r="E92" s="167">
        <f>SUM(E58:E91)</f>
        <v>191.75</v>
      </c>
      <c r="F92" s="277">
        <f>SUM(F58:F83)</f>
        <v>0</v>
      </c>
      <c r="G92" s="64"/>
      <c r="H92" s="64"/>
      <c r="I92" s="64"/>
      <c r="J92" s="64">
        <f>SUM(J58:J91)</f>
        <v>214.25</v>
      </c>
      <c r="K92" s="277">
        <f>SUM(K58:K83)</f>
        <v>0</v>
      </c>
      <c r="L92" s="64"/>
      <c r="M92" s="64"/>
      <c r="N92" s="64"/>
      <c r="O92" s="167">
        <f>SUM(O58:O91)</f>
        <v>239.75</v>
      </c>
      <c r="P92" s="277">
        <f>SUM(P58:P88)</f>
        <v>0</v>
      </c>
      <c r="Q92" s="64"/>
      <c r="R92" s="167"/>
      <c r="S92" s="64"/>
      <c r="T92" s="167">
        <f>SUM(T58:T91)</f>
        <v>239</v>
      </c>
      <c r="U92" s="277">
        <f>SUM(U58:U88)</f>
        <v>0</v>
      </c>
      <c r="V92" s="64"/>
      <c r="W92" s="167"/>
      <c r="X92" s="64"/>
      <c r="Y92" s="167">
        <f>SUM(Y58:Y91)</f>
        <v>232</v>
      </c>
      <c r="Z92" s="277">
        <f>SUM(Z58:Z83)</f>
        <v>0</v>
      </c>
      <c r="AA92" s="370">
        <f>SUM(AA58:AA91)</f>
        <v>1108.75</v>
      </c>
      <c r="AB92" s="289">
        <f>SUM(AB58:AB91)</f>
        <v>0</v>
      </c>
      <c r="AC92" s="4"/>
      <c r="AD92" s="64"/>
      <c r="AE92" s="64"/>
      <c r="AF92" s="167">
        <f>SUM(AF58:AF91)</f>
        <v>0</v>
      </c>
      <c r="AG92" s="370">
        <f>SUM(AG58:AG83)</f>
        <v>0</v>
      </c>
    </row>
    <row r="93" spans="1:37" hidden="1">
      <c r="A93" s="180"/>
      <c r="B93" s="63" t="s">
        <v>64</v>
      </c>
      <c r="C93" s="56"/>
      <c r="D93" s="56"/>
      <c r="E93" s="19">
        <v>8</v>
      </c>
      <c r="F93" s="291"/>
      <c r="G93" s="60"/>
      <c r="H93" s="56"/>
      <c r="I93" s="56"/>
      <c r="J93" s="19">
        <v>8</v>
      </c>
      <c r="K93" s="291">
        <v>0.25</v>
      </c>
      <c r="L93" s="60"/>
      <c r="M93" s="56"/>
      <c r="N93" s="56"/>
      <c r="O93" s="19">
        <v>8</v>
      </c>
      <c r="P93" s="19"/>
      <c r="Q93" s="60"/>
      <c r="R93" s="56"/>
      <c r="S93" s="56"/>
      <c r="T93" s="19">
        <v>8</v>
      </c>
      <c r="U93" s="19"/>
      <c r="V93" s="60"/>
      <c r="W93" s="56"/>
      <c r="X93" s="56"/>
      <c r="Y93" s="19">
        <v>8</v>
      </c>
      <c r="Z93" s="19"/>
      <c r="AA93" s="28">
        <f>SUM(E93+J93+O93+T93+Y93)</f>
        <v>40</v>
      </c>
      <c r="AB93" s="296">
        <f>Z93+U93+P93+K93+F93</f>
        <v>0.25</v>
      </c>
      <c r="AC93" s="4"/>
      <c r="AD93" s="56"/>
      <c r="AE93" s="56"/>
      <c r="AF93" s="19"/>
      <c r="AG93" s="29">
        <f>AF93</f>
        <v>0</v>
      </c>
    </row>
    <row r="94" spans="1:37" hidden="1">
      <c r="A94" s="180"/>
      <c r="B94" s="63" t="s">
        <v>110</v>
      </c>
      <c r="C94" s="56"/>
      <c r="D94" s="56"/>
      <c r="E94" s="19">
        <v>4</v>
      </c>
      <c r="F94" s="291">
        <v>0</v>
      </c>
      <c r="G94" s="60"/>
      <c r="H94" s="56"/>
      <c r="I94" s="56"/>
      <c r="J94" s="19">
        <v>2.5</v>
      </c>
      <c r="K94" s="291">
        <v>0</v>
      </c>
      <c r="L94" s="60"/>
      <c r="M94" s="56"/>
      <c r="N94" s="56"/>
      <c r="O94" s="19">
        <v>4</v>
      </c>
      <c r="P94" s="19">
        <v>0</v>
      </c>
      <c r="Q94" s="60"/>
      <c r="R94" s="56"/>
      <c r="S94" s="56"/>
      <c r="T94" s="19">
        <v>2</v>
      </c>
      <c r="U94" s="19">
        <v>0</v>
      </c>
      <c r="V94" s="60"/>
      <c r="W94" s="56"/>
      <c r="X94" s="56"/>
      <c r="Y94" s="19">
        <v>0</v>
      </c>
      <c r="Z94" s="19">
        <v>0</v>
      </c>
      <c r="AA94" s="28">
        <f>SUM(E94+J94+O94+T94+Y94)</f>
        <v>12.5</v>
      </c>
      <c r="AB94" s="296">
        <f>Z94+U94+P94+K94+F94</f>
        <v>0</v>
      </c>
      <c r="AC94" s="4"/>
      <c r="AD94" s="56"/>
      <c r="AE94" s="56"/>
      <c r="AF94" s="19"/>
      <c r="AG94" s="29">
        <f>AF94</f>
        <v>0</v>
      </c>
    </row>
    <row r="95" spans="1:37" hidden="1">
      <c r="A95" s="180"/>
      <c r="B95" s="71" t="s">
        <v>66</v>
      </c>
      <c r="C95" s="371"/>
      <c r="D95" s="371"/>
      <c r="E95" s="71">
        <f t="shared" ref="E95:AB95" si="20">SUM(E93:E94)</f>
        <v>12</v>
      </c>
      <c r="F95" s="71">
        <f t="shared" si="20"/>
        <v>0</v>
      </c>
      <c r="G95" s="71">
        <f t="shared" si="20"/>
        <v>0</v>
      </c>
      <c r="H95" s="71">
        <f t="shared" si="20"/>
        <v>0</v>
      </c>
      <c r="I95" s="71">
        <f t="shared" si="20"/>
        <v>0</v>
      </c>
      <c r="J95" s="71">
        <f t="shared" si="20"/>
        <v>10.5</v>
      </c>
      <c r="K95" s="71">
        <f t="shared" si="20"/>
        <v>0.25</v>
      </c>
      <c r="L95" s="71">
        <f t="shared" si="20"/>
        <v>0</v>
      </c>
      <c r="M95" s="71">
        <f t="shared" si="20"/>
        <v>0</v>
      </c>
      <c r="N95" s="71">
        <f t="shared" si="20"/>
        <v>0</v>
      </c>
      <c r="O95" s="71">
        <f t="shared" si="20"/>
        <v>12</v>
      </c>
      <c r="P95" s="71">
        <f t="shared" si="20"/>
        <v>0</v>
      </c>
      <c r="Q95" s="71">
        <f t="shared" si="20"/>
        <v>0</v>
      </c>
      <c r="R95" s="71">
        <f t="shared" si="20"/>
        <v>0</v>
      </c>
      <c r="S95" s="71">
        <f t="shared" si="20"/>
        <v>0</v>
      </c>
      <c r="T95" s="71">
        <f t="shared" si="20"/>
        <v>10</v>
      </c>
      <c r="U95" s="71">
        <f t="shared" si="20"/>
        <v>0</v>
      </c>
      <c r="V95" s="71">
        <f t="shared" si="20"/>
        <v>0</v>
      </c>
      <c r="W95" s="71">
        <f t="shared" si="20"/>
        <v>0</v>
      </c>
      <c r="X95" s="71">
        <f t="shared" si="20"/>
        <v>0</v>
      </c>
      <c r="Y95" s="71">
        <f t="shared" si="20"/>
        <v>8</v>
      </c>
      <c r="Z95" s="71">
        <f t="shared" si="20"/>
        <v>0</v>
      </c>
      <c r="AA95" s="370">
        <f t="shared" si="20"/>
        <v>52.5</v>
      </c>
      <c r="AB95" s="370">
        <f t="shared" si="20"/>
        <v>0.25</v>
      </c>
      <c r="AC95" s="4"/>
      <c r="AG95" s="370">
        <f>SUM(AG93:AG94)</f>
        <v>0</v>
      </c>
    </row>
    <row r="96" spans="1:37" hidden="1">
      <c r="A96" s="180"/>
      <c r="B96" s="217" t="s">
        <v>67</v>
      </c>
      <c r="C96" s="207">
        <f>C97+C98</f>
        <v>81</v>
      </c>
      <c r="D96" s="207"/>
      <c r="E96" s="209"/>
      <c r="F96" s="209"/>
      <c r="G96" s="207"/>
      <c r="H96" s="209"/>
      <c r="I96" s="209"/>
      <c r="J96" s="209"/>
      <c r="K96" s="209"/>
      <c r="L96" s="207"/>
      <c r="M96" s="207"/>
      <c r="N96" s="207"/>
      <c r="O96" s="207"/>
      <c r="P96" s="209"/>
      <c r="Q96" s="207"/>
      <c r="R96" s="207"/>
      <c r="S96" s="207"/>
      <c r="T96" s="207"/>
      <c r="U96" s="209"/>
      <c r="V96" s="207"/>
      <c r="W96" s="207"/>
      <c r="X96" s="207"/>
      <c r="Y96" s="210"/>
      <c r="Z96" s="209"/>
      <c r="AA96" s="211"/>
      <c r="AB96" s="209"/>
      <c r="AC96" s="211"/>
      <c r="AD96" s="211"/>
      <c r="AE96" s="211"/>
      <c r="AF96" s="211"/>
      <c r="AG96" s="211"/>
    </row>
    <row r="97" spans="1:49" hidden="1">
      <c r="A97" s="180"/>
      <c r="B97" s="238" t="s">
        <v>68</v>
      </c>
      <c r="C97" s="239">
        <f>18+20+23+20</f>
        <v>81</v>
      </c>
      <c r="D97" s="207"/>
      <c r="E97" s="209"/>
      <c r="F97" s="209"/>
      <c r="G97" s="207"/>
      <c r="H97" s="209"/>
      <c r="I97" s="209"/>
      <c r="J97" s="209"/>
      <c r="K97" s="209"/>
      <c r="L97" s="207"/>
      <c r="M97" s="207"/>
      <c r="N97" s="207"/>
      <c r="O97" s="207"/>
      <c r="P97" s="209"/>
      <c r="Q97" s="207"/>
      <c r="R97" s="207"/>
      <c r="S97" s="207"/>
      <c r="T97" s="207"/>
      <c r="U97" s="209"/>
      <c r="V97" s="207"/>
      <c r="W97" s="207"/>
      <c r="X97" s="207"/>
      <c r="Y97" s="210"/>
      <c r="Z97" s="209"/>
      <c r="AA97" s="211"/>
      <c r="AB97" s="209"/>
      <c r="AC97" s="211"/>
      <c r="AD97" s="211"/>
      <c r="AE97" s="211"/>
      <c r="AF97" s="211"/>
      <c r="AG97" s="211"/>
    </row>
    <row r="98" spans="1:49" hidden="1">
      <c r="A98" s="180"/>
      <c r="B98" s="238" t="s">
        <v>69</v>
      </c>
      <c r="C98" s="239"/>
      <c r="D98" s="207"/>
      <c r="E98" s="209"/>
      <c r="F98" s="209"/>
      <c r="G98" s="207"/>
      <c r="H98" s="209"/>
      <c r="I98" s="209"/>
      <c r="J98" s="209"/>
      <c r="K98" s="209"/>
      <c r="L98" s="207"/>
      <c r="M98" s="207"/>
      <c r="N98" s="207"/>
      <c r="O98" s="207"/>
      <c r="P98" s="209"/>
      <c r="Q98" s="207"/>
      <c r="R98" s="207"/>
      <c r="S98" s="207"/>
      <c r="T98" s="207"/>
      <c r="U98" s="209"/>
      <c r="V98" s="207"/>
      <c r="W98" s="207"/>
      <c r="X98" s="207"/>
      <c r="Y98" s="210"/>
      <c r="Z98" s="209"/>
      <c r="AA98" s="211"/>
      <c r="AB98" s="209"/>
      <c r="AC98" s="211"/>
      <c r="AD98" s="211"/>
      <c r="AE98" s="211"/>
      <c r="AF98" s="211"/>
      <c r="AG98" s="211"/>
    </row>
    <row r="99" spans="1:49" hidden="1">
      <c r="A99" s="180"/>
    </row>
    <row r="100" spans="1:49" hidden="1">
      <c r="A100" s="180"/>
      <c r="B100" s="229"/>
      <c r="C100" s="230"/>
      <c r="D100" s="230"/>
      <c r="E100" s="232"/>
      <c r="F100" s="232"/>
      <c r="G100" s="230"/>
      <c r="H100" s="232"/>
      <c r="I100" s="232"/>
      <c r="J100" s="232"/>
      <c r="K100" s="232"/>
      <c r="L100" s="230"/>
      <c r="M100" s="230"/>
      <c r="N100" s="230"/>
      <c r="O100" s="230"/>
      <c r="P100" s="232"/>
      <c r="Q100" s="230"/>
      <c r="R100" s="230"/>
      <c r="S100" s="230"/>
      <c r="T100" s="230"/>
      <c r="U100" s="232"/>
      <c r="V100" s="230"/>
      <c r="W100" s="230"/>
      <c r="X100" s="230"/>
      <c r="Y100" s="233"/>
      <c r="Z100" s="232"/>
      <c r="AA100" s="234"/>
      <c r="AB100" s="232"/>
      <c r="AC100" s="373"/>
      <c r="AD100" s="236"/>
      <c r="AE100" s="255"/>
      <c r="AF100" s="255"/>
      <c r="AG100" s="255"/>
      <c r="AH100" s="255"/>
      <c r="AJ100" s="255"/>
      <c r="AK100" s="255"/>
      <c r="AL100" s="255"/>
      <c r="AM100" s="255"/>
      <c r="AN100" s="255"/>
      <c r="AO100" s="255"/>
      <c r="AP100" s="255"/>
      <c r="AQ100" s="255"/>
      <c r="AR100" s="255"/>
      <c r="AS100" s="255"/>
      <c r="AT100" s="255"/>
      <c r="AU100" s="255"/>
      <c r="AV100" s="255"/>
      <c r="AW100" s="255"/>
    </row>
    <row r="101" spans="1:49" hidden="1">
      <c r="B101" s="180"/>
      <c r="E101" s="4"/>
      <c r="F101" s="4"/>
      <c r="G101" s="4"/>
      <c r="J101" s="4"/>
      <c r="K101" s="4"/>
      <c r="L101" s="4"/>
      <c r="O101" s="4"/>
      <c r="P101" s="4"/>
      <c r="T101" s="4"/>
      <c r="U101" s="4"/>
      <c r="Y101" s="4"/>
      <c r="Z101" s="4"/>
      <c r="AA101" s="4"/>
      <c r="AB101" s="4"/>
      <c r="AC101" s="4"/>
      <c r="AK101" s="180"/>
      <c r="AL101" s="180"/>
      <c r="AM101" s="180"/>
      <c r="AN101" s="180"/>
      <c r="AO101" s="180"/>
      <c r="AP101" s="180"/>
    </row>
    <row r="102" spans="1:49" hidden="1">
      <c r="A102" s="228"/>
      <c r="B102" s="1518" t="s">
        <v>18</v>
      </c>
      <c r="C102" s="1519">
        <v>45327</v>
      </c>
      <c r="D102" s="1519"/>
      <c r="E102" s="1519"/>
      <c r="F102" s="1519"/>
      <c r="G102" s="365"/>
      <c r="H102" s="1519">
        <v>45328</v>
      </c>
      <c r="I102" s="1519"/>
      <c r="J102" s="1519"/>
      <c r="K102" s="1519"/>
      <c r="L102" s="365"/>
      <c r="M102" s="1519">
        <v>45329</v>
      </c>
      <c r="N102" s="1519"/>
      <c r="O102" s="1519"/>
      <c r="P102" s="1519"/>
      <c r="Q102" s="365"/>
      <c r="R102" s="1519">
        <v>45330</v>
      </c>
      <c r="S102" s="1519"/>
      <c r="T102" s="1519"/>
      <c r="U102" s="1519"/>
      <c r="V102" s="365"/>
      <c r="W102" s="1519">
        <v>45331</v>
      </c>
      <c r="X102" s="1519"/>
      <c r="Y102" s="1519"/>
      <c r="Z102" s="1519"/>
      <c r="AA102" s="1517" t="s">
        <v>19</v>
      </c>
      <c r="AB102" s="1517" t="s">
        <v>20</v>
      </c>
      <c r="AC102" s="4"/>
      <c r="AD102" s="1519">
        <v>45332</v>
      </c>
      <c r="AE102" s="1519"/>
      <c r="AF102" s="1519"/>
      <c r="AG102" s="1517" t="s">
        <v>21</v>
      </c>
      <c r="AH102" s="374"/>
      <c r="AI102" s="368"/>
      <c r="AK102" s="194" t="s">
        <v>84</v>
      </c>
      <c r="AL102" s="366"/>
      <c r="AM102" s="366"/>
      <c r="AN102" s="366"/>
      <c r="AO102" s="366"/>
      <c r="AP102" s="366"/>
    </row>
    <row r="103" spans="1:49" hidden="1">
      <c r="A103" s="180"/>
      <c r="B103" s="1518"/>
      <c r="C103" s="21" t="s">
        <v>23</v>
      </c>
      <c r="D103" s="21" t="s">
        <v>24</v>
      </c>
      <c r="E103" s="205" t="s">
        <v>25</v>
      </c>
      <c r="F103" s="18" t="s">
        <v>14</v>
      </c>
      <c r="G103" s="4"/>
      <c r="H103" s="21" t="s">
        <v>23</v>
      </c>
      <c r="I103" s="21" t="s">
        <v>24</v>
      </c>
      <c r="J103" s="18" t="s">
        <v>25</v>
      </c>
      <c r="K103" s="18" t="s">
        <v>14</v>
      </c>
      <c r="L103" s="4"/>
      <c r="M103" s="21" t="s">
        <v>23</v>
      </c>
      <c r="N103" s="21" t="s">
        <v>24</v>
      </c>
      <c r="O103" s="18" t="s">
        <v>25</v>
      </c>
      <c r="P103" s="18" t="s">
        <v>14</v>
      </c>
      <c r="R103" s="484" t="s">
        <v>23</v>
      </c>
      <c r="S103" s="21" t="s">
        <v>24</v>
      </c>
      <c r="T103" s="18" t="s">
        <v>25</v>
      </c>
      <c r="U103" s="18" t="s">
        <v>14</v>
      </c>
      <c r="W103" s="484" t="s">
        <v>23</v>
      </c>
      <c r="X103" s="21" t="s">
        <v>24</v>
      </c>
      <c r="Y103" s="18" t="s">
        <v>25</v>
      </c>
      <c r="Z103" s="18" t="s">
        <v>14</v>
      </c>
      <c r="AA103" s="1517"/>
      <c r="AB103" s="1517"/>
      <c r="AC103" s="4"/>
      <c r="AD103" s="21" t="s">
        <v>23</v>
      </c>
      <c r="AE103" s="21" t="s">
        <v>24</v>
      </c>
      <c r="AF103" s="18" t="s">
        <v>25</v>
      </c>
      <c r="AG103" s="1517"/>
      <c r="AI103" s="368"/>
      <c r="AJ103" s="367"/>
      <c r="AK103" s="188" t="s">
        <v>26</v>
      </c>
      <c r="AL103" s="196">
        <f>AA139</f>
        <v>786.25</v>
      </c>
      <c r="AM103" s="510">
        <v>38</v>
      </c>
      <c r="AN103" s="510">
        <f t="shared" ref="AN103:AN109" si="21">AL103*AM103</f>
        <v>29877.5</v>
      </c>
      <c r="AQ103" s="367"/>
      <c r="AR103" s="367"/>
      <c r="AS103" s="367"/>
      <c r="AT103" s="367"/>
      <c r="AU103" s="367"/>
      <c r="AV103" s="367"/>
      <c r="AW103" s="367"/>
    </row>
    <row r="104" spans="1:49" hidden="1">
      <c r="A104" s="180"/>
      <c r="B104" s="171" t="s">
        <v>71</v>
      </c>
      <c r="C104" s="172">
        <v>0.36458333333333331</v>
      </c>
      <c r="D104" s="172">
        <v>0.25</v>
      </c>
      <c r="E104" s="173">
        <v>8</v>
      </c>
      <c r="F104" s="277"/>
      <c r="G104" s="4"/>
      <c r="H104" s="172">
        <v>0.36458333333333331</v>
      </c>
      <c r="I104" s="172">
        <v>0.25</v>
      </c>
      <c r="J104" s="173">
        <v>8</v>
      </c>
      <c r="K104" s="277"/>
      <c r="L104" s="4"/>
      <c r="M104" s="47">
        <v>0.35416666666666669</v>
      </c>
      <c r="N104" s="47">
        <v>0.25</v>
      </c>
      <c r="O104" s="173">
        <v>8</v>
      </c>
      <c r="P104" s="277"/>
      <c r="R104" s="47">
        <v>0.35416666666666669</v>
      </c>
      <c r="S104" s="47">
        <v>0.25</v>
      </c>
      <c r="T104" s="173">
        <v>8</v>
      </c>
      <c r="U104" s="277"/>
      <c r="W104" s="47">
        <v>0.375</v>
      </c>
      <c r="X104" s="47">
        <v>0.25</v>
      </c>
      <c r="Y104" s="19">
        <v>8</v>
      </c>
      <c r="Z104" s="277"/>
      <c r="AA104" s="28">
        <f t="shared" ref="AA104:AA109" si="22">(E104+J104+O104+T104+Y104)</f>
        <v>40</v>
      </c>
      <c r="AB104" s="298">
        <f>Z104+U104+P104+K104+F104</f>
        <v>0</v>
      </c>
      <c r="AC104" s="4"/>
      <c r="AD104" s="175"/>
      <c r="AE104" s="175"/>
      <c r="AF104" s="173"/>
      <c r="AG104" s="28">
        <f t="shared" ref="AG104:AG136" si="23">AF104</f>
        <v>0</v>
      </c>
      <c r="AI104" s="368"/>
      <c r="AJ104" s="367"/>
      <c r="AK104" s="188" t="s">
        <v>30</v>
      </c>
      <c r="AL104" s="196">
        <f>AB139</f>
        <v>13.75</v>
      </c>
      <c r="AM104" s="511">
        <v>57</v>
      </c>
      <c r="AN104" s="510">
        <f t="shared" si="21"/>
        <v>783.75</v>
      </c>
      <c r="AQ104" s="367"/>
      <c r="AR104" s="367"/>
      <c r="AS104" s="367"/>
      <c r="AT104" s="367"/>
      <c r="AU104" s="367"/>
      <c r="AV104" s="367"/>
      <c r="AW104" s="367"/>
    </row>
    <row r="105" spans="1:49" hidden="1">
      <c r="A105" s="367"/>
      <c r="B105" s="171" t="s">
        <v>72</v>
      </c>
      <c r="C105" s="172">
        <v>0.375</v>
      </c>
      <c r="D105" s="172">
        <v>0.25</v>
      </c>
      <c r="E105" s="173">
        <v>8</v>
      </c>
      <c r="F105" s="277"/>
      <c r="G105" s="4"/>
      <c r="H105" s="47">
        <v>0.375</v>
      </c>
      <c r="I105" s="172">
        <v>0.25</v>
      </c>
      <c r="J105" s="173">
        <v>8</v>
      </c>
      <c r="K105" s="277"/>
      <c r="L105" s="4"/>
      <c r="M105" s="172">
        <v>0.375</v>
      </c>
      <c r="N105" s="47">
        <v>0.25</v>
      </c>
      <c r="O105" s="173">
        <v>8</v>
      </c>
      <c r="P105" s="277"/>
      <c r="R105" s="47">
        <v>0.375</v>
      </c>
      <c r="S105" s="47">
        <v>0.25</v>
      </c>
      <c r="T105" s="173">
        <v>8</v>
      </c>
      <c r="U105" s="277"/>
      <c r="W105" s="47">
        <v>0.375</v>
      </c>
      <c r="X105" s="47">
        <v>0.25</v>
      </c>
      <c r="Y105" s="19">
        <v>8</v>
      </c>
      <c r="Z105" s="277"/>
      <c r="AA105" s="28">
        <f t="shared" si="22"/>
        <v>40</v>
      </c>
      <c r="AB105" s="298">
        <f>Z105+U105+P105+K105+F105</f>
        <v>0</v>
      </c>
      <c r="AC105" s="4"/>
      <c r="AD105" s="175"/>
      <c r="AE105" s="175"/>
      <c r="AF105" s="173"/>
      <c r="AG105" s="28">
        <f t="shared" si="23"/>
        <v>0</v>
      </c>
      <c r="AH105" s="175"/>
      <c r="AI105" s="402"/>
      <c r="AJ105" s="367"/>
      <c r="AK105" s="188" t="s">
        <v>32</v>
      </c>
      <c r="AL105" s="196">
        <f>AG139</f>
        <v>34.25</v>
      </c>
      <c r="AM105" s="510">
        <v>57</v>
      </c>
      <c r="AN105" s="510">
        <f t="shared" si="21"/>
        <v>1952.25</v>
      </c>
      <c r="AQ105" s="367"/>
      <c r="AR105" s="367"/>
      <c r="AS105" s="367"/>
      <c r="AT105" s="367"/>
      <c r="AU105" s="367"/>
      <c r="AV105" s="367"/>
      <c r="AW105" s="367"/>
    </row>
    <row r="106" spans="1:49" hidden="1">
      <c r="A106" s="367"/>
      <c r="B106" s="171" t="s">
        <v>91</v>
      </c>
      <c r="C106" s="172" t="s">
        <v>116</v>
      </c>
      <c r="D106" s="172">
        <v>0.25</v>
      </c>
      <c r="E106" s="19">
        <v>0</v>
      </c>
      <c r="F106" s="277"/>
      <c r="G106" s="399"/>
      <c r="H106" s="47">
        <v>0</v>
      </c>
      <c r="I106" s="47">
        <v>0</v>
      </c>
      <c r="J106" s="19">
        <v>0</v>
      </c>
      <c r="K106" s="277"/>
      <c r="L106" s="399"/>
      <c r="M106" s="47" t="s">
        <v>116</v>
      </c>
      <c r="N106" s="47">
        <v>0</v>
      </c>
      <c r="O106" s="319">
        <v>0</v>
      </c>
      <c r="P106" s="277"/>
      <c r="Q106" s="399"/>
      <c r="R106" s="47" t="s">
        <v>116</v>
      </c>
      <c r="S106" s="47">
        <v>0</v>
      </c>
      <c r="T106" s="19">
        <v>0</v>
      </c>
      <c r="U106" s="277"/>
      <c r="V106" s="399"/>
      <c r="W106" s="436">
        <v>0.375</v>
      </c>
      <c r="X106" s="47">
        <v>6.25E-2</v>
      </c>
      <c r="Y106" s="19">
        <v>4.5</v>
      </c>
      <c r="Z106" s="277"/>
      <c r="AA106" s="29">
        <f t="shared" si="22"/>
        <v>4.5</v>
      </c>
      <c r="AB106" s="298">
        <f>Z106+U106+P106+K106+F106</f>
        <v>0</v>
      </c>
      <c r="AC106" s="399"/>
      <c r="AD106" s="345"/>
      <c r="AE106" s="345"/>
      <c r="AF106" s="346"/>
      <c r="AG106" s="29">
        <f t="shared" si="23"/>
        <v>0</v>
      </c>
      <c r="AH106" s="175"/>
      <c r="AJ106" s="401"/>
      <c r="AK106" s="403" t="s">
        <v>34</v>
      </c>
      <c r="AL106" s="404">
        <f>AA142</f>
        <v>53</v>
      </c>
      <c r="AM106" s="510">
        <v>50</v>
      </c>
      <c r="AN106" s="510">
        <f t="shared" si="21"/>
        <v>2650</v>
      </c>
      <c r="AO106" s="405"/>
      <c r="AP106" s="405"/>
      <c r="AQ106" s="401"/>
      <c r="AR106" s="401"/>
      <c r="AS106" s="401"/>
      <c r="AT106" s="401"/>
      <c r="AU106" s="401"/>
      <c r="AV106" s="401"/>
      <c r="AW106" s="401"/>
    </row>
    <row r="107" spans="1:49" hidden="1">
      <c r="A107" s="367"/>
      <c r="B107" s="171" t="s">
        <v>52</v>
      </c>
      <c r="C107" s="172">
        <v>0.375</v>
      </c>
      <c r="D107" s="172">
        <v>0.25</v>
      </c>
      <c r="E107" s="319">
        <v>8</v>
      </c>
      <c r="F107" s="277"/>
      <c r="G107" s="175"/>
      <c r="H107" s="47">
        <v>0</v>
      </c>
      <c r="I107" s="314">
        <v>0</v>
      </c>
      <c r="J107" s="319">
        <v>0</v>
      </c>
      <c r="K107" s="277"/>
      <c r="L107" s="175"/>
      <c r="M107" s="47">
        <v>0.375</v>
      </c>
      <c r="N107" s="47">
        <v>0.25</v>
      </c>
      <c r="O107" s="173">
        <v>8</v>
      </c>
      <c r="P107" s="277"/>
      <c r="Q107" s="175"/>
      <c r="R107" s="47">
        <v>0.375</v>
      </c>
      <c r="S107" s="47">
        <v>0.25</v>
      </c>
      <c r="T107" s="173">
        <v>8</v>
      </c>
      <c r="U107" s="277">
        <v>1</v>
      </c>
      <c r="V107" s="175"/>
      <c r="W107" s="47">
        <v>0.375</v>
      </c>
      <c r="X107" s="47">
        <v>0.25</v>
      </c>
      <c r="Y107" s="19">
        <v>8</v>
      </c>
      <c r="Z107" s="277">
        <v>1</v>
      </c>
      <c r="AA107" s="344">
        <f t="shared" si="22"/>
        <v>32</v>
      </c>
      <c r="AB107" s="298">
        <f>Z107+U107+P107+K107+F107</f>
        <v>2</v>
      </c>
      <c r="AC107" s="175"/>
      <c r="AD107" s="345"/>
      <c r="AE107" s="345"/>
      <c r="AF107" s="346"/>
      <c r="AG107" s="344">
        <f t="shared" si="23"/>
        <v>0</v>
      </c>
      <c r="AH107" s="175"/>
      <c r="AI107" s="368"/>
      <c r="AK107" s="188" t="s">
        <v>36</v>
      </c>
      <c r="AL107" s="196">
        <f>AB140</f>
        <v>0.5</v>
      </c>
      <c r="AM107" s="510">
        <v>75</v>
      </c>
      <c r="AN107" s="510">
        <f t="shared" si="21"/>
        <v>37.5</v>
      </c>
    </row>
    <row r="108" spans="1:49" hidden="1">
      <c r="A108" s="401"/>
      <c r="B108" s="171"/>
      <c r="C108" s="172"/>
      <c r="D108" s="172"/>
      <c r="E108" s="19"/>
      <c r="F108" s="277"/>
      <c r="G108" s="4"/>
      <c r="H108" s="47"/>
      <c r="I108" s="47"/>
      <c r="J108" s="319"/>
      <c r="K108" s="277"/>
      <c r="L108" s="4"/>
      <c r="M108" s="47"/>
      <c r="N108" s="47"/>
      <c r="O108" s="319"/>
      <c r="P108" s="277"/>
      <c r="R108" s="47"/>
      <c r="S108" s="47"/>
      <c r="T108" s="19"/>
      <c r="U108" s="277"/>
      <c r="W108" s="47"/>
      <c r="X108" s="47"/>
      <c r="Y108" s="19"/>
      <c r="Z108" s="277"/>
      <c r="AA108" s="344">
        <f t="shared" si="22"/>
        <v>0</v>
      </c>
      <c r="AB108" s="298">
        <f>Z108+U108+P108+K108+F108</f>
        <v>0</v>
      </c>
      <c r="AC108" s="4"/>
      <c r="AD108" s="345"/>
      <c r="AE108" s="345"/>
      <c r="AF108" s="346"/>
      <c r="AG108" s="29">
        <f t="shared" si="23"/>
        <v>0</v>
      </c>
      <c r="AJ108" s="367"/>
      <c r="AK108" s="188" t="s">
        <v>38</v>
      </c>
      <c r="AL108" s="196">
        <f>AG140</f>
        <v>0</v>
      </c>
      <c r="AM108" s="510">
        <v>75</v>
      </c>
      <c r="AN108" s="510">
        <f t="shared" si="21"/>
        <v>0</v>
      </c>
      <c r="AQ108" s="367"/>
      <c r="AR108" s="367"/>
      <c r="AS108" s="367"/>
      <c r="AT108" s="367"/>
      <c r="AU108" s="367"/>
      <c r="AV108" s="367"/>
      <c r="AW108" s="367"/>
    </row>
    <row r="109" spans="1:49" ht="14.25" hidden="1" thickBot="1">
      <c r="A109" s="180"/>
      <c r="B109" s="164" t="s">
        <v>109</v>
      </c>
      <c r="C109" s="172">
        <v>0.36458333333333331</v>
      </c>
      <c r="D109" s="172" t="s">
        <v>114</v>
      </c>
      <c r="E109" s="19">
        <v>8</v>
      </c>
      <c r="F109" s="277"/>
      <c r="G109" s="4"/>
      <c r="H109" s="47">
        <v>0.375</v>
      </c>
      <c r="I109" s="172">
        <v>0.25</v>
      </c>
      <c r="J109" s="319">
        <v>8</v>
      </c>
      <c r="K109" s="277"/>
      <c r="L109" s="4"/>
      <c r="M109" s="47">
        <v>0.36458333333333331</v>
      </c>
      <c r="N109" s="47" t="s">
        <v>114</v>
      </c>
      <c r="O109" s="319">
        <v>8</v>
      </c>
      <c r="P109" s="277"/>
      <c r="R109" s="47">
        <v>0.36458333333333331</v>
      </c>
      <c r="S109" s="47">
        <v>0.25</v>
      </c>
      <c r="T109" s="173">
        <v>8</v>
      </c>
      <c r="U109" s="277"/>
      <c r="W109" s="47">
        <v>0</v>
      </c>
      <c r="X109" s="4">
        <v>0</v>
      </c>
      <c r="Y109" s="19">
        <v>0</v>
      </c>
      <c r="Z109" s="277"/>
      <c r="AA109" s="29">
        <f t="shared" si="22"/>
        <v>32</v>
      </c>
      <c r="AB109" s="298">
        <f t="shared" ref="AB109:AB117" si="24">Z109+U109+P109+K109+F108</f>
        <v>0</v>
      </c>
      <c r="AC109" s="4"/>
      <c r="AD109" s="345"/>
      <c r="AE109" s="345"/>
      <c r="AF109" s="346"/>
      <c r="AG109" s="29">
        <f t="shared" si="23"/>
        <v>0</v>
      </c>
      <c r="AH109" s="175"/>
      <c r="AK109" s="188" t="s">
        <v>41</v>
      </c>
      <c r="AL109" s="196">
        <f>C143</f>
        <v>85</v>
      </c>
      <c r="AM109" s="512">
        <v>45</v>
      </c>
      <c r="AN109" s="512">
        <f t="shared" si="21"/>
        <v>3825</v>
      </c>
      <c r="AO109" s="369"/>
      <c r="AP109" s="369"/>
    </row>
    <row r="110" spans="1:49" ht="14.25" hidden="1" thickTop="1">
      <c r="A110" s="367"/>
      <c r="B110" s="418" t="s">
        <v>93</v>
      </c>
      <c r="C110" s="172" t="s">
        <v>116</v>
      </c>
      <c r="D110" s="172">
        <v>0</v>
      </c>
      <c r="E110" s="19">
        <v>0</v>
      </c>
      <c r="F110" s="277"/>
      <c r="G110" s="4"/>
      <c r="H110" s="47">
        <v>0.22916666666666666</v>
      </c>
      <c r="I110" s="172">
        <v>0.25</v>
      </c>
      <c r="J110" s="319">
        <v>8</v>
      </c>
      <c r="K110" s="277"/>
      <c r="L110" s="4"/>
      <c r="M110" s="172" t="s">
        <v>236</v>
      </c>
      <c r="N110" s="172" t="s">
        <v>29</v>
      </c>
      <c r="O110" s="173">
        <v>0</v>
      </c>
      <c r="P110" s="277"/>
      <c r="R110" s="172" t="s">
        <v>236</v>
      </c>
      <c r="S110" s="172" t="s">
        <v>29</v>
      </c>
      <c r="T110" s="173">
        <v>0</v>
      </c>
      <c r="U110" s="277"/>
      <c r="W110" s="172" t="s">
        <v>236</v>
      </c>
      <c r="X110" s="172" t="s">
        <v>29</v>
      </c>
      <c r="Y110" s="173">
        <v>0</v>
      </c>
      <c r="Z110" s="277"/>
      <c r="AA110" s="29">
        <f t="shared" ref="AA110:AA117" si="25">(E109+J110+O110+T110+Y110)</f>
        <v>16</v>
      </c>
      <c r="AB110" s="298">
        <f t="shared" si="24"/>
        <v>0</v>
      </c>
      <c r="AC110" s="4"/>
      <c r="AD110" s="345"/>
      <c r="AE110" s="345"/>
      <c r="AF110" s="346"/>
      <c r="AG110" s="29">
        <f t="shared" si="23"/>
        <v>0</v>
      </c>
      <c r="AN110" s="510">
        <f>SUM(AN103:AN109)</f>
        <v>39126</v>
      </c>
    </row>
    <row r="111" spans="1:49" hidden="1">
      <c r="A111" s="180"/>
      <c r="B111" s="164" t="s">
        <v>97</v>
      </c>
      <c r="C111" s="172">
        <v>0.36458333333333331</v>
      </c>
      <c r="D111" s="172">
        <v>0.25</v>
      </c>
      <c r="E111" s="19">
        <v>8</v>
      </c>
      <c r="F111" s="277"/>
      <c r="G111" s="4"/>
      <c r="H111" s="47" t="s">
        <v>116</v>
      </c>
      <c r="I111" s="47">
        <v>0</v>
      </c>
      <c r="J111" s="319">
        <v>0</v>
      </c>
      <c r="K111" s="277"/>
      <c r="L111" s="4"/>
      <c r="M111" s="47">
        <v>0.35416666666666669</v>
      </c>
      <c r="N111" s="47">
        <v>0.25</v>
      </c>
      <c r="O111" s="173">
        <v>8</v>
      </c>
      <c r="P111" s="277"/>
      <c r="R111" s="47">
        <v>0.36458333333333331</v>
      </c>
      <c r="S111" s="47">
        <v>0.25</v>
      </c>
      <c r="T111" s="173">
        <v>8</v>
      </c>
      <c r="U111" s="277"/>
      <c r="W111" s="47">
        <v>0</v>
      </c>
      <c r="X111" s="4">
        <v>0</v>
      </c>
      <c r="Y111" s="19">
        <v>0</v>
      </c>
      <c r="Z111" s="277"/>
      <c r="AA111" s="29">
        <f t="shared" si="25"/>
        <v>16</v>
      </c>
      <c r="AB111" s="298">
        <f t="shared" si="24"/>
        <v>0</v>
      </c>
      <c r="AC111" s="4"/>
      <c r="AD111" s="345"/>
      <c r="AE111" s="345"/>
      <c r="AF111" s="346"/>
      <c r="AG111" s="29">
        <f t="shared" si="23"/>
        <v>0</v>
      </c>
    </row>
    <row r="112" spans="1:49" hidden="1">
      <c r="A112" s="180"/>
      <c r="B112" s="418" t="s">
        <v>232</v>
      </c>
      <c r="C112" s="172">
        <v>0.375</v>
      </c>
      <c r="D112" s="172">
        <v>0.25</v>
      </c>
      <c r="E112" s="19">
        <v>8</v>
      </c>
      <c r="F112" s="277"/>
      <c r="G112" s="4"/>
      <c r="H112" s="47">
        <v>0.375</v>
      </c>
      <c r="I112" s="172">
        <v>0.25</v>
      </c>
      <c r="J112" s="319">
        <v>8</v>
      </c>
      <c r="K112" s="277"/>
      <c r="L112" s="4"/>
      <c r="M112" s="172" t="s">
        <v>236</v>
      </c>
      <c r="N112" s="172" t="s">
        <v>29</v>
      </c>
      <c r="O112" s="173">
        <v>0</v>
      </c>
      <c r="P112" s="277"/>
      <c r="R112" s="172" t="s">
        <v>236</v>
      </c>
      <c r="S112" s="172" t="s">
        <v>29</v>
      </c>
      <c r="T112" s="173">
        <v>0</v>
      </c>
      <c r="U112" s="277"/>
      <c r="W112" s="172" t="s">
        <v>236</v>
      </c>
      <c r="X112" s="172" t="s">
        <v>29</v>
      </c>
      <c r="Y112" s="173">
        <v>0</v>
      </c>
      <c r="Z112" s="277"/>
      <c r="AA112" s="29">
        <f t="shared" si="25"/>
        <v>16</v>
      </c>
      <c r="AB112" s="298">
        <f t="shared" si="24"/>
        <v>0</v>
      </c>
      <c r="AC112" s="4"/>
      <c r="AD112" s="345"/>
      <c r="AE112" s="345"/>
      <c r="AF112" s="346"/>
      <c r="AG112" s="29">
        <f t="shared" si="23"/>
        <v>0</v>
      </c>
    </row>
    <row r="113" spans="1:33" hidden="1">
      <c r="A113" s="180"/>
      <c r="B113" s="164" t="s">
        <v>53</v>
      </c>
      <c r="C113" s="172" t="s">
        <v>116</v>
      </c>
      <c r="D113" s="172">
        <v>0.25</v>
      </c>
      <c r="E113" s="19">
        <v>0</v>
      </c>
      <c r="F113" s="277"/>
      <c r="G113" s="4"/>
      <c r="H113" s="47">
        <v>0.25</v>
      </c>
      <c r="I113" s="172">
        <v>0.25</v>
      </c>
      <c r="J113" s="319">
        <v>8</v>
      </c>
      <c r="K113" s="277">
        <v>3</v>
      </c>
      <c r="L113" s="4"/>
      <c r="M113" s="47">
        <v>0.35416666666666669</v>
      </c>
      <c r="N113" s="47">
        <v>0.25</v>
      </c>
      <c r="O113" s="173">
        <v>8</v>
      </c>
      <c r="P113" s="277"/>
      <c r="R113" s="47">
        <v>0.375</v>
      </c>
      <c r="S113" s="47">
        <v>0.25</v>
      </c>
      <c r="T113" s="173">
        <v>8</v>
      </c>
      <c r="U113" s="277"/>
      <c r="W113" s="47">
        <v>0.34375</v>
      </c>
      <c r="X113" s="47">
        <v>0.25</v>
      </c>
      <c r="Y113" s="19">
        <v>8</v>
      </c>
      <c r="Z113" s="277"/>
      <c r="AA113" s="29">
        <f t="shared" si="25"/>
        <v>40</v>
      </c>
      <c r="AB113" s="298">
        <f t="shared" si="24"/>
        <v>3</v>
      </c>
      <c r="AC113" s="4"/>
      <c r="AD113" s="345"/>
      <c r="AE113" s="345"/>
      <c r="AF113" s="346"/>
      <c r="AG113" s="29">
        <f t="shared" si="23"/>
        <v>0</v>
      </c>
    </row>
    <row r="114" spans="1:33" hidden="1">
      <c r="A114" s="180"/>
      <c r="B114" s="418" t="s">
        <v>233</v>
      </c>
      <c r="C114" s="172">
        <v>0.36458333333333331</v>
      </c>
      <c r="D114" s="172">
        <v>0.25</v>
      </c>
      <c r="E114" s="19">
        <v>8</v>
      </c>
      <c r="F114" s="277"/>
      <c r="G114" s="4"/>
      <c r="H114" s="47">
        <v>0.25</v>
      </c>
      <c r="I114" s="172">
        <v>0.25</v>
      </c>
      <c r="J114" s="19">
        <v>8</v>
      </c>
      <c r="K114" s="277">
        <v>3</v>
      </c>
      <c r="L114" s="4"/>
      <c r="M114" s="172" t="s">
        <v>236</v>
      </c>
      <c r="N114" s="172" t="s">
        <v>29</v>
      </c>
      <c r="O114" s="173">
        <v>0</v>
      </c>
      <c r="P114" s="277"/>
      <c r="R114" s="172" t="s">
        <v>236</v>
      </c>
      <c r="S114" s="172" t="s">
        <v>29</v>
      </c>
      <c r="T114" s="173">
        <v>0</v>
      </c>
      <c r="U114" s="277"/>
      <c r="W114" s="172" t="s">
        <v>236</v>
      </c>
      <c r="X114" s="172" t="s">
        <v>29</v>
      </c>
      <c r="Y114" s="173">
        <v>0</v>
      </c>
      <c r="Z114" s="277"/>
      <c r="AA114" s="29">
        <f t="shared" si="25"/>
        <v>8</v>
      </c>
      <c r="AB114" s="298">
        <f t="shared" si="24"/>
        <v>3</v>
      </c>
      <c r="AC114" s="4"/>
      <c r="AD114" s="172">
        <v>0.375</v>
      </c>
      <c r="AE114" s="172">
        <v>0.20833333333333334</v>
      </c>
      <c r="AF114" s="173">
        <v>7</v>
      </c>
      <c r="AG114" s="29">
        <f t="shared" si="23"/>
        <v>7</v>
      </c>
    </row>
    <row r="115" spans="1:33" hidden="1">
      <c r="A115" s="180"/>
      <c r="B115" s="418" t="s">
        <v>234</v>
      </c>
      <c r="C115" s="172">
        <v>0.375</v>
      </c>
      <c r="D115" s="172">
        <v>0.25</v>
      </c>
      <c r="E115" s="19">
        <v>8</v>
      </c>
      <c r="F115" s="277"/>
      <c r="G115" s="4"/>
      <c r="H115" s="47">
        <v>0.26041666666666669</v>
      </c>
      <c r="I115" s="172">
        <v>0.25</v>
      </c>
      <c r="J115" s="319">
        <v>8</v>
      </c>
      <c r="K115" s="277">
        <v>2.75</v>
      </c>
      <c r="L115" s="4"/>
      <c r="M115" s="172" t="s">
        <v>236</v>
      </c>
      <c r="N115" s="172" t="s">
        <v>29</v>
      </c>
      <c r="O115" s="173">
        <v>0</v>
      </c>
      <c r="P115" s="277"/>
      <c r="R115" s="172" t="s">
        <v>236</v>
      </c>
      <c r="S115" s="172" t="s">
        <v>29</v>
      </c>
      <c r="T115" s="173">
        <v>0</v>
      </c>
      <c r="U115" s="277"/>
      <c r="W115" s="172" t="s">
        <v>236</v>
      </c>
      <c r="X115" s="172" t="s">
        <v>29</v>
      </c>
      <c r="Y115" s="173">
        <v>0</v>
      </c>
      <c r="Z115" s="277"/>
      <c r="AA115" s="29">
        <f t="shared" si="25"/>
        <v>16</v>
      </c>
      <c r="AB115" s="298">
        <f t="shared" si="24"/>
        <v>2.75</v>
      </c>
      <c r="AC115" s="4"/>
      <c r="AD115" s="345"/>
      <c r="AE115" s="345"/>
      <c r="AF115" s="346"/>
      <c r="AG115" s="29">
        <f t="shared" si="23"/>
        <v>0</v>
      </c>
    </row>
    <row r="116" spans="1:33" hidden="1">
      <c r="A116" s="180"/>
      <c r="B116" s="418" t="s">
        <v>35</v>
      </c>
      <c r="C116" s="172" t="s">
        <v>116</v>
      </c>
      <c r="D116" s="172">
        <v>0.25</v>
      </c>
      <c r="E116" s="19">
        <v>0</v>
      </c>
      <c r="F116" s="277"/>
      <c r="G116" s="4"/>
      <c r="H116" s="47">
        <v>0.41666666666666669</v>
      </c>
      <c r="I116" s="172">
        <v>0.25</v>
      </c>
      <c r="J116" s="19">
        <v>7</v>
      </c>
      <c r="K116" s="277"/>
      <c r="L116" s="4"/>
      <c r="M116" s="172" t="s">
        <v>236</v>
      </c>
      <c r="N116" s="172" t="s">
        <v>29</v>
      </c>
      <c r="O116" s="173">
        <v>0</v>
      </c>
      <c r="P116" s="277"/>
      <c r="R116" s="172" t="s">
        <v>236</v>
      </c>
      <c r="S116" s="172" t="s">
        <v>29</v>
      </c>
      <c r="T116" s="173">
        <v>0</v>
      </c>
      <c r="U116" s="277"/>
      <c r="W116" s="172" t="s">
        <v>236</v>
      </c>
      <c r="X116" s="172" t="s">
        <v>29</v>
      </c>
      <c r="Y116" s="173">
        <v>0</v>
      </c>
      <c r="Z116" s="277"/>
      <c r="AA116" s="29">
        <f t="shared" si="25"/>
        <v>15</v>
      </c>
      <c r="AB116" s="298">
        <f t="shared" si="24"/>
        <v>0</v>
      </c>
      <c r="AC116" s="4"/>
      <c r="AD116" s="172">
        <v>0.39583333333333331</v>
      </c>
      <c r="AE116" s="172">
        <v>0.20833333333333334</v>
      </c>
      <c r="AF116" s="173">
        <v>6.5</v>
      </c>
      <c r="AG116" s="29">
        <f t="shared" si="23"/>
        <v>6.5</v>
      </c>
    </row>
    <row r="117" spans="1:33" hidden="1">
      <c r="A117" s="180"/>
      <c r="B117" s="164" t="s">
        <v>115</v>
      </c>
      <c r="C117" s="172">
        <v>0.36458333333333331</v>
      </c>
      <c r="D117" s="172">
        <v>0.25</v>
      </c>
      <c r="E117" s="19">
        <v>8</v>
      </c>
      <c r="F117" s="277"/>
      <c r="G117" s="4"/>
      <c r="H117" s="47">
        <v>0.36458333333333331</v>
      </c>
      <c r="I117" s="172">
        <v>0.25</v>
      </c>
      <c r="J117" s="19">
        <v>8</v>
      </c>
      <c r="K117" s="277"/>
      <c r="L117" s="4"/>
      <c r="M117" s="47">
        <v>0.36458333333333331</v>
      </c>
      <c r="N117" s="47">
        <v>0.25</v>
      </c>
      <c r="O117" s="173">
        <v>8</v>
      </c>
      <c r="P117" s="277"/>
      <c r="R117" s="47">
        <v>0.36458333333333331</v>
      </c>
      <c r="S117" s="47">
        <v>0.25</v>
      </c>
      <c r="T117" s="173">
        <v>8</v>
      </c>
      <c r="U117" s="277"/>
      <c r="W117" s="47">
        <v>0.36458333333333331</v>
      </c>
      <c r="X117" s="47">
        <v>0.25</v>
      </c>
      <c r="Y117" s="19">
        <v>8</v>
      </c>
      <c r="Z117" s="277"/>
      <c r="AA117" s="29">
        <f t="shared" si="25"/>
        <v>32</v>
      </c>
      <c r="AB117" s="298">
        <f t="shared" si="24"/>
        <v>0</v>
      </c>
      <c r="AC117" s="4"/>
      <c r="AD117" s="345"/>
      <c r="AE117" s="345"/>
      <c r="AF117" s="346"/>
      <c r="AG117" s="29">
        <f t="shared" si="23"/>
        <v>0</v>
      </c>
    </row>
    <row r="118" spans="1:33" hidden="1">
      <c r="A118" s="180"/>
      <c r="B118" s="164" t="s">
        <v>46</v>
      </c>
      <c r="C118" s="172">
        <v>0.375</v>
      </c>
      <c r="D118" s="172">
        <v>0.25</v>
      </c>
      <c r="E118" s="19">
        <v>8</v>
      </c>
      <c r="F118" s="277"/>
      <c r="G118" s="4"/>
      <c r="H118" s="47">
        <v>0.25</v>
      </c>
      <c r="I118" s="172">
        <v>0.25</v>
      </c>
      <c r="J118" s="19">
        <v>8</v>
      </c>
      <c r="K118" s="277">
        <v>3</v>
      </c>
      <c r="L118" s="4"/>
      <c r="M118" s="47">
        <v>0.36458333333333331</v>
      </c>
      <c r="N118" s="47">
        <v>0.25</v>
      </c>
      <c r="O118" s="173">
        <v>8</v>
      </c>
      <c r="P118" s="277"/>
      <c r="R118" s="47">
        <v>0.36458333333333331</v>
      </c>
      <c r="S118" s="47">
        <v>0.25</v>
      </c>
      <c r="T118" s="173">
        <v>8</v>
      </c>
      <c r="U118" s="277"/>
      <c r="W118" s="47">
        <v>0.375</v>
      </c>
      <c r="X118" s="47">
        <v>0.25</v>
      </c>
      <c r="Y118" s="19">
        <v>8</v>
      </c>
      <c r="Z118" s="277"/>
      <c r="AA118" s="29">
        <f t="shared" ref="AA118:AA135" si="26">(E118+J118+O118+T118+Y118)</f>
        <v>40</v>
      </c>
      <c r="AB118" s="298">
        <f t="shared" ref="AB118:AB138" si="27">Z118+U118+P118+K118+F118</f>
        <v>3</v>
      </c>
      <c r="AC118" s="4"/>
      <c r="AD118" s="345"/>
      <c r="AE118" s="345"/>
      <c r="AF118" s="346"/>
      <c r="AG118" s="29">
        <f t="shared" si="23"/>
        <v>0</v>
      </c>
    </row>
    <row r="119" spans="1:33" hidden="1">
      <c r="A119" s="180"/>
      <c r="B119" s="418" t="s">
        <v>50</v>
      </c>
      <c r="C119" s="172">
        <v>0.38541666666666669</v>
      </c>
      <c r="D119" s="172">
        <v>0.25</v>
      </c>
      <c r="E119" s="19">
        <v>7.75</v>
      </c>
      <c r="F119" s="277"/>
      <c r="G119" s="4"/>
      <c r="H119" s="47">
        <v>0.375</v>
      </c>
      <c r="I119" s="47">
        <v>0.25</v>
      </c>
      <c r="J119" s="19">
        <v>8</v>
      </c>
      <c r="K119" s="277"/>
      <c r="L119" s="4"/>
      <c r="M119" s="172" t="s">
        <v>236</v>
      </c>
      <c r="N119" s="172" t="s">
        <v>29</v>
      </c>
      <c r="O119" s="173">
        <v>0</v>
      </c>
      <c r="P119" s="277"/>
      <c r="R119" s="172" t="s">
        <v>236</v>
      </c>
      <c r="S119" s="172" t="s">
        <v>29</v>
      </c>
      <c r="T119" s="173">
        <v>0</v>
      </c>
      <c r="U119" s="277"/>
      <c r="W119" s="172" t="s">
        <v>236</v>
      </c>
      <c r="X119" s="172" t="s">
        <v>29</v>
      </c>
      <c r="Y119" s="173">
        <v>0</v>
      </c>
      <c r="Z119" s="277"/>
      <c r="AA119" s="29">
        <f t="shared" si="26"/>
        <v>15.75</v>
      </c>
      <c r="AB119" s="298">
        <f t="shared" si="27"/>
        <v>0</v>
      </c>
      <c r="AC119" s="4"/>
      <c r="AD119" s="172">
        <v>0.38541666666666669</v>
      </c>
      <c r="AE119" s="172">
        <v>0.20833333333333334</v>
      </c>
      <c r="AF119" s="173">
        <v>6.75</v>
      </c>
      <c r="AG119" s="29">
        <f t="shared" si="23"/>
        <v>6.75</v>
      </c>
    </row>
    <row r="120" spans="1:33" hidden="1">
      <c r="A120" s="180"/>
      <c r="B120" s="419" t="s">
        <v>43</v>
      </c>
      <c r="C120" s="172">
        <v>0.375</v>
      </c>
      <c r="D120" s="172">
        <v>0.25</v>
      </c>
      <c r="E120" s="19">
        <v>8</v>
      </c>
      <c r="F120" s="277"/>
      <c r="G120" s="4"/>
      <c r="H120" s="47" t="s">
        <v>29</v>
      </c>
      <c r="I120" s="47" t="s">
        <v>29</v>
      </c>
      <c r="J120" s="19">
        <v>0</v>
      </c>
      <c r="K120" s="277"/>
      <c r="L120" s="4"/>
      <c r="M120" s="47">
        <v>0.38541666666666669</v>
      </c>
      <c r="N120" s="47">
        <v>0.25</v>
      </c>
      <c r="O120" s="319">
        <v>7.75</v>
      </c>
      <c r="P120" s="277"/>
      <c r="R120" s="47">
        <v>0.375</v>
      </c>
      <c r="S120" s="47">
        <v>0.25</v>
      </c>
      <c r="T120" s="173">
        <v>8</v>
      </c>
      <c r="U120" s="277"/>
      <c r="W120" s="436">
        <v>0.41666666666666669</v>
      </c>
      <c r="X120" s="47">
        <v>0.25</v>
      </c>
      <c r="Y120" s="19">
        <v>7</v>
      </c>
      <c r="Z120" s="277"/>
      <c r="AA120" s="29">
        <f t="shared" si="26"/>
        <v>30.75</v>
      </c>
      <c r="AB120" s="298">
        <f t="shared" si="27"/>
        <v>0</v>
      </c>
      <c r="AC120" s="4"/>
      <c r="AD120" s="345"/>
      <c r="AE120" s="345"/>
      <c r="AF120" s="346"/>
      <c r="AG120" s="29">
        <f t="shared" si="23"/>
        <v>0</v>
      </c>
    </row>
    <row r="121" spans="1:33" hidden="1">
      <c r="A121" s="180"/>
      <c r="B121" s="224" t="s">
        <v>113</v>
      </c>
      <c r="C121" s="172">
        <v>0.36458333333333331</v>
      </c>
      <c r="D121" s="172" t="s">
        <v>114</v>
      </c>
      <c r="E121" s="19">
        <v>8</v>
      </c>
      <c r="F121" s="277"/>
      <c r="G121" s="4"/>
      <c r="H121" s="47">
        <v>0.375</v>
      </c>
      <c r="I121" s="172">
        <v>0.25</v>
      </c>
      <c r="J121" s="19">
        <v>8</v>
      </c>
      <c r="K121" s="277"/>
      <c r="L121" s="4"/>
      <c r="M121" s="47">
        <v>0.375</v>
      </c>
      <c r="N121" s="47">
        <v>0.25</v>
      </c>
      <c r="O121" s="173">
        <v>8</v>
      </c>
      <c r="P121" s="277"/>
      <c r="R121" s="47">
        <v>0.38541666666666669</v>
      </c>
      <c r="S121" s="47">
        <v>0.25</v>
      </c>
      <c r="T121" s="319">
        <v>7.75</v>
      </c>
      <c r="U121" s="277"/>
      <c r="W121" s="47">
        <v>0.375</v>
      </c>
      <c r="X121" s="47">
        <v>0.25</v>
      </c>
      <c r="Y121" s="19">
        <v>8</v>
      </c>
      <c r="Z121" s="277"/>
      <c r="AA121" s="29">
        <f t="shared" si="26"/>
        <v>39.75</v>
      </c>
      <c r="AB121" s="298">
        <f t="shared" si="27"/>
        <v>0</v>
      </c>
      <c r="AC121" s="4"/>
      <c r="AD121" s="410"/>
      <c r="AE121" s="4"/>
      <c r="AF121" s="19"/>
      <c r="AG121" s="29">
        <f t="shared" si="23"/>
        <v>0</v>
      </c>
    </row>
    <row r="122" spans="1:33" hidden="1">
      <c r="A122" s="180"/>
      <c r="B122" s="164" t="s">
        <v>108</v>
      </c>
      <c r="C122" s="172">
        <v>0.375</v>
      </c>
      <c r="D122" s="172">
        <v>0.25</v>
      </c>
      <c r="E122" s="19">
        <v>8</v>
      </c>
      <c r="F122" s="277"/>
      <c r="G122" s="4"/>
      <c r="H122" s="47">
        <v>0.25</v>
      </c>
      <c r="I122" s="172">
        <v>0.25</v>
      </c>
      <c r="J122" s="19">
        <v>8</v>
      </c>
      <c r="K122" s="277"/>
      <c r="L122" s="4"/>
      <c r="M122" s="47">
        <v>0.375</v>
      </c>
      <c r="N122" s="47">
        <v>0.25</v>
      </c>
      <c r="O122" s="173">
        <v>8</v>
      </c>
      <c r="P122" s="277"/>
      <c r="R122" s="47">
        <v>0.375</v>
      </c>
      <c r="S122" s="47">
        <v>0.25</v>
      </c>
      <c r="T122" s="173">
        <v>8</v>
      </c>
      <c r="U122" s="277"/>
      <c r="W122" s="47">
        <v>0.375</v>
      </c>
      <c r="X122" s="47">
        <v>0.25</v>
      </c>
      <c r="Y122" s="19">
        <v>8</v>
      </c>
      <c r="Z122" s="277"/>
      <c r="AA122" s="29">
        <f t="shared" si="26"/>
        <v>40</v>
      </c>
      <c r="AB122" s="298">
        <f t="shared" si="27"/>
        <v>0</v>
      </c>
      <c r="AC122" s="4"/>
      <c r="AD122" s="4"/>
      <c r="AE122" s="4"/>
      <c r="AF122" s="19"/>
      <c r="AG122" s="29">
        <f t="shared" si="23"/>
        <v>0</v>
      </c>
    </row>
    <row r="123" spans="1:33" hidden="1">
      <c r="A123" s="180"/>
      <c r="B123" s="418" t="s">
        <v>44</v>
      </c>
      <c r="C123" s="172">
        <v>0.38541666666666669</v>
      </c>
      <c r="D123" s="172">
        <v>0.25</v>
      </c>
      <c r="E123" s="19">
        <v>7.75</v>
      </c>
      <c r="F123" s="277"/>
      <c r="G123" s="4"/>
      <c r="H123" s="47">
        <v>0</v>
      </c>
      <c r="I123" s="47">
        <v>0</v>
      </c>
      <c r="J123" s="19">
        <v>0</v>
      </c>
      <c r="K123" s="277"/>
      <c r="L123" s="4"/>
      <c r="M123" s="172" t="s">
        <v>236</v>
      </c>
      <c r="N123" s="172" t="s">
        <v>29</v>
      </c>
      <c r="O123" s="173">
        <v>0</v>
      </c>
      <c r="P123" s="277"/>
      <c r="R123" s="172" t="s">
        <v>236</v>
      </c>
      <c r="S123" s="172" t="s">
        <v>29</v>
      </c>
      <c r="T123" s="173">
        <v>0</v>
      </c>
      <c r="U123" s="277"/>
      <c r="W123" s="172" t="s">
        <v>236</v>
      </c>
      <c r="X123" s="172" t="s">
        <v>29</v>
      </c>
      <c r="Y123" s="173">
        <v>0</v>
      </c>
      <c r="Z123" s="277"/>
      <c r="AA123" s="29">
        <f t="shared" si="26"/>
        <v>7.75</v>
      </c>
      <c r="AB123" s="298">
        <f t="shared" si="27"/>
        <v>0</v>
      </c>
      <c r="AC123" s="4"/>
      <c r="AD123" s="4"/>
      <c r="AE123" s="4"/>
      <c r="AF123" s="19"/>
      <c r="AG123" s="29">
        <f t="shared" si="23"/>
        <v>0</v>
      </c>
    </row>
    <row r="124" spans="1:33" hidden="1">
      <c r="A124" s="180"/>
      <c r="B124" s="418" t="s">
        <v>45</v>
      </c>
      <c r="C124" s="172">
        <v>0.4375</v>
      </c>
      <c r="D124" s="172">
        <v>0.25</v>
      </c>
      <c r="E124" s="19">
        <v>6.5</v>
      </c>
      <c r="F124" s="277"/>
      <c r="G124" s="4"/>
      <c r="H124" s="47">
        <v>0.40625</v>
      </c>
      <c r="I124" s="172">
        <v>0.25</v>
      </c>
      <c r="J124" s="19">
        <v>7.25</v>
      </c>
      <c r="K124" s="277"/>
      <c r="L124" s="4"/>
      <c r="M124" s="172" t="s">
        <v>236</v>
      </c>
      <c r="N124" s="172" t="s">
        <v>29</v>
      </c>
      <c r="O124" s="173">
        <v>0</v>
      </c>
      <c r="P124" s="277"/>
      <c r="R124" s="172" t="s">
        <v>236</v>
      </c>
      <c r="S124" s="172" t="s">
        <v>29</v>
      </c>
      <c r="T124" s="173">
        <v>0</v>
      </c>
      <c r="U124" s="277"/>
      <c r="W124" s="172" t="s">
        <v>236</v>
      </c>
      <c r="X124" s="172" t="s">
        <v>29</v>
      </c>
      <c r="Y124" s="173">
        <v>0</v>
      </c>
      <c r="Z124" s="277"/>
      <c r="AA124" s="29">
        <f t="shared" si="26"/>
        <v>13.75</v>
      </c>
      <c r="AB124" s="298">
        <f t="shared" si="27"/>
        <v>0</v>
      </c>
      <c r="AC124" s="4"/>
      <c r="AD124" s="172">
        <v>0.375</v>
      </c>
      <c r="AE124" s="172">
        <v>0.20833333333333334</v>
      </c>
      <c r="AF124" s="173">
        <v>7</v>
      </c>
      <c r="AG124" s="29">
        <f t="shared" si="23"/>
        <v>7</v>
      </c>
    </row>
    <row r="125" spans="1:33" hidden="1">
      <c r="A125" s="180"/>
      <c r="B125" s="418" t="s">
        <v>235</v>
      </c>
      <c r="C125" s="172">
        <v>0.375</v>
      </c>
      <c r="D125" s="172">
        <v>0.25</v>
      </c>
      <c r="E125" s="19">
        <v>8</v>
      </c>
      <c r="F125" s="277"/>
      <c r="G125" s="4"/>
      <c r="H125" s="47">
        <v>0.375</v>
      </c>
      <c r="I125" s="172">
        <v>0.25</v>
      </c>
      <c r="J125" s="19">
        <v>8</v>
      </c>
      <c r="K125" s="277"/>
      <c r="L125" s="4"/>
      <c r="M125" s="172" t="s">
        <v>236</v>
      </c>
      <c r="N125" s="172" t="s">
        <v>29</v>
      </c>
      <c r="O125" s="173">
        <v>0</v>
      </c>
      <c r="P125" s="277"/>
      <c r="R125" s="172" t="s">
        <v>236</v>
      </c>
      <c r="S125" s="172" t="s">
        <v>29</v>
      </c>
      <c r="T125" s="173">
        <v>0</v>
      </c>
      <c r="U125" s="277"/>
      <c r="W125" s="172" t="s">
        <v>236</v>
      </c>
      <c r="X125" s="172" t="s">
        <v>29</v>
      </c>
      <c r="Y125" s="173">
        <v>0</v>
      </c>
      <c r="Z125" s="277"/>
      <c r="AA125" s="29">
        <f t="shared" si="26"/>
        <v>16</v>
      </c>
      <c r="AB125" s="298">
        <f t="shared" si="27"/>
        <v>0</v>
      </c>
      <c r="AC125" s="4"/>
      <c r="AD125" s="4"/>
      <c r="AE125" s="4"/>
      <c r="AF125" s="19"/>
      <c r="AG125" s="29">
        <f t="shared" si="23"/>
        <v>0</v>
      </c>
    </row>
    <row r="126" spans="1:33" hidden="1">
      <c r="A126" s="180"/>
      <c r="B126" s="164" t="s">
        <v>112</v>
      </c>
      <c r="C126" s="172" t="s">
        <v>116</v>
      </c>
      <c r="D126" s="172">
        <v>0.25</v>
      </c>
      <c r="E126" s="19">
        <v>0</v>
      </c>
      <c r="F126" s="277"/>
      <c r="G126" s="4"/>
      <c r="H126" s="47">
        <v>0</v>
      </c>
      <c r="I126" s="47">
        <v>0</v>
      </c>
      <c r="J126" s="19">
        <v>0</v>
      </c>
      <c r="K126" s="277"/>
      <c r="L126" s="4"/>
      <c r="M126" s="47" t="s">
        <v>116</v>
      </c>
      <c r="N126" s="47">
        <v>0</v>
      </c>
      <c r="O126" s="19">
        <v>0</v>
      </c>
      <c r="P126" s="277"/>
      <c r="R126" s="47" t="s">
        <v>116</v>
      </c>
      <c r="S126" s="47">
        <v>0</v>
      </c>
      <c r="T126" s="19">
        <v>0</v>
      </c>
      <c r="U126" s="277"/>
      <c r="W126" s="47" t="s">
        <v>116</v>
      </c>
      <c r="X126" s="47">
        <v>0</v>
      </c>
      <c r="Y126" s="19">
        <v>0</v>
      </c>
      <c r="Z126" s="277"/>
      <c r="AA126" s="29">
        <f t="shared" si="26"/>
        <v>0</v>
      </c>
      <c r="AB126" s="298">
        <f t="shared" si="27"/>
        <v>0</v>
      </c>
      <c r="AC126" s="4"/>
      <c r="AD126" s="4"/>
      <c r="AE126" s="4"/>
      <c r="AF126" s="19"/>
      <c r="AG126" s="29">
        <f t="shared" si="23"/>
        <v>0</v>
      </c>
    </row>
    <row r="127" spans="1:33" hidden="1">
      <c r="A127" s="180"/>
      <c r="B127" s="418" t="s">
        <v>96</v>
      </c>
      <c r="C127" s="172" t="s">
        <v>116</v>
      </c>
      <c r="D127" s="172">
        <v>0.25</v>
      </c>
      <c r="E127" s="19">
        <v>0</v>
      </c>
      <c r="F127" s="277"/>
      <c r="G127" s="4"/>
      <c r="H127" s="47">
        <v>0</v>
      </c>
      <c r="I127" s="47">
        <v>0</v>
      </c>
      <c r="J127" s="19">
        <v>0</v>
      </c>
      <c r="K127" s="277"/>
      <c r="L127" s="4"/>
      <c r="M127" s="172" t="s">
        <v>236</v>
      </c>
      <c r="N127" s="172" t="s">
        <v>29</v>
      </c>
      <c r="O127" s="173">
        <v>0</v>
      </c>
      <c r="P127" s="277"/>
      <c r="R127" s="172" t="s">
        <v>236</v>
      </c>
      <c r="S127" s="172" t="s">
        <v>29</v>
      </c>
      <c r="T127" s="173">
        <v>0</v>
      </c>
      <c r="U127" s="277"/>
      <c r="W127" s="172" t="s">
        <v>236</v>
      </c>
      <c r="X127" s="172" t="s">
        <v>29</v>
      </c>
      <c r="Y127" s="173">
        <v>0</v>
      </c>
      <c r="Z127" s="277"/>
      <c r="AA127" s="29">
        <f t="shared" si="26"/>
        <v>0</v>
      </c>
      <c r="AB127" s="298">
        <f t="shared" si="27"/>
        <v>0</v>
      </c>
      <c r="AC127" s="4"/>
      <c r="AD127" s="172">
        <v>0.35416666666666669</v>
      </c>
      <c r="AE127" s="172">
        <v>0.20833333333333334</v>
      </c>
      <c r="AF127" s="173">
        <v>7</v>
      </c>
      <c r="AG127" s="29">
        <f t="shared" si="23"/>
        <v>7</v>
      </c>
    </row>
    <row r="128" spans="1:33" hidden="1">
      <c r="A128" s="180"/>
      <c r="B128" s="164" t="s">
        <v>42</v>
      </c>
      <c r="C128" s="172">
        <v>0.36458333333333331</v>
      </c>
      <c r="D128" s="172">
        <v>0.25</v>
      </c>
      <c r="E128" s="19">
        <v>8</v>
      </c>
      <c r="F128" s="277"/>
      <c r="G128" s="4"/>
      <c r="H128" s="47">
        <v>0.375</v>
      </c>
      <c r="I128" s="172">
        <v>0.25</v>
      </c>
      <c r="J128" s="19">
        <v>8</v>
      </c>
      <c r="K128" s="277"/>
      <c r="L128" s="4"/>
      <c r="M128" s="47">
        <v>0.35416666666666669</v>
      </c>
      <c r="N128" s="47">
        <v>0.25</v>
      </c>
      <c r="O128" s="173">
        <v>8</v>
      </c>
      <c r="P128" s="277"/>
      <c r="R128" s="47">
        <v>0.34375</v>
      </c>
      <c r="S128" s="47">
        <v>0.25</v>
      </c>
      <c r="T128" s="173">
        <v>8</v>
      </c>
      <c r="U128" s="277"/>
      <c r="W128" s="47">
        <v>0.34375</v>
      </c>
      <c r="X128" s="47">
        <v>0.25</v>
      </c>
      <c r="Y128" s="19">
        <v>8</v>
      </c>
      <c r="Z128" s="277"/>
      <c r="AA128" s="29">
        <f t="shared" si="26"/>
        <v>40</v>
      </c>
      <c r="AB128" s="298">
        <f t="shared" si="27"/>
        <v>0</v>
      </c>
      <c r="AC128" s="4"/>
      <c r="AD128" s="4"/>
      <c r="AE128" s="4"/>
      <c r="AF128" s="19"/>
      <c r="AG128" s="29">
        <f t="shared" si="23"/>
        <v>0</v>
      </c>
    </row>
    <row r="129" spans="1:37" hidden="1">
      <c r="A129" s="180"/>
      <c r="B129" s="13" t="s">
        <v>54</v>
      </c>
      <c r="C129" s="172" t="s">
        <v>29</v>
      </c>
      <c r="D129" s="172" t="s">
        <v>29</v>
      </c>
      <c r="E129" s="19"/>
      <c r="F129" s="277"/>
      <c r="G129" s="4"/>
      <c r="H129" s="4"/>
      <c r="I129" s="4"/>
      <c r="J129" s="19"/>
      <c r="K129" s="277"/>
      <c r="L129" s="4"/>
      <c r="M129" s="4"/>
      <c r="N129" s="47"/>
      <c r="O129" s="319"/>
      <c r="P129" s="277"/>
      <c r="S129" s="4"/>
      <c r="T129" s="19"/>
      <c r="U129" s="277"/>
      <c r="X129" s="4"/>
      <c r="Y129" s="19"/>
      <c r="Z129" s="277"/>
      <c r="AA129" s="29">
        <f t="shared" si="26"/>
        <v>0</v>
      </c>
      <c r="AB129" s="298">
        <f t="shared" si="27"/>
        <v>0</v>
      </c>
      <c r="AC129" s="4"/>
      <c r="AD129" s="4"/>
      <c r="AE129" s="4"/>
      <c r="AF129" s="19"/>
      <c r="AG129" s="29">
        <f t="shared" si="23"/>
        <v>0</v>
      </c>
    </row>
    <row r="130" spans="1:37" hidden="1">
      <c r="A130" s="180"/>
      <c r="B130" s="13" t="s">
        <v>55</v>
      </c>
      <c r="C130" s="172" t="s">
        <v>29</v>
      </c>
      <c r="D130" s="172" t="s">
        <v>29</v>
      </c>
      <c r="E130" s="19"/>
      <c r="F130" s="277"/>
      <c r="G130" s="4"/>
      <c r="H130" s="4"/>
      <c r="I130" s="4"/>
      <c r="J130" s="19"/>
      <c r="K130" s="277"/>
      <c r="L130" s="4"/>
      <c r="M130" s="4"/>
      <c r="N130" s="47"/>
      <c r="O130" s="319"/>
      <c r="P130" s="277"/>
      <c r="S130" s="4"/>
      <c r="T130" s="19"/>
      <c r="U130" s="277"/>
      <c r="X130" s="4"/>
      <c r="Y130" s="19"/>
      <c r="Z130" s="277"/>
      <c r="AA130" s="29">
        <f t="shared" si="26"/>
        <v>0</v>
      </c>
      <c r="AB130" s="298">
        <f t="shared" si="27"/>
        <v>0</v>
      </c>
      <c r="AC130" s="4"/>
      <c r="AD130" s="4"/>
      <c r="AE130" s="4"/>
      <c r="AF130" s="19"/>
      <c r="AG130" s="29">
        <f t="shared" si="23"/>
        <v>0</v>
      </c>
    </row>
    <row r="131" spans="1:37" hidden="1">
      <c r="A131" s="180"/>
      <c r="B131" s="166" t="s">
        <v>48</v>
      </c>
      <c r="C131" s="16" t="s">
        <v>29</v>
      </c>
      <c r="D131" s="16" t="s">
        <v>29</v>
      </c>
      <c r="E131" s="19">
        <v>8</v>
      </c>
      <c r="F131" s="277"/>
      <c r="G131" s="4"/>
      <c r="H131" s="16" t="s">
        <v>29</v>
      </c>
      <c r="I131" s="16" t="s">
        <v>29</v>
      </c>
      <c r="J131" s="19">
        <v>8</v>
      </c>
      <c r="K131" s="277"/>
      <c r="L131" s="4"/>
      <c r="M131" s="16" t="s">
        <v>29</v>
      </c>
      <c r="N131" s="16" t="s">
        <v>29</v>
      </c>
      <c r="O131" s="19">
        <v>8</v>
      </c>
      <c r="P131" s="277"/>
      <c r="R131" s="16" t="s">
        <v>29</v>
      </c>
      <c r="S131" s="16" t="s">
        <v>29</v>
      </c>
      <c r="T131" s="19">
        <v>8</v>
      </c>
      <c r="U131" s="277"/>
      <c r="W131" s="16" t="s">
        <v>29</v>
      </c>
      <c r="X131" s="16" t="s">
        <v>29</v>
      </c>
      <c r="Y131" s="19">
        <v>8</v>
      </c>
      <c r="Z131" s="277"/>
      <c r="AA131" s="29">
        <f t="shared" si="26"/>
        <v>40</v>
      </c>
      <c r="AB131" s="298">
        <f t="shared" si="27"/>
        <v>0</v>
      </c>
      <c r="AC131" s="4"/>
      <c r="AD131" s="4"/>
      <c r="AE131" s="4"/>
      <c r="AF131" s="19"/>
      <c r="AG131" s="29">
        <f t="shared" si="23"/>
        <v>0</v>
      </c>
    </row>
    <row r="132" spans="1:37" hidden="1">
      <c r="A132" s="180"/>
      <c r="B132" s="166" t="s">
        <v>49</v>
      </c>
      <c r="C132" s="47" t="s">
        <v>29</v>
      </c>
      <c r="D132" s="47" t="s">
        <v>29</v>
      </c>
      <c r="E132" s="19">
        <v>8</v>
      </c>
      <c r="F132" s="277"/>
      <c r="G132" s="4"/>
      <c r="H132" s="47" t="s">
        <v>29</v>
      </c>
      <c r="I132" s="47" t="s">
        <v>29</v>
      </c>
      <c r="J132" s="19">
        <v>8</v>
      </c>
      <c r="K132" s="277"/>
      <c r="L132" s="4"/>
      <c r="M132" s="47" t="s">
        <v>29</v>
      </c>
      <c r="N132" s="47" t="s">
        <v>29</v>
      </c>
      <c r="O132" s="19">
        <v>8</v>
      </c>
      <c r="P132" s="277"/>
      <c r="R132" s="47" t="s">
        <v>29</v>
      </c>
      <c r="S132" s="47" t="s">
        <v>29</v>
      </c>
      <c r="T132" s="19">
        <v>8</v>
      </c>
      <c r="U132" s="277"/>
      <c r="W132" s="47" t="s">
        <v>29</v>
      </c>
      <c r="X132" s="47" t="s">
        <v>29</v>
      </c>
      <c r="Y132" s="19">
        <v>8</v>
      </c>
      <c r="Z132" s="277"/>
      <c r="AA132" s="29">
        <f t="shared" si="26"/>
        <v>40</v>
      </c>
      <c r="AB132" s="298">
        <f t="shared" si="27"/>
        <v>0</v>
      </c>
      <c r="AC132" s="4"/>
      <c r="AD132" s="4"/>
      <c r="AE132" s="4"/>
      <c r="AF132" s="19"/>
      <c r="AG132" s="29">
        <f t="shared" si="23"/>
        <v>0</v>
      </c>
    </row>
    <row r="133" spans="1:37" hidden="1">
      <c r="A133" s="180"/>
      <c r="B133" s="166" t="s">
        <v>107</v>
      </c>
      <c r="C133" s="47" t="s">
        <v>29</v>
      </c>
      <c r="D133" s="47" t="s">
        <v>29</v>
      </c>
      <c r="E133" s="19">
        <v>8</v>
      </c>
      <c r="F133" s="277"/>
      <c r="G133" s="4"/>
      <c r="H133" s="47" t="s">
        <v>29</v>
      </c>
      <c r="I133" s="47" t="s">
        <v>29</v>
      </c>
      <c r="J133" s="19">
        <v>8</v>
      </c>
      <c r="K133" s="277"/>
      <c r="L133" s="4"/>
      <c r="M133" s="47" t="s">
        <v>29</v>
      </c>
      <c r="N133" s="47" t="s">
        <v>29</v>
      </c>
      <c r="O133" s="19">
        <v>8</v>
      </c>
      <c r="P133" s="277"/>
      <c r="R133" s="47" t="s">
        <v>29</v>
      </c>
      <c r="S133" s="47" t="s">
        <v>29</v>
      </c>
      <c r="T133" s="19">
        <v>8</v>
      </c>
      <c r="U133" s="277"/>
      <c r="W133" s="47" t="s">
        <v>29</v>
      </c>
      <c r="X133" s="47" t="s">
        <v>29</v>
      </c>
      <c r="Y133" s="19">
        <v>8</v>
      </c>
      <c r="Z133" s="277"/>
      <c r="AA133" s="29">
        <f t="shared" si="26"/>
        <v>40</v>
      </c>
      <c r="AB133" s="298">
        <f t="shared" si="27"/>
        <v>0</v>
      </c>
      <c r="AC133" s="4"/>
      <c r="AD133" s="4"/>
      <c r="AE133" s="4"/>
      <c r="AF133" s="19"/>
      <c r="AG133" s="29">
        <f t="shared" si="23"/>
        <v>0</v>
      </c>
    </row>
    <row r="134" spans="1:37" hidden="1">
      <c r="A134" s="180"/>
      <c r="B134" s="166" t="s">
        <v>59</v>
      </c>
      <c r="C134" s="47" t="s">
        <v>29</v>
      </c>
      <c r="D134" s="16" t="s">
        <v>29</v>
      </c>
      <c r="E134" s="19">
        <v>8</v>
      </c>
      <c r="F134" s="277"/>
      <c r="G134" s="4"/>
      <c r="H134" s="47" t="s">
        <v>29</v>
      </c>
      <c r="I134" s="16" t="s">
        <v>29</v>
      </c>
      <c r="J134" s="19">
        <v>8</v>
      </c>
      <c r="K134" s="277"/>
      <c r="L134" s="4"/>
      <c r="M134" s="47" t="s">
        <v>29</v>
      </c>
      <c r="N134" s="16" t="s">
        <v>29</v>
      </c>
      <c r="O134" s="19">
        <v>8</v>
      </c>
      <c r="P134" s="277"/>
      <c r="R134" s="47" t="s">
        <v>29</v>
      </c>
      <c r="S134" s="16" t="s">
        <v>29</v>
      </c>
      <c r="T134" s="19">
        <v>8</v>
      </c>
      <c r="U134" s="277"/>
      <c r="W134" s="47" t="s">
        <v>29</v>
      </c>
      <c r="X134" s="16" t="s">
        <v>29</v>
      </c>
      <c r="Y134" s="19">
        <v>8</v>
      </c>
      <c r="Z134" s="277"/>
      <c r="AA134" s="29">
        <f t="shared" si="26"/>
        <v>40</v>
      </c>
      <c r="AB134" s="298">
        <f t="shared" si="27"/>
        <v>0</v>
      </c>
      <c r="AC134" s="4"/>
      <c r="AD134" s="4"/>
      <c r="AE134" s="4"/>
      <c r="AF134" s="19"/>
      <c r="AG134" s="29">
        <f t="shared" si="23"/>
        <v>0</v>
      </c>
    </row>
    <row r="135" spans="1:37" hidden="1">
      <c r="A135" s="180"/>
      <c r="B135" s="166" t="s">
        <v>60</v>
      </c>
      <c r="C135" s="16" t="s">
        <v>29</v>
      </c>
      <c r="D135" s="16" t="s">
        <v>29</v>
      </c>
      <c r="E135" s="19">
        <v>8</v>
      </c>
      <c r="F135" s="277"/>
      <c r="G135" s="4"/>
      <c r="H135" s="16" t="s">
        <v>29</v>
      </c>
      <c r="I135" s="16" t="s">
        <v>29</v>
      </c>
      <c r="J135" s="19">
        <v>8</v>
      </c>
      <c r="K135" s="277"/>
      <c r="L135" s="4"/>
      <c r="M135" s="16" t="s">
        <v>29</v>
      </c>
      <c r="N135" s="16" t="s">
        <v>29</v>
      </c>
      <c r="O135" s="19">
        <v>8</v>
      </c>
      <c r="P135" s="277"/>
      <c r="R135" s="16" t="s">
        <v>29</v>
      </c>
      <c r="S135" s="16" t="s">
        <v>29</v>
      </c>
      <c r="T135" s="19">
        <v>8</v>
      </c>
      <c r="U135" s="277"/>
      <c r="W135" s="16" t="s">
        <v>29</v>
      </c>
      <c r="X135" s="16" t="s">
        <v>29</v>
      </c>
      <c r="Y135" s="19">
        <v>8</v>
      </c>
      <c r="Z135" s="277"/>
      <c r="AA135" s="29">
        <f t="shared" si="26"/>
        <v>40</v>
      </c>
      <c r="AB135" s="298">
        <f t="shared" si="27"/>
        <v>0</v>
      </c>
      <c r="AC135" s="4"/>
      <c r="AD135" s="4"/>
      <c r="AE135" s="4"/>
      <c r="AF135" s="19"/>
      <c r="AG135" s="29">
        <f t="shared" si="23"/>
        <v>0</v>
      </c>
    </row>
    <row r="136" spans="1:37" hidden="1">
      <c r="A136" s="180"/>
      <c r="B136" s="63" t="s">
        <v>63</v>
      </c>
      <c r="C136" s="12" t="s">
        <v>29</v>
      </c>
      <c r="D136" s="12" t="s">
        <v>29</v>
      </c>
      <c r="E136" s="19">
        <v>4</v>
      </c>
      <c r="F136" s="277"/>
      <c r="G136" s="60"/>
      <c r="H136" s="12" t="s">
        <v>29</v>
      </c>
      <c r="I136" s="12" t="s">
        <v>29</v>
      </c>
      <c r="J136" s="19">
        <v>4</v>
      </c>
      <c r="K136" s="277"/>
      <c r="L136" s="60"/>
      <c r="M136" s="16" t="s">
        <v>29</v>
      </c>
      <c r="N136" s="16" t="s">
        <v>29</v>
      </c>
      <c r="O136" s="19">
        <v>4</v>
      </c>
      <c r="P136" s="277"/>
      <c r="Q136" s="60"/>
      <c r="R136" s="16" t="s">
        <v>29</v>
      </c>
      <c r="S136" s="16" t="s">
        <v>29</v>
      </c>
      <c r="T136" s="19">
        <v>4</v>
      </c>
      <c r="U136" s="277"/>
      <c r="V136" s="60"/>
      <c r="W136" s="16" t="s">
        <v>29</v>
      </c>
      <c r="X136" s="16" t="s">
        <v>29</v>
      </c>
      <c r="Y136" s="19">
        <v>4</v>
      </c>
      <c r="Z136" s="277"/>
      <c r="AA136" s="28">
        <f>SUM(E136+J136+O136+T136+Y136)</f>
        <v>20</v>
      </c>
      <c r="AB136" s="298">
        <f t="shared" si="27"/>
        <v>0</v>
      </c>
      <c r="AC136" s="4"/>
      <c r="AD136" s="56"/>
      <c r="AE136" s="56"/>
      <c r="AF136" s="19"/>
      <c r="AG136" s="29">
        <f t="shared" si="23"/>
        <v>0</v>
      </c>
      <c r="AK136" s="407"/>
    </row>
    <row r="137" spans="1:37" hidden="1">
      <c r="A137" s="180"/>
      <c r="B137" s="63" t="s">
        <v>62</v>
      </c>
      <c r="C137" s="16" t="s">
        <v>29</v>
      </c>
      <c r="D137" s="16" t="s">
        <v>29</v>
      </c>
      <c r="E137" s="19">
        <v>6</v>
      </c>
      <c r="F137" s="277"/>
      <c r="G137" s="60"/>
      <c r="H137" s="16" t="s">
        <v>29</v>
      </c>
      <c r="I137" s="16" t="s">
        <v>29</v>
      </c>
      <c r="J137" s="19">
        <v>6</v>
      </c>
      <c r="K137" s="277"/>
      <c r="L137" s="60"/>
      <c r="M137" s="16" t="s">
        <v>29</v>
      </c>
      <c r="N137" s="16" t="s">
        <v>29</v>
      </c>
      <c r="O137" s="19">
        <v>1</v>
      </c>
      <c r="P137" s="277"/>
      <c r="Q137" s="60"/>
      <c r="R137" s="16" t="s">
        <v>29</v>
      </c>
      <c r="S137" s="16" t="s">
        <v>29</v>
      </c>
      <c r="T137" s="19">
        <v>1</v>
      </c>
      <c r="U137" s="277"/>
      <c r="V137" s="60"/>
      <c r="W137" s="16" t="s">
        <v>29</v>
      </c>
      <c r="X137" s="16" t="s">
        <v>29</v>
      </c>
      <c r="Y137" s="19">
        <v>1</v>
      </c>
      <c r="Z137" s="277"/>
      <c r="AA137" s="28">
        <f>SUM(E137+J137+O137+T137+Y137)</f>
        <v>15</v>
      </c>
      <c r="AB137" s="298">
        <f t="shared" si="27"/>
        <v>0</v>
      </c>
      <c r="AC137" s="4"/>
      <c r="AD137" s="56"/>
      <c r="AE137" s="56"/>
      <c r="AF137" s="19"/>
      <c r="AG137" s="29">
        <v>0</v>
      </c>
    </row>
    <row r="138" spans="1:37" hidden="1">
      <c r="A138" s="180"/>
      <c r="B138" s="63"/>
      <c r="C138" s="4"/>
      <c r="D138" s="4"/>
      <c r="E138" s="19"/>
      <c r="F138" s="277"/>
      <c r="G138" s="60"/>
      <c r="H138" s="4"/>
      <c r="I138" s="4"/>
      <c r="J138" s="19"/>
      <c r="K138" s="277"/>
      <c r="L138" s="60"/>
      <c r="M138" s="47"/>
      <c r="N138" s="47"/>
      <c r="O138" s="19"/>
      <c r="P138" s="277"/>
      <c r="Q138" s="60"/>
      <c r="S138" s="4"/>
      <c r="T138" s="19"/>
      <c r="U138" s="277"/>
      <c r="V138" s="60"/>
      <c r="X138" s="4"/>
      <c r="Y138" s="19"/>
      <c r="Z138" s="277"/>
      <c r="AA138" s="28">
        <f>SUM(E138+J138+O138+T138+Y138)</f>
        <v>0</v>
      </c>
      <c r="AB138" s="298">
        <f t="shared" si="27"/>
        <v>0</v>
      </c>
      <c r="AC138" s="4"/>
      <c r="AD138" s="56"/>
      <c r="AE138" s="56"/>
      <c r="AF138" s="19"/>
      <c r="AG138" s="29">
        <f>AF138</f>
        <v>0</v>
      </c>
    </row>
    <row r="139" spans="1:37" hidden="1">
      <c r="A139" s="180"/>
      <c r="B139" s="64" t="s">
        <v>61</v>
      </c>
      <c r="C139" s="64"/>
      <c r="D139" s="64"/>
      <c r="E139" s="167">
        <f>SUM(E104:E138)</f>
        <v>192</v>
      </c>
      <c r="F139" s="277">
        <f>SUM(F104:F130)</f>
        <v>0</v>
      </c>
      <c r="G139" s="64"/>
      <c r="H139" s="64"/>
      <c r="I139" s="64"/>
      <c r="J139" s="64">
        <f>SUM(J104:J138)</f>
        <v>184.25</v>
      </c>
      <c r="K139" s="277">
        <f>SUM(K104:K130)</f>
        <v>11.75</v>
      </c>
      <c r="L139" s="64"/>
      <c r="M139" s="64"/>
      <c r="N139" s="64"/>
      <c r="O139" s="167">
        <f>SUM(O104:O138)</f>
        <v>140.75</v>
      </c>
      <c r="P139" s="277">
        <f>SUM(P104:P135)</f>
        <v>0</v>
      </c>
      <c r="Q139" s="64"/>
      <c r="R139" s="167"/>
      <c r="S139" s="64"/>
      <c r="T139" s="167">
        <f>SUM(T104:T138)</f>
        <v>140.75</v>
      </c>
      <c r="U139" s="277">
        <f>SUM(U104:U135)</f>
        <v>1</v>
      </c>
      <c r="V139" s="64"/>
      <c r="W139" s="167"/>
      <c r="X139" s="64"/>
      <c r="Y139" s="167">
        <f>SUM(Y104:Y138)</f>
        <v>128.5</v>
      </c>
      <c r="Z139" s="277">
        <f>SUM(Z104:Z130)</f>
        <v>1</v>
      </c>
      <c r="AA139" s="370">
        <f>SUM(AA104:AA138)</f>
        <v>786.25</v>
      </c>
      <c r="AB139" s="289">
        <f>SUM(AB104:AB138)</f>
        <v>13.75</v>
      </c>
      <c r="AC139" s="4"/>
      <c r="AD139" s="64"/>
      <c r="AE139" s="64"/>
      <c r="AF139" s="167">
        <f>SUM(AF104:AF138)</f>
        <v>34.25</v>
      </c>
      <c r="AG139" s="370">
        <f>SUM(AG104:AG130)</f>
        <v>34.25</v>
      </c>
    </row>
    <row r="140" spans="1:37" hidden="1">
      <c r="A140" s="180"/>
      <c r="B140" s="63" t="s">
        <v>64</v>
      </c>
      <c r="C140" s="56"/>
      <c r="D140" s="56"/>
      <c r="E140" s="19">
        <v>8</v>
      </c>
      <c r="F140" s="291">
        <v>0.5</v>
      </c>
      <c r="G140" s="60"/>
      <c r="H140" s="56"/>
      <c r="I140" s="56"/>
      <c r="J140" s="19">
        <v>8</v>
      </c>
      <c r="K140" s="291"/>
      <c r="L140" s="60"/>
      <c r="M140" s="56"/>
      <c r="N140" s="56"/>
      <c r="O140" s="19">
        <v>8</v>
      </c>
      <c r="P140" s="19"/>
      <c r="Q140" s="60"/>
      <c r="R140" s="56"/>
      <c r="S140" s="56"/>
      <c r="T140" s="19">
        <v>8</v>
      </c>
      <c r="U140" s="19"/>
      <c r="V140" s="60"/>
      <c r="W140" s="56"/>
      <c r="X140" s="56"/>
      <c r="Y140" s="19">
        <v>8</v>
      </c>
      <c r="Z140" s="19"/>
      <c r="AA140" s="28">
        <f>SUM(E140+J140+O140+T140+Y140)</f>
        <v>40</v>
      </c>
      <c r="AB140" s="296">
        <f>Z140+U140+P140+K140+F140</f>
        <v>0.5</v>
      </c>
      <c r="AC140" s="4"/>
      <c r="AD140" s="56"/>
      <c r="AE140" s="56"/>
      <c r="AF140" s="19"/>
      <c r="AG140" s="29">
        <f>AF140</f>
        <v>0</v>
      </c>
    </row>
    <row r="141" spans="1:37" hidden="1">
      <c r="A141" s="180"/>
      <c r="B141" s="63" t="s">
        <v>110</v>
      </c>
      <c r="C141" s="56"/>
      <c r="D141" s="56"/>
      <c r="E141" s="19">
        <v>2.5</v>
      </c>
      <c r="F141" s="291">
        <v>0</v>
      </c>
      <c r="G141" s="60"/>
      <c r="H141" s="56"/>
      <c r="I141" s="56"/>
      <c r="J141" s="19">
        <v>2.5</v>
      </c>
      <c r="K141" s="291">
        <v>0</v>
      </c>
      <c r="L141" s="60"/>
      <c r="M141" s="56"/>
      <c r="N141" s="56"/>
      <c r="O141" s="19">
        <v>2.5</v>
      </c>
      <c r="P141" s="19">
        <v>0</v>
      </c>
      <c r="Q141" s="60"/>
      <c r="R141" s="56"/>
      <c r="S141" s="56"/>
      <c r="T141" s="19">
        <v>2.5</v>
      </c>
      <c r="U141" s="19">
        <v>0</v>
      </c>
      <c r="V141" s="60"/>
      <c r="W141" s="56"/>
      <c r="X141" s="56"/>
      <c r="Y141" s="19">
        <v>3</v>
      </c>
      <c r="Z141" s="19">
        <v>0</v>
      </c>
      <c r="AA141" s="28">
        <f>SUM(E141+J141+O141+T141+Y141)</f>
        <v>13</v>
      </c>
      <c r="AB141" s="296">
        <f>Z141+U141+P141+K141+F141</f>
        <v>0</v>
      </c>
      <c r="AC141" s="4"/>
      <c r="AD141" s="56"/>
      <c r="AE141" s="56"/>
      <c r="AF141" s="19"/>
      <c r="AG141" s="29">
        <f>AF141</f>
        <v>0</v>
      </c>
    </row>
    <row r="142" spans="1:37" hidden="1">
      <c r="A142" s="180"/>
      <c r="B142" s="71" t="s">
        <v>66</v>
      </c>
      <c r="C142" s="371"/>
      <c r="D142" s="371"/>
      <c r="E142" s="71">
        <f t="shared" ref="E142:AB142" si="28">SUM(E140:E141)</f>
        <v>10.5</v>
      </c>
      <c r="F142" s="71">
        <f t="shared" si="28"/>
        <v>0.5</v>
      </c>
      <c r="G142" s="71">
        <f t="shared" si="28"/>
        <v>0</v>
      </c>
      <c r="H142" s="71">
        <f t="shared" si="28"/>
        <v>0</v>
      </c>
      <c r="I142" s="71">
        <f t="shared" si="28"/>
        <v>0</v>
      </c>
      <c r="J142" s="71">
        <f t="shared" si="28"/>
        <v>10.5</v>
      </c>
      <c r="K142" s="71">
        <f t="shared" si="28"/>
        <v>0</v>
      </c>
      <c r="L142" s="71">
        <f t="shared" si="28"/>
        <v>0</v>
      </c>
      <c r="M142" s="71">
        <f t="shared" si="28"/>
        <v>0</v>
      </c>
      <c r="N142" s="71">
        <f t="shared" si="28"/>
        <v>0</v>
      </c>
      <c r="O142" s="71">
        <f t="shared" si="28"/>
        <v>10.5</v>
      </c>
      <c r="P142" s="71">
        <f t="shared" si="28"/>
        <v>0</v>
      </c>
      <c r="Q142" s="71">
        <f t="shared" si="28"/>
        <v>0</v>
      </c>
      <c r="R142" s="71">
        <f t="shared" si="28"/>
        <v>0</v>
      </c>
      <c r="S142" s="71">
        <f t="shared" si="28"/>
        <v>0</v>
      </c>
      <c r="T142" s="71">
        <f t="shared" si="28"/>
        <v>10.5</v>
      </c>
      <c r="U142" s="71">
        <f t="shared" si="28"/>
        <v>0</v>
      </c>
      <c r="V142" s="71">
        <f t="shared" si="28"/>
        <v>0</v>
      </c>
      <c r="W142" s="71">
        <f t="shared" si="28"/>
        <v>0</v>
      </c>
      <c r="X142" s="71">
        <f t="shared" si="28"/>
        <v>0</v>
      </c>
      <c r="Y142" s="71">
        <f t="shared" si="28"/>
        <v>11</v>
      </c>
      <c r="Z142" s="71">
        <f t="shared" si="28"/>
        <v>0</v>
      </c>
      <c r="AA142" s="370">
        <f t="shared" si="28"/>
        <v>53</v>
      </c>
      <c r="AB142" s="370">
        <f t="shared" si="28"/>
        <v>0.5</v>
      </c>
      <c r="AC142" s="4"/>
      <c r="AG142" s="370">
        <f>SUM(AG140:AG141)</f>
        <v>0</v>
      </c>
    </row>
    <row r="143" spans="1:37" hidden="1">
      <c r="A143" s="180"/>
      <c r="B143" s="217" t="s">
        <v>67</v>
      </c>
      <c r="C143" s="207">
        <f>C144+C145</f>
        <v>85</v>
      </c>
      <c r="D143" s="207"/>
      <c r="E143" s="209"/>
      <c r="F143" s="209"/>
      <c r="G143" s="207"/>
      <c r="H143" s="209"/>
      <c r="I143" s="209"/>
      <c r="J143" s="209"/>
      <c r="K143" s="209"/>
      <c r="L143" s="207"/>
      <c r="M143" s="207"/>
      <c r="N143" s="207"/>
      <c r="O143" s="207"/>
      <c r="P143" s="209"/>
      <c r="Q143" s="207"/>
      <c r="R143" s="207"/>
      <c r="S143" s="207"/>
      <c r="T143" s="207"/>
      <c r="U143" s="209"/>
      <c r="V143" s="207"/>
      <c r="W143" s="207"/>
      <c r="X143" s="207"/>
      <c r="Y143" s="210"/>
      <c r="Z143" s="209"/>
      <c r="AA143" s="211"/>
      <c r="AB143" s="209"/>
      <c r="AC143" s="211"/>
      <c r="AD143" s="211"/>
      <c r="AE143" s="211"/>
      <c r="AF143" s="211"/>
      <c r="AG143" s="211"/>
    </row>
    <row r="144" spans="1:37" hidden="1">
      <c r="A144" s="180"/>
      <c r="B144" s="238" t="s">
        <v>68</v>
      </c>
      <c r="C144" s="239">
        <f>18+17+12+11+5</f>
        <v>63</v>
      </c>
      <c r="D144" s="207"/>
      <c r="E144" s="209"/>
      <c r="F144" s="209"/>
      <c r="G144" s="207"/>
      <c r="H144" s="209"/>
      <c r="I144" s="209"/>
      <c r="J144" s="209"/>
      <c r="K144" s="209"/>
      <c r="L144" s="207"/>
      <c r="M144" s="207"/>
      <c r="N144" s="207"/>
      <c r="O144" s="207"/>
      <c r="P144" s="209"/>
      <c r="Q144" s="207"/>
      <c r="R144" s="207"/>
      <c r="S144" s="207"/>
      <c r="T144" s="207"/>
      <c r="U144" s="209"/>
      <c r="V144" s="207"/>
      <c r="W144" s="207"/>
      <c r="X144" s="207"/>
      <c r="Y144" s="210"/>
      <c r="Z144" s="209"/>
      <c r="AA144" s="211"/>
      <c r="AB144" s="209"/>
      <c r="AC144" s="211"/>
      <c r="AD144" s="211"/>
      <c r="AE144" s="211"/>
      <c r="AF144" s="211"/>
      <c r="AG144" s="211"/>
    </row>
    <row r="145" spans="1:49" hidden="1">
      <c r="A145" s="180"/>
      <c r="B145" s="238" t="s">
        <v>69</v>
      </c>
      <c r="C145" s="239">
        <f>11+11</f>
        <v>22</v>
      </c>
      <c r="D145" s="207"/>
      <c r="E145" s="209"/>
      <c r="F145" s="209"/>
      <c r="G145" s="207"/>
      <c r="H145" s="209"/>
      <c r="I145" s="209"/>
      <c r="J145" s="209"/>
      <c r="K145" s="209"/>
      <c r="L145" s="207"/>
      <c r="M145" s="207"/>
      <c r="N145" s="207"/>
      <c r="O145" s="207"/>
      <c r="P145" s="209"/>
      <c r="Q145" s="207"/>
      <c r="R145" s="207"/>
      <c r="S145" s="207"/>
      <c r="T145" s="207"/>
      <c r="U145" s="209"/>
      <c r="V145" s="207"/>
      <c r="W145" s="207"/>
      <c r="X145" s="207"/>
      <c r="Y145" s="210"/>
      <c r="Z145" s="209"/>
      <c r="AA145" s="211"/>
      <c r="AB145" s="209"/>
      <c r="AC145" s="211"/>
      <c r="AD145" s="211"/>
      <c r="AE145" s="211"/>
      <c r="AF145" s="211"/>
      <c r="AG145" s="211"/>
    </row>
    <row r="146" spans="1:49" hidden="1">
      <c r="A146" s="180"/>
    </row>
    <row r="147" spans="1:49" hidden="1">
      <c r="A147" s="180"/>
      <c r="B147" s="229"/>
      <c r="C147" s="230"/>
      <c r="D147" s="230"/>
      <c r="E147" s="232"/>
      <c r="F147" s="232"/>
      <c r="G147" s="230"/>
      <c r="H147" s="232"/>
      <c r="I147" s="232"/>
      <c r="J147" s="232"/>
      <c r="K147" s="232"/>
      <c r="L147" s="230"/>
      <c r="M147" s="230"/>
      <c r="N147" s="230"/>
      <c r="O147" s="230"/>
      <c r="P147" s="232"/>
      <c r="Q147" s="230"/>
      <c r="R147" s="230"/>
      <c r="S147" s="230"/>
      <c r="T147" s="230"/>
      <c r="U147" s="232"/>
      <c r="V147" s="230"/>
      <c r="W147" s="230"/>
      <c r="X147" s="230"/>
      <c r="Y147" s="233"/>
      <c r="Z147" s="232"/>
      <c r="AA147" s="234"/>
      <c r="AB147" s="232"/>
      <c r="AC147" s="373"/>
      <c r="AD147" s="236"/>
      <c r="AE147" s="255"/>
      <c r="AF147" s="255"/>
      <c r="AG147" s="255"/>
      <c r="AH147" s="255"/>
      <c r="AJ147" s="255"/>
      <c r="AK147" s="255"/>
      <c r="AL147" s="255"/>
      <c r="AM147" s="255"/>
      <c r="AN147" s="255"/>
      <c r="AO147" s="255"/>
      <c r="AP147" s="255"/>
      <c r="AQ147" s="255"/>
      <c r="AR147" s="255"/>
      <c r="AS147" s="255"/>
      <c r="AT147" s="255"/>
      <c r="AU147" s="255"/>
      <c r="AV147" s="255"/>
      <c r="AW147" s="255"/>
    </row>
    <row r="148" spans="1:49" hidden="1">
      <c r="B148" s="180"/>
      <c r="E148" s="4"/>
      <c r="F148" s="4"/>
      <c r="G148" s="4"/>
      <c r="J148" s="4"/>
      <c r="K148" s="4"/>
      <c r="L148" s="4"/>
      <c r="O148" s="4"/>
      <c r="P148" s="4"/>
      <c r="T148" s="4"/>
      <c r="U148" s="4"/>
      <c r="Y148" s="4"/>
      <c r="Z148" s="4"/>
      <c r="AA148" s="4"/>
      <c r="AB148" s="4"/>
      <c r="AC148" s="4"/>
      <c r="AK148" s="180"/>
      <c r="AL148" s="180"/>
      <c r="AM148" s="180"/>
      <c r="AN148" s="180"/>
      <c r="AO148" s="180"/>
      <c r="AP148" s="180"/>
    </row>
    <row r="149" spans="1:49" hidden="1">
      <c r="A149" s="228"/>
      <c r="B149" s="1518" t="s">
        <v>18</v>
      </c>
      <c r="C149" s="1519">
        <v>45334</v>
      </c>
      <c r="D149" s="1519"/>
      <c r="E149" s="1519"/>
      <c r="F149" s="1519"/>
      <c r="G149" s="365"/>
      <c r="H149" s="1519">
        <v>45335</v>
      </c>
      <c r="I149" s="1519"/>
      <c r="J149" s="1519"/>
      <c r="K149" s="1519"/>
      <c r="L149" s="365"/>
      <c r="M149" s="1519">
        <v>45336</v>
      </c>
      <c r="N149" s="1519"/>
      <c r="O149" s="1519"/>
      <c r="P149" s="1519"/>
      <c r="Q149" s="365"/>
      <c r="R149" s="1519">
        <v>45337</v>
      </c>
      <c r="S149" s="1519"/>
      <c r="T149" s="1519"/>
      <c r="U149" s="1519"/>
      <c r="V149" s="365"/>
      <c r="W149" s="1519">
        <v>45338</v>
      </c>
      <c r="X149" s="1519"/>
      <c r="Y149" s="1519"/>
      <c r="Z149" s="1519"/>
      <c r="AA149" s="1517" t="s">
        <v>19</v>
      </c>
      <c r="AB149" s="1517" t="s">
        <v>20</v>
      </c>
      <c r="AC149" s="4"/>
      <c r="AD149" s="1519">
        <v>45339</v>
      </c>
      <c r="AE149" s="1519"/>
      <c r="AF149" s="1519"/>
      <c r="AG149" s="1517" t="s">
        <v>21</v>
      </c>
      <c r="AH149" s="374"/>
      <c r="AI149" s="368"/>
      <c r="AK149" s="194" t="s">
        <v>84</v>
      </c>
      <c r="AL149" s="366"/>
      <c r="AM149" s="366"/>
      <c r="AN149" s="366"/>
      <c r="AO149" s="366"/>
      <c r="AP149" s="366"/>
    </row>
    <row r="150" spans="1:49" hidden="1">
      <c r="A150" s="180"/>
      <c r="B150" s="1518"/>
      <c r="C150" s="21" t="s">
        <v>23</v>
      </c>
      <c r="D150" s="21" t="s">
        <v>24</v>
      </c>
      <c r="E150" s="205" t="s">
        <v>25</v>
      </c>
      <c r="F150" s="18" t="s">
        <v>14</v>
      </c>
      <c r="G150" s="4"/>
      <c r="H150" s="21" t="s">
        <v>23</v>
      </c>
      <c r="I150" s="21" t="s">
        <v>24</v>
      </c>
      <c r="J150" s="18" t="s">
        <v>25</v>
      </c>
      <c r="K150" s="18" t="s">
        <v>14</v>
      </c>
      <c r="L150" s="4"/>
      <c r="M150" s="21" t="s">
        <v>23</v>
      </c>
      <c r="N150" s="21" t="s">
        <v>24</v>
      </c>
      <c r="O150" s="18" t="s">
        <v>25</v>
      </c>
      <c r="P150" s="18" t="s">
        <v>14</v>
      </c>
      <c r="R150" s="484" t="s">
        <v>23</v>
      </c>
      <c r="S150" s="21" t="s">
        <v>24</v>
      </c>
      <c r="T150" s="18" t="s">
        <v>25</v>
      </c>
      <c r="U150" s="18" t="s">
        <v>14</v>
      </c>
      <c r="W150" s="484" t="s">
        <v>23</v>
      </c>
      <c r="X150" s="21" t="s">
        <v>24</v>
      </c>
      <c r="Y150" s="18" t="s">
        <v>25</v>
      </c>
      <c r="Z150" s="18" t="s">
        <v>14</v>
      </c>
      <c r="AA150" s="1517"/>
      <c r="AB150" s="1517"/>
      <c r="AC150" s="4"/>
      <c r="AD150" s="21" t="s">
        <v>23</v>
      </c>
      <c r="AE150" s="21" t="s">
        <v>24</v>
      </c>
      <c r="AF150" s="18" t="s">
        <v>25</v>
      </c>
      <c r="AG150" s="1517"/>
      <c r="AI150" s="368"/>
      <c r="AJ150" s="367"/>
      <c r="AK150" s="188" t="s">
        <v>26</v>
      </c>
      <c r="AL150" s="196">
        <f>AA187</f>
        <v>1034</v>
      </c>
      <c r="AM150" s="510">
        <v>38</v>
      </c>
      <c r="AN150" s="510">
        <f t="shared" ref="AN150:AN156" si="29">AL150*AM150</f>
        <v>39292</v>
      </c>
      <c r="AQ150" s="367"/>
      <c r="AR150" s="367"/>
      <c r="AS150" s="367"/>
      <c r="AT150" s="367"/>
      <c r="AU150" s="367"/>
      <c r="AV150" s="367"/>
      <c r="AW150" s="367"/>
    </row>
    <row r="151" spans="1:49" hidden="1">
      <c r="A151" s="180"/>
      <c r="B151" s="171" t="s">
        <v>109</v>
      </c>
      <c r="C151" s="172" t="s">
        <v>29</v>
      </c>
      <c r="D151" s="172" t="s">
        <v>29</v>
      </c>
      <c r="E151" s="173">
        <v>0</v>
      </c>
      <c r="F151" s="277"/>
      <c r="G151" s="4"/>
      <c r="H151" s="172" t="s">
        <v>29</v>
      </c>
      <c r="I151" s="172" t="s">
        <v>29</v>
      </c>
      <c r="J151" s="173">
        <v>0</v>
      </c>
      <c r="K151" s="277"/>
      <c r="L151" s="4"/>
      <c r="M151" s="47">
        <v>0.375</v>
      </c>
      <c r="N151" s="47">
        <v>0.25</v>
      </c>
      <c r="O151" s="173">
        <v>8</v>
      </c>
      <c r="P151" s="277"/>
      <c r="R151" s="47">
        <v>0.36458333333333331</v>
      </c>
      <c r="S151" s="47">
        <v>0.25</v>
      </c>
      <c r="T151" s="319">
        <v>8</v>
      </c>
      <c r="U151" s="277"/>
      <c r="W151" s="47">
        <v>0.36458333333333331</v>
      </c>
      <c r="X151" s="47">
        <v>0.25</v>
      </c>
      <c r="Y151" s="19">
        <v>8</v>
      </c>
      <c r="Z151" s="277"/>
      <c r="AA151" s="28">
        <f>(E151+J151+O151+T151+Y151)</f>
        <v>24</v>
      </c>
      <c r="AB151" s="298">
        <f>Z151+U151+P151+K151+F151</f>
        <v>0</v>
      </c>
      <c r="AC151" s="4"/>
      <c r="AD151" s="175"/>
      <c r="AE151" s="175"/>
      <c r="AF151" s="173"/>
      <c r="AG151" s="28">
        <f t="shared" ref="AG151:AG184" si="30">AF151</f>
        <v>0</v>
      </c>
      <c r="AI151" s="368"/>
      <c r="AJ151" s="367"/>
      <c r="AK151" s="188" t="s">
        <v>30</v>
      </c>
      <c r="AL151" s="196">
        <f>AB187</f>
        <v>0</v>
      </c>
      <c r="AM151" s="511">
        <v>57</v>
      </c>
      <c r="AN151" s="510">
        <f t="shared" si="29"/>
        <v>0</v>
      </c>
      <c r="AQ151" s="367"/>
      <c r="AR151" s="367"/>
      <c r="AS151" s="367"/>
      <c r="AT151" s="367"/>
      <c r="AU151" s="367"/>
      <c r="AV151" s="367"/>
      <c r="AW151" s="367"/>
    </row>
    <row r="152" spans="1:49" hidden="1">
      <c r="A152" s="367"/>
      <c r="B152" s="171" t="s">
        <v>97</v>
      </c>
      <c r="C152" s="172">
        <v>0.36458333333333331</v>
      </c>
      <c r="D152" s="172">
        <v>0.25</v>
      </c>
      <c r="E152" s="173">
        <v>8</v>
      </c>
      <c r="F152" s="277"/>
      <c r="G152" s="4"/>
      <c r="H152" s="172" t="s">
        <v>29</v>
      </c>
      <c r="I152" s="172" t="s">
        <v>29</v>
      </c>
      <c r="J152" s="173">
        <v>0</v>
      </c>
      <c r="K152" s="277"/>
      <c r="L152" s="4"/>
      <c r="M152" s="172">
        <v>0.36458333333333331</v>
      </c>
      <c r="N152" s="47">
        <v>0.25</v>
      </c>
      <c r="O152" s="173">
        <v>8</v>
      </c>
      <c r="P152" s="277"/>
      <c r="R152" s="47">
        <v>0</v>
      </c>
      <c r="S152" s="47">
        <v>0</v>
      </c>
      <c r="T152" s="19">
        <v>0</v>
      </c>
      <c r="U152" s="277"/>
      <c r="W152" s="47">
        <v>0</v>
      </c>
      <c r="X152" s="4">
        <v>0</v>
      </c>
      <c r="Y152" s="19">
        <v>0</v>
      </c>
      <c r="Z152" s="277"/>
      <c r="AA152" s="28">
        <f>(E152+J152+O152+T152+Y152)</f>
        <v>16</v>
      </c>
      <c r="AB152" s="298">
        <f>Z152+U152+P152+K152+F152</f>
        <v>0</v>
      </c>
      <c r="AC152" s="4"/>
      <c r="AD152" s="175"/>
      <c r="AE152" s="175"/>
      <c r="AF152" s="173"/>
      <c r="AG152" s="28">
        <f t="shared" si="30"/>
        <v>0</v>
      </c>
      <c r="AH152" s="175"/>
      <c r="AI152" s="402"/>
      <c r="AJ152" s="367"/>
      <c r="AK152" s="188" t="s">
        <v>32</v>
      </c>
      <c r="AL152" s="196">
        <f>AG187</f>
        <v>0</v>
      </c>
      <c r="AM152" s="510">
        <v>57</v>
      </c>
      <c r="AN152" s="510">
        <f t="shared" si="29"/>
        <v>0</v>
      </c>
      <c r="AQ152" s="367"/>
      <c r="AR152" s="367"/>
      <c r="AS152" s="367"/>
      <c r="AT152" s="367"/>
      <c r="AU152" s="367"/>
      <c r="AV152" s="367"/>
      <c r="AW152" s="367"/>
    </row>
    <row r="153" spans="1:49" hidden="1">
      <c r="A153" s="367"/>
      <c r="B153" s="171" t="s">
        <v>71</v>
      </c>
      <c r="C153" s="172">
        <v>0.36458333333333331</v>
      </c>
      <c r="D153" s="172">
        <v>0.25</v>
      </c>
      <c r="E153" s="173">
        <v>8</v>
      </c>
      <c r="F153" s="277"/>
      <c r="G153" s="399"/>
      <c r="H153" s="172" t="s">
        <v>29</v>
      </c>
      <c r="I153" s="172" t="s">
        <v>29</v>
      </c>
      <c r="J153" s="173">
        <v>0</v>
      </c>
      <c r="K153" s="277"/>
      <c r="L153" s="399"/>
      <c r="M153" s="47">
        <v>0.35416666666666669</v>
      </c>
      <c r="N153" s="47">
        <v>0.25</v>
      </c>
      <c r="O153" s="319">
        <v>8</v>
      </c>
      <c r="P153" s="277"/>
      <c r="Q153" s="399"/>
      <c r="R153" s="47">
        <v>0.33333333333333331</v>
      </c>
      <c r="S153" s="47">
        <v>0.25</v>
      </c>
      <c r="T153" s="319">
        <v>8</v>
      </c>
      <c r="U153" s="277"/>
      <c r="V153" s="399"/>
      <c r="W153" s="47">
        <v>0.35416666666666669</v>
      </c>
      <c r="X153" s="47">
        <v>0.25</v>
      </c>
      <c r="Y153" s="19">
        <v>8</v>
      </c>
      <c r="Z153" s="277"/>
      <c r="AA153" s="29">
        <f>(E153+J153+O153+T153+Y153)</f>
        <v>32</v>
      </c>
      <c r="AB153" s="298">
        <f>Z153+U153+P153+K153+F153</f>
        <v>0</v>
      </c>
      <c r="AC153" s="399"/>
      <c r="AD153" s="345"/>
      <c r="AE153" s="345"/>
      <c r="AF153" s="346"/>
      <c r="AG153" s="29">
        <f t="shared" si="30"/>
        <v>0</v>
      </c>
      <c r="AH153" s="175"/>
      <c r="AJ153" s="401"/>
      <c r="AK153" s="403" t="s">
        <v>34</v>
      </c>
      <c r="AL153" s="404">
        <f>AA190</f>
        <v>41.5</v>
      </c>
      <c r="AM153" s="510">
        <v>50</v>
      </c>
      <c r="AN153" s="510">
        <f t="shared" si="29"/>
        <v>2075</v>
      </c>
      <c r="AO153" s="405"/>
      <c r="AP153" s="405"/>
      <c r="AQ153" s="401"/>
      <c r="AR153" s="401"/>
      <c r="AS153" s="401"/>
      <c r="AT153" s="401"/>
      <c r="AU153" s="401"/>
      <c r="AV153" s="401"/>
      <c r="AW153" s="401"/>
    </row>
    <row r="154" spans="1:49" hidden="1">
      <c r="A154" s="367"/>
      <c r="B154" s="171" t="s">
        <v>72</v>
      </c>
      <c r="C154" s="172">
        <v>0.375</v>
      </c>
      <c r="D154" s="172">
        <v>0.25</v>
      </c>
      <c r="E154" s="173">
        <v>8</v>
      </c>
      <c r="F154" s="277"/>
      <c r="G154" s="175"/>
      <c r="H154" s="172" t="s">
        <v>29</v>
      </c>
      <c r="I154" s="172" t="s">
        <v>29</v>
      </c>
      <c r="J154" s="319">
        <v>0</v>
      </c>
      <c r="K154" s="277"/>
      <c r="L154" s="175"/>
      <c r="M154" s="47">
        <v>0.375</v>
      </c>
      <c r="N154" s="47">
        <v>0.25</v>
      </c>
      <c r="O154" s="319">
        <v>8</v>
      </c>
      <c r="P154" s="277"/>
      <c r="Q154" s="175"/>
      <c r="R154" s="47">
        <v>0.375</v>
      </c>
      <c r="S154" s="47">
        <v>0.25</v>
      </c>
      <c r="T154" s="319">
        <v>8</v>
      </c>
      <c r="U154" s="277"/>
      <c r="V154" s="175"/>
      <c r="W154" s="47">
        <v>0.375</v>
      </c>
      <c r="X154" s="47">
        <v>0.25</v>
      </c>
      <c r="Y154" s="19">
        <v>8</v>
      </c>
      <c r="Z154" s="277"/>
      <c r="AA154" s="344">
        <f>(E154+J154+O154+T154+Y154)</f>
        <v>32</v>
      </c>
      <c r="AB154" s="298">
        <f>Z154+U154+P154+K154+F154</f>
        <v>0</v>
      </c>
      <c r="AC154" s="175"/>
      <c r="AD154" s="345"/>
      <c r="AE154" s="345"/>
      <c r="AF154" s="346"/>
      <c r="AG154" s="344">
        <f t="shared" si="30"/>
        <v>0</v>
      </c>
      <c r="AH154" s="175"/>
      <c r="AI154" s="368"/>
      <c r="AK154" s="188" t="s">
        <v>36</v>
      </c>
      <c r="AL154" s="196">
        <f>AB188</f>
        <v>0</v>
      </c>
      <c r="AM154" s="510">
        <v>75</v>
      </c>
      <c r="AN154" s="510">
        <f t="shared" si="29"/>
        <v>0</v>
      </c>
    </row>
    <row r="155" spans="1:49" hidden="1">
      <c r="A155" s="401"/>
      <c r="B155" s="171" t="s">
        <v>53</v>
      </c>
      <c r="C155" s="172">
        <v>0.36458333333333331</v>
      </c>
      <c r="D155" s="172">
        <v>0.25</v>
      </c>
      <c r="E155" s="173">
        <v>8</v>
      </c>
      <c r="F155" s="277"/>
      <c r="G155" s="4"/>
      <c r="H155" s="172" t="s">
        <v>29</v>
      </c>
      <c r="I155" s="172" t="s">
        <v>29</v>
      </c>
      <c r="J155" s="173">
        <v>0</v>
      </c>
      <c r="K155" s="277"/>
      <c r="L155" s="4"/>
      <c r="M155" s="47">
        <v>0.36458333333333331</v>
      </c>
      <c r="N155" s="47">
        <v>0.25</v>
      </c>
      <c r="O155" s="319">
        <v>8</v>
      </c>
      <c r="P155" s="277"/>
      <c r="R155" s="47">
        <v>0.35416666666666669</v>
      </c>
      <c r="S155" s="47">
        <v>0.25</v>
      </c>
      <c r="T155" s="319">
        <v>8</v>
      </c>
      <c r="U155" s="277"/>
      <c r="W155" s="47">
        <v>0</v>
      </c>
      <c r="X155" s="47">
        <v>0</v>
      </c>
      <c r="Y155" s="19">
        <v>0</v>
      </c>
      <c r="Z155" s="277"/>
      <c r="AA155" s="344">
        <f>(E155+J155+O155+T155+Y155)</f>
        <v>24</v>
      </c>
      <c r="AB155" s="298">
        <f>Z155+U155+P155+K155+F155</f>
        <v>0</v>
      </c>
      <c r="AC155" s="4"/>
      <c r="AD155" s="345"/>
      <c r="AE155" s="345"/>
      <c r="AF155" s="346"/>
      <c r="AG155" s="29">
        <f t="shared" si="30"/>
        <v>0</v>
      </c>
      <c r="AJ155" s="367"/>
      <c r="AK155" s="188" t="s">
        <v>38</v>
      </c>
      <c r="AL155" s="196">
        <f>AG188</f>
        <v>0</v>
      </c>
      <c r="AM155" s="510">
        <v>75</v>
      </c>
      <c r="AN155" s="510">
        <f t="shared" si="29"/>
        <v>0</v>
      </c>
      <c r="AQ155" s="367"/>
      <c r="AR155" s="367"/>
      <c r="AS155" s="367"/>
      <c r="AT155" s="367"/>
      <c r="AU155" s="367"/>
      <c r="AV155" s="367"/>
      <c r="AW155" s="367"/>
    </row>
    <row r="156" spans="1:49" ht="14.25" hidden="1" thickBot="1">
      <c r="A156" s="180"/>
      <c r="B156" s="171" t="s">
        <v>91</v>
      </c>
      <c r="C156" s="172">
        <v>0.375</v>
      </c>
      <c r="D156" s="172">
        <v>0.25</v>
      </c>
      <c r="E156" s="173">
        <v>8</v>
      </c>
      <c r="F156" s="277"/>
      <c r="G156" s="4"/>
      <c r="H156" s="172" t="s">
        <v>29</v>
      </c>
      <c r="I156" s="172" t="s">
        <v>29</v>
      </c>
      <c r="J156" s="319">
        <v>0</v>
      </c>
      <c r="K156" s="277"/>
      <c r="L156" s="4"/>
      <c r="M156" s="47">
        <v>0.375</v>
      </c>
      <c r="N156" s="47">
        <v>0.25</v>
      </c>
      <c r="O156" s="319">
        <v>8</v>
      </c>
      <c r="P156" s="277"/>
      <c r="R156" s="47">
        <v>0.375</v>
      </c>
      <c r="S156" s="47">
        <v>0.25</v>
      </c>
      <c r="T156" s="319">
        <v>8</v>
      </c>
      <c r="U156" s="277"/>
      <c r="W156" s="47">
        <v>0.375</v>
      </c>
      <c r="X156" s="47">
        <v>0.10416666666666667</v>
      </c>
      <c r="Y156" s="19">
        <v>5.5</v>
      </c>
      <c r="Z156" s="277"/>
      <c r="AA156" s="29">
        <f t="shared" ref="AA156:AA164" si="31">(E155+J156+O156+T156+Y156)</f>
        <v>29.5</v>
      </c>
      <c r="AB156" s="298">
        <f t="shared" ref="AB156:AB164" si="32">Z156+U156+P156+K156+F155</f>
        <v>0</v>
      </c>
      <c r="AC156" s="4"/>
      <c r="AD156" s="345"/>
      <c r="AE156" s="345"/>
      <c r="AF156" s="346"/>
      <c r="AG156" s="29">
        <f t="shared" si="30"/>
        <v>0</v>
      </c>
      <c r="AH156" s="175"/>
      <c r="AK156" s="188" t="s">
        <v>41</v>
      </c>
      <c r="AL156" s="196">
        <f>C191</f>
        <v>98</v>
      </c>
      <c r="AM156" s="512">
        <v>45</v>
      </c>
      <c r="AN156" s="512">
        <f t="shared" si="29"/>
        <v>4410</v>
      </c>
      <c r="AO156" s="369"/>
      <c r="AP156" s="369"/>
    </row>
    <row r="157" spans="1:49" ht="14.25" hidden="1" thickTop="1">
      <c r="A157" s="367"/>
      <c r="B157" s="171" t="s">
        <v>115</v>
      </c>
      <c r="C157" s="172">
        <v>0.36458333333333331</v>
      </c>
      <c r="D157" s="172">
        <v>0.25</v>
      </c>
      <c r="E157" s="173">
        <v>8</v>
      </c>
      <c r="F157" s="277"/>
      <c r="G157" s="4"/>
      <c r="H157" s="172" t="s">
        <v>29</v>
      </c>
      <c r="I157" s="172" t="s">
        <v>29</v>
      </c>
      <c r="J157" s="319">
        <v>0</v>
      </c>
      <c r="K157" s="277"/>
      <c r="L157" s="4"/>
      <c r="M157" s="47">
        <v>0.375</v>
      </c>
      <c r="N157" s="47">
        <v>0.25</v>
      </c>
      <c r="O157" s="319">
        <v>8</v>
      </c>
      <c r="P157" s="277"/>
      <c r="R157" s="47">
        <v>0.36458333333333331</v>
      </c>
      <c r="S157" s="47">
        <v>0.25</v>
      </c>
      <c r="T157" s="319">
        <v>8</v>
      </c>
      <c r="U157" s="277"/>
      <c r="W157" s="47">
        <v>0.36458333333333331</v>
      </c>
      <c r="X157" s="47">
        <v>0.25</v>
      </c>
      <c r="Y157" s="19">
        <v>8</v>
      </c>
      <c r="Z157" s="277"/>
      <c r="AA157" s="29">
        <f t="shared" si="31"/>
        <v>32</v>
      </c>
      <c r="AB157" s="298">
        <f t="shared" si="32"/>
        <v>0</v>
      </c>
      <c r="AC157" s="4"/>
      <c r="AD157" s="345"/>
      <c r="AE157" s="345"/>
      <c r="AF157" s="346"/>
      <c r="AG157" s="29">
        <f t="shared" si="30"/>
        <v>0</v>
      </c>
      <c r="AN157" s="510">
        <f>SUM(AN150:AN156)</f>
        <v>45777</v>
      </c>
    </row>
    <row r="158" spans="1:49" hidden="1">
      <c r="A158" s="180"/>
      <c r="B158" s="171" t="s">
        <v>46</v>
      </c>
      <c r="C158" s="172">
        <v>0.375</v>
      </c>
      <c r="D158" s="172">
        <v>0.25</v>
      </c>
      <c r="E158" s="173">
        <v>8</v>
      </c>
      <c r="F158" s="277"/>
      <c r="G158" s="4"/>
      <c r="H158" s="172" t="s">
        <v>29</v>
      </c>
      <c r="I158" s="172" t="s">
        <v>29</v>
      </c>
      <c r="J158" s="319">
        <v>0</v>
      </c>
      <c r="K158" s="277"/>
      <c r="L158" s="4"/>
      <c r="M158" s="47">
        <v>0.375</v>
      </c>
      <c r="N158" s="47">
        <v>0.25</v>
      </c>
      <c r="O158" s="319">
        <v>8</v>
      </c>
      <c r="P158" s="277"/>
      <c r="R158" s="47">
        <v>0.375</v>
      </c>
      <c r="S158" s="47">
        <v>0.25</v>
      </c>
      <c r="T158" s="319">
        <v>8</v>
      </c>
      <c r="U158" s="277"/>
      <c r="W158" s="47">
        <v>0.375</v>
      </c>
      <c r="X158" s="47">
        <v>0.25</v>
      </c>
      <c r="Y158" s="19">
        <v>8</v>
      </c>
      <c r="Z158" s="277"/>
      <c r="AA158" s="29">
        <f t="shared" si="31"/>
        <v>32</v>
      </c>
      <c r="AB158" s="298">
        <f t="shared" si="32"/>
        <v>0</v>
      </c>
      <c r="AC158" s="4"/>
      <c r="AD158" s="345"/>
      <c r="AE158" s="345"/>
      <c r="AF158" s="346"/>
      <c r="AG158" s="29">
        <f t="shared" si="30"/>
        <v>0</v>
      </c>
    </row>
    <row r="159" spans="1:49" hidden="1">
      <c r="A159" s="180"/>
      <c r="B159" s="171" t="s">
        <v>43</v>
      </c>
      <c r="C159" s="172">
        <v>0.38541666666666669</v>
      </c>
      <c r="D159" s="172">
        <v>0.25</v>
      </c>
      <c r="E159" s="173">
        <v>8</v>
      </c>
      <c r="F159" s="277"/>
      <c r="G159" s="4"/>
      <c r="H159" s="172" t="s">
        <v>29</v>
      </c>
      <c r="I159" s="172" t="s">
        <v>29</v>
      </c>
      <c r="J159" s="319">
        <v>0</v>
      </c>
      <c r="K159" s="277"/>
      <c r="L159" s="4"/>
      <c r="M159" s="47">
        <v>0.375</v>
      </c>
      <c r="N159" s="47">
        <v>0.25</v>
      </c>
      <c r="O159" s="319">
        <v>8</v>
      </c>
      <c r="P159" s="277"/>
      <c r="R159" s="47">
        <v>0.375</v>
      </c>
      <c r="S159" s="47">
        <v>0.25</v>
      </c>
      <c r="T159" s="319">
        <v>8</v>
      </c>
      <c r="U159" s="277"/>
      <c r="W159" s="47">
        <v>0.375</v>
      </c>
      <c r="X159" s="47">
        <v>0.25</v>
      </c>
      <c r="Y159" s="19">
        <v>8</v>
      </c>
      <c r="Z159" s="277"/>
      <c r="AA159" s="29">
        <f t="shared" si="31"/>
        <v>32</v>
      </c>
      <c r="AB159" s="298">
        <f t="shared" si="32"/>
        <v>0</v>
      </c>
      <c r="AC159" s="4"/>
      <c r="AD159" s="345"/>
      <c r="AE159" s="345"/>
      <c r="AF159" s="346"/>
      <c r="AG159" s="29">
        <f t="shared" si="30"/>
        <v>0</v>
      </c>
    </row>
    <row r="160" spans="1:49" hidden="1">
      <c r="A160" s="180"/>
      <c r="B160" s="171" t="s">
        <v>113</v>
      </c>
      <c r="C160" s="172">
        <v>0.35416666666666669</v>
      </c>
      <c r="D160" s="172" t="s">
        <v>114</v>
      </c>
      <c r="E160" s="173">
        <v>8</v>
      </c>
      <c r="F160" s="277"/>
      <c r="G160" s="4"/>
      <c r="H160" s="172" t="s">
        <v>29</v>
      </c>
      <c r="I160" s="172" t="s">
        <v>29</v>
      </c>
      <c r="J160" s="319">
        <v>0</v>
      </c>
      <c r="K160" s="277"/>
      <c r="L160" s="4"/>
      <c r="M160" s="47">
        <v>0.375</v>
      </c>
      <c r="N160" s="47">
        <v>0.25</v>
      </c>
      <c r="O160" s="319">
        <v>8</v>
      </c>
      <c r="P160" s="277"/>
      <c r="R160" s="47">
        <v>0.375</v>
      </c>
      <c r="S160" s="47">
        <v>0.25</v>
      </c>
      <c r="T160" s="319">
        <v>8</v>
      </c>
      <c r="U160" s="277"/>
      <c r="W160" s="47">
        <v>0.375</v>
      </c>
      <c r="X160" s="47">
        <v>0.25</v>
      </c>
      <c r="Y160" s="19">
        <v>8</v>
      </c>
      <c r="Z160" s="277"/>
      <c r="AA160" s="29">
        <f t="shared" si="31"/>
        <v>32</v>
      </c>
      <c r="AB160" s="298">
        <f t="shared" si="32"/>
        <v>0</v>
      </c>
      <c r="AC160" s="4"/>
      <c r="AD160" s="345"/>
      <c r="AE160" s="345"/>
      <c r="AF160" s="346"/>
      <c r="AG160" s="29">
        <f t="shared" si="30"/>
        <v>0</v>
      </c>
    </row>
    <row r="161" spans="1:33" hidden="1">
      <c r="A161" s="180"/>
      <c r="B161" s="171" t="s">
        <v>108</v>
      </c>
      <c r="C161" s="172">
        <v>0.375</v>
      </c>
      <c r="D161" s="172">
        <v>0.25</v>
      </c>
      <c r="E161" s="173">
        <v>8</v>
      </c>
      <c r="F161" s="277"/>
      <c r="G161" s="4"/>
      <c r="H161" s="172" t="s">
        <v>29</v>
      </c>
      <c r="I161" s="172" t="s">
        <v>29</v>
      </c>
      <c r="J161" s="319">
        <v>0</v>
      </c>
      <c r="K161" s="277"/>
      <c r="L161" s="4"/>
      <c r="M161" s="47">
        <v>0.375</v>
      </c>
      <c r="N161" s="47">
        <v>0.25</v>
      </c>
      <c r="O161" s="319">
        <v>8</v>
      </c>
      <c r="P161" s="277"/>
      <c r="R161" s="47">
        <v>0.375</v>
      </c>
      <c r="S161" s="47">
        <v>0.25</v>
      </c>
      <c r="T161" s="319">
        <v>8</v>
      </c>
      <c r="U161" s="277"/>
      <c r="W161" s="47">
        <v>0.375</v>
      </c>
      <c r="X161" s="47">
        <v>0.25</v>
      </c>
      <c r="Y161" s="19">
        <v>8</v>
      </c>
      <c r="Z161" s="277"/>
      <c r="AA161" s="29">
        <f t="shared" si="31"/>
        <v>32</v>
      </c>
      <c r="AB161" s="298">
        <f t="shared" si="32"/>
        <v>0</v>
      </c>
      <c r="AC161" s="4"/>
      <c r="AD161" s="345"/>
      <c r="AE161" s="345"/>
      <c r="AF161" s="346"/>
      <c r="AG161" s="29">
        <f t="shared" si="30"/>
        <v>0</v>
      </c>
    </row>
    <row r="162" spans="1:33" hidden="1">
      <c r="A162" s="180"/>
      <c r="B162" s="171" t="s">
        <v>112</v>
      </c>
      <c r="C162" s="172" t="s">
        <v>116</v>
      </c>
      <c r="D162" s="172" t="s">
        <v>29</v>
      </c>
      <c r="E162" s="19">
        <v>0</v>
      </c>
      <c r="F162" s="277"/>
      <c r="G162" s="4"/>
      <c r="H162" s="172" t="s">
        <v>116</v>
      </c>
      <c r="I162" s="172" t="s">
        <v>29</v>
      </c>
      <c r="J162" s="319">
        <v>0</v>
      </c>
      <c r="K162" s="277"/>
      <c r="L162" s="4"/>
      <c r="M162" s="47">
        <v>0</v>
      </c>
      <c r="N162" s="47">
        <v>0</v>
      </c>
      <c r="O162" s="319">
        <v>0</v>
      </c>
      <c r="P162" s="277"/>
      <c r="R162" s="47">
        <v>0</v>
      </c>
      <c r="S162" s="47">
        <v>0</v>
      </c>
      <c r="T162" s="19">
        <v>0</v>
      </c>
      <c r="U162" s="277"/>
      <c r="W162" s="47">
        <v>0</v>
      </c>
      <c r="X162" s="47">
        <v>0</v>
      </c>
      <c r="Y162" s="19">
        <v>0</v>
      </c>
      <c r="Z162" s="277"/>
      <c r="AA162" s="29">
        <f t="shared" si="31"/>
        <v>8</v>
      </c>
      <c r="AB162" s="298">
        <f t="shared" si="32"/>
        <v>0</v>
      </c>
      <c r="AC162" s="4"/>
      <c r="AD162" s="345"/>
      <c r="AE162" s="345"/>
      <c r="AF162" s="346"/>
      <c r="AG162" s="29">
        <f t="shared" si="30"/>
        <v>0</v>
      </c>
    </row>
    <row r="163" spans="1:33" hidden="1">
      <c r="A163" s="180"/>
      <c r="B163" s="171" t="s">
        <v>52</v>
      </c>
      <c r="C163" s="172">
        <v>0.35416666666666669</v>
      </c>
      <c r="D163" s="172">
        <v>0.25</v>
      </c>
      <c r="E163" s="173">
        <v>8</v>
      </c>
      <c r="F163" s="277"/>
      <c r="G163" s="4"/>
      <c r="H163" s="47">
        <v>0.35416666666666669</v>
      </c>
      <c r="I163" s="172">
        <v>0.25</v>
      </c>
      <c r="J163" s="173">
        <v>8</v>
      </c>
      <c r="K163" s="277"/>
      <c r="L163" s="4"/>
      <c r="M163" s="47">
        <v>0.375</v>
      </c>
      <c r="N163" s="47">
        <v>0.25</v>
      </c>
      <c r="O163" s="319">
        <v>8</v>
      </c>
      <c r="P163" s="277"/>
      <c r="R163" s="47">
        <v>0.34375</v>
      </c>
      <c r="S163" s="47">
        <v>0.25</v>
      </c>
      <c r="T163" s="319">
        <v>8</v>
      </c>
      <c r="U163" s="277"/>
      <c r="W163" s="47">
        <v>0.36458333333333331</v>
      </c>
      <c r="X163" s="47">
        <v>0.25</v>
      </c>
      <c r="Y163" s="19">
        <v>8</v>
      </c>
      <c r="Z163" s="277"/>
      <c r="AA163" s="29">
        <f t="shared" si="31"/>
        <v>32</v>
      </c>
      <c r="AB163" s="298">
        <f t="shared" si="32"/>
        <v>0</v>
      </c>
      <c r="AC163" s="4"/>
      <c r="AD163" s="345"/>
      <c r="AE163" s="345"/>
      <c r="AF163" s="346"/>
      <c r="AG163" s="29">
        <f t="shared" si="30"/>
        <v>0</v>
      </c>
    </row>
    <row r="164" spans="1:33" hidden="1">
      <c r="A164" s="180"/>
      <c r="B164" s="171" t="s">
        <v>42</v>
      </c>
      <c r="C164" s="172">
        <v>0.34375</v>
      </c>
      <c r="D164" s="172">
        <v>0.25</v>
      </c>
      <c r="E164" s="173">
        <v>8</v>
      </c>
      <c r="F164" s="277"/>
      <c r="G164" s="4"/>
      <c r="H164" s="47">
        <v>0.35416666666666669</v>
      </c>
      <c r="I164" s="172">
        <v>0.25</v>
      </c>
      <c r="J164" s="173">
        <v>8</v>
      </c>
      <c r="K164" s="277"/>
      <c r="L164" s="4"/>
      <c r="M164" s="47">
        <v>0.35416666666666669</v>
      </c>
      <c r="N164" s="47">
        <v>0.25</v>
      </c>
      <c r="O164" s="319">
        <v>8</v>
      </c>
      <c r="P164" s="277"/>
      <c r="R164" s="47">
        <v>0.34375</v>
      </c>
      <c r="S164" s="47">
        <v>0.25</v>
      </c>
      <c r="T164" s="319">
        <v>8</v>
      </c>
      <c r="U164" s="277"/>
      <c r="W164" s="47">
        <v>0.35416666666666669</v>
      </c>
      <c r="X164" s="47">
        <v>0.25</v>
      </c>
      <c r="Y164" s="19">
        <v>8</v>
      </c>
      <c r="Z164" s="277"/>
      <c r="AA164" s="29">
        <f t="shared" si="31"/>
        <v>40</v>
      </c>
      <c r="AB164" s="298">
        <f t="shared" si="32"/>
        <v>0</v>
      </c>
      <c r="AC164" s="4"/>
      <c r="AD164" s="345"/>
      <c r="AE164" s="345"/>
      <c r="AF164" s="346"/>
      <c r="AG164" s="29">
        <f t="shared" si="30"/>
        <v>0</v>
      </c>
    </row>
    <row r="165" spans="1:33" hidden="1">
      <c r="A165" s="180"/>
      <c r="B165" s="171"/>
      <c r="C165" s="172"/>
      <c r="D165" s="172"/>
      <c r="E165" s="19"/>
      <c r="F165" s="277"/>
      <c r="G165" s="4"/>
      <c r="H165" s="47"/>
      <c r="I165" s="47"/>
      <c r="J165" s="19"/>
      <c r="K165" s="277"/>
      <c r="L165" s="4"/>
      <c r="M165" s="47"/>
      <c r="N165" s="47"/>
      <c r="O165" s="319"/>
      <c r="P165" s="277"/>
      <c r="R165" s="47"/>
      <c r="S165" s="47"/>
      <c r="T165" s="19"/>
      <c r="U165" s="277"/>
      <c r="W165" s="47"/>
      <c r="X165" s="47"/>
      <c r="Y165" s="19"/>
      <c r="Z165" s="277"/>
      <c r="AA165" s="29"/>
      <c r="AB165" s="298">
        <f>Z165+U165+P165+K165+F164</f>
        <v>0</v>
      </c>
      <c r="AC165" s="4"/>
      <c r="AD165" s="345"/>
      <c r="AE165" s="345"/>
      <c r="AF165" s="346"/>
      <c r="AG165" s="29"/>
    </row>
    <row r="166" spans="1:33" hidden="1">
      <c r="A166" s="180"/>
      <c r="B166" s="171" t="s">
        <v>237</v>
      </c>
      <c r="C166" s="172"/>
      <c r="D166" s="172" t="s">
        <v>114</v>
      </c>
      <c r="E166" s="19">
        <v>0</v>
      </c>
      <c r="F166" s="277"/>
      <c r="G166" s="4"/>
      <c r="H166" s="47">
        <v>0.375</v>
      </c>
      <c r="I166" s="47">
        <v>0.25</v>
      </c>
      <c r="J166" s="19">
        <v>8</v>
      </c>
      <c r="K166" s="277"/>
      <c r="L166" s="4"/>
      <c r="M166" s="47">
        <v>0.40625</v>
      </c>
      <c r="N166" s="47">
        <v>0.25</v>
      </c>
      <c r="O166" s="319">
        <v>7.25</v>
      </c>
      <c r="P166" s="277"/>
      <c r="R166" s="47">
        <v>0.35416666666666669</v>
      </c>
      <c r="S166" s="47">
        <v>0.25</v>
      </c>
      <c r="T166" s="319">
        <v>8</v>
      </c>
      <c r="U166" s="277"/>
      <c r="W166" s="47">
        <v>0.34375</v>
      </c>
      <c r="X166" s="47">
        <v>0.25</v>
      </c>
      <c r="Y166" s="19">
        <v>8</v>
      </c>
      <c r="Z166" s="277"/>
      <c r="AA166" s="29">
        <f>(E165+J166+O166+T166+Y166)</f>
        <v>31.25</v>
      </c>
      <c r="AB166" s="298">
        <f>Z166+U166+P166+K166+F165</f>
        <v>0</v>
      </c>
      <c r="AC166" s="4"/>
      <c r="AD166" s="345"/>
      <c r="AE166" s="345"/>
      <c r="AF166" s="346"/>
      <c r="AG166" s="29"/>
    </row>
    <row r="167" spans="1:33" hidden="1">
      <c r="A167" s="180"/>
      <c r="B167" s="419" t="s">
        <v>93</v>
      </c>
      <c r="C167" s="172">
        <v>0.375</v>
      </c>
      <c r="D167" s="172">
        <v>0.25</v>
      </c>
      <c r="E167" s="173">
        <v>8</v>
      </c>
      <c r="F167" s="277"/>
      <c r="G167" s="4"/>
      <c r="H167" s="47">
        <v>0.375</v>
      </c>
      <c r="I167" s="172">
        <v>0.25</v>
      </c>
      <c r="J167" s="173">
        <v>8</v>
      </c>
      <c r="K167" s="277"/>
      <c r="L167" s="4"/>
      <c r="M167" s="47">
        <v>0.375</v>
      </c>
      <c r="N167" s="47">
        <v>0.25</v>
      </c>
      <c r="O167" s="319">
        <v>8</v>
      </c>
      <c r="P167" s="277"/>
      <c r="R167" s="47">
        <v>0.36458333333333331</v>
      </c>
      <c r="S167" s="47">
        <v>0.25</v>
      </c>
      <c r="T167" s="319">
        <v>8</v>
      </c>
      <c r="U167" s="277"/>
      <c r="W167" s="47">
        <v>0.36458333333333331</v>
      </c>
      <c r="X167" s="47">
        <v>0.25</v>
      </c>
      <c r="Y167" s="19">
        <v>8</v>
      </c>
      <c r="Z167" s="277"/>
      <c r="AA167" s="29">
        <f t="shared" ref="AA167:AA183" si="33">(E167+J167+O167+T167+Y167)</f>
        <v>40</v>
      </c>
      <c r="AB167" s="298">
        <f t="shared" ref="AB167:AB186" si="34">Z167+U167+P167+K167+F167</f>
        <v>0</v>
      </c>
      <c r="AC167" s="4"/>
      <c r="AD167" s="345"/>
      <c r="AE167" s="345"/>
      <c r="AF167" s="346"/>
      <c r="AG167" s="29">
        <f t="shared" si="30"/>
        <v>0</v>
      </c>
    </row>
    <row r="168" spans="1:33" hidden="1">
      <c r="A168" s="180"/>
      <c r="B168" s="418" t="s">
        <v>232</v>
      </c>
      <c r="C168" s="172" t="s">
        <v>29</v>
      </c>
      <c r="D168" s="172" t="s">
        <v>29</v>
      </c>
      <c r="E168" s="19">
        <v>0</v>
      </c>
      <c r="F168" s="277"/>
      <c r="G168" s="4"/>
      <c r="H168" s="172" t="s">
        <v>29</v>
      </c>
      <c r="I168" s="172" t="s">
        <v>29</v>
      </c>
      <c r="J168" s="319">
        <v>0</v>
      </c>
      <c r="K168" s="277"/>
      <c r="L168" s="4"/>
      <c r="M168" s="47">
        <v>0.41666666666666669</v>
      </c>
      <c r="N168" s="47">
        <v>0.25</v>
      </c>
      <c r="O168" s="319">
        <v>7</v>
      </c>
      <c r="P168" s="277"/>
      <c r="R168" s="47">
        <v>0.38541666666666669</v>
      </c>
      <c r="S168" s="47">
        <v>0.25</v>
      </c>
      <c r="T168" s="319">
        <v>8</v>
      </c>
      <c r="U168" s="277"/>
      <c r="W168" s="47">
        <v>0.375</v>
      </c>
      <c r="X168" s="47">
        <v>0.25</v>
      </c>
      <c r="Y168" s="19">
        <v>8</v>
      </c>
      <c r="Z168" s="277"/>
      <c r="AA168" s="29">
        <f t="shared" si="33"/>
        <v>23</v>
      </c>
      <c r="AB168" s="298">
        <f t="shared" si="34"/>
        <v>0</v>
      </c>
      <c r="AC168" s="4"/>
      <c r="AD168" s="345"/>
      <c r="AE168" s="345"/>
      <c r="AF168" s="346"/>
      <c r="AG168" s="29">
        <f t="shared" si="30"/>
        <v>0</v>
      </c>
    </row>
    <row r="169" spans="1:33" hidden="1">
      <c r="A169" s="180"/>
      <c r="B169" s="418" t="s">
        <v>233</v>
      </c>
      <c r="C169" s="172">
        <v>0.36458333333333331</v>
      </c>
      <c r="D169" s="172">
        <v>0.25</v>
      </c>
      <c r="E169" s="173">
        <v>8</v>
      </c>
      <c r="F169" s="277"/>
      <c r="G169" s="4"/>
      <c r="H169" s="47">
        <v>0.375</v>
      </c>
      <c r="I169" s="172">
        <v>0.25</v>
      </c>
      <c r="J169" s="173">
        <v>8</v>
      </c>
      <c r="K169" s="277"/>
      <c r="L169" s="4"/>
      <c r="M169" s="47">
        <v>0.375</v>
      </c>
      <c r="N169" s="47">
        <v>0.25</v>
      </c>
      <c r="O169" s="19">
        <v>8</v>
      </c>
      <c r="P169" s="277"/>
      <c r="R169" s="47">
        <v>0.36458333333333331</v>
      </c>
      <c r="S169" s="47">
        <v>0.25</v>
      </c>
      <c r="T169" s="319">
        <v>8</v>
      </c>
      <c r="U169" s="277"/>
      <c r="W169" s="47">
        <v>0.36458333333333331</v>
      </c>
      <c r="X169" s="47">
        <v>0.25</v>
      </c>
      <c r="Y169" s="19">
        <v>8</v>
      </c>
      <c r="Z169" s="277"/>
      <c r="AA169" s="29">
        <f t="shared" si="33"/>
        <v>40</v>
      </c>
      <c r="AB169" s="298">
        <f t="shared" si="34"/>
        <v>0</v>
      </c>
      <c r="AC169" s="4"/>
      <c r="AD169" s="410"/>
      <c r="AE169" s="4"/>
      <c r="AF169" s="19"/>
      <c r="AG169" s="29">
        <f t="shared" si="30"/>
        <v>0</v>
      </c>
    </row>
    <row r="170" spans="1:33" hidden="1">
      <c r="A170" s="180"/>
      <c r="B170" s="418" t="s">
        <v>234</v>
      </c>
      <c r="C170" s="172">
        <v>0.36458333333333331</v>
      </c>
      <c r="D170" s="172">
        <v>0.25</v>
      </c>
      <c r="E170" s="173">
        <v>8</v>
      </c>
      <c r="F170" s="277"/>
      <c r="G170" s="4"/>
      <c r="H170" s="47">
        <v>0.35416666666666669</v>
      </c>
      <c r="I170" s="172">
        <v>0.25</v>
      </c>
      <c r="J170" s="173">
        <v>8</v>
      </c>
      <c r="K170" s="277"/>
      <c r="L170" s="4"/>
      <c r="M170" s="47">
        <v>0.375</v>
      </c>
      <c r="N170" s="47">
        <v>0.25</v>
      </c>
      <c r="O170" s="19">
        <v>8</v>
      </c>
      <c r="P170" s="277"/>
      <c r="R170" s="47">
        <v>0.36458333333333331</v>
      </c>
      <c r="S170" s="47">
        <v>0.25</v>
      </c>
      <c r="T170" s="319">
        <v>8</v>
      </c>
      <c r="U170" s="277"/>
      <c r="W170" s="47">
        <v>0.375</v>
      </c>
      <c r="X170" s="47">
        <v>0.25</v>
      </c>
      <c r="Y170" s="19">
        <v>8</v>
      </c>
      <c r="Z170" s="277"/>
      <c r="AA170" s="29">
        <f t="shared" si="33"/>
        <v>40</v>
      </c>
      <c r="AB170" s="298">
        <f t="shared" si="34"/>
        <v>0</v>
      </c>
      <c r="AC170" s="4"/>
      <c r="AD170" s="4"/>
      <c r="AE170" s="4"/>
      <c r="AF170" s="19"/>
      <c r="AG170" s="29">
        <f t="shared" si="30"/>
        <v>0</v>
      </c>
    </row>
    <row r="171" spans="1:33" hidden="1">
      <c r="A171" s="180"/>
      <c r="B171" s="418" t="s">
        <v>35</v>
      </c>
      <c r="C171" s="172">
        <v>0.375</v>
      </c>
      <c r="D171" s="172">
        <v>0.25</v>
      </c>
      <c r="E171" s="19">
        <v>8</v>
      </c>
      <c r="F171" s="277"/>
      <c r="G171" s="4"/>
      <c r="H171" s="47">
        <v>0.39583333333333331</v>
      </c>
      <c r="I171" s="172">
        <v>0.25</v>
      </c>
      <c r="J171" s="173">
        <v>8</v>
      </c>
      <c r="K171" s="277"/>
      <c r="L171" s="4"/>
      <c r="M171" s="47">
        <v>0.375</v>
      </c>
      <c r="N171" s="47">
        <v>0.25</v>
      </c>
      <c r="O171" s="19">
        <v>8</v>
      </c>
      <c r="P171" s="277"/>
      <c r="R171" s="47">
        <v>0.375</v>
      </c>
      <c r="S171" s="47">
        <v>0.25</v>
      </c>
      <c r="T171" s="319">
        <v>8</v>
      </c>
      <c r="U171" s="277"/>
      <c r="W171" s="47">
        <v>0.39583333333333331</v>
      </c>
      <c r="X171" s="47">
        <v>0.25</v>
      </c>
      <c r="Y171" s="19">
        <v>7.5</v>
      </c>
      <c r="Z171" s="277"/>
      <c r="AA171" s="29">
        <f t="shared" si="33"/>
        <v>39.5</v>
      </c>
      <c r="AB171" s="298">
        <f t="shared" si="34"/>
        <v>0</v>
      </c>
      <c r="AC171" s="4"/>
      <c r="AD171" s="4"/>
      <c r="AE171" s="4"/>
      <c r="AF171" s="19"/>
      <c r="AG171" s="29">
        <f t="shared" si="30"/>
        <v>0</v>
      </c>
    </row>
    <row r="172" spans="1:33" hidden="1">
      <c r="A172" s="180"/>
      <c r="B172" s="418" t="s">
        <v>50</v>
      </c>
      <c r="C172" s="172" t="s">
        <v>29</v>
      </c>
      <c r="D172" s="172" t="s">
        <v>29</v>
      </c>
      <c r="E172" s="19">
        <v>0</v>
      </c>
      <c r="F172" s="277"/>
      <c r="G172" s="4"/>
      <c r="H172" s="47">
        <v>0.47916666666666669</v>
      </c>
      <c r="I172" s="47">
        <v>0.25</v>
      </c>
      <c r="J172" s="19">
        <v>8</v>
      </c>
      <c r="K172" s="277"/>
      <c r="L172" s="4"/>
      <c r="M172" s="47">
        <v>0.375</v>
      </c>
      <c r="N172" s="47">
        <v>0.25</v>
      </c>
      <c r="O172" s="19">
        <v>8</v>
      </c>
      <c r="P172" s="277"/>
      <c r="R172" s="47">
        <v>0</v>
      </c>
      <c r="S172" s="47">
        <v>0</v>
      </c>
      <c r="T172" s="19">
        <v>0</v>
      </c>
      <c r="U172" s="277"/>
      <c r="W172" s="47">
        <v>0.375</v>
      </c>
      <c r="X172" s="47">
        <v>0.25</v>
      </c>
      <c r="Y172" s="19">
        <v>8</v>
      </c>
      <c r="Z172" s="277"/>
      <c r="AA172" s="29">
        <f t="shared" si="33"/>
        <v>24</v>
      </c>
      <c r="AB172" s="298">
        <f t="shared" si="34"/>
        <v>0</v>
      </c>
      <c r="AC172" s="4"/>
      <c r="AD172" s="4"/>
      <c r="AE172" s="4"/>
      <c r="AF172" s="19"/>
      <c r="AG172" s="29">
        <f t="shared" si="30"/>
        <v>0</v>
      </c>
    </row>
    <row r="173" spans="1:33" hidden="1">
      <c r="A173" s="180"/>
      <c r="B173" s="418" t="s">
        <v>44</v>
      </c>
      <c r="C173" s="172">
        <v>0.375</v>
      </c>
      <c r="D173" s="172">
        <v>0.25</v>
      </c>
      <c r="E173" s="173">
        <v>8</v>
      </c>
      <c r="F173" s="277"/>
      <c r="G173" s="4"/>
      <c r="H173" s="47"/>
      <c r="I173" s="47"/>
      <c r="J173" s="19"/>
      <c r="K173" s="277"/>
      <c r="L173" s="4"/>
      <c r="M173" s="47">
        <v>0</v>
      </c>
      <c r="N173" s="47">
        <v>0</v>
      </c>
      <c r="O173" s="19">
        <v>0</v>
      </c>
      <c r="P173" s="277"/>
      <c r="R173" s="47">
        <v>0.40625</v>
      </c>
      <c r="S173" s="47">
        <v>0.25</v>
      </c>
      <c r="T173" s="319">
        <v>8</v>
      </c>
      <c r="U173" s="277"/>
      <c r="W173" s="47">
        <v>0.375</v>
      </c>
      <c r="X173" s="47">
        <v>0.25</v>
      </c>
      <c r="Y173" s="19">
        <v>8</v>
      </c>
      <c r="Z173" s="277"/>
      <c r="AA173" s="29">
        <f t="shared" si="33"/>
        <v>24</v>
      </c>
      <c r="AB173" s="298">
        <f t="shared" si="34"/>
        <v>0</v>
      </c>
      <c r="AC173" s="4"/>
      <c r="AD173" s="4"/>
      <c r="AE173" s="4"/>
      <c r="AF173" s="19"/>
      <c r="AG173" s="29">
        <f t="shared" si="30"/>
        <v>0</v>
      </c>
    </row>
    <row r="174" spans="1:33" hidden="1">
      <c r="A174" s="180"/>
      <c r="B174" s="418" t="s">
        <v>45</v>
      </c>
      <c r="C174" s="172">
        <v>0.375</v>
      </c>
      <c r="D174" s="172">
        <v>0.25</v>
      </c>
      <c r="E174" s="173">
        <v>8</v>
      </c>
      <c r="F174" s="277"/>
      <c r="G174" s="4"/>
      <c r="H174" s="172" t="s">
        <v>29</v>
      </c>
      <c r="I174" s="172" t="s">
        <v>29</v>
      </c>
      <c r="J174" s="19"/>
      <c r="K174" s="277"/>
      <c r="L174" s="4"/>
      <c r="M174" s="47">
        <v>0.40625</v>
      </c>
      <c r="N174" s="47">
        <v>0.25</v>
      </c>
      <c r="O174" s="19">
        <v>7.25</v>
      </c>
      <c r="P174" s="277"/>
      <c r="R174" s="47">
        <v>0.375</v>
      </c>
      <c r="S174" s="47">
        <v>0.25</v>
      </c>
      <c r="T174" s="319">
        <v>8</v>
      </c>
      <c r="U174" s="277"/>
      <c r="W174" s="47">
        <v>0.375</v>
      </c>
      <c r="X174" s="47">
        <v>0.25</v>
      </c>
      <c r="Y174" s="19">
        <v>8</v>
      </c>
      <c r="Z174" s="277"/>
      <c r="AA174" s="29">
        <f t="shared" si="33"/>
        <v>31.25</v>
      </c>
      <c r="AB174" s="298">
        <f t="shared" si="34"/>
        <v>0</v>
      </c>
      <c r="AC174" s="4"/>
      <c r="AD174" s="4"/>
      <c r="AE174" s="4"/>
      <c r="AF174" s="19"/>
      <c r="AG174" s="29">
        <f t="shared" si="30"/>
        <v>0</v>
      </c>
    </row>
    <row r="175" spans="1:33" hidden="1">
      <c r="A175" s="180"/>
      <c r="B175" s="418" t="s">
        <v>235</v>
      </c>
      <c r="C175" s="172">
        <v>0.375</v>
      </c>
      <c r="D175" s="172">
        <v>0.25</v>
      </c>
      <c r="E175" s="173">
        <v>8</v>
      </c>
      <c r="F175" s="277"/>
      <c r="G175" s="4"/>
      <c r="H175" s="172" t="s">
        <v>29</v>
      </c>
      <c r="I175" s="172" t="s">
        <v>29</v>
      </c>
      <c r="J175" s="19"/>
      <c r="K175" s="277"/>
      <c r="L175" s="4"/>
      <c r="M175" s="47">
        <v>0.39583333333333331</v>
      </c>
      <c r="N175" s="47">
        <v>0.25</v>
      </c>
      <c r="O175" s="19">
        <v>7.5</v>
      </c>
      <c r="P175" s="277"/>
      <c r="R175" s="47">
        <v>0.38541666666666669</v>
      </c>
      <c r="S175" s="47">
        <v>0.25</v>
      </c>
      <c r="T175" s="319">
        <v>8</v>
      </c>
      <c r="U175" s="277"/>
      <c r="W175" s="47">
        <v>0.375</v>
      </c>
      <c r="X175" s="47">
        <v>0.25</v>
      </c>
      <c r="Y175" s="19">
        <v>8</v>
      </c>
      <c r="Z175" s="277"/>
      <c r="AA175" s="29">
        <f t="shared" si="33"/>
        <v>31.5</v>
      </c>
      <c r="AB175" s="298">
        <f t="shared" si="34"/>
        <v>0</v>
      </c>
      <c r="AC175" s="4"/>
      <c r="AD175" s="4"/>
      <c r="AE175" s="4"/>
      <c r="AF175" s="19"/>
      <c r="AG175" s="29">
        <f t="shared" si="30"/>
        <v>0</v>
      </c>
    </row>
    <row r="176" spans="1:33" hidden="1">
      <c r="A176" s="180"/>
      <c r="B176" s="418" t="s">
        <v>96</v>
      </c>
      <c r="C176" s="172">
        <v>0.33333333333333331</v>
      </c>
      <c r="D176" s="172">
        <v>0.25</v>
      </c>
      <c r="E176" s="173">
        <v>8</v>
      </c>
      <c r="F176" s="277"/>
      <c r="G176" s="4"/>
      <c r="H176" s="172" t="s">
        <v>29</v>
      </c>
      <c r="I176" s="172" t="s">
        <v>29</v>
      </c>
      <c r="J176" s="19"/>
      <c r="K176" s="277"/>
      <c r="L176" s="4"/>
      <c r="M176" s="47">
        <v>0.34375</v>
      </c>
      <c r="N176" s="47">
        <v>0.25</v>
      </c>
      <c r="O176" s="19">
        <v>8</v>
      </c>
      <c r="P176" s="277"/>
      <c r="R176" s="47">
        <v>0.375</v>
      </c>
      <c r="S176" s="47">
        <v>0.25</v>
      </c>
      <c r="T176" s="319">
        <v>8</v>
      </c>
      <c r="U176" s="277"/>
      <c r="W176" s="47">
        <v>0.36458333333333331</v>
      </c>
      <c r="X176" s="47">
        <v>0.25</v>
      </c>
      <c r="Y176" s="19">
        <v>8</v>
      </c>
      <c r="Z176" s="277"/>
      <c r="AA176" s="29">
        <f t="shared" si="33"/>
        <v>32</v>
      </c>
      <c r="AB176" s="298">
        <f t="shared" si="34"/>
        <v>0</v>
      </c>
      <c r="AC176" s="4"/>
      <c r="AD176" s="4"/>
      <c r="AE176" s="4"/>
      <c r="AF176" s="19"/>
      <c r="AG176" s="29">
        <f t="shared" si="30"/>
        <v>0</v>
      </c>
    </row>
    <row r="177" spans="1:37" hidden="1">
      <c r="A177" s="180"/>
      <c r="B177" s="13" t="s">
        <v>54</v>
      </c>
      <c r="C177" s="172" t="s">
        <v>29</v>
      </c>
      <c r="D177" s="172" t="s">
        <v>29</v>
      </c>
      <c r="E177" s="19"/>
      <c r="F177" s="277"/>
      <c r="G177" s="4"/>
      <c r="H177" s="4"/>
      <c r="I177" s="4"/>
      <c r="J177" s="19"/>
      <c r="K177" s="277"/>
      <c r="L177" s="4"/>
      <c r="M177" s="4"/>
      <c r="N177" s="47"/>
      <c r="O177" s="319"/>
      <c r="P177" s="277"/>
      <c r="S177" s="4"/>
      <c r="T177" s="19"/>
      <c r="U177" s="277"/>
      <c r="X177" s="4"/>
      <c r="Y177" s="19"/>
      <c r="Z177" s="277"/>
      <c r="AA177" s="29">
        <f t="shared" si="33"/>
        <v>0</v>
      </c>
      <c r="AB177" s="298">
        <f t="shared" si="34"/>
        <v>0</v>
      </c>
      <c r="AC177" s="4"/>
      <c r="AD177" s="4"/>
      <c r="AE177" s="4"/>
      <c r="AF177" s="19"/>
      <c r="AG177" s="29">
        <f t="shared" si="30"/>
        <v>0</v>
      </c>
    </row>
    <row r="178" spans="1:37" hidden="1">
      <c r="A178" s="180"/>
      <c r="B178" s="13" t="s">
        <v>55</v>
      </c>
      <c r="C178" s="172" t="s">
        <v>29</v>
      </c>
      <c r="D178" s="172" t="s">
        <v>29</v>
      </c>
      <c r="E178" s="19"/>
      <c r="F178" s="277"/>
      <c r="G178" s="4"/>
      <c r="H178" s="4"/>
      <c r="I178" s="4"/>
      <c r="J178" s="19"/>
      <c r="K178" s="277"/>
      <c r="L178" s="4"/>
      <c r="M178" s="4"/>
      <c r="N178" s="47"/>
      <c r="O178" s="319"/>
      <c r="P178" s="277"/>
      <c r="S178" s="4"/>
      <c r="T178" s="19"/>
      <c r="U178" s="277"/>
      <c r="X178" s="4"/>
      <c r="Y178" s="19"/>
      <c r="Z178" s="277"/>
      <c r="AA178" s="29">
        <f t="shared" si="33"/>
        <v>0</v>
      </c>
      <c r="AB178" s="298">
        <f t="shared" si="34"/>
        <v>0</v>
      </c>
      <c r="AC178" s="4"/>
      <c r="AD178" s="4"/>
      <c r="AE178" s="4"/>
      <c r="AF178" s="19"/>
      <c r="AG178" s="29">
        <f t="shared" si="30"/>
        <v>0</v>
      </c>
    </row>
    <row r="179" spans="1:37" hidden="1">
      <c r="A179" s="180"/>
      <c r="B179" s="166" t="s">
        <v>48</v>
      </c>
      <c r="C179" s="16" t="s">
        <v>29</v>
      </c>
      <c r="D179" s="16" t="s">
        <v>29</v>
      </c>
      <c r="E179" s="19">
        <v>8</v>
      </c>
      <c r="F179" s="277"/>
      <c r="G179" s="4"/>
      <c r="H179" s="16" t="s">
        <v>29</v>
      </c>
      <c r="I179" s="16" t="s">
        <v>29</v>
      </c>
      <c r="J179" s="19">
        <v>8</v>
      </c>
      <c r="K179" s="277"/>
      <c r="L179" s="4"/>
      <c r="M179" s="16" t="s">
        <v>29</v>
      </c>
      <c r="N179" s="16" t="s">
        <v>29</v>
      </c>
      <c r="O179" s="19">
        <v>8</v>
      </c>
      <c r="P179" s="277"/>
      <c r="R179" s="16" t="s">
        <v>29</v>
      </c>
      <c r="S179" s="16" t="s">
        <v>29</v>
      </c>
      <c r="T179" s="19">
        <v>8</v>
      </c>
      <c r="U179" s="277"/>
      <c r="W179" s="16" t="s">
        <v>29</v>
      </c>
      <c r="X179" s="16" t="s">
        <v>29</v>
      </c>
      <c r="Y179" s="19">
        <v>8</v>
      </c>
      <c r="Z179" s="277"/>
      <c r="AA179" s="29">
        <f t="shared" si="33"/>
        <v>40</v>
      </c>
      <c r="AB179" s="298">
        <f t="shared" si="34"/>
        <v>0</v>
      </c>
      <c r="AC179" s="4"/>
      <c r="AD179" s="4"/>
      <c r="AE179" s="4"/>
      <c r="AF179" s="19"/>
      <c r="AG179" s="29">
        <f t="shared" si="30"/>
        <v>0</v>
      </c>
    </row>
    <row r="180" spans="1:37" hidden="1">
      <c r="A180" s="180"/>
      <c r="B180" s="166" t="s">
        <v>49</v>
      </c>
      <c r="C180" s="47" t="s">
        <v>29</v>
      </c>
      <c r="D180" s="47" t="s">
        <v>29</v>
      </c>
      <c r="E180" s="19">
        <v>8</v>
      </c>
      <c r="F180" s="277"/>
      <c r="G180" s="4"/>
      <c r="H180" s="47" t="s">
        <v>29</v>
      </c>
      <c r="I180" s="47" t="s">
        <v>29</v>
      </c>
      <c r="J180" s="19">
        <v>8</v>
      </c>
      <c r="K180" s="277"/>
      <c r="L180" s="4"/>
      <c r="M180" s="47" t="s">
        <v>29</v>
      </c>
      <c r="N180" s="47" t="s">
        <v>29</v>
      </c>
      <c r="O180" s="19">
        <v>8</v>
      </c>
      <c r="P180" s="277"/>
      <c r="R180" s="47" t="s">
        <v>29</v>
      </c>
      <c r="S180" s="47" t="s">
        <v>29</v>
      </c>
      <c r="T180" s="19">
        <v>8</v>
      </c>
      <c r="U180" s="277"/>
      <c r="W180" s="47" t="s">
        <v>29</v>
      </c>
      <c r="X180" s="47" t="s">
        <v>29</v>
      </c>
      <c r="Y180" s="19">
        <v>8</v>
      </c>
      <c r="Z180" s="277"/>
      <c r="AA180" s="29">
        <f t="shared" si="33"/>
        <v>40</v>
      </c>
      <c r="AB180" s="298">
        <f t="shared" si="34"/>
        <v>0</v>
      </c>
      <c r="AC180" s="4"/>
      <c r="AD180" s="4"/>
      <c r="AE180" s="4"/>
      <c r="AF180" s="19"/>
      <c r="AG180" s="29">
        <f t="shared" si="30"/>
        <v>0</v>
      </c>
    </row>
    <row r="181" spans="1:37" hidden="1">
      <c r="A181" s="180"/>
      <c r="B181" s="166" t="s">
        <v>107</v>
      </c>
      <c r="C181" s="47" t="s">
        <v>29</v>
      </c>
      <c r="D181" s="47" t="s">
        <v>29</v>
      </c>
      <c r="E181" s="19">
        <v>8</v>
      </c>
      <c r="F181" s="277"/>
      <c r="G181" s="4"/>
      <c r="H181" s="47" t="s">
        <v>29</v>
      </c>
      <c r="I181" s="47" t="s">
        <v>29</v>
      </c>
      <c r="J181" s="19">
        <v>8</v>
      </c>
      <c r="K181" s="277"/>
      <c r="L181" s="4"/>
      <c r="M181" s="47" t="s">
        <v>29</v>
      </c>
      <c r="N181" s="47" t="s">
        <v>29</v>
      </c>
      <c r="O181" s="19">
        <v>8</v>
      </c>
      <c r="P181" s="277"/>
      <c r="R181" s="47" t="s">
        <v>29</v>
      </c>
      <c r="S181" s="47" t="s">
        <v>29</v>
      </c>
      <c r="T181" s="19">
        <v>8</v>
      </c>
      <c r="U181" s="277"/>
      <c r="W181" s="47" t="s">
        <v>29</v>
      </c>
      <c r="X181" s="47" t="s">
        <v>29</v>
      </c>
      <c r="Y181" s="19">
        <v>8</v>
      </c>
      <c r="Z181" s="277"/>
      <c r="AA181" s="29">
        <f t="shared" si="33"/>
        <v>40</v>
      </c>
      <c r="AB181" s="298">
        <f t="shared" si="34"/>
        <v>0</v>
      </c>
      <c r="AC181" s="4"/>
      <c r="AD181" s="4"/>
      <c r="AE181" s="4"/>
      <c r="AF181" s="19"/>
      <c r="AG181" s="29">
        <f t="shared" si="30"/>
        <v>0</v>
      </c>
    </row>
    <row r="182" spans="1:37" hidden="1">
      <c r="A182" s="180"/>
      <c r="B182" s="166" t="s">
        <v>59</v>
      </c>
      <c r="C182" s="47" t="s">
        <v>29</v>
      </c>
      <c r="D182" s="16" t="s">
        <v>29</v>
      </c>
      <c r="E182" s="19">
        <v>8</v>
      </c>
      <c r="F182" s="277"/>
      <c r="G182" s="4"/>
      <c r="H182" s="47" t="s">
        <v>29</v>
      </c>
      <c r="I182" s="16" t="s">
        <v>29</v>
      </c>
      <c r="J182" s="19">
        <v>8</v>
      </c>
      <c r="K182" s="277"/>
      <c r="L182" s="4"/>
      <c r="M182" s="47" t="s">
        <v>29</v>
      </c>
      <c r="N182" s="16" t="s">
        <v>29</v>
      </c>
      <c r="O182" s="19">
        <v>8</v>
      </c>
      <c r="P182" s="277"/>
      <c r="R182" s="47" t="s">
        <v>29</v>
      </c>
      <c r="S182" s="16" t="s">
        <v>29</v>
      </c>
      <c r="T182" s="19">
        <v>8</v>
      </c>
      <c r="U182" s="277"/>
      <c r="W182" s="47" t="s">
        <v>29</v>
      </c>
      <c r="X182" s="16" t="s">
        <v>29</v>
      </c>
      <c r="Y182" s="19">
        <v>8</v>
      </c>
      <c r="Z182" s="277"/>
      <c r="AA182" s="29">
        <f t="shared" si="33"/>
        <v>40</v>
      </c>
      <c r="AB182" s="298">
        <f t="shared" si="34"/>
        <v>0</v>
      </c>
      <c r="AC182" s="4"/>
      <c r="AD182" s="4"/>
      <c r="AE182" s="4"/>
      <c r="AF182" s="19"/>
      <c r="AG182" s="29">
        <f t="shared" si="30"/>
        <v>0</v>
      </c>
    </row>
    <row r="183" spans="1:37" hidden="1">
      <c r="A183" s="180"/>
      <c r="B183" s="166" t="s">
        <v>60</v>
      </c>
      <c r="C183" s="16" t="s">
        <v>29</v>
      </c>
      <c r="D183" s="16" t="s">
        <v>29</v>
      </c>
      <c r="E183" s="19">
        <v>8</v>
      </c>
      <c r="F183" s="277"/>
      <c r="G183" s="4"/>
      <c r="H183" s="16" t="s">
        <v>29</v>
      </c>
      <c r="I183" s="16" t="s">
        <v>29</v>
      </c>
      <c r="J183" s="19">
        <v>8</v>
      </c>
      <c r="K183" s="277"/>
      <c r="L183" s="4"/>
      <c r="M183" s="16" t="s">
        <v>29</v>
      </c>
      <c r="N183" s="16" t="s">
        <v>29</v>
      </c>
      <c r="O183" s="19">
        <v>8</v>
      </c>
      <c r="P183" s="277"/>
      <c r="R183" s="16" t="s">
        <v>29</v>
      </c>
      <c r="S183" s="16" t="s">
        <v>29</v>
      </c>
      <c r="T183" s="19">
        <v>8</v>
      </c>
      <c r="U183" s="277"/>
      <c r="W183" s="16" t="s">
        <v>29</v>
      </c>
      <c r="X183" s="16" t="s">
        <v>29</v>
      </c>
      <c r="Y183" s="19">
        <v>8</v>
      </c>
      <c r="Z183" s="277"/>
      <c r="AA183" s="29">
        <f t="shared" si="33"/>
        <v>40</v>
      </c>
      <c r="AB183" s="298">
        <f t="shared" si="34"/>
        <v>0</v>
      </c>
      <c r="AC183" s="4"/>
      <c r="AD183" s="4"/>
      <c r="AE183" s="4"/>
      <c r="AF183" s="19"/>
      <c r="AG183" s="29">
        <f t="shared" si="30"/>
        <v>0</v>
      </c>
    </row>
    <row r="184" spans="1:37" hidden="1">
      <c r="A184" s="180"/>
      <c r="B184" s="63" t="s">
        <v>63</v>
      </c>
      <c r="C184" s="12" t="s">
        <v>29</v>
      </c>
      <c r="D184" s="12" t="s">
        <v>29</v>
      </c>
      <c r="E184" s="19">
        <v>8</v>
      </c>
      <c r="F184" s="277"/>
      <c r="G184" s="60"/>
      <c r="H184" s="12" t="s">
        <v>29</v>
      </c>
      <c r="I184" s="12" t="s">
        <v>29</v>
      </c>
      <c r="J184" s="19">
        <v>8</v>
      </c>
      <c r="K184" s="277"/>
      <c r="L184" s="60"/>
      <c r="M184" s="16" t="s">
        <v>29</v>
      </c>
      <c r="N184" s="16" t="s">
        <v>29</v>
      </c>
      <c r="O184" s="19">
        <v>8</v>
      </c>
      <c r="P184" s="277"/>
      <c r="Q184" s="60"/>
      <c r="R184" s="16" t="s">
        <v>29</v>
      </c>
      <c r="S184" s="16" t="s">
        <v>29</v>
      </c>
      <c r="T184" s="19">
        <v>8</v>
      </c>
      <c r="U184" s="277"/>
      <c r="V184" s="60"/>
      <c r="W184" s="16" t="s">
        <v>29</v>
      </c>
      <c r="X184" s="16" t="s">
        <v>29</v>
      </c>
      <c r="Y184" s="19">
        <v>8</v>
      </c>
      <c r="Z184" s="277"/>
      <c r="AA184" s="28">
        <f>SUM(E184+J184+O184+T184+Y184)</f>
        <v>40</v>
      </c>
      <c r="AB184" s="298">
        <f t="shared" si="34"/>
        <v>0</v>
      </c>
      <c r="AC184" s="4"/>
      <c r="AD184" s="56"/>
      <c r="AE184" s="56"/>
      <c r="AF184" s="19"/>
      <c r="AG184" s="29">
        <f t="shared" si="30"/>
        <v>0</v>
      </c>
      <c r="AK184" s="407"/>
    </row>
    <row r="185" spans="1:37" hidden="1">
      <c r="A185" s="180"/>
      <c r="B185" s="63" t="s">
        <v>62</v>
      </c>
      <c r="C185" s="16" t="s">
        <v>29</v>
      </c>
      <c r="D185" s="16" t="s">
        <v>29</v>
      </c>
      <c r="E185" s="19">
        <v>8</v>
      </c>
      <c r="F185" s="277"/>
      <c r="G185" s="60"/>
      <c r="H185" s="16" t="s">
        <v>29</v>
      </c>
      <c r="I185" s="16" t="s">
        <v>29</v>
      </c>
      <c r="J185" s="19">
        <v>8</v>
      </c>
      <c r="K185" s="277"/>
      <c r="L185" s="60"/>
      <c r="M185" s="16" t="s">
        <v>29</v>
      </c>
      <c r="N185" s="16" t="s">
        <v>29</v>
      </c>
      <c r="O185" s="19">
        <v>8</v>
      </c>
      <c r="P185" s="277"/>
      <c r="Q185" s="60"/>
      <c r="R185" s="16" t="s">
        <v>29</v>
      </c>
      <c r="S185" s="16" t="s">
        <v>29</v>
      </c>
      <c r="T185" s="19">
        <v>8</v>
      </c>
      <c r="U185" s="277"/>
      <c r="V185" s="60"/>
      <c r="W185" s="16" t="s">
        <v>29</v>
      </c>
      <c r="X185" s="16" t="s">
        <v>29</v>
      </c>
      <c r="Y185" s="19">
        <v>8</v>
      </c>
      <c r="Z185" s="277"/>
      <c r="AA185" s="28">
        <f>SUM(E185+J185+O185+T185+Y185)</f>
        <v>40</v>
      </c>
      <c r="AB185" s="298">
        <f t="shared" si="34"/>
        <v>0</v>
      </c>
      <c r="AC185" s="4"/>
      <c r="AD185" s="56"/>
      <c r="AE185" s="56"/>
      <c r="AF185" s="19"/>
      <c r="AG185" s="29">
        <v>0</v>
      </c>
    </row>
    <row r="186" spans="1:37" hidden="1">
      <c r="A186" s="180"/>
      <c r="B186" s="63"/>
      <c r="C186" s="4"/>
      <c r="D186" s="4"/>
      <c r="E186" s="19"/>
      <c r="F186" s="277"/>
      <c r="G186" s="60"/>
      <c r="H186" s="4"/>
      <c r="I186" s="4"/>
      <c r="J186" s="19"/>
      <c r="K186" s="277"/>
      <c r="L186" s="60"/>
      <c r="M186" s="47"/>
      <c r="N186" s="47"/>
      <c r="O186" s="19"/>
      <c r="P186" s="277"/>
      <c r="Q186" s="60"/>
      <c r="S186" s="4"/>
      <c r="T186" s="19"/>
      <c r="U186" s="277"/>
      <c r="V186" s="60"/>
      <c r="X186" s="4"/>
      <c r="Y186" s="19"/>
      <c r="Z186" s="277"/>
      <c r="AA186" s="28">
        <f>SUM(E186+J186+O186+T186+Y186)</f>
        <v>0</v>
      </c>
      <c r="AB186" s="298">
        <f t="shared" si="34"/>
        <v>0</v>
      </c>
      <c r="AC186" s="4"/>
      <c r="AD186" s="56"/>
      <c r="AE186" s="56"/>
      <c r="AF186" s="19"/>
      <c r="AG186" s="29">
        <f>AF186</f>
        <v>0</v>
      </c>
    </row>
    <row r="187" spans="1:37" hidden="1">
      <c r="A187" s="180"/>
      <c r="B187" s="64" t="s">
        <v>61</v>
      </c>
      <c r="C187" s="64"/>
      <c r="D187" s="64"/>
      <c r="E187" s="167">
        <f>SUM(E151:E186)</f>
        <v>216</v>
      </c>
      <c r="F187" s="277">
        <f>SUM(F151:F178)</f>
        <v>0</v>
      </c>
      <c r="G187" s="64"/>
      <c r="H187" s="64"/>
      <c r="I187" s="64"/>
      <c r="J187" s="64">
        <f>SUM(J151:J186)</f>
        <v>120</v>
      </c>
      <c r="K187" s="277">
        <f>SUM(K151:K178)</f>
        <v>0</v>
      </c>
      <c r="L187" s="64"/>
      <c r="M187" s="64"/>
      <c r="N187" s="64"/>
      <c r="O187" s="167">
        <f>SUM(O151:O186)</f>
        <v>237</v>
      </c>
      <c r="P187" s="277">
        <f>SUM(P151:P183)</f>
        <v>0</v>
      </c>
      <c r="Q187" s="64"/>
      <c r="R187" s="167"/>
      <c r="S187" s="64"/>
      <c r="T187" s="167">
        <f>SUM(T151:T186)</f>
        <v>232</v>
      </c>
      <c r="U187" s="277">
        <f>SUM(U151:U183)</f>
        <v>0</v>
      </c>
      <c r="V187" s="64"/>
      <c r="W187" s="167"/>
      <c r="X187" s="64"/>
      <c r="Y187" s="167">
        <f>SUM(Y151:Y186)</f>
        <v>229</v>
      </c>
      <c r="Z187" s="277">
        <f>SUM(Z151:Z178)</f>
        <v>0</v>
      </c>
      <c r="AA187" s="370">
        <f>SUM(AA151:AA186)</f>
        <v>1034</v>
      </c>
      <c r="AB187" s="289">
        <f>SUM(AB151:AB186)</f>
        <v>0</v>
      </c>
      <c r="AC187" s="4"/>
      <c r="AD187" s="64"/>
      <c r="AE187" s="64"/>
      <c r="AF187" s="167">
        <f>SUM(AF151:AF186)</f>
        <v>0</v>
      </c>
      <c r="AG187" s="370">
        <f>SUM(AG151:AG178)</f>
        <v>0</v>
      </c>
    </row>
    <row r="188" spans="1:37" hidden="1">
      <c r="A188" s="180"/>
      <c r="B188" s="63" t="s">
        <v>64</v>
      </c>
      <c r="C188" s="56"/>
      <c r="D188" s="56"/>
      <c r="E188" s="19">
        <v>6</v>
      </c>
      <c r="F188" s="291"/>
      <c r="G188" s="60"/>
      <c r="H188" s="56"/>
      <c r="I188" s="56"/>
      <c r="J188" s="19">
        <v>6.5</v>
      </c>
      <c r="K188" s="291"/>
      <c r="L188" s="60"/>
      <c r="M188" s="56"/>
      <c r="N188" s="56"/>
      <c r="O188" s="19">
        <v>5</v>
      </c>
      <c r="P188" s="19"/>
      <c r="Q188" s="60"/>
      <c r="R188" s="56"/>
      <c r="S188" s="56"/>
      <c r="T188" s="19">
        <v>6</v>
      </c>
      <c r="U188" s="19"/>
      <c r="V188" s="60"/>
      <c r="W188" s="56"/>
      <c r="X188" s="56"/>
      <c r="Y188" s="19">
        <v>5</v>
      </c>
      <c r="Z188" s="19"/>
      <c r="AA188" s="28">
        <f>SUM(E188+J188+O188+T188+Y188)</f>
        <v>28.5</v>
      </c>
      <c r="AB188" s="296">
        <f>Z188+U188+P188+K188+F188</f>
        <v>0</v>
      </c>
      <c r="AC188" s="4"/>
      <c r="AD188" s="56"/>
      <c r="AE188" s="56"/>
      <c r="AF188" s="19"/>
      <c r="AG188" s="29">
        <f>AF188</f>
        <v>0</v>
      </c>
    </row>
    <row r="189" spans="1:37" hidden="1">
      <c r="A189" s="180"/>
      <c r="B189" s="63" t="s">
        <v>110</v>
      </c>
      <c r="C189" s="56"/>
      <c r="D189" s="56"/>
      <c r="E189" s="19">
        <v>2.5</v>
      </c>
      <c r="F189" s="291">
        <v>0</v>
      </c>
      <c r="G189" s="60"/>
      <c r="H189" s="56"/>
      <c r="I189" s="56"/>
      <c r="J189" s="19">
        <v>2.5</v>
      </c>
      <c r="K189" s="291">
        <v>0</v>
      </c>
      <c r="L189" s="60"/>
      <c r="M189" s="56"/>
      <c r="N189" s="56"/>
      <c r="O189" s="19">
        <v>2.5</v>
      </c>
      <c r="P189" s="19">
        <v>0</v>
      </c>
      <c r="Q189" s="60"/>
      <c r="R189" s="56"/>
      <c r="S189" s="56"/>
      <c r="T189" s="19">
        <v>3</v>
      </c>
      <c r="U189" s="19">
        <v>0</v>
      </c>
      <c r="V189" s="60"/>
      <c r="W189" s="56"/>
      <c r="X189" s="56"/>
      <c r="Y189" s="19">
        <v>2.5</v>
      </c>
      <c r="Z189" s="19">
        <v>0</v>
      </c>
      <c r="AA189" s="28">
        <f>SUM(E189+J189+O189+T189+Y189)</f>
        <v>13</v>
      </c>
      <c r="AB189" s="296">
        <f>Z189+U189+P189+K189+F189</f>
        <v>0</v>
      </c>
      <c r="AC189" s="4"/>
      <c r="AD189" s="56"/>
      <c r="AE189" s="56"/>
      <c r="AF189" s="19"/>
      <c r="AG189" s="29">
        <f>AF189</f>
        <v>0</v>
      </c>
    </row>
    <row r="190" spans="1:37" hidden="1">
      <c r="A190" s="180"/>
      <c r="B190" s="71" t="s">
        <v>66</v>
      </c>
      <c r="C190" s="371"/>
      <c r="D190" s="371"/>
      <c r="E190" s="71">
        <f t="shared" ref="E190:AB190" si="35">SUM(E188:E189)</f>
        <v>8.5</v>
      </c>
      <c r="F190" s="71">
        <f t="shared" si="35"/>
        <v>0</v>
      </c>
      <c r="G190" s="71">
        <f t="shared" si="35"/>
        <v>0</v>
      </c>
      <c r="H190" s="71">
        <f t="shared" si="35"/>
        <v>0</v>
      </c>
      <c r="I190" s="71">
        <f t="shared" si="35"/>
        <v>0</v>
      </c>
      <c r="J190" s="71">
        <f t="shared" si="35"/>
        <v>9</v>
      </c>
      <c r="K190" s="71">
        <f t="shared" si="35"/>
        <v>0</v>
      </c>
      <c r="L190" s="71">
        <f t="shared" si="35"/>
        <v>0</v>
      </c>
      <c r="M190" s="71">
        <f t="shared" si="35"/>
        <v>0</v>
      </c>
      <c r="N190" s="71">
        <f t="shared" si="35"/>
        <v>0</v>
      </c>
      <c r="O190" s="71">
        <f t="shared" si="35"/>
        <v>7.5</v>
      </c>
      <c r="P190" s="71">
        <f t="shared" si="35"/>
        <v>0</v>
      </c>
      <c r="Q190" s="71">
        <f t="shared" si="35"/>
        <v>0</v>
      </c>
      <c r="R190" s="71">
        <f t="shared" si="35"/>
        <v>0</v>
      </c>
      <c r="S190" s="71">
        <f t="shared" si="35"/>
        <v>0</v>
      </c>
      <c r="T190" s="71">
        <f t="shared" si="35"/>
        <v>9</v>
      </c>
      <c r="U190" s="71">
        <f t="shared" si="35"/>
        <v>0</v>
      </c>
      <c r="V190" s="71">
        <f t="shared" si="35"/>
        <v>0</v>
      </c>
      <c r="W190" s="71">
        <f t="shared" si="35"/>
        <v>0</v>
      </c>
      <c r="X190" s="71">
        <f t="shared" si="35"/>
        <v>0</v>
      </c>
      <c r="Y190" s="71">
        <f t="shared" si="35"/>
        <v>7.5</v>
      </c>
      <c r="Z190" s="71">
        <f t="shared" si="35"/>
        <v>0</v>
      </c>
      <c r="AA190" s="370">
        <f t="shared" si="35"/>
        <v>41.5</v>
      </c>
      <c r="AB190" s="370">
        <f t="shared" si="35"/>
        <v>0</v>
      </c>
      <c r="AC190" s="4"/>
      <c r="AG190" s="370">
        <f>SUM(AG188:AG189)</f>
        <v>0</v>
      </c>
    </row>
    <row r="191" spans="1:37" hidden="1">
      <c r="A191" s="180"/>
      <c r="B191" s="217" t="s">
        <v>67</v>
      </c>
      <c r="C191" s="207">
        <f>C192+C193</f>
        <v>98</v>
      </c>
      <c r="D191" s="207"/>
      <c r="E191" s="209"/>
      <c r="F191" s="209"/>
      <c r="G191" s="207"/>
      <c r="H191" s="209"/>
      <c r="I191" s="209"/>
      <c r="J191" s="209"/>
      <c r="K191" s="209"/>
      <c r="L191" s="207"/>
      <c r="M191" s="207"/>
      <c r="N191" s="207"/>
      <c r="O191" s="207"/>
      <c r="P191" s="209"/>
      <c r="Q191" s="207"/>
      <c r="R191" s="207"/>
      <c r="S191" s="207"/>
      <c r="T191" s="207"/>
      <c r="U191" s="209"/>
      <c r="V191" s="207"/>
      <c r="W191" s="207"/>
      <c r="X191" s="207"/>
      <c r="Y191" s="210"/>
      <c r="Z191" s="209"/>
      <c r="AA191" s="211"/>
      <c r="AB191" s="209"/>
      <c r="AC191" s="211"/>
      <c r="AD191" s="211"/>
      <c r="AE191" s="211"/>
      <c r="AF191" s="211"/>
      <c r="AG191" s="211"/>
    </row>
    <row r="192" spans="1:37" hidden="1">
      <c r="A192" s="180"/>
      <c r="B192" s="238" t="s">
        <v>68</v>
      </c>
      <c r="C192" s="239">
        <f>8+6+11+10+11</f>
        <v>46</v>
      </c>
      <c r="D192" s="207"/>
      <c r="E192" s="209"/>
      <c r="F192" s="209"/>
      <c r="G192" s="207"/>
      <c r="H192" s="209"/>
      <c r="I192" s="209"/>
      <c r="J192" s="209"/>
      <c r="K192" s="209"/>
      <c r="L192" s="207"/>
      <c r="M192" s="207"/>
      <c r="N192" s="207"/>
      <c r="O192" s="207"/>
      <c r="P192" s="209"/>
      <c r="Q192" s="207"/>
      <c r="R192" s="207"/>
      <c r="S192" s="207"/>
      <c r="T192" s="207"/>
      <c r="U192" s="209"/>
      <c r="V192" s="207"/>
      <c r="W192" s="207"/>
      <c r="X192" s="207"/>
      <c r="Y192" s="210"/>
      <c r="Z192" s="209"/>
      <c r="AA192" s="211"/>
      <c r="AB192" s="209"/>
      <c r="AC192" s="211"/>
      <c r="AD192" s="211"/>
      <c r="AE192" s="211"/>
      <c r="AF192" s="211"/>
      <c r="AG192" s="211"/>
    </row>
    <row r="193" spans="1:49" hidden="1">
      <c r="A193" s="180"/>
      <c r="B193" s="238" t="s">
        <v>69</v>
      </c>
      <c r="C193" s="239">
        <f>13+2+13+12+12</f>
        <v>52</v>
      </c>
      <c r="D193" s="207"/>
      <c r="E193" s="209"/>
      <c r="F193" s="209"/>
      <c r="G193" s="207"/>
      <c r="H193" s="209"/>
      <c r="I193" s="209"/>
      <c r="J193" s="209"/>
      <c r="K193" s="209"/>
      <c r="L193" s="207"/>
      <c r="M193" s="207"/>
      <c r="N193" s="207"/>
      <c r="O193" s="207"/>
      <c r="P193" s="209"/>
      <c r="Q193" s="207"/>
      <c r="R193" s="207"/>
      <c r="S193" s="207"/>
      <c r="T193" s="207"/>
      <c r="U193" s="209"/>
      <c r="V193" s="207"/>
      <c r="W193" s="207"/>
      <c r="X193" s="207"/>
      <c r="Y193" s="210"/>
      <c r="Z193" s="209"/>
      <c r="AA193" s="211"/>
      <c r="AB193" s="209"/>
      <c r="AC193" s="211"/>
      <c r="AD193" s="211"/>
      <c r="AE193" s="211"/>
      <c r="AF193" s="211"/>
      <c r="AG193" s="211"/>
    </row>
    <row r="194" spans="1:49" hidden="1">
      <c r="E194" s="4"/>
      <c r="F194" s="4"/>
      <c r="G194" s="4"/>
      <c r="J194" s="4"/>
      <c r="K194" s="4"/>
      <c r="L194" s="4"/>
      <c r="O194" s="4"/>
      <c r="P194" s="4"/>
      <c r="T194" s="4"/>
      <c r="U194" s="4"/>
      <c r="Y194" s="4"/>
      <c r="Z194" s="4"/>
      <c r="AA194" s="4"/>
      <c r="AB194" s="4"/>
      <c r="AC194" s="4"/>
    </row>
    <row r="195" spans="1:49" hidden="1">
      <c r="A195" s="180"/>
      <c r="B195" s="229"/>
      <c r="C195" s="230"/>
      <c r="D195" s="230"/>
      <c r="E195" s="232"/>
      <c r="F195" s="232"/>
      <c r="G195" s="230"/>
      <c r="H195" s="232"/>
      <c r="I195" s="232"/>
      <c r="J195" s="232"/>
      <c r="K195" s="232"/>
      <c r="L195" s="230"/>
      <c r="M195" s="230"/>
      <c r="N195" s="230"/>
      <c r="O195" s="230"/>
      <c r="P195" s="232"/>
      <c r="Q195" s="230"/>
      <c r="R195" s="230"/>
      <c r="S195" s="230"/>
      <c r="T195" s="230"/>
      <c r="U195" s="232"/>
      <c r="V195" s="230"/>
      <c r="W195" s="230"/>
      <c r="X195" s="230"/>
      <c r="Y195" s="233"/>
      <c r="Z195" s="232"/>
      <c r="AA195" s="234"/>
      <c r="AB195" s="232"/>
      <c r="AC195" s="373"/>
      <c r="AD195" s="236"/>
      <c r="AE195" s="255"/>
      <c r="AF195" s="255"/>
      <c r="AG195" s="255"/>
      <c r="AH195" s="255"/>
      <c r="AJ195" s="255"/>
      <c r="AK195" s="255"/>
      <c r="AL195" s="255"/>
      <c r="AM195" s="255"/>
      <c r="AN195" s="255"/>
      <c r="AO195" s="255"/>
      <c r="AP195" s="255"/>
      <c r="AQ195" s="255"/>
      <c r="AR195" s="255"/>
      <c r="AS195" s="255"/>
      <c r="AT195" s="255"/>
      <c r="AU195" s="255"/>
      <c r="AV195" s="255"/>
      <c r="AW195" s="255"/>
    </row>
    <row r="196" spans="1:49" hidden="1">
      <c r="B196" s="180"/>
      <c r="E196" s="4"/>
      <c r="F196" s="4"/>
      <c r="G196" s="4"/>
      <c r="J196" s="4"/>
      <c r="K196" s="4"/>
      <c r="L196" s="4"/>
      <c r="O196" s="4"/>
      <c r="P196" s="4"/>
      <c r="T196" s="4"/>
      <c r="U196" s="4"/>
      <c r="Y196" s="4"/>
      <c r="Z196" s="4"/>
      <c r="AA196" s="4"/>
      <c r="AB196" s="4"/>
      <c r="AC196" s="4"/>
      <c r="AK196" s="180"/>
      <c r="AL196" s="180"/>
      <c r="AM196" s="180"/>
      <c r="AN196" s="180"/>
      <c r="AO196" s="180"/>
      <c r="AP196" s="180"/>
    </row>
    <row r="197" spans="1:49" hidden="1">
      <c r="A197" s="228"/>
      <c r="B197" s="1518" t="s">
        <v>18</v>
      </c>
      <c r="C197" s="1519">
        <v>45341</v>
      </c>
      <c r="D197" s="1519"/>
      <c r="E197" s="1519"/>
      <c r="F197" s="1519"/>
      <c r="G197" s="365"/>
      <c r="H197" s="1519">
        <v>45342</v>
      </c>
      <c r="I197" s="1519"/>
      <c r="J197" s="1519"/>
      <c r="K197" s="1519"/>
      <c r="L197" s="365">
        <v>45343</v>
      </c>
      <c r="M197" s="1519">
        <v>45343</v>
      </c>
      <c r="N197" s="1519"/>
      <c r="O197" s="1519"/>
      <c r="P197" s="1519"/>
      <c r="Q197" s="365"/>
      <c r="R197" s="1519">
        <v>45344</v>
      </c>
      <c r="S197" s="1519"/>
      <c r="T197" s="1519"/>
      <c r="U197" s="1519"/>
      <c r="V197" s="365"/>
      <c r="W197" s="1519">
        <v>45345</v>
      </c>
      <c r="X197" s="1519"/>
      <c r="Y197" s="1519"/>
      <c r="Z197" s="1519"/>
      <c r="AA197" s="1517" t="s">
        <v>19</v>
      </c>
      <c r="AB197" s="1517" t="s">
        <v>20</v>
      </c>
      <c r="AC197" s="4"/>
      <c r="AD197" s="1519">
        <v>45346</v>
      </c>
      <c r="AE197" s="1519"/>
      <c r="AF197" s="1519"/>
      <c r="AG197" s="1517" t="s">
        <v>21</v>
      </c>
      <c r="AH197" s="374"/>
      <c r="AI197" s="368"/>
      <c r="AK197" s="194" t="s">
        <v>84</v>
      </c>
      <c r="AL197" s="366"/>
      <c r="AM197" s="366"/>
      <c r="AN197" s="366"/>
      <c r="AO197" s="366"/>
      <c r="AP197" s="366"/>
    </row>
    <row r="198" spans="1:49" hidden="1">
      <c r="A198" s="180"/>
      <c r="B198" s="1518"/>
      <c r="C198" s="21" t="s">
        <v>23</v>
      </c>
      <c r="D198" s="21" t="s">
        <v>24</v>
      </c>
      <c r="E198" s="205" t="s">
        <v>25</v>
      </c>
      <c r="F198" s="18" t="s">
        <v>14</v>
      </c>
      <c r="G198" s="4"/>
      <c r="H198" s="21" t="s">
        <v>23</v>
      </c>
      <c r="I198" s="21" t="s">
        <v>24</v>
      </c>
      <c r="J198" s="18" t="s">
        <v>25</v>
      </c>
      <c r="K198" s="18" t="s">
        <v>14</v>
      </c>
      <c r="L198" s="4"/>
      <c r="M198" s="21" t="s">
        <v>23</v>
      </c>
      <c r="N198" s="21" t="s">
        <v>24</v>
      </c>
      <c r="O198" s="18" t="s">
        <v>25</v>
      </c>
      <c r="P198" s="18" t="s">
        <v>14</v>
      </c>
      <c r="R198" s="484" t="s">
        <v>23</v>
      </c>
      <c r="S198" s="21" t="s">
        <v>24</v>
      </c>
      <c r="T198" s="18" t="s">
        <v>25</v>
      </c>
      <c r="U198" s="18" t="s">
        <v>14</v>
      </c>
      <c r="W198" s="484" t="s">
        <v>23</v>
      </c>
      <c r="X198" s="21" t="s">
        <v>24</v>
      </c>
      <c r="Y198" s="18" t="s">
        <v>25</v>
      </c>
      <c r="Z198" s="18" t="s">
        <v>14</v>
      </c>
      <c r="AA198" s="1517"/>
      <c r="AB198" s="1517"/>
      <c r="AC198" s="4"/>
      <c r="AD198" s="21" t="s">
        <v>23</v>
      </c>
      <c r="AE198" s="21" t="s">
        <v>24</v>
      </c>
      <c r="AF198" s="18" t="s">
        <v>25</v>
      </c>
      <c r="AG198" s="1517"/>
      <c r="AI198" s="368"/>
      <c r="AJ198" s="367"/>
      <c r="AK198" s="188" t="s">
        <v>26</v>
      </c>
      <c r="AL198" s="196">
        <f>AA234</f>
        <v>895.5</v>
      </c>
      <c r="AM198" s="510">
        <v>38</v>
      </c>
      <c r="AN198" s="510">
        <f t="shared" ref="AN198:AN204" si="36">AL198*AM198</f>
        <v>34029</v>
      </c>
      <c r="AQ198" s="367"/>
      <c r="AR198" s="367"/>
      <c r="AS198" s="367"/>
      <c r="AT198" s="367"/>
      <c r="AU198" s="367"/>
      <c r="AV198" s="367"/>
      <c r="AW198" s="367"/>
    </row>
    <row r="199" spans="1:49" hidden="1">
      <c r="A199" s="180"/>
      <c r="B199" s="318" t="s">
        <v>109</v>
      </c>
      <c r="C199" s="172" t="s">
        <v>29</v>
      </c>
      <c r="D199" s="172" t="s">
        <v>29</v>
      </c>
      <c r="E199" s="173"/>
      <c r="F199" s="277"/>
      <c r="G199" s="4"/>
      <c r="H199" s="172" t="s">
        <v>238</v>
      </c>
      <c r="I199" s="172"/>
      <c r="J199" s="173">
        <v>0</v>
      </c>
      <c r="K199" s="277"/>
      <c r="L199" s="4"/>
      <c r="M199" s="47">
        <v>0.36458333333333331</v>
      </c>
      <c r="N199" s="47">
        <v>0.25</v>
      </c>
      <c r="O199" s="173">
        <v>8</v>
      </c>
      <c r="P199" s="277"/>
      <c r="R199" s="47">
        <v>0.35416666666666669</v>
      </c>
      <c r="S199" s="47">
        <v>0.25</v>
      </c>
      <c r="T199" s="319">
        <v>8</v>
      </c>
      <c r="U199" s="277"/>
      <c r="W199" s="47">
        <v>0.375</v>
      </c>
      <c r="X199" s="47">
        <v>0.25</v>
      </c>
      <c r="Y199" s="319">
        <v>8</v>
      </c>
      <c r="Z199" s="277"/>
      <c r="AA199" s="28">
        <f>(E199+J199+O199+T199+Y199)</f>
        <v>24</v>
      </c>
      <c r="AB199" s="298">
        <f>Z199+U199+P199+K199+F199</f>
        <v>0</v>
      </c>
      <c r="AC199" s="4"/>
      <c r="AD199" s="175"/>
      <c r="AE199" s="175"/>
      <c r="AF199" s="173"/>
      <c r="AG199" s="28">
        <f t="shared" ref="AG199:AG212" si="37">AF199</f>
        <v>0</v>
      </c>
      <c r="AI199" s="368"/>
      <c r="AJ199" s="367"/>
      <c r="AK199" s="188" t="s">
        <v>30</v>
      </c>
      <c r="AL199" s="196">
        <f>AB234</f>
        <v>0</v>
      </c>
      <c r="AM199" s="511">
        <v>57</v>
      </c>
      <c r="AN199" s="510">
        <f t="shared" si="36"/>
        <v>0</v>
      </c>
      <c r="AQ199" s="367"/>
      <c r="AR199" s="367"/>
      <c r="AS199" s="367"/>
      <c r="AT199" s="367"/>
      <c r="AU199" s="367"/>
      <c r="AV199" s="367"/>
      <c r="AW199" s="367"/>
    </row>
    <row r="200" spans="1:49" hidden="1">
      <c r="A200" s="367"/>
      <c r="B200" s="318" t="s">
        <v>71</v>
      </c>
      <c r="C200" s="172" t="s">
        <v>29</v>
      </c>
      <c r="D200" s="172" t="s">
        <v>29</v>
      </c>
      <c r="E200" s="173"/>
      <c r="F200" s="277"/>
      <c r="G200" s="4"/>
      <c r="H200" s="172" t="s">
        <v>238</v>
      </c>
      <c r="I200" s="172"/>
      <c r="J200" s="173">
        <v>0</v>
      </c>
      <c r="K200" s="277"/>
      <c r="L200" s="4"/>
      <c r="M200" s="172">
        <v>0.34375</v>
      </c>
      <c r="N200" s="47">
        <v>0.25</v>
      </c>
      <c r="O200" s="173">
        <v>8</v>
      </c>
      <c r="P200" s="277"/>
      <c r="R200" s="47">
        <v>0.34375</v>
      </c>
      <c r="S200" s="47">
        <v>0.25</v>
      </c>
      <c r="T200" s="319">
        <v>8</v>
      </c>
      <c r="U200" s="277"/>
      <c r="W200" s="47">
        <v>0.35416666666666669</v>
      </c>
      <c r="X200" s="47">
        <v>0.25</v>
      </c>
      <c r="Y200" s="319">
        <v>8</v>
      </c>
      <c r="Z200" s="277"/>
      <c r="AA200" s="28">
        <f>(E200+J200+O200+T200+Y200)</f>
        <v>24</v>
      </c>
      <c r="AB200" s="298">
        <f>Z200+U200+P200+K200+F200</f>
        <v>0</v>
      </c>
      <c r="AC200" s="4"/>
      <c r="AD200" s="175"/>
      <c r="AE200" s="175"/>
      <c r="AF200" s="173"/>
      <c r="AG200" s="28">
        <f t="shared" si="37"/>
        <v>0</v>
      </c>
      <c r="AH200" s="175"/>
      <c r="AI200" s="402"/>
      <c r="AJ200" s="367"/>
      <c r="AK200" s="188" t="s">
        <v>32</v>
      </c>
      <c r="AL200" s="196">
        <f>AG234</f>
        <v>0</v>
      </c>
      <c r="AM200" s="510">
        <v>57</v>
      </c>
      <c r="AN200" s="510">
        <f t="shared" si="36"/>
        <v>0</v>
      </c>
      <c r="AQ200" s="367"/>
      <c r="AR200" s="367"/>
      <c r="AS200" s="367"/>
      <c r="AT200" s="367"/>
      <c r="AU200" s="367"/>
      <c r="AV200" s="367"/>
      <c r="AW200" s="367"/>
    </row>
    <row r="201" spans="1:49" hidden="1">
      <c r="A201" s="367"/>
      <c r="B201" s="318" t="s">
        <v>72</v>
      </c>
      <c r="C201" s="16" t="s">
        <v>29</v>
      </c>
      <c r="D201" s="16" t="s">
        <v>29</v>
      </c>
      <c r="E201" s="173"/>
      <c r="F201" s="277"/>
      <c r="G201" s="399"/>
      <c r="H201" s="172">
        <v>0.36458333333333331</v>
      </c>
      <c r="I201" s="172">
        <v>0.25</v>
      </c>
      <c r="J201" s="173">
        <v>8</v>
      </c>
      <c r="K201" s="277"/>
      <c r="L201" s="399"/>
      <c r="M201" s="47" t="s">
        <v>239</v>
      </c>
      <c r="N201" s="47"/>
      <c r="O201" s="319">
        <v>0</v>
      </c>
      <c r="P201" s="277"/>
      <c r="Q201" s="399"/>
      <c r="R201" s="47">
        <v>0.375</v>
      </c>
      <c r="S201" s="47">
        <v>0.25</v>
      </c>
      <c r="T201" s="319">
        <v>8</v>
      </c>
      <c r="U201" s="277"/>
      <c r="V201" s="399"/>
      <c r="W201" s="47">
        <v>0.375</v>
      </c>
      <c r="X201" s="47">
        <v>0.25</v>
      </c>
      <c r="Y201" s="319">
        <v>8</v>
      </c>
      <c r="Z201" s="277"/>
      <c r="AA201" s="29">
        <f>(E201+J201+O201+T201+Y201)</f>
        <v>24</v>
      </c>
      <c r="AB201" s="298">
        <f>Z201+U201+P201+K201+F201</f>
        <v>0</v>
      </c>
      <c r="AC201" s="399"/>
      <c r="AD201" s="345"/>
      <c r="AE201" s="345"/>
      <c r="AF201" s="346"/>
      <c r="AG201" s="29">
        <f t="shared" si="37"/>
        <v>0</v>
      </c>
      <c r="AH201" s="175"/>
      <c r="AJ201" s="401"/>
      <c r="AK201" s="403" t="s">
        <v>34</v>
      </c>
      <c r="AL201" s="404">
        <f>AA235</f>
        <v>21</v>
      </c>
      <c r="AM201" s="510">
        <v>50</v>
      </c>
      <c r="AN201" s="510">
        <f t="shared" si="36"/>
        <v>1050</v>
      </c>
      <c r="AO201" s="405"/>
      <c r="AP201" s="405"/>
      <c r="AQ201" s="401"/>
      <c r="AR201" s="401"/>
      <c r="AS201" s="401"/>
      <c r="AT201" s="401"/>
      <c r="AU201" s="401"/>
      <c r="AV201" s="401"/>
      <c r="AW201" s="401"/>
    </row>
    <row r="202" spans="1:49" hidden="1">
      <c r="A202" s="367"/>
      <c r="B202" s="318" t="s">
        <v>53</v>
      </c>
      <c r="C202" s="47" t="s">
        <v>29</v>
      </c>
      <c r="D202" s="47" t="s">
        <v>29</v>
      </c>
      <c r="E202" s="173"/>
      <c r="F202" s="277"/>
      <c r="G202" s="175"/>
      <c r="H202" s="172">
        <v>0.36458333333333331</v>
      </c>
      <c r="I202" s="172">
        <v>0.25</v>
      </c>
      <c r="J202" s="173">
        <v>8</v>
      </c>
      <c r="K202" s="277"/>
      <c r="L202" s="175"/>
      <c r="M202" s="47">
        <v>0.375</v>
      </c>
      <c r="N202" s="47">
        <v>0.25</v>
      </c>
      <c r="O202" s="173">
        <v>8</v>
      </c>
      <c r="P202" s="277"/>
      <c r="Q202" s="175"/>
      <c r="R202" s="47">
        <v>0.375</v>
      </c>
      <c r="S202" s="47">
        <v>0.25</v>
      </c>
      <c r="T202" s="319">
        <v>8</v>
      </c>
      <c r="U202" s="277"/>
      <c r="V202" s="175"/>
      <c r="W202" s="47">
        <v>0.375</v>
      </c>
      <c r="X202" s="47">
        <v>0.25</v>
      </c>
      <c r="Y202" s="319">
        <v>8</v>
      </c>
      <c r="Z202" s="277"/>
      <c r="AA202" s="344">
        <f>(E202+J202+O202+T202+Y202)</f>
        <v>32</v>
      </c>
      <c r="AB202" s="298">
        <f>Z202+U202+P202+K202+F202</f>
        <v>0</v>
      </c>
      <c r="AC202" s="175"/>
      <c r="AD202" s="345"/>
      <c r="AE202" s="345"/>
      <c r="AF202" s="346"/>
      <c r="AG202" s="344">
        <f t="shared" si="37"/>
        <v>0</v>
      </c>
      <c r="AH202" s="175"/>
      <c r="AI202" s="368"/>
      <c r="AK202" s="188" t="s">
        <v>36</v>
      </c>
      <c r="AL202" s="196">
        <f>AB235</f>
        <v>0</v>
      </c>
      <c r="AM202" s="510">
        <v>75</v>
      </c>
      <c r="AN202" s="510">
        <f t="shared" si="36"/>
        <v>0</v>
      </c>
    </row>
    <row r="203" spans="1:49" hidden="1">
      <c r="A203" s="401"/>
      <c r="B203" s="318" t="s">
        <v>91</v>
      </c>
      <c r="C203" s="47" t="s">
        <v>29</v>
      </c>
      <c r="D203" s="47" t="s">
        <v>29</v>
      </c>
      <c r="E203" s="173"/>
      <c r="F203" s="277"/>
      <c r="G203" s="4"/>
      <c r="H203" s="172">
        <v>0.375</v>
      </c>
      <c r="I203" s="172">
        <v>0.25</v>
      </c>
      <c r="J203" s="173">
        <v>8</v>
      </c>
      <c r="K203" s="277"/>
      <c r="L203" s="4"/>
      <c r="M203" s="47">
        <v>0.38541666666666669</v>
      </c>
      <c r="N203" s="47">
        <v>0.25</v>
      </c>
      <c r="O203" s="319">
        <v>7.75</v>
      </c>
      <c r="P203" s="277"/>
      <c r="R203" s="47">
        <v>0.375</v>
      </c>
      <c r="S203" s="47">
        <v>0.25</v>
      </c>
      <c r="T203" s="319">
        <v>8</v>
      </c>
      <c r="U203" s="277"/>
      <c r="W203" s="47">
        <v>0.38541666666666669</v>
      </c>
      <c r="X203" s="47">
        <v>0.25</v>
      </c>
      <c r="Y203" s="319">
        <v>7.75</v>
      </c>
      <c r="Z203" s="277"/>
      <c r="AA203" s="344">
        <f>(E203+J203+O203+T203+Y203)</f>
        <v>31.5</v>
      </c>
      <c r="AB203" s="298">
        <f>Z203+U203+P203+K203+F203</f>
        <v>0</v>
      </c>
      <c r="AC203" s="4"/>
      <c r="AD203" s="345"/>
      <c r="AE203" s="345"/>
      <c r="AF203" s="346"/>
      <c r="AG203" s="29">
        <f t="shared" si="37"/>
        <v>0</v>
      </c>
      <c r="AJ203" s="367"/>
      <c r="AK203" s="188" t="s">
        <v>38</v>
      </c>
      <c r="AL203" s="196">
        <f>AG235</f>
        <v>0</v>
      </c>
      <c r="AM203" s="510">
        <v>75</v>
      </c>
      <c r="AN203" s="510">
        <f t="shared" si="36"/>
        <v>0</v>
      </c>
      <c r="AQ203" s="367"/>
      <c r="AR203" s="367"/>
      <c r="AS203" s="367"/>
      <c r="AT203" s="367"/>
      <c r="AU203" s="367"/>
      <c r="AV203" s="367"/>
      <c r="AW203" s="367"/>
    </row>
    <row r="204" spans="1:49" ht="14.25" hidden="1" thickBot="1">
      <c r="A204" s="180"/>
      <c r="B204" s="318" t="s">
        <v>115</v>
      </c>
      <c r="C204" s="47" t="s">
        <v>29</v>
      </c>
      <c r="D204" s="16" t="s">
        <v>29</v>
      </c>
      <c r="E204" s="173"/>
      <c r="F204" s="277"/>
      <c r="G204" s="4"/>
      <c r="H204" s="172" t="s">
        <v>238</v>
      </c>
      <c r="I204" s="172"/>
      <c r="J204" s="319">
        <v>0</v>
      </c>
      <c r="K204" s="277"/>
      <c r="L204" s="4"/>
      <c r="M204" s="47">
        <v>0.35416666666666669</v>
      </c>
      <c r="N204" s="47">
        <v>0.25</v>
      </c>
      <c r="O204" s="173">
        <v>8</v>
      </c>
      <c r="P204" s="277"/>
      <c r="R204" s="47">
        <v>0.35416666666666669</v>
      </c>
      <c r="S204" s="47">
        <v>0.25</v>
      </c>
      <c r="T204" s="319">
        <v>8</v>
      </c>
      <c r="U204" s="277"/>
      <c r="W204" s="47">
        <v>0.35416666666666669</v>
      </c>
      <c r="X204" s="47">
        <v>0.25</v>
      </c>
      <c r="Y204" s="319">
        <v>8</v>
      </c>
      <c r="Z204" s="277"/>
      <c r="AA204" s="29">
        <f t="shared" ref="AA204:AA212" si="38">(E203+J204+O204+T204+Y204)</f>
        <v>24</v>
      </c>
      <c r="AB204" s="298">
        <f t="shared" ref="AB204:AB212" si="39">Z204+U204+P204+K204+F203</f>
        <v>0</v>
      </c>
      <c r="AC204" s="4"/>
      <c r="AD204" s="345"/>
      <c r="AE204" s="345"/>
      <c r="AF204" s="346"/>
      <c r="AG204" s="29">
        <f t="shared" si="37"/>
        <v>0</v>
      </c>
      <c r="AH204" s="175"/>
      <c r="AK204" s="188" t="s">
        <v>41</v>
      </c>
      <c r="AL204" s="196">
        <f>C238</f>
        <v>84</v>
      </c>
      <c r="AM204" s="512">
        <v>45</v>
      </c>
      <c r="AN204" s="512">
        <f t="shared" si="36"/>
        <v>3780</v>
      </c>
      <c r="AO204" s="369"/>
      <c r="AP204" s="369"/>
    </row>
    <row r="205" spans="1:49" ht="14.25" hidden="1" thickTop="1">
      <c r="A205" s="367"/>
      <c r="B205" s="318" t="s">
        <v>46</v>
      </c>
      <c r="C205" s="16" t="s">
        <v>29</v>
      </c>
      <c r="D205" s="16" t="s">
        <v>29</v>
      </c>
      <c r="E205" s="173"/>
      <c r="F205" s="277"/>
      <c r="G205" s="4"/>
      <c r="H205" s="172">
        <v>0.36458333333333331</v>
      </c>
      <c r="I205" s="172">
        <v>0.25</v>
      </c>
      <c r="J205" s="173">
        <v>8</v>
      </c>
      <c r="K205" s="277"/>
      <c r="L205" s="4"/>
      <c r="M205" s="47">
        <v>0.35416666666666669</v>
      </c>
      <c r="N205" s="47">
        <v>0.25</v>
      </c>
      <c r="O205" s="173">
        <v>8</v>
      </c>
      <c r="P205" s="277"/>
      <c r="R205" s="47">
        <v>0.375</v>
      </c>
      <c r="S205" s="47">
        <v>0.25</v>
      </c>
      <c r="T205" s="319">
        <v>8</v>
      </c>
      <c r="U205" s="277"/>
      <c r="W205" s="47">
        <v>0.375</v>
      </c>
      <c r="X205" s="47">
        <v>0.25</v>
      </c>
      <c r="Y205" s="319">
        <v>8</v>
      </c>
      <c r="Z205" s="277"/>
      <c r="AA205" s="29">
        <f t="shared" si="38"/>
        <v>32</v>
      </c>
      <c r="AB205" s="298">
        <f t="shared" si="39"/>
        <v>0</v>
      </c>
      <c r="AC205" s="4"/>
      <c r="AD205" s="345"/>
      <c r="AE205" s="345"/>
      <c r="AF205" s="346"/>
      <c r="AG205" s="29">
        <f t="shared" si="37"/>
        <v>0</v>
      </c>
      <c r="AN205" s="510">
        <f>SUM(AN198:AN204)</f>
        <v>38859</v>
      </c>
    </row>
    <row r="206" spans="1:49" hidden="1">
      <c r="A206" s="180"/>
      <c r="B206" s="318" t="s">
        <v>43</v>
      </c>
      <c r="C206" s="12" t="s">
        <v>29</v>
      </c>
      <c r="D206" s="12" t="s">
        <v>29</v>
      </c>
      <c r="E206" s="173"/>
      <c r="F206" s="277"/>
      <c r="G206" s="4"/>
      <c r="H206" s="172">
        <v>0.375</v>
      </c>
      <c r="I206" s="172">
        <v>0.25</v>
      </c>
      <c r="J206" s="173">
        <v>8</v>
      </c>
      <c r="K206" s="277"/>
      <c r="L206" s="4"/>
      <c r="M206" s="47">
        <v>0.375</v>
      </c>
      <c r="N206" s="47">
        <v>0.25</v>
      </c>
      <c r="O206" s="173">
        <v>8</v>
      </c>
      <c r="P206" s="277"/>
      <c r="R206" s="47">
        <v>0.375</v>
      </c>
      <c r="S206" s="47">
        <v>0.25</v>
      </c>
      <c r="T206" s="319">
        <v>8</v>
      </c>
      <c r="U206" s="277"/>
      <c r="W206" s="47">
        <v>0.42708333333333331</v>
      </c>
      <c r="X206" s="47">
        <v>0.25</v>
      </c>
      <c r="Y206" s="319">
        <v>6.75</v>
      </c>
      <c r="Z206" s="277"/>
      <c r="AA206" s="29">
        <f t="shared" si="38"/>
        <v>30.75</v>
      </c>
      <c r="AB206" s="298">
        <f t="shared" si="39"/>
        <v>0</v>
      </c>
      <c r="AC206" s="4"/>
      <c r="AD206" s="345"/>
      <c r="AE206" s="345"/>
      <c r="AF206" s="346"/>
      <c r="AG206" s="29">
        <f t="shared" si="37"/>
        <v>0</v>
      </c>
    </row>
    <row r="207" spans="1:49" hidden="1">
      <c r="A207" s="180"/>
      <c r="B207" s="318" t="s">
        <v>113</v>
      </c>
      <c r="C207" s="16" t="s">
        <v>29</v>
      </c>
      <c r="D207" s="16" t="s">
        <v>29</v>
      </c>
      <c r="E207" s="173"/>
      <c r="F207" s="277"/>
      <c r="G207" s="4"/>
      <c r="H207" s="172">
        <v>0.375</v>
      </c>
      <c r="I207" s="172">
        <v>0.25</v>
      </c>
      <c r="J207" s="173">
        <v>8</v>
      </c>
      <c r="K207" s="277"/>
      <c r="L207" s="4"/>
      <c r="M207" s="47">
        <v>0.375</v>
      </c>
      <c r="N207" s="47">
        <v>0.25</v>
      </c>
      <c r="O207" s="173">
        <v>8</v>
      </c>
      <c r="P207" s="277"/>
      <c r="R207" s="47">
        <v>0.375</v>
      </c>
      <c r="S207" s="47">
        <v>0.25</v>
      </c>
      <c r="T207" s="319">
        <v>8</v>
      </c>
      <c r="U207" s="277"/>
      <c r="W207" s="47">
        <v>0.38541666666666669</v>
      </c>
      <c r="X207" s="47">
        <v>0.25</v>
      </c>
      <c r="Y207" s="319">
        <v>8</v>
      </c>
      <c r="Z207" s="277"/>
      <c r="AA207" s="29">
        <f t="shared" si="38"/>
        <v>32</v>
      </c>
      <c r="AB207" s="298">
        <f t="shared" si="39"/>
        <v>0</v>
      </c>
      <c r="AC207" s="4"/>
      <c r="AD207" s="345"/>
      <c r="AE207" s="345"/>
      <c r="AF207" s="346"/>
      <c r="AG207" s="29">
        <f t="shared" si="37"/>
        <v>0</v>
      </c>
    </row>
    <row r="208" spans="1:49" hidden="1">
      <c r="A208" s="180"/>
      <c r="B208" s="318" t="s">
        <v>108</v>
      </c>
      <c r="C208" s="172" t="s">
        <v>29</v>
      </c>
      <c r="D208" s="172" t="s">
        <v>29</v>
      </c>
      <c r="E208" s="173"/>
      <c r="F208" s="277"/>
      <c r="G208" s="4"/>
      <c r="H208" s="172">
        <v>0.375</v>
      </c>
      <c r="I208" s="172">
        <v>0.25</v>
      </c>
      <c r="J208" s="173">
        <v>8</v>
      </c>
      <c r="K208" s="277"/>
      <c r="L208" s="4"/>
      <c r="M208" s="47">
        <v>0.375</v>
      </c>
      <c r="N208" s="47">
        <v>0.25</v>
      </c>
      <c r="O208" s="173">
        <v>8</v>
      </c>
      <c r="P208" s="277"/>
      <c r="R208" s="47">
        <v>0.36458333333333331</v>
      </c>
      <c r="S208" s="47">
        <v>0.25</v>
      </c>
      <c r="T208" s="319">
        <v>8</v>
      </c>
      <c r="U208" s="277"/>
      <c r="W208" s="47">
        <v>0.375</v>
      </c>
      <c r="X208" s="47">
        <v>0.25</v>
      </c>
      <c r="Y208" s="319">
        <v>8</v>
      </c>
      <c r="Z208" s="277"/>
      <c r="AA208" s="29">
        <f t="shared" si="38"/>
        <v>32</v>
      </c>
      <c r="AB208" s="298">
        <f t="shared" si="39"/>
        <v>0</v>
      </c>
      <c r="AC208" s="4"/>
      <c r="AD208" s="345"/>
      <c r="AE208" s="345"/>
      <c r="AF208" s="346"/>
      <c r="AG208" s="29">
        <f t="shared" si="37"/>
        <v>0</v>
      </c>
    </row>
    <row r="209" spans="1:33" hidden="1">
      <c r="A209" s="180"/>
      <c r="B209" s="318" t="s">
        <v>112</v>
      </c>
      <c r="C209" s="172" t="s">
        <v>29</v>
      </c>
      <c r="D209" s="172" t="s">
        <v>29</v>
      </c>
      <c r="E209" s="173"/>
      <c r="F209" s="277"/>
      <c r="G209" s="4"/>
      <c r="H209" s="172" t="s">
        <v>240</v>
      </c>
      <c r="I209" s="172"/>
      <c r="J209" s="319">
        <v>7</v>
      </c>
      <c r="K209" s="277"/>
      <c r="L209" s="4"/>
      <c r="M209" s="47">
        <v>0.375</v>
      </c>
      <c r="N209" s="47">
        <v>0.25</v>
      </c>
      <c r="O209" s="173">
        <v>8</v>
      </c>
      <c r="P209" s="277"/>
      <c r="R209" s="47">
        <v>0.375</v>
      </c>
      <c r="S209" s="47">
        <v>0.25</v>
      </c>
      <c r="T209" s="319">
        <v>8</v>
      </c>
      <c r="U209" s="277"/>
      <c r="W209" s="47">
        <v>0.375</v>
      </c>
      <c r="X209" s="47">
        <v>0.25</v>
      </c>
      <c r="Y209" s="319">
        <v>8</v>
      </c>
      <c r="Z209" s="277"/>
      <c r="AA209" s="29">
        <f t="shared" si="38"/>
        <v>31</v>
      </c>
      <c r="AB209" s="298">
        <f t="shared" si="39"/>
        <v>0</v>
      </c>
      <c r="AC209" s="4"/>
      <c r="AD209" s="345"/>
      <c r="AE209" s="345"/>
      <c r="AF209" s="346"/>
      <c r="AG209" s="29">
        <f t="shared" si="37"/>
        <v>0</v>
      </c>
    </row>
    <row r="210" spans="1:33" hidden="1">
      <c r="A210" s="180"/>
      <c r="B210" s="318" t="s">
        <v>52</v>
      </c>
      <c r="C210" s="16" t="s">
        <v>29</v>
      </c>
      <c r="D210" s="16" t="s">
        <v>29</v>
      </c>
      <c r="E210" s="19"/>
      <c r="F210" s="277"/>
      <c r="G210" s="4"/>
      <c r="H210" s="172">
        <v>0.375</v>
      </c>
      <c r="I210" s="172">
        <v>0.25</v>
      </c>
      <c r="J210" s="173">
        <v>8</v>
      </c>
      <c r="K210" s="277"/>
      <c r="L210" s="4"/>
      <c r="M210" s="47">
        <v>0.375</v>
      </c>
      <c r="N210" s="47">
        <v>0.25</v>
      </c>
      <c r="O210" s="173">
        <v>8</v>
      </c>
      <c r="P210" s="277"/>
      <c r="R210" s="47">
        <v>0.375</v>
      </c>
      <c r="S210" s="47">
        <v>0.25</v>
      </c>
      <c r="T210" s="319">
        <v>8</v>
      </c>
      <c r="U210" s="277"/>
      <c r="W210" s="47">
        <v>0.375</v>
      </c>
      <c r="X210" s="47">
        <v>0.25</v>
      </c>
      <c r="Y210" s="319">
        <v>8</v>
      </c>
      <c r="Z210" s="277"/>
      <c r="AA210" s="29">
        <f t="shared" si="38"/>
        <v>32</v>
      </c>
      <c r="AB210" s="298">
        <f t="shared" si="39"/>
        <v>0</v>
      </c>
      <c r="AC210" s="4"/>
      <c r="AD210" s="345"/>
      <c r="AE210" s="345"/>
      <c r="AF210" s="346"/>
      <c r="AG210" s="29">
        <f t="shared" si="37"/>
        <v>0</v>
      </c>
    </row>
    <row r="211" spans="1:33" hidden="1">
      <c r="A211" s="180"/>
      <c r="B211" s="318" t="s">
        <v>42</v>
      </c>
      <c r="C211" s="47" t="s">
        <v>29</v>
      </c>
      <c r="D211" s="47" t="s">
        <v>29</v>
      </c>
      <c r="E211" s="173"/>
      <c r="F211" s="277"/>
      <c r="G211" s="4"/>
      <c r="H211" s="47">
        <v>0.35416666666666669</v>
      </c>
      <c r="I211" s="172">
        <v>0.25</v>
      </c>
      <c r="J211" s="173">
        <v>8</v>
      </c>
      <c r="K211" s="277"/>
      <c r="L211" s="4"/>
      <c r="M211" s="47">
        <v>0.34375</v>
      </c>
      <c r="N211" s="47">
        <v>0.25</v>
      </c>
      <c r="O211" s="173">
        <v>8</v>
      </c>
      <c r="P211" s="277"/>
      <c r="R211" s="47">
        <v>0.34375</v>
      </c>
      <c r="S211" s="47">
        <v>0.25</v>
      </c>
      <c r="T211" s="319">
        <v>8</v>
      </c>
      <c r="U211" s="277"/>
      <c r="W211" s="47">
        <v>0.34375</v>
      </c>
      <c r="X211" s="47">
        <v>0.25</v>
      </c>
      <c r="Y211" s="319">
        <v>8</v>
      </c>
      <c r="Z211" s="277"/>
      <c r="AA211" s="29">
        <f t="shared" si="38"/>
        <v>32</v>
      </c>
      <c r="AB211" s="298">
        <f t="shared" si="39"/>
        <v>0</v>
      </c>
      <c r="AC211" s="4"/>
      <c r="AD211" s="345"/>
      <c r="AE211" s="345"/>
      <c r="AF211" s="346"/>
      <c r="AG211" s="29">
        <f t="shared" si="37"/>
        <v>0</v>
      </c>
    </row>
    <row r="212" spans="1:33" hidden="1">
      <c r="A212" s="180"/>
      <c r="B212" s="318"/>
      <c r="C212" s="47" t="s">
        <v>29</v>
      </c>
      <c r="D212" s="47" t="s">
        <v>29</v>
      </c>
      <c r="E212" s="173"/>
      <c r="F212" s="277"/>
      <c r="G212" s="4"/>
      <c r="H212" s="47"/>
      <c r="I212" s="172"/>
      <c r="J212" s="173"/>
      <c r="K212" s="277"/>
      <c r="L212" s="4"/>
      <c r="M212" s="47"/>
      <c r="N212" s="47"/>
      <c r="O212" s="319"/>
      <c r="P212" s="277"/>
      <c r="R212" s="47"/>
      <c r="S212" s="47"/>
      <c r="T212" s="319"/>
      <c r="U212" s="277"/>
      <c r="W212" s="47"/>
      <c r="X212" s="47">
        <v>0.25</v>
      </c>
      <c r="Y212" s="319">
        <v>8</v>
      </c>
      <c r="Z212" s="277"/>
      <c r="AA212" s="29">
        <f t="shared" si="38"/>
        <v>8</v>
      </c>
      <c r="AB212" s="298">
        <f t="shared" si="39"/>
        <v>0</v>
      </c>
      <c r="AC212" s="4"/>
      <c r="AD212" s="345"/>
      <c r="AE212" s="345"/>
      <c r="AF212" s="346"/>
      <c r="AG212" s="29">
        <f t="shared" si="37"/>
        <v>0</v>
      </c>
    </row>
    <row r="213" spans="1:33" hidden="1">
      <c r="A213" s="180"/>
      <c r="B213" s="437" t="s">
        <v>93</v>
      </c>
      <c r="C213" s="47" t="s">
        <v>29</v>
      </c>
      <c r="D213" s="16" t="s">
        <v>29</v>
      </c>
      <c r="E213" s="173"/>
      <c r="F213" s="277"/>
      <c r="G213" s="4"/>
      <c r="H213" s="47">
        <v>0.35416666666666669</v>
      </c>
      <c r="I213" s="172">
        <v>0.25</v>
      </c>
      <c r="J213" s="173">
        <v>8</v>
      </c>
      <c r="K213" s="277"/>
      <c r="L213" s="4"/>
      <c r="M213" s="47">
        <v>0.375</v>
      </c>
      <c r="N213" s="47">
        <v>0.25</v>
      </c>
      <c r="O213" s="173">
        <v>8</v>
      </c>
      <c r="P213" s="277"/>
      <c r="R213" s="47">
        <v>0.36458333333333331</v>
      </c>
      <c r="S213" s="47">
        <v>0.25</v>
      </c>
      <c r="T213" s="319">
        <v>8</v>
      </c>
      <c r="U213" s="277"/>
      <c r="W213" s="47">
        <v>0.35416666666666669</v>
      </c>
      <c r="X213" s="47">
        <v>0.25</v>
      </c>
      <c r="Y213" s="319">
        <v>8</v>
      </c>
      <c r="Z213" s="277"/>
      <c r="AA213" s="29">
        <f t="shared" ref="AA213:AA230" si="40">(E213+J213+O213+T213+Y213)</f>
        <v>32</v>
      </c>
      <c r="AB213" s="298">
        <f t="shared" ref="AB213:AB233" si="41">Z213+U213+P213+K213+F213</f>
        <v>0</v>
      </c>
      <c r="AC213" s="4"/>
      <c r="AD213" s="345"/>
      <c r="AE213" s="345"/>
      <c r="AF213" s="346"/>
      <c r="AG213" s="29">
        <f t="shared" ref="AG213:AG231" si="42">AF213</f>
        <v>0</v>
      </c>
    </row>
    <row r="214" spans="1:33" hidden="1">
      <c r="A214" s="180"/>
      <c r="B214" s="437" t="s">
        <v>232</v>
      </c>
      <c r="C214" s="16" t="s">
        <v>29</v>
      </c>
      <c r="D214" s="16" t="s">
        <v>29</v>
      </c>
      <c r="E214" s="19"/>
      <c r="F214" s="277"/>
      <c r="G214" s="4"/>
      <c r="H214" s="172">
        <v>0.38541666666666669</v>
      </c>
      <c r="I214" s="172">
        <v>0.25</v>
      </c>
      <c r="J214" s="173">
        <v>8</v>
      </c>
      <c r="K214" s="277"/>
      <c r="L214" s="4"/>
      <c r="M214" s="47">
        <v>0.39583333333333331</v>
      </c>
      <c r="N214" s="47">
        <v>0.25</v>
      </c>
      <c r="O214" s="173">
        <v>8</v>
      </c>
      <c r="P214" s="277"/>
      <c r="R214" s="47">
        <v>0.38541666666666669</v>
      </c>
      <c r="S214" s="47">
        <v>0.25</v>
      </c>
      <c r="T214" s="319">
        <v>7.75</v>
      </c>
      <c r="U214" s="277"/>
      <c r="W214" s="47">
        <v>0.375</v>
      </c>
      <c r="X214" s="47">
        <v>0.25</v>
      </c>
      <c r="Y214" s="319">
        <v>8</v>
      </c>
      <c r="Z214" s="277"/>
      <c r="AA214" s="29">
        <f t="shared" si="40"/>
        <v>31.75</v>
      </c>
      <c r="AB214" s="298">
        <f t="shared" si="41"/>
        <v>0</v>
      </c>
      <c r="AC214" s="4"/>
      <c r="AD214" s="345"/>
      <c r="AE214" s="345"/>
      <c r="AF214" s="346"/>
      <c r="AG214" s="29">
        <f t="shared" si="42"/>
        <v>0</v>
      </c>
    </row>
    <row r="215" spans="1:33" hidden="1">
      <c r="A215" s="180"/>
      <c r="B215" s="437" t="s">
        <v>233</v>
      </c>
      <c r="C215" s="12" t="s">
        <v>29</v>
      </c>
      <c r="D215" s="12" t="s">
        <v>29</v>
      </c>
      <c r="E215" s="173"/>
      <c r="F215" s="277"/>
      <c r="G215" s="4"/>
      <c r="H215" s="172" t="s">
        <v>238</v>
      </c>
      <c r="I215" s="172"/>
      <c r="J215" s="173">
        <v>0</v>
      </c>
      <c r="K215" s="277"/>
      <c r="L215" s="4"/>
      <c r="M215" s="47">
        <v>0.375</v>
      </c>
      <c r="N215" s="47">
        <v>0.25</v>
      </c>
      <c r="O215" s="173">
        <v>8</v>
      </c>
      <c r="P215" s="277"/>
      <c r="R215" s="47">
        <v>0.36458333333333331</v>
      </c>
      <c r="S215" s="47">
        <v>0.25</v>
      </c>
      <c r="T215" s="319">
        <v>8</v>
      </c>
      <c r="U215" s="277"/>
      <c r="W215" s="47">
        <v>0</v>
      </c>
      <c r="X215" s="47">
        <v>0</v>
      </c>
      <c r="Y215" s="19">
        <v>0</v>
      </c>
      <c r="Z215" s="277"/>
      <c r="AA215" s="29">
        <f t="shared" si="40"/>
        <v>16</v>
      </c>
      <c r="AB215" s="298">
        <f t="shared" si="41"/>
        <v>0</v>
      </c>
      <c r="AC215" s="4"/>
      <c r="AD215" s="410"/>
      <c r="AE215" s="4"/>
      <c r="AF215" s="19"/>
      <c r="AG215" s="29">
        <f t="shared" si="42"/>
        <v>0</v>
      </c>
    </row>
    <row r="216" spans="1:33" hidden="1">
      <c r="A216" s="180"/>
      <c r="B216" s="437" t="s">
        <v>234</v>
      </c>
      <c r="C216" s="16" t="s">
        <v>29</v>
      </c>
      <c r="D216" s="16" t="s">
        <v>29</v>
      </c>
      <c r="E216" s="173"/>
      <c r="F216" s="277"/>
      <c r="G216" s="4"/>
      <c r="H216" s="47">
        <v>0.36458333333333331</v>
      </c>
      <c r="I216" s="172">
        <v>0.25</v>
      </c>
      <c r="J216" s="173">
        <v>8</v>
      </c>
      <c r="K216" s="277"/>
      <c r="L216" s="4"/>
      <c r="M216" s="47">
        <v>0.36458333333333331</v>
      </c>
      <c r="N216" s="47">
        <v>0.25</v>
      </c>
      <c r="O216" s="173">
        <v>8</v>
      </c>
      <c r="P216" s="277"/>
      <c r="R216" s="47">
        <v>0.35416666666666669</v>
      </c>
      <c r="S216" s="47">
        <v>0.25</v>
      </c>
      <c r="T216" s="319">
        <v>8</v>
      </c>
      <c r="U216" s="277"/>
      <c r="W216" s="47">
        <v>0.35416666666666669</v>
      </c>
      <c r="X216" s="47">
        <v>0.25</v>
      </c>
      <c r="Y216" s="319">
        <v>8</v>
      </c>
      <c r="Z216" s="277"/>
      <c r="AA216" s="29">
        <f t="shared" si="40"/>
        <v>32</v>
      </c>
      <c r="AB216" s="298">
        <f t="shared" si="41"/>
        <v>0</v>
      </c>
      <c r="AC216" s="4"/>
      <c r="AD216" s="4"/>
      <c r="AE216" s="4"/>
      <c r="AF216" s="19"/>
      <c r="AG216" s="29">
        <f t="shared" si="42"/>
        <v>0</v>
      </c>
    </row>
    <row r="217" spans="1:33" hidden="1">
      <c r="A217" s="180"/>
      <c r="B217" s="437" t="s">
        <v>35</v>
      </c>
      <c r="C217" s="172" t="s">
        <v>29</v>
      </c>
      <c r="D217" s="172" t="s">
        <v>29</v>
      </c>
      <c r="E217" s="19"/>
      <c r="F217" s="277"/>
      <c r="G217" s="4"/>
      <c r="H217" s="47">
        <v>0.39583333333333331</v>
      </c>
      <c r="I217" s="172">
        <v>0.25</v>
      </c>
      <c r="J217" s="173">
        <v>7.5</v>
      </c>
      <c r="K217" s="277"/>
      <c r="L217" s="4"/>
      <c r="M217" s="47">
        <v>0.39583333333333331</v>
      </c>
      <c r="N217" s="47">
        <v>0.25</v>
      </c>
      <c r="O217" s="19">
        <v>7.5</v>
      </c>
      <c r="P217" s="277"/>
      <c r="R217" s="47">
        <v>0.375</v>
      </c>
      <c r="S217" s="47">
        <v>0.25</v>
      </c>
      <c r="T217" s="319">
        <v>8</v>
      </c>
      <c r="U217" s="277"/>
      <c r="W217" s="47">
        <v>0.39583333333333331</v>
      </c>
      <c r="X217" s="47">
        <v>0.25</v>
      </c>
      <c r="Y217" s="319">
        <v>7.5</v>
      </c>
      <c r="Z217" s="277"/>
      <c r="AA217" s="29">
        <f t="shared" si="40"/>
        <v>30.5</v>
      </c>
      <c r="AB217" s="298">
        <f t="shared" si="41"/>
        <v>0</v>
      </c>
      <c r="AC217" s="4"/>
      <c r="AD217" s="4"/>
      <c r="AE217" s="4"/>
      <c r="AF217" s="19"/>
      <c r="AG217" s="29">
        <f t="shared" si="42"/>
        <v>0</v>
      </c>
    </row>
    <row r="218" spans="1:33" hidden="1">
      <c r="A218" s="180"/>
      <c r="B218" s="437" t="s">
        <v>50</v>
      </c>
      <c r="C218" s="172" t="s">
        <v>29</v>
      </c>
      <c r="D218" s="172" t="s">
        <v>29</v>
      </c>
      <c r="E218" s="19"/>
      <c r="F218" s="277"/>
      <c r="G218" s="4"/>
      <c r="H218" s="47" t="s">
        <v>114</v>
      </c>
      <c r="I218" s="47"/>
      <c r="J218" s="19">
        <v>0</v>
      </c>
      <c r="K218" s="277"/>
      <c r="L218" s="4"/>
      <c r="M218" s="47">
        <v>0</v>
      </c>
      <c r="N218" s="47">
        <v>0</v>
      </c>
      <c r="O218" s="19">
        <v>0</v>
      </c>
      <c r="P218" s="277"/>
      <c r="R218" s="47">
        <v>0</v>
      </c>
      <c r="S218" s="47">
        <v>0</v>
      </c>
      <c r="T218" s="19">
        <v>0</v>
      </c>
      <c r="U218" s="277"/>
      <c r="W218" s="47">
        <v>0</v>
      </c>
      <c r="X218" s="47">
        <v>0</v>
      </c>
      <c r="Y218" s="19">
        <v>0</v>
      </c>
      <c r="Z218" s="277"/>
      <c r="AA218" s="29">
        <f t="shared" si="40"/>
        <v>0</v>
      </c>
      <c r="AB218" s="298">
        <f t="shared" si="41"/>
        <v>0</v>
      </c>
      <c r="AC218" s="4"/>
      <c r="AD218" s="4"/>
      <c r="AE218" s="4"/>
      <c r="AF218" s="19"/>
      <c r="AG218" s="29">
        <f t="shared" si="42"/>
        <v>0</v>
      </c>
    </row>
    <row r="219" spans="1:33" hidden="1">
      <c r="A219" s="180"/>
      <c r="B219" s="437" t="s">
        <v>44</v>
      </c>
      <c r="C219" s="16" t="s">
        <v>29</v>
      </c>
      <c r="D219" s="16" t="s">
        <v>29</v>
      </c>
      <c r="E219" s="173"/>
      <c r="F219" s="277"/>
      <c r="G219" s="4"/>
      <c r="H219" s="47">
        <v>0.375</v>
      </c>
      <c r="I219" s="172">
        <v>0.25</v>
      </c>
      <c r="J219" s="173">
        <v>8</v>
      </c>
      <c r="K219" s="277"/>
      <c r="L219" s="4"/>
      <c r="M219" s="47">
        <v>0.39583333333333331</v>
      </c>
      <c r="N219" s="47">
        <v>0.25</v>
      </c>
      <c r="O219" s="173">
        <v>8</v>
      </c>
      <c r="P219" s="277"/>
      <c r="R219" s="47">
        <v>0.39583333333333331</v>
      </c>
      <c r="S219" s="47">
        <v>0.25</v>
      </c>
      <c r="T219" s="319">
        <v>7.5</v>
      </c>
      <c r="U219" s="277"/>
      <c r="W219" s="47">
        <v>0.375</v>
      </c>
      <c r="X219" s="47">
        <v>0.25</v>
      </c>
      <c r="Y219" s="319">
        <v>8</v>
      </c>
      <c r="Z219" s="277"/>
      <c r="AA219" s="29">
        <f t="shared" si="40"/>
        <v>31.5</v>
      </c>
      <c r="AB219" s="298">
        <f t="shared" si="41"/>
        <v>0</v>
      </c>
      <c r="AC219" s="4"/>
      <c r="AD219" s="4"/>
      <c r="AE219" s="4"/>
      <c r="AF219" s="19"/>
      <c r="AG219" s="29">
        <f t="shared" si="42"/>
        <v>0</v>
      </c>
    </row>
    <row r="220" spans="1:33" hidden="1">
      <c r="A220" s="180"/>
      <c r="B220" s="437" t="s">
        <v>45</v>
      </c>
      <c r="C220" s="47" t="s">
        <v>29</v>
      </c>
      <c r="D220" s="47" t="s">
        <v>29</v>
      </c>
      <c r="E220" s="173"/>
      <c r="F220" s="277"/>
      <c r="G220" s="4"/>
      <c r="H220" s="172">
        <v>0.375</v>
      </c>
      <c r="I220" s="172">
        <v>0.25</v>
      </c>
      <c r="J220" s="173">
        <v>8</v>
      </c>
      <c r="K220" s="277"/>
      <c r="L220" s="4"/>
      <c r="M220" s="47">
        <v>0.38541666666666669</v>
      </c>
      <c r="N220" s="47">
        <v>0.25</v>
      </c>
      <c r="O220" s="19">
        <v>7.75</v>
      </c>
      <c r="P220" s="277"/>
      <c r="R220" s="47">
        <v>0.375</v>
      </c>
      <c r="S220" s="47">
        <v>0.25</v>
      </c>
      <c r="T220" s="319">
        <v>8</v>
      </c>
      <c r="U220" s="277"/>
      <c r="W220" s="47">
        <v>0</v>
      </c>
      <c r="X220" s="47">
        <v>0</v>
      </c>
      <c r="Y220" s="19">
        <v>0</v>
      </c>
      <c r="Z220" s="277"/>
      <c r="AA220" s="29">
        <f t="shared" si="40"/>
        <v>23.75</v>
      </c>
      <c r="AB220" s="298">
        <f t="shared" si="41"/>
        <v>0</v>
      </c>
      <c r="AC220" s="4"/>
      <c r="AD220" s="4"/>
      <c r="AE220" s="4"/>
      <c r="AF220" s="19"/>
      <c r="AG220" s="29">
        <f t="shared" si="42"/>
        <v>0</v>
      </c>
    </row>
    <row r="221" spans="1:33" hidden="1">
      <c r="A221" s="180"/>
      <c r="B221" s="437" t="s">
        <v>235</v>
      </c>
      <c r="C221" s="47" t="s">
        <v>29</v>
      </c>
      <c r="D221" s="47" t="s">
        <v>29</v>
      </c>
      <c r="E221" s="173"/>
      <c r="F221" s="277"/>
      <c r="G221" s="4"/>
      <c r="H221" s="172" t="s">
        <v>238</v>
      </c>
      <c r="I221" s="172"/>
      <c r="J221" s="19">
        <v>0</v>
      </c>
      <c r="K221" s="277"/>
      <c r="L221" s="4"/>
      <c r="M221" s="47">
        <v>0.40625</v>
      </c>
      <c r="N221" s="47">
        <v>0.25</v>
      </c>
      <c r="O221" s="19">
        <v>7.25</v>
      </c>
      <c r="P221" s="277"/>
      <c r="R221" s="47">
        <v>0.39583333333333331</v>
      </c>
      <c r="S221" s="47">
        <v>0.25</v>
      </c>
      <c r="T221" s="319">
        <v>7.5</v>
      </c>
      <c r="U221" s="277"/>
      <c r="W221" s="47">
        <v>0.375</v>
      </c>
      <c r="X221" s="47">
        <v>0.25</v>
      </c>
      <c r="Y221" s="319">
        <v>8</v>
      </c>
      <c r="Z221" s="277"/>
      <c r="AA221" s="29">
        <f t="shared" si="40"/>
        <v>22.75</v>
      </c>
      <c r="AB221" s="298">
        <f t="shared" si="41"/>
        <v>0</v>
      </c>
      <c r="AC221" s="4"/>
      <c r="AD221" s="4"/>
      <c r="AE221" s="4"/>
      <c r="AF221" s="19"/>
      <c r="AG221" s="29">
        <f t="shared" si="42"/>
        <v>0</v>
      </c>
    </row>
    <row r="222" spans="1:33" hidden="1">
      <c r="A222" s="180"/>
      <c r="B222" s="437" t="s">
        <v>96</v>
      </c>
      <c r="C222" s="47" t="s">
        <v>29</v>
      </c>
      <c r="D222" s="16" t="s">
        <v>29</v>
      </c>
      <c r="E222" s="173"/>
      <c r="F222" s="277"/>
      <c r="G222" s="4"/>
      <c r="H222" s="172">
        <v>0.33333333333333331</v>
      </c>
      <c r="I222" s="172">
        <v>0.25</v>
      </c>
      <c r="J222" s="173">
        <v>8</v>
      </c>
      <c r="K222" s="277"/>
      <c r="L222" s="4"/>
      <c r="M222" s="47">
        <v>0.5</v>
      </c>
      <c r="N222" s="47">
        <v>0.25</v>
      </c>
      <c r="O222" s="19">
        <v>6</v>
      </c>
      <c r="P222" s="277"/>
      <c r="R222" s="47">
        <v>0.33333333333333331</v>
      </c>
      <c r="S222" s="47">
        <v>0.25</v>
      </c>
      <c r="T222" s="319">
        <v>8</v>
      </c>
      <c r="U222" s="277"/>
      <c r="W222" s="47">
        <v>0.33333333333333331</v>
      </c>
      <c r="X222" s="47">
        <v>0.25</v>
      </c>
      <c r="Y222" s="319">
        <v>8</v>
      </c>
      <c r="Z222" s="277"/>
      <c r="AA222" s="29">
        <f t="shared" si="40"/>
        <v>30</v>
      </c>
      <c r="AB222" s="298">
        <f t="shared" si="41"/>
        <v>0</v>
      </c>
      <c r="AC222" s="4"/>
      <c r="AD222" s="4"/>
      <c r="AE222" s="4"/>
      <c r="AF222" s="19"/>
      <c r="AG222" s="29">
        <f t="shared" si="42"/>
        <v>0</v>
      </c>
    </row>
    <row r="223" spans="1:33" hidden="1">
      <c r="A223" s="180"/>
      <c r="B223" s="418" t="s">
        <v>241</v>
      </c>
      <c r="C223" s="16" t="s">
        <v>29</v>
      </c>
      <c r="D223" s="16" t="s">
        <v>29</v>
      </c>
      <c r="E223" s="173"/>
      <c r="F223" s="277"/>
      <c r="G223" s="4"/>
      <c r="H223" s="172">
        <v>0.36458333333333331</v>
      </c>
      <c r="I223" s="172">
        <v>0.25</v>
      </c>
      <c r="J223" s="173">
        <v>8</v>
      </c>
      <c r="K223" s="277"/>
      <c r="L223" s="4"/>
      <c r="M223" s="47">
        <v>0.34375</v>
      </c>
      <c r="N223" s="47">
        <v>0.25</v>
      </c>
      <c r="O223" s="173">
        <v>8</v>
      </c>
      <c r="P223" s="277"/>
      <c r="R223" s="47">
        <v>0.36458333333333331</v>
      </c>
      <c r="S223" s="47">
        <v>0.25</v>
      </c>
      <c r="T223" s="319">
        <v>8</v>
      </c>
      <c r="U223" s="277"/>
      <c r="W223" s="47">
        <v>0.375</v>
      </c>
      <c r="X223" s="47">
        <v>0.25</v>
      </c>
      <c r="Y223" s="319">
        <v>8</v>
      </c>
      <c r="Z223" s="277"/>
      <c r="AA223" s="29">
        <f t="shared" ref="AA223" si="43">(E223+J223+O223+T223+Y223)</f>
        <v>32</v>
      </c>
      <c r="AB223" s="298">
        <f t="shared" ref="AB223" si="44">Z223+U223+P223+K223+F223</f>
        <v>0</v>
      </c>
      <c r="AC223" s="4"/>
      <c r="AD223" s="4"/>
      <c r="AE223" s="4"/>
      <c r="AF223" s="19"/>
      <c r="AG223" s="29">
        <f t="shared" ref="AG223" si="45">AF223</f>
        <v>0</v>
      </c>
    </row>
    <row r="224" spans="1:33" hidden="1">
      <c r="A224" s="180"/>
      <c r="B224" s="13" t="s">
        <v>54</v>
      </c>
      <c r="C224" s="12" t="s">
        <v>29</v>
      </c>
      <c r="D224" s="12" t="s">
        <v>29</v>
      </c>
      <c r="E224" s="19"/>
      <c r="F224" s="277"/>
      <c r="G224" s="4"/>
      <c r="H224" s="12" t="s">
        <v>29</v>
      </c>
      <c r="I224" s="12" t="s">
        <v>29</v>
      </c>
      <c r="J224" s="19"/>
      <c r="K224" s="277"/>
      <c r="L224" s="4"/>
      <c r="M224" s="47" t="s">
        <v>29</v>
      </c>
      <c r="N224" s="47" t="s">
        <v>29</v>
      </c>
      <c r="O224" s="319"/>
      <c r="P224" s="277"/>
      <c r="R224" s="47" t="s">
        <v>29</v>
      </c>
      <c r="S224" s="47" t="s">
        <v>29</v>
      </c>
      <c r="T224" s="19"/>
      <c r="U224" s="277"/>
      <c r="W224" s="47" t="s">
        <v>29</v>
      </c>
      <c r="X224" s="47" t="s">
        <v>29</v>
      </c>
      <c r="Y224" s="19"/>
      <c r="Z224" s="277"/>
      <c r="AA224" s="29">
        <f t="shared" si="40"/>
        <v>0</v>
      </c>
      <c r="AB224" s="298">
        <f t="shared" si="41"/>
        <v>0</v>
      </c>
      <c r="AC224" s="4"/>
      <c r="AD224" s="4"/>
      <c r="AE224" s="4"/>
      <c r="AF224" s="19"/>
      <c r="AG224" s="29">
        <f t="shared" si="42"/>
        <v>0</v>
      </c>
    </row>
    <row r="225" spans="1:37" hidden="1">
      <c r="A225" s="180"/>
      <c r="B225" s="13" t="s">
        <v>55</v>
      </c>
      <c r="C225" s="16" t="s">
        <v>29</v>
      </c>
      <c r="D225" s="16" t="s">
        <v>29</v>
      </c>
      <c r="E225" s="19"/>
      <c r="F225" s="277"/>
      <c r="G225" s="4"/>
      <c r="H225" s="16" t="s">
        <v>29</v>
      </c>
      <c r="I225" s="16" t="s">
        <v>29</v>
      </c>
      <c r="J225" s="19"/>
      <c r="K225" s="277"/>
      <c r="L225" s="4"/>
      <c r="M225" s="47" t="s">
        <v>29</v>
      </c>
      <c r="N225" s="47" t="s">
        <v>29</v>
      </c>
      <c r="O225" s="319"/>
      <c r="P225" s="277"/>
      <c r="R225" s="47" t="s">
        <v>29</v>
      </c>
      <c r="S225" s="47" t="s">
        <v>29</v>
      </c>
      <c r="T225" s="19"/>
      <c r="U225" s="277"/>
      <c r="W225" s="47" t="s">
        <v>29</v>
      </c>
      <c r="X225" s="47" t="s">
        <v>29</v>
      </c>
      <c r="Y225" s="19"/>
      <c r="Z225" s="277"/>
      <c r="AA225" s="29">
        <f t="shared" si="40"/>
        <v>0</v>
      </c>
      <c r="AB225" s="298">
        <f t="shared" si="41"/>
        <v>0</v>
      </c>
      <c r="AC225" s="4"/>
      <c r="AD225" s="4"/>
      <c r="AE225" s="4"/>
      <c r="AF225" s="19"/>
      <c r="AG225" s="29">
        <f t="shared" si="42"/>
        <v>0</v>
      </c>
    </row>
    <row r="226" spans="1:37" hidden="1">
      <c r="A226" s="180"/>
      <c r="B226" s="166" t="s">
        <v>48</v>
      </c>
      <c r="C226" s="16" t="s">
        <v>29</v>
      </c>
      <c r="D226" s="16" t="s">
        <v>29</v>
      </c>
      <c r="E226" s="19"/>
      <c r="F226" s="277"/>
      <c r="G226" s="4"/>
      <c r="H226" s="16" t="s">
        <v>29</v>
      </c>
      <c r="I226" s="16" t="s">
        <v>29</v>
      </c>
      <c r="J226" s="19">
        <v>8</v>
      </c>
      <c r="K226" s="277"/>
      <c r="L226" s="4"/>
      <c r="M226" s="16" t="s">
        <v>29</v>
      </c>
      <c r="N226" s="16" t="s">
        <v>29</v>
      </c>
      <c r="O226" s="19">
        <v>8</v>
      </c>
      <c r="P226" s="277"/>
      <c r="R226" s="16" t="s">
        <v>29</v>
      </c>
      <c r="S226" s="16" t="s">
        <v>29</v>
      </c>
      <c r="T226" s="19">
        <v>8</v>
      </c>
      <c r="U226" s="277"/>
      <c r="W226" s="16" t="s">
        <v>29</v>
      </c>
      <c r="X226" s="16" t="s">
        <v>29</v>
      </c>
      <c r="Y226" s="19">
        <v>8</v>
      </c>
      <c r="Z226" s="277"/>
      <c r="AA226" s="29">
        <f t="shared" si="40"/>
        <v>32</v>
      </c>
      <c r="AB226" s="298">
        <f t="shared" si="41"/>
        <v>0</v>
      </c>
      <c r="AC226" s="4"/>
      <c r="AD226" s="4"/>
      <c r="AE226" s="4"/>
      <c r="AF226" s="19"/>
      <c r="AG226" s="29">
        <f t="shared" si="42"/>
        <v>0</v>
      </c>
    </row>
    <row r="227" spans="1:37" hidden="1">
      <c r="A227" s="180"/>
      <c r="B227" s="166" t="s">
        <v>49</v>
      </c>
      <c r="C227" s="47" t="s">
        <v>29</v>
      </c>
      <c r="D227" s="47" t="s">
        <v>29</v>
      </c>
      <c r="E227" s="19"/>
      <c r="F227" s="277"/>
      <c r="G227" s="4"/>
      <c r="H227" s="47" t="s">
        <v>29</v>
      </c>
      <c r="I227" s="47" t="s">
        <v>29</v>
      </c>
      <c r="J227" s="19">
        <v>8</v>
      </c>
      <c r="K227" s="277"/>
      <c r="L227" s="4"/>
      <c r="M227" s="47" t="s">
        <v>29</v>
      </c>
      <c r="N227" s="47" t="s">
        <v>29</v>
      </c>
      <c r="O227" s="19">
        <v>8</v>
      </c>
      <c r="P227" s="277"/>
      <c r="R227" s="47" t="s">
        <v>29</v>
      </c>
      <c r="S227" s="47" t="s">
        <v>29</v>
      </c>
      <c r="T227" s="19">
        <v>8</v>
      </c>
      <c r="U227" s="277"/>
      <c r="W227" s="47" t="s">
        <v>29</v>
      </c>
      <c r="X227" s="47" t="s">
        <v>29</v>
      </c>
      <c r="Y227" s="19">
        <v>8</v>
      </c>
      <c r="Z227" s="277"/>
      <c r="AA227" s="29">
        <f t="shared" si="40"/>
        <v>32</v>
      </c>
      <c r="AB227" s="298">
        <f t="shared" si="41"/>
        <v>0</v>
      </c>
      <c r="AC227" s="4"/>
      <c r="AD227" s="4"/>
      <c r="AE227" s="4"/>
      <c r="AF227" s="19"/>
      <c r="AG227" s="29">
        <f t="shared" si="42"/>
        <v>0</v>
      </c>
    </row>
    <row r="228" spans="1:37" hidden="1">
      <c r="A228" s="180"/>
      <c r="B228" s="166" t="s">
        <v>107</v>
      </c>
      <c r="C228" s="47" t="s">
        <v>29</v>
      </c>
      <c r="D228" s="47" t="s">
        <v>29</v>
      </c>
      <c r="E228" s="19"/>
      <c r="F228" s="277"/>
      <c r="G228" s="4"/>
      <c r="H228" s="47" t="s">
        <v>29</v>
      </c>
      <c r="I228" s="47" t="s">
        <v>29</v>
      </c>
      <c r="J228" s="19">
        <v>8</v>
      </c>
      <c r="K228" s="277"/>
      <c r="L228" s="4"/>
      <c r="M228" s="47" t="s">
        <v>29</v>
      </c>
      <c r="N228" s="47" t="s">
        <v>29</v>
      </c>
      <c r="O228" s="19">
        <v>8</v>
      </c>
      <c r="P228" s="277"/>
      <c r="R228" s="47" t="s">
        <v>29</v>
      </c>
      <c r="S228" s="47" t="s">
        <v>29</v>
      </c>
      <c r="T228" s="19">
        <v>8</v>
      </c>
      <c r="U228" s="277"/>
      <c r="W228" s="47" t="s">
        <v>29</v>
      </c>
      <c r="X228" s="47" t="s">
        <v>29</v>
      </c>
      <c r="Y228" s="19">
        <v>8</v>
      </c>
      <c r="Z228" s="277"/>
      <c r="AA228" s="29">
        <f t="shared" si="40"/>
        <v>32</v>
      </c>
      <c r="AB228" s="298">
        <f t="shared" si="41"/>
        <v>0</v>
      </c>
      <c r="AC228" s="4"/>
      <c r="AD228" s="4"/>
      <c r="AE228" s="4"/>
      <c r="AF228" s="19"/>
      <c r="AG228" s="29">
        <f t="shared" si="42"/>
        <v>0</v>
      </c>
    </row>
    <row r="229" spans="1:37" hidden="1">
      <c r="A229" s="180"/>
      <c r="B229" s="166" t="s">
        <v>59</v>
      </c>
      <c r="C229" s="47" t="s">
        <v>29</v>
      </c>
      <c r="D229" s="16" t="s">
        <v>29</v>
      </c>
      <c r="E229" s="19"/>
      <c r="F229" s="277"/>
      <c r="G229" s="4"/>
      <c r="H229" s="47" t="s">
        <v>29</v>
      </c>
      <c r="I229" s="16" t="s">
        <v>29</v>
      </c>
      <c r="J229" s="19">
        <v>8</v>
      </c>
      <c r="K229" s="277"/>
      <c r="L229" s="4"/>
      <c r="M229" s="47" t="s">
        <v>29</v>
      </c>
      <c r="N229" s="16" t="s">
        <v>29</v>
      </c>
      <c r="O229" s="19">
        <v>8</v>
      </c>
      <c r="P229" s="277"/>
      <c r="R229" s="47" t="s">
        <v>29</v>
      </c>
      <c r="S229" s="16" t="s">
        <v>29</v>
      </c>
      <c r="T229" s="19">
        <v>8</v>
      </c>
      <c r="U229" s="277"/>
      <c r="W229" s="47" t="s">
        <v>29</v>
      </c>
      <c r="X229" s="16" t="s">
        <v>29</v>
      </c>
      <c r="Y229" s="19">
        <v>8</v>
      </c>
      <c r="Z229" s="277"/>
      <c r="AA229" s="29">
        <f t="shared" si="40"/>
        <v>32</v>
      </c>
      <c r="AB229" s="298">
        <f t="shared" si="41"/>
        <v>0</v>
      </c>
      <c r="AC229" s="4"/>
      <c r="AD229" s="4"/>
      <c r="AE229" s="4"/>
      <c r="AF229" s="19"/>
      <c r="AG229" s="29">
        <f t="shared" si="42"/>
        <v>0</v>
      </c>
    </row>
    <row r="230" spans="1:37" hidden="1">
      <c r="A230" s="180"/>
      <c r="B230" s="166" t="s">
        <v>60</v>
      </c>
      <c r="C230" s="16" t="s">
        <v>29</v>
      </c>
      <c r="D230" s="16" t="s">
        <v>29</v>
      </c>
      <c r="E230" s="19"/>
      <c r="F230" s="277"/>
      <c r="G230" s="4"/>
      <c r="H230" s="16" t="s">
        <v>29</v>
      </c>
      <c r="I230" s="16" t="s">
        <v>29</v>
      </c>
      <c r="J230" s="19">
        <v>8</v>
      </c>
      <c r="K230" s="277"/>
      <c r="L230" s="4"/>
      <c r="M230" s="16" t="s">
        <v>29</v>
      </c>
      <c r="N230" s="16" t="s">
        <v>29</v>
      </c>
      <c r="O230" s="19">
        <v>8</v>
      </c>
      <c r="P230" s="277"/>
      <c r="R230" s="16" t="s">
        <v>29</v>
      </c>
      <c r="S230" s="16" t="s">
        <v>29</v>
      </c>
      <c r="T230" s="19">
        <v>8</v>
      </c>
      <c r="U230" s="277"/>
      <c r="W230" s="16" t="s">
        <v>29</v>
      </c>
      <c r="X230" s="16" t="s">
        <v>29</v>
      </c>
      <c r="Y230" s="19">
        <v>8</v>
      </c>
      <c r="Z230" s="277"/>
      <c r="AA230" s="29">
        <f t="shared" si="40"/>
        <v>32</v>
      </c>
      <c r="AB230" s="298">
        <f t="shared" si="41"/>
        <v>0</v>
      </c>
      <c r="AC230" s="4"/>
      <c r="AD230" s="4"/>
      <c r="AE230" s="4"/>
      <c r="AF230" s="19"/>
      <c r="AG230" s="29">
        <f t="shared" si="42"/>
        <v>0</v>
      </c>
    </row>
    <row r="231" spans="1:37" hidden="1">
      <c r="A231" s="180"/>
      <c r="B231" s="63" t="s">
        <v>63</v>
      </c>
      <c r="C231" s="12" t="s">
        <v>29</v>
      </c>
      <c r="D231" s="12" t="s">
        <v>29</v>
      </c>
      <c r="E231" s="19"/>
      <c r="F231" s="277"/>
      <c r="G231" s="60"/>
      <c r="H231" s="12" t="s">
        <v>29</v>
      </c>
      <c r="I231" s="12" t="s">
        <v>29</v>
      </c>
      <c r="J231" s="19">
        <v>8</v>
      </c>
      <c r="K231" s="277"/>
      <c r="L231" s="60"/>
      <c r="M231" s="16" t="s">
        <v>29</v>
      </c>
      <c r="N231" s="16" t="s">
        <v>29</v>
      </c>
      <c r="O231" s="19">
        <v>8</v>
      </c>
      <c r="P231" s="277"/>
      <c r="Q231" s="60"/>
      <c r="R231" s="16" t="s">
        <v>29</v>
      </c>
      <c r="S231" s="16" t="s">
        <v>29</v>
      </c>
      <c r="T231" s="19">
        <v>8</v>
      </c>
      <c r="U231" s="277"/>
      <c r="V231" s="60"/>
      <c r="W231" s="16" t="s">
        <v>29</v>
      </c>
      <c r="X231" s="16" t="s">
        <v>29</v>
      </c>
      <c r="Y231" s="19">
        <v>8</v>
      </c>
      <c r="Z231" s="277"/>
      <c r="AA231" s="28">
        <f>SUM(E231+J231+O231+T231+Y231)</f>
        <v>32</v>
      </c>
      <c r="AB231" s="298">
        <f t="shared" si="41"/>
        <v>0</v>
      </c>
      <c r="AC231" s="4"/>
      <c r="AD231" s="56"/>
      <c r="AE231" s="56"/>
      <c r="AF231" s="19"/>
      <c r="AG231" s="29">
        <f t="shared" si="42"/>
        <v>0</v>
      </c>
      <c r="AK231" s="407"/>
    </row>
    <row r="232" spans="1:37" hidden="1">
      <c r="A232" s="180"/>
      <c r="B232" s="63" t="s">
        <v>62</v>
      </c>
      <c r="C232" s="16" t="s">
        <v>29</v>
      </c>
      <c r="D232" s="16" t="s">
        <v>29</v>
      </c>
      <c r="E232" s="19"/>
      <c r="F232" s="277"/>
      <c r="G232" s="60"/>
      <c r="H232" s="16" t="s">
        <v>29</v>
      </c>
      <c r="I232" s="16" t="s">
        <v>29</v>
      </c>
      <c r="J232" s="19">
        <v>8</v>
      </c>
      <c r="K232" s="277"/>
      <c r="L232" s="60"/>
      <c r="M232" s="16" t="s">
        <v>29</v>
      </c>
      <c r="N232" s="16" t="s">
        <v>29</v>
      </c>
      <c r="O232" s="19">
        <v>8</v>
      </c>
      <c r="P232" s="277"/>
      <c r="Q232" s="60"/>
      <c r="R232" s="16" t="s">
        <v>29</v>
      </c>
      <c r="S232" s="16" t="s">
        <v>29</v>
      </c>
      <c r="T232" s="19">
        <v>8</v>
      </c>
      <c r="U232" s="277"/>
      <c r="V232" s="60"/>
      <c r="W232" s="16" t="s">
        <v>29</v>
      </c>
      <c r="X232" s="16" t="s">
        <v>29</v>
      </c>
      <c r="Y232" s="19">
        <v>8</v>
      </c>
      <c r="Z232" s="277"/>
      <c r="AA232" s="28">
        <f>SUM(E232+J232+O232+T232+Y232)</f>
        <v>32</v>
      </c>
      <c r="AB232" s="298">
        <f t="shared" si="41"/>
        <v>0</v>
      </c>
      <c r="AC232" s="4"/>
      <c r="AD232" s="56"/>
      <c r="AE232" s="56"/>
      <c r="AF232" s="19"/>
      <c r="AG232" s="29">
        <v>0</v>
      </c>
    </row>
    <row r="233" spans="1:37" hidden="1">
      <c r="A233" s="180"/>
      <c r="B233" s="63"/>
      <c r="C233" s="4"/>
      <c r="D233" s="4"/>
      <c r="E233" s="19"/>
      <c r="F233" s="277"/>
      <c r="G233" s="60"/>
      <c r="H233" s="4"/>
      <c r="I233" s="4"/>
      <c r="J233" s="19"/>
      <c r="K233" s="277"/>
      <c r="L233" s="60"/>
      <c r="M233" s="47"/>
      <c r="N233" s="47"/>
      <c r="O233" s="19"/>
      <c r="P233" s="277"/>
      <c r="Q233" s="60"/>
      <c r="S233" s="4"/>
      <c r="T233" s="19"/>
      <c r="U233" s="277"/>
      <c r="V233" s="60"/>
      <c r="X233" s="4"/>
      <c r="Y233" s="19"/>
      <c r="Z233" s="277"/>
      <c r="AA233" s="28">
        <f>SUM(E233+J233+O233+T233+Y233)</f>
        <v>0</v>
      </c>
      <c r="AB233" s="298">
        <f t="shared" si="41"/>
        <v>0</v>
      </c>
      <c r="AC233" s="4"/>
      <c r="AD233" s="56"/>
      <c r="AE233" s="56"/>
      <c r="AF233" s="19"/>
      <c r="AG233" s="29">
        <f>AF233</f>
        <v>0</v>
      </c>
    </row>
    <row r="234" spans="1:37" hidden="1">
      <c r="A234" s="180"/>
      <c r="B234" s="64" t="s">
        <v>61</v>
      </c>
      <c r="C234" s="64"/>
      <c r="D234" s="64"/>
      <c r="E234" s="167">
        <f>SUM(E199:E233)</f>
        <v>0</v>
      </c>
      <c r="F234" s="277">
        <f>SUM(F199:F225)</f>
        <v>0</v>
      </c>
      <c r="G234" s="64"/>
      <c r="H234" s="64"/>
      <c r="I234" s="64"/>
      <c r="J234" s="64">
        <f>SUM(J199:J233)</f>
        <v>198.5</v>
      </c>
      <c r="K234" s="277">
        <f>SUM(K199:K225)</f>
        <v>0</v>
      </c>
      <c r="L234" s="64"/>
      <c r="M234" s="64"/>
      <c r="N234" s="64"/>
      <c r="O234" s="167">
        <f>SUM(O199:O233)</f>
        <v>228.25</v>
      </c>
      <c r="P234" s="277">
        <f>SUM(P199:P230)</f>
        <v>0</v>
      </c>
      <c r="Q234" s="64"/>
      <c r="R234" s="167"/>
      <c r="S234" s="64"/>
      <c r="T234" s="167">
        <f>SUM(T199:T233)</f>
        <v>238.75</v>
      </c>
      <c r="U234" s="277">
        <f>SUM(U199:U230)</f>
        <v>0</v>
      </c>
      <c r="V234" s="64"/>
      <c r="W234" s="167"/>
      <c r="X234" s="64"/>
      <c r="Y234" s="167">
        <f>SUM(Y199:Y233)</f>
        <v>230</v>
      </c>
      <c r="Z234" s="277">
        <f>SUM(Z199:Z225)</f>
        <v>0</v>
      </c>
      <c r="AA234" s="370">
        <f>SUM(AA199:AA233)</f>
        <v>895.5</v>
      </c>
      <c r="AB234" s="289">
        <f>SUM(AB199:AB233)</f>
        <v>0</v>
      </c>
      <c r="AC234" s="4"/>
      <c r="AD234" s="64"/>
      <c r="AE234" s="64"/>
      <c r="AF234" s="167">
        <f>SUM(AF199:AF233)</f>
        <v>0</v>
      </c>
      <c r="AG234" s="370">
        <f>SUM(AG199:AG225)</f>
        <v>0</v>
      </c>
    </row>
    <row r="235" spans="1:37" hidden="1">
      <c r="A235" s="180"/>
      <c r="B235" s="63" t="s">
        <v>64</v>
      </c>
      <c r="C235" s="56"/>
      <c r="D235" s="56"/>
      <c r="E235" s="19">
        <v>0</v>
      </c>
      <c r="F235" s="291"/>
      <c r="G235" s="60"/>
      <c r="H235" s="56"/>
      <c r="I235" s="56"/>
      <c r="J235" s="19">
        <v>5</v>
      </c>
      <c r="K235" s="291"/>
      <c r="L235" s="60"/>
      <c r="M235" s="56"/>
      <c r="N235" s="56"/>
      <c r="O235" s="19">
        <v>5</v>
      </c>
      <c r="P235" s="19"/>
      <c r="Q235" s="60"/>
      <c r="R235" s="56"/>
      <c r="S235" s="56"/>
      <c r="T235" s="19">
        <v>6</v>
      </c>
      <c r="U235" s="19"/>
      <c r="V235" s="60"/>
      <c r="W235" s="56"/>
      <c r="X235" s="56"/>
      <c r="Y235" s="19">
        <v>5</v>
      </c>
      <c r="Z235" s="19"/>
      <c r="AA235" s="28">
        <f>SUM(E235+J235+O235+T235+Y235)</f>
        <v>21</v>
      </c>
      <c r="AB235" s="296">
        <f>Z235+U235+P235+K235+F235</f>
        <v>0</v>
      </c>
      <c r="AC235" s="4"/>
      <c r="AD235" s="56"/>
      <c r="AE235" s="56"/>
      <c r="AF235" s="19"/>
      <c r="AG235" s="29">
        <f>AF235</f>
        <v>0</v>
      </c>
    </row>
    <row r="236" spans="1:37" hidden="1">
      <c r="A236" s="180"/>
      <c r="B236" s="63" t="s">
        <v>110</v>
      </c>
      <c r="C236" s="56"/>
      <c r="D236" s="56"/>
      <c r="E236" s="19">
        <v>0</v>
      </c>
      <c r="F236" s="291"/>
      <c r="G236" s="60"/>
      <c r="H236" s="56"/>
      <c r="I236" s="56"/>
      <c r="J236" s="19">
        <v>2.5</v>
      </c>
      <c r="K236" s="291"/>
      <c r="L236" s="60"/>
      <c r="M236" s="56"/>
      <c r="N236" s="56"/>
      <c r="O236" s="19">
        <v>0</v>
      </c>
      <c r="P236" s="19"/>
      <c r="Q236" s="60"/>
      <c r="R236" s="56"/>
      <c r="S236" s="56"/>
      <c r="T236" s="19">
        <v>0</v>
      </c>
      <c r="U236" s="19"/>
      <c r="V236" s="60"/>
      <c r="W236" s="56"/>
      <c r="X236" s="56"/>
      <c r="Y236" s="19">
        <v>2.5</v>
      </c>
      <c r="Z236" s="19"/>
      <c r="AA236" s="28">
        <f>SUM(E236+J236+O236+T236+Y236)</f>
        <v>5</v>
      </c>
      <c r="AB236" s="296">
        <f>Z236+U236+P236+K236+F236</f>
        <v>0</v>
      </c>
      <c r="AC236" s="4"/>
      <c r="AD236" s="56"/>
      <c r="AE236" s="56"/>
      <c r="AF236" s="19"/>
      <c r="AG236" s="29">
        <f>AF236</f>
        <v>0</v>
      </c>
    </row>
    <row r="237" spans="1:37" hidden="1">
      <c r="A237" s="180"/>
      <c r="B237" s="71" t="s">
        <v>66</v>
      </c>
      <c r="C237" s="371"/>
      <c r="D237" s="371"/>
      <c r="E237" s="71">
        <f t="shared" ref="E237:AB237" si="46">SUM(E235:E236)</f>
        <v>0</v>
      </c>
      <c r="F237" s="71">
        <f t="shared" si="46"/>
        <v>0</v>
      </c>
      <c r="G237" s="71">
        <f t="shared" si="46"/>
        <v>0</v>
      </c>
      <c r="H237" s="71">
        <f t="shared" si="46"/>
        <v>0</v>
      </c>
      <c r="I237" s="71">
        <f t="shared" si="46"/>
        <v>0</v>
      </c>
      <c r="J237" s="71">
        <f t="shared" si="46"/>
        <v>7.5</v>
      </c>
      <c r="K237" s="71">
        <f t="shared" si="46"/>
        <v>0</v>
      </c>
      <c r="L237" s="71">
        <f t="shared" si="46"/>
        <v>0</v>
      </c>
      <c r="M237" s="71">
        <f t="shared" si="46"/>
        <v>0</v>
      </c>
      <c r="N237" s="71">
        <f t="shared" si="46"/>
        <v>0</v>
      </c>
      <c r="O237" s="71">
        <f t="shared" si="46"/>
        <v>5</v>
      </c>
      <c r="P237" s="71">
        <f t="shared" si="46"/>
        <v>0</v>
      </c>
      <c r="Q237" s="71">
        <f t="shared" si="46"/>
        <v>0</v>
      </c>
      <c r="R237" s="71">
        <f t="shared" si="46"/>
        <v>0</v>
      </c>
      <c r="S237" s="71">
        <f t="shared" si="46"/>
        <v>0</v>
      </c>
      <c r="T237" s="71">
        <f t="shared" si="46"/>
        <v>6</v>
      </c>
      <c r="U237" s="71">
        <f t="shared" si="46"/>
        <v>0</v>
      </c>
      <c r="V237" s="71">
        <f t="shared" si="46"/>
        <v>0</v>
      </c>
      <c r="W237" s="71">
        <f t="shared" si="46"/>
        <v>0</v>
      </c>
      <c r="X237" s="71">
        <f t="shared" si="46"/>
        <v>0</v>
      </c>
      <c r="Y237" s="71">
        <f t="shared" si="46"/>
        <v>7.5</v>
      </c>
      <c r="Z237" s="71">
        <f t="shared" si="46"/>
        <v>0</v>
      </c>
      <c r="AA237" s="370">
        <f t="shared" si="46"/>
        <v>26</v>
      </c>
      <c r="AB237" s="370">
        <f t="shared" si="46"/>
        <v>0</v>
      </c>
      <c r="AC237" s="4"/>
      <c r="AG237" s="370">
        <f>SUM(AG235:AG236)</f>
        <v>0</v>
      </c>
    </row>
    <row r="238" spans="1:37" hidden="1">
      <c r="A238" s="180"/>
      <c r="B238" s="217" t="s">
        <v>67</v>
      </c>
      <c r="C238" s="207">
        <f>C239+C240</f>
        <v>84</v>
      </c>
      <c r="D238" s="207"/>
      <c r="E238" s="209"/>
      <c r="F238" s="209"/>
      <c r="G238" s="207"/>
      <c r="H238" s="209"/>
      <c r="I238" s="209"/>
      <c r="J238" s="209"/>
      <c r="K238" s="209"/>
      <c r="L238" s="207"/>
      <c r="M238" s="207"/>
      <c r="N238" s="207"/>
      <c r="O238" s="207"/>
      <c r="P238" s="209"/>
      <c r="Q238" s="207"/>
      <c r="R238" s="207"/>
      <c r="S238" s="207"/>
      <c r="T238" s="207"/>
      <c r="U238" s="209"/>
      <c r="V238" s="207"/>
      <c r="W238" s="207"/>
      <c r="X238" s="207"/>
      <c r="Y238" s="210"/>
      <c r="Z238" s="209"/>
      <c r="AA238" s="211"/>
      <c r="AB238" s="209"/>
      <c r="AC238" s="211"/>
      <c r="AD238" s="211"/>
      <c r="AE238" s="211"/>
      <c r="AF238" s="211"/>
      <c r="AG238" s="211"/>
    </row>
    <row r="239" spans="1:37" hidden="1">
      <c r="A239" s="180"/>
      <c r="B239" s="238" t="s">
        <v>68</v>
      </c>
      <c r="C239" s="239">
        <f>10+10+10+8</f>
        <v>38</v>
      </c>
      <c r="D239" s="207"/>
      <c r="E239" s="209"/>
      <c r="F239" s="209"/>
      <c r="G239" s="207"/>
      <c r="H239" s="209"/>
      <c r="I239" s="209"/>
      <c r="J239" s="209"/>
      <c r="K239" s="209"/>
      <c r="L239" s="207"/>
      <c r="M239" s="207"/>
      <c r="N239" s="207"/>
      <c r="O239" s="207"/>
      <c r="P239" s="209"/>
      <c r="Q239" s="207"/>
      <c r="R239" s="207"/>
      <c r="S239" s="207"/>
      <c r="T239" s="207"/>
      <c r="U239" s="209"/>
      <c r="V239" s="207"/>
      <c r="W239" s="207"/>
      <c r="X239" s="207"/>
      <c r="Y239" s="210"/>
      <c r="Z239" s="209"/>
      <c r="AA239" s="211"/>
      <c r="AB239" s="209"/>
      <c r="AC239" s="211"/>
      <c r="AD239" s="211"/>
      <c r="AE239" s="211"/>
      <c r="AF239" s="211"/>
      <c r="AG239" s="211"/>
    </row>
    <row r="240" spans="1:37" hidden="1">
      <c r="A240" s="180"/>
      <c r="B240" s="238" t="s">
        <v>69</v>
      </c>
      <c r="C240" s="239">
        <f>8+12+13+13</f>
        <v>46</v>
      </c>
      <c r="D240" s="207"/>
      <c r="E240" s="209"/>
      <c r="F240" s="209"/>
      <c r="G240" s="207"/>
      <c r="H240" s="209"/>
      <c r="I240" s="209"/>
      <c r="J240" s="209"/>
      <c r="K240" s="209"/>
      <c r="L240" s="207"/>
      <c r="M240" s="207"/>
      <c r="N240" s="207"/>
      <c r="O240" s="207"/>
      <c r="P240" s="209"/>
      <c r="Q240" s="207"/>
      <c r="R240" s="207"/>
      <c r="S240" s="207"/>
      <c r="T240" s="207"/>
      <c r="U240" s="209"/>
      <c r="V240" s="207"/>
      <c r="W240" s="207"/>
      <c r="X240" s="207"/>
      <c r="Y240" s="210"/>
      <c r="Z240" s="209"/>
      <c r="AA240" s="211"/>
      <c r="AB240" s="209"/>
      <c r="AC240" s="211"/>
      <c r="AD240" s="211"/>
      <c r="AE240" s="211"/>
      <c r="AF240" s="211"/>
      <c r="AG240" s="211"/>
    </row>
    <row r="241" spans="1:49" hidden="1">
      <c r="E241" s="4"/>
      <c r="F241" s="4"/>
      <c r="G241" s="4"/>
      <c r="J241" s="4"/>
      <c r="K241" s="4"/>
      <c r="L241" s="4"/>
      <c r="O241" s="4"/>
      <c r="P241" s="4"/>
      <c r="T241" s="4"/>
      <c r="U241" s="4"/>
      <c r="Y241" s="4"/>
      <c r="Z241" s="4"/>
      <c r="AA241" s="4"/>
      <c r="AB241" s="4"/>
      <c r="AC241" s="4"/>
    </row>
    <row r="242" spans="1:49" hidden="1">
      <c r="A242" s="180"/>
      <c r="B242" s="229"/>
      <c r="C242" s="230"/>
      <c r="D242" s="230"/>
      <c r="E242" s="232"/>
      <c r="F242" s="232"/>
      <c r="G242" s="230"/>
      <c r="H242" s="232"/>
      <c r="I242" s="232"/>
      <c r="J242" s="232"/>
      <c r="K242" s="232"/>
      <c r="L242" s="230"/>
      <c r="M242" s="230"/>
      <c r="N242" s="230"/>
      <c r="O242" s="230"/>
      <c r="P242" s="232"/>
      <c r="Q242" s="230"/>
      <c r="R242" s="230"/>
      <c r="S242" s="230"/>
      <c r="T242" s="230"/>
      <c r="U242" s="232"/>
      <c r="V242" s="230"/>
      <c r="W242" s="230"/>
      <c r="X242" s="230"/>
      <c r="Y242" s="233"/>
      <c r="Z242" s="232"/>
      <c r="AA242" s="234"/>
      <c r="AB242" s="232"/>
      <c r="AC242" s="373"/>
      <c r="AD242" s="236"/>
      <c r="AE242" s="255"/>
      <c r="AF242" s="255"/>
      <c r="AG242" s="255"/>
      <c r="AH242" s="255"/>
      <c r="AJ242" s="255"/>
      <c r="AK242" s="255"/>
      <c r="AL242" s="255"/>
      <c r="AM242" s="255"/>
      <c r="AN242" s="255"/>
      <c r="AO242" s="255"/>
      <c r="AP242" s="255"/>
      <c r="AQ242" s="255"/>
      <c r="AR242" s="255"/>
      <c r="AS242" s="255"/>
      <c r="AT242" s="255"/>
      <c r="AU242" s="255"/>
      <c r="AV242" s="255"/>
      <c r="AW242" s="255"/>
    </row>
    <row r="243" spans="1:49" hidden="1">
      <c r="B243" s="180"/>
      <c r="E243" s="4"/>
      <c r="F243" s="4"/>
      <c r="G243" s="4"/>
      <c r="J243" s="4"/>
      <c r="K243" s="4"/>
      <c r="L243" s="4"/>
      <c r="O243" s="4"/>
      <c r="P243" s="4"/>
      <c r="T243" s="4"/>
      <c r="U243" s="4"/>
      <c r="Y243" s="4"/>
      <c r="Z243" s="4"/>
      <c r="AA243" s="4"/>
      <c r="AB243" s="4"/>
      <c r="AC243" s="4"/>
      <c r="AK243" s="180"/>
      <c r="AL243" s="180"/>
      <c r="AM243" s="180"/>
      <c r="AN243" s="180"/>
      <c r="AO243" s="180"/>
      <c r="AP243" s="180"/>
    </row>
    <row r="244" spans="1:49" hidden="1">
      <c r="A244" s="228"/>
      <c r="B244" s="1518" t="s">
        <v>18</v>
      </c>
      <c r="C244" s="1519">
        <v>45348</v>
      </c>
      <c r="D244" s="1519"/>
      <c r="E244" s="1519"/>
      <c r="F244" s="1519"/>
      <c r="G244" s="365"/>
      <c r="H244" s="1519">
        <v>45349</v>
      </c>
      <c r="I244" s="1519"/>
      <c r="J244" s="1519"/>
      <c r="K244" s="1519"/>
      <c r="L244" s="365">
        <v>45343</v>
      </c>
      <c r="M244" s="1519">
        <v>45350</v>
      </c>
      <c r="N244" s="1519"/>
      <c r="O244" s="1519"/>
      <c r="P244" s="1519"/>
      <c r="Q244" s="365"/>
      <c r="R244" s="1519">
        <v>45351</v>
      </c>
      <c r="S244" s="1519"/>
      <c r="T244" s="1519"/>
      <c r="U244" s="1519"/>
      <c r="V244" s="365"/>
      <c r="W244" s="1519">
        <v>45352</v>
      </c>
      <c r="X244" s="1519"/>
      <c r="Y244" s="1519"/>
      <c r="Z244" s="1519"/>
      <c r="AA244" s="1517" t="s">
        <v>19</v>
      </c>
      <c r="AB244" s="1517" t="s">
        <v>20</v>
      </c>
      <c r="AC244" s="4"/>
      <c r="AD244" s="1519">
        <v>45353</v>
      </c>
      <c r="AE244" s="1519"/>
      <c r="AF244" s="1519"/>
      <c r="AG244" s="1517" t="s">
        <v>21</v>
      </c>
      <c r="AI244" s="368"/>
      <c r="AK244" s="194" t="s">
        <v>84</v>
      </c>
      <c r="AL244" s="366"/>
      <c r="AM244" s="366"/>
      <c r="AN244" s="366"/>
      <c r="AO244" s="366"/>
      <c r="AP244" s="366"/>
    </row>
    <row r="245" spans="1:49" hidden="1">
      <c r="A245" s="180"/>
      <c r="B245" s="1518"/>
      <c r="C245" s="21" t="s">
        <v>23</v>
      </c>
      <c r="D245" s="21" t="s">
        <v>24</v>
      </c>
      <c r="E245" s="205" t="s">
        <v>25</v>
      </c>
      <c r="F245" s="18" t="s">
        <v>14</v>
      </c>
      <c r="G245" s="4"/>
      <c r="H245" s="21" t="s">
        <v>23</v>
      </c>
      <c r="I245" s="21" t="s">
        <v>24</v>
      </c>
      <c r="J245" s="18" t="s">
        <v>25</v>
      </c>
      <c r="K245" s="18" t="s">
        <v>14</v>
      </c>
      <c r="L245" s="4"/>
      <c r="M245" s="21" t="s">
        <v>23</v>
      </c>
      <c r="N245" s="21" t="s">
        <v>24</v>
      </c>
      <c r="O245" s="18" t="s">
        <v>25</v>
      </c>
      <c r="P245" s="18" t="s">
        <v>14</v>
      </c>
      <c r="R245" s="484" t="s">
        <v>23</v>
      </c>
      <c r="S245" s="21" t="s">
        <v>24</v>
      </c>
      <c r="T245" s="18" t="s">
        <v>25</v>
      </c>
      <c r="U245" s="18" t="s">
        <v>14</v>
      </c>
      <c r="W245" s="484" t="s">
        <v>23</v>
      </c>
      <c r="X245" s="21" t="s">
        <v>24</v>
      </c>
      <c r="Y245" s="18" t="s">
        <v>25</v>
      </c>
      <c r="Z245" s="18" t="s">
        <v>14</v>
      </c>
      <c r="AA245" s="1517"/>
      <c r="AB245" s="1517"/>
      <c r="AC245" s="4"/>
      <c r="AD245" s="21" t="s">
        <v>23</v>
      </c>
      <c r="AE245" s="21" t="s">
        <v>24</v>
      </c>
      <c r="AF245" s="18" t="s">
        <v>25</v>
      </c>
      <c r="AG245" s="1517"/>
      <c r="AI245" s="368"/>
      <c r="AJ245" s="367"/>
      <c r="AK245" s="188" t="s">
        <v>26</v>
      </c>
      <c r="AL245" s="196">
        <f>$AA$279</f>
        <v>957.75</v>
      </c>
      <c r="AM245" s="510">
        <v>38</v>
      </c>
      <c r="AN245" s="510">
        <f t="shared" ref="AN245:AN251" si="47">AL245*AM245</f>
        <v>36394.5</v>
      </c>
      <c r="AQ245" s="367"/>
      <c r="AR245" s="367"/>
      <c r="AS245" s="367"/>
      <c r="AT245" s="367"/>
      <c r="AU245" s="367"/>
      <c r="AV245" s="367"/>
      <c r="AW245" s="367"/>
    </row>
    <row r="246" spans="1:49" hidden="1">
      <c r="A246" s="180"/>
      <c r="B246" s="318" t="s">
        <v>109</v>
      </c>
      <c r="C246" s="47">
        <v>0.375</v>
      </c>
      <c r="D246" s="47">
        <v>0.25</v>
      </c>
      <c r="E246" s="319">
        <v>8</v>
      </c>
      <c r="F246" s="320"/>
      <c r="G246" s="4"/>
      <c r="H246" s="47">
        <v>0.29166666666666669</v>
      </c>
      <c r="I246" s="47">
        <v>0.20833333333333334</v>
      </c>
      <c r="J246" s="319">
        <v>8</v>
      </c>
      <c r="K246" s="320">
        <v>1</v>
      </c>
      <c r="L246" s="4"/>
      <c r="M246" s="47">
        <v>0.35416666666666669</v>
      </c>
      <c r="N246" s="47">
        <v>0.20833333333333334</v>
      </c>
      <c r="O246" s="319">
        <v>7.5</v>
      </c>
      <c r="P246" s="320"/>
      <c r="R246" s="47">
        <v>0.36458333333333331</v>
      </c>
      <c r="S246" s="47">
        <v>0.20833333333333334</v>
      </c>
      <c r="T246" s="319">
        <v>7.25</v>
      </c>
      <c r="U246" s="320"/>
      <c r="W246" s="441">
        <v>0</v>
      </c>
      <c r="X246" s="441">
        <v>0</v>
      </c>
      <c r="Y246" s="319">
        <v>0</v>
      </c>
      <c r="Z246" s="320"/>
      <c r="AA246" s="328">
        <f t="shared" ref="AA246" si="48">(E246+J246+O246+T246+Y246)</f>
        <v>30.75</v>
      </c>
      <c r="AB246" s="298">
        <f>Z246+U246+P246+K246+F246</f>
        <v>1</v>
      </c>
      <c r="AC246" s="4"/>
      <c r="AD246" s="47" t="s">
        <v>29</v>
      </c>
      <c r="AE246" s="47" t="s">
        <v>29</v>
      </c>
      <c r="AF246" s="319">
        <v>0</v>
      </c>
      <c r="AG246" s="328">
        <f t="shared" ref="AG246:AG277" si="49">AF246</f>
        <v>0</v>
      </c>
      <c r="AI246" s="368"/>
      <c r="AJ246" s="367"/>
      <c r="AK246" s="188" t="s">
        <v>30</v>
      </c>
      <c r="AL246" s="196">
        <f>$AB$279</f>
        <v>7.25</v>
      </c>
      <c r="AM246" s="511">
        <v>57</v>
      </c>
      <c r="AN246" s="510">
        <f t="shared" si="47"/>
        <v>413.25</v>
      </c>
      <c r="AQ246" s="367"/>
      <c r="AR246" s="367"/>
      <c r="AS246" s="367"/>
      <c r="AT246" s="367"/>
      <c r="AU246" s="367"/>
      <c r="AV246" s="367"/>
      <c r="AW246" s="367"/>
    </row>
    <row r="247" spans="1:49" hidden="1">
      <c r="A247" s="367"/>
      <c r="B247" s="318" t="s">
        <v>71</v>
      </c>
      <c r="C247" s="47">
        <v>0.375</v>
      </c>
      <c r="D247" s="47">
        <v>0.25</v>
      </c>
      <c r="E247" s="319">
        <v>8</v>
      </c>
      <c r="F247" s="320"/>
      <c r="G247" s="4"/>
      <c r="H247" s="47">
        <v>0.34375</v>
      </c>
      <c r="I247" s="47">
        <v>0.22916666666666666</v>
      </c>
      <c r="J247" s="319">
        <v>8</v>
      </c>
      <c r="K247" s="320">
        <v>0.25</v>
      </c>
      <c r="L247" s="4"/>
      <c r="M247" s="47">
        <v>0.33333333333333331</v>
      </c>
      <c r="N247" s="47">
        <v>0.20833333333333334</v>
      </c>
      <c r="O247" s="319">
        <v>8</v>
      </c>
      <c r="P247" s="320"/>
      <c r="R247" s="47">
        <v>0.33333333333333331</v>
      </c>
      <c r="S247" s="47">
        <v>0.20833333333333334</v>
      </c>
      <c r="T247" s="319">
        <v>8</v>
      </c>
      <c r="U247" s="320"/>
      <c r="W247" s="441">
        <v>0</v>
      </c>
      <c r="X247" s="441">
        <v>0</v>
      </c>
      <c r="Y247" s="319">
        <v>0</v>
      </c>
      <c r="Z247" s="320"/>
      <c r="AA247" s="328">
        <f t="shared" ref="AA247:AA278" si="50">(E247+J247+O247+T247+Y247)</f>
        <v>32</v>
      </c>
      <c r="AB247" s="298">
        <f>Z247+U247+P247+K247+F247</f>
        <v>0.25</v>
      </c>
      <c r="AC247" s="4"/>
      <c r="AD247" s="47" t="s">
        <v>29</v>
      </c>
      <c r="AE247" s="47" t="s">
        <v>29</v>
      </c>
      <c r="AF247" s="319">
        <v>0</v>
      </c>
      <c r="AG247" s="328">
        <f t="shared" si="49"/>
        <v>0</v>
      </c>
      <c r="AH247" s="175"/>
      <c r="AI247" s="402"/>
      <c r="AJ247" s="367"/>
      <c r="AK247" s="188" t="s">
        <v>32</v>
      </c>
      <c r="AL247" s="196">
        <f>$AG$279</f>
        <v>0</v>
      </c>
      <c r="AM247" s="510">
        <v>57</v>
      </c>
      <c r="AN247" s="510">
        <f t="shared" si="47"/>
        <v>0</v>
      </c>
      <c r="AQ247" s="367"/>
      <c r="AR247" s="367"/>
      <c r="AS247" s="367"/>
      <c r="AT247" s="367"/>
      <c r="AU247" s="367"/>
      <c r="AV247" s="367"/>
      <c r="AW247" s="367"/>
    </row>
    <row r="248" spans="1:49" hidden="1">
      <c r="A248" s="367"/>
      <c r="B248" s="318" t="s">
        <v>72</v>
      </c>
      <c r="C248" s="47">
        <v>0.375</v>
      </c>
      <c r="D248" s="47">
        <v>0.25</v>
      </c>
      <c r="E248" s="319">
        <v>8</v>
      </c>
      <c r="F248" s="320"/>
      <c r="G248" s="4"/>
      <c r="H248" s="47">
        <v>0.28125</v>
      </c>
      <c r="I248" s="47">
        <v>0.22916666666666666</v>
      </c>
      <c r="J248" s="319">
        <v>8</v>
      </c>
      <c r="K248" s="320">
        <v>1.75</v>
      </c>
      <c r="L248" s="4"/>
      <c r="M248" s="47">
        <v>0.375</v>
      </c>
      <c r="N248" s="47">
        <v>0.25</v>
      </c>
      <c r="O248" s="319">
        <v>8</v>
      </c>
      <c r="P248" s="320"/>
      <c r="R248" s="47">
        <v>0.375</v>
      </c>
      <c r="S248" s="47">
        <v>0.20833333333333334</v>
      </c>
      <c r="T248" s="319">
        <v>7</v>
      </c>
      <c r="U248" s="320"/>
      <c r="W248" s="47">
        <v>0.33333333333333331</v>
      </c>
      <c r="X248" s="47">
        <v>0.20833333333333334</v>
      </c>
      <c r="Y248" s="319">
        <v>8</v>
      </c>
      <c r="Z248" s="320"/>
      <c r="AA248" s="328">
        <f t="shared" si="50"/>
        <v>39</v>
      </c>
      <c r="AB248" s="298">
        <f>Z248+U248+P248+K248+F248</f>
        <v>1.75</v>
      </c>
      <c r="AC248" s="399"/>
      <c r="AD248" s="47" t="s">
        <v>29</v>
      </c>
      <c r="AE248" s="47" t="s">
        <v>29</v>
      </c>
      <c r="AF248" s="319">
        <v>0</v>
      </c>
      <c r="AG248" s="29">
        <f t="shared" si="49"/>
        <v>0</v>
      </c>
      <c r="AH248" s="175"/>
      <c r="AJ248" s="401"/>
      <c r="AK248" s="403" t="s">
        <v>213</v>
      </c>
      <c r="AL248" s="404">
        <f>$AA$282</f>
        <v>35</v>
      </c>
      <c r="AM248" s="510">
        <v>50</v>
      </c>
      <c r="AN248" s="510">
        <f t="shared" si="47"/>
        <v>1750</v>
      </c>
      <c r="AO248" s="405"/>
      <c r="AP248" s="405"/>
      <c r="AQ248" s="401"/>
      <c r="AR248" s="401"/>
      <c r="AS248" s="401"/>
      <c r="AT248" s="401"/>
      <c r="AU248" s="401"/>
      <c r="AV248" s="401"/>
      <c r="AW248" s="401"/>
    </row>
    <row r="249" spans="1:49" hidden="1">
      <c r="A249" s="367"/>
      <c r="B249" s="318" t="s">
        <v>53</v>
      </c>
      <c r="C249" s="47">
        <v>0.375</v>
      </c>
      <c r="D249" s="47">
        <v>0.25</v>
      </c>
      <c r="E249" s="319">
        <v>8</v>
      </c>
      <c r="F249" s="320"/>
      <c r="G249" s="4"/>
      <c r="H249" s="47">
        <v>0.375</v>
      </c>
      <c r="I249" s="47">
        <v>0.20833333333333334</v>
      </c>
      <c r="J249" s="319">
        <v>7</v>
      </c>
      <c r="K249" s="320"/>
      <c r="L249" s="4"/>
      <c r="M249" s="47">
        <v>0.375</v>
      </c>
      <c r="N249" s="47">
        <v>0.25</v>
      </c>
      <c r="O249" s="319">
        <v>8</v>
      </c>
      <c r="P249" s="320"/>
      <c r="R249" s="47">
        <v>0.375</v>
      </c>
      <c r="S249" s="47">
        <v>0.20833333333333334</v>
      </c>
      <c r="T249" s="319">
        <v>7</v>
      </c>
      <c r="U249" s="320"/>
      <c r="W249" s="47">
        <v>0.38541666666666669</v>
      </c>
      <c r="X249" s="47">
        <v>0.20833333333333334</v>
      </c>
      <c r="Y249" s="319">
        <v>6.75</v>
      </c>
      <c r="Z249" s="320"/>
      <c r="AA249" s="328">
        <f t="shared" si="50"/>
        <v>36.75</v>
      </c>
      <c r="AB249" s="298">
        <f>Z249+U249+P249+K249+F249</f>
        <v>0</v>
      </c>
      <c r="AC249" s="175"/>
      <c r="AD249" s="47" t="s">
        <v>29</v>
      </c>
      <c r="AE249" s="47" t="s">
        <v>29</v>
      </c>
      <c r="AF249" s="319">
        <v>0</v>
      </c>
      <c r="AG249" s="344">
        <f t="shared" si="49"/>
        <v>0</v>
      </c>
      <c r="AH249" s="175"/>
      <c r="AI249" s="368"/>
      <c r="AK249" s="188" t="s">
        <v>36</v>
      </c>
      <c r="AL249" s="196">
        <f>$AB$282</f>
        <v>1</v>
      </c>
      <c r="AM249" s="510">
        <v>75</v>
      </c>
      <c r="AN249" s="510">
        <f t="shared" si="47"/>
        <v>75</v>
      </c>
    </row>
    <row r="250" spans="1:49" hidden="1">
      <c r="A250" s="401"/>
      <c r="B250" s="318" t="s">
        <v>91</v>
      </c>
      <c r="C250" s="47">
        <v>0.375</v>
      </c>
      <c r="D250" s="47">
        <v>0.25</v>
      </c>
      <c r="E250" s="319">
        <v>8</v>
      </c>
      <c r="F250" s="320"/>
      <c r="G250" s="4"/>
      <c r="H250" s="47">
        <v>0.375</v>
      </c>
      <c r="I250" s="47">
        <v>0.20833333333333334</v>
      </c>
      <c r="J250" s="319">
        <v>7</v>
      </c>
      <c r="K250" s="320"/>
      <c r="L250" s="4"/>
      <c r="M250" s="47">
        <v>0.375</v>
      </c>
      <c r="N250" s="47">
        <v>0.25</v>
      </c>
      <c r="O250" s="319">
        <v>8</v>
      </c>
      <c r="P250" s="320"/>
      <c r="R250" s="441">
        <v>0</v>
      </c>
      <c r="S250" s="441">
        <v>0</v>
      </c>
      <c r="T250" s="319">
        <v>0</v>
      </c>
      <c r="U250" s="320"/>
      <c r="W250" s="47">
        <v>0.38541666666666669</v>
      </c>
      <c r="X250" s="47">
        <v>0.20833333333333334</v>
      </c>
      <c r="Y250" s="319">
        <v>6.75</v>
      </c>
      <c r="Z250" s="320"/>
      <c r="AA250" s="328">
        <f t="shared" si="50"/>
        <v>29.75</v>
      </c>
      <c r="AB250" s="298">
        <f>Z250+U250+P250+K250+F250</f>
        <v>0</v>
      </c>
      <c r="AC250" s="4"/>
      <c r="AD250" s="47" t="s">
        <v>29</v>
      </c>
      <c r="AE250" s="47" t="s">
        <v>29</v>
      </c>
      <c r="AF250" s="319">
        <v>0</v>
      </c>
      <c r="AG250" s="29">
        <f t="shared" si="49"/>
        <v>0</v>
      </c>
      <c r="AJ250" s="367"/>
      <c r="AK250" s="188" t="s">
        <v>38</v>
      </c>
      <c r="AL250" s="196">
        <f>$AG$282</f>
        <v>0</v>
      </c>
      <c r="AM250" s="510">
        <v>75</v>
      </c>
      <c r="AN250" s="510">
        <f t="shared" si="47"/>
        <v>0</v>
      </c>
      <c r="AQ250" s="367"/>
      <c r="AR250" s="367"/>
      <c r="AS250" s="367"/>
      <c r="AT250" s="367"/>
      <c r="AU250" s="367"/>
      <c r="AV250" s="367"/>
      <c r="AW250" s="367"/>
    </row>
    <row r="251" spans="1:49" ht="14.25" hidden="1" thickBot="1">
      <c r="A251" s="180"/>
      <c r="B251" s="318" t="s">
        <v>115</v>
      </c>
      <c r="C251" s="47">
        <v>0.375</v>
      </c>
      <c r="D251" s="47">
        <v>0.25</v>
      </c>
      <c r="E251" s="319">
        <v>8</v>
      </c>
      <c r="F251" s="320"/>
      <c r="G251" s="4"/>
      <c r="H251" s="47">
        <v>0.29166666666666669</v>
      </c>
      <c r="I251" s="47">
        <v>0.20833333333333334</v>
      </c>
      <c r="J251" s="319">
        <v>8</v>
      </c>
      <c r="K251" s="320">
        <v>1</v>
      </c>
      <c r="L251" s="4"/>
      <c r="M251" s="47">
        <v>0.35416666666666669</v>
      </c>
      <c r="N251" s="47">
        <v>0.20833333333333334</v>
      </c>
      <c r="O251" s="319">
        <v>7.5</v>
      </c>
      <c r="P251" s="320"/>
      <c r="R251" s="47">
        <v>0.34375</v>
      </c>
      <c r="S251" s="47">
        <v>0.20833333333333334</v>
      </c>
      <c r="T251" s="319">
        <v>7.75</v>
      </c>
      <c r="U251" s="320"/>
      <c r="W251" s="441">
        <v>0</v>
      </c>
      <c r="X251" s="441">
        <v>0</v>
      </c>
      <c r="Y251" s="319">
        <v>0</v>
      </c>
      <c r="Z251" s="320"/>
      <c r="AA251" s="328">
        <f t="shared" si="50"/>
        <v>31.25</v>
      </c>
      <c r="AB251" s="298">
        <f t="shared" ref="AB251:AB258" si="51">Z251+U251+P251+K251+F250</f>
        <v>1</v>
      </c>
      <c r="AC251" s="4"/>
      <c r="AD251" s="47" t="s">
        <v>29</v>
      </c>
      <c r="AE251" s="47" t="s">
        <v>29</v>
      </c>
      <c r="AF251" s="319">
        <v>0</v>
      </c>
      <c r="AG251" s="29">
        <f t="shared" si="49"/>
        <v>0</v>
      </c>
      <c r="AH251" s="175"/>
      <c r="AK251" s="188" t="s">
        <v>41</v>
      </c>
      <c r="AL251" s="196">
        <f>$C$283</f>
        <v>109</v>
      </c>
      <c r="AM251" s="512">
        <v>45</v>
      </c>
      <c r="AN251" s="512">
        <f t="shared" si="47"/>
        <v>4905</v>
      </c>
      <c r="AO251" s="369"/>
      <c r="AP251" s="369"/>
    </row>
    <row r="252" spans="1:49" ht="14.25" hidden="1" thickTop="1">
      <c r="A252" s="367"/>
      <c r="B252" s="318" t="s">
        <v>46</v>
      </c>
      <c r="C252" s="47">
        <v>0.375</v>
      </c>
      <c r="D252" s="47">
        <v>0.25</v>
      </c>
      <c r="E252" s="319">
        <v>8</v>
      </c>
      <c r="F252" s="320"/>
      <c r="G252" s="4"/>
      <c r="H252" s="47">
        <v>0.36458333333333331</v>
      </c>
      <c r="I252" s="47">
        <v>0.25</v>
      </c>
      <c r="J252" s="319">
        <v>8</v>
      </c>
      <c r="K252" s="320">
        <v>0.25</v>
      </c>
      <c r="L252" s="4"/>
      <c r="M252" s="443"/>
      <c r="N252" s="443"/>
      <c r="O252" s="319">
        <v>8</v>
      </c>
      <c r="P252" s="320"/>
      <c r="R252" s="47">
        <v>0.35416666666666669</v>
      </c>
      <c r="S252" s="47">
        <v>0.20833333333333334</v>
      </c>
      <c r="T252" s="319">
        <v>7.5</v>
      </c>
      <c r="U252" s="320"/>
      <c r="W252" s="443"/>
      <c r="X252" s="443"/>
      <c r="Y252" s="319">
        <v>8</v>
      </c>
      <c r="Z252" s="320"/>
      <c r="AA252" s="328">
        <f t="shared" si="50"/>
        <v>39.5</v>
      </c>
      <c r="AB252" s="298">
        <f t="shared" si="51"/>
        <v>0.25</v>
      </c>
      <c r="AC252" s="4"/>
      <c r="AD252" s="47" t="s">
        <v>29</v>
      </c>
      <c r="AE252" s="47" t="s">
        <v>29</v>
      </c>
      <c r="AF252" s="319">
        <v>0</v>
      </c>
      <c r="AG252" s="29">
        <f t="shared" si="49"/>
        <v>0</v>
      </c>
      <c r="AN252" s="510">
        <f>SUM(AN245:AN251)</f>
        <v>43537.75</v>
      </c>
    </row>
    <row r="253" spans="1:49" hidden="1">
      <c r="A253" s="180"/>
      <c r="B253" s="318" t="s">
        <v>43</v>
      </c>
      <c r="C253" s="47">
        <v>0.375</v>
      </c>
      <c r="D253" s="47">
        <v>0.25</v>
      </c>
      <c r="E253" s="319">
        <v>8</v>
      </c>
      <c r="F253" s="320"/>
      <c r="G253" s="4"/>
      <c r="H253" s="443"/>
      <c r="I253" s="443"/>
      <c r="J253" s="319">
        <v>8</v>
      </c>
      <c r="K253" s="320"/>
      <c r="L253" s="4"/>
      <c r="M253" s="47">
        <v>0.41666666666666669</v>
      </c>
      <c r="N253" s="47">
        <v>0.25</v>
      </c>
      <c r="O253" s="319">
        <v>7</v>
      </c>
      <c r="P253" s="320"/>
      <c r="R253" s="47">
        <v>0.375</v>
      </c>
      <c r="S253" s="47">
        <v>0.20833333333333334</v>
      </c>
      <c r="T253" s="319">
        <v>7</v>
      </c>
      <c r="U253" s="320"/>
      <c r="W253" s="443"/>
      <c r="X253" s="447"/>
      <c r="Y253" s="319">
        <v>8</v>
      </c>
      <c r="Z253" s="320"/>
      <c r="AA253" s="328">
        <f t="shared" si="50"/>
        <v>38</v>
      </c>
      <c r="AB253" s="298">
        <f t="shared" si="51"/>
        <v>0</v>
      </c>
      <c r="AC253" s="4"/>
      <c r="AD253" s="47" t="s">
        <v>29</v>
      </c>
      <c r="AE253" s="47" t="s">
        <v>29</v>
      </c>
      <c r="AF253" s="319">
        <v>0</v>
      </c>
      <c r="AG253" s="29">
        <f t="shared" si="49"/>
        <v>0</v>
      </c>
    </row>
    <row r="254" spans="1:49" hidden="1">
      <c r="A254" s="180"/>
      <c r="B254" s="318" t="s">
        <v>113</v>
      </c>
      <c r="C254" s="47">
        <v>0.375</v>
      </c>
      <c r="D254" s="47">
        <v>0.25</v>
      </c>
      <c r="E254" s="319">
        <v>8</v>
      </c>
      <c r="F254" s="320"/>
      <c r="G254" s="4"/>
      <c r="H254" s="47">
        <v>0.29166666666666669</v>
      </c>
      <c r="I254" s="47">
        <v>0.20833333333333334</v>
      </c>
      <c r="J254" s="319">
        <v>8</v>
      </c>
      <c r="K254" s="320">
        <v>1</v>
      </c>
      <c r="L254" s="4"/>
      <c r="M254" s="47">
        <v>0.375</v>
      </c>
      <c r="N254" s="47">
        <v>0.25</v>
      </c>
      <c r="O254" s="319">
        <v>8</v>
      </c>
      <c r="P254" s="320"/>
      <c r="R254" s="47">
        <v>0.375</v>
      </c>
      <c r="S254" s="47">
        <v>0.20833333333333334</v>
      </c>
      <c r="T254" s="319">
        <v>7</v>
      </c>
      <c r="U254" s="320"/>
      <c r="W254" s="441">
        <v>0</v>
      </c>
      <c r="X254" s="441">
        <v>0</v>
      </c>
      <c r="Y254" s="319">
        <v>0</v>
      </c>
      <c r="Z254" s="320"/>
      <c r="AA254" s="328">
        <f t="shared" si="50"/>
        <v>31</v>
      </c>
      <c r="AB254" s="298">
        <f t="shared" si="51"/>
        <v>1</v>
      </c>
      <c r="AC254" s="4"/>
      <c r="AD254" s="47" t="s">
        <v>29</v>
      </c>
      <c r="AE254" s="47" t="s">
        <v>29</v>
      </c>
      <c r="AF254" s="319">
        <v>0</v>
      </c>
      <c r="AG254" s="29">
        <f t="shared" si="49"/>
        <v>0</v>
      </c>
    </row>
    <row r="255" spans="1:49" hidden="1">
      <c r="A255" s="180"/>
      <c r="B255" s="318" t="s">
        <v>108</v>
      </c>
      <c r="C255" s="47">
        <v>0.375</v>
      </c>
      <c r="D255" s="47">
        <v>0.25</v>
      </c>
      <c r="E255" s="319">
        <v>8</v>
      </c>
      <c r="F255" s="320"/>
      <c r="G255" s="4"/>
      <c r="H255" s="47">
        <v>0.375</v>
      </c>
      <c r="I255" s="47">
        <v>0.20833333333333334</v>
      </c>
      <c r="J255" s="319">
        <v>7</v>
      </c>
      <c r="K255" s="320"/>
      <c r="L255" s="4"/>
      <c r="M255" s="47">
        <v>0.375</v>
      </c>
      <c r="N255" s="47">
        <v>0.25</v>
      </c>
      <c r="O255" s="319">
        <v>8</v>
      </c>
      <c r="P255" s="320"/>
      <c r="R255" s="47">
        <v>0.36458333333333331</v>
      </c>
      <c r="S255" s="47">
        <v>0.20833333333333334</v>
      </c>
      <c r="T255" s="319">
        <v>7.25</v>
      </c>
      <c r="U255" s="320"/>
      <c r="W255" s="47">
        <v>0.33333333333333331</v>
      </c>
      <c r="X255" s="47">
        <v>0.20833333333333334</v>
      </c>
      <c r="Y255" s="319">
        <v>8</v>
      </c>
      <c r="Z255" s="320"/>
      <c r="AA255" s="328">
        <f t="shared" si="50"/>
        <v>38.25</v>
      </c>
      <c r="AB255" s="298">
        <f t="shared" si="51"/>
        <v>0</v>
      </c>
      <c r="AC255" s="4"/>
      <c r="AD255" s="47" t="s">
        <v>29</v>
      </c>
      <c r="AE255" s="47" t="s">
        <v>29</v>
      </c>
      <c r="AF255" s="319">
        <v>0</v>
      </c>
      <c r="AG255" s="29">
        <f t="shared" si="49"/>
        <v>0</v>
      </c>
    </row>
    <row r="256" spans="1:49" hidden="1">
      <c r="A256" s="180"/>
      <c r="B256" s="318" t="s">
        <v>112</v>
      </c>
      <c r="C256" s="47">
        <v>0.375</v>
      </c>
      <c r="D256" s="47">
        <v>0.25</v>
      </c>
      <c r="E256" s="319">
        <v>8</v>
      </c>
      <c r="F256" s="320"/>
      <c r="G256" s="4"/>
      <c r="H256" s="47">
        <v>0.375</v>
      </c>
      <c r="I256" s="47">
        <v>0.20833333333333334</v>
      </c>
      <c r="J256" s="319">
        <v>7</v>
      </c>
      <c r="K256" s="320"/>
      <c r="L256" s="4"/>
      <c r="M256" s="47">
        <v>0.375</v>
      </c>
      <c r="N256" s="47">
        <v>0.25</v>
      </c>
      <c r="O256" s="319">
        <v>8</v>
      </c>
      <c r="P256" s="320"/>
      <c r="R256" s="47">
        <v>0.375</v>
      </c>
      <c r="S256" s="47">
        <v>0.20833333333333334</v>
      </c>
      <c r="T256" s="319">
        <v>7</v>
      </c>
      <c r="U256" s="320"/>
      <c r="W256" s="47">
        <v>0.375</v>
      </c>
      <c r="X256" s="47">
        <v>0.20833333333333334</v>
      </c>
      <c r="Y256" s="319">
        <v>7</v>
      </c>
      <c r="Z256" s="320"/>
      <c r="AA256" s="328">
        <f t="shared" si="50"/>
        <v>37</v>
      </c>
      <c r="AB256" s="298">
        <f t="shared" si="51"/>
        <v>0</v>
      </c>
      <c r="AC256" s="4"/>
      <c r="AD256" s="47" t="s">
        <v>29</v>
      </c>
      <c r="AE256" s="47" t="s">
        <v>29</v>
      </c>
      <c r="AF256" s="319">
        <v>0</v>
      </c>
      <c r="AG256" s="29">
        <f t="shared" si="49"/>
        <v>0</v>
      </c>
    </row>
    <row r="257" spans="1:33" hidden="1">
      <c r="A257" s="180"/>
      <c r="B257" s="318" t="s">
        <v>52</v>
      </c>
      <c r="C257" s="47">
        <v>0.375</v>
      </c>
      <c r="D257" s="47">
        <v>0.25</v>
      </c>
      <c r="E257" s="319">
        <v>8</v>
      </c>
      <c r="F257" s="320"/>
      <c r="G257" s="4"/>
      <c r="H257" s="47">
        <v>0.375</v>
      </c>
      <c r="I257" s="47">
        <v>0.25</v>
      </c>
      <c r="J257" s="319">
        <v>8</v>
      </c>
      <c r="K257" s="320"/>
      <c r="L257" s="4"/>
      <c r="M257" s="47">
        <v>0.375</v>
      </c>
      <c r="N257" s="47">
        <v>0.25</v>
      </c>
      <c r="O257" s="319">
        <v>8</v>
      </c>
      <c r="P257" s="320"/>
      <c r="R257" s="443"/>
      <c r="S257" s="443"/>
      <c r="T257" s="319">
        <v>8</v>
      </c>
      <c r="U257" s="320"/>
      <c r="W257" s="47">
        <v>0.33333333333333331</v>
      </c>
      <c r="X257" s="47">
        <v>0.20833333333333334</v>
      </c>
      <c r="Y257" s="319">
        <v>8</v>
      </c>
      <c r="Z257" s="320"/>
      <c r="AA257" s="328">
        <f t="shared" si="50"/>
        <v>40</v>
      </c>
      <c r="AB257" s="298">
        <f t="shared" si="51"/>
        <v>0</v>
      </c>
      <c r="AC257" s="4"/>
      <c r="AD257" s="47" t="s">
        <v>29</v>
      </c>
      <c r="AE257" s="47" t="s">
        <v>29</v>
      </c>
      <c r="AF257" s="319">
        <v>0</v>
      </c>
      <c r="AG257" s="29">
        <f t="shared" si="49"/>
        <v>0</v>
      </c>
    </row>
    <row r="258" spans="1:33" hidden="1">
      <c r="A258" s="180"/>
      <c r="B258" s="318" t="s">
        <v>42</v>
      </c>
      <c r="C258" s="47">
        <v>0.375</v>
      </c>
      <c r="D258" s="47">
        <v>0.25</v>
      </c>
      <c r="E258" s="319">
        <v>8</v>
      </c>
      <c r="F258" s="320"/>
      <c r="G258" s="4"/>
      <c r="H258" s="47">
        <v>0.34375</v>
      </c>
      <c r="I258" s="47">
        <v>0.25</v>
      </c>
      <c r="J258" s="319">
        <v>8</v>
      </c>
      <c r="K258" s="320">
        <v>0.75</v>
      </c>
      <c r="L258" s="4"/>
      <c r="M258" s="47">
        <v>0.33333333333333331</v>
      </c>
      <c r="N258" s="47">
        <v>0.20833333333333334</v>
      </c>
      <c r="O258" s="319">
        <v>8</v>
      </c>
      <c r="P258" s="320"/>
      <c r="R258" s="47">
        <v>0.34375</v>
      </c>
      <c r="S258" s="47">
        <v>0.20833333333333334</v>
      </c>
      <c r="T258" s="319">
        <v>7.75</v>
      </c>
      <c r="U258" s="320"/>
      <c r="W258" s="47">
        <v>0.33333333333333331</v>
      </c>
      <c r="X258" s="47">
        <v>0.20833333333333334</v>
      </c>
      <c r="Y258" s="319">
        <v>8</v>
      </c>
      <c r="Z258" s="320"/>
      <c r="AA258" s="328">
        <f t="shared" si="50"/>
        <v>39.75</v>
      </c>
      <c r="AB258" s="298">
        <f t="shared" si="51"/>
        <v>0.75</v>
      </c>
      <c r="AC258" s="4"/>
      <c r="AD258" s="47" t="s">
        <v>29</v>
      </c>
      <c r="AE258" s="47" t="s">
        <v>29</v>
      </c>
      <c r="AF258" s="319">
        <v>0</v>
      </c>
      <c r="AG258" s="29">
        <f t="shared" si="49"/>
        <v>0</v>
      </c>
    </row>
    <row r="259" spans="1:33" hidden="1">
      <c r="A259" s="180"/>
      <c r="B259" s="437" t="s">
        <v>93</v>
      </c>
      <c r="C259" s="47">
        <v>0.33333333333333331</v>
      </c>
      <c r="D259" s="47">
        <v>0.20833333333333334</v>
      </c>
      <c r="E259" s="319">
        <v>8</v>
      </c>
      <c r="F259" s="320"/>
      <c r="G259" s="4"/>
      <c r="H259" s="441">
        <v>0</v>
      </c>
      <c r="I259" s="441">
        <v>0</v>
      </c>
      <c r="J259" s="319">
        <v>0</v>
      </c>
      <c r="K259" s="320"/>
      <c r="L259" s="4"/>
      <c r="M259" s="441">
        <v>0</v>
      </c>
      <c r="N259" s="441">
        <v>0</v>
      </c>
      <c r="O259" s="319">
        <v>0</v>
      </c>
      <c r="P259" s="320"/>
      <c r="R259" s="47">
        <v>0.3125</v>
      </c>
      <c r="S259" s="47">
        <v>0.20833333333333334</v>
      </c>
      <c r="T259" s="319">
        <v>8</v>
      </c>
      <c r="U259" s="320">
        <v>0.5</v>
      </c>
      <c r="W259" s="47">
        <v>0.33333333333333331</v>
      </c>
      <c r="X259" s="47">
        <v>0.20833333333333334</v>
      </c>
      <c r="Y259" s="319">
        <v>8</v>
      </c>
      <c r="Z259" s="320"/>
      <c r="AA259" s="328">
        <f t="shared" si="50"/>
        <v>24</v>
      </c>
      <c r="AB259" s="298">
        <f t="shared" ref="AB259:AB278" si="52">Z259+U259+P259+K259+F259</f>
        <v>0.5</v>
      </c>
      <c r="AC259" s="4"/>
      <c r="AD259" s="47" t="s">
        <v>29</v>
      </c>
      <c r="AE259" s="47" t="s">
        <v>29</v>
      </c>
      <c r="AF259" s="319">
        <v>0</v>
      </c>
      <c r="AG259" s="29">
        <f t="shared" si="49"/>
        <v>0</v>
      </c>
    </row>
    <row r="260" spans="1:33" hidden="1">
      <c r="A260" s="180"/>
      <c r="B260" s="437" t="s">
        <v>232</v>
      </c>
      <c r="C260" s="443"/>
      <c r="D260" s="443"/>
      <c r="E260" s="444"/>
      <c r="F260" s="320"/>
      <c r="G260" s="4"/>
      <c r="H260" s="47">
        <v>0.35416666666666669</v>
      </c>
      <c r="I260" s="47">
        <v>0.20833333333333334</v>
      </c>
      <c r="J260" s="319">
        <v>7.5</v>
      </c>
      <c r="K260" s="320"/>
      <c r="L260" s="4"/>
      <c r="M260" s="47">
        <v>0.375</v>
      </c>
      <c r="N260" s="47">
        <v>0.20833333333333334</v>
      </c>
      <c r="O260" s="319">
        <v>7</v>
      </c>
      <c r="P260" s="320"/>
      <c r="R260" s="441">
        <v>0</v>
      </c>
      <c r="S260" s="441">
        <v>0</v>
      </c>
      <c r="T260" s="319">
        <v>0</v>
      </c>
      <c r="U260" s="320"/>
      <c r="W260" s="47">
        <v>0.36458333333333331</v>
      </c>
      <c r="X260" s="47">
        <v>0.20833333333333334</v>
      </c>
      <c r="Y260" s="319">
        <v>7.25</v>
      </c>
      <c r="Z260" s="320"/>
      <c r="AA260" s="328">
        <f t="shared" si="50"/>
        <v>21.75</v>
      </c>
      <c r="AB260" s="298">
        <f t="shared" si="52"/>
        <v>0</v>
      </c>
      <c r="AC260" s="4"/>
      <c r="AD260" s="47" t="s">
        <v>29</v>
      </c>
      <c r="AE260" s="47" t="s">
        <v>29</v>
      </c>
      <c r="AF260" s="319">
        <v>0</v>
      </c>
      <c r="AG260" s="29">
        <f t="shared" si="49"/>
        <v>0</v>
      </c>
    </row>
    <row r="261" spans="1:33" hidden="1">
      <c r="A261" s="180"/>
      <c r="B261" s="437" t="s">
        <v>233</v>
      </c>
      <c r="C261" s="47">
        <v>0.33333333333333331</v>
      </c>
      <c r="D261" s="47">
        <v>0.20833333333333334</v>
      </c>
      <c r="E261" s="319">
        <v>8</v>
      </c>
      <c r="F261" s="320"/>
      <c r="G261" s="4"/>
      <c r="H261" s="47">
        <v>0.33333333333333331</v>
      </c>
      <c r="I261" s="47">
        <v>0.20833333333333334</v>
      </c>
      <c r="J261" s="319">
        <v>8</v>
      </c>
      <c r="K261" s="320"/>
      <c r="L261" s="4"/>
      <c r="M261" s="47">
        <v>0.33333333333333331</v>
      </c>
      <c r="N261" s="47">
        <v>0.20833333333333334</v>
      </c>
      <c r="O261" s="319">
        <v>8</v>
      </c>
      <c r="P261" s="320"/>
      <c r="R261" s="47">
        <v>0.33333333333333331</v>
      </c>
      <c r="S261" s="47">
        <v>0.20833333333333334</v>
      </c>
      <c r="T261" s="319">
        <v>8</v>
      </c>
      <c r="U261" s="320"/>
      <c r="W261" s="441">
        <v>0</v>
      </c>
      <c r="X261" s="441">
        <v>0</v>
      </c>
      <c r="Y261" s="319">
        <v>0</v>
      </c>
      <c r="Z261" s="320"/>
      <c r="AA261" s="328">
        <f t="shared" si="50"/>
        <v>32</v>
      </c>
      <c r="AB261" s="298">
        <f t="shared" si="52"/>
        <v>0</v>
      </c>
      <c r="AC261" s="4"/>
      <c r="AD261" s="47" t="s">
        <v>29</v>
      </c>
      <c r="AE261" s="47" t="s">
        <v>29</v>
      </c>
      <c r="AF261" s="319">
        <v>0</v>
      </c>
      <c r="AG261" s="29">
        <f t="shared" si="49"/>
        <v>0</v>
      </c>
    </row>
    <row r="262" spans="1:33" hidden="1">
      <c r="A262" s="180"/>
      <c r="B262" s="437" t="s">
        <v>234</v>
      </c>
      <c r="C262" s="47">
        <v>0.38541666666666669</v>
      </c>
      <c r="D262" s="47">
        <v>0.20833333333333334</v>
      </c>
      <c r="E262" s="319">
        <v>6.75</v>
      </c>
      <c r="F262" s="320"/>
      <c r="G262" s="4"/>
      <c r="H262" s="47">
        <v>0.33333333333333331</v>
      </c>
      <c r="I262" s="47">
        <v>0.20833333333333334</v>
      </c>
      <c r="J262" s="319">
        <v>8</v>
      </c>
      <c r="K262" s="320"/>
      <c r="L262" s="4"/>
      <c r="M262" s="47">
        <v>0.35416666666666669</v>
      </c>
      <c r="N262" s="47">
        <v>0.20833333333333334</v>
      </c>
      <c r="O262" s="319">
        <v>7.5</v>
      </c>
      <c r="P262" s="320"/>
      <c r="R262" s="47">
        <v>0.34375</v>
      </c>
      <c r="S262" s="47">
        <v>0.20833333333333334</v>
      </c>
      <c r="T262" s="319">
        <v>7.75</v>
      </c>
      <c r="U262" s="320"/>
      <c r="W262" s="47">
        <v>0.34375</v>
      </c>
      <c r="X262" s="47">
        <v>0.20833333333333334</v>
      </c>
      <c r="Y262" s="319">
        <v>7.75</v>
      </c>
      <c r="Z262" s="320"/>
      <c r="AA262" s="328">
        <f t="shared" si="50"/>
        <v>37.75</v>
      </c>
      <c r="AB262" s="298">
        <f t="shared" si="52"/>
        <v>0</v>
      </c>
      <c r="AC262" s="4"/>
      <c r="AD262" s="47" t="s">
        <v>29</v>
      </c>
      <c r="AE262" s="47" t="s">
        <v>29</v>
      </c>
      <c r="AF262" s="319">
        <v>0</v>
      </c>
      <c r="AG262" s="29">
        <f t="shared" si="49"/>
        <v>0</v>
      </c>
    </row>
    <row r="263" spans="1:33" hidden="1">
      <c r="A263" s="180"/>
      <c r="B263" s="437" t="s">
        <v>35</v>
      </c>
      <c r="C263" s="47">
        <v>0.41666666666666669</v>
      </c>
      <c r="D263" s="47">
        <v>0.20833333333333334</v>
      </c>
      <c r="E263" s="319">
        <v>6</v>
      </c>
      <c r="F263" s="320"/>
      <c r="G263" s="4"/>
      <c r="H263" s="47">
        <v>0.39583333333333331</v>
      </c>
      <c r="I263" s="47">
        <v>0.20833333333333334</v>
      </c>
      <c r="J263" s="319">
        <v>6.5</v>
      </c>
      <c r="K263" s="320"/>
      <c r="L263" s="4"/>
      <c r="M263" s="443"/>
      <c r="N263" s="443"/>
      <c r="O263" s="319">
        <v>8</v>
      </c>
      <c r="P263" s="320"/>
      <c r="R263" s="443"/>
      <c r="S263" s="443"/>
      <c r="T263" s="319">
        <v>8</v>
      </c>
      <c r="U263" s="320"/>
      <c r="W263" s="443"/>
      <c r="X263" s="443"/>
      <c r="Y263" s="319">
        <v>8</v>
      </c>
      <c r="Z263" s="320"/>
      <c r="AA263" s="328">
        <f t="shared" si="50"/>
        <v>36.5</v>
      </c>
      <c r="AB263" s="298">
        <f t="shared" si="52"/>
        <v>0</v>
      </c>
      <c r="AC263" s="4"/>
      <c r="AD263" s="47" t="s">
        <v>29</v>
      </c>
      <c r="AE263" s="47" t="s">
        <v>29</v>
      </c>
      <c r="AF263" s="319">
        <v>0</v>
      </c>
      <c r="AG263" s="29">
        <f t="shared" si="49"/>
        <v>0</v>
      </c>
    </row>
    <row r="264" spans="1:33" hidden="1">
      <c r="A264" s="180"/>
      <c r="B264" s="437" t="s">
        <v>50</v>
      </c>
      <c r="C264" s="441">
        <v>0</v>
      </c>
      <c r="D264" s="441">
        <v>0</v>
      </c>
      <c r="E264" s="319">
        <v>0</v>
      </c>
      <c r="F264" s="320"/>
      <c r="G264" s="4"/>
      <c r="H264" s="441">
        <v>0</v>
      </c>
      <c r="I264" s="441">
        <v>0</v>
      </c>
      <c r="J264" s="319">
        <v>0</v>
      </c>
      <c r="K264" s="320"/>
      <c r="L264" s="4"/>
      <c r="M264" s="441">
        <v>0</v>
      </c>
      <c r="N264" s="441">
        <v>0</v>
      </c>
      <c r="O264" s="319">
        <v>0</v>
      </c>
      <c r="P264" s="320"/>
      <c r="R264" s="441">
        <v>0</v>
      </c>
      <c r="S264" s="441">
        <v>0</v>
      </c>
      <c r="T264" s="319">
        <v>0</v>
      </c>
      <c r="U264" s="320"/>
      <c r="W264" s="441">
        <v>0</v>
      </c>
      <c r="X264" s="441">
        <v>0</v>
      </c>
      <c r="Y264" s="319">
        <v>0</v>
      </c>
      <c r="Z264" s="320"/>
      <c r="AA264" s="328">
        <f t="shared" si="50"/>
        <v>0</v>
      </c>
      <c r="AB264" s="298">
        <f t="shared" si="52"/>
        <v>0</v>
      </c>
      <c r="AC264" s="4"/>
      <c r="AD264" s="47" t="s">
        <v>29</v>
      </c>
      <c r="AE264" s="47" t="s">
        <v>29</v>
      </c>
      <c r="AF264" s="319">
        <v>0</v>
      </c>
      <c r="AG264" s="29">
        <f t="shared" si="49"/>
        <v>0</v>
      </c>
    </row>
    <row r="265" spans="1:33" hidden="1">
      <c r="A265" s="180"/>
      <c r="B265" s="437" t="s">
        <v>44</v>
      </c>
      <c r="C265" s="47">
        <v>0.39583333333333331</v>
      </c>
      <c r="D265" s="47">
        <v>0.20833333333333334</v>
      </c>
      <c r="E265" s="319">
        <v>6.5</v>
      </c>
      <c r="F265" s="320"/>
      <c r="G265" s="4"/>
      <c r="H265" s="441">
        <v>0</v>
      </c>
      <c r="I265" s="441">
        <v>0</v>
      </c>
      <c r="J265" s="319">
        <v>0</v>
      </c>
      <c r="K265" s="320"/>
      <c r="L265" s="4"/>
      <c r="M265" s="47">
        <v>0.38541666666666669</v>
      </c>
      <c r="N265" s="47">
        <v>0.20833333333333334</v>
      </c>
      <c r="O265" s="319">
        <v>6.75</v>
      </c>
      <c r="P265" s="320"/>
      <c r="R265" s="47">
        <v>0.375</v>
      </c>
      <c r="S265" s="47">
        <v>0.16666666666666666</v>
      </c>
      <c r="T265" s="319">
        <v>6</v>
      </c>
      <c r="U265" s="320"/>
      <c r="W265" s="47">
        <v>0.39583333333333331</v>
      </c>
      <c r="X265" s="47">
        <v>0.20833333333333334</v>
      </c>
      <c r="Y265" s="319">
        <v>6.5</v>
      </c>
      <c r="Z265" s="320"/>
      <c r="AA265" s="328">
        <f t="shared" si="50"/>
        <v>25.75</v>
      </c>
      <c r="AB265" s="298">
        <f t="shared" si="52"/>
        <v>0</v>
      </c>
      <c r="AC265" s="4"/>
      <c r="AD265" s="47" t="s">
        <v>29</v>
      </c>
      <c r="AE265" s="47" t="s">
        <v>29</v>
      </c>
      <c r="AF265" s="319">
        <v>0</v>
      </c>
      <c r="AG265" s="29">
        <f t="shared" si="49"/>
        <v>0</v>
      </c>
    </row>
    <row r="266" spans="1:33" hidden="1">
      <c r="A266" s="180"/>
      <c r="B266" s="437" t="s">
        <v>45</v>
      </c>
      <c r="C266" s="441">
        <v>0</v>
      </c>
      <c r="D266" s="441">
        <v>0</v>
      </c>
      <c r="E266" s="319">
        <v>0</v>
      </c>
      <c r="F266" s="320"/>
      <c r="G266" s="4"/>
      <c r="H266" s="441">
        <v>0</v>
      </c>
      <c r="I266" s="441">
        <v>0</v>
      </c>
      <c r="J266" s="319">
        <v>0</v>
      </c>
      <c r="K266" s="320"/>
      <c r="L266" s="4"/>
      <c r="M266" s="441">
        <v>0</v>
      </c>
      <c r="N266" s="441">
        <v>0</v>
      </c>
      <c r="O266" s="319">
        <v>0</v>
      </c>
      <c r="P266" s="320"/>
      <c r="R266" s="441">
        <v>0</v>
      </c>
      <c r="S266" s="441">
        <v>0</v>
      </c>
      <c r="T266" s="319">
        <v>0</v>
      </c>
      <c r="U266" s="320"/>
      <c r="W266" s="441">
        <v>0</v>
      </c>
      <c r="X266" s="441">
        <v>0</v>
      </c>
      <c r="Y266" s="319">
        <v>0</v>
      </c>
      <c r="Z266" s="320"/>
      <c r="AA266" s="328">
        <f t="shared" si="50"/>
        <v>0</v>
      </c>
      <c r="AB266" s="298">
        <f t="shared" si="52"/>
        <v>0</v>
      </c>
      <c r="AC266" s="4"/>
      <c r="AD266" s="47" t="s">
        <v>29</v>
      </c>
      <c r="AE266" s="47" t="s">
        <v>29</v>
      </c>
      <c r="AF266" s="319">
        <v>0</v>
      </c>
      <c r="AG266" s="29">
        <f t="shared" si="49"/>
        <v>0</v>
      </c>
    </row>
    <row r="267" spans="1:33" hidden="1">
      <c r="A267" s="180"/>
      <c r="B267" s="437" t="s">
        <v>235</v>
      </c>
      <c r="C267" s="47">
        <v>0.38541666666666669</v>
      </c>
      <c r="D267" s="47">
        <v>0.20833333333333334</v>
      </c>
      <c r="E267" s="319">
        <v>6.75</v>
      </c>
      <c r="F267" s="320"/>
      <c r="G267" s="4"/>
      <c r="H267" s="441">
        <v>0</v>
      </c>
      <c r="I267" s="441">
        <v>0</v>
      </c>
      <c r="J267" s="319">
        <v>0</v>
      </c>
      <c r="K267" s="320"/>
      <c r="L267" s="4"/>
      <c r="M267" s="47">
        <v>0.38541666666666669</v>
      </c>
      <c r="N267" s="47">
        <v>0.20833333333333334</v>
      </c>
      <c r="O267" s="319">
        <v>6.75</v>
      </c>
      <c r="P267" s="320"/>
      <c r="R267" s="47">
        <v>0.38541666666666669</v>
      </c>
      <c r="S267" s="47">
        <v>0.20833333333333334</v>
      </c>
      <c r="T267" s="319">
        <v>6.75</v>
      </c>
      <c r="U267" s="320"/>
      <c r="W267" s="441">
        <v>0</v>
      </c>
      <c r="X267" s="441">
        <v>0</v>
      </c>
      <c r="Y267" s="319">
        <v>0</v>
      </c>
      <c r="Z267" s="320"/>
      <c r="AA267" s="328">
        <f t="shared" si="50"/>
        <v>20.25</v>
      </c>
      <c r="AB267" s="298">
        <f t="shared" si="52"/>
        <v>0</v>
      </c>
      <c r="AC267" s="4"/>
      <c r="AD267" s="47" t="s">
        <v>29</v>
      </c>
      <c r="AE267" s="47" t="s">
        <v>29</v>
      </c>
      <c r="AF267" s="319">
        <v>0</v>
      </c>
      <c r="AG267" s="29">
        <f t="shared" si="49"/>
        <v>0</v>
      </c>
    </row>
    <row r="268" spans="1:33" hidden="1">
      <c r="A268" s="180"/>
      <c r="B268" s="437" t="s">
        <v>96</v>
      </c>
      <c r="C268" s="47">
        <v>0.33333333333333331</v>
      </c>
      <c r="D268" s="47">
        <v>0.20833333333333334</v>
      </c>
      <c r="E268" s="319">
        <v>8</v>
      </c>
      <c r="F268" s="320"/>
      <c r="G268" s="4"/>
      <c r="H268" s="47">
        <v>0.33333333333333331</v>
      </c>
      <c r="I268" s="47">
        <v>0.20833333333333334</v>
      </c>
      <c r="J268" s="319">
        <v>8</v>
      </c>
      <c r="K268" s="320"/>
      <c r="L268" s="4"/>
      <c r="M268" s="47">
        <v>0.33333333333333331</v>
      </c>
      <c r="N268" s="47">
        <v>0.20833333333333334</v>
      </c>
      <c r="O268" s="319">
        <v>8</v>
      </c>
      <c r="P268" s="320"/>
      <c r="R268" s="47">
        <v>0.32291666666666669</v>
      </c>
      <c r="S268" s="47">
        <v>0.20833333333333334</v>
      </c>
      <c r="T268" s="319">
        <v>8</v>
      </c>
      <c r="U268" s="320">
        <v>0.25</v>
      </c>
      <c r="W268" s="47">
        <v>0.33333333333333331</v>
      </c>
      <c r="X268" s="47">
        <v>0.20833333333333334</v>
      </c>
      <c r="Y268" s="319">
        <v>8</v>
      </c>
      <c r="Z268" s="320"/>
      <c r="AA268" s="328">
        <f t="shared" si="50"/>
        <v>40</v>
      </c>
      <c r="AB268" s="298">
        <f t="shared" si="52"/>
        <v>0.25</v>
      </c>
      <c r="AC268" s="4"/>
      <c r="AD268" s="47" t="s">
        <v>29</v>
      </c>
      <c r="AE268" s="47" t="s">
        <v>29</v>
      </c>
      <c r="AF268" s="319">
        <v>0</v>
      </c>
      <c r="AG268" s="29">
        <f t="shared" si="49"/>
        <v>0</v>
      </c>
    </row>
    <row r="269" spans="1:33" hidden="1">
      <c r="A269" s="180"/>
      <c r="B269" s="418" t="s">
        <v>241</v>
      </c>
      <c r="C269" s="47">
        <v>0.33333333333333331</v>
      </c>
      <c r="D269" s="47">
        <v>0.20833333333333334</v>
      </c>
      <c r="E269" s="319">
        <v>8</v>
      </c>
      <c r="F269" s="320"/>
      <c r="G269" s="4"/>
      <c r="H269" s="441">
        <v>0</v>
      </c>
      <c r="I269" s="441">
        <v>0</v>
      </c>
      <c r="J269" s="319">
        <v>0</v>
      </c>
      <c r="K269" s="320"/>
      <c r="L269" s="4"/>
      <c r="M269" s="47">
        <v>0.34375</v>
      </c>
      <c r="N269" s="47">
        <v>0.20833333333333334</v>
      </c>
      <c r="O269" s="319">
        <v>7.75</v>
      </c>
      <c r="P269" s="320"/>
      <c r="R269" s="47">
        <v>0.3125</v>
      </c>
      <c r="S269" s="47">
        <v>0.20833333333333334</v>
      </c>
      <c r="T269" s="319">
        <v>8</v>
      </c>
      <c r="U269" s="320">
        <v>0.5</v>
      </c>
      <c r="W269" s="47">
        <v>0.33333333333333331</v>
      </c>
      <c r="X269" s="47">
        <v>0.20833333333333334</v>
      </c>
      <c r="Y269" s="319">
        <v>8</v>
      </c>
      <c r="Z269" s="320"/>
      <c r="AA269" s="328">
        <f t="shared" si="50"/>
        <v>31.75</v>
      </c>
      <c r="AB269" s="298">
        <f t="shared" si="52"/>
        <v>0.5</v>
      </c>
      <c r="AC269" s="4"/>
      <c r="AD269" s="47" t="s">
        <v>29</v>
      </c>
      <c r="AE269" s="47" t="s">
        <v>29</v>
      </c>
      <c r="AF269" s="319">
        <v>0</v>
      </c>
      <c r="AG269" s="29">
        <f t="shared" si="49"/>
        <v>0</v>
      </c>
    </row>
    <row r="270" spans="1:33" hidden="1">
      <c r="A270" s="180"/>
      <c r="B270" s="440" t="s">
        <v>54</v>
      </c>
      <c r="C270" s="47" t="s">
        <v>29</v>
      </c>
      <c r="D270" s="47" t="s">
        <v>29</v>
      </c>
      <c r="E270" s="319">
        <v>0</v>
      </c>
      <c r="F270" s="320"/>
      <c r="G270" s="4"/>
      <c r="H270" s="47" t="s">
        <v>29</v>
      </c>
      <c r="I270" s="47" t="s">
        <v>29</v>
      </c>
      <c r="J270" s="319">
        <v>0</v>
      </c>
      <c r="K270" s="320"/>
      <c r="L270" s="4"/>
      <c r="M270" s="47" t="s">
        <v>29</v>
      </c>
      <c r="N270" s="47" t="s">
        <v>29</v>
      </c>
      <c r="O270" s="319">
        <v>0</v>
      </c>
      <c r="P270" s="320"/>
      <c r="R270" s="47" t="s">
        <v>29</v>
      </c>
      <c r="S270" s="47" t="s">
        <v>29</v>
      </c>
      <c r="T270" s="319">
        <v>0</v>
      </c>
      <c r="U270" s="320"/>
      <c r="W270" s="47" t="s">
        <v>29</v>
      </c>
      <c r="X270" s="47" t="s">
        <v>29</v>
      </c>
      <c r="Y270" s="319">
        <v>0</v>
      </c>
      <c r="Z270" s="320"/>
      <c r="AA270" s="328">
        <f t="shared" si="50"/>
        <v>0</v>
      </c>
      <c r="AB270" s="298">
        <f t="shared" si="52"/>
        <v>0</v>
      </c>
      <c r="AC270" s="4"/>
      <c r="AD270" s="47" t="s">
        <v>29</v>
      </c>
      <c r="AE270" s="47" t="s">
        <v>29</v>
      </c>
      <c r="AF270" s="319">
        <v>0</v>
      </c>
      <c r="AG270" s="29">
        <f t="shared" si="49"/>
        <v>0</v>
      </c>
    </row>
    <row r="271" spans="1:33" hidden="1">
      <c r="A271" s="180"/>
      <c r="B271" s="440" t="s">
        <v>55</v>
      </c>
      <c r="C271" s="47" t="s">
        <v>29</v>
      </c>
      <c r="D271" s="47" t="s">
        <v>29</v>
      </c>
      <c r="E271" s="319">
        <v>0</v>
      </c>
      <c r="F271" s="320"/>
      <c r="G271" s="4"/>
      <c r="H271" s="47" t="s">
        <v>29</v>
      </c>
      <c r="I271" s="47" t="s">
        <v>29</v>
      </c>
      <c r="J271" s="319">
        <v>0</v>
      </c>
      <c r="K271" s="320"/>
      <c r="L271" s="4"/>
      <c r="M271" s="47" t="s">
        <v>29</v>
      </c>
      <c r="N271" s="47" t="s">
        <v>29</v>
      </c>
      <c r="O271" s="319">
        <v>0</v>
      </c>
      <c r="P271" s="320"/>
      <c r="R271" s="47" t="s">
        <v>29</v>
      </c>
      <c r="S271" s="47" t="s">
        <v>29</v>
      </c>
      <c r="T271" s="319">
        <v>0</v>
      </c>
      <c r="U271" s="320"/>
      <c r="W271" s="47" t="s">
        <v>29</v>
      </c>
      <c r="X271" s="47" t="s">
        <v>29</v>
      </c>
      <c r="Y271" s="319">
        <v>0</v>
      </c>
      <c r="Z271" s="320"/>
      <c r="AA271" s="328">
        <f t="shared" si="50"/>
        <v>0</v>
      </c>
      <c r="AB271" s="298">
        <f t="shared" si="52"/>
        <v>0</v>
      </c>
      <c r="AC271" s="4"/>
      <c r="AD271" s="47" t="s">
        <v>29</v>
      </c>
      <c r="AE271" s="47" t="s">
        <v>29</v>
      </c>
      <c r="AF271" s="319">
        <v>0</v>
      </c>
      <c r="AG271" s="29">
        <f t="shared" si="49"/>
        <v>0</v>
      </c>
    </row>
    <row r="272" spans="1:33" hidden="1">
      <c r="A272" s="180"/>
      <c r="B272" s="166" t="s">
        <v>48</v>
      </c>
      <c r="C272" s="16" t="s">
        <v>29</v>
      </c>
      <c r="D272" s="16" t="s">
        <v>29</v>
      </c>
      <c r="E272" s="319">
        <v>8</v>
      </c>
      <c r="F272" s="320"/>
      <c r="G272" s="4"/>
      <c r="H272" s="16" t="s">
        <v>29</v>
      </c>
      <c r="I272" s="16" t="s">
        <v>29</v>
      </c>
      <c r="J272" s="319">
        <v>8</v>
      </c>
      <c r="K272" s="320"/>
      <c r="L272" s="4"/>
      <c r="M272" s="16" t="s">
        <v>29</v>
      </c>
      <c r="N272" s="16" t="s">
        <v>29</v>
      </c>
      <c r="O272" s="319">
        <v>8</v>
      </c>
      <c r="P272" s="320"/>
      <c r="R272" s="16" t="s">
        <v>29</v>
      </c>
      <c r="S272" s="16" t="s">
        <v>29</v>
      </c>
      <c r="T272" s="319">
        <v>8</v>
      </c>
      <c r="U272" s="320"/>
      <c r="W272" s="16" t="s">
        <v>29</v>
      </c>
      <c r="X272" s="16" t="s">
        <v>29</v>
      </c>
      <c r="Y272" s="319">
        <v>8</v>
      </c>
      <c r="Z272" s="320"/>
      <c r="AA272" s="328">
        <f t="shared" si="50"/>
        <v>40</v>
      </c>
      <c r="AB272" s="298">
        <f t="shared" si="52"/>
        <v>0</v>
      </c>
      <c r="AC272" s="4"/>
      <c r="AD272" s="47" t="s">
        <v>29</v>
      </c>
      <c r="AE272" s="47" t="s">
        <v>29</v>
      </c>
      <c r="AF272" s="319">
        <v>0</v>
      </c>
      <c r="AG272" s="29">
        <f t="shared" si="49"/>
        <v>0</v>
      </c>
    </row>
    <row r="273" spans="1:47" hidden="1">
      <c r="A273" s="180"/>
      <c r="B273" s="166" t="s">
        <v>49</v>
      </c>
      <c r="C273" s="47" t="s">
        <v>29</v>
      </c>
      <c r="D273" s="47" t="s">
        <v>29</v>
      </c>
      <c r="E273" s="319">
        <v>8</v>
      </c>
      <c r="F273" s="320"/>
      <c r="G273" s="4"/>
      <c r="H273" s="47" t="s">
        <v>29</v>
      </c>
      <c r="I273" s="47" t="s">
        <v>29</v>
      </c>
      <c r="J273" s="319">
        <v>8</v>
      </c>
      <c r="K273" s="320"/>
      <c r="L273" s="4"/>
      <c r="M273" s="47" t="s">
        <v>29</v>
      </c>
      <c r="N273" s="47" t="s">
        <v>29</v>
      </c>
      <c r="O273" s="319">
        <v>8</v>
      </c>
      <c r="P273" s="320"/>
      <c r="R273" s="47" t="s">
        <v>29</v>
      </c>
      <c r="S273" s="47" t="s">
        <v>29</v>
      </c>
      <c r="T273" s="319">
        <v>8</v>
      </c>
      <c r="U273" s="320"/>
      <c r="W273" s="47" t="s">
        <v>29</v>
      </c>
      <c r="X273" s="47" t="s">
        <v>29</v>
      </c>
      <c r="Y273" s="319">
        <v>8</v>
      </c>
      <c r="Z273" s="320"/>
      <c r="AA273" s="328">
        <f t="shared" si="50"/>
        <v>40</v>
      </c>
      <c r="AB273" s="298">
        <f t="shared" si="52"/>
        <v>0</v>
      </c>
      <c r="AC273" s="4"/>
      <c r="AD273" s="47" t="s">
        <v>29</v>
      </c>
      <c r="AE273" s="47" t="s">
        <v>29</v>
      </c>
      <c r="AF273" s="319">
        <v>0</v>
      </c>
      <c r="AG273" s="29">
        <f t="shared" si="49"/>
        <v>0</v>
      </c>
    </row>
    <row r="274" spans="1:47" hidden="1">
      <c r="A274" s="180"/>
      <c r="B274" s="166" t="s">
        <v>107</v>
      </c>
      <c r="C274" s="47" t="s">
        <v>29</v>
      </c>
      <c r="D274" s="47" t="s">
        <v>29</v>
      </c>
      <c r="E274" s="319">
        <v>8</v>
      </c>
      <c r="F274" s="320"/>
      <c r="G274" s="4"/>
      <c r="H274" s="47" t="s">
        <v>29</v>
      </c>
      <c r="I274" s="47" t="s">
        <v>29</v>
      </c>
      <c r="J274" s="319">
        <v>8</v>
      </c>
      <c r="K274" s="320"/>
      <c r="L274" s="4"/>
      <c r="M274" s="47" t="s">
        <v>29</v>
      </c>
      <c r="N274" s="47" t="s">
        <v>29</v>
      </c>
      <c r="O274" s="319">
        <v>8</v>
      </c>
      <c r="P274" s="320"/>
      <c r="R274" s="47" t="s">
        <v>29</v>
      </c>
      <c r="S274" s="47" t="s">
        <v>29</v>
      </c>
      <c r="T274" s="319">
        <v>8</v>
      </c>
      <c r="U274" s="320"/>
      <c r="W274" s="47" t="s">
        <v>29</v>
      </c>
      <c r="X274" s="47" t="s">
        <v>29</v>
      </c>
      <c r="Y274" s="319">
        <v>8</v>
      </c>
      <c r="Z274" s="320"/>
      <c r="AA274" s="328">
        <f t="shared" si="50"/>
        <v>40</v>
      </c>
      <c r="AB274" s="298">
        <f t="shared" si="52"/>
        <v>0</v>
      </c>
      <c r="AC274" s="4"/>
      <c r="AD274" s="47" t="s">
        <v>29</v>
      </c>
      <c r="AE274" s="47" t="s">
        <v>29</v>
      </c>
      <c r="AF274" s="319">
        <v>0</v>
      </c>
      <c r="AG274" s="29">
        <f t="shared" si="49"/>
        <v>0</v>
      </c>
    </row>
    <row r="275" spans="1:47" hidden="1">
      <c r="A275" s="180"/>
      <c r="B275" s="166" t="s">
        <v>59</v>
      </c>
      <c r="C275" s="47" t="s">
        <v>29</v>
      </c>
      <c r="D275" s="16" t="s">
        <v>29</v>
      </c>
      <c r="E275" s="319">
        <v>8</v>
      </c>
      <c r="F275" s="320"/>
      <c r="G275" s="4"/>
      <c r="H275" s="47" t="s">
        <v>29</v>
      </c>
      <c r="I275" s="16" t="s">
        <v>29</v>
      </c>
      <c r="J275" s="319">
        <v>8</v>
      </c>
      <c r="K275" s="320"/>
      <c r="L275" s="4"/>
      <c r="M275" s="47" t="s">
        <v>29</v>
      </c>
      <c r="N275" s="16" t="s">
        <v>29</v>
      </c>
      <c r="O275" s="319">
        <v>8</v>
      </c>
      <c r="P275" s="320"/>
      <c r="R275" s="47" t="s">
        <v>29</v>
      </c>
      <c r="S275" s="16" t="s">
        <v>29</v>
      </c>
      <c r="T275" s="319">
        <v>8</v>
      </c>
      <c r="U275" s="320"/>
      <c r="W275" s="47" t="s">
        <v>29</v>
      </c>
      <c r="X275" s="16" t="s">
        <v>29</v>
      </c>
      <c r="Y275" s="319">
        <v>8</v>
      </c>
      <c r="Z275" s="320"/>
      <c r="AA275" s="328">
        <f t="shared" si="50"/>
        <v>40</v>
      </c>
      <c r="AB275" s="298">
        <f t="shared" si="52"/>
        <v>0</v>
      </c>
      <c r="AC275" s="4"/>
      <c r="AD275" s="47" t="s">
        <v>29</v>
      </c>
      <c r="AE275" s="47" t="s">
        <v>29</v>
      </c>
      <c r="AF275" s="319">
        <v>0</v>
      </c>
      <c r="AG275" s="29">
        <f t="shared" si="49"/>
        <v>0</v>
      </c>
    </row>
    <row r="276" spans="1:47" hidden="1">
      <c r="A276" s="180"/>
      <c r="B276" s="166" t="s">
        <v>60</v>
      </c>
      <c r="C276" s="16" t="s">
        <v>29</v>
      </c>
      <c r="D276" s="16" t="s">
        <v>29</v>
      </c>
      <c r="E276" s="319">
        <v>8</v>
      </c>
      <c r="F276" s="320"/>
      <c r="G276" s="4"/>
      <c r="H276" s="16" t="s">
        <v>29</v>
      </c>
      <c r="I276" s="16" t="s">
        <v>29</v>
      </c>
      <c r="J276" s="319">
        <v>8</v>
      </c>
      <c r="K276" s="320"/>
      <c r="L276" s="4"/>
      <c r="M276" s="16" t="s">
        <v>29</v>
      </c>
      <c r="N276" s="16" t="s">
        <v>29</v>
      </c>
      <c r="O276" s="319">
        <v>8</v>
      </c>
      <c r="P276" s="320"/>
      <c r="R276" s="16" t="s">
        <v>29</v>
      </c>
      <c r="S276" s="16" t="s">
        <v>29</v>
      </c>
      <c r="T276" s="319">
        <v>8</v>
      </c>
      <c r="U276" s="320"/>
      <c r="W276" s="16" t="s">
        <v>29</v>
      </c>
      <c r="X276" s="16" t="s">
        <v>29</v>
      </c>
      <c r="Y276" s="319">
        <v>8</v>
      </c>
      <c r="Z276" s="320"/>
      <c r="AA276" s="328">
        <f t="shared" si="50"/>
        <v>40</v>
      </c>
      <c r="AB276" s="298">
        <f t="shared" si="52"/>
        <v>0</v>
      </c>
      <c r="AC276" s="4"/>
      <c r="AD276" s="47" t="s">
        <v>29</v>
      </c>
      <c r="AE276" s="47" t="s">
        <v>29</v>
      </c>
      <c r="AF276" s="319">
        <v>0</v>
      </c>
      <c r="AG276" s="29">
        <f t="shared" si="49"/>
        <v>0</v>
      </c>
    </row>
    <row r="277" spans="1:47" hidden="1">
      <c r="A277" s="180"/>
      <c r="B277" s="63" t="s">
        <v>63</v>
      </c>
      <c r="C277" s="12" t="s">
        <v>29</v>
      </c>
      <c r="D277" s="12" t="s">
        <v>29</v>
      </c>
      <c r="E277" s="319">
        <v>0</v>
      </c>
      <c r="F277" s="320"/>
      <c r="G277" s="438"/>
      <c r="H277" s="12" t="s">
        <v>29</v>
      </c>
      <c r="I277" s="12" t="s">
        <v>29</v>
      </c>
      <c r="J277" s="319">
        <v>0</v>
      </c>
      <c r="K277" s="320"/>
      <c r="L277" s="438"/>
      <c r="M277" s="12" t="s">
        <v>29</v>
      </c>
      <c r="N277" s="12" t="s">
        <v>29</v>
      </c>
      <c r="O277" s="319">
        <v>0</v>
      </c>
      <c r="P277" s="320"/>
      <c r="Q277" s="438"/>
      <c r="R277" s="12" t="s">
        <v>29</v>
      </c>
      <c r="S277" s="12" t="s">
        <v>29</v>
      </c>
      <c r="T277" s="319">
        <v>0</v>
      </c>
      <c r="U277" s="320"/>
      <c r="V277" s="438"/>
      <c r="W277" s="12" t="s">
        <v>29</v>
      </c>
      <c r="X277" s="12" t="s">
        <v>29</v>
      </c>
      <c r="Y277" s="319">
        <v>0</v>
      </c>
      <c r="Z277" s="320"/>
      <c r="AA277" s="328">
        <f t="shared" si="50"/>
        <v>0</v>
      </c>
      <c r="AB277" s="298">
        <f t="shared" si="52"/>
        <v>0</v>
      </c>
      <c r="AC277" s="4"/>
      <c r="AD277" s="47" t="s">
        <v>29</v>
      </c>
      <c r="AE277" s="47" t="s">
        <v>29</v>
      </c>
      <c r="AF277" s="319">
        <v>0</v>
      </c>
      <c r="AG277" s="29">
        <f t="shared" si="49"/>
        <v>0</v>
      </c>
      <c r="AK277" s="407"/>
    </row>
    <row r="278" spans="1:47" hidden="1">
      <c r="A278" s="180"/>
      <c r="B278" s="63" t="s">
        <v>62</v>
      </c>
      <c r="C278" s="16" t="s">
        <v>29</v>
      </c>
      <c r="D278" s="16" t="s">
        <v>29</v>
      </c>
      <c r="E278" s="319">
        <v>5</v>
      </c>
      <c r="F278" s="320"/>
      <c r="G278" s="438"/>
      <c r="H278" s="16" t="s">
        <v>29</v>
      </c>
      <c r="I278" s="16" t="s">
        <v>29</v>
      </c>
      <c r="J278" s="319">
        <v>5</v>
      </c>
      <c r="K278" s="320"/>
      <c r="L278" s="438"/>
      <c r="M278" s="16" t="s">
        <v>29</v>
      </c>
      <c r="N278" s="16" t="s">
        <v>29</v>
      </c>
      <c r="O278" s="319">
        <v>5</v>
      </c>
      <c r="P278" s="320"/>
      <c r="Q278" s="438"/>
      <c r="R278" s="16" t="s">
        <v>29</v>
      </c>
      <c r="S278" s="16" t="s">
        <v>29</v>
      </c>
      <c r="T278" s="319">
        <v>5</v>
      </c>
      <c r="U278" s="320"/>
      <c r="V278" s="438"/>
      <c r="W278" s="16" t="s">
        <v>29</v>
      </c>
      <c r="X278" s="16" t="s">
        <v>29</v>
      </c>
      <c r="Y278" s="319">
        <v>5</v>
      </c>
      <c r="Z278" s="320"/>
      <c r="AA278" s="328">
        <f t="shared" si="50"/>
        <v>25</v>
      </c>
      <c r="AB278" s="298">
        <f t="shared" si="52"/>
        <v>0</v>
      </c>
      <c r="AC278" s="4"/>
      <c r="AD278" s="47" t="s">
        <v>29</v>
      </c>
      <c r="AE278" s="47" t="s">
        <v>29</v>
      </c>
      <c r="AF278" s="319">
        <v>0</v>
      </c>
      <c r="AG278" s="29">
        <v>0</v>
      </c>
    </row>
    <row r="279" spans="1:47" hidden="1">
      <c r="A279" s="180"/>
      <c r="B279" s="64" t="s">
        <v>61</v>
      </c>
      <c r="C279" s="31"/>
      <c r="D279" s="31"/>
      <c r="E279" s="445">
        <f>SUM(E246:E278)</f>
        <v>207</v>
      </c>
      <c r="F279" s="320">
        <f>SUM(F246:F271)</f>
        <v>0</v>
      </c>
      <c r="G279" s="31"/>
      <c r="H279" s="31"/>
      <c r="I279" s="31"/>
      <c r="J279" s="445">
        <f>SUM(J246:J278)</f>
        <v>183</v>
      </c>
      <c r="K279" s="446">
        <f>SUM(K246:K271)</f>
        <v>6</v>
      </c>
      <c r="L279" s="31"/>
      <c r="M279" s="31"/>
      <c r="N279" s="31"/>
      <c r="O279" s="439">
        <f>SUM(O246:O278)</f>
        <v>206.75</v>
      </c>
      <c r="P279" s="320">
        <f>SUM(P246:P276)</f>
        <v>0</v>
      </c>
      <c r="Q279" s="31"/>
      <c r="R279" s="439"/>
      <c r="S279" s="31"/>
      <c r="T279" s="445">
        <f>SUM(T246:T278)</f>
        <v>194</v>
      </c>
      <c r="U279" s="320">
        <f>SUM(U246:U276)</f>
        <v>1.25</v>
      </c>
      <c r="V279" s="31"/>
      <c r="W279" s="439"/>
      <c r="X279" s="31"/>
      <c r="Y279" s="439">
        <f>SUM(Y246:Y278)</f>
        <v>167</v>
      </c>
      <c r="Z279" s="320">
        <f>SUM(Z246:Z271)</f>
        <v>0</v>
      </c>
      <c r="AA279" s="370">
        <f>SUM(AA246:AA278)</f>
        <v>957.75</v>
      </c>
      <c r="AB279" s="370">
        <f>SUM(AB246:AB278)</f>
        <v>7.25</v>
      </c>
      <c r="AC279" s="4"/>
      <c r="AD279" s="64"/>
      <c r="AE279" s="64"/>
      <c r="AF279" s="167">
        <f>SUM(AF246:AF278)</f>
        <v>0</v>
      </c>
      <c r="AG279" s="370">
        <f>SUM(AG246:AG278)</f>
        <v>0</v>
      </c>
    </row>
    <row r="280" spans="1:47" hidden="1">
      <c r="A280" s="180"/>
      <c r="B280" s="63" t="s">
        <v>64</v>
      </c>
      <c r="C280" s="56"/>
      <c r="D280" s="56"/>
      <c r="E280" s="19">
        <v>8</v>
      </c>
      <c r="F280" s="291"/>
      <c r="G280" s="60"/>
      <c r="H280" s="56"/>
      <c r="I280" s="56"/>
      <c r="J280" s="19">
        <v>8</v>
      </c>
      <c r="K280" s="291">
        <v>0.5</v>
      </c>
      <c r="L280" s="60"/>
      <c r="M280" s="56"/>
      <c r="N280" s="56"/>
      <c r="O280" s="19">
        <v>6</v>
      </c>
      <c r="P280" s="19">
        <v>0.5</v>
      </c>
      <c r="Q280" s="60"/>
      <c r="R280" s="56"/>
      <c r="S280" s="56"/>
      <c r="T280" s="19">
        <v>7</v>
      </c>
      <c r="U280" s="19"/>
      <c r="V280" s="60"/>
      <c r="W280" s="56"/>
      <c r="X280" s="56"/>
      <c r="Y280" s="19">
        <v>6</v>
      </c>
      <c r="Z280" s="19"/>
      <c r="AA280" s="28">
        <f>SUM(E280+J280+O280+T280+Y280)</f>
        <v>35</v>
      </c>
      <c r="AB280" s="296">
        <f>Z280+U280+P280+K280+F280</f>
        <v>1</v>
      </c>
      <c r="AC280" s="4"/>
      <c r="AD280" s="56"/>
      <c r="AE280" s="56"/>
      <c r="AF280" s="19">
        <v>0</v>
      </c>
      <c r="AG280" s="29">
        <f>AF280</f>
        <v>0</v>
      </c>
    </row>
    <row r="281" spans="1:47" hidden="1">
      <c r="A281" s="180"/>
      <c r="B281" s="63" t="s">
        <v>110</v>
      </c>
      <c r="C281" s="56"/>
      <c r="D281" s="56"/>
      <c r="E281" s="19">
        <v>0</v>
      </c>
      <c r="F281" s="291"/>
      <c r="G281" s="60"/>
      <c r="H281" s="56"/>
      <c r="I281" s="56"/>
      <c r="J281" s="19">
        <v>0</v>
      </c>
      <c r="K281" s="291"/>
      <c r="L281" s="60"/>
      <c r="M281" s="56"/>
      <c r="N281" s="56"/>
      <c r="O281" s="19">
        <v>0</v>
      </c>
      <c r="P281" s="19"/>
      <c r="Q281" s="60"/>
      <c r="R281" s="56"/>
      <c r="S281" s="56"/>
      <c r="T281" s="19">
        <v>0</v>
      </c>
      <c r="U281" s="19"/>
      <c r="V281" s="60"/>
      <c r="W281" s="56"/>
      <c r="X281" s="56"/>
      <c r="Y281" s="19">
        <v>0</v>
      </c>
      <c r="Z281" s="19"/>
      <c r="AA281" s="28">
        <f>SUM(E281+J281+O281+T281+Y281)</f>
        <v>0</v>
      </c>
      <c r="AB281" s="296">
        <f>Z281+U281+P281+K281+F281</f>
        <v>0</v>
      </c>
      <c r="AC281" s="4"/>
      <c r="AD281" s="56"/>
      <c r="AE281" s="56"/>
      <c r="AF281" s="19">
        <v>0</v>
      </c>
      <c r="AG281" s="29">
        <f>AF281</f>
        <v>0</v>
      </c>
    </row>
    <row r="282" spans="1:47" hidden="1">
      <c r="A282" s="180"/>
      <c r="B282" s="71" t="s">
        <v>66</v>
      </c>
      <c r="C282" s="371"/>
      <c r="D282" s="371"/>
      <c r="E282" s="71">
        <f t="shared" ref="E282:AB282" si="53">SUM(E280:E281)</f>
        <v>8</v>
      </c>
      <c r="F282" s="71">
        <f t="shared" si="53"/>
        <v>0</v>
      </c>
      <c r="G282" s="71">
        <f t="shared" si="53"/>
        <v>0</v>
      </c>
      <c r="H282" s="71">
        <f t="shared" si="53"/>
        <v>0</v>
      </c>
      <c r="I282" s="71">
        <f t="shared" si="53"/>
        <v>0</v>
      </c>
      <c r="J282" s="71">
        <f t="shared" si="53"/>
        <v>8</v>
      </c>
      <c r="K282" s="71">
        <f t="shared" si="53"/>
        <v>0.5</v>
      </c>
      <c r="L282" s="71">
        <f t="shared" si="53"/>
        <v>0</v>
      </c>
      <c r="M282" s="71">
        <f t="shared" si="53"/>
        <v>0</v>
      </c>
      <c r="N282" s="71">
        <f t="shared" si="53"/>
        <v>0</v>
      </c>
      <c r="O282" s="71">
        <f t="shared" si="53"/>
        <v>6</v>
      </c>
      <c r="P282" s="71">
        <f t="shared" si="53"/>
        <v>0.5</v>
      </c>
      <c r="Q282" s="71">
        <f t="shared" si="53"/>
        <v>0</v>
      </c>
      <c r="R282" s="71">
        <f t="shared" si="53"/>
        <v>0</v>
      </c>
      <c r="S282" s="71">
        <f t="shared" si="53"/>
        <v>0</v>
      </c>
      <c r="T282" s="71">
        <f t="shared" si="53"/>
        <v>7</v>
      </c>
      <c r="U282" s="71">
        <f t="shared" si="53"/>
        <v>0</v>
      </c>
      <c r="V282" s="71">
        <f t="shared" si="53"/>
        <v>0</v>
      </c>
      <c r="W282" s="71">
        <f t="shared" si="53"/>
        <v>0</v>
      </c>
      <c r="X282" s="71">
        <f t="shared" si="53"/>
        <v>0</v>
      </c>
      <c r="Y282" s="71">
        <f t="shared" si="53"/>
        <v>6</v>
      </c>
      <c r="Z282" s="71">
        <f t="shared" si="53"/>
        <v>0</v>
      </c>
      <c r="AA282" s="370">
        <f t="shared" si="53"/>
        <v>35</v>
      </c>
      <c r="AB282" s="370">
        <f t="shared" si="53"/>
        <v>1</v>
      </c>
      <c r="AC282" s="4"/>
      <c r="AG282" s="370">
        <f>SUM(AG280:AG281)</f>
        <v>0</v>
      </c>
    </row>
    <row r="283" spans="1:47" hidden="1">
      <c r="A283" s="180"/>
      <c r="B283" s="217" t="s">
        <v>67</v>
      </c>
      <c r="C283" s="207">
        <f>C284+C285</f>
        <v>109</v>
      </c>
      <c r="D283" s="207"/>
      <c r="E283" s="209"/>
      <c r="F283" s="209"/>
      <c r="G283" s="207"/>
      <c r="H283" s="209"/>
      <c r="I283" s="209"/>
      <c r="J283" s="209"/>
      <c r="K283" s="209"/>
      <c r="L283" s="207"/>
      <c r="M283" s="207"/>
      <c r="N283" s="207"/>
      <c r="O283" s="207"/>
      <c r="P283" s="209"/>
      <c r="Q283" s="207"/>
      <c r="R283" s="207"/>
      <c r="S283" s="207"/>
      <c r="T283" s="207"/>
      <c r="U283" s="209"/>
      <c r="V283" s="207"/>
      <c r="W283" s="207"/>
      <c r="X283" s="207"/>
      <c r="Y283" s="210"/>
      <c r="Z283" s="209"/>
      <c r="AA283" s="211"/>
      <c r="AB283" s="209"/>
      <c r="AC283" s="211"/>
      <c r="AD283" s="211"/>
      <c r="AE283" s="211"/>
      <c r="AF283" s="211"/>
      <c r="AG283" s="211"/>
    </row>
    <row r="284" spans="1:47" hidden="1">
      <c r="A284" s="180"/>
      <c r="B284" s="238" t="s">
        <v>68</v>
      </c>
      <c r="C284" s="239">
        <f>8+5+8+9+16</f>
        <v>46</v>
      </c>
      <c r="D284" s="207"/>
      <c r="E284" s="209"/>
      <c r="F284" s="209"/>
      <c r="G284" s="207"/>
      <c r="H284" s="209"/>
      <c r="I284" s="209"/>
      <c r="J284" s="209"/>
      <c r="K284" s="209"/>
      <c r="L284" s="207"/>
      <c r="M284" s="207"/>
      <c r="N284" s="207"/>
      <c r="O284" s="207"/>
      <c r="P284" s="209"/>
      <c r="Q284" s="207"/>
      <c r="R284" s="207"/>
      <c r="S284" s="207"/>
      <c r="T284" s="207"/>
      <c r="U284" s="209"/>
      <c r="V284" s="207"/>
      <c r="W284" s="207"/>
      <c r="X284" s="207"/>
      <c r="Y284" s="210"/>
      <c r="Z284" s="209"/>
      <c r="AA284" s="211"/>
      <c r="AB284" s="209"/>
      <c r="AC284" s="211"/>
      <c r="AD284" s="211"/>
      <c r="AE284" s="211"/>
      <c r="AF284" s="211"/>
      <c r="AG284" s="211"/>
    </row>
    <row r="285" spans="1:47" hidden="1">
      <c r="A285" s="180"/>
      <c r="B285" s="238" t="s">
        <v>69</v>
      </c>
      <c r="C285" s="239">
        <f>17+17+14+15+0</f>
        <v>63</v>
      </c>
      <c r="D285" s="207"/>
      <c r="E285" s="209"/>
      <c r="F285" s="209"/>
      <c r="G285" s="207"/>
      <c r="H285" s="209"/>
      <c r="I285" s="209"/>
      <c r="J285" s="209"/>
      <c r="K285" s="209"/>
      <c r="L285" s="207"/>
      <c r="M285" s="207"/>
      <c r="N285" s="207"/>
      <c r="O285" s="207"/>
      <c r="P285" s="209"/>
      <c r="Q285" s="207"/>
      <c r="R285" s="207"/>
      <c r="S285" s="207"/>
      <c r="T285" s="207"/>
      <c r="U285" s="209"/>
      <c r="V285" s="207"/>
      <c r="W285" s="207"/>
      <c r="X285" s="207"/>
      <c r="Y285" s="210"/>
      <c r="Z285" s="209"/>
      <c r="AA285" s="211"/>
      <c r="AB285" s="209"/>
      <c r="AC285" s="211"/>
      <c r="AD285" s="211"/>
      <c r="AE285" s="211"/>
      <c r="AF285" s="211"/>
      <c r="AG285" s="211"/>
    </row>
    <row r="286" spans="1:47" hidden="1">
      <c r="E286" s="4"/>
      <c r="F286" s="4"/>
      <c r="G286" s="4"/>
      <c r="J286" s="4"/>
      <c r="K286" s="4"/>
      <c r="L286" s="4"/>
      <c r="O286" s="4"/>
      <c r="P286" s="4"/>
      <c r="T286" s="4"/>
      <c r="U286" s="4"/>
      <c r="Y286" s="4"/>
      <c r="Z286" s="4"/>
      <c r="AA286" s="4"/>
      <c r="AB286" s="4"/>
      <c r="AC286" s="4"/>
    </row>
    <row r="287" spans="1:47" hidden="1">
      <c r="B287" s="229"/>
      <c r="C287" s="230"/>
      <c r="D287" s="230"/>
      <c r="E287" s="232"/>
      <c r="F287" s="232"/>
      <c r="G287" s="230"/>
      <c r="H287" s="232"/>
      <c r="I287" s="232"/>
      <c r="J287" s="232"/>
      <c r="K287" s="232"/>
      <c r="L287" s="230"/>
      <c r="M287" s="230"/>
      <c r="N287" s="230"/>
      <c r="O287" s="230"/>
      <c r="P287" s="232"/>
      <c r="Q287" s="230"/>
      <c r="R287" s="230"/>
      <c r="S287" s="230"/>
      <c r="T287" s="230"/>
      <c r="U287" s="232"/>
      <c r="V287" s="230"/>
      <c r="W287" s="230"/>
      <c r="X287" s="230"/>
      <c r="Y287" s="233"/>
      <c r="Z287" s="232"/>
      <c r="AA287" s="234"/>
      <c r="AB287" s="232"/>
      <c r="AC287" s="373"/>
      <c r="AD287" s="236"/>
      <c r="AE287" s="255"/>
      <c r="AF287" s="255"/>
      <c r="AG287" s="255"/>
      <c r="AH287" s="255"/>
      <c r="AJ287" s="255"/>
      <c r="AK287" s="255"/>
      <c r="AL287" s="255"/>
      <c r="AM287" s="255"/>
      <c r="AN287" s="255"/>
      <c r="AO287" s="255"/>
      <c r="AP287" s="255"/>
      <c r="AQ287" s="255"/>
      <c r="AR287" s="255"/>
      <c r="AS287" s="255"/>
      <c r="AT287" s="255"/>
      <c r="AU287" s="255"/>
    </row>
    <row r="288" spans="1:47" hidden="1">
      <c r="B288" s="180"/>
      <c r="E288" s="4"/>
      <c r="F288" s="4"/>
      <c r="G288" s="4"/>
      <c r="J288" s="4"/>
      <c r="K288" s="4"/>
      <c r="L288" s="4"/>
      <c r="O288" s="4"/>
      <c r="P288" s="4"/>
      <c r="T288" s="4"/>
      <c r="U288" s="4"/>
      <c r="Y288" s="4"/>
      <c r="Z288" s="4"/>
      <c r="AA288" s="4"/>
      <c r="AB288" s="4"/>
      <c r="AC288" s="4"/>
      <c r="AK288" s="180"/>
      <c r="AL288" s="180"/>
      <c r="AM288" s="180"/>
      <c r="AN288" s="180"/>
      <c r="AO288" s="180"/>
      <c r="AP288" s="180"/>
    </row>
    <row r="289" spans="2:47" hidden="1">
      <c r="B289" s="1518" t="s">
        <v>18</v>
      </c>
      <c r="C289" s="1519">
        <v>45355</v>
      </c>
      <c r="D289" s="1519"/>
      <c r="E289" s="1519"/>
      <c r="F289" s="1519"/>
      <c r="G289" s="365"/>
      <c r="H289" s="1519">
        <v>45356</v>
      </c>
      <c r="I289" s="1519"/>
      <c r="J289" s="1519"/>
      <c r="K289" s="1519"/>
      <c r="L289" s="365">
        <v>45343</v>
      </c>
      <c r="M289" s="1519">
        <v>45357</v>
      </c>
      <c r="N289" s="1519"/>
      <c r="O289" s="1519"/>
      <c r="P289" s="1519"/>
      <c r="Q289" s="365"/>
      <c r="R289" s="1519">
        <v>45358</v>
      </c>
      <c r="S289" s="1519"/>
      <c r="T289" s="1519"/>
      <c r="U289" s="1519"/>
      <c r="V289" s="365"/>
      <c r="W289" s="1519">
        <v>45359</v>
      </c>
      <c r="X289" s="1519"/>
      <c r="Y289" s="1519"/>
      <c r="Z289" s="1519"/>
      <c r="AA289" s="1517" t="s">
        <v>19</v>
      </c>
      <c r="AB289" s="1517" t="s">
        <v>20</v>
      </c>
      <c r="AC289" s="4"/>
      <c r="AD289" s="1519">
        <v>45360</v>
      </c>
      <c r="AE289" s="1519"/>
      <c r="AF289" s="1519"/>
      <c r="AG289" s="1517" t="s">
        <v>21</v>
      </c>
      <c r="AI289" s="368"/>
      <c r="AK289" s="194" t="s">
        <v>84</v>
      </c>
      <c r="AL289" s="366"/>
      <c r="AM289" s="366"/>
      <c r="AN289" s="366"/>
      <c r="AO289" s="366"/>
      <c r="AP289" s="366"/>
    </row>
    <row r="290" spans="2:47" hidden="1">
      <c r="B290" s="1518"/>
      <c r="C290" s="21" t="s">
        <v>23</v>
      </c>
      <c r="D290" s="21" t="s">
        <v>24</v>
      </c>
      <c r="E290" s="205" t="s">
        <v>25</v>
      </c>
      <c r="F290" s="18" t="s">
        <v>14</v>
      </c>
      <c r="G290" s="4"/>
      <c r="H290" s="21" t="s">
        <v>23</v>
      </c>
      <c r="I290" s="21" t="s">
        <v>24</v>
      </c>
      <c r="J290" s="18" t="s">
        <v>25</v>
      </c>
      <c r="K290" s="18" t="s">
        <v>14</v>
      </c>
      <c r="L290" s="4"/>
      <c r="M290" s="21" t="s">
        <v>23</v>
      </c>
      <c r="N290" s="21" t="s">
        <v>24</v>
      </c>
      <c r="O290" s="18" t="s">
        <v>25</v>
      </c>
      <c r="P290" s="18" t="s">
        <v>14</v>
      </c>
      <c r="R290" s="484" t="s">
        <v>23</v>
      </c>
      <c r="S290" s="21" t="s">
        <v>24</v>
      </c>
      <c r="T290" s="18" t="s">
        <v>25</v>
      </c>
      <c r="U290" s="18" t="s">
        <v>14</v>
      </c>
      <c r="W290" s="484" t="s">
        <v>23</v>
      </c>
      <c r="X290" s="21" t="s">
        <v>24</v>
      </c>
      <c r="Y290" s="18" t="s">
        <v>25</v>
      </c>
      <c r="Z290" s="18" t="s">
        <v>14</v>
      </c>
      <c r="AA290" s="1517"/>
      <c r="AB290" s="1517"/>
      <c r="AC290" s="4"/>
      <c r="AD290" s="21" t="s">
        <v>23</v>
      </c>
      <c r="AE290" s="21" t="s">
        <v>24</v>
      </c>
      <c r="AF290" s="18" t="s">
        <v>25</v>
      </c>
      <c r="AG290" s="1517"/>
      <c r="AI290" s="368"/>
      <c r="AJ290" s="367"/>
      <c r="AK290" s="188" t="s">
        <v>26</v>
      </c>
      <c r="AL290" s="196">
        <f>$AA$326</f>
        <v>955.75</v>
      </c>
      <c r="AM290" s="510">
        <v>38</v>
      </c>
      <c r="AN290" s="510">
        <f t="shared" ref="AN290:AN296" si="54">AL290*AM290</f>
        <v>36318.5</v>
      </c>
      <c r="AQ290" s="367"/>
      <c r="AR290" s="367"/>
      <c r="AS290" s="367"/>
      <c r="AT290" s="367"/>
      <c r="AU290" s="367"/>
    </row>
    <row r="291" spans="2:47" hidden="1">
      <c r="B291" s="449" t="s">
        <v>72</v>
      </c>
      <c r="C291" s="47">
        <v>0.36458333333333331</v>
      </c>
      <c r="D291" s="47">
        <v>0.20833333333333334</v>
      </c>
      <c r="E291" s="319">
        <v>7.25</v>
      </c>
      <c r="F291" s="320"/>
      <c r="G291" s="4"/>
      <c r="H291" s="47">
        <v>0.375</v>
      </c>
      <c r="I291" s="47">
        <v>0.20833333333333334</v>
      </c>
      <c r="J291" s="319">
        <v>7</v>
      </c>
      <c r="K291" s="320"/>
      <c r="L291" s="4"/>
      <c r="M291" s="47">
        <v>0.35416666666666669</v>
      </c>
      <c r="N291" s="47">
        <v>0.22916666666666666</v>
      </c>
      <c r="O291" s="319">
        <v>8</v>
      </c>
      <c r="P291" s="320"/>
      <c r="R291" s="47">
        <v>0.36458333333333331</v>
      </c>
      <c r="S291" s="47">
        <v>0.20833333333333334</v>
      </c>
      <c r="T291" s="319">
        <v>7.25</v>
      </c>
      <c r="U291" s="320"/>
      <c r="W291" s="47">
        <v>0.375</v>
      </c>
      <c r="X291" s="47">
        <v>0.20833333333333334</v>
      </c>
      <c r="Y291" s="319">
        <v>7</v>
      </c>
      <c r="Z291" s="320"/>
      <c r="AA291" s="29">
        <f t="shared" ref="AA291:AA325" si="55">(E291+J291+O291+T291+Y291)</f>
        <v>36.5</v>
      </c>
      <c r="AB291" s="298">
        <f>Z291+U291+P291+K291+F291</f>
        <v>0</v>
      </c>
      <c r="AC291" s="399"/>
      <c r="AD291" s="47" t="s">
        <v>29</v>
      </c>
      <c r="AE291" s="47" t="s">
        <v>29</v>
      </c>
      <c r="AF291" s="346"/>
      <c r="AG291" s="29">
        <f t="shared" ref="AG291:AG324" si="56">AF291</f>
        <v>0</v>
      </c>
      <c r="AH291" s="175"/>
      <c r="AJ291" s="401"/>
      <c r="AK291" s="188" t="s">
        <v>30</v>
      </c>
      <c r="AL291" s="196">
        <f>$AB$326</f>
        <v>0</v>
      </c>
      <c r="AM291" s="511">
        <v>57</v>
      </c>
      <c r="AN291" s="510">
        <f t="shared" si="54"/>
        <v>0</v>
      </c>
      <c r="AO291" s="405"/>
      <c r="AP291" s="405"/>
      <c r="AQ291" s="401"/>
      <c r="AR291" s="401"/>
      <c r="AS291" s="401"/>
      <c r="AT291" s="401"/>
      <c r="AU291" s="401"/>
    </row>
    <row r="292" spans="2:47" hidden="1">
      <c r="B292" s="318" t="s">
        <v>53</v>
      </c>
      <c r="C292" s="441">
        <v>0</v>
      </c>
      <c r="D292" s="441">
        <v>0</v>
      </c>
      <c r="E292" s="319">
        <v>0</v>
      </c>
      <c r="F292" s="320"/>
      <c r="G292" s="4"/>
      <c r="H292" s="441">
        <v>0</v>
      </c>
      <c r="I292" s="441">
        <v>0</v>
      </c>
      <c r="J292" s="319">
        <v>0</v>
      </c>
      <c r="K292" s="320"/>
      <c r="L292" s="4"/>
      <c r="M292" s="47">
        <v>0.375</v>
      </c>
      <c r="N292" s="47">
        <v>0.25</v>
      </c>
      <c r="O292" s="319">
        <v>8</v>
      </c>
      <c r="P292" s="320"/>
      <c r="R292" s="47">
        <v>0.375</v>
      </c>
      <c r="S292" s="47">
        <v>0.25</v>
      </c>
      <c r="T292" s="319">
        <v>8</v>
      </c>
      <c r="U292" s="320"/>
      <c r="W292" s="47">
        <v>0.375</v>
      </c>
      <c r="X292" s="47">
        <v>6.25E-2</v>
      </c>
      <c r="Y292" s="319">
        <v>4.5</v>
      </c>
      <c r="Z292" s="320"/>
      <c r="AA292" s="29">
        <f t="shared" si="55"/>
        <v>20.5</v>
      </c>
      <c r="AB292" s="298">
        <f>Z292+U292+P292+K292+F292</f>
        <v>0</v>
      </c>
      <c r="AC292" s="175"/>
      <c r="AD292" s="47" t="s">
        <v>29</v>
      </c>
      <c r="AE292" s="47" t="s">
        <v>29</v>
      </c>
      <c r="AF292" s="346"/>
      <c r="AG292" s="344">
        <f t="shared" si="56"/>
        <v>0</v>
      </c>
      <c r="AH292" s="175"/>
      <c r="AI292" s="368"/>
      <c r="AK292" s="188" t="s">
        <v>32</v>
      </c>
      <c r="AL292" s="196">
        <f>$AG$326</f>
        <v>0</v>
      </c>
      <c r="AM292" s="510">
        <v>57</v>
      </c>
      <c r="AN292" s="510">
        <f t="shared" si="54"/>
        <v>0</v>
      </c>
    </row>
    <row r="293" spans="2:47" hidden="1">
      <c r="B293" s="318" t="s">
        <v>91</v>
      </c>
      <c r="C293" s="47">
        <v>0.375</v>
      </c>
      <c r="D293" s="47">
        <v>0.25</v>
      </c>
      <c r="E293" s="319">
        <v>8</v>
      </c>
      <c r="F293" s="320"/>
      <c r="G293" s="4"/>
      <c r="H293" s="47">
        <v>0.41666666666666669</v>
      </c>
      <c r="I293" s="47">
        <v>0.25</v>
      </c>
      <c r="J293" s="319">
        <v>7</v>
      </c>
      <c r="K293" s="320"/>
      <c r="L293" s="4"/>
      <c r="M293" s="47">
        <v>0.38541666666666669</v>
      </c>
      <c r="N293" s="47">
        <v>0.25</v>
      </c>
      <c r="O293" s="319">
        <v>7.75</v>
      </c>
      <c r="P293" s="320"/>
      <c r="R293" s="443"/>
      <c r="S293" s="443"/>
      <c r="T293" s="444"/>
      <c r="U293" s="320"/>
      <c r="W293" s="441">
        <v>0</v>
      </c>
      <c r="X293" s="441">
        <v>0</v>
      </c>
      <c r="Y293" s="319">
        <v>0</v>
      </c>
      <c r="Z293" s="320"/>
      <c r="AA293" s="29">
        <f t="shared" si="55"/>
        <v>22.75</v>
      </c>
      <c r="AB293" s="298">
        <f>Z293+U293+P293+K293+F293</f>
        <v>0</v>
      </c>
      <c r="AC293" s="4"/>
      <c r="AD293" s="47" t="s">
        <v>29</v>
      </c>
      <c r="AE293" s="47" t="s">
        <v>29</v>
      </c>
      <c r="AF293" s="346"/>
      <c r="AG293" s="29">
        <f t="shared" si="56"/>
        <v>0</v>
      </c>
      <c r="AJ293" s="367"/>
      <c r="AK293" s="403" t="s">
        <v>213</v>
      </c>
      <c r="AL293" s="404">
        <f>$AA$329</f>
        <v>41.5</v>
      </c>
      <c r="AM293" s="510">
        <v>50</v>
      </c>
      <c r="AN293" s="510">
        <f t="shared" si="54"/>
        <v>2075</v>
      </c>
      <c r="AQ293" s="367"/>
      <c r="AR293" s="367"/>
      <c r="AS293" s="367"/>
      <c r="AT293" s="367"/>
      <c r="AU293" s="367"/>
    </row>
    <row r="294" spans="2:47" hidden="1">
      <c r="B294" s="318" t="s">
        <v>46</v>
      </c>
      <c r="C294" s="47">
        <v>0.375</v>
      </c>
      <c r="D294" s="47">
        <v>0.25</v>
      </c>
      <c r="E294" s="319">
        <v>8</v>
      </c>
      <c r="F294" s="320"/>
      <c r="G294" s="4"/>
      <c r="H294" s="47">
        <v>0.375</v>
      </c>
      <c r="I294" s="47">
        <v>0.25</v>
      </c>
      <c r="J294" s="319">
        <v>8</v>
      </c>
      <c r="K294" s="320"/>
      <c r="L294" s="4"/>
      <c r="M294" s="47">
        <v>0.375</v>
      </c>
      <c r="N294" s="47">
        <v>0.25</v>
      </c>
      <c r="O294" s="319">
        <v>8</v>
      </c>
      <c r="P294" s="320"/>
      <c r="R294" s="443"/>
      <c r="S294" s="443"/>
      <c r="T294" s="319">
        <v>8</v>
      </c>
      <c r="U294" s="320"/>
      <c r="W294" s="443"/>
      <c r="X294" s="443"/>
      <c r="Y294" s="319">
        <v>5</v>
      </c>
      <c r="Z294" s="320"/>
      <c r="AA294" s="29">
        <f t="shared" si="55"/>
        <v>37</v>
      </c>
      <c r="AB294" s="298">
        <f>Z294+U294+P294+K294+F294</f>
        <v>0</v>
      </c>
      <c r="AC294" s="4"/>
      <c r="AD294" s="47" t="s">
        <v>29</v>
      </c>
      <c r="AE294" s="47" t="s">
        <v>29</v>
      </c>
      <c r="AF294" s="346"/>
      <c r="AG294" s="29">
        <f t="shared" si="56"/>
        <v>0</v>
      </c>
      <c r="AK294" s="188" t="s">
        <v>36</v>
      </c>
      <c r="AL294" s="196">
        <f>$AB$329</f>
        <v>1.75</v>
      </c>
      <c r="AM294" s="510">
        <v>75</v>
      </c>
      <c r="AN294" s="510">
        <f t="shared" si="54"/>
        <v>131.25</v>
      </c>
    </row>
    <row r="295" spans="2:47" hidden="1">
      <c r="B295" s="318" t="s">
        <v>43</v>
      </c>
      <c r="C295" s="443"/>
      <c r="D295" s="443"/>
      <c r="E295" s="319">
        <v>8</v>
      </c>
      <c r="F295" s="320"/>
      <c r="G295" s="4"/>
      <c r="H295" s="47">
        <v>0.375</v>
      </c>
      <c r="I295" s="47">
        <v>0.25</v>
      </c>
      <c r="J295" s="319">
        <v>8</v>
      </c>
      <c r="K295" s="320"/>
      <c r="L295" s="4"/>
      <c r="M295" s="443"/>
      <c r="N295" s="443"/>
      <c r="O295" s="319">
        <v>8</v>
      </c>
      <c r="P295" s="320"/>
      <c r="R295" s="47">
        <v>0.375</v>
      </c>
      <c r="S295" s="47">
        <v>0.25</v>
      </c>
      <c r="T295" s="319">
        <v>8</v>
      </c>
      <c r="U295" s="320"/>
      <c r="W295" s="47">
        <v>0.35416666666666669</v>
      </c>
      <c r="X295" s="47">
        <v>0.20833333333333334</v>
      </c>
      <c r="Y295" s="319">
        <v>8</v>
      </c>
      <c r="Z295" s="320"/>
      <c r="AA295" s="29">
        <f t="shared" si="55"/>
        <v>40</v>
      </c>
      <c r="AB295" s="298">
        <f t="shared" ref="AB295:AB300" si="57">Z295+U295+P295+K295+F294</f>
        <v>0</v>
      </c>
      <c r="AC295" s="4"/>
      <c r="AD295" s="47" t="s">
        <v>29</v>
      </c>
      <c r="AE295" s="47" t="s">
        <v>29</v>
      </c>
      <c r="AF295" s="346"/>
      <c r="AG295" s="29">
        <f t="shared" si="56"/>
        <v>0</v>
      </c>
      <c r="AK295" s="188" t="s">
        <v>38</v>
      </c>
      <c r="AL295" s="196">
        <f>$AG$329</f>
        <v>0</v>
      </c>
      <c r="AM295" s="510">
        <v>75</v>
      </c>
      <c r="AN295" s="510">
        <f t="shared" si="54"/>
        <v>0</v>
      </c>
    </row>
    <row r="296" spans="2:47" ht="14.25" hidden="1" thickBot="1">
      <c r="B296" s="449" t="s">
        <v>113</v>
      </c>
      <c r="C296" s="441">
        <v>0</v>
      </c>
      <c r="D296" s="441">
        <v>0</v>
      </c>
      <c r="E296" s="319">
        <v>0</v>
      </c>
      <c r="F296" s="320"/>
      <c r="G296" s="4"/>
      <c r="H296" s="47">
        <v>0.38541666666666669</v>
      </c>
      <c r="I296" s="47">
        <v>0.20833333333333334</v>
      </c>
      <c r="J296" s="319">
        <v>6.75</v>
      </c>
      <c r="K296" s="320"/>
      <c r="L296" s="4"/>
      <c r="M296" s="47">
        <v>0.38541666666666669</v>
      </c>
      <c r="N296" s="47">
        <v>0.25</v>
      </c>
      <c r="O296" s="319">
        <v>7.75</v>
      </c>
      <c r="P296" s="320"/>
      <c r="R296" s="47">
        <v>0.375</v>
      </c>
      <c r="S296" s="47">
        <v>0.25</v>
      </c>
      <c r="T296" s="319">
        <v>8</v>
      </c>
      <c r="U296" s="320"/>
      <c r="W296" s="47">
        <v>0.375</v>
      </c>
      <c r="X296" s="47">
        <v>0.1875</v>
      </c>
      <c r="Y296" s="319">
        <v>6.5</v>
      </c>
      <c r="Z296" s="320"/>
      <c r="AA296" s="29">
        <f t="shared" si="55"/>
        <v>29</v>
      </c>
      <c r="AB296" s="298">
        <f t="shared" si="57"/>
        <v>0</v>
      </c>
      <c r="AC296" s="4"/>
      <c r="AD296" s="47" t="s">
        <v>29</v>
      </c>
      <c r="AE296" s="47" t="s">
        <v>29</v>
      </c>
      <c r="AF296" s="346"/>
      <c r="AG296" s="29">
        <f t="shared" si="56"/>
        <v>0</v>
      </c>
      <c r="AK296" s="188" t="s">
        <v>41</v>
      </c>
      <c r="AL296" s="196">
        <f>$C$330</f>
        <v>111</v>
      </c>
      <c r="AM296" s="512">
        <v>45</v>
      </c>
      <c r="AN296" s="512">
        <f t="shared" si="54"/>
        <v>4995</v>
      </c>
    </row>
    <row r="297" spans="2:47" ht="14.25" hidden="1" thickTop="1">
      <c r="B297" s="318" t="s">
        <v>108</v>
      </c>
      <c r="C297" s="47">
        <v>0.375</v>
      </c>
      <c r="D297" s="47">
        <v>0.25</v>
      </c>
      <c r="E297" s="319">
        <v>8</v>
      </c>
      <c r="F297" s="320"/>
      <c r="G297" s="4"/>
      <c r="H297" s="47">
        <v>0.375</v>
      </c>
      <c r="I297" s="47">
        <v>0.25</v>
      </c>
      <c r="J297" s="319">
        <v>8</v>
      </c>
      <c r="K297" s="320"/>
      <c r="L297" s="4"/>
      <c r="M297" s="47">
        <v>0.375</v>
      </c>
      <c r="N297" s="47">
        <v>0.25</v>
      </c>
      <c r="O297" s="319">
        <v>8</v>
      </c>
      <c r="P297" s="320"/>
      <c r="R297" s="47">
        <v>0.375</v>
      </c>
      <c r="S297" s="47">
        <v>0.25</v>
      </c>
      <c r="T297" s="319">
        <v>8</v>
      </c>
      <c r="U297" s="320"/>
      <c r="W297" s="47">
        <v>0.375</v>
      </c>
      <c r="X297" s="47">
        <v>6.25E-2</v>
      </c>
      <c r="Y297" s="319">
        <v>4.5</v>
      </c>
      <c r="Z297" s="320"/>
      <c r="AA297" s="29">
        <f t="shared" si="55"/>
        <v>36.5</v>
      </c>
      <c r="AB297" s="298">
        <f t="shared" si="57"/>
        <v>0</v>
      </c>
      <c r="AC297" s="4"/>
      <c r="AD297" s="47" t="s">
        <v>29</v>
      </c>
      <c r="AE297" s="47" t="s">
        <v>29</v>
      </c>
      <c r="AF297" s="346"/>
      <c r="AG297" s="29">
        <f t="shared" si="56"/>
        <v>0</v>
      </c>
      <c r="AN297" s="510">
        <f>SUM(AN290:AN296)</f>
        <v>43519.75</v>
      </c>
    </row>
    <row r="298" spans="2:47" hidden="1">
      <c r="B298" s="318" t="s">
        <v>112</v>
      </c>
      <c r="C298" s="47">
        <v>0.38541666666666669</v>
      </c>
      <c r="D298" s="47">
        <v>0.25</v>
      </c>
      <c r="E298" s="319">
        <v>7.75</v>
      </c>
      <c r="F298" s="320"/>
      <c r="G298" s="4"/>
      <c r="H298" s="47">
        <v>0.41666666666666669</v>
      </c>
      <c r="I298" s="47">
        <v>0.25</v>
      </c>
      <c r="J298" s="319">
        <v>7</v>
      </c>
      <c r="K298" s="320"/>
      <c r="L298" s="4"/>
      <c r="M298" s="47">
        <v>0.375</v>
      </c>
      <c r="N298" s="47">
        <v>0.25</v>
      </c>
      <c r="O298" s="319">
        <v>8</v>
      </c>
      <c r="P298" s="320"/>
      <c r="R298" s="47">
        <v>0.375</v>
      </c>
      <c r="S298" s="47">
        <v>0.25</v>
      </c>
      <c r="T298" s="319">
        <v>8</v>
      </c>
      <c r="U298" s="320"/>
      <c r="W298" s="47">
        <v>0.375</v>
      </c>
      <c r="X298" s="47">
        <v>6.25E-2</v>
      </c>
      <c r="Y298" s="319">
        <v>4.5</v>
      </c>
      <c r="Z298" s="320"/>
      <c r="AA298" s="29">
        <f t="shared" si="55"/>
        <v>35.25</v>
      </c>
      <c r="AB298" s="298">
        <f t="shared" si="57"/>
        <v>0</v>
      </c>
      <c r="AC298" s="4"/>
      <c r="AD298" s="47" t="s">
        <v>29</v>
      </c>
      <c r="AE298" s="47" t="s">
        <v>29</v>
      </c>
      <c r="AF298" s="346"/>
      <c r="AG298" s="29">
        <f t="shared" si="56"/>
        <v>0</v>
      </c>
    </row>
    <row r="299" spans="2:47" hidden="1">
      <c r="B299" s="318" t="s">
        <v>52</v>
      </c>
      <c r="C299" s="47">
        <v>0.375</v>
      </c>
      <c r="D299" s="47">
        <v>0.25</v>
      </c>
      <c r="E299" s="319">
        <v>8</v>
      </c>
      <c r="F299" s="320"/>
      <c r="G299" s="4"/>
      <c r="H299" s="47">
        <v>0.375</v>
      </c>
      <c r="I299" s="47">
        <v>0.25</v>
      </c>
      <c r="J299" s="319">
        <v>8</v>
      </c>
      <c r="K299" s="320"/>
      <c r="L299" s="4"/>
      <c r="M299" s="47">
        <v>0.375</v>
      </c>
      <c r="N299" s="47">
        <v>0.25</v>
      </c>
      <c r="O299" s="319">
        <v>8</v>
      </c>
      <c r="P299" s="320"/>
      <c r="R299" s="47">
        <v>0.375</v>
      </c>
      <c r="S299" s="47">
        <v>0.25</v>
      </c>
      <c r="T299" s="319">
        <v>8</v>
      </c>
      <c r="U299" s="320"/>
      <c r="W299" s="47">
        <v>0.375</v>
      </c>
      <c r="X299" s="47">
        <v>0.125</v>
      </c>
      <c r="Y299" s="319">
        <v>5</v>
      </c>
      <c r="Z299" s="320"/>
      <c r="AA299" s="29">
        <f t="shared" si="55"/>
        <v>37</v>
      </c>
      <c r="AB299" s="298">
        <f t="shared" si="57"/>
        <v>0</v>
      </c>
      <c r="AC299" s="4"/>
      <c r="AD299" s="47" t="s">
        <v>29</v>
      </c>
      <c r="AE299" s="47" t="s">
        <v>29</v>
      </c>
      <c r="AF299" s="346"/>
      <c r="AG299" s="29">
        <f t="shared" si="56"/>
        <v>0</v>
      </c>
    </row>
    <row r="300" spans="2:47" hidden="1">
      <c r="B300" s="449" t="s">
        <v>42</v>
      </c>
      <c r="C300" s="47">
        <v>0.34375</v>
      </c>
      <c r="D300" s="47">
        <v>0.20833333333333334</v>
      </c>
      <c r="E300" s="319">
        <v>7.75</v>
      </c>
      <c r="F300" s="320"/>
      <c r="G300" s="4"/>
      <c r="H300" s="47">
        <v>0.34375</v>
      </c>
      <c r="I300" s="47">
        <v>0.20833333333333334</v>
      </c>
      <c r="J300" s="319">
        <v>7.75</v>
      </c>
      <c r="K300" s="320"/>
      <c r="L300" s="4"/>
      <c r="M300" s="47">
        <v>0.33333333333333331</v>
      </c>
      <c r="N300" s="47">
        <v>0.20833333333333334</v>
      </c>
      <c r="O300" s="319">
        <v>8</v>
      </c>
      <c r="P300" s="320"/>
      <c r="R300" s="47">
        <v>0.33333333333333331</v>
      </c>
      <c r="S300" s="47">
        <v>0.20833333333333334</v>
      </c>
      <c r="T300" s="319">
        <v>8</v>
      </c>
      <c r="U300" s="320"/>
      <c r="W300" s="443"/>
      <c r="X300" s="443"/>
      <c r="Y300" s="319">
        <v>8</v>
      </c>
      <c r="Z300" s="320"/>
      <c r="AA300" s="29">
        <f t="shared" si="55"/>
        <v>39.5</v>
      </c>
      <c r="AB300" s="298">
        <f t="shared" si="57"/>
        <v>0</v>
      </c>
      <c r="AC300" s="4"/>
      <c r="AD300" s="47" t="s">
        <v>29</v>
      </c>
      <c r="AE300" s="47" t="s">
        <v>29</v>
      </c>
      <c r="AF300" s="346"/>
      <c r="AG300" s="29">
        <f t="shared" si="56"/>
        <v>0</v>
      </c>
    </row>
    <row r="301" spans="2:47" hidden="1">
      <c r="B301" s="437" t="s">
        <v>93</v>
      </c>
      <c r="C301" s="47">
        <v>0.375</v>
      </c>
      <c r="D301" s="47">
        <v>0.25</v>
      </c>
      <c r="E301" s="319">
        <v>8</v>
      </c>
      <c r="F301" s="320"/>
      <c r="G301" s="4"/>
      <c r="H301" s="47">
        <v>0.375</v>
      </c>
      <c r="I301" s="47">
        <v>0.25</v>
      </c>
      <c r="J301" s="319">
        <v>8</v>
      </c>
      <c r="K301" s="320"/>
      <c r="L301" s="4"/>
      <c r="M301" s="47">
        <v>0.375</v>
      </c>
      <c r="N301" s="47">
        <v>0.25</v>
      </c>
      <c r="O301" s="319">
        <v>8</v>
      </c>
      <c r="P301" s="320"/>
      <c r="R301" s="47">
        <v>0.375</v>
      </c>
      <c r="S301" s="47">
        <v>0.25</v>
      </c>
      <c r="T301" s="319">
        <v>8</v>
      </c>
      <c r="U301" s="320"/>
      <c r="W301" s="47">
        <v>0.375</v>
      </c>
      <c r="X301" s="47">
        <v>6.25E-2</v>
      </c>
      <c r="Y301" s="319">
        <v>4.5</v>
      </c>
      <c r="Z301" s="320"/>
      <c r="AA301" s="29">
        <f t="shared" si="55"/>
        <v>36.5</v>
      </c>
      <c r="AB301" s="298">
        <f t="shared" ref="AB301:AB325" si="58">Z301+U301+P301+K301+F301</f>
        <v>0</v>
      </c>
      <c r="AC301" s="4"/>
      <c r="AD301" s="47" t="s">
        <v>29</v>
      </c>
      <c r="AE301" s="47" t="s">
        <v>29</v>
      </c>
      <c r="AF301" s="346"/>
      <c r="AG301" s="29">
        <f t="shared" si="56"/>
        <v>0</v>
      </c>
    </row>
    <row r="302" spans="2:47" hidden="1">
      <c r="B302" s="437" t="s">
        <v>232</v>
      </c>
      <c r="C302" s="47">
        <v>0.375</v>
      </c>
      <c r="D302" s="47">
        <v>0.25</v>
      </c>
      <c r="E302" s="319">
        <v>8</v>
      </c>
      <c r="F302" s="320"/>
      <c r="G302" s="4"/>
      <c r="H302" s="47">
        <v>0.375</v>
      </c>
      <c r="I302" s="47">
        <v>0.25</v>
      </c>
      <c r="J302" s="319">
        <v>8</v>
      </c>
      <c r="K302" s="320"/>
      <c r="L302" s="4"/>
      <c r="M302" s="47">
        <v>0.375</v>
      </c>
      <c r="N302" s="47">
        <v>0.25</v>
      </c>
      <c r="O302" s="319">
        <v>8</v>
      </c>
      <c r="P302" s="320"/>
      <c r="R302" s="47">
        <v>0.375</v>
      </c>
      <c r="S302" s="47">
        <v>0.25</v>
      </c>
      <c r="T302" s="319">
        <v>8</v>
      </c>
      <c r="U302" s="320"/>
      <c r="W302" s="47">
        <v>0.375</v>
      </c>
      <c r="X302" s="47">
        <v>8.3333333333333329E-2</v>
      </c>
      <c r="Y302" s="319">
        <v>5</v>
      </c>
      <c r="Z302" s="320"/>
      <c r="AA302" s="29">
        <f t="shared" si="55"/>
        <v>37</v>
      </c>
      <c r="AB302" s="298">
        <f t="shared" si="58"/>
        <v>0</v>
      </c>
      <c r="AC302" s="4"/>
      <c r="AD302" s="47" t="s">
        <v>29</v>
      </c>
      <c r="AE302" s="47" t="s">
        <v>29</v>
      </c>
      <c r="AF302" s="346"/>
      <c r="AG302" s="29">
        <f t="shared" si="56"/>
        <v>0</v>
      </c>
    </row>
    <row r="303" spans="2:47" hidden="1">
      <c r="B303" s="437" t="s">
        <v>234</v>
      </c>
      <c r="C303" s="47">
        <v>0.375</v>
      </c>
      <c r="D303" s="47">
        <v>0.25</v>
      </c>
      <c r="E303" s="319">
        <v>8</v>
      </c>
      <c r="F303" s="320"/>
      <c r="G303" s="4"/>
      <c r="H303" s="47">
        <v>0.375</v>
      </c>
      <c r="I303" s="47">
        <v>0.25</v>
      </c>
      <c r="J303" s="319">
        <v>8</v>
      </c>
      <c r="K303" s="320"/>
      <c r="L303" s="4"/>
      <c r="M303" s="47">
        <v>0.375</v>
      </c>
      <c r="N303" s="47">
        <v>0.25</v>
      </c>
      <c r="O303" s="319">
        <v>8</v>
      </c>
      <c r="P303" s="320"/>
      <c r="R303" s="47">
        <v>0.375</v>
      </c>
      <c r="S303" s="47">
        <v>0.25</v>
      </c>
      <c r="T303" s="319">
        <v>8</v>
      </c>
      <c r="U303" s="320"/>
      <c r="W303" s="47">
        <v>0.375</v>
      </c>
      <c r="X303" s="47">
        <v>6.25E-2</v>
      </c>
      <c r="Y303" s="319">
        <v>4.5</v>
      </c>
      <c r="Z303" s="320"/>
      <c r="AA303" s="29">
        <f t="shared" si="55"/>
        <v>36.5</v>
      </c>
      <c r="AB303" s="298">
        <f t="shared" si="58"/>
        <v>0</v>
      </c>
      <c r="AC303" s="4"/>
      <c r="AD303" s="47" t="s">
        <v>29</v>
      </c>
      <c r="AE303" s="47" t="s">
        <v>29</v>
      </c>
      <c r="AF303" s="19"/>
      <c r="AG303" s="29">
        <f t="shared" si="56"/>
        <v>0</v>
      </c>
    </row>
    <row r="304" spans="2:47" hidden="1">
      <c r="B304" s="437" t="s">
        <v>35</v>
      </c>
      <c r="C304" s="47">
        <v>0.375</v>
      </c>
      <c r="D304" s="47">
        <v>0.25</v>
      </c>
      <c r="E304" s="319">
        <v>8</v>
      </c>
      <c r="F304" s="320"/>
      <c r="G304" s="4"/>
      <c r="H304" s="47">
        <v>0.375</v>
      </c>
      <c r="I304" s="47">
        <v>0.25</v>
      </c>
      <c r="J304" s="319">
        <v>8</v>
      </c>
      <c r="K304" s="320"/>
      <c r="L304" s="4"/>
      <c r="M304" s="443"/>
      <c r="N304" s="443"/>
      <c r="O304" s="319">
        <v>8</v>
      </c>
      <c r="P304" s="320"/>
      <c r="R304" s="441">
        <v>0</v>
      </c>
      <c r="S304" s="441">
        <v>0</v>
      </c>
      <c r="T304" s="319">
        <v>0</v>
      </c>
      <c r="U304" s="320"/>
      <c r="W304" s="47">
        <v>0.375</v>
      </c>
      <c r="X304" s="47">
        <v>0.125</v>
      </c>
      <c r="Y304" s="319">
        <v>5</v>
      </c>
      <c r="Z304" s="320"/>
      <c r="AA304" s="29">
        <f t="shared" si="55"/>
        <v>29</v>
      </c>
      <c r="AB304" s="298">
        <f t="shared" si="58"/>
        <v>0</v>
      </c>
      <c r="AC304" s="4"/>
      <c r="AD304" s="47" t="s">
        <v>29</v>
      </c>
      <c r="AE304" s="47" t="s">
        <v>29</v>
      </c>
      <c r="AF304" s="19"/>
      <c r="AG304" s="29">
        <f t="shared" si="56"/>
        <v>0</v>
      </c>
    </row>
    <row r="305" spans="1:33" hidden="1">
      <c r="B305" s="437" t="s">
        <v>44</v>
      </c>
      <c r="C305" s="441">
        <v>0</v>
      </c>
      <c r="D305" s="441">
        <v>0</v>
      </c>
      <c r="E305" s="319">
        <v>0</v>
      </c>
      <c r="F305" s="320"/>
      <c r="G305" s="4"/>
      <c r="H305" s="441">
        <v>0</v>
      </c>
      <c r="I305" s="441">
        <v>0</v>
      </c>
      <c r="J305" s="319">
        <v>0</v>
      </c>
      <c r="K305" s="320"/>
      <c r="L305" s="4"/>
      <c r="M305" s="441">
        <v>0</v>
      </c>
      <c r="N305" s="441">
        <v>0</v>
      </c>
      <c r="O305" s="319">
        <v>0</v>
      </c>
      <c r="P305" s="320"/>
      <c r="R305" s="441">
        <v>0</v>
      </c>
      <c r="S305" s="441">
        <v>0</v>
      </c>
      <c r="T305" s="319">
        <v>0</v>
      </c>
      <c r="U305" s="320"/>
      <c r="W305" s="441">
        <v>0</v>
      </c>
      <c r="X305" s="441">
        <v>0</v>
      </c>
      <c r="Y305" s="319">
        <v>0</v>
      </c>
      <c r="Z305" s="320"/>
      <c r="AA305" s="29">
        <f t="shared" si="55"/>
        <v>0</v>
      </c>
      <c r="AB305" s="298">
        <f t="shared" si="58"/>
        <v>0</v>
      </c>
      <c r="AC305" s="4"/>
      <c r="AD305" s="47" t="s">
        <v>29</v>
      </c>
      <c r="AE305" s="47" t="s">
        <v>29</v>
      </c>
      <c r="AF305" s="19"/>
      <c r="AG305" s="29">
        <f t="shared" si="56"/>
        <v>0</v>
      </c>
    </row>
    <row r="306" spans="1:33" hidden="1">
      <c r="B306" s="437" t="s">
        <v>45</v>
      </c>
      <c r="C306" s="441">
        <v>0</v>
      </c>
      <c r="D306" s="441">
        <v>0</v>
      </c>
      <c r="E306" s="319">
        <v>0</v>
      </c>
      <c r="F306" s="320"/>
      <c r="G306" s="4"/>
      <c r="H306" s="441">
        <v>0</v>
      </c>
      <c r="I306" s="441">
        <v>0</v>
      </c>
      <c r="J306" s="319">
        <v>0</v>
      </c>
      <c r="K306" s="320"/>
      <c r="L306" s="4"/>
      <c r="M306" s="441">
        <v>0</v>
      </c>
      <c r="N306" s="441">
        <v>0</v>
      </c>
      <c r="O306" s="319">
        <v>0</v>
      </c>
      <c r="P306" s="320"/>
      <c r="R306" s="441">
        <v>0</v>
      </c>
      <c r="S306" s="441">
        <v>0</v>
      </c>
      <c r="T306" s="319">
        <v>0</v>
      </c>
      <c r="U306" s="320"/>
      <c r="W306" s="441">
        <v>0</v>
      </c>
      <c r="X306" s="441">
        <v>0</v>
      </c>
      <c r="Y306" s="319">
        <v>0</v>
      </c>
      <c r="Z306" s="320"/>
      <c r="AA306" s="29">
        <f t="shared" si="55"/>
        <v>0</v>
      </c>
      <c r="AB306" s="298">
        <f t="shared" si="58"/>
        <v>0</v>
      </c>
      <c r="AC306" s="4"/>
      <c r="AD306" s="47" t="s">
        <v>29</v>
      </c>
      <c r="AE306" s="47" t="s">
        <v>29</v>
      </c>
      <c r="AF306" s="19"/>
      <c r="AG306" s="29">
        <f t="shared" si="56"/>
        <v>0</v>
      </c>
    </row>
    <row r="307" spans="1:33" hidden="1">
      <c r="B307" s="437" t="s">
        <v>96</v>
      </c>
      <c r="C307" s="47">
        <v>0.375</v>
      </c>
      <c r="D307" s="47">
        <v>0.25</v>
      </c>
      <c r="E307" s="319">
        <v>8</v>
      </c>
      <c r="F307" s="320"/>
      <c r="G307" s="4"/>
      <c r="H307" s="47">
        <v>0.375</v>
      </c>
      <c r="I307" s="47">
        <v>0.25</v>
      </c>
      <c r="J307" s="319">
        <v>8</v>
      </c>
      <c r="K307" s="320"/>
      <c r="L307" s="4"/>
      <c r="M307" s="47">
        <v>0.375</v>
      </c>
      <c r="N307" s="47">
        <v>0.25</v>
      </c>
      <c r="O307" s="319">
        <v>8</v>
      </c>
      <c r="P307" s="320"/>
      <c r="R307" s="47">
        <v>0.375</v>
      </c>
      <c r="S307" s="47">
        <v>0.25</v>
      </c>
      <c r="T307" s="319">
        <v>8</v>
      </c>
      <c r="U307" s="320"/>
      <c r="W307" s="47">
        <v>0.375</v>
      </c>
      <c r="X307" s="47">
        <v>0.125</v>
      </c>
      <c r="Y307" s="319">
        <v>5</v>
      </c>
      <c r="Z307" s="320"/>
      <c r="AA307" s="29">
        <f t="shared" si="55"/>
        <v>37</v>
      </c>
      <c r="AB307" s="298">
        <f t="shared" si="58"/>
        <v>0</v>
      </c>
      <c r="AC307" s="4"/>
      <c r="AD307" s="47" t="s">
        <v>29</v>
      </c>
      <c r="AE307" s="47" t="s">
        <v>29</v>
      </c>
      <c r="AF307" s="19"/>
      <c r="AG307" s="29">
        <f t="shared" si="56"/>
        <v>0</v>
      </c>
    </row>
    <row r="308" spans="1:33" hidden="1">
      <c r="B308" s="418" t="s">
        <v>241</v>
      </c>
      <c r="C308" s="47">
        <v>0.375</v>
      </c>
      <c r="D308" s="47">
        <v>0.25</v>
      </c>
      <c r="E308" s="319">
        <v>8</v>
      </c>
      <c r="F308" s="320"/>
      <c r="G308" s="4"/>
      <c r="H308" s="47">
        <v>0.375</v>
      </c>
      <c r="I308" s="47">
        <v>0.25</v>
      </c>
      <c r="J308" s="319">
        <v>8</v>
      </c>
      <c r="K308" s="320"/>
      <c r="L308" s="4"/>
      <c r="M308" s="47">
        <v>0.375</v>
      </c>
      <c r="N308" s="47">
        <v>0.25</v>
      </c>
      <c r="O308" s="319">
        <v>8</v>
      </c>
      <c r="P308" s="320"/>
      <c r="R308" s="47">
        <v>0.375</v>
      </c>
      <c r="S308" s="47">
        <v>0.25</v>
      </c>
      <c r="T308" s="319">
        <v>8</v>
      </c>
      <c r="U308" s="320"/>
      <c r="W308" s="47">
        <v>0.375</v>
      </c>
      <c r="X308" s="47">
        <v>6.25E-2</v>
      </c>
      <c r="Y308" s="319">
        <v>4.5</v>
      </c>
      <c r="Z308" s="320"/>
      <c r="AA308" s="29">
        <f t="shared" si="55"/>
        <v>36.5</v>
      </c>
      <c r="AB308" s="298">
        <f t="shared" si="58"/>
        <v>0</v>
      </c>
      <c r="AC308" s="4"/>
      <c r="AD308" s="47" t="s">
        <v>29</v>
      </c>
      <c r="AE308" s="47" t="s">
        <v>29</v>
      </c>
      <c r="AF308" s="19"/>
      <c r="AG308" s="29">
        <f t="shared" si="56"/>
        <v>0</v>
      </c>
    </row>
    <row r="309" spans="1:33" hidden="1">
      <c r="B309" s="418" t="s">
        <v>242</v>
      </c>
      <c r="C309" s="441">
        <v>0</v>
      </c>
      <c r="D309" s="441">
        <v>0</v>
      </c>
      <c r="E309" s="319">
        <v>0</v>
      </c>
      <c r="F309" s="320"/>
      <c r="G309" s="4"/>
      <c r="H309" s="47">
        <v>0.375</v>
      </c>
      <c r="I309" s="47">
        <v>0.25</v>
      </c>
      <c r="J309" s="319">
        <v>8</v>
      </c>
      <c r="K309" s="320"/>
      <c r="L309" s="4"/>
      <c r="M309" s="47">
        <v>0.375</v>
      </c>
      <c r="N309" s="47">
        <v>0.25</v>
      </c>
      <c r="O309" s="319">
        <v>8</v>
      </c>
      <c r="P309" s="320"/>
      <c r="R309" s="47">
        <v>0.375</v>
      </c>
      <c r="S309" s="47">
        <v>0.25</v>
      </c>
      <c r="T309" s="319">
        <v>8</v>
      </c>
      <c r="U309" s="320"/>
      <c r="W309" s="47">
        <v>0.375</v>
      </c>
      <c r="X309" s="47">
        <v>6.25E-2</v>
      </c>
      <c r="Y309" s="319">
        <v>4.5</v>
      </c>
      <c r="Z309" s="320"/>
      <c r="AA309" s="29">
        <f t="shared" si="55"/>
        <v>28.5</v>
      </c>
      <c r="AB309" s="298">
        <f t="shared" ref="AB309:AB311" si="59">Z309+U309+P309+K309+F309</f>
        <v>0</v>
      </c>
      <c r="AC309" s="4"/>
      <c r="AD309" s="47" t="s">
        <v>29</v>
      </c>
      <c r="AE309" s="47" t="s">
        <v>29</v>
      </c>
      <c r="AF309" s="19"/>
      <c r="AG309" s="29">
        <f t="shared" ref="AG309:AG311" si="60">AF309</f>
        <v>0</v>
      </c>
    </row>
    <row r="310" spans="1:33" hidden="1">
      <c r="B310" s="448" t="s">
        <v>243</v>
      </c>
      <c r="C310" s="441">
        <v>0</v>
      </c>
      <c r="D310" s="441">
        <v>0</v>
      </c>
      <c r="E310" s="319">
        <v>0</v>
      </c>
      <c r="F310" s="320"/>
      <c r="G310" s="4"/>
      <c r="H310" s="47">
        <v>0.375</v>
      </c>
      <c r="I310" s="47">
        <v>0.25</v>
      </c>
      <c r="J310" s="319">
        <v>8</v>
      </c>
      <c r="K310" s="320"/>
      <c r="L310" s="4"/>
      <c r="M310" s="47">
        <v>0.375</v>
      </c>
      <c r="N310" s="47">
        <v>0.25</v>
      </c>
      <c r="O310" s="319">
        <v>8</v>
      </c>
      <c r="P310" s="320"/>
      <c r="R310" s="47">
        <v>0.375</v>
      </c>
      <c r="S310" s="47">
        <v>0.25</v>
      </c>
      <c r="T310" s="319">
        <v>8</v>
      </c>
      <c r="U310" s="320"/>
      <c r="W310" s="47">
        <v>0.375</v>
      </c>
      <c r="X310" s="47">
        <v>6.25E-2</v>
      </c>
      <c r="Y310" s="319">
        <v>4.5</v>
      </c>
      <c r="Z310" s="320"/>
      <c r="AA310" s="29">
        <f t="shared" si="55"/>
        <v>28.5</v>
      </c>
      <c r="AB310" s="298">
        <f t="shared" si="59"/>
        <v>0</v>
      </c>
      <c r="AC310" s="4"/>
      <c r="AD310" s="47" t="s">
        <v>29</v>
      </c>
      <c r="AE310" s="47" t="s">
        <v>29</v>
      </c>
      <c r="AF310" s="19"/>
      <c r="AG310" s="29">
        <f t="shared" si="60"/>
        <v>0</v>
      </c>
    </row>
    <row r="311" spans="1:33" hidden="1">
      <c r="B311" s="448" t="s">
        <v>244</v>
      </c>
      <c r="C311" s="441">
        <v>0</v>
      </c>
      <c r="D311" s="441">
        <v>0</v>
      </c>
      <c r="E311" s="319">
        <v>0</v>
      </c>
      <c r="F311" s="320"/>
      <c r="G311" s="4"/>
      <c r="H311" s="47">
        <v>0.375</v>
      </c>
      <c r="I311" s="47">
        <v>0.25</v>
      </c>
      <c r="J311" s="319">
        <v>8</v>
      </c>
      <c r="K311" s="320"/>
      <c r="L311" s="4"/>
      <c r="M311" s="47">
        <v>0.375</v>
      </c>
      <c r="N311" s="47">
        <v>0.25</v>
      </c>
      <c r="O311" s="319">
        <v>8</v>
      </c>
      <c r="P311" s="320"/>
      <c r="R311" s="47">
        <v>0.375</v>
      </c>
      <c r="S311" s="47">
        <v>0.25</v>
      </c>
      <c r="T311" s="319">
        <v>8</v>
      </c>
      <c r="U311" s="320"/>
      <c r="W311" s="47">
        <v>0.39583333333333331</v>
      </c>
      <c r="X311" s="47">
        <v>6.25E-2</v>
      </c>
      <c r="Y311" s="319">
        <v>4.5</v>
      </c>
      <c r="Z311" s="320"/>
      <c r="AA311" s="29">
        <f t="shared" si="55"/>
        <v>28.5</v>
      </c>
      <c r="AB311" s="298">
        <f t="shared" si="59"/>
        <v>0</v>
      </c>
      <c r="AC311" s="4"/>
      <c r="AD311" s="47" t="s">
        <v>29</v>
      </c>
      <c r="AE311" s="47" t="s">
        <v>29</v>
      </c>
      <c r="AF311" s="19"/>
      <c r="AG311" s="29">
        <f t="shared" si="60"/>
        <v>0</v>
      </c>
    </row>
    <row r="312" spans="1:33" hidden="1">
      <c r="A312" s="313" t="s">
        <v>245</v>
      </c>
      <c r="B312" s="437" t="s">
        <v>109</v>
      </c>
      <c r="C312" s="441">
        <v>0</v>
      </c>
      <c r="D312" s="441">
        <v>0</v>
      </c>
      <c r="E312" s="319">
        <v>0</v>
      </c>
      <c r="F312" s="320"/>
      <c r="G312" s="4"/>
      <c r="H312" s="441">
        <v>0</v>
      </c>
      <c r="I312" s="441">
        <v>0</v>
      </c>
      <c r="J312" s="319">
        <v>0</v>
      </c>
      <c r="K312" s="320"/>
      <c r="L312" s="4"/>
      <c r="M312" s="47">
        <v>0.375</v>
      </c>
      <c r="N312" s="47">
        <v>0.25</v>
      </c>
      <c r="O312" s="319">
        <v>8</v>
      </c>
      <c r="P312" s="320"/>
      <c r="R312" s="47">
        <v>0.375</v>
      </c>
      <c r="S312" s="47">
        <v>0.25</v>
      </c>
      <c r="T312" s="319">
        <v>8</v>
      </c>
      <c r="U312" s="320"/>
      <c r="W312" s="47">
        <v>0.375</v>
      </c>
      <c r="X312" s="47">
        <v>6.25E-2</v>
      </c>
      <c r="Y312" s="319">
        <v>4.5</v>
      </c>
      <c r="Z312" s="320"/>
      <c r="AA312" s="29">
        <f t="shared" si="55"/>
        <v>20.5</v>
      </c>
      <c r="AB312" s="298">
        <f t="shared" ref="AB312:AB316" si="61">Z312+U312+P312+K312+F312</f>
        <v>0</v>
      </c>
      <c r="AC312" s="4"/>
      <c r="AD312" s="47" t="s">
        <v>29</v>
      </c>
      <c r="AE312" s="47" t="s">
        <v>29</v>
      </c>
      <c r="AF312" s="19"/>
      <c r="AG312" s="29">
        <f t="shared" ref="AG312:AG316" si="62">AF312</f>
        <v>0</v>
      </c>
    </row>
    <row r="313" spans="1:33" hidden="1">
      <c r="B313" s="267" t="s">
        <v>71</v>
      </c>
      <c r="C313" s="441">
        <v>0</v>
      </c>
      <c r="D313" s="441">
        <v>0</v>
      </c>
      <c r="E313" s="319">
        <v>0</v>
      </c>
      <c r="F313" s="320"/>
      <c r="G313" s="4"/>
      <c r="H313" s="47">
        <v>0.35416666666666669</v>
      </c>
      <c r="I313" s="47">
        <v>0.22916666666666666</v>
      </c>
      <c r="J313" s="319">
        <v>8</v>
      </c>
      <c r="K313" s="320"/>
      <c r="L313" s="4"/>
      <c r="M313" s="47">
        <v>0.33333333333333331</v>
      </c>
      <c r="N313" s="47">
        <v>0.20833333333333334</v>
      </c>
      <c r="O313" s="319">
        <v>8</v>
      </c>
      <c r="P313" s="320"/>
      <c r="R313" s="47">
        <v>0.34375</v>
      </c>
      <c r="S313" s="47">
        <v>0.20833333333333334</v>
      </c>
      <c r="T313" s="319">
        <v>7.75</v>
      </c>
      <c r="U313" s="320"/>
      <c r="W313" s="47">
        <v>0.35416666666666669</v>
      </c>
      <c r="X313" s="47">
        <v>0.20833333333333334</v>
      </c>
      <c r="Y313" s="319">
        <v>6.5</v>
      </c>
      <c r="Z313" s="320"/>
      <c r="AA313" s="29">
        <f t="shared" si="55"/>
        <v>30.25</v>
      </c>
      <c r="AB313" s="298">
        <f t="shared" si="61"/>
        <v>0</v>
      </c>
      <c r="AC313" s="4"/>
      <c r="AD313" s="47" t="s">
        <v>29</v>
      </c>
      <c r="AE313" s="47" t="s">
        <v>29</v>
      </c>
      <c r="AF313" s="19"/>
      <c r="AG313" s="29">
        <f t="shared" si="62"/>
        <v>0</v>
      </c>
    </row>
    <row r="314" spans="1:33" hidden="1">
      <c r="B314" s="437" t="s">
        <v>233</v>
      </c>
      <c r="C314" s="441">
        <v>0</v>
      </c>
      <c r="D314" s="441">
        <v>0</v>
      </c>
      <c r="E314" s="319">
        <v>0</v>
      </c>
      <c r="F314" s="320"/>
      <c r="G314" s="4"/>
      <c r="H314" s="47">
        <v>0.375</v>
      </c>
      <c r="I314" s="47">
        <v>0.25</v>
      </c>
      <c r="J314" s="319">
        <v>8</v>
      </c>
      <c r="K314" s="320"/>
      <c r="L314" s="4"/>
      <c r="M314" s="443"/>
      <c r="N314" s="443"/>
      <c r="O314" s="444"/>
      <c r="P314" s="320"/>
      <c r="R314" s="47">
        <v>0.375</v>
      </c>
      <c r="S314" s="47">
        <v>0.25</v>
      </c>
      <c r="T314" s="319">
        <v>8</v>
      </c>
      <c r="U314" s="320"/>
      <c r="W314" s="47">
        <v>0.375</v>
      </c>
      <c r="X314" s="47">
        <v>6.25E-2</v>
      </c>
      <c r="Y314" s="319">
        <v>4.5</v>
      </c>
      <c r="Z314" s="320"/>
      <c r="AA314" s="29">
        <f t="shared" si="55"/>
        <v>20.5</v>
      </c>
      <c r="AB314" s="298">
        <f t="shared" si="61"/>
        <v>0</v>
      </c>
      <c r="AC314" s="4"/>
      <c r="AD314" s="47" t="s">
        <v>29</v>
      </c>
      <c r="AE314" s="47" t="s">
        <v>29</v>
      </c>
      <c r="AF314" s="19"/>
      <c r="AG314" s="29">
        <f t="shared" si="62"/>
        <v>0</v>
      </c>
    </row>
    <row r="315" spans="1:33" hidden="1">
      <c r="B315" s="437" t="s">
        <v>235</v>
      </c>
      <c r="C315" s="441">
        <v>0</v>
      </c>
      <c r="D315" s="441">
        <v>0</v>
      </c>
      <c r="E315" s="319">
        <v>0</v>
      </c>
      <c r="F315" s="320"/>
      <c r="G315" s="4"/>
      <c r="H315" s="441">
        <v>0</v>
      </c>
      <c r="I315" s="441">
        <v>0</v>
      </c>
      <c r="J315" s="319">
        <v>0</v>
      </c>
      <c r="K315" s="320"/>
      <c r="L315" s="4"/>
      <c r="M315" s="47">
        <v>0.39583333333333331</v>
      </c>
      <c r="N315" s="47">
        <v>0.25</v>
      </c>
      <c r="O315" s="319">
        <v>7.5</v>
      </c>
      <c r="P315" s="320"/>
      <c r="R315" s="47">
        <v>0.39583333333333331</v>
      </c>
      <c r="S315" s="47">
        <v>0.25</v>
      </c>
      <c r="T315" s="319">
        <v>7.5</v>
      </c>
      <c r="U315" s="320"/>
      <c r="W315" s="441">
        <v>0</v>
      </c>
      <c r="X315" s="441">
        <v>0</v>
      </c>
      <c r="Y315" s="319">
        <v>0</v>
      </c>
      <c r="Z315" s="320"/>
      <c r="AA315" s="29">
        <f t="shared" si="55"/>
        <v>15</v>
      </c>
      <c r="AB315" s="298">
        <f t="shared" si="61"/>
        <v>0</v>
      </c>
      <c r="AC315" s="4"/>
      <c r="AD315" s="47" t="s">
        <v>29</v>
      </c>
      <c r="AE315" s="47" t="s">
        <v>29</v>
      </c>
      <c r="AF315" s="19"/>
      <c r="AG315" s="29">
        <f t="shared" si="62"/>
        <v>0</v>
      </c>
    </row>
    <row r="316" spans="1:33" hidden="1">
      <c r="B316" s="437" t="s">
        <v>115</v>
      </c>
      <c r="C316" s="441">
        <v>0</v>
      </c>
      <c r="D316" s="441">
        <v>0</v>
      </c>
      <c r="E316" s="319">
        <v>0</v>
      </c>
      <c r="F316" s="320"/>
      <c r="G316" s="4"/>
      <c r="H316" s="47">
        <v>0.375</v>
      </c>
      <c r="I316" s="47">
        <v>0.25</v>
      </c>
      <c r="J316" s="319">
        <v>8</v>
      </c>
      <c r="K316" s="320"/>
      <c r="L316" s="4"/>
      <c r="M316" s="443"/>
      <c r="N316" s="443"/>
      <c r="O316" s="444"/>
      <c r="P316" s="320"/>
      <c r="R316" s="47">
        <v>0.375</v>
      </c>
      <c r="S316" s="47">
        <v>0.25</v>
      </c>
      <c r="T316" s="319">
        <v>8</v>
      </c>
      <c r="U316" s="320"/>
      <c r="W316" s="47">
        <v>0.375</v>
      </c>
      <c r="X316" s="47">
        <v>6.25E-2</v>
      </c>
      <c r="Y316" s="319">
        <v>4.5</v>
      </c>
      <c r="Z316" s="320"/>
      <c r="AA316" s="29">
        <f t="shared" si="55"/>
        <v>20.5</v>
      </c>
      <c r="AB316" s="298">
        <f t="shared" si="61"/>
        <v>0</v>
      </c>
      <c r="AC316" s="4"/>
      <c r="AD316" s="47" t="s">
        <v>29</v>
      </c>
      <c r="AE316" s="47" t="s">
        <v>29</v>
      </c>
      <c r="AF316" s="19"/>
      <c r="AG316" s="29">
        <f t="shared" si="62"/>
        <v>0</v>
      </c>
    </row>
    <row r="317" spans="1:33" hidden="1">
      <c r="B317" s="440" t="s">
        <v>54</v>
      </c>
      <c r="C317" s="47" t="s">
        <v>29</v>
      </c>
      <c r="D317" s="47" t="s">
        <v>29</v>
      </c>
      <c r="E317" s="319">
        <v>0</v>
      </c>
      <c r="F317" s="320"/>
      <c r="G317" s="4"/>
      <c r="H317" s="47" t="s">
        <v>29</v>
      </c>
      <c r="I317" s="47" t="s">
        <v>29</v>
      </c>
      <c r="J317" s="319">
        <v>0</v>
      </c>
      <c r="K317" s="320"/>
      <c r="L317" s="4"/>
      <c r="M317" s="47" t="s">
        <v>29</v>
      </c>
      <c r="N317" s="47" t="s">
        <v>29</v>
      </c>
      <c r="O317" s="319">
        <v>0</v>
      </c>
      <c r="P317" s="320"/>
      <c r="R317" s="47" t="s">
        <v>29</v>
      </c>
      <c r="S317" s="47" t="s">
        <v>29</v>
      </c>
      <c r="T317" s="319">
        <v>0</v>
      </c>
      <c r="U317" s="320"/>
      <c r="W317" s="47" t="s">
        <v>29</v>
      </c>
      <c r="X317" s="47" t="s">
        <v>29</v>
      </c>
      <c r="Y317" s="319">
        <v>0</v>
      </c>
      <c r="Z317" s="320"/>
      <c r="AA317" s="29">
        <f t="shared" si="55"/>
        <v>0</v>
      </c>
      <c r="AB317" s="298">
        <f t="shared" si="58"/>
        <v>0</v>
      </c>
      <c r="AC317" s="4"/>
      <c r="AD317" s="47" t="s">
        <v>29</v>
      </c>
      <c r="AE317" s="47" t="s">
        <v>29</v>
      </c>
      <c r="AF317" s="19"/>
      <c r="AG317" s="29">
        <f t="shared" si="56"/>
        <v>0</v>
      </c>
    </row>
    <row r="318" spans="1:33" hidden="1">
      <c r="B318" s="440" t="s">
        <v>55</v>
      </c>
      <c r="C318" s="47" t="s">
        <v>29</v>
      </c>
      <c r="D318" s="47" t="s">
        <v>29</v>
      </c>
      <c r="E318" s="319">
        <v>0</v>
      </c>
      <c r="F318" s="320"/>
      <c r="G318" s="4"/>
      <c r="H318" s="47" t="s">
        <v>29</v>
      </c>
      <c r="I318" s="47" t="s">
        <v>29</v>
      </c>
      <c r="J318" s="319">
        <v>0</v>
      </c>
      <c r="K318" s="320"/>
      <c r="L318" s="4"/>
      <c r="M318" s="47" t="s">
        <v>29</v>
      </c>
      <c r="N318" s="47" t="s">
        <v>29</v>
      </c>
      <c r="O318" s="319">
        <v>0</v>
      </c>
      <c r="P318" s="320"/>
      <c r="R318" s="47" t="s">
        <v>29</v>
      </c>
      <c r="S318" s="47" t="s">
        <v>29</v>
      </c>
      <c r="T318" s="319">
        <v>0</v>
      </c>
      <c r="U318" s="320"/>
      <c r="W318" s="47" t="s">
        <v>29</v>
      </c>
      <c r="X318" s="47" t="s">
        <v>29</v>
      </c>
      <c r="Y318" s="319">
        <v>0</v>
      </c>
      <c r="Z318" s="320"/>
      <c r="AA318" s="29">
        <f t="shared" si="55"/>
        <v>0</v>
      </c>
      <c r="AB318" s="298">
        <f t="shared" si="58"/>
        <v>0</v>
      </c>
      <c r="AC318" s="4"/>
      <c r="AD318" s="47" t="s">
        <v>29</v>
      </c>
      <c r="AE318" s="47" t="s">
        <v>29</v>
      </c>
      <c r="AF318" s="19"/>
      <c r="AG318" s="29">
        <f t="shared" si="56"/>
        <v>0</v>
      </c>
    </row>
    <row r="319" spans="1:33" hidden="1">
      <c r="B319" s="166" t="s">
        <v>48</v>
      </c>
      <c r="C319" s="16" t="s">
        <v>29</v>
      </c>
      <c r="D319" s="16" t="s">
        <v>29</v>
      </c>
      <c r="E319" s="319">
        <v>8</v>
      </c>
      <c r="F319" s="320"/>
      <c r="G319" s="4"/>
      <c r="H319" s="16" t="s">
        <v>29</v>
      </c>
      <c r="I319" s="16" t="s">
        <v>29</v>
      </c>
      <c r="J319" s="319">
        <v>8</v>
      </c>
      <c r="K319" s="320"/>
      <c r="L319" s="4"/>
      <c r="M319" s="16" t="s">
        <v>29</v>
      </c>
      <c r="N319" s="16" t="s">
        <v>29</v>
      </c>
      <c r="O319" s="319">
        <v>8</v>
      </c>
      <c r="P319" s="320"/>
      <c r="R319" s="16" t="s">
        <v>29</v>
      </c>
      <c r="S319" s="16" t="s">
        <v>29</v>
      </c>
      <c r="T319" s="319">
        <v>8</v>
      </c>
      <c r="U319" s="320"/>
      <c r="W319" s="16" t="s">
        <v>29</v>
      </c>
      <c r="X319" s="16" t="s">
        <v>29</v>
      </c>
      <c r="Y319" s="319">
        <v>8</v>
      </c>
      <c r="Z319" s="320"/>
      <c r="AA319" s="29">
        <f t="shared" si="55"/>
        <v>40</v>
      </c>
      <c r="AB319" s="298">
        <f t="shared" si="58"/>
        <v>0</v>
      </c>
      <c r="AC319" s="4"/>
      <c r="AD319" s="47" t="s">
        <v>29</v>
      </c>
      <c r="AE319" s="47" t="s">
        <v>29</v>
      </c>
      <c r="AF319" s="19"/>
      <c r="AG319" s="29">
        <f t="shared" si="56"/>
        <v>0</v>
      </c>
    </row>
    <row r="320" spans="1:33" hidden="1">
      <c r="B320" s="166" t="s">
        <v>49</v>
      </c>
      <c r="C320" s="47" t="s">
        <v>29</v>
      </c>
      <c r="D320" s="47" t="s">
        <v>29</v>
      </c>
      <c r="E320" s="319">
        <v>8</v>
      </c>
      <c r="F320" s="320"/>
      <c r="G320" s="4"/>
      <c r="H320" s="47" t="s">
        <v>29</v>
      </c>
      <c r="I320" s="47" t="s">
        <v>29</v>
      </c>
      <c r="J320" s="319">
        <v>8</v>
      </c>
      <c r="K320" s="320"/>
      <c r="L320" s="4"/>
      <c r="M320" s="47" t="s">
        <v>29</v>
      </c>
      <c r="N320" s="47" t="s">
        <v>29</v>
      </c>
      <c r="O320" s="319">
        <v>8</v>
      </c>
      <c r="P320" s="320"/>
      <c r="R320" s="47" t="s">
        <v>29</v>
      </c>
      <c r="S320" s="47" t="s">
        <v>29</v>
      </c>
      <c r="T320" s="319">
        <v>8</v>
      </c>
      <c r="U320" s="320"/>
      <c r="W320" s="47" t="s">
        <v>29</v>
      </c>
      <c r="X320" s="47" t="s">
        <v>29</v>
      </c>
      <c r="Y320" s="319">
        <v>8</v>
      </c>
      <c r="Z320" s="320"/>
      <c r="AA320" s="29">
        <f t="shared" si="55"/>
        <v>40</v>
      </c>
      <c r="AB320" s="298">
        <f t="shared" si="58"/>
        <v>0</v>
      </c>
      <c r="AC320" s="4"/>
      <c r="AD320" s="47" t="s">
        <v>29</v>
      </c>
      <c r="AE320" s="47" t="s">
        <v>29</v>
      </c>
      <c r="AF320" s="19"/>
      <c r="AG320" s="29">
        <f t="shared" si="56"/>
        <v>0</v>
      </c>
    </row>
    <row r="321" spans="2:47" hidden="1">
      <c r="B321" s="166" t="s">
        <v>107</v>
      </c>
      <c r="C321" s="47" t="s">
        <v>29</v>
      </c>
      <c r="D321" s="47" t="s">
        <v>29</v>
      </c>
      <c r="E321" s="319">
        <v>8</v>
      </c>
      <c r="F321" s="320"/>
      <c r="G321" s="4"/>
      <c r="H321" s="47" t="s">
        <v>29</v>
      </c>
      <c r="I321" s="47" t="s">
        <v>29</v>
      </c>
      <c r="J321" s="319">
        <v>8</v>
      </c>
      <c r="K321" s="320"/>
      <c r="L321" s="4"/>
      <c r="M321" s="47" t="s">
        <v>29</v>
      </c>
      <c r="N321" s="47" t="s">
        <v>29</v>
      </c>
      <c r="O321" s="319">
        <v>8</v>
      </c>
      <c r="P321" s="320"/>
      <c r="R321" s="47" t="s">
        <v>29</v>
      </c>
      <c r="S321" s="47" t="s">
        <v>29</v>
      </c>
      <c r="T321" s="319">
        <v>8</v>
      </c>
      <c r="U321" s="320"/>
      <c r="W321" s="47" t="s">
        <v>29</v>
      </c>
      <c r="X321" s="47" t="s">
        <v>29</v>
      </c>
      <c r="Y321" s="444"/>
      <c r="Z321" s="320"/>
      <c r="AA321" s="29">
        <f t="shared" si="55"/>
        <v>32</v>
      </c>
      <c r="AB321" s="298">
        <f t="shared" si="58"/>
        <v>0</v>
      </c>
      <c r="AC321" s="4"/>
      <c r="AD321" s="47" t="s">
        <v>29</v>
      </c>
      <c r="AE321" s="47" t="s">
        <v>29</v>
      </c>
      <c r="AF321" s="19"/>
      <c r="AG321" s="29">
        <f t="shared" si="56"/>
        <v>0</v>
      </c>
    </row>
    <row r="322" spans="2:47" hidden="1">
      <c r="B322" s="166" t="s">
        <v>59</v>
      </c>
      <c r="C322" s="47" t="s">
        <v>29</v>
      </c>
      <c r="D322" s="16" t="s">
        <v>29</v>
      </c>
      <c r="E322" s="319">
        <v>8</v>
      </c>
      <c r="F322" s="320"/>
      <c r="G322" s="4"/>
      <c r="H322" s="47" t="s">
        <v>29</v>
      </c>
      <c r="I322" s="16" t="s">
        <v>29</v>
      </c>
      <c r="J322" s="319">
        <v>8</v>
      </c>
      <c r="K322" s="320"/>
      <c r="L322" s="4"/>
      <c r="M322" s="47" t="s">
        <v>29</v>
      </c>
      <c r="N322" s="16" t="s">
        <v>29</v>
      </c>
      <c r="O322" s="319">
        <v>8</v>
      </c>
      <c r="P322" s="320"/>
      <c r="R322" s="47" t="s">
        <v>29</v>
      </c>
      <c r="S322" s="16" t="s">
        <v>29</v>
      </c>
      <c r="T322" s="319">
        <v>8</v>
      </c>
      <c r="U322" s="320"/>
      <c r="W322" s="47" t="s">
        <v>29</v>
      </c>
      <c r="X322" s="16" t="s">
        <v>29</v>
      </c>
      <c r="Y322" s="319">
        <v>8</v>
      </c>
      <c r="Z322" s="320"/>
      <c r="AA322" s="29">
        <f t="shared" si="55"/>
        <v>40</v>
      </c>
      <c r="AB322" s="298">
        <f t="shared" si="58"/>
        <v>0</v>
      </c>
      <c r="AC322" s="4"/>
      <c r="AD322" s="47" t="s">
        <v>29</v>
      </c>
      <c r="AE322" s="47" t="s">
        <v>29</v>
      </c>
      <c r="AF322" s="19"/>
      <c r="AG322" s="29">
        <f t="shared" si="56"/>
        <v>0</v>
      </c>
    </row>
    <row r="323" spans="2:47" hidden="1">
      <c r="B323" s="166" t="s">
        <v>60</v>
      </c>
      <c r="C323" s="16" t="s">
        <v>29</v>
      </c>
      <c r="D323" s="16" t="s">
        <v>29</v>
      </c>
      <c r="E323" s="319">
        <v>8</v>
      </c>
      <c r="F323" s="320"/>
      <c r="G323" s="4"/>
      <c r="H323" s="16" t="s">
        <v>29</v>
      </c>
      <c r="I323" s="16" t="s">
        <v>29</v>
      </c>
      <c r="J323" s="319">
        <v>8</v>
      </c>
      <c r="K323" s="320"/>
      <c r="L323" s="4"/>
      <c r="M323" s="16" t="s">
        <v>29</v>
      </c>
      <c r="N323" s="16" t="s">
        <v>29</v>
      </c>
      <c r="O323" s="319">
        <v>8</v>
      </c>
      <c r="P323" s="320"/>
      <c r="R323" s="16" t="s">
        <v>29</v>
      </c>
      <c r="S323" s="16" t="s">
        <v>29</v>
      </c>
      <c r="T323" s="319">
        <v>8</v>
      </c>
      <c r="U323" s="320"/>
      <c r="W323" s="16" t="s">
        <v>29</v>
      </c>
      <c r="X323" s="16" t="s">
        <v>29</v>
      </c>
      <c r="Y323" s="319">
        <v>8</v>
      </c>
      <c r="Z323" s="320"/>
      <c r="AA323" s="29">
        <f t="shared" si="55"/>
        <v>40</v>
      </c>
      <c r="AB323" s="298">
        <f t="shared" si="58"/>
        <v>0</v>
      </c>
      <c r="AC323" s="4"/>
      <c r="AD323" s="47" t="s">
        <v>29</v>
      </c>
      <c r="AE323" s="47" t="s">
        <v>29</v>
      </c>
      <c r="AF323" s="19"/>
      <c r="AG323" s="29">
        <f t="shared" si="56"/>
        <v>0</v>
      </c>
    </row>
    <row r="324" spans="2:47" hidden="1">
      <c r="B324" s="63" t="s">
        <v>63</v>
      </c>
      <c r="C324" s="12" t="s">
        <v>29</v>
      </c>
      <c r="D324" s="12" t="s">
        <v>29</v>
      </c>
      <c r="E324" s="319">
        <v>0</v>
      </c>
      <c r="F324" s="320"/>
      <c r="G324" s="438"/>
      <c r="H324" s="12" t="s">
        <v>29</v>
      </c>
      <c r="I324" s="12" t="s">
        <v>29</v>
      </c>
      <c r="J324" s="319">
        <v>0</v>
      </c>
      <c r="K324" s="320"/>
      <c r="L324" s="438"/>
      <c r="M324" s="12" t="s">
        <v>29</v>
      </c>
      <c r="N324" s="12" t="s">
        <v>29</v>
      </c>
      <c r="O324" s="319">
        <v>0</v>
      </c>
      <c r="P324" s="320"/>
      <c r="Q324" s="438"/>
      <c r="R324" s="12" t="s">
        <v>29</v>
      </c>
      <c r="S324" s="12" t="s">
        <v>29</v>
      </c>
      <c r="T324" s="319">
        <v>0</v>
      </c>
      <c r="U324" s="320"/>
      <c r="V324" s="438"/>
      <c r="W324" s="12" t="s">
        <v>29</v>
      </c>
      <c r="X324" s="12" t="s">
        <v>29</v>
      </c>
      <c r="Y324" s="319">
        <v>0</v>
      </c>
      <c r="Z324" s="320"/>
      <c r="AA324" s="29">
        <f t="shared" si="55"/>
        <v>0</v>
      </c>
      <c r="AB324" s="298">
        <f t="shared" si="58"/>
        <v>0</v>
      </c>
      <c r="AC324" s="4"/>
      <c r="AD324" s="47" t="s">
        <v>29</v>
      </c>
      <c r="AE324" s="47" t="s">
        <v>29</v>
      </c>
      <c r="AF324" s="19"/>
      <c r="AG324" s="29">
        <f t="shared" si="56"/>
        <v>0</v>
      </c>
      <c r="AK324" s="407"/>
    </row>
    <row r="325" spans="2:47" hidden="1">
      <c r="B325" s="63" t="s">
        <v>62</v>
      </c>
      <c r="C325" s="16" t="s">
        <v>29</v>
      </c>
      <c r="D325" s="16" t="s">
        <v>29</v>
      </c>
      <c r="E325" s="319">
        <v>5</v>
      </c>
      <c r="F325" s="320"/>
      <c r="G325" s="438"/>
      <c r="H325" s="16" t="s">
        <v>29</v>
      </c>
      <c r="I325" s="16" t="s">
        <v>29</v>
      </c>
      <c r="J325" s="319">
        <v>5</v>
      </c>
      <c r="K325" s="320"/>
      <c r="L325" s="438"/>
      <c r="M325" s="16" t="s">
        <v>29</v>
      </c>
      <c r="N325" s="16" t="s">
        <v>29</v>
      </c>
      <c r="O325" s="319">
        <v>5</v>
      </c>
      <c r="P325" s="320"/>
      <c r="Q325" s="438"/>
      <c r="R325" s="16" t="s">
        <v>29</v>
      </c>
      <c r="S325" s="16" t="s">
        <v>29</v>
      </c>
      <c r="T325" s="319">
        <v>5</v>
      </c>
      <c r="U325" s="320"/>
      <c r="V325" s="438"/>
      <c r="W325" s="16" t="s">
        <v>29</v>
      </c>
      <c r="X325" s="16" t="s">
        <v>29</v>
      </c>
      <c r="Y325" s="319">
        <v>5</v>
      </c>
      <c r="Z325" s="320"/>
      <c r="AA325" s="29">
        <f t="shared" si="55"/>
        <v>25</v>
      </c>
      <c r="AB325" s="298">
        <f t="shared" si="58"/>
        <v>0</v>
      </c>
      <c r="AC325" s="4"/>
      <c r="AD325" s="47" t="s">
        <v>29</v>
      </c>
      <c r="AE325" s="47" t="s">
        <v>29</v>
      </c>
      <c r="AF325" s="19"/>
      <c r="AG325" s="29">
        <v>0</v>
      </c>
    </row>
    <row r="326" spans="2:47" hidden="1">
      <c r="B326" s="64" t="s">
        <v>61</v>
      </c>
      <c r="C326" s="31"/>
      <c r="D326" s="31"/>
      <c r="E326" s="439">
        <f>SUM(E291:E325)</f>
        <v>155.75</v>
      </c>
      <c r="F326" s="320">
        <f>SUM(F291:F318)</f>
        <v>0</v>
      </c>
      <c r="G326" s="31"/>
      <c r="H326" s="31"/>
      <c r="I326" s="31"/>
      <c r="J326" s="439">
        <f>SUM(J291:J325)</f>
        <v>208.5</v>
      </c>
      <c r="K326" s="320">
        <f>SUM(K291:K318)</f>
        <v>0</v>
      </c>
      <c r="L326" s="31"/>
      <c r="M326" s="31"/>
      <c r="N326" s="31"/>
      <c r="O326" s="439">
        <f>SUM(O291:O325)</f>
        <v>220</v>
      </c>
      <c r="P326" s="320">
        <f>SUM(P291:P323)</f>
        <v>0</v>
      </c>
      <c r="Q326" s="31"/>
      <c r="R326" s="439"/>
      <c r="S326" s="31"/>
      <c r="T326" s="439">
        <f>SUM(T291:T325)</f>
        <v>219.5</v>
      </c>
      <c r="U326" s="320">
        <f>SUM(U291:U323)</f>
        <v>0</v>
      </c>
      <c r="V326" s="31"/>
      <c r="W326" s="439"/>
      <c r="X326" s="31"/>
      <c r="Y326" s="439">
        <f>SUM(Y291:Y325)</f>
        <v>152</v>
      </c>
      <c r="Z326" s="320">
        <f>SUM(Z291:Z318)</f>
        <v>0</v>
      </c>
      <c r="AA326" s="370">
        <f>SUM(AA291:AA325)</f>
        <v>955.75</v>
      </c>
      <c r="AB326" s="370">
        <f>SUM(AB291:AB325)</f>
        <v>0</v>
      </c>
      <c r="AC326" s="4"/>
      <c r="AD326" s="64"/>
      <c r="AE326" s="64"/>
      <c r="AF326" s="167">
        <f>SUM(AF291:AF325)</f>
        <v>0</v>
      </c>
      <c r="AG326" s="370">
        <f>SUM(AG291:AG318)</f>
        <v>0</v>
      </c>
    </row>
    <row r="327" spans="2:47" hidden="1">
      <c r="B327" s="63" t="s">
        <v>64</v>
      </c>
      <c r="C327" s="56"/>
      <c r="D327" s="56"/>
      <c r="E327" s="19">
        <v>6</v>
      </c>
      <c r="F327" s="291"/>
      <c r="G327" s="60"/>
      <c r="H327" s="56"/>
      <c r="I327" s="56"/>
      <c r="J327" s="19">
        <v>6.5</v>
      </c>
      <c r="K327" s="291"/>
      <c r="L327" s="60"/>
      <c r="M327" s="56"/>
      <c r="N327" s="56"/>
      <c r="O327" s="19">
        <v>5</v>
      </c>
      <c r="P327" s="19"/>
      <c r="Q327" s="60"/>
      <c r="R327" s="56"/>
      <c r="S327" s="56"/>
      <c r="T327" s="19">
        <v>6</v>
      </c>
      <c r="U327" s="19">
        <v>0.75</v>
      </c>
      <c r="V327" s="60"/>
      <c r="W327" s="56"/>
      <c r="X327" s="56"/>
      <c r="Y327" s="19">
        <v>8</v>
      </c>
      <c r="Z327" s="19">
        <v>1</v>
      </c>
      <c r="AA327" s="28">
        <f>SUM(E327+J327+O327+T327+Y327)</f>
        <v>31.5</v>
      </c>
      <c r="AB327" s="296">
        <f>Z327+U327+P327+K327+F327</f>
        <v>1.75</v>
      </c>
      <c r="AC327" s="4"/>
      <c r="AD327" s="56"/>
      <c r="AE327" s="56"/>
      <c r="AF327" s="19"/>
      <c r="AG327" s="29">
        <f>AF327</f>
        <v>0</v>
      </c>
    </row>
    <row r="328" spans="2:47" hidden="1">
      <c r="B328" s="63" t="s">
        <v>110</v>
      </c>
      <c r="C328" s="56"/>
      <c r="D328" s="56"/>
      <c r="E328" s="19">
        <v>0</v>
      </c>
      <c r="F328" s="291"/>
      <c r="G328" s="60"/>
      <c r="H328" s="56"/>
      <c r="I328" s="56"/>
      <c r="J328" s="19">
        <v>0</v>
      </c>
      <c r="K328" s="291"/>
      <c r="L328" s="60"/>
      <c r="M328" s="56"/>
      <c r="N328" s="56"/>
      <c r="O328" s="19">
        <v>2</v>
      </c>
      <c r="P328" s="19"/>
      <c r="Q328" s="60"/>
      <c r="R328" s="56"/>
      <c r="S328" s="56"/>
      <c r="T328" s="19">
        <v>4</v>
      </c>
      <c r="U328" s="19"/>
      <c r="V328" s="60"/>
      <c r="W328" s="56"/>
      <c r="X328" s="56"/>
      <c r="Y328" s="19">
        <v>4</v>
      </c>
      <c r="Z328" s="19"/>
      <c r="AA328" s="28">
        <f>SUM(E328+J328+O328+T328+Y328)</f>
        <v>10</v>
      </c>
      <c r="AB328" s="296">
        <f>Z328+U328+P328+K328+F328</f>
        <v>0</v>
      </c>
      <c r="AC328" s="4"/>
      <c r="AD328" s="56"/>
      <c r="AE328" s="56"/>
      <c r="AF328" s="19"/>
      <c r="AG328" s="29">
        <f>AF328</f>
        <v>0</v>
      </c>
    </row>
    <row r="329" spans="2:47" hidden="1">
      <c r="B329" s="71" t="s">
        <v>66</v>
      </c>
      <c r="C329" s="371"/>
      <c r="D329" s="371"/>
      <c r="E329" s="71">
        <f t="shared" ref="E329:AB329" si="63">SUM(E327:E328)</f>
        <v>6</v>
      </c>
      <c r="F329" s="71">
        <f t="shared" si="63"/>
        <v>0</v>
      </c>
      <c r="G329" s="71">
        <f t="shared" si="63"/>
        <v>0</v>
      </c>
      <c r="H329" s="71">
        <f t="shared" si="63"/>
        <v>0</v>
      </c>
      <c r="I329" s="71">
        <f t="shared" si="63"/>
        <v>0</v>
      </c>
      <c r="J329" s="71">
        <f t="shared" si="63"/>
        <v>6.5</v>
      </c>
      <c r="K329" s="71">
        <f t="shared" si="63"/>
        <v>0</v>
      </c>
      <c r="L329" s="71">
        <f t="shared" si="63"/>
        <v>0</v>
      </c>
      <c r="M329" s="71">
        <f t="shared" si="63"/>
        <v>0</v>
      </c>
      <c r="N329" s="71">
        <f t="shared" si="63"/>
        <v>0</v>
      </c>
      <c r="O329" s="71">
        <f t="shared" si="63"/>
        <v>7</v>
      </c>
      <c r="P329" s="71">
        <f t="shared" si="63"/>
        <v>0</v>
      </c>
      <c r="Q329" s="71">
        <f t="shared" si="63"/>
        <v>0</v>
      </c>
      <c r="R329" s="71">
        <f t="shared" si="63"/>
        <v>0</v>
      </c>
      <c r="S329" s="71">
        <f t="shared" si="63"/>
        <v>0</v>
      </c>
      <c r="T329" s="71">
        <f t="shared" si="63"/>
        <v>10</v>
      </c>
      <c r="U329" s="71">
        <f t="shared" si="63"/>
        <v>0.75</v>
      </c>
      <c r="V329" s="71">
        <f t="shared" si="63"/>
        <v>0</v>
      </c>
      <c r="W329" s="71">
        <f t="shared" si="63"/>
        <v>0</v>
      </c>
      <c r="X329" s="71">
        <f t="shared" si="63"/>
        <v>0</v>
      </c>
      <c r="Y329" s="71">
        <f t="shared" si="63"/>
        <v>12</v>
      </c>
      <c r="Z329" s="71">
        <f t="shared" si="63"/>
        <v>1</v>
      </c>
      <c r="AA329" s="370">
        <f t="shared" si="63"/>
        <v>41.5</v>
      </c>
      <c r="AB329" s="370">
        <f t="shared" si="63"/>
        <v>1.75</v>
      </c>
      <c r="AC329" s="4"/>
      <c r="AG329" s="370">
        <f>SUM(AG327:AG328)</f>
        <v>0</v>
      </c>
    </row>
    <row r="330" spans="2:47" hidden="1">
      <c r="B330" s="217" t="s">
        <v>67</v>
      </c>
      <c r="C330" s="207">
        <f>C331+C332</f>
        <v>111</v>
      </c>
      <c r="D330" s="207"/>
      <c r="E330" s="209"/>
      <c r="F330" s="209"/>
      <c r="G330" s="207"/>
      <c r="H330" s="209"/>
      <c r="I330" s="209"/>
      <c r="J330" s="209"/>
      <c r="K330" s="209"/>
      <c r="L330" s="207"/>
      <c r="M330" s="207"/>
      <c r="N330" s="207"/>
      <c r="O330" s="207"/>
      <c r="P330" s="209"/>
      <c r="Q330" s="207"/>
      <c r="R330" s="207"/>
      <c r="S330" s="207"/>
      <c r="T330" s="207"/>
      <c r="U330" s="209"/>
      <c r="V330" s="207"/>
      <c r="W330" s="207"/>
      <c r="X330" s="207"/>
      <c r="Y330" s="210"/>
      <c r="Z330" s="209"/>
      <c r="AA330" s="211"/>
      <c r="AB330" s="209"/>
      <c r="AC330" s="211"/>
      <c r="AD330" s="211"/>
      <c r="AE330" s="211"/>
      <c r="AF330" s="211"/>
      <c r="AG330" s="211"/>
    </row>
    <row r="331" spans="2:47" hidden="1">
      <c r="B331" s="238" t="s">
        <v>68</v>
      </c>
      <c r="C331" s="239">
        <f>12+17+18+18+18</f>
        <v>83</v>
      </c>
      <c r="D331" s="207"/>
      <c r="E331" s="209"/>
      <c r="F331" s="209"/>
      <c r="G331" s="207"/>
      <c r="H331" s="209"/>
      <c r="I331" s="209"/>
      <c r="J331" s="209"/>
      <c r="K331" s="209"/>
      <c r="L331" s="207"/>
      <c r="M331" s="207"/>
      <c r="N331" s="207"/>
      <c r="O331" s="207"/>
      <c r="P331" s="209"/>
      <c r="Q331" s="207"/>
      <c r="R331" s="207"/>
      <c r="S331" s="207"/>
      <c r="T331" s="207"/>
      <c r="U331" s="209"/>
      <c r="V331" s="207"/>
      <c r="W331" s="207"/>
      <c r="X331" s="207"/>
      <c r="Y331" s="210"/>
      <c r="Z331" s="209"/>
      <c r="AA331" s="211"/>
      <c r="AB331" s="209"/>
      <c r="AC331" s="211"/>
      <c r="AD331" s="211"/>
      <c r="AE331" s="211"/>
      <c r="AF331" s="211"/>
      <c r="AG331" s="211"/>
    </row>
    <row r="332" spans="2:47" hidden="1">
      <c r="B332" s="238" t="s">
        <v>69</v>
      </c>
      <c r="C332" s="239">
        <f>2+6+6+7+7</f>
        <v>28</v>
      </c>
      <c r="D332" s="207"/>
      <c r="E332" s="209"/>
      <c r="F332" s="209"/>
      <c r="G332" s="207"/>
      <c r="H332" s="209"/>
      <c r="I332" s="209"/>
      <c r="J332" s="209"/>
      <c r="K332" s="209"/>
      <c r="L332" s="207"/>
      <c r="M332" s="207"/>
      <c r="N332" s="207"/>
      <c r="O332" s="207"/>
      <c r="P332" s="209"/>
      <c r="Q332" s="207"/>
      <c r="R332" s="207"/>
      <c r="S332" s="207"/>
      <c r="T332" s="207"/>
      <c r="U332" s="209"/>
      <c r="V332" s="207"/>
      <c r="W332" s="207"/>
      <c r="X332" s="207"/>
      <c r="Y332" s="210"/>
      <c r="Z332" s="209"/>
      <c r="AA332" s="211"/>
      <c r="AB332" s="209"/>
      <c r="AC332" s="211"/>
      <c r="AD332" s="211"/>
      <c r="AE332" s="211"/>
      <c r="AF332" s="211"/>
      <c r="AG332" s="211"/>
    </row>
    <row r="333" spans="2:47" hidden="1">
      <c r="E333" s="4"/>
      <c r="F333" s="4"/>
      <c r="G333" s="4"/>
      <c r="J333" s="4"/>
      <c r="K333" s="4"/>
      <c r="L333" s="4"/>
      <c r="O333" s="4"/>
      <c r="P333" s="4"/>
      <c r="T333" s="4"/>
      <c r="U333" s="4"/>
      <c r="Y333" s="4"/>
      <c r="Z333" s="4"/>
      <c r="AA333" s="4"/>
      <c r="AB333" s="4"/>
      <c r="AC333" s="4"/>
    </row>
    <row r="334" spans="2:47" hidden="1">
      <c r="B334" s="229"/>
      <c r="C334" s="230"/>
      <c r="D334" s="230"/>
      <c r="E334" s="232"/>
      <c r="F334" s="232"/>
      <c r="G334" s="230"/>
      <c r="H334" s="232"/>
      <c r="I334" s="232"/>
      <c r="J334" s="232"/>
      <c r="K334" s="232"/>
      <c r="L334" s="230"/>
      <c r="M334" s="230"/>
      <c r="N334" s="230"/>
      <c r="O334" s="230"/>
      <c r="P334" s="232"/>
      <c r="Q334" s="230"/>
      <c r="R334" s="230"/>
      <c r="S334" s="230"/>
      <c r="T334" s="230"/>
      <c r="U334" s="232"/>
      <c r="V334" s="230"/>
      <c r="W334" s="230"/>
      <c r="X334" s="230"/>
      <c r="Y334" s="233"/>
      <c r="Z334" s="232"/>
      <c r="AA334" s="234"/>
      <c r="AB334" s="232"/>
      <c r="AC334" s="373"/>
      <c r="AD334" s="236"/>
      <c r="AE334" s="255"/>
      <c r="AF334" s="255"/>
      <c r="AG334" s="255"/>
      <c r="AH334" s="255"/>
      <c r="AJ334" s="255"/>
      <c r="AK334" s="255"/>
      <c r="AL334" s="255"/>
      <c r="AM334" s="255"/>
      <c r="AN334" s="255"/>
      <c r="AO334" s="255"/>
      <c r="AP334" s="255"/>
      <c r="AQ334" s="255"/>
      <c r="AR334" s="255"/>
      <c r="AS334" s="255"/>
      <c r="AT334" s="255"/>
      <c r="AU334" s="255"/>
    </row>
    <row r="335" spans="2:47" hidden="1">
      <c r="B335" s="180"/>
      <c r="E335" s="4"/>
      <c r="F335" s="4"/>
      <c r="G335" s="4"/>
      <c r="J335" s="4"/>
      <c r="K335" s="4"/>
      <c r="L335" s="4"/>
      <c r="O335" s="4"/>
      <c r="P335" s="4"/>
      <c r="T335" s="4"/>
      <c r="U335" s="4"/>
      <c r="Y335" s="4"/>
      <c r="Z335" s="4"/>
      <c r="AA335" s="4"/>
      <c r="AB335" s="4"/>
      <c r="AC335" s="4"/>
      <c r="AK335" s="180"/>
      <c r="AL335" s="180"/>
      <c r="AM335" s="180"/>
      <c r="AN335" s="180"/>
      <c r="AO335" s="180"/>
      <c r="AP335" s="180"/>
    </row>
    <row r="336" spans="2:47" hidden="1">
      <c r="B336" s="1518" t="s">
        <v>18</v>
      </c>
      <c r="C336" s="1519">
        <v>45362</v>
      </c>
      <c r="D336" s="1519"/>
      <c r="E336" s="1519"/>
      <c r="F336" s="1519"/>
      <c r="G336" s="365"/>
      <c r="H336" s="1519">
        <v>45363</v>
      </c>
      <c r="I336" s="1519"/>
      <c r="J336" s="1519"/>
      <c r="K336" s="1519"/>
      <c r="L336" s="365">
        <v>45343</v>
      </c>
      <c r="M336" s="1519">
        <v>45364</v>
      </c>
      <c r="N336" s="1519"/>
      <c r="O336" s="1519"/>
      <c r="P336" s="1519"/>
      <c r="Q336" s="365"/>
      <c r="R336" s="1519">
        <v>45365</v>
      </c>
      <c r="S336" s="1519"/>
      <c r="T336" s="1519"/>
      <c r="U336" s="1519"/>
      <c r="V336" s="365"/>
      <c r="W336" s="1519">
        <v>45366</v>
      </c>
      <c r="X336" s="1519"/>
      <c r="Y336" s="1519"/>
      <c r="Z336" s="1519"/>
      <c r="AA336" s="1517" t="s">
        <v>19</v>
      </c>
      <c r="AB336" s="1517" t="s">
        <v>20</v>
      </c>
      <c r="AC336" s="4"/>
      <c r="AD336" s="1519">
        <v>45367</v>
      </c>
      <c r="AE336" s="1519"/>
      <c r="AF336" s="1519"/>
      <c r="AG336" s="1517" t="s">
        <v>21</v>
      </c>
      <c r="AI336" s="368"/>
      <c r="AK336" s="194" t="s">
        <v>84</v>
      </c>
      <c r="AL336" s="366"/>
      <c r="AM336" s="366"/>
      <c r="AN336" s="366"/>
      <c r="AO336" s="366"/>
      <c r="AP336" s="366"/>
    </row>
    <row r="337" spans="2:47" hidden="1">
      <c r="B337" s="1518"/>
      <c r="C337" s="21" t="s">
        <v>23</v>
      </c>
      <c r="D337" s="21" t="s">
        <v>24</v>
      </c>
      <c r="E337" s="205" t="s">
        <v>25</v>
      </c>
      <c r="F337" s="18" t="s">
        <v>14</v>
      </c>
      <c r="G337" s="4"/>
      <c r="H337" s="21" t="s">
        <v>23</v>
      </c>
      <c r="I337" s="21" t="s">
        <v>24</v>
      </c>
      <c r="J337" s="18" t="s">
        <v>25</v>
      </c>
      <c r="K337" s="18" t="s">
        <v>14</v>
      </c>
      <c r="L337" s="4"/>
      <c r="M337" s="21" t="s">
        <v>23</v>
      </c>
      <c r="N337" s="21" t="s">
        <v>24</v>
      </c>
      <c r="O337" s="18" t="s">
        <v>25</v>
      </c>
      <c r="P337" s="18" t="s">
        <v>14</v>
      </c>
      <c r="R337" s="484" t="s">
        <v>23</v>
      </c>
      <c r="S337" s="21" t="s">
        <v>24</v>
      </c>
      <c r="T337" s="18" t="s">
        <v>25</v>
      </c>
      <c r="U337" s="18" t="s">
        <v>14</v>
      </c>
      <c r="W337" s="484" t="s">
        <v>23</v>
      </c>
      <c r="X337" s="21" t="s">
        <v>24</v>
      </c>
      <c r="Y337" s="18" t="s">
        <v>25</v>
      </c>
      <c r="Z337" s="18" t="s">
        <v>14</v>
      </c>
      <c r="AA337" s="1517"/>
      <c r="AB337" s="1517"/>
      <c r="AC337" s="4"/>
      <c r="AD337" s="21" t="s">
        <v>23</v>
      </c>
      <c r="AE337" s="21" t="s">
        <v>24</v>
      </c>
      <c r="AF337" s="18" t="s">
        <v>25</v>
      </c>
      <c r="AG337" s="1517"/>
      <c r="AI337" s="368"/>
      <c r="AJ337" s="367"/>
      <c r="AK337" s="188" t="s">
        <v>26</v>
      </c>
      <c r="AL337" s="196">
        <f>$AA$374</f>
        <v>936.25</v>
      </c>
      <c r="AM337" s="510">
        <v>38</v>
      </c>
      <c r="AN337" s="510">
        <f t="shared" ref="AN337:AN343" si="64">AL337*AM337</f>
        <v>35577.5</v>
      </c>
      <c r="AQ337" s="367"/>
      <c r="AR337" s="367"/>
      <c r="AS337" s="367"/>
      <c r="AT337" s="367"/>
      <c r="AU337" s="367"/>
    </row>
    <row r="338" spans="2:47" hidden="1">
      <c r="B338" s="449" t="s">
        <v>72</v>
      </c>
      <c r="C338" s="47">
        <v>0.34375</v>
      </c>
      <c r="D338" s="47">
        <v>0.20833333333333334</v>
      </c>
      <c r="E338" s="319">
        <v>7.75</v>
      </c>
      <c r="F338" s="320"/>
      <c r="G338" s="4"/>
      <c r="H338" s="47">
        <v>0.35416666666666669</v>
      </c>
      <c r="I338" s="47">
        <v>0.20833333333333334</v>
      </c>
      <c r="J338" s="319">
        <v>7.5</v>
      </c>
      <c r="K338" s="320"/>
      <c r="L338" s="4"/>
      <c r="M338" s="47">
        <v>0.35416666666666669</v>
      </c>
      <c r="N338" s="47">
        <v>0.20833333333333334</v>
      </c>
      <c r="O338" s="319">
        <v>7.5</v>
      </c>
      <c r="P338" s="320"/>
      <c r="R338" s="47">
        <v>0.33333333333333331</v>
      </c>
      <c r="S338" s="47">
        <v>0.20833333333333334</v>
      </c>
      <c r="T338" s="319">
        <v>8</v>
      </c>
      <c r="U338" s="320"/>
      <c r="W338" s="443"/>
      <c r="X338" s="447"/>
      <c r="Y338" s="444"/>
      <c r="Z338" s="320"/>
      <c r="AA338" s="29">
        <f t="shared" ref="AA338:AA373" si="65">(E338+J338+O338+T338+Y338)</f>
        <v>30.75</v>
      </c>
      <c r="AB338" s="298">
        <f>Z338+U338+P338+K338+F338</f>
        <v>0</v>
      </c>
      <c r="AC338" s="399"/>
      <c r="AD338" s="47" t="s">
        <v>29</v>
      </c>
      <c r="AE338" s="47" t="s">
        <v>29</v>
      </c>
      <c r="AF338" s="346"/>
      <c r="AG338" s="29">
        <f t="shared" ref="AG338:AG372" si="66">AF338</f>
        <v>0</v>
      </c>
      <c r="AH338" s="175"/>
      <c r="AJ338" s="401"/>
      <c r="AK338" s="188" t="s">
        <v>30</v>
      </c>
      <c r="AL338" s="196">
        <f>$AB$374</f>
        <v>0</v>
      </c>
      <c r="AM338" s="511">
        <v>57</v>
      </c>
      <c r="AN338" s="510">
        <f t="shared" si="64"/>
        <v>0</v>
      </c>
      <c r="AO338" s="405"/>
      <c r="AP338" s="405"/>
      <c r="AQ338" s="401"/>
      <c r="AR338" s="401"/>
      <c r="AS338" s="401"/>
      <c r="AT338" s="401"/>
      <c r="AU338" s="401"/>
    </row>
    <row r="339" spans="2:47" hidden="1">
      <c r="B339" s="318" t="s">
        <v>53</v>
      </c>
      <c r="C339" s="441">
        <v>0</v>
      </c>
      <c r="D339" s="441">
        <v>0</v>
      </c>
      <c r="E339" s="319">
        <v>0</v>
      </c>
      <c r="F339" s="320"/>
      <c r="G339" s="4"/>
      <c r="H339" s="47">
        <v>0.39583333333333331</v>
      </c>
      <c r="I339" s="441" t="s">
        <v>246</v>
      </c>
      <c r="J339" s="319">
        <v>7.5</v>
      </c>
      <c r="K339" s="320"/>
      <c r="L339" s="4"/>
      <c r="M339" s="47">
        <v>0.39583333333333331</v>
      </c>
      <c r="N339" s="47">
        <v>0.20833333333333334</v>
      </c>
      <c r="O339" s="319">
        <v>6.5</v>
      </c>
      <c r="P339" s="320"/>
      <c r="R339" s="47">
        <v>0.375</v>
      </c>
      <c r="S339" s="47">
        <v>0.20833333333333334</v>
      </c>
      <c r="T339" s="319">
        <v>7</v>
      </c>
      <c r="U339" s="320"/>
      <c r="W339" s="47">
        <v>0.27083333333333331</v>
      </c>
      <c r="X339" s="47">
        <v>0.20833333333333334</v>
      </c>
      <c r="Y339" s="319">
        <v>9.5</v>
      </c>
      <c r="Z339" s="320"/>
      <c r="AA339" s="29">
        <f t="shared" si="65"/>
        <v>30.5</v>
      </c>
      <c r="AB339" s="298">
        <f>Z339+U339+P339+K339+F339</f>
        <v>0</v>
      </c>
      <c r="AC339" s="175"/>
      <c r="AD339" s="47" t="s">
        <v>29</v>
      </c>
      <c r="AE339" s="47" t="s">
        <v>29</v>
      </c>
      <c r="AF339" s="346"/>
      <c r="AG339" s="344">
        <f t="shared" si="66"/>
        <v>0</v>
      </c>
      <c r="AH339" s="175"/>
      <c r="AI339" s="368"/>
      <c r="AK339" s="188" t="s">
        <v>32</v>
      </c>
      <c r="AL339" s="196">
        <f>$AG$374</f>
        <v>25</v>
      </c>
      <c r="AM339" s="510">
        <v>57</v>
      </c>
      <c r="AN339" s="510">
        <f t="shared" si="64"/>
        <v>1425</v>
      </c>
    </row>
    <row r="340" spans="2:47" hidden="1">
      <c r="B340" s="318" t="s">
        <v>91</v>
      </c>
      <c r="C340" s="47">
        <v>0.375</v>
      </c>
      <c r="D340" s="441" t="s">
        <v>246</v>
      </c>
      <c r="E340" s="319">
        <v>8</v>
      </c>
      <c r="F340" s="320"/>
      <c r="G340" s="4"/>
      <c r="H340" s="47">
        <v>0.375</v>
      </c>
      <c r="I340" s="441" t="s">
        <v>246</v>
      </c>
      <c r="J340" s="319">
        <v>8</v>
      </c>
      <c r="K340" s="320"/>
      <c r="L340" s="4"/>
      <c r="M340" s="47">
        <v>0.38541666666666669</v>
      </c>
      <c r="N340" s="47">
        <v>0.20833333333333334</v>
      </c>
      <c r="O340" s="319">
        <v>6.75</v>
      </c>
      <c r="P340" s="320"/>
      <c r="R340" s="47">
        <v>0.375</v>
      </c>
      <c r="S340" s="47">
        <v>0.20833333333333334</v>
      </c>
      <c r="T340" s="319">
        <v>7</v>
      </c>
      <c r="U340" s="320"/>
      <c r="W340" s="47">
        <v>0.375</v>
      </c>
      <c r="X340" s="47">
        <v>0.20833333333333334</v>
      </c>
      <c r="Y340" s="319">
        <v>7</v>
      </c>
      <c r="Z340" s="320"/>
      <c r="AA340" s="29">
        <f t="shared" si="65"/>
        <v>36.75</v>
      </c>
      <c r="AB340" s="298">
        <f>Z340+U340+P340+K340+F340</f>
        <v>0</v>
      </c>
      <c r="AC340" s="4"/>
      <c r="AD340" s="47" t="s">
        <v>29</v>
      </c>
      <c r="AE340" s="47" t="s">
        <v>29</v>
      </c>
      <c r="AF340" s="346"/>
      <c r="AG340" s="29">
        <f t="shared" si="66"/>
        <v>0</v>
      </c>
      <c r="AJ340" s="367"/>
      <c r="AK340" s="403" t="s">
        <v>213</v>
      </c>
      <c r="AL340" s="404">
        <f>$AA$377</f>
        <v>52.5</v>
      </c>
      <c r="AM340" s="510">
        <v>50</v>
      </c>
      <c r="AN340" s="510">
        <f t="shared" si="64"/>
        <v>2625</v>
      </c>
      <c r="AQ340" s="367"/>
      <c r="AR340" s="367"/>
      <c r="AS340" s="367"/>
      <c r="AT340" s="367"/>
      <c r="AU340" s="367"/>
    </row>
    <row r="341" spans="2:47" hidden="1">
      <c r="B341" s="318" t="s">
        <v>46</v>
      </c>
      <c r="C341" s="47">
        <v>0.375</v>
      </c>
      <c r="D341" s="441" t="s">
        <v>246</v>
      </c>
      <c r="E341" s="319">
        <v>8</v>
      </c>
      <c r="F341" s="320"/>
      <c r="G341" s="4"/>
      <c r="H341" s="443"/>
      <c r="I341" s="443"/>
      <c r="J341" s="319">
        <v>8</v>
      </c>
      <c r="K341" s="320"/>
      <c r="L341" s="4"/>
      <c r="M341" s="47">
        <v>0.375</v>
      </c>
      <c r="N341" s="47">
        <v>0.20833333333333334</v>
      </c>
      <c r="O341" s="319">
        <v>7</v>
      </c>
      <c r="P341" s="320"/>
      <c r="R341" s="47">
        <v>0.375</v>
      </c>
      <c r="S341" s="47">
        <v>0.20833333333333334</v>
      </c>
      <c r="T341" s="319">
        <v>8</v>
      </c>
      <c r="U341" s="320"/>
      <c r="W341" s="47">
        <v>0.27083333333333331</v>
      </c>
      <c r="X341" s="47">
        <v>0.20833333333333334</v>
      </c>
      <c r="Y341" s="319">
        <v>9.5</v>
      </c>
      <c r="Z341" s="320"/>
      <c r="AA341" s="29">
        <f t="shared" si="65"/>
        <v>40.5</v>
      </c>
      <c r="AB341" s="298">
        <f>Z341+U341+P341+K341+F341</f>
        <v>0</v>
      </c>
      <c r="AC341" s="4"/>
      <c r="AD341" s="47" t="s">
        <v>29</v>
      </c>
      <c r="AE341" s="47" t="s">
        <v>29</v>
      </c>
      <c r="AF341" s="346"/>
      <c r="AG341" s="29">
        <f t="shared" si="66"/>
        <v>0</v>
      </c>
      <c r="AK341" s="188" t="s">
        <v>36</v>
      </c>
      <c r="AL341" s="196">
        <f>$AB$377</f>
        <v>1.75</v>
      </c>
      <c r="AM341" s="510">
        <v>75</v>
      </c>
      <c r="AN341" s="510">
        <f t="shared" si="64"/>
        <v>131.25</v>
      </c>
    </row>
    <row r="342" spans="2:47" hidden="1">
      <c r="B342" s="318" t="s">
        <v>43</v>
      </c>
      <c r="C342" s="47">
        <v>0.375</v>
      </c>
      <c r="D342" s="441" t="s">
        <v>246</v>
      </c>
      <c r="E342" s="319">
        <v>8</v>
      </c>
      <c r="F342" s="320"/>
      <c r="G342" s="4"/>
      <c r="H342" s="47">
        <v>0.375</v>
      </c>
      <c r="I342" s="441" t="s">
        <v>246</v>
      </c>
      <c r="J342" s="319">
        <v>8</v>
      </c>
      <c r="K342" s="320"/>
      <c r="L342" s="4"/>
      <c r="M342" s="443"/>
      <c r="N342" s="443"/>
      <c r="O342" s="319">
        <v>8</v>
      </c>
      <c r="P342" s="320"/>
      <c r="R342" s="47">
        <v>0.375</v>
      </c>
      <c r="S342" s="441" t="s">
        <v>246</v>
      </c>
      <c r="T342" s="319">
        <v>8</v>
      </c>
      <c r="U342" s="320"/>
      <c r="W342" s="443"/>
      <c r="X342" s="447"/>
      <c r="Y342" s="447"/>
      <c r="Z342" s="320"/>
      <c r="AA342" s="29">
        <f t="shared" si="65"/>
        <v>32</v>
      </c>
      <c r="AB342" s="298">
        <f t="shared" ref="AB342:AB347" si="67">Z342+U342+P342+K342+F341</f>
        <v>0</v>
      </c>
      <c r="AC342" s="4"/>
      <c r="AD342" s="47" t="s">
        <v>29</v>
      </c>
      <c r="AE342" s="47" t="s">
        <v>29</v>
      </c>
      <c r="AF342" s="346"/>
      <c r="AG342" s="29">
        <f t="shared" si="66"/>
        <v>0</v>
      </c>
      <c r="AK342" s="188" t="s">
        <v>38</v>
      </c>
      <c r="AL342" s="196">
        <f>$AG$377</f>
        <v>1</v>
      </c>
      <c r="AM342" s="510">
        <v>75</v>
      </c>
      <c r="AN342" s="510">
        <f t="shared" si="64"/>
        <v>75</v>
      </c>
    </row>
    <row r="343" spans="2:47" ht="14.25" hidden="1" thickBot="1">
      <c r="B343" s="449" t="s">
        <v>113</v>
      </c>
      <c r="C343" s="47">
        <v>0.375</v>
      </c>
      <c r="D343" s="441" t="s">
        <v>136</v>
      </c>
      <c r="E343" s="319">
        <v>7</v>
      </c>
      <c r="F343" s="320"/>
      <c r="G343" s="4"/>
      <c r="H343" s="47">
        <v>0.36458333333333331</v>
      </c>
      <c r="I343" s="47">
        <v>0.20833333333333334</v>
      </c>
      <c r="J343" s="319">
        <v>7.25</v>
      </c>
      <c r="K343" s="320"/>
      <c r="L343" s="4"/>
      <c r="M343" s="47">
        <v>0.35416666666666669</v>
      </c>
      <c r="N343" s="47">
        <v>0.20833333333333334</v>
      </c>
      <c r="O343" s="319">
        <v>7.5</v>
      </c>
      <c r="P343" s="320"/>
      <c r="R343" s="47">
        <v>0.34375</v>
      </c>
      <c r="S343" s="47">
        <v>0.20833333333333334</v>
      </c>
      <c r="T343" s="319">
        <v>7.75</v>
      </c>
      <c r="U343" s="320"/>
      <c r="W343" s="441">
        <v>0</v>
      </c>
      <c r="X343" s="441">
        <v>0</v>
      </c>
      <c r="Y343" s="319">
        <v>0</v>
      </c>
      <c r="Z343" s="320"/>
      <c r="AA343" s="29">
        <f t="shared" si="65"/>
        <v>29.5</v>
      </c>
      <c r="AB343" s="298">
        <f t="shared" si="67"/>
        <v>0</v>
      </c>
      <c r="AC343" s="4"/>
      <c r="AD343" s="47" t="s">
        <v>29</v>
      </c>
      <c r="AE343" s="47" t="s">
        <v>29</v>
      </c>
      <c r="AF343" s="346"/>
      <c r="AG343" s="29">
        <f t="shared" si="66"/>
        <v>0</v>
      </c>
      <c r="AK343" s="188" t="s">
        <v>41</v>
      </c>
      <c r="AL343" s="196">
        <f>$C$378</f>
        <v>124</v>
      </c>
      <c r="AM343" s="512">
        <v>45</v>
      </c>
      <c r="AN343" s="512">
        <f t="shared" si="64"/>
        <v>5580</v>
      </c>
    </row>
    <row r="344" spans="2:47" ht="14.25" hidden="1" thickTop="1">
      <c r="B344" s="318" t="s">
        <v>108</v>
      </c>
      <c r="C344" s="441">
        <v>0</v>
      </c>
      <c r="D344" s="441">
        <v>0</v>
      </c>
      <c r="E344" s="319">
        <v>0</v>
      </c>
      <c r="F344" s="320"/>
      <c r="G344" s="4"/>
      <c r="H344" s="47">
        <v>0.375</v>
      </c>
      <c r="I344" s="441" t="s">
        <v>246</v>
      </c>
      <c r="J344" s="319">
        <v>8</v>
      </c>
      <c r="K344" s="320"/>
      <c r="L344" s="4"/>
      <c r="M344" s="47">
        <v>0.375</v>
      </c>
      <c r="N344" s="47">
        <v>0.20833333333333334</v>
      </c>
      <c r="O344" s="319">
        <v>7</v>
      </c>
      <c r="P344" s="320"/>
      <c r="R344" s="47">
        <v>0.375</v>
      </c>
      <c r="S344" s="47">
        <v>0.20833333333333334</v>
      </c>
      <c r="T344" s="319">
        <v>7</v>
      </c>
      <c r="U344" s="320"/>
      <c r="W344" s="47">
        <v>0.27083333333333331</v>
      </c>
      <c r="X344" s="47">
        <v>0.20833333333333334</v>
      </c>
      <c r="Y344" s="319">
        <v>9.5</v>
      </c>
      <c r="Z344" s="320"/>
      <c r="AA344" s="29">
        <f t="shared" si="65"/>
        <v>31.5</v>
      </c>
      <c r="AB344" s="298">
        <f t="shared" si="67"/>
        <v>0</v>
      </c>
      <c r="AC344" s="4"/>
      <c r="AD344" s="47">
        <v>0.375</v>
      </c>
      <c r="AE344" s="47">
        <v>8.3333333333333329E-2</v>
      </c>
      <c r="AF344" s="346">
        <v>5</v>
      </c>
      <c r="AG344" s="29">
        <f t="shared" si="66"/>
        <v>5</v>
      </c>
      <c r="AN344" s="510">
        <f>SUM(AN337:AN343)</f>
        <v>45413.75</v>
      </c>
    </row>
    <row r="345" spans="2:47" hidden="1">
      <c r="B345" s="318" t="s">
        <v>112</v>
      </c>
      <c r="C345" s="443"/>
      <c r="D345" s="443"/>
      <c r="E345" s="444"/>
      <c r="F345" s="320"/>
      <c r="G345" s="4"/>
      <c r="H345" s="47">
        <v>0.38541666666666669</v>
      </c>
      <c r="I345" s="47">
        <v>0.25</v>
      </c>
      <c r="J345" s="319">
        <v>7.75</v>
      </c>
      <c r="K345" s="320"/>
      <c r="L345" s="4"/>
      <c r="M345" s="47">
        <v>0.375</v>
      </c>
      <c r="N345" s="47">
        <v>0.20833333333333334</v>
      </c>
      <c r="O345" s="319">
        <v>7</v>
      </c>
      <c r="P345" s="320"/>
      <c r="R345" s="47">
        <v>0.375</v>
      </c>
      <c r="S345" s="47">
        <v>0.20833333333333334</v>
      </c>
      <c r="T345" s="319">
        <v>7</v>
      </c>
      <c r="U345" s="320"/>
      <c r="W345" s="47">
        <v>0.375</v>
      </c>
      <c r="X345" s="47">
        <v>0.20833333333333334</v>
      </c>
      <c r="Y345" s="319">
        <v>7</v>
      </c>
      <c r="Z345" s="320"/>
      <c r="AA345" s="29">
        <f t="shared" si="65"/>
        <v>28.75</v>
      </c>
      <c r="AB345" s="298">
        <f t="shared" si="67"/>
        <v>0</v>
      </c>
      <c r="AC345" s="4"/>
      <c r="AD345" s="47" t="s">
        <v>29</v>
      </c>
      <c r="AE345" s="47" t="s">
        <v>29</v>
      </c>
      <c r="AF345" s="346"/>
      <c r="AG345" s="29">
        <f t="shared" si="66"/>
        <v>0</v>
      </c>
    </row>
    <row r="346" spans="2:47" hidden="1">
      <c r="B346" s="318" t="s">
        <v>52</v>
      </c>
      <c r="C346" s="47">
        <v>0.375</v>
      </c>
      <c r="D346" s="441" t="s">
        <v>246</v>
      </c>
      <c r="E346" s="319">
        <v>8</v>
      </c>
      <c r="F346" s="320"/>
      <c r="G346" s="4"/>
      <c r="H346" s="47">
        <v>0.375</v>
      </c>
      <c r="I346" s="441" t="s">
        <v>220</v>
      </c>
      <c r="J346" s="319">
        <v>6.5</v>
      </c>
      <c r="K346" s="320"/>
      <c r="L346" s="4"/>
      <c r="M346" s="47">
        <v>0.375</v>
      </c>
      <c r="N346" s="47">
        <v>0.20833333333333334</v>
      </c>
      <c r="O346" s="319">
        <v>7</v>
      </c>
      <c r="P346" s="320"/>
      <c r="R346" s="47">
        <v>0.375</v>
      </c>
      <c r="S346" s="47">
        <v>0.20833333333333334</v>
      </c>
      <c r="T346" s="319">
        <v>7</v>
      </c>
      <c r="U346" s="320"/>
      <c r="W346" s="47">
        <v>0.375</v>
      </c>
      <c r="X346" s="47">
        <v>0.20833333333333334</v>
      </c>
      <c r="Y346" s="319">
        <v>7</v>
      </c>
      <c r="Z346" s="320"/>
      <c r="AA346" s="29">
        <f t="shared" si="65"/>
        <v>35.5</v>
      </c>
      <c r="AB346" s="298">
        <f t="shared" si="67"/>
        <v>0</v>
      </c>
      <c r="AC346" s="4"/>
      <c r="AD346" s="47" t="s">
        <v>29</v>
      </c>
      <c r="AE346" s="47" t="s">
        <v>29</v>
      </c>
      <c r="AF346" s="346"/>
      <c r="AG346" s="29">
        <f t="shared" si="66"/>
        <v>0</v>
      </c>
    </row>
    <row r="347" spans="2:47" hidden="1">
      <c r="B347" s="449" t="s">
        <v>42</v>
      </c>
      <c r="C347" s="47">
        <v>0.33333333333333331</v>
      </c>
      <c r="D347" s="47">
        <v>0.20833333333333334</v>
      </c>
      <c r="E347" s="319">
        <v>8</v>
      </c>
      <c r="F347" s="320"/>
      <c r="G347" s="4"/>
      <c r="H347" s="47">
        <v>0.34375</v>
      </c>
      <c r="I347" s="47">
        <v>0.20833333333333334</v>
      </c>
      <c r="J347" s="319">
        <v>7.75</v>
      </c>
      <c r="K347" s="320"/>
      <c r="L347" s="4"/>
      <c r="M347" s="47">
        <v>0.34375</v>
      </c>
      <c r="N347" s="47">
        <v>0.20833333333333334</v>
      </c>
      <c r="O347" s="319">
        <v>7.75</v>
      </c>
      <c r="P347" s="320"/>
      <c r="R347" s="47">
        <v>0.34375</v>
      </c>
      <c r="S347" s="47">
        <v>0.20833333333333334</v>
      </c>
      <c r="T347" s="319">
        <v>7.75</v>
      </c>
      <c r="U347" s="320"/>
      <c r="W347" s="441">
        <v>0</v>
      </c>
      <c r="X347" s="441">
        <v>0</v>
      </c>
      <c r="Y347" s="319">
        <v>0</v>
      </c>
      <c r="Z347" s="320"/>
      <c r="AA347" s="29">
        <f t="shared" si="65"/>
        <v>31.25</v>
      </c>
      <c r="AB347" s="298">
        <f t="shared" si="67"/>
        <v>0</v>
      </c>
      <c r="AC347" s="4"/>
      <c r="AD347" s="47" t="s">
        <v>29</v>
      </c>
      <c r="AE347" s="47" t="s">
        <v>29</v>
      </c>
      <c r="AF347" s="346"/>
      <c r="AG347" s="29">
        <f t="shared" si="66"/>
        <v>0</v>
      </c>
    </row>
    <row r="348" spans="2:47" hidden="1">
      <c r="B348" s="437" t="s">
        <v>93</v>
      </c>
      <c r="C348" s="47">
        <v>0.375</v>
      </c>
      <c r="D348" s="441" t="s">
        <v>246</v>
      </c>
      <c r="E348" s="319">
        <v>8</v>
      </c>
      <c r="F348" s="320"/>
      <c r="G348" s="4"/>
      <c r="H348" s="47">
        <v>0.375</v>
      </c>
      <c r="I348" s="441" t="s">
        <v>246</v>
      </c>
      <c r="J348" s="319">
        <v>8</v>
      </c>
      <c r="K348" s="320"/>
      <c r="L348" s="4"/>
      <c r="M348" s="47">
        <v>0.375</v>
      </c>
      <c r="N348" s="441" t="s">
        <v>246</v>
      </c>
      <c r="O348" s="319">
        <v>8</v>
      </c>
      <c r="P348" s="320"/>
      <c r="R348" s="47">
        <v>0.375</v>
      </c>
      <c r="S348" s="441" t="s">
        <v>246</v>
      </c>
      <c r="T348" s="319">
        <v>8</v>
      </c>
      <c r="U348" s="320"/>
      <c r="W348" s="47">
        <v>0.375</v>
      </c>
      <c r="X348" s="441" t="s">
        <v>246</v>
      </c>
      <c r="Y348" s="319">
        <v>8</v>
      </c>
      <c r="Z348" s="320"/>
      <c r="AA348" s="29">
        <f t="shared" si="65"/>
        <v>40</v>
      </c>
      <c r="AB348" s="298">
        <f t="shared" ref="AB348:AB373" si="68">Z348+U348+P348+K348+F348</f>
        <v>0</v>
      </c>
      <c r="AC348" s="4"/>
      <c r="AD348" s="47">
        <v>0.375</v>
      </c>
      <c r="AE348" s="47">
        <v>8.3333333333333329E-2</v>
      </c>
      <c r="AF348" s="346">
        <v>5</v>
      </c>
      <c r="AG348" s="29">
        <f t="shared" si="66"/>
        <v>5</v>
      </c>
    </row>
    <row r="349" spans="2:47" hidden="1">
      <c r="B349" s="437" t="s">
        <v>232</v>
      </c>
      <c r="C349" s="47">
        <v>0.375</v>
      </c>
      <c r="D349" s="441" t="s">
        <v>246</v>
      </c>
      <c r="E349" s="319">
        <v>8</v>
      </c>
      <c r="F349" s="320"/>
      <c r="G349" s="4"/>
      <c r="H349" s="47">
        <v>0.375</v>
      </c>
      <c r="I349" s="441" t="s">
        <v>246</v>
      </c>
      <c r="J349" s="319">
        <v>8</v>
      </c>
      <c r="K349" s="320"/>
      <c r="L349" s="4"/>
      <c r="M349" s="47">
        <v>0.375</v>
      </c>
      <c r="N349" s="441" t="s">
        <v>246</v>
      </c>
      <c r="O349" s="319">
        <v>8</v>
      </c>
      <c r="P349" s="320"/>
      <c r="R349" s="47">
        <v>0.39583333333333331</v>
      </c>
      <c r="S349" s="441" t="s">
        <v>246</v>
      </c>
      <c r="T349" s="319">
        <v>7.5</v>
      </c>
      <c r="U349" s="320"/>
      <c r="W349" s="47">
        <v>0.375</v>
      </c>
      <c r="X349" s="441" t="s">
        <v>246</v>
      </c>
      <c r="Y349" s="319">
        <v>8</v>
      </c>
      <c r="Z349" s="320"/>
      <c r="AA349" s="29">
        <f t="shared" si="65"/>
        <v>39.5</v>
      </c>
      <c r="AB349" s="298">
        <f t="shared" si="68"/>
        <v>0</v>
      </c>
      <c r="AC349" s="4"/>
      <c r="AD349" s="47">
        <v>0.375</v>
      </c>
      <c r="AE349" s="47">
        <v>8.3333333333333329E-2</v>
      </c>
      <c r="AF349" s="346">
        <v>5</v>
      </c>
      <c r="AG349" s="29">
        <f t="shared" si="66"/>
        <v>5</v>
      </c>
    </row>
    <row r="350" spans="2:47" hidden="1">
      <c r="B350" s="437" t="s">
        <v>234</v>
      </c>
      <c r="C350" s="47">
        <v>0.375</v>
      </c>
      <c r="D350" s="441" t="s">
        <v>246</v>
      </c>
      <c r="E350" s="319">
        <v>8</v>
      </c>
      <c r="F350" s="320"/>
      <c r="G350" s="4"/>
      <c r="H350" s="47">
        <v>0.375</v>
      </c>
      <c r="I350" s="441" t="s">
        <v>246</v>
      </c>
      <c r="J350" s="319">
        <v>8</v>
      </c>
      <c r="K350" s="320"/>
      <c r="L350" s="4"/>
      <c r="M350" s="47">
        <v>0.375</v>
      </c>
      <c r="N350" s="441" t="s">
        <v>246</v>
      </c>
      <c r="O350" s="319">
        <v>8</v>
      </c>
      <c r="P350" s="320"/>
      <c r="R350" s="47">
        <v>0.375</v>
      </c>
      <c r="S350" s="441" t="s">
        <v>246</v>
      </c>
      <c r="T350" s="319">
        <v>8</v>
      </c>
      <c r="U350" s="320"/>
      <c r="W350" s="47">
        <v>0.375</v>
      </c>
      <c r="X350" s="441" t="s">
        <v>246</v>
      </c>
      <c r="Y350" s="319">
        <v>8</v>
      </c>
      <c r="Z350" s="320"/>
      <c r="AA350" s="29">
        <f t="shared" si="65"/>
        <v>40</v>
      </c>
      <c r="AB350" s="298">
        <f t="shared" si="68"/>
        <v>0</v>
      </c>
      <c r="AC350" s="4"/>
      <c r="AD350" s="47">
        <v>0.375</v>
      </c>
      <c r="AE350" s="47">
        <v>8.3333333333333329E-2</v>
      </c>
      <c r="AF350" s="346">
        <v>5</v>
      </c>
      <c r="AG350" s="29">
        <f t="shared" si="66"/>
        <v>5</v>
      </c>
    </row>
    <row r="351" spans="2:47" hidden="1">
      <c r="B351" s="437" t="s">
        <v>35</v>
      </c>
      <c r="C351" s="441">
        <v>0</v>
      </c>
      <c r="D351" s="441">
        <v>0</v>
      </c>
      <c r="E351" s="319">
        <v>0</v>
      </c>
      <c r="F351" s="320"/>
      <c r="G351" s="4"/>
      <c r="H351" s="47">
        <v>0.39583333333333331</v>
      </c>
      <c r="I351" s="441" t="s">
        <v>246</v>
      </c>
      <c r="J351" s="319">
        <v>7.5</v>
      </c>
      <c r="K351" s="320"/>
      <c r="L351" s="4"/>
      <c r="M351" s="47">
        <v>0.39583333333333331</v>
      </c>
      <c r="N351" s="47">
        <v>0.25</v>
      </c>
      <c r="O351" s="319">
        <v>7.5</v>
      </c>
      <c r="P351" s="320"/>
      <c r="R351" s="47">
        <v>0.375</v>
      </c>
      <c r="S351" s="441" t="s">
        <v>246</v>
      </c>
      <c r="T351" s="319">
        <v>8</v>
      </c>
      <c r="U351" s="320"/>
      <c r="W351" s="47">
        <v>0.375</v>
      </c>
      <c r="X351" s="441" t="s">
        <v>246</v>
      </c>
      <c r="Y351" s="319">
        <v>8</v>
      </c>
      <c r="Z351" s="320"/>
      <c r="AA351" s="29">
        <f t="shared" si="65"/>
        <v>31</v>
      </c>
      <c r="AB351" s="298">
        <f t="shared" si="68"/>
        <v>0</v>
      </c>
      <c r="AC351" s="4"/>
      <c r="AD351" s="47" t="s">
        <v>29</v>
      </c>
      <c r="AE351" s="47" t="s">
        <v>29</v>
      </c>
      <c r="AF351" s="346"/>
      <c r="AG351" s="29">
        <f t="shared" si="66"/>
        <v>0</v>
      </c>
    </row>
    <row r="352" spans="2:47" hidden="1">
      <c r="B352" s="437" t="s">
        <v>44</v>
      </c>
      <c r="C352" s="441">
        <v>0</v>
      </c>
      <c r="D352" s="441">
        <v>0</v>
      </c>
      <c r="E352" s="319">
        <v>0</v>
      </c>
      <c r="F352" s="320"/>
      <c r="G352" s="4"/>
      <c r="H352" s="441">
        <v>0</v>
      </c>
      <c r="I352" s="441">
        <v>0</v>
      </c>
      <c r="J352" s="319">
        <v>0</v>
      </c>
      <c r="K352" s="320"/>
      <c r="L352" s="4"/>
      <c r="M352" s="441">
        <v>0</v>
      </c>
      <c r="N352" s="441">
        <v>0</v>
      </c>
      <c r="O352" s="319">
        <v>0</v>
      </c>
      <c r="P352" s="320"/>
      <c r="R352" s="441">
        <v>0</v>
      </c>
      <c r="S352" s="441">
        <v>0</v>
      </c>
      <c r="T352" s="319">
        <v>0</v>
      </c>
      <c r="U352" s="320"/>
      <c r="W352" s="441">
        <v>0</v>
      </c>
      <c r="X352" s="441">
        <v>0</v>
      </c>
      <c r="Y352" s="319">
        <v>0</v>
      </c>
      <c r="Z352" s="320"/>
      <c r="AA352" s="29">
        <f t="shared" si="65"/>
        <v>0</v>
      </c>
      <c r="AB352" s="298">
        <f t="shared" si="68"/>
        <v>0</v>
      </c>
      <c r="AC352" s="4"/>
      <c r="AD352" s="47" t="s">
        <v>29</v>
      </c>
      <c r="AE352" s="47" t="s">
        <v>29</v>
      </c>
      <c r="AF352" s="346"/>
      <c r="AG352" s="29">
        <f t="shared" si="66"/>
        <v>0</v>
      </c>
    </row>
    <row r="353" spans="1:33" hidden="1">
      <c r="B353" s="437" t="s">
        <v>45</v>
      </c>
      <c r="C353" s="441">
        <v>0</v>
      </c>
      <c r="D353" s="441">
        <v>0</v>
      </c>
      <c r="E353" s="319">
        <v>0</v>
      </c>
      <c r="F353" s="320"/>
      <c r="G353" s="4"/>
      <c r="H353" s="441">
        <v>0</v>
      </c>
      <c r="I353" s="441">
        <v>0</v>
      </c>
      <c r="J353" s="319">
        <v>0</v>
      </c>
      <c r="K353" s="320"/>
      <c r="L353" s="4"/>
      <c r="M353" s="441">
        <v>0</v>
      </c>
      <c r="N353" s="441">
        <v>0</v>
      </c>
      <c r="O353" s="319">
        <v>0</v>
      </c>
      <c r="P353" s="320"/>
      <c r="R353" s="443"/>
      <c r="S353" s="443"/>
      <c r="T353" s="444"/>
      <c r="U353" s="320"/>
      <c r="W353" s="450"/>
      <c r="X353" s="450"/>
      <c r="Y353" s="444"/>
      <c r="Z353" s="320"/>
      <c r="AA353" s="29">
        <f t="shared" si="65"/>
        <v>0</v>
      </c>
      <c r="AB353" s="298">
        <f t="shared" si="68"/>
        <v>0</v>
      </c>
      <c r="AC353" s="4"/>
      <c r="AD353" s="47" t="s">
        <v>29</v>
      </c>
      <c r="AE353" s="47" t="s">
        <v>29</v>
      </c>
      <c r="AF353" s="346"/>
      <c r="AG353" s="29">
        <f t="shared" si="66"/>
        <v>0</v>
      </c>
    </row>
    <row r="354" spans="1:33" hidden="1">
      <c r="B354" s="437" t="s">
        <v>96</v>
      </c>
      <c r="C354" s="441">
        <v>0</v>
      </c>
      <c r="D354" s="441">
        <v>0</v>
      </c>
      <c r="E354" s="319">
        <v>0</v>
      </c>
      <c r="F354" s="320"/>
      <c r="G354" s="4"/>
      <c r="H354" s="47">
        <v>0.375</v>
      </c>
      <c r="I354" s="441" t="s">
        <v>246</v>
      </c>
      <c r="J354" s="319">
        <v>8</v>
      </c>
      <c r="K354" s="320"/>
      <c r="L354" s="4"/>
      <c r="M354" s="47">
        <v>0.375</v>
      </c>
      <c r="N354" s="441" t="s">
        <v>246</v>
      </c>
      <c r="O354" s="319">
        <v>8</v>
      </c>
      <c r="P354" s="320"/>
      <c r="R354" s="47">
        <v>0.375</v>
      </c>
      <c r="S354" s="441" t="s">
        <v>246</v>
      </c>
      <c r="T354" s="319">
        <v>8</v>
      </c>
      <c r="U354" s="320"/>
      <c r="W354" s="443"/>
      <c r="X354" s="443"/>
      <c r="Y354" s="444"/>
      <c r="Z354" s="320"/>
      <c r="AA354" s="29">
        <f t="shared" si="65"/>
        <v>24</v>
      </c>
      <c r="AB354" s="298">
        <f t="shared" si="68"/>
        <v>0</v>
      </c>
      <c r="AC354" s="4"/>
      <c r="AD354" s="47">
        <v>0.375</v>
      </c>
      <c r="AE354" s="47">
        <v>8.3333333333333329E-2</v>
      </c>
      <c r="AF354" s="346">
        <v>5</v>
      </c>
      <c r="AG354" s="29">
        <f t="shared" si="66"/>
        <v>5</v>
      </c>
    </row>
    <row r="355" spans="1:33" hidden="1">
      <c r="B355" s="418" t="s">
        <v>241</v>
      </c>
      <c r="C355" s="47">
        <v>0.375</v>
      </c>
      <c r="D355" s="441" t="s">
        <v>246</v>
      </c>
      <c r="E355" s="319">
        <v>8</v>
      </c>
      <c r="F355" s="320"/>
      <c r="G355" s="4"/>
      <c r="H355" s="47">
        <v>0.375</v>
      </c>
      <c r="I355" s="441" t="s">
        <v>246</v>
      </c>
      <c r="J355" s="319">
        <v>8</v>
      </c>
      <c r="K355" s="320"/>
      <c r="L355" s="4"/>
      <c r="M355" s="47">
        <v>0.375</v>
      </c>
      <c r="N355" s="441" t="s">
        <v>246</v>
      </c>
      <c r="O355" s="319">
        <v>8</v>
      </c>
      <c r="P355" s="320"/>
      <c r="R355" s="47">
        <v>0.375</v>
      </c>
      <c r="S355" s="441" t="s">
        <v>246</v>
      </c>
      <c r="T355" s="319">
        <v>8</v>
      </c>
      <c r="U355" s="320"/>
      <c r="W355" s="47">
        <v>0.375</v>
      </c>
      <c r="X355" s="441" t="s">
        <v>246</v>
      </c>
      <c r="Y355" s="319">
        <v>8</v>
      </c>
      <c r="Z355" s="320"/>
      <c r="AA355" s="29">
        <f t="shared" si="65"/>
        <v>40</v>
      </c>
      <c r="AB355" s="298">
        <f t="shared" si="68"/>
        <v>0</v>
      </c>
      <c r="AC355" s="4"/>
      <c r="AD355" s="47" t="s">
        <v>29</v>
      </c>
      <c r="AE355" s="47" t="s">
        <v>29</v>
      </c>
      <c r="AF355" s="19"/>
      <c r="AG355" s="29">
        <f t="shared" si="66"/>
        <v>0</v>
      </c>
    </row>
    <row r="356" spans="1:33" hidden="1">
      <c r="B356" s="418" t="s">
        <v>242</v>
      </c>
      <c r="C356" s="450"/>
      <c r="D356" s="450"/>
      <c r="E356" s="444"/>
      <c r="F356" s="320"/>
      <c r="G356" s="4"/>
      <c r="H356" s="47">
        <v>0.375</v>
      </c>
      <c r="I356" s="441" t="s">
        <v>246</v>
      </c>
      <c r="J356" s="319">
        <v>8</v>
      </c>
      <c r="K356" s="320"/>
      <c r="L356" s="4"/>
      <c r="M356" s="443"/>
      <c r="N356" s="443"/>
      <c r="O356" s="444"/>
      <c r="P356" s="320"/>
      <c r="R356" s="47">
        <v>0.375</v>
      </c>
      <c r="S356" s="441" t="s">
        <v>246</v>
      </c>
      <c r="T356" s="319">
        <v>8</v>
      </c>
      <c r="U356" s="320"/>
      <c r="W356" s="47">
        <v>0.375</v>
      </c>
      <c r="X356" s="441" t="s">
        <v>246</v>
      </c>
      <c r="Y356" s="319">
        <v>8</v>
      </c>
      <c r="Z356" s="320"/>
      <c r="AA356" s="29">
        <f t="shared" si="65"/>
        <v>24</v>
      </c>
      <c r="AB356" s="298">
        <f t="shared" si="68"/>
        <v>0</v>
      </c>
      <c r="AC356" s="4"/>
      <c r="AD356" s="47" t="s">
        <v>29</v>
      </c>
      <c r="AE356" s="47" t="s">
        <v>29</v>
      </c>
      <c r="AF356" s="19"/>
      <c r="AG356" s="29">
        <f t="shared" si="66"/>
        <v>0</v>
      </c>
    </row>
    <row r="357" spans="1:33" hidden="1">
      <c r="B357" s="448" t="s">
        <v>243</v>
      </c>
      <c r="C357" s="47">
        <v>0.375</v>
      </c>
      <c r="D357" s="441" t="s">
        <v>246</v>
      </c>
      <c r="E357" s="319">
        <v>8</v>
      </c>
      <c r="F357" s="320"/>
      <c r="G357" s="4"/>
      <c r="H357" s="47">
        <v>0.375</v>
      </c>
      <c r="I357" s="441" t="s">
        <v>246</v>
      </c>
      <c r="J357" s="319">
        <v>8</v>
      </c>
      <c r="K357" s="320"/>
      <c r="L357" s="4"/>
      <c r="M357" s="47">
        <v>0.375</v>
      </c>
      <c r="N357" s="441" t="s">
        <v>246</v>
      </c>
      <c r="O357" s="319">
        <v>8</v>
      </c>
      <c r="P357" s="320"/>
      <c r="R357" s="47">
        <v>0.375</v>
      </c>
      <c r="S357" s="441" t="s">
        <v>246</v>
      </c>
      <c r="T357" s="319">
        <v>8</v>
      </c>
      <c r="U357" s="320"/>
      <c r="W357" s="47">
        <v>0.375</v>
      </c>
      <c r="X357" s="441" t="s">
        <v>246</v>
      </c>
      <c r="Y357" s="319">
        <v>8</v>
      </c>
      <c r="Z357" s="320"/>
      <c r="AA357" s="29">
        <f t="shared" si="65"/>
        <v>40</v>
      </c>
      <c r="AB357" s="298">
        <f t="shared" si="68"/>
        <v>0</v>
      </c>
      <c r="AC357" s="4"/>
      <c r="AD357" s="47" t="s">
        <v>29</v>
      </c>
      <c r="AE357" s="47" t="s">
        <v>29</v>
      </c>
      <c r="AF357" s="19"/>
      <c r="AG357" s="29">
        <f t="shared" si="66"/>
        <v>0</v>
      </c>
    </row>
    <row r="358" spans="1:33" hidden="1">
      <c r="B358" s="448" t="s">
        <v>244</v>
      </c>
      <c r="C358" s="47">
        <v>0.375</v>
      </c>
      <c r="D358" s="441" t="s">
        <v>246</v>
      </c>
      <c r="E358" s="319">
        <v>8</v>
      </c>
      <c r="F358" s="320"/>
      <c r="G358" s="4"/>
      <c r="H358" s="47">
        <v>0.375</v>
      </c>
      <c r="I358" s="441" t="s">
        <v>246</v>
      </c>
      <c r="J358" s="319">
        <v>8</v>
      </c>
      <c r="K358" s="320"/>
      <c r="L358" s="4"/>
      <c r="M358" s="47">
        <v>0.375</v>
      </c>
      <c r="N358" s="441" t="s">
        <v>246</v>
      </c>
      <c r="O358" s="319">
        <v>8</v>
      </c>
      <c r="P358" s="320"/>
      <c r="R358" s="47">
        <v>0.375</v>
      </c>
      <c r="S358" s="441" t="s">
        <v>246</v>
      </c>
      <c r="T358" s="319">
        <v>8</v>
      </c>
      <c r="U358" s="320"/>
      <c r="W358" s="47">
        <v>0.375</v>
      </c>
      <c r="X358" s="441" t="s">
        <v>246</v>
      </c>
      <c r="Y358" s="319">
        <v>8</v>
      </c>
      <c r="Z358" s="320"/>
      <c r="AA358" s="29">
        <f t="shared" si="65"/>
        <v>40</v>
      </c>
      <c r="AB358" s="298">
        <f t="shared" si="68"/>
        <v>0</v>
      </c>
      <c r="AC358" s="4"/>
      <c r="AD358" s="47" t="s">
        <v>29</v>
      </c>
      <c r="AE358" s="47" t="s">
        <v>29</v>
      </c>
      <c r="AF358" s="19"/>
      <c r="AG358" s="29">
        <f t="shared" si="66"/>
        <v>0</v>
      </c>
    </row>
    <row r="359" spans="1:33" hidden="1">
      <c r="A359" s="313" t="s">
        <v>245</v>
      </c>
      <c r="B359" s="437" t="s">
        <v>109</v>
      </c>
      <c r="C359" s="47">
        <v>0.375</v>
      </c>
      <c r="D359" s="441" t="s">
        <v>246</v>
      </c>
      <c r="E359" s="319">
        <v>8</v>
      </c>
      <c r="F359" s="320"/>
      <c r="G359" s="4"/>
      <c r="H359" s="47">
        <v>0.375</v>
      </c>
      <c r="I359" s="441" t="s">
        <v>246</v>
      </c>
      <c r="J359" s="319">
        <v>8</v>
      </c>
      <c r="K359" s="320"/>
      <c r="L359" s="4"/>
      <c r="M359" s="441">
        <v>0</v>
      </c>
      <c r="N359" s="441">
        <v>0</v>
      </c>
      <c r="O359" s="319">
        <v>0</v>
      </c>
      <c r="P359" s="320"/>
      <c r="R359" s="441">
        <v>0</v>
      </c>
      <c r="S359" s="441">
        <v>0</v>
      </c>
      <c r="T359" s="319">
        <v>0</v>
      </c>
      <c r="U359" s="320"/>
      <c r="W359" s="441">
        <v>0</v>
      </c>
      <c r="X359" s="441">
        <v>0</v>
      </c>
      <c r="Y359" s="319">
        <v>0</v>
      </c>
      <c r="Z359" s="320"/>
      <c r="AA359" s="29">
        <f t="shared" si="65"/>
        <v>16</v>
      </c>
      <c r="AB359" s="298">
        <f t="shared" si="68"/>
        <v>0</v>
      </c>
      <c r="AC359" s="4"/>
      <c r="AD359" s="47" t="s">
        <v>29</v>
      </c>
      <c r="AE359" s="47" t="s">
        <v>29</v>
      </c>
      <c r="AF359" s="19"/>
      <c r="AG359" s="29">
        <f t="shared" si="66"/>
        <v>0</v>
      </c>
    </row>
    <row r="360" spans="1:33" hidden="1">
      <c r="B360" s="267" t="s">
        <v>71</v>
      </c>
      <c r="C360" s="47">
        <v>0.33333333333333331</v>
      </c>
      <c r="D360" s="47">
        <v>0.20833333333333334</v>
      </c>
      <c r="E360" s="319">
        <v>8</v>
      </c>
      <c r="F360" s="320"/>
      <c r="G360" s="4"/>
      <c r="H360" s="441">
        <v>0</v>
      </c>
      <c r="I360" s="441">
        <v>0</v>
      </c>
      <c r="J360" s="319">
        <v>0</v>
      </c>
      <c r="K360" s="320"/>
      <c r="L360" s="4"/>
      <c r="M360" s="441">
        <v>0</v>
      </c>
      <c r="N360" s="441">
        <v>0</v>
      </c>
      <c r="O360" s="319">
        <v>0</v>
      </c>
      <c r="P360" s="320"/>
      <c r="R360" s="441">
        <v>0</v>
      </c>
      <c r="S360" s="441">
        <v>0</v>
      </c>
      <c r="T360" s="319">
        <v>0</v>
      </c>
      <c r="U360" s="320"/>
      <c r="W360" s="441">
        <v>0</v>
      </c>
      <c r="X360" s="441">
        <v>0</v>
      </c>
      <c r="Y360" s="319">
        <v>0</v>
      </c>
      <c r="Z360" s="320"/>
      <c r="AA360" s="29">
        <f t="shared" si="65"/>
        <v>8</v>
      </c>
      <c r="AB360" s="298">
        <f t="shared" si="68"/>
        <v>0</v>
      </c>
      <c r="AC360" s="4"/>
      <c r="AD360" s="47" t="s">
        <v>29</v>
      </c>
      <c r="AE360" s="47" t="s">
        <v>29</v>
      </c>
      <c r="AF360" s="19"/>
      <c r="AG360" s="29">
        <f t="shared" si="66"/>
        <v>0</v>
      </c>
    </row>
    <row r="361" spans="1:33" hidden="1">
      <c r="B361" s="437" t="s">
        <v>233</v>
      </c>
      <c r="C361" s="47">
        <v>0.375</v>
      </c>
      <c r="D361" s="441" t="s">
        <v>246</v>
      </c>
      <c r="E361" s="319">
        <v>8</v>
      </c>
      <c r="F361" s="320"/>
      <c r="G361" s="4"/>
      <c r="H361" s="47">
        <v>0.375</v>
      </c>
      <c r="I361" s="441" t="s">
        <v>246</v>
      </c>
      <c r="J361" s="319">
        <v>8</v>
      </c>
      <c r="K361" s="320"/>
      <c r="L361" s="4"/>
      <c r="M361" s="441">
        <v>0</v>
      </c>
      <c r="N361" s="441">
        <v>0</v>
      </c>
      <c r="O361" s="319">
        <v>0</v>
      </c>
      <c r="P361" s="320"/>
      <c r="R361" s="441">
        <v>0</v>
      </c>
      <c r="S361" s="441">
        <v>0</v>
      </c>
      <c r="T361" s="319">
        <v>0</v>
      </c>
      <c r="U361" s="320"/>
      <c r="W361" s="441">
        <v>0</v>
      </c>
      <c r="X361" s="441">
        <v>0</v>
      </c>
      <c r="Y361" s="319">
        <v>0</v>
      </c>
      <c r="Z361" s="320"/>
      <c r="AA361" s="29">
        <f t="shared" si="65"/>
        <v>16</v>
      </c>
      <c r="AB361" s="298">
        <f t="shared" si="68"/>
        <v>0</v>
      </c>
      <c r="AC361" s="4"/>
      <c r="AD361" s="47" t="s">
        <v>29</v>
      </c>
      <c r="AE361" s="47" t="s">
        <v>29</v>
      </c>
      <c r="AF361" s="19"/>
      <c r="AG361" s="29">
        <f t="shared" si="66"/>
        <v>0</v>
      </c>
    </row>
    <row r="362" spans="1:33" hidden="1">
      <c r="B362" s="437" t="s">
        <v>235</v>
      </c>
      <c r="C362" s="47">
        <v>0.375</v>
      </c>
      <c r="D362" s="441" t="s">
        <v>246</v>
      </c>
      <c r="E362" s="319">
        <v>8</v>
      </c>
      <c r="F362" s="320"/>
      <c r="G362" s="4"/>
      <c r="H362" s="47">
        <v>0.375</v>
      </c>
      <c r="I362" s="441" t="s">
        <v>246</v>
      </c>
      <c r="J362" s="319">
        <v>8</v>
      </c>
      <c r="K362" s="320"/>
      <c r="L362" s="4"/>
      <c r="M362" s="441">
        <v>0</v>
      </c>
      <c r="N362" s="441">
        <v>0</v>
      </c>
      <c r="O362" s="319">
        <v>0</v>
      </c>
      <c r="P362" s="320"/>
      <c r="R362" s="441">
        <v>0</v>
      </c>
      <c r="S362" s="441">
        <v>0</v>
      </c>
      <c r="T362" s="319">
        <v>0</v>
      </c>
      <c r="U362" s="320"/>
      <c r="W362" s="441">
        <v>0</v>
      </c>
      <c r="X362" s="441">
        <v>0</v>
      </c>
      <c r="Y362" s="319">
        <v>0</v>
      </c>
      <c r="Z362" s="320"/>
      <c r="AA362" s="29">
        <f t="shared" si="65"/>
        <v>16</v>
      </c>
      <c r="AB362" s="298">
        <f t="shared" si="68"/>
        <v>0</v>
      </c>
      <c r="AC362" s="4"/>
      <c r="AD362" s="47" t="s">
        <v>29</v>
      </c>
      <c r="AE362" s="47" t="s">
        <v>29</v>
      </c>
      <c r="AF362" s="19"/>
      <c r="AG362" s="29">
        <f t="shared" si="66"/>
        <v>0</v>
      </c>
    </row>
    <row r="363" spans="1:33" hidden="1">
      <c r="B363" s="437" t="s">
        <v>115</v>
      </c>
      <c r="C363" s="47">
        <v>0.375</v>
      </c>
      <c r="D363" s="441" t="s">
        <v>246</v>
      </c>
      <c r="E363" s="319">
        <v>8</v>
      </c>
      <c r="F363" s="320"/>
      <c r="G363" s="4"/>
      <c r="H363" s="47">
        <v>0.375</v>
      </c>
      <c r="I363" s="441" t="s">
        <v>246</v>
      </c>
      <c r="J363" s="319">
        <v>8</v>
      </c>
      <c r="K363" s="320"/>
      <c r="L363" s="4"/>
      <c r="M363" s="441">
        <v>0</v>
      </c>
      <c r="N363" s="441">
        <v>0</v>
      </c>
      <c r="O363" s="319">
        <v>0</v>
      </c>
      <c r="P363" s="320"/>
      <c r="R363" s="441">
        <v>0</v>
      </c>
      <c r="S363" s="441">
        <v>0</v>
      </c>
      <c r="T363" s="319">
        <v>0</v>
      </c>
      <c r="U363" s="320"/>
      <c r="W363" s="441">
        <v>0</v>
      </c>
      <c r="X363" s="441">
        <v>0</v>
      </c>
      <c r="Y363" s="319">
        <v>0</v>
      </c>
      <c r="Z363" s="320"/>
      <c r="AA363" s="29">
        <f t="shared" si="65"/>
        <v>16</v>
      </c>
      <c r="AB363" s="298">
        <f t="shared" si="68"/>
        <v>0</v>
      </c>
      <c r="AC363" s="4"/>
      <c r="AD363" s="47" t="s">
        <v>29</v>
      </c>
      <c r="AE363" s="47" t="s">
        <v>29</v>
      </c>
      <c r="AF363" s="19"/>
      <c r="AG363" s="29">
        <f t="shared" si="66"/>
        <v>0</v>
      </c>
    </row>
    <row r="364" spans="1:33" hidden="1">
      <c r="A364" s="180"/>
      <c r="B364" s="418" t="s">
        <v>39</v>
      </c>
      <c r="C364" s="441">
        <v>0</v>
      </c>
      <c r="D364" s="441">
        <v>0</v>
      </c>
      <c r="E364" s="319">
        <v>0</v>
      </c>
      <c r="F364" s="320"/>
      <c r="G364" s="4"/>
      <c r="H364" s="450"/>
      <c r="I364" s="450"/>
      <c r="J364" s="319">
        <v>8</v>
      </c>
      <c r="K364" s="320"/>
      <c r="L364" s="4"/>
      <c r="M364" s="443"/>
      <c r="N364" s="443"/>
      <c r="O364" s="319">
        <v>7</v>
      </c>
      <c r="P364" s="320"/>
      <c r="R364" s="47">
        <v>0.38541666666666669</v>
      </c>
      <c r="S364" s="47">
        <v>0.20833333333333334</v>
      </c>
      <c r="T364" s="319">
        <v>6.75</v>
      </c>
      <c r="U364" s="320"/>
      <c r="W364" s="441">
        <v>0</v>
      </c>
      <c r="X364" s="441">
        <v>0</v>
      </c>
      <c r="Y364" s="319">
        <v>0</v>
      </c>
      <c r="Z364" s="320"/>
      <c r="AA364" s="29">
        <f t="shared" si="65"/>
        <v>21.75</v>
      </c>
      <c r="AB364" s="298">
        <f t="shared" si="68"/>
        <v>0</v>
      </c>
      <c r="AC364" s="4"/>
      <c r="AD364" s="47" t="s">
        <v>29</v>
      </c>
      <c r="AE364" s="47" t="s">
        <v>29</v>
      </c>
      <c r="AF364" s="319"/>
      <c r="AG364" s="29">
        <f t="shared" si="66"/>
        <v>0</v>
      </c>
    </row>
    <row r="365" spans="1:33" hidden="1">
      <c r="B365" s="440" t="s">
        <v>54</v>
      </c>
      <c r="C365" s="47" t="s">
        <v>29</v>
      </c>
      <c r="D365" s="47" t="s">
        <v>29</v>
      </c>
      <c r="E365" s="319">
        <v>0</v>
      </c>
      <c r="F365" s="320"/>
      <c r="G365" s="4"/>
      <c r="H365" s="47" t="s">
        <v>29</v>
      </c>
      <c r="I365" s="47" t="s">
        <v>29</v>
      </c>
      <c r="J365" s="319">
        <v>0</v>
      </c>
      <c r="K365" s="320"/>
      <c r="L365" s="4"/>
      <c r="M365" s="47" t="s">
        <v>29</v>
      </c>
      <c r="N365" s="47" t="s">
        <v>29</v>
      </c>
      <c r="O365" s="319">
        <v>0</v>
      </c>
      <c r="P365" s="320"/>
      <c r="R365" s="47" t="s">
        <v>29</v>
      </c>
      <c r="S365" s="47" t="s">
        <v>29</v>
      </c>
      <c r="T365" s="319">
        <v>0</v>
      </c>
      <c r="U365" s="320"/>
      <c r="W365" s="47" t="s">
        <v>29</v>
      </c>
      <c r="X365" s="47" t="s">
        <v>29</v>
      </c>
      <c r="Y365" s="319">
        <v>0</v>
      </c>
      <c r="Z365" s="320"/>
      <c r="AA365" s="29">
        <f t="shared" si="65"/>
        <v>0</v>
      </c>
      <c r="AB365" s="298">
        <f t="shared" si="68"/>
        <v>0</v>
      </c>
      <c r="AC365" s="4"/>
      <c r="AD365" s="47" t="s">
        <v>29</v>
      </c>
      <c r="AE365" s="47" t="s">
        <v>29</v>
      </c>
      <c r="AF365" s="19"/>
      <c r="AG365" s="29">
        <f t="shared" si="66"/>
        <v>0</v>
      </c>
    </row>
    <row r="366" spans="1:33" hidden="1">
      <c r="B366" s="440" t="s">
        <v>55</v>
      </c>
      <c r="C366" s="47" t="s">
        <v>29</v>
      </c>
      <c r="D366" s="47" t="s">
        <v>29</v>
      </c>
      <c r="E366" s="319">
        <v>0</v>
      </c>
      <c r="F366" s="320"/>
      <c r="G366" s="4"/>
      <c r="H366" s="47" t="s">
        <v>29</v>
      </c>
      <c r="I366" s="47" t="s">
        <v>29</v>
      </c>
      <c r="J366" s="319">
        <v>0</v>
      </c>
      <c r="K366" s="320"/>
      <c r="L366" s="4"/>
      <c r="M366" s="47" t="s">
        <v>29</v>
      </c>
      <c r="N366" s="47" t="s">
        <v>29</v>
      </c>
      <c r="O366" s="319">
        <v>0</v>
      </c>
      <c r="P366" s="320"/>
      <c r="R366" s="47" t="s">
        <v>29</v>
      </c>
      <c r="S366" s="47" t="s">
        <v>29</v>
      </c>
      <c r="T366" s="319">
        <v>0</v>
      </c>
      <c r="U366" s="320"/>
      <c r="W366" s="47" t="s">
        <v>29</v>
      </c>
      <c r="X366" s="47" t="s">
        <v>29</v>
      </c>
      <c r="Y366" s="319">
        <v>0</v>
      </c>
      <c r="Z366" s="320"/>
      <c r="AA366" s="29">
        <f t="shared" si="65"/>
        <v>0</v>
      </c>
      <c r="AB366" s="298">
        <f t="shared" si="68"/>
        <v>0</v>
      </c>
      <c r="AC366" s="4"/>
      <c r="AD366" s="47" t="s">
        <v>29</v>
      </c>
      <c r="AE366" s="47" t="s">
        <v>29</v>
      </c>
      <c r="AF366" s="19"/>
      <c r="AG366" s="29">
        <f t="shared" si="66"/>
        <v>0</v>
      </c>
    </row>
    <row r="367" spans="1:33" hidden="1">
      <c r="B367" s="166" t="s">
        <v>48</v>
      </c>
      <c r="C367" s="16" t="s">
        <v>29</v>
      </c>
      <c r="D367" s="16" t="s">
        <v>29</v>
      </c>
      <c r="E367" s="319">
        <v>8</v>
      </c>
      <c r="F367" s="320"/>
      <c r="G367" s="4"/>
      <c r="H367" s="16" t="s">
        <v>29</v>
      </c>
      <c r="I367" s="16" t="s">
        <v>29</v>
      </c>
      <c r="J367" s="319">
        <v>8</v>
      </c>
      <c r="K367" s="320"/>
      <c r="L367" s="4"/>
      <c r="M367" s="16" t="s">
        <v>29</v>
      </c>
      <c r="N367" s="16" t="s">
        <v>29</v>
      </c>
      <c r="O367" s="319">
        <v>8</v>
      </c>
      <c r="P367" s="320"/>
      <c r="R367" s="16" t="s">
        <v>29</v>
      </c>
      <c r="S367" s="16" t="s">
        <v>29</v>
      </c>
      <c r="T367" s="319">
        <v>8</v>
      </c>
      <c r="U367" s="320"/>
      <c r="W367" s="16" t="s">
        <v>29</v>
      </c>
      <c r="X367" s="16" t="s">
        <v>29</v>
      </c>
      <c r="Y367" s="319">
        <v>8</v>
      </c>
      <c r="Z367" s="320"/>
      <c r="AA367" s="29">
        <f t="shared" si="65"/>
        <v>40</v>
      </c>
      <c r="AB367" s="298">
        <f t="shared" si="68"/>
        <v>0</v>
      </c>
      <c r="AC367" s="4"/>
      <c r="AD367" s="47" t="s">
        <v>29</v>
      </c>
      <c r="AE367" s="47" t="s">
        <v>29</v>
      </c>
      <c r="AF367" s="19"/>
      <c r="AG367" s="29">
        <f t="shared" si="66"/>
        <v>0</v>
      </c>
    </row>
    <row r="368" spans="1:33" hidden="1">
      <c r="B368" s="166" t="s">
        <v>49</v>
      </c>
      <c r="C368" s="47" t="s">
        <v>29</v>
      </c>
      <c r="D368" s="47" t="s">
        <v>29</v>
      </c>
      <c r="E368" s="319">
        <v>8</v>
      </c>
      <c r="F368" s="320"/>
      <c r="G368" s="4"/>
      <c r="H368" s="47" t="s">
        <v>29</v>
      </c>
      <c r="I368" s="47" t="s">
        <v>29</v>
      </c>
      <c r="J368" s="319">
        <v>8</v>
      </c>
      <c r="K368" s="320"/>
      <c r="L368" s="4"/>
      <c r="M368" s="47" t="s">
        <v>29</v>
      </c>
      <c r="N368" s="47" t="s">
        <v>29</v>
      </c>
      <c r="O368" s="319">
        <v>8</v>
      </c>
      <c r="P368" s="320"/>
      <c r="R368" s="47" t="s">
        <v>29</v>
      </c>
      <c r="S368" s="47" t="s">
        <v>29</v>
      </c>
      <c r="T368" s="319">
        <v>8</v>
      </c>
      <c r="U368" s="320"/>
      <c r="W368" s="47" t="s">
        <v>29</v>
      </c>
      <c r="X368" s="47" t="s">
        <v>29</v>
      </c>
      <c r="Y368" s="319">
        <v>0</v>
      </c>
      <c r="Z368" s="320"/>
      <c r="AA368" s="29">
        <f t="shared" si="65"/>
        <v>32</v>
      </c>
      <c r="AB368" s="298">
        <f t="shared" si="68"/>
        <v>0</v>
      </c>
      <c r="AC368" s="4"/>
      <c r="AD368" s="47" t="s">
        <v>29</v>
      </c>
      <c r="AE368" s="47" t="s">
        <v>29</v>
      </c>
      <c r="AF368" s="19"/>
      <c r="AG368" s="29">
        <f t="shared" si="66"/>
        <v>0</v>
      </c>
    </row>
    <row r="369" spans="2:47" hidden="1">
      <c r="B369" s="166" t="s">
        <v>107</v>
      </c>
      <c r="C369" s="47" t="s">
        <v>29</v>
      </c>
      <c r="D369" s="47" t="s">
        <v>29</v>
      </c>
      <c r="E369" s="319">
        <v>0</v>
      </c>
      <c r="F369" s="320"/>
      <c r="G369" s="4"/>
      <c r="H369" s="47" t="s">
        <v>29</v>
      </c>
      <c r="I369" s="47" t="s">
        <v>29</v>
      </c>
      <c r="J369" s="319">
        <v>0</v>
      </c>
      <c r="K369" s="320"/>
      <c r="L369" s="4"/>
      <c r="M369" s="47" t="s">
        <v>29</v>
      </c>
      <c r="N369" s="47" t="s">
        <v>29</v>
      </c>
      <c r="O369" s="319">
        <v>8</v>
      </c>
      <c r="P369" s="320"/>
      <c r="R369" s="47" t="s">
        <v>29</v>
      </c>
      <c r="S369" s="47" t="s">
        <v>29</v>
      </c>
      <c r="T369" s="319">
        <v>8</v>
      </c>
      <c r="U369" s="320"/>
      <c r="W369" s="47" t="s">
        <v>29</v>
      </c>
      <c r="X369" s="47" t="s">
        <v>29</v>
      </c>
      <c r="Y369" s="319">
        <v>8</v>
      </c>
      <c r="Z369" s="320"/>
      <c r="AA369" s="29">
        <f t="shared" si="65"/>
        <v>24</v>
      </c>
      <c r="AB369" s="298">
        <f t="shared" si="68"/>
        <v>0</v>
      </c>
      <c r="AC369" s="4"/>
      <c r="AD369" s="47" t="s">
        <v>29</v>
      </c>
      <c r="AE369" s="47" t="s">
        <v>29</v>
      </c>
      <c r="AF369" s="19"/>
      <c r="AG369" s="29">
        <f t="shared" si="66"/>
        <v>0</v>
      </c>
    </row>
    <row r="370" spans="2:47" hidden="1">
      <c r="B370" s="166" t="s">
        <v>59</v>
      </c>
      <c r="C370" s="47" t="s">
        <v>29</v>
      </c>
      <c r="D370" s="16" t="s">
        <v>29</v>
      </c>
      <c r="E370" s="319">
        <v>8</v>
      </c>
      <c r="F370" s="320"/>
      <c r="G370" s="4"/>
      <c r="H370" s="47" t="s">
        <v>29</v>
      </c>
      <c r="I370" s="16" t="s">
        <v>29</v>
      </c>
      <c r="J370" s="319">
        <v>8</v>
      </c>
      <c r="K370" s="320"/>
      <c r="L370" s="4"/>
      <c r="M370" s="47" t="s">
        <v>29</v>
      </c>
      <c r="N370" s="16" t="s">
        <v>29</v>
      </c>
      <c r="O370" s="319">
        <v>8</v>
      </c>
      <c r="P370" s="320"/>
      <c r="R370" s="47" t="s">
        <v>29</v>
      </c>
      <c r="S370" s="16" t="s">
        <v>29</v>
      </c>
      <c r="T370" s="319">
        <v>8</v>
      </c>
      <c r="U370" s="320"/>
      <c r="W370" s="47" t="s">
        <v>29</v>
      </c>
      <c r="X370" s="16" t="s">
        <v>29</v>
      </c>
      <c r="Y370" s="319">
        <v>8</v>
      </c>
      <c r="Z370" s="320"/>
      <c r="AA370" s="29">
        <f t="shared" si="65"/>
        <v>40</v>
      </c>
      <c r="AB370" s="298">
        <f t="shared" si="68"/>
        <v>0</v>
      </c>
      <c r="AC370" s="4"/>
      <c r="AD370" s="47" t="s">
        <v>29</v>
      </c>
      <c r="AE370" s="47" t="s">
        <v>29</v>
      </c>
      <c r="AF370" s="19"/>
      <c r="AG370" s="29">
        <f t="shared" si="66"/>
        <v>0</v>
      </c>
    </row>
    <row r="371" spans="2:47" hidden="1">
      <c r="B371" s="166" t="s">
        <v>60</v>
      </c>
      <c r="C371" s="16" t="s">
        <v>29</v>
      </c>
      <c r="D371" s="16" t="s">
        <v>29</v>
      </c>
      <c r="E371" s="319">
        <v>8</v>
      </c>
      <c r="F371" s="320"/>
      <c r="G371" s="4"/>
      <c r="H371" s="16" t="s">
        <v>29</v>
      </c>
      <c r="I371" s="16" t="s">
        <v>29</v>
      </c>
      <c r="J371" s="319">
        <v>8</v>
      </c>
      <c r="K371" s="320"/>
      <c r="L371" s="4"/>
      <c r="M371" s="16" t="s">
        <v>29</v>
      </c>
      <c r="N371" s="16" t="s">
        <v>29</v>
      </c>
      <c r="O371" s="319">
        <v>8</v>
      </c>
      <c r="P371" s="320"/>
      <c r="R371" s="16" t="s">
        <v>29</v>
      </c>
      <c r="S371" s="16" t="s">
        <v>29</v>
      </c>
      <c r="T371" s="319">
        <v>8</v>
      </c>
      <c r="U371" s="320"/>
      <c r="W371" s="16" t="s">
        <v>29</v>
      </c>
      <c r="X371" s="16" t="s">
        <v>29</v>
      </c>
      <c r="Y371" s="319">
        <v>8</v>
      </c>
      <c r="Z371" s="320"/>
      <c r="AA371" s="29">
        <f t="shared" si="65"/>
        <v>40</v>
      </c>
      <c r="AB371" s="298">
        <f t="shared" si="68"/>
        <v>0</v>
      </c>
      <c r="AC371" s="4"/>
      <c r="AD371" s="47" t="s">
        <v>29</v>
      </c>
      <c r="AE371" s="47" t="s">
        <v>29</v>
      </c>
      <c r="AF371" s="19"/>
      <c r="AG371" s="29">
        <f t="shared" si="66"/>
        <v>0</v>
      </c>
    </row>
    <row r="372" spans="2:47" hidden="1">
      <c r="B372" s="63" t="s">
        <v>63</v>
      </c>
      <c r="C372" s="12" t="s">
        <v>29</v>
      </c>
      <c r="D372" s="12" t="s">
        <v>29</v>
      </c>
      <c r="E372" s="319">
        <v>0</v>
      </c>
      <c r="F372" s="320"/>
      <c r="G372" s="438"/>
      <c r="H372" s="12" t="s">
        <v>29</v>
      </c>
      <c r="I372" s="12" t="s">
        <v>29</v>
      </c>
      <c r="J372" s="319">
        <v>0</v>
      </c>
      <c r="K372" s="320"/>
      <c r="L372" s="438"/>
      <c r="M372" s="12" t="s">
        <v>29</v>
      </c>
      <c r="N372" s="12" t="s">
        <v>29</v>
      </c>
      <c r="O372" s="319">
        <v>0</v>
      </c>
      <c r="P372" s="320"/>
      <c r="Q372" s="438"/>
      <c r="R372" s="12" t="s">
        <v>29</v>
      </c>
      <c r="S372" s="12" t="s">
        <v>29</v>
      </c>
      <c r="T372" s="319">
        <v>0</v>
      </c>
      <c r="U372" s="320"/>
      <c r="V372" s="438"/>
      <c r="W372" s="12" t="s">
        <v>29</v>
      </c>
      <c r="X372" s="12" t="s">
        <v>29</v>
      </c>
      <c r="Y372" s="319">
        <v>0</v>
      </c>
      <c r="Z372" s="320"/>
      <c r="AA372" s="29">
        <f t="shared" si="65"/>
        <v>0</v>
      </c>
      <c r="AB372" s="298">
        <f t="shared" si="68"/>
        <v>0</v>
      </c>
      <c r="AC372" s="4"/>
      <c r="AD372" s="47" t="s">
        <v>29</v>
      </c>
      <c r="AE372" s="47" t="s">
        <v>29</v>
      </c>
      <c r="AF372" s="19"/>
      <c r="AG372" s="29">
        <f t="shared" si="66"/>
        <v>0</v>
      </c>
      <c r="AK372" s="407"/>
    </row>
    <row r="373" spans="2:47" hidden="1">
      <c r="B373" s="63" t="s">
        <v>62</v>
      </c>
      <c r="C373" s="16" t="s">
        <v>29</v>
      </c>
      <c r="D373" s="16" t="s">
        <v>29</v>
      </c>
      <c r="E373" s="319">
        <v>5</v>
      </c>
      <c r="F373" s="320"/>
      <c r="G373" s="438"/>
      <c r="H373" s="16" t="s">
        <v>29</v>
      </c>
      <c r="I373" s="16" t="s">
        <v>29</v>
      </c>
      <c r="J373" s="319">
        <v>1</v>
      </c>
      <c r="K373" s="320"/>
      <c r="L373" s="438"/>
      <c r="M373" s="16" t="s">
        <v>29</v>
      </c>
      <c r="N373" s="16" t="s">
        <v>29</v>
      </c>
      <c r="O373" s="319">
        <v>5</v>
      </c>
      <c r="P373" s="320"/>
      <c r="Q373" s="438"/>
      <c r="R373" s="16" t="s">
        <v>29</v>
      </c>
      <c r="S373" s="16" t="s">
        <v>29</v>
      </c>
      <c r="T373" s="319">
        <v>5</v>
      </c>
      <c r="U373" s="320"/>
      <c r="V373" s="438"/>
      <c r="W373" s="16" t="s">
        <v>29</v>
      </c>
      <c r="X373" s="16" t="s">
        <v>29</v>
      </c>
      <c r="Y373" s="319">
        <v>5</v>
      </c>
      <c r="Z373" s="320"/>
      <c r="AA373" s="29">
        <f t="shared" si="65"/>
        <v>21</v>
      </c>
      <c r="AB373" s="298">
        <f t="shared" si="68"/>
        <v>0</v>
      </c>
      <c r="AC373" s="4"/>
      <c r="AD373" s="47" t="s">
        <v>29</v>
      </c>
      <c r="AE373" s="47" t="s">
        <v>29</v>
      </c>
      <c r="AF373" s="19"/>
      <c r="AG373" s="29">
        <v>0</v>
      </c>
    </row>
    <row r="374" spans="2:47" hidden="1">
      <c r="B374" s="64" t="s">
        <v>61</v>
      </c>
      <c r="C374" s="31"/>
      <c r="D374" s="31"/>
      <c r="E374" s="439">
        <f>SUM(E338:E373)</f>
        <v>179.75</v>
      </c>
      <c r="F374" s="320">
        <f>SUM(F338:F366)</f>
        <v>0</v>
      </c>
      <c r="G374" s="31"/>
      <c r="H374" s="31"/>
      <c r="I374" s="31"/>
      <c r="J374" s="439">
        <f>SUM(J338:J373)</f>
        <v>220.75</v>
      </c>
      <c r="K374" s="320">
        <f>SUM(K338:K366)</f>
        <v>0</v>
      </c>
      <c r="L374" s="31"/>
      <c r="M374" s="31"/>
      <c r="N374" s="31"/>
      <c r="O374" s="439">
        <f>SUM(O338:O373)</f>
        <v>187.5</v>
      </c>
      <c r="P374" s="320">
        <f>SUM(P338:P371)</f>
        <v>0</v>
      </c>
      <c r="Q374" s="31"/>
      <c r="R374" s="439"/>
      <c r="S374" s="31"/>
      <c r="T374" s="439">
        <f>SUM(T338:T373)</f>
        <v>197.75</v>
      </c>
      <c r="U374" s="320">
        <f>SUM(U338:U371)</f>
        <v>0</v>
      </c>
      <c r="V374" s="31"/>
      <c r="W374" s="439"/>
      <c r="X374" s="31"/>
      <c r="Y374" s="439">
        <f>SUM(Y338:Y373)</f>
        <v>150.5</v>
      </c>
      <c r="Z374" s="320">
        <f>SUM(Z338:Z366)</f>
        <v>0</v>
      </c>
      <c r="AA374" s="370">
        <f>SUM(AA338:AA373)</f>
        <v>936.25</v>
      </c>
      <c r="AB374" s="370">
        <f>SUM(AB338:AB373)</f>
        <v>0</v>
      </c>
      <c r="AC374" s="4"/>
      <c r="AD374" s="64"/>
      <c r="AE374" s="64"/>
      <c r="AF374" s="167">
        <f>SUM(AF338:AF373)</f>
        <v>25</v>
      </c>
      <c r="AG374" s="370">
        <f>SUM(AG338:AG366)</f>
        <v>25</v>
      </c>
    </row>
    <row r="375" spans="2:47" hidden="1">
      <c r="B375" s="63" t="s">
        <v>64</v>
      </c>
      <c r="C375" s="56"/>
      <c r="D375" s="56"/>
      <c r="E375" s="19">
        <v>7</v>
      </c>
      <c r="F375" s="291">
        <v>0.25</v>
      </c>
      <c r="G375" s="60"/>
      <c r="H375" s="56"/>
      <c r="I375" s="56"/>
      <c r="J375" s="19">
        <v>7.5</v>
      </c>
      <c r="K375" s="291">
        <v>0.75</v>
      </c>
      <c r="L375" s="60"/>
      <c r="M375" s="56"/>
      <c r="N375" s="56"/>
      <c r="O375" s="19">
        <v>7</v>
      </c>
      <c r="P375" s="19">
        <v>0.25</v>
      </c>
      <c r="Q375" s="60"/>
      <c r="R375" s="56"/>
      <c r="S375" s="56"/>
      <c r="T375" s="19">
        <v>7</v>
      </c>
      <c r="U375" s="19">
        <v>0.25</v>
      </c>
      <c r="V375" s="60"/>
      <c r="W375" s="56"/>
      <c r="X375" s="56"/>
      <c r="Y375" s="19">
        <v>8</v>
      </c>
      <c r="Z375" s="19">
        <v>0.25</v>
      </c>
      <c r="AA375" s="28">
        <f>SUM(E375+J375+O375+T375+Y375)</f>
        <v>36.5</v>
      </c>
      <c r="AB375" s="296">
        <f>Z375+U375+P375+K375+F375</f>
        <v>1.75</v>
      </c>
      <c r="AC375" s="4"/>
      <c r="AD375" s="56"/>
      <c r="AE375" s="56"/>
      <c r="AF375" s="19">
        <v>1</v>
      </c>
      <c r="AG375" s="29">
        <f>AF375</f>
        <v>1</v>
      </c>
    </row>
    <row r="376" spans="2:47" hidden="1">
      <c r="B376" s="63" t="s">
        <v>110</v>
      </c>
      <c r="C376" s="56"/>
      <c r="D376" s="56"/>
      <c r="E376" s="19">
        <v>3</v>
      </c>
      <c r="F376" s="291"/>
      <c r="G376" s="60"/>
      <c r="H376" s="56"/>
      <c r="I376" s="56"/>
      <c r="J376" s="19">
        <v>3</v>
      </c>
      <c r="K376" s="291"/>
      <c r="L376" s="60"/>
      <c r="M376" s="56"/>
      <c r="N376" s="56"/>
      <c r="O376" s="19">
        <v>3</v>
      </c>
      <c r="P376" s="19"/>
      <c r="Q376" s="60"/>
      <c r="R376" s="56"/>
      <c r="S376" s="56"/>
      <c r="T376" s="19">
        <v>3</v>
      </c>
      <c r="U376" s="19"/>
      <c r="V376" s="60"/>
      <c r="W376" s="56"/>
      <c r="X376" s="56"/>
      <c r="Y376" s="19">
        <v>4</v>
      </c>
      <c r="Z376" s="19"/>
      <c r="AA376" s="28">
        <f>SUM(E376+J376+O376+T376+Y376)</f>
        <v>16</v>
      </c>
      <c r="AB376" s="296">
        <f>Z376+U376+P376+K376+F376</f>
        <v>0</v>
      </c>
      <c r="AC376" s="4"/>
      <c r="AD376" s="56"/>
      <c r="AE376" s="56"/>
      <c r="AF376" s="19"/>
      <c r="AG376" s="29">
        <f>AF376</f>
        <v>0</v>
      </c>
    </row>
    <row r="377" spans="2:47" hidden="1">
      <c r="B377" s="71" t="s">
        <v>66</v>
      </c>
      <c r="C377" s="371"/>
      <c r="D377" s="371"/>
      <c r="E377" s="71">
        <f t="shared" ref="E377:AB377" si="69">SUM(E375:E376)</f>
        <v>10</v>
      </c>
      <c r="F377" s="71">
        <f t="shared" si="69"/>
        <v>0.25</v>
      </c>
      <c r="G377" s="71">
        <f t="shared" si="69"/>
        <v>0</v>
      </c>
      <c r="H377" s="71">
        <f t="shared" si="69"/>
        <v>0</v>
      </c>
      <c r="I377" s="71">
        <f t="shared" si="69"/>
        <v>0</v>
      </c>
      <c r="J377" s="71">
        <f t="shared" si="69"/>
        <v>10.5</v>
      </c>
      <c r="K377" s="71">
        <f t="shared" si="69"/>
        <v>0.75</v>
      </c>
      <c r="L377" s="71">
        <f t="shared" si="69"/>
        <v>0</v>
      </c>
      <c r="M377" s="71">
        <f t="shared" si="69"/>
        <v>0</v>
      </c>
      <c r="N377" s="71">
        <f t="shared" si="69"/>
        <v>0</v>
      </c>
      <c r="O377" s="71">
        <f t="shared" si="69"/>
        <v>10</v>
      </c>
      <c r="P377" s="71">
        <f t="shared" si="69"/>
        <v>0.25</v>
      </c>
      <c r="Q377" s="71">
        <f t="shared" si="69"/>
        <v>0</v>
      </c>
      <c r="R377" s="71">
        <f t="shared" si="69"/>
        <v>0</v>
      </c>
      <c r="S377" s="71">
        <f t="shared" si="69"/>
        <v>0</v>
      </c>
      <c r="T377" s="71">
        <f t="shared" si="69"/>
        <v>10</v>
      </c>
      <c r="U377" s="71">
        <f t="shared" si="69"/>
        <v>0.25</v>
      </c>
      <c r="V377" s="71">
        <f t="shared" si="69"/>
        <v>0</v>
      </c>
      <c r="W377" s="71">
        <f t="shared" si="69"/>
        <v>0</v>
      </c>
      <c r="X377" s="71">
        <f t="shared" si="69"/>
        <v>0</v>
      </c>
      <c r="Y377" s="71">
        <f t="shared" si="69"/>
        <v>12</v>
      </c>
      <c r="Z377" s="71">
        <f t="shared" si="69"/>
        <v>0.25</v>
      </c>
      <c r="AA377" s="370">
        <f t="shared" si="69"/>
        <v>52.5</v>
      </c>
      <c r="AB377" s="370">
        <f t="shared" si="69"/>
        <v>1.75</v>
      </c>
      <c r="AC377" s="4"/>
      <c r="AG377" s="370">
        <f>SUM(AG375:AG376)</f>
        <v>1</v>
      </c>
    </row>
    <row r="378" spans="2:47" hidden="1">
      <c r="B378" s="217" t="s">
        <v>67</v>
      </c>
      <c r="C378" s="207">
        <f>C379+C380</f>
        <v>124</v>
      </c>
      <c r="D378" s="207"/>
      <c r="E378" s="209"/>
      <c r="F378" s="209"/>
      <c r="G378" s="207"/>
      <c r="H378" s="209"/>
      <c r="I378" s="209"/>
      <c r="J378" s="209"/>
      <c r="K378" s="209"/>
      <c r="L378" s="207"/>
      <c r="M378" s="207"/>
      <c r="N378" s="207"/>
      <c r="O378" s="207"/>
      <c r="P378" s="209"/>
      <c r="Q378" s="207"/>
      <c r="R378" s="207"/>
      <c r="S378" s="207"/>
      <c r="T378" s="207"/>
      <c r="U378" s="209"/>
      <c r="V378" s="207"/>
      <c r="W378" s="207"/>
      <c r="X378" s="207"/>
      <c r="Y378" s="210"/>
      <c r="Z378" s="209"/>
      <c r="AA378" s="211"/>
      <c r="AB378" s="209"/>
      <c r="AC378" s="211"/>
      <c r="AD378" s="211"/>
      <c r="AE378" s="211"/>
      <c r="AF378" s="211"/>
      <c r="AG378" s="211"/>
    </row>
    <row r="379" spans="2:47" hidden="1">
      <c r="B379" s="238" t="s">
        <v>68</v>
      </c>
      <c r="C379" s="239">
        <f>14+21+15+17+14</f>
        <v>81</v>
      </c>
      <c r="D379" s="207"/>
      <c r="E379" s="209"/>
      <c r="F379" s="209"/>
      <c r="G379" s="207"/>
      <c r="H379" s="209"/>
      <c r="I379" s="209"/>
      <c r="J379" s="209"/>
      <c r="K379" s="209"/>
      <c r="L379" s="207"/>
      <c r="M379" s="207"/>
      <c r="N379" s="207"/>
      <c r="O379" s="207"/>
      <c r="P379" s="209"/>
      <c r="Q379" s="207"/>
      <c r="R379" s="207"/>
      <c r="S379" s="207"/>
      <c r="T379" s="207"/>
      <c r="U379" s="209"/>
      <c r="V379" s="207"/>
      <c r="W379" s="207"/>
      <c r="X379" s="207"/>
      <c r="Y379" s="210"/>
      <c r="Z379" s="209"/>
      <c r="AA379" s="211"/>
      <c r="AB379" s="209"/>
      <c r="AC379" s="211"/>
      <c r="AD379" s="211"/>
      <c r="AE379" s="211"/>
      <c r="AF379" s="211"/>
      <c r="AG379" s="211"/>
    </row>
    <row r="380" spans="2:47" ht="24.75" hidden="1" customHeight="1">
      <c r="B380" s="238" t="s">
        <v>69</v>
      </c>
      <c r="C380" s="239">
        <f>14+8+6+10+5</f>
        <v>43</v>
      </c>
      <c r="D380" s="207"/>
      <c r="E380" s="209"/>
      <c r="F380" s="209"/>
      <c r="G380" s="207"/>
      <c r="H380" s="209"/>
      <c r="I380" s="209"/>
      <c r="J380" s="209"/>
      <c r="K380" s="209"/>
      <c r="L380" s="207"/>
      <c r="M380" s="207"/>
      <c r="N380" s="207"/>
      <c r="O380" s="207"/>
      <c r="P380" s="209"/>
      <c r="Q380" s="207"/>
      <c r="R380" s="207"/>
      <c r="S380" s="207"/>
      <c r="T380" s="207"/>
      <c r="U380" s="209"/>
      <c r="V380" s="207"/>
      <c r="W380" s="207"/>
      <c r="X380" s="207"/>
      <c r="Y380" s="210"/>
      <c r="Z380" s="209"/>
      <c r="AA380" s="211"/>
      <c r="AB380" s="209"/>
      <c r="AC380" s="211"/>
      <c r="AD380" s="211"/>
      <c r="AE380" s="211"/>
      <c r="AF380" s="211"/>
      <c r="AG380" s="211"/>
    </row>
    <row r="381" spans="2:47" ht="35.25" hidden="1" customHeight="1">
      <c r="E381" s="4"/>
      <c r="F381" s="4"/>
      <c r="G381" s="4"/>
      <c r="J381" s="4"/>
      <c r="K381" s="4"/>
      <c r="L381" s="4"/>
      <c r="O381" s="4"/>
      <c r="P381" s="4"/>
      <c r="T381" s="4"/>
      <c r="U381" s="4"/>
      <c r="Y381" s="4"/>
      <c r="Z381" s="4"/>
      <c r="AA381" s="4"/>
      <c r="AB381" s="4"/>
      <c r="AC381" s="4"/>
    </row>
    <row r="382" spans="2:47" hidden="1">
      <c r="B382" s="229"/>
      <c r="C382" s="230"/>
      <c r="D382" s="230"/>
      <c r="E382" s="232"/>
      <c r="F382" s="232"/>
      <c r="G382" s="230"/>
      <c r="H382" s="232"/>
      <c r="I382" s="232"/>
      <c r="J382" s="232"/>
      <c r="K382" s="232"/>
      <c r="L382" s="230"/>
      <c r="M382" s="230"/>
      <c r="N382" s="230"/>
      <c r="O382" s="230"/>
      <c r="P382" s="232"/>
      <c r="Q382" s="230"/>
      <c r="R382" s="230"/>
      <c r="S382" s="230"/>
      <c r="T382" s="230"/>
      <c r="U382" s="232"/>
      <c r="V382" s="230"/>
      <c r="W382" s="230"/>
      <c r="X382" s="230"/>
      <c r="Y382" s="233"/>
      <c r="Z382" s="232"/>
      <c r="AA382" s="234"/>
      <c r="AB382" s="232"/>
      <c r="AC382" s="373"/>
      <c r="AD382" s="236"/>
      <c r="AE382" s="255"/>
      <c r="AF382" s="255"/>
      <c r="AG382" s="255"/>
      <c r="AH382" s="255"/>
      <c r="AJ382" s="255"/>
      <c r="AK382" s="255"/>
      <c r="AL382" s="255"/>
      <c r="AM382" s="255"/>
      <c r="AN382" s="255"/>
      <c r="AO382" s="255"/>
      <c r="AP382" s="255"/>
      <c r="AQ382" s="255"/>
      <c r="AR382" s="255"/>
      <c r="AS382" s="255"/>
      <c r="AT382" s="255"/>
      <c r="AU382" s="255"/>
    </row>
    <row r="383" spans="2:47" hidden="1">
      <c r="B383" s="180"/>
      <c r="E383" s="4"/>
      <c r="F383" s="4"/>
      <c r="G383" s="4"/>
      <c r="J383" s="4"/>
      <c r="K383" s="4"/>
      <c r="L383" s="4"/>
      <c r="O383" s="4"/>
      <c r="P383" s="4"/>
      <c r="T383" s="4"/>
      <c r="U383" s="4"/>
      <c r="Y383" s="4"/>
      <c r="Z383" s="4"/>
      <c r="AA383" s="4"/>
      <c r="AB383" s="4"/>
      <c r="AC383" s="4"/>
      <c r="AK383" s="180"/>
      <c r="AL383" s="180"/>
      <c r="AM383" s="180"/>
      <c r="AN383" s="180"/>
      <c r="AO383" s="180"/>
      <c r="AP383" s="180"/>
    </row>
    <row r="384" spans="2:47" hidden="1">
      <c r="B384" s="1518" t="s">
        <v>18</v>
      </c>
      <c r="C384" s="1519">
        <v>45369</v>
      </c>
      <c r="D384" s="1519"/>
      <c r="E384" s="1519"/>
      <c r="F384" s="1519"/>
      <c r="G384" s="365"/>
      <c r="H384" s="1519">
        <v>45370</v>
      </c>
      <c r="I384" s="1519"/>
      <c r="J384" s="1519"/>
      <c r="K384" s="1519"/>
      <c r="L384" s="365">
        <v>45343</v>
      </c>
      <c r="M384" s="1519">
        <v>45371</v>
      </c>
      <c r="N384" s="1519"/>
      <c r="O384" s="1519"/>
      <c r="P384" s="1519"/>
      <c r="Q384" s="365"/>
      <c r="R384" s="1519">
        <v>45372</v>
      </c>
      <c r="S384" s="1519"/>
      <c r="T384" s="1519"/>
      <c r="U384" s="1519"/>
      <c r="V384" s="365"/>
      <c r="W384" s="1519">
        <v>45373</v>
      </c>
      <c r="X384" s="1519"/>
      <c r="Y384" s="1519"/>
      <c r="Z384" s="1519"/>
      <c r="AA384" s="1517" t="s">
        <v>19</v>
      </c>
      <c r="AB384" s="1517" t="s">
        <v>20</v>
      </c>
      <c r="AC384" s="4"/>
      <c r="AD384" s="1519">
        <v>45374</v>
      </c>
      <c r="AE384" s="1519"/>
      <c r="AF384" s="1519"/>
      <c r="AG384" s="1517" t="s">
        <v>21</v>
      </c>
      <c r="AI384" s="368"/>
      <c r="AK384" s="194" t="s">
        <v>84</v>
      </c>
      <c r="AL384" s="366"/>
      <c r="AM384" s="366"/>
      <c r="AN384" s="366"/>
      <c r="AO384" s="366"/>
      <c r="AP384" s="366"/>
    </row>
    <row r="385" spans="2:47" hidden="1">
      <c r="B385" s="1518"/>
      <c r="C385" s="21" t="s">
        <v>23</v>
      </c>
      <c r="D385" s="21" t="s">
        <v>24</v>
      </c>
      <c r="E385" s="205" t="s">
        <v>25</v>
      </c>
      <c r="F385" s="18" t="s">
        <v>14</v>
      </c>
      <c r="G385" s="4"/>
      <c r="H385" s="21" t="s">
        <v>23</v>
      </c>
      <c r="I385" s="21" t="s">
        <v>24</v>
      </c>
      <c r="J385" s="18" t="s">
        <v>25</v>
      </c>
      <c r="K385" s="18" t="s">
        <v>14</v>
      </c>
      <c r="L385" s="4"/>
      <c r="M385" s="21" t="s">
        <v>23</v>
      </c>
      <c r="N385" s="21" t="s">
        <v>24</v>
      </c>
      <c r="O385" s="18" t="s">
        <v>25</v>
      </c>
      <c r="P385" s="18" t="s">
        <v>14</v>
      </c>
      <c r="R385" s="484" t="s">
        <v>23</v>
      </c>
      <c r="S385" s="21" t="s">
        <v>24</v>
      </c>
      <c r="T385" s="18" t="s">
        <v>25</v>
      </c>
      <c r="U385" s="18" t="s">
        <v>14</v>
      </c>
      <c r="W385" s="484" t="s">
        <v>23</v>
      </c>
      <c r="X385" s="21" t="s">
        <v>24</v>
      </c>
      <c r="Y385" s="18" t="s">
        <v>25</v>
      </c>
      <c r="Z385" s="18" t="s">
        <v>14</v>
      </c>
      <c r="AA385" s="1517"/>
      <c r="AB385" s="1517"/>
      <c r="AC385" s="4"/>
      <c r="AD385" s="21" t="s">
        <v>23</v>
      </c>
      <c r="AE385" s="21" t="s">
        <v>24</v>
      </c>
      <c r="AF385" s="18" t="s">
        <v>25</v>
      </c>
      <c r="AG385" s="1517"/>
      <c r="AI385" s="368"/>
      <c r="AJ385" s="367"/>
      <c r="AK385" s="188" t="s">
        <v>26</v>
      </c>
      <c r="AL385" s="196">
        <f>AA416</f>
        <v>987.25</v>
      </c>
      <c r="AM385" s="510">
        <v>38</v>
      </c>
      <c r="AN385" s="510">
        <f t="shared" ref="AN385:AN391" si="70">AL385*AM385</f>
        <v>37515.5</v>
      </c>
      <c r="AQ385" s="367"/>
      <c r="AR385" s="367"/>
      <c r="AS385" s="367"/>
      <c r="AT385" s="367"/>
      <c r="AU385" s="367"/>
    </row>
    <row r="386" spans="2:47" hidden="1">
      <c r="B386" s="449" t="s">
        <v>72</v>
      </c>
      <c r="C386" s="47">
        <v>0.375</v>
      </c>
      <c r="D386" s="47">
        <v>0.25</v>
      </c>
      <c r="E386" s="319">
        <v>8</v>
      </c>
      <c r="F386" s="320"/>
      <c r="G386" s="4"/>
      <c r="H386" s="47">
        <v>0.36458333333333331</v>
      </c>
      <c r="I386" s="47">
        <v>0.25</v>
      </c>
      <c r="J386" s="319">
        <v>8</v>
      </c>
      <c r="K386" s="320"/>
      <c r="L386" s="4"/>
      <c r="M386" s="47">
        <v>0.375</v>
      </c>
      <c r="N386" s="47">
        <v>0.25</v>
      </c>
      <c r="O386" s="319">
        <v>8</v>
      </c>
      <c r="P386" s="320"/>
      <c r="R386" s="47">
        <v>0.25</v>
      </c>
      <c r="S386" s="47">
        <v>0.25</v>
      </c>
      <c r="T386" s="319">
        <v>8</v>
      </c>
      <c r="U386" s="320">
        <v>3</v>
      </c>
      <c r="W386" s="47">
        <v>0.36458333333333331</v>
      </c>
      <c r="X386" s="47">
        <v>0.25</v>
      </c>
      <c r="Y386" s="319">
        <v>8</v>
      </c>
      <c r="Z386" s="320"/>
      <c r="AA386" s="29">
        <f t="shared" ref="AA386:AA415" si="71">(E386+J386+O386+T386+Y386)</f>
        <v>40</v>
      </c>
      <c r="AB386" s="298">
        <f t="shared" ref="AB386:AB415" si="72">Z386+U386+P386+K386+F386</f>
        <v>3</v>
      </c>
      <c r="AC386" s="399"/>
      <c r="AD386" s="47" t="s">
        <v>29</v>
      </c>
      <c r="AE386" s="47" t="s">
        <v>29</v>
      </c>
      <c r="AF386" s="346"/>
      <c r="AG386" s="29">
        <f t="shared" ref="AG386:AG413" si="73">AF386</f>
        <v>0</v>
      </c>
      <c r="AH386" s="175"/>
      <c r="AJ386" s="401"/>
      <c r="AK386" s="188" t="s">
        <v>30</v>
      </c>
      <c r="AL386" s="196">
        <f>AB416</f>
        <v>16.5</v>
      </c>
      <c r="AM386" s="511">
        <v>57</v>
      </c>
      <c r="AN386" s="510">
        <f t="shared" si="70"/>
        <v>940.5</v>
      </c>
      <c r="AO386" s="405"/>
      <c r="AP386" s="405"/>
      <c r="AQ386" s="401"/>
      <c r="AR386" s="401"/>
      <c r="AS386" s="401"/>
      <c r="AT386" s="401"/>
      <c r="AU386" s="401"/>
    </row>
    <row r="387" spans="2:47" hidden="1">
      <c r="B387" s="318" t="s">
        <v>53</v>
      </c>
      <c r="C387" s="441" t="s">
        <v>247</v>
      </c>
      <c r="D387" s="47">
        <v>0.25</v>
      </c>
      <c r="E387" s="319">
        <v>8</v>
      </c>
      <c r="F387" s="320">
        <v>2.5</v>
      </c>
      <c r="G387" s="4"/>
      <c r="H387" s="47">
        <v>0.38541666666666669</v>
      </c>
      <c r="I387" s="47">
        <v>0.25</v>
      </c>
      <c r="J387" s="319">
        <v>7.75</v>
      </c>
      <c r="K387" s="320"/>
      <c r="L387" s="4"/>
      <c r="M387" s="47">
        <v>0.375</v>
      </c>
      <c r="N387" s="47">
        <v>0.25</v>
      </c>
      <c r="O387" s="319">
        <v>8</v>
      </c>
      <c r="P387" s="320"/>
      <c r="R387" s="47">
        <v>0.375</v>
      </c>
      <c r="S387" s="47">
        <v>0.25</v>
      </c>
      <c r="T387" s="319">
        <v>8</v>
      </c>
      <c r="U387" s="320"/>
      <c r="W387" s="47">
        <v>0.375</v>
      </c>
      <c r="X387" s="47">
        <v>0.25</v>
      </c>
      <c r="Y387" s="319">
        <v>8</v>
      </c>
      <c r="Z387" s="320"/>
      <c r="AA387" s="29">
        <f t="shared" si="71"/>
        <v>39.75</v>
      </c>
      <c r="AB387" s="298">
        <f t="shared" si="72"/>
        <v>2.5</v>
      </c>
      <c r="AC387" s="175"/>
      <c r="AD387" s="47" t="s">
        <v>29</v>
      </c>
      <c r="AE387" s="47" t="s">
        <v>29</v>
      </c>
      <c r="AF387" s="346"/>
      <c r="AG387" s="344">
        <f t="shared" si="73"/>
        <v>0</v>
      </c>
      <c r="AH387" s="175"/>
      <c r="AI387" s="368"/>
      <c r="AK387" s="188" t="s">
        <v>32</v>
      </c>
      <c r="AL387" s="196">
        <f>AG416</f>
        <v>0</v>
      </c>
      <c r="AM387" s="510">
        <v>57</v>
      </c>
      <c r="AN387" s="510">
        <f t="shared" si="70"/>
        <v>0</v>
      </c>
    </row>
    <row r="388" spans="2:47" hidden="1">
      <c r="B388" s="318" t="s">
        <v>91</v>
      </c>
      <c r="C388" s="47">
        <v>0.375</v>
      </c>
      <c r="D388" s="47">
        <v>0.25</v>
      </c>
      <c r="E388" s="319">
        <v>8</v>
      </c>
      <c r="F388" s="320"/>
      <c r="G388" s="4"/>
      <c r="H388" s="47">
        <v>0.375</v>
      </c>
      <c r="I388" s="47">
        <v>0.25</v>
      </c>
      <c r="J388" s="319">
        <v>8</v>
      </c>
      <c r="K388" s="320"/>
      <c r="L388" s="4"/>
      <c r="M388" s="47">
        <v>0.375</v>
      </c>
      <c r="N388" s="47">
        <v>0.25</v>
      </c>
      <c r="O388" s="319">
        <v>8</v>
      </c>
      <c r="P388" s="320"/>
      <c r="R388" s="47">
        <v>0.375</v>
      </c>
      <c r="S388" s="47">
        <v>0.25</v>
      </c>
      <c r="T388" s="319">
        <v>8</v>
      </c>
      <c r="U388" s="320"/>
      <c r="W388" s="47">
        <v>0.375</v>
      </c>
      <c r="X388" s="47">
        <v>0.25</v>
      </c>
      <c r="Y388" s="319">
        <v>8</v>
      </c>
      <c r="Z388" s="320"/>
      <c r="AA388" s="29">
        <f t="shared" si="71"/>
        <v>40</v>
      </c>
      <c r="AB388" s="298">
        <f t="shared" si="72"/>
        <v>0</v>
      </c>
      <c r="AC388" s="4"/>
      <c r="AD388" s="47" t="s">
        <v>29</v>
      </c>
      <c r="AE388" s="47" t="s">
        <v>29</v>
      </c>
      <c r="AF388" s="346"/>
      <c r="AG388" s="29">
        <f t="shared" si="73"/>
        <v>0</v>
      </c>
      <c r="AJ388" s="367"/>
      <c r="AK388" s="403" t="s">
        <v>213</v>
      </c>
      <c r="AL388" s="404">
        <f>AA419</f>
        <v>20</v>
      </c>
      <c r="AM388" s="510">
        <v>50</v>
      </c>
      <c r="AN388" s="510">
        <f t="shared" si="70"/>
        <v>1000</v>
      </c>
      <c r="AQ388" s="367"/>
      <c r="AR388" s="367"/>
      <c r="AS388" s="367"/>
      <c r="AT388" s="367"/>
      <c r="AU388" s="367"/>
    </row>
    <row r="389" spans="2:47" hidden="1">
      <c r="B389" s="318" t="s">
        <v>46</v>
      </c>
      <c r="C389" s="47">
        <v>0.27083333333333331</v>
      </c>
      <c r="D389" s="47">
        <v>0.25</v>
      </c>
      <c r="E389" s="319">
        <v>8</v>
      </c>
      <c r="F389" s="320">
        <v>2.5</v>
      </c>
      <c r="G389" s="4"/>
      <c r="H389" s="47">
        <v>0.35416666666666669</v>
      </c>
      <c r="I389" s="47">
        <v>0.25</v>
      </c>
      <c r="J389" s="319">
        <v>8</v>
      </c>
      <c r="K389" s="320"/>
      <c r="L389" s="4"/>
      <c r="M389" s="47">
        <v>0.375</v>
      </c>
      <c r="N389" s="47">
        <v>0.25</v>
      </c>
      <c r="O389" s="319">
        <v>8</v>
      </c>
      <c r="P389" s="320"/>
      <c r="R389" s="47">
        <v>0.375</v>
      </c>
      <c r="S389" s="47">
        <v>0.25</v>
      </c>
      <c r="T389" s="319">
        <v>8</v>
      </c>
      <c r="U389" s="320"/>
      <c r="W389" s="47">
        <v>0.34375</v>
      </c>
      <c r="X389" s="47">
        <v>0.25</v>
      </c>
      <c r="Y389" s="319">
        <v>8</v>
      </c>
      <c r="Z389" s="320"/>
      <c r="AA389" s="29">
        <f t="shared" si="71"/>
        <v>40</v>
      </c>
      <c r="AB389" s="298">
        <f t="shared" si="72"/>
        <v>2.5</v>
      </c>
      <c r="AC389" s="4"/>
      <c r="AD389" s="47" t="s">
        <v>29</v>
      </c>
      <c r="AE389" s="47" t="s">
        <v>29</v>
      </c>
      <c r="AF389" s="346"/>
      <c r="AG389" s="29">
        <f t="shared" si="73"/>
        <v>0</v>
      </c>
      <c r="AK389" s="188" t="s">
        <v>36</v>
      </c>
      <c r="AL389" s="196">
        <f>AB419</f>
        <v>0</v>
      </c>
      <c r="AM389" s="510">
        <v>75</v>
      </c>
      <c r="AN389" s="510">
        <f t="shared" si="70"/>
        <v>0</v>
      </c>
    </row>
    <row r="390" spans="2:47" hidden="1">
      <c r="B390" s="318" t="s">
        <v>43</v>
      </c>
      <c r="C390" s="47">
        <v>0.375</v>
      </c>
      <c r="D390" s="47">
        <v>0.25</v>
      </c>
      <c r="E390" s="319">
        <v>8</v>
      </c>
      <c r="F390" s="320"/>
      <c r="G390" s="4"/>
      <c r="H390" s="451"/>
      <c r="I390" s="452"/>
      <c r="J390" s="453"/>
      <c r="K390" s="320"/>
      <c r="L390" s="4"/>
      <c r="M390" s="47">
        <v>0.375</v>
      </c>
      <c r="N390" s="47">
        <v>0.25</v>
      </c>
      <c r="O390" s="319">
        <v>8</v>
      </c>
      <c r="P390" s="320"/>
      <c r="R390" s="47">
        <v>0.25</v>
      </c>
      <c r="S390" s="47">
        <v>0.25</v>
      </c>
      <c r="T390" s="319">
        <v>8</v>
      </c>
      <c r="U390" s="320">
        <v>3</v>
      </c>
      <c r="W390" s="47">
        <v>0</v>
      </c>
      <c r="X390" s="4">
        <v>0</v>
      </c>
      <c r="Y390" s="319">
        <v>0</v>
      </c>
      <c r="Z390" s="320"/>
      <c r="AA390" s="29">
        <f t="shared" si="71"/>
        <v>24</v>
      </c>
      <c r="AB390" s="298">
        <f t="shared" si="72"/>
        <v>3</v>
      </c>
      <c r="AC390" s="4"/>
      <c r="AD390" s="47" t="s">
        <v>29</v>
      </c>
      <c r="AE390" s="47" t="s">
        <v>29</v>
      </c>
      <c r="AF390" s="346"/>
      <c r="AG390" s="29">
        <f t="shared" si="73"/>
        <v>0</v>
      </c>
      <c r="AK390" s="188" t="s">
        <v>38</v>
      </c>
      <c r="AL390" s="196">
        <f>AG419</f>
        <v>0</v>
      </c>
      <c r="AM390" s="510">
        <v>75</v>
      </c>
      <c r="AN390" s="510">
        <f t="shared" si="70"/>
        <v>0</v>
      </c>
    </row>
    <row r="391" spans="2:47" ht="14.25" hidden="1" thickBot="1">
      <c r="B391" s="449" t="s">
        <v>113</v>
      </c>
      <c r="C391" s="47">
        <v>0.375</v>
      </c>
      <c r="D391" s="47">
        <v>0.25</v>
      </c>
      <c r="E391" s="319">
        <v>8</v>
      </c>
      <c r="F391" s="320"/>
      <c r="G391" s="4"/>
      <c r="H391" s="47">
        <v>0.375</v>
      </c>
      <c r="I391" s="47">
        <v>0.25</v>
      </c>
      <c r="J391" s="319">
        <v>8</v>
      </c>
      <c r="K391" s="320"/>
      <c r="L391" s="4"/>
      <c r="M391" s="47">
        <v>0.38541666666666669</v>
      </c>
      <c r="N391" s="47">
        <v>0.25</v>
      </c>
      <c r="O391" s="319">
        <v>7.75</v>
      </c>
      <c r="P391" s="320"/>
      <c r="R391" s="47">
        <v>0.25</v>
      </c>
      <c r="S391" s="47">
        <v>0.25</v>
      </c>
      <c r="T391" s="319">
        <v>8</v>
      </c>
      <c r="U391" s="320">
        <v>3</v>
      </c>
      <c r="W391" s="47">
        <v>0.38541666666666669</v>
      </c>
      <c r="X391" s="47">
        <v>0.25</v>
      </c>
      <c r="Y391" s="319">
        <v>7.75</v>
      </c>
      <c r="Z391" s="320"/>
      <c r="AA391" s="29">
        <f t="shared" si="71"/>
        <v>39.5</v>
      </c>
      <c r="AB391" s="298">
        <f t="shared" si="72"/>
        <v>3</v>
      </c>
      <c r="AC391" s="4"/>
      <c r="AD391" s="47" t="s">
        <v>29</v>
      </c>
      <c r="AE391" s="47" t="s">
        <v>29</v>
      </c>
      <c r="AF391" s="346"/>
      <c r="AG391" s="29">
        <f t="shared" si="73"/>
        <v>0</v>
      </c>
      <c r="AK391" s="188" t="s">
        <v>41</v>
      </c>
      <c r="AL391" s="196">
        <f>C420</f>
        <v>94</v>
      </c>
      <c r="AM391" s="512">
        <v>45</v>
      </c>
      <c r="AN391" s="512">
        <f t="shared" si="70"/>
        <v>4230</v>
      </c>
    </row>
    <row r="392" spans="2:47" ht="14.25" hidden="1" thickTop="1">
      <c r="B392" s="318" t="s">
        <v>108</v>
      </c>
      <c r="C392" s="441" t="s">
        <v>247</v>
      </c>
      <c r="D392" s="47">
        <v>0.25</v>
      </c>
      <c r="E392" s="319">
        <v>8</v>
      </c>
      <c r="F392" s="320">
        <v>2.5</v>
      </c>
      <c r="G392" s="4"/>
      <c r="H392" s="47">
        <v>0.36458333333333331</v>
      </c>
      <c r="I392" s="47">
        <v>0.25</v>
      </c>
      <c r="J392" s="319">
        <v>8</v>
      </c>
      <c r="K392" s="320"/>
      <c r="L392" s="4"/>
      <c r="M392" s="47">
        <v>0.375</v>
      </c>
      <c r="N392" s="47">
        <v>0.25</v>
      </c>
      <c r="O392" s="319">
        <v>8</v>
      </c>
      <c r="P392" s="320"/>
      <c r="R392" s="47" t="s">
        <v>248</v>
      </c>
      <c r="S392" s="47"/>
      <c r="T392" s="319"/>
      <c r="U392" s="320"/>
      <c r="W392" s="47" t="s">
        <v>248</v>
      </c>
      <c r="X392" s="47"/>
      <c r="Y392" s="319"/>
      <c r="Z392" s="320"/>
      <c r="AA392" s="29">
        <f t="shared" si="71"/>
        <v>24</v>
      </c>
      <c r="AB392" s="298">
        <f t="shared" si="72"/>
        <v>2.5</v>
      </c>
      <c r="AC392" s="4"/>
      <c r="AD392" s="47" t="s">
        <v>29</v>
      </c>
      <c r="AE392" s="47" t="s">
        <v>29</v>
      </c>
      <c r="AF392" s="346"/>
      <c r="AG392" s="29">
        <f t="shared" si="73"/>
        <v>0</v>
      </c>
      <c r="AN392" s="510">
        <f>SUM(AN385:AN391)</f>
        <v>43686</v>
      </c>
    </row>
    <row r="393" spans="2:47" hidden="1">
      <c r="B393" s="318" t="s">
        <v>112</v>
      </c>
      <c r="C393" s="441" t="s">
        <v>75</v>
      </c>
      <c r="D393" s="47">
        <v>0.25</v>
      </c>
      <c r="E393" s="319">
        <v>8</v>
      </c>
      <c r="F393" s="320"/>
      <c r="G393" s="4"/>
      <c r="H393" s="47">
        <v>0.375</v>
      </c>
      <c r="I393" s="47">
        <v>0.25</v>
      </c>
      <c r="J393" s="319">
        <v>8</v>
      </c>
      <c r="K393" s="320"/>
      <c r="L393" s="4"/>
      <c r="M393" s="47">
        <v>0.375</v>
      </c>
      <c r="N393" s="47">
        <v>0.25</v>
      </c>
      <c r="O393" s="319">
        <v>8</v>
      </c>
      <c r="P393" s="320"/>
      <c r="R393" s="47">
        <v>0.36458333333333331</v>
      </c>
      <c r="S393" s="47">
        <v>0.25</v>
      </c>
      <c r="T393" s="319">
        <v>8</v>
      </c>
      <c r="U393" s="320"/>
      <c r="W393" s="47">
        <v>0.36458333333333331</v>
      </c>
      <c r="X393" s="47">
        <v>0.25</v>
      </c>
      <c r="Y393" s="319">
        <v>8</v>
      </c>
      <c r="Z393" s="320"/>
      <c r="AA393" s="29">
        <f t="shared" si="71"/>
        <v>40</v>
      </c>
      <c r="AB393" s="298">
        <f t="shared" si="72"/>
        <v>0</v>
      </c>
      <c r="AC393" s="4"/>
      <c r="AD393" s="47" t="s">
        <v>29</v>
      </c>
      <c r="AE393" s="47" t="s">
        <v>29</v>
      </c>
      <c r="AF393" s="346"/>
      <c r="AG393" s="29">
        <f t="shared" si="73"/>
        <v>0</v>
      </c>
    </row>
    <row r="394" spans="2:47" hidden="1">
      <c r="B394" s="318" t="s">
        <v>52</v>
      </c>
      <c r="C394" s="441" t="s">
        <v>75</v>
      </c>
      <c r="D394" s="47">
        <v>0.25</v>
      </c>
      <c r="E394" s="319">
        <v>8</v>
      </c>
      <c r="F394" s="320"/>
      <c r="G394" s="4"/>
      <c r="H394" s="47">
        <v>0.375</v>
      </c>
      <c r="I394" s="47">
        <v>0.25</v>
      </c>
      <c r="J394" s="319">
        <v>8</v>
      </c>
      <c r="K394" s="320"/>
      <c r="L394" s="4"/>
      <c r="M394" s="47">
        <v>0.375</v>
      </c>
      <c r="N394" s="47">
        <v>0.25</v>
      </c>
      <c r="O394" s="319">
        <v>8</v>
      </c>
      <c r="P394" s="320"/>
      <c r="R394" s="47" t="s">
        <v>248</v>
      </c>
      <c r="S394" s="47"/>
      <c r="T394" s="319"/>
      <c r="U394" s="320"/>
      <c r="W394" s="47" t="s">
        <v>248</v>
      </c>
      <c r="X394" s="47"/>
      <c r="Y394" s="319"/>
      <c r="Z394" s="320"/>
      <c r="AA394" s="29">
        <f t="shared" si="71"/>
        <v>24</v>
      </c>
      <c r="AB394" s="298">
        <f t="shared" si="72"/>
        <v>0</v>
      </c>
      <c r="AC394" s="4"/>
      <c r="AD394" s="47" t="s">
        <v>29</v>
      </c>
      <c r="AE394" s="47" t="s">
        <v>29</v>
      </c>
      <c r="AF394" s="346"/>
      <c r="AG394" s="29">
        <f t="shared" si="73"/>
        <v>0</v>
      </c>
    </row>
    <row r="395" spans="2:47" hidden="1">
      <c r="B395" s="449" t="s">
        <v>42</v>
      </c>
      <c r="C395" s="441">
        <v>0</v>
      </c>
      <c r="D395" s="441">
        <v>0</v>
      </c>
      <c r="E395" s="319">
        <v>0</v>
      </c>
      <c r="F395" s="320"/>
      <c r="G395" s="4"/>
      <c r="H395" s="47">
        <v>0</v>
      </c>
      <c r="I395" s="441">
        <v>0</v>
      </c>
      <c r="J395" s="319">
        <v>0</v>
      </c>
      <c r="K395" s="320"/>
      <c r="L395" s="4"/>
      <c r="M395" s="47">
        <v>0</v>
      </c>
      <c r="N395" s="47">
        <v>0</v>
      </c>
      <c r="O395" s="319">
        <v>0</v>
      </c>
      <c r="P395" s="320"/>
      <c r="R395" s="47">
        <v>0.35416666666666669</v>
      </c>
      <c r="S395" s="47">
        <v>0.25</v>
      </c>
      <c r="T395" s="319">
        <v>8</v>
      </c>
      <c r="U395" s="320"/>
      <c r="W395" s="47">
        <v>0.34375</v>
      </c>
      <c r="X395" s="47">
        <v>0.25</v>
      </c>
      <c r="Y395" s="319">
        <v>8</v>
      </c>
      <c r="Z395" s="320"/>
      <c r="AA395" s="29">
        <f t="shared" si="71"/>
        <v>16</v>
      </c>
      <c r="AB395" s="298">
        <f t="shared" si="72"/>
        <v>0</v>
      </c>
      <c r="AC395" s="4"/>
      <c r="AD395" s="47" t="s">
        <v>29</v>
      </c>
      <c r="AE395" s="47" t="s">
        <v>29</v>
      </c>
      <c r="AF395" s="346"/>
      <c r="AG395" s="29">
        <f t="shared" si="73"/>
        <v>0</v>
      </c>
    </row>
    <row r="396" spans="2:47" hidden="1">
      <c r="B396" s="437" t="s">
        <v>93</v>
      </c>
      <c r="C396" s="441" t="s">
        <v>74</v>
      </c>
      <c r="D396" s="47">
        <v>0.25</v>
      </c>
      <c r="E396" s="319">
        <v>8</v>
      </c>
      <c r="F396" s="320"/>
      <c r="G396" s="4"/>
      <c r="H396" s="47">
        <v>0.35416666666666669</v>
      </c>
      <c r="I396" s="47">
        <v>0.25</v>
      </c>
      <c r="J396" s="319">
        <v>8</v>
      </c>
      <c r="K396" s="320"/>
      <c r="L396" s="4"/>
      <c r="M396" s="47">
        <v>0.36458333333333331</v>
      </c>
      <c r="N396" s="47">
        <v>0.25</v>
      </c>
      <c r="O396" s="319">
        <v>8</v>
      </c>
      <c r="P396" s="320"/>
      <c r="R396" s="47">
        <v>0.36458333333333331</v>
      </c>
      <c r="S396" s="47">
        <v>0.25</v>
      </c>
      <c r="T396" s="319">
        <v>8</v>
      </c>
      <c r="U396" s="320"/>
      <c r="W396" s="47">
        <v>0.36458333333333331</v>
      </c>
      <c r="X396" s="47">
        <v>0.25</v>
      </c>
      <c r="Y396" s="319">
        <v>8</v>
      </c>
      <c r="Z396" s="320"/>
      <c r="AA396" s="29">
        <f t="shared" si="71"/>
        <v>40</v>
      </c>
      <c r="AB396" s="298">
        <f t="shared" si="72"/>
        <v>0</v>
      </c>
      <c r="AC396" s="4"/>
      <c r="AD396" s="47" t="s">
        <v>29</v>
      </c>
      <c r="AE396" s="47" t="s">
        <v>29</v>
      </c>
      <c r="AF396" s="346"/>
      <c r="AG396" s="29">
        <f t="shared" si="73"/>
        <v>0</v>
      </c>
    </row>
    <row r="397" spans="2:47" hidden="1">
      <c r="B397" s="437" t="s">
        <v>232</v>
      </c>
      <c r="C397" s="441" t="s">
        <v>75</v>
      </c>
      <c r="D397" s="47">
        <v>0.25</v>
      </c>
      <c r="E397" s="319">
        <v>8</v>
      </c>
      <c r="F397" s="320"/>
      <c r="G397" s="454"/>
      <c r="H397" s="451"/>
      <c r="I397" s="452"/>
      <c r="J397" s="453"/>
      <c r="K397" s="320"/>
      <c r="L397" s="4"/>
      <c r="M397" s="451"/>
      <c r="N397" s="451"/>
      <c r="O397" s="453"/>
      <c r="P397" s="320"/>
      <c r="R397" s="47">
        <v>0.39583333333333331</v>
      </c>
      <c r="S397" s="47">
        <v>0.25</v>
      </c>
      <c r="T397" s="319">
        <v>7.5</v>
      </c>
      <c r="U397" s="320"/>
      <c r="W397" s="47">
        <v>0.38541666666666669</v>
      </c>
      <c r="X397" s="47">
        <v>0.25</v>
      </c>
      <c r="Y397" s="319">
        <v>7.75</v>
      </c>
      <c r="Z397" s="320"/>
      <c r="AA397" s="29">
        <f t="shared" si="71"/>
        <v>23.25</v>
      </c>
      <c r="AB397" s="298">
        <f t="shared" si="72"/>
        <v>0</v>
      </c>
      <c r="AC397" s="4"/>
      <c r="AD397" s="47" t="s">
        <v>29</v>
      </c>
      <c r="AE397" s="47" t="s">
        <v>29</v>
      </c>
      <c r="AF397" s="346"/>
      <c r="AG397" s="29">
        <f t="shared" si="73"/>
        <v>0</v>
      </c>
    </row>
    <row r="398" spans="2:47" hidden="1">
      <c r="B398" s="437" t="s">
        <v>234</v>
      </c>
      <c r="C398" s="441" t="s">
        <v>75</v>
      </c>
      <c r="D398" s="47">
        <v>0.25</v>
      </c>
      <c r="E398" s="319">
        <v>8</v>
      </c>
      <c r="F398" s="320"/>
      <c r="G398" s="4"/>
      <c r="H398" s="47">
        <v>0.36458333333333331</v>
      </c>
      <c r="I398" s="47">
        <v>0.25</v>
      </c>
      <c r="J398" s="319">
        <v>8</v>
      </c>
      <c r="K398" s="320"/>
      <c r="L398" s="4"/>
      <c r="M398" s="47">
        <v>0.375</v>
      </c>
      <c r="N398" s="47">
        <v>0.25</v>
      </c>
      <c r="O398" s="319">
        <v>8</v>
      </c>
      <c r="P398" s="320"/>
      <c r="R398" s="327">
        <v>0.375</v>
      </c>
      <c r="S398" s="327">
        <v>0.25</v>
      </c>
      <c r="T398" s="456">
        <v>8</v>
      </c>
      <c r="U398" s="320"/>
      <c r="W398" s="47">
        <v>0.36458333333333331</v>
      </c>
      <c r="X398" s="47">
        <v>0.25</v>
      </c>
      <c r="Y398" s="319">
        <v>8</v>
      </c>
      <c r="Z398" s="320"/>
      <c r="AA398" s="29">
        <f t="shared" si="71"/>
        <v>40</v>
      </c>
      <c r="AB398" s="298">
        <f t="shared" si="72"/>
        <v>0</v>
      </c>
      <c r="AC398" s="4"/>
      <c r="AD398" s="47" t="s">
        <v>29</v>
      </c>
      <c r="AE398" s="47" t="s">
        <v>29</v>
      </c>
      <c r="AF398" s="19"/>
      <c r="AG398" s="29">
        <f t="shared" si="73"/>
        <v>0</v>
      </c>
    </row>
    <row r="399" spans="2:47" hidden="1">
      <c r="B399" s="437" t="s">
        <v>35</v>
      </c>
      <c r="C399" s="441" t="s">
        <v>249</v>
      </c>
      <c r="D399" s="47">
        <v>0.25</v>
      </c>
      <c r="E399" s="319">
        <v>7</v>
      </c>
      <c r="F399" s="320"/>
      <c r="G399" s="4"/>
      <c r="H399" s="47">
        <v>0.38541666666666669</v>
      </c>
      <c r="I399" s="47">
        <v>0.25</v>
      </c>
      <c r="J399" s="319">
        <v>7.75</v>
      </c>
      <c r="K399" s="320"/>
      <c r="L399" s="4"/>
      <c r="M399" s="47">
        <v>0.39583333333333331</v>
      </c>
      <c r="N399" s="47">
        <v>0.25</v>
      </c>
      <c r="O399" s="319">
        <v>7.5</v>
      </c>
      <c r="P399" s="320"/>
      <c r="R399" s="47" t="s">
        <v>248</v>
      </c>
      <c r="S399" s="47"/>
      <c r="T399" s="319"/>
      <c r="U399" s="320"/>
      <c r="W399" s="47" t="s">
        <v>248</v>
      </c>
      <c r="X399" s="47"/>
      <c r="Y399" s="319"/>
      <c r="Z399" s="320"/>
      <c r="AA399" s="29">
        <f t="shared" si="71"/>
        <v>22.25</v>
      </c>
      <c r="AB399" s="298">
        <f t="shared" si="72"/>
        <v>0</v>
      </c>
      <c r="AC399" s="4"/>
      <c r="AD399" s="47" t="s">
        <v>29</v>
      </c>
      <c r="AE399" s="47" t="s">
        <v>29</v>
      </c>
      <c r="AF399" s="19"/>
      <c r="AG399" s="29">
        <f t="shared" si="73"/>
        <v>0</v>
      </c>
    </row>
    <row r="400" spans="2:47" hidden="1">
      <c r="B400" s="437" t="s">
        <v>44</v>
      </c>
      <c r="C400" s="441" t="s">
        <v>154</v>
      </c>
      <c r="D400" s="441" t="s">
        <v>154</v>
      </c>
      <c r="E400" s="319">
        <v>0</v>
      </c>
      <c r="F400" s="320"/>
      <c r="G400" s="4"/>
      <c r="H400" s="441" t="s">
        <v>212</v>
      </c>
      <c r="I400" s="47">
        <v>0.25</v>
      </c>
      <c r="J400" s="319">
        <v>7.75</v>
      </c>
      <c r="K400" s="320"/>
      <c r="L400" s="4"/>
      <c r="M400" s="47">
        <v>0.375</v>
      </c>
      <c r="N400" s="47">
        <v>0.25</v>
      </c>
      <c r="O400" s="319">
        <v>8</v>
      </c>
      <c r="P400" s="320"/>
      <c r="R400" s="441" t="s">
        <v>75</v>
      </c>
      <c r="S400" s="47">
        <v>0.25</v>
      </c>
      <c r="T400" s="319">
        <v>8</v>
      </c>
      <c r="U400" s="320"/>
      <c r="W400" s="441" t="s">
        <v>212</v>
      </c>
      <c r="X400" s="47">
        <v>0.25</v>
      </c>
      <c r="Y400" s="319">
        <v>7.75</v>
      </c>
      <c r="Z400" s="320"/>
      <c r="AA400" s="29">
        <f t="shared" si="71"/>
        <v>31.5</v>
      </c>
      <c r="AB400" s="298">
        <f t="shared" si="72"/>
        <v>0</v>
      </c>
      <c r="AC400" s="4"/>
      <c r="AD400" s="47" t="s">
        <v>29</v>
      </c>
      <c r="AE400" s="47" t="s">
        <v>29</v>
      </c>
      <c r="AF400" s="19"/>
      <c r="AG400" s="29">
        <f t="shared" si="73"/>
        <v>0</v>
      </c>
    </row>
    <row r="401" spans="1:37" hidden="1">
      <c r="B401" s="437" t="s">
        <v>45</v>
      </c>
      <c r="C401" s="441" t="s">
        <v>75</v>
      </c>
      <c r="D401" s="47">
        <v>0.25</v>
      </c>
      <c r="E401" s="319">
        <v>8</v>
      </c>
      <c r="F401" s="320"/>
      <c r="G401" s="4"/>
      <c r="H401" s="441" t="s">
        <v>212</v>
      </c>
      <c r="I401" s="47">
        <v>0.25</v>
      </c>
      <c r="J401" s="319">
        <v>7.75</v>
      </c>
      <c r="K401" s="320"/>
      <c r="L401" s="4"/>
      <c r="M401" s="47">
        <v>0.375</v>
      </c>
      <c r="N401" s="47">
        <v>0.25</v>
      </c>
      <c r="O401" s="319">
        <v>8</v>
      </c>
      <c r="P401" s="320"/>
      <c r="R401" s="441" t="s">
        <v>75</v>
      </c>
      <c r="S401" s="47">
        <v>0.25</v>
      </c>
      <c r="T401" s="319">
        <v>8</v>
      </c>
      <c r="U401" s="320"/>
      <c r="W401" s="455" t="s">
        <v>75</v>
      </c>
      <c r="X401" s="455" t="s">
        <v>246</v>
      </c>
      <c r="Y401" s="319">
        <v>8</v>
      </c>
      <c r="Z401" s="320"/>
      <c r="AA401" s="29">
        <f t="shared" si="71"/>
        <v>39.75</v>
      </c>
      <c r="AB401" s="298">
        <f t="shared" si="72"/>
        <v>0</v>
      </c>
      <c r="AC401" s="4"/>
      <c r="AD401" s="47" t="s">
        <v>29</v>
      </c>
      <c r="AE401" s="47" t="s">
        <v>29</v>
      </c>
      <c r="AF401" s="19"/>
      <c r="AG401" s="29">
        <f t="shared" si="73"/>
        <v>0</v>
      </c>
    </row>
    <row r="402" spans="1:37" hidden="1">
      <c r="B402" s="437" t="s">
        <v>96</v>
      </c>
      <c r="C402" s="441" t="s">
        <v>76</v>
      </c>
      <c r="D402" s="47">
        <v>0.25</v>
      </c>
      <c r="E402" s="319">
        <v>8</v>
      </c>
      <c r="F402" s="320"/>
      <c r="G402" s="4"/>
      <c r="H402" s="47">
        <v>0.34375</v>
      </c>
      <c r="I402" s="47">
        <v>0.25</v>
      </c>
      <c r="J402" s="319">
        <v>8</v>
      </c>
      <c r="K402" s="320"/>
      <c r="L402" s="4"/>
      <c r="M402" s="47">
        <v>0.35416666666666669</v>
      </c>
      <c r="N402" s="47">
        <v>0.25</v>
      </c>
      <c r="O402" s="319">
        <v>8</v>
      </c>
      <c r="P402" s="320"/>
      <c r="R402" s="47">
        <v>0.36458333333333331</v>
      </c>
      <c r="S402" s="47">
        <v>0.25</v>
      </c>
      <c r="T402" s="319">
        <v>8</v>
      </c>
      <c r="U402" s="320"/>
      <c r="W402" s="47">
        <v>0</v>
      </c>
      <c r="X402" s="47">
        <v>0</v>
      </c>
      <c r="Y402" s="319">
        <v>0</v>
      </c>
      <c r="Z402" s="320"/>
      <c r="AA402" s="29">
        <f t="shared" si="71"/>
        <v>32</v>
      </c>
      <c r="AB402" s="298">
        <f t="shared" si="72"/>
        <v>0</v>
      </c>
      <c r="AC402" s="4"/>
      <c r="AD402" s="47" t="s">
        <v>29</v>
      </c>
      <c r="AE402" s="47" t="s">
        <v>29</v>
      </c>
      <c r="AF402" s="19"/>
      <c r="AG402" s="29">
        <f t="shared" si="73"/>
        <v>0</v>
      </c>
    </row>
    <row r="403" spans="1:37" hidden="1">
      <c r="B403" s="418" t="s">
        <v>241</v>
      </c>
      <c r="C403" s="441" t="s">
        <v>76</v>
      </c>
      <c r="D403" s="47">
        <v>0.25</v>
      </c>
      <c r="E403" s="319">
        <v>8</v>
      </c>
      <c r="F403" s="320"/>
      <c r="G403" s="4"/>
      <c r="H403" s="47">
        <v>0.35416666666666669</v>
      </c>
      <c r="I403" s="47">
        <v>0.25</v>
      </c>
      <c r="J403" s="319">
        <v>8</v>
      </c>
      <c r="K403" s="320"/>
      <c r="L403" s="4"/>
      <c r="M403" s="47">
        <v>0.35416666666666669</v>
      </c>
      <c r="N403" s="47">
        <v>0.25</v>
      </c>
      <c r="O403" s="319">
        <v>8</v>
      </c>
      <c r="P403" s="320"/>
      <c r="R403" s="47">
        <v>0.36458333333333331</v>
      </c>
      <c r="S403" s="47">
        <v>0.25</v>
      </c>
      <c r="T403" s="319">
        <v>8</v>
      </c>
      <c r="U403" s="320"/>
      <c r="W403" s="47">
        <v>0.36458333333333331</v>
      </c>
      <c r="X403" s="47">
        <v>0.25</v>
      </c>
      <c r="Y403" s="319">
        <v>8</v>
      </c>
      <c r="Z403" s="320"/>
      <c r="AA403" s="29">
        <f t="shared" si="71"/>
        <v>40</v>
      </c>
      <c r="AB403" s="298">
        <f t="shared" si="72"/>
        <v>0</v>
      </c>
      <c r="AC403" s="4"/>
      <c r="AD403" s="47" t="s">
        <v>29</v>
      </c>
      <c r="AE403" s="47" t="s">
        <v>29</v>
      </c>
      <c r="AF403" s="19"/>
      <c r="AG403" s="29">
        <f t="shared" si="73"/>
        <v>0</v>
      </c>
    </row>
    <row r="404" spans="1:37" hidden="1">
      <c r="B404" s="418" t="s">
        <v>242</v>
      </c>
      <c r="C404" s="441" t="s">
        <v>74</v>
      </c>
      <c r="D404" s="47">
        <v>0.25</v>
      </c>
      <c r="E404" s="319">
        <v>8</v>
      </c>
      <c r="F404" s="320"/>
      <c r="G404" s="4"/>
      <c r="H404" s="47">
        <v>0.36458333333333331</v>
      </c>
      <c r="I404" s="47">
        <v>0.25</v>
      </c>
      <c r="J404" s="319">
        <v>8</v>
      </c>
      <c r="K404" s="320"/>
      <c r="L404" s="4"/>
      <c r="M404" s="47">
        <v>0.36458333333333331</v>
      </c>
      <c r="N404" s="47">
        <v>0.25</v>
      </c>
      <c r="O404" s="319">
        <v>8</v>
      </c>
      <c r="P404" s="320"/>
      <c r="R404" s="47">
        <v>0.375</v>
      </c>
      <c r="S404" s="47">
        <v>0.25</v>
      </c>
      <c r="T404" s="319">
        <v>8</v>
      </c>
      <c r="U404" s="320"/>
      <c r="W404" s="47">
        <v>0.36458333333333331</v>
      </c>
      <c r="X404" s="47">
        <v>0.25</v>
      </c>
      <c r="Y404" s="319">
        <v>8</v>
      </c>
      <c r="Z404" s="320"/>
      <c r="AA404" s="29">
        <f t="shared" si="71"/>
        <v>40</v>
      </c>
      <c r="AB404" s="298">
        <f t="shared" si="72"/>
        <v>0</v>
      </c>
      <c r="AC404" s="4"/>
      <c r="AD404" s="47" t="s">
        <v>29</v>
      </c>
      <c r="AE404" s="47" t="s">
        <v>29</v>
      </c>
      <c r="AF404" s="19"/>
      <c r="AG404" s="29">
        <f t="shared" si="73"/>
        <v>0</v>
      </c>
    </row>
    <row r="405" spans="1:37" hidden="1">
      <c r="B405" s="448" t="s">
        <v>243</v>
      </c>
      <c r="C405" s="441" t="s">
        <v>75</v>
      </c>
      <c r="D405" s="47">
        <v>0.25</v>
      </c>
      <c r="E405" s="319">
        <v>8</v>
      </c>
      <c r="F405" s="320"/>
      <c r="G405" s="4"/>
      <c r="H405" s="47">
        <v>0.375</v>
      </c>
      <c r="I405" s="47">
        <v>0.25</v>
      </c>
      <c r="J405" s="319">
        <v>8</v>
      </c>
      <c r="K405" s="320"/>
      <c r="L405" s="4"/>
      <c r="M405" s="47">
        <v>0.375</v>
      </c>
      <c r="N405" s="47">
        <v>0.25</v>
      </c>
      <c r="O405" s="319">
        <v>8</v>
      </c>
      <c r="P405" s="320"/>
      <c r="R405" s="47">
        <v>0.375</v>
      </c>
      <c r="S405" s="47">
        <v>0.25</v>
      </c>
      <c r="T405" s="319">
        <v>8</v>
      </c>
      <c r="U405" s="320"/>
      <c r="W405" s="47">
        <v>0.375</v>
      </c>
      <c r="X405" s="47">
        <v>0.25</v>
      </c>
      <c r="Y405" s="319">
        <v>8</v>
      </c>
      <c r="Z405" s="320"/>
      <c r="AA405" s="29">
        <f t="shared" si="71"/>
        <v>40</v>
      </c>
      <c r="AB405" s="298">
        <f t="shared" si="72"/>
        <v>0</v>
      </c>
      <c r="AC405" s="4"/>
      <c r="AD405" s="47" t="s">
        <v>29</v>
      </c>
      <c r="AE405" s="47" t="s">
        <v>29</v>
      </c>
      <c r="AF405" s="19"/>
      <c r="AG405" s="29">
        <f t="shared" si="73"/>
        <v>0</v>
      </c>
    </row>
    <row r="406" spans="1:37" hidden="1">
      <c r="B406" s="448" t="s">
        <v>244</v>
      </c>
      <c r="C406" s="441" t="s">
        <v>75</v>
      </c>
      <c r="D406" s="47">
        <v>0.25</v>
      </c>
      <c r="E406" s="319">
        <v>8</v>
      </c>
      <c r="F406" s="320"/>
      <c r="G406" s="4"/>
      <c r="H406" s="47">
        <v>0.36458333333333331</v>
      </c>
      <c r="I406" s="47">
        <v>0.25</v>
      </c>
      <c r="J406" s="319">
        <v>8</v>
      </c>
      <c r="K406" s="320"/>
      <c r="L406" s="4"/>
      <c r="M406" s="47">
        <v>0.36458333333333331</v>
      </c>
      <c r="N406" s="47">
        <v>0.25</v>
      </c>
      <c r="O406" s="319">
        <v>8</v>
      </c>
      <c r="P406" s="320"/>
      <c r="R406" s="47">
        <v>0.375</v>
      </c>
      <c r="S406" s="47">
        <v>0.25</v>
      </c>
      <c r="T406" s="319">
        <v>8</v>
      </c>
      <c r="U406" s="320"/>
      <c r="W406" s="47">
        <v>0.375</v>
      </c>
      <c r="X406" s="47">
        <v>0.25</v>
      </c>
      <c r="Y406" s="319">
        <v>8</v>
      </c>
      <c r="Z406" s="320"/>
      <c r="AA406" s="29">
        <f t="shared" si="71"/>
        <v>40</v>
      </c>
      <c r="AB406" s="298">
        <f t="shared" si="72"/>
        <v>0</v>
      </c>
      <c r="AC406" s="4"/>
      <c r="AD406" s="47" t="s">
        <v>29</v>
      </c>
      <c r="AE406" s="47" t="s">
        <v>29</v>
      </c>
      <c r="AF406" s="19"/>
      <c r="AG406" s="29">
        <f t="shared" si="73"/>
        <v>0</v>
      </c>
    </row>
    <row r="407" spans="1:37" hidden="1">
      <c r="A407" s="180"/>
      <c r="B407" s="418" t="s">
        <v>39</v>
      </c>
      <c r="C407" s="47">
        <v>0.39583333333333331</v>
      </c>
      <c r="D407" s="47">
        <v>0.25</v>
      </c>
      <c r="E407" s="319">
        <v>7.5</v>
      </c>
      <c r="F407" s="320"/>
      <c r="G407" s="4"/>
      <c r="H407" s="47">
        <v>0.375</v>
      </c>
      <c r="I407" s="47">
        <v>0.25</v>
      </c>
      <c r="J407" s="319">
        <v>8</v>
      </c>
      <c r="K407" s="320"/>
      <c r="L407" s="4"/>
      <c r="M407" s="47">
        <v>0.375</v>
      </c>
      <c r="N407" s="47">
        <v>0.25</v>
      </c>
      <c r="O407" s="319">
        <v>8</v>
      </c>
      <c r="P407" s="320"/>
      <c r="R407" s="441" t="s">
        <v>212</v>
      </c>
      <c r="S407" s="47">
        <v>0.25</v>
      </c>
      <c r="T407" s="319">
        <v>7.75</v>
      </c>
      <c r="U407" s="320"/>
      <c r="W407" s="47">
        <v>0.39583333333333331</v>
      </c>
      <c r="X407" s="47">
        <v>0.25</v>
      </c>
      <c r="Y407" s="319">
        <v>7.5</v>
      </c>
      <c r="Z407" s="320"/>
      <c r="AA407" s="29">
        <f>(E407+J407+O407+T407+Y407)</f>
        <v>38.75</v>
      </c>
      <c r="AB407" s="298">
        <f t="shared" si="72"/>
        <v>0</v>
      </c>
      <c r="AC407" s="4"/>
      <c r="AD407" s="47" t="s">
        <v>29</v>
      </c>
      <c r="AE407" s="47" t="s">
        <v>29</v>
      </c>
      <c r="AF407" s="319"/>
      <c r="AG407" s="29">
        <f t="shared" si="73"/>
        <v>0</v>
      </c>
    </row>
    <row r="408" spans="1:37" hidden="1">
      <c r="B408" s="166" t="s">
        <v>48</v>
      </c>
      <c r="C408" s="16" t="s">
        <v>29</v>
      </c>
      <c r="D408" s="16" t="s">
        <v>29</v>
      </c>
      <c r="E408" s="319">
        <v>8</v>
      </c>
      <c r="F408" s="320"/>
      <c r="G408" s="4"/>
      <c r="H408" s="16" t="s">
        <v>29</v>
      </c>
      <c r="I408" s="16" t="s">
        <v>29</v>
      </c>
      <c r="J408" s="319">
        <v>8</v>
      </c>
      <c r="K408" s="320"/>
      <c r="L408" s="4"/>
      <c r="M408" s="16" t="s">
        <v>29</v>
      </c>
      <c r="N408" s="16" t="s">
        <v>29</v>
      </c>
      <c r="O408" s="319">
        <v>8</v>
      </c>
      <c r="P408" s="320"/>
      <c r="R408" s="16" t="s">
        <v>29</v>
      </c>
      <c r="S408" s="16" t="s">
        <v>29</v>
      </c>
      <c r="T408" s="319">
        <v>8</v>
      </c>
      <c r="U408" s="320"/>
      <c r="W408" s="16" t="s">
        <v>29</v>
      </c>
      <c r="X408" s="16" t="s">
        <v>29</v>
      </c>
      <c r="Y408" s="319">
        <v>8</v>
      </c>
      <c r="Z408" s="320"/>
      <c r="AA408" s="29">
        <f t="shared" si="71"/>
        <v>40</v>
      </c>
      <c r="AB408" s="298">
        <f t="shared" si="72"/>
        <v>0</v>
      </c>
      <c r="AC408" s="4"/>
      <c r="AD408" s="47" t="s">
        <v>29</v>
      </c>
      <c r="AE408" s="47" t="s">
        <v>29</v>
      </c>
      <c r="AF408" s="19"/>
      <c r="AG408" s="29">
        <f t="shared" si="73"/>
        <v>0</v>
      </c>
    </row>
    <row r="409" spans="1:37" hidden="1">
      <c r="B409" s="166" t="s">
        <v>49</v>
      </c>
      <c r="C409" s="47" t="s">
        <v>29</v>
      </c>
      <c r="D409" s="47" t="s">
        <v>29</v>
      </c>
      <c r="E409" s="319">
        <v>8</v>
      </c>
      <c r="F409" s="320"/>
      <c r="G409" s="4"/>
      <c r="H409" s="47" t="s">
        <v>29</v>
      </c>
      <c r="I409" s="47" t="s">
        <v>29</v>
      </c>
      <c r="J409" s="319">
        <v>8</v>
      </c>
      <c r="K409" s="320"/>
      <c r="L409" s="4"/>
      <c r="M409" s="47" t="s">
        <v>29</v>
      </c>
      <c r="N409" s="47" t="s">
        <v>29</v>
      </c>
      <c r="O409" s="319">
        <v>8</v>
      </c>
      <c r="P409" s="320"/>
      <c r="R409" s="47" t="s">
        <v>29</v>
      </c>
      <c r="S409" s="47" t="s">
        <v>29</v>
      </c>
      <c r="T409" s="319">
        <v>8</v>
      </c>
      <c r="U409" s="320"/>
      <c r="W409" s="47" t="s">
        <v>29</v>
      </c>
      <c r="X409" s="47" t="s">
        <v>29</v>
      </c>
      <c r="Y409" s="319">
        <v>8</v>
      </c>
      <c r="Z409" s="320"/>
      <c r="AA409" s="29">
        <f t="shared" si="71"/>
        <v>40</v>
      </c>
      <c r="AB409" s="298">
        <f t="shared" si="72"/>
        <v>0</v>
      </c>
      <c r="AC409" s="4"/>
      <c r="AD409" s="47" t="s">
        <v>29</v>
      </c>
      <c r="AE409" s="47" t="s">
        <v>29</v>
      </c>
      <c r="AF409" s="19"/>
      <c r="AG409" s="29">
        <f t="shared" si="73"/>
        <v>0</v>
      </c>
    </row>
    <row r="410" spans="1:37" hidden="1">
      <c r="B410" s="166" t="s">
        <v>107</v>
      </c>
      <c r="C410" s="47" t="s">
        <v>29</v>
      </c>
      <c r="D410" s="47" t="s">
        <v>29</v>
      </c>
      <c r="E410" s="319">
        <v>4</v>
      </c>
      <c r="F410" s="320"/>
      <c r="G410" s="4"/>
      <c r="H410" s="47" t="s">
        <v>29</v>
      </c>
      <c r="I410" s="47" t="s">
        <v>29</v>
      </c>
      <c r="J410" s="319">
        <v>0</v>
      </c>
      <c r="K410" s="320"/>
      <c r="L410" s="4"/>
      <c r="M410" s="47" t="s">
        <v>29</v>
      </c>
      <c r="N410" s="47" t="s">
        <v>29</v>
      </c>
      <c r="O410" s="319">
        <v>0</v>
      </c>
      <c r="P410" s="320"/>
      <c r="R410" s="47" t="s">
        <v>29</v>
      </c>
      <c r="S410" s="47" t="s">
        <v>29</v>
      </c>
      <c r="T410" s="319">
        <v>0</v>
      </c>
      <c r="U410" s="320"/>
      <c r="W410" s="47" t="s">
        <v>29</v>
      </c>
      <c r="X410" s="47" t="s">
        <v>29</v>
      </c>
      <c r="Y410" s="319">
        <v>0</v>
      </c>
      <c r="Z410" s="320"/>
      <c r="AA410" s="29">
        <f t="shared" si="71"/>
        <v>4</v>
      </c>
      <c r="AB410" s="298">
        <f t="shared" si="72"/>
        <v>0</v>
      </c>
      <c r="AC410" s="4"/>
      <c r="AD410" s="47" t="s">
        <v>29</v>
      </c>
      <c r="AE410" s="47" t="s">
        <v>29</v>
      </c>
      <c r="AF410" s="19"/>
      <c r="AG410" s="29">
        <f t="shared" si="73"/>
        <v>0</v>
      </c>
    </row>
    <row r="411" spans="1:37" hidden="1">
      <c r="B411" s="166" t="s">
        <v>59</v>
      </c>
      <c r="C411" s="47" t="s">
        <v>29</v>
      </c>
      <c r="D411" s="16" t="s">
        <v>29</v>
      </c>
      <c r="E411" s="319">
        <v>8</v>
      </c>
      <c r="F411" s="320"/>
      <c r="G411" s="4"/>
      <c r="H411" s="47" t="s">
        <v>29</v>
      </c>
      <c r="I411" s="16" t="s">
        <v>29</v>
      </c>
      <c r="J411" s="319">
        <v>8</v>
      </c>
      <c r="K411" s="320"/>
      <c r="L411" s="4"/>
      <c r="M411" s="47" t="s">
        <v>29</v>
      </c>
      <c r="N411" s="16" t="s">
        <v>29</v>
      </c>
      <c r="O411" s="319">
        <v>8</v>
      </c>
      <c r="P411" s="320"/>
      <c r="R411" s="47" t="s">
        <v>29</v>
      </c>
      <c r="S411" s="16" t="s">
        <v>29</v>
      </c>
      <c r="T411" s="319">
        <v>8</v>
      </c>
      <c r="U411" s="320"/>
      <c r="W411" s="47" t="s">
        <v>29</v>
      </c>
      <c r="X411" s="16" t="s">
        <v>29</v>
      </c>
      <c r="Y411" s="319">
        <v>8</v>
      </c>
      <c r="Z411" s="320"/>
      <c r="AA411" s="29">
        <f t="shared" si="71"/>
        <v>40</v>
      </c>
      <c r="AB411" s="298">
        <f t="shared" si="72"/>
        <v>0</v>
      </c>
      <c r="AC411" s="4"/>
      <c r="AD411" s="47" t="s">
        <v>29</v>
      </c>
      <c r="AE411" s="47" t="s">
        <v>29</v>
      </c>
      <c r="AF411" s="19"/>
      <c r="AG411" s="29">
        <f t="shared" si="73"/>
        <v>0</v>
      </c>
    </row>
    <row r="412" spans="1:37" hidden="1">
      <c r="B412" s="166" t="s">
        <v>60</v>
      </c>
      <c r="C412" s="16" t="s">
        <v>29</v>
      </c>
      <c r="D412" s="16" t="s">
        <v>29</v>
      </c>
      <c r="E412" s="319">
        <v>8</v>
      </c>
      <c r="F412" s="320"/>
      <c r="G412" s="4"/>
      <c r="H412" s="16" t="s">
        <v>29</v>
      </c>
      <c r="I412" s="16" t="s">
        <v>29</v>
      </c>
      <c r="J412" s="319">
        <v>8</v>
      </c>
      <c r="K412" s="320"/>
      <c r="L412" s="4"/>
      <c r="M412" s="16" t="s">
        <v>29</v>
      </c>
      <c r="N412" s="16" t="s">
        <v>29</v>
      </c>
      <c r="O412" s="319">
        <v>8</v>
      </c>
      <c r="P412" s="320"/>
      <c r="R412" s="16" t="s">
        <v>29</v>
      </c>
      <c r="S412" s="16" t="s">
        <v>29</v>
      </c>
      <c r="T412" s="319">
        <v>8</v>
      </c>
      <c r="U412" s="320"/>
      <c r="W412" s="16" t="s">
        <v>29</v>
      </c>
      <c r="X412" s="16" t="s">
        <v>29</v>
      </c>
      <c r="Y412" s="319">
        <v>8</v>
      </c>
      <c r="Z412" s="320"/>
      <c r="AA412" s="29">
        <f t="shared" si="71"/>
        <v>40</v>
      </c>
      <c r="AB412" s="298">
        <f t="shared" si="72"/>
        <v>0</v>
      </c>
      <c r="AC412" s="4"/>
      <c r="AD412" s="47" t="s">
        <v>29</v>
      </c>
      <c r="AE412" s="47" t="s">
        <v>29</v>
      </c>
      <c r="AF412" s="19"/>
      <c r="AG412" s="29">
        <f t="shared" si="73"/>
        <v>0</v>
      </c>
    </row>
    <row r="413" spans="1:37" hidden="1">
      <c r="B413" s="63" t="s">
        <v>63</v>
      </c>
      <c r="C413" s="12" t="s">
        <v>29</v>
      </c>
      <c r="D413" s="12" t="s">
        <v>29</v>
      </c>
      <c r="E413" s="319">
        <v>8</v>
      </c>
      <c r="F413" s="320"/>
      <c r="G413" s="438"/>
      <c r="H413" s="12" t="s">
        <v>29</v>
      </c>
      <c r="I413" s="12" t="s">
        <v>29</v>
      </c>
      <c r="J413" s="319">
        <v>8</v>
      </c>
      <c r="K413" s="320"/>
      <c r="L413" s="438"/>
      <c r="M413" s="12" t="s">
        <v>29</v>
      </c>
      <c r="N413" s="12" t="s">
        <v>29</v>
      </c>
      <c r="O413" s="319">
        <v>6</v>
      </c>
      <c r="P413" s="320"/>
      <c r="Q413" s="438"/>
      <c r="R413" s="12" t="s">
        <v>29</v>
      </c>
      <c r="S413" s="12" t="s">
        <v>29</v>
      </c>
      <c r="T413" s="319">
        <v>6</v>
      </c>
      <c r="U413" s="320"/>
      <c r="V413" s="438"/>
      <c r="W413" s="12" t="s">
        <v>29</v>
      </c>
      <c r="X413" s="12" t="s">
        <v>29</v>
      </c>
      <c r="Y413" s="319">
        <v>5</v>
      </c>
      <c r="Z413" s="320"/>
      <c r="AA413" s="29">
        <f t="shared" si="71"/>
        <v>33</v>
      </c>
      <c r="AB413" s="298">
        <f t="shared" si="72"/>
        <v>0</v>
      </c>
      <c r="AC413" s="4"/>
      <c r="AD413" s="47" t="s">
        <v>29</v>
      </c>
      <c r="AE413" s="47" t="s">
        <v>29</v>
      </c>
      <c r="AF413" s="19"/>
      <c r="AG413" s="29">
        <f t="shared" si="73"/>
        <v>0</v>
      </c>
      <c r="AK413" s="407"/>
    </row>
    <row r="414" spans="1:37" hidden="1">
      <c r="B414" s="63" t="s">
        <v>250</v>
      </c>
      <c r="C414" s="47">
        <v>0.375</v>
      </c>
      <c r="D414" s="47">
        <v>0.45833333333333331</v>
      </c>
      <c r="E414" s="319">
        <v>2</v>
      </c>
      <c r="F414" s="320"/>
      <c r="G414" s="438"/>
      <c r="H414" s="47">
        <v>0.375</v>
      </c>
      <c r="I414" s="47">
        <v>0.45833333333333331</v>
      </c>
      <c r="J414" s="319">
        <v>2</v>
      </c>
      <c r="K414" s="320"/>
      <c r="L414" s="438"/>
      <c r="M414" s="47">
        <v>0.375</v>
      </c>
      <c r="N414" s="47">
        <v>0.45833333333333331</v>
      </c>
      <c r="O414" s="319">
        <v>2</v>
      </c>
      <c r="P414" s="320"/>
      <c r="Q414" s="438"/>
      <c r="R414" s="47">
        <v>0.375</v>
      </c>
      <c r="S414" s="47">
        <v>0.45833333333333331</v>
      </c>
      <c r="T414" s="319">
        <v>2</v>
      </c>
      <c r="U414" s="320"/>
      <c r="V414" s="438"/>
      <c r="W414" s="47">
        <v>0.375</v>
      </c>
      <c r="X414" s="47">
        <v>0.4375</v>
      </c>
      <c r="Y414" s="319">
        <v>2.5</v>
      </c>
      <c r="Z414" s="320"/>
      <c r="AA414" s="29">
        <f t="shared" si="71"/>
        <v>10.5</v>
      </c>
      <c r="AB414" s="298">
        <f t="shared" si="72"/>
        <v>0</v>
      </c>
      <c r="AC414" s="4"/>
      <c r="AD414" s="47"/>
      <c r="AE414" s="47"/>
      <c r="AF414" s="19"/>
      <c r="AG414" s="29"/>
      <c r="AK414" s="407"/>
    </row>
    <row r="415" spans="1:37" hidden="1">
      <c r="B415" s="63" t="s">
        <v>62</v>
      </c>
      <c r="C415" s="16" t="s">
        <v>29</v>
      </c>
      <c r="D415" s="16" t="s">
        <v>29</v>
      </c>
      <c r="E415" s="319">
        <v>5</v>
      </c>
      <c r="F415" s="320"/>
      <c r="G415" s="438"/>
      <c r="H415" s="16" t="s">
        <v>29</v>
      </c>
      <c r="I415" s="16" t="s">
        <v>29</v>
      </c>
      <c r="J415" s="319">
        <v>5</v>
      </c>
      <c r="K415" s="320"/>
      <c r="L415" s="438"/>
      <c r="M415" s="16" t="s">
        <v>29</v>
      </c>
      <c r="N415" s="16" t="s">
        <v>29</v>
      </c>
      <c r="O415" s="319">
        <v>5</v>
      </c>
      <c r="P415" s="320"/>
      <c r="Q415" s="438"/>
      <c r="R415" s="16" t="s">
        <v>29</v>
      </c>
      <c r="S415" s="16" t="s">
        <v>29</v>
      </c>
      <c r="T415" s="319">
        <v>5</v>
      </c>
      <c r="U415" s="320"/>
      <c r="V415" s="438"/>
      <c r="W415" s="16" t="s">
        <v>29</v>
      </c>
      <c r="X415" s="16"/>
      <c r="Y415" s="319">
        <v>5</v>
      </c>
      <c r="Z415" s="320"/>
      <c r="AA415" s="29">
        <f t="shared" si="71"/>
        <v>25</v>
      </c>
      <c r="AB415" s="298">
        <f t="shared" si="72"/>
        <v>0</v>
      </c>
      <c r="AC415" s="4"/>
      <c r="AD415" s="47" t="s">
        <v>29</v>
      </c>
      <c r="AE415" s="47" t="s">
        <v>29</v>
      </c>
      <c r="AF415" s="19"/>
      <c r="AG415" s="29">
        <v>0</v>
      </c>
    </row>
    <row r="416" spans="1:37" hidden="1">
      <c r="B416" s="64" t="s">
        <v>61</v>
      </c>
      <c r="C416" s="31"/>
      <c r="D416" s="31"/>
      <c r="E416" s="439">
        <f>SUM(E386:E415)</f>
        <v>209.5</v>
      </c>
      <c r="F416" s="320">
        <f>SUM(F386:F407)</f>
        <v>7.5</v>
      </c>
      <c r="G416" s="31"/>
      <c r="H416" s="31"/>
      <c r="I416" s="31"/>
      <c r="J416" s="439">
        <f>SUM(J386:J415)</f>
        <v>198</v>
      </c>
      <c r="K416" s="320">
        <f>SUM(K386:K407)</f>
        <v>0</v>
      </c>
      <c r="L416" s="31"/>
      <c r="M416" s="31"/>
      <c r="N416" s="31"/>
      <c r="O416" s="439">
        <f>SUM(O386:O415)</f>
        <v>204.25</v>
      </c>
      <c r="P416" s="320">
        <f>SUM(P386:P412)</f>
        <v>0</v>
      </c>
      <c r="Q416" s="31"/>
      <c r="R416" s="439"/>
      <c r="S416" s="31"/>
      <c r="T416" s="439">
        <f>SUM(T386:T415)</f>
        <v>196.25</v>
      </c>
      <c r="U416" s="320">
        <f>SUM(U386:U412)</f>
        <v>9</v>
      </c>
      <c r="V416" s="31"/>
      <c r="W416" s="439"/>
      <c r="X416" s="31"/>
      <c r="Y416" s="439">
        <f>SUM(Y386:Y415)</f>
        <v>179.25</v>
      </c>
      <c r="Z416" s="320">
        <f>SUM(Z386:Z407)</f>
        <v>0</v>
      </c>
      <c r="AA416" s="370">
        <f>SUM(AA386:AA415)</f>
        <v>987.25</v>
      </c>
      <c r="AB416" s="370">
        <f>SUM(AB386:AB415)</f>
        <v>16.5</v>
      </c>
      <c r="AC416" s="4"/>
      <c r="AD416" s="64"/>
      <c r="AE416" s="64"/>
      <c r="AF416" s="167">
        <f>SUM(AF386:AF415)</f>
        <v>0</v>
      </c>
      <c r="AG416" s="370">
        <f>SUM(AG386:AG407)</f>
        <v>0</v>
      </c>
    </row>
    <row r="417" spans="2:47" hidden="1">
      <c r="B417" s="63" t="s">
        <v>64</v>
      </c>
      <c r="C417" s="56" t="s">
        <v>29</v>
      </c>
      <c r="D417" s="56" t="s">
        <v>29</v>
      </c>
      <c r="E417" s="19">
        <v>1</v>
      </c>
      <c r="F417" s="291"/>
      <c r="G417" s="60"/>
      <c r="H417" s="56" t="s">
        <v>29</v>
      </c>
      <c r="I417" s="56" t="s">
        <v>29</v>
      </c>
      <c r="J417" s="19">
        <v>1</v>
      </c>
      <c r="K417" s="291"/>
      <c r="L417" s="60"/>
      <c r="M417" s="56" t="s">
        <v>29</v>
      </c>
      <c r="N417" s="56" t="s">
        <v>29</v>
      </c>
      <c r="O417" s="19">
        <v>1</v>
      </c>
      <c r="P417" s="19"/>
      <c r="Q417" s="60"/>
      <c r="R417" s="56" t="s">
        <v>29</v>
      </c>
      <c r="S417" s="56" t="s">
        <v>29</v>
      </c>
      <c r="T417" s="19">
        <v>0.5</v>
      </c>
      <c r="U417" s="19"/>
      <c r="V417" s="60"/>
      <c r="W417" s="56" t="s">
        <v>29</v>
      </c>
      <c r="X417" s="56" t="s">
        <v>29</v>
      </c>
      <c r="Y417" s="19">
        <v>0.5</v>
      </c>
      <c r="Z417" s="19"/>
      <c r="AA417" s="28">
        <f>SUM(E417+J417+O417+T417+Y417)</f>
        <v>4</v>
      </c>
      <c r="AB417" s="296">
        <f>Z417+U417+P417+K417+F417</f>
        <v>0</v>
      </c>
      <c r="AC417" s="4"/>
      <c r="AD417" s="56"/>
      <c r="AE417" s="56"/>
      <c r="AF417" s="19"/>
      <c r="AG417" s="29">
        <f>AF417</f>
        <v>0</v>
      </c>
    </row>
    <row r="418" spans="2:47" hidden="1">
      <c r="B418" s="63" t="s">
        <v>110</v>
      </c>
      <c r="C418" s="56" t="s">
        <v>29</v>
      </c>
      <c r="D418" s="56" t="s">
        <v>29</v>
      </c>
      <c r="E418" s="19">
        <v>3</v>
      </c>
      <c r="F418" s="291"/>
      <c r="G418" s="60"/>
      <c r="H418" s="56" t="s">
        <v>29</v>
      </c>
      <c r="I418" s="56" t="s">
        <v>29</v>
      </c>
      <c r="J418" s="19">
        <v>3</v>
      </c>
      <c r="K418" s="291"/>
      <c r="L418" s="60"/>
      <c r="M418" s="56" t="s">
        <v>29</v>
      </c>
      <c r="N418" s="56" t="s">
        <v>29</v>
      </c>
      <c r="O418" s="19">
        <v>4</v>
      </c>
      <c r="P418" s="19"/>
      <c r="Q418" s="60"/>
      <c r="R418" s="56" t="s">
        <v>29</v>
      </c>
      <c r="S418" s="56" t="s">
        <v>29</v>
      </c>
      <c r="T418" s="19">
        <v>3</v>
      </c>
      <c r="U418" s="19"/>
      <c r="V418" s="60"/>
      <c r="W418" s="56" t="s">
        <v>29</v>
      </c>
      <c r="X418" s="56" t="s">
        <v>29</v>
      </c>
      <c r="Y418" s="19">
        <v>3</v>
      </c>
      <c r="Z418" s="19"/>
      <c r="AA418" s="28">
        <f>SUM(E418+J418+O418+T418+Y418)</f>
        <v>16</v>
      </c>
      <c r="AB418" s="296">
        <f>Z418+U418+P418+K418+F418</f>
        <v>0</v>
      </c>
      <c r="AC418" s="4"/>
      <c r="AD418" s="56"/>
      <c r="AE418" s="56"/>
      <c r="AF418" s="19"/>
      <c r="AG418" s="29">
        <f>AF418</f>
        <v>0</v>
      </c>
    </row>
    <row r="419" spans="2:47" hidden="1">
      <c r="B419" s="71" t="s">
        <v>66</v>
      </c>
      <c r="C419" s="371"/>
      <c r="D419" s="371"/>
      <c r="E419" s="71">
        <f t="shared" ref="E419:AB419" si="74">SUM(E417:E418)</f>
        <v>4</v>
      </c>
      <c r="F419" s="71">
        <f t="shared" si="74"/>
        <v>0</v>
      </c>
      <c r="G419" s="71">
        <f t="shared" si="74"/>
        <v>0</v>
      </c>
      <c r="H419" s="71">
        <f t="shared" si="74"/>
        <v>0</v>
      </c>
      <c r="I419" s="71">
        <f t="shared" si="74"/>
        <v>0</v>
      </c>
      <c r="J419" s="71">
        <f t="shared" si="74"/>
        <v>4</v>
      </c>
      <c r="K419" s="71">
        <f t="shared" si="74"/>
        <v>0</v>
      </c>
      <c r="L419" s="71">
        <f t="shared" si="74"/>
        <v>0</v>
      </c>
      <c r="M419" s="71">
        <f t="shared" si="74"/>
        <v>0</v>
      </c>
      <c r="N419" s="71">
        <f t="shared" si="74"/>
        <v>0</v>
      </c>
      <c r="O419" s="71">
        <f t="shared" si="74"/>
        <v>5</v>
      </c>
      <c r="P419" s="71">
        <f t="shared" si="74"/>
        <v>0</v>
      </c>
      <c r="Q419" s="71">
        <f t="shared" si="74"/>
        <v>0</v>
      </c>
      <c r="R419" s="71">
        <f t="shared" si="74"/>
        <v>0</v>
      </c>
      <c r="S419" s="71">
        <f t="shared" si="74"/>
        <v>0</v>
      </c>
      <c r="T419" s="71">
        <f t="shared" si="74"/>
        <v>3.5</v>
      </c>
      <c r="U419" s="71">
        <f t="shared" si="74"/>
        <v>0</v>
      </c>
      <c r="V419" s="71">
        <f t="shared" si="74"/>
        <v>0</v>
      </c>
      <c r="W419" s="71">
        <f t="shared" si="74"/>
        <v>0</v>
      </c>
      <c r="X419" s="71">
        <f t="shared" si="74"/>
        <v>0</v>
      </c>
      <c r="Y419" s="71">
        <f t="shared" si="74"/>
        <v>3.5</v>
      </c>
      <c r="Z419" s="71">
        <f t="shared" si="74"/>
        <v>0</v>
      </c>
      <c r="AA419" s="370">
        <f t="shared" si="74"/>
        <v>20</v>
      </c>
      <c r="AB419" s="370">
        <f t="shared" si="74"/>
        <v>0</v>
      </c>
      <c r="AC419" s="4"/>
      <c r="AG419" s="370">
        <f>SUM(AG417:AG418)</f>
        <v>0</v>
      </c>
    </row>
    <row r="420" spans="2:47" hidden="1">
      <c r="B420" s="217" t="s">
        <v>67</v>
      </c>
      <c r="C420" s="207">
        <f>C421+C422</f>
        <v>94</v>
      </c>
      <c r="D420" s="207"/>
      <c r="E420" s="209"/>
      <c r="F420" s="209"/>
      <c r="G420" s="207"/>
      <c r="H420" s="209"/>
      <c r="I420" s="209"/>
      <c r="J420" s="209"/>
      <c r="K420" s="209"/>
      <c r="L420" s="207"/>
      <c r="M420" s="207"/>
      <c r="N420" s="207"/>
      <c r="O420" s="207"/>
      <c r="P420" s="209"/>
      <c r="Q420" s="207"/>
      <c r="R420" s="207"/>
      <c r="S420" s="207"/>
      <c r="T420" s="207"/>
      <c r="U420" s="209"/>
      <c r="V420" s="207"/>
      <c r="W420" s="207"/>
      <c r="X420" s="207"/>
      <c r="Y420" s="210"/>
      <c r="Z420" s="209"/>
      <c r="AA420" s="211"/>
      <c r="AB420" s="209"/>
      <c r="AC420" s="211"/>
      <c r="AD420" s="211"/>
      <c r="AE420" s="211"/>
      <c r="AF420" s="211"/>
      <c r="AG420" s="211"/>
    </row>
    <row r="421" spans="2:47" hidden="1">
      <c r="B421" s="238" t="s">
        <v>68</v>
      </c>
      <c r="C421" s="239">
        <f>20+19+20+18+17-12</f>
        <v>82</v>
      </c>
      <c r="D421" s="207"/>
      <c r="E421" s="209"/>
      <c r="F421" s="209"/>
      <c r="G421" s="207"/>
      <c r="H421" s="209"/>
      <c r="I421" s="209"/>
      <c r="J421" s="209"/>
      <c r="K421" s="209"/>
      <c r="L421" s="207"/>
      <c r="M421" s="207"/>
      <c r="N421" s="207"/>
      <c r="O421" s="207"/>
      <c r="P421" s="209"/>
      <c r="Q421" s="207"/>
      <c r="R421" s="207"/>
      <c r="S421" s="207"/>
      <c r="T421" s="207"/>
      <c r="U421" s="209"/>
      <c r="V421" s="207"/>
      <c r="W421" s="207"/>
      <c r="X421" s="207"/>
      <c r="Y421" s="210"/>
      <c r="Z421" s="209"/>
      <c r="AA421" s="211"/>
      <c r="AB421" s="209"/>
      <c r="AC421" s="211"/>
      <c r="AD421" s="211"/>
      <c r="AE421" s="211"/>
      <c r="AF421" s="211"/>
      <c r="AG421" s="211"/>
    </row>
    <row r="422" spans="2:47" hidden="1">
      <c r="B422" s="238" t="s">
        <v>69</v>
      </c>
      <c r="C422" s="239">
        <v>12</v>
      </c>
      <c r="D422" s="207"/>
      <c r="E422" s="209"/>
      <c r="F422" s="209"/>
      <c r="G422" s="207"/>
      <c r="H422" s="209"/>
      <c r="I422" s="209"/>
      <c r="J422" s="209"/>
      <c r="K422" s="209"/>
      <c r="L422" s="207"/>
      <c r="M422" s="207"/>
      <c r="N422" s="207"/>
      <c r="O422" s="207"/>
      <c r="P422" s="209"/>
      <c r="Q422" s="207"/>
      <c r="R422" s="207"/>
      <c r="S422" s="207"/>
      <c r="T422" s="207"/>
      <c r="U422" s="209"/>
      <c r="V422" s="207"/>
      <c r="W422" s="207"/>
      <c r="X422" s="207"/>
      <c r="Y422" s="210"/>
      <c r="Z422" s="209"/>
      <c r="AA422" s="211"/>
      <c r="AB422" s="209"/>
      <c r="AC422" s="211"/>
      <c r="AD422" s="211"/>
      <c r="AE422" s="211"/>
      <c r="AF422" s="211"/>
      <c r="AG422" s="211"/>
    </row>
    <row r="423" spans="2:47" hidden="1">
      <c r="B423" s="180"/>
      <c r="E423" s="4"/>
      <c r="F423" s="4"/>
      <c r="G423" s="4"/>
      <c r="J423" s="4"/>
      <c r="K423" s="4"/>
      <c r="L423" s="4"/>
      <c r="O423" s="4"/>
      <c r="P423" s="4"/>
      <c r="T423" s="4"/>
      <c r="U423" s="4"/>
      <c r="Y423" s="4"/>
      <c r="Z423" s="4"/>
      <c r="AA423" s="4"/>
      <c r="AB423" s="4"/>
    </row>
    <row r="424" spans="2:47" hidden="1">
      <c r="B424" s="229"/>
      <c r="C424" s="230"/>
      <c r="D424" s="230"/>
      <c r="E424" s="232"/>
      <c r="F424" s="232"/>
      <c r="G424" s="230"/>
      <c r="H424" s="232"/>
      <c r="I424" s="232"/>
      <c r="J424" s="232"/>
      <c r="K424" s="232"/>
      <c r="L424" s="230"/>
      <c r="M424" s="230"/>
      <c r="N424" s="230"/>
      <c r="O424" s="230"/>
      <c r="P424" s="232"/>
      <c r="Q424" s="230"/>
      <c r="R424" s="230"/>
      <c r="S424" s="230"/>
      <c r="T424" s="230"/>
      <c r="U424" s="232"/>
      <c r="V424" s="230"/>
      <c r="W424" s="230"/>
      <c r="X424" s="230"/>
      <c r="Y424" s="233"/>
      <c r="Z424" s="232"/>
      <c r="AA424" s="234"/>
      <c r="AB424" s="232"/>
      <c r="AC424" s="373"/>
      <c r="AD424" s="236"/>
      <c r="AE424" s="255"/>
      <c r="AF424" s="255"/>
      <c r="AG424" s="255"/>
      <c r="AH424" s="255"/>
      <c r="AJ424" s="255"/>
      <c r="AK424" s="255"/>
      <c r="AL424" s="255"/>
      <c r="AM424" s="255"/>
      <c r="AN424" s="255"/>
      <c r="AO424" s="255"/>
      <c r="AP424" s="255"/>
      <c r="AQ424" s="255"/>
      <c r="AR424" s="255"/>
      <c r="AS424" s="255"/>
      <c r="AT424" s="255"/>
      <c r="AU424" s="255"/>
    </row>
    <row r="425" spans="2:47" hidden="1">
      <c r="B425" s="180"/>
      <c r="E425" s="4"/>
      <c r="F425" s="4"/>
      <c r="G425" s="4"/>
      <c r="J425" s="4"/>
      <c r="K425" s="4"/>
      <c r="L425" s="4"/>
      <c r="O425" s="4"/>
      <c r="P425" s="4"/>
      <c r="T425" s="4"/>
      <c r="U425" s="4"/>
      <c r="Y425" s="4"/>
      <c r="Z425" s="4"/>
      <c r="AA425" s="4"/>
      <c r="AB425" s="4"/>
      <c r="AC425" s="4"/>
      <c r="AK425" s="180"/>
      <c r="AL425" s="180"/>
      <c r="AM425" s="180"/>
      <c r="AN425" s="180"/>
      <c r="AO425" s="180"/>
      <c r="AP425" s="180"/>
    </row>
    <row r="426" spans="2:47" ht="13.5" hidden="1" customHeight="1">
      <c r="B426" s="1518" t="s">
        <v>18</v>
      </c>
      <c r="C426" s="1519">
        <v>45376</v>
      </c>
      <c r="D426" s="1519"/>
      <c r="E426" s="1519"/>
      <c r="F426" s="1519"/>
      <c r="G426" s="365"/>
      <c r="H426" s="1519">
        <v>45377</v>
      </c>
      <c r="I426" s="1519"/>
      <c r="J426" s="1519"/>
      <c r="K426" s="1519"/>
      <c r="L426" s="365">
        <v>45343</v>
      </c>
      <c r="M426" s="1519">
        <v>45378</v>
      </c>
      <c r="N426" s="1519"/>
      <c r="O426" s="1519"/>
      <c r="P426" s="1519"/>
      <c r="Q426" s="365"/>
      <c r="R426" s="1519">
        <v>45379</v>
      </c>
      <c r="S426" s="1519"/>
      <c r="T426" s="1519"/>
      <c r="U426" s="1519"/>
      <c r="V426" s="365"/>
      <c r="W426" s="1519">
        <v>45380</v>
      </c>
      <c r="X426" s="1519"/>
      <c r="Y426" s="1519"/>
      <c r="Z426" s="1519"/>
      <c r="AA426" s="1517" t="s">
        <v>19</v>
      </c>
      <c r="AB426" s="1517" t="s">
        <v>20</v>
      </c>
      <c r="AC426" s="4"/>
      <c r="AD426" s="1519">
        <v>45381</v>
      </c>
      <c r="AE426" s="1519"/>
      <c r="AF426" s="1519"/>
      <c r="AG426" s="1517" t="s">
        <v>21</v>
      </c>
      <c r="AI426" s="368"/>
      <c r="AK426" s="194" t="s">
        <v>84</v>
      </c>
      <c r="AL426" s="366"/>
      <c r="AM426" s="366"/>
      <c r="AN426" s="366"/>
      <c r="AO426" s="366"/>
      <c r="AP426" s="366"/>
    </row>
    <row r="427" spans="2:47" hidden="1">
      <c r="B427" s="1518"/>
      <c r="C427" s="21" t="s">
        <v>23</v>
      </c>
      <c r="D427" s="21" t="s">
        <v>24</v>
      </c>
      <c r="E427" s="205" t="s">
        <v>25</v>
      </c>
      <c r="F427" s="18" t="s">
        <v>14</v>
      </c>
      <c r="G427" s="4"/>
      <c r="H427" s="21" t="s">
        <v>23</v>
      </c>
      <c r="I427" s="21" t="s">
        <v>24</v>
      </c>
      <c r="J427" s="18" t="s">
        <v>25</v>
      </c>
      <c r="K427" s="18" t="s">
        <v>14</v>
      </c>
      <c r="L427" s="4"/>
      <c r="M427" s="21" t="s">
        <v>23</v>
      </c>
      <c r="N427" s="21" t="s">
        <v>24</v>
      </c>
      <c r="O427" s="18" t="s">
        <v>25</v>
      </c>
      <c r="P427" s="18" t="s">
        <v>14</v>
      </c>
      <c r="R427" s="484" t="s">
        <v>23</v>
      </c>
      <c r="S427" s="21" t="s">
        <v>24</v>
      </c>
      <c r="T427" s="18" t="s">
        <v>25</v>
      </c>
      <c r="U427" s="18" t="s">
        <v>14</v>
      </c>
      <c r="W427" s="484" t="s">
        <v>23</v>
      </c>
      <c r="X427" s="21" t="s">
        <v>24</v>
      </c>
      <c r="Y427" s="18" t="s">
        <v>25</v>
      </c>
      <c r="Z427" s="18" t="s">
        <v>14</v>
      </c>
      <c r="AA427" s="1517"/>
      <c r="AB427" s="1517"/>
      <c r="AC427" s="4"/>
      <c r="AD427" s="21" t="s">
        <v>23</v>
      </c>
      <c r="AE427" s="21" t="s">
        <v>24</v>
      </c>
      <c r="AF427" s="18" t="s">
        <v>25</v>
      </c>
      <c r="AG427" s="1517"/>
      <c r="AI427" s="368"/>
      <c r="AJ427" s="367"/>
      <c r="AK427" s="188" t="s">
        <v>26</v>
      </c>
      <c r="AL427" s="196">
        <f>AA454</f>
        <v>771.75</v>
      </c>
      <c r="AM427" s="510">
        <v>38</v>
      </c>
      <c r="AN427" s="510">
        <f t="shared" ref="AN427:AN433" si="75">AL427*AM427</f>
        <v>29326.5</v>
      </c>
      <c r="AQ427" s="367"/>
      <c r="AR427" s="367"/>
      <c r="AS427" s="367"/>
      <c r="AT427" s="367"/>
      <c r="AU427" s="367"/>
    </row>
    <row r="428" spans="2:47" hidden="1">
      <c r="B428" s="461" t="s">
        <v>72</v>
      </c>
      <c r="C428" s="47">
        <v>0.375</v>
      </c>
      <c r="D428" s="47">
        <v>0.25</v>
      </c>
      <c r="E428" s="319">
        <v>8</v>
      </c>
      <c r="F428" s="320"/>
      <c r="G428" s="4"/>
      <c r="H428" s="47">
        <v>0.375</v>
      </c>
      <c r="I428" s="47">
        <v>0.25</v>
      </c>
      <c r="J428" s="319">
        <v>8</v>
      </c>
      <c r="K428" s="320"/>
      <c r="L428" s="4"/>
      <c r="M428" s="47">
        <v>0.36458333333333331</v>
      </c>
      <c r="N428" s="47">
        <v>0.25</v>
      </c>
      <c r="O428" s="319">
        <v>8</v>
      </c>
      <c r="P428" s="320"/>
      <c r="R428" s="47">
        <v>0.36458333333333331</v>
      </c>
      <c r="S428" s="47">
        <v>0.25</v>
      </c>
      <c r="T428" s="319">
        <v>8</v>
      </c>
      <c r="U428" s="320"/>
      <c r="W428" s="47">
        <v>0.36458333333333331</v>
      </c>
      <c r="X428" s="47">
        <v>0.25</v>
      </c>
      <c r="Y428" s="319">
        <v>8</v>
      </c>
      <c r="Z428" s="320"/>
      <c r="AA428" s="29">
        <f t="shared" ref="AA428:AA453" si="76">(E428+J428+O428+T428+Y428)</f>
        <v>40</v>
      </c>
      <c r="AB428" s="298">
        <f>Z428+U428+P428+K428+F428</f>
        <v>0</v>
      </c>
      <c r="AC428" s="399"/>
      <c r="AD428" s="47" t="s">
        <v>29</v>
      </c>
      <c r="AE428" s="47" t="s">
        <v>29</v>
      </c>
      <c r="AF428" s="346"/>
      <c r="AG428" s="29">
        <f t="shared" ref="AG428:AG452" si="77">AF428</f>
        <v>0</v>
      </c>
      <c r="AH428" s="175"/>
      <c r="AJ428" s="401"/>
      <c r="AK428" s="188" t="s">
        <v>30</v>
      </c>
      <c r="AL428" s="196">
        <f>AB454</f>
        <v>1</v>
      </c>
      <c r="AM428" s="511">
        <v>57</v>
      </c>
      <c r="AN428" s="510">
        <f t="shared" si="75"/>
        <v>57</v>
      </c>
      <c r="AO428" s="405"/>
      <c r="AP428" s="405"/>
      <c r="AQ428" s="401"/>
      <c r="AR428" s="401"/>
      <c r="AS428" s="401"/>
      <c r="AT428" s="401"/>
      <c r="AU428" s="401"/>
    </row>
    <row r="429" spans="2:47" hidden="1">
      <c r="B429" s="457" t="s">
        <v>93</v>
      </c>
      <c r="C429" s="47">
        <v>0.36458333333333331</v>
      </c>
      <c r="D429" s="47">
        <v>0.25</v>
      </c>
      <c r="E429" s="319">
        <v>8</v>
      </c>
      <c r="F429" s="320"/>
      <c r="G429" s="4"/>
      <c r="H429" s="47">
        <v>0.36458333333333331</v>
      </c>
      <c r="I429" s="47">
        <v>0.25</v>
      </c>
      <c r="J429" s="319">
        <v>8</v>
      </c>
      <c r="K429" s="320"/>
      <c r="L429" s="4"/>
      <c r="M429" s="47">
        <v>0.35416666666666669</v>
      </c>
      <c r="N429" s="47">
        <v>0.25</v>
      </c>
      <c r="O429" s="319">
        <v>8</v>
      </c>
      <c r="P429" s="320"/>
      <c r="R429" s="47">
        <v>0.36458333333333331</v>
      </c>
      <c r="S429" s="47">
        <v>0.25</v>
      </c>
      <c r="T429" s="319">
        <v>8</v>
      </c>
      <c r="U429" s="320"/>
      <c r="W429" s="47">
        <v>0.36458333333333331</v>
      </c>
      <c r="X429" s="47">
        <v>0.25</v>
      </c>
      <c r="Y429" s="319">
        <v>8</v>
      </c>
      <c r="Z429" s="320"/>
      <c r="AA429" s="29">
        <f t="shared" si="76"/>
        <v>40</v>
      </c>
      <c r="AB429" s="298">
        <f>Z429+U429+P429+K429+F429</f>
        <v>0</v>
      </c>
      <c r="AC429" s="175"/>
      <c r="AD429" s="47">
        <v>0.375</v>
      </c>
      <c r="AE429" s="47">
        <v>0.25</v>
      </c>
      <c r="AF429" s="346">
        <v>8</v>
      </c>
      <c r="AG429" s="344">
        <f t="shared" si="77"/>
        <v>8</v>
      </c>
      <c r="AH429" s="175"/>
      <c r="AI429" s="368"/>
      <c r="AK429" s="188" t="s">
        <v>32</v>
      </c>
      <c r="AL429" s="196">
        <f>AG454</f>
        <v>39.75</v>
      </c>
      <c r="AM429" s="510">
        <v>57</v>
      </c>
      <c r="AN429" s="510">
        <f t="shared" si="75"/>
        <v>2265.75</v>
      </c>
    </row>
    <row r="430" spans="2:47" hidden="1">
      <c r="B430" s="164" t="s">
        <v>242</v>
      </c>
      <c r="C430" s="47">
        <v>0</v>
      </c>
      <c r="D430" s="47">
        <v>0</v>
      </c>
      <c r="E430" s="319">
        <v>0</v>
      </c>
      <c r="F430" s="320"/>
      <c r="G430" s="4"/>
      <c r="H430" s="47">
        <v>0.375</v>
      </c>
      <c r="I430" s="47">
        <v>0.25</v>
      </c>
      <c r="J430" s="319">
        <v>8</v>
      </c>
      <c r="K430" s="320"/>
      <c r="L430" s="4"/>
      <c r="M430" s="47">
        <v>0.375</v>
      </c>
      <c r="N430" s="47">
        <v>0.25</v>
      </c>
      <c r="O430" s="319">
        <v>8</v>
      </c>
      <c r="P430" s="320"/>
      <c r="R430" s="47">
        <v>0.36458333333333331</v>
      </c>
      <c r="S430" s="47">
        <v>0.25</v>
      </c>
      <c r="T430" s="319">
        <v>8</v>
      </c>
      <c r="U430" s="320"/>
      <c r="W430" s="47">
        <v>0.36458333333333331</v>
      </c>
      <c r="X430" s="47">
        <v>0.25</v>
      </c>
      <c r="Y430" s="319">
        <v>8</v>
      </c>
      <c r="Z430" s="320"/>
      <c r="AA430" s="29">
        <f t="shared" si="76"/>
        <v>32</v>
      </c>
      <c r="AB430" s="298">
        <f>Z430+U430+P430+K430+F430</f>
        <v>0</v>
      </c>
      <c r="AC430" s="4"/>
      <c r="AD430" s="47" t="s">
        <v>29</v>
      </c>
      <c r="AE430" s="47" t="s">
        <v>29</v>
      </c>
      <c r="AF430" s="346"/>
      <c r="AG430" s="29">
        <f t="shared" si="77"/>
        <v>0</v>
      </c>
      <c r="AJ430" s="367"/>
      <c r="AK430" s="403" t="s">
        <v>213</v>
      </c>
      <c r="AL430" s="404">
        <f>AA457</f>
        <v>20</v>
      </c>
      <c r="AM430" s="510">
        <v>50</v>
      </c>
      <c r="AN430" s="510">
        <f t="shared" si="75"/>
        <v>1000</v>
      </c>
      <c r="AQ430" s="367"/>
      <c r="AR430" s="367"/>
      <c r="AS430" s="367"/>
      <c r="AT430" s="367"/>
      <c r="AU430" s="367"/>
    </row>
    <row r="431" spans="2:47" hidden="1">
      <c r="B431" s="458" t="s">
        <v>243</v>
      </c>
      <c r="C431" s="47">
        <v>0.375</v>
      </c>
      <c r="D431" s="47">
        <v>0.25</v>
      </c>
      <c r="E431" s="319">
        <v>8</v>
      </c>
      <c r="F431" s="320"/>
      <c r="G431" s="4"/>
      <c r="H431" s="47">
        <v>0.375</v>
      </c>
      <c r="I431" s="47">
        <v>0.25</v>
      </c>
      <c r="J431" s="319">
        <v>8</v>
      </c>
      <c r="K431" s="320"/>
      <c r="L431" s="4"/>
      <c r="M431" s="47">
        <v>0.375</v>
      </c>
      <c r="N431" s="47">
        <v>0.25</v>
      </c>
      <c r="O431" s="319">
        <v>8</v>
      </c>
      <c r="P431" s="320"/>
      <c r="R431" s="47">
        <v>0.375</v>
      </c>
      <c r="S431" s="47">
        <v>0.25</v>
      </c>
      <c r="T431" s="319">
        <v>8</v>
      </c>
      <c r="U431" s="320"/>
      <c r="W431" s="47">
        <v>0.36458333333333331</v>
      </c>
      <c r="X431" s="47">
        <v>0.25</v>
      </c>
      <c r="Y431" s="319">
        <v>8</v>
      </c>
      <c r="Z431" s="320"/>
      <c r="AA431" s="29">
        <f t="shared" si="76"/>
        <v>40</v>
      </c>
      <c r="AB431" s="298">
        <f>Z431+U431+P431+K431+F431</f>
        <v>0</v>
      </c>
      <c r="AC431" s="4"/>
      <c r="AD431" s="47" t="s">
        <v>29</v>
      </c>
      <c r="AE431" s="47" t="s">
        <v>29</v>
      </c>
      <c r="AF431" s="346"/>
      <c r="AG431" s="29">
        <f t="shared" si="77"/>
        <v>0</v>
      </c>
      <c r="AK431" s="188" t="s">
        <v>36</v>
      </c>
      <c r="AL431" s="196">
        <f>AB457</f>
        <v>0</v>
      </c>
      <c r="AM431" s="510">
        <v>75</v>
      </c>
      <c r="AN431" s="510">
        <f t="shared" si="75"/>
        <v>0</v>
      </c>
    </row>
    <row r="432" spans="2:47" hidden="1">
      <c r="B432" s="457" t="s">
        <v>53</v>
      </c>
      <c r="C432" s="47">
        <v>0</v>
      </c>
      <c r="D432" s="47">
        <v>0</v>
      </c>
      <c r="E432" s="319">
        <v>0</v>
      </c>
      <c r="F432" s="320"/>
      <c r="G432" s="4"/>
      <c r="H432" s="47">
        <v>0.38541666666666669</v>
      </c>
      <c r="I432" s="47">
        <v>0.25</v>
      </c>
      <c r="J432" s="319">
        <v>8</v>
      </c>
      <c r="K432" s="320"/>
      <c r="L432" s="4"/>
      <c r="M432" s="47">
        <v>0.375</v>
      </c>
      <c r="N432" s="47">
        <v>0.25</v>
      </c>
      <c r="O432" s="319">
        <v>8</v>
      </c>
      <c r="P432" s="320"/>
      <c r="R432" s="47" t="s">
        <v>251</v>
      </c>
      <c r="S432" s="47"/>
      <c r="T432" s="319"/>
      <c r="U432" s="320"/>
      <c r="W432" s="47" t="s">
        <v>251</v>
      </c>
      <c r="X432" s="47"/>
      <c r="Y432" s="319">
        <v>8</v>
      </c>
      <c r="Z432" s="320"/>
      <c r="AA432" s="29">
        <f t="shared" si="76"/>
        <v>24</v>
      </c>
      <c r="AB432" s="298">
        <f>Z432+U432+P432+K432+F431</f>
        <v>0</v>
      </c>
      <c r="AC432" s="4"/>
      <c r="AD432" s="47" t="s">
        <v>29</v>
      </c>
      <c r="AE432" s="47" t="s">
        <v>29</v>
      </c>
      <c r="AF432" s="346"/>
      <c r="AG432" s="29">
        <f t="shared" si="77"/>
        <v>0</v>
      </c>
      <c r="AK432" s="188" t="s">
        <v>38</v>
      </c>
      <c r="AL432" s="196">
        <f>AG457</f>
        <v>1</v>
      </c>
      <c r="AM432" s="510">
        <v>75</v>
      </c>
      <c r="AN432" s="510">
        <f t="shared" si="75"/>
        <v>75</v>
      </c>
    </row>
    <row r="433" spans="2:40" ht="12.75" hidden="1" customHeight="1" thickBot="1">
      <c r="B433" s="457" t="s">
        <v>91</v>
      </c>
      <c r="C433" s="441" t="s">
        <v>75</v>
      </c>
      <c r="D433" s="47">
        <v>0.25</v>
      </c>
      <c r="E433" s="319">
        <v>8</v>
      </c>
      <c r="F433" s="320"/>
      <c r="G433" s="4"/>
      <c r="H433" s="47">
        <v>0</v>
      </c>
      <c r="I433" s="47">
        <v>0</v>
      </c>
      <c r="J433" s="319">
        <v>0</v>
      </c>
      <c r="K433" s="320"/>
      <c r="L433" s="4"/>
      <c r="M433" s="47">
        <v>0.375</v>
      </c>
      <c r="N433" s="47">
        <v>0.25</v>
      </c>
      <c r="O433" s="319">
        <v>8</v>
      </c>
      <c r="P433" s="320"/>
      <c r="R433" s="47">
        <v>0</v>
      </c>
      <c r="S433" s="47">
        <v>0</v>
      </c>
      <c r="T433" s="319">
        <v>0</v>
      </c>
      <c r="U433" s="320"/>
      <c r="W433" s="47">
        <v>0</v>
      </c>
      <c r="X433" s="47">
        <v>0</v>
      </c>
      <c r="Y433" s="319">
        <v>0</v>
      </c>
      <c r="Z433" s="320"/>
      <c r="AA433" s="29">
        <f t="shared" si="76"/>
        <v>16</v>
      </c>
      <c r="AB433" s="298">
        <f>Z433+U433+P433+K433+F432</f>
        <v>0</v>
      </c>
      <c r="AC433" s="4"/>
      <c r="AD433" s="47" t="s">
        <v>29</v>
      </c>
      <c r="AE433" s="47" t="s">
        <v>29</v>
      </c>
      <c r="AF433" s="346"/>
      <c r="AG433" s="29">
        <f t="shared" si="77"/>
        <v>0</v>
      </c>
      <c r="AK433" s="188" t="s">
        <v>41</v>
      </c>
      <c r="AL433" s="196">
        <f>C458</f>
        <v>80</v>
      </c>
      <c r="AM433" s="512">
        <v>45</v>
      </c>
      <c r="AN433" s="512">
        <f t="shared" si="75"/>
        <v>3600</v>
      </c>
    </row>
    <row r="434" spans="2:40" ht="14.25" hidden="1" thickTop="1">
      <c r="B434" s="457" t="s">
        <v>234</v>
      </c>
      <c r="C434" s="441" t="s">
        <v>75</v>
      </c>
      <c r="D434" s="47">
        <v>0.25</v>
      </c>
      <c r="E434" s="319">
        <v>8</v>
      </c>
      <c r="F434" s="320"/>
      <c r="G434" s="4"/>
      <c r="H434" s="47">
        <v>0.36458333333333331</v>
      </c>
      <c r="I434" s="47">
        <v>0.25</v>
      </c>
      <c r="J434" s="319">
        <v>8</v>
      </c>
      <c r="K434" s="320"/>
      <c r="L434" s="4"/>
      <c r="M434" s="47">
        <v>0.375</v>
      </c>
      <c r="N434" s="47">
        <v>0.25</v>
      </c>
      <c r="O434" s="319">
        <v>8</v>
      </c>
      <c r="P434" s="320"/>
      <c r="R434" s="4" t="s">
        <v>251</v>
      </c>
      <c r="S434" s="47"/>
      <c r="T434" s="319"/>
      <c r="U434" s="320"/>
      <c r="W434" s="4" t="s">
        <v>251</v>
      </c>
      <c r="X434" s="4"/>
      <c r="Y434" s="319">
        <v>0</v>
      </c>
      <c r="Z434" s="320"/>
      <c r="AA434" s="29">
        <f t="shared" si="76"/>
        <v>24</v>
      </c>
      <c r="AB434" s="298">
        <f>Z434+U434+P434+K434+F433</f>
        <v>0</v>
      </c>
      <c r="AC434" s="4"/>
      <c r="AD434" s="47" t="s">
        <v>29</v>
      </c>
      <c r="AE434" s="47" t="s">
        <v>29</v>
      </c>
      <c r="AF434" s="346"/>
      <c r="AG434" s="29">
        <f t="shared" si="77"/>
        <v>0</v>
      </c>
      <c r="AN434" s="510">
        <f>SUM(AN427:AN433)</f>
        <v>36324.25</v>
      </c>
    </row>
    <row r="435" spans="2:40" hidden="1">
      <c r="B435" s="457" t="s">
        <v>46</v>
      </c>
      <c r="C435" s="441" t="s">
        <v>75</v>
      </c>
      <c r="D435" s="47">
        <v>0.25</v>
      </c>
      <c r="E435" s="319">
        <v>8</v>
      </c>
      <c r="F435" s="320"/>
      <c r="G435" s="4"/>
      <c r="H435" s="47">
        <v>0.35416666666666669</v>
      </c>
      <c r="I435" s="47">
        <v>0.25</v>
      </c>
      <c r="J435" s="319">
        <v>8</v>
      </c>
      <c r="K435" s="320"/>
      <c r="L435" s="4"/>
      <c r="M435" s="47">
        <v>0.35416666666666669</v>
      </c>
      <c r="N435" s="47">
        <v>0.25</v>
      </c>
      <c r="O435" s="319">
        <v>8</v>
      </c>
      <c r="P435" s="320"/>
      <c r="R435" s="47">
        <v>0.375</v>
      </c>
      <c r="S435" s="47">
        <v>0.25</v>
      </c>
      <c r="T435" s="319">
        <v>8</v>
      </c>
      <c r="U435" s="320"/>
      <c r="W435" s="47"/>
      <c r="X435" s="47"/>
      <c r="Y435" s="319">
        <v>8</v>
      </c>
      <c r="Z435" s="320"/>
      <c r="AA435" s="29">
        <f t="shared" si="76"/>
        <v>40</v>
      </c>
      <c r="AB435" s="298">
        <f>Z435+U435+P435+K435+F434</f>
        <v>0</v>
      </c>
      <c r="AC435" s="4"/>
      <c r="AD435" s="180" t="s">
        <v>251</v>
      </c>
      <c r="AE435" s="47" t="s">
        <v>29</v>
      </c>
      <c r="AF435" s="346"/>
      <c r="AG435" s="29">
        <f t="shared" si="77"/>
        <v>0</v>
      </c>
    </row>
    <row r="436" spans="2:40" hidden="1">
      <c r="B436" s="457" t="s">
        <v>43</v>
      </c>
      <c r="C436" s="441" t="s">
        <v>74</v>
      </c>
      <c r="D436" s="47">
        <v>0.25</v>
      </c>
      <c r="E436" s="319">
        <v>8</v>
      </c>
      <c r="F436" s="320"/>
      <c r="G436" s="4"/>
      <c r="H436" s="47">
        <v>0.375</v>
      </c>
      <c r="I436" s="47">
        <v>0.25</v>
      </c>
      <c r="J436" s="319">
        <v>8</v>
      </c>
      <c r="K436" s="320"/>
      <c r="L436" s="4"/>
      <c r="M436" s="47">
        <v>0.35416666666666669</v>
      </c>
      <c r="N436" s="47">
        <v>0.25</v>
      </c>
      <c r="O436" s="319">
        <v>8</v>
      </c>
      <c r="P436" s="320"/>
      <c r="R436" s="47">
        <v>0.375</v>
      </c>
      <c r="S436" s="47">
        <v>0.25</v>
      </c>
      <c r="T436" s="319">
        <v>8</v>
      </c>
      <c r="U436" s="320"/>
      <c r="W436" s="47">
        <v>0.35416666666666669</v>
      </c>
      <c r="X436" s="47">
        <v>0.25</v>
      </c>
      <c r="Y436" s="319">
        <v>8</v>
      </c>
      <c r="Z436" s="320"/>
      <c r="AA436" s="29">
        <f t="shared" si="76"/>
        <v>40</v>
      </c>
      <c r="AB436" s="298">
        <f t="shared" ref="AB436:AB453" si="78">Z436+U436+P436+K436+F436</f>
        <v>0</v>
      </c>
      <c r="AC436" s="4"/>
      <c r="AD436" s="47">
        <v>0.38541666666666669</v>
      </c>
      <c r="AE436" s="47">
        <v>0.25</v>
      </c>
      <c r="AF436" s="346">
        <v>7.75</v>
      </c>
      <c r="AG436" s="29">
        <f t="shared" si="77"/>
        <v>7.75</v>
      </c>
    </row>
    <row r="437" spans="2:40" hidden="1">
      <c r="B437" s="461" t="s">
        <v>113</v>
      </c>
      <c r="C437" s="441" t="s">
        <v>75</v>
      </c>
      <c r="D437" s="47">
        <v>0.25</v>
      </c>
      <c r="E437" s="319">
        <v>8</v>
      </c>
      <c r="F437" s="320"/>
      <c r="G437" s="4"/>
      <c r="H437" s="47">
        <v>0.36458333333333331</v>
      </c>
      <c r="I437" s="47">
        <v>0.25</v>
      </c>
      <c r="J437" s="319">
        <v>8</v>
      </c>
      <c r="K437" s="320"/>
      <c r="L437" s="4"/>
      <c r="M437" s="47">
        <v>0.36458333333333331</v>
      </c>
      <c r="N437" s="47">
        <v>0.25</v>
      </c>
      <c r="O437" s="319">
        <v>8</v>
      </c>
      <c r="P437" s="320"/>
      <c r="R437" s="47">
        <v>0.36458333333333331</v>
      </c>
      <c r="S437" s="47">
        <v>0.25</v>
      </c>
      <c r="T437" s="319">
        <v>8</v>
      </c>
      <c r="U437" s="320"/>
      <c r="W437" s="47">
        <v>0.375</v>
      </c>
      <c r="X437" s="47">
        <v>0.25</v>
      </c>
      <c r="Y437" s="319">
        <v>8</v>
      </c>
      <c r="Z437" s="320"/>
      <c r="AA437" s="29">
        <f t="shared" si="76"/>
        <v>40</v>
      </c>
      <c r="AB437" s="298">
        <f t="shared" si="78"/>
        <v>0</v>
      </c>
      <c r="AC437" s="4"/>
      <c r="AD437" s="47">
        <v>0.375</v>
      </c>
      <c r="AE437" s="47">
        <v>0.25</v>
      </c>
      <c r="AF437" s="346">
        <v>8</v>
      </c>
      <c r="AG437" s="29">
        <f t="shared" si="77"/>
        <v>8</v>
      </c>
    </row>
    <row r="438" spans="2:40" hidden="1">
      <c r="B438" s="457" t="s">
        <v>44</v>
      </c>
      <c r="C438" s="441" t="s">
        <v>154</v>
      </c>
      <c r="D438" s="47">
        <v>0</v>
      </c>
      <c r="E438" s="319">
        <v>0</v>
      </c>
      <c r="F438" s="320"/>
      <c r="G438" s="4"/>
      <c r="H438" s="47">
        <v>0.375</v>
      </c>
      <c r="I438" s="47">
        <v>0.25</v>
      </c>
      <c r="J438" s="319">
        <v>8</v>
      </c>
      <c r="K438" s="320"/>
      <c r="L438" s="4"/>
      <c r="M438" s="47">
        <v>0.38541666666666669</v>
      </c>
      <c r="N438" s="47">
        <v>0.25</v>
      </c>
      <c r="O438" s="319">
        <v>7.75</v>
      </c>
      <c r="P438" s="320"/>
      <c r="R438" s="47">
        <v>0.375</v>
      </c>
      <c r="S438" s="47">
        <v>0.25</v>
      </c>
      <c r="T438" s="319">
        <v>8</v>
      </c>
      <c r="U438" s="320"/>
      <c r="W438" s="47">
        <v>0.34375</v>
      </c>
      <c r="X438" s="47">
        <v>0.25</v>
      </c>
      <c r="Y438" s="319">
        <v>8</v>
      </c>
      <c r="Z438" s="320"/>
      <c r="AA438" s="29">
        <f t="shared" si="76"/>
        <v>31.75</v>
      </c>
      <c r="AB438" s="298">
        <f t="shared" si="78"/>
        <v>0</v>
      </c>
      <c r="AC438" s="4"/>
      <c r="AD438" s="47" t="s">
        <v>29</v>
      </c>
      <c r="AE438" s="47" t="s">
        <v>29</v>
      </c>
      <c r="AF438" s="19"/>
      <c r="AG438" s="29">
        <f t="shared" si="77"/>
        <v>0</v>
      </c>
    </row>
    <row r="439" spans="2:40" hidden="1">
      <c r="B439" s="457" t="s">
        <v>45</v>
      </c>
      <c r="C439" s="441" t="s">
        <v>75</v>
      </c>
      <c r="D439" s="47">
        <v>0.25</v>
      </c>
      <c r="E439" s="319">
        <v>8</v>
      </c>
      <c r="F439" s="320"/>
      <c r="G439" s="4"/>
      <c r="H439" s="47">
        <v>0.375</v>
      </c>
      <c r="I439" s="47">
        <v>0.25</v>
      </c>
      <c r="J439" s="319">
        <v>8</v>
      </c>
      <c r="K439" s="320"/>
      <c r="L439" s="4"/>
      <c r="M439" s="47">
        <v>0.375</v>
      </c>
      <c r="N439" s="47">
        <v>0.25</v>
      </c>
      <c r="O439" s="319">
        <v>8</v>
      </c>
      <c r="P439" s="320"/>
      <c r="R439" s="47">
        <v>0.38541666666666669</v>
      </c>
      <c r="S439" s="47">
        <v>0.25</v>
      </c>
      <c r="T439" s="319">
        <v>8</v>
      </c>
      <c r="U439" s="320"/>
      <c r="W439" s="47">
        <v>0.375</v>
      </c>
      <c r="X439" s="47">
        <v>0.27083333333333331</v>
      </c>
      <c r="Y439" s="319">
        <v>8</v>
      </c>
      <c r="Z439" s="320">
        <v>0.5</v>
      </c>
      <c r="AA439" s="29">
        <f t="shared" si="76"/>
        <v>40</v>
      </c>
      <c r="AB439" s="298">
        <f t="shared" si="78"/>
        <v>0.5</v>
      </c>
      <c r="AC439" s="4"/>
      <c r="AD439" s="47" t="s">
        <v>29</v>
      </c>
      <c r="AE439" s="47" t="s">
        <v>29</v>
      </c>
      <c r="AF439" s="19"/>
      <c r="AG439" s="29">
        <f t="shared" si="77"/>
        <v>0</v>
      </c>
    </row>
    <row r="440" spans="2:40" hidden="1">
      <c r="B440" s="458" t="s">
        <v>244</v>
      </c>
      <c r="C440" s="441" t="s">
        <v>75</v>
      </c>
      <c r="D440" s="47">
        <v>0.25</v>
      </c>
      <c r="E440" s="319">
        <v>8</v>
      </c>
      <c r="F440" s="320"/>
      <c r="G440" s="4"/>
      <c r="H440" s="441" t="s">
        <v>75</v>
      </c>
      <c r="I440" s="47">
        <v>0.25</v>
      </c>
      <c r="J440" s="319">
        <v>8</v>
      </c>
      <c r="K440" s="320"/>
      <c r="L440" s="4"/>
      <c r="M440" s="47">
        <v>0</v>
      </c>
      <c r="N440" s="47">
        <v>0</v>
      </c>
      <c r="O440" s="319">
        <v>0</v>
      </c>
      <c r="P440" s="320"/>
      <c r="R440" s="441" t="s">
        <v>74</v>
      </c>
      <c r="S440" s="47">
        <v>0.25</v>
      </c>
      <c r="T440" s="319">
        <v>8</v>
      </c>
      <c r="U440" s="320"/>
      <c r="W440" s="441" t="s">
        <v>74</v>
      </c>
      <c r="X440" s="47">
        <v>0.25</v>
      </c>
      <c r="Y440" s="319">
        <v>8</v>
      </c>
      <c r="Z440" s="320"/>
      <c r="AA440" s="29">
        <f t="shared" si="76"/>
        <v>32</v>
      </c>
      <c r="AB440" s="298">
        <f t="shared" si="78"/>
        <v>0</v>
      </c>
      <c r="AC440" s="4"/>
      <c r="AD440" s="47" t="s">
        <v>29</v>
      </c>
      <c r="AE440" s="47" t="s">
        <v>29</v>
      </c>
      <c r="AF440" s="19"/>
      <c r="AG440" s="29">
        <f t="shared" si="77"/>
        <v>0</v>
      </c>
    </row>
    <row r="441" spans="2:40" hidden="1">
      <c r="B441" s="457" t="s">
        <v>112</v>
      </c>
      <c r="C441" s="441" t="s">
        <v>75</v>
      </c>
      <c r="D441" s="47">
        <v>0.25</v>
      </c>
      <c r="E441" s="319">
        <v>8</v>
      </c>
      <c r="F441" s="320"/>
      <c r="G441" s="4"/>
      <c r="H441" s="441" t="s">
        <v>75</v>
      </c>
      <c r="I441" s="47">
        <v>0.25</v>
      </c>
      <c r="J441" s="319">
        <v>8</v>
      </c>
      <c r="K441" s="320"/>
      <c r="L441" s="4"/>
      <c r="M441" s="47">
        <v>0.375</v>
      </c>
      <c r="N441" s="47">
        <v>0.25</v>
      </c>
      <c r="O441" s="319">
        <v>8</v>
      </c>
      <c r="P441" s="320"/>
      <c r="R441" s="441" t="s">
        <v>75</v>
      </c>
      <c r="S441" s="47">
        <v>0.25</v>
      </c>
      <c r="T441" s="319">
        <v>8</v>
      </c>
      <c r="U441" s="320"/>
      <c r="W441" s="441" t="s">
        <v>75</v>
      </c>
      <c r="X441" s="47">
        <v>0.27083333333333331</v>
      </c>
      <c r="Y441" s="319">
        <v>8</v>
      </c>
      <c r="Z441" s="320">
        <v>0.5</v>
      </c>
      <c r="AA441" s="29">
        <f t="shared" si="76"/>
        <v>40</v>
      </c>
      <c r="AB441" s="298">
        <f t="shared" si="78"/>
        <v>0.5</v>
      </c>
      <c r="AC441" s="4"/>
      <c r="AD441" s="47" t="s">
        <v>29</v>
      </c>
      <c r="AE441" s="47" t="s">
        <v>29</v>
      </c>
      <c r="AF441" s="19"/>
      <c r="AG441" s="29">
        <f t="shared" si="77"/>
        <v>0</v>
      </c>
    </row>
    <row r="442" spans="2:40" hidden="1">
      <c r="B442" s="164" t="s">
        <v>39</v>
      </c>
      <c r="C442" s="441" t="s">
        <v>154</v>
      </c>
      <c r="D442" s="47">
        <v>0</v>
      </c>
      <c r="E442" s="319">
        <v>0</v>
      </c>
      <c r="F442" s="320"/>
      <c r="G442" s="4"/>
      <c r="H442" s="47">
        <v>0.38541666666666669</v>
      </c>
      <c r="I442" s="47">
        <v>0.25</v>
      </c>
      <c r="J442" s="319">
        <v>8</v>
      </c>
      <c r="K442" s="320"/>
      <c r="L442" s="4"/>
      <c r="M442" s="47">
        <v>0.375</v>
      </c>
      <c r="N442" s="47">
        <v>0.25</v>
      </c>
      <c r="O442" s="319">
        <v>8</v>
      </c>
      <c r="P442" s="320"/>
      <c r="R442" s="47">
        <v>0.39583333333333331</v>
      </c>
      <c r="S442" s="47">
        <v>0.25</v>
      </c>
      <c r="T442" s="319">
        <v>8</v>
      </c>
      <c r="U442" s="320"/>
      <c r="W442" s="47">
        <v>0.375</v>
      </c>
      <c r="X442" s="47">
        <v>0.25</v>
      </c>
      <c r="Y442" s="319">
        <v>8</v>
      </c>
      <c r="Z442" s="320"/>
      <c r="AA442" s="29">
        <f t="shared" si="76"/>
        <v>32</v>
      </c>
      <c r="AB442" s="298">
        <f t="shared" si="78"/>
        <v>0</v>
      </c>
      <c r="AC442" s="4"/>
      <c r="AD442" s="47">
        <v>0.375</v>
      </c>
      <c r="AE442" s="47">
        <v>0.25</v>
      </c>
      <c r="AF442" s="19">
        <v>8</v>
      </c>
      <c r="AG442" s="29">
        <f t="shared" si="77"/>
        <v>8</v>
      </c>
    </row>
    <row r="443" spans="2:40" hidden="1">
      <c r="B443" s="164" t="s">
        <v>241</v>
      </c>
      <c r="C443" s="441" t="s">
        <v>76</v>
      </c>
      <c r="D443" s="47">
        <v>0.25</v>
      </c>
      <c r="E443" s="319">
        <v>8</v>
      </c>
      <c r="F443" s="320"/>
      <c r="G443" s="4"/>
      <c r="H443" s="47">
        <v>0.35416666666666669</v>
      </c>
      <c r="I443" s="47">
        <v>0.25</v>
      </c>
      <c r="J443" s="319">
        <v>8</v>
      </c>
      <c r="K443" s="320"/>
      <c r="L443" s="4"/>
      <c r="M443" s="47">
        <v>0.35416666666666669</v>
      </c>
      <c r="N443" s="47">
        <v>0.25</v>
      </c>
      <c r="O443" s="319">
        <v>8</v>
      </c>
      <c r="P443" s="320"/>
      <c r="R443" s="47">
        <v>0.35416666666666669</v>
      </c>
      <c r="S443" s="47">
        <v>0.25</v>
      </c>
      <c r="T443" s="319">
        <v>8</v>
      </c>
      <c r="U443" s="320"/>
      <c r="W443" s="47">
        <v>0.36458333333333331</v>
      </c>
      <c r="X443" s="47">
        <v>0.25</v>
      </c>
      <c r="Y443" s="319">
        <v>8</v>
      </c>
      <c r="Z443" s="320"/>
      <c r="AA443" s="29">
        <f t="shared" si="76"/>
        <v>40</v>
      </c>
      <c r="AB443" s="298">
        <f t="shared" si="78"/>
        <v>0</v>
      </c>
      <c r="AC443" s="4"/>
      <c r="AD443" s="47" t="s">
        <v>29</v>
      </c>
      <c r="AE443" s="47" t="s">
        <v>29</v>
      </c>
      <c r="AF443" s="19"/>
      <c r="AG443" s="29">
        <f t="shared" si="77"/>
        <v>0</v>
      </c>
    </row>
    <row r="444" spans="2:40" hidden="1">
      <c r="B444" s="457" t="s">
        <v>96</v>
      </c>
      <c r="C444" s="441" t="s">
        <v>76</v>
      </c>
      <c r="D444" s="47">
        <v>0.25</v>
      </c>
      <c r="E444" s="319">
        <v>8</v>
      </c>
      <c r="F444" s="320"/>
      <c r="G444" s="4"/>
      <c r="H444" s="47">
        <v>0.35416666666666669</v>
      </c>
      <c r="I444" s="47">
        <v>0.25</v>
      </c>
      <c r="J444" s="319">
        <v>8</v>
      </c>
      <c r="K444" s="320"/>
      <c r="L444" s="4"/>
      <c r="M444" s="47">
        <v>0.35416666666666669</v>
      </c>
      <c r="N444" s="47">
        <v>0.25</v>
      </c>
      <c r="O444" s="319">
        <v>8</v>
      </c>
      <c r="P444" s="320"/>
      <c r="R444" s="47" t="s">
        <v>251</v>
      </c>
      <c r="S444" s="47"/>
      <c r="T444" s="319">
        <v>0</v>
      </c>
      <c r="U444" s="320"/>
      <c r="W444" s="47" t="s">
        <v>251</v>
      </c>
      <c r="X444" s="47"/>
      <c r="Y444" s="319">
        <v>0</v>
      </c>
      <c r="Z444" s="320"/>
      <c r="AA444" s="29">
        <f t="shared" si="76"/>
        <v>24</v>
      </c>
      <c r="AB444" s="298">
        <f t="shared" si="78"/>
        <v>0</v>
      </c>
      <c r="AC444" s="4"/>
      <c r="AD444" s="47">
        <v>0.375</v>
      </c>
      <c r="AE444" s="47">
        <v>0.25</v>
      </c>
      <c r="AF444" s="19">
        <v>8</v>
      </c>
      <c r="AG444" s="29">
        <f t="shared" si="77"/>
        <v>8</v>
      </c>
    </row>
    <row r="445" spans="2:40" hidden="1">
      <c r="B445" s="461" t="s">
        <v>42</v>
      </c>
      <c r="C445" s="441" t="s">
        <v>76</v>
      </c>
      <c r="D445" s="47">
        <v>0.25</v>
      </c>
      <c r="E445" s="319">
        <v>8</v>
      </c>
      <c r="F445" s="320"/>
      <c r="G445" s="4"/>
      <c r="H445" s="47">
        <v>0.35416666666666669</v>
      </c>
      <c r="I445" s="47">
        <v>0.25</v>
      </c>
      <c r="J445" s="319">
        <v>8</v>
      </c>
      <c r="K445" s="320"/>
      <c r="L445" s="4"/>
      <c r="M445" s="47">
        <v>0.35416666666666669</v>
      </c>
      <c r="N445" s="47">
        <v>0.25</v>
      </c>
      <c r="O445" s="319">
        <v>8</v>
      </c>
      <c r="P445" s="320"/>
      <c r="R445" s="47" t="s">
        <v>251</v>
      </c>
      <c r="S445" s="47"/>
      <c r="T445" s="319"/>
      <c r="U445" s="320"/>
      <c r="W445" s="47" t="s">
        <v>251</v>
      </c>
      <c r="X445" s="47"/>
      <c r="Y445" s="319">
        <v>0</v>
      </c>
      <c r="Z445" s="320"/>
      <c r="AA445" s="29">
        <f t="shared" si="76"/>
        <v>24</v>
      </c>
      <c r="AB445" s="298">
        <f t="shared" si="78"/>
        <v>0</v>
      </c>
      <c r="AC445" s="4"/>
      <c r="AD445" s="47" t="s">
        <v>29</v>
      </c>
      <c r="AE445" s="47" t="s">
        <v>29</v>
      </c>
      <c r="AF445" s="19"/>
      <c r="AG445" s="29">
        <f t="shared" si="77"/>
        <v>0</v>
      </c>
    </row>
    <row r="446" spans="2:40" hidden="1">
      <c r="B446" s="457"/>
      <c r="C446" s="441"/>
      <c r="D446" s="47"/>
      <c r="E446" s="319"/>
      <c r="F446" s="320"/>
      <c r="G446" s="4"/>
      <c r="H446" s="47"/>
      <c r="I446" s="47"/>
      <c r="J446" s="319"/>
      <c r="K446" s="320"/>
      <c r="L446" s="4"/>
      <c r="M446" s="47"/>
      <c r="N446" s="47"/>
      <c r="O446" s="319"/>
      <c r="P446" s="320"/>
      <c r="R446" s="47"/>
      <c r="S446" s="47"/>
      <c r="T446" s="319"/>
      <c r="U446" s="320"/>
      <c r="W446" s="47"/>
      <c r="X446" s="47"/>
      <c r="Y446" s="319"/>
      <c r="Z446" s="320"/>
      <c r="AA446" s="29">
        <f t="shared" si="76"/>
        <v>0</v>
      </c>
      <c r="AB446" s="298">
        <f t="shared" si="78"/>
        <v>0</v>
      </c>
      <c r="AC446" s="4"/>
      <c r="AD446" s="47" t="s">
        <v>29</v>
      </c>
      <c r="AE446" s="47" t="s">
        <v>29</v>
      </c>
      <c r="AF446" s="19"/>
      <c r="AG446" s="29">
        <f t="shared" si="77"/>
        <v>0</v>
      </c>
    </row>
    <row r="447" spans="2:40" hidden="1">
      <c r="B447" s="166" t="s">
        <v>48</v>
      </c>
      <c r="C447" s="16" t="s">
        <v>29</v>
      </c>
      <c r="D447" s="16" t="s">
        <v>29</v>
      </c>
      <c r="E447" s="319">
        <v>8</v>
      </c>
      <c r="F447" s="320"/>
      <c r="G447" s="4"/>
      <c r="H447" s="16" t="s">
        <v>29</v>
      </c>
      <c r="I447" s="16" t="s">
        <v>29</v>
      </c>
      <c r="J447" s="319">
        <v>8</v>
      </c>
      <c r="K447" s="320"/>
      <c r="L447" s="4"/>
      <c r="M447" s="16" t="s">
        <v>29</v>
      </c>
      <c r="N447" s="16" t="s">
        <v>29</v>
      </c>
      <c r="O447" s="319">
        <v>8</v>
      </c>
      <c r="P447" s="320"/>
      <c r="R447" s="16" t="s">
        <v>29</v>
      </c>
      <c r="S447" s="16" t="s">
        <v>29</v>
      </c>
      <c r="T447" s="319">
        <v>8</v>
      </c>
      <c r="U447" s="320"/>
      <c r="W447" s="16" t="s">
        <v>29</v>
      </c>
      <c r="X447" s="16" t="s">
        <v>29</v>
      </c>
      <c r="Y447" s="319">
        <v>8</v>
      </c>
      <c r="Z447" s="320"/>
      <c r="AA447" s="29">
        <f t="shared" si="76"/>
        <v>40</v>
      </c>
      <c r="AB447" s="298">
        <f t="shared" si="78"/>
        <v>0</v>
      </c>
      <c r="AC447" s="4"/>
      <c r="AD447" s="47" t="s">
        <v>29</v>
      </c>
      <c r="AE447" s="47" t="s">
        <v>29</v>
      </c>
      <c r="AF447" s="19"/>
      <c r="AG447" s="29">
        <f t="shared" si="77"/>
        <v>0</v>
      </c>
    </row>
    <row r="448" spans="2:40" hidden="1">
      <c r="B448" s="166" t="s">
        <v>49</v>
      </c>
      <c r="C448" s="16" t="s">
        <v>29</v>
      </c>
      <c r="D448" s="16" t="s">
        <v>29</v>
      </c>
      <c r="E448" s="319">
        <v>8</v>
      </c>
      <c r="F448" s="320"/>
      <c r="G448" s="4"/>
      <c r="H448" s="16" t="s">
        <v>29</v>
      </c>
      <c r="I448" s="16" t="s">
        <v>29</v>
      </c>
      <c r="J448" s="319">
        <v>8</v>
      </c>
      <c r="K448" s="320"/>
      <c r="L448" s="4"/>
      <c r="M448" s="47" t="s">
        <v>251</v>
      </c>
      <c r="N448" s="47"/>
      <c r="O448" s="319">
        <v>0</v>
      </c>
      <c r="P448" s="320"/>
      <c r="R448" s="47">
        <v>0</v>
      </c>
      <c r="S448" s="47">
        <v>0</v>
      </c>
      <c r="T448" s="319">
        <v>0</v>
      </c>
      <c r="U448" s="320"/>
      <c r="W448" s="47">
        <v>0</v>
      </c>
      <c r="X448" s="47">
        <v>0</v>
      </c>
      <c r="Y448" s="319">
        <v>0</v>
      </c>
      <c r="Z448" s="320"/>
      <c r="AA448" s="29">
        <f t="shared" si="76"/>
        <v>16</v>
      </c>
      <c r="AB448" s="298">
        <f t="shared" si="78"/>
        <v>0</v>
      </c>
      <c r="AC448" s="4"/>
      <c r="AD448" s="47" t="s">
        <v>29</v>
      </c>
      <c r="AE448" s="47" t="s">
        <v>29</v>
      </c>
      <c r="AF448" s="19"/>
      <c r="AG448" s="29">
        <f t="shared" si="77"/>
        <v>0</v>
      </c>
    </row>
    <row r="449" spans="2:47" hidden="1">
      <c r="B449" s="166" t="s">
        <v>107</v>
      </c>
      <c r="C449" s="47" t="s">
        <v>29</v>
      </c>
      <c r="D449" s="47" t="s">
        <v>29</v>
      </c>
      <c r="E449" s="319">
        <v>0</v>
      </c>
      <c r="F449" s="320"/>
      <c r="G449" s="4"/>
      <c r="H449" s="47" t="s">
        <v>29</v>
      </c>
      <c r="I449" s="47" t="s">
        <v>29</v>
      </c>
      <c r="J449" s="319">
        <v>0</v>
      </c>
      <c r="K449" s="320"/>
      <c r="L449" s="4"/>
      <c r="M449" s="47" t="s">
        <v>29</v>
      </c>
      <c r="N449" s="47" t="s">
        <v>29</v>
      </c>
      <c r="O449" s="319">
        <v>0</v>
      </c>
      <c r="P449" s="320"/>
      <c r="R449" s="47" t="s">
        <v>29</v>
      </c>
      <c r="S449" s="47" t="s">
        <v>29</v>
      </c>
      <c r="T449" s="319">
        <v>8</v>
      </c>
      <c r="U449" s="320"/>
      <c r="W449" s="47" t="s">
        <v>29</v>
      </c>
      <c r="X449" s="47" t="s">
        <v>29</v>
      </c>
      <c r="Y449" s="319">
        <v>8</v>
      </c>
      <c r="Z449" s="320"/>
      <c r="AA449" s="29">
        <f t="shared" si="76"/>
        <v>16</v>
      </c>
      <c r="AB449" s="298">
        <f t="shared" si="78"/>
        <v>0</v>
      </c>
      <c r="AC449" s="4"/>
      <c r="AD449" s="47" t="s">
        <v>29</v>
      </c>
      <c r="AE449" s="47" t="s">
        <v>29</v>
      </c>
      <c r="AF449" s="19"/>
      <c r="AG449" s="29">
        <f t="shared" si="77"/>
        <v>0</v>
      </c>
    </row>
    <row r="450" spans="2:47" hidden="1">
      <c r="B450" s="166" t="s">
        <v>59</v>
      </c>
      <c r="C450" s="47" t="s">
        <v>29</v>
      </c>
      <c r="D450" s="16" t="s">
        <v>29</v>
      </c>
      <c r="E450" s="319">
        <v>8</v>
      </c>
      <c r="F450" s="320"/>
      <c r="G450" s="4"/>
      <c r="H450" s="47" t="s">
        <v>29</v>
      </c>
      <c r="I450" s="16" t="s">
        <v>29</v>
      </c>
      <c r="J450" s="319">
        <v>8</v>
      </c>
      <c r="K450" s="320"/>
      <c r="L450" s="4"/>
      <c r="M450" s="47" t="s">
        <v>29</v>
      </c>
      <c r="N450" s="16" t="s">
        <v>29</v>
      </c>
      <c r="O450" s="319">
        <v>8</v>
      </c>
      <c r="P450" s="320"/>
      <c r="R450" s="47" t="s">
        <v>29</v>
      </c>
      <c r="S450" s="16" t="s">
        <v>29</v>
      </c>
      <c r="T450" s="319">
        <v>8</v>
      </c>
      <c r="U450" s="320"/>
      <c r="W450" s="47" t="s">
        <v>29</v>
      </c>
      <c r="X450" s="16" t="s">
        <v>29</v>
      </c>
      <c r="Y450" s="319">
        <v>8</v>
      </c>
      <c r="Z450" s="320"/>
      <c r="AA450" s="29">
        <f t="shared" si="76"/>
        <v>40</v>
      </c>
      <c r="AB450" s="298">
        <f t="shared" si="78"/>
        <v>0</v>
      </c>
      <c r="AC450" s="4"/>
      <c r="AD450" s="47" t="s">
        <v>29</v>
      </c>
      <c r="AE450" s="47" t="s">
        <v>29</v>
      </c>
      <c r="AF450" s="19"/>
      <c r="AG450" s="29">
        <f t="shared" si="77"/>
        <v>0</v>
      </c>
    </row>
    <row r="451" spans="2:47" hidden="1">
      <c r="B451" s="166" t="s">
        <v>60</v>
      </c>
      <c r="C451" s="16" t="s">
        <v>29</v>
      </c>
      <c r="D451" s="16" t="s">
        <v>29</v>
      </c>
      <c r="E451" s="319">
        <v>8</v>
      </c>
      <c r="F451" s="320"/>
      <c r="G451" s="4"/>
      <c r="H451" s="16" t="s">
        <v>29</v>
      </c>
      <c r="I451" s="16" t="s">
        <v>29</v>
      </c>
      <c r="J451" s="319">
        <v>8</v>
      </c>
      <c r="K451" s="320"/>
      <c r="L451" s="4"/>
      <c r="M451" s="16" t="s">
        <v>29</v>
      </c>
      <c r="N451" s="16" t="s">
        <v>29</v>
      </c>
      <c r="O451" s="319">
        <v>8</v>
      </c>
      <c r="P451" s="320"/>
      <c r="R451" s="16" t="s">
        <v>29</v>
      </c>
      <c r="S451" s="16" t="s">
        <v>29</v>
      </c>
      <c r="T451" s="319">
        <v>8</v>
      </c>
      <c r="U451" s="320"/>
      <c r="W451" s="16" t="s">
        <v>29</v>
      </c>
      <c r="X451" s="16" t="s">
        <v>29</v>
      </c>
      <c r="Y451" s="319">
        <v>8</v>
      </c>
      <c r="Z451" s="320"/>
      <c r="AA451" s="29">
        <f t="shared" si="76"/>
        <v>40</v>
      </c>
      <c r="AB451" s="298">
        <f t="shared" si="78"/>
        <v>0</v>
      </c>
      <c r="AC451" s="4"/>
      <c r="AD451" s="47" t="s">
        <v>29</v>
      </c>
      <c r="AE451" s="47" t="s">
        <v>29</v>
      </c>
      <c r="AF451" s="19"/>
      <c r="AG451" s="29">
        <f t="shared" si="77"/>
        <v>0</v>
      </c>
    </row>
    <row r="452" spans="2:47" hidden="1">
      <c r="B452" s="63" t="s">
        <v>63</v>
      </c>
      <c r="C452" s="12" t="s">
        <v>29</v>
      </c>
      <c r="D452" s="12" t="s">
        <v>29</v>
      </c>
      <c r="E452" s="319">
        <v>4</v>
      </c>
      <c r="F452" s="320"/>
      <c r="G452" s="438"/>
      <c r="H452" s="12" t="s">
        <v>29</v>
      </c>
      <c r="I452" s="12" t="s">
        <v>29</v>
      </c>
      <c r="J452" s="319">
        <v>4</v>
      </c>
      <c r="K452" s="320"/>
      <c r="L452" s="438"/>
      <c r="M452" s="12" t="s">
        <v>29</v>
      </c>
      <c r="N452" s="12" t="s">
        <v>29</v>
      </c>
      <c r="O452" s="319">
        <v>4</v>
      </c>
      <c r="P452" s="320"/>
      <c r="Q452" s="438"/>
      <c r="R452" s="12" t="s">
        <v>29</v>
      </c>
      <c r="S452" s="12" t="s">
        <v>29</v>
      </c>
      <c r="T452" s="319">
        <v>4</v>
      </c>
      <c r="U452" s="320"/>
      <c r="V452" s="438"/>
      <c r="W452" s="12" t="s">
        <v>29</v>
      </c>
      <c r="X452" s="12" t="s">
        <v>29</v>
      </c>
      <c r="Y452" s="319">
        <v>4</v>
      </c>
      <c r="Z452" s="320"/>
      <c r="AA452" s="29">
        <f t="shared" si="76"/>
        <v>20</v>
      </c>
      <c r="AB452" s="298">
        <f t="shared" si="78"/>
        <v>0</v>
      </c>
      <c r="AC452" s="4"/>
      <c r="AD452" s="47" t="s">
        <v>29</v>
      </c>
      <c r="AE452" s="47" t="s">
        <v>29</v>
      </c>
      <c r="AF452" s="19"/>
      <c r="AG452" s="29">
        <f t="shared" si="77"/>
        <v>0</v>
      </c>
      <c r="AK452" s="407"/>
    </row>
    <row r="453" spans="2:47" hidden="1">
      <c r="B453" s="63" t="s">
        <v>250</v>
      </c>
      <c r="C453" s="12" t="s">
        <v>29</v>
      </c>
      <c r="D453" s="12" t="s">
        <v>29</v>
      </c>
      <c r="E453" s="319"/>
      <c r="F453" s="320"/>
      <c r="G453" s="438"/>
      <c r="H453" s="12" t="s">
        <v>29</v>
      </c>
      <c r="I453" s="12" t="s">
        <v>29</v>
      </c>
      <c r="J453" s="319"/>
      <c r="K453" s="320"/>
      <c r="L453" s="438"/>
      <c r="M453" s="12" t="s">
        <v>29</v>
      </c>
      <c r="N453" s="12" t="s">
        <v>29</v>
      </c>
      <c r="O453" s="319"/>
      <c r="P453" s="320"/>
      <c r="Q453" s="438"/>
      <c r="R453" s="12" t="s">
        <v>29</v>
      </c>
      <c r="S453" s="12" t="s">
        <v>29</v>
      </c>
      <c r="T453" s="319"/>
      <c r="U453" s="320"/>
      <c r="V453" s="438"/>
      <c r="W453" s="12" t="s">
        <v>29</v>
      </c>
      <c r="X453" s="12" t="s">
        <v>29</v>
      </c>
      <c r="Y453" s="319"/>
      <c r="Z453" s="320"/>
      <c r="AA453" s="29">
        <f t="shared" si="76"/>
        <v>0</v>
      </c>
      <c r="AB453" s="298">
        <f t="shared" si="78"/>
        <v>0</v>
      </c>
      <c r="AC453" s="4"/>
      <c r="AD453" s="47" t="s">
        <v>29</v>
      </c>
      <c r="AE453" s="47" t="s">
        <v>29</v>
      </c>
      <c r="AF453" s="19"/>
      <c r="AG453" s="29">
        <f>AF453</f>
        <v>0</v>
      </c>
      <c r="AK453" s="407"/>
    </row>
    <row r="454" spans="2:47" hidden="1">
      <c r="B454" s="64" t="s">
        <v>61</v>
      </c>
      <c r="C454" s="31"/>
      <c r="D454" s="31"/>
      <c r="E454" s="439">
        <f>SUM(E428:E453)</f>
        <v>148</v>
      </c>
      <c r="F454" s="320">
        <f>SUM(F428:F446)</f>
        <v>0</v>
      </c>
      <c r="G454" s="31"/>
      <c r="H454" s="31"/>
      <c r="I454" s="31"/>
      <c r="J454" s="439">
        <f>SUM(J428:J453)</f>
        <v>172</v>
      </c>
      <c r="K454" s="320">
        <f>SUM(K428:K446)</f>
        <v>0</v>
      </c>
      <c r="L454" s="31"/>
      <c r="M454" s="31"/>
      <c r="N454" s="31"/>
      <c r="O454" s="439">
        <f>SUM(O428:O453)</f>
        <v>163.75</v>
      </c>
      <c r="P454" s="320">
        <f>SUM(P428:P451)</f>
        <v>0</v>
      </c>
      <c r="Q454" s="31"/>
      <c r="R454" s="439"/>
      <c r="S454" s="31"/>
      <c r="T454" s="439">
        <f>SUM(T428:T453)</f>
        <v>140</v>
      </c>
      <c r="U454" s="320">
        <f>SUM(U428:U451)</f>
        <v>0</v>
      </c>
      <c r="V454" s="31"/>
      <c r="W454" s="439"/>
      <c r="X454" s="31"/>
      <c r="Y454" s="439">
        <f>SUM(Y428:Y453)</f>
        <v>148</v>
      </c>
      <c r="Z454" s="320">
        <f>SUM(Z428:Z446)</f>
        <v>1</v>
      </c>
      <c r="AA454" s="370">
        <f>SUM(AA428:AA453)</f>
        <v>771.75</v>
      </c>
      <c r="AB454" s="370">
        <f>SUM(AB428:AB453)</f>
        <v>1</v>
      </c>
      <c r="AC454" s="4"/>
      <c r="AD454" s="64"/>
      <c r="AE454" s="64"/>
      <c r="AF454" s="167">
        <f>SUM(AF428:AF453)</f>
        <v>39.75</v>
      </c>
      <c r="AG454" s="370">
        <f>SUM(AG428:AG453)</f>
        <v>39.75</v>
      </c>
    </row>
    <row r="455" spans="2:47" hidden="1">
      <c r="B455" s="63" t="s">
        <v>64</v>
      </c>
      <c r="C455" s="56" t="s">
        <v>29</v>
      </c>
      <c r="D455" s="56" t="s">
        <v>29</v>
      </c>
      <c r="E455" s="19">
        <v>0</v>
      </c>
      <c r="F455" s="291">
        <v>0</v>
      </c>
      <c r="G455" s="60"/>
      <c r="H455" s="56" t="s">
        <v>29</v>
      </c>
      <c r="I455" s="56" t="s">
        <v>29</v>
      </c>
      <c r="J455" s="19">
        <v>0</v>
      </c>
      <c r="K455" s="291">
        <v>0</v>
      </c>
      <c r="L455" s="60"/>
      <c r="M455" s="56" t="s">
        <v>29</v>
      </c>
      <c r="N455" s="56" t="s">
        <v>29</v>
      </c>
      <c r="O455" s="19">
        <v>0</v>
      </c>
      <c r="P455" s="19">
        <v>0</v>
      </c>
      <c r="Q455" s="60"/>
      <c r="R455" s="56" t="s">
        <v>29</v>
      </c>
      <c r="S455" s="56" t="s">
        <v>29</v>
      </c>
      <c r="T455" s="19">
        <v>0</v>
      </c>
      <c r="U455" s="19"/>
      <c r="V455" s="60"/>
      <c r="W455" s="56" t="s">
        <v>29</v>
      </c>
      <c r="X455" s="56" t="s">
        <v>29</v>
      </c>
      <c r="Y455" s="19">
        <v>0</v>
      </c>
      <c r="Z455" s="19"/>
      <c r="AA455" s="28">
        <f>SUM(E455+J455+O455+T455+Y455)</f>
        <v>0</v>
      </c>
      <c r="AB455" s="296">
        <f>Z455+U455+P455+K455+F455</f>
        <v>0</v>
      </c>
      <c r="AC455" s="4"/>
      <c r="AD455" s="56"/>
      <c r="AE455" s="56"/>
      <c r="AF455" s="19"/>
      <c r="AG455" s="29">
        <f>AF455</f>
        <v>0</v>
      </c>
    </row>
    <row r="456" spans="2:47" hidden="1">
      <c r="B456" s="63" t="s">
        <v>110</v>
      </c>
      <c r="C456" s="56" t="s">
        <v>29</v>
      </c>
      <c r="D456" s="56" t="s">
        <v>29</v>
      </c>
      <c r="E456" s="19">
        <v>4</v>
      </c>
      <c r="F456" s="291">
        <v>0</v>
      </c>
      <c r="G456" s="60"/>
      <c r="H456" s="56" t="s">
        <v>29</v>
      </c>
      <c r="I456" s="56" t="s">
        <v>29</v>
      </c>
      <c r="J456" s="19">
        <v>4</v>
      </c>
      <c r="K456" s="291">
        <v>0</v>
      </c>
      <c r="L456" s="60"/>
      <c r="M456" s="56" t="s">
        <v>29</v>
      </c>
      <c r="N456" s="56" t="s">
        <v>29</v>
      </c>
      <c r="O456" s="19">
        <v>4</v>
      </c>
      <c r="P456" s="19">
        <v>0</v>
      </c>
      <c r="Q456" s="60"/>
      <c r="R456" s="56" t="s">
        <v>29</v>
      </c>
      <c r="S456" s="56" t="s">
        <v>29</v>
      </c>
      <c r="T456" s="19">
        <v>4</v>
      </c>
      <c r="U456" s="19">
        <v>0</v>
      </c>
      <c r="V456" s="60"/>
      <c r="W456" s="56" t="s">
        <v>29</v>
      </c>
      <c r="X456" s="56" t="s">
        <v>29</v>
      </c>
      <c r="Y456" s="19">
        <v>4</v>
      </c>
      <c r="Z456" s="19">
        <v>0</v>
      </c>
      <c r="AA456" s="28">
        <f>SUM(E456+J456+O456+T456+Y456)</f>
        <v>20</v>
      </c>
      <c r="AB456" s="296">
        <f>Z456+U456+P456+K456+F456</f>
        <v>0</v>
      </c>
      <c r="AC456" s="4"/>
      <c r="AD456" s="56"/>
      <c r="AE456" s="56"/>
      <c r="AF456" s="19">
        <v>1</v>
      </c>
      <c r="AG456" s="29">
        <f>AF456</f>
        <v>1</v>
      </c>
    </row>
    <row r="457" spans="2:47" hidden="1">
      <c r="B457" s="71" t="s">
        <v>66</v>
      </c>
      <c r="C457" s="371"/>
      <c r="D457" s="371"/>
      <c r="E457" s="71">
        <f t="shared" ref="E457:AB457" si="79">SUM(E455:E456)</f>
        <v>4</v>
      </c>
      <c r="F457" s="71">
        <f t="shared" si="79"/>
        <v>0</v>
      </c>
      <c r="G457" s="71">
        <f t="shared" si="79"/>
        <v>0</v>
      </c>
      <c r="H457" s="71">
        <f t="shared" si="79"/>
        <v>0</v>
      </c>
      <c r="I457" s="71">
        <f t="shared" si="79"/>
        <v>0</v>
      </c>
      <c r="J457" s="71">
        <f t="shared" si="79"/>
        <v>4</v>
      </c>
      <c r="K457" s="71">
        <f t="shared" si="79"/>
        <v>0</v>
      </c>
      <c r="L457" s="71">
        <f t="shared" si="79"/>
        <v>0</v>
      </c>
      <c r="M457" s="71">
        <f t="shared" si="79"/>
        <v>0</v>
      </c>
      <c r="N457" s="71">
        <f t="shared" si="79"/>
        <v>0</v>
      </c>
      <c r="O457" s="71">
        <f t="shared" si="79"/>
        <v>4</v>
      </c>
      <c r="P457" s="71">
        <f t="shared" si="79"/>
        <v>0</v>
      </c>
      <c r="Q457" s="71">
        <f t="shared" si="79"/>
        <v>0</v>
      </c>
      <c r="R457" s="71">
        <f t="shared" si="79"/>
        <v>0</v>
      </c>
      <c r="S457" s="71">
        <f t="shared" si="79"/>
        <v>0</v>
      </c>
      <c r="T457" s="71">
        <f t="shared" si="79"/>
        <v>4</v>
      </c>
      <c r="U457" s="71">
        <f t="shared" si="79"/>
        <v>0</v>
      </c>
      <c r="V457" s="71">
        <f t="shared" si="79"/>
        <v>0</v>
      </c>
      <c r="W457" s="71">
        <f t="shared" si="79"/>
        <v>0</v>
      </c>
      <c r="X457" s="71">
        <f t="shared" si="79"/>
        <v>0</v>
      </c>
      <c r="Y457" s="71">
        <f t="shared" si="79"/>
        <v>4</v>
      </c>
      <c r="Z457" s="71">
        <f t="shared" si="79"/>
        <v>0</v>
      </c>
      <c r="AA457" s="370">
        <f t="shared" si="79"/>
        <v>20</v>
      </c>
      <c r="AB457" s="370">
        <f t="shared" si="79"/>
        <v>0</v>
      </c>
      <c r="AC457" s="4"/>
      <c r="AG457" s="370">
        <f>SUM(AG455:AG456)</f>
        <v>1</v>
      </c>
    </row>
    <row r="458" spans="2:47" hidden="1">
      <c r="B458" s="217" t="s">
        <v>67</v>
      </c>
      <c r="C458" s="207">
        <f>C459+C460</f>
        <v>80</v>
      </c>
      <c r="D458" s="207"/>
      <c r="E458" s="209"/>
      <c r="F458" s="209"/>
      <c r="G458" s="207"/>
      <c r="H458" s="209"/>
      <c r="I458" s="209"/>
      <c r="J458" s="209"/>
      <c r="K458" s="209"/>
      <c r="L458" s="207"/>
      <c r="M458" s="207"/>
      <c r="N458" s="207"/>
      <c r="O458" s="207"/>
      <c r="P458" s="209"/>
      <c r="Q458" s="207"/>
      <c r="R458" s="207"/>
      <c r="S458" s="207"/>
      <c r="T458" s="207"/>
      <c r="U458" s="209"/>
      <c r="V458" s="207"/>
      <c r="W458" s="207"/>
      <c r="X458" s="207"/>
      <c r="Y458" s="210"/>
      <c r="Z458" s="209"/>
      <c r="AA458" s="211"/>
      <c r="AB458" s="209"/>
      <c r="AC458" s="211"/>
      <c r="AD458" s="211"/>
      <c r="AE458" s="211"/>
      <c r="AF458" s="211"/>
      <c r="AG458" s="211"/>
    </row>
    <row r="459" spans="2:47" hidden="1">
      <c r="B459" s="238" t="s">
        <v>68</v>
      </c>
      <c r="C459" s="239">
        <f>12+15+10+11+14+5</f>
        <v>67</v>
      </c>
      <c r="D459" s="207"/>
      <c r="E459" s="209"/>
      <c r="F459" s="209"/>
      <c r="G459" s="207"/>
      <c r="H459" s="209"/>
      <c r="I459" s="209"/>
      <c r="J459" s="209"/>
      <c r="K459" s="209"/>
      <c r="L459" s="207"/>
      <c r="M459" s="207"/>
      <c r="N459" s="207"/>
      <c r="O459" s="207"/>
      <c r="P459" s="209"/>
      <c r="Q459" s="207"/>
      <c r="R459" s="207"/>
      <c r="S459" s="207"/>
      <c r="T459" s="207"/>
      <c r="U459" s="209"/>
      <c r="V459" s="207"/>
      <c r="W459" s="207"/>
      <c r="X459" s="207"/>
      <c r="Y459" s="210"/>
      <c r="Z459" s="209"/>
      <c r="AA459" s="211"/>
      <c r="AB459" s="209"/>
      <c r="AC459" s="211"/>
      <c r="AD459" s="211"/>
      <c r="AE459" s="211"/>
      <c r="AF459" s="211"/>
      <c r="AG459" s="211"/>
    </row>
    <row r="460" spans="2:47" hidden="1">
      <c r="B460" s="238" t="s">
        <v>69</v>
      </c>
      <c r="C460" s="239">
        <f>3+3+2+2+3</f>
        <v>13</v>
      </c>
      <c r="D460" s="207"/>
      <c r="E460" s="209"/>
      <c r="F460" s="209"/>
      <c r="G460" s="207"/>
      <c r="H460" s="209"/>
      <c r="I460" s="209"/>
      <c r="J460" s="209"/>
      <c r="K460" s="209"/>
      <c r="L460" s="207"/>
      <c r="M460" s="207"/>
      <c r="N460" s="207"/>
      <c r="O460" s="207"/>
      <c r="P460" s="209"/>
      <c r="Q460" s="207"/>
      <c r="R460" s="207"/>
      <c r="S460" s="207"/>
      <c r="T460" s="207"/>
      <c r="U460" s="209"/>
      <c r="V460" s="207"/>
      <c r="W460" s="207"/>
      <c r="X460" s="207"/>
      <c r="Y460" s="210"/>
      <c r="Z460" s="209"/>
      <c r="AA460" s="211"/>
      <c r="AB460" s="209"/>
      <c r="AC460" s="211"/>
      <c r="AD460" s="211"/>
      <c r="AE460" s="211"/>
      <c r="AF460" s="211"/>
      <c r="AG460" s="211"/>
    </row>
    <row r="461" spans="2:47" hidden="1"/>
    <row r="462" spans="2:47" hidden="1">
      <c r="B462" s="229"/>
      <c r="C462" s="230"/>
      <c r="D462" s="230"/>
      <c r="E462" s="232"/>
      <c r="F462" s="232"/>
      <c r="G462" s="230"/>
      <c r="H462" s="232"/>
      <c r="I462" s="232"/>
      <c r="J462" s="232"/>
      <c r="K462" s="232"/>
      <c r="L462" s="230"/>
      <c r="M462" s="230"/>
      <c r="N462" s="230"/>
      <c r="O462" s="230"/>
      <c r="P462" s="232"/>
      <c r="Q462" s="230"/>
      <c r="R462" s="230"/>
      <c r="S462" s="230"/>
      <c r="T462" s="230"/>
      <c r="U462" s="232"/>
      <c r="V462" s="230"/>
      <c r="W462" s="230"/>
      <c r="X462" s="230"/>
      <c r="Y462" s="233"/>
      <c r="Z462" s="232"/>
      <c r="AA462" s="234"/>
      <c r="AB462" s="232"/>
      <c r="AC462" s="373"/>
      <c r="AD462" s="236"/>
      <c r="AE462" s="255"/>
      <c r="AF462" s="255"/>
      <c r="AG462" s="255"/>
      <c r="AH462" s="255"/>
      <c r="AJ462" s="255"/>
      <c r="AK462" s="255"/>
      <c r="AL462" s="255"/>
      <c r="AM462" s="255"/>
      <c r="AN462" s="255"/>
      <c r="AO462" s="255"/>
      <c r="AP462" s="255"/>
      <c r="AQ462" s="255"/>
      <c r="AR462" s="255"/>
      <c r="AS462" s="255"/>
      <c r="AT462" s="255"/>
      <c r="AU462" s="255"/>
    </row>
    <row r="463" spans="2:47" hidden="1">
      <c r="B463" s="180"/>
      <c r="E463" s="4"/>
      <c r="F463" s="4"/>
      <c r="G463" s="4"/>
      <c r="J463" s="4"/>
      <c r="K463" s="4"/>
      <c r="L463" s="4"/>
      <c r="O463" s="4"/>
      <c r="P463" s="4"/>
      <c r="T463" s="4"/>
      <c r="U463" s="4"/>
      <c r="Y463" s="4"/>
      <c r="Z463" s="4"/>
      <c r="AA463" s="4"/>
      <c r="AB463" s="4"/>
      <c r="AC463" s="4"/>
      <c r="AK463" s="180"/>
      <c r="AL463" s="180"/>
      <c r="AM463" s="180"/>
      <c r="AN463" s="180"/>
      <c r="AO463" s="180"/>
      <c r="AP463" s="180"/>
    </row>
    <row r="464" spans="2:47" ht="10.7" hidden="1" customHeight="1">
      <c r="B464" s="1518" t="s">
        <v>18</v>
      </c>
      <c r="C464" s="1519">
        <v>45383</v>
      </c>
      <c r="D464" s="1519"/>
      <c r="E464" s="1519"/>
      <c r="F464" s="1519"/>
      <c r="G464" s="365"/>
      <c r="H464" s="1519">
        <v>45384</v>
      </c>
      <c r="I464" s="1519"/>
      <c r="J464" s="1519"/>
      <c r="K464" s="1519"/>
      <c r="L464" s="365">
        <v>45343</v>
      </c>
      <c r="M464" s="1519">
        <v>45385</v>
      </c>
      <c r="N464" s="1519"/>
      <c r="O464" s="1519"/>
      <c r="P464" s="1519"/>
      <c r="Q464" s="365"/>
      <c r="R464" s="1519">
        <v>45386</v>
      </c>
      <c r="S464" s="1519"/>
      <c r="T464" s="1519"/>
      <c r="U464" s="1519"/>
      <c r="V464" s="365"/>
      <c r="W464" s="1519">
        <v>45387</v>
      </c>
      <c r="X464" s="1519"/>
      <c r="Y464" s="1519"/>
      <c r="Z464" s="1519"/>
      <c r="AA464" s="1517" t="s">
        <v>19</v>
      </c>
      <c r="AB464" s="1517" t="s">
        <v>20</v>
      </c>
      <c r="AC464" s="4"/>
      <c r="AD464" s="1519">
        <v>45388</v>
      </c>
      <c r="AE464" s="1519"/>
      <c r="AF464" s="1519"/>
      <c r="AG464" s="1517" t="s">
        <v>21</v>
      </c>
      <c r="AI464" s="368"/>
      <c r="AK464" s="194" t="s">
        <v>84</v>
      </c>
      <c r="AL464" s="366"/>
      <c r="AM464" s="366"/>
      <c r="AN464" s="366"/>
      <c r="AO464" s="366"/>
      <c r="AP464" s="366"/>
    </row>
    <row r="465" spans="2:47" hidden="1">
      <c r="B465" s="1518"/>
      <c r="C465" s="21" t="s">
        <v>23</v>
      </c>
      <c r="D465" s="21" t="s">
        <v>24</v>
      </c>
      <c r="E465" s="205" t="s">
        <v>25</v>
      </c>
      <c r="F465" s="18" t="s">
        <v>14</v>
      </c>
      <c r="G465" s="4"/>
      <c r="H465" s="21" t="s">
        <v>23</v>
      </c>
      <c r="I465" s="21" t="s">
        <v>24</v>
      </c>
      <c r="J465" s="18" t="s">
        <v>25</v>
      </c>
      <c r="K465" s="18" t="s">
        <v>14</v>
      </c>
      <c r="L465" s="4"/>
      <c r="M465" s="21" t="s">
        <v>23</v>
      </c>
      <c r="N465" s="21" t="s">
        <v>24</v>
      </c>
      <c r="O465" s="18" t="s">
        <v>25</v>
      </c>
      <c r="P465" s="18" t="s">
        <v>14</v>
      </c>
      <c r="R465" s="484" t="s">
        <v>23</v>
      </c>
      <c r="S465" s="21" t="s">
        <v>24</v>
      </c>
      <c r="T465" s="18" t="s">
        <v>25</v>
      </c>
      <c r="U465" s="18" t="s">
        <v>14</v>
      </c>
      <c r="W465" s="484" t="s">
        <v>23</v>
      </c>
      <c r="X465" s="21" t="s">
        <v>24</v>
      </c>
      <c r="Y465" s="18" t="s">
        <v>25</v>
      </c>
      <c r="Z465" s="18" t="s">
        <v>14</v>
      </c>
      <c r="AA465" s="1517"/>
      <c r="AB465" s="1517"/>
      <c r="AC465" s="4"/>
      <c r="AD465" s="21" t="s">
        <v>23</v>
      </c>
      <c r="AE465" s="21" t="s">
        <v>24</v>
      </c>
      <c r="AF465" s="18" t="s">
        <v>25</v>
      </c>
      <c r="AG465" s="1517"/>
      <c r="AI465" s="368"/>
      <c r="AJ465" s="367"/>
      <c r="AK465" s="188" t="s">
        <v>26</v>
      </c>
      <c r="AL465" s="471">
        <f>AA492</f>
        <v>641</v>
      </c>
      <c r="AM465" s="510">
        <v>38</v>
      </c>
      <c r="AN465" s="510">
        <f t="shared" ref="AN465:AN471" si="80">AL465*AM465</f>
        <v>24358</v>
      </c>
      <c r="AQ465" s="367"/>
      <c r="AR465" s="367"/>
      <c r="AS465" s="367"/>
      <c r="AT465" s="367"/>
      <c r="AU465" s="367"/>
    </row>
    <row r="466" spans="2:47" hidden="1">
      <c r="B466" s="457" t="s">
        <v>93</v>
      </c>
      <c r="C466" s="47">
        <v>0.36458333333333331</v>
      </c>
      <c r="D466" s="47">
        <v>0.25</v>
      </c>
      <c r="E466" s="319">
        <v>8</v>
      </c>
      <c r="F466" s="320"/>
      <c r="G466" s="4"/>
      <c r="H466" s="47">
        <v>0.36458333333333331</v>
      </c>
      <c r="I466" s="47">
        <v>0.25</v>
      </c>
      <c r="J466" s="319">
        <v>8</v>
      </c>
      <c r="K466" s="320"/>
      <c r="L466" s="4"/>
      <c r="M466" s="47">
        <v>0.36458333333333331</v>
      </c>
      <c r="N466" s="47">
        <v>0.25</v>
      </c>
      <c r="O466" s="319">
        <v>8</v>
      </c>
      <c r="P466" s="320">
        <v>0</v>
      </c>
      <c r="R466" s="47">
        <v>0.35416666666666669</v>
      </c>
      <c r="S466" s="47">
        <v>0.29166666666666669</v>
      </c>
      <c r="T466" s="319">
        <v>8</v>
      </c>
      <c r="U466" s="320">
        <v>1</v>
      </c>
      <c r="W466" s="47">
        <v>0.375</v>
      </c>
      <c r="X466" s="47">
        <v>0.33333333333333331</v>
      </c>
      <c r="Y466" s="319">
        <v>8</v>
      </c>
      <c r="Z466" s="320">
        <v>2</v>
      </c>
      <c r="AA466" s="29">
        <f t="shared" ref="AA466:AA491" si="81">(E466+J466+O466+T466+Y466)</f>
        <v>40</v>
      </c>
      <c r="AB466" s="298">
        <f>Z466+U466+P466+K466+F466</f>
        <v>3</v>
      </c>
      <c r="AC466" s="399"/>
      <c r="AD466" s="47" t="s">
        <v>29</v>
      </c>
      <c r="AE466" s="47" t="s">
        <v>29</v>
      </c>
      <c r="AF466" s="346"/>
      <c r="AG466" s="29">
        <f t="shared" ref="AG466:AG491" si="82">AF466</f>
        <v>0</v>
      </c>
      <c r="AH466" s="175"/>
      <c r="AJ466" s="401"/>
      <c r="AK466" s="188" t="s">
        <v>30</v>
      </c>
      <c r="AL466" s="471">
        <f>AB492</f>
        <v>25.75</v>
      </c>
      <c r="AM466" s="511">
        <v>57</v>
      </c>
      <c r="AN466" s="510">
        <f t="shared" si="80"/>
        <v>1467.75</v>
      </c>
      <c r="AO466" s="405"/>
      <c r="AP466" s="405"/>
      <c r="AQ466" s="401"/>
      <c r="AR466" s="401"/>
      <c r="AS466" s="401"/>
      <c r="AT466" s="401"/>
      <c r="AU466" s="401"/>
    </row>
    <row r="467" spans="2:47" hidden="1">
      <c r="B467" s="461" t="s">
        <v>72</v>
      </c>
      <c r="C467" s="47">
        <v>0.36458333333333331</v>
      </c>
      <c r="D467" s="47">
        <v>0.25</v>
      </c>
      <c r="E467" s="319">
        <v>8</v>
      </c>
      <c r="F467" s="320"/>
      <c r="G467" s="4"/>
      <c r="H467" s="47">
        <v>0.375</v>
      </c>
      <c r="I467" s="47">
        <v>0.3125</v>
      </c>
      <c r="J467" s="319">
        <v>8</v>
      </c>
      <c r="K467" s="320">
        <v>1.5</v>
      </c>
      <c r="L467" s="4"/>
      <c r="M467" s="47">
        <v>0.375</v>
      </c>
      <c r="N467" s="47">
        <v>0.35416666666666669</v>
      </c>
      <c r="O467" s="319">
        <v>8</v>
      </c>
      <c r="P467" s="320">
        <v>2.5</v>
      </c>
      <c r="R467" s="47">
        <v>0.375</v>
      </c>
      <c r="S467" s="47">
        <v>0.25</v>
      </c>
      <c r="T467" s="319">
        <v>8</v>
      </c>
      <c r="U467" s="320"/>
      <c r="W467" s="47">
        <v>0.375</v>
      </c>
      <c r="X467" s="47">
        <v>0.33333333333333331</v>
      </c>
      <c r="Y467" s="319">
        <v>8</v>
      </c>
      <c r="Z467" s="320">
        <v>2</v>
      </c>
      <c r="AA467" s="29">
        <f t="shared" si="81"/>
        <v>40</v>
      </c>
      <c r="AB467" s="298">
        <f>Z467+U467+P467+K467+F467</f>
        <v>6</v>
      </c>
      <c r="AC467" s="175"/>
      <c r="AD467" s="47" t="s">
        <v>29</v>
      </c>
      <c r="AE467" s="47" t="s">
        <v>29</v>
      </c>
      <c r="AF467" s="346"/>
      <c r="AG467" s="344">
        <f t="shared" si="82"/>
        <v>0</v>
      </c>
      <c r="AH467" s="175"/>
      <c r="AI467" s="368"/>
      <c r="AK467" s="188" t="s">
        <v>32</v>
      </c>
      <c r="AL467" s="471">
        <f>AG492</f>
        <v>5.15</v>
      </c>
      <c r="AM467" s="510">
        <v>57</v>
      </c>
      <c r="AN467" s="510">
        <f t="shared" si="80"/>
        <v>293.55</v>
      </c>
    </row>
    <row r="468" spans="2:47" hidden="1">
      <c r="B468" s="164" t="s">
        <v>242</v>
      </c>
      <c r="C468" s="47">
        <v>0.35416666666666669</v>
      </c>
      <c r="D468" s="47">
        <v>0.25</v>
      </c>
      <c r="E468" s="319">
        <v>8</v>
      </c>
      <c r="F468" s="320"/>
      <c r="G468" s="4"/>
      <c r="H468" s="47">
        <v>0.36458333333333331</v>
      </c>
      <c r="I468" s="47">
        <v>0.25</v>
      </c>
      <c r="J468" s="319">
        <v>8</v>
      </c>
      <c r="K468" s="320"/>
      <c r="L468" s="4"/>
      <c r="M468" s="47">
        <v>0.36458333333333331</v>
      </c>
      <c r="N468" s="47">
        <v>0.25</v>
      </c>
      <c r="O468" s="319">
        <v>8</v>
      </c>
      <c r="P468" s="320"/>
      <c r="R468" s="47">
        <v>0.36458333333333331</v>
      </c>
      <c r="S468" s="47">
        <v>0.29166666666666669</v>
      </c>
      <c r="T468" s="319">
        <v>8</v>
      </c>
      <c r="U468" s="320">
        <v>1</v>
      </c>
      <c r="W468" s="47">
        <v>0.375</v>
      </c>
      <c r="X468" s="47">
        <v>0.25</v>
      </c>
      <c r="Y468" s="319">
        <v>8</v>
      </c>
      <c r="Z468" s="320"/>
      <c r="AA468" s="29">
        <f t="shared" si="81"/>
        <v>40</v>
      </c>
      <c r="AB468" s="298">
        <f>Z468+U468+P468+K468+F468</f>
        <v>1</v>
      </c>
      <c r="AC468" s="4"/>
      <c r="AD468" s="47" t="s">
        <v>29</v>
      </c>
      <c r="AE468" s="47" t="s">
        <v>29</v>
      </c>
      <c r="AF468" s="346"/>
      <c r="AG468" s="29">
        <f t="shared" si="82"/>
        <v>0</v>
      </c>
      <c r="AJ468" s="367"/>
      <c r="AK468" s="403" t="s">
        <v>213</v>
      </c>
      <c r="AL468" s="471">
        <f>AA495</f>
        <v>25</v>
      </c>
      <c r="AM468" s="510">
        <v>50</v>
      </c>
      <c r="AN468" s="510">
        <f t="shared" si="80"/>
        <v>1250</v>
      </c>
      <c r="AQ468" s="367"/>
      <c r="AR468" s="367"/>
      <c r="AS468" s="367"/>
      <c r="AT468" s="367"/>
      <c r="AU468" s="367"/>
    </row>
    <row r="469" spans="2:47" hidden="1">
      <c r="B469" s="458" t="s">
        <v>243</v>
      </c>
      <c r="C469" s="47">
        <v>0.375</v>
      </c>
      <c r="D469" s="47">
        <v>0.25</v>
      </c>
      <c r="E469" s="319">
        <v>8</v>
      </c>
      <c r="F469" s="320"/>
      <c r="G469" s="4"/>
      <c r="H469" s="47">
        <v>0.375</v>
      </c>
      <c r="I469" s="47">
        <v>0.25</v>
      </c>
      <c r="J469" s="319">
        <v>8</v>
      </c>
      <c r="K469" s="320"/>
      <c r="L469" s="4"/>
      <c r="M469" s="47">
        <v>0.375</v>
      </c>
      <c r="N469" s="47">
        <v>0.25</v>
      </c>
      <c r="O469" s="319">
        <v>8</v>
      </c>
      <c r="P469" s="320"/>
      <c r="R469" s="47">
        <v>0.36458333333333331</v>
      </c>
      <c r="S469" s="47">
        <v>0.25</v>
      </c>
      <c r="T469" s="319">
        <v>8</v>
      </c>
      <c r="U469" s="320"/>
      <c r="W469" s="47">
        <v>0.375</v>
      </c>
      <c r="X469" s="47">
        <v>0.25</v>
      </c>
      <c r="Y469" s="319">
        <v>8</v>
      </c>
      <c r="Z469" s="320"/>
      <c r="AA469" s="29">
        <f t="shared" si="81"/>
        <v>40</v>
      </c>
      <c r="AB469" s="298">
        <f>Z469+U469+P469+K469+F469</f>
        <v>0</v>
      </c>
      <c r="AC469" s="4"/>
      <c r="AD469" s="47" t="s">
        <v>29</v>
      </c>
      <c r="AE469" s="47" t="s">
        <v>29</v>
      </c>
      <c r="AF469" s="346"/>
      <c r="AG469" s="29">
        <f t="shared" si="82"/>
        <v>0</v>
      </c>
      <c r="AK469" s="188" t="s">
        <v>36</v>
      </c>
      <c r="AL469" s="471">
        <f>AB495</f>
        <v>0</v>
      </c>
      <c r="AM469" s="510">
        <v>75</v>
      </c>
      <c r="AN469" s="510">
        <f t="shared" si="80"/>
        <v>0</v>
      </c>
    </row>
    <row r="470" spans="2:47" hidden="1">
      <c r="B470" s="457" t="s">
        <v>91</v>
      </c>
      <c r="C470" s="47">
        <v>0</v>
      </c>
      <c r="D470" s="47">
        <v>0</v>
      </c>
      <c r="E470" s="319">
        <v>0</v>
      </c>
      <c r="F470" s="320"/>
      <c r="G470" s="4"/>
      <c r="H470" s="47">
        <v>0</v>
      </c>
      <c r="I470" s="47">
        <v>0</v>
      </c>
      <c r="J470" s="319">
        <v>0</v>
      </c>
      <c r="K470" s="320"/>
      <c r="L470" s="4"/>
      <c r="M470" s="47">
        <v>0</v>
      </c>
      <c r="N470" s="47">
        <v>0</v>
      </c>
      <c r="O470" s="319">
        <v>0</v>
      </c>
      <c r="P470" s="320"/>
      <c r="R470" s="47">
        <v>0.375</v>
      </c>
      <c r="S470" s="47">
        <v>0.25</v>
      </c>
      <c r="T470" s="319">
        <v>8</v>
      </c>
      <c r="U470" s="320"/>
      <c r="W470" s="47">
        <v>0.375</v>
      </c>
      <c r="X470" s="47">
        <v>0.25</v>
      </c>
      <c r="Y470" s="319">
        <v>8</v>
      </c>
      <c r="Z470" s="320"/>
      <c r="AA470" s="29">
        <f t="shared" si="81"/>
        <v>16</v>
      </c>
      <c r="AB470" s="298">
        <f>Z470+U470+P470+K470+F469</f>
        <v>0</v>
      </c>
      <c r="AC470" s="4"/>
      <c r="AD470" s="47" t="s">
        <v>29</v>
      </c>
      <c r="AE470" s="47" t="s">
        <v>29</v>
      </c>
      <c r="AF470" s="346"/>
      <c r="AG470" s="29">
        <f t="shared" si="82"/>
        <v>0</v>
      </c>
      <c r="AK470" s="188" t="s">
        <v>38</v>
      </c>
      <c r="AL470" s="471">
        <f>AG495</f>
        <v>0</v>
      </c>
      <c r="AM470" s="510">
        <v>75</v>
      </c>
      <c r="AN470" s="510">
        <f t="shared" si="80"/>
        <v>0</v>
      </c>
    </row>
    <row r="471" spans="2:47" ht="14.25" hidden="1" thickBot="1">
      <c r="B471" s="457" t="s">
        <v>46</v>
      </c>
      <c r="C471" s="441" t="s">
        <v>75</v>
      </c>
      <c r="D471" s="47">
        <v>0.25</v>
      </c>
      <c r="E471" s="319">
        <v>8</v>
      </c>
      <c r="F471" s="320"/>
      <c r="G471" s="4"/>
      <c r="H471" s="47">
        <v>0.375</v>
      </c>
      <c r="I471" s="47">
        <v>0.3125</v>
      </c>
      <c r="J471" s="319">
        <v>8</v>
      </c>
      <c r="K471" s="320">
        <v>1.5</v>
      </c>
      <c r="L471" s="4"/>
      <c r="M471" s="47">
        <v>0.36458333333333331</v>
      </c>
      <c r="N471" s="47">
        <v>0.35416666666666669</v>
      </c>
      <c r="O471" s="319">
        <v>8</v>
      </c>
      <c r="P471" s="320">
        <v>2.5</v>
      </c>
      <c r="R471" s="47">
        <v>0.375</v>
      </c>
      <c r="S471" s="47">
        <v>0.29166666666666669</v>
      </c>
      <c r="T471" s="319">
        <v>8</v>
      </c>
      <c r="U471" s="320">
        <v>1</v>
      </c>
      <c r="W471" s="47">
        <v>0.375</v>
      </c>
      <c r="X471" s="47">
        <v>0.25</v>
      </c>
      <c r="Y471" s="319">
        <v>8</v>
      </c>
      <c r="Z471" s="320"/>
      <c r="AA471" s="29">
        <f t="shared" si="81"/>
        <v>40</v>
      </c>
      <c r="AB471" s="298">
        <f>Z471+U471+P471+K471+F470</f>
        <v>5</v>
      </c>
      <c r="AC471" s="4"/>
      <c r="AD471" s="47" t="s">
        <v>29</v>
      </c>
      <c r="AE471" s="47" t="s">
        <v>29</v>
      </c>
      <c r="AF471" s="346"/>
      <c r="AG471" s="29">
        <f t="shared" si="82"/>
        <v>0</v>
      </c>
      <c r="AK471" s="188" t="s">
        <v>41</v>
      </c>
      <c r="AL471" s="471">
        <f>C496</f>
        <v>65</v>
      </c>
      <c r="AM471" s="512">
        <v>45</v>
      </c>
      <c r="AN471" s="512">
        <f t="shared" si="80"/>
        <v>2925</v>
      </c>
    </row>
    <row r="472" spans="2:47" ht="14.25" hidden="1" thickTop="1">
      <c r="B472" s="457" t="s">
        <v>43</v>
      </c>
      <c r="C472" s="441" t="s">
        <v>76</v>
      </c>
      <c r="D472" s="47">
        <v>0.25</v>
      </c>
      <c r="E472" s="319">
        <v>8</v>
      </c>
      <c r="F472" s="320"/>
      <c r="G472" s="4"/>
      <c r="H472" s="47">
        <v>0.375</v>
      </c>
      <c r="I472" s="47">
        <v>0.3125</v>
      </c>
      <c r="J472" s="319">
        <v>8</v>
      </c>
      <c r="K472" s="320">
        <v>1.5</v>
      </c>
      <c r="L472" s="4"/>
      <c r="M472" s="47">
        <v>0.375</v>
      </c>
      <c r="N472" s="47">
        <v>0.35416666666666669</v>
      </c>
      <c r="O472" s="319">
        <v>8</v>
      </c>
      <c r="P472" s="320">
        <v>2.5</v>
      </c>
      <c r="R472" s="47">
        <v>0.35416666666666669</v>
      </c>
      <c r="S472" s="47">
        <v>0.79166666666666663</v>
      </c>
      <c r="T472" s="319">
        <v>8</v>
      </c>
      <c r="U472" s="320">
        <v>1</v>
      </c>
      <c r="X472" s="47">
        <v>0.25</v>
      </c>
      <c r="Y472" s="319">
        <v>8</v>
      </c>
      <c r="Z472" s="320"/>
      <c r="AA472" s="29">
        <f t="shared" si="81"/>
        <v>40</v>
      </c>
      <c r="AB472" s="298">
        <f>Z472+U472+P472+K472+F471</f>
        <v>5</v>
      </c>
      <c r="AC472" s="4"/>
      <c r="AD472" s="47" t="s">
        <v>29</v>
      </c>
      <c r="AE472" s="47" t="s">
        <v>29</v>
      </c>
      <c r="AF472" s="346"/>
      <c r="AG472" s="29">
        <f t="shared" si="82"/>
        <v>0</v>
      </c>
      <c r="AN472" s="510">
        <f>SUM(AN465:AN471)</f>
        <v>30294.3</v>
      </c>
    </row>
    <row r="473" spans="2:47" hidden="1">
      <c r="B473" s="461" t="s">
        <v>113</v>
      </c>
      <c r="C473" s="441" t="s">
        <v>212</v>
      </c>
      <c r="D473" s="47">
        <v>0.25</v>
      </c>
      <c r="E473" s="319">
        <v>7.75</v>
      </c>
      <c r="F473" s="320"/>
      <c r="G473" s="4"/>
      <c r="H473" s="47">
        <v>0.38541666666666669</v>
      </c>
      <c r="I473" s="47">
        <v>0.25</v>
      </c>
      <c r="J473" s="319">
        <v>7.75</v>
      </c>
      <c r="K473" s="320"/>
      <c r="L473" s="4"/>
      <c r="M473" s="47">
        <v>0</v>
      </c>
      <c r="N473" s="47">
        <v>0</v>
      </c>
      <c r="O473" s="319">
        <v>0</v>
      </c>
      <c r="P473" s="320"/>
      <c r="R473" s="47">
        <v>0.38541666666666669</v>
      </c>
      <c r="S473" s="47">
        <v>0.25</v>
      </c>
      <c r="T473" s="319">
        <v>7.75</v>
      </c>
      <c r="U473" s="320"/>
      <c r="W473" s="47">
        <v>0.375</v>
      </c>
      <c r="X473" s="47">
        <v>0.25</v>
      </c>
      <c r="Y473" s="319">
        <v>8</v>
      </c>
      <c r="Z473" s="320"/>
      <c r="AA473" s="29">
        <f t="shared" si="81"/>
        <v>31.25</v>
      </c>
      <c r="AB473" s="298">
        <f>Z473+U473+P473+K473+F472</f>
        <v>0</v>
      </c>
      <c r="AC473" s="4"/>
      <c r="AD473" s="47" t="s">
        <v>29</v>
      </c>
      <c r="AE473" s="47" t="s">
        <v>29</v>
      </c>
      <c r="AF473" s="346"/>
      <c r="AG473" s="29">
        <f t="shared" si="82"/>
        <v>0</v>
      </c>
    </row>
    <row r="474" spans="2:47" hidden="1">
      <c r="B474" s="457" t="s">
        <v>44</v>
      </c>
      <c r="C474" s="441" t="s">
        <v>74</v>
      </c>
      <c r="D474" s="47">
        <v>0.25</v>
      </c>
      <c r="E474" s="319">
        <v>8</v>
      </c>
      <c r="F474" s="320"/>
      <c r="G474" s="4"/>
      <c r="H474" s="47">
        <v>0.375</v>
      </c>
      <c r="I474" s="47">
        <v>0.3125</v>
      </c>
      <c r="J474" s="319">
        <v>8</v>
      </c>
      <c r="K474" s="320">
        <v>1.5</v>
      </c>
      <c r="L474" s="4"/>
      <c r="M474" s="47">
        <v>0.375</v>
      </c>
      <c r="N474" s="47">
        <v>0.35416666666666669</v>
      </c>
      <c r="O474" s="319">
        <v>8</v>
      </c>
      <c r="P474" s="320">
        <v>2.5</v>
      </c>
      <c r="R474" s="47">
        <v>0.38541666666666669</v>
      </c>
      <c r="S474" s="47">
        <v>0.29166666666666669</v>
      </c>
      <c r="T474" s="319">
        <v>8</v>
      </c>
      <c r="U474" s="320">
        <v>0.75</v>
      </c>
      <c r="W474" s="47">
        <v>0.375</v>
      </c>
      <c r="X474" s="47">
        <v>0.25</v>
      </c>
      <c r="Y474" s="319">
        <v>8</v>
      </c>
      <c r="Z474" s="320"/>
      <c r="AA474" s="29">
        <f t="shared" si="81"/>
        <v>40</v>
      </c>
      <c r="AB474" s="298">
        <f t="shared" ref="AB474:AB491" si="83">Z474+U474+P474+K474+F474</f>
        <v>4.75</v>
      </c>
      <c r="AC474" s="4"/>
      <c r="AD474" s="47" t="s">
        <v>29</v>
      </c>
      <c r="AE474" s="47" t="s">
        <v>29</v>
      </c>
      <c r="AF474" s="346"/>
      <c r="AG474" s="29">
        <f t="shared" si="82"/>
        <v>0</v>
      </c>
    </row>
    <row r="475" spans="2:47" hidden="1">
      <c r="B475" s="457" t="s">
        <v>45</v>
      </c>
      <c r="C475" s="441" t="s">
        <v>154</v>
      </c>
      <c r="D475" s="47">
        <v>0</v>
      </c>
      <c r="E475" s="319">
        <v>0</v>
      </c>
      <c r="F475" s="320"/>
      <c r="G475" s="4"/>
      <c r="H475" s="47">
        <v>0.38541666666666669</v>
      </c>
      <c r="I475" s="47">
        <v>0.25</v>
      </c>
      <c r="J475" s="319">
        <v>7.75</v>
      </c>
      <c r="K475" s="320"/>
      <c r="L475" s="4"/>
      <c r="M475" s="47">
        <v>0</v>
      </c>
      <c r="N475" s="47">
        <v>0</v>
      </c>
      <c r="O475" s="319">
        <v>0</v>
      </c>
      <c r="P475" s="320"/>
      <c r="R475" s="47">
        <v>0.41666666666666669</v>
      </c>
      <c r="S475" s="47">
        <v>0.25</v>
      </c>
      <c r="T475" s="319">
        <v>7</v>
      </c>
      <c r="U475" s="320"/>
      <c r="W475" s="47">
        <v>0.41666666666666669</v>
      </c>
      <c r="X475" s="47">
        <v>0.25</v>
      </c>
      <c r="Y475" s="319">
        <v>7</v>
      </c>
      <c r="Z475" s="320"/>
      <c r="AA475" s="29">
        <f t="shared" si="81"/>
        <v>21.75</v>
      </c>
      <c r="AB475" s="298">
        <f t="shared" si="83"/>
        <v>0</v>
      </c>
      <c r="AC475" s="4"/>
      <c r="AD475" s="47" t="s">
        <v>29</v>
      </c>
      <c r="AE475" s="47" t="s">
        <v>29</v>
      </c>
      <c r="AF475" s="346"/>
      <c r="AG475" s="29">
        <f t="shared" si="82"/>
        <v>0</v>
      </c>
    </row>
    <row r="476" spans="2:47" hidden="1">
      <c r="B476" s="458" t="s">
        <v>244</v>
      </c>
      <c r="C476" s="441" t="s">
        <v>74</v>
      </c>
      <c r="D476" s="47">
        <v>0.25</v>
      </c>
      <c r="E476" s="319">
        <v>8</v>
      </c>
      <c r="F476" s="320"/>
      <c r="G476" s="4"/>
      <c r="H476" s="47">
        <v>0.375</v>
      </c>
      <c r="I476" s="47">
        <v>0.25</v>
      </c>
      <c r="J476" s="319">
        <v>8</v>
      </c>
      <c r="K476" s="320"/>
      <c r="L476" s="4"/>
      <c r="M476" s="47">
        <v>0.36458333333333331</v>
      </c>
      <c r="N476" s="47">
        <v>0.25</v>
      </c>
      <c r="O476" s="319">
        <v>8</v>
      </c>
      <c r="P476" s="320"/>
      <c r="R476" s="47">
        <v>0.375</v>
      </c>
      <c r="S476" s="47">
        <v>0.25</v>
      </c>
      <c r="T476" s="319">
        <v>8</v>
      </c>
      <c r="U476" s="320"/>
      <c r="W476" s="47">
        <v>0.375</v>
      </c>
      <c r="X476" s="47">
        <v>0.25</v>
      </c>
      <c r="Y476" s="319">
        <v>8</v>
      </c>
      <c r="Z476" s="320"/>
      <c r="AA476" s="29">
        <f t="shared" si="81"/>
        <v>40</v>
      </c>
      <c r="AB476" s="298">
        <f t="shared" si="83"/>
        <v>0</v>
      </c>
      <c r="AC476" s="4"/>
      <c r="AD476" s="47" t="s">
        <v>29</v>
      </c>
      <c r="AE476" s="47" t="s">
        <v>29</v>
      </c>
      <c r="AF476" s="19"/>
      <c r="AG476" s="29">
        <f t="shared" si="82"/>
        <v>0</v>
      </c>
    </row>
    <row r="477" spans="2:47" hidden="1">
      <c r="B477" s="457" t="s">
        <v>112</v>
      </c>
      <c r="C477" s="441" t="s">
        <v>75</v>
      </c>
      <c r="D477" s="47">
        <v>0.25</v>
      </c>
      <c r="E477" s="319">
        <v>8</v>
      </c>
      <c r="F477" s="320"/>
      <c r="G477" s="4"/>
      <c r="H477" s="441" t="s">
        <v>75</v>
      </c>
      <c r="I477" s="47">
        <v>0.25</v>
      </c>
      <c r="J477" s="319">
        <v>8</v>
      </c>
      <c r="K477" s="320"/>
      <c r="L477" s="4"/>
      <c r="M477" s="47">
        <v>0.375</v>
      </c>
      <c r="N477" s="47">
        <v>0.25</v>
      </c>
      <c r="O477" s="319">
        <v>8</v>
      </c>
      <c r="P477" s="320"/>
      <c r="R477" s="441" t="s">
        <v>75</v>
      </c>
      <c r="S477" s="47">
        <v>0.25</v>
      </c>
      <c r="T477" s="319">
        <v>8</v>
      </c>
      <c r="U477" s="320"/>
      <c r="W477" s="441" t="s">
        <v>75</v>
      </c>
      <c r="X477" s="47">
        <v>0.25</v>
      </c>
      <c r="Y477" s="319">
        <v>8</v>
      </c>
      <c r="Z477" s="320"/>
      <c r="AA477" s="29">
        <f t="shared" si="81"/>
        <v>40</v>
      </c>
      <c r="AB477" s="298">
        <f t="shared" si="83"/>
        <v>0</v>
      </c>
      <c r="AC477" s="4"/>
      <c r="AD477" s="47" t="s">
        <v>29</v>
      </c>
      <c r="AE477" s="47" t="s">
        <v>29</v>
      </c>
      <c r="AF477" s="19"/>
      <c r="AG477" s="29">
        <f t="shared" si="82"/>
        <v>0</v>
      </c>
    </row>
    <row r="478" spans="2:47" hidden="1">
      <c r="B478" s="164" t="s">
        <v>39</v>
      </c>
      <c r="C478" s="441" t="s">
        <v>75</v>
      </c>
      <c r="D478" s="47">
        <v>0.25</v>
      </c>
      <c r="E478" s="319">
        <v>8</v>
      </c>
      <c r="F478" s="320"/>
      <c r="G478" s="4"/>
      <c r="H478" s="441" t="s">
        <v>75</v>
      </c>
      <c r="I478" s="47">
        <v>0.25</v>
      </c>
      <c r="J478" s="319">
        <v>8</v>
      </c>
      <c r="K478" s="320"/>
      <c r="L478" s="4"/>
      <c r="M478" s="47">
        <v>0.375</v>
      </c>
      <c r="N478" s="47">
        <v>0.25</v>
      </c>
      <c r="O478" s="319">
        <v>8</v>
      </c>
      <c r="P478" s="320"/>
      <c r="R478" s="441" t="s">
        <v>75</v>
      </c>
      <c r="S478" s="47">
        <v>0.25</v>
      </c>
      <c r="T478" s="319">
        <v>8</v>
      </c>
      <c r="U478" s="320"/>
      <c r="W478" s="441" t="s">
        <v>75</v>
      </c>
      <c r="X478" s="47">
        <v>0.25</v>
      </c>
      <c r="Y478" s="319">
        <v>8</v>
      </c>
      <c r="Z478" s="320"/>
      <c r="AA478" s="29">
        <f t="shared" si="81"/>
        <v>40</v>
      </c>
      <c r="AB478" s="298">
        <f t="shared" si="83"/>
        <v>0</v>
      </c>
      <c r="AC478" s="4"/>
      <c r="AD478" s="47" t="s">
        <v>29</v>
      </c>
      <c r="AE478" s="47" t="s">
        <v>29</v>
      </c>
      <c r="AF478" s="19"/>
      <c r="AG478" s="29">
        <f t="shared" si="82"/>
        <v>0</v>
      </c>
    </row>
    <row r="479" spans="2:47" hidden="1">
      <c r="B479" s="164" t="s">
        <v>241</v>
      </c>
      <c r="C479" s="441" t="s">
        <v>76</v>
      </c>
      <c r="D479" s="47">
        <v>0.25</v>
      </c>
      <c r="E479" s="319">
        <v>8</v>
      </c>
      <c r="F479" s="320"/>
      <c r="G479" s="4"/>
      <c r="H479" s="47">
        <v>0.35416666666666669</v>
      </c>
      <c r="I479" s="47">
        <v>0.25</v>
      </c>
      <c r="J479" s="319">
        <v>8</v>
      </c>
      <c r="K479" s="320"/>
      <c r="L479" s="4"/>
      <c r="M479" s="47">
        <v>0.35416666666666669</v>
      </c>
      <c r="N479" s="47">
        <v>0.25</v>
      </c>
      <c r="O479" s="319">
        <v>8</v>
      </c>
      <c r="P479" s="320"/>
      <c r="R479" s="47">
        <v>0.35416666666666669</v>
      </c>
      <c r="S479" s="47">
        <v>0.29166666666666669</v>
      </c>
      <c r="T479" s="319">
        <v>8</v>
      </c>
      <c r="U479" s="320">
        <v>1</v>
      </c>
      <c r="W479" s="47">
        <v>0.375</v>
      </c>
      <c r="X479" s="47">
        <v>0.25</v>
      </c>
      <c r="Y479" s="319">
        <v>8</v>
      </c>
      <c r="Z479" s="320"/>
      <c r="AA479" s="29">
        <f t="shared" si="81"/>
        <v>40</v>
      </c>
      <c r="AB479" s="298">
        <f t="shared" si="83"/>
        <v>1</v>
      </c>
      <c r="AC479" s="4"/>
      <c r="AD479" s="47" t="s">
        <v>29</v>
      </c>
      <c r="AE479" s="47" t="s">
        <v>29</v>
      </c>
      <c r="AF479" s="19"/>
      <c r="AG479" s="29">
        <f t="shared" si="82"/>
        <v>0</v>
      </c>
    </row>
    <row r="480" spans="2:47" hidden="1">
      <c r="B480" s="462" t="s">
        <v>53</v>
      </c>
      <c r="C480" s="441" t="s">
        <v>251</v>
      </c>
      <c r="D480" s="47"/>
      <c r="E480" s="319"/>
      <c r="F480" s="320"/>
      <c r="G480" s="4"/>
      <c r="H480" s="441" t="s">
        <v>251</v>
      </c>
      <c r="I480" s="47"/>
      <c r="J480" s="319"/>
      <c r="K480" s="320"/>
      <c r="L480" s="4"/>
      <c r="M480" s="441" t="s">
        <v>251</v>
      </c>
      <c r="N480" s="47"/>
      <c r="O480" s="319"/>
      <c r="P480" s="320"/>
      <c r="R480" s="441" t="s">
        <v>251</v>
      </c>
      <c r="S480" s="47"/>
      <c r="T480" s="319"/>
      <c r="U480" s="320"/>
      <c r="W480" s="441" t="s">
        <v>251</v>
      </c>
      <c r="X480" s="47"/>
      <c r="Y480" s="319"/>
      <c r="Z480" s="320"/>
      <c r="AA480" s="29">
        <f t="shared" si="81"/>
        <v>0</v>
      </c>
      <c r="AB480" s="298">
        <f t="shared" si="83"/>
        <v>0</v>
      </c>
      <c r="AC480" s="4"/>
      <c r="AD480" s="47" t="s">
        <v>29</v>
      </c>
      <c r="AE480" s="47" t="s">
        <v>29</v>
      </c>
      <c r="AF480" s="19"/>
      <c r="AG480" s="29">
        <f t="shared" si="82"/>
        <v>0</v>
      </c>
    </row>
    <row r="481" spans="2:37" hidden="1">
      <c r="B481" s="462" t="s">
        <v>234</v>
      </c>
      <c r="C481" s="441" t="s">
        <v>251</v>
      </c>
      <c r="D481" s="47"/>
      <c r="E481" s="319"/>
      <c r="F481" s="320"/>
      <c r="G481" s="4"/>
      <c r="H481" s="441" t="s">
        <v>251</v>
      </c>
      <c r="I481" s="47"/>
      <c r="J481" s="319"/>
      <c r="K481" s="320"/>
      <c r="L481" s="4"/>
      <c r="M481" s="441" t="s">
        <v>251</v>
      </c>
      <c r="N481" s="47"/>
      <c r="O481" s="319"/>
      <c r="P481" s="320"/>
      <c r="R481" s="441" t="s">
        <v>251</v>
      </c>
      <c r="S481" s="47"/>
      <c r="T481" s="319"/>
      <c r="U481" s="320"/>
      <c r="W481" s="441" t="s">
        <v>251</v>
      </c>
      <c r="X481" s="47"/>
      <c r="Y481" s="319"/>
      <c r="Z481" s="320"/>
      <c r="AA481" s="29">
        <f t="shared" si="81"/>
        <v>0</v>
      </c>
      <c r="AB481" s="298">
        <f t="shared" ref="AB481" si="84">Z481+U481+P481+K481+F481</f>
        <v>0</v>
      </c>
      <c r="AC481" s="4"/>
      <c r="AD481" s="47"/>
      <c r="AE481" s="47"/>
      <c r="AF481" s="19"/>
      <c r="AG481" s="29">
        <f t="shared" si="82"/>
        <v>0</v>
      </c>
    </row>
    <row r="482" spans="2:37" hidden="1">
      <c r="B482" s="462" t="s">
        <v>96</v>
      </c>
      <c r="C482" s="441" t="s">
        <v>251</v>
      </c>
      <c r="D482" s="47"/>
      <c r="E482" s="319"/>
      <c r="F482" s="320"/>
      <c r="G482" s="4"/>
      <c r="H482" s="441" t="s">
        <v>251</v>
      </c>
      <c r="I482" s="47"/>
      <c r="J482" s="319"/>
      <c r="K482" s="320"/>
      <c r="L482" s="4"/>
      <c r="M482" s="441" t="s">
        <v>251</v>
      </c>
      <c r="N482" s="47"/>
      <c r="O482" s="319"/>
      <c r="P482" s="320"/>
      <c r="R482" s="441" t="s">
        <v>251</v>
      </c>
      <c r="S482" s="47"/>
      <c r="T482" s="319"/>
      <c r="U482" s="320"/>
      <c r="W482" s="441" t="s">
        <v>251</v>
      </c>
      <c r="X482" s="47"/>
      <c r="Y482" s="319"/>
      <c r="Z482" s="320"/>
      <c r="AA482" s="29">
        <f t="shared" si="81"/>
        <v>0</v>
      </c>
      <c r="AB482" s="298">
        <f t="shared" si="83"/>
        <v>0</v>
      </c>
      <c r="AC482" s="4"/>
      <c r="AD482" s="47" t="s">
        <v>29</v>
      </c>
      <c r="AE482" s="47" t="s">
        <v>29</v>
      </c>
      <c r="AF482" s="19">
        <v>5.15</v>
      </c>
      <c r="AG482" s="29">
        <f t="shared" si="82"/>
        <v>5.15</v>
      </c>
    </row>
    <row r="483" spans="2:37" hidden="1">
      <c r="B483" s="462" t="s">
        <v>42</v>
      </c>
      <c r="C483" s="441" t="s">
        <v>251</v>
      </c>
      <c r="D483" s="47"/>
      <c r="E483" s="319"/>
      <c r="F483" s="320"/>
      <c r="G483" s="4"/>
      <c r="H483" s="441" t="s">
        <v>251</v>
      </c>
      <c r="I483" s="47"/>
      <c r="J483" s="319"/>
      <c r="K483" s="320"/>
      <c r="L483" s="4"/>
      <c r="M483" s="441" t="s">
        <v>251</v>
      </c>
      <c r="N483" s="47"/>
      <c r="O483" s="319"/>
      <c r="P483" s="320"/>
      <c r="R483" s="441" t="s">
        <v>251</v>
      </c>
      <c r="S483" s="47"/>
      <c r="T483" s="319"/>
      <c r="U483" s="320"/>
      <c r="W483" s="441" t="s">
        <v>251</v>
      </c>
      <c r="X483" s="47"/>
      <c r="Y483" s="319"/>
      <c r="Z483" s="320"/>
      <c r="AA483" s="29">
        <f t="shared" si="81"/>
        <v>0</v>
      </c>
      <c r="AB483" s="298">
        <f t="shared" si="83"/>
        <v>0</v>
      </c>
      <c r="AC483" s="4"/>
      <c r="AD483" s="47" t="s">
        <v>29</v>
      </c>
      <c r="AE483" s="47" t="s">
        <v>29</v>
      </c>
      <c r="AF483" s="19"/>
      <c r="AG483" s="29">
        <f t="shared" si="82"/>
        <v>0</v>
      </c>
    </row>
    <row r="484" spans="2:37" hidden="1">
      <c r="B484" s="457"/>
      <c r="C484" s="441"/>
      <c r="D484" s="47"/>
      <c r="E484" s="319"/>
      <c r="F484" s="320"/>
      <c r="G484" s="4"/>
      <c r="H484" s="47"/>
      <c r="I484" s="47"/>
      <c r="J484" s="319"/>
      <c r="K484" s="320"/>
      <c r="L484" s="4"/>
      <c r="M484" s="47"/>
      <c r="N484" s="47"/>
      <c r="O484" s="319"/>
      <c r="P484" s="320"/>
      <c r="R484" s="47"/>
      <c r="S484" s="47"/>
      <c r="T484" s="319"/>
      <c r="U484" s="320"/>
      <c r="W484" s="47"/>
      <c r="X484" s="47"/>
      <c r="Y484" s="319"/>
      <c r="Z484" s="320"/>
      <c r="AA484" s="29">
        <f t="shared" si="81"/>
        <v>0</v>
      </c>
      <c r="AB484" s="298">
        <f t="shared" si="83"/>
        <v>0</v>
      </c>
      <c r="AC484" s="4"/>
      <c r="AD484" s="47" t="s">
        <v>29</v>
      </c>
      <c r="AE484" s="47" t="s">
        <v>29</v>
      </c>
      <c r="AF484" s="19"/>
      <c r="AG484" s="29">
        <f t="shared" si="82"/>
        <v>0</v>
      </c>
    </row>
    <row r="485" spans="2:37" hidden="1">
      <c r="B485" s="166" t="s">
        <v>48</v>
      </c>
      <c r="C485" s="16" t="s">
        <v>29</v>
      </c>
      <c r="D485" s="16" t="s">
        <v>29</v>
      </c>
      <c r="E485" s="319">
        <v>8</v>
      </c>
      <c r="F485" s="320"/>
      <c r="G485" s="4"/>
      <c r="H485" s="16" t="s">
        <v>29</v>
      </c>
      <c r="I485" s="16" t="s">
        <v>29</v>
      </c>
      <c r="J485" s="319">
        <v>8</v>
      </c>
      <c r="K485" s="320"/>
      <c r="L485" s="4"/>
      <c r="M485" s="16" t="s">
        <v>29</v>
      </c>
      <c r="N485" s="16" t="s">
        <v>29</v>
      </c>
      <c r="O485" s="319">
        <v>8</v>
      </c>
      <c r="P485" s="320"/>
      <c r="R485" s="16" t="s">
        <v>29</v>
      </c>
      <c r="S485" s="16" t="s">
        <v>29</v>
      </c>
      <c r="T485" s="319">
        <v>8</v>
      </c>
      <c r="U485" s="320"/>
      <c r="W485" s="16" t="s">
        <v>29</v>
      </c>
      <c r="X485" s="16" t="s">
        <v>29</v>
      </c>
      <c r="Y485" s="319">
        <v>8</v>
      </c>
      <c r="Z485" s="320"/>
      <c r="AA485" s="29">
        <f t="shared" si="81"/>
        <v>40</v>
      </c>
      <c r="AB485" s="298">
        <f t="shared" si="83"/>
        <v>0</v>
      </c>
      <c r="AC485" s="4"/>
      <c r="AD485" s="47" t="s">
        <v>29</v>
      </c>
      <c r="AE485" s="47" t="s">
        <v>29</v>
      </c>
      <c r="AF485" s="19"/>
      <c r="AG485" s="29">
        <f t="shared" si="82"/>
        <v>0</v>
      </c>
    </row>
    <row r="486" spans="2:37" hidden="1">
      <c r="B486" s="166" t="s">
        <v>49</v>
      </c>
      <c r="C486" s="47" t="s">
        <v>251</v>
      </c>
      <c r="D486" s="47"/>
      <c r="E486" s="319">
        <v>0</v>
      </c>
      <c r="F486" s="320"/>
      <c r="G486" s="4"/>
      <c r="H486" s="47" t="s">
        <v>251</v>
      </c>
      <c r="I486" s="47"/>
      <c r="J486" s="319">
        <v>0</v>
      </c>
      <c r="K486" s="320"/>
      <c r="L486" s="4"/>
      <c r="M486" s="47" t="s">
        <v>251</v>
      </c>
      <c r="N486" s="47"/>
      <c r="O486" s="319">
        <v>0</v>
      </c>
      <c r="P486" s="320"/>
      <c r="R486" s="47">
        <v>0</v>
      </c>
      <c r="S486" s="47">
        <v>0</v>
      </c>
      <c r="T486" s="319">
        <v>0</v>
      </c>
      <c r="U486" s="320"/>
      <c r="W486" s="47">
        <v>0</v>
      </c>
      <c r="X486" s="47">
        <v>0</v>
      </c>
      <c r="Y486" s="319">
        <v>0</v>
      </c>
      <c r="Z486" s="320"/>
      <c r="AA486" s="29">
        <f t="shared" si="81"/>
        <v>0</v>
      </c>
      <c r="AB486" s="298">
        <f t="shared" si="83"/>
        <v>0</v>
      </c>
      <c r="AC486" s="4"/>
      <c r="AD486" s="47" t="s">
        <v>29</v>
      </c>
      <c r="AE486" s="47" t="s">
        <v>29</v>
      </c>
      <c r="AF486" s="19"/>
      <c r="AG486" s="29">
        <f t="shared" si="82"/>
        <v>0</v>
      </c>
    </row>
    <row r="487" spans="2:37" hidden="1">
      <c r="B487" s="166" t="s">
        <v>107</v>
      </c>
      <c r="C487" s="47" t="s">
        <v>29</v>
      </c>
      <c r="D487" s="47" t="s">
        <v>29</v>
      </c>
      <c r="E487" s="319">
        <v>0</v>
      </c>
      <c r="F487" s="320"/>
      <c r="G487" s="4"/>
      <c r="H487" s="47" t="s">
        <v>29</v>
      </c>
      <c r="I487" s="47" t="s">
        <v>29</v>
      </c>
      <c r="J487" s="319">
        <v>0</v>
      </c>
      <c r="K487" s="320"/>
      <c r="L487" s="4"/>
      <c r="M487" s="47" t="s">
        <v>29</v>
      </c>
      <c r="N487" s="47" t="s">
        <v>29</v>
      </c>
      <c r="O487" s="319">
        <v>0</v>
      </c>
      <c r="P487" s="320"/>
      <c r="R487" s="47" t="s">
        <v>29</v>
      </c>
      <c r="S487" s="47" t="s">
        <v>29</v>
      </c>
      <c r="T487" s="319">
        <v>0</v>
      </c>
      <c r="U487" s="320"/>
      <c r="W487" s="47" t="s">
        <v>29</v>
      </c>
      <c r="X487" s="47" t="s">
        <v>29</v>
      </c>
      <c r="Y487" s="319">
        <v>0</v>
      </c>
      <c r="Z487" s="320"/>
      <c r="AA487" s="29">
        <f t="shared" si="81"/>
        <v>0</v>
      </c>
      <c r="AB487" s="298">
        <f t="shared" si="83"/>
        <v>0</v>
      </c>
      <c r="AC487" s="4"/>
      <c r="AD487" s="47" t="s">
        <v>29</v>
      </c>
      <c r="AE487" s="47" t="s">
        <v>29</v>
      </c>
      <c r="AF487" s="19"/>
      <c r="AG487" s="29">
        <f t="shared" si="82"/>
        <v>0</v>
      </c>
    </row>
    <row r="488" spans="2:37" hidden="1">
      <c r="B488" s="166" t="s">
        <v>59</v>
      </c>
      <c r="C488" s="47" t="s">
        <v>29</v>
      </c>
      <c r="D488" s="16" t="s">
        <v>29</v>
      </c>
      <c r="E488" s="319">
        <v>8</v>
      </c>
      <c r="F488" s="320"/>
      <c r="G488" s="4"/>
      <c r="H488" s="47" t="s">
        <v>29</v>
      </c>
      <c r="I488" s="16" t="s">
        <v>29</v>
      </c>
      <c r="J488" s="319">
        <v>8</v>
      </c>
      <c r="K488" s="320"/>
      <c r="L488" s="4"/>
      <c r="M488" s="47" t="s">
        <v>29</v>
      </c>
      <c r="N488" s="16" t="s">
        <v>29</v>
      </c>
      <c r="O488" s="319">
        <v>8</v>
      </c>
      <c r="P488" s="320"/>
      <c r="R488" s="47" t="s">
        <v>29</v>
      </c>
      <c r="S488" s="16" t="s">
        <v>29</v>
      </c>
      <c r="T488" s="319">
        <v>8</v>
      </c>
      <c r="U488" s="320"/>
      <c r="W488" s="47" t="s">
        <v>29</v>
      </c>
      <c r="X488" s="16" t="s">
        <v>29</v>
      </c>
      <c r="Y488" s="319">
        <v>8</v>
      </c>
      <c r="Z488" s="320"/>
      <c r="AA488" s="29">
        <f t="shared" si="81"/>
        <v>40</v>
      </c>
      <c r="AB488" s="298">
        <f t="shared" si="83"/>
        <v>0</v>
      </c>
      <c r="AC488" s="4"/>
      <c r="AD488" s="47" t="s">
        <v>29</v>
      </c>
      <c r="AE488" s="47" t="s">
        <v>29</v>
      </c>
      <c r="AF488" s="19"/>
      <c r="AG488" s="29">
        <f t="shared" si="82"/>
        <v>0</v>
      </c>
    </row>
    <row r="489" spans="2:37" hidden="1">
      <c r="B489" s="166" t="s">
        <v>60</v>
      </c>
      <c r="C489" s="16" t="s">
        <v>29</v>
      </c>
      <c r="D489" s="16" t="s">
        <v>29</v>
      </c>
      <c r="E489" s="319">
        <v>8</v>
      </c>
      <c r="F489" s="320"/>
      <c r="G489" s="4"/>
      <c r="H489" s="16" t="s">
        <v>29</v>
      </c>
      <c r="I489" s="16" t="s">
        <v>29</v>
      </c>
      <c r="J489" s="319">
        <v>8</v>
      </c>
      <c r="K489" s="320"/>
      <c r="L489" s="4"/>
      <c r="M489" s="16" t="s">
        <v>29</v>
      </c>
      <c r="N489" s="16" t="s">
        <v>29</v>
      </c>
      <c r="O489" s="319">
        <v>8</v>
      </c>
      <c r="P489" s="320"/>
      <c r="R489" s="16" t="s">
        <v>29</v>
      </c>
      <c r="S489" s="16" t="s">
        <v>29</v>
      </c>
      <c r="T489" s="319">
        <v>8</v>
      </c>
      <c r="U489" s="320"/>
      <c r="W489" s="16" t="s">
        <v>29</v>
      </c>
      <c r="X489" s="16" t="s">
        <v>29</v>
      </c>
      <c r="Y489" s="319"/>
      <c r="Z489" s="320"/>
      <c r="AA489" s="29">
        <f t="shared" si="81"/>
        <v>32</v>
      </c>
      <c r="AB489" s="298">
        <f t="shared" si="83"/>
        <v>0</v>
      </c>
      <c r="AC489" s="4"/>
      <c r="AD489" s="47" t="s">
        <v>29</v>
      </c>
      <c r="AE489" s="47" t="s">
        <v>29</v>
      </c>
      <c r="AF489" s="19"/>
      <c r="AG489" s="29">
        <f t="shared" si="82"/>
        <v>0</v>
      </c>
    </row>
    <row r="490" spans="2:37" hidden="1">
      <c r="B490" s="63" t="s">
        <v>63</v>
      </c>
      <c r="C490" s="12" t="s">
        <v>29</v>
      </c>
      <c r="D490" s="12" t="s">
        <v>29</v>
      </c>
      <c r="E490" s="319">
        <v>4</v>
      </c>
      <c r="F490" s="320"/>
      <c r="G490" s="438"/>
      <c r="H490" s="12" t="s">
        <v>29</v>
      </c>
      <c r="I490" s="12" t="s">
        <v>29</v>
      </c>
      <c r="J490" s="319">
        <v>4</v>
      </c>
      <c r="K490" s="320"/>
      <c r="L490" s="438"/>
      <c r="M490" s="12" t="s">
        <v>29</v>
      </c>
      <c r="N490" s="12" t="s">
        <v>29</v>
      </c>
      <c r="O490" s="319">
        <v>4</v>
      </c>
      <c r="P490" s="320"/>
      <c r="Q490" s="438"/>
      <c r="R490" s="12" t="s">
        <v>29</v>
      </c>
      <c r="S490" s="12" t="s">
        <v>29</v>
      </c>
      <c r="T490" s="319">
        <v>4</v>
      </c>
      <c r="U490" s="320"/>
      <c r="V490" s="438"/>
      <c r="W490" s="12" t="s">
        <v>29</v>
      </c>
      <c r="X490" s="12" t="s">
        <v>29</v>
      </c>
      <c r="Y490" s="319">
        <v>4</v>
      </c>
      <c r="Z490" s="320"/>
      <c r="AA490" s="29">
        <f t="shared" si="81"/>
        <v>20</v>
      </c>
      <c r="AB490" s="298">
        <f t="shared" si="83"/>
        <v>0</v>
      </c>
      <c r="AC490" s="4"/>
      <c r="AD490" s="47" t="s">
        <v>29</v>
      </c>
      <c r="AE490" s="47" t="s">
        <v>29</v>
      </c>
      <c r="AF490" s="19"/>
      <c r="AG490" s="29">
        <f t="shared" si="82"/>
        <v>0</v>
      </c>
      <c r="AK490" s="407"/>
    </row>
    <row r="491" spans="2:37" hidden="1">
      <c r="B491" s="63" t="s">
        <v>250</v>
      </c>
      <c r="C491" s="12" t="s">
        <v>29</v>
      </c>
      <c r="D491" s="12" t="s">
        <v>29</v>
      </c>
      <c r="E491" s="319"/>
      <c r="F491" s="320"/>
      <c r="G491" s="438"/>
      <c r="H491" s="12" t="s">
        <v>29</v>
      </c>
      <c r="I491" s="12" t="s">
        <v>29</v>
      </c>
      <c r="J491" s="319"/>
      <c r="K491" s="320"/>
      <c r="L491" s="438"/>
      <c r="M491" s="12" t="s">
        <v>29</v>
      </c>
      <c r="N491" s="12" t="s">
        <v>29</v>
      </c>
      <c r="O491" s="319"/>
      <c r="P491" s="320"/>
      <c r="Q491" s="438"/>
      <c r="R491" s="12" t="s">
        <v>29</v>
      </c>
      <c r="S491" s="12" t="s">
        <v>29</v>
      </c>
      <c r="T491" s="319"/>
      <c r="U491" s="320"/>
      <c r="V491" s="438"/>
      <c r="W491" s="12" t="s">
        <v>29</v>
      </c>
      <c r="X491" s="12" t="s">
        <v>29</v>
      </c>
      <c r="Y491" s="319"/>
      <c r="Z491" s="320"/>
      <c r="AA491" s="29">
        <f t="shared" si="81"/>
        <v>0</v>
      </c>
      <c r="AB491" s="298">
        <f t="shared" si="83"/>
        <v>0</v>
      </c>
      <c r="AC491" s="4"/>
      <c r="AD491" s="47" t="s">
        <v>29</v>
      </c>
      <c r="AE491" s="47" t="s">
        <v>29</v>
      </c>
      <c r="AF491" s="19"/>
      <c r="AG491" s="29">
        <f t="shared" si="82"/>
        <v>0</v>
      </c>
      <c r="AK491" s="407"/>
    </row>
    <row r="492" spans="2:37" hidden="1">
      <c r="B492" s="480" t="s">
        <v>61</v>
      </c>
      <c r="C492" s="475"/>
      <c r="D492" s="475"/>
      <c r="E492" s="476">
        <f>SUM(E466:E491)</f>
        <v>123.75</v>
      </c>
      <c r="F492" s="477">
        <f>SUM(F466:F484)</f>
        <v>0</v>
      </c>
      <c r="G492" s="475"/>
      <c r="H492" s="475"/>
      <c r="I492" s="475"/>
      <c r="J492" s="476">
        <f>SUM(J466:J491)</f>
        <v>131.5</v>
      </c>
      <c r="K492" s="477">
        <f>SUM(K466:K484)</f>
        <v>6</v>
      </c>
      <c r="L492" s="475"/>
      <c r="M492" s="475"/>
      <c r="N492" s="475"/>
      <c r="O492" s="476">
        <f>SUM(O466:O491)</f>
        <v>116</v>
      </c>
      <c r="P492" s="477">
        <f>SUM(P466:P489)</f>
        <v>10</v>
      </c>
      <c r="Q492" s="475"/>
      <c r="R492" s="476"/>
      <c r="S492" s="475"/>
      <c r="T492" s="476">
        <f>SUM(T466:T491)</f>
        <v>138.75</v>
      </c>
      <c r="U492" s="477">
        <f>SUM(U466:U489)</f>
        <v>5.75</v>
      </c>
      <c r="V492" s="475"/>
      <c r="W492" s="476"/>
      <c r="X492" s="475"/>
      <c r="Y492" s="476">
        <f>SUM(Y466:Y491)</f>
        <v>131</v>
      </c>
      <c r="Z492" s="477">
        <f>SUM(Z466:Z484)</f>
        <v>4</v>
      </c>
      <c r="AA492" s="478">
        <f>SUM(AA466:AA491)</f>
        <v>641</v>
      </c>
      <c r="AB492" s="478">
        <f>SUM(AB466:AB491)</f>
        <v>25.75</v>
      </c>
      <c r="AC492" s="479"/>
      <c r="AD492" s="475"/>
      <c r="AE492" s="475"/>
      <c r="AF492" s="476">
        <f>SUM(AF466:AF491)</f>
        <v>5.15</v>
      </c>
      <c r="AG492" s="478">
        <f>SUM(AG466:AG491)</f>
        <v>5.15</v>
      </c>
    </row>
    <row r="493" spans="2:37" hidden="1">
      <c r="B493" s="63" t="s">
        <v>64</v>
      </c>
      <c r="C493" s="56" t="s">
        <v>29</v>
      </c>
      <c r="D493" s="56" t="s">
        <v>29</v>
      </c>
      <c r="E493" s="19">
        <v>0</v>
      </c>
      <c r="F493" s="291">
        <v>0</v>
      </c>
      <c r="G493" s="60"/>
      <c r="H493" s="56" t="s">
        <v>29</v>
      </c>
      <c r="I493" s="56" t="s">
        <v>29</v>
      </c>
      <c r="J493" s="19">
        <v>0</v>
      </c>
      <c r="K493" s="291">
        <v>0</v>
      </c>
      <c r="L493" s="60"/>
      <c r="M493" s="56" t="s">
        <v>29</v>
      </c>
      <c r="N493" s="56" t="s">
        <v>29</v>
      </c>
      <c r="O493" s="19">
        <v>0</v>
      </c>
      <c r="P493" s="19">
        <v>0</v>
      </c>
      <c r="Q493" s="60"/>
      <c r="R493" s="56" t="s">
        <v>29</v>
      </c>
      <c r="S493" s="56" t="s">
        <v>29</v>
      </c>
      <c r="T493" s="19">
        <v>0</v>
      </c>
      <c r="U493" s="19">
        <v>0</v>
      </c>
      <c r="V493" s="60"/>
      <c r="W493" s="56" t="s">
        <v>29</v>
      </c>
      <c r="X493" s="56" t="s">
        <v>29</v>
      </c>
      <c r="Y493" s="19">
        <v>0</v>
      </c>
      <c r="Z493" s="19">
        <v>0</v>
      </c>
      <c r="AA493" s="28">
        <f>SUM(E493+J493+O493+T493+Y493)</f>
        <v>0</v>
      </c>
      <c r="AB493" s="296">
        <f>Z493+U493+P493+K493+F493</f>
        <v>0</v>
      </c>
      <c r="AC493" s="4"/>
      <c r="AD493" s="56"/>
      <c r="AE493" s="56"/>
      <c r="AF493" s="19"/>
      <c r="AG493" s="29">
        <f>AF493</f>
        <v>0</v>
      </c>
    </row>
    <row r="494" spans="2:37" hidden="1">
      <c r="B494" s="63" t="s">
        <v>110</v>
      </c>
      <c r="C494" s="56" t="s">
        <v>29</v>
      </c>
      <c r="D494" s="56" t="s">
        <v>29</v>
      </c>
      <c r="E494" s="19">
        <v>5</v>
      </c>
      <c r="F494" s="291">
        <v>0</v>
      </c>
      <c r="G494" s="60"/>
      <c r="H494" s="56" t="s">
        <v>29</v>
      </c>
      <c r="I494" s="56" t="s">
        <v>29</v>
      </c>
      <c r="J494" s="19">
        <v>5</v>
      </c>
      <c r="K494" s="291">
        <v>0</v>
      </c>
      <c r="L494" s="60"/>
      <c r="M494" s="56" t="s">
        <v>29</v>
      </c>
      <c r="N494" s="56" t="s">
        <v>29</v>
      </c>
      <c r="O494" s="19">
        <v>5</v>
      </c>
      <c r="P494" s="19">
        <v>0</v>
      </c>
      <c r="Q494" s="60"/>
      <c r="R494" s="56" t="s">
        <v>29</v>
      </c>
      <c r="S494" s="56" t="s">
        <v>29</v>
      </c>
      <c r="T494" s="19">
        <v>5</v>
      </c>
      <c r="U494" s="19">
        <v>0</v>
      </c>
      <c r="V494" s="60"/>
      <c r="W494" s="56" t="s">
        <v>29</v>
      </c>
      <c r="X494" s="56" t="s">
        <v>29</v>
      </c>
      <c r="Y494" s="19">
        <v>5</v>
      </c>
      <c r="Z494" s="19">
        <v>0</v>
      </c>
      <c r="AA494" s="28">
        <f>SUM(E494+J494+O494+T494+Y494)</f>
        <v>25</v>
      </c>
      <c r="AB494" s="296">
        <f>Z494+U494+P494+K494+F494</f>
        <v>0</v>
      </c>
      <c r="AC494" s="4"/>
      <c r="AD494" s="56"/>
      <c r="AE494" s="56"/>
      <c r="AF494" s="19"/>
      <c r="AG494" s="29">
        <f>AF494</f>
        <v>0</v>
      </c>
    </row>
    <row r="495" spans="2:37" s="483" customFormat="1" hidden="1">
      <c r="B495" s="102" t="s">
        <v>66</v>
      </c>
      <c r="C495" s="481"/>
      <c r="D495" s="481"/>
      <c r="E495" s="102">
        <f t="shared" ref="E495:AB495" si="85">SUM(E493:E494)</f>
        <v>5</v>
      </c>
      <c r="F495" s="102">
        <f t="shared" si="85"/>
        <v>0</v>
      </c>
      <c r="G495" s="102">
        <f t="shared" si="85"/>
        <v>0</v>
      </c>
      <c r="H495" s="102">
        <f t="shared" si="85"/>
        <v>0</v>
      </c>
      <c r="I495" s="102">
        <f t="shared" si="85"/>
        <v>0</v>
      </c>
      <c r="J495" s="102">
        <f t="shared" si="85"/>
        <v>5</v>
      </c>
      <c r="K495" s="102">
        <f t="shared" si="85"/>
        <v>0</v>
      </c>
      <c r="L495" s="102">
        <f t="shared" si="85"/>
        <v>0</v>
      </c>
      <c r="M495" s="102">
        <f t="shared" si="85"/>
        <v>0</v>
      </c>
      <c r="N495" s="102">
        <f t="shared" si="85"/>
        <v>0</v>
      </c>
      <c r="O495" s="102">
        <f t="shared" si="85"/>
        <v>5</v>
      </c>
      <c r="P495" s="102">
        <f t="shared" si="85"/>
        <v>0</v>
      </c>
      <c r="Q495" s="102">
        <f t="shared" si="85"/>
        <v>0</v>
      </c>
      <c r="R495" s="102">
        <f t="shared" si="85"/>
        <v>0</v>
      </c>
      <c r="S495" s="102">
        <f t="shared" si="85"/>
        <v>0</v>
      </c>
      <c r="T495" s="102">
        <f t="shared" si="85"/>
        <v>5</v>
      </c>
      <c r="U495" s="102">
        <f t="shared" si="85"/>
        <v>0</v>
      </c>
      <c r="V495" s="102">
        <f t="shared" si="85"/>
        <v>0</v>
      </c>
      <c r="W495" s="102">
        <f t="shared" si="85"/>
        <v>0</v>
      </c>
      <c r="X495" s="102">
        <f t="shared" si="85"/>
        <v>0</v>
      </c>
      <c r="Y495" s="102">
        <f t="shared" si="85"/>
        <v>5</v>
      </c>
      <c r="Z495" s="102">
        <f t="shared" si="85"/>
        <v>0</v>
      </c>
      <c r="AA495" s="370">
        <f t="shared" si="85"/>
        <v>25</v>
      </c>
      <c r="AB495" s="370">
        <f t="shared" si="85"/>
        <v>0</v>
      </c>
      <c r="AC495" s="4"/>
      <c r="AD495" s="180"/>
      <c r="AE495" s="180"/>
      <c r="AF495" s="180"/>
      <c r="AG495" s="370">
        <f>SUM(AG493:AG494)</f>
        <v>0</v>
      </c>
      <c r="AH495" s="482"/>
    </row>
    <row r="496" spans="2:37" hidden="1">
      <c r="B496" s="217" t="s">
        <v>67</v>
      </c>
      <c r="C496" s="207">
        <f>C497+C498</f>
        <v>65</v>
      </c>
      <c r="D496" s="207"/>
      <c r="E496" s="209"/>
      <c r="F496" s="209"/>
      <c r="G496" s="207"/>
      <c r="H496" s="209"/>
      <c r="I496" s="209"/>
      <c r="J496" s="209"/>
      <c r="K496" s="209"/>
      <c r="L496" s="207"/>
      <c r="M496" s="207"/>
      <c r="N496" s="207"/>
      <c r="O496" s="207"/>
      <c r="P496" s="209"/>
      <c r="Q496" s="207"/>
      <c r="R496" s="207"/>
      <c r="S496" s="207"/>
      <c r="T496" s="207"/>
      <c r="U496" s="209"/>
      <c r="V496" s="207"/>
      <c r="W496" s="207"/>
      <c r="X496" s="207"/>
      <c r="Y496" s="210"/>
      <c r="Z496" s="209"/>
      <c r="AA496" s="211"/>
      <c r="AB496" s="209"/>
      <c r="AC496" s="211"/>
      <c r="AD496" s="211"/>
      <c r="AE496" s="211"/>
      <c r="AF496" s="211"/>
      <c r="AG496" s="211"/>
    </row>
    <row r="497" spans="2:47" hidden="1">
      <c r="B497" s="238" t="s">
        <v>68</v>
      </c>
      <c r="C497" s="239">
        <f>10+11+12+14+14</f>
        <v>61</v>
      </c>
      <c r="D497" s="207"/>
      <c r="E497" s="209"/>
      <c r="F497" s="209"/>
      <c r="G497" s="207"/>
      <c r="H497" s="209"/>
      <c r="I497" s="209"/>
      <c r="J497" s="209"/>
      <c r="K497" s="209"/>
      <c r="L497" s="207"/>
      <c r="M497" s="207"/>
      <c r="N497" s="207"/>
      <c r="O497" s="207"/>
      <c r="P497" s="209"/>
      <c r="Q497" s="207"/>
      <c r="R497" s="207"/>
      <c r="S497" s="207"/>
      <c r="T497" s="207"/>
      <c r="U497" s="209"/>
      <c r="V497" s="207"/>
      <c r="W497" s="207"/>
      <c r="X497" s="207"/>
      <c r="Y497" s="210"/>
      <c r="Z497" s="209"/>
      <c r="AA497" s="211"/>
      <c r="AB497" s="209"/>
      <c r="AC497" s="211"/>
      <c r="AD497" s="211"/>
      <c r="AE497" s="211"/>
      <c r="AF497" s="211"/>
      <c r="AG497" s="211"/>
    </row>
    <row r="498" spans="2:47" hidden="1">
      <c r="B498" s="238" t="s">
        <v>69</v>
      </c>
      <c r="C498" s="239">
        <f>2+2</f>
        <v>4</v>
      </c>
      <c r="D498" s="207"/>
      <c r="E498" s="209"/>
      <c r="F498" s="209"/>
      <c r="G498" s="207"/>
      <c r="H498" s="209"/>
      <c r="I498" s="209"/>
      <c r="J498" s="209"/>
      <c r="K498" s="209"/>
      <c r="L498" s="207"/>
      <c r="M498" s="207"/>
      <c r="N498" s="207"/>
      <c r="O498" s="207"/>
      <c r="P498" s="209"/>
      <c r="Q498" s="207"/>
      <c r="R498" s="207"/>
      <c r="S498" s="207"/>
      <c r="T498" s="207"/>
      <c r="U498" s="209"/>
      <c r="V498" s="207"/>
      <c r="W498" s="207"/>
      <c r="X498" s="207"/>
      <c r="Y498" s="210"/>
      <c r="Z498" s="209"/>
      <c r="AA498" s="211"/>
      <c r="AB498" s="209"/>
      <c r="AC498" s="211"/>
      <c r="AD498" s="211"/>
      <c r="AE498" s="211"/>
      <c r="AF498" s="211"/>
      <c r="AG498" s="211"/>
    </row>
    <row r="499" spans="2:47" hidden="1"/>
    <row r="500" spans="2:47" hidden="1">
      <c r="B500" s="229"/>
      <c r="C500" s="230"/>
      <c r="D500" s="230"/>
      <c r="E500" s="232"/>
      <c r="F500" s="232"/>
      <c r="G500" s="230"/>
      <c r="H500" s="232"/>
      <c r="I500" s="232"/>
      <c r="J500" s="232"/>
      <c r="K500" s="232"/>
      <c r="L500" s="230"/>
      <c r="M500" s="230"/>
      <c r="N500" s="230"/>
      <c r="O500" s="230"/>
      <c r="P500" s="232"/>
      <c r="Q500" s="230"/>
      <c r="R500" s="230"/>
      <c r="S500" s="230"/>
      <c r="T500" s="230"/>
      <c r="U500" s="232"/>
      <c r="V500" s="230"/>
      <c r="W500" s="230"/>
      <c r="X500" s="230"/>
      <c r="Y500" s="233"/>
      <c r="Z500" s="232"/>
      <c r="AA500" s="234"/>
      <c r="AB500" s="232"/>
      <c r="AC500" s="373"/>
      <c r="AD500" s="236"/>
      <c r="AE500" s="255"/>
      <c r="AF500" s="255"/>
      <c r="AG500" s="255"/>
      <c r="AH500" s="255"/>
      <c r="AJ500" s="255"/>
      <c r="AK500" s="255"/>
      <c r="AL500" s="255"/>
      <c r="AM500" s="255"/>
      <c r="AN500" s="255"/>
      <c r="AO500" s="255"/>
      <c r="AP500" s="255"/>
      <c r="AQ500" s="255"/>
      <c r="AR500" s="255"/>
      <c r="AS500" s="255"/>
      <c r="AT500" s="255"/>
      <c r="AU500" s="255"/>
    </row>
    <row r="501" spans="2:47" hidden="1">
      <c r="B501" s="229"/>
      <c r="C501" s="230"/>
      <c r="D501" s="230"/>
      <c r="E501" s="232"/>
      <c r="F501" s="232"/>
      <c r="G501" s="230"/>
      <c r="H501" s="232"/>
      <c r="I501" s="232"/>
      <c r="J501" s="232"/>
      <c r="K501" s="232"/>
      <c r="L501" s="230"/>
      <c r="M501" s="230"/>
      <c r="N501" s="230"/>
      <c r="O501" s="230"/>
      <c r="P501" s="232"/>
      <c r="Q501" s="230"/>
      <c r="R501" s="230"/>
      <c r="S501" s="230"/>
      <c r="T501" s="230"/>
      <c r="U501" s="232"/>
      <c r="V501" s="230"/>
      <c r="W501" s="230"/>
      <c r="X501" s="230"/>
      <c r="Y501" s="233"/>
      <c r="Z501" s="232"/>
      <c r="AA501" s="234"/>
      <c r="AB501" s="232"/>
      <c r="AC501" s="373"/>
      <c r="AD501" s="236"/>
      <c r="AE501" s="255"/>
      <c r="AF501" s="255"/>
      <c r="AG501" s="255"/>
      <c r="AH501" s="255"/>
      <c r="AJ501" s="255"/>
      <c r="AK501" s="255"/>
      <c r="AL501" s="255"/>
      <c r="AM501" s="255"/>
      <c r="AN501" s="255"/>
      <c r="AO501" s="255"/>
      <c r="AP501" s="255"/>
      <c r="AQ501" s="255"/>
      <c r="AR501" s="255"/>
      <c r="AS501" s="255"/>
      <c r="AT501" s="255"/>
      <c r="AU501" s="255"/>
    </row>
    <row r="502" spans="2:47" hidden="1">
      <c r="B502" s="180"/>
      <c r="E502" s="4"/>
      <c r="F502" s="4"/>
      <c r="G502" s="4"/>
      <c r="J502" s="4"/>
      <c r="K502" s="4"/>
      <c r="L502" s="4"/>
      <c r="O502" s="4"/>
      <c r="P502" s="4"/>
      <c r="T502" s="4"/>
      <c r="U502" s="4"/>
      <c r="Y502" s="4"/>
      <c r="Z502" s="4"/>
      <c r="AA502" s="4"/>
      <c r="AB502" s="4"/>
      <c r="AC502" s="4"/>
      <c r="AK502" s="180"/>
      <c r="AL502" s="180"/>
      <c r="AM502" s="180"/>
      <c r="AN502" s="180"/>
      <c r="AO502" s="180"/>
      <c r="AP502" s="180"/>
    </row>
    <row r="503" spans="2:47" hidden="1">
      <c r="B503" s="1518" t="s">
        <v>18</v>
      </c>
      <c r="C503" s="1519">
        <v>45390</v>
      </c>
      <c r="D503" s="1519"/>
      <c r="E503" s="1519"/>
      <c r="F503" s="1519"/>
      <c r="G503" s="365"/>
      <c r="H503" s="1519">
        <v>45391</v>
      </c>
      <c r="I503" s="1519"/>
      <c r="J503" s="1519"/>
      <c r="K503" s="1519"/>
      <c r="L503" s="365">
        <v>45343</v>
      </c>
      <c r="M503" s="1519">
        <v>45392</v>
      </c>
      <c r="N503" s="1519"/>
      <c r="O503" s="1519"/>
      <c r="P503" s="1519"/>
      <c r="Q503" s="365"/>
      <c r="R503" s="1519">
        <v>45393</v>
      </c>
      <c r="S503" s="1519"/>
      <c r="T503" s="1519"/>
      <c r="U503" s="1519"/>
      <c r="V503" s="365"/>
      <c r="W503" s="1519">
        <v>45394</v>
      </c>
      <c r="X503" s="1519"/>
      <c r="Y503" s="1519"/>
      <c r="Z503" s="1519"/>
      <c r="AA503" s="1517" t="s">
        <v>19</v>
      </c>
      <c r="AB503" s="1517" t="s">
        <v>20</v>
      </c>
      <c r="AC503" s="4"/>
      <c r="AD503" s="1519">
        <v>45395</v>
      </c>
      <c r="AE503" s="1519"/>
      <c r="AF503" s="1519"/>
      <c r="AG503" s="1517" t="s">
        <v>21</v>
      </c>
      <c r="AI503" s="368"/>
      <c r="AK503" s="194" t="s">
        <v>84</v>
      </c>
      <c r="AL503" s="366"/>
      <c r="AM503" s="366"/>
      <c r="AN503" s="366"/>
      <c r="AO503" s="366"/>
      <c r="AP503" s="366"/>
    </row>
    <row r="504" spans="2:47" hidden="1">
      <c r="B504" s="1518"/>
      <c r="C504" s="21" t="s">
        <v>23</v>
      </c>
      <c r="D504" s="21" t="s">
        <v>24</v>
      </c>
      <c r="E504" s="205" t="s">
        <v>25</v>
      </c>
      <c r="F504" s="18" t="s">
        <v>14</v>
      </c>
      <c r="G504" s="4"/>
      <c r="H504" s="21" t="s">
        <v>23</v>
      </c>
      <c r="I504" s="21" t="s">
        <v>24</v>
      </c>
      <c r="J504" s="18" t="s">
        <v>25</v>
      </c>
      <c r="K504" s="18" t="s">
        <v>14</v>
      </c>
      <c r="L504" s="4"/>
      <c r="M504" s="21" t="s">
        <v>23</v>
      </c>
      <c r="N504" s="21" t="s">
        <v>24</v>
      </c>
      <c r="O504" s="18" t="s">
        <v>25</v>
      </c>
      <c r="P504" s="18" t="s">
        <v>14</v>
      </c>
      <c r="R504" s="484" t="s">
        <v>23</v>
      </c>
      <c r="S504" s="21" t="s">
        <v>24</v>
      </c>
      <c r="T504" s="18" t="s">
        <v>25</v>
      </c>
      <c r="U504" s="18" t="s">
        <v>14</v>
      </c>
      <c r="W504" s="484" t="s">
        <v>23</v>
      </c>
      <c r="X504" s="21" t="s">
        <v>24</v>
      </c>
      <c r="Y504" s="18" t="s">
        <v>25</v>
      </c>
      <c r="Z504" s="18" t="s">
        <v>14</v>
      </c>
      <c r="AA504" s="1517"/>
      <c r="AB504" s="1517"/>
      <c r="AC504" s="4"/>
      <c r="AD504" s="21" t="s">
        <v>23</v>
      </c>
      <c r="AE504" s="21" t="s">
        <v>24</v>
      </c>
      <c r="AF504" s="18" t="s">
        <v>25</v>
      </c>
      <c r="AG504" s="1517"/>
      <c r="AI504" s="368"/>
      <c r="AJ504" s="367"/>
      <c r="AK504" s="494" t="s">
        <v>26</v>
      </c>
      <c r="AL504" s="471">
        <f>AA527</f>
        <v>721.25</v>
      </c>
      <c r="AM504" s="510">
        <v>38</v>
      </c>
      <c r="AN504" s="510">
        <f t="shared" ref="AN504:AN510" si="86">AL504*AM504</f>
        <v>27407.5</v>
      </c>
      <c r="AQ504" s="367"/>
      <c r="AR504" s="367"/>
      <c r="AS504" s="367"/>
      <c r="AT504" s="367"/>
      <c r="AU504" s="367"/>
    </row>
    <row r="505" spans="2:47" hidden="1">
      <c r="B505" s="457" t="s">
        <v>93</v>
      </c>
      <c r="C505" s="47">
        <v>0.36458333333333331</v>
      </c>
      <c r="D505" s="47">
        <v>0.25</v>
      </c>
      <c r="E505" s="319">
        <v>8</v>
      </c>
      <c r="F505" s="320"/>
      <c r="G505" s="4"/>
      <c r="H505" s="47">
        <v>0.36458333333333331</v>
      </c>
      <c r="I505" s="47">
        <v>0.25</v>
      </c>
      <c r="J505" s="319">
        <v>8</v>
      </c>
      <c r="K505" s="320"/>
      <c r="L505" s="4"/>
      <c r="M505" s="47">
        <v>0.375</v>
      </c>
      <c r="N505" s="47">
        <v>0.25</v>
      </c>
      <c r="O505" s="319">
        <v>8</v>
      </c>
      <c r="P505" s="320"/>
      <c r="R505" s="47">
        <v>0.36458333333333331</v>
      </c>
      <c r="S505" s="47">
        <v>0.25</v>
      </c>
      <c r="T505" s="319">
        <v>8</v>
      </c>
      <c r="U505" s="320"/>
      <c r="W505" s="47">
        <v>0.36458333333333331</v>
      </c>
      <c r="X505" s="47">
        <v>0.25</v>
      </c>
      <c r="Y505" s="319">
        <v>8</v>
      </c>
      <c r="Z505" s="320"/>
      <c r="AA505" s="29">
        <f t="shared" ref="AA505:AA526" si="87">(E505+J505+O505+T505+Y505)</f>
        <v>40</v>
      </c>
      <c r="AB505" s="298">
        <f>Z505+U505+P505+K505+F505</f>
        <v>0</v>
      </c>
      <c r="AC505" s="399"/>
      <c r="AD505" s="47" t="s">
        <v>29</v>
      </c>
      <c r="AE505" s="47" t="s">
        <v>29</v>
      </c>
      <c r="AF505" s="346"/>
      <c r="AG505" s="29">
        <f t="shared" ref="AG505:AG526" si="88">AF505</f>
        <v>0</v>
      </c>
      <c r="AH505" s="175"/>
      <c r="AJ505" s="401"/>
      <c r="AK505" s="494" t="s">
        <v>30</v>
      </c>
      <c r="AL505" s="471">
        <f>AB527</f>
        <v>0</v>
      </c>
      <c r="AM505" s="511">
        <v>57</v>
      </c>
      <c r="AN505" s="510">
        <f t="shared" si="86"/>
        <v>0</v>
      </c>
      <c r="AO505" s="405"/>
      <c r="AP505" s="405"/>
      <c r="AQ505" s="401"/>
      <c r="AR505" s="401"/>
      <c r="AS505" s="401"/>
      <c r="AT505" s="401"/>
      <c r="AU505" s="401"/>
    </row>
    <row r="506" spans="2:47" hidden="1">
      <c r="B506" s="461" t="s">
        <v>72</v>
      </c>
      <c r="C506" s="47">
        <v>0.375</v>
      </c>
      <c r="D506" s="47">
        <v>0.25</v>
      </c>
      <c r="E506" s="319">
        <v>8</v>
      </c>
      <c r="F506" s="320"/>
      <c r="G506" s="4"/>
      <c r="H506" s="47">
        <v>0.375</v>
      </c>
      <c r="I506" s="47">
        <v>0.25</v>
      </c>
      <c r="J506" s="319">
        <v>8</v>
      </c>
      <c r="K506" s="320"/>
      <c r="L506" s="4"/>
      <c r="M506" s="47">
        <v>0.375</v>
      </c>
      <c r="N506" s="47">
        <v>0.25</v>
      </c>
      <c r="O506" s="319">
        <v>8</v>
      </c>
      <c r="P506" s="320"/>
      <c r="R506" s="47">
        <v>0.375</v>
      </c>
      <c r="S506" s="47">
        <v>0.25</v>
      </c>
      <c r="T506" s="319">
        <v>8</v>
      </c>
      <c r="U506" s="320"/>
      <c r="W506" s="47">
        <v>0.375</v>
      </c>
      <c r="X506" s="47">
        <v>0.25</v>
      </c>
      <c r="Y506" s="319">
        <v>8</v>
      </c>
      <c r="Z506" s="320"/>
      <c r="AA506" s="29">
        <f t="shared" si="87"/>
        <v>40</v>
      </c>
      <c r="AB506" s="298">
        <f>Z506+U506+P506+K506+F506</f>
        <v>0</v>
      </c>
      <c r="AC506" s="175"/>
      <c r="AD506" s="47" t="s">
        <v>29</v>
      </c>
      <c r="AE506" s="47" t="s">
        <v>29</v>
      </c>
      <c r="AF506" s="346"/>
      <c r="AG506" s="344">
        <f t="shared" si="88"/>
        <v>0</v>
      </c>
      <c r="AH506" s="175"/>
      <c r="AI506" s="368"/>
      <c r="AK506" s="494" t="s">
        <v>32</v>
      </c>
      <c r="AL506" s="471">
        <f>AG527</f>
        <v>0</v>
      </c>
      <c r="AM506" s="510">
        <v>57</v>
      </c>
      <c r="AN506" s="510">
        <f t="shared" si="86"/>
        <v>0</v>
      </c>
    </row>
    <row r="507" spans="2:47" hidden="1">
      <c r="B507" s="164" t="s">
        <v>242</v>
      </c>
      <c r="C507" s="47">
        <v>0.375</v>
      </c>
      <c r="D507" s="47">
        <v>0.25</v>
      </c>
      <c r="E507" s="319">
        <v>8</v>
      </c>
      <c r="F507" s="320"/>
      <c r="G507" s="4"/>
      <c r="H507" s="47">
        <v>0.36458333333333331</v>
      </c>
      <c r="I507" s="47">
        <v>0.25</v>
      </c>
      <c r="J507" s="319">
        <v>8</v>
      </c>
      <c r="K507" s="320"/>
      <c r="L507" s="4"/>
      <c r="M507" s="47">
        <v>0.36458333333333331</v>
      </c>
      <c r="N507" s="47">
        <v>0.25</v>
      </c>
      <c r="O507" s="319">
        <v>8</v>
      </c>
      <c r="P507" s="320"/>
      <c r="R507" s="47">
        <v>0.375</v>
      </c>
      <c r="S507" s="47">
        <v>0.25</v>
      </c>
      <c r="T507" s="319">
        <v>8</v>
      </c>
      <c r="U507" s="320"/>
      <c r="W507" s="47">
        <v>0.375</v>
      </c>
      <c r="X507" s="47">
        <v>0.25</v>
      </c>
      <c r="Y507" s="319">
        <v>8</v>
      </c>
      <c r="Z507" s="320"/>
      <c r="AA507" s="29">
        <f t="shared" si="87"/>
        <v>40</v>
      </c>
      <c r="AB507" s="298">
        <f>Z507+U507+P507+K507+F507</f>
        <v>0</v>
      </c>
      <c r="AC507" s="4"/>
      <c r="AD507" s="47" t="s">
        <v>29</v>
      </c>
      <c r="AE507" s="47" t="s">
        <v>29</v>
      </c>
      <c r="AF507" s="346"/>
      <c r="AG507" s="29">
        <f t="shared" si="88"/>
        <v>0</v>
      </c>
      <c r="AJ507" s="367"/>
      <c r="AK507" s="494" t="s">
        <v>213</v>
      </c>
      <c r="AL507" s="471">
        <f>AA530</f>
        <v>27.5</v>
      </c>
      <c r="AM507" s="510">
        <v>50</v>
      </c>
      <c r="AN507" s="510">
        <f t="shared" si="86"/>
        <v>1375</v>
      </c>
      <c r="AQ507" s="367"/>
      <c r="AR507" s="367"/>
      <c r="AS507" s="367"/>
      <c r="AT507" s="367"/>
      <c r="AU507" s="367"/>
    </row>
    <row r="508" spans="2:47" hidden="1">
      <c r="B508" s="458" t="s">
        <v>243</v>
      </c>
      <c r="C508" s="47">
        <v>0.375</v>
      </c>
      <c r="D508" s="47">
        <v>0.25</v>
      </c>
      <c r="E508" s="319">
        <v>8</v>
      </c>
      <c r="F508" s="320"/>
      <c r="G508" s="4"/>
      <c r="H508" s="47">
        <v>0.375</v>
      </c>
      <c r="I508" s="47">
        <v>0.25</v>
      </c>
      <c r="J508" s="319">
        <v>8</v>
      </c>
      <c r="K508" s="320"/>
      <c r="L508" s="4"/>
      <c r="M508" s="47">
        <v>0.375</v>
      </c>
      <c r="N508" s="47">
        <v>0.25</v>
      </c>
      <c r="O508" s="319">
        <v>8</v>
      </c>
      <c r="P508" s="320"/>
      <c r="R508" s="47">
        <v>0.375</v>
      </c>
      <c r="S508" s="47">
        <v>0.25</v>
      </c>
      <c r="T508" s="319">
        <v>8</v>
      </c>
      <c r="U508" s="320"/>
      <c r="W508" s="47">
        <v>0.375</v>
      </c>
      <c r="X508" s="47">
        <v>0.25</v>
      </c>
      <c r="Y508" s="319">
        <v>8</v>
      </c>
      <c r="Z508" s="320"/>
      <c r="AA508" s="29">
        <f t="shared" si="87"/>
        <v>40</v>
      </c>
      <c r="AB508" s="298">
        <f>Z508+U508+P508+K508+F508</f>
        <v>0</v>
      </c>
      <c r="AC508" s="4"/>
      <c r="AD508" s="47" t="s">
        <v>29</v>
      </c>
      <c r="AE508" s="47" t="s">
        <v>29</v>
      </c>
      <c r="AF508" s="346"/>
      <c r="AG508" s="29">
        <f t="shared" si="88"/>
        <v>0</v>
      </c>
      <c r="AK508" s="494" t="s">
        <v>36</v>
      </c>
      <c r="AL508" s="471">
        <f>AB530</f>
        <v>0</v>
      </c>
      <c r="AM508" s="510">
        <v>75</v>
      </c>
      <c r="AN508" s="510">
        <f t="shared" si="86"/>
        <v>0</v>
      </c>
    </row>
    <row r="509" spans="2:47" hidden="1">
      <c r="B509" s="461" t="s">
        <v>91</v>
      </c>
      <c r="C509" s="47">
        <v>0.38541666666666669</v>
      </c>
      <c r="D509" s="47">
        <v>0.25</v>
      </c>
      <c r="E509" s="319">
        <v>7.75</v>
      </c>
      <c r="F509" s="320"/>
      <c r="G509" s="4"/>
      <c r="H509" s="47">
        <v>0.375</v>
      </c>
      <c r="I509" s="47">
        <v>0.25</v>
      </c>
      <c r="J509" s="319">
        <v>8</v>
      </c>
      <c r="K509" s="320"/>
      <c r="L509" s="4"/>
      <c r="M509" s="47">
        <v>0.375</v>
      </c>
      <c r="N509" s="47">
        <v>0.25</v>
      </c>
      <c r="O509" s="319">
        <v>8</v>
      </c>
      <c r="P509" s="320"/>
      <c r="R509" s="47">
        <v>0.375</v>
      </c>
      <c r="S509" s="47">
        <v>0.25</v>
      </c>
      <c r="T509" s="319">
        <v>8</v>
      </c>
      <c r="U509" s="320"/>
      <c r="W509" s="47">
        <v>0.375</v>
      </c>
      <c r="X509" s="47">
        <v>0.25</v>
      </c>
      <c r="Y509" s="319">
        <v>8</v>
      </c>
      <c r="Z509" s="320"/>
      <c r="AA509" s="29">
        <f t="shared" si="87"/>
        <v>39.75</v>
      </c>
      <c r="AB509" s="298">
        <f>Z509+U509+P509+K509+F508</f>
        <v>0</v>
      </c>
      <c r="AC509" s="4"/>
      <c r="AD509" s="47" t="s">
        <v>29</v>
      </c>
      <c r="AE509" s="47" t="s">
        <v>29</v>
      </c>
      <c r="AF509" s="346"/>
      <c r="AG509" s="29">
        <f t="shared" si="88"/>
        <v>0</v>
      </c>
      <c r="AK509" s="494" t="s">
        <v>38</v>
      </c>
      <c r="AL509" s="471">
        <f>AG530</f>
        <v>0</v>
      </c>
      <c r="AM509" s="510">
        <v>75</v>
      </c>
      <c r="AN509" s="510">
        <f t="shared" si="86"/>
        <v>0</v>
      </c>
    </row>
    <row r="510" spans="2:47" ht="14.25" hidden="1" thickBot="1">
      <c r="B510" s="457" t="s">
        <v>46</v>
      </c>
      <c r="C510" s="441" t="s">
        <v>75</v>
      </c>
      <c r="D510" s="47">
        <v>0.25</v>
      </c>
      <c r="E510" s="319">
        <v>8</v>
      </c>
      <c r="F510" s="320"/>
      <c r="G510" s="4"/>
      <c r="H510" s="47">
        <v>0.375</v>
      </c>
      <c r="I510" s="47">
        <v>0.25</v>
      </c>
      <c r="J510" s="319">
        <v>8</v>
      </c>
      <c r="K510" s="320"/>
      <c r="L510" s="4"/>
      <c r="M510" s="47">
        <v>0.375</v>
      </c>
      <c r="N510" s="47">
        <v>0.25</v>
      </c>
      <c r="O510" s="319">
        <v>8</v>
      </c>
      <c r="P510" s="320"/>
      <c r="R510" s="47">
        <v>0.375</v>
      </c>
      <c r="S510" s="47">
        <v>0.25</v>
      </c>
      <c r="T510" s="319">
        <v>8</v>
      </c>
      <c r="U510" s="320"/>
      <c r="W510" s="47">
        <v>0</v>
      </c>
      <c r="X510" s="47">
        <v>0</v>
      </c>
      <c r="Y510" s="319">
        <v>0</v>
      </c>
      <c r="Z510" s="320"/>
      <c r="AA510" s="29">
        <f t="shared" si="87"/>
        <v>32</v>
      </c>
      <c r="AB510" s="298">
        <f>Z510+U510+P510+K510+F509</f>
        <v>0</v>
      </c>
      <c r="AC510" s="4"/>
      <c r="AD510" s="47" t="s">
        <v>29</v>
      </c>
      <c r="AE510" s="47" t="s">
        <v>29</v>
      </c>
      <c r="AF510" s="346"/>
      <c r="AG510" s="29">
        <f t="shared" si="88"/>
        <v>0</v>
      </c>
      <c r="AK510" s="494" t="s">
        <v>41</v>
      </c>
      <c r="AL510" s="471">
        <f>C531</f>
        <v>92</v>
      </c>
      <c r="AM510" s="512">
        <v>45</v>
      </c>
      <c r="AN510" s="512">
        <f t="shared" si="86"/>
        <v>4140</v>
      </c>
    </row>
    <row r="511" spans="2:47" ht="14.25" hidden="1" thickTop="1">
      <c r="B511" s="457" t="s">
        <v>43</v>
      </c>
      <c r="C511" s="441" t="s">
        <v>75</v>
      </c>
      <c r="D511" s="47">
        <v>0.25</v>
      </c>
      <c r="E511" s="319">
        <v>8</v>
      </c>
      <c r="F511" s="320"/>
      <c r="G511" s="4"/>
      <c r="H511" s="47">
        <v>0.375</v>
      </c>
      <c r="I511" s="47">
        <v>0.25</v>
      </c>
      <c r="J511" s="319">
        <v>8</v>
      </c>
      <c r="K511" s="320"/>
      <c r="L511" s="4"/>
      <c r="M511" s="47">
        <v>0.375</v>
      </c>
      <c r="N511" s="47">
        <v>0.25</v>
      </c>
      <c r="O511" s="319">
        <v>8</v>
      </c>
      <c r="P511" s="320"/>
      <c r="R511" s="47">
        <v>0.375</v>
      </c>
      <c r="S511" s="47">
        <v>0.25</v>
      </c>
      <c r="T511" s="319">
        <v>8</v>
      </c>
      <c r="U511" s="320"/>
      <c r="W511" s="47">
        <v>0.375</v>
      </c>
      <c r="X511" s="47">
        <v>0.25</v>
      </c>
      <c r="Y511" s="319">
        <v>8</v>
      </c>
      <c r="Z511" s="320"/>
      <c r="AA511" s="29">
        <f t="shared" si="87"/>
        <v>40</v>
      </c>
      <c r="AB511" s="298">
        <f>Z511+U511+P511+K511+F510</f>
        <v>0</v>
      </c>
      <c r="AC511" s="4"/>
      <c r="AD511" s="47" t="s">
        <v>29</v>
      </c>
      <c r="AE511" s="47" t="s">
        <v>29</v>
      </c>
      <c r="AF511" s="346"/>
      <c r="AG511" s="29">
        <f t="shared" si="88"/>
        <v>0</v>
      </c>
      <c r="AN511" s="510">
        <f>SUM(AN504:AN510)</f>
        <v>32922.5</v>
      </c>
    </row>
    <row r="512" spans="2:47" hidden="1">
      <c r="B512" s="461" t="s">
        <v>113</v>
      </c>
      <c r="C512" s="441" t="s">
        <v>75</v>
      </c>
      <c r="D512" s="47">
        <v>0.25</v>
      </c>
      <c r="E512" s="319">
        <v>8</v>
      </c>
      <c r="F512" s="320"/>
      <c r="G512" s="4"/>
      <c r="H512" s="47">
        <v>0.375</v>
      </c>
      <c r="I512" s="47">
        <v>0.25</v>
      </c>
      <c r="J512" s="319">
        <v>8</v>
      </c>
      <c r="K512" s="320"/>
      <c r="L512" s="4"/>
      <c r="M512" s="47">
        <v>0.35416666666666669</v>
      </c>
      <c r="N512" s="47">
        <v>0.25</v>
      </c>
      <c r="O512" s="319">
        <v>8</v>
      </c>
      <c r="P512" s="320"/>
      <c r="R512" s="47">
        <v>0.375</v>
      </c>
      <c r="S512" s="47">
        <v>0.25</v>
      </c>
      <c r="T512" s="319">
        <v>8</v>
      </c>
      <c r="U512" s="320"/>
      <c r="W512" s="47">
        <v>0.375</v>
      </c>
      <c r="X512" s="47">
        <v>0.25</v>
      </c>
      <c r="Y512" s="319">
        <v>8</v>
      </c>
      <c r="Z512" s="320"/>
      <c r="AA512" s="29">
        <f t="shared" si="87"/>
        <v>40</v>
      </c>
      <c r="AB512" s="298">
        <f>Z512+U512+P512+K512+F511</f>
        <v>0</v>
      </c>
      <c r="AC512" s="4"/>
      <c r="AD512" s="47" t="s">
        <v>29</v>
      </c>
      <c r="AE512" s="47" t="s">
        <v>29</v>
      </c>
      <c r="AF512" s="346"/>
      <c r="AG512" s="29">
        <f t="shared" si="88"/>
        <v>0</v>
      </c>
    </row>
    <row r="513" spans="2:37" hidden="1">
      <c r="B513" s="457" t="s">
        <v>44</v>
      </c>
      <c r="C513" s="441" t="s">
        <v>75</v>
      </c>
      <c r="D513" s="47">
        <v>0.25</v>
      </c>
      <c r="E513" s="319">
        <v>8</v>
      </c>
      <c r="F513" s="320"/>
      <c r="G513" s="4"/>
      <c r="H513" s="47">
        <v>0.375</v>
      </c>
      <c r="I513" s="47">
        <v>0.25</v>
      </c>
      <c r="J513" s="319">
        <v>8</v>
      </c>
      <c r="K513" s="320"/>
      <c r="L513" s="4"/>
      <c r="M513" s="47">
        <v>0.35416666666666669</v>
      </c>
      <c r="N513" s="47">
        <v>0.25</v>
      </c>
      <c r="O513" s="319">
        <v>8</v>
      </c>
      <c r="P513" s="320"/>
      <c r="R513" s="47">
        <v>0.39583333333333331</v>
      </c>
      <c r="S513" s="47">
        <v>0.25</v>
      </c>
      <c r="T513" s="319">
        <v>8</v>
      </c>
      <c r="U513" s="320"/>
      <c r="W513" s="47">
        <v>0</v>
      </c>
      <c r="X513" s="4">
        <v>0</v>
      </c>
      <c r="Y513" s="319">
        <v>0</v>
      </c>
      <c r="Z513" s="320"/>
      <c r="AA513" s="29">
        <f t="shared" si="87"/>
        <v>32</v>
      </c>
      <c r="AB513" s="298">
        <f t="shared" ref="AB513:AB526" si="89">Z513+U513+P513+K513+F513</f>
        <v>0</v>
      </c>
      <c r="AC513" s="4"/>
      <c r="AD513" s="47" t="s">
        <v>29</v>
      </c>
      <c r="AE513" s="47" t="s">
        <v>29</v>
      </c>
      <c r="AF513" s="346"/>
      <c r="AG513" s="29">
        <f t="shared" si="88"/>
        <v>0</v>
      </c>
    </row>
    <row r="514" spans="2:37" hidden="1">
      <c r="B514" s="457" t="s">
        <v>45</v>
      </c>
      <c r="C514" s="441" t="s">
        <v>75</v>
      </c>
      <c r="D514" s="47">
        <v>0.25</v>
      </c>
      <c r="E514" s="319">
        <v>8</v>
      </c>
      <c r="F514" s="320"/>
      <c r="G514" s="4"/>
      <c r="H514" s="47">
        <v>0.375</v>
      </c>
      <c r="I514" s="47">
        <v>0.25</v>
      </c>
      <c r="J514" s="319">
        <v>8</v>
      </c>
      <c r="K514" s="320"/>
      <c r="L514" s="4"/>
      <c r="M514" s="47" t="s">
        <v>252</v>
      </c>
      <c r="N514" s="47"/>
      <c r="O514" s="319">
        <v>0</v>
      </c>
      <c r="P514" s="320"/>
      <c r="R514" s="47">
        <v>0.375</v>
      </c>
      <c r="S514" s="47">
        <v>0.25</v>
      </c>
      <c r="T514" s="319">
        <v>8</v>
      </c>
      <c r="U514" s="320"/>
      <c r="W514" s="47">
        <v>0.36458333333333331</v>
      </c>
      <c r="X514" s="47">
        <v>0.25</v>
      </c>
      <c r="Y514" s="319">
        <v>8</v>
      </c>
      <c r="Z514" s="320"/>
      <c r="AA514" s="29">
        <f t="shared" si="87"/>
        <v>32</v>
      </c>
      <c r="AB514" s="298">
        <f t="shared" si="89"/>
        <v>0</v>
      </c>
      <c r="AC514" s="4"/>
      <c r="AD514" s="47" t="s">
        <v>29</v>
      </c>
      <c r="AE514" s="47" t="s">
        <v>29</v>
      </c>
      <c r="AF514" s="346"/>
      <c r="AG514" s="29">
        <f t="shared" si="88"/>
        <v>0</v>
      </c>
    </row>
    <row r="515" spans="2:37" hidden="1">
      <c r="B515" s="458" t="s">
        <v>244</v>
      </c>
      <c r="C515" s="441" t="s">
        <v>75</v>
      </c>
      <c r="D515" s="47">
        <v>0.25</v>
      </c>
      <c r="E515" s="319">
        <v>8</v>
      </c>
      <c r="F515" s="320"/>
      <c r="G515" s="4"/>
      <c r="H515" s="47">
        <v>0.36458333333333331</v>
      </c>
      <c r="I515" s="47">
        <v>0.25</v>
      </c>
      <c r="J515" s="319">
        <v>8</v>
      </c>
      <c r="K515" s="320"/>
      <c r="L515" s="4"/>
      <c r="M515" s="47">
        <v>0.35416666666666669</v>
      </c>
      <c r="N515" s="47">
        <v>0.25</v>
      </c>
      <c r="O515" s="319">
        <v>8</v>
      </c>
      <c r="P515" s="320"/>
      <c r="R515" s="47">
        <v>0.375</v>
      </c>
      <c r="S515" s="47">
        <v>0.25</v>
      </c>
      <c r="T515" s="319">
        <v>8</v>
      </c>
      <c r="U515" s="320"/>
      <c r="W515" s="47">
        <v>0.375</v>
      </c>
      <c r="X515" s="47">
        <v>0.25</v>
      </c>
      <c r="Y515" s="319">
        <v>8</v>
      </c>
      <c r="Z515" s="320"/>
      <c r="AA515" s="29">
        <f t="shared" si="87"/>
        <v>40</v>
      </c>
      <c r="AB515" s="298">
        <f t="shared" si="89"/>
        <v>0</v>
      </c>
      <c r="AC515" s="4"/>
      <c r="AD515" s="47" t="s">
        <v>29</v>
      </c>
      <c r="AE515" s="47" t="s">
        <v>29</v>
      </c>
      <c r="AF515" s="19"/>
      <c r="AG515" s="29">
        <f t="shared" si="88"/>
        <v>0</v>
      </c>
    </row>
    <row r="516" spans="2:37" hidden="1">
      <c r="B516" s="457" t="s">
        <v>112</v>
      </c>
      <c r="C516" s="441" t="s">
        <v>75</v>
      </c>
      <c r="D516" s="47">
        <v>0.25</v>
      </c>
      <c r="E516" s="319">
        <v>8</v>
      </c>
      <c r="F516" s="320"/>
      <c r="G516" s="4"/>
      <c r="H516" s="47">
        <v>0.375</v>
      </c>
      <c r="I516" s="47">
        <v>0.25</v>
      </c>
      <c r="J516" s="319">
        <v>8</v>
      </c>
      <c r="K516" s="320"/>
      <c r="L516" s="4"/>
      <c r="M516" s="47">
        <v>0.375</v>
      </c>
      <c r="N516" s="47">
        <v>0.25</v>
      </c>
      <c r="O516" s="319">
        <v>8</v>
      </c>
      <c r="P516" s="320"/>
      <c r="R516" s="47">
        <v>0.375</v>
      </c>
      <c r="S516" s="47">
        <v>0.25</v>
      </c>
      <c r="T516" s="319">
        <v>8</v>
      </c>
      <c r="U516" s="320"/>
      <c r="W516" s="47">
        <v>0.375</v>
      </c>
      <c r="X516" s="47">
        <v>0.25</v>
      </c>
      <c r="Y516" s="319">
        <v>8</v>
      </c>
      <c r="Z516" s="320"/>
      <c r="AA516" s="29">
        <f t="shared" si="87"/>
        <v>40</v>
      </c>
      <c r="AB516" s="298">
        <f t="shared" si="89"/>
        <v>0</v>
      </c>
      <c r="AC516" s="4"/>
      <c r="AD516" s="47" t="s">
        <v>29</v>
      </c>
      <c r="AE516" s="47" t="s">
        <v>29</v>
      </c>
      <c r="AF516" s="19"/>
      <c r="AG516" s="29">
        <f t="shared" si="88"/>
        <v>0</v>
      </c>
    </row>
    <row r="517" spans="2:37" hidden="1">
      <c r="B517" s="164" t="s">
        <v>39</v>
      </c>
      <c r="C517" s="441" t="s">
        <v>75</v>
      </c>
      <c r="D517" s="47">
        <v>0.25</v>
      </c>
      <c r="E517" s="319">
        <v>8</v>
      </c>
      <c r="F517" s="320"/>
      <c r="G517" s="4"/>
      <c r="H517" s="441" t="s">
        <v>75</v>
      </c>
      <c r="I517" s="47">
        <v>0.25</v>
      </c>
      <c r="J517" s="319">
        <v>8</v>
      </c>
      <c r="K517" s="320"/>
      <c r="L517" s="4"/>
      <c r="M517" s="47" t="s">
        <v>252</v>
      </c>
      <c r="N517" s="47"/>
      <c r="O517" s="319">
        <v>0</v>
      </c>
      <c r="P517" s="320"/>
      <c r="R517" s="441" t="s">
        <v>75</v>
      </c>
      <c r="S517" s="47">
        <v>0.25</v>
      </c>
      <c r="T517" s="319">
        <v>8</v>
      </c>
      <c r="U517" s="320"/>
      <c r="W517" s="441" t="s">
        <v>75</v>
      </c>
      <c r="X517" s="47">
        <v>0.25</v>
      </c>
      <c r="Y517" s="319">
        <v>8</v>
      </c>
      <c r="Z517" s="320"/>
      <c r="AA517" s="29">
        <f t="shared" si="87"/>
        <v>32</v>
      </c>
      <c r="AB517" s="298">
        <f t="shared" si="89"/>
        <v>0</v>
      </c>
      <c r="AC517" s="4"/>
      <c r="AD517" s="47" t="s">
        <v>29</v>
      </c>
      <c r="AE517" s="47" t="s">
        <v>29</v>
      </c>
      <c r="AF517" s="19"/>
      <c r="AG517" s="29">
        <f t="shared" si="88"/>
        <v>0</v>
      </c>
    </row>
    <row r="518" spans="2:37" hidden="1">
      <c r="B518" s="164" t="s">
        <v>241</v>
      </c>
      <c r="C518" s="441" t="s">
        <v>76</v>
      </c>
      <c r="D518" s="47">
        <v>0.25</v>
      </c>
      <c r="E518" s="319">
        <v>8</v>
      </c>
      <c r="F518" s="320"/>
      <c r="G518" s="4"/>
      <c r="H518" s="441" t="s">
        <v>75</v>
      </c>
      <c r="I518" s="47">
        <v>0.25</v>
      </c>
      <c r="J518" s="319">
        <v>8</v>
      </c>
      <c r="K518" s="320"/>
      <c r="L518" s="4"/>
      <c r="M518" s="47">
        <v>0.375</v>
      </c>
      <c r="N518" s="47">
        <v>0.25</v>
      </c>
      <c r="O518" s="319">
        <v>8</v>
      </c>
      <c r="P518" s="320"/>
      <c r="R518" s="441" t="s">
        <v>76</v>
      </c>
      <c r="S518" s="47">
        <v>0.25</v>
      </c>
      <c r="T518" s="319">
        <v>8</v>
      </c>
      <c r="U518" s="320"/>
      <c r="W518" s="441" t="s">
        <v>74</v>
      </c>
      <c r="X518" s="47">
        <v>0.25</v>
      </c>
      <c r="Y518" s="319">
        <v>8</v>
      </c>
      <c r="Z518" s="320"/>
      <c r="AA518" s="29">
        <f t="shared" si="87"/>
        <v>40</v>
      </c>
      <c r="AB518" s="298">
        <f t="shared" si="89"/>
        <v>0</v>
      </c>
      <c r="AC518" s="4"/>
      <c r="AD518" s="47" t="s">
        <v>29</v>
      </c>
      <c r="AE518" s="47" t="s">
        <v>29</v>
      </c>
      <c r="AF518" s="19"/>
      <c r="AG518" s="29">
        <f t="shared" si="88"/>
        <v>0</v>
      </c>
    </row>
    <row r="519" spans="2:37" hidden="1">
      <c r="B519" s="164" t="s">
        <v>42</v>
      </c>
      <c r="C519" s="441" t="s">
        <v>75</v>
      </c>
      <c r="D519" s="47">
        <v>0.25</v>
      </c>
      <c r="E519" s="319">
        <v>8</v>
      </c>
      <c r="F519" s="320"/>
      <c r="G519" s="4"/>
      <c r="H519" s="47">
        <v>0.36458333333333331</v>
      </c>
      <c r="I519" s="47">
        <v>0.25</v>
      </c>
      <c r="J519" s="319">
        <v>8</v>
      </c>
      <c r="K519" s="320"/>
      <c r="L519" s="4"/>
      <c r="M519" s="47">
        <v>0.375</v>
      </c>
      <c r="N519" s="47">
        <v>0.25</v>
      </c>
      <c r="O519" s="319">
        <v>8</v>
      </c>
      <c r="P519" s="320"/>
      <c r="R519" s="47">
        <v>0.375</v>
      </c>
      <c r="S519" s="47">
        <v>0.25</v>
      </c>
      <c r="T519" s="319">
        <v>8</v>
      </c>
      <c r="U519" s="320"/>
      <c r="W519" s="47">
        <v>0</v>
      </c>
      <c r="X519" s="47">
        <v>0</v>
      </c>
      <c r="Y519" s="319">
        <v>0</v>
      </c>
      <c r="Z519" s="320"/>
      <c r="AA519" s="29">
        <f t="shared" si="87"/>
        <v>32</v>
      </c>
      <c r="AB519" s="298">
        <f t="shared" si="89"/>
        <v>0</v>
      </c>
      <c r="AC519" s="4"/>
      <c r="AD519" s="47" t="s">
        <v>29</v>
      </c>
      <c r="AE519" s="47" t="s">
        <v>29</v>
      </c>
      <c r="AF519" s="19"/>
      <c r="AG519" s="29">
        <f t="shared" si="88"/>
        <v>0</v>
      </c>
    </row>
    <row r="520" spans="2:37" hidden="1">
      <c r="B520" s="166" t="s">
        <v>48</v>
      </c>
      <c r="C520" s="16" t="s">
        <v>29</v>
      </c>
      <c r="D520" s="16" t="s">
        <v>29</v>
      </c>
      <c r="E520" s="319">
        <v>8</v>
      </c>
      <c r="F520" s="320"/>
      <c r="G520" s="4"/>
      <c r="H520" s="16" t="s">
        <v>29</v>
      </c>
      <c r="I520" s="16" t="s">
        <v>29</v>
      </c>
      <c r="J520" s="319">
        <v>8</v>
      </c>
      <c r="K520" s="320"/>
      <c r="L520" s="4"/>
      <c r="M520" s="16" t="s">
        <v>29</v>
      </c>
      <c r="N520" s="16" t="s">
        <v>29</v>
      </c>
      <c r="O520" s="319">
        <v>8</v>
      </c>
      <c r="P520" s="320"/>
      <c r="R520" s="16" t="s">
        <v>29</v>
      </c>
      <c r="S520" s="16" t="s">
        <v>29</v>
      </c>
      <c r="T520" s="319">
        <v>8</v>
      </c>
      <c r="U520" s="320"/>
      <c r="W520" s="16" t="s">
        <v>29</v>
      </c>
      <c r="X520" s="16" t="s">
        <v>29</v>
      </c>
      <c r="Y520" s="319">
        <v>8</v>
      </c>
      <c r="Z520" s="320"/>
      <c r="AA520" s="29">
        <f t="shared" si="87"/>
        <v>40</v>
      </c>
      <c r="AB520" s="298">
        <f t="shared" si="89"/>
        <v>0</v>
      </c>
      <c r="AC520" s="4"/>
      <c r="AD520" s="47" t="s">
        <v>29</v>
      </c>
      <c r="AE520" s="47" t="s">
        <v>29</v>
      </c>
      <c r="AF520" s="19"/>
      <c r="AG520" s="29">
        <f t="shared" si="88"/>
        <v>0</v>
      </c>
    </row>
    <row r="521" spans="2:37" hidden="1">
      <c r="B521" s="166" t="s">
        <v>49</v>
      </c>
      <c r="C521" s="16" t="s">
        <v>29</v>
      </c>
      <c r="D521" s="16" t="s">
        <v>29</v>
      </c>
      <c r="E521" s="319">
        <v>8</v>
      </c>
      <c r="F521" s="320"/>
      <c r="G521" s="4"/>
      <c r="H521" s="16" t="s">
        <v>29</v>
      </c>
      <c r="I521" s="16" t="s">
        <v>29</v>
      </c>
      <c r="J521" s="319">
        <v>8</v>
      </c>
      <c r="K521" s="320"/>
      <c r="L521" s="4"/>
      <c r="M521" s="47" t="s">
        <v>251</v>
      </c>
      <c r="N521" s="47"/>
      <c r="O521" s="319">
        <v>0</v>
      </c>
      <c r="P521" s="320"/>
      <c r="R521" s="47">
        <v>0</v>
      </c>
      <c r="S521" s="47">
        <v>0</v>
      </c>
      <c r="T521" s="319">
        <v>0</v>
      </c>
      <c r="U521" s="320"/>
      <c r="W521" s="47">
        <v>0</v>
      </c>
      <c r="X521" s="47">
        <v>0</v>
      </c>
      <c r="Y521" s="319">
        <v>0</v>
      </c>
      <c r="Z521" s="320"/>
      <c r="AA521" s="29">
        <f t="shared" si="87"/>
        <v>16</v>
      </c>
      <c r="AB521" s="298">
        <f t="shared" si="89"/>
        <v>0</v>
      </c>
      <c r="AC521" s="4"/>
      <c r="AD521" s="47" t="s">
        <v>29</v>
      </c>
      <c r="AE521" s="47" t="s">
        <v>29</v>
      </c>
      <c r="AF521" s="19"/>
      <c r="AG521" s="29">
        <f t="shared" si="88"/>
        <v>0</v>
      </c>
    </row>
    <row r="522" spans="2:37" hidden="1">
      <c r="B522" s="166" t="s">
        <v>107</v>
      </c>
      <c r="C522" s="47" t="s">
        <v>29</v>
      </c>
      <c r="D522" s="47" t="s">
        <v>29</v>
      </c>
      <c r="E522" s="319">
        <v>0</v>
      </c>
      <c r="F522" s="320"/>
      <c r="G522" s="4"/>
      <c r="H522" s="47" t="s">
        <v>29</v>
      </c>
      <c r="I522" s="47" t="s">
        <v>29</v>
      </c>
      <c r="J522" s="319">
        <v>0</v>
      </c>
      <c r="K522" s="320"/>
      <c r="L522" s="4"/>
      <c r="M522" s="47" t="s">
        <v>29</v>
      </c>
      <c r="N522" s="47" t="s">
        <v>29</v>
      </c>
      <c r="O522" s="319">
        <v>0</v>
      </c>
      <c r="P522" s="320"/>
      <c r="R522" s="47" t="s">
        <v>29</v>
      </c>
      <c r="S522" s="47" t="s">
        <v>29</v>
      </c>
      <c r="T522" s="319">
        <v>0</v>
      </c>
      <c r="U522" s="320"/>
      <c r="W522" s="47" t="s">
        <v>29</v>
      </c>
      <c r="X522" s="47" t="s">
        <v>29</v>
      </c>
      <c r="Y522" s="319">
        <v>0</v>
      </c>
      <c r="Z522" s="320"/>
      <c r="AA522" s="29">
        <f t="shared" si="87"/>
        <v>0</v>
      </c>
      <c r="AB522" s="298">
        <f t="shared" si="89"/>
        <v>0</v>
      </c>
      <c r="AC522" s="4"/>
      <c r="AD522" s="47" t="s">
        <v>29</v>
      </c>
      <c r="AE522" s="47" t="s">
        <v>29</v>
      </c>
      <c r="AF522" s="19"/>
      <c r="AG522" s="29">
        <f t="shared" si="88"/>
        <v>0</v>
      </c>
    </row>
    <row r="523" spans="2:37" hidden="1">
      <c r="B523" s="166" t="s">
        <v>59</v>
      </c>
      <c r="C523" s="47" t="s">
        <v>29</v>
      </c>
      <c r="D523" s="16" t="s">
        <v>29</v>
      </c>
      <c r="E523" s="319">
        <v>8</v>
      </c>
      <c r="F523" s="320"/>
      <c r="G523" s="4"/>
      <c r="H523" s="47" t="s">
        <v>29</v>
      </c>
      <c r="I523" s="16" t="s">
        <v>29</v>
      </c>
      <c r="J523" s="319">
        <v>8</v>
      </c>
      <c r="K523" s="320"/>
      <c r="L523" s="4"/>
      <c r="M523" s="47" t="s">
        <v>29</v>
      </c>
      <c r="N523" s="16" t="s">
        <v>29</v>
      </c>
      <c r="O523" s="319">
        <v>8</v>
      </c>
      <c r="P523" s="320"/>
      <c r="R523" s="47" t="s">
        <v>29</v>
      </c>
      <c r="S523" s="16" t="s">
        <v>29</v>
      </c>
      <c r="T523" s="319">
        <v>8</v>
      </c>
      <c r="U523" s="320"/>
      <c r="W523" s="47" t="s">
        <v>29</v>
      </c>
      <c r="X523" s="16" t="s">
        <v>29</v>
      </c>
      <c r="Y523" s="319">
        <v>8</v>
      </c>
      <c r="Z523" s="320"/>
      <c r="AA523" s="29">
        <f t="shared" si="87"/>
        <v>40</v>
      </c>
      <c r="AB523" s="298">
        <f t="shared" si="89"/>
        <v>0</v>
      </c>
      <c r="AC523" s="4"/>
      <c r="AD523" s="47" t="s">
        <v>29</v>
      </c>
      <c r="AE523" s="47" t="s">
        <v>29</v>
      </c>
      <c r="AF523" s="19"/>
      <c r="AG523" s="29">
        <f t="shared" si="88"/>
        <v>0</v>
      </c>
    </row>
    <row r="524" spans="2:37" hidden="1">
      <c r="B524" s="166" t="s">
        <v>60</v>
      </c>
      <c r="C524" s="16" t="s">
        <v>29</v>
      </c>
      <c r="D524" s="16" t="s">
        <v>29</v>
      </c>
      <c r="E524" s="319">
        <v>8</v>
      </c>
      <c r="F524" s="320"/>
      <c r="G524" s="4"/>
      <c r="H524" s="16" t="s">
        <v>29</v>
      </c>
      <c r="I524" s="16" t="s">
        <v>29</v>
      </c>
      <c r="J524" s="319">
        <v>8</v>
      </c>
      <c r="K524" s="320"/>
      <c r="L524" s="4"/>
      <c r="M524" s="16" t="s">
        <v>29</v>
      </c>
      <c r="N524" s="16" t="s">
        <v>29</v>
      </c>
      <c r="O524" s="319">
        <v>8</v>
      </c>
      <c r="P524" s="320"/>
      <c r="R524" s="16" t="s">
        <v>29</v>
      </c>
      <c r="S524" s="16" t="s">
        <v>29</v>
      </c>
      <c r="T524" s="319">
        <v>8</v>
      </c>
      <c r="U524" s="320"/>
      <c r="W524" s="16" t="s">
        <v>29</v>
      </c>
      <c r="X524" s="16" t="s">
        <v>29</v>
      </c>
      <c r="Y524" s="319">
        <v>8</v>
      </c>
      <c r="Z524" s="320"/>
      <c r="AA524" s="29">
        <f t="shared" si="87"/>
        <v>40</v>
      </c>
      <c r="AB524" s="298">
        <f t="shared" si="89"/>
        <v>0</v>
      </c>
      <c r="AC524" s="4"/>
      <c r="AD524" s="47" t="s">
        <v>29</v>
      </c>
      <c r="AE524" s="47" t="s">
        <v>29</v>
      </c>
      <c r="AF524" s="19"/>
      <c r="AG524" s="29">
        <f t="shared" si="88"/>
        <v>0</v>
      </c>
    </row>
    <row r="525" spans="2:37" hidden="1">
      <c r="B525" s="63" t="s">
        <v>63</v>
      </c>
      <c r="C525" s="12" t="s">
        <v>29</v>
      </c>
      <c r="D525" s="12" t="s">
        <v>29</v>
      </c>
      <c r="E525" s="319">
        <v>5</v>
      </c>
      <c r="F525" s="320"/>
      <c r="G525" s="438"/>
      <c r="H525" s="12" t="s">
        <v>29</v>
      </c>
      <c r="I525" s="12" t="s">
        <v>29</v>
      </c>
      <c r="J525" s="319">
        <v>5</v>
      </c>
      <c r="K525" s="320"/>
      <c r="L525" s="438"/>
      <c r="M525" s="12" t="s">
        <v>29</v>
      </c>
      <c r="N525" s="12" t="s">
        <v>29</v>
      </c>
      <c r="O525" s="319">
        <v>5</v>
      </c>
      <c r="P525" s="320"/>
      <c r="Q525" s="438"/>
      <c r="R525" s="12" t="s">
        <v>29</v>
      </c>
      <c r="S525" s="12" t="s">
        <v>29</v>
      </c>
      <c r="T525" s="319">
        <v>5</v>
      </c>
      <c r="U525" s="320"/>
      <c r="V525" s="438"/>
      <c r="W525" s="12" t="s">
        <v>29</v>
      </c>
      <c r="X525" s="12" t="s">
        <v>29</v>
      </c>
      <c r="Y525" s="319">
        <v>5.5</v>
      </c>
      <c r="Z525" s="320"/>
      <c r="AA525" s="29">
        <f t="shared" si="87"/>
        <v>25.5</v>
      </c>
      <c r="AB525" s="298">
        <f t="shared" si="89"/>
        <v>0</v>
      </c>
      <c r="AC525" s="4"/>
      <c r="AD525" s="47" t="s">
        <v>29</v>
      </c>
      <c r="AE525" s="47" t="s">
        <v>29</v>
      </c>
      <c r="AF525" s="19"/>
      <c r="AG525" s="29">
        <f t="shared" si="88"/>
        <v>0</v>
      </c>
      <c r="AK525" s="407"/>
    </row>
    <row r="526" spans="2:37" hidden="1">
      <c r="B526" s="63" t="s">
        <v>250</v>
      </c>
      <c r="C526" s="12" t="s">
        <v>29</v>
      </c>
      <c r="D526" s="12" t="s">
        <v>29</v>
      </c>
      <c r="E526" s="319">
        <v>0</v>
      </c>
      <c r="F526" s="320"/>
      <c r="G526" s="438"/>
      <c r="H526" s="12" t="s">
        <v>29</v>
      </c>
      <c r="I526" s="12" t="s">
        <v>29</v>
      </c>
      <c r="J526" s="319">
        <v>0</v>
      </c>
      <c r="K526" s="320"/>
      <c r="L526" s="438"/>
      <c r="M526" s="12" t="s">
        <v>29</v>
      </c>
      <c r="N526" s="12" t="s">
        <v>29</v>
      </c>
      <c r="O526" s="319">
        <v>0</v>
      </c>
      <c r="P526" s="320"/>
      <c r="Q526" s="438"/>
      <c r="R526" s="12" t="s">
        <v>29</v>
      </c>
      <c r="S526" s="12" t="s">
        <v>29</v>
      </c>
      <c r="T526" s="319">
        <v>0</v>
      </c>
      <c r="U526" s="320"/>
      <c r="V526" s="438"/>
      <c r="W526" s="12" t="s">
        <v>29</v>
      </c>
      <c r="X526" s="12" t="s">
        <v>29</v>
      </c>
      <c r="Y526" s="319">
        <v>0</v>
      </c>
      <c r="Z526" s="320"/>
      <c r="AA526" s="29">
        <f t="shared" si="87"/>
        <v>0</v>
      </c>
      <c r="AB526" s="298">
        <f t="shared" si="89"/>
        <v>0</v>
      </c>
      <c r="AC526" s="4"/>
      <c r="AD526" s="47" t="s">
        <v>29</v>
      </c>
      <c r="AE526" s="47" t="s">
        <v>29</v>
      </c>
      <c r="AF526" s="19"/>
      <c r="AG526" s="29">
        <f t="shared" si="88"/>
        <v>0</v>
      </c>
      <c r="AK526" s="407"/>
    </row>
    <row r="527" spans="2:37" hidden="1">
      <c r="B527" s="64" t="s">
        <v>61</v>
      </c>
      <c r="C527" s="31"/>
      <c r="D527" s="31"/>
      <c r="E527" s="439">
        <f>SUM(E505:E526)</f>
        <v>156.75</v>
      </c>
      <c r="F527" s="320">
        <f>SUM(F505:F519)</f>
        <v>0</v>
      </c>
      <c r="G527" s="31"/>
      <c r="H527" s="31"/>
      <c r="I527" s="31"/>
      <c r="J527" s="439">
        <f>SUM(J505:J526)</f>
        <v>157</v>
      </c>
      <c r="K527" s="320">
        <f>SUM(K505:K519)</f>
        <v>0</v>
      </c>
      <c r="L527" s="31"/>
      <c r="M527" s="31"/>
      <c r="N527" s="31"/>
      <c r="O527" s="439">
        <f>SUM(O505:O526)</f>
        <v>133</v>
      </c>
      <c r="P527" s="320">
        <f>SUM(P505:P524)</f>
        <v>0</v>
      </c>
      <c r="Q527" s="31"/>
      <c r="R527" s="439"/>
      <c r="S527" s="31"/>
      <c r="T527" s="439">
        <f>SUM(T505:T526)</f>
        <v>149</v>
      </c>
      <c r="U527" s="320">
        <f>SUM(U505:U524)</f>
        <v>0</v>
      </c>
      <c r="V527" s="31"/>
      <c r="W527" s="439"/>
      <c r="X527" s="31"/>
      <c r="Y527" s="439">
        <f>SUM(Y505:Y526)</f>
        <v>125.5</v>
      </c>
      <c r="Z527" s="320">
        <f>SUM(Z505:Z519)</f>
        <v>0</v>
      </c>
      <c r="AA527" s="370">
        <f>SUM(AA505:AA526)</f>
        <v>721.25</v>
      </c>
      <c r="AB527" s="370">
        <f>SUM(AB505:AB526)</f>
        <v>0</v>
      </c>
      <c r="AC527" s="4"/>
      <c r="AD527" s="64"/>
      <c r="AE527" s="64"/>
      <c r="AF527" s="167">
        <f>SUM(AF505:AF526)</f>
        <v>0</v>
      </c>
      <c r="AG527" s="370">
        <f>SUM(AG505:AG526)</f>
        <v>0</v>
      </c>
    </row>
    <row r="528" spans="2:37" hidden="1">
      <c r="B528" s="63" t="s">
        <v>64</v>
      </c>
      <c r="C528" s="56" t="s">
        <v>29</v>
      </c>
      <c r="D528" s="56" t="s">
        <v>29</v>
      </c>
      <c r="E528" s="19">
        <v>0.5</v>
      </c>
      <c r="F528" s="291"/>
      <c r="G528" s="60"/>
      <c r="H528" s="56" t="s">
        <v>29</v>
      </c>
      <c r="I528" s="56" t="s">
        <v>29</v>
      </c>
      <c r="J528" s="19">
        <v>0.5</v>
      </c>
      <c r="K528" s="291"/>
      <c r="L528" s="60"/>
      <c r="M528" s="56" t="s">
        <v>29</v>
      </c>
      <c r="N528" s="56" t="s">
        <v>29</v>
      </c>
      <c r="O528" s="19">
        <v>0.5</v>
      </c>
      <c r="P528" s="19"/>
      <c r="Q528" s="60"/>
      <c r="R528" s="56" t="s">
        <v>29</v>
      </c>
      <c r="S528" s="56" t="s">
        <v>29</v>
      </c>
      <c r="T528" s="19">
        <v>0.5</v>
      </c>
      <c r="U528" s="19"/>
      <c r="V528" s="60"/>
      <c r="W528" s="56" t="s">
        <v>29</v>
      </c>
      <c r="X528" s="56" t="s">
        <v>29</v>
      </c>
      <c r="Y528" s="19">
        <v>0.5</v>
      </c>
      <c r="Z528" s="19"/>
      <c r="AA528" s="28">
        <f>SUM(E528+J528+O528+T528+Y528)</f>
        <v>2.5</v>
      </c>
      <c r="AB528" s="296">
        <f>Z528+U528+P528+K528+F528</f>
        <v>0</v>
      </c>
      <c r="AC528" s="4"/>
      <c r="AD528" s="56"/>
      <c r="AE528" s="56"/>
      <c r="AF528" s="19"/>
      <c r="AG528" s="29">
        <f>AF528</f>
        <v>0</v>
      </c>
    </row>
    <row r="529" spans="2:47" hidden="1">
      <c r="B529" s="63" t="s">
        <v>110</v>
      </c>
      <c r="C529" s="56" t="s">
        <v>29</v>
      </c>
      <c r="D529" s="56" t="s">
        <v>29</v>
      </c>
      <c r="E529" s="19">
        <v>5</v>
      </c>
      <c r="F529" s="291"/>
      <c r="G529" s="60"/>
      <c r="H529" s="56" t="s">
        <v>29</v>
      </c>
      <c r="I529" s="56" t="s">
        <v>29</v>
      </c>
      <c r="J529" s="19">
        <v>5</v>
      </c>
      <c r="K529" s="291"/>
      <c r="L529" s="60"/>
      <c r="M529" s="56" t="s">
        <v>29</v>
      </c>
      <c r="N529" s="56" t="s">
        <v>29</v>
      </c>
      <c r="O529" s="19">
        <v>5</v>
      </c>
      <c r="P529" s="19"/>
      <c r="Q529" s="60"/>
      <c r="R529" s="56" t="s">
        <v>29</v>
      </c>
      <c r="S529" s="56" t="s">
        <v>29</v>
      </c>
      <c r="T529" s="19">
        <v>5</v>
      </c>
      <c r="U529" s="19"/>
      <c r="V529" s="60"/>
      <c r="W529" s="56" t="s">
        <v>29</v>
      </c>
      <c r="X529" s="56" t="s">
        <v>29</v>
      </c>
      <c r="Y529" s="19">
        <v>5</v>
      </c>
      <c r="Z529" s="19"/>
      <c r="AA529" s="28">
        <f>SUM(E529+J529+O529+T529+Y529)</f>
        <v>25</v>
      </c>
      <c r="AB529" s="296">
        <f>Z529+U529+P529+K529+F529</f>
        <v>0</v>
      </c>
      <c r="AC529" s="4"/>
      <c r="AD529" s="56"/>
      <c r="AE529" s="56"/>
      <c r="AF529" s="19"/>
      <c r="AG529" s="29">
        <f>AF529</f>
        <v>0</v>
      </c>
    </row>
    <row r="530" spans="2:47" hidden="1">
      <c r="B530" s="71" t="s">
        <v>66</v>
      </c>
      <c r="C530" s="371"/>
      <c r="D530" s="371"/>
      <c r="E530" s="71">
        <f t="shared" ref="E530:AB530" si="90">SUM(E528:E529)</f>
        <v>5.5</v>
      </c>
      <c r="F530" s="71">
        <f t="shared" si="90"/>
        <v>0</v>
      </c>
      <c r="G530" s="71">
        <f t="shared" si="90"/>
        <v>0</v>
      </c>
      <c r="H530" s="71">
        <f t="shared" si="90"/>
        <v>0</v>
      </c>
      <c r="I530" s="71">
        <f t="shared" si="90"/>
        <v>0</v>
      </c>
      <c r="J530" s="71">
        <f t="shared" si="90"/>
        <v>5.5</v>
      </c>
      <c r="K530" s="71">
        <f t="shared" si="90"/>
        <v>0</v>
      </c>
      <c r="L530" s="71">
        <f t="shared" si="90"/>
        <v>0</v>
      </c>
      <c r="M530" s="71">
        <f t="shared" si="90"/>
        <v>0</v>
      </c>
      <c r="N530" s="71">
        <f t="shared" si="90"/>
        <v>0</v>
      </c>
      <c r="O530" s="71">
        <f t="shared" si="90"/>
        <v>5.5</v>
      </c>
      <c r="P530" s="71">
        <f t="shared" si="90"/>
        <v>0</v>
      </c>
      <c r="Q530" s="71">
        <f t="shared" si="90"/>
        <v>0</v>
      </c>
      <c r="R530" s="71">
        <f t="shared" si="90"/>
        <v>0</v>
      </c>
      <c r="S530" s="71">
        <f t="shared" si="90"/>
        <v>0</v>
      </c>
      <c r="T530" s="71">
        <f t="shared" si="90"/>
        <v>5.5</v>
      </c>
      <c r="U530" s="71">
        <f t="shared" si="90"/>
        <v>0</v>
      </c>
      <c r="V530" s="71">
        <f t="shared" si="90"/>
        <v>0</v>
      </c>
      <c r="W530" s="71">
        <f t="shared" si="90"/>
        <v>0</v>
      </c>
      <c r="X530" s="71">
        <f t="shared" si="90"/>
        <v>0</v>
      </c>
      <c r="Y530" s="71">
        <f t="shared" si="90"/>
        <v>5.5</v>
      </c>
      <c r="Z530" s="71">
        <f t="shared" si="90"/>
        <v>0</v>
      </c>
      <c r="AA530" s="370">
        <f t="shared" si="90"/>
        <v>27.5</v>
      </c>
      <c r="AB530" s="370">
        <f t="shared" si="90"/>
        <v>0</v>
      </c>
      <c r="AC530" s="4"/>
      <c r="AG530" s="370">
        <f>SUM(AG528:AG529)</f>
        <v>0</v>
      </c>
    </row>
    <row r="531" spans="2:47" hidden="1">
      <c r="B531" s="217" t="s">
        <v>67</v>
      </c>
      <c r="C531" s="207">
        <f>C532+C533</f>
        <v>92</v>
      </c>
      <c r="D531" s="207"/>
      <c r="E531" s="209"/>
      <c r="F531" s="209"/>
      <c r="G531" s="207"/>
      <c r="H531" s="209"/>
      <c r="I531" s="209"/>
      <c r="J531" s="209"/>
      <c r="K531" s="209"/>
      <c r="L531" s="207"/>
      <c r="M531" s="207"/>
      <c r="N531" s="207"/>
      <c r="O531" s="207"/>
      <c r="P531" s="209"/>
      <c r="Q531" s="207"/>
      <c r="R531" s="207"/>
      <c r="S531" s="207"/>
      <c r="T531" s="207"/>
      <c r="U531" s="209"/>
      <c r="V531" s="207"/>
      <c r="W531" s="207"/>
      <c r="X531" s="207"/>
      <c r="Y531" s="210"/>
      <c r="Z531" s="209"/>
      <c r="AA531" s="211"/>
      <c r="AB531" s="209"/>
      <c r="AC531" s="211"/>
      <c r="AD531" s="211"/>
      <c r="AE531" s="211"/>
      <c r="AF531" s="211"/>
      <c r="AG531" s="211"/>
    </row>
    <row r="532" spans="2:47" hidden="1">
      <c r="B532" s="238" t="s">
        <v>68</v>
      </c>
      <c r="C532" s="239">
        <f>15+15+10+13+12</f>
        <v>65</v>
      </c>
      <c r="D532" s="207"/>
      <c r="E532" s="209"/>
      <c r="F532" s="209"/>
      <c r="G532" s="207"/>
      <c r="H532" s="209"/>
      <c r="I532" s="209"/>
      <c r="J532" s="209"/>
      <c r="K532" s="209"/>
      <c r="L532" s="207"/>
      <c r="M532" s="207"/>
      <c r="N532" s="207"/>
      <c r="O532" s="207"/>
      <c r="P532" s="209"/>
      <c r="Q532" s="207"/>
      <c r="R532" s="207"/>
      <c r="S532" s="207"/>
      <c r="T532" s="207"/>
      <c r="U532" s="209"/>
      <c r="V532" s="207"/>
      <c r="W532" s="207"/>
      <c r="X532" s="207"/>
      <c r="Y532" s="210"/>
      <c r="Z532" s="209"/>
      <c r="AA532" s="211"/>
      <c r="AB532" s="209"/>
      <c r="AC532" s="211"/>
      <c r="AD532" s="211"/>
      <c r="AE532" s="211"/>
      <c r="AF532" s="211"/>
      <c r="AG532" s="211"/>
    </row>
    <row r="533" spans="2:47" hidden="1">
      <c r="B533" s="238" t="s">
        <v>69</v>
      </c>
      <c r="C533" s="239">
        <f>3+7+6+5+6</f>
        <v>27</v>
      </c>
      <c r="D533" s="207"/>
      <c r="E533" s="209"/>
      <c r="F533" s="209"/>
      <c r="G533" s="207"/>
      <c r="H533" s="209"/>
      <c r="I533" s="209"/>
      <c r="J533" s="209"/>
      <c r="K533" s="209"/>
      <c r="L533" s="207"/>
      <c r="M533" s="207"/>
      <c r="N533" s="207"/>
      <c r="O533" s="207"/>
      <c r="P533" s="209"/>
      <c r="Q533" s="207"/>
      <c r="R533" s="207"/>
      <c r="S533" s="207"/>
      <c r="T533" s="207"/>
      <c r="U533" s="209"/>
      <c r="V533" s="207"/>
      <c r="W533" s="207"/>
      <c r="X533" s="207"/>
      <c r="Y533" s="210"/>
      <c r="Z533" s="209"/>
      <c r="AA533" s="211"/>
      <c r="AB533" s="209"/>
      <c r="AC533" s="211"/>
      <c r="AD533" s="211"/>
      <c r="AE533" s="211"/>
      <c r="AF533" s="211"/>
      <c r="AG533" s="211"/>
    </row>
    <row r="534" spans="2:47" hidden="1"/>
    <row r="535" spans="2:47" hidden="1">
      <c r="B535" s="229"/>
      <c r="C535" s="230"/>
      <c r="D535" s="230"/>
      <c r="E535" s="232"/>
      <c r="F535" s="232"/>
      <c r="G535" s="230"/>
      <c r="H535" s="232"/>
      <c r="I535" s="232"/>
      <c r="J535" s="232"/>
      <c r="K535" s="232"/>
      <c r="L535" s="230"/>
      <c r="M535" s="230"/>
      <c r="N535" s="230"/>
      <c r="O535" s="230"/>
      <c r="P535" s="232"/>
      <c r="Q535" s="230"/>
      <c r="R535" s="230"/>
      <c r="S535" s="230"/>
      <c r="T535" s="230"/>
      <c r="U535" s="232"/>
      <c r="V535" s="230"/>
      <c r="W535" s="230"/>
      <c r="X535" s="230"/>
      <c r="Y535" s="233"/>
      <c r="Z535" s="232"/>
      <c r="AA535" s="234"/>
      <c r="AB535" s="232"/>
      <c r="AC535" s="373"/>
      <c r="AD535" s="236"/>
      <c r="AE535" s="255"/>
      <c r="AF535" s="255"/>
      <c r="AG535" s="255"/>
      <c r="AH535" s="255"/>
      <c r="AJ535" s="255"/>
      <c r="AK535" s="255"/>
      <c r="AL535" s="255"/>
      <c r="AM535" s="255"/>
      <c r="AN535" s="255"/>
      <c r="AO535" s="255"/>
      <c r="AP535" s="255"/>
      <c r="AQ535" s="255"/>
      <c r="AR535" s="255"/>
      <c r="AS535" s="255"/>
      <c r="AT535" s="255"/>
      <c r="AU535" s="255"/>
    </row>
    <row r="536" spans="2:47" hidden="1">
      <c r="B536" s="180"/>
      <c r="E536" s="4"/>
      <c r="F536" s="4"/>
      <c r="G536" s="4"/>
      <c r="J536" s="4"/>
      <c r="K536" s="4"/>
      <c r="L536" s="4"/>
      <c r="O536" s="4"/>
      <c r="P536" s="4"/>
      <c r="T536" s="4"/>
      <c r="U536" s="4"/>
      <c r="Y536" s="4"/>
      <c r="Z536" s="4"/>
      <c r="AA536" s="4"/>
      <c r="AB536" s="4"/>
      <c r="AC536" s="4"/>
      <c r="AK536" s="180"/>
      <c r="AL536" s="180"/>
      <c r="AM536" s="180"/>
      <c r="AN536" s="180"/>
      <c r="AO536" s="180"/>
      <c r="AP536" s="180"/>
    </row>
    <row r="537" spans="2:47" ht="10.9" hidden="1" customHeight="1">
      <c r="B537" s="1518" t="s">
        <v>18</v>
      </c>
      <c r="C537" s="1519">
        <v>45397</v>
      </c>
      <c r="D537" s="1519"/>
      <c r="E537" s="1519"/>
      <c r="F537" s="1519"/>
      <c r="G537" s="365"/>
      <c r="H537" s="1519">
        <v>45398</v>
      </c>
      <c r="I537" s="1519"/>
      <c r="J537" s="1519"/>
      <c r="K537" s="1519"/>
      <c r="L537" s="365">
        <v>45343</v>
      </c>
      <c r="M537" s="1519">
        <v>45399</v>
      </c>
      <c r="N537" s="1519"/>
      <c r="O537" s="1519"/>
      <c r="P537" s="1519"/>
      <c r="Q537" s="365"/>
      <c r="R537" s="1519">
        <v>45400</v>
      </c>
      <c r="S537" s="1519"/>
      <c r="T537" s="1519"/>
      <c r="U537" s="1519"/>
      <c r="V537" s="365"/>
      <c r="W537" s="1519">
        <v>45401</v>
      </c>
      <c r="X537" s="1519"/>
      <c r="Y537" s="1519"/>
      <c r="Z537" s="1519"/>
      <c r="AA537" s="1517" t="s">
        <v>19</v>
      </c>
      <c r="AB537" s="1517" t="s">
        <v>20</v>
      </c>
      <c r="AC537" s="4"/>
      <c r="AD537" s="1519">
        <v>45402</v>
      </c>
      <c r="AE537" s="1519"/>
      <c r="AF537" s="1519"/>
      <c r="AG537" s="1517" t="s">
        <v>21</v>
      </c>
      <c r="AI537" s="368"/>
      <c r="AK537" s="194" t="s">
        <v>84</v>
      </c>
      <c r="AL537" s="366"/>
      <c r="AM537" s="366"/>
      <c r="AN537" s="366"/>
      <c r="AO537" s="366"/>
      <c r="AP537" s="366"/>
    </row>
    <row r="538" spans="2:47" hidden="1">
      <c r="B538" s="1518"/>
      <c r="C538" s="21" t="s">
        <v>23</v>
      </c>
      <c r="D538" s="21" t="s">
        <v>24</v>
      </c>
      <c r="E538" s="205" t="s">
        <v>25</v>
      </c>
      <c r="F538" s="18" t="s">
        <v>14</v>
      </c>
      <c r="G538" s="4"/>
      <c r="H538" s="21" t="s">
        <v>23</v>
      </c>
      <c r="I538" s="21" t="s">
        <v>24</v>
      </c>
      <c r="J538" s="18" t="s">
        <v>25</v>
      </c>
      <c r="K538" s="18" t="s">
        <v>14</v>
      </c>
      <c r="L538" s="4"/>
      <c r="M538" s="21" t="s">
        <v>23</v>
      </c>
      <c r="N538" s="21" t="s">
        <v>24</v>
      </c>
      <c r="O538" s="18" t="s">
        <v>25</v>
      </c>
      <c r="P538" s="18" t="s">
        <v>14</v>
      </c>
      <c r="R538" s="484" t="s">
        <v>23</v>
      </c>
      <c r="S538" s="21" t="s">
        <v>24</v>
      </c>
      <c r="T538" s="18" t="s">
        <v>25</v>
      </c>
      <c r="U538" s="18" t="s">
        <v>14</v>
      </c>
      <c r="W538" s="484" t="s">
        <v>23</v>
      </c>
      <c r="X538" s="21" t="s">
        <v>24</v>
      </c>
      <c r="Y538" s="18" t="s">
        <v>25</v>
      </c>
      <c r="Z538" s="18" t="s">
        <v>14</v>
      </c>
      <c r="AA538" s="1517"/>
      <c r="AB538" s="1517"/>
      <c r="AC538" s="4"/>
      <c r="AD538" s="21" t="s">
        <v>23</v>
      </c>
      <c r="AE538" s="21" t="s">
        <v>24</v>
      </c>
      <c r="AF538" s="18" t="s">
        <v>25</v>
      </c>
      <c r="AG538" s="1517"/>
      <c r="AI538" s="368"/>
      <c r="AJ538" s="367"/>
      <c r="AK538" s="494" t="s">
        <v>26</v>
      </c>
      <c r="AL538" s="471">
        <f>AA562</f>
        <v>691.5</v>
      </c>
      <c r="AM538" s="510">
        <v>38</v>
      </c>
      <c r="AN538" s="510">
        <f t="shared" ref="AN538:AN544" si="91">AL538*AM538</f>
        <v>26277</v>
      </c>
      <c r="AQ538" s="367"/>
      <c r="AR538" s="367"/>
      <c r="AS538" s="367"/>
      <c r="AT538" s="367"/>
      <c r="AU538" s="367"/>
    </row>
    <row r="539" spans="2:47" hidden="1">
      <c r="B539" s="457" t="s">
        <v>93</v>
      </c>
      <c r="C539" s="47">
        <v>0.36458333333333331</v>
      </c>
      <c r="D539" s="47">
        <v>0.25</v>
      </c>
      <c r="E539" s="319">
        <v>8</v>
      </c>
      <c r="F539" s="320"/>
      <c r="G539" s="4"/>
      <c r="H539" s="47">
        <v>0.375</v>
      </c>
      <c r="I539" s="47">
        <v>0.25</v>
      </c>
      <c r="J539" s="319">
        <v>8</v>
      </c>
      <c r="K539" s="320"/>
      <c r="L539" s="4"/>
      <c r="M539" s="47">
        <v>0.375</v>
      </c>
      <c r="N539" s="47">
        <v>0.25</v>
      </c>
      <c r="O539" s="319">
        <v>8</v>
      </c>
      <c r="P539" s="320"/>
      <c r="R539" s="47">
        <v>0.36458333333333331</v>
      </c>
      <c r="S539" s="47">
        <v>0.25</v>
      </c>
      <c r="T539" s="319">
        <v>8</v>
      </c>
      <c r="U539" s="320"/>
      <c r="W539" s="47">
        <v>0.36458333333333331</v>
      </c>
      <c r="X539" s="47">
        <v>0.25</v>
      </c>
      <c r="Y539" s="346">
        <v>8</v>
      </c>
      <c r="Z539" s="320"/>
      <c r="AA539" s="29">
        <f t="shared" ref="AA539:AA561" si="92">(E539+J539+O539+T539+Y539)</f>
        <v>40</v>
      </c>
      <c r="AB539" s="298">
        <f>Z539+U539+P539+K539+F539</f>
        <v>0</v>
      </c>
      <c r="AC539" s="399"/>
      <c r="AD539" s="47" t="s">
        <v>29</v>
      </c>
      <c r="AE539" s="47" t="s">
        <v>29</v>
      </c>
      <c r="AF539" s="346"/>
      <c r="AG539" s="29">
        <f t="shared" ref="AG539:AG561" si="93">AF539</f>
        <v>0</v>
      </c>
      <c r="AH539" s="175"/>
      <c r="AJ539" s="401"/>
      <c r="AK539" s="494" t="s">
        <v>30</v>
      </c>
      <c r="AL539" s="471">
        <f>AB562</f>
        <v>0</v>
      </c>
      <c r="AM539" s="511">
        <v>57</v>
      </c>
      <c r="AN539" s="510">
        <f t="shared" si="91"/>
        <v>0</v>
      </c>
      <c r="AO539" s="405"/>
      <c r="AP539" s="405"/>
      <c r="AQ539" s="401"/>
      <c r="AR539" s="401"/>
      <c r="AS539" s="401"/>
      <c r="AT539" s="401"/>
      <c r="AU539" s="401"/>
    </row>
    <row r="540" spans="2:47" hidden="1">
      <c r="B540" s="461" t="s">
        <v>72</v>
      </c>
      <c r="C540" s="47">
        <v>0.38541666666666669</v>
      </c>
      <c r="D540" s="47">
        <v>0.25</v>
      </c>
      <c r="E540" s="319">
        <v>7.75</v>
      </c>
      <c r="F540" s="320"/>
      <c r="G540" s="4"/>
      <c r="H540" s="47">
        <v>0.375</v>
      </c>
      <c r="I540" s="47">
        <v>0.25</v>
      </c>
      <c r="J540" s="319">
        <v>8</v>
      </c>
      <c r="K540" s="320"/>
      <c r="L540" s="4"/>
      <c r="M540" s="47">
        <v>0.375</v>
      </c>
      <c r="N540" s="47">
        <v>0.25</v>
      </c>
      <c r="O540" s="319">
        <v>8</v>
      </c>
      <c r="P540" s="320"/>
      <c r="R540" s="47">
        <v>0.375</v>
      </c>
      <c r="S540" s="47">
        <v>0.25</v>
      </c>
      <c r="T540" s="319">
        <v>8</v>
      </c>
      <c r="U540" s="320"/>
      <c r="W540" s="47">
        <v>0.375</v>
      </c>
      <c r="X540" s="47">
        <v>0.25</v>
      </c>
      <c r="Y540" s="346">
        <v>8</v>
      </c>
      <c r="Z540" s="320"/>
      <c r="AA540" s="29">
        <f t="shared" si="92"/>
        <v>39.75</v>
      </c>
      <c r="AB540" s="298">
        <f>Z540+U540+P540+K540+F540</f>
        <v>0</v>
      </c>
      <c r="AC540" s="175"/>
      <c r="AD540" s="47" t="s">
        <v>29</v>
      </c>
      <c r="AE540" s="47" t="s">
        <v>29</v>
      </c>
      <c r="AF540" s="346"/>
      <c r="AG540" s="344">
        <f t="shared" si="93"/>
        <v>0</v>
      </c>
      <c r="AH540" s="175"/>
      <c r="AI540" s="368"/>
      <c r="AK540" s="494" t="s">
        <v>32</v>
      </c>
      <c r="AL540" s="471">
        <f>AG562</f>
        <v>48</v>
      </c>
      <c r="AM540" s="510">
        <v>57</v>
      </c>
      <c r="AN540" s="510">
        <f t="shared" si="91"/>
        <v>2736</v>
      </c>
    </row>
    <row r="541" spans="2:47" hidden="1">
      <c r="B541" s="164" t="s">
        <v>242</v>
      </c>
      <c r="C541" s="47">
        <v>0.375</v>
      </c>
      <c r="D541" s="47">
        <v>0.25</v>
      </c>
      <c r="E541" s="319">
        <v>8</v>
      </c>
      <c r="F541" s="320"/>
      <c r="G541" s="4"/>
      <c r="H541" s="47">
        <v>0.375</v>
      </c>
      <c r="I541" s="47">
        <v>0.25</v>
      </c>
      <c r="J541" s="319">
        <v>8</v>
      </c>
      <c r="K541" s="320"/>
      <c r="L541" s="4"/>
      <c r="M541" s="47">
        <v>0.375</v>
      </c>
      <c r="N541" s="47">
        <v>0.25</v>
      </c>
      <c r="O541" s="319">
        <v>8</v>
      </c>
      <c r="P541" s="320"/>
      <c r="R541" s="47">
        <v>0.375</v>
      </c>
      <c r="S541" s="47">
        <v>0.25</v>
      </c>
      <c r="T541" s="319">
        <v>8</v>
      </c>
      <c r="U541" s="320"/>
      <c r="W541" s="47">
        <v>0.375</v>
      </c>
      <c r="X541" s="47">
        <v>0.25</v>
      </c>
      <c r="Y541" s="346">
        <v>8</v>
      </c>
      <c r="Z541" s="320"/>
      <c r="AA541" s="29">
        <f t="shared" si="92"/>
        <v>40</v>
      </c>
      <c r="AB541" s="298">
        <f>Z541+U541+P541+K541+F541</f>
        <v>0</v>
      </c>
      <c r="AC541" s="4"/>
      <c r="AD541" s="47">
        <v>0.375</v>
      </c>
      <c r="AE541" s="47">
        <v>0.25</v>
      </c>
      <c r="AF541" s="346">
        <v>8</v>
      </c>
      <c r="AG541" s="29">
        <f t="shared" si="93"/>
        <v>8</v>
      </c>
      <c r="AJ541" s="367"/>
      <c r="AK541" s="494" t="s">
        <v>213</v>
      </c>
      <c r="AL541" s="471">
        <f>AA565</f>
        <v>22.5</v>
      </c>
      <c r="AM541" s="510">
        <v>50</v>
      </c>
      <c r="AN541" s="510">
        <f t="shared" si="91"/>
        <v>1125</v>
      </c>
      <c r="AQ541" s="367"/>
      <c r="AR541" s="367"/>
      <c r="AS541" s="367"/>
      <c r="AT541" s="367"/>
      <c r="AU541" s="367"/>
    </row>
    <row r="542" spans="2:47" hidden="1">
      <c r="B542" s="458" t="s">
        <v>243</v>
      </c>
      <c r="C542" s="47">
        <v>0.375</v>
      </c>
      <c r="D542" s="47">
        <v>0.25</v>
      </c>
      <c r="E542" s="319">
        <v>8</v>
      </c>
      <c r="F542" s="320"/>
      <c r="G542" s="4"/>
      <c r="H542" s="47">
        <v>0.375</v>
      </c>
      <c r="I542" s="47">
        <v>0.25</v>
      </c>
      <c r="J542" s="319">
        <v>8</v>
      </c>
      <c r="K542" s="320"/>
      <c r="L542" s="4"/>
      <c r="M542" s="47">
        <v>0.375</v>
      </c>
      <c r="N542" s="47">
        <v>0.25</v>
      </c>
      <c r="O542" s="319">
        <v>8</v>
      </c>
      <c r="P542" s="320"/>
      <c r="R542" s="47">
        <v>0.375</v>
      </c>
      <c r="S542" s="47">
        <v>0.25</v>
      </c>
      <c r="T542" s="319">
        <v>8</v>
      </c>
      <c r="U542" s="320"/>
      <c r="W542" s="47">
        <v>0.375</v>
      </c>
      <c r="X542" s="47">
        <v>0.25</v>
      </c>
      <c r="Y542" s="346">
        <v>8</v>
      </c>
      <c r="Z542" s="320"/>
      <c r="AA542" s="29">
        <f t="shared" si="92"/>
        <v>40</v>
      </c>
      <c r="AB542" s="298">
        <f>Z542+U542+P542+K542+F542</f>
        <v>0</v>
      </c>
      <c r="AC542" s="4"/>
      <c r="AD542" s="47">
        <v>0.375</v>
      </c>
      <c r="AE542" s="47">
        <v>0.25</v>
      </c>
      <c r="AF542" s="346">
        <v>8</v>
      </c>
      <c r="AG542" s="29">
        <f t="shared" si="93"/>
        <v>8</v>
      </c>
      <c r="AK542" s="494" t="s">
        <v>36</v>
      </c>
      <c r="AL542" s="471">
        <f>AB565</f>
        <v>0</v>
      </c>
      <c r="AM542" s="510">
        <v>75</v>
      </c>
      <c r="AN542" s="510">
        <f t="shared" si="91"/>
        <v>0</v>
      </c>
    </row>
    <row r="543" spans="2:47" hidden="1">
      <c r="B543" s="461" t="s">
        <v>91</v>
      </c>
      <c r="C543" s="47">
        <v>0.375</v>
      </c>
      <c r="D543" s="47">
        <v>0.25</v>
      </c>
      <c r="E543" s="319">
        <v>8</v>
      </c>
      <c r="F543" s="320"/>
      <c r="G543" s="4"/>
      <c r="H543" s="47">
        <v>0.375</v>
      </c>
      <c r="I543" s="47">
        <v>0.25</v>
      </c>
      <c r="J543" s="319">
        <v>8</v>
      </c>
      <c r="K543" s="320"/>
      <c r="L543" s="4"/>
      <c r="M543" s="47">
        <v>0.375</v>
      </c>
      <c r="N543" s="47">
        <v>0.25</v>
      </c>
      <c r="O543" s="319">
        <v>8</v>
      </c>
      <c r="P543" s="320"/>
      <c r="R543" s="47">
        <v>0.375</v>
      </c>
      <c r="S543" s="47">
        <v>0.25</v>
      </c>
      <c r="T543" s="319">
        <v>8</v>
      </c>
      <c r="U543" s="320"/>
      <c r="W543" s="47">
        <v>0.375</v>
      </c>
      <c r="X543" s="47">
        <v>0.25</v>
      </c>
      <c r="Y543" s="346">
        <v>8</v>
      </c>
      <c r="Z543" s="320"/>
      <c r="AA543" s="29">
        <f t="shared" si="92"/>
        <v>40</v>
      </c>
      <c r="AB543" s="298">
        <f>Z543+U543+P543+K543+F542</f>
        <v>0</v>
      </c>
      <c r="AC543" s="4"/>
      <c r="AD543" s="47" t="s">
        <v>29</v>
      </c>
      <c r="AE543" s="47" t="s">
        <v>29</v>
      </c>
      <c r="AF543" s="346"/>
      <c r="AG543" s="29">
        <f t="shared" si="93"/>
        <v>0</v>
      </c>
      <c r="AK543" s="494" t="s">
        <v>38</v>
      </c>
      <c r="AL543" s="471">
        <f>AG565</f>
        <v>1</v>
      </c>
      <c r="AM543" s="510">
        <v>75</v>
      </c>
      <c r="AN543" s="510">
        <f t="shared" si="91"/>
        <v>75</v>
      </c>
    </row>
    <row r="544" spans="2:47" ht="14.25" hidden="1" thickBot="1">
      <c r="B544" s="457" t="s">
        <v>46</v>
      </c>
      <c r="C544" s="441" t="s">
        <v>75</v>
      </c>
      <c r="D544" s="47">
        <v>0.25</v>
      </c>
      <c r="E544" s="319">
        <v>8</v>
      </c>
      <c r="F544" s="320"/>
      <c r="G544" s="4"/>
      <c r="H544" s="47">
        <v>0.375</v>
      </c>
      <c r="I544" s="47">
        <v>0.25</v>
      </c>
      <c r="J544" s="319">
        <v>8</v>
      </c>
      <c r="K544" s="320"/>
      <c r="L544" s="4"/>
      <c r="M544" s="47">
        <v>0.375</v>
      </c>
      <c r="N544" s="47">
        <v>0.25</v>
      </c>
      <c r="O544" s="319">
        <v>8</v>
      </c>
      <c r="P544" s="320"/>
      <c r="R544" s="47">
        <v>0</v>
      </c>
      <c r="S544" s="47">
        <v>0</v>
      </c>
      <c r="T544" s="319">
        <v>0</v>
      </c>
      <c r="U544" s="320"/>
      <c r="W544" s="47">
        <v>0.375</v>
      </c>
      <c r="X544" s="47">
        <v>0.25</v>
      </c>
      <c r="Y544" s="346">
        <v>8</v>
      </c>
      <c r="Z544" s="320"/>
      <c r="AA544" s="29">
        <f t="shared" si="92"/>
        <v>32</v>
      </c>
      <c r="AB544" s="298">
        <f>Z544+U544+P544+K544+F543</f>
        <v>0</v>
      </c>
      <c r="AC544" s="4"/>
      <c r="AD544" s="47">
        <v>0.375</v>
      </c>
      <c r="AE544" s="47">
        <v>0.25</v>
      </c>
      <c r="AF544" s="346">
        <v>8</v>
      </c>
      <c r="AG544" s="29">
        <f t="shared" si="93"/>
        <v>8</v>
      </c>
      <c r="AK544" s="494" t="s">
        <v>41</v>
      </c>
      <c r="AL544" s="471">
        <f>C566</f>
        <v>74</v>
      </c>
      <c r="AM544" s="512">
        <v>45</v>
      </c>
      <c r="AN544" s="512">
        <f t="shared" si="91"/>
        <v>3330</v>
      </c>
    </row>
    <row r="545" spans="2:40" ht="14.25" hidden="1" thickTop="1">
      <c r="B545" s="457" t="s">
        <v>43</v>
      </c>
      <c r="C545" s="441" t="s">
        <v>75</v>
      </c>
      <c r="D545" s="47">
        <v>0.25</v>
      </c>
      <c r="E545" s="319">
        <v>8</v>
      </c>
      <c r="F545" s="320"/>
      <c r="G545" s="4"/>
      <c r="H545" s="47">
        <v>0.375</v>
      </c>
      <c r="I545" s="47">
        <v>0.25</v>
      </c>
      <c r="J545" s="319">
        <v>8</v>
      </c>
      <c r="K545" s="320"/>
      <c r="L545" s="4"/>
      <c r="M545" s="47">
        <v>0.375</v>
      </c>
      <c r="N545" s="47">
        <v>0.25</v>
      </c>
      <c r="O545" s="319">
        <v>8</v>
      </c>
      <c r="P545" s="320"/>
      <c r="R545" s="47">
        <v>0.375</v>
      </c>
      <c r="S545" s="47">
        <v>0.25</v>
      </c>
      <c r="T545" s="319">
        <v>8</v>
      </c>
      <c r="U545" s="320"/>
      <c r="W545" s="47">
        <v>0.375</v>
      </c>
      <c r="X545" s="47">
        <v>0.25</v>
      </c>
      <c r="Y545" s="346">
        <v>8</v>
      </c>
      <c r="Z545" s="320"/>
      <c r="AA545" s="29">
        <f t="shared" si="92"/>
        <v>40</v>
      </c>
      <c r="AB545" s="298">
        <f>Z545+U545+P545+K545+F544</f>
        <v>0</v>
      </c>
      <c r="AC545" s="4"/>
      <c r="AD545" s="47">
        <v>0.375</v>
      </c>
      <c r="AE545" s="47">
        <v>0.25</v>
      </c>
      <c r="AF545" s="346">
        <v>8</v>
      </c>
      <c r="AG545" s="29">
        <f t="shared" si="93"/>
        <v>8</v>
      </c>
      <c r="AN545" s="510">
        <f>SUM(AN538:AN544)</f>
        <v>33543</v>
      </c>
    </row>
    <row r="546" spans="2:40" hidden="1">
      <c r="B546" s="461" t="s">
        <v>113</v>
      </c>
      <c r="C546" s="441" t="s">
        <v>75</v>
      </c>
      <c r="D546" s="47">
        <v>0.25</v>
      </c>
      <c r="E546" s="319">
        <v>8</v>
      </c>
      <c r="F546" s="320"/>
      <c r="G546" s="4"/>
      <c r="H546" s="47">
        <v>0.375</v>
      </c>
      <c r="I546" s="47">
        <v>0.25</v>
      </c>
      <c r="J546" s="319">
        <v>8</v>
      </c>
      <c r="K546" s="320"/>
      <c r="L546" s="4"/>
      <c r="M546" s="47">
        <v>0.375</v>
      </c>
      <c r="N546" s="47">
        <v>0.25</v>
      </c>
      <c r="O546" s="319">
        <v>8</v>
      </c>
      <c r="P546" s="320"/>
      <c r="R546" s="47">
        <v>0.375</v>
      </c>
      <c r="S546" s="47">
        <v>0.25</v>
      </c>
      <c r="T546" s="319">
        <v>8</v>
      </c>
      <c r="U546" s="320"/>
      <c r="W546" s="47">
        <v>0.375</v>
      </c>
      <c r="X546" s="47">
        <v>0.25</v>
      </c>
      <c r="Y546" s="346">
        <v>8</v>
      </c>
      <c r="Z546" s="320"/>
      <c r="AA546" s="29">
        <f t="shared" si="92"/>
        <v>40</v>
      </c>
      <c r="AB546" s="298">
        <f>Z546+U546+P546+K546+F545</f>
        <v>0</v>
      </c>
      <c r="AC546" s="4"/>
      <c r="AD546" s="47">
        <v>0.375</v>
      </c>
      <c r="AE546" s="47">
        <v>0.25</v>
      </c>
      <c r="AF546" s="346">
        <v>8</v>
      </c>
      <c r="AG546" s="29">
        <f t="shared" si="93"/>
        <v>8</v>
      </c>
    </row>
    <row r="547" spans="2:40" hidden="1">
      <c r="B547" s="457" t="s">
        <v>44</v>
      </c>
      <c r="C547" s="441" t="s">
        <v>154</v>
      </c>
      <c r="D547" s="47">
        <v>0</v>
      </c>
      <c r="E547" s="319">
        <v>0</v>
      </c>
      <c r="F547" s="320"/>
      <c r="G547" s="4"/>
      <c r="H547" s="47">
        <v>0.375</v>
      </c>
      <c r="I547" s="47">
        <v>0.25</v>
      </c>
      <c r="J547" s="319">
        <v>8</v>
      </c>
      <c r="K547" s="320"/>
      <c r="L547" s="4"/>
      <c r="M547" s="47">
        <v>0.375</v>
      </c>
      <c r="N547" s="47">
        <v>0.25</v>
      </c>
      <c r="O547" s="319">
        <v>8</v>
      </c>
      <c r="P547" s="320"/>
      <c r="R547" s="47">
        <v>0.375</v>
      </c>
      <c r="S547" s="47">
        <v>0.25</v>
      </c>
      <c r="T547" s="319">
        <v>8</v>
      </c>
      <c r="U547" s="320"/>
      <c r="W547" s="47">
        <v>0.38541666666666669</v>
      </c>
      <c r="X547" s="47">
        <v>0.25</v>
      </c>
      <c r="Y547" s="346">
        <v>7.75</v>
      </c>
      <c r="Z547" s="320"/>
      <c r="AA547" s="29">
        <f t="shared" si="92"/>
        <v>31.75</v>
      </c>
      <c r="AB547" s="298">
        <f t="shared" ref="AB547:AB561" si="94">Z547+U547+P547+K547+F547</f>
        <v>0</v>
      </c>
      <c r="AC547" s="4"/>
      <c r="AD547" s="47" t="s">
        <v>29</v>
      </c>
      <c r="AE547" s="47" t="s">
        <v>29</v>
      </c>
      <c r="AF547" s="346"/>
      <c r="AG547" s="29">
        <f t="shared" si="93"/>
        <v>0</v>
      </c>
    </row>
    <row r="548" spans="2:40" hidden="1">
      <c r="B548" s="457" t="s">
        <v>45</v>
      </c>
      <c r="C548" s="441" t="s">
        <v>75</v>
      </c>
      <c r="D548" s="47">
        <v>0.25</v>
      </c>
      <c r="E548" s="319">
        <v>8</v>
      </c>
      <c r="F548" s="320"/>
      <c r="G548" s="4"/>
      <c r="H548" s="47">
        <v>0.375</v>
      </c>
      <c r="I548" s="47">
        <v>0.25</v>
      </c>
      <c r="J548" s="319">
        <v>8</v>
      </c>
      <c r="K548" s="320"/>
      <c r="L548" s="4"/>
      <c r="M548" s="47">
        <v>0.375</v>
      </c>
      <c r="N548" s="47">
        <v>0.25</v>
      </c>
      <c r="O548" s="319">
        <v>8</v>
      </c>
      <c r="P548" s="320"/>
      <c r="R548" s="47">
        <v>0.38541666666666669</v>
      </c>
      <c r="S548" s="47">
        <v>0.25</v>
      </c>
      <c r="T548" s="319">
        <v>7.75</v>
      </c>
      <c r="U548" s="320"/>
      <c r="W548" s="47">
        <v>0</v>
      </c>
      <c r="X548" s="47">
        <v>0</v>
      </c>
      <c r="Y548" s="346">
        <v>0</v>
      </c>
      <c r="Z548" s="320"/>
      <c r="AA548" s="29">
        <f t="shared" si="92"/>
        <v>31.75</v>
      </c>
      <c r="AB548" s="298">
        <f t="shared" si="94"/>
        <v>0</v>
      </c>
      <c r="AC548" s="4"/>
      <c r="AD548" s="47" t="s">
        <v>29</v>
      </c>
      <c r="AE548" s="47" t="s">
        <v>29</v>
      </c>
      <c r="AF548" s="346"/>
      <c r="AG548" s="29">
        <f t="shared" si="93"/>
        <v>0</v>
      </c>
    </row>
    <row r="549" spans="2:40" hidden="1">
      <c r="B549" s="458" t="s">
        <v>244</v>
      </c>
      <c r="C549" s="441" t="s">
        <v>75</v>
      </c>
      <c r="D549" s="47">
        <v>0.25</v>
      </c>
      <c r="E549" s="319">
        <v>8</v>
      </c>
      <c r="F549" s="320"/>
      <c r="G549" s="4"/>
      <c r="H549" s="47">
        <v>0.375</v>
      </c>
      <c r="I549" s="47">
        <v>0.25</v>
      </c>
      <c r="J549" s="319">
        <v>8</v>
      </c>
      <c r="K549" s="320"/>
      <c r="L549" s="4"/>
      <c r="M549" s="47">
        <v>0</v>
      </c>
      <c r="N549" s="47">
        <v>0</v>
      </c>
      <c r="O549" s="319">
        <v>0</v>
      </c>
      <c r="P549" s="320"/>
      <c r="R549" s="47">
        <v>0.375</v>
      </c>
      <c r="S549" s="47">
        <v>0.25</v>
      </c>
      <c r="T549" s="319">
        <v>8</v>
      </c>
      <c r="U549" s="320"/>
      <c r="W549" s="47">
        <v>0.375</v>
      </c>
      <c r="X549" s="47">
        <v>0.25</v>
      </c>
      <c r="Y549" s="346">
        <v>8</v>
      </c>
      <c r="Z549" s="320"/>
      <c r="AA549" s="29">
        <f t="shared" si="92"/>
        <v>32</v>
      </c>
      <c r="AB549" s="298">
        <f t="shared" si="94"/>
        <v>0</v>
      </c>
      <c r="AC549" s="4"/>
      <c r="AD549" s="47">
        <v>0.375</v>
      </c>
      <c r="AE549" s="47">
        <v>0.25</v>
      </c>
      <c r="AF549" s="346">
        <v>8</v>
      </c>
      <c r="AG549" s="29">
        <f t="shared" si="93"/>
        <v>8</v>
      </c>
    </row>
    <row r="550" spans="2:40" hidden="1">
      <c r="B550" s="457" t="s">
        <v>112</v>
      </c>
      <c r="C550" s="441" t="s">
        <v>75</v>
      </c>
      <c r="D550" s="47">
        <v>0.25</v>
      </c>
      <c r="E550" s="319">
        <v>8</v>
      </c>
      <c r="F550" s="320"/>
      <c r="G550" s="4"/>
      <c r="H550" s="47">
        <v>0</v>
      </c>
      <c r="I550" s="47">
        <v>0</v>
      </c>
      <c r="J550" s="319">
        <v>0</v>
      </c>
      <c r="K550" s="320"/>
      <c r="L550" s="4"/>
      <c r="M550" s="47">
        <v>0.375</v>
      </c>
      <c r="N550" s="47">
        <v>0.25</v>
      </c>
      <c r="O550" s="319">
        <v>8</v>
      </c>
      <c r="P550" s="320"/>
      <c r="R550" s="47">
        <v>0</v>
      </c>
      <c r="S550" s="47">
        <v>0</v>
      </c>
      <c r="T550" s="319">
        <v>0</v>
      </c>
      <c r="U550" s="320"/>
      <c r="W550" s="47">
        <v>0.375</v>
      </c>
      <c r="X550" s="47">
        <v>0.25</v>
      </c>
      <c r="Y550" s="346">
        <v>8</v>
      </c>
      <c r="Z550" s="320"/>
      <c r="AA550" s="29">
        <f t="shared" si="92"/>
        <v>24</v>
      </c>
      <c r="AB550" s="298">
        <f t="shared" si="94"/>
        <v>0</v>
      </c>
      <c r="AC550" s="4"/>
      <c r="AD550" s="47" t="s">
        <v>29</v>
      </c>
      <c r="AE550" s="47" t="s">
        <v>29</v>
      </c>
      <c r="AF550" s="19"/>
      <c r="AG550" s="29">
        <f t="shared" si="93"/>
        <v>0</v>
      </c>
    </row>
    <row r="551" spans="2:40" hidden="1">
      <c r="B551" s="164" t="s">
        <v>39</v>
      </c>
      <c r="C551" s="441" t="s">
        <v>75</v>
      </c>
      <c r="D551" s="47">
        <v>0.25</v>
      </c>
      <c r="E551" s="319">
        <v>8</v>
      </c>
      <c r="F551" s="320"/>
      <c r="G551" s="4"/>
      <c r="H551" s="441" t="s">
        <v>75</v>
      </c>
      <c r="I551" s="47">
        <v>0.25</v>
      </c>
      <c r="J551" s="319">
        <v>8</v>
      </c>
      <c r="K551" s="320"/>
      <c r="L551" s="4"/>
      <c r="M551" s="47">
        <v>0.375</v>
      </c>
      <c r="N551" s="47">
        <v>0.25</v>
      </c>
      <c r="O551" s="319">
        <v>8</v>
      </c>
      <c r="P551" s="320"/>
      <c r="R551" s="441" t="s">
        <v>75</v>
      </c>
      <c r="S551" s="47">
        <v>0.25</v>
      </c>
      <c r="T551" s="319">
        <v>8</v>
      </c>
      <c r="U551" s="320"/>
      <c r="W551" s="441" t="s">
        <v>75</v>
      </c>
      <c r="X551" s="47">
        <v>0.25</v>
      </c>
      <c r="Y551" s="346">
        <v>8</v>
      </c>
      <c r="Z551" s="320"/>
      <c r="AA551" s="29">
        <f t="shared" si="92"/>
        <v>40</v>
      </c>
      <c r="AB551" s="298">
        <f t="shared" si="94"/>
        <v>0</v>
      </c>
      <c r="AC551" s="4"/>
      <c r="AD551" s="47" t="s">
        <v>29</v>
      </c>
      <c r="AE551" s="47" t="s">
        <v>29</v>
      </c>
      <c r="AF551" s="19"/>
      <c r="AG551" s="29">
        <f t="shared" si="93"/>
        <v>0</v>
      </c>
    </row>
    <row r="552" spans="2:40" hidden="1">
      <c r="B552" s="164" t="s">
        <v>241</v>
      </c>
      <c r="C552" s="441" t="s">
        <v>74</v>
      </c>
      <c r="D552" s="47">
        <v>0.25</v>
      </c>
      <c r="E552" s="319">
        <v>8</v>
      </c>
      <c r="F552" s="320"/>
      <c r="G552" s="4"/>
      <c r="H552" s="441" t="s">
        <v>75</v>
      </c>
      <c r="I552" s="47">
        <v>0.25</v>
      </c>
      <c r="J552" s="319">
        <v>8</v>
      </c>
      <c r="K552" s="320"/>
      <c r="L552" s="4"/>
      <c r="M552" s="47">
        <v>0.375</v>
      </c>
      <c r="N552" s="47">
        <v>0.25</v>
      </c>
      <c r="O552" s="319">
        <v>8</v>
      </c>
      <c r="P552" s="320"/>
      <c r="R552" s="441" t="s">
        <v>74</v>
      </c>
      <c r="S552" s="47">
        <v>0.25</v>
      </c>
      <c r="T552" s="319">
        <v>8</v>
      </c>
      <c r="U552" s="320"/>
      <c r="W552" s="441" t="s">
        <v>74</v>
      </c>
      <c r="X552" s="47">
        <v>0.25</v>
      </c>
      <c r="Y552" s="346">
        <v>8</v>
      </c>
      <c r="Z552" s="320"/>
      <c r="AA552" s="29">
        <f t="shared" si="92"/>
        <v>40</v>
      </c>
      <c r="AB552" s="298">
        <f t="shared" si="94"/>
        <v>0</v>
      </c>
      <c r="AC552" s="4"/>
      <c r="AD552" s="47" t="s">
        <v>29</v>
      </c>
      <c r="AE552" s="47" t="s">
        <v>29</v>
      </c>
      <c r="AF552" s="19"/>
      <c r="AG552" s="29">
        <f t="shared" si="93"/>
        <v>0</v>
      </c>
    </row>
    <row r="553" spans="2:40" hidden="1">
      <c r="B553" s="224" t="s">
        <v>42</v>
      </c>
      <c r="C553" s="441" t="s">
        <v>154</v>
      </c>
      <c r="D553" s="47">
        <v>0</v>
      </c>
      <c r="E553" s="319">
        <v>0</v>
      </c>
      <c r="F553" s="320"/>
      <c r="G553" s="4"/>
      <c r="H553" s="47">
        <v>0.375</v>
      </c>
      <c r="I553" s="47">
        <v>0.25</v>
      </c>
      <c r="J553" s="319">
        <v>8</v>
      </c>
      <c r="K553" s="320"/>
      <c r="L553" s="4"/>
      <c r="M553" s="47">
        <v>0.375</v>
      </c>
      <c r="N553" s="47">
        <v>0.25</v>
      </c>
      <c r="O553" s="319">
        <v>8</v>
      </c>
      <c r="P553" s="320"/>
      <c r="R553" s="47">
        <v>0.38541666666666669</v>
      </c>
      <c r="S553" s="47">
        <v>0.25</v>
      </c>
      <c r="T553" s="319">
        <v>7.75</v>
      </c>
      <c r="U553" s="320"/>
      <c r="W553" s="47">
        <v>0.375</v>
      </c>
      <c r="X553" s="47">
        <v>0.25</v>
      </c>
      <c r="Y553" s="346">
        <v>8</v>
      </c>
      <c r="Z553" s="320"/>
      <c r="AA553" s="29">
        <f t="shared" si="92"/>
        <v>31.75</v>
      </c>
      <c r="AB553" s="298">
        <f t="shared" si="94"/>
        <v>0</v>
      </c>
      <c r="AC553" s="4"/>
      <c r="AD553" s="47" t="s">
        <v>29</v>
      </c>
      <c r="AE553" s="47" t="s">
        <v>29</v>
      </c>
      <c r="AF553" s="19"/>
      <c r="AG553" s="29">
        <f t="shared" si="93"/>
        <v>0</v>
      </c>
    </row>
    <row r="554" spans="2:40" ht="6" hidden="1" customHeight="1">
      <c r="B554" s="462"/>
      <c r="C554" s="441"/>
      <c r="D554" s="47"/>
      <c r="E554" s="319"/>
      <c r="F554" s="320"/>
      <c r="G554" s="4"/>
      <c r="H554" s="47"/>
      <c r="I554" s="47"/>
      <c r="J554" s="319"/>
      <c r="K554" s="320"/>
      <c r="L554" s="4"/>
      <c r="M554" s="47"/>
      <c r="N554" s="47"/>
      <c r="O554" s="319"/>
      <c r="P554" s="320"/>
      <c r="R554" s="47"/>
      <c r="S554" s="47"/>
      <c r="T554" s="319"/>
      <c r="U554" s="320"/>
      <c r="W554" s="47"/>
      <c r="X554" s="47"/>
      <c r="Y554" s="319"/>
      <c r="Z554" s="320"/>
      <c r="AA554" s="29">
        <f t="shared" si="92"/>
        <v>0</v>
      </c>
      <c r="AB554" s="298">
        <f t="shared" si="94"/>
        <v>0</v>
      </c>
      <c r="AC554" s="4"/>
      <c r="AD554" s="47" t="s">
        <v>29</v>
      </c>
      <c r="AE554" s="47" t="s">
        <v>29</v>
      </c>
      <c r="AF554" s="19"/>
      <c r="AG554" s="29">
        <f t="shared" si="93"/>
        <v>0</v>
      </c>
    </row>
    <row r="555" spans="2:40" hidden="1">
      <c r="B555" s="166" t="s">
        <v>48</v>
      </c>
      <c r="C555" s="16" t="s">
        <v>29</v>
      </c>
      <c r="D555" s="16" t="s">
        <v>29</v>
      </c>
      <c r="E555" s="319">
        <v>8</v>
      </c>
      <c r="F555" s="320"/>
      <c r="G555" s="4"/>
      <c r="H555" s="16" t="s">
        <v>29</v>
      </c>
      <c r="I555" s="16" t="s">
        <v>29</v>
      </c>
      <c r="J555" s="319">
        <v>8</v>
      </c>
      <c r="K555" s="320"/>
      <c r="L555" s="4"/>
      <c r="M555" s="16" t="s">
        <v>29</v>
      </c>
      <c r="N555" s="16" t="s">
        <v>29</v>
      </c>
      <c r="O555" s="319">
        <v>8</v>
      </c>
      <c r="P555" s="320"/>
      <c r="R555" s="16" t="s">
        <v>29</v>
      </c>
      <c r="S555" s="16" t="s">
        <v>29</v>
      </c>
      <c r="T555" s="319">
        <v>8</v>
      </c>
      <c r="U555" s="320"/>
      <c r="W555" s="16" t="s">
        <v>29</v>
      </c>
      <c r="X555" s="16" t="s">
        <v>29</v>
      </c>
      <c r="Y555" s="319">
        <v>8</v>
      </c>
      <c r="Z555" s="320"/>
      <c r="AA555" s="29">
        <f t="shared" si="92"/>
        <v>40</v>
      </c>
      <c r="AB555" s="298">
        <f t="shared" si="94"/>
        <v>0</v>
      </c>
      <c r="AC555" s="4"/>
      <c r="AD555" s="47" t="s">
        <v>29</v>
      </c>
      <c r="AE555" s="47" t="s">
        <v>29</v>
      </c>
      <c r="AF555" s="19"/>
      <c r="AG555" s="29">
        <f t="shared" si="93"/>
        <v>0</v>
      </c>
    </row>
    <row r="556" spans="2:40" hidden="1">
      <c r="B556" s="166" t="s">
        <v>49</v>
      </c>
      <c r="C556" s="47" t="s">
        <v>251</v>
      </c>
      <c r="D556" s="47"/>
      <c r="E556" s="319">
        <v>0</v>
      </c>
      <c r="F556" s="320"/>
      <c r="G556" s="4"/>
      <c r="H556" s="47" t="s">
        <v>251</v>
      </c>
      <c r="I556" s="47"/>
      <c r="J556" s="319">
        <v>0</v>
      </c>
      <c r="K556" s="320"/>
      <c r="L556" s="4"/>
      <c r="M556" s="16" t="s">
        <v>29</v>
      </c>
      <c r="N556" s="16" t="s">
        <v>29</v>
      </c>
      <c r="O556" s="319">
        <v>8</v>
      </c>
      <c r="P556" s="320"/>
      <c r="R556" s="16" t="s">
        <v>29</v>
      </c>
      <c r="S556" s="16" t="s">
        <v>29</v>
      </c>
      <c r="T556" s="319">
        <v>0</v>
      </c>
      <c r="U556" s="320"/>
      <c r="W556" s="16" t="s">
        <v>29</v>
      </c>
      <c r="X556" s="16" t="s">
        <v>29</v>
      </c>
      <c r="Y556" s="319">
        <v>0</v>
      </c>
      <c r="Z556" s="320"/>
      <c r="AA556" s="29">
        <f t="shared" si="92"/>
        <v>8</v>
      </c>
      <c r="AB556" s="298">
        <f t="shared" si="94"/>
        <v>0</v>
      </c>
      <c r="AC556" s="4"/>
      <c r="AD556" s="47" t="s">
        <v>29</v>
      </c>
      <c r="AE556" s="47" t="s">
        <v>29</v>
      </c>
      <c r="AF556" s="19"/>
      <c r="AG556" s="29">
        <f t="shared" si="93"/>
        <v>0</v>
      </c>
    </row>
    <row r="557" spans="2:40" hidden="1">
      <c r="B557" s="166" t="s">
        <v>107</v>
      </c>
      <c r="C557" s="47" t="s">
        <v>29</v>
      </c>
      <c r="D557" s="47" t="s">
        <v>29</v>
      </c>
      <c r="E557" s="319">
        <v>0</v>
      </c>
      <c r="F557" s="320"/>
      <c r="G557" s="4"/>
      <c r="H557" s="47" t="s">
        <v>29</v>
      </c>
      <c r="I557" s="47" t="s">
        <v>29</v>
      </c>
      <c r="J557" s="319">
        <v>0</v>
      </c>
      <c r="K557" s="320"/>
      <c r="L557" s="4"/>
      <c r="M557" s="47" t="s">
        <v>29</v>
      </c>
      <c r="N557" s="47" t="s">
        <v>29</v>
      </c>
      <c r="O557" s="319">
        <v>0</v>
      </c>
      <c r="P557" s="320"/>
      <c r="R557" s="47" t="s">
        <v>29</v>
      </c>
      <c r="S557" s="47" t="s">
        <v>29</v>
      </c>
      <c r="T557" s="319">
        <v>0</v>
      </c>
      <c r="U557" s="320"/>
      <c r="W557" s="47" t="s">
        <v>29</v>
      </c>
      <c r="X557" s="47" t="s">
        <v>29</v>
      </c>
      <c r="Y557" s="319">
        <v>0</v>
      </c>
      <c r="Z557" s="320"/>
      <c r="AA557" s="29">
        <f t="shared" si="92"/>
        <v>0</v>
      </c>
      <c r="AB557" s="298">
        <f t="shared" si="94"/>
        <v>0</v>
      </c>
      <c r="AC557" s="4"/>
      <c r="AD557" s="47" t="s">
        <v>29</v>
      </c>
      <c r="AE557" s="47" t="s">
        <v>29</v>
      </c>
      <c r="AF557" s="19"/>
      <c r="AG557" s="29">
        <f t="shared" si="93"/>
        <v>0</v>
      </c>
    </row>
    <row r="558" spans="2:40" hidden="1">
      <c r="B558" s="166" t="s">
        <v>59</v>
      </c>
      <c r="C558" s="47" t="s">
        <v>29</v>
      </c>
      <c r="D558" s="16" t="s">
        <v>29</v>
      </c>
      <c r="E558" s="319">
        <v>8</v>
      </c>
      <c r="F558" s="320"/>
      <c r="G558" s="4"/>
      <c r="H558" s="47" t="s">
        <v>29</v>
      </c>
      <c r="I558" s="16" t="s">
        <v>29</v>
      </c>
      <c r="J558" s="319">
        <v>8</v>
      </c>
      <c r="K558" s="320"/>
      <c r="L558" s="4"/>
      <c r="M558" s="47" t="s">
        <v>29</v>
      </c>
      <c r="N558" s="16" t="s">
        <v>29</v>
      </c>
      <c r="O558" s="319">
        <v>8</v>
      </c>
      <c r="P558" s="320"/>
      <c r="R558" s="47" t="s">
        <v>29</v>
      </c>
      <c r="S558" s="16" t="s">
        <v>29</v>
      </c>
      <c r="T558" s="319">
        <v>8</v>
      </c>
      <c r="U558" s="320"/>
      <c r="W558" s="47" t="s">
        <v>29</v>
      </c>
      <c r="X558" s="16" t="s">
        <v>29</v>
      </c>
      <c r="Y558" s="319">
        <v>8</v>
      </c>
      <c r="Z558" s="320"/>
      <c r="AA558" s="29">
        <f t="shared" si="92"/>
        <v>40</v>
      </c>
      <c r="AB558" s="298">
        <f t="shared" si="94"/>
        <v>0</v>
      </c>
      <c r="AC558" s="4"/>
      <c r="AD558" s="47" t="s">
        <v>29</v>
      </c>
      <c r="AE558" s="47" t="s">
        <v>29</v>
      </c>
      <c r="AF558" s="19"/>
      <c r="AG558" s="29">
        <f t="shared" si="93"/>
        <v>0</v>
      </c>
    </row>
    <row r="559" spans="2:40" hidden="1">
      <c r="B559" s="166" t="s">
        <v>60</v>
      </c>
      <c r="C559" s="16" t="s">
        <v>29</v>
      </c>
      <c r="D559" s="16" t="s">
        <v>29</v>
      </c>
      <c r="E559" s="319">
        <v>8</v>
      </c>
      <c r="F559" s="320"/>
      <c r="G559" s="4"/>
      <c r="H559" s="16" t="s">
        <v>29</v>
      </c>
      <c r="I559" s="16" t="s">
        <v>29</v>
      </c>
      <c r="J559" s="319">
        <v>8</v>
      </c>
      <c r="K559" s="320"/>
      <c r="L559" s="4"/>
      <c r="M559" s="16" t="s">
        <v>29</v>
      </c>
      <c r="N559" s="16" t="s">
        <v>29</v>
      </c>
      <c r="O559" s="319">
        <v>8</v>
      </c>
      <c r="P559" s="320"/>
      <c r="R559" s="16" t="s">
        <v>29</v>
      </c>
      <c r="S559" s="16" t="s">
        <v>29</v>
      </c>
      <c r="T559" s="319">
        <v>8</v>
      </c>
      <c r="U559" s="320"/>
      <c r="W559" s="16" t="s">
        <v>29</v>
      </c>
      <c r="X559" s="16" t="s">
        <v>29</v>
      </c>
      <c r="Y559" s="319">
        <v>8</v>
      </c>
      <c r="Z559" s="320"/>
      <c r="AA559" s="29">
        <f t="shared" si="92"/>
        <v>40</v>
      </c>
      <c r="AB559" s="298">
        <f t="shared" si="94"/>
        <v>0</v>
      </c>
      <c r="AC559" s="4"/>
      <c r="AD559" s="47" t="s">
        <v>29</v>
      </c>
      <c r="AE559" s="47" t="s">
        <v>29</v>
      </c>
      <c r="AF559" s="19"/>
      <c r="AG559" s="29">
        <f t="shared" si="93"/>
        <v>0</v>
      </c>
    </row>
    <row r="560" spans="2:40" hidden="1">
      <c r="B560" s="63" t="s">
        <v>63</v>
      </c>
      <c r="C560" s="12" t="s">
        <v>29</v>
      </c>
      <c r="D560" s="12" t="s">
        <v>29</v>
      </c>
      <c r="E560" s="319">
        <v>4</v>
      </c>
      <c r="F560" s="320"/>
      <c r="G560" s="438"/>
      <c r="H560" s="12" t="s">
        <v>29</v>
      </c>
      <c r="I560" s="12" t="s">
        <v>29</v>
      </c>
      <c r="J560" s="319">
        <v>4.5</v>
      </c>
      <c r="K560" s="320"/>
      <c r="L560" s="438"/>
      <c r="M560" s="12" t="s">
        <v>29</v>
      </c>
      <c r="N560" s="12" t="s">
        <v>29</v>
      </c>
      <c r="O560" s="319">
        <v>4</v>
      </c>
      <c r="P560" s="320"/>
      <c r="Q560" s="438"/>
      <c r="R560" s="12" t="s">
        <v>29</v>
      </c>
      <c r="S560" s="12" t="s">
        <v>29</v>
      </c>
      <c r="T560" s="319">
        <v>4</v>
      </c>
      <c r="U560" s="320"/>
      <c r="V560" s="438"/>
      <c r="W560" s="12" t="s">
        <v>29</v>
      </c>
      <c r="X560" s="12" t="s">
        <v>29</v>
      </c>
      <c r="Y560" s="319">
        <v>4</v>
      </c>
      <c r="Z560" s="320"/>
      <c r="AA560" s="29">
        <f t="shared" si="92"/>
        <v>20.5</v>
      </c>
      <c r="AB560" s="298">
        <f t="shared" si="94"/>
        <v>0</v>
      </c>
      <c r="AC560" s="4"/>
      <c r="AD560" s="47" t="s">
        <v>29</v>
      </c>
      <c r="AE560" s="47" t="s">
        <v>29</v>
      </c>
      <c r="AF560" s="19"/>
      <c r="AG560" s="29">
        <f t="shared" si="93"/>
        <v>0</v>
      </c>
      <c r="AK560" s="407"/>
    </row>
    <row r="561" spans="2:47" hidden="1">
      <c r="B561" s="63" t="s">
        <v>250</v>
      </c>
      <c r="C561" s="12" t="s">
        <v>29</v>
      </c>
      <c r="D561" s="12" t="s">
        <v>29</v>
      </c>
      <c r="E561" s="319"/>
      <c r="F561" s="320"/>
      <c r="G561" s="438"/>
      <c r="H561" s="12" t="s">
        <v>29</v>
      </c>
      <c r="I561" s="12" t="s">
        <v>29</v>
      </c>
      <c r="J561" s="319"/>
      <c r="K561" s="320"/>
      <c r="L561" s="438"/>
      <c r="M561" s="12" t="s">
        <v>29</v>
      </c>
      <c r="N561" s="12" t="s">
        <v>29</v>
      </c>
      <c r="O561" s="319"/>
      <c r="P561" s="320"/>
      <c r="Q561" s="438"/>
      <c r="R561" s="12" t="s">
        <v>29</v>
      </c>
      <c r="S561" s="12" t="s">
        <v>29</v>
      </c>
      <c r="T561" s="319"/>
      <c r="U561" s="320"/>
      <c r="V561" s="438"/>
      <c r="W561" s="12" t="s">
        <v>29</v>
      </c>
      <c r="X561" s="12" t="s">
        <v>29</v>
      </c>
      <c r="Y561" s="319"/>
      <c r="Z561" s="320"/>
      <c r="AA561" s="29">
        <f t="shared" si="92"/>
        <v>0</v>
      </c>
      <c r="AB561" s="298">
        <f t="shared" si="94"/>
        <v>0</v>
      </c>
      <c r="AC561" s="4"/>
      <c r="AD561" s="47" t="s">
        <v>29</v>
      </c>
      <c r="AE561" s="47" t="s">
        <v>29</v>
      </c>
      <c r="AF561" s="19"/>
      <c r="AG561" s="29">
        <f t="shared" si="93"/>
        <v>0</v>
      </c>
      <c r="AK561" s="407"/>
    </row>
    <row r="562" spans="2:47" hidden="1">
      <c r="B562" s="64" t="s">
        <v>61</v>
      </c>
      <c r="C562" s="31"/>
      <c r="D562" s="31"/>
      <c r="E562" s="439">
        <f>SUM(E539:E561)</f>
        <v>131.75</v>
      </c>
      <c r="F562" s="320">
        <f>SUM(F539:F554)</f>
        <v>0</v>
      </c>
      <c r="G562" s="31"/>
      <c r="H562" s="31"/>
      <c r="I562" s="31"/>
      <c r="J562" s="439">
        <f>SUM(J539:J561)</f>
        <v>140.5</v>
      </c>
      <c r="K562" s="320">
        <f>SUM(K539:K554)</f>
        <v>0</v>
      </c>
      <c r="L562" s="31"/>
      <c r="M562" s="31"/>
      <c r="N562" s="31"/>
      <c r="O562" s="439">
        <f>SUM(O539:O561)</f>
        <v>148</v>
      </c>
      <c r="P562" s="320">
        <f>SUM(P539:P559)</f>
        <v>0</v>
      </c>
      <c r="Q562" s="31"/>
      <c r="R562" s="439"/>
      <c r="S562" s="31"/>
      <c r="T562" s="439">
        <f>SUM(T539:T561)</f>
        <v>131.5</v>
      </c>
      <c r="U562" s="320">
        <f>SUM(U539:U559)</f>
        <v>0</v>
      </c>
      <c r="V562" s="31"/>
      <c r="W562" s="439"/>
      <c r="X562" s="31"/>
      <c r="Y562" s="439">
        <f>SUM(Y539:Y561)</f>
        <v>139.75</v>
      </c>
      <c r="Z562" s="320">
        <f>SUM(Z539:Z554)</f>
        <v>0</v>
      </c>
      <c r="AA562" s="370">
        <f>SUM(AA539:AA561)</f>
        <v>691.5</v>
      </c>
      <c r="AB562" s="370">
        <f>SUM(AB539:AB561)</f>
        <v>0</v>
      </c>
      <c r="AC562" s="4"/>
      <c r="AD562" s="64"/>
      <c r="AE562" s="64"/>
      <c r="AF562" s="167">
        <f>SUM(AF539:AF561)</f>
        <v>48</v>
      </c>
      <c r="AG562" s="370">
        <f>SUM(AG539:AG561)</f>
        <v>48</v>
      </c>
    </row>
    <row r="563" spans="2:47" hidden="1">
      <c r="B563" s="63" t="s">
        <v>64</v>
      </c>
      <c r="C563" s="56" t="s">
        <v>29</v>
      </c>
      <c r="D563" s="56" t="s">
        <v>29</v>
      </c>
      <c r="E563" s="19">
        <v>0.5</v>
      </c>
      <c r="F563" s="291"/>
      <c r="G563" s="60"/>
      <c r="H563" s="56" t="s">
        <v>29</v>
      </c>
      <c r="I563" s="56" t="s">
        <v>29</v>
      </c>
      <c r="J563" s="19">
        <v>0.5</v>
      </c>
      <c r="K563" s="291"/>
      <c r="L563" s="60"/>
      <c r="M563" s="56" t="s">
        <v>29</v>
      </c>
      <c r="N563" s="56" t="s">
        <v>29</v>
      </c>
      <c r="O563" s="19">
        <v>0.5</v>
      </c>
      <c r="P563" s="19"/>
      <c r="Q563" s="60"/>
      <c r="R563" s="56" t="s">
        <v>29</v>
      </c>
      <c r="S563" s="56" t="s">
        <v>29</v>
      </c>
      <c r="T563" s="19">
        <v>0.5</v>
      </c>
      <c r="U563" s="19"/>
      <c r="V563" s="60"/>
      <c r="W563" s="56" t="s">
        <v>29</v>
      </c>
      <c r="X563" s="56" t="s">
        <v>29</v>
      </c>
      <c r="Y563" s="19">
        <v>0.5</v>
      </c>
      <c r="Z563" s="19"/>
      <c r="AA563" s="28">
        <f>SUM(E563+J563+O563+T563+Y563)</f>
        <v>2.5</v>
      </c>
      <c r="AB563" s="296">
        <f>Z563+U563+P563+K563+F563</f>
        <v>0</v>
      </c>
      <c r="AC563" s="4"/>
      <c r="AD563" s="56"/>
      <c r="AE563" s="56"/>
      <c r="AF563" s="19"/>
      <c r="AG563" s="29">
        <f>AF563</f>
        <v>0</v>
      </c>
    </row>
    <row r="564" spans="2:47" hidden="1">
      <c r="B564" s="63" t="s">
        <v>110</v>
      </c>
      <c r="C564" s="56" t="s">
        <v>29</v>
      </c>
      <c r="D564" s="56" t="s">
        <v>29</v>
      </c>
      <c r="E564" s="19">
        <v>4</v>
      </c>
      <c r="F564" s="291"/>
      <c r="G564" s="60"/>
      <c r="H564" s="56" t="s">
        <v>29</v>
      </c>
      <c r="I564" s="56" t="s">
        <v>29</v>
      </c>
      <c r="J564" s="19">
        <v>4</v>
      </c>
      <c r="K564" s="291"/>
      <c r="L564" s="60"/>
      <c r="M564" s="56" t="s">
        <v>29</v>
      </c>
      <c r="N564" s="56" t="s">
        <v>29</v>
      </c>
      <c r="O564" s="19">
        <v>4</v>
      </c>
      <c r="P564" s="19"/>
      <c r="Q564" s="60"/>
      <c r="R564" s="56" t="s">
        <v>29</v>
      </c>
      <c r="S564" s="56" t="s">
        <v>29</v>
      </c>
      <c r="T564" s="19">
        <v>4</v>
      </c>
      <c r="U564" s="19"/>
      <c r="V564" s="60"/>
      <c r="W564" s="56" t="s">
        <v>29</v>
      </c>
      <c r="X564" s="56" t="s">
        <v>29</v>
      </c>
      <c r="Y564" s="19">
        <v>4</v>
      </c>
      <c r="Z564" s="19"/>
      <c r="AA564" s="28">
        <f>SUM(E564+J564+O564+T564+Y564)</f>
        <v>20</v>
      </c>
      <c r="AB564" s="296">
        <f>Z564+U564+P564+K564+F564</f>
        <v>0</v>
      </c>
      <c r="AC564" s="4"/>
      <c r="AD564" s="56"/>
      <c r="AE564" s="56"/>
      <c r="AF564" s="19">
        <v>1</v>
      </c>
      <c r="AG564" s="29">
        <f>AF564</f>
        <v>1</v>
      </c>
    </row>
    <row r="565" spans="2:47" hidden="1">
      <c r="B565" s="71" t="s">
        <v>66</v>
      </c>
      <c r="C565" s="371"/>
      <c r="D565" s="371"/>
      <c r="E565" s="71">
        <f t="shared" ref="E565:AB565" si="95">SUM(E563:E564)</f>
        <v>4.5</v>
      </c>
      <c r="F565" s="71">
        <f t="shared" si="95"/>
        <v>0</v>
      </c>
      <c r="G565" s="71">
        <f t="shared" si="95"/>
        <v>0</v>
      </c>
      <c r="H565" s="71">
        <f t="shared" si="95"/>
        <v>0</v>
      </c>
      <c r="I565" s="71">
        <f t="shared" si="95"/>
        <v>0</v>
      </c>
      <c r="J565" s="71">
        <f t="shared" si="95"/>
        <v>4.5</v>
      </c>
      <c r="K565" s="71">
        <f t="shared" si="95"/>
        <v>0</v>
      </c>
      <c r="L565" s="71">
        <f t="shared" si="95"/>
        <v>0</v>
      </c>
      <c r="M565" s="71">
        <f t="shared" si="95"/>
        <v>0</v>
      </c>
      <c r="N565" s="71">
        <f t="shared" si="95"/>
        <v>0</v>
      </c>
      <c r="O565" s="71">
        <f t="shared" si="95"/>
        <v>4.5</v>
      </c>
      <c r="P565" s="71">
        <f t="shared" si="95"/>
        <v>0</v>
      </c>
      <c r="Q565" s="71">
        <f t="shared" si="95"/>
        <v>0</v>
      </c>
      <c r="R565" s="71">
        <f t="shared" si="95"/>
        <v>0</v>
      </c>
      <c r="S565" s="71">
        <f t="shared" si="95"/>
        <v>0</v>
      </c>
      <c r="T565" s="71">
        <f t="shared" si="95"/>
        <v>4.5</v>
      </c>
      <c r="U565" s="71">
        <f t="shared" si="95"/>
        <v>0</v>
      </c>
      <c r="V565" s="71">
        <f t="shared" si="95"/>
        <v>0</v>
      </c>
      <c r="W565" s="71">
        <f t="shared" si="95"/>
        <v>0</v>
      </c>
      <c r="X565" s="71">
        <f t="shared" si="95"/>
        <v>0</v>
      </c>
      <c r="Y565" s="71">
        <f t="shared" si="95"/>
        <v>4.5</v>
      </c>
      <c r="Z565" s="71">
        <f t="shared" si="95"/>
        <v>0</v>
      </c>
      <c r="AA565" s="370">
        <f t="shared" si="95"/>
        <v>22.5</v>
      </c>
      <c r="AB565" s="370">
        <f t="shared" si="95"/>
        <v>0</v>
      </c>
      <c r="AC565" s="4"/>
      <c r="AG565" s="370">
        <f>SUM(AG563:AG564)</f>
        <v>1</v>
      </c>
    </row>
    <row r="566" spans="2:47" hidden="1">
      <c r="B566" s="217" t="s">
        <v>67</v>
      </c>
      <c r="C566" s="207">
        <f>C567+C568</f>
        <v>74</v>
      </c>
      <c r="D566" s="207"/>
      <c r="E566" s="209"/>
      <c r="F566" s="209"/>
      <c r="G566" s="207"/>
      <c r="H566" s="209"/>
      <c r="I566" s="209"/>
      <c r="J566" s="209"/>
      <c r="K566" s="209"/>
      <c r="L566" s="207"/>
      <c r="M566" s="207"/>
      <c r="N566" s="207"/>
      <c r="O566" s="207"/>
      <c r="P566" s="209"/>
      <c r="Q566" s="207"/>
      <c r="R566" s="207"/>
      <c r="S566" s="207"/>
      <c r="T566" s="207"/>
      <c r="U566" s="209"/>
      <c r="V566" s="207"/>
      <c r="W566" s="207"/>
      <c r="X566" s="207"/>
      <c r="Y566" s="210"/>
      <c r="Z566" s="209"/>
      <c r="AA566" s="211"/>
      <c r="AB566" s="209"/>
      <c r="AC566" s="211"/>
      <c r="AD566" s="211"/>
      <c r="AE566" s="211"/>
      <c r="AF566" s="211"/>
      <c r="AG566" s="211"/>
    </row>
    <row r="567" spans="2:47" hidden="1">
      <c r="B567" s="238" t="s">
        <v>68</v>
      </c>
      <c r="C567" s="239">
        <f>10+11+11+10+11</f>
        <v>53</v>
      </c>
      <c r="D567" s="207"/>
      <c r="E567" s="209"/>
      <c r="F567" s="209"/>
      <c r="G567" s="207"/>
      <c r="H567" s="209"/>
      <c r="I567" s="209"/>
      <c r="J567" s="209"/>
      <c r="K567" s="209"/>
      <c r="L567" s="207"/>
      <c r="M567" s="207"/>
      <c r="N567" s="207"/>
      <c r="O567" s="207"/>
      <c r="P567" s="209"/>
      <c r="Q567" s="207"/>
      <c r="R567" s="207"/>
      <c r="S567" s="207"/>
      <c r="T567" s="207"/>
      <c r="U567" s="209"/>
      <c r="V567" s="207"/>
      <c r="W567" s="207"/>
      <c r="X567" s="207"/>
      <c r="Y567" s="210"/>
      <c r="Z567" s="209"/>
      <c r="AA567" s="211"/>
      <c r="AB567" s="209"/>
      <c r="AC567" s="211"/>
      <c r="AD567" s="211"/>
      <c r="AE567" s="211"/>
      <c r="AF567" s="211"/>
      <c r="AG567" s="211"/>
    </row>
    <row r="568" spans="2:47" hidden="1">
      <c r="B568" s="238" t="s">
        <v>69</v>
      </c>
      <c r="C568" s="239">
        <f>4+4+5+3+5</f>
        <v>21</v>
      </c>
      <c r="D568" s="207"/>
      <c r="E568" s="209"/>
      <c r="F568" s="209"/>
      <c r="G568" s="207"/>
      <c r="H568" s="209"/>
      <c r="I568" s="209"/>
      <c r="J568" s="209"/>
      <c r="K568" s="209"/>
      <c r="L568" s="207"/>
      <c r="M568" s="207"/>
      <c r="N568" s="207"/>
      <c r="O568" s="207"/>
      <c r="P568" s="209"/>
      <c r="Q568" s="207"/>
      <c r="R568" s="207"/>
      <c r="S568" s="207"/>
      <c r="T568" s="207"/>
      <c r="U568" s="209"/>
      <c r="V568" s="207"/>
      <c r="W568" s="207"/>
      <c r="X568" s="207"/>
      <c r="Y568" s="210"/>
      <c r="Z568" s="209"/>
      <c r="AA568" s="211"/>
      <c r="AB568" s="209"/>
      <c r="AC568" s="211"/>
      <c r="AD568" s="211"/>
      <c r="AE568" s="211"/>
      <c r="AF568" s="211"/>
      <c r="AG568" s="211"/>
    </row>
    <row r="569" spans="2:47" hidden="1"/>
    <row r="570" spans="2:47" hidden="1">
      <c r="B570" s="229"/>
      <c r="C570" s="230"/>
      <c r="D570" s="230"/>
      <c r="E570" s="232"/>
      <c r="F570" s="232"/>
      <c r="G570" s="230"/>
      <c r="H570" s="232"/>
      <c r="I570" s="232"/>
      <c r="J570" s="232"/>
      <c r="K570" s="232"/>
      <c r="L570" s="230"/>
      <c r="M570" s="230"/>
      <c r="N570" s="230"/>
      <c r="O570" s="230"/>
      <c r="P570" s="232"/>
      <c r="Q570" s="230"/>
      <c r="R570" s="230"/>
      <c r="S570" s="230"/>
      <c r="T570" s="230"/>
      <c r="U570" s="232"/>
      <c r="V570" s="230"/>
      <c r="W570" s="230"/>
      <c r="X570" s="230"/>
      <c r="Y570" s="233"/>
      <c r="Z570" s="232"/>
      <c r="AA570" s="234"/>
      <c r="AB570" s="232"/>
      <c r="AC570" s="373"/>
      <c r="AD570" s="236"/>
      <c r="AE570" s="255"/>
      <c r="AF570" s="255"/>
      <c r="AG570" s="255"/>
      <c r="AH570" s="255"/>
      <c r="AJ570" s="255"/>
      <c r="AK570" s="255"/>
      <c r="AL570" s="255"/>
      <c r="AM570" s="255"/>
      <c r="AN570" s="255"/>
      <c r="AO570" s="255"/>
      <c r="AP570" s="255"/>
      <c r="AQ570" s="255"/>
      <c r="AR570" s="255"/>
      <c r="AS570" s="255"/>
      <c r="AT570" s="255"/>
      <c r="AU570" s="255"/>
    </row>
    <row r="571" spans="2:47" hidden="1">
      <c r="B571" s="180"/>
      <c r="E571" s="4"/>
      <c r="F571" s="4"/>
      <c r="G571" s="4"/>
      <c r="J571" s="4"/>
      <c r="K571" s="4"/>
      <c r="L571" s="4"/>
      <c r="O571" s="4"/>
      <c r="P571" s="4"/>
      <c r="T571" s="4"/>
      <c r="U571" s="4"/>
      <c r="Y571" s="4"/>
      <c r="Z571" s="4"/>
      <c r="AA571" s="4"/>
      <c r="AB571" s="4"/>
      <c r="AC571" s="4"/>
      <c r="AK571" s="180"/>
      <c r="AL571" s="180"/>
      <c r="AM571" s="180"/>
      <c r="AN571" s="180"/>
      <c r="AO571" s="180"/>
      <c r="AP571" s="180"/>
    </row>
    <row r="572" spans="2:47" ht="11.45" hidden="1" customHeight="1">
      <c r="B572" s="1518" t="s">
        <v>18</v>
      </c>
      <c r="C572" s="1519">
        <v>45404</v>
      </c>
      <c r="D572" s="1519"/>
      <c r="E572" s="1519"/>
      <c r="F572" s="1519"/>
      <c r="G572" s="365"/>
      <c r="H572" s="1519">
        <v>45405</v>
      </c>
      <c r="I572" s="1519"/>
      <c r="J572" s="1519"/>
      <c r="K572" s="1519"/>
      <c r="L572" s="365">
        <v>45343</v>
      </c>
      <c r="M572" s="1519">
        <v>45406</v>
      </c>
      <c r="N572" s="1519"/>
      <c r="O572" s="1519"/>
      <c r="P572" s="1519"/>
      <c r="Q572" s="365"/>
      <c r="R572" s="1519">
        <v>45407</v>
      </c>
      <c r="S572" s="1519"/>
      <c r="T572" s="1519"/>
      <c r="U572" s="1519"/>
      <c r="V572" s="365"/>
      <c r="W572" s="1519">
        <v>45408</v>
      </c>
      <c r="X572" s="1519"/>
      <c r="Y572" s="1519"/>
      <c r="Z572" s="1519"/>
      <c r="AA572" s="1517" t="s">
        <v>19</v>
      </c>
      <c r="AB572" s="1517" t="s">
        <v>20</v>
      </c>
      <c r="AC572" s="4"/>
      <c r="AD572" s="1519">
        <v>45409</v>
      </c>
      <c r="AE572" s="1519"/>
      <c r="AF572" s="1519"/>
      <c r="AG572" s="1517" t="s">
        <v>21</v>
      </c>
      <c r="AI572" s="368"/>
      <c r="AK572" s="194" t="s">
        <v>84</v>
      </c>
      <c r="AL572" s="366"/>
      <c r="AM572" s="366"/>
      <c r="AN572" s="366"/>
      <c r="AO572" s="366"/>
      <c r="AP572" s="366"/>
    </row>
    <row r="573" spans="2:47" hidden="1">
      <c r="B573" s="1518"/>
      <c r="C573" s="21" t="s">
        <v>23</v>
      </c>
      <c r="D573" s="21" t="s">
        <v>24</v>
      </c>
      <c r="E573" s="205" t="s">
        <v>25</v>
      </c>
      <c r="F573" s="18" t="s">
        <v>14</v>
      </c>
      <c r="G573" s="4"/>
      <c r="H573" s="21" t="s">
        <v>23</v>
      </c>
      <c r="I573" s="21" t="s">
        <v>24</v>
      </c>
      <c r="J573" s="18" t="s">
        <v>25</v>
      </c>
      <c r="K573" s="18" t="s">
        <v>14</v>
      </c>
      <c r="L573" s="4"/>
      <c r="M573" s="21" t="s">
        <v>23</v>
      </c>
      <c r="N573" s="21" t="s">
        <v>24</v>
      </c>
      <c r="O573" s="18" t="s">
        <v>25</v>
      </c>
      <c r="P573" s="18" t="s">
        <v>14</v>
      </c>
      <c r="R573" s="484" t="s">
        <v>23</v>
      </c>
      <c r="S573" s="21" t="s">
        <v>24</v>
      </c>
      <c r="T573" s="18" t="s">
        <v>25</v>
      </c>
      <c r="U573" s="18" t="s">
        <v>14</v>
      </c>
      <c r="W573" s="484" t="s">
        <v>23</v>
      </c>
      <c r="X573" s="21" t="s">
        <v>24</v>
      </c>
      <c r="Y573" s="18" t="s">
        <v>25</v>
      </c>
      <c r="Z573" s="18" t="s">
        <v>14</v>
      </c>
      <c r="AA573" s="1517"/>
      <c r="AB573" s="1517"/>
      <c r="AC573" s="4"/>
      <c r="AD573" s="21" t="s">
        <v>23</v>
      </c>
      <c r="AE573" s="21" t="s">
        <v>24</v>
      </c>
      <c r="AF573" s="18" t="s">
        <v>25</v>
      </c>
      <c r="AG573" s="1517"/>
      <c r="AI573" s="368"/>
      <c r="AJ573" s="367"/>
      <c r="AK573" s="494" t="s">
        <v>26</v>
      </c>
      <c r="AL573" s="471">
        <f>AA596</f>
        <v>363.5</v>
      </c>
      <c r="AM573" s="510">
        <v>38</v>
      </c>
      <c r="AN573" s="510">
        <f t="shared" ref="AN573:AN579" si="96">AL573*AM573</f>
        <v>13813</v>
      </c>
      <c r="AQ573" s="367"/>
      <c r="AR573" s="367"/>
      <c r="AS573" s="367"/>
      <c r="AT573" s="367"/>
      <c r="AU573" s="367"/>
    </row>
    <row r="574" spans="2:47" hidden="1">
      <c r="B574" s="457" t="s">
        <v>93</v>
      </c>
      <c r="C574" s="47">
        <v>0.3611111111111111</v>
      </c>
      <c r="D574" s="47">
        <v>0.25</v>
      </c>
      <c r="E574" s="319">
        <v>8</v>
      </c>
      <c r="F574" s="320"/>
      <c r="G574" s="4"/>
      <c r="H574" s="47">
        <v>0.36805555555555558</v>
      </c>
      <c r="I574" s="47">
        <v>0.10416666666666667</v>
      </c>
      <c r="J574" s="319">
        <v>5.75</v>
      </c>
      <c r="K574" s="320"/>
      <c r="L574" s="4"/>
      <c r="M574" s="47">
        <v>0</v>
      </c>
      <c r="N574" s="47">
        <v>0</v>
      </c>
      <c r="O574" s="319">
        <v>0</v>
      </c>
      <c r="P574" s="320"/>
      <c r="R574" s="47">
        <v>0</v>
      </c>
      <c r="S574" s="47">
        <v>0</v>
      </c>
      <c r="T574" s="319">
        <v>0</v>
      </c>
      <c r="U574" s="320"/>
      <c r="W574" s="47">
        <v>0</v>
      </c>
      <c r="X574" s="47">
        <v>0</v>
      </c>
      <c r="Y574" s="346">
        <v>0</v>
      </c>
      <c r="Z574" s="320"/>
      <c r="AA574" s="29">
        <f>(E574+J574+O574+T574+Y574)</f>
        <v>13.75</v>
      </c>
      <c r="AB574" s="298">
        <f>Z574+U574+P574+K574+F574</f>
        <v>0</v>
      </c>
      <c r="AC574" s="399"/>
      <c r="AD574" s="47" t="s">
        <v>29</v>
      </c>
      <c r="AE574" s="47" t="s">
        <v>29</v>
      </c>
      <c r="AF574" s="346"/>
      <c r="AG574" s="29">
        <f t="shared" ref="AG574:AG595" si="97">AF574</f>
        <v>0</v>
      </c>
      <c r="AH574" s="175"/>
      <c r="AJ574" s="401"/>
      <c r="AK574" s="494" t="s">
        <v>30</v>
      </c>
      <c r="AL574" s="471">
        <f>AB596</f>
        <v>3.0700000000000003</v>
      </c>
      <c r="AM574" s="511">
        <v>57</v>
      </c>
      <c r="AN574" s="510">
        <f t="shared" si="96"/>
        <v>174.99</v>
      </c>
      <c r="AO574" s="405"/>
      <c r="AP574" s="405"/>
      <c r="AQ574" s="401"/>
      <c r="AR574" s="401"/>
      <c r="AS574" s="401"/>
      <c r="AT574" s="401"/>
      <c r="AU574" s="401"/>
    </row>
    <row r="575" spans="2:47" hidden="1">
      <c r="B575" s="461" t="s">
        <v>72</v>
      </c>
      <c r="C575" s="47">
        <v>0.375</v>
      </c>
      <c r="D575" s="47">
        <v>0.21805555555555556</v>
      </c>
      <c r="E575" s="319">
        <v>7.5</v>
      </c>
      <c r="F575" s="320"/>
      <c r="G575" s="4"/>
      <c r="H575" s="47" t="s">
        <v>253</v>
      </c>
      <c r="I575" s="47">
        <v>0</v>
      </c>
      <c r="J575" s="319">
        <v>0</v>
      </c>
      <c r="K575" s="320"/>
      <c r="L575" s="4"/>
      <c r="M575" s="47">
        <v>0</v>
      </c>
      <c r="N575" s="47">
        <v>0</v>
      </c>
      <c r="O575" s="319">
        <v>0</v>
      </c>
      <c r="P575" s="320"/>
      <c r="R575" s="47">
        <v>0</v>
      </c>
      <c r="S575" s="47">
        <v>0</v>
      </c>
      <c r="T575" s="319">
        <v>0</v>
      </c>
      <c r="U575" s="320"/>
      <c r="W575" s="47">
        <v>0</v>
      </c>
      <c r="X575" s="47">
        <v>0</v>
      </c>
      <c r="Y575" s="346">
        <v>0</v>
      </c>
      <c r="Z575" s="320"/>
      <c r="AA575" s="29">
        <f t="shared" ref="AA575:AA595" si="98">(E575+J575+O575+T575+Y575)</f>
        <v>7.5</v>
      </c>
      <c r="AB575" s="298">
        <f>Z575+U575+P575+K575+F575</f>
        <v>0</v>
      </c>
      <c r="AC575" s="175"/>
      <c r="AD575" s="47" t="s">
        <v>29</v>
      </c>
      <c r="AE575" s="47" t="s">
        <v>29</v>
      </c>
      <c r="AF575" s="346"/>
      <c r="AG575" s="344">
        <f t="shared" si="97"/>
        <v>0</v>
      </c>
      <c r="AH575" s="175"/>
      <c r="AI575" s="368"/>
      <c r="AK575" s="494" t="s">
        <v>32</v>
      </c>
      <c r="AL575" s="471">
        <f>AG596</f>
        <v>0</v>
      </c>
      <c r="AM575" s="510">
        <v>57</v>
      </c>
      <c r="AN575" s="510">
        <f t="shared" si="96"/>
        <v>0</v>
      </c>
    </row>
    <row r="576" spans="2:47" hidden="1">
      <c r="B576" s="164" t="s">
        <v>242</v>
      </c>
      <c r="C576" s="47">
        <v>0.3611111111111111</v>
      </c>
      <c r="D576" s="47">
        <v>0.25</v>
      </c>
      <c r="E576" s="319">
        <v>8</v>
      </c>
      <c r="F576" s="320"/>
      <c r="G576" s="4"/>
      <c r="H576" s="47">
        <v>0.36666666666666664</v>
      </c>
      <c r="I576" s="47">
        <v>0.10069444444444445</v>
      </c>
      <c r="J576" s="319">
        <v>5.25</v>
      </c>
      <c r="K576" s="320"/>
      <c r="L576" s="4"/>
      <c r="M576" s="47">
        <v>0</v>
      </c>
      <c r="N576" s="47">
        <v>0</v>
      </c>
      <c r="O576" s="319">
        <v>0</v>
      </c>
      <c r="P576" s="320"/>
      <c r="R576" s="47">
        <v>0</v>
      </c>
      <c r="S576" s="47">
        <v>0</v>
      </c>
      <c r="T576" s="319">
        <v>0</v>
      </c>
      <c r="U576" s="320"/>
      <c r="W576" s="47">
        <v>0</v>
      </c>
      <c r="X576" s="47">
        <v>0</v>
      </c>
      <c r="Y576" s="346">
        <v>0</v>
      </c>
      <c r="Z576" s="320"/>
      <c r="AA576" s="29">
        <f t="shared" si="98"/>
        <v>13.25</v>
      </c>
      <c r="AB576" s="298">
        <f>Z576+U576+P576+K576+F576</f>
        <v>0</v>
      </c>
      <c r="AC576" s="4"/>
      <c r="AD576" s="47" t="s">
        <v>29</v>
      </c>
      <c r="AE576" s="47" t="s">
        <v>29</v>
      </c>
      <c r="AF576" s="346"/>
      <c r="AG576" s="29">
        <f t="shared" si="97"/>
        <v>0</v>
      </c>
      <c r="AJ576" s="367"/>
      <c r="AK576" s="494" t="s">
        <v>213</v>
      </c>
      <c r="AL576" s="471">
        <f>AA599</f>
        <v>14.5</v>
      </c>
      <c r="AM576" s="510">
        <v>50</v>
      </c>
      <c r="AN576" s="510">
        <f t="shared" si="96"/>
        <v>725</v>
      </c>
      <c r="AQ576" s="367"/>
      <c r="AR576" s="367"/>
      <c r="AS576" s="367"/>
      <c r="AT576" s="367"/>
      <c r="AU576" s="367"/>
    </row>
    <row r="577" spans="2:40" hidden="1">
      <c r="B577" s="458" t="s">
        <v>243</v>
      </c>
      <c r="C577" s="47">
        <v>0.37291666666666667</v>
      </c>
      <c r="D577" s="47">
        <v>0.25</v>
      </c>
      <c r="E577" s="319">
        <v>8</v>
      </c>
      <c r="F577" s="320"/>
      <c r="G577" s="4"/>
      <c r="H577" s="47">
        <v>0.37222222222222223</v>
      </c>
      <c r="I577" s="47">
        <v>0.10416666666666667</v>
      </c>
      <c r="J577" s="319">
        <v>4.75</v>
      </c>
      <c r="K577" s="320"/>
      <c r="L577" s="4"/>
      <c r="M577" s="47">
        <v>0</v>
      </c>
      <c r="N577" s="47">
        <v>0</v>
      </c>
      <c r="O577" s="319">
        <v>0</v>
      </c>
      <c r="P577" s="320"/>
      <c r="R577" s="47">
        <v>0</v>
      </c>
      <c r="S577" s="47">
        <v>0</v>
      </c>
      <c r="T577" s="319">
        <v>0</v>
      </c>
      <c r="U577" s="320"/>
      <c r="W577" s="47">
        <v>0</v>
      </c>
      <c r="X577" s="47">
        <v>0</v>
      </c>
      <c r="Y577" s="346">
        <v>0</v>
      </c>
      <c r="Z577" s="320"/>
      <c r="AA577" s="29">
        <f t="shared" si="98"/>
        <v>12.75</v>
      </c>
      <c r="AB577" s="298">
        <f>Z577+U577+P577+K577+F577</f>
        <v>0</v>
      </c>
      <c r="AC577" s="4"/>
      <c r="AD577" s="47" t="s">
        <v>29</v>
      </c>
      <c r="AE577" s="47" t="s">
        <v>29</v>
      </c>
      <c r="AF577" s="346"/>
      <c r="AG577" s="29">
        <f t="shared" si="97"/>
        <v>0</v>
      </c>
      <c r="AK577" s="494" t="s">
        <v>36</v>
      </c>
      <c r="AL577" s="471">
        <f>AB599</f>
        <v>0</v>
      </c>
      <c r="AM577" s="510">
        <v>75</v>
      </c>
      <c r="AN577" s="510">
        <f t="shared" si="96"/>
        <v>0</v>
      </c>
    </row>
    <row r="578" spans="2:40" hidden="1">
      <c r="B578" s="461" t="s">
        <v>91</v>
      </c>
      <c r="C578" s="47">
        <v>0.375</v>
      </c>
      <c r="D578" s="47">
        <v>0.25</v>
      </c>
      <c r="E578" s="319">
        <v>8</v>
      </c>
      <c r="F578" s="320"/>
      <c r="G578" s="4"/>
      <c r="H578" s="47" t="s">
        <v>253</v>
      </c>
      <c r="I578" s="47">
        <v>0</v>
      </c>
      <c r="J578" s="319">
        <v>0</v>
      </c>
      <c r="K578" s="320"/>
      <c r="L578" s="4"/>
      <c r="M578" s="47">
        <v>0</v>
      </c>
      <c r="N578" s="47">
        <v>0</v>
      </c>
      <c r="O578" s="319">
        <v>0</v>
      </c>
      <c r="P578" s="320"/>
      <c r="R578" s="47">
        <v>0</v>
      </c>
      <c r="S578" s="47">
        <v>0</v>
      </c>
      <c r="T578" s="319">
        <v>0</v>
      </c>
      <c r="U578" s="320"/>
      <c r="W578" s="47">
        <v>0.375</v>
      </c>
      <c r="X578" s="47">
        <v>0.45833333333333331</v>
      </c>
      <c r="Y578" s="346">
        <v>2</v>
      </c>
      <c r="Z578" s="320"/>
      <c r="AA578" s="29">
        <f t="shared" si="98"/>
        <v>10</v>
      </c>
      <c r="AB578" s="298">
        <f>Z578+U578+P578+K578+F577</f>
        <v>0</v>
      </c>
      <c r="AC578" s="4"/>
      <c r="AD578" s="47" t="s">
        <v>29</v>
      </c>
      <c r="AE578" s="47" t="s">
        <v>29</v>
      </c>
      <c r="AF578" s="346"/>
      <c r="AG578" s="29">
        <f t="shared" si="97"/>
        <v>0</v>
      </c>
      <c r="AK578" s="494" t="s">
        <v>38</v>
      </c>
      <c r="AL578" s="471">
        <f>AG599</f>
        <v>0</v>
      </c>
      <c r="AM578" s="510">
        <v>75</v>
      </c>
      <c r="AN578" s="510">
        <f t="shared" si="96"/>
        <v>0</v>
      </c>
    </row>
    <row r="579" spans="2:40" ht="14.25" hidden="1" thickBot="1">
      <c r="B579" s="457" t="s">
        <v>46</v>
      </c>
      <c r="C579" s="441" t="s">
        <v>254</v>
      </c>
      <c r="D579" s="47">
        <v>0.25</v>
      </c>
      <c r="E579" s="319">
        <v>8</v>
      </c>
      <c r="F579" s="320">
        <v>1.07</v>
      </c>
      <c r="G579" s="4"/>
      <c r="H579" s="47">
        <v>0.36805555555555558</v>
      </c>
      <c r="I579" s="47">
        <v>0.25</v>
      </c>
      <c r="J579" s="319">
        <v>8</v>
      </c>
      <c r="K579" s="320"/>
      <c r="L579" s="4"/>
      <c r="M579" s="47">
        <v>0</v>
      </c>
      <c r="N579" s="47">
        <v>0</v>
      </c>
      <c r="O579" s="319">
        <v>0</v>
      </c>
      <c r="P579" s="320"/>
      <c r="R579" s="47">
        <v>0</v>
      </c>
      <c r="S579" s="47">
        <v>0</v>
      </c>
      <c r="T579" s="319">
        <v>0</v>
      </c>
      <c r="U579" s="320"/>
      <c r="W579" s="47">
        <v>0</v>
      </c>
      <c r="X579" s="47">
        <v>0</v>
      </c>
      <c r="Y579" s="319">
        <v>0</v>
      </c>
      <c r="Z579" s="320"/>
      <c r="AA579" s="29">
        <f>(E579+J579+O579+T579+Y579)</f>
        <v>16</v>
      </c>
      <c r="AB579" s="298">
        <f>Z579+U579+P579+K579+F578</f>
        <v>0</v>
      </c>
      <c r="AC579" s="4"/>
      <c r="AD579" s="47" t="s">
        <v>29</v>
      </c>
      <c r="AE579" s="47" t="s">
        <v>29</v>
      </c>
      <c r="AF579" s="346"/>
      <c r="AG579" s="29">
        <f t="shared" si="97"/>
        <v>0</v>
      </c>
      <c r="AK579" s="494" t="s">
        <v>41</v>
      </c>
      <c r="AL579" s="471">
        <f>C600</f>
        <v>37</v>
      </c>
      <c r="AM579" s="512">
        <v>45</v>
      </c>
      <c r="AN579" s="512">
        <f t="shared" si="96"/>
        <v>1665</v>
      </c>
    </row>
    <row r="580" spans="2:40" ht="14.25" hidden="1" thickTop="1">
      <c r="B580" s="457" t="s">
        <v>43</v>
      </c>
      <c r="C580" s="441" t="s">
        <v>255</v>
      </c>
      <c r="D580" s="47">
        <v>0.25</v>
      </c>
      <c r="E580" s="319">
        <v>7.75</v>
      </c>
      <c r="F580" s="320"/>
      <c r="G580" s="4"/>
      <c r="H580" s="47">
        <v>0.375</v>
      </c>
      <c r="I580" s="47">
        <v>0.125</v>
      </c>
      <c r="J580" s="319">
        <v>6</v>
      </c>
      <c r="K580" s="320"/>
      <c r="L580" s="4"/>
      <c r="M580" s="47">
        <v>0</v>
      </c>
      <c r="N580" s="47">
        <v>0</v>
      </c>
      <c r="O580" s="319">
        <v>0</v>
      </c>
      <c r="P580" s="320"/>
      <c r="R580" s="47">
        <v>0</v>
      </c>
      <c r="S580" s="47">
        <v>0</v>
      </c>
      <c r="T580" s="319">
        <v>0</v>
      </c>
      <c r="U580" s="320"/>
      <c r="W580" s="47">
        <v>0</v>
      </c>
      <c r="X580" s="47">
        <v>0</v>
      </c>
      <c r="Y580" s="346">
        <v>0</v>
      </c>
      <c r="Z580" s="320"/>
      <c r="AA580" s="29">
        <f t="shared" si="98"/>
        <v>13.75</v>
      </c>
      <c r="AB580" s="298">
        <f>Z580+U580+P580+K580+F579</f>
        <v>1.07</v>
      </c>
      <c r="AC580" s="4"/>
      <c r="AD580" s="47" t="s">
        <v>29</v>
      </c>
      <c r="AE580" s="47" t="s">
        <v>29</v>
      </c>
      <c r="AF580" s="346"/>
      <c r="AG580" s="29">
        <f t="shared" si="97"/>
        <v>0</v>
      </c>
      <c r="AN580" s="510">
        <f>SUM(AN573:AN579)</f>
        <v>16377.99</v>
      </c>
    </row>
    <row r="581" spans="2:40" hidden="1">
      <c r="B581" s="461" t="s">
        <v>113</v>
      </c>
      <c r="C581" s="441" t="s">
        <v>256</v>
      </c>
      <c r="D581" s="47">
        <v>0.25</v>
      </c>
      <c r="E581" s="319">
        <v>8</v>
      </c>
      <c r="F581" s="320"/>
      <c r="G581" s="4"/>
      <c r="H581" s="47">
        <v>0.36875000000000002</v>
      </c>
      <c r="I581" s="47">
        <v>0.25138888888888888</v>
      </c>
      <c r="J581" s="319">
        <v>8</v>
      </c>
      <c r="K581" s="320"/>
      <c r="L581" s="4"/>
      <c r="M581" s="47">
        <v>0</v>
      </c>
      <c r="N581" s="47">
        <v>0</v>
      </c>
      <c r="O581" s="319">
        <v>0</v>
      </c>
      <c r="P581" s="320"/>
      <c r="R581" s="47">
        <v>0</v>
      </c>
      <c r="S581" s="47">
        <v>0</v>
      </c>
      <c r="T581" s="319">
        <v>0</v>
      </c>
      <c r="U581" s="320"/>
      <c r="W581" s="47">
        <v>0</v>
      </c>
      <c r="X581" s="47">
        <v>0</v>
      </c>
      <c r="Y581" s="346">
        <v>0</v>
      </c>
      <c r="Z581" s="320"/>
      <c r="AA581" s="29">
        <f t="shared" si="98"/>
        <v>16</v>
      </c>
      <c r="AB581" s="298">
        <f>Z581+U581+P581+K581+F580</f>
        <v>0</v>
      </c>
      <c r="AC581" s="4"/>
      <c r="AD581" s="47" t="s">
        <v>29</v>
      </c>
      <c r="AE581" s="47" t="s">
        <v>29</v>
      </c>
      <c r="AF581" s="346"/>
      <c r="AG581" s="29">
        <f t="shared" si="97"/>
        <v>0</v>
      </c>
    </row>
    <row r="582" spans="2:40" hidden="1">
      <c r="B582" s="457" t="s">
        <v>44</v>
      </c>
      <c r="C582" s="441" t="s">
        <v>75</v>
      </c>
      <c r="D582" s="47">
        <v>0.25416666666666665</v>
      </c>
      <c r="E582" s="319">
        <v>8</v>
      </c>
      <c r="F582" s="320"/>
      <c r="G582" s="4"/>
      <c r="H582" s="47">
        <v>0.41319444444444442</v>
      </c>
      <c r="I582" s="47">
        <v>0.125</v>
      </c>
      <c r="J582" s="319">
        <v>5</v>
      </c>
      <c r="K582" s="320"/>
      <c r="L582" s="4"/>
      <c r="M582" s="47">
        <v>0</v>
      </c>
      <c r="N582" s="47">
        <v>0</v>
      </c>
      <c r="O582" s="319">
        <v>0</v>
      </c>
      <c r="P582" s="320"/>
      <c r="R582" s="47">
        <v>0</v>
      </c>
      <c r="S582" s="47">
        <v>0</v>
      </c>
      <c r="T582" s="319">
        <v>0</v>
      </c>
      <c r="U582" s="320"/>
      <c r="W582" s="47">
        <v>0</v>
      </c>
      <c r="X582" s="47">
        <v>0</v>
      </c>
      <c r="Y582" s="346">
        <v>0</v>
      </c>
      <c r="Z582" s="320"/>
      <c r="AA582" s="29">
        <f t="shared" si="98"/>
        <v>13</v>
      </c>
      <c r="AB582" s="298">
        <f t="shared" ref="AB582:AB595" si="99">Z582+U582+P582+K582+F582</f>
        <v>0</v>
      </c>
      <c r="AC582" s="4"/>
      <c r="AD582" s="47" t="s">
        <v>29</v>
      </c>
      <c r="AE582" s="47" t="s">
        <v>29</v>
      </c>
      <c r="AF582" s="346"/>
      <c r="AG582" s="29">
        <f t="shared" si="97"/>
        <v>0</v>
      </c>
    </row>
    <row r="583" spans="2:40" hidden="1">
      <c r="B583" s="457" t="s">
        <v>45</v>
      </c>
      <c r="C583" s="441" t="s">
        <v>257</v>
      </c>
      <c r="D583" s="47">
        <v>0.25624999999999998</v>
      </c>
      <c r="E583" s="319">
        <v>8</v>
      </c>
      <c r="F583" s="320"/>
      <c r="G583" s="4"/>
      <c r="H583" s="47">
        <v>0.36875000000000002</v>
      </c>
      <c r="I583" s="47">
        <v>0.25</v>
      </c>
      <c r="J583" s="319">
        <v>8</v>
      </c>
      <c r="K583" s="320"/>
      <c r="L583" s="4"/>
      <c r="M583" s="47">
        <v>0</v>
      </c>
      <c r="N583" s="47">
        <v>0</v>
      </c>
      <c r="O583" s="319">
        <v>0</v>
      </c>
      <c r="P583" s="320"/>
      <c r="R583" s="47">
        <v>0</v>
      </c>
      <c r="S583" s="47">
        <v>0</v>
      </c>
      <c r="T583" s="319">
        <v>0</v>
      </c>
      <c r="U583" s="320"/>
      <c r="W583" s="47">
        <v>0</v>
      </c>
      <c r="X583" s="47">
        <v>0</v>
      </c>
      <c r="Y583" s="346">
        <v>0</v>
      </c>
      <c r="Z583" s="320"/>
      <c r="AA583" s="29">
        <f t="shared" si="98"/>
        <v>16</v>
      </c>
      <c r="AB583" s="298">
        <f t="shared" si="99"/>
        <v>0</v>
      </c>
      <c r="AC583" s="4"/>
      <c r="AD583" s="47" t="s">
        <v>29</v>
      </c>
      <c r="AE583" s="47" t="s">
        <v>29</v>
      </c>
      <c r="AF583" s="346"/>
      <c r="AG583" s="29">
        <f t="shared" si="97"/>
        <v>0</v>
      </c>
    </row>
    <row r="584" spans="2:40" hidden="1">
      <c r="B584" s="458" t="s">
        <v>244</v>
      </c>
      <c r="C584" s="441" t="s">
        <v>258</v>
      </c>
      <c r="D584" s="47">
        <v>0.25</v>
      </c>
      <c r="E584" s="319">
        <v>8</v>
      </c>
      <c r="F584" s="320"/>
      <c r="G584" s="4"/>
      <c r="H584" s="47">
        <v>0.37430555555555556</v>
      </c>
      <c r="I584" s="47">
        <v>0.10208333333333333</v>
      </c>
      <c r="J584" s="319">
        <v>4.5</v>
      </c>
      <c r="K584" s="320"/>
      <c r="L584" s="4"/>
      <c r="M584" s="47">
        <v>0</v>
      </c>
      <c r="N584" s="47">
        <v>0</v>
      </c>
      <c r="O584" s="319">
        <v>0</v>
      </c>
      <c r="P584" s="320"/>
      <c r="R584" s="47">
        <v>0</v>
      </c>
      <c r="S584" s="47">
        <v>0</v>
      </c>
      <c r="T584" s="319">
        <v>0</v>
      </c>
      <c r="U584" s="320"/>
      <c r="W584" s="47">
        <v>0</v>
      </c>
      <c r="X584" s="47">
        <v>0</v>
      </c>
      <c r="Y584" s="319">
        <v>0</v>
      </c>
      <c r="Z584" s="320"/>
      <c r="AA584" s="29">
        <f t="shared" si="98"/>
        <v>12.5</v>
      </c>
      <c r="AB584" s="298">
        <f t="shared" si="99"/>
        <v>0</v>
      </c>
      <c r="AC584" s="4"/>
      <c r="AD584" s="47" t="s">
        <v>29</v>
      </c>
      <c r="AE584" s="47" t="s">
        <v>29</v>
      </c>
      <c r="AF584" s="346"/>
      <c r="AG584" s="29">
        <f t="shared" si="97"/>
        <v>0</v>
      </c>
    </row>
    <row r="585" spans="2:40" hidden="1">
      <c r="B585" s="457" t="s">
        <v>112</v>
      </c>
      <c r="C585" s="441" t="s">
        <v>259</v>
      </c>
      <c r="D585" s="47">
        <v>0.24374999999999999</v>
      </c>
      <c r="E585" s="319">
        <v>8</v>
      </c>
      <c r="F585" s="320"/>
      <c r="G585" s="4"/>
      <c r="H585" s="47">
        <v>0.37847222222222221</v>
      </c>
      <c r="I585" s="47">
        <v>0.1</v>
      </c>
      <c r="J585" s="319">
        <v>4.5</v>
      </c>
      <c r="K585" s="320"/>
      <c r="L585" s="4"/>
      <c r="M585" s="47">
        <v>0</v>
      </c>
      <c r="N585" s="47">
        <v>0</v>
      </c>
      <c r="O585" s="319">
        <v>0</v>
      </c>
      <c r="P585" s="320"/>
      <c r="R585" s="47">
        <v>0</v>
      </c>
      <c r="S585" s="47">
        <v>0</v>
      </c>
      <c r="T585" s="319">
        <v>0</v>
      </c>
      <c r="U585" s="320"/>
      <c r="W585" s="47">
        <v>0</v>
      </c>
      <c r="X585" s="47">
        <v>0</v>
      </c>
      <c r="Y585" s="319">
        <v>0</v>
      </c>
      <c r="Z585" s="320"/>
      <c r="AA585" s="29">
        <f>(E585+J585+O585+T585+Y585)</f>
        <v>12.5</v>
      </c>
      <c r="AB585" s="298">
        <f t="shared" si="99"/>
        <v>0</v>
      </c>
      <c r="AC585" s="4"/>
      <c r="AD585" s="47" t="s">
        <v>29</v>
      </c>
      <c r="AE585" s="47" t="s">
        <v>29</v>
      </c>
      <c r="AF585" s="19"/>
      <c r="AG585" s="29">
        <f t="shared" si="97"/>
        <v>0</v>
      </c>
    </row>
    <row r="586" spans="2:40" hidden="1">
      <c r="B586" s="164" t="s">
        <v>39</v>
      </c>
      <c r="C586" s="441" t="s">
        <v>260</v>
      </c>
      <c r="D586" s="47">
        <v>0.25</v>
      </c>
      <c r="E586" s="319">
        <v>8</v>
      </c>
      <c r="F586" s="320"/>
      <c r="G586" s="4"/>
      <c r="H586" s="441" t="s">
        <v>75</v>
      </c>
      <c r="I586" s="47">
        <v>0.24513888888888888</v>
      </c>
      <c r="J586" s="319">
        <v>8</v>
      </c>
      <c r="K586" s="320"/>
      <c r="L586" s="4"/>
      <c r="M586" s="47">
        <v>0</v>
      </c>
      <c r="N586" s="47">
        <v>0</v>
      </c>
      <c r="O586" s="319">
        <v>0</v>
      </c>
      <c r="P586" s="320"/>
      <c r="R586" s="47">
        <v>0</v>
      </c>
      <c r="S586" s="47">
        <v>0</v>
      </c>
      <c r="T586" s="319">
        <v>0</v>
      </c>
      <c r="U586" s="320"/>
      <c r="W586" s="47">
        <v>4.1666666666666699E-2</v>
      </c>
      <c r="X586" s="47">
        <v>0</v>
      </c>
      <c r="Y586" s="346">
        <v>0</v>
      </c>
      <c r="Z586" s="320"/>
      <c r="AA586" s="29">
        <f t="shared" si="98"/>
        <v>16</v>
      </c>
      <c r="AB586" s="298">
        <f t="shared" si="99"/>
        <v>0</v>
      </c>
      <c r="AC586" s="4"/>
      <c r="AD586" s="47" t="s">
        <v>29</v>
      </c>
      <c r="AE586" s="47" t="s">
        <v>29</v>
      </c>
      <c r="AF586" s="19"/>
      <c r="AG586" s="29">
        <f t="shared" si="97"/>
        <v>0</v>
      </c>
    </row>
    <row r="587" spans="2:40" hidden="1">
      <c r="B587" s="164" t="s">
        <v>241</v>
      </c>
      <c r="C587" s="441" t="s">
        <v>75</v>
      </c>
      <c r="D587" s="47">
        <v>0.25</v>
      </c>
      <c r="E587" s="319">
        <v>8</v>
      </c>
      <c r="F587" s="320"/>
      <c r="G587" s="4"/>
      <c r="H587" s="441" t="s">
        <v>75</v>
      </c>
      <c r="I587" s="47">
        <v>0.10486111111111111</v>
      </c>
      <c r="J587" s="319">
        <v>4.5</v>
      </c>
      <c r="K587" s="320"/>
      <c r="L587" s="4"/>
      <c r="M587" s="47">
        <v>0</v>
      </c>
      <c r="N587" s="47">
        <v>0</v>
      </c>
      <c r="O587" s="319">
        <v>0</v>
      </c>
      <c r="P587" s="320"/>
      <c r="R587" s="47">
        <v>0</v>
      </c>
      <c r="S587" s="47">
        <v>0</v>
      </c>
      <c r="T587" s="319">
        <v>0</v>
      </c>
      <c r="U587" s="320"/>
      <c r="W587" s="47">
        <v>8.3333333333333301E-2</v>
      </c>
      <c r="X587" s="47">
        <v>0</v>
      </c>
      <c r="Y587" s="346">
        <v>0</v>
      </c>
      <c r="Z587" s="320"/>
      <c r="AA587" s="29">
        <f t="shared" si="98"/>
        <v>12.5</v>
      </c>
      <c r="AB587" s="298">
        <f t="shared" si="99"/>
        <v>0</v>
      </c>
      <c r="AC587" s="4"/>
      <c r="AD587" s="47" t="s">
        <v>29</v>
      </c>
      <c r="AE587" s="47" t="s">
        <v>29</v>
      </c>
      <c r="AF587" s="19"/>
      <c r="AG587" s="29">
        <f t="shared" si="97"/>
        <v>0</v>
      </c>
    </row>
    <row r="588" spans="2:40" hidden="1">
      <c r="B588" s="224" t="s">
        <v>42</v>
      </c>
      <c r="C588" s="441" t="s">
        <v>75</v>
      </c>
      <c r="D588" s="47">
        <v>0.25</v>
      </c>
      <c r="E588" s="319">
        <v>8</v>
      </c>
      <c r="F588" s="320"/>
      <c r="G588" s="4"/>
      <c r="H588" s="441" t="s">
        <v>75</v>
      </c>
      <c r="I588" s="47">
        <v>0.125</v>
      </c>
      <c r="J588" s="319">
        <v>6</v>
      </c>
      <c r="K588" s="320"/>
      <c r="L588" s="4"/>
      <c r="M588" s="47">
        <v>0</v>
      </c>
      <c r="N588" s="47">
        <v>0</v>
      </c>
      <c r="O588" s="319">
        <v>0</v>
      </c>
      <c r="P588" s="320"/>
      <c r="R588" s="47">
        <v>0</v>
      </c>
      <c r="S588" s="47">
        <v>0</v>
      </c>
      <c r="T588" s="319">
        <v>0</v>
      </c>
      <c r="U588" s="320"/>
      <c r="W588" s="47">
        <v>0</v>
      </c>
      <c r="X588" s="47">
        <v>0</v>
      </c>
      <c r="Y588" s="346">
        <v>0</v>
      </c>
      <c r="Z588" s="320"/>
      <c r="AA588" s="29">
        <f t="shared" si="98"/>
        <v>14</v>
      </c>
      <c r="AB588" s="298">
        <f t="shared" si="99"/>
        <v>0</v>
      </c>
      <c r="AC588" s="4"/>
      <c r="AD588" s="47" t="s">
        <v>29</v>
      </c>
      <c r="AE588" s="47" t="s">
        <v>29</v>
      </c>
      <c r="AF588" s="19"/>
      <c r="AG588" s="29">
        <f t="shared" si="97"/>
        <v>0</v>
      </c>
    </row>
    <row r="589" spans="2:40" hidden="1">
      <c r="B589" s="166" t="s">
        <v>48</v>
      </c>
      <c r="C589" s="16">
        <v>0.35416666666666669</v>
      </c>
      <c r="D589" s="16">
        <v>0.25</v>
      </c>
      <c r="E589" s="319">
        <v>8</v>
      </c>
      <c r="F589" s="320">
        <v>0.5</v>
      </c>
      <c r="G589" s="4"/>
      <c r="H589" s="16">
        <v>0.35416666666666669</v>
      </c>
      <c r="I589" s="16">
        <v>0.25</v>
      </c>
      <c r="J589" s="319">
        <v>8</v>
      </c>
      <c r="K589" s="320">
        <v>0.5</v>
      </c>
      <c r="L589" s="4"/>
      <c r="M589" s="47">
        <v>0</v>
      </c>
      <c r="N589" s="47">
        <v>0</v>
      </c>
      <c r="O589" s="319">
        <v>0</v>
      </c>
      <c r="P589" s="320"/>
      <c r="R589" s="47">
        <v>0</v>
      </c>
      <c r="S589" s="47">
        <v>0</v>
      </c>
      <c r="T589" s="319">
        <v>0</v>
      </c>
      <c r="U589" s="320"/>
      <c r="W589" s="16">
        <v>0.35416666666666669</v>
      </c>
      <c r="X589" s="16">
        <v>0.25</v>
      </c>
      <c r="Y589" s="319">
        <v>8</v>
      </c>
      <c r="Z589" s="320">
        <v>0.5</v>
      </c>
      <c r="AA589" s="29">
        <f>(E589+J589+O589+T589+Y589)</f>
        <v>24</v>
      </c>
      <c r="AB589" s="298">
        <f t="shared" si="99"/>
        <v>1.5</v>
      </c>
      <c r="AC589" s="4"/>
      <c r="AD589" s="47" t="s">
        <v>29</v>
      </c>
      <c r="AE589" s="47" t="s">
        <v>29</v>
      </c>
      <c r="AF589" s="19"/>
      <c r="AG589" s="29">
        <f t="shared" si="97"/>
        <v>0</v>
      </c>
    </row>
    <row r="590" spans="2:40" hidden="1">
      <c r="B590" s="166" t="s">
        <v>49</v>
      </c>
      <c r="C590" s="16" t="s">
        <v>29</v>
      </c>
      <c r="D590" s="16" t="s">
        <v>29</v>
      </c>
      <c r="E590" s="319">
        <v>8</v>
      </c>
      <c r="F590" s="320"/>
      <c r="G590" s="4"/>
      <c r="H590" s="16" t="s">
        <v>29</v>
      </c>
      <c r="I590" s="16" t="s">
        <v>29</v>
      </c>
      <c r="J590" s="319">
        <v>8</v>
      </c>
      <c r="K590" s="320"/>
      <c r="L590" s="4"/>
      <c r="M590" s="16" t="s">
        <v>29</v>
      </c>
      <c r="N590" s="16" t="s">
        <v>29</v>
      </c>
      <c r="O590" s="319">
        <v>8</v>
      </c>
      <c r="P590" s="320"/>
      <c r="R590" s="16" t="s">
        <v>29</v>
      </c>
      <c r="S590" s="16" t="s">
        <v>29</v>
      </c>
      <c r="T590" s="319">
        <v>8</v>
      </c>
      <c r="U590" s="320"/>
      <c r="W590" s="16" t="s">
        <v>29</v>
      </c>
      <c r="X590" s="16" t="s">
        <v>29</v>
      </c>
      <c r="Y590" s="319">
        <v>8</v>
      </c>
      <c r="Z590" s="320"/>
      <c r="AA590" s="29">
        <f t="shared" si="98"/>
        <v>40</v>
      </c>
      <c r="AB590" s="298">
        <f t="shared" si="99"/>
        <v>0</v>
      </c>
      <c r="AC590" s="4"/>
      <c r="AD590" s="47" t="s">
        <v>29</v>
      </c>
      <c r="AE590" s="47" t="s">
        <v>29</v>
      </c>
      <c r="AF590" s="19"/>
      <c r="AG590" s="29">
        <f t="shared" si="97"/>
        <v>0</v>
      </c>
    </row>
    <row r="591" spans="2:40" hidden="1">
      <c r="B591" s="166" t="s">
        <v>107</v>
      </c>
      <c r="C591" s="47" t="s">
        <v>29</v>
      </c>
      <c r="D591" s="47" t="s">
        <v>29</v>
      </c>
      <c r="E591" s="319">
        <v>0</v>
      </c>
      <c r="F591" s="320"/>
      <c r="G591" s="4"/>
      <c r="H591" s="47" t="s">
        <v>29</v>
      </c>
      <c r="I591" s="47" t="s">
        <v>29</v>
      </c>
      <c r="J591" s="319">
        <v>0</v>
      </c>
      <c r="K591" s="320"/>
      <c r="L591" s="4"/>
      <c r="M591" s="47" t="s">
        <v>29</v>
      </c>
      <c r="N591" s="47" t="s">
        <v>29</v>
      </c>
      <c r="O591" s="319">
        <v>0</v>
      </c>
      <c r="P591" s="320"/>
      <c r="R591" s="47" t="s">
        <v>29</v>
      </c>
      <c r="S591" s="47" t="s">
        <v>29</v>
      </c>
      <c r="T591" s="319">
        <v>0</v>
      </c>
      <c r="U591" s="320"/>
      <c r="W591" s="47" t="s">
        <v>29</v>
      </c>
      <c r="X591" s="47" t="s">
        <v>29</v>
      </c>
      <c r="Y591" s="319">
        <v>0</v>
      </c>
      <c r="Z591" s="320"/>
      <c r="AA591" s="29">
        <f t="shared" si="98"/>
        <v>0</v>
      </c>
      <c r="AB591" s="298">
        <f t="shared" si="99"/>
        <v>0</v>
      </c>
      <c r="AC591" s="4"/>
      <c r="AD591" s="47" t="s">
        <v>29</v>
      </c>
      <c r="AE591" s="47" t="s">
        <v>29</v>
      </c>
      <c r="AF591" s="19"/>
      <c r="AG591" s="29">
        <f t="shared" si="97"/>
        <v>0</v>
      </c>
    </row>
    <row r="592" spans="2:40" hidden="1">
      <c r="B592" s="166" t="s">
        <v>59</v>
      </c>
      <c r="C592" s="47" t="s">
        <v>29</v>
      </c>
      <c r="D592" s="16" t="s">
        <v>29</v>
      </c>
      <c r="E592" s="319">
        <v>8</v>
      </c>
      <c r="F592" s="320"/>
      <c r="G592" s="4"/>
      <c r="H592" s="47" t="s">
        <v>29</v>
      </c>
      <c r="I592" s="16" t="s">
        <v>29</v>
      </c>
      <c r="J592" s="319">
        <v>8</v>
      </c>
      <c r="K592" s="320"/>
      <c r="L592" s="4"/>
      <c r="M592" s="47" t="s">
        <v>29</v>
      </c>
      <c r="N592" s="16" t="s">
        <v>29</v>
      </c>
      <c r="O592" s="319">
        <v>8</v>
      </c>
      <c r="P592" s="320"/>
      <c r="R592" s="47" t="s">
        <v>29</v>
      </c>
      <c r="S592" s="16" t="s">
        <v>29</v>
      </c>
      <c r="T592" s="319">
        <v>8</v>
      </c>
      <c r="U592" s="320"/>
      <c r="W592" s="47" t="s">
        <v>29</v>
      </c>
      <c r="X592" s="16" t="s">
        <v>29</v>
      </c>
      <c r="Y592" s="319">
        <v>8</v>
      </c>
      <c r="Z592" s="320"/>
      <c r="AA592" s="29">
        <f t="shared" si="98"/>
        <v>40</v>
      </c>
      <c r="AB592" s="298">
        <f t="shared" si="99"/>
        <v>0</v>
      </c>
      <c r="AC592" s="4"/>
      <c r="AD592" s="47" t="s">
        <v>29</v>
      </c>
      <c r="AE592" s="47" t="s">
        <v>29</v>
      </c>
      <c r="AF592" s="19"/>
      <c r="AG592" s="29">
        <f t="shared" si="97"/>
        <v>0</v>
      </c>
    </row>
    <row r="593" spans="2:47" hidden="1">
      <c r="B593" s="166" t="s">
        <v>60</v>
      </c>
      <c r="C593" s="16" t="s">
        <v>29</v>
      </c>
      <c r="D593" s="16" t="s">
        <v>29</v>
      </c>
      <c r="E593" s="319">
        <v>8</v>
      </c>
      <c r="F593" s="320"/>
      <c r="G593" s="4"/>
      <c r="H593" s="16" t="s">
        <v>29</v>
      </c>
      <c r="I593" s="16" t="s">
        <v>29</v>
      </c>
      <c r="J593" s="319">
        <v>8</v>
      </c>
      <c r="K593" s="320"/>
      <c r="L593" s="4"/>
      <c r="M593" s="16" t="s">
        <v>29</v>
      </c>
      <c r="N593" s="16" t="s">
        <v>29</v>
      </c>
      <c r="O593" s="319">
        <v>8</v>
      </c>
      <c r="P593" s="320"/>
      <c r="R593" s="16" t="s">
        <v>29</v>
      </c>
      <c r="S593" s="16" t="s">
        <v>29</v>
      </c>
      <c r="T593" s="319">
        <v>8</v>
      </c>
      <c r="U593" s="320"/>
      <c r="W593" s="16" t="s">
        <v>29</v>
      </c>
      <c r="X593" s="16" t="s">
        <v>29</v>
      </c>
      <c r="Y593" s="319">
        <v>8</v>
      </c>
      <c r="Z593" s="320"/>
      <c r="AA593" s="29">
        <f t="shared" si="98"/>
        <v>40</v>
      </c>
      <c r="AB593" s="298">
        <f t="shared" si="99"/>
        <v>0</v>
      </c>
      <c r="AC593" s="4"/>
      <c r="AD593" s="47" t="s">
        <v>29</v>
      </c>
      <c r="AE593" s="47" t="s">
        <v>29</v>
      </c>
      <c r="AF593" s="19"/>
      <c r="AG593" s="29">
        <f t="shared" si="97"/>
        <v>0</v>
      </c>
    </row>
    <row r="594" spans="2:47" hidden="1">
      <c r="B594" s="63" t="s">
        <v>63</v>
      </c>
      <c r="C594" s="16" t="s">
        <v>29</v>
      </c>
      <c r="D594" s="16" t="s">
        <v>29</v>
      </c>
      <c r="E594" s="319">
        <v>4</v>
      </c>
      <c r="F594" s="320"/>
      <c r="G594" s="438"/>
      <c r="H594" s="16" t="s">
        <v>29</v>
      </c>
      <c r="I594" s="16" t="s">
        <v>29</v>
      </c>
      <c r="J594" s="319">
        <v>4</v>
      </c>
      <c r="K594" s="320"/>
      <c r="L594" s="438"/>
      <c r="M594" s="16" t="s">
        <v>29</v>
      </c>
      <c r="N594" s="16" t="s">
        <v>29</v>
      </c>
      <c r="O594" s="319">
        <v>4</v>
      </c>
      <c r="P594" s="320"/>
      <c r="Q594" s="438"/>
      <c r="R594" s="16" t="s">
        <v>29</v>
      </c>
      <c r="S594" s="16" t="s">
        <v>29</v>
      </c>
      <c r="T594" s="319">
        <v>4</v>
      </c>
      <c r="U594" s="320"/>
      <c r="V594" s="438"/>
      <c r="W594" s="16" t="s">
        <v>29</v>
      </c>
      <c r="X594" s="16" t="s">
        <v>29</v>
      </c>
      <c r="Y594" s="319">
        <v>4</v>
      </c>
      <c r="Z594" s="320">
        <v>0.5</v>
      </c>
      <c r="AA594" s="29">
        <f t="shared" si="98"/>
        <v>20</v>
      </c>
      <c r="AB594" s="298">
        <f t="shared" si="99"/>
        <v>0.5</v>
      </c>
      <c r="AC594" s="4"/>
      <c r="AD594" s="47" t="s">
        <v>29</v>
      </c>
      <c r="AE594" s="47" t="s">
        <v>29</v>
      </c>
      <c r="AF594" s="19"/>
      <c r="AG594" s="29">
        <f t="shared" si="97"/>
        <v>0</v>
      </c>
      <c r="AK594" s="407"/>
    </row>
    <row r="595" spans="2:47" hidden="1">
      <c r="B595" s="63" t="s">
        <v>250</v>
      </c>
      <c r="C595" s="16" t="s">
        <v>29</v>
      </c>
      <c r="D595" s="16" t="s">
        <v>29</v>
      </c>
      <c r="E595" s="319">
        <v>0</v>
      </c>
      <c r="F595" s="320"/>
      <c r="G595" s="438"/>
      <c r="H595" s="16" t="s">
        <v>29</v>
      </c>
      <c r="I595" s="16" t="s">
        <v>29</v>
      </c>
      <c r="J595" s="319">
        <v>0</v>
      </c>
      <c r="K595" s="320"/>
      <c r="L595" s="438"/>
      <c r="M595" s="16" t="s">
        <v>29</v>
      </c>
      <c r="N595" s="16" t="s">
        <v>29</v>
      </c>
      <c r="O595" s="319">
        <v>0</v>
      </c>
      <c r="P595" s="320"/>
      <c r="Q595" s="438"/>
      <c r="R595" s="16" t="s">
        <v>29</v>
      </c>
      <c r="S595" s="16" t="s">
        <v>29</v>
      </c>
      <c r="T595" s="319">
        <v>0</v>
      </c>
      <c r="U595" s="320"/>
      <c r="V595" s="438"/>
      <c r="W595" s="16" t="s">
        <v>29</v>
      </c>
      <c r="X595" s="16" t="s">
        <v>29</v>
      </c>
      <c r="Y595" s="319">
        <v>0</v>
      </c>
      <c r="Z595" s="320"/>
      <c r="AA595" s="29">
        <f t="shared" si="98"/>
        <v>0</v>
      </c>
      <c r="AB595" s="298">
        <f t="shared" si="99"/>
        <v>0</v>
      </c>
      <c r="AC595" s="4"/>
      <c r="AD595" s="47" t="s">
        <v>29</v>
      </c>
      <c r="AE595" s="47" t="s">
        <v>29</v>
      </c>
      <c r="AF595" s="19"/>
      <c r="AG595" s="29">
        <f t="shared" si="97"/>
        <v>0</v>
      </c>
      <c r="AK595" s="407"/>
    </row>
    <row r="596" spans="2:47" hidden="1">
      <c r="B596" s="64" t="s">
        <v>61</v>
      </c>
      <c r="C596" s="31"/>
      <c r="D596" s="31"/>
      <c r="E596" s="439">
        <f>SUM(E574:E595)</f>
        <v>155.25</v>
      </c>
      <c r="F596" s="320">
        <f>SUM(F574:F595)</f>
        <v>1.57</v>
      </c>
      <c r="G596" s="31"/>
      <c r="H596" s="31"/>
      <c r="I596" s="31"/>
      <c r="J596" s="439">
        <f>SUM(J574:J595)</f>
        <v>114.25</v>
      </c>
      <c r="K596" s="320">
        <f>SUM(K574:K595)</f>
        <v>0.5</v>
      </c>
      <c r="L596" s="31"/>
      <c r="M596" s="31"/>
      <c r="N596" s="31"/>
      <c r="O596" s="439">
        <f>SUM(O574:O595)</f>
        <v>28</v>
      </c>
      <c r="P596" s="320">
        <f>SUM(P574:P595)</f>
        <v>0</v>
      </c>
      <c r="Q596" s="31"/>
      <c r="R596" s="31"/>
      <c r="S596" s="31"/>
      <c r="T596" s="439">
        <f>SUM(T574:T595)</f>
        <v>28</v>
      </c>
      <c r="U596" s="320">
        <f>SUM(U574:U595)</f>
        <v>0</v>
      </c>
      <c r="V596" s="31"/>
      <c r="W596" s="31"/>
      <c r="X596" s="31"/>
      <c r="Y596" s="439">
        <f>SUM(Y574:Y595)</f>
        <v>38</v>
      </c>
      <c r="Z596" s="320">
        <f>SUM(Z574:Z595)</f>
        <v>1</v>
      </c>
      <c r="AA596" s="370">
        <f>SUM(AA574:AA595)</f>
        <v>363.5</v>
      </c>
      <c r="AB596" s="370">
        <f>SUM(AB574:AB595)</f>
        <v>3.0700000000000003</v>
      </c>
      <c r="AC596" s="4"/>
      <c r="AD596" s="64"/>
      <c r="AE596" s="64"/>
      <c r="AF596" s="167">
        <f>SUM(AF574:AF595)</f>
        <v>0</v>
      </c>
      <c r="AG596" s="370">
        <f>SUM(AG574:AG595)</f>
        <v>0</v>
      </c>
    </row>
    <row r="597" spans="2:47" hidden="1">
      <c r="B597" s="63" t="s">
        <v>64</v>
      </c>
      <c r="C597" s="56" t="s">
        <v>29</v>
      </c>
      <c r="D597" s="56" t="s">
        <v>29</v>
      </c>
      <c r="E597" s="19"/>
      <c r="F597" s="291"/>
      <c r="G597" s="60"/>
      <c r="H597" s="56" t="s">
        <v>29</v>
      </c>
      <c r="I597" s="56" t="s">
        <v>29</v>
      </c>
      <c r="J597" s="19"/>
      <c r="K597" s="291"/>
      <c r="L597" s="60"/>
      <c r="M597" s="56" t="s">
        <v>29</v>
      </c>
      <c r="N597" s="56" t="s">
        <v>29</v>
      </c>
      <c r="O597" s="19"/>
      <c r="P597" s="19"/>
      <c r="Q597" s="60"/>
      <c r="R597" s="56" t="s">
        <v>29</v>
      </c>
      <c r="S597" s="56" t="s">
        <v>29</v>
      </c>
      <c r="T597" s="19">
        <v>0.5</v>
      </c>
      <c r="U597" s="19"/>
      <c r="V597" s="60"/>
      <c r="W597" s="56" t="s">
        <v>29</v>
      </c>
      <c r="X597" s="56" t="s">
        <v>29</v>
      </c>
      <c r="Y597" s="19"/>
      <c r="Z597" s="19"/>
      <c r="AA597" s="28">
        <f>SUM(E597+J597+O597+T597+Y597)</f>
        <v>0.5</v>
      </c>
      <c r="AB597" s="296">
        <f>Z597+U597+P597+K597+F597</f>
        <v>0</v>
      </c>
      <c r="AC597" s="4"/>
      <c r="AD597" s="56"/>
      <c r="AE597" s="56"/>
      <c r="AF597" s="19"/>
      <c r="AG597" s="29">
        <f>AF597</f>
        <v>0</v>
      </c>
    </row>
    <row r="598" spans="2:47" hidden="1">
      <c r="B598" s="63" t="s">
        <v>110</v>
      </c>
      <c r="C598" s="56" t="s">
        <v>29</v>
      </c>
      <c r="D598" s="56" t="s">
        <v>29</v>
      </c>
      <c r="E598" s="19">
        <v>4</v>
      </c>
      <c r="F598" s="291"/>
      <c r="G598" s="60"/>
      <c r="H598" s="56" t="s">
        <v>29</v>
      </c>
      <c r="I598" s="56" t="s">
        <v>29</v>
      </c>
      <c r="J598" s="19">
        <v>4</v>
      </c>
      <c r="K598" s="291"/>
      <c r="L598" s="60"/>
      <c r="M598" s="56" t="s">
        <v>29</v>
      </c>
      <c r="N598" s="56" t="s">
        <v>29</v>
      </c>
      <c r="O598" s="19">
        <v>2</v>
      </c>
      <c r="P598" s="19"/>
      <c r="Q598" s="60"/>
      <c r="R598" s="56" t="s">
        <v>29</v>
      </c>
      <c r="S598" s="56" t="s">
        <v>29</v>
      </c>
      <c r="T598" s="19">
        <v>2</v>
      </c>
      <c r="U598" s="19"/>
      <c r="V598" s="60"/>
      <c r="W598" s="56" t="s">
        <v>29</v>
      </c>
      <c r="X598" s="56" t="s">
        <v>29</v>
      </c>
      <c r="Y598" s="19">
        <v>2</v>
      </c>
      <c r="Z598" s="19"/>
      <c r="AA598" s="28">
        <f>SUM(E598+J598+O598+T598+Y598)</f>
        <v>14</v>
      </c>
      <c r="AB598" s="296">
        <f>Z598+U598+P598+K598+F598</f>
        <v>0</v>
      </c>
      <c r="AC598" s="4"/>
      <c r="AD598" s="56"/>
      <c r="AE598" s="56"/>
      <c r="AF598" s="19"/>
      <c r="AG598" s="29">
        <f>AF598</f>
        <v>0</v>
      </c>
    </row>
    <row r="599" spans="2:47" hidden="1">
      <c r="B599" s="71" t="s">
        <v>66</v>
      </c>
      <c r="C599" s="371"/>
      <c r="D599" s="371"/>
      <c r="E599" s="71">
        <f t="shared" ref="E599:AB599" si="100">SUM(E597:E598)</f>
        <v>4</v>
      </c>
      <c r="F599" s="71">
        <f t="shared" si="100"/>
        <v>0</v>
      </c>
      <c r="G599" s="71">
        <f t="shared" si="100"/>
        <v>0</v>
      </c>
      <c r="H599" s="71">
        <f t="shared" si="100"/>
        <v>0</v>
      </c>
      <c r="I599" s="71">
        <f t="shared" si="100"/>
        <v>0</v>
      </c>
      <c r="J599" s="71">
        <f t="shared" si="100"/>
        <v>4</v>
      </c>
      <c r="K599" s="71">
        <f t="shared" si="100"/>
        <v>0</v>
      </c>
      <c r="L599" s="71">
        <f t="shared" si="100"/>
        <v>0</v>
      </c>
      <c r="M599" s="71">
        <f t="shared" si="100"/>
        <v>0</v>
      </c>
      <c r="N599" s="71">
        <f t="shared" si="100"/>
        <v>0</v>
      </c>
      <c r="O599" s="71">
        <f t="shared" si="100"/>
        <v>2</v>
      </c>
      <c r="P599" s="71">
        <f t="shared" si="100"/>
        <v>0</v>
      </c>
      <c r="Q599" s="71">
        <f t="shared" si="100"/>
        <v>0</v>
      </c>
      <c r="R599" s="71">
        <f t="shared" si="100"/>
        <v>0</v>
      </c>
      <c r="S599" s="71">
        <f t="shared" si="100"/>
        <v>0</v>
      </c>
      <c r="T599" s="71">
        <f t="shared" si="100"/>
        <v>2.5</v>
      </c>
      <c r="U599" s="71">
        <f t="shared" si="100"/>
        <v>0</v>
      </c>
      <c r="V599" s="71">
        <f t="shared" si="100"/>
        <v>0</v>
      </c>
      <c r="W599" s="71">
        <f t="shared" si="100"/>
        <v>0</v>
      </c>
      <c r="X599" s="71">
        <f t="shared" si="100"/>
        <v>0</v>
      </c>
      <c r="Y599" s="71">
        <f t="shared" si="100"/>
        <v>2</v>
      </c>
      <c r="Z599" s="71">
        <f t="shared" si="100"/>
        <v>0</v>
      </c>
      <c r="AA599" s="370">
        <f t="shared" si="100"/>
        <v>14.5</v>
      </c>
      <c r="AB599" s="370">
        <f t="shared" si="100"/>
        <v>0</v>
      </c>
      <c r="AC599" s="4"/>
      <c r="AG599" s="370">
        <f>SUM(AG597:AG598)</f>
        <v>0</v>
      </c>
    </row>
    <row r="600" spans="2:47" hidden="1">
      <c r="B600" s="217" t="s">
        <v>67</v>
      </c>
      <c r="C600" s="207">
        <f>C601+C602</f>
        <v>37</v>
      </c>
      <c r="D600" s="207"/>
      <c r="E600" s="209"/>
      <c r="F600" s="209"/>
      <c r="G600" s="207"/>
      <c r="H600" s="209"/>
      <c r="I600" s="209"/>
      <c r="J600" s="209"/>
      <c r="K600" s="209"/>
      <c r="L600" s="207"/>
      <c r="M600" s="207"/>
      <c r="N600" s="207"/>
      <c r="O600" s="207"/>
      <c r="P600" s="209"/>
      <c r="Q600" s="207"/>
      <c r="R600" s="207"/>
      <c r="S600" s="207"/>
      <c r="T600" s="207"/>
      <c r="U600" s="209"/>
      <c r="V600" s="207"/>
      <c r="W600" s="207"/>
      <c r="X600" s="207"/>
      <c r="Y600" s="210"/>
      <c r="Z600" s="209"/>
      <c r="AA600" s="211"/>
      <c r="AB600" s="209"/>
      <c r="AC600" s="211"/>
      <c r="AD600" s="211"/>
      <c r="AE600" s="211"/>
      <c r="AF600" s="211"/>
      <c r="AG600" s="211"/>
    </row>
    <row r="601" spans="2:47" hidden="1">
      <c r="B601" s="238" t="s">
        <v>68</v>
      </c>
      <c r="C601" s="239">
        <v>29</v>
      </c>
      <c r="D601" s="207"/>
      <c r="E601" s="209"/>
      <c r="F601" s="209"/>
      <c r="G601" s="207"/>
      <c r="H601" s="209"/>
      <c r="I601" s="209"/>
      <c r="J601" s="209"/>
      <c r="K601" s="209"/>
      <c r="L601" s="207"/>
      <c r="M601" s="207"/>
      <c r="N601" s="207"/>
      <c r="O601" s="207"/>
      <c r="P601" s="209"/>
      <c r="Q601" s="207"/>
      <c r="R601" s="207"/>
      <c r="S601" s="207"/>
      <c r="T601" s="207"/>
      <c r="U601" s="209"/>
      <c r="V601" s="207"/>
      <c r="W601" s="207"/>
      <c r="X601" s="207"/>
      <c r="Y601" s="210"/>
      <c r="Z601" s="209"/>
      <c r="AA601" s="211"/>
      <c r="AB601" s="209"/>
      <c r="AC601" s="211"/>
      <c r="AD601" s="211"/>
      <c r="AE601" s="211"/>
      <c r="AF601" s="211"/>
      <c r="AG601" s="211"/>
    </row>
    <row r="602" spans="2:47" hidden="1">
      <c r="B602" s="238" t="s">
        <v>69</v>
      </c>
      <c r="C602" s="239">
        <v>8</v>
      </c>
      <c r="D602" s="207"/>
      <c r="E602" s="209"/>
      <c r="F602" s="209"/>
      <c r="G602" s="207"/>
      <c r="H602" s="209"/>
      <c r="I602" s="209"/>
      <c r="J602" s="209"/>
      <c r="K602" s="209"/>
      <c r="L602" s="207"/>
      <c r="M602" s="207"/>
      <c r="N602" s="207"/>
      <c r="O602" s="207"/>
      <c r="P602" s="209"/>
      <c r="Q602" s="207"/>
      <c r="R602" s="207"/>
      <c r="S602" s="207"/>
      <c r="T602" s="207"/>
      <c r="U602" s="209"/>
      <c r="V602" s="207"/>
      <c r="W602" s="207"/>
      <c r="X602" s="207"/>
      <c r="Y602" s="210"/>
      <c r="Z602" s="209"/>
      <c r="AA602" s="211"/>
      <c r="AB602" s="209"/>
      <c r="AC602" s="211"/>
      <c r="AD602" s="211"/>
      <c r="AE602" s="211"/>
      <c r="AF602" s="211"/>
      <c r="AG602" s="211"/>
    </row>
    <row r="603" spans="2:47" hidden="1"/>
    <row r="604" spans="2:47" hidden="1">
      <c r="B604" s="229"/>
      <c r="C604" s="230"/>
      <c r="D604" s="230"/>
      <c r="E604" s="232"/>
      <c r="F604" s="232"/>
      <c r="G604" s="230"/>
      <c r="H604" s="232"/>
      <c r="I604" s="232"/>
      <c r="J604" s="232"/>
      <c r="K604" s="232"/>
      <c r="L604" s="230"/>
      <c r="M604" s="230"/>
      <c r="N604" s="230"/>
      <c r="O604" s="230"/>
      <c r="P604" s="232"/>
      <c r="Q604" s="230"/>
      <c r="R604" s="230"/>
      <c r="S604" s="230"/>
      <c r="T604" s="230"/>
      <c r="U604" s="232"/>
      <c r="V604" s="230"/>
      <c r="W604" s="230"/>
      <c r="X604" s="230"/>
      <c r="Y604" s="233"/>
      <c r="Z604" s="232"/>
      <c r="AA604" s="234"/>
      <c r="AB604" s="232"/>
      <c r="AC604" s="373"/>
      <c r="AD604" s="236"/>
      <c r="AE604" s="255"/>
      <c r="AF604" s="255"/>
      <c r="AG604" s="255"/>
      <c r="AH604" s="255"/>
      <c r="AJ604" s="255"/>
      <c r="AK604" s="255"/>
      <c r="AL604" s="255"/>
      <c r="AM604" s="255"/>
      <c r="AN604" s="255"/>
      <c r="AO604" s="255"/>
      <c r="AP604" s="255"/>
      <c r="AQ604" s="255"/>
      <c r="AR604" s="255"/>
      <c r="AS604" s="255"/>
      <c r="AT604" s="255"/>
      <c r="AU604" s="255"/>
    </row>
    <row r="605" spans="2:47" hidden="1">
      <c r="B605" s="180"/>
      <c r="E605" s="4"/>
      <c r="F605" s="4"/>
      <c r="G605" s="4"/>
      <c r="J605" s="4"/>
      <c r="K605" s="4"/>
      <c r="L605" s="4"/>
      <c r="O605" s="4"/>
      <c r="P605" s="4"/>
      <c r="T605" s="4"/>
      <c r="U605" s="4"/>
      <c r="Y605" s="4"/>
      <c r="Z605" s="4"/>
      <c r="AA605" s="4"/>
      <c r="AB605" s="4"/>
      <c r="AC605" s="4"/>
      <c r="AK605" s="180"/>
      <c r="AL605" s="180"/>
      <c r="AM605" s="180"/>
      <c r="AN605" s="180"/>
      <c r="AO605" s="180"/>
      <c r="AP605" s="180"/>
    </row>
    <row r="606" spans="2:47" ht="11.45" hidden="1" customHeight="1">
      <c r="B606" s="1518" t="s">
        <v>18</v>
      </c>
      <c r="C606" s="1519">
        <v>45411</v>
      </c>
      <c r="D606" s="1519"/>
      <c r="E606" s="1519"/>
      <c r="F606" s="1519"/>
      <c r="G606" s="365"/>
      <c r="H606" s="1519">
        <v>45412</v>
      </c>
      <c r="I606" s="1519"/>
      <c r="J606" s="1519"/>
      <c r="K606" s="1519"/>
      <c r="L606" s="365">
        <v>45343</v>
      </c>
      <c r="M606" s="1519">
        <v>45413</v>
      </c>
      <c r="N606" s="1519"/>
      <c r="O606" s="1519"/>
      <c r="P606" s="1519"/>
      <c r="Q606" s="365"/>
      <c r="R606" s="1519">
        <v>45414</v>
      </c>
      <c r="S606" s="1519"/>
      <c r="T606" s="1519"/>
      <c r="U606" s="1519"/>
      <c r="V606" s="365"/>
      <c r="W606" s="1519">
        <v>45415</v>
      </c>
      <c r="X606" s="1519"/>
      <c r="Y606" s="1519"/>
      <c r="Z606" s="1519"/>
      <c r="AA606" s="1517" t="s">
        <v>19</v>
      </c>
      <c r="AB606" s="1517" t="s">
        <v>20</v>
      </c>
      <c r="AC606" s="4"/>
      <c r="AD606" s="1519">
        <v>45416</v>
      </c>
      <c r="AE606" s="1519"/>
      <c r="AF606" s="1519"/>
      <c r="AG606" s="1517" t="s">
        <v>21</v>
      </c>
      <c r="AI606" s="368"/>
      <c r="AK606" s="194" t="s">
        <v>84</v>
      </c>
      <c r="AL606" s="366"/>
      <c r="AM606" s="366"/>
      <c r="AN606" s="366"/>
      <c r="AO606" s="366"/>
      <c r="AP606" s="366"/>
    </row>
    <row r="607" spans="2:47" hidden="1">
      <c r="B607" s="1518"/>
      <c r="C607" s="21" t="s">
        <v>23</v>
      </c>
      <c r="D607" s="21" t="s">
        <v>24</v>
      </c>
      <c r="E607" s="205" t="s">
        <v>25</v>
      </c>
      <c r="F607" s="18" t="s">
        <v>14</v>
      </c>
      <c r="G607" s="4"/>
      <c r="H607" s="21" t="s">
        <v>23</v>
      </c>
      <c r="I607" s="21" t="s">
        <v>24</v>
      </c>
      <c r="J607" s="18" t="s">
        <v>25</v>
      </c>
      <c r="K607" s="18" t="s">
        <v>14</v>
      </c>
      <c r="L607" s="4"/>
      <c r="M607" s="21" t="s">
        <v>23</v>
      </c>
      <c r="N607" s="21" t="s">
        <v>24</v>
      </c>
      <c r="O607" s="18" t="s">
        <v>25</v>
      </c>
      <c r="P607" s="18" t="s">
        <v>14</v>
      </c>
      <c r="R607" s="484" t="s">
        <v>23</v>
      </c>
      <c r="S607" s="21" t="s">
        <v>24</v>
      </c>
      <c r="T607" s="18" t="s">
        <v>25</v>
      </c>
      <c r="U607" s="18" t="s">
        <v>14</v>
      </c>
      <c r="W607" s="484" t="s">
        <v>23</v>
      </c>
      <c r="X607" s="21" t="s">
        <v>24</v>
      </c>
      <c r="Y607" s="18" t="s">
        <v>25</v>
      </c>
      <c r="Z607" s="18" t="s">
        <v>14</v>
      </c>
      <c r="AA607" s="1517"/>
      <c r="AB607" s="1517"/>
      <c r="AC607" s="4"/>
      <c r="AD607" s="21" t="s">
        <v>23</v>
      </c>
      <c r="AE607" s="21" t="s">
        <v>24</v>
      </c>
      <c r="AF607" s="18" t="s">
        <v>25</v>
      </c>
      <c r="AG607" s="1517"/>
      <c r="AI607" s="368"/>
      <c r="AJ607" s="367"/>
      <c r="AK607" s="494" t="s">
        <v>26</v>
      </c>
      <c r="AL607" s="471">
        <f>AA630</f>
        <v>724.25</v>
      </c>
      <c r="AM607" s="510">
        <v>38</v>
      </c>
      <c r="AN607" s="510">
        <f t="shared" ref="AN607:AN613" si="101">AL607*AM607</f>
        <v>27521.5</v>
      </c>
      <c r="AQ607" s="367"/>
      <c r="AR607" s="367"/>
      <c r="AS607" s="367"/>
      <c r="AT607" s="367"/>
      <c r="AU607" s="367"/>
    </row>
    <row r="608" spans="2:47" hidden="1">
      <c r="B608" s="457" t="s">
        <v>93</v>
      </c>
      <c r="C608" s="441" t="s">
        <v>76</v>
      </c>
      <c r="D608" s="47">
        <v>0.25</v>
      </c>
      <c r="E608" s="319">
        <v>8</v>
      </c>
      <c r="F608" s="320">
        <v>0.5</v>
      </c>
      <c r="G608" s="4"/>
      <c r="H608" s="47">
        <v>0.375</v>
      </c>
      <c r="I608" s="47">
        <v>0.25</v>
      </c>
      <c r="J608" s="319">
        <v>8</v>
      </c>
      <c r="K608" s="320"/>
      <c r="L608" s="4"/>
      <c r="M608" s="47">
        <v>0.375</v>
      </c>
      <c r="N608" s="47">
        <v>0.25</v>
      </c>
      <c r="O608" s="319">
        <v>8</v>
      </c>
      <c r="P608" s="320"/>
      <c r="R608" s="47">
        <v>0.375</v>
      </c>
      <c r="S608" s="47">
        <v>0.25</v>
      </c>
      <c r="T608" s="319">
        <v>8</v>
      </c>
      <c r="U608" s="320"/>
      <c r="W608" s="47">
        <v>0.375</v>
      </c>
      <c r="X608" s="47">
        <v>0.25</v>
      </c>
      <c r="Y608" s="346">
        <v>8</v>
      </c>
      <c r="Z608" s="320"/>
      <c r="AA608" s="29">
        <f t="shared" ref="AA608:AA614" si="102">(E608+J608+O608+T608+Y608)</f>
        <v>40</v>
      </c>
      <c r="AB608" s="298">
        <f>Z608+U608+P608+K608+F608</f>
        <v>0.5</v>
      </c>
      <c r="AC608" s="399"/>
      <c r="AD608" s="47" t="s">
        <v>29</v>
      </c>
      <c r="AE608" s="47" t="s">
        <v>29</v>
      </c>
      <c r="AF608" s="346"/>
      <c r="AG608" s="29">
        <f t="shared" ref="AG608:AG629" si="103">AF608</f>
        <v>0</v>
      </c>
      <c r="AH608" s="175"/>
      <c r="AJ608" s="401"/>
      <c r="AK608" s="494" t="s">
        <v>30</v>
      </c>
      <c r="AL608" s="471">
        <f>AB630</f>
        <v>3</v>
      </c>
      <c r="AM608" s="511">
        <v>57</v>
      </c>
      <c r="AN608" s="510">
        <f t="shared" si="101"/>
        <v>171</v>
      </c>
      <c r="AO608" s="405"/>
      <c r="AP608" s="405"/>
      <c r="AQ608" s="401"/>
      <c r="AR608" s="401"/>
      <c r="AS608" s="401"/>
      <c r="AT608" s="401"/>
      <c r="AU608" s="401"/>
    </row>
    <row r="609" spans="2:47" hidden="1">
      <c r="B609" s="461" t="s">
        <v>72</v>
      </c>
      <c r="C609" s="47">
        <v>0.375</v>
      </c>
      <c r="D609" s="47">
        <v>0.25</v>
      </c>
      <c r="E609" s="319">
        <v>8</v>
      </c>
      <c r="F609" s="320"/>
      <c r="G609" s="4"/>
      <c r="H609" s="47">
        <v>0.375</v>
      </c>
      <c r="I609" s="47">
        <v>0.25</v>
      </c>
      <c r="J609" s="319">
        <v>8</v>
      </c>
      <c r="K609" s="320"/>
      <c r="L609" s="4"/>
      <c r="M609" s="47">
        <v>0.375</v>
      </c>
      <c r="N609" s="47">
        <v>0.25</v>
      </c>
      <c r="O609" s="319">
        <v>8</v>
      </c>
      <c r="P609" s="320"/>
      <c r="R609" s="47">
        <v>0.375</v>
      </c>
      <c r="S609" s="47">
        <v>0.25</v>
      </c>
      <c r="T609" s="319">
        <v>8</v>
      </c>
      <c r="U609" s="320"/>
      <c r="W609" s="47">
        <v>0.375</v>
      </c>
      <c r="X609" s="47">
        <v>0.25</v>
      </c>
      <c r="Y609" s="346">
        <v>8</v>
      </c>
      <c r="Z609" s="320"/>
      <c r="AA609" s="344">
        <f t="shared" si="102"/>
        <v>40</v>
      </c>
      <c r="AB609" s="298">
        <f>Z609+U609+P609+K609+F609</f>
        <v>0</v>
      </c>
      <c r="AC609" s="175"/>
      <c r="AD609" s="47" t="s">
        <v>29</v>
      </c>
      <c r="AE609" s="47" t="s">
        <v>29</v>
      </c>
      <c r="AF609" s="346"/>
      <c r="AG609" s="344">
        <f t="shared" si="103"/>
        <v>0</v>
      </c>
      <c r="AH609" s="175"/>
      <c r="AI609" s="368"/>
      <c r="AK609" s="494" t="s">
        <v>32</v>
      </c>
      <c r="AL609" s="471">
        <f>AG630</f>
        <v>0</v>
      </c>
      <c r="AM609" s="510">
        <v>57</v>
      </c>
      <c r="AN609" s="510">
        <f t="shared" si="101"/>
        <v>0</v>
      </c>
    </row>
    <row r="610" spans="2:47" hidden="1">
      <c r="B610" s="164" t="s">
        <v>242</v>
      </c>
      <c r="C610" s="47">
        <v>0.375</v>
      </c>
      <c r="D610" s="47">
        <v>0.25</v>
      </c>
      <c r="E610" s="319">
        <v>8</v>
      </c>
      <c r="F610" s="320"/>
      <c r="G610" s="4"/>
      <c r="H610" s="47">
        <v>0.375</v>
      </c>
      <c r="I610" s="47">
        <v>0.25</v>
      </c>
      <c r="J610" s="319">
        <v>8</v>
      </c>
      <c r="K610" s="320"/>
      <c r="L610" s="4"/>
      <c r="M610" s="47">
        <v>0.375</v>
      </c>
      <c r="N610" s="47">
        <v>0.25</v>
      </c>
      <c r="O610" s="319">
        <v>8</v>
      </c>
      <c r="P610" s="320"/>
      <c r="R610" s="47">
        <v>0.375</v>
      </c>
      <c r="S610" s="47">
        <v>0.25</v>
      </c>
      <c r="T610" s="319">
        <v>8</v>
      </c>
      <c r="U610" s="320"/>
      <c r="W610" s="47">
        <v>0.375</v>
      </c>
      <c r="X610" s="47">
        <v>0.25</v>
      </c>
      <c r="Y610" s="346">
        <v>8</v>
      </c>
      <c r="Z610" s="320"/>
      <c r="AA610" s="344">
        <f t="shared" si="102"/>
        <v>40</v>
      </c>
      <c r="AB610" s="298">
        <f>Z610+U610+P610+K610+F610</f>
        <v>0</v>
      </c>
      <c r="AC610" s="4"/>
      <c r="AD610" s="47" t="s">
        <v>29</v>
      </c>
      <c r="AE610" s="47" t="s">
        <v>29</v>
      </c>
      <c r="AF610" s="346"/>
      <c r="AG610" s="29">
        <f t="shared" si="103"/>
        <v>0</v>
      </c>
      <c r="AJ610" s="367"/>
      <c r="AK610" s="494" t="s">
        <v>213</v>
      </c>
      <c r="AL610" s="471">
        <f>AA633</f>
        <v>0.5</v>
      </c>
      <c r="AM610" s="510">
        <v>50</v>
      </c>
      <c r="AN610" s="510">
        <f t="shared" si="101"/>
        <v>25</v>
      </c>
      <c r="AQ610" s="367"/>
      <c r="AR610" s="367"/>
      <c r="AS610" s="367"/>
      <c r="AT610" s="367"/>
      <c r="AU610" s="367"/>
    </row>
    <row r="611" spans="2:47" hidden="1">
      <c r="B611" s="458" t="s">
        <v>243</v>
      </c>
      <c r="C611" s="441" t="s">
        <v>75</v>
      </c>
      <c r="D611" s="47">
        <v>0.25</v>
      </c>
      <c r="E611" s="319">
        <v>8</v>
      </c>
      <c r="F611" s="320"/>
      <c r="G611" s="4"/>
      <c r="H611" s="47">
        <v>0.375</v>
      </c>
      <c r="I611" s="47">
        <v>0.25</v>
      </c>
      <c r="J611" s="319">
        <v>8</v>
      </c>
      <c r="K611" s="320"/>
      <c r="L611" s="4"/>
      <c r="M611" s="47">
        <v>0.375</v>
      </c>
      <c r="N611" s="47">
        <v>0.25</v>
      </c>
      <c r="O611" s="319">
        <v>8</v>
      </c>
      <c r="P611" s="320"/>
      <c r="R611" s="47">
        <v>0.375</v>
      </c>
      <c r="S611" s="47">
        <v>0.25</v>
      </c>
      <c r="T611" s="319">
        <v>8</v>
      </c>
      <c r="U611" s="320"/>
      <c r="W611" s="47">
        <v>0.375</v>
      </c>
      <c r="X611" s="47">
        <v>0.25</v>
      </c>
      <c r="Y611" s="346">
        <v>8</v>
      </c>
      <c r="Z611" s="320"/>
      <c r="AA611" s="29">
        <f t="shared" si="102"/>
        <v>40</v>
      </c>
      <c r="AB611" s="298">
        <f>Z611+U611+P611+K611+F611</f>
        <v>0</v>
      </c>
      <c r="AC611" s="4"/>
      <c r="AD611" s="47" t="s">
        <v>29</v>
      </c>
      <c r="AE611" s="47" t="s">
        <v>29</v>
      </c>
      <c r="AF611" s="346"/>
      <c r="AG611" s="29">
        <f t="shared" si="103"/>
        <v>0</v>
      </c>
      <c r="AK611" s="494" t="s">
        <v>36</v>
      </c>
      <c r="AL611" s="471">
        <f>AB633</f>
        <v>0</v>
      </c>
      <c r="AM611" s="510">
        <v>75</v>
      </c>
      <c r="AN611" s="510">
        <f t="shared" si="101"/>
        <v>0</v>
      </c>
    </row>
    <row r="612" spans="2:47" hidden="1">
      <c r="B612" s="461" t="s">
        <v>91</v>
      </c>
      <c r="C612" s="47">
        <v>0</v>
      </c>
      <c r="D612" s="47">
        <v>0</v>
      </c>
      <c r="E612" s="319">
        <v>0</v>
      </c>
      <c r="F612" s="320"/>
      <c r="G612" s="4"/>
      <c r="H612" s="47">
        <v>0.375</v>
      </c>
      <c r="I612" s="47">
        <v>0.25</v>
      </c>
      <c r="J612" s="319">
        <v>8</v>
      </c>
      <c r="K612" s="320"/>
      <c r="L612" s="4"/>
      <c r="M612" s="47">
        <v>0.375</v>
      </c>
      <c r="N612" s="47">
        <v>0.25</v>
      </c>
      <c r="O612" s="319">
        <v>8</v>
      </c>
      <c r="P612" s="320"/>
      <c r="R612" s="47">
        <v>0.375</v>
      </c>
      <c r="S612" s="47">
        <v>0.25</v>
      </c>
      <c r="T612" s="319">
        <v>8</v>
      </c>
      <c r="U612" s="320"/>
      <c r="W612" s="47">
        <v>0.375</v>
      </c>
      <c r="X612" s="47">
        <v>0.25</v>
      </c>
      <c r="Y612" s="346">
        <v>8</v>
      </c>
      <c r="Z612" s="320"/>
      <c r="AA612" s="29">
        <f t="shared" si="102"/>
        <v>32</v>
      </c>
      <c r="AB612" s="298">
        <f>Z612+U612+P612+K612+F611</f>
        <v>0</v>
      </c>
      <c r="AC612" s="4"/>
      <c r="AD612" s="47" t="s">
        <v>29</v>
      </c>
      <c r="AE612" s="47" t="s">
        <v>29</v>
      </c>
      <c r="AF612" s="346"/>
      <c r="AG612" s="29">
        <f t="shared" si="103"/>
        <v>0</v>
      </c>
      <c r="AK612" s="494" t="s">
        <v>38</v>
      </c>
      <c r="AL612" s="471">
        <f>AG633</f>
        <v>0</v>
      </c>
      <c r="AM612" s="510">
        <v>75</v>
      </c>
      <c r="AN612" s="510">
        <f t="shared" si="101"/>
        <v>0</v>
      </c>
    </row>
    <row r="613" spans="2:47" ht="14.25" hidden="1" thickBot="1">
      <c r="B613" s="457" t="s">
        <v>46</v>
      </c>
      <c r="C613" s="441" t="s">
        <v>75</v>
      </c>
      <c r="D613" s="47">
        <v>0.25</v>
      </c>
      <c r="E613" s="319">
        <v>8</v>
      </c>
      <c r="F613" s="320"/>
      <c r="G613" s="4"/>
      <c r="H613" s="47">
        <v>0</v>
      </c>
      <c r="I613" s="47">
        <v>0</v>
      </c>
      <c r="J613" s="319">
        <v>0</v>
      </c>
      <c r="K613" s="320"/>
      <c r="L613" s="4"/>
      <c r="M613" s="47">
        <v>0.375</v>
      </c>
      <c r="N613" s="47">
        <v>0.25</v>
      </c>
      <c r="O613" s="319">
        <v>8</v>
      </c>
      <c r="P613" s="320"/>
      <c r="R613" s="47">
        <v>0.37291666666666667</v>
      </c>
      <c r="S613" s="47">
        <v>0.25</v>
      </c>
      <c r="T613" s="319">
        <v>8</v>
      </c>
      <c r="U613" s="320"/>
      <c r="W613" s="47">
        <v>0.375</v>
      </c>
      <c r="X613" s="47">
        <v>0.25</v>
      </c>
      <c r="Y613" s="346">
        <v>8</v>
      </c>
      <c r="Z613" s="320"/>
      <c r="AA613" s="29">
        <f t="shared" si="102"/>
        <v>32</v>
      </c>
      <c r="AB613" s="298">
        <f>Z613+U613+P613+K613+F612</f>
        <v>0</v>
      </c>
      <c r="AC613" s="4"/>
      <c r="AD613" s="47" t="s">
        <v>29</v>
      </c>
      <c r="AE613" s="47" t="s">
        <v>29</v>
      </c>
      <c r="AF613" s="346"/>
      <c r="AG613" s="29">
        <f t="shared" si="103"/>
        <v>0</v>
      </c>
      <c r="AK613" s="494" t="s">
        <v>41</v>
      </c>
      <c r="AL613" s="471">
        <f>C634</f>
        <v>129</v>
      </c>
      <c r="AM613" s="512">
        <v>45</v>
      </c>
      <c r="AN613" s="512">
        <f t="shared" si="101"/>
        <v>5805</v>
      </c>
    </row>
    <row r="614" spans="2:47" ht="14.25" hidden="1" thickTop="1">
      <c r="B614" s="457" t="s">
        <v>43</v>
      </c>
      <c r="C614" s="441" t="s">
        <v>75</v>
      </c>
      <c r="D614" s="47">
        <v>0.25</v>
      </c>
      <c r="E614" s="319">
        <v>8</v>
      </c>
      <c r="F614" s="320"/>
      <c r="G614" s="4"/>
      <c r="H614" s="47">
        <v>0.37638888888888888</v>
      </c>
      <c r="I614" s="47">
        <v>0.25</v>
      </c>
      <c r="J614" s="319">
        <v>8</v>
      </c>
      <c r="K614" s="320"/>
      <c r="L614" s="4"/>
      <c r="M614" s="47">
        <v>0.375</v>
      </c>
      <c r="N614" s="47">
        <v>0.25</v>
      </c>
      <c r="O614" s="319">
        <v>8</v>
      </c>
      <c r="P614" s="320"/>
      <c r="R614" s="47">
        <v>0.375</v>
      </c>
      <c r="S614" s="47">
        <v>0.25</v>
      </c>
      <c r="T614" s="319">
        <v>8</v>
      </c>
      <c r="U614" s="320"/>
      <c r="W614" s="47">
        <v>0.375</v>
      </c>
      <c r="X614" s="47">
        <v>0.25</v>
      </c>
      <c r="Y614" s="346">
        <v>8</v>
      </c>
      <c r="Z614" s="320"/>
      <c r="AA614" s="29">
        <f t="shared" si="102"/>
        <v>40</v>
      </c>
      <c r="AB614" s="298">
        <f>Z614+U614+P614+K614+F613</f>
        <v>0</v>
      </c>
      <c r="AC614" s="4"/>
      <c r="AD614" s="47" t="s">
        <v>29</v>
      </c>
      <c r="AE614" s="47" t="s">
        <v>29</v>
      </c>
      <c r="AF614" s="346"/>
      <c r="AG614" s="29">
        <f t="shared" si="103"/>
        <v>0</v>
      </c>
      <c r="AN614" s="510">
        <f>SUM(AN607:AN613)</f>
        <v>33522.5</v>
      </c>
    </row>
    <row r="615" spans="2:47" hidden="1">
      <c r="B615" s="461" t="s">
        <v>113</v>
      </c>
      <c r="C615" s="441" t="s">
        <v>75</v>
      </c>
      <c r="D615" s="47">
        <v>0.25</v>
      </c>
      <c r="E615" s="319">
        <v>8</v>
      </c>
      <c r="F615" s="320"/>
      <c r="G615" s="4"/>
      <c r="H615" s="47">
        <v>0.375</v>
      </c>
      <c r="I615" s="47">
        <v>0.25</v>
      </c>
      <c r="J615" s="319">
        <v>8</v>
      </c>
      <c r="K615" s="320"/>
      <c r="L615" s="4"/>
      <c r="M615" s="47">
        <v>0.375</v>
      </c>
      <c r="N615" s="47">
        <v>0.25</v>
      </c>
      <c r="O615" s="319">
        <v>8</v>
      </c>
      <c r="P615" s="320"/>
      <c r="R615" s="47">
        <v>0.375</v>
      </c>
      <c r="S615" s="47">
        <v>0.25</v>
      </c>
      <c r="T615" s="319">
        <v>8</v>
      </c>
      <c r="U615" s="320"/>
      <c r="W615" s="47">
        <v>0.375</v>
      </c>
      <c r="X615" s="47">
        <v>0.25</v>
      </c>
      <c r="Y615" s="346">
        <v>8</v>
      </c>
      <c r="Z615" s="320"/>
      <c r="AA615" s="29">
        <f>(E614+J615+O615+T615+Y615)</f>
        <v>40</v>
      </c>
      <c r="AB615" s="298">
        <f>Z615+U615+P615+K615+F614</f>
        <v>0</v>
      </c>
      <c r="AC615" s="4"/>
      <c r="AD615" s="47" t="s">
        <v>29</v>
      </c>
      <c r="AE615" s="47" t="s">
        <v>29</v>
      </c>
      <c r="AF615" s="346"/>
      <c r="AG615" s="29">
        <f t="shared" si="103"/>
        <v>0</v>
      </c>
    </row>
    <row r="616" spans="2:47" hidden="1">
      <c r="B616" s="457" t="s">
        <v>44</v>
      </c>
      <c r="C616" s="441" t="s">
        <v>75</v>
      </c>
      <c r="D616" s="47">
        <v>0.25</v>
      </c>
      <c r="E616" s="319">
        <v>8</v>
      </c>
      <c r="F616" s="320"/>
      <c r="G616" s="4"/>
      <c r="H616" s="47">
        <v>0.375</v>
      </c>
      <c r="I616" s="47">
        <v>0.25</v>
      </c>
      <c r="J616" s="319">
        <v>8</v>
      </c>
      <c r="K616" s="320"/>
      <c r="L616" s="4"/>
      <c r="M616" s="47">
        <v>0.375</v>
      </c>
      <c r="N616" s="47">
        <v>0.25</v>
      </c>
      <c r="O616" s="319">
        <v>8</v>
      </c>
      <c r="P616" s="320"/>
      <c r="R616" s="47">
        <v>0.375</v>
      </c>
      <c r="S616" s="47">
        <v>0.5</v>
      </c>
      <c r="T616" s="319">
        <v>3</v>
      </c>
      <c r="U616" s="320"/>
      <c r="W616" s="47">
        <v>0.38263888888888886</v>
      </c>
      <c r="X616" s="47">
        <v>0.25</v>
      </c>
      <c r="Y616" s="346">
        <v>8</v>
      </c>
      <c r="Z616" s="320"/>
      <c r="AA616" s="29">
        <f t="shared" ref="AA616:AA627" si="104">(E616+J616+O616+T616+Y616)</f>
        <v>35</v>
      </c>
      <c r="AB616" s="298">
        <f t="shared" ref="AB616:AB629" si="105">Z616+U616+P616+K616+F616</f>
        <v>0</v>
      </c>
      <c r="AC616" s="4"/>
      <c r="AD616" s="47" t="s">
        <v>29</v>
      </c>
      <c r="AE616" s="47" t="s">
        <v>29</v>
      </c>
      <c r="AF616" s="346"/>
      <c r="AG616" s="29">
        <f t="shared" si="103"/>
        <v>0</v>
      </c>
    </row>
    <row r="617" spans="2:47" hidden="1">
      <c r="B617" s="457" t="s">
        <v>45</v>
      </c>
      <c r="C617" s="441" t="s">
        <v>261</v>
      </c>
      <c r="D617" s="47">
        <v>0.25</v>
      </c>
      <c r="E617" s="319">
        <v>8</v>
      </c>
      <c r="F617" s="320"/>
      <c r="G617" s="4"/>
      <c r="H617" s="47">
        <v>0</v>
      </c>
      <c r="I617" s="47">
        <v>0</v>
      </c>
      <c r="J617" s="319">
        <v>0</v>
      </c>
      <c r="K617" s="320"/>
      <c r="L617" s="4"/>
      <c r="M617" s="47">
        <v>0.37916666666666665</v>
      </c>
      <c r="N617" s="47">
        <v>0.25</v>
      </c>
      <c r="O617" s="319">
        <v>8</v>
      </c>
      <c r="P617" s="320"/>
      <c r="R617" s="47">
        <v>0.37916666666666665</v>
      </c>
      <c r="S617" s="47">
        <v>0.25</v>
      </c>
      <c r="T617" s="319">
        <v>8</v>
      </c>
      <c r="U617" s="320"/>
      <c r="W617" s="47">
        <v>0</v>
      </c>
      <c r="X617" s="47">
        <v>0</v>
      </c>
      <c r="Y617" s="346">
        <v>0</v>
      </c>
      <c r="Z617" s="320"/>
      <c r="AA617" s="29">
        <f t="shared" si="104"/>
        <v>24</v>
      </c>
      <c r="AB617" s="298">
        <f t="shared" si="105"/>
        <v>0</v>
      </c>
      <c r="AC617" s="4"/>
      <c r="AD617" s="47" t="s">
        <v>29</v>
      </c>
      <c r="AE617" s="47" t="s">
        <v>29</v>
      </c>
      <c r="AF617" s="346"/>
      <c r="AG617" s="29">
        <f t="shared" si="103"/>
        <v>0</v>
      </c>
    </row>
    <row r="618" spans="2:47" hidden="1">
      <c r="B618" s="458" t="s">
        <v>244</v>
      </c>
      <c r="C618" s="441" t="s">
        <v>75</v>
      </c>
      <c r="D618" s="47">
        <v>0.25</v>
      </c>
      <c r="E618" s="319">
        <v>8</v>
      </c>
      <c r="F618" s="320"/>
      <c r="G618" s="4"/>
      <c r="H618" s="441" t="s">
        <v>75</v>
      </c>
      <c r="I618" s="47">
        <v>0.25</v>
      </c>
      <c r="J618" s="319">
        <v>8</v>
      </c>
      <c r="K618" s="320"/>
      <c r="L618" s="4"/>
      <c r="M618" s="441" t="s">
        <v>75</v>
      </c>
      <c r="N618" s="47">
        <v>0.25</v>
      </c>
      <c r="O618" s="319">
        <v>8</v>
      </c>
      <c r="P618" s="320"/>
      <c r="R618" s="47">
        <v>0.375</v>
      </c>
      <c r="S618" s="47">
        <v>0.25</v>
      </c>
      <c r="T618" s="319">
        <v>8</v>
      </c>
      <c r="U618" s="320"/>
      <c r="W618" s="47">
        <v>0.375</v>
      </c>
      <c r="X618" s="47">
        <v>0.25</v>
      </c>
      <c r="Y618" s="346">
        <v>8</v>
      </c>
      <c r="Z618" s="320"/>
      <c r="AA618" s="29">
        <f t="shared" si="104"/>
        <v>40</v>
      </c>
      <c r="AB618" s="298">
        <f t="shared" si="105"/>
        <v>0</v>
      </c>
      <c r="AC618" s="4"/>
      <c r="AD618" s="47" t="s">
        <v>29</v>
      </c>
      <c r="AE618" s="47" t="s">
        <v>29</v>
      </c>
      <c r="AF618" s="346"/>
      <c r="AG618" s="29">
        <f t="shared" si="103"/>
        <v>0</v>
      </c>
    </row>
    <row r="619" spans="2:47" hidden="1">
      <c r="B619" s="457" t="s">
        <v>112</v>
      </c>
      <c r="C619" s="441" t="s">
        <v>83</v>
      </c>
      <c r="D619" s="47">
        <v>0.20833333333333334</v>
      </c>
      <c r="E619" s="319">
        <v>6.5</v>
      </c>
      <c r="F619" s="320"/>
      <c r="G619" s="4"/>
      <c r="H619" s="47">
        <v>0.375</v>
      </c>
      <c r="I619" s="47">
        <v>0.23958333333333334</v>
      </c>
      <c r="J619" s="319">
        <v>7.75</v>
      </c>
      <c r="K619" s="320"/>
      <c r="L619" s="4"/>
      <c r="M619" s="47">
        <v>0.375</v>
      </c>
      <c r="N619" s="47">
        <v>0.25</v>
      </c>
      <c r="O619" s="319">
        <v>8</v>
      </c>
      <c r="P619" s="320"/>
      <c r="R619" s="47">
        <v>0.375</v>
      </c>
      <c r="S619" s="47">
        <v>0.25</v>
      </c>
      <c r="T619" s="319">
        <v>8</v>
      </c>
      <c r="U619" s="320"/>
      <c r="W619" s="47">
        <v>0.375</v>
      </c>
      <c r="X619" s="47">
        <v>0.25</v>
      </c>
      <c r="Y619" s="346">
        <v>8</v>
      </c>
      <c r="Z619" s="320"/>
      <c r="AA619" s="29">
        <f t="shared" si="104"/>
        <v>38.25</v>
      </c>
      <c r="AB619" s="298">
        <f t="shared" si="105"/>
        <v>0</v>
      </c>
      <c r="AC619" s="4"/>
      <c r="AD619" s="47" t="s">
        <v>29</v>
      </c>
      <c r="AE619" s="47" t="s">
        <v>29</v>
      </c>
      <c r="AF619" s="19"/>
      <c r="AG619" s="29">
        <f t="shared" si="103"/>
        <v>0</v>
      </c>
    </row>
    <row r="620" spans="2:47" hidden="1">
      <c r="B620" s="164" t="s">
        <v>39</v>
      </c>
      <c r="C620" s="441" t="s">
        <v>262</v>
      </c>
      <c r="D620" s="47">
        <v>0.25208333333333333</v>
      </c>
      <c r="E620" s="319">
        <v>8</v>
      </c>
      <c r="F620" s="320"/>
      <c r="G620" s="4"/>
      <c r="H620" s="441" t="s">
        <v>263</v>
      </c>
      <c r="I620" s="47">
        <v>0.25</v>
      </c>
      <c r="J620" s="319">
        <v>8</v>
      </c>
      <c r="K620" s="320"/>
      <c r="L620" s="4"/>
      <c r="M620" s="47">
        <v>0.37708333333333333</v>
      </c>
      <c r="N620" s="47">
        <v>0.25</v>
      </c>
      <c r="O620" s="319">
        <v>8</v>
      </c>
      <c r="P620" s="320"/>
      <c r="R620" s="441" t="s">
        <v>75</v>
      </c>
      <c r="S620" s="47">
        <v>0.25</v>
      </c>
      <c r="T620" s="319">
        <v>8</v>
      </c>
      <c r="U620" s="320"/>
      <c r="W620" s="441" t="s">
        <v>75</v>
      </c>
      <c r="X620" s="47">
        <v>0.25</v>
      </c>
      <c r="Y620" s="346">
        <v>8</v>
      </c>
      <c r="Z620" s="320"/>
      <c r="AA620" s="29">
        <f t="shared" si="104"/>
        <v>40</v>
      </c>
      <c r="AB620" s="298">
        <f t="shared" si="105"/>
        <v>0</v>
      </c>
      <c r="AC620" s="4"/>
      <c r="AD620" s="47" t="s">
        <v>29</v>
      </c>
      <c r="AE620" s="47" t="s">
        <v>29</v>
      </c>
      <c r="AF620" s="19"/>
      <c r="AG620" s="29">
        <f t="shared" si="103"/>
        <v>0</v>
      </c>
    </row>
    <row r="621" spans="2:47" hidden="1">
      <c r="B621" s="164" t="s">
        <v>241</v>
      </c>
      <c r="C621" s="441" t="s">
        <v>75</v>
      </c>
      <c r="D621" s="47">
        <v>0.25</v>
      </c>
      <c r="E621" s="319">
        <v>8</v>
      </c>
      <c r="F621" s="320"/>
      <c r="G621" s="4"/>
      <c r="H621" s="441" t="s">
        <v>75</v>
      </c>
      <c r="I621" s="47">
        <v>0.25</v>
      </c>
      <c r="J621" s="319">
        <v>8</v>
      </c>
      <c r="K621" s="320"/>
      <c r="L621" s="4"/>
      <c r="M621" s="47">
        <v>0</v>
      </c>
      <c r="N621" s="47">
        <v>0</v>
      </c>
      <c r="O621" s="319">
        <v>0</v>
      </c>
      <c r="P621" s="320"/>
      <c r="R621" s="441" t="s">
        <v>75</v>
      </c>
      <c r="S621" s="47">
        <v>0.25</v>
      </c>
      <c r="T621" s="319">
        <v>8</v>
      </c>
      <c r="U621" s="320"/>
      <c r="W621" s="441" t="s">
        <v>75</v>
      </c>
      <c r="X621" s="47">
        <v>0.25</v>
      </c>
      <c r="Y621" s="346">
        <v>8</v>
      </c>
      <c r="Z621" s="320"/>
      <c r="AA621" s="29">
        <f t="shared" si="104"/>
        <v>32</v>
      </c>
      <c r="AB621" s="298">
        <f t="shared" si="105"/>
        <v>0</v>
      </c>
      <c r="AC621" s="4"/>
      <c r="AD621" s="47" t="s">
        <v>29</v>
      </c>
      <c r="AE621" s="47" t="s">
        <v>29</v>
      </c>
      <c r="AF621" s="19"/>
      <c r="AG621" s="29">
        <f t="shared" si="103"/>
        <v>0</v>
      </c>
    </row>
    <row r="622" spans="2:47" hidden="1">
      <c r="B622" s="224" t="s">
        <v>42</v>
      </c>
      <c r="C622" s="441" t="s">
        <v>75</v>
      </c>
      <c r="D622" s="47">
        <v>0.25</v>
      </c>
      <c r="E622" s="319">
        <v>8</v>
      </c>
      <c r="F622" s="320"/>
      <c r="G622" s="4"/>
      <c r="H622" s="441" t="s">
        <v>75</v>
      </c>
      <c r="I622" s="47">
        <v>0.25</v>
      </c>
      <c r="J622" s="319">
        <v>8</v>
      </c>
      <c r="K622" s="320"/>
      <c r="L622" s="4"/>
      <c r="M622" s="441" t="s">
        <v>75</v>
      </c>
      <c r="N622" s="47">
        <v>0.25</v>
      </c>
      <c r="O622" s="319">
        <v>8</v>
      </c>
      <c r="P622" s="320"/>
      <c r="R622" s="441" t="s">
        <v>75</v>
      </c>
      <c r="S622" s="47">
        <v>0.25</v>
      </c>
      <c r="T622" s="319">
        <v>8</v>
      </c>
      <c r="U622" s="320"/>
      <c r="W622" s="47">
        <v>0.375</v>
      </c>
      <c r="X622" s="47">
        <v>0.25</v>
      </c>
      <c r="Y622" s="346">
        <v>8</v>
      </c>
      <c r="Z622" s="320"/>
      <c r="AA622" s="29">
        <f t="shared" si="104"/>
        <v>40</v>
      </c>
      <c r="AB622" s="298">
        <f t="shared" si="105"/>
        <v>0</v>
      </c>
      <c r="AC622" s="4"/>
      <c r="AD622" s="47" t="s">
        <v>29</v>
      </c>
      <c r="AE622" s="47" t="s">
        <v>29</v>
      </c>
      <c r="AF622" s="19"/>
      <c r="AG622" s="29">
        <f t="shared" si="103"/>
        <v>0</v>
      </c>
    </row>
    <row r="623" spans="2:47" hidden="1">
      <c r="B623" s="166" t="s">
        <v>48</v>
      </c>
      <c r="C623" s="16" t="s">
        <v>29</v>
      </c>
      <c r="D623" s="16" t="s">
        <v>29</v>
      </c>
      <c r="E623" s="319">
        <v>8</v>
      </c>
      <c r="F623" s="320">
        <v>0.5</v>
      </c>
      <c r="G623" s="4"/>
      <c r="H623" s="16" t="s">
        <v>29</v>
      </c>
      <c r="I623" s="16" t="s">
        <v>29</v>
      </c>
      <c r="J623" s="319">
        <v>8</v>
      </c>
      <c r="K623" s="320">
        <v>0.5</v>
      </c>
      <c r="L623" s="4"/>
      <c r="M623" s="16" t="s">
        <v>29</v>
      </c>
      <c r="N623" s="16" t="s">
        <v>29</v>
      </c>
      <c r="O623" s="319">
        <v>8</v>
      </c>
      <c r="P623" s="320">
        <v>0.5</v>
      </c>
      <c r="R623" s="16" t="s">
        <v>29</v>
      </c>
      <c r="S623" s="16" t="s">
        <v>29</v>
      </c>
      <c r="T623" s="319">
        <v>8</v>
      </c>
      <c r="U623" s="320">
        <v>0.5</v>
      </c>
      <c r="W623" s="16" t="s">
        <v>29</v>
      </c>
      <c r="X623" s="16" t="s">
        <v>29</v>
      </c>
      <c r="Y623" s="319">
        <v>8</v>
      </c>
      <c r="Z623" s="320">
        <v>0.5</v>
      </c>
      <c r="AA623" s="29">
        <f t="shared" si="104"/>
        <v>40</v>
      </c>
      <c r="AB623" s="298">
        <f t="shared" si="105"/>
        <v>2.5</v>
      </c>
      <c r="AC623" s="4"/>
      <c r="AD623" s="47" t="s">
        <v>29</v>
      </c>
      <c r="AE623" s="47" t="s">
        <v>29</v>
      </c>
      <c r="AF623" s="19"/>
      <c r="AG623" s="29">
        <f t="shared" si="103"/>
        <v>0</v>
      </c>
    </row>
    <row r="624" spans="2:47" hidden="1">
      <c r="B624" s="166" t="s">
        <v>49</v>
      </c>
      <c r="C624" s="16" t="s">
        <v>29</v>
      </c>
      <c r="D624" s="16" t="s">
        <v>29</v>
      </c>
      <c r="E624" s="319">
        <v>0</v>
      </c>
      <c r="F624" s="320"/>
      <c r="G624" s="4"/>
      <c r="H624" s="16" t="s">
        <v>29</v>
      </c>
      <c r="I624" s="16" t="s">
        <v>29</v>
      </c>
      <c r="J624" s="319">
        <v>7</v>
      </c>
      <c r="K624" s="320"/>
      <c r="L624" s="4"/>
      <c r="M624" s="16" t="s">
        <v>29</v>
      </c>
      <c r="N624" s="16" t="s">
        <v>29</v>
      </c>
      <c r="O624" s="319">
        <v>8</v>
      </c>
      <c r="P624" s="320"/>
      <c r="R624" s="16" t="s">
        <v>29</v>
      </c>
      <c r="S624" s="16" t="s">
        <v>29</v>
      </c>
      <c r="T624" s="319">
        <v>8</v>
      </c>
      <c r="U624" s="320"/>
      <c r="W624" s="16" t="s">
        <v>29</v>
      </c>
      <c r="X624" s="16" t="s">
        <v>29</v>
      </c>
      <c r="Y624" s="319">
        <v>8</v>
      </c>
      <c r="Z624" s="320"/>
      <c r="AA624" s="29">
        <f t="shared" si="104"/>
        <v>31</v>
      </c>
      <c r="AB624" s="298">
        <f t="shared" si="105"/>
        <v>0</v>
      </c>
      <c r="AC624" s="4"/>
      <c r="AD624" s="47" t="s">
        <v>29</v>
      </c>
      <c r="AE624" s="47" t="s">
        <v>29</v>
      </c>
      <c r="AF624" s="19"/>
      <c r="AG624" s="29">
        <f t="shared" si="103"/>
        <v>0</v>
      </c>
    </row>
    <row r="625" spans="2:47" hidden="1">
      <c r="B625" s="166" t="s">
        <v>107</v>
      </c>
      <c r="C625" s="16" t="s">
        <v>29</v>
      </c>
      <c r="D625" s="16" t="s">
        <v>29</v>
      </c>
      <c r="E625" s="319">
        <v>0</v>
      </c>
      <c r="F625" s="320"/>
      <c r="G625" s="4"/>
      <c r="H625" s="16" t="s">
        <v>29</v>
      </c>
      <c r="I625" s="16" t="s">
        <v>29</v>
      </c>
      <c r="J625" s="319">
        <v>0</v>
      </c>
      <c r="K625" s="320"/>
      <c r="L625" s="4"/>
      <c r="M625" s="16" t="s">
        <v>29</v>
      </c>
      <c r="N625" s="16" t="s">
        <v>29</v>
      </c>
      <c r="O625" s="319">
        <v>0</v>
      </c>
      <c r="P625" s="320"/>
      <c r="R625" s="16" t="s">
        <v>29</v>
      </c>
      <c r="S625" s="16" t="s">
        <v>29</v>
      </c>
      <c r="T625" s="319">
        <v>0</v>
      </c>
      <c r="U625" s="320"/>
      <c r="W625" s="16" t="s">
        <v>29</v>
      </c>
      <c r="X625" s="16" t="s">
        <v>29</v>
      </c>
      <c r="Y625" s="319">
        <v>0</v>
      </c>
      <c r="Z625" s="320"/>
      <c r="AA625" s="29">
        <f t="shared" si="104"/>
        <v>0</v>
      </c>
      <c r="AB625" s="298">
        <f t="shared" si="105"/>
        <v>0</v>
      </c>
      <c r="AC625" s="4"/>
      <c r="AD625" s="47" t="s">
        <v>29</v>
      </c>
      <c r="AE625" s="47" t="s">
        <v>29</v>
      </c>
      <c r="AF625" s="19"/>
      <c r="AG625" s="29">
        <f t="shared" si="103"/>
        <v>0</v>
      </c>
    </row>
    <row r="626" spans="2:47" hidden="1">
      <c r="B626" s="166" t="s">
        <v>59</v>
      </c>
      <c r="C626" s="16" t="s">
        <v>29</v>
      </c>
      <c r="D626" s="16" t="s">
        <v>29</v>
      </c>
      <c r="E626" s="319">
        <v>8</v>
      </c>
      <c r="F626" s="320"/>
      <c r="G626" s="4"/>
      <c r="H626" s="16" t="s">
        <v>29</v>
      </c>
      <c r="I626" s="16" t="s">
        <v>29</v>
      </c>
      <c r="J626" s="319">
        <v>8</v>
      </c>
      <c r="K626" s="320"/>
      <c r="L626" s="4"/>
      <c r="M626" s="16" t="s">
        <v>29</v>
      </c>
      <c r="N626" s="16" t="s">
        <v>29</v>
      </c>
      <c r="O626" s="319">
        <v>8</v>
      </c>
      <c r="P626" s="320"/>
      <c r="R626" s="16" t="s">
        <v>29</v>
      </c>
      <c r="S626" s="16" t="s">
        <v>29</v>
      </c>
      <c r="T626" s="319">
        <v>8</v>
      </c>
      <c r="U626" s="320"/>
      <c r="W626" s="16" t="s">
        <v>29</v>
      </c>
      <c r="X626" s="16" t="s">
        <v>29</v>
      </c>
      <c r="Y626" s="319">
        <v>8</v>
      </c>
      <c r="Z626" s="320"/>
      <c r="AA626" s="29">
        <f t="shared" si="104"/>
        <v>40</v>
      </c>
      <c r="AB626" s="298">
        <f t="shared" si="105"/>
        <v>0</v>
      </c>
      <c r="AC626" s="4"/>
      <c r="AD626" s="47" t="s">
        <v>29</v>
      </c>
      <c r="AE626" s="47" t="s">
        <v>29</v>
      </c>
      <c r="AF626" s="19"/>
      <c r="AG626" s="29">
        <f t="shared" si="103"/>
        <v>0</v>
      </c>
    </row>
    <row r="627" spans="2:47" hidden="1">
      <c r="B627" s="166" t="s">
        <v>60</v>
      </c>
      <c r="C627" s="16" t="s">
        <v>29</v>
      </c>
      <c r="D627" s="16" t="s">
        <v>29</v>
      </c>
      <c r="E627" s="319">
        <v>8</v>
      </c>
      <c r="F627" s="320"/>
      <c r="G627" s="4"/>
      <c r="H627" s="16" t="s">
        <v>29</v>
      </c>
      <c r="I627" s="16" t="s">
        <v>29</v>
      </c>
      <c r="J627" s="319">
        <v>8</v>
      </c>
      <c r="K627" s="320"/>
      <c r="L627" s="4"/>
      <c r="M627" s="16" t="s">
        <v>29</v>
      </c>
      <c r="N627" s="16" t="s">
        <v>29</v>
      </c>
      <c r="O627" s="319">
        <v>8</v>
      </c>
      <c r="P627" s="320"/>
      <c r="R627" s="16" t="s">
        <v>29</v>
      </c>
      <c r="S627" s="16" t="s">
        <v>29</v>
      </c>
      <c r="T627" s="319">
        <v>8</v>
      </c>
      <c r="U627" s="320"/>
      <c r="W627" s="16" t="s">
        <v>29</v>
      </c>
      <c r="X627" s="16" t="s">
        <v>29</v>
      </c>
      <c r="Y627" s="319">
        <v>8</v>
      </c>
      <c r="Z627" s="320"/>
      <c r="AA627" s="29">
        <f t="shared" si="104"/>
        <v>40</v>
      </c>
      <c r="AB627" s="298">
        <f t="shared" si="105"/>
        <v>0</v>
      </c>
      <c r="AC627" s="4"/>
      <c r="AD627" s="47" t="s">
        <v>29</v>
      </c>
      <c r="AE627" s="47" t="s">
        <v>29</v>
      </c>
      <c r="AF627" s="19"/>
      <c r="AG627" s="29">
        <f t="shared" si="103"/>
        <v>0</v>
      </c>
    </row>
    <row r="628" spans="2:47" hidden="1">
      <c r="B628" s="63" t="s">
        <v>63</v>
      </c>
      <c r="C628" s="16" t="s">
        <v>29</v>
      </c>
      <c r="D628" s="16" t="s">
        <v>29</v>
      </c>
      <c r="E628" s="319">
        <v>4</v>
      </c>
      <c r="F628" s="320"/>
      <c r="G628" s="438"/>
      <c r="H628" s="16" t="s">
        <v>29</v>
      </c>
      <c r="I628" s="16" t="s">
        <v>29</v>
      </c>
      <c r="J628" s="319">
        <v>4</v>
      </c>
      <c r="K628" s="320"/>
      <c r="L628" s="438"/>
      <c r="M628" s="16" t="s">
        <v>29</v>
      </c>
      <c r="N628" s="16" t="s">
        <v>29</v>
      </c>
      <c r="O628" s="319">
        <v>4</v>
      </c>
      <c r="P628" s="320"/>
      <c r="Q628" s="438"/>
      <c r="R628" s="16" t="s">
        <v>29</v>
      </c>
      <c r="S628" s="16" t="s">
        <v>29</v>
      </c>
      <c r="T628" s="319">
        <v>4</v>
      </c>
      <c r="U628" s="320"/>
      <c r="V628" s="438"/>
      <c r="W628" s="16" t="s">
        <v>29</v>
      </c>
      <c r="X628" s="16" t="s">
        <v>29</v>
      </c>
      <c r="Y628" s="319">
        <v>4</v>
      </c>
      <c r="Z628" s="320"/>
      <c r="AA628" s="28">
        <f>SUM(E628+J628+O628+T628+Y628)</f>
        <v>20</v>
      </c>
      <c r="AB628" s="298">
        <f t="shared" si="105"/>
        <v>0</v>
      </c>
      <c r="AC628" s="4"/>
      <c r="AD628" s="47" t="s">
        <v>29</v>
      </c>
      <c r="AE628" s="47" t="s">
        <v>29</v>
      </c>
      <c r="AF628" s="19"/>
      <c r="AG628" s="29">
        <f t="shared" si="103"/>
        <v>0</v>
      </c>
      <c r="AK628" s="407"/>
    </row>
    <row r="629" spans="2:47" hidden="1">
      <c r="B629" s="63" t="s">
        <v>250</v>
      </c>
      <c r="C629" s="16" t="s">
        <v>29</v>
      </c>
      <c r="D629" s="16" t="s">
        <v>29</v>
      </c>
      <c r="E629" s="319"/>
      <c r="F629" s="320"/>
      <c r="G629" s="438"/>
      <c r="H629" s="16" t="s">
        <v>29</v>
      </c>
      <c r="I629" s="16" t="s">
        <v>29</v>
      </c>
      <c r="J629" s="319"/>
      <c r="K629" s="320"/>
      <c r="L629" s="438"/>
      <c r="M629" s="16" t="s">
        <v>29</v>
      </c>
      <c r="N629" s="16" t="s">
        <v>29</v>
      </c>
      <c r="O629" s="319"/>
      <c r="P629" s="320"/>
      <c r="Q629" s="438"/>
      <c r="R629" s="16" t="s">
        <v>29</v>
      </c>
      <c r="S629" s="16" t="s">
        <v>29</v>
      </c>
      <c r="T629" s="319"/>
      <c r="U629" s="320"/>
      <c r="V629" s="438"/>
      <c r="W629" s="16" t="s">
        <v>29</v>
      </c>
      <c r="X629" s="16" t="s">
        <v>29</v>
      </c>
      <c r="Y629" s="319"/>
      <c r="Z629" s="320"/>
      <c r="AA629" s="28">
        <f>SUM(E629+J629+O629+T629+Y629)</f>
        <v>0</v>
      </c>
      <c r="AB629" s="298">
        <f t="shared" si="105"/>
        <v>0</v>
      </c>
      <c r="AC629" s="4"/>
      <c r="AD629" s="47" t="s">
        <v>29</v>
      </c>
      <c r="AE629" s="47" t="s">
        <v>29</v>
      </c>
      <c r="AF629" s="19"/>
      <c r="AG629" s="29">
        <f t="shared" si="103"/>
        <v>0</v>
      </c>
      <c r="AK629" s="407"/>
    </row>
    <row r="630" spans="2:47" hidden="1">
      <c r="B630" s="64" t="s">
        <v>61</v>
      </c>
      <c r="C630" s="31"/>
      <c r="D630" s="31"/>
      <c r="E630" s="439">
        <f>SUM(E608:E629)</f>
        <v>138.5</v>
      </c>
      <c r="F630" s="320">
        <f>SUM(F608:F629)</f>
        <v>1</v>
      </c>
      <c r="G630" s="31"/>
      <c r="H630" s="31"/>
      <c r="I630" s="31"/>
      <c r="J630" s="439">
        <f>SUM(J608:J629)</f>
        <v>138.75</v>
      </c>
      <c r="K630" s="320">
        <f>SUM(K608:K629)</f>
        <v>0.5</v>
      </c>
      <c r="L630" s="31"/>
      <c r="M630" s="31"/>
      <c r="N630" s="31"/>
      <c r="O630" s="439">
        <f>SUM(O608:O629)</f>
        <v>148</v>
      </c>
      <c r="P630" s="320">
        <f>SUM(P608:P629)</f>
        <v>0.5</v>
      </c>
      <c r="Q630" s="31"/>
      <c r="R630" s="31"/>
      <c r="S630" s="31"/>
      <c r="T630" s="439">
        <f>SUM(T608:T629)</f>
        <v>151</v>
      </c>
      <c r="U630" s="320">
        <f>SUM(U608:U629)</f>
        <v>0.5</v>
      </c>
      <c r="V630" s="31"/>
      <c r="W630" s="31"/>
      <c r="X630" s="31"/>
      <c r="Y630" s="439">
        <f>SUM(Y608:Y629)</f>
        <v>148</v>
      </c>
      <c r="Z630" s="320">
        <f>SUM(Z608:Z629)</f>
        <v>0.5</v>
      </c>
      <c r="AA630" s="370">
        <f>SUM(AA608:AA629)</f>
        <v>724.25</v>
      </c>
      <c r="AB630" s="370">
        <f>SUM(AB608:AB629)</f>
        <v>3</v>
      </c>
      <c r="AC630" s="4"/>
      <c r="AD630" s="64"/>
      <c r="AE630" s="64"/>
      <c r="AF630" s="167">
        <f>SUM(AF608:AF629)</f>
        <v>0</v>
      </c>
      <c r="AG630" s="370">
        <f>SUM(AG608:AG629)</f>
        <v>0</v>
      </c>
    </row>
    <row r="631" spans="2:47" hidden="1">
      <c r="B631" s="63" t="s">
        <v>64</v>
      </c>
      <c r="C631" s="56" t="s">
        <v>29</v>
      </c>
      <c r="D631" s="56" t="s">
        <v>29</v>
      </c>
      <c r="E631" s="19">
        <v>0</v>
      </c>
      <c r="F631" s="291"/>
      <c r="G631" s="60"/>
      <c r="H631" s="56" t="s">
        <v>29</v>
      </c>
      <c r="I631" s="56" t="s">
        <v>29</v>
      </c>
      <c r="J631" s="19">
        <v>0</v>
      </c>
      <c r="K631" s="291"/>
      <c r="L631" s="60"/>
      <c r="M631" s="56" t="s">
        <v>29</v>
      </c>
      <c r="N631" s="56" t="s">
        <v>29</v>
      </c>
      <c r="O631" s="19">
        <v>0.5</v>
      </c>
      <c r="P631" s="19"/>
      <c r="Q631" s="60"/>
      <c r="R631" s="56" t="s">
        <v>29</v>
      </c>
      <c r="S631" s="56" t="s">
        <v>29</v>
      </c>
      <c r="T631" s="19">
        <v>0</v>
      </c>
      <c r="U631" s="19"/>
      <c r="V631" s="60"/>
      <c r="W631" s="56" t="s">
        <v>29</v>
      </c>
      <c r="X631" s="56" t="s">
        <v>29</v>
      </c>
      <c r="Y631" s="19">
        <v>0</v>
      </c>
      <c r="Z631" s="19"/>
      <c r="AA631" s="28">
        <f>SUM(E631+J631+O631+T631+Y631)</f>
        <v>0.5</v>
      </c>
      <c r="AB631" s="296">
        <f>Z631+U631+P631+K631+F631</f>
        <v>0</v>
      </c>
      <c r="AC631" s="4"/>
      <c r="AD631" s="56"/>
      <c r="AE631" s="56"/>
      <c r="AF631" s="19"/>
      <c r="AG631" s="29">
        <f>AF631</f>
        <v>0</v>
      </c>
    </row>
    <row r="632" spans="2:47" hidden="1">
      <c r="B632" s="63" t="s">
        <v>110</v>
      </c>
      <c r="C632" s="56" t="s">
        <v>29</v>
      </c>
      <c r="D632" s="56" t="s">
        <v>29</v>
      </c>
      <c r="E632" s="19">
        <v>0</v>
      </c>
      <c r="F632" s="291"/>
      <c r="G632" s="60"/>
      <c r="H632" s="56" t="s">
        <v>29</v>
      </c>
      <c r="I632" s="56" t="s">
        <v>29</v>
      </c>
      <c r="J632" s="19">
        <v>0</v>
      </c>
      <c r="K632" s="291"/>
      <c r="L632" s="60"/>
      <c r="M632" s="56" t="s">
        <v>29</v>
      </c>
      <c r="N632" s="56" t="s">
        <v>29</v>
      </c>
      <c r="O632" s="19">
        <v>0</v>
      </c>
      <c r="P632" s="19"/>
      <c r="Q632" s="60"/>
      <c r="R632" s="56" t="s">
        <v>29</v>
      </c>
      <c r="S632" s="56" t="s">
        <v>29</v>
      </c>
      <c r="T632" s="19">
        <v>0</v>
      </c>
      <c r="U632" s="19"/>
      <c r="V632" s="60"/>
      <c r="W632" s="56" t="s">
        <v>29</v>
      </c>
      <c r="X632" s="56" t="s">
        <v>29</v>
      </c>
      <c r="Y632" s="19">
        <v>0</v>
      </c>
      <c r="Z632" s="19"/>
      <c r="AA632" s="28">
        <f>SUM(E632+J632+O632+T632+Y632)</f>
        <v>0</v>
      </c>
      <c r="AB632" s="296">
        <f>Z632+U632+P632+K632+F632</f>
        <v>0</v>
      </c>
      <c r="AC632" s="4"/>
      <c r="AD632" s="56"/>
      <c r="AE632" s="56"/>
      <c r="AF632" s="19"/>
      <c r="AG632" s="29">
        <f>AF632</f>
        <v>0</v>
      </c>
    </row>
    <row r="633" spans="2:47" hidden="1">
      <c r="B633" s="71" t="s">
        <v>66</v>
      </c>
      <c r="C633" s="371"/>
      <c r="D633" s="371"/>
      <c r="E633" s="71">
        <f t="shared" ref="E633:AB633" si="106">SUM(E631:E632)</f>
        <v>0</v>
      </c>
      <c r="F633" s="71">
        <f t="shared" si="106"/>
        <v>0</v>
      </c>
      <c r="G633" s="71">
        <f t="shared" si="106"/>
        <v>0</v>
      </c>
      <c r="H633" s="71">
        <f t="shared" si="106"/>
        <v>0</v>
      </c>
      <c r="I633" s="71">
        <f t="shared" si="106"/>
        <v>0</v>
      </c>
      <c r="J633" s="71">
        <f t="shared" si="106"/>
        <v>0</v>
      </c>
      <c r="K633" s="71">
        <f t="shared" si="106"/>
        <v>0</v>
      </c>
      <c r="L633" s="71">
        <f t="shared" si="106"/>
        <v>0</v>
      </c>
      <c r="M633" s="71">
        <f t="shared" si="106"/>
        <v>0</v>
      </c>
      <c r="N633" s="71">
        <f t="shared" si="106"/>
        <v>0</v>
      </c>
      <c r="O633" s="71">
        <f t="shared" si="106"/>
        <v>0.5</v>
      </c>
      <c r="P633" s="71">
        <f t="shared" si="106"/>
        <v>0</v>
      </c>
      <c r="Q633" s="71">
        <f t="shared" si="106"/>
        <v>0</v>
      </c>
      <c r="R633" s="71">
        <f t="shared" si="106"/>
        <v>0</v>
      </c>
      <c r="S633" s="71">
        <f t="shared" si="106"/>
        <v>0</v>
      </c>
      <c r="T633" s="71">
        <f t="shared" si="106"/>
        <v>0</v>
      </c>
      <c r="U633" s="71">
        <f t="shared" si="106"/>
        <v>0</v>
      </c>
      <c r="V633" s="71">
        <f t="shared" si="106"/>
        <v>0</v>
      </c>
      <c r="W633" s="71">
        <f t="shared" si="106"/>
        <v>0</v>
      </c>
      <c r="X633" s="71">
        <f t="shared" si="106"/>
        <v>0</v>
      </c>
      <c r="Y633" s="71">
        <f t="shared" si="106"/>
        <v>0</v>
      </c>
      <c r="Z633" s="71">
        <f t="shared" si="106"/>
        <v>0</v>
      </c>
      <c r="AA633" s="370">
        <f t="shared" si="106"/>
        <v>0.5</v>
      </c>
      <c r="AB633" s="370">
        <f t="shared" si="106"/>
        <v>0</v>
      </c>
      <c r="AC633" s="4"/>
      <c r="AG633" s="370">
        <f>SUM(AG631:AG632)</f>
        <v>0</v>
      </c>
    </row>
    <row r="634" spans="2:47" hidden="1">
      <c r="B634" s="217" t="s">
        <v>67</v>
      </c>
      <c r="C634" s="207">
        <f>C635+C636</f>
        <v>129</v>
      </c>
      <c r="D634" s="207"/>
      <c r="E634" s="209"/>
      <c r="F634" s="209"/>
      <c r="G634" s="207"/>
      <c r="H634" s="209"/>
      <c r="I634" s="209"/>
      <c r="J634" s="209"/>
      <c r="K634" s="209"/>
      <c r="L634" s="207"/>
      <c r="M634" s="207"/>
      <c r="N634" s="207"/>
      <c r="O634" s="207"/>
      <c r="P634" s="209"/>
      <c r="Q634" s="207"/>
      <c r="R634" s="207"/>
      <c r="S634" s="207"/>
      <c r="T634" s="207"/>
      <c r="U634" s="209"/>
      <c r="V634" s="207"/>
      <c r="W634" s="207"/>
      <c r="X634" s="207"/>
      <c r="Y634" s="210"/>
      <c r="Z634" s="209"/>
      <c r="AA634" s="211"/>
      <c r="AB634" s="209"/>
      <c r="AC634" s="211"/>
      <c r="AD634" s="211"/>
      <c r="AE634" s="211"/>
      <c r="AF634" s="211"/>
      <c r="AG634" s="211"/>
    </row>
    <row r="635" spans="2:47" hidden="1">
      <c r="B635" s="238" t="s">
        <v>68</v>
      </c>
      <c r="C635" s="239">
        <f>(12+10+11+12+11)*2</f>
        <v>112</v>
      </c>
      <c r="D635" s="207"/>
      <c r="E635" s="209"/>
      <c r="F635" s="209"/>
      <c r="G635" s="207"/>
      <c r="H635" s="209"/>
      <c r="I635" s="209"/>
      <c r="J635" s="209"/>
      <c r="K635" s="209"/>
      <c r="L635" s="207"/>
      <c r="M635" s="207"/>
      <c r="N635" s="207"/>
      <c r="O635" s="207"/>
      <c r="P635" s="209"/>
      <c r="Q635" s="207"/>
      <c r="R635" s="207"/>
      <c r="S635" s="207"/>
      <c r="T635" s="207"/>
      <c r="U635" s="209"/>
      <c r="V635" s="207"/>
      <c r="W635" s="207"/>
      <c r="X635" s="207"/>
      <c r="Y635" s="210"/>
      <c r="Z635" s="209"/>
      <c r="AA635" s="211"/>
      <c r="AB635" s="209"/>
      <c r="AC635" s="211"/>
      <c r="AD635" s="211"/>
      <c r="AE635" s="211"/>
      <c r="AF635" s="211"/>
      <c r="AG635" s="211"/>
    </row>
    <row r="636" spans="2:47" hidden="1">
      <c r="B636" s="238" t="s">
        <v>69</v>
      </c>
      <c r="C636" s="239">
        <f>2+2+4+5+4</f>
        <v>17</v>
      </c>
      <c r="D636" s="207"/>
      <c r="E636" s="209"/>
      <c r="F636" s="209"/>
      <c r="G636" s="207"/>
      <c r="H636" s="209"/>
      <c r="I636" s="209"/>
      <c r="J636" s="209"/>
      <c r="K636" s="209"/>
      <c r="L636" s="207"/>
      <c r="M636" s="207"/>
      <c r="N636" s="207"/>
      <c r="O636" s="207"/>
      <c r="P636" s="209"/>
      <c r="Q636" s="207"/>
      <c r="R636" s="207"/>
      <c r="S636" s="207"/>
      <c r="T636" s="207"/>
      <c r="U636" s="209"/>
      <c r="V636" s="207"/>
      <c r="W636" s="207"/>
      <c r="X636" s="207"/>
      <c r="Y636" s="210"/>
      <c r="Z636" s="209"/>
      <c r="AA636" s="211"/>
      <c r="AB636" s="209"/>
      <c r="AC636" s="211"/>
      <c r="AD636" s="211"/>
      <c r="AE636" s="211"/>
      <c r="AF636" s="211"/>
      <c r="AG636" s="211"/>
    </row>
    <row r="637" spans="2:47" hidden="1"/>
    <row r="638" spans="2:47" hidden="1">
      <c r="B638" s="229"/>
      <c r="C638" s="230"/>
      <c r="D638" s="230"/>
      <c r="E638" s="232"/>
      <c r="F638" s="232"/>
      <c r="G638" s="230"/>
      <c r="H638" s="232"/>
      <c r="I638" s="232"/>
      <c r="J638" s="232"/>
      <c r="K638" s="232"/>
      <c r="L638" s="230"/>
      <c r="M638" s="230"/>
      <c r="N638" s="230"/>
      <c r="O638" s="230"/>
      <c r="P638" s="232"/>
      <c r="Q638" s="230"/>
      <c r="R638" s="230"/>
      <c r="S638" s="230"/>
      <c r="T638" s="230"/>
      <c r="U638" s="232"/>
      <c r="V638" s="230"/>
      <c r="W638" s="230"/>
      <c r="X638" s="230"/>
      <c r="Y638" s="233"/>
      <c r="Z638" s="232"/>
      <c r="AA638" s="234"/>
      <c r="AB638" s="232"/>
      <c r="AC638" s="373"/>
      <c r="AD638" s="236"/>
      <c r="AE638" s="255"/>
      <c r="AF638" s="255"/>
      <c r="AG638" s="255"/>
      <c r="AH638" s="255"/>
      <c r="AJ638" s="255"/>
      <c r="AK638" s="255"/>
      <c r="AL638" s="255"/>
      <c r="AM638" s="255"/>
      <c r="AN638" s="255"/>
      <c r="AO638" s="255"/>
      <c r="AP638" s="255"/>
      <c r="AQ638" s="255"/>
      <c r="AR638" s="255"/>
      <c r="AS638" s="255"/>
      <c r="AT638" s="255"/>
      <c r="AU638" s="255"/>
    </row>
    <row r="639" spans="2:47" hidden="1">
      <c r="B639" s="180"/>
      <c r="E639" s="4"/>
      <c r="F639" s="4"/>
      <c r="G639" s="4"/>
      <c r="J639" s="4"/>
      <c r="K639" s="4"/>
      <c r="L639" s="4"/>
      <c r="O639" s="4"/>
      <c r="P639" s="4"/>
      <c r="T639" s="4"/>
      <c r="U639" s="4"/>
      <c r="Y639" s="4"/>
      <c r="Z639" s="4"/>
      <c r="AA639" s="4"/>
      <c r="AB639" s="4"/>
      <c r="AC639" s="4"/>
      <c r="AK639" s="180"/>
      <c r="AL639" s="180"/>
      <c r="AM639" s="180"/>
      <c r="AN639" s="180"/>
      <c r="AO639" s="180"/>
      <c r="AP639" s="180"/>
    </row>
    <row r="640" spans="2:47" hidden="1">
      <c r="B640" s="1518" t="s">
        <v>18</v>
      </c>
      <c r="C640" s="1519">
        <v>45418</v>
      </c>
      <c r="D640" s="1519"/>
      <c r="E640" s="1519"/>
      <c r="F640" s="1519"/>
      <c r="G640" s="365"/>
      <c r="H640" s="1519">
        <v>45419</v>
      </c>
      <c r="I640" s="1519"/>
      <c r="J640" s="1519"/>
      <c r="K640" s="1519"/>
      <c r="L640" s="365">
        <v>45343</v>
      </c>
      <c r="M640" s="1519">
        <v>45420</v>
      </c>
      <c r="N640" s="1519"/>
      <c r="O640" s="1519"/>
      <c r="P640" s="1519"/>
      <c r="Q640" s="365"/>
      <c r="R640" s="1519">
        <v>45421</v>
      </c>
      <c r="S640" s="1519"/>
      <c r="T640" s="1519"/>
      <c r="U640" s="1519"/>
      <c r="V640" s="365"/>
      <c r="W640" s="1519">
        <v>45422</v>
      </c>
      <c r="X640" s="1519"/>
      <c r="Y640" s="1519"/>
      <c r="Z640" s="1519"/>
      <c r="AA640" s="1517" t="s">
        <v>19</v>
      </c>
      <c r="AB640" s="1517" t="s">
        <v>20</v>
      </c>
      <c r="AC640" s="4"/>
      <c r="AD640" s="1519">
        <v>45423</v>
      </c>
      <c r="AE640" s="1519"/>
      <c r="AF640" s="1519"/>
      <c r="AG640" s="1517" t="s">
        <v>21</v>
      </c>
      <c r="AI640" s="368"/>
      <c r="AK640" s="194" t="s">
        <v>84</v>
      </c>
      <c r="AL640" s="366"/>
      <c r="AM640" s="366"/>
      <c r="AN640" s="366"/>
      <c r="AO640" s="366"/>
      <c r="AP640" s="366"/>
    </row>
    <row r="641" spans="2:47" hidden="1">
      <c r="B641" s="1518"/>
      <c r="C641" s="21" t="s">
        <v>23</v>
      </c>
      <c r="D641" s="21" t="s">
        <v>24</v>
      </c>
      <c r="E641" s="205" t="s">
        <v>25</v>
      </c>
      <c r="F641" s="18" t="s">
        <v>14</v>
      </c>
      <c r="G641" s="4"/>
      <c r="H641" s="21" t="s">
        <v>23</v>
      </c>
      <c r="I641" s="21" t="s">
        <v>24</v>
      </c>
      <c r="J641" s="18" t="s">
        <v>25</v>
      </c>
      <c r="K641" s="18" t="s">
        <v>14</v>
      </c>
      <c r="L641" s="4"/>
      <c r="M641" s="21" t="s">
        <v>23</v>
      </c>
      <c r="N641" s="21" t="s">
        <v>24</v>
      </c>
      <c r="O641" s="18" t="s">
        <v>25</v>
      </c>
      <c r="P641" s="18" t="s">
        <v>14</v>
      </c>
      <c r="R641" s="484" t="s">
        <v>23</v>
      </c>
      <c r="S641" s="21" t="s">
        <v>24</v>
      </c>
      <c r="T641" s="18" t="s">
        <v>25</v>
      </c>
      <c r="U641" s="18" t="s">
        <v>14</v>
      </c>
      <c r="W641" s="484" t="s">
        <v>23</v>
      </c>
      <c r="X641" s="21" t="s">
        <v>24</v>
      </c>
      <c r="Y641" s="18" t="s">
        <v>25</v>
      </c>
      <c r="Z641" s="18" t="s">
        <v>14</v>
      </c>
      <c r="AA641" s="1517"/>
      <c r="AB641" s="1517"/>
      <c r="AC641" s="4"/>
      <c r="AD641" s="21" t="s">
        <v>23</v>
      </c>
      <c r="AE641" s="21" t="s">
        <v>24</v>
      </c>
      <c r="AF641" s="18" t="s">
        <v>25</v>
      </c>
      <c r="AG641" s="1517"/>
      <c r="AI641" s="368"/>
      <c r="AJ641" s="367"/>
      <c r="AK641" s="494" t="s">
        <v>26</v>
      </c>
      <c r="AL641" s="471">
        <f>AA664</f>
        <v>779.25</v>
      </c>
      <c r="AM641" s="510">
        <v>38</v>
      </c>
      <c r="AN641" s="510">
        <f t="shared" ref="AN641:AN647" si="107">AL641*AM641</f>
        <v>29611.5</v>
      </c>
      <c r="AQ641" s="367"/>
      <c r="AR641" s="367"/>
      <c r="AS641" s="367"/>
      <c r="AT641" s="367"/>
      <c r="AU641" s="367"/>
    </row>
    <row r="642" spans="2:47" hidden="1">
      <c r="B642" s="457" t="s">
        <v>264</v>
      </c>
      <c r="C642" s="441" t="s">
        <v>75</v>
      </c>
      <c r="D642" s="47">
        <v>0.25</v>
      </c>
      <c r="E642" s="319">
        <v>8</v>
      </c>
      <c r="F642" s="320"/>
      <c r="G642" s="4"/>
      <c r="H642" s="47">
        <v>0.375</v>
      </c>
      <c r="I642" s="47">
        <v>0.25</v>
      </c>
      <c r="J642" s="319">
        <v>8</v>
      </c>
      <c r="K642" s="320"/>
      <c r="L642" s="4"/>
      <c r="M642" s="47">
        <v>0.375</v>
      </c>
      <c r="N642" s="47">
        <v>0.25</v>
      </c>
      <c r="O642" s="319">
        <v>8</v>
      </c>
      <c r="P642" s="320"/>
      <c r="R642" s="47">
        <v>0.375</v>
      </c>
      <c r="S642" s="47">
        <v>0.20833333333333334</v>
      </c>
      <c r="T642" s="319">
        <v>7</v>
      </c>
      <c r="U642" s="320"/>
      <c r="W642" s="47">
        <v>0.375</v>
      </c>
      <c r="X642" s="47">
        <v>0.20833333333333334</v>
      </c>
      <c r="Y642" s="319">
        <v>8</v>
      </c>
      <c r="Z642" s="320"/>
      <c r="AA642" s="29">
        <f>(E642+J642+O642+T642+Y642)</f>
        <v>39</v>
      </c>
      <c r="AB642" s="298">
        <f>Z642+U642+P642+K642+F642</f>
        <v>0</v>
      </c>
      <c r="AC642" s="399"/>
      <c r="AD642" s="47">
        <v>0.375</v>
      </c>
      <c r="AE642" s="47">
        <v>0.20833333333333334</v>
      </c>
      <c r="AF642" s="346">
        <v>8</v>
      </c>
      <c r="AG642" s="29">
        <f t="shared" ref="AG642:AG663" si="108">AF642</f>
        <v>8</v>
      </c>
      <c r="AH642" s="175"/>
      <c r="AJ642" s="401"/>
      <c r="AK642" s="494" t="s">
        <v>30</v>
      </c>
      <c r="AL642" s="471">
        <f>AB664</f>
        <v>6.5</v>
      </c>
      <c r="AM642" s="511">
        <v>57</v>
      </c>
      <c r="AN642" s="510">
        <f t="shared" si="107"/>
        <v>370.5</v>
      </c>
      <c r="AO642" s="405"/>
      <c r="AP642" s="405"/>
      <c r="AQ642" s="401"/>
      <c r="AR642" s="401"/>
      <c r="AS642" s="401"/>
      <c r="AT642" s="401"/>
      <c r="AU642" s="401"/>
    </row>
    <row r="643" spans="2:47" hidden="1">
      <c r="B643" s="457" t="s">
        <v>265</v>
      </c>
      <c r="C643" s="47">
        <v>0.375</v>
      </c>
      <c r="D643" s="47">
        <v>0.25</v>
      </c>
      <c r="E643" s="319">
        <v>8</v>
      </c>
      <c r="F643" s="320"/>
      <c r="G643" s="4"/>
      <c r="H643" s="47">
        <v>0.375</v>
      </c>
      <c r="I643" s="47">
        <v>0.25</v>
      </c>
      <c r="J643" s="319">
        <v>8</v>
      </c>
      <c r="K643" s="320"/>
      <c r="L643" s="4"/>
      <c r="M643" s="47">
        <v>0.375</v>
      </c>
      <c r="N643" s="47">
        <v>0.25</v>
      </c>
      <c r="O643" s="319">
        <v>8</v>
      </c>
      <c r="P643" s="320"/>
      <c r="R643" s="47">
        <v>0.375</v>
      </c>
      <c r="S643" s="47">
        <v>0.25</v>
      </c>
      <c r="T643" s="319">
        <v>8</v>
      </c>
      <c r="U643" s="320"/>
      <c r="W643" s="47">
        <v>0.375</v>
      </c>
      <c r="X643" s="47">
        <v>0.20833333333333334</v>
      </c>
      <c r="Y643" s="319">
        <v>8</v>
      </c>
      <c r="Z643" s="320"/>
      <c r="AA643" s="344">
        <f>(E643+J643+O643+T643+Y643)</f>
        <v>40</v>
      </c>
      <c r="AB643" s="298">
        <f>Z643+U643+P643+K643+F643</f>
        <v>0</v>
      </c>
      <c r="AC643" s="175"/>
      <c r="AD643" s="47">
        <v>0.375</v>
      </c>
      <c r="AE643" s="47">
        <v>0.20833333333333334</v>
      </c>
      <c r="AF643" s="346">
        <v>8</v>
      </c>
      <c r="AG643" s="344">
        <f t="shared" si="108"/>
        <v>8</v>
      </c>
      <c r="AH643" s="175"/>
      <c r="AI643" s="368"/>
      <c r="AK643" s="494" t="s">
        <v>32</v>
      </c>
      <c r="AL643" s="471">
        <f>AG664</f>
        <v>32</v>
      </c>
      <c r="AM643" s="510">
        <v>57</v>
      </c>
      <c r="AN643" s="510">
        <f t="shared" si="107"/>
        <v>1824</v>
      </c>
    </row>
    <row r="644" spans="2:47" hidden="1">
      <c r="B644" s="164" t="s">
        <v>266</v>
      </c>
      <c r="C644" s="47">
        <v>0.375</v>
      </c>
      <c r="D644" s="47">
        <v>0.25</v>
      </c>
      <c r="E644" s="319">
        <v>8</v>
      </c>
      <c r="F644" s="320"/>
      <c r="G644" s="4"/>
      <c r="H644" s="47">
        <v>0.375</v>
      </c>
      <c r="I644" s="47">
        <v>0.27083333333333331</v>
      </c>
      <c r="J644" s="319">
        <v>8</v>
      </c>
      <c r="K644" s="320">
        <v>0.5</v>
      </c>
      <c r="L644" s="4"/>
      <c r="M644" s="47">
        <v>0.375</v>
      </c>
      <c r="N644" s="47">
        <v>0.25</v>
      </c>
      <c r="O644" s="319">
        <v>8</v>
      </c>
      <c r="P644" s="320"/>
      <c r="R644" s="47">
        <v>0.375</v>
      </c>
      <c r="S644" s="47">
        <v>0.25</v>
      </c>
      <c r="T644" s="319">
        <v>8</v>
      </c>
      <c r="U644" s="320"/>
      <c r="W644" s="47">
        <v>0.375</v>
      </c>
      <c r="X644" s="47">
        <v>0.25</v>
      </c>
      <c r="Y644" s="319">
        <v>8</v>
      </c>
      <c r="Z644" s="320"/>
      <c r="AA644" s="344">
        <f>(E644+J644+O644+T644+Y644)</f>
        <v>40</v>
      </c>
      <c r="AB644" s="298">
        <f>Z644+U644+P644+K644+F644</f>
        <v>0.5</v>
      </c>
      <c r="AC644" s="4"/>
      <c r="AD644" s="47" t="s">
        <v>29</v>
      </c>
      <c r="AE644" s="47" t="s">
        <v>29</v>
      </c>
      <c r="AF644" s="346"/>
      <c r="AG644" s="29">
        <f t="shared" si="108"/>
        <v>0</v>
      </c>
      <c r="AJ644" s="367"/>
      <c r="AK644" s="494" t="s">
        <v>213</v>
      </c>
      <c r="AL644" s="471">
        <f>AA667</f>
        <v>23.5</v>
      </c>
      <c r="AM644" s="510">
        <v>50</v>
      </c>
      <c r="AN644" s="510">
        <f t="shared" si="107"/>
        <v>1175</v>
      </c>
      <c r="AQ644" s="367"/>
      <c r="AR644" s="367"/>
      <c r="AS644" s="367"/>
      <c r="AT644" s="367"/>
      <c r="AU644" s="367"/>
    </row>
    <row r="645" spans="2:47" hidden="1">
      <c r="B645" s="457" t="s">
        <v>267</v>
      </c>
      <c r="C645" s="47">
        <v>0.375</v>
      </c>
      <c r="D645" s="47">
        <v>0.25</v>
      </c>
      <c r="E645" s="319">
        <v>8</v>
      </c>
      <c r="F645" s="320"/>
      <c r="G645" s="4"/>
      <c r="H645" s="47">
        <v>0.375</v>
      </c>
      <c r="I645" s="47">
        <v>0.22916666666666666</v>
      </c>
      <c r="J645" s="319">
        <v>8</v>
      </c>
      <c r="K645" s="320"/>
      <c r="L645" s="4"/>
      <c r="M645" s="47">
        <v>0.375</v>
      </c>
      <c r="N645" s="47">
        <v>0.25</v>
      </c>
      <c r="O645" s="319">
        <v>8</v>
      </c>
      <c r="P645" s="320"/>
      <c r="R645" s="47">
        <v>0.375</v>
      </c>
      <c r="S645" s="47">
        <v>0.25</v>
      </c>
      <c r="T645" s="319">
        <v>8</v>
      </c>
      <c r="U645" s="320"/>
      <c r="W645" s="47">
        <v>0.375</v>
      </c>
      <c r="X645" s="47">
        <v>0.25</v>
      </c>
      <c r="Y645" s="319">
        <v>8</v>
      </c>
      <c r="Z645" s="320"/>
      <c r="AA645" s="29">
        <f>(E645+J645+O645+T645+Y645)</f>
        <v>40</v>
      </c>
      <c r="AB645" s="298">
        <f>Z645+U645+P645+K645+F645</f>
        <v>0</v>
      </c>
      <c r="AC645" s="4"/>
      <c r="AD645" s="47">
        <v>0.375</v>
      </c>
      <c r="AE645" s="47">
        <v>0.20833333333333334</v>
      </c>
      <c r="AF645" s="346">
        <v>8</v>
      </c>
      <c r="AG645" s="29">
        <f t="shared" si="108"/>
        <v>8</v>
      </c>
      <c r="AK645" s="494" t="s">
        <v>36</v>
      </c>
      <c r="AL645" s="471">
        <f>AB667</f>
        <v>0</v>
      </c>
      <c r="AM645" s="510">
        <v>75</v>
      </c>
      <c r="AN645" s="510">
        <f t="shared" si="107"/>
        <v>0</v>
      </c>
    </row>
    <row r="646" spans="2:47" hidden="1">
      <c r="B646" s="461" t="s">
        <v>268</v>
      </c>
      <c r="C646" s="441" t="s">
        <v>75</v>
      </c>
      <c r="D646" s="47">
        <v>0.25</v>
      </c>
      <c r="E646" s="319">
        <v>8</v>
      </c>
      <c r="F646" s="320"/>
      <c r="G646" s="4"/>
      <c r="H646" s="441" t="s">
        <v>75</v>
      </c>
      <c r="I646" s="47">
        <v>0.25</v>
      </c>
      <c r="J646" s="319">
        <v>8</v>
      </c>
      <c r="K646" s="320"/>
      <c r="L646" s="4"/>
      <c r="M646" s="47">
        <v>0.375</v>
      </c>
      <c r="N646" s="47">
        <v>0.25</v>
      </c>
      <c r="O646" s="319">
        <v>8</v>
      </c>
      <c r="P646" s="320"/>
      <c r="R646" s="47">
        <v>0.375</v>
      </c>
      <c r="S646" s="47">
        <v>0.25</v>
      </c>
      <c r="T646" s="319">
        <v>8</v>
      </c>
      <c r="U646" s="320"/>
      <c r="W646" s="47">
        <v>0.375</v>
      </c>
      <c r="X646" s="47">
        <v>0.25</v>
      </c>
      <c r="Y646" s="319">
        <v>8</v>
      </c>
      <c r="Z646" s="320"/>
      <c r="AA646" s="29">
        <f>(E645+J646+O646+T646+Y646)</f>
        <v>40</v>
      </c>
      <c r="AB646" s="298">
        <f>Z646+U646+P646+K646+F645</f>
        <v>0</v>
      </c>
      <c r="AC646" s="4"/>
      <c r="AD646" s="47" t="s">
        <v>29</v>
      </c>
      <c r="AE646" s="47" t="s">
        <v>29</v>
      </c>
      <c r="AF646" s="346"/>
      <c r="AG646" s="29">
        <f t="shared" si="108"/>
        <v>0</v>
      </c>
      <c r="AK646" s="494" t="s">
        <v>38</v>
      </c>
      <c r="AL646" s="471">
        <f>AG667</f>
        <v>1</v>
      </c>
      <c r="AM646" s="510">
        <v>75</v>
      </c>
      <c r="AN646" s="510">
        <f t="shared" si="107"/>
        <v>75</v>
      </c>
    </row>
    <row r="647" spans="2:47" ht="14.25" hidden="1" thickBot="1">
      <c r="B647" s="457" t="s">
        <v>269</v>
      </c>
      <c r="C647" s="441" t="s">
        <v>75</v>
      </c>
      <c r="D647" s="47">
        <v>0.25</v>
      </c>
      <c r="E647" s="319">
        <v>8</v>
      </c>
      <c r="F647" s="320"/>
      <c r="G647" s="4"/>
      <c r="H647" s="47">
        <v>0.375</v>
      </c>
      <c r="I647" s="47">
        <v>0.27083333333333331</v>
      </c>
      <c r="J647" s="319">
        <v>8</v>
      </c>
      <c r="K647" s="320">
        <v>0.5</v>
      </c>
      <c r="L647" s="4"/>
      <c r="M647" s="47">
        <v>0.375</v>
      </c>
      <c r="N647" s="47">
        <v>0.25</v>
      </c>
      <c r="O647" s="319">
        <v>8</v>
      </c>
      <c r="P647" s="320">
        <v>1</v>
      </c>
      <c r="R647" s="47">
        <v>0</v>
      </c>
      <c r="S647" s="47">
        <v>0</v>
      </c>
      <c r="T647" s="319">
        <v>0</v>
      </c>
      <c r="U647" s="320"/>
      <c r="W647" s="47">
        <v>0.375</v>
      </c>
      <c r="X647" s="47">
        <v>0.25</v>
      </c>
      <c r="Y647" s="319">
        <v>8</v>
      </c>
      <c r="Z647" s="320"/>
      <c r="AA647" s="29">
        <f>(E646+J647+O647+T647+Y647)</f>
        <v>32</v>
      </c>
      <c r="AB647" s="298">
        <f>Z647+U647+P647+K647+F646</f>
        <v>1.5</v>
      </c>
      <c r="AC647" s="4"/>
      <c r="AD647" s="47">
        <v>0.375</v>
      </c>
      <c r="AE647" s="47">
        <v>0.20833333333333334</v>
      </c>
      <c r="AF647" s="346">
        <v>8</v>
      </c>
      <c r="AG647" s="29">
        <f t="shared" si="108"/>
        <v>8</v>
      </c>
      <c r="AK647" s="494" t="s">
        <v>41</v>
      </c>
      <c r="AL647" s="471">
        <f>C668</f>
        <v>134</v>
      </c>
      <c r="AM647" s="512">
        <v>45</v>
      </c>
      <c r="AN647" s="512">
        <f t="shared" si="107"/>
        <v>6030</v>
      </c>
    </row>
    <row r="648" spans="2:47" ht="14.25" hidden="1" thickTop="1">
      <c r="B648" s="164" t="s">
        <v>270</v>
      </c>
      <c r="C648" s="441" t="s">
        <v>75</v>
      </c>
      <c r="D648" s="47">
        <v>0.25</v>
      </c>
      <c r="E648" s="319">
        <v>8</v>
      </c>
      <c r="F648" s="320"/>
      <c r="G648" s="4"/>
      <c r="H648" s="47">
        <v>0.375</v>
      </c>
      <c r="I648" s="47">
        <v>0.25</v>
      </c>
      <c r="J648" s="319">
        <v>8</v>
      </c>
      <c r="K648" s="320"/>
      <c r="L648" s="4"/>
      <c r="M648" s="47">
        <v>0.375</v>
      </c>
      <c r="N648" s="47">
        <v>0.25</v>
      </c>
      <c r="O648" s="319">
        <v>8</v>
      </c>
      <c r="P648" s="320"/>
      <c r="R648" s="47">
        <v>0.375</v>
      </c>
      <c r="S648" s="47">
        <v>0.25</v>
      </c>
      <c r="T648" s="319">
        <v>8</v>
      </c>
      <c r="U648" s="320"/>
      <c r="W648" s="47">
        <v>0.375</v>
      </c>
      <c r="X648" s="47">
        <v>0.25</v>
      </c>
      <c r="Y648" s="346">
        <v>8</v>
      </c>
      <c r="Z648" s="320"/>
      <c r="AA648" s="29">
        <f>(E647+J648+O648+T648+Y648)</f>
        <v>40</v>
      </c>
      <c r="AB648" s="298">
        <f>Z648+U648+P648+K648+F647</f>
        <v>0</v>
      </c>
      <c r="AC648" s="4"/>
      <c r="AD648" s="47" t="s">
        <v>29</v>
      </c>
      <c r="AE648" s="47" t="s">
        <v>29</v>
      </c>
      <c r="AF648" s="346"/>
      <c r="AG648" s="29">
        <f t="shared" si="108"/>
        <v>0</v>
      </c>
      <c r="AN648" s="510">
        <f>SUM(AN641:AN647)</f>
        <v>39086</v>
      </c>
    </row>
    <row r="649" spans="2:47" hidden="1">
      <c r="B649" s="164" t="s">
        <v>271</v>
      </c>
      <c r="C649" s="47">
        <v>0.375</v>
      </c>
      <c r="D649" s="47">
        <v>0.25</v>
      </c>
      <c r="E649" s="319">
        <v>8</v>
      </c>
      <c r="F649" s="320"/>
      <c r="G649" s="4"/>
      <c r="H649" s="47">
        <v>0.375</v>
      </c>
      <c r="I649" s="47">
        <v>0.27083333333333331</v>
      </c>
      <c r="J649" s="319">
        <v>8</v>
      </c>
      <c r="K649" s="320">
        <v>0.5</v>
      </c>
      <c r="L649" s="4"/>
      <c r="M649" s="47">
        <v>0.375</v>
      </c>
      <c r="N649" s="47">
        <v>0.25</v>
      </c>
      <c r="O649" s="319">
        <v>8</v>
      </c>
      <c r="P649" s="320"/>
      <c r="R649" s="47">
        <v>0.375</v>
      </c>
      <c r="S649" s="47">
        <v>0.25</v>
      </c>
      <c r="T649" s="319">
        <v>8</v>
      </c>
      <c r="U649" s="320"/>
      <c r="W649" s="47">
        <v>0.375</v>
      </c>
      <c r="X649" s="47">
        <v>0.25</v>
      </c>
      <c r="Y649" s="319">
        <v>8</v>
      </c>
      <c r="Z649" s="320"/>
      <c r="AA649" s="29">
        <f>(E648+J649+O649+T649+Y649)</f>
        <v>40</v>
      </c>
      <c r="AB649" s="298">
        <f>Z649+U649+P649+K649+F648</f>
        <v>0.5</v>
      </c>
      <c r="AC649" s="4"/>
      <c r="AD649" s="47" t="s">
        <v>29</v>
      </c>
      <c r="AE649" s="47" t="s">
        <v>29</v>
      </c>
      <c r="AF649" s="346"/>
      <c r="AG649" s="29">
        <f t="shared" si="108"/>
        <v>0</v>
      </c>
    </row>
    <row r="650" spans="2:47" hidden="1">
      <c r="B650" s="461" t="s">
        <v>272</v>
      </c>
      <c r="C650" s="47">
        <v>0.375</v>
      </c>
      <c r="D650" s="47">
        <v>0.25</v>
      </c>
      <c r="E650" s="319">
        <v>8</v>
      </c>
      <c r="F650" s="320"/>
      <c r="G650" s="4"/>
      <c r="H650" s="47">
        <v>0.375</v>
      </c>
      <c r="I650" s="47">
        <v>0.21875</v>
      </c>
      <c r="J650" s="319">
        <v>7.25</v>
      </c>
      <c r="K650" s="320"/>
      <c r="L650" s="4"/>
      <c r="M650" s="47">
        <v>0.375</v>
      </c>
      <c r="N650" s="47">
        <v>0.25</v>
      </c>
      <c r="O650" s="319">
        <v>8</v>
      </c>
      <c r="P650" s="320"/>
      <c r="R650" s="47">
        <v>0.375</v>
      </c>
      <c r="S650" s="47">
        <v>0.25</v>
      </c>
      <c r="T650" s="319">
        <v>8</v>
      </c>
      <c r="U650" s="320"/>
      <c r="W650" s="47">
        <v>0.375</v>
      </c>
      <c r="X650" s="47">
        <v>0.25</v>
      </c>
      <c r="Y650" s="319">
        <v>8</v>
      </c>
      <c r="Z650" s="320"/>
      <c r="AA650" s="29">
        <f t="shared" ref="AA650:AA661" si="109">(E650+J650+O650+T650+Y650)</f>
        <v>39.25</v>
      </c>
      <c r="AB650" s="298">
        <f t="shared" ref="AB650:AB663" si="110">Z650+U650+P650+K650+F650</f>
        <v>0</v>
      </c>
      <c r="AC650" s="4"/>
      <c r="AD650" s="47" t="s">
        <v>29</v>
      </c>
      <c r="AE650" s="47" t="s">
        <v>29</v>
      </c>
      <c r="AF650" s="346"/>
      <c r="AG650" s="29">
        <f t="shared" si="108"/>
        <v>0</v>
      </c>
    </row>
    <row r="651" spans="2:47" hidden="1">
      <c r="B651" s="509" t="s">
        <v>273</v>
      </c>
      <c r="C651" s="47">
        <v>0.375</v>
      </c>
      <c r="D651" s="47">
        <v>0.25</v>
      </c>
      <c r="E651" s="319">
        <v>8</v>
      </c>
      <c r="F651" s="320"/>
      <c r="G651" s="4"/>
      <c r="H651" s="47">
        <v>0.375</v>
      </c>
      <c r="I651" s="47">
        <v>0.25</v>
      </c>
      <c r="J651" s="319">
        <v>8</v>
      </c>
      <c r="K651" s="320"/>
      <c r="L651" s="4"/>
      <c r="M651" s="47">
        <v>0.375</v>
      </c>
      <c r="N651" s="47">
        <v>0.25</v>
      </c>
      <c r="O651" s="319">
        <v>8</v>
      </c>
      <c r="P651" s="320"/>
      <c r="R651" s="47">
        <v>0.375</v>
      </c>
      <c r="S651" s="47">
        <v>0.25</v>
      </c>
      <c r="T651" s="319">
        <v>8</v>
      </c>
      <c r="U651" s="320"/>
      <c r="W651" s="47">
        <v>0.375</v>
      </c>
      <c r="X651" s="47">
        <v>0.25</v>
      </c>
      <c r="Y651" s="319">
        <v>8</v>
      </c>
      <c r="Z651" s="320"/>
      <c r="AA651" s="29">
        <f t="shared" si="109"/>
        <v>40</v>
      </c>
      <c r="AB651" s="298">
        <f t="shared" si="110"/>
        <v>0</v>
      </c>
      <c r="AC651" s="4"/>
      <c r="AD651" s="47" t="s">
        <v>29</v>
      </c>
      <c r="AE651" s="47" t="s">
        <v>29</v>
      </c>
      <c r="AF651" s="346"/>
      <c r="AG651" s="29">
        <f t="shared" si="108"/>
        <v>0</v>
      </c>
    </row>
    <row r="652" spans="2:47" hidden="1">
      <c r="B652" s="458" t="s">
        <v>274</v>
      </c>
      <c r="C652" s="47">
        <v>0.375</v>
      </c>
      <c r="D652" s="47">
        <v>0.25</v>
      </c>
      <c r="E652" s="319">
        <v>8</v>
      </c>
      <c r="F652" s="320"/>
      <c r="G652" s="4"/>
      <c r="H652" s="47">
        <v>0.375</v>
      </c>
      <c r="I652" s="47">
        <v>0.25</v>
      </c>
      <c r="J652" s="319">
        <v>8</v>
      </c>
      <c r="K652" s="320"/>
      <c r="L652" s="4"/>
      <c r="M652" s="47">
        <v>0.375</v>
      </c>
      <c r="N652" s="47">
        <v>0.25</v>
      </c>
      <c r="O652" s="319">
        <v>8</v>
      </c>
      <c r="P652" s="320"/>
      <c r="R652" s="47">
        <v>0.375</v>
      </c>
      <c r="S652" s="47">
        <v>0.25</v>
      </c>
      <c r="T652" s="319">
        <v>8</v>
      </c>
      <c r="U652" s="320"/>
      <c r="W652" s="47">
        <v>0.375</v>
      </c>
      <c r="X652" s="47">
        <v>0.25</v>
      </c>
      <c r="Y652" s="319">
        <v>8</v>
      </c>
      <c r="Z652" s="320"/>
      <c r="AA652" s="29">
        <f t="shared" si="109"/>
        <v>40</v>
      </c>
      <c r="AB652" s="298">
        <f t="shared" si="110"/>
        <v>0</v>
      </c>
      <c r="AC652" s="4"/>
      <c r="AD652" s="47" t="s">
        <v>29</v>
      </c>
      <c r="AE652" s="47" t="s">
        <v>29</v>
      </c>
      <c r="AF652" s="346"/>
      <c r="AG652" s="29">
        <f t="shared" si="108"/>
        <v>0</v>
      </c>
    </row>
    <row r="653" spans="2:47" hidden="1">
      <c r="B653" s="458" t="s">
        <v>275</v>
      </c>
      <c r="C653" s="47">
        <v>0.375</v>
      </c>
      <c r="D653" s="47">
        <v>0.25</v>
      </c>
      <c r="E653" s="319">
        <v>8</v>
      </c>
      <c r="F653" s="320"/>
      <c r="G653" s="4"/>
      <c r="H653" s="47">
        <v>0.375</v>
      </c>
      <c r="I653" s="47">
        <v>0.25</v>
      </c>
      <c r="J653" s="319">
        <v>8</v>
      </c>
      <c r="K653" s="320"/>
      <c r="L653" s="4"/>
      <c r="M653" s="47">
        <v>0.375</v>
      </c>
      <c r="N653" s="47">
        <v>0.25</v>
      </c>
      <c r="O653" s="319">
        <v>8</v>
      </c>
      <c r="P653" s="320"/>
      <c r="R653" s="47">
        <v>0.375</v>
      </c>
      <c r="S653" s="47">
        <v>0.25</v>
      </c>
      <c r="T653" s="319">
        <v>8</v>
      </c>
      <c r="U653" s="320"/>
      <c r="W653" s="47">
        <v>0.375</v>
      </c>
      <c r="X653" s="47">
        <v>0.25</v>
      </c>
      <c r="Y653" s="319">
        <v>8</v>
      </c>
      <c r="Z653" s="320"/>
      <c r="AA653" s="29">
        <f t="shared" si="109"/>
        <v>40</v>
      </c>
      <c r="AB653" s="298">
        <f t="shared" si="110"/>
        <v>0</v>
      </c>
      <c r="AC653" s="4"/>
      <c r="AD653" s="47" t="s">
        <v>29</v>
      </c>
      <c r="AE653" s="47" t="s">
        <v>29</v>
      </c>
      <c r="AF653" s="19"/>
      <c r="AG653" s="29">
        <f t="shared" si="108"/>
        <v>0</v>
      </c>
    </row>
    <row r="654" spans="2:47" hidden="1">
      <c r="B654" s="461" t="s">
        <v>276</v>
      </c>
      <c r="C654" s="47">
        <v>0.375</v>
      </c>
      <c r="D654" s="47">
        <v>0.25</v>
      </c>
      <c r="E654" s="319">
        <v>8</v>
      </c>
      <c r="F654" s="320"/>
      <c r="G654" s="4"/>
      <c r="H654" s="47">
        <v>0.375</v>
      </c>
      <c r="I654" s="47">
        <v>0.25</v>
      </c>
      <c r="J654" s="319">
        <v>8</v>
      </c>
      <c r="K654" s="320"/>
      <c r="L654" s="4"/>
      <c r="M654" s="47">
        <v>0.375</v>
      </c>
      <c r="N654" s="47">
        <v>0.25</v>
      </c>
      <c r="O654" s="319">
        <v>8</v>
      </c>
      <c r="P654" s="320"/>
      <c r="R654" s="47">
        <v>0.375</v>
      </c>
      <c r="S654" s="47">
        <v>0.25</v>
      </c>
      <c r="T654" s="319">
        <v>8</v>
      </c>
      <c r="U654" s="320"/>
      <c r="W654" s="47">
        <v>0.375</v>
      </c>
      <c r="X654" s="47">
        <v>0.25</v>
      </c>
      <c r="Y654" s="319">
        <v>8</v>
      </c>
      <c r="Z654" s="320"/>
      <c r="AA654" s="29">
        <f t="shared" si="109"/>
        <v>40</v>
      </c>
      <c r="AB654" s="298">
        <f t="shared" si="110"/>
        <v>0</v>
      </c>
      <c r="AC654" s="4"/>
      <c r="AD654" s="47" t="s">
        <v>29</v>
      </c>
      <c r="AE654" s="47" t="s">
        <v>29</v>
      </c>
      <c r="AF654" s="19"/>
      <c r="AG654" s="29">
        <f t="shared" si="108"/>
        <v>0</v>
      </c>
    </row>
    <row r="655" spans="2:47" hidden="1">
      <c r="B655" s="457" t="s">
        <v>277</v>
      </c>
      <c r="C655" s="47">
        <v>0.375</v>
      </c>
      <c r="D655" s="47">
        <v>0.25</v>
      </c>
      <c r="E655" s="319">
        <v>8</v>
      </c>
      <c r="F655" s="320"/>
      <c r="G655" s="4"/>
      <c r="H655" s="47">
        <v>0.375</v>
      </c>
      <c r="I655" s="47">
        <v>0.25</v>
      </c>
      <c r="J655" s="319">
        <v>8</v>
      </c>
      <c r="K655" s="320"/>
      <c r="L655" s="4"/>
      <c r="M655" s="47">
        <v>0.375</v>
      </c>
      <c r="N655" s="441" t="s">
        <v>136</v>
      </c>
      <c r="O655" s="319">
        <v>8</v>
      </c>
      <c r="P655" s="320"/>
      <c r="R655" s="47">
        <v>0.375</v>
      </c>
      <c r="S655" s="47">
        <v>0.25</v>
      </c>
      <c r="T655" s="319">
        <v>8</v>
      </c>
      <c r="U655" s="320"/>
      <c r="W655" s="47">
        <v>0.375</v>
      </c>
      <c r="X655" s="47">
        <v>0.25</v>
      </c>
      <c r="Y655" s="319">
        <v>8</v>
      </c>
      <c r="Z655" s="320"/>
      <c r="AA655" s="29">
        <f t="shared" si="109"/>
        <v>40</v>
      </c>
      <c r="AB655" s="298">
        <f t="shared" si="110"/>
        <v>0</v>
      </c>
      <c r="AC655" s="4"/>
      <c r="AD655" s="47" t="s">
        <v>29</v>
      </c>
      <c r="AE655" s="47" t="s">
        <v>29</v>
      </c>
      <c r="AF655" s="19"/>
      <c r="AG655" s="29">
        <f t="shared" si="108"/>
        <v>0</v>
      </c>
    </row>
    <row r="656" spans="2:47" hidden="1">
      <c r="B656" s="457" t="s">
        <v>278</v>
      </c>
      <c r="C656" s="47">
        <v>0</v>
      </c>
      <c r="D656" s="47">
        <v>0</v>
      </c>
      <c r="E656" s="319">
        <v>0</v>
      </c>
      <c r="F656" s="320"/>
      <c r="G656" s="4"/>
      <c r="H656" s="47">
        <v>0.375</v>
      </c>
      <c r="I656" s="47">
        <v>0.27083333333333331</v>
      </c>
      <c r="J656" s="319">
        <v>8</v>
      </c>
      <c r="K656" s="320">
        <v>0.5</v>
      </c>
      <c r="L656" s="4"/>
      <c r="M656" s="47">
        <v>0.375</v>
      </c>
      <c r="N656" s="47">
        <v>0.25</v>
      </c>
      <c r="O656" s="319">
        <v>8</v>
      </c>
      <c r="P656" s="320"/>
      <c r="R656" s="47">
        <v>0.375</v>
      </c>
      <c r="S656" s="47">
        <v>0.25</v>
      </c>
      <c r="T656" s="319">
        <v>8</v>
      </c>
      <c r="U656" s="320"/>
      <c r="W656" s="47">
        <v>0.375</v>
      </c>
      <c r="X656" s="47">
        <v>0.25</v>
      </c>
      <c r="Y656" s="319">
        <v>8</v>
      </c>
      <c r="Z656" s="320"/>
      <c r="AA656" s="29">
        <f t="shared" si="109"/>
        <v>32</v>
      </c>
      <c r="AB656" s="298">
        <f t="shared" si="110"/>
        <v>0.5</v>
      </c>
      <c r="AC656" s="4"/>
      <c r="AD656" s="47" t="s">
        <v>29</v>
      </c>
      <c r="AE656" s="47" t="s">
        <v>29</v>
      </c>
      <c r="AF656" s="19"/>
      <c r="AG656" s="29">
        <f t="shared" si="108"/>
        <v>0</v>
      </c>
    </row>
    <row r="657" spans="2:47" hidden="1">
      <c r="B657" s="166" t="s">
        <v>279</v>
      </c>
      <c r="C657" s="16" t="s">
        <v>29</v>
      </c>
      <c r="D657" s="16" t="s">
        <v>29</v>
      </c>
      <c r="E657" s="319">
        <v>8</v>
      </c>
      <c r="F657" s="320"/>
      <c r="G657" s="4"/>
      <c r="H657" s="16" t="s">
        <v>29</v>
      </c>
      <c r="I657" s="16" t="s">
        <v>29</v>
      </c>
      <c r="J657" s="319">
        <v>8</v>
      </c>
      <c r="K657" s="320"/>
      <c r="L657" s="4"/>
      <c r="M657" s="16" t="s">
        <v>29</v>
      </c>
      <c r="N657" s="16" t="s">
        <v>29</v>
      </c>
      <c r="O657" s="319">
        <v>8</v>
      </c>
      <c r="P657" s="320"/>
      <c r="R657" s="16" t="s">
        <v>29</v>
      </c>
      <c r="S657" s="16" t="s">
        <v>29</v>
      </c>
      <c r="T657" s="319">
        <v>8</v>
      </c>
      <c r="U657" s="320"/>
      <c r="W657" s="16" t="s">
        <v>29</v>
      </c>
      <c r="X657" s="16" t="s">
        <v>29</v>
      </c>
      <c r="Y657" s="319">
        <v>8</v>
      </c>
      <c r="Z657" s="320"/>
      <c r="AA657" s="29">
        <f t="shared" si="109"/>
        <v>40</v>
      </c>
      <c r="AB657" s="298">
        <f t="shared" si="110"/>
        <v>0</v>
      </c>
      <c r="AC657" s="4"/>
      <c r="AD657" s="47" t="s">
        <v>29</v>
      </c>
      <c r="AE657" s="47" t="s">
        <v>29</v>
      </c>
      <c r="AF657" s="19"/>
      <c r="AG657" s="29">
        <f t="shared" si="108"/>
        <v>0</v>
      </c>
    </row>
    <row r="658" spans="2:47" hidden="1">
      <c r="B658" s="166" t="s">
        <v>280</v>
      </c>
      <c r="C658" s="16" t="s">
        <v>29</v>
      </c>
      <c r="D658" s="16" t="s">
        <v>29</v>
      </c>
      <c r="E658" s="319">
        <v>8</v>
      </c>
      <c r="F658" s="320">
        <v>0.5</v>
      </c>
      <c r="G658" s="4"/>
      <c r="H658" s="16" t="s">
        <v>29</v>
      </c>
      <c r="I658" s="16" t="s">
        <v>29</v>
      </c>
      <c r="J658" s="319">
        <v>8</v>
      </c>
      <c r="K658" s="320">
        <v>0.5</v>
      </c>
      <c r="L658" s="4"/>
      <c r="M658" s="16" t="s">
        <v>29</v>
      </c>
      <c r="N658" s="16" t="s">
        <v>29</v>
      </c>
      <c r="O658" s="319">
        <v>8</v>
      </c>
      <c r="P658" s="320">
        <v>0.5</v>
      </c>
      <c r="R658" s="16" t="s">
        <v>29</v>
      </c>
      <c r="S658" s="16" t="s">
        <v>29</v>
      </c>
      <c r="T658" s="319">
        <v>8</v>
      </c>
      <c r="U658" s="320">
        <v>0.5</v>
      </c>
      <c r="W658" s="16" t="s">
        <v>29</v>
      </c>
      <c r="X658" s="16" t="s">
        <v>29</v>
      </c>
      <c r="Y658" s="319">
        <v>8</v>
      </c>
      <c r="Z658" s="320">
        <v>0.5</v>
      </c>
      <c r="AA658" s="29">
        <f t="shared" si="109"/>
        <v>40</v>
      </c>
      <c r="AB658" s="298">
        <f t="shared" si="110"/>
        <v>2.5</v>
      </c>
      <c r="AC658" s="4"/>
      <c r="AD658" s="47" t="s">
        <v>29</v>
      </c>
      <c r="AE658" s="47" t="s">
        <v>29</v>
      </c>
      <c r="AF658" s="19"/>
      <c r="AG658" s="29">
        <f t="shared" si="108"/>
        <v>0</v>
      </c>
    </row>
    <row r="659" spans="2:47" hidden="1">
      <c r="B659" s="166" t="s">
        <v>281</v>
      </c>
      <c r="C659" s="16" t="s">
        <v>29</v>
      </c>
      <c r="D659" s="16" t="s">
        <v>29</v>
      </c>
      <c r="E659" s="319">
        <v>8</v>
      </c>
      <c r="F659" s="320"/>
      <c r="G659" s="4"/>
      <c r="H659" s="16" t="s">
        <v>29</v>
      </c>
      <c r="I659" s="16" t="s">
        <v>29</v>
      </c>
      <c r="J659" s="319">
        <v>8</v>
      </c>
      <c r="K659" s="320"/>
      <c r="L659" s="4"/>
      <c r="M659" s="16" t="s">
        <v>29</v>
      </c>
      <c r="N659" s="16" t="s">
        <v>29</v>
      </c>
      <c r="O659" s="319">
        <v>8</v>
      </c>
      <c r="P659" s="320"/>
      <c r="R659" s="16" t="s">
        <v>29</v>
      </c>
      <c r="S659" s="16" t="s">
        <v>29</v>
      </c>
      <c r="T659" s="319">
        <v>8</v>
      </c>
      <c r="U659" s="320"/>
      <c r="W659" s="16" t="s">
        <v>29</v>
      </c>
      <c r="X659" s="16" t="s">
        <v>29</v>
      </c>
      <c r="Y659" s="319">
        <v>8</v>
      </c>
      <c r="Z659" s="320"/>
      <c r="AA659" s="29">
        <f t="shared" si="109"/>
        <v>40</v>
      </c>
      <c r="AB659" s="298">
        <f t="shared" si="110"/>
        <v>0</v>
      </c>
      <c r="AC659" s="4"/>
      <c r="AD659" s="47" t="s">
        <v>29</v>
      </c>
      <c r="AE659" s="47" t="s">
        <v>29</v>
      </c>
      <c r="AF659" s="19"/>
      <c r="AG659" s="29">
        <f t="shared" si="108"/>
        <v>0</v>
      </c>
    </row>
    <row r="660" spans="2:47" hidden="1">
      <c r="B660" s="166" t="s">
        <v>282</v>
      </c>
      <c r="C660" s="16" t="s">
        <v>29</v>
      </c>
      <c r="D660" s="16" t="s">
        <v>29</v>
      </c>
      <c r="E660" s="319">
        <v>8</v>
      </c>
      <c r="F660" s="320"/>
      <c r="G660" s="4"/>
      <c r="H660" s="16" t="s">
        <v>29</v>
      </c>
      <c r="I660" s="16" t="s">
        <v>29</v>
      </c>
      <c r="J660" s="319">
        <v>8</v>
      </c>
      <c r="K660" s="320"/>
      <c r="L660" s="4"/>
      <c r="M660" s="16" t="s">
        <v>29</v>
      </c>
      <c r="N660" s="16" t="s">
        <v>29</v>
      </c>
      <c r="O660" s="319">
        <v>1</v>
      </c>
      <c r="P660" s="320"/>
      <c r="R660" s="16" t="s">
        <v>29</v>
      </c>
      <c r="S660" s="16" t="s">
        <v>29</v>
      </c>
      <c r="T660" s="319">
        <v>0</v>
      </c>
      <c r="U660" s="320"/>
      <c r="W660" s="16" t="s">
        <v>29</v>
      </c>
      <c r="X660" s="16" t="s">
        <v>29</v>
      </c>
      <c r="Y660" s="319">
        <v>0</v>
      </c>
      <c r="Z660" s="320"/>
      <c r="AA660" s="29">
        <f t="shared" si="109"/>
        <v>17</v>
      </c>
      <c r="AB660" s="298">
        <f t="shared" si="110"/>
        <v>0</v>
      </c>
      <c r="AC660" s="4"/>
      <c r="AD660" s="47" t="s">
        <v>29</v>
      </c>
      <c r="AE660" s="47" t="s">
        <v>29</v>
      </c>
      <c r="AF660" s="19"/>
      <c r="AG660" s="29">
        <f t="shared" si="108"/>
        <v>0</v>
      </c>
    </row>
    <row r="661" spans="2:47" hidden="1">
      <c r="B661" s="166" t="s">
        <v>283</v>
      </c>
      <c r="C661" s="16" t="s">
        <v>29</v>
      </c>
      <c r="D661" s="16" t="s">
        <v>29</v>
      </c>
      <c r="E661" s="319">
        <v>8</v>
      </c>
      <c r="F661" s="320"/>
      <c r="G661" s="4"/>
      <c r="H661" s="16" t="s">
        <v>29</v>
      </c>
      <c r="I661" s="16" t="s">
        <v>29</v>
      </c>
      <c r="J661" s="319">
        <v>8</v>
      </c>
      <c r="K661" s="320"/>
      <c r="L661" s="4"/>
      <c r="M661" s="16" t="s">
        <v>29</v>
      </c>
      <c r="N661" s="16" t="s">
        <v>29</v>
      </c>
      <c r="O661" s="319">
        <v>8</v>
      </c>
      <c r="P661" s="320"/>
      <c r="R661" s="16" t="s">
        <v>29</v>
      </c>
      <c r="S661" s="16" t="s">
        <v>29</v>
      </c>
      <c r="T661" s="319">
        <v>8</v>
      </c>
      <c r="U661" s="320"/>
      <c r="W661" s="16" t="s">
        <v>29</v>
      </c>
      <c r="X661" s="16" t="s">
        <v>29</v>
      </c>
      <c r="Y661" s="319">
        <v>8</v>
      </c>
      <c r="Z661" s="320"/>
      <c r="AA661" s="29">
        <f t="shared" si="109"/>
        <v>40</v>
      </c>
      <c r="AB661" s="298">
        <f t="shared" si="110"/>
        <v>0</v>
      </c>
      <c r="AC661" s="4"/>
      <c r="AD661" s="47" t="s">
        <v>29</v>
      </c>
      <c r="AE661" s="47" t="s">
        <v>29</v>
      </c>
      <c r="AF661" s="19"/>
      <c r="AG661" s="29">
        <f t="shared" si="108"/>
        <v>0</v>
      </c>
    </row>
    <row r="662" spans="2:47" hidden="1">
      <c r="B662" s="63" t="s">
        <v>63</v>
      </c>
      <c r="C662" s="16" t="s">
        <v>29</v>
      </c>
      <c r="D662" s="16" t="s">
        <v>29</v>
      </c>
      <c r="E662" s="319">
        <v>4</v>
      </c>
      <c r="F662" s="320"/>
      <c r="G662" s="438"/>
      <c r="H662" s="16" t="s">
        <v>29</v>
      </c>
      <c r="I662" s="16" t="s">
        <v>29</v>
      </c>
      <c r="J662" s="319">
        <v>4</v>
      </c>
      <c r="K662" s="320">
        <v>0.5</v>
      </c>
      <c r="L662" s="438"/>
      <c r="M662" s="16" t="s">
        <v>29</v>
      </c>
      <c r="N662" s="16" t="s">
        <v>29</v>
      </c>
      <c r="O662" s="319">
        <v>4</v>
      </c>
      <c r="P662" s="320"/>
      <c r="Q662" s="438"/>
      <c r="R662" s="16" t="s">
        <v>29</v>
      </c>
      <c r="S662" s="16" t="s">
        <v>29</v>
      </c>
      <c r="T662" s="319">
        <v>4</v>
      </c>
      <c r="U662" s="320">
        <v>0.5</v>
      </c>
      <c r="V662" s="438"/>
      <c r="W662" s="16" t="s">
        <v>29</v>
      </c>
      <c r="X662" s="16" t="s">
        <v>29</v>
      </c>
      <c r="Y662" s="319">
        <v>4</v>
      </c>
      <c r="Z662" s="320"/>
      <c r="AA662" s="28">
        <f>SUM(E662+J662+O662+T662+Y662)</f>
        <v>20</v>
      </c>
      <c r="AB662" s="298">
        <f t="shared" si="110"/>
        <v>1</v>
      </c>
      <c r="AC662" s="4"/>
      <c r="AD662" s="47" t="s">
        <v>29</v>
      </c>
      <c r="AE662" s="47" t="s">
        <v>29</v>
      </c>
      <c r="AF662" s="19"/>
      <c r="AG662" s="29">
        <f t="shared" si="108"/>
        <v>0</v>
      </c>
      <c r="AK662" s="407"/>
    </row>
    <row r="663" spans="2:47" hidden="1">
      <c r="B663" s="63" t="s">
        <v>250</v>
      </c>
      <c r="C663" s="16" t="s">
        <v>29</v>
      </c>
      <c r="D663" s="16" t="s">
        <v>29</v>
      </c>
      <c r="E663" s="319"/>
      <c r="F663" s="320"/>
      <c r="G663" s="438"/>
      <c r="H663" s="16" t="s">
        <v>29</v>
      </c>
      <c r="I663" s="16" t="s">
        <v>29</v>
      </c>
      <c r="J663" s="319"/>
      <c r="K663" s="320"/>
      <c r="L663" s="438"/>
      <c r="M663" s="16" t="s">
        <v>29</v>
      </c>
      <c r="N663" s="16" t="s">
        <v>29</v>
      </c>
      <c r="O663" s="319"/>
      <c r="P663" s="320"/>
      <c r="Q663" s="438"/>
      <c r="R663" s="16" t="s">
        <v>29</v>
      </c>
      <c r="S663" s="16" t="s">
        <v>29</v>
      </c>
      <c r="T663" s="319"/>
      <c r="U663" s="320"/>
      <c r="V663" s="438"/>
      <c r="W663" s="16" t="s">
        <v>29</v>
      </c>
      <c r="X663" s="16" t="s">
        <v>29</v>
      </c>
      <c r="Y663" s="319"/>
      <c r="Z663" s="320"/>
      <c r="AA663" s="28">
        <f>SUM(E663+J663+O663+T663+Y663)</f>
        <v>0</v>
      </c>
      <c r="AB663" s="298">
        <f t="shared" si="110"/>
        <v>0</v>
      </c>
      <c r="AC663" s="4"/>
      <c r="AD663" s="47" t="s">
        <v>29</v>
      </c>
      <c r="AE663" s="47" t="s">
        <v>29</v>
      </c>
      <c r="AF663" s="19"/>
      <c r="AG663" s="29">
        <f t="shared" si="108"/>
        <v>0</v>
      </c>
      <c r="AK663" s="407"/>
    </row>
    <row r="664" spans="2:47" hidden="1">
      <c r="B664" s="64" t="s">
        <v>61</v>
      </c>
      <c r="C664" s="31"/>
      <c r="D664" s="31"/>
      <c r="E664" s="439">
        <f>SUM(E642:E663)</f>
        <v>156</v>
      </c>
      <c r="F664" s="320">
        <f>SUM(F642:F663)</f>
        <v>0.5</v>
      </c>
      <c r="G664" s="31"/>
      <c r="H664" s="31"/>
      <c r="I664" s="31"/>
      <c r="J664" s="439">
        <f>SUM(J642:J663)</f>
        <v>163.25</v>
      </c>
      <c r="K664" s="320">
        <f>SUM(K642:K663)</f>
        <v>3</v>
      </c>
      <c r="L664" s="31"/>
      <c r="M664" s="31"/>
      <c r="N664" s="31"/>
      <c r="O664" s="439">
        <f>SUM(O642:O663)</f>
        <v>157</v>
      </c>
      <c r="P664" s="320">
        <f>SUM(P642:P663)</f>
        <v>1.5</v>
      </c>
      <c r="Q664" s="31"/>
      <c r="R664" s="31"/>
      <c r="S664" s="31"/>
      <c r="T664" s="439">
        <f>SUM(T642:T663)</f>
        <v>147</v>
      </c>
      <c r="U664" s="320">
        <f>SUM(U642:U663)</f>
        <v>1</v>
      </c>
      <c r="V664" s="31"/>
      <c r="W664" s="31"/>
      <c r="X664" s="31"/>
      <c r="Y664" s="439">
        <f>SUM(Y642:Y663)</f>
        <v>156</v>
      </c>
      <c r="Z664" s="320">
        <f>SUM(Z642:Z663)</f>
        <v>0.5</v>
      </c>
      <c r="AA664" s="370">
        <f>SUM(AA642:AA663)</f>
        <v>779.25</v>
      </c>
      <c r="AB664" s="370">
        <f>SUM(AB642:AB663)</f>
        <v>6.5</v>
      </c>
      <c r="AC664" s="4"/>
      <c r="AD664" s="64"/>
      <c r="AE664" s="64"/>
      <c r="AF664" s="167">
        <f>SUM(AF642:AF663)</f>
        <v>32</v>
      </c>
      <c r="AG664" s="370">
        <f>SUM(AG642:AG663)</f>
        <v>32</v>
      </c>
    </row>
    <row r="665" spans="2:47" hidden="1">
      <c r="B665" s="63" t="s">
        <v>64</v>
      </c>
      <c r="C665" s="56" t="s">
        <v>29</v>
      </c>
      <c r="D665" s="56" t="s">
        <v>29</v>
      </c>
      <c r="E665" s="19">
        <v>0</v>
      </c>
      <c r="F665" s="291"/>
      <c r="G665" s="60"/>
      <c r="H665" s="56" t="s">
        <v>29</v>
      </c>
      <c r="I665" s="56" t="s">
        <v>29</v>
      </c>
      <c r="J665" s="19">
        <v>0</v>
      </c>
      <c r="K665" s="291"/>
      <c r="L665" s="60"/>
      <c r="M665" s="56" t="s">
        <v>29</v>
      </c>
      <c r="N665" s="56" t="s">
        <v>29</v>
      </c>
      <c r="O665" s="19">
        <v>0.5</v>
      </c>
      <c r="P665" s="19"/>
      <c r="Q665" s="60"/>
      <c r="R665" s="56" t="s">
        <v>29</v>
      </c>
      <c r="S665" s="56" t="s">
        <v>29</v>
      </c>
      <c r="T665" s="19">
        <v>3</v>
      </c>
      <c r="U665" s="19"/>
      <c r="V665" s="60"/>
      <c r="W665" s="56" t="s">
        <v>29</v>
      </c>
      <c r="X665" s="56" t="s">
        <v>29</v>
      </c>
      <c r="Y665" s="19"/>
      <c r="Z665" s="19"/>
      <c r="AA665" s="28">
        <f>SUM(E665+J665+O665+T665+Y665)</f>
        <v>3.5</v>
      </c>
      <c r="AB665" s="296">
        <f>Z665+U665+P665+K665+F665</f>
        <v>0</v>
      </c>
      <c r="AC665" s="4"/>
      <c r="AD665" s="56"/>
      <c r="AE665" s="56"/>
      <c r="AF665" s="19"/>
      <c r="AG665" s="29">
        <f>AF665</f>
        <v>0</v>
      </c>
    </row>
    <row r="666" spans="2:47" hidden="1">
      <c r="B666" s="63" t="s">
        <v>110</v>
      </c>
      <c r="C666" s="56" t="s">
        <v>29</v>
      </c>
      <c r="D666" s="56" t="s">
        <v>29</v>
      </c>
      <c r="E666" s="19">
        <v>4</v>
      </c>
      <c r="F666" s="291"/>
      <c r="G666" s="60"/>
      <c r="H666" s="56" t="s">
        <v>29</v>
      </c>
      <c r="I666" s="56" t="s">
        <v>29</v>
      </c>
      <c r="J666" s="19">
        <v>4</v>
      </c>
      <c r="K666" s="291"/>
      <c r="L666" s="60"/>
      <c r="M666" s="56" t="s">
        <v>29</v>
      </c>
      <c r="N666" s="56" t="s">
        <v>29</v>
      </c>
      <c r="O666" s="19">
        <v>4</v>
      </c>
      <c r="P666" s="19"/>
      <c r="Q666" s="60"/>
      <c r="R666" s="56" t="s">
        <v>29</v>
      </c>
      <c r="S666" s="56" t="s">
        <v>29</v>
      </c>
      <c r="T666" s="19">
        <v>4</v>
      </c>
      <c r="U666" s="19"/>
      <c r="V666" s="60"/>
      <c r="W666" s="56" t="s">
        <v>29</v>
      </c>
      <c r="X666" s="56" t="s">
        <v>29</v>
      </c>
      <c r="Y666" s="19">
        <v>4</v>
      </c>
      <c r="Z666" s="19"/>
      <c r="AA666" s="28">
        <f>SUM(E666+J666+O666+T666+Y666)</f>
        <v>20</v>
      </c>
      <c r="AB666" s="296">
        <f>Z666+U666+P666+K666+F666</f>
        <v>0</v>
      </c>
      <c r="AC666" s="4"/>
      <c r="AD666" s="56"/>
      <c r="AE666" s="56"/>
      <c r="AF666" s="19">
        <v>1</v>
      </c>
      <c r="AG666" s="29">
        <f>AF666</f>
        <v>1</v>
      </c>
    </row>
    <row r="667" spans="2:47" hidden="1">
      <c r="B667" s="71" t="s">
        <v>66</v>
      </c>
      <c r="C667" s="371"/>
      <c r="D667" s="371"/>
      <c r="E667" s="71">
        <f t="shared" ref="E667:AB667" si="111">SUM(E665:E666)</f>
        <v>4</v>
      </c>
      <c r="F667" s="71">
        <f t="shared" si="111"/>
        <v>0</v>
      </c>
      <c r="G667" s="71">
        <f t="shared" si="111"/>
        <v>0</v>
      </c>
      <c r="H667" s="71">
        <f t="shared" si="111"/>
        <v>0</v>
      </c>
      <c r="I667" s="71">
        <f t="shared" si="111"/>
        <v>0</v>
      </c>
      <c r="J667" s="71">
        <f t="shared" si="111"/>
        <v>4</v>
      </c>
      <c r="K667" s="71">
        <f t="shared" si="111"/>
        <v>0</v>
      </c>
      <c r="L667" s="71">
        <f t="shared" si="111"/>
        <v>0</v>
      </c>
      <c r="M667" s="71">
        <f t="shared" si="111"/>
        <v>0</v>
      </c>
      <c r="N667" s="71">
        <f t="shared" si="111"/>
        <v>0</v>
      </c>
      <c r="O667" s="71">
        <f t="shared" si="111"/>
        <v>4.5</v>
      </c>
      <c r="P667" s="71">
        <f t="shared" si="111"/>
        <v>0</v>
      </c>
      <c r="Q667" s="71">
        <f t="shared" si="111"/>
        <v>0</v>
      </c>
      <c r="R667" s="71">
        <f t="shared" si="111"/>
        <v>0</v>
      </c>
      <c r="S667" s="71">
        <f t="shared" si="111"/>
        <v>0</v>
      </c>
      <c r="T667" s="71">
        <f t="shared" si="111"/>
        <v>7</v>
      </c>
      <c r="U667" s="71">
        <f t="shared" si="111"/>
        <v>0</v>
      </c>
      <c r="V667" s="71">
        <f t="shared" si="111"/>
        <v>0</v>
      </c>
      <c r="W667" s="71">
        <f t="shared" si="111"/>
        <v>0</v>
      </c>
      <c r="X667" s="71">
        <f t="shared" si="111"/>
        <v>0</v>
      </c>
      <c r="Y667" s="71">
        <f t="shared" si="111"/>
        <v>4</v>
      </c>
      <c r="Z667" s="71">
        <f t="shared" si="111"/>
        <v>0</v>
      </c>
      <c r="AA667" s="370">
        <f t="shared" si="111"/>
        <v>23.5</v>
      </c>
      <c r="AB667" s="370">
        <f t="shared" si="111"/>
        <v>0</v>
      </c>
      <c r="AC667" s="4"/>
      <c r="AG667" s="370">
        <f>SUM(AG665:AG666)</f>
        <v>1</v>
      </c>
    </row>
    <row r="668" spans="2:47" hidden="1">
      <c r="B668" s="217" t="s">
        <v>67</v>
      </c>
      <c r="C668" s="207">
        <f>C669+C670</f>
        <v>134</v>
      </c>
      <c r="D668" s="207"/>
      <c r="E668" s="209"/>
      <c r="F668" s="209"/>
      <c r="G668" s="207"/>
      <c r="H668" s="209"/>
      <c r="I668" s="209"/>
      <c r="J668" s="209"/>
      <c r="K668" s="209"/>
      <c r="L668" s="207"/>
      <c r="M668" s="207"/>
      <c r="N668" s="207"/>
      <c r="O668" s="207"/>
      <c r="P668" s="209"/>
      <c r="Q668" s="207"/>
      <c r="R668" s="207"/>
      <c r="S668" s="207"/>
      <c r="T668" s="207"/>
      <c r="U668" s="209"/>
      <c r="V668" s="207"/>
      <c r="W668" s="207"/>
      <c r="X668" s="207"/>
      <c r="Y668" s="210"/>
      <c r="Z668" s="209"/>
      <c r="AA668" s="211"/>
      <c r="AB668" s="209"/>
      <c r="AC668" s="211"/>
      <c r="AD668" s="211"/>
      <c r="AE668" s="211"/>
      <c r="AF668" s="211"/>
      <c r="AG668" s="211"/>
    </row>
    <row r="669" spans="2:47" hidden="1">
      <c r="B669" s="238" t="s">
        <v>68</v>
      </c>
      <c r="C669" s="239">
        <f>11*5*2</f>
        <v>110</v>
      </c>
      <c r="D669" s="207"/>
      <c r="E669" s="209"/>
      <c r="F669" s="209"/>
      <c r="G669" s="207"/>
      <c r="H669" s="209"/>
      <c r="I669" s="209"/>
      <c r="J669" s="209"/>
      <c r="K669" s="209"/>
      <c r="L669" s="207"/>
      <c r="M669" s="207"/>
      <c r="N669" s="207"/>
      <c r="O669" s="207"/>
      <c r="P669" s="209"/>
      <c r="Q669" s="207"/>
      <c r="R669" s="207"/>
      <c r="S669" s="207"/>
      <c r="T669" s="207"/>
      <c r="U669" s="209"/>
      <c r="V669" s="207"/>
      <c r="W669" s="207"/>
      <c r="X669" s="207"/>
      <c r="Y669" s="210"/>
      <c r="Z669" s="209"/>
      <c r="AA669" s="211"/>
      <c r="AB669" s="209"/>
      <c r="AC669" s="211"/>
      <c r="AD669" s="211"/>
      <c r="AE669" s="211"/>
      <c r="AF669" s="211"/>
      <c r="AG669" s="211"/>
    </row>
    <row r="670" spans="2:47" hidden="1">
      <c r="B670" s="238" t="s">
        <v>69</v>
      </c>
      <c r="C670" s="239">
        <f>2+4*5+2</f>
        <v>24</v>
      </c>
      <c r="D670" s="207"/>
      <c r="E670" s="209"/>
      <c r="F670" s="209"/>
      <c r="G670" s="207"/>
      <c r="H670" s="209"/>
      <c r="I670" s="209"/>
      <c r="J670" s="209"/>
      <c r="K670" s="209"/>
      <c r="L670" s="207"/>
      <c r="M670" s="207"/>
      <c r="N670" s="207"/>
      <c r="O670" s="207"/>
      <c r="P670" s="209"/>
      <c r="Q670" s="207"/>
      <c r="R670" s="207"/>
      <c r="S670" s="207"/>
      <c r="T670" s="207"/>
      <c r="U670" s="209"/>
      <c r="V670" s="207"/>
      <c r="W670" s="207"/>
      <c r="X670" s="207"/>
      <c r="Y670" s="210"/>
      <c r="Z670" s="209"/>
      <c r="AA670" s="211"/>
      <c r="AB670" s="209"/>
      <c r="AC670" s="211"/>
      <c r="AD670" s="211"/>
      <c r="AE670" s="211"/>
      <c r="AF670" s="211"/>
      <c r="AG670" s="211"/>
    </row>
    <row r="671" spans="2:47" hidden="1"/>
    <row r="672" spans="2:47" hidden="1">
      <c r="B672" s="229"/>
      <c r="C672" s="230"/>
      <c r="D672" s="230"/>
      <c r="E672" s="232"/>
      <c r="F672" s="232"/>
      <c r="G672" s="230"/>
      <c r="H672" s="232"/>
      <c r="I672" s="232"/>
      <c r="J672" s="232"/>
      <c r="K672" s="232"/>
      <c r="L672" s="230"/>
      <c r="M672" s="230"/>
      <c r="N672" s="230"/>
      <c r="O672" s="230"/>
      <c r="P672" s="232"/>
      <c r="Q672" s="230"/>
      <c r="R672" s="230"/>
      <c r="S672" s="230"/>
      <c r="T672" s="230"/>
      <c r="U672" s="232"/>
      <c r="V672" s="230"/>
      <c r="W672" s="230"/>
      <c r="X672" s="230"/>
      <c r="Y672" s="233"/>
      <c r="Z672" s="232"/>
      <c r="AA672" s="234"/>
      <c r="AB672" s="232"/>
      <c r="AC672" s="373"/>
      <c r="AD672" s="236"/>
      <c r="AE672" s="255"/>
      <c r="AF672" s="255"/>
      <c r="AG672" s="255"/>
      <c r="AH672" s="255"/>
      <c r="AJ672" s="255"/>
      <c r="AK672" s="255"/>
      <c r="AL672" s="255"/>
      <c r="AM672" s="255"/>
      <c r="AN672" s="255"/>
      <c r="AO672" s="255"/>
      <c r="AP672" s="255"/>
      <c r="AQ672" s="255"/>
      <c r="AR672" s="255"/>
      <c r="AS672" s="255"/>
      <c r="AT672" s="255"/>
      <c r="AU672" s="255"/>
    </row>
    <row r="673" spans="2:47" hidden="1">
      <c r="B673" s="180"/>
      <c r="E673" s="4"/>
      <c r="F673" s="4"/>
      <c r="G673" s="4"/>
      <c r="J673" s="4"/>
      <c r="K673" s="4"/>
      <c r="L673" s="4"/>
      <c r="O673" s="4"/>
      <c r="P673" s="4"/>
      <c r="T673" s="4"/>
      <c r="U673" s="4"/>
      <c r="Y673" s="4"/>
      <c r="Z673" s="4"/>
      <c r="AA673" s="4"/>
      <c r="AB673" s="4"/>
      <c r="AC673" s="4"/>
      <c r="AK673" s="180"/>
      <c r="AL673" s="180"/>
      <c r="AM673" s="180"/>
      <c r="AN673" s="180"/>
      <c r="AO673" s="180"/>
      <c r="AP673" s="180"/>
    </row>
    <row r="674" spans="2:47" hidden="1">
      <c r="B674" s="1518" t="s">
        <v>18</v>
      </c>
      <c r="C674" s="1519">
        <v>45425</v>
      </c>
      <c r="D674" s="1519"/>
      <c r="E674" s="1519"/>
      <c r="F674" s="1519"/>
      <c r="G674" s="365"/>
      <c r="H674" s="1519">
        <v>45426</v>
      </c>
      <c r="I674" s="1519"/>
      <c r="J674" s="1519"/>
      <c r="K674" s="1519"/>
      <c r="L674" s="365">
        <v>45343</v>
      </c>
      <c r="M674" s="1519">
        <v>45427</v>
      </c>
      <c r="N674" s="1519"/>
      <c r="O674" s="1519"/>
      <c r="P674" s="1519"/>
      <c r="Q674" s="365"/>
      <c r="R674" s="1519">
        <v>45428</v>
      </c>
      <c r="S674" s="1519"/>
      <c r="T674" s="1519"/>
      <c r="U674" s="1519"/>
      <c r="V674" s="365"/>
      <c r="W674" s="1519">
        <v>45429</v>
      </c>
      <c r="X674" s="1519"/>
      <c r="Y674" s="1519"/>
      <c r="Z674" s="1519"/>
      <c r="AA674" s="1517" t="s">
        <v>19</v>
      </c>
      <c r="AB674" s="1517" t="s">
        <v>20</v>
      </c>
      <c r="AC674" s="4"/>
      <c r="AD674" s="1519">
        <v>45430</v>
      </c>
      <c r="AE674" s="1519"/>
      <c r="AF674" s="1519"/>
      <c r="AG674" s="1517" t="s">
        <v>21</v>
      </c>
      <c r="AI674" s="368"/>
      <c r="AK674" s="194" t="s">
        <v>84</v>
      </c>
      <c r="AL674" s="366"/>
      <c r="AM674" s="366"/>
      <c r="AN674" s="366"/>
      <c r="AO674" s="366"/>
      <c r="AP674" s="366"/>
    </row>
    <row r="675" spans="2:47" hidden="1">
      <c r="B675" s="1518"/>
      <c r="C675" s="21" t="s">
        <v>23</v>
      </c>
      <c r="D675" s="21" t="s">
        <v>24</v>
      </c>
      <c r="E675" s="205" t="s">
        <v>25</v>
      </c>
      <c r="F675" s="18" t="s">
        <v>14</v>
      </c>
      <c r="G675" s="4"/>
      <c r="H675" s="21" t="s">
        <v>23</v>
      </c>
      <c r="I675" s="21" t="s">
        <v>24</v>
      </c>
      <c r="J675" s="18" t="s">
        <v>25</v>
      </c>
      <c r="K675" s="18" t="s">
        <v>14</v>
      </c>
      <c r="L675" s="4"/>
      <c r="M675" s="21" t="s">
        <v>23</v>
      </c>
      <c r="N675" s="21" t="s">
        <v>24</v>
      </c>
      <c r="O675" s="18" t="s">
        <v>25</v>
      </c>
      <c r="P675" s="18" t="s">
        <v>14</v>
      </c>
      <c r="R675" s="484" t="s">
        <v>23</v>
      </c>
      <c r="S675" s="21" t="s">
        <v>24</v>
      </c>
      <c r="T675" s="18" t="s">
        <v>25</v>
      </c>
      <c r="U675" s="18" t="s">
        <v>14</v>
      </c>
      <c r="W675" s="484" t="s">
        <v>23</v>
      </c>
      <c r="X675" s="21" t="s">
        <v>24</v>
      </c>
      <c r="Y675" s="18" t="s">
        <v>25</v>
      </c>
      <c r="Z675" s="18" t="s">
        <v>14</v>
      </c>
      <c r="AA675" s="1517"/>
      <c r="AB675" s="1517"/>
      <c r="AC675" s="4"/>
      <c r="AD675" s="21" t="s">
        <v>23</v>
      </c>
      <c r="AE675" s="21" t="s">
        <v>24</v>
      </c>
      <c r="AF675" s="18" t="s">
        <v>25</v>
      </c>
      <c r="AG675" s="1517"/>
      <c r="AI675" s="368"/>
      <c r="AJ675" s="367"/>
      <c r="AK675" s="494" t="s">
        <v>26</v>
      </c>
      <c r="AL675" s="471">
        <f>AA696</f>
        <v>592</v>
      </c>
      <c r="AM675" s="510">
        <v>38</v>
      </c>
      <c r="AN675" s="510">
        <f>AL675*AM675</f>
        <v>22496</v>
      </c>
      <c r="AQ675" s="367"/>
      <c r="AR675" s="367"/>
      <c r="AS675" s="367"/>
      <c r="AT675" s="367"/>
      <c r="AU675" s="367"/>
    </row>
    <row r="676" spans="2:47" hidden="1">
      <c r="B676" s="457" t="s">
        <v>264</v>
      </c>
      <c r="C676" s="441" t="s">
        <v>75</v>
      </c>
      <c r="D676" s="47">
        <v>0.25</v>
      </c>
      <c r="E676" s="319">
        <v>8</v>
      </c>
      <c r="F676" s="320"/>
      <c r="G676" s="4"/>
      <c r="H676" s="441" t="s">
        <v>75</v>
      </c>
      <c r="I676" s="47">
        <v>0.25</v>
      </c>
      <c r="J676" s="319">
        <v>8</v>
      </c>
      <c r="K676" s="320"/>
      <c r="L676" s="4"/>
      <c r="M676" s="47">
        <v>0</v>
      </c>
      <c r="N676" s="47">
        <v>0</v>
      </c>
      <c r="O676" s="319">
        <v>4</v>
      </c>
      <c r="P676" s="320"/>
      <c r="R676" s="47" t="s">
        <v>284</v>
      </c>
      <c r="S676" s="47">
        <v>0</v>
      </c>
      <c r="T676" s="319">
        <v>4</v>
      </c>
      <c r="U676" s="320"/>
      <c r="W676" s="47">
        <v>0</v>
      </c>
      <c r="X676" s="47">
        <v>0</v>
      </c>
      <c r="Y676" s="346">
        <v>0</v>
      </c>
      <c r="Z676" s="320"/>
      <c r="AA676" s="29">
        <f>(E676+J676+O676+T676+Y676)</f>
        <v>24</v>
      </c>
      <c r="AB676" s="298">
        <f>Z676+U676+P676+K676+F676</f>
        <v>0</v>
      </c>
      <c r="AC676" s="399"/>
      <c r="AD676" s="47" t="s">
        <v>29</v>
      </c>
      <c r="AE676" s="47" t="s">
        <v>29</v>
      </c>
      <c r="AF676" s="346"/>
      <c r="AG676" s="29">
        <f t="shared" ref="AG676:AG695" si="112">AF676</f>
        <v>0</v>
      </c>
      <c r="AH676" s="175"/>
      <c r="AJ676" s="401"/>
      <c r="AK676" s="494" t="s">
        <v>30</v>
      </c>
      <c r="AL676" s="471">
        <f>AB696</f>
        <v>3</v>
      </c>
      <c r="AM676" s="511">
        <v>57</v>
      </c>
      <c r="AN676" s="510">
        <f>AL676*AM676</f>
        <v>171</v>
      </c>
      <c r="AO676" s="405"/>
      <c r="AP676" s="405"/>
      <c r="AQ676" s="401"/>
      <c r="AR676" s="401"/>
      <c r="AS676" s="401"/>
      <c r="AT676" s="401"/>
      <c r="AU676" s="401"/>
    </row>
    <row r="677" spans="2:47" hidden="1">
      <c r="B677" s="457" t="s">
        <v>265</v>
      </c>
      <c r="C677" s="441" t="s">
        <v>75</v>
      </c>
      <c r="D677" s="47">
        <v>0.25</v>
      </c>
      <c r="E677" s="319">
        <v>8</v>
      </c>
      <c r="F677" s="320"/>
      <c r="G677" s="4"/>
      <c r="H677" s="441" t="s">
        <v>75</v>
      </c>
      <c r="I677" s="47">
        <v>0.25</v>
      </c>
      <c r="J677" s="319">
        <v>8</v>
      </c>
      <c r="K677" s="320"/>
      <c r="L677" s="4"/>
      <c r="M677" s="441" t="s">
        <v>75</v>
      </c>
      <c r="N677" s="47">
        <v>0.25</v>
      </c>
      <c r="O677" s="319">
        <v>8</v>
      </c>
      <c r="P677" s="320"/>
      <c r="R677" s="47" t="s">
        <v>285</v>
      </c>
      <c r="S677" s="47">
        <v>0</v>
      </c>
      <c r="T677" s="319">
        <v>4</v>
      </c>
      <c r="U677" s="320"/>
      <c r="W677" s="47" t="s">
        <v>285</v>
      </c>
      <c r="X677" s="47">
        <v>0</v>
      </c>
      <c r="Y677" s="346">
        <v>4</v>
      </c>
      <c r="Z677" s="320"/>
      <c r="AA677" s="344">
        <f>(E677+J677+O677+T677+Y677)</f>
        <v>32</v>
      </c>
      <c r="AB677" s="298">
        <f>Z677+U677+P677+K677+F677</f>
        <v>0</v>
      </c>
      <c r="AC677" s="175"/>
      <c r="AD677" s="47" t="s">
        <v>29</v>
      </c>
      <c r="AE677" s="47" t="s">
        <v>29</v>
      </c>
      <c r="AF677" s="346"/>
      <c r="AG677" s="344">
        <f t="shared" si="112"/>
        <v>0</v>
      </c>
      <c r="AH677" s="175"/>
      <c r="AI677" s="368"/>
      <c r="AK677" s="494" t="s">
        <v>32</v>
      </c>
      <c r="AL677" s="471">
        <f>AG696</f>
        <v>0</v>
      </c>
      <c r="AM677" s="510">
        <v>57</v>
      </c>
      <c r="AN677" s="510">
        <f>AL677*AM677</f>
        <v>0</v>
      </c>
    </row>
    <row r="678" spans="2:47" hidden="1">
      <c r="B678" s="517" t="s">
        <v>266</v>
      </c>
      <c r="C678" s="441" t="s">
        <v>75</v>
      </c>
      <c r="D678" s="47">
        <v>0.25</v>
      </c>
      <c r="E678" s="319">
        <v>8</v>
      </c>
      <c r="F678" s="320"/>
      <c r="G678" s="4"/>
      <c r="H678" s="441" t="s">
        <v>75</v>
      </c>
      <c r="I678" s="47">
        <v>0.25</v>
      </c>
      <c r="J678" s="319">
        <v>8</v>
      </c>
      <c r="K678" s="320"/>
      <c r="L678" s="4"/>
      <c r="M678" s="47">
        <v>0</v>
      </c>
      <c r="N678" s="47">
        <v>0</v>
      </c>
      <c r="O678" s="319">
        <v>0</v>
      </c>
      <c r="P678" s="320"/>
      <c r="R678" s="47">
        <v>0</v>
      </c>
      <c r="S678" s="47">
        <v>0</v>
      </c>
      <c r="T678" s="319">
        <v>0</v>
      </c>
      <c r="U678" s="320"/>
      <c r="W678" s="47" t="s">
        <v>114</v>
      </c>
      <c r="X678" s="47">
        <v>0</v>
      </c>
      <c r="Y678" s="346">
        <v>8</v>
      </c>
      <c r="Z678" s="320"/>
      <c r="AA678" s="344">
        <f>(E678+J678+O678+T678+Y678)</f>
        <v>24</v>
      </c>
      <c r="AB678" s="298">
        <f>Z678+U678+P678+K678+F678</f>
        <v>0</v>
      </c>
      <c r="AC678" s="4"/>
      <c r="AD678" s="47" t="s">
        <v>29</v>
      </c>
      <c r="AE678" s="47" t="s">
        <v>29</v>
      </c>
      <c r="AF678" s="346"/>
      <c r="AG678" s="29">
        <f t="shared" si="112"/>
        <v>0</v>
      </c>
      <c r="AJ678" s="367"/>
      <c r="AK678" s="494" t="s">
        <v>213</v>
      </c>
      <c r="AL678" s="471">
        <f>AA699</f>
        <v>23</v>
      </c>
      <c r="AM678" s="510">
        <v>50</v>
      </c>
      <c r="AN678" s="510">
        <f>AL678*AM678</f>
        <v>1150</v>
      </c>
      <c r="AQ678" s="367"/>
      <c r="AR678" s="367"/>
      <c r="AS678" s="367"/>
      <c r="AT678" s="367"/>
      <c r="AU678" s="367"/>
    </row>
    <row r="679" spans="2:47" hidden="1">
      <c r="B679" s="461" t="s">
        <v>268</v>
      </c>
      <c r="C679" s="441" t="s">
        <v>75</v>
      </c>
      <c r="D679" s="47">
        <v>0.25</v>
      </c>
      <c r="E679" s="319">
        <v>8</v>
      </c>
      <c r="F679" s="320"/>
      <c r="G679" s="4"/>
      <c r="H679" s="441" t="s">
        <v>75</v>
      </c>
      <c r="I679" s="47">
        <v>0.25</v>
      </c>
      <c r="J679" s="319">
        <v>8</v>
      </c>
      <c r="K679" s="320"/>
      <c r="L679" s="4"/>
      <c r="M679" s="441" t="s">
        <v>75</v>
      </c>
      <c r="N679" s="47">
        <v>0.25</v>
      </c>
      <c r="O679" s="319">
        <v>8</v>
      </c>
      <c r="P679" s="320"/>
      <c r="R679" s="47">
        <v>0.375</v>
      </c>
      <c r="S679" s="47">
        <v>0.25</v>
      </c>
      <c r="T679" s="319">
        <v>8</v>
      </c>
      <c r="U679" s="320"/>
      <c r="W679" s="47">
        <v>0.375</v>
      </c>
      <c r="X679" s="47">
        <v>0.25</v>
      </c>
      <c r="Y679" s="319">
        <v>8</v>
      </c>
      <c r="Z679" s="320"/>
      <c r="AA679" s="344">
        <f>(E679+J679+O679+T679+Y679)</f>
        <v>40</v>
      </c>
      <c r="AB679" s="298">
        <f>Z679+U679+P679+K679+F679</f>
        <v>0</v>
      </c>
      <c r="AC679" s="4"/>
      <c r="AD679" s="47" t="s">
        <v>29</v>
      </c>
      <c r="AE679" s="47" t="s">
        <v>29</v>
      </c>
      <c r="AF679" s="346"/>
      <c r="AG679" s="29">
        <f t="shared" si="112"/>
        <v>0</v>
      </c>
      <c r="AK679" s="494" t="s">
        <v>36</v>
      </c>
      <c r="AL679" s="471">
        <f>AB699</f>
        <v>1</v>
      </c>
      <c r="AM679" s="510">
        <v>75</v>
      </c>
      <c r="AN679" s="510">
        <f>AL680*AM679</f>
        <v>0</v>
      </c>
    </row>
    <row r="680" spans="2:47" hidden="1">
      <c r="B680" s="457" t="s">
        <v>269</v>
      </c>
      <c r="C680" s="441" t="s">
        <v>75</v>
      </c>
      <c r="D680" s="47">
        <v>0.25</v>
      </c>
      <c r="E680" s="319">
        <v>8</v>
      </c>
      <c r="F680" s="320"/>
      <c r="G680" s="4"/>
      <c r="H680" s="441" t="s">
        <v>75</v>
      </c>
      <c r="I680" s="47">
        <v>0.25</v>
      </c>
      <c r="J680" s="319">
        <v>8</v>
      </c>
      <c r="K680" s="320"/>
      <c r="L680" s="4"/>
      <c r="M680" s="441" t="s">
        <v>75</v>
      </c>
      <c r="N680" s="47">
        <v>0.25</v>
      </c>
      <c r="O680" s="319">
        <v>8</v>
      </c>
      <c r="P680" s="320"/>
      <c r="R680" s="47" t="s">
        <v>286</v>
      </c>
      <c r="S680" s="47">
        <v>0</v>
      </c>
      <c r="T680" s="346">
        <v>4</v>
      </c>
      <c r="U680" s="320"/>
      <c r="W680" s="47" t="s">
        <v>286</v>
      </c>
      <c r="X680" s="47">
        <v>0</v>
      </c>
      <c r="Y680" s="346">
        <v>4</v>
      </c>
      <c r="Z680" s="320"/>
      <c r="AA680" s="29">
        <f>(E679+J680+O680+T680+Y680)</f>
        <v>32</v>
      </c>
      <c r="AB680" s="298">
        <f>Z680+U680+P680+K680+F679</f>
        <v>0</v>
      </c>
      <c r="AC680" s="4"/>
      <c r="AD680" s="47" t="s">
        <v>29</v>
      </c>
      <c r="AE680" s="47" t="s">
        <v>29</v>
      </c>
      <c r="AF680" s="346"/>
      <c r="AG680" s="29">
        <f t="shared" si="112"/>
        <v>0</v>
      </c>
      <c r="AK680" s="494" t="s">
        <v>38</v>
      </c>
      <c r="AL680" s="471">
        <f>AG699</f>
        <v>0</v>
      </c>
      <c r="AM680" s="512">
        <v>45</v>
      </c>
      <c r="AN680" s="512">
        <f>AL681*AM680</f>
        <v>3780</v>
      </c>
    </row>
    <row r="681" spans="2:47" hidden="1">
      <c r="B681" s="164" t="s">
        <v>270</v>
      </c>
      <c r="C681" s="441" t="s">
        <v>75</v>
      </c>
      <c r="D681" s="47">
        <v>0.25</v>
      </c>
      <c r="E681" s="319">
        <v>8</v>
      </c>
      <c r="F681" s="320"/>
      <c r="G681" s="4"/>
      <c r="H681" s="441" t="s">
        <v>75</v>
      </c>
      <c r="I681" s="47">
        <v>0.25</v>
      </c>
      <c r="J681" s="319">
        <v>8</v>
      </c>
      <c r="K681" s="320"/>
      <c r="L681" s="4"/>
      <c r="M681" s="441" t="s">
        <v>287</v>
      </c>
      <c r="N681" s="47">
        <v>0</v>
      </c>
      <c r="O681" s="319">
        <v>4</v>
      </c>
      <c r="P681" s="320"/>
      <c r="R681" s="47" t="s">
        <v>287</v>
      </c>
      <c r="S681" s="47">
        <v>0</v>
      </c>
      <c r="T681" s="319">
        <v>4</v>
      </c>
      <c r="U681" s="320"/>
      <c r="W681" s="47" t="s">
        <v>287</v>
      </c>
      <c r="X681" s="47">
        <v>0</v>
      </c>
      <c r="Y681" s="346">
        <v>4</v>
      </c>
      <c r="Z681" s="320"/>
      <c r="AA681" s="29">
        <f>(E680+J681+O681+T681+Y681)</f>
        <v>28</v>
      </c>
      <c r="AB681" s="298">
        <f>Z681+U681+P681+K681+F680</f>
        <v>0</v>
      </c>
      <c r="AC681" s="4"/>
      <c r="AD681" s="47" t="s">
        <v>29</v>
      </c>
      <c r="AE681" s="47" t="s">
        <v>29</v>
      </c>
      <c r="AF681" s="346"/>
      <c r="AG681" s="29">
        <f t="shared" si="112"/>
        <v>0</v>
      </c>
      <c r="AK681" s="494" t="s">
        <v>41</v>
      </c>
      <c r="AL681" s="471">
        <f>C700</f>
        <v>84</v>
      </c>
      <c r="AN681" s="510">
        <f>SUM(AN675:AN680)</f>
        <v>27597</v>
      </c>
    </row>
    <row r="682" spans="2:47" hidden="1">
      <c r="B682" s="517" t="s">
        <v>271</v>
      </c>
      <c r="C682" s="441" t="s">
        <v>75</v>
      </c>
      <c r="D682" s="47">
        <v>0.25</v>
      </c>
      <c r="E682" s="319">
        <v>8</v>
      </c>
      <c r="F682" s="320"/>
      <c r="G682" s="4"/>
      <c r="H682" s="441" t="s">
        <v>75</v>
      </c>
      <c r="I682" s="47">
        <v>0.25</v>
      </c>
      <c r="J682" s="319">
        <v>8</v>
      </c>
      <c r="K682" s="320"/>
      <c r="L682" s="4"/>
      <c r="M682" s="47" t="s">
        <v>114</v>
      </c>
      <c r="N682" s="47">
        <v>0</v>
      </c>
      <c r="O682" s="319">
        <v>0</v>
      </c>
      <c r="P682" s="320"/>
      <c r="R682" s="47" t="s">
        <v>114</v>
      </c>
      <c r="S682" s="47">
        <v>0</v>
      </c>
      <c r="T682" s="346">
        <v>0</v>
      </c>
      <c r="U682" s="320"/>
      <c r="W682" s="47" t="s">
        <v>114</v>
      </c>
      <c r="X682" s="47">
        <v>0</v>
      </c>
      <c r="Y682" s="346">
        <v>8</v>
      </c>
      <c r="Z682" s="320"/>
      <c r="AA682" s="29">
        <f>(E681+J682+O682+T682+Y682)</f>
        <v>24</v>
      </c>
      <c r="AB682" s="298">
        <f>Z682+U682+P682+K682+F681</f>
        <v>0</v>
      </c>
      <c r="AC682" s="4"/>
      <c r="AD682" s="47" t="s">
        <v>29</v>
      </c>
      <c r="AE682" s="47" t="s">
        <v>29</v>
      </c>
      <c r="AF682" s="346"/>
      <c r="AG682" s="29">
        <f t="shared" si="112"/>
        <v>0</v>
      </c>
    </row>
    <row r="683" spans="2:47" hidden="1">
      <c r="B683" s="461" t="s">
        <v>272</v>
      </c>
      <c r="C683" s="441" t="s">
        <v>75</v>
      </c>
      <c r="D683" s="47">
        <v>0.25</v>
      </c>
      <c r="E683" s="319">
        <v>8</v>
      </c>
      <c r="F683" s="320"/>
      <c r="G683" s="4"/>
      <c r="H683" s="441" t="s">
        <v>75</v>
      </c>
      <c r="I683" s="47">
        <v>0.25</v>
      </c>
      <c r="J683" s="319">
        <v>8</v>
      </c>
      <c r="K683" s="320"/>
      <c r="L683" s="4"/>
      <c r="M683" s="441" t="s">
        <v>75</v>
      </c>
      <c r="N683" s="47">
        <v>0.25</v>
      </c>
      <c r="O683" s="319">
        <v>8</v>
      </c>
      <c r="P683" s="320"/>
      <c r="R683" s="47">
        <v>0.375</v>
      </c>
      <c r="S683" s="47">
        <v>0.25</v>
      </c>
      <c r="T683" s="319">
        <v>8</v>
      </c>
      <c r="U683" s="320"/>
      <c r="W683" s="47">
        <v>0.375</v>
      </c>
      <c r="X683" s="47">
        <v>0.25</v>
      </c>
      <c r="Y683" s="319">
        <v>8</v>
      </c>
      <c r="Z683" s="320"/>
      <c r="AA683" s="29">
        <f t="shared" ref="AA683:AA694" si="113">(E683+J683+O683+T683+Y683)</f>
        <v>40</v>
      </c>
      <c r="AB683" s="298">
        <f t="shared" ref="AB683:AB695" si="114">Z683+U683+P683+K683+F683</f>
        <v>0</v>
      </c>
      <c r="AC683" s="4"/>
      <c r="AD683" s="47" t="s">
        <v>29</v>
      </c>
      <c r="AE683" s="47" t="s">
        <v>29</v>
      </c>
      <c r="AF683" s="346"/>
      <c r="AG683" s="29">
        <f t="shared" si="112"/>
        <v>0</v>
      </c>
    </row>
    <row r="684" spans="2:47" hidden="1">
      <c r="B684" s="509" t="s">
        <v>273</v>
      </c>
      <c r="C684" s="441" t="s">
        <v>75</v>
      </c>
      <c r="D684" s="47">
        <v>0.25</v>
      </c>
      <c r="E684" s="319">
        <v>8</v>
      </c>
      <c r="F684" s="320"/>
      <c r="G684" s="4"/>
      <c r="H684" s="441" t="s">
        <v>75</v>
      </c>
      <c r="I684" s="47">
        <v>0.25</v>
      </c>
      <c r="J684" s="319">
        <v>8</v>
      </c>
      <c r="K684" s="320"/>
      <c r="L684" s="4"/>
      <c r="M684" s="441" t="s">
        <v>75</v>
      </c>
      <c r="N684" s="47">
        <v>0.25</v>
      </c>
      <c r="O684" s="319">
        <v>8</v>
      </c>
      <c r="P684" s="320"/>
      <c r="R684" s="47">
        <v>0.375</v>
      </c>
      <c r="S684" s="47">
        <v>0.25</v>
      </c>
      <c r="T684" s="319">
        <v>8</v>
      </c>
      <c r="U684" s="320"/>
      <c r="W684" s="47">
        <v>0.375</v>
      </c>
      <c r="X684" s="47">
        <v>0.25</v>
      </c>
      <c r="Y684" s="319">
        <v>8</v>
      </c>
      <c r="Z684" s="320"/>
      <c r="AA684" s="29">
        <f t="shared" si="113"/>
        <v>40</v>
      </c>
      <c r="AB684" s="298">
        <f t="shared" si="114"/>
        <v>0</v>
      </c>
      <c r="AC684" s="4"/>
      <c r="AD684" s="47" t="s">
        <v>29</v>
      </c>
      <c r="AE684" s="47" t="s">
        <v>29</v>
      </c>
      <c r="AF684" s="346"/>
      <c r="AG684" s="29">
        <f t="shared" si="112"/>
        <v>0</v>
      </c>
    </row>
    <row r="685" spans="2:47" hidden="1">
      <c r="B685" s="458" t="s">
        <v>274</v>
      </c>
      <c r="C685" s="441" t="s">
        <v>75</v>
      </c>
      <c r="D685" s="47">
        <v>0.25</v>
      </c>
      <c r="E685" s="319">
        <v>8</v>
      </c>
      <c r="F685" s="320"/>
      <c r="G685" s="4"/>
      <c r="H685" s="441" t="s">
        <v>75</v>
      </c>
      <c r="I685" s="47">
        <v>0.25</v>
      </c>
      <c r="J685" s="319">
        <v>8</v>
      </c>
      <c r="K685" s="320"/>
      <c r="L685" s="4"/>
      <c r="M685" s="441" t="s">
        <v>287</v>
      </c>
      <c r="N685" s="47">
        <v>0</v>
      </c>
      <c r="O685" s="319">
        <v>4</v>
      </c>
      <c r="P685" s="320"/>
      <c r="R685" s="47" t="s">
        <v>287</v>
      </c>
      <c r="S685" s="47">
        <v>0</v>
      </c>
      <c r="T685" s="346">
        <v>4</v>
      </c>
      <c r="U685" s="320"/>
      <c r="W685" s="47" t="s">
        <v>287</v>
      </c>
      <c r="X685" s="47">
        <v>0</v>
      </c>
      <c r="Y685" s="346">
        <v>4</v>
      </c>
      <c r="Z685" s="320"/>
      <c r="AA685" s="29">
        <f t="shared" si="113"/>
        <v>28</v>
      </c>
      <c r="AB685" s="298">
        <f t="shared" si="114"/>
        <v>0</v>
      </c>
      <c r="AC685" s="4"/>
      <c r="AD685" s="47" t="s">
        <v>29</v>
      </c>
      <c r="AE685" s="47" t="s">
        <v>29</v>
      </c>
      <c r="AF685" s="346"/>
      <c r="AG685" s="29">
        <f t="shared" si="112"/>
        <v>0</v>
      </c>
    </row>
    <row r="686" spans="2:47" hidden="1">
      <c r="B686" s="518" t="s">
        <v>275</v>
      </c>
      <c r="C686" s="441" t="s">
        <v>75</v>
      </c>
      <c r="D686" s="47">
        <v>0.25</v>
      </c>
      <c r="E686" s="319">
        <v>8</v>
      </c>
      <c r="F686" s="320"/>
      <c r="G686" s="4"/>
      <c r="H686" s="441" t="s">
        <v>75</v>
      </c>
      <c r="I686" s="47">
        <v>0.25</v>
      </c>
      <c r="J686" s="319">
        <v>8</v>
      </c>
      <c r="K686" s="320"/>
      <c r="L686" s="4"/>
      <c r="M686" s="47">
        <v>0</v>
      </c>
      <c r="N686" s="47">
        <v>0</v>
      </c>
      <c r="O686" s="319">
        <v>4</v>
      </c>
      <c r="P686" s="320"/>
      <c r="R686" s="47">
        <v>0</v>
      </c>
      <c r="S686" s="47">
        <v>0</v>
      </c>
      <c r="T686" s="346">
        <v>0</v>
      </c>
      <c r="U686" s="320"/>
      <c r="W686" s="47" t="s">
        <v>114</v>
      </c>
      <c r="X686" s="47">
        <v>0</v>
      </c>
      <c r="Y686" s="346">
        <v>8</v>
      </c>
      <c r="Z686" s="320"/>
      <c r="AA686" s="29">
        <f t="shared" si="113"/>
        <v>28</v>
      </c>
      <c r="AB686" s="298">
        <f t="shared" si="114"/>
        <v>0</v>
      </c>
      <c r="AC686" s="4"/>
      <c r="AD686" s="47" t="s">
        <v>29</v>
      </c>
      <c r="AE686" s="47" t="s">
        <v>29</v>
      </c>
      <c r="AF686" s="19"/>
      <c r="AG686" s="29">
        <f t="shared" si="112"/>
        <v>0</v>
      </c>
    </row>
    <row r="687" spans="2:47" hidden="1">
      <c r="B687" s="461" t="s">
        <v>276</v>
      </c>
      <c r="C687" s="441" t="s">
        <v>75</v>
      </c>
      <c r="D687" s="47">
        <v>0.25</v>
      </c>
      <c r="E687" s="319">
        <v>8</v>
      </c>
      <c r="F687" s="320"/>
      <c r="G687" s="4"/>
      <c r="H687" s="441" t="s">
        <v>75</v>
      </c>
      <c r="I687" s="47">
        <v>0.25</v>
      </c>
      <c r="J687" s="319">
        <v>8</v>
      </c>
      <c r="K687" s="320"/>
      <c r="L687" s="4"/>
      <c r="M687" s="441" t="s">
        <v>154</v>
      </c>
      <c r="N687" s="47">
        <v>0</v>
      </c>
      <c r="O687" s="319">
        <v>0</v>
      </c>
      <c r="P687" s="320"/>
      <c r="R687" s="47">
        <v>0</v>
      </c>
      <c r="S687" s="47">
        <v>0</v>
      </c>
      <c r="T687" s="319">
        <v>0</v>
      </c>
      <c r="U687" s="320"/>
      <c r="W687" s="47">
        <v>0.375</v>
      </c>
      <c r="X687" s="47">
        <v>0.25</v>
      </c>
      <c r="Y687" s="319">
        <v>8</v>
      </c>
      <c r="Z687" s="320"/>
      <c r="AA687" s="29">
        <f t="shared" si="113"/>
        <v>24</v>
      </c>
      <c r="AB687" s="298">
        <f t="shared" si="114"/>
        <v>0</v>
      </c>
      <c r="AC687" s="4"/>
      <c r="AD687" s="47" t="s">
        <v>29</v>
      </c>
      <c r="AE687" s="47" t="s">
        <v>29</v>
      </c>
      <c r="AF687" s="19"/>
      <c r="AG687" s="29">
        <f t="shared" si="112"/>
        <v>0</v>
      </c>
    </row>
    <row r="688" spans="2:47" hidden="1">
      <c r="B688" s="516" t="s">
        <v>277</v>
      </c>
      <c r="C688" s="441" t="s">
        <v>75</v>
      </c>
      <c r="D688" s="47">
        <v>0.25</v>
      </c>
      <c r="E688" s="319">
        <v>8</v>
      </c>
      <c r="F688" s="320"/>
      <c r="G688" s="4"/>
      <c r="H688" s="441" t="s">
        <v>75</v>
      </c>
      <c r="I688" s="47">
        <v>0.25</v>
      </c>
      <c r="J688" s="319">
        <v>8</v>
      </c>
      <c r="K688" s="320"/>
      <c r="L688" s="4"/>
      <c r="M688" s="47" t="s">
        <v>114</v>
      </c>
      <c r="N688" s="47">
        <v>0</v>
      </c>
      <c r="O688" s="319">
        <v>0</v>
      </c>
      <c r="P688" s="320"/>
      <c r="R688" s="47">
        <v>0</v>
      </c>
      <c r="S688" s="47">
        <v>0</v>
      </c>
      <c r="T688" s="346">
        <v>0</v>
      </c>
      <c r="U688" s="320"/>
      <c r="W688" s="47" t="s">
        <v>114</v>
      </c>
      <c r="X688" s="47">
        <v>0</v>
      </c>
      <c r="Y688" s="346">
        <v>8</v>
      </c>
      <c r="Z688" s="320"/>
      <c r="AA688" s="29">
        <f t="shared" si="113"/>
        <v>24</v>
      </c>
      <c r="AB688" s="298">
        <f t="shared" si="114"/>
        <v>0</v>
      </c>
      <c r="AC688" s="4"/>
      <c r="AD688" s="47" t="s">
        <v>29</v>
      </c>
      <c r="AE688" s="47" t="s">
        <v>29</v>
      </c>
      <c r="AF688" s="19"/>
      <c r="AG688" s="29">
        <f t="shared" si="112"/>
        <v>0</v>
      </c>
    </row>
    <row r="689" spans="2:47" hidden="1">
      <c r="B689" s="457" t="s">
        <v>278</v>
      </c>
      <c r="C689" s="441" t="s">
        <v>75</v>
      </c>
      <c r="D689" s="47">
        <v>0.25</v>
      </c>
      <c r="E689" s="319">
        <v>8</v>
      </c>
      <c r="F689" s="320"/>
      <c r="G689" s="4"/>
      <c r="H689" s="441" t="s">
        <v>75</v>
      </c>
      <c r="I689" s="47">
        <v>0.25</v>
      </c>
      <c r="J689" s="319">
        <v>8</v>
      </c>
      <c r="K689" s="320">
        <v>0.5</v>
      </c>
      <c r="L689" s="4"/>
      <c r="M689" s="441" t="s">
        <v>284</v>
      </c>
      <c r="N689" s="47">
        <v>0</v>
      </c>
      <c r="O689" s="319">
        <v>0</v>
      </c>
      <c r="P689" s="320"/>
      <c r="R689" s="47" t="s">
        <v>284</v>
      </c>
      <c r="S689" s="47">
        <v>0</v>
      </c>
      <c r="T689" s="346">
        <v>4</v>
      </c>
      <c r="U689" s="320"/>
      <c r="W689" s="47" t="s">
        <v>284</v>
      </c>
      <c r="X689" s="47">
        <v>0</v>
      </c>
      <c r="Y689" s="346">
        <v>4</v>
      </c>
      <c r="Z689" s="320"/>
      <c r="AA689" s="29">
        <f t="shared" si="113"/>
        <v>24</v>
      </c>
      <c r="AB689" s="298">
        <f t="shared" si="114"/>
        <v>0.5</v>
      </c>
      <c r="AC689" s="4"/>
      <c r="AD689" s="47" t="s">
        <v>29</v>
      </c>
      <c r="AE689" s="47" t="s">
        <v>29</v>
      </c>
      <c r="AF689" s="19"/>
      <c r="AG689" s="29">
        <f t="shared" si="112"/>
        <v>0</v>
      </c>
    </row>
    <row r="690" spans="2:47" hidden="1">
      <c r="B690" s="166" t="s">
        <v>279</v>
      </c>
      <c r="C690" s="16" t="s">
        <v>29</v>
      </c>
      <c r="D690" s="16" t="s">
        <v>29</v>
      </c>
      <c r="E690" s="319">
        <v>8</v>
      </c>
      <c r="F690" s="320"/>
      <c r="G690" s="4"/>
      <c r="H690" s="16" t="s">
        <v>29</v>
      </c>
      <c r="I690" s="16" t="s">
        <v>29</v>
      </c>
      <c r="J690" s="319">
        <v>8</v>
      </c>
      <c r="K690" s="320"/>
      <c r="L690" s="4"/>
      <c r="M690" s="16" t="s">
        <v>29</v>
      </c>
      <c r="N690" s="16" t="s">
        <v>29</v>
      </c>
      <c r="O690" s="319">
        <v>8</v>
      </c>
      <c r="P690" s="320"/>
      <c r="R690" s="16" t="s">
        <v>29</v>
      </c>
      <c r="S690" s="16" t="s">
        <v>29</v>
      </c>
      <c r="T690" s="319">
        <v>8</v>
      </c>
      <c r="U690" s="320"/>
      <c r="W690" s="16" t="s">
        <v>29</v>
      </c>
      <c r="X690" s="16" t="s">
        <v>29</v>
      </c>
      <c r="Y690" s="319">
        <v>8</v>
      </c>
      <c r="Z690" s="320"/>
      <c r="AA690" s="29">
        <f t="shared" si="113"/>
        <v>40</v>
      </c>
      <c r="AB690" s="298">
        <f t="shared" si="114"/>
        <v>0</v>
      </c>
      <c r="AC690" s="4"/>
      <c r="AD690" s="47" t="s">
        <v>29</v>
      </c>
      <c r="AE690" s="47" t="s">
        <v>29</v>
      </c>
      <c r="AF690" s="19"/>
      <c r="AG690" s="29">
        <f t="shared" si="112"/>
        <v>0</v>
      </c>
    </row>
    <row r="691" spans="2:47" hidden="1">
      <c r="B691" s="166" t="s">
        <v>280</v>
      </c>
      <c r="C691" s="16" t="s">
        <v>29</v>
      </c>
      <c r="D691" s="16" t="s">
        <v>29</v>
      </c>
      <c r="E691" s="319">
        <v>8</v>
      </c>
      <c r="F691" s="320">
        <v>0.5</v>
      </c>
      <c r="G691" s="4"/>
      <c r="H691" s="16" t="s">
        <v>29</v>
      </c>
      <c r="I691" s="16" t="s">
        <v>29</v>
      </c>
      <c r="J691" s="319">
        <v>8</v>
      </c>
      <c r="K691" s="320">
        <v>0.5</v>
      </c>
      <c r="L691" s="4"/>
      <c r="M691" s="16" t="s">
        <v>29</v>
      </c>
      <c r="N691" s="16" t="s">
        <v>29</v>
      </c>
      <c r="O691" s="319">
        <v>8</v>
      </c>
      <c r="P691" s="320">
        <v>0.5</v>
      </c>
      <c r="R691" s="16" t="s">
        <v>29</v>
      </c>
      <c r="S691" s="16" t="s">
        <v>29</v>
      </c>
      <c r="T691" s="319">
        <v>8</v>
      </c>
      <c r="U691" s="320">
        <v>0.5</v>
      </c>
      <c r="W691" s="16" t="s">
        <v>29</v>
      </c>
      <c r="X691" s="16" t="s">
        <v>29</v>
      </c>
      <c r="Y691" s="319">
        <v>8</v>
      </c>
      <c r="Z691" s="320">
        <v>0.5</v>
      </c>
      <c r="AA691" s="29">
        <f t="shared" si="113"/>
        <v>40</v>
      </c>
      <c r="AB691" s="298">
        <f t="shared" si="114"/>
        <v>2.5</v>
      </c>
      <c r="AC691" s="4"/>
      <c r="AD691" s="47" t="s">
        <v>29</v>
      </c>
      <c r="AE691" s="47" t="s">
        <v>29</v>
      </c>
      <c r="AF691" s="19"/>
      <c r="AG691" s="29">
        <f t="shared" si="112"/>
        <v>0</v>
      </c>
    </row>
    <row r="692" spans="2:47" hidden="1">
      <c r="B692" s="166" t="s">
        <v>281</v>
      </c>
      <c r="C692" s="16" t="s">
        <v>29</v>
      </c>
      <c r="D692" s="16" t="s">
        <v>29</v>
      </c>
      <c r="E692" s="319">
        <v>8</v>
      </c>
      <c r="F692" s="320"/>
      <c r="G692" s="4"/>
      <c r="H692" s="16" t="s">
        <v>29</v>
      </c>
      <c r="I692" s="16" t="s">
        <v>29</v>
      </c>
      <c r="J692" s="319">
        <v>8</v>
      </c>
      <c r="K692" s="320"/>
      <c r="L692" s="4"/>
      <c r="M692" s="16" t="s">
        <v>29</v>
      </c>
      <c r="N692" s="16" t="s">
        <v>29</v>
      </c>
      <c r="O692" s="319">
        <v>8</v>
      </c>
      <c r="P692" s="320"/>
      <c r="R692" s="16" t="s">
        <v>29</v>
      </c>
      <c r="S692" s="16" t="s">
        <v>29</v>
      </c>
      <c r="T692" s="319">
        <v>8</v>
      </c>
      <c r="U692" s="320"/>
      <c r="W692" s="16" t="s">
        <v>29</v>
      </c>
      <c r="X692" s="16" t="s">
        <v>29</v>
      </c>
      <c r="Y692" s="319">
        <v>8</v>
      </c>
      <c r="Z692" s="320"/>
      <c r="AA692" s="29">
        <f t="shared" si="113"/>
        <v>40</v>
      </c>
      <c r="AB692" s="298">
        <f t="shared" si="114"/>
        <v>0</v>
      </c>
      <c r="AC692" s="4"/>
      <c r="AD692" s="47" t="s">
        <v>29</v>
      </c>
      <c r="AE692" s="47" t="s">
        <v>29</v>
      </c>
      <c r="AF692" s="19"/>
      <c r="AG692" s="29">
        <f t="shared" si="112"/>
        <v>0</v>
      </c>
    </row>
    <row r="693" spans="2:47" hidden="1">
      <c r="B693" s="166" t="s">
        <v>282</v>
      </c>
      <c r="C693" s="16" t="s">
        <v>29</v>
      </c>
      <c r="D693" s="16" t="s">
        <v>29</v>
      </c>
      <c r="E693" s="319"/>
      <c r="F693" s="320"/>
      <c r="G693" s="4"/>
      <c r="H693" s="16" t="s">
        <v>29</v>
      </c>
      <c r="I693" s="16" t="s">
        <v>29</v>
      </c>
      <c r="J693" s="319">
        <v>0</v>
      </c>
      <c r="K693" s="320"/>
      <c r="L693" s="4"/>
      <c r="M693" s="16" t="s">
        <v>29</v>
      </c>
      <c r="N693" s="16" t="s">
        <v>29</v>
      </c>
      <c r="O693" s="319">
        <v>0</v>
      </c>
      <c r="P693" s="320"/>
      <c r="R693" s="16" t="s">
        <v>29</v>
      </c>
      <c r="S693" s="16" t="s">
        <v>29</v>
      </c>
      <c r="T693" s="319">
        <v>0</v>
      </c>
      <c r="U693" s="320"/>
      <c r="W693" s="16" t="s">
        <v>29</v>
      </c>
      <c r="X693" s="16" t="s">
        <v>29</v>
      </c>
      <c r="Y693" s="319">
        <v>0</v>
      </c>
      <c r="Z693" s="320"/>
      <c r="AA693" s="29">
        <f t="shared" si="113"/>
        <v>0</v>
      </c>
      <c r="AB693" s="298">
        <f t="shared" si="114"/>
        <v>0</v>
      </c>
      <c r="AC693" s="4"/>
      <c r="AD693" s="47" t="s">
        <v>29</v>
      </c>
      <c r="AE693" s="47" t="s">
        <v>29</v>
      </c>
      <c r="AF693" s="19"/>
      <c r="AG693" s="29">
        <f t="shared" si="112"/>
        <v>0</v>
      </c>
    </row>
    <row r="694" spans="2:47" hidden="1">
      <c r="B694" s="166" t="s">
        <v>283</v>
      </c>
      <c r="C694" s="16" t="s">
        <v>29</v>
      </c>
      <c r="D694" s="16" t="s">
        <v>29</v>
      </c>
      <c r="E694" s="319">
        <v>8</v>
      </c>
      <c r="F694" s="320"/>
      <c r="G694" s="4"/>
      <c r="H694" s="16" t="s">
        <v>29</v>
      </c>
      <c r="I694" s="16" t="s">
        <v>29</v>
      </c>
      <c r="J694" s="319">
        <v>8</v>
      </c>
      <c r="K694" s="320"/>
      <c r="L694" s="4"/>
      <c r="M694" s="16" t="s">
        <v>29</v>
      </c>
      <c r="N694" s="16" t="s">
        <v>29</v>
      </c>
      <c r="O694" s="319">
        <v>8</v>
      </c>
      <c r="P694" s="320"/>
      <c r="R694" s="16" t="s">
        <v>29</v>
      </c>
      <c r="S694" s="16" t="s">
        <v>29</v>
      </c>
      <c r="T694" s="319">
        <v>8</v>
      </c>
      <c r="U694" s="320"/>
      <c r="W694" s="16" t="s">
        <v>29</v>
      </c>
      <c r="X694" s="16" t="s">
        <v>29</v>
      </c>
      <c r="Y694" s="319">
        <v>8</v>
      </c>
      <c r="Z694" s="320"/>
      <c r="AA694" s="29">
        <f t="shared" si="113"/>
        <v>40</v>
      </c>
      <c r="AB694" s="298">
        <f t="shared" si="114"/>
        <v>0</v>
      </c>
      <c r="AC694" s="4"/>
      <c r="AD694" s="47" t="s">
        <v>29</v>
      </c>
      <c r="AE694" s="47" t="s">
        <v>29</v>
      </c>
      <c r="AF694" s="19"/>
      <c r="AG694" s="29">
        <f t="shared" si="112"/>
        <v>0</v>
      </c>
    </row>
    <row r="695" spans="2:47" hidden="1">
      <c r="B695" s="63" t="s">
        <v>63</v>
      </c>
      <c r="C695" s="16" t="s">
        <v>29</v>
      </c>
      <c r="D695" s="16" t="s">
        <v>29</v>
      </c>
      <c r="E695" s="319">
        <v>4</v>
      </c>
      <c r="F695" s="320"/>
      <c r="G695" s="438"/>
      <c r="H695" s="16" t="s">
        <v>29</v>
      </c>
      <c r="I695" s="16" t="s">
        <v>29</v>
      </c>
      <c r="J695" s="319">
        <v>4</v>
      </c>
      <c r="K695" s="320"/>
      <c r="L695" s="438"/>
      <c r="M695" s="16" t="s">
        <v>29</v>
      </c>
      <c r="N695" s="16" t="s">
        <v>29</v>
      </c>
      <c r="O695" s="319">
        <v>4</v>
      </c>
      <c r="P695" s="320"/>
      <c r="Q695" s="438"/>
      <c r="R695" s="16" t="s">
        <v>29</v>
      </c>
      <c r="S695" s="16" t="s">
        <v>29</v>
      </c>
      <c r="T695" s="319">
        <v>4</v>
      </c>
      <c r="U695" s="320"/>
      <c r="V695" s="438"/>
      <c r="W695" s="16" t="s">
        <v>29</v>
      </c>
      <c r="X695" s="16" t="s">
        <v>29</v>
      </c>
      <c r="Y695" s="319">
        <v>4</v>
      </c>
      <c r="Z695" s="320"/>
      <c r="AA695" s="28">
        <f>SUM(E695+J695+O695+T695+Y695)</f>
        <v>20</v>
      </c>
      <c r="AB695" s="298">
        <f t="shared" si="114"/>
        <v>0</v>
      </c>
      <c r="AC695" s="4"/>
      <c r="AD695" s="47" t="s">
        <v>29</v>
      </c>
      <c r="AE695" s="47" t="s">
        <v>29</v>
      </c>
      <c r="AF695" s="19"/>
      <c r="AG695" s="29">
        <f t="shared" si="112"/>
        <v>0</v>
      </c>
      <c r="AK695" s="407"/>
    </row>
    <row r="696" spans="2:47" hidden="1">
      <c r="B696" s="64" t="s">
        <v>61</v>
      </c>
      <c r="C696" s="31"/>
      <c r="D696" s="31"/>
      <c r="E696" s="439">
        <f>SUM(E676:E695)</f>
        <v>148</v>
      </c>
      <c r="F696" s="320">
        <f>SUM(F676:F694)</f>
        <v>0.5</v>
      </c>
      <c r="G696" s="31"/>
      <c r="H696" s="31"/>
      <c r="I696" s="31"/>
      <c r="J696" s="439">
        <f>SUM(J676:J695)</f>
        <v>148</v>
      </c>
      <c r="K696" s="320">
        <f>SUM(K676:K694)</f>
        <v>1</v>
      </c>
      <c r="L696" s="31"/>
      <c r="M696" s="31"/>
      <c r="N696" s="31"/>
      <c r="O696" s="439">
        <f>SUM(O676:O695)</f>
        <v>92</v>
      </c>
      <c r="P696" s="320">
        <f>SUM(P676:P694)</f>
        <v>0.5</v>
      </c>
      <c r="Q696" s="31"/>
      <c r="R696" s="31"/>
      <c r="S696" s="31"/>
      <c r="T696" s="439">
        <f>SUM(T676:T695)</f>
        <v>84</v>
      </c>
      <c r="U696" s="320">
        <f>SUM(U676:U694)</f>
        <v>0.5</v>
      </c>
      <c r="V696" s="31"/>
      <c r="W696" s="31"/>
      <c r="X696" s="31"/>
      <c r="Y696" s="439">
        <f>SUM(Y676:Y695)</f>
        <v>120</v>
      </c>
      <c r="Z696" s="320">
        <f>SUM(Z676:Z694)</f>
        <v>0.5</v>
      </c>
      <c r="AA696" s="370">
        <f>SUM(AA676:AA695)</f>
        <v>592</v>
      </c>
      <c r="AB696" s="370">
        <f>SUM(AB676:AB695)</f>
        <v>3</v>
      </c>
      <c r="AC696" s="4"/>
      <c r="AD696" s="64"/>
      <c r="AE696" s="64"/>
      <c r="AF696" s="167">
        <f>SUM(AF676:AF695)</f>
        <v>0</v>
      </c>
      <c r="AG696" s="370">
        <f>SUM(AG676:AG695)</f>
        <v>0</v>
      </c>
    </row>
    <row r="697" spans="2:47" hidden="1">
      <c r="B697" s="63" t="s">
        <v>64</v>
      </c>
      <c r="C697" s="56" t="s">
        <v>29</v>
      </c>
      <c r="D697" s="56" t="s">
        <v>29</v>
      </c>
      <c r="E697" s="19">
        <v>1</v>
      </c>
      <c r="F697" s="291"/>
      <c r="G697" s="60"/>
      <c r="H697" s="56" t="s">
        <v>29</v>
      </c>
      <c r="I697" s="56" t="s">
        <v>29</v>
      </c>
      <c r="J697" s="19">
        <v>2</v>
      </c>
      <c r="K697" s="291">
        <v>1</v>
      </c>
      <c r="L697" s="60"/>
      <c r="M697" s="56" t="s">
        <v>29</v>
      </c>
      <c r="N697" s="56" t="s">
        <v>29</v>
      </c>
      <c r="O697" s="19">
        <v>0</v>
      </c>
      <c r="P697" s="19"/>
      <c r="Q697" s="60"/>
      <c r="R697" s="56" t="s">
        <v>29</v>
      </c>
      <c r="S697" s="56" t="s">
        <v>29</v>
      </c>
      <c r="T697" s="19"/>
      <c r="U697" s="19"/>
      <c r="V697" s="60"/>
      <c r="W697" s="56" t="s">
        <v>29</v>
      </c>
      <c r="X697" s="56" t="s">
        <v>29</v>
      </c>
      <c r="Y697" s="19"/>
      <c r="Z697" s="19"/>
      <c r="AA697" s="28">
        <f>SUM(E697+J697+O697+T697+Y697)</f>
        <v>3</v>
      </c>
      <c r="AB697" s="296">
        <f>Z697+U697+P697+K697+F697</f>
        <v>1</v>
      </c>
      <c r="AC697" s="4"/>
      <c r="AD697" s="56"/>
      <c r="AE697" s="56"/>
      <c r="AF697" s="19"/>
      <c r="AG697" s="29">
        <f>AF697</f>
        <v>0</v>
      </c>
    </row>
    <row r="698" spans="2:47" hidden="1">
      <c r="B698" s="63" t="s">
        <v>110</v>
      </c>
      <c r="C698" s="56" t="s">
        <v>29</v>
      </c>
      <c r="D698" s="56" t="s">
        <v>29</v>
      </c>
      <c r="E698" s="19">
        <v>4</v>
      </c>
      <c r="F698" s="291"/>
      <c r="G698" s="60"/>
      <c r="H698" s="56" t="s">
        <v>29</v>
      </c>
      <c r="I698" s="56" t="s">
        <v>29</v>
      </c>
      <c r="J698" s="19">
        <v>4</v>
      </c>
      <c r="K698" s="291"/>
      <c r="L698" s="60"/>
      <c r="M698" s="56" t="s">
        <v>29</v>
      </c>
      <c r="N698" s="56" t="s">
        <v>29</v>
      </c>
      <c r="O698" s="19">
        <v>4</v>
      </c>
      <c r="P698" s="19"/>
      <c r="Q698" s="60"/>
      <c r="R698" s="56" t="s">
        <v>29</v>
      </c>
      <c r="S698" s="56" t="s">
        <v>29</v>
      </c>
      <c r="T698" s="19">
        <v>4</v>
      </c>
      <c r="U698" s="19"/>
      <c r="V698" s="60"/>
      <c r="W698" s="56" t="s">
        <v>29</v>
      </c>
      <c r="X698" s="56" t="s">
        <v>29</v>
      </c>
      <c r="Y698" s="19">
        <v>4</v>
      </c>
      <c r="Z698" s="19"/>
      <c r="AA698" s="28">
        <f>SUM(E698+J698+O698+T698+Y698)</f>
        <v>20</v>
      </c>
      <c r="AB698" s="296">
        <f>Z698+U698+P698+K698+F698</f>
        <v>0</v>
      </c>
      <c r="AC698" s="4"/>
      <c r="AD698" s="56"/>
      <c r="AE698" s="56"/>
      <c r="AF698" s="19"/>
      <c r="AG698" s="29">
        <f>AF698</f>
        <v>0</v>
      </c>
    </row>
    <row r="699" spans="2:47" hidden="1">
      <c r="B699" s="71" t="s">
        <v>66</v>
      </c>
      <c r="C699" s="371"/>
      <c r="D699" s="371"/>
      <c r="E699" s="71">
        <f t="shared" ref="E699:AB699" si="115">SUM(E697:E698)</f>
        <v>5</v>
      </c>
      <c r="F699" s="71">
        <f t="shared" si="115"/>
        <v>0</v>
      </c>
      <c r="G699" s="71">
        <f t="shared" si="115"/>
        <v>0</v>
      </c>
      <c r="H699" s="71">
        <f t="shared" si="115"/>
        <v>0</v>
      </c>
      <c r="I699" s="71">
        <f t="shared" si="115"/>
        <v>0</v>
      </c>
      <c r="J699" s="71">
        <f t="shared" si="115"/>
        <v>6</v>
      </c>
      <c r="K699" s="71">
        <f t="shared" si="115"/>
        <v>1</v>
      </c>
      <c r="L699" s="71">
        <f t="shared" si="115"/>
        <v>0</v>
      </c>
      <c r="M699" s="71">
        <f t="shared" si="115"/>
        <v>0</v>
      </c>
      <c r="N699" s="71">
        <f t="shared" si="115"/>
        <v>0</v>
      </c>
      <c r="O699" s="71">
        <f t="shared" si="115"/>
        <v>4</v>
      </c>
      <c r="P699" s="71">
        <f t="shared" si="115"/>
        <v>0</v>
      </c>
      <c r="Q699" s="71">
        <f t="shared" si="115"/>
        <v>0</v>
      </c>
      <c r="R699" s="71">
        <f t="shared" si="115"/>
        <v>0</v>
      </c>
      <c r="S699" s="71">
        <f t="shared" si="115"/>
        <v>0</v>
      </c>
      <c r="T699" s="71">
        <f t="shared" si="115"/>
        <v>4</v>
      </c>
      <c r="U699" s="71">
        <f t="shared" si="115"/>
        <v>0</v>
      </c>
      <c r="V699" s="71">
        <f t="shared" si="115"/>
        <v>0</v>
      </c>
      <c r="W699" s="71">
        <f t="shared" si="115"/>
        <v>0</v>
      </c>
      <c r="X699" s="71">
        <f t="shared" si="115"/>
        <v>0</v>
      </c>
      <c r="Y699" s="71">
        <f t="shared" si="115"/>
        <v>4</v>
      </c>
      <c r="Z699" s="71">
        <f t="shared" si="115"/>
        <v>0</v>
      </c>
      <c r="AA699" s="370">
        <f t="shared" si="115"/>
        <v>23</v>
      </c>
      <c r="AB699" s="370">
        <f t="shared" si="115"/>
        <v>1</v>
      </c>
      <c r="AC699" s="4"/>
      <c r="AG699" s="370">
        <f>SUM(AG697:AG698)</f>
        <v>0</v>
      </c>
    </row>
    <row r="700" spans="2:47" hidden="1">
      <c r="B700" s="217" t="s">
        <v>67</v>
      </c>
      <c r="C700" s="207">
        <f>(C701+C702)*2</f>
        <v>84</v>
      </c>
      <c r="D700" s="207"/>
      <c r="E700" s="209"/>
      <c r="F700" s="209"/>
      <c r="G700" s="207"/>
      <c r="H700" s="209"/>
      <c r="I700" s="209"/>
      <c r="J700" s="209"/>
      <c r="K700" s="209"/>
      <c r="L700" s="207"/>
      <c r="M700" s="207"/>
      <c r="N700" s="207"/>
      <c r="O700" s="207"/>
      <c r="P700" s="209"/>
      <c r="Q700" s="207"/>
      <c r="R700" s="207"/>
      <c r="S700" s="207"/>
      <c r="T700" s="207"/>
      <c r="U700" s="209"/>
      <c r="V700" s="207"/>
      <c r="W700" s="207"/>
      <c r="X700" s="207"/>
      <c r="Y700" s="210"/>
      <c r="Z700" s="209"/>
      <c r="AA700" s="211"/>
      <c r="AB700" s="209"/>
      <c r="AC700" s="211"/>
      <c r="AD700" s="211"/>
      <c r="AE700" s="211"/>
      <c r="AF700" s="211"/>
      <c r="AG700" s="211"/>
    </row>
    <row r="701" spans="2:47" hidden="1">
      <c r="B701" s="238" t="s">
        <v>68</v>
      </c>
      <c r="C701" s="239">
        <f>10+10+2</f>
        <v>22</v>
      </c>
      <c r="D701" s="207"/>
      <c r="E701" s="209"/>
      <c r="F701" s="209"/>
      <c r="G701" s="207"/>
      <c r="H701" s="209"/>
      <c r="I701" s="209"/>
      <c r="J701" s="209"/>
      <c r="K701" s="209"/>
      <c r="L701" s="207"/>
      <c r="M701" s="207"/>
      <c r="N701" s="207"/>
      <c r="O701" s="207"/>
      <c r="P701" s="209"/>
      <c r="Q701" s="207"/>
      <c r="R701" s="207"/>
      <c r="S701" s="207"/>
      <c r="T701" s="207"/>
      <c r="U701" s="209"/>
      <c r="V701" s="207"/>
      <c r="W701" s="207"/>
      <c r="X701" s="207"/>
      <c r="Y701" s="210"/>
      <c r="Z701" s="209"/>
      <c r="AA701" s="211"/>
      <c r="AB701" s="209"/>
      <c r="AC701" s="211"/>
      <c r="AD701" s="211"/>
      <c r="AE701" s="211"/>
      <c r="AF701" s="211"/>
      <c r="AG701" s="211"/>
    </row>
    <row r="702" spans="2:47" hidden="1">
      <c r="B702" s="238" t="s">
        <v>69</v>
      </c>
      <c r="C702" s="239">
        <f>4+4+4+4+4</f>
        <v>20</v>
      </c>
      <c r="D702" s="207"/>
      <c r="E702" s="209"/>
      <c r="F702" s="209"/>
      <c r="G702" s="207"/>
      <c r="H702" s="209"/>
      <c r="I702" s="209"/>
      <c r="J702" s="209"/>
      <c r="K702" s="209"/>
      <c r="L702" s="207"/>
      <c r="M702" s="207"/>
      <c r="N702" s="207"/>
      <c r="O702" s="207"/>
      <c r="P702" s="209"/>
      <c r="Q702" s="207"/>
      <c r="R702" s="207"/>
      <c r="S702" s="207"/>
      <c r="T702" s="207"/>
      <c r="U702" s="209"/>
      <c r="V702" s="207"/>
      <c r="W702" s="207"/>
      <c r="X702" s="207"/>
      <c r="Y702" s="210"/>
      <c r="Z702" s="209"/>
      <c r="AA702" s="211"/>
      <c r="AB702" s="209"/>
      <c r="AC702" s="211"/>
      <c r="AD702" s="211"/>
      <c r="AE702" s="211"/>
      <c r="AF702" s="211"/>
      <c r="AG702" s="211"/>
    </row>
    <row r="703" spans="2:47" hidden="1"/>
    <row r="704" spans="2:47" hidden="1">
      <c r="B704" s="229"/>
      <c r="C704" s="230"/>
      <c r="D704" s="230"/>
      <c r="E704" s="232"/>
      <c r="F704" s="232"/>
      <c r="G704" s="230"/>
      <c r="H704" s="232"/>
      <c r="I704" s="232"/>
      <c r="J704" s="232"/>
      <c r="K704" s="232"/>
      <c r="L704" s="230"/>
      <c r="M704" s="230"/>
      <c r="N704" s="230"/>
      <c r="O704" s="230"/>
      <c r="P704" s="232"/>
      <c r="Q704" s="230"/>
      <c r="R704" s="230"/>
      <c r="S704" s="230"/>
      <c r="T704" s="230"/>
      <c r="U704" s="232"/>
      <c r="V704" s="230"/>
      <c r="W704" s="230"/>
      <c r="X704" s="230"/>
      <c r="Y704" s="233"/>
      <c r="Z704" s="232"/>
      <c r="AA704" s="234"/>
      <c r="AB704" s="232"/>
      <c r="AC704" s="373"/>
      <c r="AD704" s="236"/>
      <c r="AE704" s="255"/>
      <c r="AF704" s="255"/>
      <c r="AG704" s="255"/>
      <c r="AH704" s="255"/>
      <c r="AJ704" s="255"/>
      <c r="AK704" s="255"/>
      <c r="AL704" s="255"/>
      <c r="AM704" s="255"/>
      <c r="AN704" s="255"/>
      <c r="AO704" s="255"/>
      <c r="AP704" s="255"/>
      <c r="AQ704" s="255"/>
      <c r="AR704" s="255"/>
      <c r="AS704" s="255"/>
      <c r="AT704" s="255"/>
      <c r="AU704" s="255"/>
    </row>
    <row r="705" spans="2:47" hidden="1">
      <c r="B705" s="180"/>
      <c r="E705" s="4"/>
      <c r="F705" s="4"/>
      <c r="G705" s="4"/>
      <c r="J705" s="4"/>
      <c r="K705" s="4"/>
      <c r="L705" s="4"/>
      <c r="O705" s="4"/>
      <c r="P705" s="4"/>
      <c r="T705" s="4"/>
      <c r="U705" s="4"/>
      <c r="Y705" s="4"/>
      <c r="Z705" s="4"/>
      <c r="AA705" s="4"/>
      <c r="AB705" s="4"/>
      <c r="AC705" s="4"/>
      <c r="AK705" s="180"/>
      <c r="AL705" s="180"/>
      <c r="AM705" s="180"/>
      <c r="AN705" s="180"/>
      <c r="AO705" s="180"/>
      <c r="AP705" s="180"/>
    </row>
    <row r="706" spans="2:47" hidden="1">
      <c r="B706" s="1518" t="s">
        <v>18</v>
      </c>
      <c r="C706" s="1519">
        <v>45432</v>
      </c>
      <c r="D706" s="1519"/>
      <c r="E706" s="1519"/>
      <c r="F706" s="1519"/>
      <c r="G706" s="365"/>
      <c r="H706" s="1519">
        <v>45433</v>
      </c>
      <c r="I706" s="1519"/>
      <c r="J706" s="1519"/>
      <c r="K706" s="1519"/>
      <c r="L706" s="365">
        <v>45343</v>
      </c>
      <c r="M706" s="1519">
        <v>45434</v>
      </c>
      <c r="N706" s="1519"/>
      <c r="O706" s="1519"/>
      <c r="P706" s="1519"/>
      <c r="Q706" s="365"/>
      <c r="R706" s="1519">
        <v>45435</v>
      </c>
      <c r="S706" s="1519"/>
      <c r="T706" s="1519"/>
      <c r="U706" s="1519"/>
      <c r="V706" s="365"/>
      <c r="W706" s="1519">
        <v>45436</v>
      </c>
      <c r="X706" s="1519"/>
      <c r="Y706" s="1519"/>
      <c r="Z706" s="1519"/>
      <c r="AA706" s="1517" t="s">
        <v>19</v>
      </c>
      <c r="AB706" s="1517" t="s">
        <v>20</v>
      </c>
      <c r="AC706" s="4"/>
      <c r="AD706" s="1519">
        <v>45437</v>
      </c>
      <c r="AE706" s="1519"/>
      <c r="AF706" s="1519"/>
      <c r="AG706" s="1517" t="s">
        <v>21</v>
      </c>
      <c r="AI706" s="368"/>
      <c r="AK706" s="194" t="s">
        <v>84</v>
      </c>
      <c r="AL706" s="366"/>
      <c r="AM706" s="366"/>
      <c r="AN706" s="366"/>
      <c r="AO706" s="366"/>
      <c r="AP706" s="366"/>
    </row>
    <row r="707" spans="2:47" hidden="1">
      <c r="B707" s="1518"/>
      <c r="C707" s="21" t="s">
        <v>23</v>
      </c>
      <c r="D707" s="21" t="s">
        <v>24</v>
      </c>
      <c r="E707" s="205" t="s">
        <v>25</v>
      </c>
      <c r="F707" s="18" t="s">
        <v>14</v>
      </c>
      <c r="G707" s="4"/>
      <c r="H707" s="21" t="s">
        <v>23</v>
      </c>
      <c r="I707" s="21" t="s">
        <v>24</v>
      </c>
      <c r="J707" s="18" t="s">
        <v>25</v>
      </c>
      <c r="K707" s="18" t="s">
        <v>14</v>
      </c>
      <c r="L707" s="4"/>
      <c r="M707" s="21" t="s">
        <v>23</v>
      </c>
      <c r="N707" s="21" t="s">
        <v>24</v>
      </c>
      <c r="O707" s="18" t="s">
        <v>25</v>
      </c>
      <c r="P707" s="18" t="s">
        <v>14</v>
      </c>
      <c r="R707" s="484" t="s">
        <v>23</v>
      </c>
      <c r="S707" s="21" t="s">
        <v>24</v>
      </c>
      <c r="T707" s="18" t="s">
        <v>25</v>
      </c>
      <c r="U707" s="18" t="s">
        <v>14</v>
      </c>
      <c r="W707" s="484" t="s">
        <v>23</v>
      </c>
      <c r="X707" s="21" t="s">
        <v>24</v>
      </c>
      <c r="Y707" s="18" t="s">
        <v>25</v>
      </c>
      <c r="Z707" s="18" t="s">
        <v>14</v>
      </c>
      <c r="AA707" s="1517"/>
      <c r="AB707" s="1517"/>
      <c r="AC707" s="4"/>
      <c r="AD707" s="21" t="s">
        <v>23</v>
      </c>
      <c r="AE707" s="21" t="s">
        <v>24</v>
      </c>
      <c r="AF707" s="18" t="s">
        <v>25</v>
      </c>
      <c r="AG707" s="1517"/>
      <c r="AI707" s="368"/>
      <c r="AJ707" s="367"/>
      <c r="AK707" s="494" t="s">
        <v>26</v>
      </c>
      <c r="AL707" s="471">
        <f>AA724</f>
        <v>468</v>
      </c>
      <c r="AM707" s="510">
        <v>38</v>
      </c>
      <c r="AN707" s="510">
        <f t="shared" ref="AN707:AN713" si="116">AL707*AM707</f>
        <v>17784</v>
      </c>
      <c r="AQ707" s="367"/>
      <c r="AR707" s="367"/>
      <c r="AS707" s="367"/>
      <c r="AT707" s="367"/>
      <c r="AU707" s="367"/>
    </row>
    <row r="708" spans="2:47" hidden="1">
      <c r="B708" s="522" t="s">
        <v>266</v>
      </c>
      <c r="C708" s="441" t="s">
        <v>154</v>
      </c>
      <c r="D708" s="47">
        <v>0</v>
      </c>
      <c r="E708" s="319">
        <v>0</v>
      </c>
      <c r="F708" s="320"/>
      <c r="G708" s="4"/>
      <c r="H708" s="441" t="s">
        <v>75</v>
      </c>
      <c r="I708" s="47">
        <v>0.25</v>
      </c>
      <c r="J708" s="319">
        <v>8</v>
      </c>
      <c r="K708" s="320"/>
      <c r="L708" s="4"/>
      <c r="M708" s="441" t="s">
        <v>75</v>
      </c>
      <c r="N708" s="47">
        <v>0.25</v>
      </c>
      <c r="O708" s="319">
        <v>8</v>
      </c>
      <c r="P708" s="320"/>
      <c r="R708" s="441" t="s">
        <v>75</v>
      </c>
      <c r="S708" s="47">
        <v>0.25</v>
      </c>
      <c r="T708" s="319">
        <v>8</v>
      </c>
      <c r="U708" s="320"/>
      <c r="W708" s="441" t="s">
        <v>75</v>
      </c>
      <c r="X708" s="47">
        <v>0.25</v>
      </c>
      <c r="Y708" s="319">
        <v>8</v>
      </c>
      <c r="Z708" s="320"/>
      <c r="AA708" s="29">
        <f t="shared" ref="AA708:AA723" si="117">(E708+J708+O708+T708+Y708)</f>
        <v>32</v>
      </c>
      <c r="AB708" s="298">
        <f>Z708+U708+P708+K708+F708</f>
        <v>0</v>
      </c>
      <c r="AC708" s="399"/>
      <c r="AD708" s="47" t="s">
        <v>29</v>
      </c>
      <c r="AE708" s="47" t="s">
        <v>29</v>
      </c>
      <c r="AF708" s="346"/>
      <c r="AG708" s="29">
        <f t="shared" ref="AG708:AG723" si="118">AF708</f>
        <v>0</v>
      </c>
      <c r="AH708" s="175"/>
      <c r="AJ708" s="401"/>
      <c r="AK708" s="494" t="s">
        <v>30</v>
      </c>
      <c r="AL708" s="471">
        <f>AB724</f>
        <v>0</v>
      </c>
      <c r="AM708" s="511">
        <v>57</v>
      </c>
      <c r="AN708" s="510">
        <f t="shared" si="116"/>
        <v>0</v>
      </c>
      <c r="AO708" s="405"/>
      <c r="AP708" s="405"/>
      <c r="AQ708" s="401"/>
      <c r="AR708" s="401"/>
      <c r="AS708" s="401"/>
      <c r="AT708" s="401"/>
      <c r="AU708" s="401"/>
    </row>
    <row r="709" spans="2:47" hidden="1">
      <c r="B709" s="523" t="s">
        <v>268</v>
      </c>
      <c r="C709" s="441" t="s">
        <v>75</v>
      </c>
      <c r="D709" s="47">
        <v>0.25</v>
      </c>
      <c r="E709" s="319">
        <v>8</v>
      </c>
      <c r="F709" s="320"/>
      <c r="G709" s="4"/>
      <c r="H709" s="441" t="s">
        <v>75</v>
      </c>
      <c r="I709" s="47">
        <v>0.25</v>
      </c>
      <c r="J709" s="319">
        <v>8</v>
      </c>
      <c r="K709" s="320"/>
      <c r="L709" s="4"/>
      <c r="M709" s="441" t="s">
        <v>75</v>
      </c>
      <c r="N709" s="47">
        <v>0.25</v>
      </c>
      <c r="O709" s="319">
        <v>8</v>
      </c>
      <c r="P709" s="320"/>
      <c r="R709" s="441" t="s">
        <v>75</v>
      </c>
      <c r="S709" s="47">
        <v>0.25</v>
      </c>
      <c r="T709" s="319">
        <v>8</v>
      </c>
      <c r="U709" s="320"/>
      <c r="W709" s="441" t="s">
        <v>75</v>
      </c>
      <c r="X709" s="47">
        <v>0.25</v>
      </c>
      <c r="Y709" s="319">
        <v>8</v>
      </c>
      <c r="Z709" s="320"/>
      <c r="AA709" s="29">
        <f t="shared" si="117"/>
        <v>40</v>
      </c>
      <c r="AB709" s="298">
        <f>Z709+U709+P709+K709+F709</f>
        <v>0</v>
      </c>
      <c r="AC709" s="175"/>
      <c r="AD709" s="47" t="s">
        <v>29</v>
      </c>
      <c r="AE709" s="47" t="s">
        <v>29</v>
      </c>
      <c r="AF709" s="346"/>
      <c r="AG709" s="344">
        <f t="shared" si="118"/>
        <v>0</v>
      </c>
      <c r="AH709" s="175"/>
      <c r="AI709" s="368"/>
      <c r="AK709" s="494" t="s">
        <v>32</v>
      </c>
      <c r="AL709" s="471">
        <f>AG724</f>
        <v>0</v>
      </c>
      <c r="AM709" s="510">
        <v>57</v>
      </c>
      <c r="AN709" s="510">
        <f t="shared" si="116"/>
        <v>0</v>
      </c>
    </row>
    <row r="710" spans="2:47" hidden="1">
      <c r="B710" s="522" t="s">
        <v>271</v>
      </c>
      <c r="C710" s="441" t="s">
        <v>154</v>
      </c>
      <c r="D710" s="47">
        <v>0</v>
      </c>
      <c r="E710" s="319">
        <v>0</v>
      </c>
      <c r="F710" s="320"/>
      <c r="G710" s="4"/>
      <c r="H710" s="441" t="s">
        <v>75</v>
      </c>
      <c r="I710" s="47">
        <v>0.25</v>
      </c>
      <c r="J710" s="319">
        <v>8</v>
      </c>
      <c r="K710" s="320"/>
      <c r="L710" s="4"/>
      <c r="M710" s="441" t="s">
        <v>75</v>
      </c>
      <c r="N710" s="47">
        <v>0.25</v>
      </c>
      <c r="O710" s="319">
        <v>8</v>
      </c>
      <c r="P710" s="320"/>
      <c r="R710" s="441" t="s">
        <v>75</v>
      </c>
      <c r="S710" s="47">
        <v>0.25</v>
      </c>
      <c r="T710" s="319">
        <v>8</v>
      </c>
      <c r="U710" s="320"/>
      <c r="W710" s="441" t="s">
        <v>75</v>
      </c>
      <c r="X710" s="47">
        <v>0.25</v>
      </c>
      <c r="Y710" s="319">
        <v>8</v>
      </c>
      <c r="Z710" s="320"/>
      <c r="AA710" s="29">
        <f t="shared" si="117"/>
        <v>32</v>
      </c>
      <c r="AB710" s="298">
        <f>Z710+U710+P710+K710+F710</f>
        <v>0</v>
      </c>
      <c r="AC710" s="4"/>
      <c r="AD710" s="47" t="s">
        <v>29</v>
      </c>
      <c r="AE710" s="47" t="s">
        <v>29</v>
      </c>
      <c r="AF710" s="346"/>
      <c r="AG710" s="29">
        <f t="shared" si="118"/>
        <v>0</v>
      </c>
      <c r="AJ710" s="367"/>
      <c r="AK710" s="494" t="s">
        <v>213</v>
      </c>
      <c r="AL710" s="471">
        <f>AA727</f>
        <v>40</v>
      </c>
      <c r="AM710" s="510">
        <v>50</v>
      </c>
      <c r="AN710" s="510">
        <f t="shared" si="116"/>
        <v>2000</v>
      </c>
      <c r="AQ710" s="367"/>
      <c r="AR710" s="367"/>
      <c r="AS710" s="367"/>
      <c r="AT710" s="367"/>
      <c r="AU710" s="367"/>
    </row>
    <row r="711" spans="2:47" hidden="1">
      <c r="B711" s="523" t="s">
        <v>272</v>
      </c>
      <c r="C711" s="441" t="s">
        <v>75</v>
      </c>
      <c r="D711" s="47">
        <v>0.25</v>
      </c>
      <c r="E711" s="319">
        <v>8</v>
      </c>
      <c r="F711" s="320"/>
      <c r="G711" s="4"/>
      <c r="H711" s="441" t="s">
        <v>75</v>
      </c>
      <c r="I711" s="47">
        <v>0.25</v>
      </c>
      <c r="J711" s="319">
        <v>8</v>
      </c>
      <c r="K711" s="320"/>
      <c r="L711" s="4"/>
      <c r="M711" s="441" t="s">
        <v>75</v>
      </c>
      <c r="N711" s="47">
        <v>0.25</v>
      </c>
      <c r="O711" s="319">
        <v>8</v>
      </c>
      <c r="P711" s="320"/>
      <c r="R711" s="441" t="s">
        <v>75</v>
      </c>
      <c r="S711" s="47">
        <v>0.25</v>
      </c>
      <c r="T711" s="319">
        <v>8</v>
      </c>
      <c r="U711" s="320"/>
      <c r="W711" s="441" t="s">
        <v>75</v>
      </c>
      <c r="X711" s="47">
        <v>0.25</v>
      </c>
      <c r="Y711" s="319">
        <v>8</v>
      </c>
      <c r="Z711" s="320"/>
      <c r="AA711" s="29">
        <f t="shared" si="117"/>
        <v>40</v>
      </c>
      <c r="AB711" s="298">
        <f>Z711+U711+P711+K711+F711</f>
        <v>0</v>
      </c>
      <c r="AC711" s="4"/>
      <c r="AD711" s="47" t="s">
        <v>29</v>
      </c>
      <c r="AE711" s="47" t="s">
        <v>29</v>
      </c>
      <c r="AF711" s="346"/>
      <c r="AG711" s="29">
        <f t="shared" si="118"/>
        <v>0</v>
      </c>
      <c r="AK711" s="494" t="s">
        <v>36</v>
      </c>
      <c r="AL711" s="471">
        <f>AB727</f>
        <v>25</v>
      </c>
      <c r="AM711" s="510">
        <v>75</v>
      </c>
      <c r="AN711" s="510">
        <f t="shared" si="116"/>
        <v>1875</v>
      </c>
    </row>
    <row r="712" spans="2:47" hidden="1">
      <c r="B712" s="11" t="s">
        <v>273</v>
      </c>
      <c r="C712" s="441" t="s">
        <v>75</v>
      </c>
      <c r="D712" s="47">
        <v>0.25</v>
      </c>
      <c r="E712" s="319">
        <v>8</v>
      </c>
      <c r="F712" s="320"/>
      <c r="G712" s="4"/>
      <c r="H712" s="441" t="s">
        <v>288</v>
      </c>
      <c r="I712" s="47">
        <v>0.25</v>
      </c>
      <c r="J712" s="319">
        <v>8</v>
      </c>
      <c r="K712" s="320"/>
      <c r="L712" s="4"/>
      <c r="M712" s="441" t="s">
        <v>75</v>
      </c>
      <c r="N712" s="47">
        <v>0.25</v>
      </c>
      <c r="O712" s="319">
        <v>8</v>
      </c>
      <c r="P712" s="320"/>
      <c r="R712" s="441" t="s">
        <v>75</v>
      </c>
      <c r="S712" s="47">
        <v>0.25</v>
      </c>
      <c r="T712" s="319">
        <v>8</v>
      </c>
      <c r="U712" s="320"/>
      <c r="W712" s="441" t="s">
        <v>75</v>
      </c>
      <c r="X712" s="47">
        <v>0.25</v>
      </c>
      <c r="Y712" s="319">
        <v>8</v>
      </c>
      <c r="Z712" s="320"/>
      <c r="AA712" s="29">
        <f t="shared" si="117"/>
        <v>40</v>
      </c>
      <c r="AB712" s="298">
        <f>Z712+U712+P712+K712+F711</f>
        <v>0</v>
      </c>
      <c r="AC712" s="4"/>
      <c r="AD712" s="47" t="s">
        <v>29</v>
      </c>
      <c r="AE712" s="47" t="s">
        <v>29</v>
      </c>
      <c r="AF712" s="346"/>
      <c r="AG712" s="29">
        <f t="shared" si="118"/>
        <v>0</v>
      </c>
      <c r="AK712" s="494" t="s">
        <v>38</v>
      </c>
      <c r="AL712" s="471">
        <f>AG727</f>
        <v>0</v>
      </c>
      <c r="AM712" s="510">
        <v>75</v>
      </c>
      <c r="AN712" s="510">
        <f t="shared" si="116"/>
        <v>0</v>
      </c>
      <c r="AR712" s="180" t="s">
        <v>289</v>
      </c>
    </row>
    <row r="713" spans="2:47" ht="14.25" hidden="1" thickBot="1">
      <c r="B713" s="524" t="s">
        <v>275</v>
      </c>
      <c r="C713" s="441" t="s">
        <v>154</v>
      </c>
      <c r="D713" s="47">
        <v>0</v>
      </c>
      <c r="E713" s="319">
        <v>0</v>
      </c>
      <c r="F713" s="320"/>
      <c r="G713" s="4"/>
      <c r="H713" s="441" t="s">
        <v>75</v>
      </c>
      <c r="I713" s="47">
        <v>0.25</v>
      </c>
      <c r="J713" s="319">
        <v>8</v>
      </c>
      <c r="K713" s="320"/>
      <c r="L713" s="4"/>
      <c r="M713" s="441" t="s">
        <v>75</v>
      </c>
      <c r="N713" s="47">
        <v>0.25</v>
      </c>
      <c r="O713" s="319">
        <v>8</v>
      </c>
      <c r="P713" s="320"/>
      <c r="R713" s="441" t="s">
        <v>75</v>
      </c>
      <c r="S713" s="47">
        <v>0.25</v>
      </c>
      <c r="T713" s="319">
        <v>8</v>
      </c>
      <c r="U713" s="320"/>
      <c r="W713" s="441" t="s">
        <v>75</v>
      </c>
      <c r="X713" s="47">
        <v>0.25</v>
      </c>
      <c r="Y713" s="319">
        <v>8</v>
      </c>
      <c r="Z713" s="320"/>
      <c r="AA713" s="29">
        <f t="shared" si="117"/>
        <v>32</v>
      </c>
      <c r="AB713" s="298">
        <f>Z713+U713+P713+K713+F712</f>
        <v>0</v>
      </c>
      <c r="AC713" s="4"/>
      <c r="AD713" s="47" t="s">
        <v>29</v>
      </c>
      <c r="AE713" s="47" t="s">
        <v>29</v>
      </c>
      <c r="AF713" s="346"/>
      <c r="AG713" s="29">
        <f t="shared" si="118"/>
        <v>0</v>
      </c>
      <c r="AK713" s="494" t="s">
        <v>41</v>
      </c>
      <c r="AL713" s="471">
        <f>C728</f>
        <v>80</v>
      </c>
      <c r="AM713" s="512">
        <v>45</v>
      </c>
      <c r="AN713" s="512">
        <f t="shared" si="116"/>
        <v>3600</v>
      </c>
    </row>
    <row r="714" spans="2:47" ht="14.25" hidden="1" thickTop="1">
      <c r="B714" s="523" t="s">
        <v>276</v>
      </c>
      <c r="C714" s="441" t="s">
        <v>75</v>
      </c>
      <c r="D714" s="47">
        <v>0.25</v>
      </c>
      <c r="E714" s="319">
        <v>8</v>
      </c>
      <c r="F714" s="320"/>
      <c r="G714" s="4"/>
      <c r="H714" s="441" t="s">
        <v>75</v>
      </c>
      <c r="I714" s="47">
        <v>0.25</v>
      </c>
      <c r="J714" s="319">
        <v>8</v>
      </c>
      <c r="K714" s="320"/>
      <c r="L714" s="4"/>
      <c r="M714" s="441" t="s">
        <v>75</v>
      </c>
      <c r="N714" s="47">
        <v>0.25</v>
      </c>
      <c r="O714" s="319">
        <v>8</v>
      </c>
      <c r="P714" s="320"/>
      <c r="R714" s="441" t="s">
        <v>75</v>
      </c>
      <c r="S714" s="47">
        <v>0.25</v>
      </c>
      <c r="T714" s="319">
        <v>8</v>
      </c>
      <c r="U714" s="320"/>
      <c r="W714" s="441" t="s">
        <v>75</v>
      </c>
      <c r="X714" s="47">
        <v>0.25</v>
      </c>
      <c r="Y714" s="319">
        <v>8</v>
      </c>
      <c r="Z714" s="320"/>
      <c r="AA714" s="29">
        <f t="shared" si="117"/>
        <v>40</v>
      </c>
      <c r="AB714" s="298">
        <f>Z714+U714+P714+K714+F713</f>
        <v>0</v>
      </c>
      <c r="AC714" s="4"/>
      <c r="AD714" s="47" t="s">
        <v>29</v>
      </c>
      <c r="AE714" s="47" t="s">
        <v>29</v>
      </c>
      <c r="AF714" s="346"/>
      <c r="AG714" s="29">
        <f t="shared" si="118"/>
        <v>0</v>
      </c>
      <c r="AK714" s="465"/>
      <c r="AL714" s="465"/>
      <c r="AN714" s="510">
        <f>SUM(AN707:AN713)</f>
        <v>25259</v>
      </c>
    </row>
    <row r="715" spans="2:47" hidden="1">
      <c r="B715" s="523" t="s">
        <v>277</v>
      </c>
      <c r="C715" s="441" t="s">
        <v>154</v>
      </c>
      <c r="D715" s="47">
        <v>0</v>
      </c>
      <c r="E715" s="319">
        <v>0</v>
      </c>
      <c r="F715" s="320"/>
      <c r="G715" s="4"/>
      <c r="H715" s="441" t="s">
        <v>75</v>
      </c>
      <c r="I715" s="47">
        <v>0.25</v>
      </c>
      <c r="J715" s="319">
        <v>8</v>
      </c>
      <c r="K715" s="320"/>
      <c r="L715" s="4"/>
      <c r="M715" s="441" t="s">
        <v>75</v>
      </c>
      <c r="N715" s="47">
        <v>0.25</v>
      </c>
      <c r="O715" s="319">
        <v>8</v>
      </c>
      <c r="P715" s="320"/>
      <c r="R715" s="441" t="s">
        <v>75</v>
      </c>
      <c r="S715" s="47">
        <v>0.25</v>
      </c>
      <c r="T715" s="319">
        <v>8</v>
      </c>
      <c r="U715" s="320"/>
      <c r="W715" s="441" t="s">
        <v>75</v>
      </c>
      <c r="X715" s="47">
        <v>0.25</v>
      </c>
      <c r="Y715" s="319">
        <v>8</v>
      </c>
      <c r="Z715" s="320"/>
      <c r="AA715" s="29">
        <f t="shared" si="117"/>
        <v>32</v>
      </c>
      <c r="AB715" s="298">
        <f>Z715+U715+P715+K715+F714</f>
        <v>0</v>
      </c>
      <c r="AC715" s="4"/>
      <c r="AD715" s="47" t="s">
        <v>29</v>
      </c>
      <c r="AE715" s="47" t="s">
        <v>29</v>
      </c>
      <c r="AF715" s="346"/>
      <c r="AG715" s="29">
        <f t="shared" si="118"/>
        <v>0</v>
      </c>
    </row>
    <row r="716" spans="2:47" hidden="1">
      <c r="C716" s="441"/>
      <c r="D716" s="47"/>
      <c r="E716" s="319"/>
      <c r="F716" s="320"/>
      <c r="G716" s="4"/>
      <c r="H716" s="441"/>
      <c r="I716" s="47"/>
      <c r="J716" s="319"/>
      <c r="K716" s="320"/>
      <c r="L716" s="4"/>
      <c r="M716" s="441"/>
      <c r="N716" s="47"/>
      <c r="O716" s="319"/>
      <c r="P716" s="320"/>
      <c r="R716" s="441"/>
      <c r="S716" s="47"/>
      <c r="T716" s="319"/>
      <c r="U716" s="320"/>
      <c r="W716" s="441"/>
      <c r="X716" s="47"/>
      <c r="Y716" s="319"/>
      <c r="Z716" s="320"/>
      <c r="AA716" s="29">
        <f t="shared" si="117"/>
        <v>0</v>
      </c>
      <c r="AB716" s="298">
        <f t="shared" ref="AB716:AB723" si="119">Z716+U716+P716+K716+F716</f>
        <v>0</v>
      </c>
      <c r="AC716" s="4"/>
      <c r="AD716" s="47" t="s">
        <v>29</v>
      </c>
      <c r="AE716" s="47" t="s">
        <v>29</v>
      </c>
      <c r="AF716" s="346"/>
      <c r="AG716" s="29">
        <f t="shared" si="118"/>
        <v>0</v>
      </c>
    </row>
    <row r="717" spans="2:47" hidden="1">
      <c r="B717" s="457"/>
      <c r="C717" s="441"/>
      <c r="D717" s="47"/>
      <c r="E717" s="319"/>
      <c r="F717" s="320"/>
      <c r="G717" s="4"/>
      <c r="H717" s="441"/>
      <c r="I717" s="47"/>
      <c r="J717" s="319"/>
      <c r="K717" s="320"/>
      <c r="L717" s="4"/>
      <c r="M717" s="441"/>
      <c r="N717" s="47"/>
      <c r="O717" s="319"/>
      <c r="P717" s="320"/>
      <c r="R717" s="441"/>
      <c r="S717" s="47"/>
      <c r="T717" s="319"/>
      <c r="U717" s="320"/>
      <c r="W717" s="441"/>
      <c r="X717" s="47"/>
      <c r="Y717" s="319"/>
      <c r="Z717" s="320"/>
      <c r="AA717" s="29">
        <f t="shared" si="117"/>
        <v>0</v>
      </c>
      <c r="AB717" s="298">
        <f t="shared" si="119"/>
        <v>0</v>
      </c>
      <c r="AC717" s="4"/>
      <c r="AD717" s="47" t="s">
        <v>29</v>
      </c>
      <c r="AE717" s="47" t="s">
        <v>29</v>
      </c>
      <c r="AF717" s="19"/>
      <c r="AG717" s="29">
        <f t="shared" si="118"/>
        <v>0</v>
      </c>
    </row>
    <row r="718" spans="2:47" hidden="1">
      <c r="B718" s="166" t="s">
        <v>279</v>
      </c>
      <c r="C718" s="16" t="s">
        <v>29</v>
      </c>
      <c r="D718" s="16" t="s">
        <v>29</v>
      </c>
      <c r="E718" s="319">
        <v>8</v>
      </c>
      <c r="F718" s="320"/>
      <c r="G718" s="4"/>
      <c r="H718" s="16" t="s">
        <v>29</v>
      </c>
      <c r="I718" s="16" t="s">
        <v>29</v>
      </c>
      <c r="J718" s="319">
        <v>8</v>
      </c>
      <c r="K718" s="320"/>
      <c r="L718" s="4"/>
      <c r="M718" s="16" t="s">
        <v>29</v>
      </c>
      <c r="N718" s="16" t="s">
        <v>29</v>
      </c>
      <c r="O718" s="319">
        <v>8</v>
      </c>
      <c r="P718" s="320"/>
      <c r="R718" s="16" t="s">
        <v>29</v>
      </c>
      <c r="S718" s="16" t="s">
        <v>29</v>
      </c>
      <c r="T718" s="319">
        <v>8</v>
      </c>
      <c r="U718" s="320"/>
      <c r="W718" s="16" t="s">
        <v>29</v>
      </c>
      <c r="X718" s="16" t="s">
        <v>29</v>
      </c>
      <c r="Y718" s="319">
        <v>8</v>
      </c>
      <c r="Z718" s="320"/>
      <c r="AA718" s="29">
        <f t="shared" si="117"/>
        <v>40</v>
      </c>
      <c r="AB718" s="298">
        <f t="shared" si="119"/>
        <v>0</v>
      </c>
      <c r="AC718" s="4"/>
      <c r="AD718" s="47" t="s">
        <v>29</v>
      </c>
      <c r="AE718" s="47" t="s">
        <v>29</v>
      </c>
      <c r="AF718" s="19"/>
      <c r="AG718" s="29">
        <f t="shared" si="118"/>
        <v>0</v>
      </c>
    </row>
    <row r="719" spans="2:47" hidden="1">
      <c r="B719" s="166" t="s">
        <v>280</v>
      </c>
      <c r="C719" s="16" t="s">
        <v>29</v>
      </c>
      <c r="D719" s="16" t="s">
        <v>29</v>
      </c>
      <c r="E719" s="319">
        <v>8</v>
      </c>
      <c r="F719" s="320"/>
      <c r="G719" s="4"/>
      <c r="H719" s="16" t="s">
        <v>29</v>
      </c>
      <c r="I719" s="16" t="s">
        <v>29</v>
      </c>
      <c r="J719" s="319">
        <v>8</v>
      </c>
      <c r="K719" s="320"/>
      <c r="L719" s="4"/>
      <c r="M719" s="16" t="s">
        <v>29</v>
      </c>
      <c r="N719" s="16" t="s">
        <v>29</v>
      </c>
      <c r="O719" s="319">
        <v>8</v>
      </c>
      <c r="P719" s="320"/>
      <c r="R719" s="16" t="s">
        <v>29</v>
      </c>
      <c r="S719" s="16" t="s">
        <v>29</v>
      </c>
      <c r="T719" s="319">
        <v>8</v>
      </c>
      <c r="U719" s="320"/>
      <c r="W719" s="16" t="s">
        <v>29</v>
      </c>
      <c r="X719" s="16" t="s">
        <v>29</v>
      </c>
      <c r="Y719" s="319">
        <v>8</v>
      </c>
      <c r="Z719" s="320"/>
      <c r="AA719" s="29">
        <f t="shared" si="117"/>
        <v>40</v>
      </c>
      <c r="AB719" s="298">
        <f t="shared" si="119"/>
        <v>0</v>
      </c>
      <c r="AC719" s="4"/>
      <c r="AD719" s="47" t="s">
        <v>29</v>
      </c>
      <c r="AE719" s="47" t="s">
        <v>29</v>
      </c>
      <c r="AF719" s="19"/>
      <c r="AG719" s="29">
        <f t="shared" si="118"/>
        <v>0</v>
      </c>
    </row>
    <row r="720" spans="2:47" hidden="1">
      <c r="B720" s="166" t="s">
        <v>281</v>
      </c>
      <c r="C720" s="16" t="s">
        <v>29</v>
      </c>
      <c r="D720" s="16" t="s">
        <v>29</v>
      </c>
      <c r="E720" s="319">
        <v>8</v>
      </c>
      <c r="F720" s="320"/>
      <c r="G720" s="4"/>
      <c r="H720" s="16" t="s">
        <v>29</v>
      </c>
      <c r="I720" s="16" t="s">
        <v>29</v>
      </c>
      <c r="J720" s="319">
        <v>8</v>
      </c>
      <c r="K720" s="320"/>
      <c r="L720" s="4"/>
      <c r="M720" s="16" t="s">
        <v>29</v>
      </c>
      <c r="N720" s="16" t="s">
        <v>29</v>
      </c>
      <c r="O720" s="319">
        <v>8</v>
      </c>
      <c r="P720" s="320"/>
      <c r="R720" s="16" t="s">
        <v>29</v>
      </c>
      <c r="S720" s="16" t="s">
        <v>29</v>
      </c>
      <c r="T720" s="319">
        <v>8</v>
      </c>
      <c r="U720" s="320"/>
      <c r="W720" s="16" t="s">
        <v>29</v>
      </c>
      <c r="X720" s="16" t="s">
        <v>29</v>
      </c>
      <c r="Y720" s="319">
        <v>8</v>
      </c>
      <c r="Z720" s="320"/>
      <c r="AA720" s="29">
        <f t="shared" si="117"/>
        <v>40</v>
      </c>
      <c r="AB720" s="298">
        <f t="shared" si="119"/>
        <v>0</v>
      </c>
      <c r="AC720" s="4"/>
      <c r="AD720" s="47" t="s">
        <v>29</v>
      </c>
      <c r="AE720" s="47" t="s">
        <v>29</v>
      </c>
      <c r="AF720" s="19"/>
      <c r="AG720" s="29">
        <f t="shared" si="118"/>
        <v>0</v>
      </c>
    </row>
    <row r="721" spans="2:47" hidden="1">
      <c r="B721" s="166" t="s">
        <v>283</v>
      </c>
      <c r="C721" s="16" t="s">
        <v>29</v>
      </c>
      <c r="D721" s="16" t="s">
        <v>29</v>
      </c>
      <c r="E721" s="319">
        <v>8</v>
      </c>
      <c r="F721" s="320"/>
      <c r="G721" s="4"/>
      <c r="H721" s="16" t="s">
        <v>29</v>
      </c>
      <c r="I721" s="16" t="s">
        <v>29</v>
      </c>
      <c r="J721" s="319">
        <v>8</v>
      </c>
      <c r="K721" s="320"/>
      <c r="L721" s="4"/>
      <c r="M721" s="16" t="s">
        <v>29</v>
      </c>
      <c r="N721" s="16" t="s">
        <v>29</v>
      </c>
      <c r="O721" s="319">
        <v>8</v>
      </c>
      <c r="P721" s="320"/>
      <c r="R721" s="16" t="s">
        <v>29</v>
      </c>
      <c r="S721" s="16" t="s">
        <v>29</v>
      </c>
      <c r="T721" s="319">
        <v>8</v>
      </c>
      <c r="U721" s="320"/>
      <c r="W721" s="16" t="s">
        <v>29</v>
      </c>
      <c r="X721" s="16" t="s">
        <v>29</v>
      </c>
      <c r="Y721" s="319">
        <v>8</v>
      </c>
      <c r="Z721" s="320"/>
      <c r="AA721" s="29">
        <f t="shared" si="117"/>
        <v>40</v>
      </c>
      <c r="AB721" s="298">
        <f t="shared" si="119"/>
        <v>0</v>
      </c>
      <c r="AC721" s="4"/>
      <c r="AD721" s="47" t="s">
        <v>29</v>
      </c>
      <c r="AE721" s="47" t="s">
        <v>29</v>
      </c>
      <c r="AF721" s="19"/>
      <c r="AG721" s="29">
        <f t="shared" si="118"/>
        <v>0</v>
      </c>
    </row>
    <row r="722" spans="2:47" hidden="1">
      <c r="B722" s="63" t="s">
        <v>63</v>
      </c>
      <c r="C722" s="16" t="s">
        <v>29</v>
      </c>
      <c r="D722" s="16" t="s">
        <v>29</v>
      </c>
      <c r="E722" s="319">
        <v>4</v>
      </c>
      <c r="F722" s="320"/>
      <c r="G722" s="438"/>
      <c r="H722" s="16" t="s">
        <v>29</v>
      </c>
      <c r="I722" s="16" t="s">
        <v>29</v>
      </c>
      <c r="J722" s="319">
        <v>4</v>
      </c>
      <c r="K722" s="320"/>
      <c r="L722" s="438"/>
      <c r="M722" s="16" t="s">
        <v>29</v>
      </c>
      <c r="N722" s="16" t="s">
        <v>29</v>
      </c>
      <c r="O722" s="319">
        <v>4</v>
      </c>
      <c r="P722" s="320"/>
      <c r="Q722" s="438"/>
      <c r="R722" s="16" t="s">
        <v>29</v>
      </c>
      <c r="S722" s="16" t="s">
        <v>29</v>
      </c>
      <c r="T722" s="319">
        <v>4</v>
      </c>
      <c r="U722" s="320"/>
      <c r="V722" s="438"/>
      <c r="W722" s="16" t="s">
        <v>29</v>
      </c>
      <c r="X722" s="16" t="s">
        <v>29</v>
      </c>
      <c r="Y722" s="319">
        <v>4</v>
      </c>
      <c r="Z722" s="320"/>
      <c r="AA722" s="29">
        <f t="shared" si="117"/>
        <v>20</v>
      </c>
      <c r="AB722" s="298">
        <f t="shared" si="119"/>
        <v>0</v>
      </c>
      <c r="AC722" s="4"/>
      <c r="AD722" s="47" t="s">
        <v>29</v>
      </c>
      <c r="AE722" s="47" t="s">
        <v>29</v>
      </c>
      <c r="AF722" s="19"/>
      <c r="AG722" s="29">
        <f t="shared" si="118"/>
        <v>0</v>
      </c>
      <c r="AK722" s="407"/>
    </row>
    <row r="723" spans="2:47" hidden="1">
      <c r="B723" s="63" t="s">
        <v>250</v>
      </c>
      <c r="C723" s="16" t="s">
        <v>29</v>
      </c>
      <c r="D723" s="16" t="s">
        <v>29</v>
      </c>
      <c r="E723" s="319"/>
      <c r="F723" s="320"/>
      <c r="G723" s="438"/>
      <c r="H723" s="16" t="s">
        <v>29</v>
      </c>
      <c r="I723" s="16" t="s">
        <v>29</v>
      </c>
      <c r="J723" s="319"/>
      <c r="K723" s="320"/>
      <c r="L723" s="438"/>
      <c r="M723" s="16" t="s">
        <v>29</v>
      </c>
      <c r="N723" s="16" t="s">
        <v>29</v>
      </c>
      <c r="O723" s="319"/>
      <c r="P723" s="320"/>
      <c r="Q723" s="438"/>
      <c r="R723" s="16" t="s">
        <v>29</v>
      </c>
      <c r="S723" s="16" t="s">
        <v>29</v>
      </c>
      <c r="T723" s="319"/>
      <c r="U723" s="320"/>
      <c r="V723" s="438"/>
      <c r="W723" s="16" t="s">
        <v>29</v>
      </c>
      <c r="X723" s="16" t="s">
        <v>29</v>
      </c>
      <c r="Y723" s="319"/>
      <c r="Z723" s="320"/>
      <c r="AA723" s="29">
        <f t="shared" si="117"/>
        <v>0</v>
      </c>
      <c r="AB723" s="298">
        <f t="shared" si="119"/>
        <v>0</v>
      </c>
      <c r="AC723" s="4"/>
      <c r="AD723" s="47" t="s">
        <v>29</v>
      </c>
      <c r="AE723" s="47" t="s">
        <v>29</v>
      </c>
      <c r="AF723" s="19"/>
      <c r="AG723" s="29">
        <f t="shared" si="118"/>
        <v>0</v>
      </c>
      <c r="AK723" s="407"/>
    </row>
    <row r="724" spans="2:47" hidden="1">
      <c r="B724" s="64" t="s">
        <v>61</v>
      </c>
      <c r="C724" s="31"/>
      <c r="D724" s="31"/>
      <c r="E724" s="439">
        <f>SUM(E708:E723)</f>
        <v>68</v>
      </c>
      <c r="F724" s="320">
        <f>SUM(F708:F717)</f>
        <v>0</v>
      </c>
      <c r="G724" s="31"/>
      <c r="H724" s="31"/>
      <c r="I724" s="31"/>
      <c r="J724" s="439">
        <f>SUM(J708:J723)</f>
        <v>100</v>
      </c>
      <c r="K724" s="320">
        <f>SUM(K708:K717)</f>
        <v>0</v>
      </c>
      <c r="L724" s="31"/>
      <c r="M724" s="31"/>
      <c r="N724" s="31"/>
      <c r="O724" s="439">
        <f>SUM(O708:O723)</f>
        <v>100</v>
      </c>
      <c r="P724" s="320">
        <f>SUM(P708:P721)</f>
        <v>0</v>
      </c>
      <c r="Q724" s="31"/>
      <c r="R724" s="31"/>
      <c r="S724" s="31"/>
      <c r="T724" s="439">
        <f>SUM(T708:T723)</f>
        <v>100</v>
      </c>
      <c r="U724" s="320">
        <f>SUM(U708:U721)</f>
        <v>0</v>
      </c>
      <c r="V724" s="31"/>
      <c r="W724" s="31"/>
      <c r="X724" s="31"/>
      <c r="Y724" s="439">
        <f>SUM(Y708:Y723)</f>
        <v>100</v>
      </c>
      <c r="Z724" s="320">
        <f>SUM(Z708:Z717)</f>
        <v>0</v>
      </c>
      <c r="AA724" s="370">
        <f>SUM(AA708:AA723)</f>
        <v>468</v>
      </c>
      <c r="AB724" s="370">
        <f>SUM(AB708:AB723)</f>
        <v>0</v>
      </c>
      <c r="AC724" s="4"/>
      <c r="AD724" s="64"/>
      <c r="AE724" s="64"/>
      <c r="AF724" s="167">
        <f>SUM(AF708:AF723)</f>
        <v>0</v>
      </c>
      <c r="AG724" s="370">
        <f>SUM(AG708:AG723)</f>
        <v>0</v>
      </c>
    </row>
    <row r="725" spans="2:47" hidden="1">
      <c r="B725" s="63" t="s">
        <v>64</v>
      </c>
      <c r="C725" s="56" t="s">
        <v>29</v>
      </c>
      <c r="D725" s="56" t="s">
        <v>29</v>
      </c>
      <c r="E725" s="525">
        <v>8</v>
      </c>
      <c r="F725" s="525">
        <v>5</v>
      </c>
      <c r="G725" s="525"/>
      <c r="H725" s="525" t="s">
        <v>29</v>
      </c>
      <c r="I725" s="525" t="s">
        <v>29</v>
      </c>
      <c r="J725" s="525">
        <v>8</v>
      </c>
      <c r="K725" s="525">
        <v>5</v>
      </c>
      <c r="L725" s="525"/>
      <c r="M725" s="525" t="s">
        <v>29</v>
      </c>
      <c r="N725" s="525" t="s">
        <v>29</v>
      </c>
      <c r="O725" s="525">
        <v>8</v>
      </c>
      <c r="P725" s="525">
        <v>5</v>
      </c>
      <c r="Q725" s="525"/>
      <c r="R725" s="525" t="s">
        <v>29</v>
      </c>
      <c r="S725" s="525" t="s">
        <v>29</v>
      </c>
      <c r="T725" s="525">
        <v>8</v>
      </c>
      <c r="U725" s="525">
        <v>5</v>
      </c>
      <c r="V725" s="525"/>
      <c r="W725" s="525" t="s">
        <v>29</v>
      </c>
      <c r="X725" s="525" t="s">
        <v>29</v>
      </c>
      <c r="Y725" s="525">
        <v>8</v>
      </c>
      <c r="Z725" s="525">
        <v>5</v>
      </c>
      <c r="AA725" s="28">
        <f>SUM(E725+J725+O725+T725+Y725)</f>
        <v>40</v>
      </c>
      <c r="AB725" s="296">
        <f>Z725+U725+P725+K725+F725</f>
        <v>25</v>
      </c>
      <c r="AC725" s="4"/>
      <c r="AD725" s="56"/>
      <c r="AE725" s="56"/>
      <c r="AF725" s="19"/>
      <c r="AG725" s="29">
        <f>AF725</f>
        <v>0</v>
      </c>
    </row>
    <row r="726" spans="2:47" hidden="1">
      <c r="B726" s="63" t="s">
        <v>110</v>
      </c>
      <c r="C726" s="56" t="s">
        <v>29</v>
      </c>
      <c r="D726" s="56" t="s">
        <v>29</v>
      </c>
      <c r="E726" s="19">
        <v>0</v>
      </c>
      <c r="F726" s="291"/>
      <c r="G726" s="60"/>
      <c r="H726" s="56" t="s">
        <v>29</v>
      </c>
      <c r="I726" s="56" t="s">
        <v>29</v>
      </c>
      <c r="J726" s="19">
        <v>0</v>
      </c>
      <c r="K726" s="291"/>
      <c r="L726" s="60"/>
      <c r="M726" s="56" t="s">
        <v>29</v>
      </c>
      <c r="N726" s="56" t="s">
        <v>29</v>
      </c>
      <c r="O726" s="19">
        <v>0</v>
      </c>
      <c r="P726" s="19"/>
      <c r="Q726" s="60"/>
      <c r="R726" s="56" t="s">
        <v>29</v>
      </c>
      <c r="S726" s="56" t="s">
        <v>29</v>
      </c>
      <c r="T726" s="19">
        <v>0</v>
      </c>
      <c r="U726" s="19"/>
      <c r="V726" s="60"/>
      <c r="W726" s="56" t="s">
        <v>29</v>
      </c>
      <c r="X726" s="56" t="s">
        <v>29</v>
      </c>
      <c r="Y726" s="19">
        <v>0</v>
      </c>
      <c r="Z726" s="19"/>
      <c r="AA726" s="28">
        <f>SUM(E726+J726+O726+T726+Y726)</f>
        <v>0</v>
      </c>
      <c r="AB726" s="296">
        <f>Z726+U726+P726+K726+F726</f>
        <v>0</v>
      </c>
      <c r="AC726" s="4"/>
      <c r="AD726" s="56"/>
      <c r="AE726" s="56"/>
      <c r="AF726" s="19"/>
      <c r="AG726" s="29">
        <f>AF726</f>
        <v>0</v>
      </c>
    </row>
    <row r="727" spans="2:47" hidden="1">
      <c r="B727" s="71" t="s">
        <v>66</v>
      </c>
      <c r="C727" s="371"/>
      <c r="D727" s="371"/>
      <c r="E727" s="71">
        <f t="shared" ref="E727:AB727" si="120">SUM(E725:E726)</f>
        <v>8</v>
      </c>
      <c r="F727" s="71">
        <f t="shared" si="120"/>
        <v>5</v>
      </c>
      <c r="G727" s="71">
        <f t="shared" si="120"/>
        <v>0</v>
      </c>
      <c r="H727" s="71">
        <f t="shared" si="120"/>
        <v>0</v>
      </c>
      <c r="I727" s="71">
        <f t="shared" si="120"/>
        <v>0</v>
      </c>
      <c r="J727" s="71">
        <f t="shared" si="120"/>
        <v>8</v>
      </c>
      <c r="K727" s="71">
        <f t="shared" si="120"/>
        <v>5</v>
      </c>
      <c r="L727" s="71">
        <f t="shared" si="120"/>
        <v>0</v>
      </c>
      <c r="M727" s="71">
        <f t="shared" si="120"/>
        <v>0</v>
      </c>
      <c r="N727" s="71">
        <f t="shared" si="120"/>
        <v>0</v>
      </c>
      <c r="O727" s="71">
        <f t="shared" si="120"/>
        <v>8</v>
      </c>
      <c r="P727" s="71">
        <f t="shared" si="120"/>
        <v>5</v>
      </c>
      <c r="Q727" s="71">
        <f t="shared" si="120"/>
        <v>0</v>
      </c>
      <c r="R727" s="71">
        <f t="shared" si="120"/>
        <v>0</v>
      </c>
      <c r="S727" s="71">
        <f t="shared" si="120"/>
        <v>0</v>
      </c>
      <c r="T727" s="71">
        <f t="shared" si="120"/>
        <v>8</v>
      </c>
      <c r="U727" s="71">
        <f t="shared" si="120"/>
        <v>5</v>
      </c>
      <c r="V727" s="71">
        <f t="shared" si="120"/>
        <v>0</v>
      </c>
      <c r="W727" s="71">
        <f t="shared" si="120"/>
        <v>0</v>
      </c>
      <c r="X727" s="71">
        <f t="shared" si="120"/>
        <v>0</v>
      </c>
      <c r="Y727" s="71">
        <f t="shared" si="120"/>
        <v>8</v>
      </c>
      <c r="Z727" s="71">
        <f t="shared" si="120"/>
        <v>5</v>
      </c>
      <c r="AA727" s="370">
        <f t="shared" si="120"/>
        <v>40</v>
      </c>
      <c r="AB727" s="370">
        <f t="shared" si="120"/>
        <v>25</v>
      </c>
      <c r="AC727" s="4"/>
      <c r="AG727" s="370">
        <f>SUM(AG725:AG726)</f>
        <v>0</v>
      </c>
    </row>
    <row r="728" spans="2:47" hidden="1">
      <c r="B728" s="217" t="s">
        <v>67</v>
      </c>
      <c r="C728" s="207">
        <f>C729+C730</f>
        <v>80</v>
      </c>
      <c r="D728" s="207"/>
      <c r="E728" s="209"/>
      <c r="F728" s="209"/>
      <c r="G728" s="207"/>
      <c r="H728" s="209"/>
      <c r="I728" s="209"/>
      <c r="J728" s="209"/>
      <c r="K728" s="209"/>
      <c r="L728" s="207"/>
      <c r="M728" s="207"/>
      <c r="N728" s="207"/>
      <c r="O728" s="207"/>
      <c r="P728" s="209"/>
      <c r="Q728" s="207"/>
      <c r="R728" s="207"/>
      <c r="S728" s="207"/>
      <c r="T728" s="207"/>
      <c r="U728" s="209"/>
      <c r="V728" s="207"/>
      <c r="W728" s="207"/>
      <c r="X728" s="207"/>
      <c r="Y728" s="210"/>
      <c r="Z728" s="209"/>
      <c r="AA728" s="211"/>
      <c r="AB728" s="209"/>
      <c r="AC728" s="211"/>
      <c r="AD728" s="211"/>
      <c r="AE728" s="211"/>
      <c r="AF728" s="211"/>
      <c r="AG728" s="211"/>
    </row>
    <row r="729" spans="2:47" hidden="1">
      <c r="B729" s="238" t="s">
        <v>68</v>
      </c>
      <c r="C729" s="239"/>
      <c r="D729" s="207"/>
      <c r="E729" s="209"/>
      <c r="F729" s="209"/>
      <c r="G729" s="207"/>
      <c r="H729" s="209"/>
      <c r="I729" s="209"/>
      <c r="J729" s="209"/>
      <c r="K729" s="209"/>
      <c r="L729" s="207"/>
      <c r="M729" s="207"/>
      <c r="N729" s="207"/>
      <c r="O729" s="207"/>
      <c r="P729" s="209"/>
      <c r="Q729" s="207"/>
      <c r="R729" s="207"/>
      <c r="S729" s="207"/>
      <c r="T729" s="207"/>
      <c r="U729" s="209"/>
      <c r="V729" s="207"/>
      <c r="W729" s="207"/>
      <c r="X729" s="207"/>
      <c r="Y729" s="210"/>
      <c r="Z729" s="209"/>
      <c r="AA729" s="211"/>
      <c r="AB729" s="209"/>
      <c r="AC729" s="211"/>
      <c r="AD729" s="211"/>
      <c r="AE729" s="211"/>
      <c r="AF729" s="211"/>
      <c r="AG729" s="211"/>
    </row>
    <row r="730" spans="2:47" hidden="1">
      <c r="B730" s="238" t="s">
        <v>69</v>
      </c>
      <c r="C730" s="526">
        <f>8*5*2</f>
        <v>80</v>
      </c>
      <c r="D730" s="207"/>
      <c r="E730" s="209"/>
      <c r="F730" s="209"/>
      <c r="G730" s="207"/>
      <c r="H730" s="209"/>
      <c r="I730" s="209"/>
      <c r="J730" s="209"/>
      <c r="K730" s="209"/>
      <c r="L730" s="207"/>
      <c r="M730" s="207"/>
      <c r="N730" s="207"/>
      <c r="O730" s="207"/>
      <c r="P730" s="209"/>
      <c r="Q730" s="207"/>
      <c r="R730" s="207"/>
      <c r="S730" s="207"/>
      <c r="T730" s="207"/>
      <c r="U730" s="209"/>
      <c r="V730" s="207"/>
      <c r="W730" s="207"/>
      <c r="X730" s="207"/>
      <c r="Y730" s="210"/>
      <c r="Z730" s="209"/>
      <c r="AA730" s="211"/>
      <c r="AB730" s="209"/>
      <c r="AC730" s="211"/>
      <c r="AD730" s="211"/>
      <c r="AE730" s="211"/>
      <c r="AF730" s="211"/>
      <c r="AG730" s="211"/>
    </row>
    <row r="731" spans="2:47">
      <c r="E731" s="4"/>
      <c r="F731" s="4"/>
      <c r="G731" s="4"/>
      <c r="J731" s="4"/>
      <c r="K731" s="4"/>
      <c r="L731" s="4"/>
      <c r="O731" s="4"/>
      <c r="P731" s="4"/>
      <c r="T731" s="4"/>
      <c r="U731" s="4"/>
      <c r="Y731" s="4"/>
      <c r="Z731" s="4"/>
      <c r="AA731" s="4"/>
      <c r="AB731" s="4"/>
      <c r="AC731" s="4"/>
    </row>
    <row r="732" spans="2:47">
      <c r="B732" s="229"/>
      <c r="C732" s="230"/>
      <c r="D732" s="230"/>
      <c r="E732" s="232"/>
      <c r="F732" s="232"/>
      <c r="G732" s="230"/>
      <c r="H732" s="232"/>
      <c r="I732" s="232"/>
      <c r="J732" s="232"/>
      <c r="K732" s="232"/>
      <c r="L732" s="230"/>
      <c r="M732" s="230"/>
      <c r="N732" s="230"/>
      <c r="O732" s="230"/>
      <c r="P732" s="232"/>
      <c r="Q732" s="230"/>
      <c r="R732" s="230"/>
      <c r="S732" s="230"/>
      <c r="T732" s="230"/>
      <c r="U732" s="232"/>
      <c r="V732" s="230"/>
      <c r="W732" s="230"/>
      <c r="X732" s="230"/>
      <c r="Y732" s="233"/>
      <c r="Z732" s="232"/>
      <c r="AA732" s="234"/>
      <c r="AB732" s="232"/>
      <c r="AC732" s="373"/>
      <c r="AD732" s="236"/>
      <c r="AE732" s="255"/>
      <c r="AF732" s="255"/>
      <c r="AG732" s="255"/>
      <c r="AH732" s="255"/>
      <c r="AJ732" s="255"/>
      <c r="AK732" s="255"/>
      <c r="AL732" s="255"/>
      <c r="AM732" s="255"/>
      <c r="AN732" s="255"/>
      <c r="AO732" s="255"/>
      <c r="AP732" s="255"/>
      <c r="AQ732" s="255"/>
      <c r="AR732" s="255"/>
      <c r="AS732" s="255"/>
      <c r="AT732" s="255"/>
      <c r="AU732" s="255"/>
    </row>
    <row r="733" spans="2:47">
      <c r="B733" s="180"/>
      <c r="E733" s="4"/>
      <c r="F733" s="4"/>
      <c r="G733" s="4"/>
      <c r="J733" s="4"/>
      <c r="K733" s="4"/>
      <c r="L733" s="4"/>
      <c r="O733" s="4"/>
      <c r="P733" s="4"/>
      <c r="T733" s="4"/>
      <c r="U733" s="4"/>
      <c r="Y733" s="4"/>
      <c r="Z733" s="4"/>
      <c r="AA733" s="4"/>
      <c r="AB733" s="4"/>
      <c r="AC733" s="4"/>
      <c r="AK733" s="180"/>
      <c r="AL733" s="180"/>
      <c r="AM733" s="180"/>
      <c r="AN733" s="180"/>
      <c r="AO733" s="180"/>
      <c r="AP733" s="180"/>
    </row>
    <row r="734" spans="2:47" hidden="1" outlineLevel="1">
      <c r="B734" s="1518" t="s">
        <v>18</v>
      </c>
      <c r="C734" s="1519">
        <v>45439</v>
      </c>
      <c r="D734" s="1519"/>
      <c r="E734" s="1519"/>
      <c r="F734" s="1519"/>
      <c r="G734" s="365"/>
      <c r="H734" s="1519">
        <v>45440</v>
      </c>
      <c r="I734" s="1519"/>
      <c r="J734" s="1519"/>
      <c r="K734" s="1519"/>
      <c r="L734" s="365">
        <v>45343</v>
      </c>
      <c r="M734" s="1519">
        <v>45441</v>
      </c>
      <c r="N734" s="1519"/>
      <c r="O734" s="1519"/>
      <c r="P734" s="1519"/>
      <c r="Q734" s="365"/>
      <c r="R734" s="1519">
        <v>45442</v>
      </c>
      <c r="S734" s="1519"/>
      <c r="T734" s="1519"/>
      <c r="U734" s="1519"/>
      <c r="V734" s="365"/>
      <c r="W734" s="1519">
        <v>45443</v>
      </c>
      <c r="X734" s="1519"/>
      <c r="Y734" s="1519"/>
      <c r="Z734" s="1519"/>
      <c r="AA734" s="1517" t="s">
        <v>19</v>
      </c>
      <c r="AB734" s="1517" t="s">
        <v>20</v>
      </c>
      <c r="AC734" s="4"/>
      <c r="AD734" s="1519">
        <v>45444</v>
      </c>
      <c r="AE734" s="1519"/>
      <c r="AF734" s="1519"/>
      <c r="AG734" s="1517" t="s">
        <v>21</v>
      </c>
      <c r="AI734" s="368"/>
      <c r="AK734" s="194" t="s">
        <v>84</v>
      </c>
      <c r="AL734" s="366"/>
      <c r="AM734" s="366"/>
      <c r="AN734" s="366"/>
      <c r="AO734" s="366"/>
      <c r="AP734" s="366"/>
    </row>
    <row r="735" spans="2:47" hidden="1" outlineLevel="1">
      <c r="B735" s="1518"/>
      <c r="C735" s="21" t="s">
        <v>23</v>
      </c>
      <c r="D735" s="21" t="s">
        <v>24</v>
      </c>
      <c r="E735" s="205" t="s">
        <v>25</v>
      </c>
      <c r="F735" s="18" t="s">
        <v>14</v>
      </c>
      <c r="G735" s="4"/>
      <c r="H735" s="21" t="s">
        <v>23</v>
      </c>
      <c r="I735" s="21" t="s">
        <v>24</v>
      </c>
      <c r="J735" s="18" t="s">
        <v>25</v>
      </c>
      <c r="K735" s="18" t="s">
        <v>14</v>
      </c>
      <c r="L735" s="4"/>
      <c r="M735" s="21" t="s">
        <v>23</v>
      </c>
      <c r="N735" s="21" t="s">
        <v>24</v>
      </c>
      <c r="O735" s="18" t="s">
        <v>25</v>
      </c>
      <c r="P735" s="18" t="s">
        <v>14</v>
      </c>
      <c r="R735" s="484" t="s">
        <v>23</v>
      </c>
      <c r="S735" s="21" t="s">
        <v>24</v>
      </c>
      <c r="T735" s="18" t="s">
        <v>25</v>
      </c>
      <c r="U735" s="18" t="s">
        <v>14</v>
      </c>
      <c r="W735" s="484" t="s">
        <v>23</v>
      </c>
      <c r="X735" s="21" t="s">
        <v>24</v>
      </c>
      <c r="Y735" s="18" t="s">
        <v>25</v>
      </c>
      <c r="Z735" s="18" t="s">
        <v>14</v>
      </c>
      <c r="AA735" s="1517"/>
      <c r="AB735" s="1517"/>
      <c r="AC735" s="4"/>
      <c r="AD735" s="21" t="s">
        <v>23</v>
      </c>
      <c r="AE735" s="21" t="s">
        <v>24</v>
      </c>
      <c r="AF735" s="18" t="s">
        <v>25</v>
      </c>
      <c r="AG735" s="1517"/>
      <c r="AI735" s="368"/>
      <c r="AJ735" s="367"/>
      <c r="AK735" s="494" t="s">
        <v>26</v>
      </c>
      <c r="AL735" s="471">
        <f>AA752</f>
        <v>400</v>
      </c>
      <c r="AM735" s="510">
        <v>38</v>
      </c>
      <c r="AN735" s="510">
        <f t="shared" ref="AN735:AN741" si="121">AL735*AM735</f>
        <v>15200</v>
      </c>
      <c r="AQ735" s="367"/>
      <c r="AR735" s="367"/>
      <c r="AS735" s="367"/>
      <c r="AT735" s="367"/>
      <c r="AU735" s="367"/>
    </row>
    <row r="736" spans="2:47" hidden="1" outlineLevel="1">
      <c r="B736" s="522" t="s">
        <v>266</v>
      </c>
      <c r="C736" s="1544" t="s">
        <v>290</v>
      </c>
      <c r="D736" s="1544"/>
      <c r="E736" s="319"/>
      <c r="F736" s="320"/>
      <c r="G736" s="4"/>
      <c r="H736" s="441" t="s">
        <v>75</v>
      </c>
      <c r="I736" s="47">
        <v>0.25</v>
      </c>
      <c r="J736" s="319">
        <v>8</v>
      </c>
      <c r="K736" s="320"/>
      <c r="L736" s="4"/>
      <c r="M736" s="441" t="s">
        <v>75</v>
      </c>
      <c r="N736" s="47">
        <v>0.25</v>
      </c>
      <c r="O736" s="319">
        <v>8</v>
      </c>
      <c r="P736" s="320"/>
      <c r="R736" s="441" t="s">
        <v>75</v>
      </c>
      <c r="S736" s="47">
        <v>0.25</v>
      </c>
      <c r="T736" s="319">
        <v>8</v>
      </c>
      <c r="U736" s="320"/>
      <c r="W736" s="441" t="s">
        <v>75</v>
      </c>
      <c r="X736" s="47">
        <v>0.25</v>
      </c>
      <c r="Y736" s="319">
        <v>8</v>
      </c>
      <c r="Z736" s="320"/>
      <c r="AA736" s="29">
        <f t="shared" ref="AA736:AA751" si="122">(E736+J736+O736+T736+Y736)</f>
        <v>32</v>
      </c>
      <c r="AB736" s="298">
        <f>Z736+U736+P736+K736+F736</f>
        <v>0</v>
      </c>
      <c r="AC736" s="399"/>
      <c r="AD736" s="47" t="s">
        <v>29</v>
      </c>
      <c r="AE736" s="47" t="s">
        <v>29</v>
      </c>
      <c r="AF736" s="346"/>
      <c r="AG736" s="29">
        <f t="shared" ref="AG736:AG751" si="123">AF736</f>
        <v>0</v>
      </c>
      <c r="AH736" s="175"/>
      <c r="AJ736" s="401"/>
      <c r="AK736" s="494" t="s">
        <v>30</v>
      </c>
      <c r="AL736" s="471">
        <f>AB752</f>
        <v>2.5</v>
      </c>
      <c r="AM736" s="511">
        <v>57</v>
      </c>
      <c r="AN736" s="510">
        <f t="shared" si="121"/>
        <v>142.5</v>
      </c>
      <c r="AO736" s="405"/>
      <c r="AP736" s="405"/>
      <c r="AQ736" s="401"/>
      <c r="AR736" s="401"/>
      <c r="AS736" s="401"/>
      <c r="AT736" s="401"/>
      <c r="AU736" s="401"/>
    </row>
    <row r="737" spans="2:47" hidden="1" outlineLevel="1">
      <c r="B737" s="523" t="s">
        <v>268</v>
      </c>
      <c r="C737" s="1544"/>
      <c r="D737" s="1544"/>
      <c r="E737" s="319"/>
      <c r="F737" s="320"/>
      <c r="G737" s="4"/>
      <c r="H737" s="441" t="s">
        <v>75</v>
      </c>
      <c r="I737" s="47">
        <v>0.25</v>
      </c>
      <c r="J737" s="319">
        <v>8</v>
      </c>
      <c r="K737" s="320"/>
      <c r="L737" s="4"/>
      <c r="M737" s="441" t="s">
        <v>75</v>
      </c>
      <c r="N737" s="47">
        <v>0.25</v>
      </c>
      <c r="O737" s="319">
        <v>8</v>
      </c>
      <c r="P737" s="320"/>
      <c r="R737" s="441" t="s">
        <v>75</v>
      </c>
      <c r="S737" s="47">
        <v>0.25</v>
      </c>
      <c r="T737" s="319">
        <v>8</v>
      </c>
      <c r="U737" s="320"/>
      <c r="W737" s="441" t="s">
        <v>75</v>
      </c>
      <c r="X737" s="47">
        <v>0.25</v>
      </c>
      <c r="Y737" s="319">
        <v>8</v>
      </c>
      <c r="Z737" s="320"/>
      <c r="AA737" s="29">
        <f t="shared" si="122"/>
        <v>32</v>
      </c>
      <c r="AB737" s="298">
        <f>Z737+U737+P737+K737+F737</f>
        <v>0</v>
      </c>
      <c r="AC737" s="175"/>
      <c r="AD737" s="47" t="s">
        <v>29</v>
      </c>
      <c r="AE737" s="47" t="s">
        <v>29</v>
      </c>
      <c r="AF737" s="346"/>
      <c r="AG737" s="344">
        <f t="shared" si="123"/>
        <v>0</v>
      </c>
      <c r="AH737" s="175"/>
      <c r="AI737" s="368"/>
      <c r="AK737" s="494" t="s">
        <v>32</v>
      </c>
      <c r="AL737" s="471">
        <f>AG752</f>
        <v>0</v>
      </c>
      <c r="AM737" s="510">
        <v>57</v>
      </c>
      <c r="AN737" s="510">
        <f t="shared" si="121"/>
        <v>0</v>
      </c>
    </row>
    <row r="738" spans="2:47" hidden="1" outlineLevel="1">
      <c r="B738" s="522" t="s">
        <v>271</v>
      </c>
      <c r="C738" s="1544"/>
      <c r="D738" s="1544"/>
      <c r="E738" s="319"/>
      <c r="F738" s="320"/>
      <c r="G738" s="4"/>
      <c r="H738" s="441" t="s">
        <v>75</v>
      </c>
      <c r="I738" s="47">
        <v>0.25</v>
      </c>
      <c r="J738" s="319">
        <v>8</v>
      </c>
      <c r="K738" s="320"/>
      <c r="L738" s="4"/>
      <c r="M738" s="441" t="s">
        <v>75</v>
      </c>
      <c r="N738" s="47">
        <v>0.25</v>
      </c>
      <c r="O738" s="319">
        <v>8</v>
      </c>
      <c r="P738" s="320"/>
      <c r="R738" s="441" t="s">
        <v>75</v>
      </c>
      <c r="S738" s="47">
        <v>0.25</v>
      </c>
      <c r="T738" s="319">
        <v>8</v>
      </c>
      <c r="U738" s="320"/>
      <c r="W738" s="441" t="s">
        <v>75</v>
      </c>
      <c r="X738" s="47">
        <v>0.25</v>
      </c>
      <c r="Y738" s="319">
        <v>8</v>
      </c>
      <c r="Z738" s="320"/>
      <c r="AA738" s="29">
        <f t="shared" si="122"/>
        <v>32</v>
      </c>
      <c r="AB738" s="298">
        <f>Z738+U738+P738+K738+F738</f>
        <v>0</v>
      </c>
      <c r="AC738" s="4"/>
      <c r="AD738" s="47" t="s">
        <v>29</v>
      </c>
      <c r="AE738" s="47" t="s">
        <v>29</v>
      </c>
      <c r="AF738" s="346"/>
      <c r="AG738" s="29">
        <f t="shared" si="123"/>
        <v>0</v>
      </c>
      <c r="AJ738" s="367"/>
      <c r="AK738" s="494" t="s">
        <v>213</v>
      </c>
      <c r="AL738" s="471">
        <f>AA755</f>
        <v>32</v>
      </c>
      <c r="AM738" s="510">
        <v>50</v>
      </c>
      <c r="AN738" s="510">
        <f t="shared" si="121"/>
        <v>1600</v>
      </c>
      <c r="AQ738" s="367"/>
      <c r="AR738" s="367"/>
      <c r="AS738" s="367"/>
      <c r="AT738" s="367"/>
      <c r="AU738" s="367"/>
    </row>
    <row r="739" spans="2:47" hidden="1" outlineLevel="1">
      <c r="B739" s="523" t="s">
        <v>272</v>
      </c>
      <c r="C739" s="1544"/>
      <c r="D739" s="1544"/>
      <c r="E739" s="319"/>
      <c r="F739" s="320"/>
      <c r="G739" s="4"/>
      <c r="H739" s="441" t="s">
        <v>75</v>
      </c>
      <c r="I739" s="47">
        <v>0.25</v>
      </c>
      <c r="J739" s="319">
        <v>8</v>
      </c>
      <c r="K739" s="320"/>
      <c r="L739" s="4"/>
      <c r="M739" s="441" t="s">
        <v>75</v>
      </c>
      <c r="N739" s="47">
        <v>0.25</v>
      </c>
      <c r="O739" s="319">
        <v>8</v>
      </c>
      <c r="P739" s="320"/>
      <c r="R739" s="441" t="s">
        <v>75</v>
      </c>
      <c r="S739" s="47">
        <v>0.25</v>
      </c>
      <c r="T739" s="319">
        <v>8</v>
      </c>
      <c r="U739" s="320"/>
      <c r="W739" s="441" t="s">
        <v>75</v>
      </c>
      <c r="X739" s="47">
        <v>0.25</v>
      </c>
      <c r="Y739" s="319">
        <v>8</v>
      </c>
      <c r="Z739" s="320"/>
      <c r="AA739" s="29">
        <f t="shared" si="122"/>
        <v>32</v>
      </c>
      <c r="AB739" s="298">
        <f>Z739+U739+P739+K739+F739</f>
        <v>0</v>
      </c>
      <c r="AC739" s="4"/>
      <c r="AD739" s="47" t="s">
        <v>29</v>
      </c>
      <c r="AE739" s="47" t="s">
        <v>29</v>
      </c>
      <c r="AF739" s="346"/>
      <c r="AG739" s="29">
        <f t="shared" si="123"/>
        <v>0</v>
      </c>
      <c r="AK739" s="494" t="s">
        <v>36</v>
      </c>
      <c r="AL739" s="471">
        <f>AB755</f>
        <v>0</v>
      </c>
      <c r="AM739" s="510">
        <v>75</v>
      </c>
      <c r="AN739" s="510">
        <f t="shared" si="121"/>
        <v>0</v>
      </c>
    </row>
    <row r="740" spans="2:47" hidden="1" outlineLevel="1">
      <c r="B740" s="11" t="s">
        <v>273</v>
      </c>
      <c r="C740" s="1544"/>
      <c r="D740" s="1544"/>
      <c r="E740" s="319"/>
      <c r="F740" s="320"/>
      <c r="G740" s="4"/>
      <c r="H740" s="441" t="s">
        <v>75</v>
      </c>
      <c r="I740" s="47">
        <v>0.25</v>
      </c>
      <c r="J740" s="319">
        <v>8</v>
      </c>
      <c r="K740" s="320"/>
      <c r="L740" s="4"/>
      <c r="M740" s="441" t="s">
        <v>75</v>
      </c>
      <c r="N740" s="47">
        <v>0.25</v>
      </c>
      <c r="O740" s="319">
        <v>8</v>
      </c>
      <c r="P740" s="320"/>
      <c r="R740" s="441" t="s">
        <v>75</v>
      </c>
      <c r="S740" s="47">
        <v>0.25</v>
      </c>
      <c r="T740" s="319">
        <v>8</v>
      </c>
      <c r="U740" s="320"/>
      <c r="W740" s="441" t="s">
        <v>75</v>
      </c>
      <c r="X740" s="47">
        <v>0.25</v>
      </c>
      <c r="Y740" s="319">
        <v>8</v>
      </c>
      <c r="Z740" s="320"/>
      <c r="AA740" s="29">
        <f t="shared" si="122"/>
        <v>32</v>
      </c>
      <c r="AB740" s="298">
        <f>Z740+U740+P740+K740+F739</f>
        <v>0</v>
      </c>
      <c r="AC740" s="4"/>
      <c r="AD740" s="47" t="s">
        <v>29</v>
      </c>
      <c r="AE740" s="47" t="s">
        <v>29</v>
      </c>
      <c r="AF740" s="346"/>
      <c r="AG740" s="29">
        <f t="shared" si="123"/>
        <v>0</v>
      </c>
      <c r="AK740" s="494" t="s">
        <v>38</v>
      </c>
      <c r="AL740" s="471">
        <f>AG755</f>
        <v>0</v>
      </c>
      <c r="AM740" s="510">
        <v>75</v>
      </c>
      <c r="AN740" s="510">
        <f t="shared" si="121"/>
        <v>0</v>
      </c>
    </row>
    <row r="741" spans="2:47" ht="14.25" hidden="1" outlineLevel="1" thickBot="1">
      <c r="B741" s="524" t="s">
        <v>275</v>
      </c>
      <c r="C741" s="1544"/>
      <c r="D741" s="1544"/>
      <c r="E741" s="319"/>
      <c r="F741" s="320"/>
      <c r="G741" s="4"/>
      <c r="H741" s="441" t="s">
        <v>75</v>
      </c>
      <c r="I741" s="47">
        <v>0.25</v>
      </c>
      <c r="J741" s="319">
        <v>8</v>
      </c>
      <c r="K741" s="320"/>
      <c r="L741" s="4"/>
      <c r="M741" s="441" t="s">
        <v>75</v>
      </c>
      <c r="N741" s="47">
        <v>0.25</v>
      </c>
      <c r="O741" s="319">
        <v>8</v>
      </c>
      <c r="P741" s="320"/>
      <c r="R741" s="441" t="s">
        <v>75</v>
      </c>
      <c r="S741" s="47">
        <v>0.25</v>
      </c>
      <c r="T741" s="319">
        <v>8</v>
      </c>
      <c r="U741" s="320"/>
      <c r="W741" s="441" t="s">
        <v>75</v>
      </c>
      <c r="X741" s="47">
        <v>0.25</v>
      </c>
      <c r="Y741" s="319">
        <v>8</v>
      </c>
      <c r="Z741" s="320"/>
      <c r="AA741" s="29">
        <f t="shared" si="122"/>
        <v>32</v>
      </c>
      <c r="AB741" s="298">
        <f>Z741+U741+P741+K741+F740</f>
        <v>0</v>
      </c>
      <c r="AC741" s="4"/>
      <c r="AD741" s="47" t="s">
        <v>29</v>
      </c>
      <c r="AE741" s="47" t="s">
        <v>29</v>
      </c>
      <c r="AF741" s="346"/>
      <c r="AG741" s="29">
        <f t="shared" si="123"/>
        <v>0</v>
      </c>
      <c r="AK741" s="494" t="s">
        <v>41</v>
      </c>
      <c r="AL741" s="471">
        <f>C756</f>
        <v>120</v>
      </c>
      <c r="AM741" s="512">
        <v>45</v>
      </c>
      <c r="AN741" s="512">
        <f t="shared" si="121"/>
        <v>5400</v>
      </c>
    </row>
    <row r="742" spans="2:47" ht="14.25" hidden="1" outlineLevel="1" thickTop="1">
      <c r="B742" s="523" t="s">
        <v>276</v>
      </c>
      <c r="C742" s="1544"/>
      <c r="D742" s="1544"/>
      <c r="E742" s="319"/>
      <c r="F742" s="320"/>
      <c r="G742" s="4"/>
      <c r="H742" s="441" t="s">
        <v>75</v>
      </c>
      <c r="I742" s="47">
        <v>0.25</v>
      </c>
      <c r="J742" s="319">
        <v>8</v>
      </c>
      <c r="K742" s="320"/>
      <c r="L742" s="4"/>
      <c r="M742" s="441" t="s">
        <v>75</v>
      </c>
      <c r="N742" s="47">
        <v>0.25</v>
      </c>
      <c r="O742" s="319">
        <v>8</v>
      </c>
      <c r="P742" s="320"/>
      <c r="R742" s="441" t="s">
        <v>75</v>
      </c>
      <c r="S742" s="47">
        <v>0.25</v>
      </c>
      <c r="T742" s="319">
        <v>8</v>
      </c>
      <c r="U742" s="320"/>
      <c r="W742" s="441" t="s">
        <v>75</v>
      </c>
      <c r="X742" s="47">
        <v>0.25</v>
      </c>
      <c r="Y742" s="319">
        <v>8</v>
      </c>
      <c r="Z742" s="320"/>
      <c r="AA742" s="29">
        <f t="shared" si="122"/>
        <v>32</v>
      </c>
      <c r="AB742" s="298">
        <f>Z742+U742+P742+K742+F741</f>
        <v>0</v>
      </c>
      <c r="AC742" s="4"/>
      <c r="AD742" s="47" t="s">
        <v>29</v>
      </c>
      <c r="AE742" s="47" t="s">
        <v>29</v>
      </c>
      <c r="AF742" s="346"/>
      <c r="AG742" s="29">
        <f t="shared" si="123"/>
        <v>0</v>
      </c>
      <c r="AN742" s="510">
        <f>SUM(AN735:AN741)</f>
        <v>22342.5</v>
      </c>
    </row>
    <row r="743" spans="2:47" hidden="1" outlineLevel="1">
      <c r="B743" s="523" t="s">
        <v>277</v>
      </c>
      <c r="C743" s="1544"/>
      <c r="D743" s="1544"/>
      <c r="E743" s="319"/>
      <c r="F743" s="320"/>
      <c r="G743" s="4"/>
      <c r="H743" s="441" t="s">
        <v>75</v>
      </c>
      <c r="I743" s="47">
        <v>0.25</v>
      </c>
      <c r="J743" s="319">
        <v>8</v>
      </c>
      <c r="K743" s="320"/>
      <c r="L743" s="4"/>
      <c r="M743" s="441" t="s">
        <v>75</v>
      </c>
      <c r="N743" s="47">
        <v>0.25</v>
      </c>
      <c r="O743" s="319">
        <v>8</v>
      </c>
      <c r="P743" s="320"/>
      <c r="R743" s="441" t="s">
        <v>75</v>
      </c>
      <c r="S743" s="47">
        <v>0.25</v>
      </c>
      <c r="T743" s="319">
        <v>8</v>
      </c>
      <c r="U743" s="320"/>
      <c r="W743" s="441" t="s">
        <v>75</v>
      </c>
      <c r="X743" s="47">
        <v>0.25</v>
      </c>
      <c r="Y743" s="319">
        <v>8</v>
      </c>
      <c r="Z743" s="320"/>
      <c r="AA743" s="29">
        <f t="shared" si="122"/>
        <v>32</v>
      </c>
      <c r="AB743" s="298">
        <f>Z743+U743+P743+K743+F742</f>
        <v>0</v>
      </c>
      <c r="AC743" s="4"/>
      <c r="AD743" s="47" t="s">
        <v>29</v>
      </c>
      <c r="AE743" s="47" t="s">
        <v>29</v>
      </c>
      <c r="AF743" s="346"/>
      <c r="AG743" s="29">
        <f t="shared" si="123"/>
        <v>0</v>
      </c>
    </row>
    <row r="744" spans="2:47" hidden="1" outlineLevel="1">
      <c r="C744" s="1544"/>
      <c r="D744" s="1544"/>
      <c r="E744" s="319"/>
      <c r="F744" s="320"/>
      <c r="G744" s="4"/>
      <c r="H744" s="441"/>
      <c r="I744" s="47"/>
      <c r="J744" s="319"/>
      <c r="K744" s="320"/>
      <c r="L744" s="4"/>
      <c r="M744" s="441"/>
      <c r="N744" s="47"/>
      <c r="O744" s="319"/>
      <c r="P744" s="320"/>
      <c r="R744" s="441"/>
      <c r="S744" s="47"/>
      <c r="T744" s="319"/>
      <c r="U744" s="320"/>
      <c r="W744" s="441"/>
      <c r="X744" s="47"/>
      <c r="Y744" s="319"/>
      <c r="Z744" s="320"/>
      <c r="AA744" s="29">
        <f t="shared" si="122"/>
        <v>0</v>
      </c>
      <c r="AB744" s="298">
        <f t="shared" ref="AB744:AB751" si="124">Z744+U744+P744+K744+F744</f>
        <v>0</v>
      </c>
      <c r="AC744" s="4"/>
      <c r="AD744" s="47" t="s">
        <v>29</v>
      </c>
      <c r="AE744" s="47" t="s">
        <v>29</v>
      </c>
      <c r="AF744" s="346"/>
      <c r="AG744" s="29">
        <f t="shared" si="123"/>
        <v>0</v>
      </c>
    </row>
    <row r="745" spans="2:47" hidden="1" outlineLevel="1">
      <c r="B745" s="457"/>
      <c r="C745" s="1544"/>
      <c r="D745" s="1544"/>
      <c r="E745" s="319"/>
      <c r="F745" s="320"/>
      <c r="G745" s="4"/>
      <c r="H745" s="441"/>
      <c r="I745" s="47"/>
      <c r="J745" s="319"/>
      <c r="K745" s="320"/>
      <c r="L745" s="4"/>
      <c r="M745" s="441"/>
      <c r="N745" s="47"/>
      <c r="O745" s="319"/>
      <c r="P745" s="320"/>
      <c r="R745" s="441"/>
      <c r="S745" s="47"/>
      <c r="T745" s="319"/>
      <c r="U745" s="320"/>
      <c r="W745" s="441"/>
      <c r="X745" s="47"/>
      <c r="Y745" s="319"/>
      <c r="Z745" s="320"/>
      <c r="AA745" s="29">
        <f t="shared" si="122"/>
        <v>0</v>
      </c>
      <c r="AB745" s="298">
        <f t="shared" si="124"/>
        <v>0</v>
      </c>
      <c r="AC745" s="4"/>
      <c r="AD745" s="47" t="s">
        <v>29</v>
      </c>
      <c r="AE745" s="47" t="s">
        <v>29</v>
      </c>
      <c r="AF745" s="19"/>
      <c r="AG745" s="29">
        <f t="shared" si="123"/>
        <v>0</v>
      </c>
    </row>
    <row r="746" spans="2:47" hidden="1" outlineLevel="1">
      <c r="B746" s="166" t="s">
        <v>279</v>
      </c>
      <c r="C746" s="1544"/>
      <c r="D746" s="1544"/>
      <c r="E746" s="319"/>
      <c r="F746" s="320"/>
      <c r="G746" s="4"/>
      <c r="H746" s="16"/>
      <c r="I746" s="16"/>
      <c r="J746" s="319">
        <v>8</v>
      </c>
      <c r="K746" s="320"/>
      <c r="L746" s="4"/>
      <c r="M746" s="16"/>
      <c r="N746" s="16"/>
      <c r="O746" s="319">
        <v>8</v>
      </c>
      <c r="P746" s="320"/>
      <c r="R746" s="16"/>
      <c r="S746" s="16"/>
      <c r="T746" s="319">
        <v>8</v>
      </c>
      <c r="U746" s="320"/>
      <c r="W746" s="16"/>
      <c r="X746" s="16"/>
      <c r="Y746" s="319">
        <v>8</v>
      </c>
      <c r="Z746" s="320"/>
      <c r="AA746" s="29">
        <f t="shared" si="122"/>
        <v>32</v>
      </c>
      <c r="AB746" s="298">
        <f t="shared" si="124"/>
        <v>0</v>
      </c>
      <c r="AC746" s="4"/>
      <c r="AD746" s="47" t="s">
        <v>29</v>
      </c>
      <c r="AE746" s="47" t="s">
        <v>29</v>
      </c>
      <c r="AF746" s="19"/>
      <c r="AG746" s="29">
        <f t="shared" si="123"/>
        <v>0</v>
      </c>
    </row>
    <row r="747" spans="2:47" hidden="1" outlineLevel="1">
      <c r="B747" s="166" t="s">
        <v>280</v>
      </c>
      <c r="C747" s="1544"/>
      <c r="D747" s="1544"/>
      <c r="E747" s="319"/>
      <c r="F747" s="320"/>
      <c r="G747" s="4"/>
      <c r="H747" s="16"/>
      <c r="I747" s="16"/>
      <c r="J747" s="319">
        <v>8</v>
      </c>
      <c r="K747" s="320">
        <v>0.5</v>
      </c>
      <c r="L747" s="4"/>
      <c r="M747" s="16"/>
      <c r="N747" s="16"/>
      <c r="O747" s="319">
        <v>8</v>
      </c>
      <c r="P747" s="320">
        <v>0.5</v>
      </c>
      <c r="R747" s="16"/>
      <c r="S747" s="16"/>
      <c r="T747" s="319">
        <v>8</v>
      </c>
      <c r="U747" s="320">
        <v>0.5</v>
      </c>
      <c r="W747" s="16"/>
      <c r="X747" s="16"/>
      <c r="Y747" s="319">
        <v>8</v>
      </c>
      <c r="Z747" s="320">
        <v>0.5</v>
      </c>
      <c r="AA747" s="29">
        <f t="shared" si="122"/>
        <v>32</v>
      </c>
      <c r="AB747" s="298">
        <f t="shared" si="124"/>
        <v>2</v>
      </c>
      <c r="AC747" s="4"/>
      <c r="AD747" s="47" t="s">
        <v>29</v>
      </c>
      <c r="AE747" s="47" t="s">
        <v>29</v>
      </c>
      <c r="AF747" s="19"/>
      <c r="AG747" s="29">
        <f t="shared" si="123"/>
        <v>0</v>
      </c>
    </row>
    <row r="748" spans="2:47" hidden="1" outlineLevel="1">
      <c r="B748" s="166" t="s">
        <v>281</v>
      </c>
      <c r="C748" s="1544"/>
      <c r="D748" s="1544"/>
      <c r="E748" s="319"/>
      <c r="F748" s="320"/>
      <c r="G748" s="4"/>
      <c r="H748" s="16"/>
      <c r="I748" s="16"/>
      <c r="J748" s="319">
        <v>8</v>
      </c>
      <c r="K748" s="320"/>
      <c r="L748" s="4"/>
      <c r="M748" s="16"/>
      <c r="N748" s="16"/>
      <c r="O748" s="319">
        <v>8</v>
      </c>
      <c r="P748" s="320"/>
      <c r="R748" s="16"/>
      <c r="S748" s="16"/>
      <c r="T748" s="319">
        <v>8</v>
      </c>
      <c r="U748" s="320"/>
      <c r="W748" s="16"/>
      <c r="X748" s="16"/>
      <c r="Y748" s="319">
        <v>8</v>
      </c>
      <c r="Z748" s="320"/>
      <c r="AA748" s="29">
        <f t="shared" si="122"/>
        <v>32</v>
      </c>
      <c r="AB748" s="298">
        <f t="shared" si="124"/>
        <v>0</v>
      </c>
      <c r="AC748" s="4"/>
      <c r="AD748" s="47" t="s">
        <v>29</v>
      </c>
      <c r="AE748" s="47" t="s">
        <v>29</v>
      </c>
      <c r="AF748" s="19"/>
      <c r="AG748" s="29">
        <f t="shared" si="123"/>
        <v>0</v>
      </c>
    </row>
    <row r="749" spans="2:47" hidden="1" outlineLevel="1">
      <c r="B749" s="166" t="s">
        <v>283</v>
      </c>
      <c r="C749" s="1544"/>
      <c r="D749" s="1544"/>
      <c r="E749" s="319"/>
      <c r="F749" s="320"/>
      <c r="G749" s="4"/>
      <c r="H749" s="16"/>
      <c r="I749" s="16"/>
      <c r="J749" s="319">
        <v>8</v>
      </c>
      <c r="K749" s="320"/>
      <c r="L749" s="4"/>
      <c r="M749" s="16"/>
      <c r="N749" s="16"/>
      <c r="O749" s="319">
        <v>8</v>
      </c>
      <c r="P749" s="320"/>
      <c r="R749" s="16"/>
      <c r="S749" s="16"/>
      <c r="T749" s="319">
        <v>8</v>
      </c>
      <c r="U749" s="320"/>
      <c r="W749" s="16"/>
      <c r="X749" s="16"/>
      <c r="Y749" s="319">
        <v>8</v>
      </c>
      <c r="Z749" s="320"/>
      <c r="AA749" s="29">
        <f t="shared" si="122"/>
        <v>32</v>
      </c>
      <c r="AB749" s="298">
        <f t="shared" si="124"/>
        <v>0</v>
      </c>
      <c r="AC749" s="4"/>
      <c r="AD749" s="47" t="s">
        <v>29</v>
      </c>
      <c r="AE749" s="47" t="s">
        <v>29</v>
      </c>
      <c r="AF749" s="19"/>
      <c r="AG749" s="29">
        <f t="shared" si="123"/>
        <v>0</v>
      </c>
    </row>
    <row r="750" spans="2:47" hidden="1" outlineLevel="1">
      <c r="B750" s="63" t="s">
        <v>63</v>
      </c>
      <c r="C750" s="1544"/>
      <c r="D750" s="1544"/>
      <c r="E750" s="319"/>
      <c r="F750" s="320"/>
      <c r="G750" s="438"/>
      <c r="H750" s="16"/>
      <c r="I750" s="16"/>
      <c r="J750" s="319">
        <v>4</v>
      </c>
      <c r="K750" s="320"/>
      <c r="L750" s="438"/>
      <c r="M750" s="16"/>
      <c r="N750" s="16"/>
      <c r="O750" s="319">
        <v>4</v>
      </c>
      <c r="P750" s="320"/>
      <c r="Q750" s="438"/>
      <c r="R750" s="16"/>
      <c r="S750" s="16"/>
      <c r="T750" s="319">
        <v>4</v>
      </c>
      <c r="U750" s="320">
        <v>0.5</v>
      </c>
      <c r="V750" s="438"/>
      <c r="W750" s="16"/>
      <c r="X750" s="16"/>
      <c r="Y750" s="319">
        <v>4</v>
      </c>
      <c r="Z750" s="320"/>
      <c r="AA750" s="29">
        <f t="shared" si="122"/>
        <v>16</v>
      </c>
      <c r="AB750" s="298">
        <f t="shared" si="124"/>
        <v>0.5</v>
      </c>
      <c r="AC750" s="4"/>
      <c r="AD750" s="47" t="s">
        <v>29</v>
      </c>
      <c r="AE750" s="47" t="s">
        <v>29</v>
      </c>
      <c r="AF750" s="19"/>
      <c r="AG750" s="29">
        <f t="shared" si="123"/>
        <v>0</v>
      </c>
      <c r="AK750" s="407"/>
    </row>
    <row r="751" spans="2:47" hidden="1" outlineLevel="1">
      <c r="B751" s="63" t="s">
        <v>250</v>
      </c>
      <c r="C751" s="1544"/>
      <c r="D751" s="1544"/>
      <c r="E751" s="319"/>
      <c r="F751" s="320"/>
      <c r="G751" s="438"/>
      <c r="H751" s="16"/>
      <c r="I751" s="16"/>
      <c r="J751" s="319"/>
      <c r="K751" s="320"/>
      <c r="L751" s="438"/>
      <c r="M751" s="16"/>
      <c r="N751" s="16"/>
      <c r="O751" s="319"/>
      <c r="P751" s="320"/>
      <c r="Q751" s="438"/>
      <c r="R751" s="16"/>
      <c r="S751" s="16"/>
      <c r="T751" s="319"/>
      <c r="U751" s="320"/>
      <c r="V751" s="438"/>
      <c r="W751" s="16"/>
      <c r="X751" s="16"/>
      <c r="Y751" s="319"/>
      <c r="Z751" s="320"/>
      <c r="AA751" s="29">
        <f t="shared" si="122"/>
        <v>0</v>
      </c>
      <c r="AB751" s="298">
        <f t="shared" si="124"/>
        <v>0</v>
      </c>
      <c r="AC751" s="4"/>
      <c r="AD751" s="47" t="s">
        <v>29</v>
      </c>
      <c r="AE751" s="47" t="s">
        <v>29</v>
      </c>
      <c r="AF751" s="19"/>
      <c r="AG751" s="29">
        <f t="shared" si="123"/>
        <v>0</v>
      </c>
      <c r="AK751" s="407"/>
    </row>
    <row r="752" spans="2:47" hidden="1" outlineLevel="1">
      <c r="B752" s="64" t="s">
        <v>61</v>
      </c>
      <c r="C752" s="31"/>
      <c r="D752" s="31"/>
      <c r="E752" s="439">
        <f>SUM(E736:E751)</f>
        <v>0</v>
      </c>
      <c r="F752" s="320">
        <f>SUM(F736:F745)</f>
        <v>0</v>
      </c>
      <c r="G752" s="31"/>
      <c r="H752" s="31"/>
      <c r="I752" s="31"/>
      <c r="J752" s="439">
        <f>SUM(J736:J751)</f>
        <v>100</v>
      </c>
      <c r="K752" s="320">
        <f>SUM(K736:K751)</f>
        <v>0.5</v>
      </c>
      <c r="L752" s="31"/>
      <c r="M752" s="31"/>
      <c r="N752" s="31"/>
      <c r="O752" s="439">
        <f>SUM(O736:O751)</f>
        <v>100</v>
      </c>
      <c r="P752" s="320">
        <f>SUM(P736:P749)</f>
        <v>0.5</v>
      </c>
      <c r="Q752" s="31"/>
      <c r="R752" s="31"/>
      <c r="S752" s="31"/>
      <c r="T752" s="439">
        <f>SUM(T736:T751)</f>
        <v>100</v>
      </c>
      <c r="U752" s="320">
        <f>SUM(U736:U751)</f>
        <v>1</v>
      </c>
      <c r="V752" s="31"/>
      <c r="W752" s="31"/>
      <c r="X752" s="31"/>
      <c r="Y752" s="439">
        <f>SUM(Y736:Y751)</f>
        <v>100</v>
      </c>
      <c r="Z752" s="320">
        <f>SUM(Z736:Z745)</f>
        <v>0</v>
      </c>
      <c r="AA752" s="370">
        <f>SUM(AA736:AA751)</f>
        <v>400</v>
      </c>
      <c r="AB752" s="370">
        <f>SUM(AB736:AB751)</f>
        <v>2.5</v>
      </c>
      <c r="AC752" s="4"/>
      <c r="AD752" s="64"/>
      <c r="AE752" s="64"/>
      <c r="AF752" s="167">
        <f>SUM(AF736:AF751)</f>
        <v>0</v>
      </c>
      <c r="AG752" s="370">
        <f>SUM(AG736:AG751)</f>
        <v>0</v>
      </c>
    </row>
    <row r="753" spans="1:47" hidden="1" outlineLevel="1">
      <c r="B753" s="63" t="s">
        <v>64</v>
      </c>
      <c r="C753" s="56" t="s">
        <v>29</v>
      </c>
      <c r="D753" s="56" t="s">
        <v>29</v>
      </c>
      <c r="E753" s="525"/>
      <c r="F753" s="525"/>
      <c r="G753" s="525"/>
      <c r="H753" s="525"/>
      <c r="I753" s="525"/>
      <c r="J753" s="525">
        <v>8</v>
      </c>
      <c r="K753" s="525"/>
      <c r="L753" s="525"/>
      <c r="M753" s="525"/>
      <c r="N753" s="525"/>
      <c r="O753" s="525">
        <v>8</v>
      </c>
      <c r="P753" s="525"/>
      <c r="Q753" s="525"/>
      <c r="R753" s="525"/>
      <c r="S753" s="525"/>
      <c r="T753" s="525">
        <v>8</v>
      </c>
      <c r="U753" s="525"/>
      <c r="V753" s="525"/>
      <c r="W753" s="525"/>
      <c r="X753" s="525"/>
      <c r="Y753" s="525">
        <v>8</v>
      </c>
      <c r="Z753" s="525"/>
      <c r="AA753" s="28">
        <f>SUM(E753+J753+O753+T753+Y753)</f>
        <v>32</v>
      </c>
      <c r="AB753" s="296">
        <f>Z753+U753+P753+K753+F753</f>
        <v>0</v>
      </c>
      <c r="AC753" s="4"/>
      <c r="AD753" s="56"/>
      <c r="AE753" s="56"/>
      <c r="AF753" s="19"/>
      <c r="AG753" s="29">
        <f>AF753</f>
        <v>0</v>
      </c>
    </row>
    <row r="754" spans="1:47" hidden="1" outlineLevel="1">
      <c r="B754" s="63" t="s">
        <v>110</v>
      </c>
      <c r="C754" s="56" t="s">
        <v>29</v>
      </c>
      <c r="D754" s="56" t="s">
        <v>29</v>
      </c>
      <c r="E754" s="19">
        <v>0</v>
      </c>
      <c r="F754" s="291"/>
      <c r="G754" s="60"/>
      <c r="H754" s="56" t="s">
        <v>29</v>
      </c>
      <c r="I754" s="56" t="s">
        <v>29</v>
      </c>
      <c r="J754" s="19">
        <v>0</v>
      </c>
      <c r="K754" s="291"/>
      <c r="L754" s="60"/>
      <c r="M754" s="56" t="s">
        <v>29</v>
      </c>
      <c r="N754" s="56" t="s">
        <v>29</v>
      </c>
      <c r="O754" s="19">
        <v>0</v>
      </c>
      <c r="P754" s="19"/>
      <c r="Q754" s="60"/>
      <c r="R754" s="56" t="s">
        <v>29</v>
      </c>
      <c r="S754" s="56" t="s">
        <v>29</v>
      </c>
      <c r="T754" s="19">
        <v>0</v>
      </c>
      <c r="U754" s="19"/>
      <c r="V754" s="60"/>
      <c r="W754" s="56" t="s">
        <v>29</v>
      </c>
      <c r="X754" s="56" t="s">
        <v>29</v>
      </c>
      <c r="Y754" s="19">
        <v>0</v>
      </c>
      <c r="Z754" s="19"/>
      <c r="AA754" s="28">
        <f>SUM(E754+J754+O754+T754+Y754)</f>
        <v>0</v>
      </c>
      <c r="AB754" s="296">
        <f>Z754+U754+P754+K754+F754</f>
        <v>0</v>
      </c>
      <c r="AC754" s="4"/>
      <c r="AD754" s="56"/>
      <c r="AE754" s="56"/>
      <c r="AF754" s="19"/>
      <c r="AG754" s="29">
        <f>AF754</f>
        <v>0</v>
      </c>
    </row>
    <row r="755" spans="1:47" hidden="1" outlineLevel="1">
      <c r="B755" s="71" t="s">
        <v>66</v>
      </c>
      <c r="C755" s="371"/>
      <c r="D755" s="371"/>
      <c r="E755" s="71">
        <f t="shared" ref="E755:AB755" si="125">SUM(E753:E754)</f>
        <v>0</v>
      </c>
      <c r="F755" s="71">
        <f t="shared" si="125"/>
        <v>0</v>
      </c>
      <c r="G755" s="71">
        <f t="shared" si="125"/>
        <v>0</v>
      </c>
      <c r="H755" s="71">
        <f t="shared" si="125"/>
        <v>0</v>
      </c>
      <c r="I755" s="71">
        <f t="shared" si="125"/>
        <v>0</v>
      </c>
      <c r="J755" s="71">
        <f t="shared" si="125"/>
        <v>8</v>
      </c>
      <c r="K755" s="71">
        <f t="shared" si="125"/>
        <v>0</v>
      </c>
      <c r="L755" s="71">
        <f t="shared" si="125"/>
        <v>0</v>
      </c>
      <c r="M755" s="71">
        <f t="shared" si="125"/>
        <v>0</v>
      </c>
      <c r="N755" s="71">
        <f t="shared" si="125"/>
        <v>0</v>
      </c>
      <c r="O755" s="71">
        <f t="shared" si="125"/>
        <v>8</v>
      </c>
      <c r="P755" s="71">
        <f t="shared" si="125"/>
        <v>0</v>
      </c>
      <c r="Q755" s="71">
        <f t="shared" si="125"/>
        <v>0</v>
      </c>
      <c r="R755" s="71">
        <f t="shared" si="125"/>
        <v>0</v>
      </c>
      <c r="S755" s="71">
        <f t="shared" si="125"/>
        <v>0</v>
      </c>
      <c r="T755" s="71">
        <f t="shared" si="125"/>
        <v>8</v>
      </c>
      <c r="U755" s="71">
        <f t="shared" si="125"/>
        <v>0</v>
      </c>
      <c r="V755" s="71">
        <f t="shared" si="125"/>
        <v>0</v>
      </c>
      <c r="W755" s="71">
        <f t="shared" si="125"/>
        <v>0</v>
      </c>
      <c r="X755" s="71">
        <f t="shared" si="125"/>
        <v>0</v>
      </c>
      <c r="Y755" s="71">
        <f t="shared" si="125"/>
        <v>8</v>
      </c>
      <c r="Z755" s="71">
        <f t="shared" si="125"/>
        <v>0</v>
      </c>
      <c r="AA755" s="370">
        <f t="shared" si="125"/>
        <v>32</v>
      </c>
      <c r="AB755" s="370">
        <f t="shared" si="125"/>
        <v>0</v>
      </c>
      <c r="AC755" s="4"/>
      <c r="AG755" s="370">
        <f>SUM(AG753:AG754)</f>
        <v>0</v>
      </c>
    </row>
    <row r="756" spans="1:47" hidden="1" outlineLevel="1">
      <c r="B756" s="217" t="s">
        <v>67</v>
      </c>
      <c r="C756" s="207">
        <f>C757+C758</f>
        <v>120</v>
      </c>
      <c r="D756" s="207"/>
      <c r="E756" s="209"/>
      <c r="F756" s="209"/>
      <c r="G756" s="207"/>
      <c r="H756" s="209"/>
      <c r="I756" s="209"/>
      <c r="J756" s="209"/>
      <c r="K756" s="209"/>
      <c r="L756" s="207"/>
      <c r="M756" s="207"/>
      <c r="N756" s="207"/>
      <c r="O756" s="207"/>
      <c r="P756" s="209"/>
      <c r="Q756" s="207"/>
      <c r="R756" s="207"/>
      <c r="S756" s="207"/>
      <c r="T756" s="207"/>
      <c r="U756" s="209"/>
      <c r="V756" s="207"/>
      <c r="W756" s="207"/>
      <c r="X756" s="207"/>
      <c r="Y756" s="210"/>
      <c r="Z756" s="209"/>
      <c r="AA756" s="211"/>
      <c r="AB756" s="209"/>
      <c r="AC756" s="211"/>
      <c r="AD756" s="211"/>
      <c r="AE756" s="211"/>
      <c r="AF756" s="211"/>
      <c r="AG756" s="211"/>
    </row>
    <row r="757" spans="1:47" hidden="1" outlineLevel="1">
      <c r="B757" s="238" t="s">
        <v>68</v>
      </c>
      <c r="C757" s="239"/>
      <c r="D757" s="207"/>
      <c r="E757" s="209"/>
      <c r="F757" s="209"/>
      <c r="G757" s="207"/>
      <c r="H757" s="209"/>
      <c r="I757" s="209"/>
      <c r="J757" s="209"/>
      <c r="K757" s="209"/>
      <c r="L757" s="207"/>
      <c r="M757" s="207"/>
      <c r="N757" s="207"/>
      <c r="O757" s="207"/>
      <c r="P757" s="209"/>
      <c r="Q757" s="207"/>
      <c r="R757" s="207"/>
      <c r="S757" s="207"/>
      <c r="T757" s="207"/>
      <c r="U757" s="209"/>
      <c r="V757" s="207"/>
      <c r="W757" s="207"/>
      <c r="X757" s="207"/>
      <c r="Y757" s="210"/>
      <c r="Z757" s="209"/>
      <c r="AA757" s="211"/>
      <c r="AB757" s="209"/>
      <c r="AC757" s="211"/>
      <c r="AD757" s="211"/>
      <c r="AE757" s="211"/>
      <c r="AF757" s="211"/>
      <c r="AG757" s="211"/>
    </row>
    <row r="758" spans="1:47" hidden="1" outlineLevel="1">
      <c r="B758" s="238" t="s">
        <v>69</v>
      </c>
      <c r="C758" s="526">
        <f>8*5*3</f>
        <v>120</v>
      </c>
      <c r="D758" s="207"/>
      <c r="E758" s="209"/>
      <c r="F758" s="209"/>
      <c r="G758" s="207"/>
      <c r="H758" s="209"/>
      <c r="I758" s="209"/>
      <c r="J758" s="209"/>
      <c r="K758" s="209"/>
      <c r="L758" s="207"/>
      <c r="M758" s="207"/>
      <c r="N758" s="207"/>
      <c r="O758" s="207"/>
      <c r="P758" s="209"/>
      <c r="Q758" s="207"/>
      <c r="R758" s="207"/>
      <c r="S758" s="207"/>
      <c r="T758" s="207"/>
      <c r="U758" s="209"/>
      <c r="V758" s="207"/>
      <c r="W758" s="207"/>
      <c r="X758" s="207"/>
      <c r="Y758" s="210"/>
      <c r="Z758" s="209"/>
      <c r="AA758" s="211"/>
      <c r="AB758" s="209"/>
      <c r="AC758" s="211"/>
      <c r="AD758" s="211"/>
      <c r="AE758" s="211"/>
      <c r="AF758" s="211"/>
      <c r="AG758" s="211"/>
    </row>
    <row r="759" spans="1:47" hidden="1" outlineLevel="1">
      <c r="A759" s="180"/>
      <c r="B759" s="180"/>
      <c r="E759" s="4"/>
      <c r="F759" s="4"/>
      <c r="G759" s="4"/>
      <c r="J759" s="4"/>
      <c r="K759" s="4"/>
      <c r="L759" s="4"/>
      <c r="O759" s="4"/>
      <c r="P759" s="4"/>
      <c r="T759" s="4"/>
      <c r="U759" s="4"/>
      <c r="Y759" s="4"/>
      <c r="Z759" s="4"/>
      <c r="AA759" s="4"/>
      <c r="AB759" s="4"/>
      <c r="AC759" s="4"/>
    </row>
    <row r="760" spans="1:47" collapsed="1">
      <c r="B760" s="229"/>
      <c r="C760" s="230"/>
      <c r="D760" s="230"/>
      <c r="E760" s="232"/>
      <c r="F760" s="232"/>
      <c r="G760" s="230"/>
      <c r="H760" s="232"/>
      <c r="I760" s="232"/>
      <c r="J760" s="232"/>
      <c r="K760" s="232"/>
      <c r="L760" s="230"/>
      <c r="M760" s="230"/>
      <c r="N760" s="230"/>
      <c r="O760" s="230"/>
      <c r="P760" s="232"/>
      <c r="Q760" s="230"/>
      <c r="R760" s="230"/>
      <c r="S760" s="230"/>
      <c r="T760" s="230"/>
      <c r="U760" s="232"/>
      <c r="V760" s="230"/>
      <c r="W760" s="230"/>
      <c r="X760" s="230"/>
      <c r="Y760" s="233"/>
      <c r="Z760" s="232"/>
      <c r="AA760" s="234"/>
      <c r="AB760" s="232"/>
      <c r="AC760" s="373"/>
      <c r="AD760" s="236"/>
      <c r="AE760" s="255"/>
      <c r="AF760" s="255"/>
      <c r="AG760" s="255"/>
      <c r="AH760" s="255"/>
      <c r="AJ760" s="255"/>
      <c r="AK760" s="255"/>
      <c r="AL760" s="255"/>
      <c r="AM760" s="255"/>
      <c r="AN760" s="255"/>
      <c r="AO760" s="255"/>
      <c r="AP760" s="255"/>
      <c r="AQ760" s="255"/>
      <c r="AR760" s="255"/>
      <c r="AS760" s="255"/>
      <c r="AT760" s="255"/>
      <c r="AU760" s="255"/>
    </row>
    <row r="761" spans="1:47" hidden="1" outlineLevel="1">
      <c r="B761" s="180"/>
      <c r="E761" s="4"/>
      <c r="F761" s="4"/>
      <c r="G761" s="4"/>
      <c r="J761" s="4"/>
      <c r="K761" s="4"/>
      <c r="L761" s="4"/>
      <c r="O761" s="4"/>
      <c r="P761" s="4"/>
      <c r="T761" s="4"/>
      <c r="U761" s="4"/>
      <c r="Y761" s="4"/>
      <c r="Z761" s="4"/>
      <c r="AA761" s="4"/>
      <c r="AB761" s="4"/>
      <c r="AC761" s="4"/>
      <c r="AK761" s="180"/>
      <c r="AL761" s="180"/>
      <c r="AM761" s="180"/>
      <c r="AN761" s="180"/>
      <c r="AO761" s="180"/>
      <c r="AP761" s="180"/>
    </row>
    <row r="762" spans="1:47" hidden="1" outlineLevel="1">
      <c r="B762" s="1518" t="s">
        <v>18</v>
      </c>
      <c r="C762" s="1519">
        <v>45446</v>
      </c>
      <c r="D762" s="1519"/>
      <c r="E762" s="1519"/>
      <c r="F762" s="1519"/>
      <c r="G762" s="365"/>
      <c r="H762" s="1519">
        <v>45447</v>
      </c>
      <c r="I762" s="1519"/>
      <c r="J762" s="1519"/>
      <c r="K762" s="1519"/>
      <c r="L762" s="365">
        <v>45343</v>
      </c>
      <c r="M762" s="1519">
        <v>45448</v>
      </c>
      <c r="N762" s="1519"/>
      <c r="O762" s="1519"/>
      <c r="P762" s="1519"/>
      <c r="Q762" s="365"/>
      <c r="R762" s="1519">
        <v>45449</v>
      </c>
      <c r="S762" s="1519"/>
      <c r="T762" s="1519"/>
      <c r="U762" s="1519"/>
      <c r="V762" s="365"/>
      <c r="W762" s="1519">
        <v>45450</v>
      </c>
      <c r="X762" s="1519"/>
      <c r="Y762" s="1519"/>
      <c r="Z762" s="1519"/>
      <c r="AA762" s="1517" t="s">
        <v>19</v>
      </c>
      <c r="AB762" s="1517" t="s">
        <v>20</v>
      </c>
      <c r="AC762" s="4"/>
      <c r="AD762" s="1519">
        <v>45451</v>
      </c>
      <c r="AE762" s="1519"/>
      <c r="AF762" s="1519"/>
      <c r="AG762" s="1517" t="s">
        <v>21</v>
      </c>
      <c r="AI762" s="368"/>
      <c r="AK762" s="194" t="s">
        <v>84</v>
      </c>
      <c r="AL762" s="366"/>
      <c r="AM762" s="366"/>
      <c r="AN762" s="366"/>
      <c r="AO762" s="366"/>
      <c r="AP762" s="366"/>
    </row>
    <row r="763" spans="1:47" hidden="1" outlineLevel="1">
      <c r="B763" s="1518"/>
      <c r="C763" s="21" t="s">
        <v>23</v>
      </c>
      <c r="D763" s="21" t="s">
        <v>24</v>
      </c>
      <c r="E763" s="205" t="s">
        <v>25</v>
      </c>
      <c r="F763" s="18" t="s">
        <v>14</v>
      </c>
      <c r="G763" s="4"/>
      <c r="H763" s="21" t="s">
        <v>23</v>
      </c>
      <c r="I763" s="21" t="s">
        <v>24</v>
      </c>
      <c r="J763" s="18" t="s">
        <v>25</v>
      </c>
      <c r="K763" s="18" t="s">
        <v>14</v>
      </c>
      <c r="L763" s="4"/>
      <c r="M763" s="21" t="s">
        <v>23</v>
      </c>
      <c r="N763" s="21" t="s">
        <v>24</v>
      </c>
      <c r="O763" s="18" t="s">
        <v>25</v>
      </c>
      <c r="P763" s="18" t="s">
        <v>14</v>
      </c>
      <c r="R763" s="484" t="s">
        <v>23</v>
      </c>
      <c r="S763" s="21" t="s">
        <v>24</v>
      </c>
      <c r="T763" s="18" t="s">
        <v>25</v>
      </c>
      <c r="U763" s="18" t="s">
        <v>14</v>
      </c>
      <c r="W763" s="484" t="s">
        <v>23</v>
      </c>
      <c r="X763" s="21" t="s">
        <v>24</v>
      </c>
      <c r="Y763" s="18" t="s">
        <v>25</v>
      </c>
      <c r="Z763" s="18" t="s">
        <v>14</v>
      </c>
      <c r="AA763" s="1517"/>
      <c r="AB763" s="1517"/>
      <c r="AC763" s="4"/>
      <c r="AD763" s="21" t="s">
        <v>23</v>
      </c>
      <c r="AE763" s="21" t="s">
        <v>24</v>
      </c>
      <c r="AF763" s="18" t="s">
        <v>25</v>
      </c>
      <c r="AG763" s="1517"/>
      <c r="AI763" s="368"/>
      <c r="AJ763" s="367"/>
      <c r="AK763" s="494" t="s">
        <v>26</v>
      </c>
      <c r="AL763" s="471">
        <f>AA780</f>
        <v>484</v>
      </c>
      <c r="AM763" s="510">
        <v>38</v>
      </c>
      <c r="AN763" s="510">
        <f t="shared" ref="AN763:AN769" si="126">AL763*AM763</f>
        <v>18392</v>
      </c>
      <c r="AQ763" s="367"/>
      <c r="AR763" s="367"/>
      <c r="AS763" s="367"/>
      <c r="AT763" s="367"/>
      <c r="AU763" s="367"/>
    </row>
    <row r="764" spans="1:47" hidden="1" outlineLevel="1">
      <c r="B764" s="522" t="s">
        <v>266</v>
      </c>
      <c r="C764" s="441" t="s">
        <v>75</v>
      </c>
      <c r="D764" s="47">
        <v>0.25</v>
      </c>
      <c r="E764" s="319">
        <v>8</v>
      </c>
      <c r="F764" s="320"/>
      <c r="G764" s="4"/>
      <c r="H764" s="441" t="s">
        <v>75</v>
      </c>
      <c r="I764" s="47">
        <v>0.25</v>
      </c>
      <c r="J764" s="319">
        <v>8</v>
      </c>
      <c r="K764" s="320"/>
      <c r="L764" s="4"/>
      <c r="M764" s="441" t="s">
        <v>75</v>
      </c>
      <c r="N764" s="47">
        <v>0.25</v>
      </c>
      <c r="O764" s="319">
        <v>8</v>
      </c>
      <c r="P764" s="320"/>
      <c r="R764" s="441" t="s">
        <v>75</v>
      </c>
      <c r="S764" s="47">
        <v>0.25</v>
      </c>
      <c r="T764" s="319">
        <v>8</v>
      </c>
      <c r="U764" s="320"/>
      <c r="W764" s="441" t="s">
        <v>75</v>
      </c>
      <c r="X764" s="47">
        <v>0.25</v>
      </c>
      <c r="Y764" s="319">
        <v>8</v>
      </c>
      <c r="Z764" s="320"/>
      <c r="AA764" s="29">
        <f t="shared" ref="AA764:AA779" si="127">(E764+J764+O764+T764+Y764)</f>
        <v>40</v>
      </c>
      <c r="AB764" s="298">
        <f>Z764+U764+P764+K764+F764</f>
        <v>0</v>
      </c>
      <c r="AC764" s="399"/>
      <c r="AD764" s="47" t="s">
        <v>29</v>
      </c>
      <c r="AE764" s="47" t="s">
        <v>29</v>
      </c>
      <c r="AF764" s="346"/>
      <c r="AG764" s="29">
        <f t="shared" ref="AG764:AG779" si="128">AF764</f>
        <v>0</v>
      </c>
      <c r="AH764" s="175"/>
      <c r="AJ764" s="401"/>
      <c r="AK764" s="494" t="s">
        <v>30</v>
      </c>
      <c r="AL764" s="471">
        <f>AB780</f>
        <v>0.5</v>
      </c>
      <c r="AM764" s="511">
        <v>57</v>
      </c>
      <c r="AN764" s="510">
        <f t="shared" si="126"/>
        <v>28.5</v>
      </c>
      <c r="AO764" s="405"/>
      <c r="AP764" s="405"/>
      <c r="AQ764" s="401"/>
      <c r="AR764" s="401"/>
      <c r="AS764" s="401"/>
      <c r="AT764" s="401"/>
      <c r="AU764" s="401"/>
    </row>
    <row r="765" spans="1:47" hidden="1" outlineLevel="1">
      <c r="B765" s="523" t="s">
        <v>268</v>
      </c>
      <c r="C765" s="441" t="s">
        <v>75</v>
      </c>
      <c r="D765" s="47">
        <v>0.25</v>
      </c>
      <c r="E765" s="319">
        <v>8</v>
      </c>
      <c r="F765" s="320"/>
      <c r="G765" s="4"/>
      <c r="H765" s="441" t="s">
        <v>75</v>
      </c>
      <c r="I765" s="47">
        <v>0.25</v>
      </c>
      <c r="J765" s="319">
        <v>8</v>
      </c>
      <c r="K765" s="320"/>
      <c r="L765" s="4"/>
      <c r="M765" s="441" t="s">
        <v>75</v>
      </c>
      <c r="N765" s="47">
        <v>0.25</v>
      </c>
      <c r="O765" s="319">
        <v>8</v>
      </c>
      <c r="P765" s="320"/>
      <c r="R765" s="441" t="s">
        <v>75</v>
      </c>
      <c r="S765" s="47">
        <v>0.25</v>
      </c>
      <c r="T765" s="319">
        <v>8</v>
      </c>
      <c r="U765" s="320"/>
      <c r="W765" s="441" t="s">
        <v>75</v>
      </c>
      <c r="X765" s="47">
        <v>0.25</v>
      </c>
      <c r="Y765" s="319">
        <v>8</v>
      </c>
      <c r="Z765" s="320"/>
      <c r="AA765" s="29">
        <f t="shared" si="127"/>
        <v>40</v>
      </c>
      <c r="AB765" s="298">
        <f>Z765+U765+P765+K765+F765</f>
        <v>0</v>
      </c>
      <c r="AC765" s="175"/>
      <c r="AD765" s="47" t="s">
        <v>29</v>
      </c>
      <c r="AE765" s="47" t="s">
        <v>29</v>
      </c>
      <c r="AF765" s="346"/>
      <c r="AG765" s="344">
        <f t="shared" si="128"/>
        <v>0</v>
      </c>
      <c r="AH765" s="175"/>
      <c r="AI765" s="368"/>
      <c r="AK765" s="494" t="s">
        <v>32</v>
      </c>
      <c r="AL765" s="471">
        <f>AG780</f>
        <v>0</v>
      </c>
      <c r="AM765" s="510">
        <v>57</v>
      </c>
      <c r="AN765" s="510">
        <f t="shared" si="126"/>
        <v>0</v>
      </c>
    </row>
    <row r="766" spans="1:47" hidden="1" outlineLevel="1">
      <c r="B766" s="522" t="s">
        <v>271</v>
      </c>
      <c r="C766" s="441" t="s">
        <v>75</v>
      </c>
      <c r="D766" s="47">
        <v>0.25</v>
      </c>
      <c r="E766" s="319">
        <v>8</v>
      </c>
      <c r="F766" s="320">
        <v>0.5</v>
      </c>
      <c r="G766" s="4"/>
      <c r="H766" s="441" t="s">
        <v>75</v>
      </c>
      <c r="I766" s="47">
        <v>0.25</v>
      </c>
      <c r="J766" s="319">
        <v>8</v>
      </c>
      <c r="K766" s="320"/>
      <c r="L766" s="4"/>
      <c r="M766" s="441" t="s">
        <v>75</v>
      </c>
      <c r="N766" s="47">
        <v>0.25</v>
      </c>
      <c r="O766" s="319">
        <v>8</v>
      </c>
      <c r="P766" s="320"/>
      <c r="R766" s="441" t="s">
        <v>75</v>
      </c>
      <c r="S766" s="47">
        <v>0.25</v>
      </c>
      <c r="T766" s="319">
        <v>8</v>
      </c>
      <c r="U766" s="320"/>
      <c r="W766" s="441" t="s">
        <v>75</v>
      </c>
      <c r="X766" s="47">
        <v>0.25</v>
      </c>
      <c r="Y766" s="319">
        <v>8</v>
      </c>
      <c r="Z766" s="320"/>
      <c r="AA766" s="29">
        <f t="shared" si="127"/>
        <v>40</v>
      </c>
      <c r="AB766" s="298">
        <f>Z766+U766+P766+K766+F766</f>
        <v>0.5</v>
      </c>
      <c r="AC766" s="4"/>
      <c r="AD766" s="47" t="s">
        <v>29</v>
      </c>
      <c r="AE766" s="47" t="s">
        <v>29</v>
      </c>
      <c r="AF766" s="346"/>
      <c r="AG766" s="29">
        <f t="shared" si="128"/>
        <v>0</v>
      </c>
      <c r="AJ766" s="367"/>
      <c r="AK766" s="494" t="s">
        <v>213</v>
      </c>
      <c r="AL766" s="471">
        <f>AA783</f>
        <v>30</v>
      </c>
      <c r="AM766" s="510">
        <v>50</v>
      </c>
      <c r="AN766" s="510">
        <f t="shared" si="126"/>
        <v>1500</v>
      </c>
      <c r="AQ766" s="367"/>
      <c r="AR766" s="367"/>
      <c r="AS766" s="367"/>
      <c r="AT766" s="367"/>
      <c r="AU766" s="367"/>
    </row>
    <row r="767" spans="1:47" hidden="1" outlineLevel="1">
      <c r="B767" s="523" t="s">
        <v>272</v>
      </c>
      <c r="C767" s="441" t="s">
        <v>75</v>
      </c>
      <c r="D767" s="47">
        <v>0.25</v>
      </c>
      <c r="E767" s="319">
        <v>8</v>
      </c>
      <c r="F767" s="320"/>
      <c r="G767" s="4"/>
      <c r="H767" s="441" t="s">
        <v>75</v>
      </c>
      <c r="I767" s="47">
        <v>0.25</v>
      </c>
      <c r="J767" s="319">
        <v>8</v>
      </c>
      <c r="K767" s="320"/>
      <c r="L767" s="4"/>
      <c r="M767" s="441" t="s">
        <v>75</v>
      </c>
      <c r="N767" s="47">
        <v>0.25</v>
      </c>
      <c r="O767" s="319">
        <v>8</v>
      </c>
      <c r="P767" s="320"/>
      <c r="R767" s="441" t="s">
        <v>75</v>
      </c>
      <c r="S767" s="47">
        <v>0.25</v>
      </c>
      <c r="T767" s="319">
        <v>8</v>
      </c>
      <c r="U767" s="320"/>
      <c r="W767" s="441" t="s">
        <v>75</v>
      </c>
      <c r="X767" s="47">
        <v>0.25</v>
      </c>
      <c r="Y767" s="319">
        <v>8</v>
      </c>
      <c r="Z767" s="320"/>
      <c r="AA767" s="29">
        <f t="shared" si="127"/>
        <v>40</v>
      </c>
      <c r="AB767" s="298">
        <f>Z767+U767+P767+K767+F767</f>
        <v>0</v>
      </c>
      <c r="AC767" s="4"/>
      <c r="AD767" s="47" t="s">
        <v>29</v>
      </c>
      <c r="AE767" s="47" t="s">
        <v>29</v>
      </c>
      <c r="AF767" s="346"/>
      <c r="AG767" s="29">
        <f t="shared" si="128"/>
        <v>0</v>
      </c>
      <c r="AK767" s="494" t="s">
        <v>36</v>
      </c>
      <c r="AL767" s="471">
        <f>AB783</f>
        <v>0</v>
      </c>
      <c r="AM767" s="510">
        <v>75</v>
      </c>
      <c r="AN767" s="510">
        <f t="shared" si="126"/>
        <v>0</v>
      </c>
    </row>
    <row r="768" spans="1:47" hidden="1" outlineLevel="1">
      <c r="B768" s="11" t="s">
        <v>273</v>
      </c>
      <c r="C768" s="441" t="s">
        <v>75</v>
      </c>
      <c r="D768" s="47">
        <v>0.25</v>
      </c>
      <c r="E768" s="319">
        <v>8</v>
      </c>
      <c r="F768" s="320"/>
      <c r="G768" s="4"/>
      <c r="H768" s="441" t="s">
        <v>75</v>
      </c>
      <c r="I768" s="47">
        <v>0.25</v>
      </c>
      <c r="J768" s="319">
        <v>8</v>
      </c>
      <c r="K768" s="320"/>
      <c r="L768" s="4"/>
      <c r="M768" s="441" t="s">
        <v>75</v>
      </c>
      <c r="N768" s="47">
        <v>0.25</v>
      </c>
      <c r="O768" s="319">
        <v>8</v>
      </c>
      <c r="P768" s="320"/>
      <c r="R768" s="441" t="s">
        <v>75</v>
      </c>
      <c r="S768" s="47">
        <v>0.25</v>
      </c>
      <c r="T768" s="319">
        <v>8</v>
      </c>
      <c r="U768" s="320"/>
      <c r="W768" s="441" t="s">
        <v>75</v>
      </c>
      <c r="X768" s="47">
        <v>0.25</v>
      </c>
      <c r="Y768" s="319">
        <v>8</v>
      </c>
      <c r="Z768" s="320"/>
      <c r="AA768" s="29">
        <f t="shared" si="127"/>
        <v>40</v>
      </c>
      <c r="AB768" s="298">
        <f>Z768+U768+P768+K768+F767</f>
        <v>0</v>
      </c>
      <c r="AC768" s="4"/>
      <c r="AD768" s="47" t="s">
        <v>29</v>
      </c>
      <c r="AE768" s="47" t="s">
        <v>29</v>
      </c>
      <c r="AF768" s="346"/>
      <c r="AG768" s="29">
        <f t="shared" si="128"/>
        <v>0</v>
      </c>
      <c r="AK768" s="494" t="s">
        <v>38</v>
      </c>
      <c r="AL768" s="471">
        <f>AG783</f>
        <v>0</v>
      </c>
      <c r="AM768" s="510">
        <v>75</v>
      </c>
      <c r="AN768" s="510">
        <f t="shared" si="126"/>
        <v>0</v>
      </c>
    </row>
    <row r="769" spans="2:40" ht="14.25" hidden="1" outlineLevel="1" thickBot="1">
      <c r="B769" s="524" t="s">
        <v>275</v>
      </c>
      <c r="C769" s="441" t="s">
        <v>75</v>
      </c>
      <c r="D769" s="47">
        <v>0.25</v>
      </c>
      <c r="E769" s="319">
        <v>8</v>
      </c>
      <c r="F769" s="320"/>
      <c r="G769" s="4"/>
      <c r="H769" s="441" t="s">
        <v>75</v>
      </c>
      <c r="I769" s="47">
        <v>0.25</v>
      </c>
      <c r="J769" s="319">
        <v>8</v>
      </c>
      <c r="K769" s="320"/>
      <c r="L769" s="4"/>
      <c r="M769" s="441" t="s">
        <v>75</v>
      </c>
      <c r="N769" s="47">
        <v>0.25</v>
      </c>
      <c r="O769" s="319">
        <v>8</v>
      </c>
      <c r="P769" s="320"/>
      <c r="R769" s="441" t="s">
        <v>75</v>
      </c>
      <c r="S769" s="47">
        <v>0.25</v>
      </c>
      <c r="T769" s="319">
        <v>8</v>
      </c>
      <c r="U769" s="320"/>
      <c r="W769" s="441" t="s">
        <v>75</v>
      </c>
      <c r="X769" s="47">
        <v>0.25</v>
      </c>
      <c r="Y769" s="319">
        <v>8</v>
      </c>
      <c r="Z769" s="320"/>
      <c r="AA769" s="29">
        <f t="shared" si="127"/>
        <v>40</v>
      </c>
      <c r="AB769" s="298">
        <f>Z769+U769+P769+K769+F768</f>
        <v>0</v>
      </c>
      <c r="AC769" s="4"/>
      <c r="AD769" s="47" t="s">
        <v>29</v>
      </c>
      <c r="AE769" s="47" t="s">
        <v>29</v>
      </c>
      <c r="AF769" s="346"/>
      <c r="AG769" s="29">
        <f t="shared" si="128"/>
        <v>0</v>
      </c>
      <c r="AK769" s="494" t="s">
        <v>41</v>
      </c>
      <c r="AL769" s="471">
        <f>C784</f>
        <v>97</v>
      </c>
      <c r="AM769" s="512">
        <v>45</v>
      </c>
      <c r="AN769" s="512">
        <f t="shared" si="126"/>
        <v>4365</v>
      </c>
    </row>
    <row r="770" spans="2:40" ht="14.25" hidden="1" outlineLevel="1" thickTop="1">
      <c r="B770" s="523" t="s">
        <v>276</v>
      </c>
      <c r="C770" s="441" t="s">
        <v>75</v>
      </c>
      <c r="D770" s="47">
        <v>0.25</v>
      </c>
      <c r="E770" s="319">
        <v>8</v>
      </c>
      <c r="F770" s="320"/>
      <c r="G770" s="4"/>
      <c r="H770" s="441" t="s">
        <v>75</v>
      </c>
      <c r="I770" s="47">
        <v>0.25</v>
      </c>
      <c r="J770" s="319">
        <v>8</v>
      </c>
      <c r="K770" s="320"/>
      <c r="L770" s="4"/>
      <c r="M770" s="441" t="s">
        <v>75</v>
      </c>
      <c r="N770" s="47">
        <v>0.25</v>
      </c>
      <c r="O770" s="319">
        <v>8</v>
      </c>
      <c r="P770" s="320"/>
      <c r="R770" s="441" t="s">
        <v>75</v>
      </c>
      <c r="S770" s="47">
        <v>0.25</v>
      </c>
      <c r="T770" s="319">
        <v>8</v>
      </c>
      <c r="U770" s="320"/>
      <c r="W770" s="441" t="s">
        <v>75</v>
      </c>
      <c r="X770" s="47">
        <v>0.25</v>
      </c>
      <c r="Y770" s="319">
        <v>8</v>
      </c>
      <c r="Z770" s="320"/>
      <c r="AA770" s="29">
        <f t="shared" si="127"/>
        <v>40</v>
      </c>
      <c r="AB770" s="298">
        <f>Z770+U770+P770+K770+F769</f>
        <v>0</v>
      </c>
      <c r="AC770" s="4"/>
      <c r="AD770" s="47" t="s">
        <v>29</v>
      </c>
      <c r="AE770" s="47" t="s">
        <v>29</v>
      </c>
      <c r="AF770" s="346"/>
      <c r="AG770" s="29">
        <f t="shared" si="128"/>
        <v>0</v>
      </c>
      <c r="AN770" s="510">
        <f>SUM(AN763:AN769)</f>
        <v>24285.5</v>
      </c>
    </row>
    <row r="771" spans="2:40" hidden="1" outlineLevel="1">
      <c r="B771" s="523" t="s">
        <v>277</v>
      </c>
      <c r="C771" s="441" t="s">
        <v>75</v>
      </c>
      <c r="D771" s="47">
        <v>0.25</v>
      </c>
      <c r="E771" s="319">
        <v>8</v>
      </c>
      <c r="F771" s="320"/>
      <c r="G771" s="4"/>
      <c r="H771" s="441" t="s">
        <v>75</v>
      </c>
      <c r="I771" s="47">
        <v>0.25</v>
      </c>
      <c r="J771" s="319">
        <v>8</v>
      </c>
      <c r="K771" s="320"/>
      <c r="L771" s="4"/>
      <c r="M771" s="441" t="s">
        <v>75</v>
      </c>
      <c r="N771" s="47">
        <v>0.25</v>
      </c>
      <c r="O771" s="319">
        <v>8</v>
      </c>
      <c r="P771" s="320"/>
      <c r="R771" s="441" t="s">
        <v>75</v>
      </c>
      <c r="S771" s="47">
        <v>0.25</v>
      </c>
      <c r="T771" s="319">
        <v>8</v>
      </c>
      <c r="U771" s="320"/>
      <c r="W771" s="441" t="s">
        <v>75</v>
      </c>
      <c r="X771" s="47">
        <v>0.25</v>
      </c>
      <c r="Y771" s="319">
        <v>8</v>
      </c>
      <c r="Z771" s="320"/>
      <c r="AA771" s="29">
        <f t="shared" si="127"/>
        <v>40</v>
      </c>
      <c r="AB771" s="298">
        <f>Z771+U771+P771+K771+F770</f>
        <v>0</v>
      </c>
      <c r="AC771" s="4"/>
      <c r="AD771" s="47" t="s">
        <v>29</v>
      </c>
      <c r="AE771" s="47" t="s">
        <v>29</v>
      </c>
      <c r="AF771" s="346"/>
      <c r="AG771" s="29">
        <f t="shared" si="128"/>
        <v>0</v>
      </c>
    </row>
    <row r="772" spans="2:40" hidden="1" outlineLevel="1">
      <c r="C772" s="441"/>
      <c r="D772" s="47"/>
      <c r="E772" s="319"/>
      <c r="F772" s="320"/>
      <c r="G772" s="4"/>
      <c r="H772" s="441"/>
      <c r="I772" s="47"/>
      <c r="J772" s="319"/>
      <c r="K772" s="320"/>
      <c r="L772" s="4"/>
      <c r="M772" s="441"/>
      <c r="N772" s="47"/>
      <c r="O772" s="319"/>
      <c r="P772" s="320"/>
      <c r="R772" s="441"/>
      <c r="S772" s="47"/>
      <c r="T772" s="319"/>
      <c r="U772" s="320"/>
      <c r="W772" s="441"/>
      <c r="X772" s="47"/>
      <c r="Y772" s="319"/>
      <c r="Z772" s="320"/>
      <c r="AA772" s="29">
        <f t="shared" si="127"/>
        <v>0</v>
      </c>
      <c r="AB772" s="298">
        <f t="shared" ref="AB772:AB779" si="129">Z772+U772+P772+K772+F772</f>
        <v>0</v>
      </c>
      <c r="AC772" s="4"/>
      <c r="AD772" s="47" t="s">
        <v>29</v>
      </c>
      <c r="AE772" s="47" t="s">
        <v>29</v>
      </c>
      <c r="AF772" s="346"/>
      <c r="AG772" s="29">
        <f t="shared" si="128"/>
        <v>0</v>
      </c>
    </row>
    <row r="773" spans="2:40" hidden="1" outlineLevel="1">
      <c r="B773" s="457"/>
      <c r="C773" s="441"/>
      <c r="D773" s="47"/>
      <c r="E773" s="319"/>
      <c r="F773" s="320"/>
      <c r="G773" s="4"/>
      <c r="H773" s="441"/>
      <c r="I773" s="47"/>
      <c r="J773" s="319"/>
      <c r="K773" s="320"/>
      <c r="L773" s="4"/>
      <c r="M773" s="441"/>
      <c r="N773" s="47"/>
      <c r="O773" s="319"/>
      <c r="P773" s="320"/>
      <c r="R773" s="441"/>
      <c r="S773" s="47"/>
      <c r="T773" s="319"/>
      <c r="U773" s="320"/>
      <c r="W773" s="441"/>
      <c r="X773" s="47"/>
      <c r="Y773" s="319"/>
      <c r="Z773" s="320"/>
      <c r="AA773" s="29">
        <f t="shared" si="127"/>
        <v>0</v>
      </c>
      <c r="AB773" s="298">
        <f t="shared" si="129"/>
        <v>0</v>
      </c>
      <c r="AC773" s="4"/>
      <c r="AD773" s="47" t="s">
        <v>29</v>
      </c>
      <c r="AE773" s="47" t="s">
        <v>29</v>
      </c>
      <c r="AF773" s="19"/>
      <c r="AG773" s="29">
        <f t="shared" si="128"/>
        <v>0</v>
      </c>
    </row>
    <row r="774" spans="2:40" hidden="1" outlineLevel="1">
      <c r="B774" s="166" t="s">
        <v>279</v>
      </c>
      <c r="C774" s="16"/>
      <c r="D774" s="16"/>
      <c r="E774" s="319">
        <v>8</v>
      </c>
      <c r="F774" s="320"/>
      <c r="G774" s="4"/>
      <c r="H774" s="16"/>
      <c r="I774" s="16"/>
      <c r="J774" s="319">
        <v>8</v>
      </c>
      <c r="K774" s="320"/>
      <c r="L774" s="4"/>
      <c r="M774" s="16"/>
      <c r="N774" s="16"/>
      <c r="O774" s="319">
        <v>8</v>
      </c>
      <c r="P774" s="320"/>
      <c r="R774" s="16"/>
      <c r="S774" s="16"/>
      <c r="T774" s="319">
        <v>8</v>
      </c>
      <c r="U774" s="320"/>
      <c r="W774" s="16"/>
      <c r="X774" s="16"/>
      <c r="Y774" s="319">
        <v>8</v>
      </c>
      <c r="Z774" s="320"/>
      <c r="AA774" s="29">
        <f t="shared" si="127"/>
        <v>40</v>
      </c>
      <c r="AB774" s="298">
        <f t="shared" si="129"/>
        <v>0</v>
      </c>
      <c r="AC774" s="4"/>
      <c r="AD774" s="47" t="s">
        <v>29</v>
      </c>
      <c r="AE774" s="47" t="s">
        <v>29</v>
      </c>
      <c r="AF774" s="19"/>
      <c r="AG774" s="29">
        <f t="shared" si="128"/>
        <v>0</v>
      </c>
    </row>
    <row r="775" spans="2:40" hidden="1" outlineLevel="1">
      <c r="B775" s="166" t="s">
        <v>280</v>
      </c>
      <c r="C775" s="16"/>
      <c r="D775" s="16"/>
      <c r="E775" s="319">
        <v>8</v>
      </c>
      <c r="F775" s="320"/>
      <c r="G775" s="4"/>
      <c r="H775" s="16"/>
      <c r="I775" s="16"/>
      <c r="J775" s="319">
        <v>8</v>
      </c>
      <c r="K775" s="320"/>
      <c r="L775" s="4"/>
      <c r="M775" s="16"/>
      <c r="N775" s="16"/>
      <c r="O775" s="319">
        <v>8</v>
      </c>
      <c r="P775" s="320"/>
      <c r="R775" s="16"/>
      <c r="S775" s="16"/>
      <c r="T775" s="319">
        <v>8</v>
      </c>
      <c r="U775" s="320"/>
      <c r="W775" s="16"/>
      <c r="X775" s="16"/>
      <c r="Y775" s="319">
        <v>8</v>
      </c>
      <c r="Z775" s="320"/>
      <c r="AA775" s="29">
        <f t="shared" si="127"/>
        <v>40</v>
      </c>
      <c r="AB775" s="298">
        <f t="shared" si="129"/>
        <v>0</v>
      </c>
      <c r="AC775" s="4"/>
      <c r="AD775" s="47" t="s">
        <v>29</v>
      </c>
      <c r="AE775" s="47" t="s">
        <v>29</v>
      </c>
      <c r="AF775" s="19"/>
      <c r="AG775" s="29">
        <f t="shared" si="128"/>
        <v>0</v>
      </c>
    </row>
    <row r="776" spans="2:40" hidden="1" outlineLevel="1">
      <c r="B776" s="166" t="s">
        <v>281</v>
      </c>
      <c r="C776" s="16"/>
      <c r="D776" s="16"/>
      <c r="E776" s="319">
        <v>8</v>
      </c>
      <c r="F776" s="320"/>
      <c r="G776" s="4"/>
      <c r="H776" s="16"/>
      <c r="I776" s="16"/>
      <c r="J776" s="319">
        <v>8</v>
      </c>
      <c r="K776" s="320"/>
      <c r="L776" s="4"/>
      <c r="M776" s="16"/>
      <c r="N776" s="16"/>
      <c r="O776" s="319">
        <v>8</v>
      </c>
      <c r="P776" s="320"/>
      <c r="R776" s="16"/>
      <c r="S776" s="16"/>
      <c r="T776" s="319">
        <v>8</v>
      </c>
      <c r="U776" s="320"/>
      <c r="W776" s="16"/>
      <c r="X776" s="16"/>
      <c r="Y776" s="319">
        <v>8</v>
      </c>
      <c r="Z776" s="320"/>
      <c r="AA776" s="29">
        <f t="shared" si="127"/>
        <v>40</v>
      </c>
      <c r="AB776" s="298">
        <f t="shared" si="129"/>
        <v>0</v>
      </c>
      <c r="AC776" s="4"/>
      <c r="AD776" s="47" t="s">
        <v>29</v>
      </c>
      <c r="AE776" s="47" t="s">
        <v>29</v>
      </c>
      <c r="AF776" s="19"/>
      <c r="AG776" s="29">
        <f t="shared" si="128"/>
        <v>0</v>
      </c>
    </row>
    <row r="777" spans="2:40" hidden="1" outlineLevel="1">
      <c r="B777" s="166" t="s">
        <v>283</v>
      </c>
      <c r="C777" s="16"/>
      <c r="D777" s="16"/>
      <c r="E777" s="319">
        <v>8</v>
      </c>
      <c r="F777" s="320"/>
      <c r="G777" s="4"/>
      <c r="H777" s="16"/>
      <c r="I777" s="16"/>
      <c r="J777" s="319">
        <v>8</v>
      </c>
      <c r="K777" s="320"/>
      <c r="L777" s="4"/>
      <c r="M777" s="16"/>
      <c r="N777" s="16"/>
      <c r="O777" s="319">
        <v>8</v>
      </c>
      <c r="P777" s="320"/>
      <c r="R777" s="535" t="s">
        <v>137</v>
      </c>
      <c r="S777" s="16"/>
      <c r="T777" s="319">
        <v>0</v>
      </c>
      <c r="U777" s="320"/>
      <c r="W777" s="535" t="s">
        <v>137</v>
      </c>
      <c r="X777" s="16"/>
      <c r="Y777" s="319">
        <v>0</v>
      </c>
      <c r="Z777" s="320"/>
      <c r="AA777" s="29">
        <f t="shared" si="127"/>
        <v>24</v>
      </c>
      <c r="AB777" s="298">
        <f t="shared" si="129"/>
        <v>0</v>
      </c>
      <c r="AC777" s="4"/>
      <c r="AD777" s="47" t="s">
        <v>29</v>
      </c>
      <c r="AE777" s="47" t="s">
        <v>29</v>
      </c>
      <c r="AF777" s="19"/>
      <c r="AG777" s="29">
        <f t="shared" si="128"/>
        <v>0</v>
      </c>
    </row>
    <row r="778" spans="2:40" hidden="1" outlineLevel="1">
      <c r="B778" s="63" t="s">
        <v>63</v>
      </c>
      <c r="C778" s="16"/>
      <c r="D778" s="16"/>
      <c r="E778" s="319">
        <v>4</v>
      </c>
      <c r="F778" s="320"/>
      <c r="G778" s="438"/>
      <c r="H778" s="16"/>
      <c r="I778" s="16"/>
      <c r="J778" s="319">
        <v>4</v>
      </c>
      <c r="K778" s="320"/>
      <c r="L778" s="438"/>
      <c r="M778" s="16"/>
      <c r="N778" s="16"/>
      <c r="O778" s="319">
        <v>4</v>
      </c>
      <c r="P778" s="320"/>
      <c r="Q778" s="438"/>
      <c r="R778" s="16"/>
      <c r="S778" s="16"/>
      <c r="T778" s="319">
        <v>4</v>
      </c>
      <c r="U778" s="320"/>
      <c r="V778" s="438"/>
      <c r="W778" s="16"/>
      <c r="X778" s="16"/>
      <c r="Y778" s="319">
        <v>4</v>
      </c>
      <c r="Z778" s="320"/>
      <c r="AA778" s="29">
        <f t="shared" si="127"/>
        <v>20</v>
      </c>
      <c r="AB778" s="298">
        <f t="shared" si="129"/>
        <v>0</v>
      </c>
      <c r="AC778" s="4"/>
      <c r="AD778" s="47" t="s">
        <v>29</v>
      </c>
      <c r="AE778" s="47" t="s">
        <v>29</v>
      </c>
      <c r="AF778" s="19"/>
      <c r="AG778" s="29">
        <f t="shared" si="128"/>
        <v>0</v>
      </c>
      <c r="AK778" s="407"/>
    </row>
    <row r="779" spans="2:40" hidden="1" outlineLevel="1">
      <c r="B779" s="63" t="s">
        <v>250</v>
      </c>
      <c r="C779" s="16"/>
      <c r="D779" s="16"/>
      <c r="E779" s="319"/>
      <c r="F779" s="320"/>
      <c r="G779" s="438"/>
      <c r="H779" s="16"/>
      <c r="I779" s="16"/>
      <c r="J779" s="319"/>
      <c r="K779" s="320"/>
      <c r="L779" s="438"/>
      <c r="M779" s="16"/>
      <c r="N779" s="16"/>
      <c r="O779" s="319"/>
      <c r="P779" s="320"/>
      <c r="Q779" s="438"/>
      <c r="R779" s="16"/>
      <c r="S779" s="16"/>
      <c r="T779" s="319"/>
      <c r="U779" s="320"/>
      <c r="V779" s="438"/>
      <c r="W779" s="16"/>
      <c r="X779" s="16"/>
      <c r="Y779" s="319"/>
      <c r="Z779" s="320"/>
      <c r="AA779" s="29">
        <f t="shared" si="127"/>
        <v>0</v>
      </c>
      <c r="AB779" s="298">
        <f t="shared" si="129"/>
        <v>0</v>
      </c>
      <c r="AC779" s="4"/>
      <c r="AD779" s="47" t="s">
        <v>29</v>
      </c>
      <c r="AE779" s="47" t="s">
        <v>29</v>
      </c>
      <c r="AF779" s="19"/>
      <c r="AG779" s="29">
        <f t="shared" si="128"/>
        <v>0</v>
      </c>
      <c r="AK779" s="407"/>
    </row>
    <row r="780" spans="2:40" hidden="1" outlineLevel="1">
      <c r="B780" s="64" t="s">
        <v>61</v>
      </c>
      <c r="C780" s="31"/>
      <c r="D780" s="31"/>
      <c r="E780" s="439">
        <f>SUM(E764:E779)</f>
        <v>100</v>
      </c>
      <c r="F780" s="320">
        <f>SUM(F764:F773)</f>
        <v>0.5</v>
      </c>
      <c r="G780" s="31"/>
      <c r="H780" s="31"/>
      <c r="I780" s="31"/>
      <c r="J780" s="439">
        <f>SUM(J764:J779)</f>
        <v>100</v>
      </c>
      <c r="K780" s="320">
        <f>SUM(K764:K773)</f>
        <v>0</v>
      </c>
      <c r="L780" s="31"/>
      <c r="M780" s="31"/>
      <c r="N780" s="31"/>
      <c r="O780" s="439">
        <f>SUM(O764:O779)</f>
        <v>100</v>
      </c>
      <c r="P780" s="320">
        <f>SUM(P764:P777)</f>
        <v>0</v>
      </c>
      <c r="Q780" s="31"/>
      <c r="R780" s="31"/>
      <c r="S780" s="31"/>
      <c r="T780" s="439">
        <f>SUM(T764:T779)</f>
        <v>92</v>
      </c>
      <c r="U780" s="320">
        <f>SUM(U764:U777)</f>
        <v>0</v>
      </c>
      <c r="V780" s="31"/>
      <c r="W780" s="31"/>
      <c r="X780" s="31"/>
      <c r="Y780" s="439">
        <f>SUM(Y764:Y779)</f>
        <v>92</v>
      </c>
      <c r="Z780" s="320">
        <f>SUM(Z764:Z773)</f>
        <v>0</v>
      </c>
      <c r="AA780" s="370">
        <f>SUM(AA764:AA779)</f>
        <v>484</v>
      </c>
      <c r="AB780" s="370">
        <f>SUM(AB764:AB779)</f>
        <v>0.5</v>
      </c>
      <c r="AC780" s="4"/>
      <c r="AD780" s="64"/>
      <c r="AE780" s="64"/>
      <c r="AF780" s="167">
        <f>SUM(AF764:AF779)</f>
        <v>0</v>
      </c>
      <c r="AG780" s="370">
        <f>SUM(AG764:AG779)</f>
        <v>0</v>
      </c>
    </row>
    <row r="781" spans="2:40" hidden="1" outlineLevel="1">
      <c r="B781" s="63" t="s">
        <v>64</v>
      </c>
      <c r="C781" s="56" t="s">
        <v>29</v>
      </c>
      <c r="D781" s="56" t="s">
        <v>29</v>
      </c>
      <c r="E781" s="525">
        <v>6</v>
      </c>
      <c r="F781" s="525"/>
      <c r="G781" s="525"/>
      <c r="H781" s="525"/>
      <c r="I781" s="525"/>
      <c r="J781" s="525">
        <v>6</v>
      </c>
      <c r="K781" s="525"/>
      <c r="L781" s="525"/>
      <c r="M781" s="525"/>
      <c r="N781" s="525"/>
      <c r="O781" s="525">
        <v>6</v>
      </c>
      <c r="P781" s="525"/>
      <c r="Q781" s="525"/>
      <c r="R781" s="525"/>
      <c r="S781" s="525"/>
      <c r="T781" s="525">
        <v>6</v>
      </c>
      <c r="U781" s="525"/>
      <c r="V781" s="525"/>
      <c r="W781" s="525"/>
      <c r="X781" s="525"/>
      <c r="Y781" s="525">
        <v>6</v>
      </c>
      <c r="Z781" s="525"/>
      <c r="AA781" s="28">
        <f>SUM(E781+J781+O781+T781+Y781)</f>
        <v>30</v>
      </c>
      <c r="AB781" s="296">
        <f>Z781+U781+P781+K781+F781</f>
        <v>0</v>
      </c>
      <c r="AC781" s="4"/>
      <c r="AD781" s="56"/>
      <c r="AE781" s="56"/>
      <c r="AF781" s="19"/>
      <c r="AG781" s="29">
        <f>AF781</f>
        <v>0</v>
      </c>
    </row>
    <row r="782" spans="2:40" hidden="1" outlineLevel="1">
      <c r="B782" s="63" t="s">
        <v>110</v>
      </c>
      <c r="C782" s="56" t="s">
        <v>29</v>
      </c>
      <c r="D782" s="56" t="s">
        <v>29</v>
      </c>
      <c r="E782" s="19">
        <v>0</v>
      </c>
      <c r="F782" s="291"/>
      <c r="G782" s="60"/>
      <c r="H782" s="56" t="s">
        <v>29</v>
      </c>
      <c r="I782" s="56" t="s">
        <v>29</v>
      </c>
      <c r="J782" s="19">
        <v>0</v>
      </c>
      <c r="K782" s="291"/>
      <c r="L782" s="60"/>
      <c r="M782" s="56" t="s">
        <v>29</v>
      </c>
      <c r="N782" s="56" t="s">
        <v>29</v>
      </c>
      <c r="O782" s="19">
        <v>0</v>
      </c>
      <c r="P782" s="19"/>
      <c r="Q782" s="60"/>
      <c r="R782" s="56" t="s">
        <v>29</v>
      </c>
      <c r="S782" s="56" t="s">
        <v>29</v>
      </c>
      <c r="T782" s="19">
        <v>0</v>
      </c>
      <c r="U782" s="19"/>
      <c r="V782" s="60"/>
      <c r="W782" s="56" t="s">
        <v>29</v>
      </c>
      <c r="X782" s="56" t="s">
        <v>29</v>
      </c>
      <c r="Y782" s="19">
        <v>0</v>
      </c>
      <c r="Z782" s="19"/>
      <c r="AA782" s="28">
        <f>SUM(E782+J782+O782+T782+Y782)</f>
        <v>0</v>
      </c>
      <c r="AB782" s="296">
        <f>Z782+U782+P782+K782+F782</f>
        <v>0</v>
      </c>
      <c r="AC782" s="4"/>
      <c r="AD782" s="56"/>
      <c r="AE782" s="56"/>
      <c r="AF782" s="19"/>
      <c r="AG782" s="29">
        <f>AF782</f>
        <v>0</v>
      </c>
    </row>
    <row r="783" spans="2:40" hidden="1" outlineLevel="1">
      <c r="B783" s="71" t="s">
        <v>66</v>
      </c>
      <c r="C783" s="371"/>
      <c r="D783" s="371"/>
      <c r="E783" s="71">
        <f t="shared" ref="E783:AB783" si="130">SUM(E781:E782)</f>
        <v>6</v>
      </c>
      <c r="F783" s="71">
        <f t="shared" si="130"/>
        <v>0</v>
      </c>
      <c r="G783" s="71">
        <f t="shared" si="130"/>
        <v>0</v>
      </c>
      <c r="H783" s="71">
        <f t="shared" si="130"/>
        <v>0</v>
      </c>
      <c r="I783" s="71">
        <f t="shared" si="130"/>
        <v>0</v>
      </c>
      <c r="J783" s="71">
        <f t="shared" si="130"/>
        <v>6</v>
      </c>
      <c r="K783" s="71">
        <f t="shared" si="130"/>
        <v>0</v>
      </c>
      <c r="L783" s="71">
        <f t="shared" si="130"/>
        <v>0</v>
      </c>
      <c r="M783" s="71">
        <f t="shared" si="130"/>
        <v>0</v>
      </c>
      <c r="N783" s="71">
        <f t="shared" si="130"/>
        <v>0</v>
      </c>
      <c r="O783" s="71">
        <f t="shared" si="130"/>
        <v>6</v>
      </c>
      <c r="P783" s="71">
        <f t="shared" si="130"/>
        <v>0</v>
      </c>
      <c r="Q783" s="71">
        <f t="shared" si="130"/>
        <v>0</v>
      </c>
      <c r="R783" s="71">
        <f t="shared" si="130"/>
        <v>0</v>
      </c>
      <c r="S783" s="71">
        <f t="shared" si="130"/>
        <v>0</v>
      </c>
      <c r="T783" s="71">
        <f t="shared" si="130"/>
        <v>6</v>
      </c>
      <c r="U783" s="71">
        <f t="shared" si="130"/>
        <v>0</v>
      </c>
      <c r="V783" s="71">
        <f t="shared" si="130"/>
        <v>0</v>
      </c>
      <c r="W783" s="71">
        <f t="shared" si="130"/>
        <v>0</v>
      </c>
      <c r="X783" s="71">
        <f t="shared" si="130"/>
        <v>0</v>
      </c>
      <c r="Y783" s="71">
        <f t="shared" si="130"/>
        <v>6</v>
      </c>
      <c r="Z783" s="71">
        <f t="shared" si="130"/>
        <v>0</v>
      </c>
      <c r="AA783" s="370">
        <f t="shared" si="130"/>
        <v>30</v>
      </c>
      <c r="AB783" s="370">
        <f t="shared" si="130"/>
        <v>0</v>
      </c>
      <c r="AC783" s="4"/>
      <c r="AG783" s="370">
        <f>SUM(AG781:AG782)</f>
        <v>0</v>
      </c>
    </row>
    <row r="784" spans="2:40" hidden="1" outlineLevel="1">
      <c r="B784" s="217" t="s">
        <v>67</v>
      </c>
      <c r="C784" s="207">
        <f>C785+C786</f>
        <v>97</v>
      </c>
      <c r="D784" s="207"/>
      <c r="E784" s="209"/>
      <c r="F784" s="209"/>
      <c r="G784" s="207"/>
      <c r="H784" s="209"/>
      <c r="I784" s="209"/>
      <c r="J784" s="209"/>
      <c r="K784" s="209"/>
      <c r="L784" s="207"/>
      <c r="M784" s="207"/>
      <c r="N784" s="207"/>
      <c r="O784" s="207"/>
      <c r="P784" s="209"/>
      <c r="Q784" s="207"/>
      <c r="R784" s="207"/>
      <c r="S784" s="207"/>
      <c r="T784" s="207"/>
      <c r="U784" s="209"/>
      <c r="V784" s="207"/>
      <c r="W784" s="207"/>
      <c r="X784" s="207"/>
      <c r="Y784" s="210"/>
      <c r="Z784" s="209"/>
      <c r="AA784" s="211"/>
      <c r="AB784" s="209"/>
      <c r="AC784" s="211"/>
      <c r="AD784" s="211"/>
      <c r="AE784" s="211"/>
      <c r="AF784" s="211"/>
      <c r="AG784" s="211"/>
    </row>
    <row r="785" spans="2:47" hidden="1" outlineLevel="1">
      <c r="B785" s="238" t="s">
        <v>68</v>
      </c>
      <c r="C785" s="239"/>
      <c r="D785" s="207"/>
      <c r="E785" s="209"/>
      <c r="F785" s="209"/>
      <c r="G785" s="207"/>
      <c r="H785" s="209"/>
      <c r="I785" s="209"/>
      <c r="J785" s="209"/>
      <c r="K785" s="209"/>
      <c r="L785" s="207"/>
      <c r="M785" s="207"/>
      <c r="N785" s="207"/>
      <c r="O785" s="207"/>
      <c r="P785" s="209"/>
      <c r="Q785" s="207"/>
      <c r="R785" s="207"/>
      <c r="S785" s="207"/>
      <c r="T785" s="207"/>
      <c r="U785" s="209"/>
      <c r="V785" s="207"/>
      <c r="W785" s="207"/>
      <c r="X785" s="207"/>
      <c r="Y785" s="210"/>
      <c r="Z785" s="209"/>
      <c r="AA785" s="211"/>
      <c r="AB785" s="209"/>
      <c r="AC785" s="211"/>
      <c r="AD785" s="211"/>
      <c r="AE785" s="211"/>
      <c r="AF785" s="211"/>
      <c r="AG785" s="211"/>
    </row>
    <row r="786" spans="2:47" hidden="1" outlineLevel="1">
      <c r="B786" s="238" t="s">
        <v>69</v>
      </c>
      <c r="C786" s="526">
        <v>97</v>
      </c>
      <c r="D786" s="207"/>
      <c r="E786" s="209"/>
      <c r="F786" s="209"/>
      <c r="G786" s="207"/>
      <c r="H786" s="209"/>
      <c r="I786" s="209"/>
      <c r="J786" s="209"/>
      <c r="K786" s="209"/>
      <c r="L786" s="207"/>
      <c r="M786" s="207"/>
      <c r="N786" s="207"/>
      <c r="O786" s="207"/>
      <c r="P786" s="209"/>
      <c r="Q786" s="207"/>
      <c r="R786" s="207"/>
      <c r="S786" s="207"/>
      <c r="T786" s="207"/>
      <c r="U786" s="209"/>
      <c r="V786" s="207"/>
      <c r="W786" s="207"/>
      <c r="X786" s="207"/>
      <c r="Y786" s="210"/>
      <c r="Z786" s="209"/>
      <c r="AA786" s="211"/>
      <c r="AB786" s="209"/>
      <c r="AC786" s="211"/>
      <c r="AD786" s="211"/>
      <c r="AE786" s="211"/>
      <c r="AF786" s="211"/>
      <c r="AG786" s="211"/>
    </row>
    <row r="787" spans="2:47" hidden="1" outlineLevel="1">
      <c r="B787" s="180"/>
      <c r="E787" s="4"/>
      <c r="F787" s="4"/>
      <c r="G787" s="4"/>
      <c r="J787" s="4"/>
      <c r="K787" s="4"/>
      <c r="L787" s="4"/>
      <c r="O787" s="4"/>
      <c r="P787" s="4"/>
      <c r="T787" s="4"/>
      <c r="U787" s="4"/>
      <c r="Y787" s="4"/>
      <c r="Z787" s="4"/>
      <c r="AA787" s="4"/>
      <c r="AB787" s="4"/>
      <c r="AC787" s="4"/>
    </row>
    <row r="788" spans="2:47" hidden="1" outlineLevel="1">
      <c r="B788" s="229"/>
      <c r="C788" s="230"/>
      <c r="D788" s="230"/>
      <c r="E788" s="232"/>
      <c r="F788" s="232"/>
      <c r="G788" s="230"/>
      <c r="H788" s="232"/>
      <c r="I788" s="232"/>
      <c r="J788" s="232"/>
      <c r="K788" s="232"/>
      <c r="L788" s="230"/>
      <c r="M788" s="230"/>
      <c r="N788" s="230"/>
      <c r="O788" s="230"/>
      <c r="P788" s="232"/>
      <c r="Q788" s="230"/>
      <c r="R788" s="230"/>
      <c r="S788" s="230"/>
      <c r="T788" s="230"/>
      <c r="U788" s="232"/>
      <c r="V788" s="230"/>
      <c r="W788" s="230"/>
      <c r="X788" s="230"/>
      <c r="Y788" s="233"/>
      <c r="Z788" s="232"/>
      <c r="AA788" s="234"/>
      <c r="AB788" s="232"/>
      <c r="AC788" s="373"/>
      <c r="AD788" s="236"/>
      <c r="AE788" s="255"/>
      <c r="AF788" s="255"/>
      <c r="AG788" s="255"/>
      <c r="AH788" s="255"/>
      <c r="AJ788" s="255"/>
      <c r="AK788" s="255"/>
      <c r="AL788" s="255"/>
      <c r="AM788" s="255"/>
      <c r="AN788" s="255"/>
      <c r="AO788" s="255"/>
      <c r="AP788" s="255"/>
      <c r="AQ788" s="255"/>
      <c r="AR788" s="255"/>
      <c r="AS788" s="255"/>
      <c r="AT788" s="255"/>
      <c r="AU788" s="255"/>
    </row>
    <row r="789" spans="2:47" hidden="1" outlineLevel="1">
      <c r="B789" s="180"/>
      <c r="E789" s="4"/>
      <c r="F789" s="4"/>
      <c r="G789" s="4"/>
      <c r="J789" s="4"/>
      <c r="K789" s="4"/>
      <c r="L789" s="4"/>
      <c r="O789" s="4"/>
      <c r="P789" s="4"/>
      <c r="T789" s="4"/>
      <c r="U789" s="4"/>
      <c r="Y789" s="4"/>
      <c r="Z789" s="4"/>
      <c r="AA789" s="4"/>
      <c r="AB789" s="4"/>
      <c r="AC789" s="4"/>
      <c r="AK789" s="180"/>
      <c r="AL789" s="180"/>
      <c r="AM789" s="180"/>
      <c r="AN789" s="180"/>
      <c r="AO789" s="180"/>
      <c r="AP789" s="180"/>
    </row>
    <row r="790" spans="2:47" hidden="1" outlineLevel="1">
      <c r="B790" s="1518" t="s">
        <v>18</v>
      </c>
      <c r="C790" s="1519">
        <v>45453</v>
      </c>
      <c r="D790" s="1519"/>
      <c r="E790" s="1519"/>
      <c r="F790" s="1519"/>
      <c r="G790" s="365"/>
      <c r="H790" s="1519">
        <v>45454</v>
      </c>
      <c r="I790" s="1519"/>
      <c r="J790" s="1519"/>
      <c r="K790" s="1519"/>
      <c r="L790" s="365">
        <v>45343</v>
      </c>
      <c r="M790" s="1519">
        <v>45455</v>
      </c>
      <c r="N790" s="1519"/>
      <c r="O790" s="1519"/>
      <c r="P790" s="1519"/>
      <c r="Q790" s="365"/>
      <c r="R790" s="1519">
        <v>45456</v>
      </c>
      <c r="S790" s="1519"/>
      <c r="T790" s="1519"/>
      <c r="U790" s="1519"/>
      <c r="V790" s="365"/>
      <c r="W790" s="1519">
        <v>45457</v>
      </c>
      <c r="X790" s="1519"/>
      <c r="Y790" s="1519"/>
      <c r="Z790" s="1519"/>
      <c r="AA790" s="1517" t="s">
        <v>19</v>
      </c>
      <c r="AB790" s="1517" t="s">
        <v>20</v>
      </c>
      <c r="AC790" s="4"/>
      <c r="AD790" s="1519">
        <v>45451</v>
      </c>
      <c r="AE790" s="1519"/>
      <c r="AF790" s="1519"/>
      <c r="AG790" s="1517" t="s">
        <v>21</v>
      </c>
      <c r="AI790" s="368"/>
      <c r="AK790" s="194" t="s">
        <v>84</v>
      </c>
      <c r="AL790" s="366"/>
      <c r="AM790" s="366"/>
      <c r="AN790" s="366"/>
      <c r="AO790" s="366"/>
      <c r="AP790" s="366"/>
    </row>
    <row r="791" spans="2:47" hidden="1" outlineLevel="1">
      <c r="B791" s="1518"/>
      <c r="C791" s="21" t="s">
        <v>23</v>
      </c>
      <c r="D791" s="21" t="s">
        <v>24</v>
      </c>
      <c r="E791" s="205" t="s">
        <v>25</v>
      </c>
      <c r="F791" s="18" t="s">
        <v>14</v>
      </c>
      <c r="G791" s="4"/>
      <c r="H791" s="21" t="s">
        <v>23</v>
      </c>
      <c r="I791" s="21" t="s">
        <v>24</v>
      </c>
      <c r="J791" s="18" t="s">
        <v>25</v>
      </c>
      <c r="K791" s="18" t="s">
        <v>14</v>
      </c>
      <c r="L791" s="4"/>
      <c r="M791" s="21" t="s">
        <v>23</v>
      </c>
      <c r="N791" s="21" t="s">
        <v>24</v>
      </c>
      <c r="O791" s="18" t="s">
        <v>25</v>
      </c>
      <c r="P791" s="18" t="s">
        <v>14</v>
      </c>
      <c r="R791" s="484" t="s">
        <v>23</v>
      </c>
      <c r="S791" s="21" t="s">
        <v>24</v>
      </c>
      <c r="T791" s="18" t="s">
        <v>25</v>
      </c>
      <c r="U791" s="18" t="s">
        <v>14</v>
      </c>
      <c r="W791" s="484" t="s">
        <v>23</v>
      </c>
      <c r="X791" s="21" t="s">
        <v>24</v>
      </c>
      <c r="Y791" s="18" t="s">
        <v>25</v>
      </c>
      <c r="Z791" s="18" t="s">
        <v>14</v>
      </c>
      <c r="AA791" s="1517"/>
      <c r="AB791" s="1517"/>
      <c r="AC791" s="4"/>
      <c r="AD791" s="21" t="s">
        <v>23</v>
      </c>
      <c r="AE791" s="21" t="s">
        <v>24</v>
      </c>
      <c r="AF791" s="18" t="s">
        <v>25</v>
      </c>
      <c r="AG791" s="1517"/>
      <c r="AI791" s="368"/>
      <c r="AJ791" s="367"/>
      <c r="AK791" s="494" t="s">
        <v>26</v>
      </c>
      <c r="AL791" s="471">
        <f>AA808</f>
        <v>486</v>
      </c>
      <c r="AM791" s="510">
        <v>38</v>
      </c>
      <c r="AN791" s="510">
        <f t="shared" ref="AN791:AN797" si="131">AL791*AM791</f>
        <v>18468</v>
      </c>
      <c r="AQ791" s="367"/>
      <c r="AR791" s="367"/>
      <c r="AS791" s="367"/>
      <c r="AT791" s="367"/>
      <c r="AU791" s="367"/>
    </row>
    <row r="792" spans="2:47" hidden="1" outlineLevel="1">
      <c r="B792" s="522" t="s">
        <v>266</v>
      </c>
      <c r="C792" s="441" t="s">
        <v>75</v>
      </c>
      <c r="D792" s="47">
        <v>0.25</v>
      </c>
      <c r="E792" s="319">
        <v>8</v>
      </c>
      <c r="F792" s="320"/>
      <c r="G792" s="4"/>
      <c r="H792" s="441" t="s">
        <v>75</v>
      </c>
      <c r="I792" s="47">
        <v>0.25</v>
      </c>
      <c r="J792" s="319">
        <v>8</v>
      </c>
      <c r="K792" s="320"/>
      <c r="L792" s="4"/>
      <c r="M792" s="441" t="s">
        <v>75</v>
      </c>
      <c r="N792" s="47">
        <v>0.25</v>
      </c>
      <c r="O792" s="319">
        <v>8</v>
      </c>
      <c r="P792" s="320"/>
      <c r="R792" s="441" t="s">
        <v>75</v>
      </c>
      <c r="S792" s="47">
        <v>0.25</v>
      </c>
      <c r="T792" s="319">
        <v>8</v>
      </c>
      <c r="U792" s="320"/>
      <c r="W792" s="441" t="s">
        <v>75</v>
      </c>
      <c r="X792" s="47">
        <v>0.25</v>
      </c>
      <c r="Y792" s="319">
        <v>8</v>
      </c>
      <c r="Z792" s="320"/>
      <c r="AA792" s="29">
        <f t="shared" ref="AA792:AA807" si="132">(E792+J792+O792+T792+Y792)</f>
        <v>40</v>
      </c>
      <c r="AB792" s="298">
        <f>Z792+U792+P792+K792+F792</f>
        <v>0</v>
      </c>
      <c r="AC792" s="399"/>
      <c r="AD792" s="47" t="s">
        <v>29</v>
      </c>
      <c r="AE792" s="47" t="s">
        <v>29</v>
      </c>
      <c r="AF792" s="346"/>
      <c r="AG792" s="29">
        <f t="shared" ref="AG792:AG807" si="133">AF792</f>
        <v>0</v>
      </c>
      <c r="AH792" s="175"/>
      <c r="AJ792" s="401"/>
      <c r="AK792" s="494" t="s">
        <v>30</v>
      </c>
      <c r="AL792" s="471">
        <f>AB808</f>
        <v>0</v>
      </c>
      <c r="AM792" s="511">
        <v>57</v>
      </c>
      <c r="AN792" s="510">
        <f t="shared" si="131"/>
        <v>0</v>
      </c>
      <c r="AO792" s="405"/>
      <c r="AP792" s="405"/>
      <c r="AQ792" s="401"/>
      <c r="AR792" s="401"/>
      <c r="AS792" s="401"/>
      <c r="AT792" s="401"/>
      <c r="AU792" s="401"/>
    </row>
    <row r="793" spans="2:47" hidden="1" outlineLevel="1">
      <c r="B793" s="523" t="s">
        <v>268</v>
      </c>
      <c r="C793" s="441" t="s">
        <v>291</v>
      </c>
      <c r="D793" s="47" t="s">
        <v>291</v>
      </c>
      <c r="E793" s="319">
        <v>0</v>
      </c>
      <c r="F793" s="320"/>
      <c r="G793" s="4"/>
      <c r="H793" s="441" t="s">
        <v>75</v>
      </c>
      <c r="I793" s="47">
        <v>0.25</v>
      </c>
      <c r="J793" s="319">
        <v>8</v>
      </c>
      <c r="K793" s="320"/>
      <c r="L793" s="4"/>
      <c r="M793" s="441" t="s">
        <v>75</v>
      </c>
      <c r="N793" s="47">
        <v>0.25</v>
      </c>
      <c r="O793" s="319">
        <v>8</v>
      </c>
      <c r="P793" s="320"/>
      <c r="R793" s="441" t="s">
        <v>75</v>
      </c>
      <c r="S793" s="47">
        <v>0.25</v>
      </c>
      <c r="T793" s="319">
        <v>8</v>
      </c>
      <c r="U793" s="320"/>
      <c r="W793" s="441" t="s">
        <v>75</v>
      </c>
      <c r="X793" s="47">
        <v>0.25</v>
      </c>
      <c r="Y793" s="319">
        <v>8</v>
      </c>
      <c r="Z793" s="320"/>
      <c r="AA793" s="29">
        <f t="shared" si="132"/>
        <v>32</v>
      </c>
      <c r="AB793" s="298">
        <f>Z793+U793+P793+K793+F793</f>
        <v>0</v>
      </c>
      <c r="AC793" s="175"/>
      <c r="AD793" s="47" t="s">
        <v>29</v>
      </c>
      <c r="AE793" s="47" t="s">
        <v>29</v>
      </c>
      <c r="AF793" s="346"/>
      <c r="AG793" s="344">
        <f t="shared" si="133"/>
        <v>0</v>
      </c>
      <c r="AH793" s="175"/>
      <c r="AI793" s="368"/>
      <c r="AK793" s="494" t="s">
        <v>32</v>
      </c>
      <c r="AL793" s="471">
        <f>AG808</f>
        <v>0</v>
      </c>
      <c r="AM793" s="510">
        <v>57</v>
      </c>
      <c r="AN793" s="510">
        <f t="shared" si="131"/>
        <v>0</v>
      </c>
    </row>
    <row r="794" spans="2:47" hidden="1" outlineLevel="1">
      <c r="B794" s="522" t="s">
        <v>271</v>
      </c>
      <c r="C794" s="441" t="s">
        <v>75</v>
      </c>
      <c r="D794" s="47">
        <v>0.25</v>
      </c>
      <c r="E794" s="319">
        <v>8</v>
      </c>
      <c r="F794" s="320"/>
      <c r="G794" s="4"/>
      <c r="H794" s="441" t="s">
        <v>75</v>
      </c>
      <c r="I794" s="47">
        <v>0.25</v>
      </c>
      <c r="J794" s="319">
        <v>8</v>
      </c>
      <c r="K794" s="320"/>
      <c r="L794" s="4"/>
      <c r="M794" s="441" t="s">
        <v>75</v>
      </c>
      <c r="N794" s="47">
        <v>0.25</v>
      </c>
      <c r="O794" s="319">
        <v>8</v>
      </c>
      <c r="P794" s="320"/>
      <c r="R794" s="441" t="s">
        <v>75</v>
      </c>
      <c r="S794" s="47">
        <v>0.25</v>
      </c>
      <c r="T794" s="319">
        <v>8</v>
      </c>
      <c r="U794" s="320"/>
      <c r="W794" s="441" t="s">
        <v>75</v>
      </c>
      <c r="X794" s="47">
        <v>0.45833333333333331</v>
      </c>
      <c r="Y794" s="319">
        <v>2</v>
      </c>
      <c r="Z794" s="320"/>
      <c r="AA794" s="29">
        <f t="shared" si="132"/>
        <v>34</v>
      </c>
      <c r="AB794" s="298">
        <f>Z794+U794+P794+K794+F794</f>
        <v>0</v>
      </c>
      <c r="AC794" s="4"/>
      <c r="AD794" s="47" t="s">
        <v>29</v>
      </c>
      <c r="AE794" s="47" t="s">
        <v>29</v>
      </c>
      <c r="AF794" s="346"/>
      <c r="AG794" s="29">
        <f t="shared" si="133"/>
        <v>0</v>
      </c>
      <c r="AJ794" s="367"/>
      <c r="AK794" s="494" t="s">
        <v>213</v>
      </c>
      <c r="AL794" s="471">
        <f>AA811</f>
        <v>30</v>
      </c>
      <c r="AM794" s="510">
        <v>50</v>
      </c>
      <c r="AN794" s="510">
        <f t="shared" si="131"/>
        <v>1500</v>
      </c>
      <c r="AQ794" s="367"/>
      <c r="AR794" s="367"/>
      <c r="AS794" s="367"/>
      <c r="AT794" s="367"/>
      <c r="AU794" s="367"/>
    </row>
    <row r="795" spans="2:47" hidden="1" outlineLevel="1">
      <c r="B795" s="523" t="s">
        <v>272</v>
      </c>
      <c r="C795" s="441" t="s">
        <v>75</v>
      </c>
      <c r="D795" s="47">
        <v>0.25</v>
      </c>
      <c r="E795" s="319">
        <v>8</v>
      </c>
      <c r="F795" s="320"/>
      <c r="G795" s="4"/>
      <c r="H795" s="441" t="s">
        <v>75</v>
      </c>
      <c r="I795" s="47">
        <v>0.25</v>
      </c>
      <c r="J795" s="319">
        <v>8</v>
      </c>
      <c r="K795" s="320"/>
      <c r="L795" s="4"/>
      <c r="M795" s="441" t="s">
        <v>75</v>
      </c>
      <c r="N795" s="47">
        <v>0.25</v>
      </c>
      <c r="O795" s="319">
        <v>8</v>
      </c>
      <c r="P795" s="320"/>
      <c r="R795" s="441" t="s">
        <v>75</v>
      </c>
      <c r="S795" s="47">
        <v>0.25</v>
      </c>
      <c r="T795" s="319">
        <v>8</v>
      </c>
      <c r="U795" s="320"/>
      <c r="W795" s="441" t="s">
        <v>75</v>
      </c>
      <c r="X795" s="47">
        <v>0.25</v>
      </c>
      <c r="Y795" s="319">
        <v>8</v>
      </c>
      <c r="Z795" s="320"/>
      <c r="AA795" s="29">
        <f t="shared" si="132"/>
        <v>40</v>
      </c>
      <c r="AB795" s="298">
        <f>Z795+U795+P795+K795+F795</f>
        <v>0</v>
      </c>
      <c r="AC795" s="4"/>
      <c r="AD795" s="47" t="s">
        <v>29</v>
      </c>
      <c r="AE795" s="47" t="s">
        <v>29</v>
      </c>
      <c r="AF795" s="346"/>
      <c r="AG795" s="29">
        <f t="shared" si="133"/>
        <v>0</v>
      </c>
      <c r="AK795" s="494" t="s">
        <v>36</v>
      </c>
      <c r="AL795" s="471">
        <f>AB811</f>
        <v>0</v>
      </c>
      <c r="AM795" s="510">
        <v>75</v>
      </c>
      <c r="AN795" s="510">
        <f t="shared" si="131"/>
        <v>0</v>
      </c>
    </row>
    <row r="796" spans="2:47" hidden="1" outlineLevel="1">
      <c r="B796" s="11" t="s">
        <v>273</v>
      </c>
      <c r="C796" s="441" t="s">
        <v>75</v>
      </c>
      <c r="D796" s="47">
        <v>0.25</v>
      </c>
      <c r="E796" s="319">
        <v>8</v>
      </c>
      <c r="F796" s="320"/>
      <c r="G796" s="4"/>
      <c r="H796" s="441" t="s">
        <v>75</v>
      </c>
      <c r="I796" s="47">
        <v>0.25</v>
      </c>
      <c r="J796" s="319">
        <v>8</v>
      </c>
      <c r="K796" s="320"/>
      <c r="L796" s="4"/>
      <c r="M796" s="441" t="s">
        <v>75</v>
      </c>
      <c r="N796" s="47">
        <v>0.25</v>
      </c>
      <c r="O796" s="319">
        <v>8</v>
      </c>
      <c r="P796" s="320"/>
      <c r="R796" s="441" t="s">
        <v>75</v>
      </c>
      <c r="S796" s="47">
        <v>0.25</v>
      </c>
      <c r="T796" s="319">
        <v>8</v>
      </c>
      <c r="U796" s="320"/>
      <c r="W796" s="441" t="s">
        <v>75</v>
      </c>
      <c r="X796" s="47">
        <v>0.25</v>
      </c>
      <c r="Y796" s="319">
        <v>8</v>
      </c>
      <c r="Z796" s="320"/>
      <c r="AA796" s="29">
        <f t="shared" si="132"/>
        <v>40</v>
      </c>
      <c r="AB796" s="298">
        <f>Z796+U796+P796+K796+F795</f>
        <v>0</v>
      </c>
      <c r="AC796" s="4"/>
      <c r="AD796" s="47" t="s">
        <v>29</v>
      </c>
      <c r="AE796" s="47" t="s">
        <v>29</v>
      </c>
      <c r="AF796" s="346"/>
      <c r="AG796" s="29">
        <f t="shared" si="133"/>
        <v>0</v>
      </c>
      <c r="AK796" s="494" t="s">
        <v>38</v>
      </c>
      <c r="AL796" s="471">
        <f>AG811</f>
        <v>0</v>
      </c>
      <c r="AM796" s="510">
        <v>75</v>
      </c>
      <c r="AN796" s="510">
        <f t="shared" si="131"/>
        <v>0</v>
      </c>
    </row>
    <row r="797" spans="2:47" ht="14.25" hidden="1" outlineLevel="1" thickBot="1">
      <c r="B797" s="524" t="s">
        <v>275</v>
      </c>
      <c r="C797" s="441" t="s">
        <v>75</v>
      </c>
      <c r="D797" s="47">
        <v>0.25</v>
      </c>
      <c r="E797" s="319">
        <v>8</v>
      </c>
      <c r="F797" s="320"/>
      <c r="G797" s="4"/>
      <c r="H797" s="441" t="s">
        <v>75</v>
      </c>
      <c r="I797" s="47">
        <v>0.25</v>
      </c>
      <c r="J797" s="319">
        <v>8</v>
      </c>
      <c r="K797" s="320"/>
      <c r="L797" s="4"/>
      <c r="M797" s="441" t="s">
        <v>75</v>
      </c>
      <c r="N797" s="47">
        <v>0.25</v>
      </c>
      <c r="O797" s="319">
        <v>8</v>
      </c>
      <c r="P797" s="320"/>
      <c r="R797" s="441" t="s">
        <v>75</v>
      </c>
      <c r="S797" s="47">
        <v>0.25</v>
      </c>
      <c r="T797" s="319">
        <v>8</v>
      </c>
      <c r="U797" s="320"/>
      <c r="W797" s="441" t="s">
        <v>75</v>
      </c>
      <c r="X797" s="47">
        <v>0.25</v>
      </c>
      <c r="Y797" s="319">
        <v>8</v>
      </c>
      <c r="Z797" s="320"/>
      <c r="AA797" s="29">
        <f t="shared" si="132"/>
        <v>40</v>
      </c>
      <c r="AB797" s="298">
        <f>Z797+U797+P797+K797+F796</f>
        <v>0</v>
      </c>
      <c r="AC797" s="4"/>
      <c r="AD797" s="47" t="s">
        <v>29</v>
      </c>
      <c r="AE797" s="47" t="s">
        <v>29</v>
      </c>
      <c r="AF797" s="346"/>
      <c r="AG797" s="29">
        <f t="shared" si="133"/>
        <v>0</v>
      </c>
      <c r="AK797" s="494" t="s">
        <v>41</v>
      </c>
      <c r="AL797" s="471">
        <f>C812</f>
        <v>80</v>
      </c>
      <c r="AM797" s="512">
        <v>45</v>
      </c>
      <c r="AN797" s="512">
        <f t="shared" si="131"/>
        <v>3600</v>
      </c>
    </row>
    <row r="798" spans="2:47" ht="14.25" hidden="1" outlineLevel="1" thickTop="1">
      <c r="B798" s="523" t="s">
        <v>276</v>
      </c>
      <c r="C798" s="441" t="s">
        <v>75</v>
      </c>
      <c r="D798" s="47">
        <v>0.25</v>
      </c>
      <c r="E798" s="319">
        <v>8</v>
      </c>
      <c r="F798" s="320"/>
      <c r="G798" s="4"/>
      <c r="H798" s="441" t="s">
        <v>75</v>
      </c>
      <c r="I798" s="47">
        <v>0.25</v>
      </c>
      <c r="J798" s="319">
        <v>8</v>
      </c>
      <c r="K798" s="320"/>
      <c r="L798" s="4"/>
      <c r="M798" s="441" t="s">
        <v>75</v>
      </c>
      <c r="N798" s="47">
        <v>0.25</v>
      </c>
      <c r="O798" s="319">
        <v>8</v>
      </c>
      <c r="P798" s="320"/>
      <c r="R798" s="441" t="s">
        <v>75</v>
      </c>
      <c r="S798" s="47">
        <v>0.25</v>
      </c>
      <c r="T798" s="319">
        <v>8</v>
      </c>
      <c r="U798" s="320"/>
      <c r="W798" s="441" t="s">
        <v>75</v>
      </c>
      <c r="X798" s="47">
        <v>0.25</v>
      </c>
      <c r="Y798" s="319">
        <v>8</v>
      </c>
      <c r="Z798" s="320"/>
      <c r="AA798" s="29">
        <f t="shared" si="132"/>
        <v>40</v>
      </c>
      <c r="AB798" s="298">
        <f>Z798+U798+P798+K798+F797</f>
        <v>0</v>
      </c>
      <c r="AC798" s="4"/>
      <c r="AD798" s="47" t="s">
        <v>29</v>
      </c>
      <c r="AE798" s="47" t="s">
        <v>29</v>
      </c>
      <c r="AF798" s="346"/>
      <c r="AG798" s="29">
        <f t="shared" si="133"/>
        <v>0</v>
      </c>
      <c r="AN798" s="510">
        <f>SUM(AN791:AN797)</f>
        <v>23568</v>
      </c>
    </row>
    <row r="799" spans="2:47" hidden="1" outlineLevel="1">
      <c r="B799" s="523" t="s">
        <v>277</v>
      </c>
      <c r="C799" s="441" t="s">
        <v>75</v>
      </c>
      <c r="D799" s="47">
        <v>0.25</v>
      </c>
      <c r="E799" s="319">
        <v>8</v>
      </c>
      <c r="F799" s="320"/>
      <c r="G799" s="4"/>
      <c r="H799" s="441" t="s">
        <v>75</v>
      </c>
      <c r="I799" s="47">
        <v>0.25</v>
      </c>
      <c r="J799" s="319">
        <v>8</v>
      </c>
      <c r="K799" s="320"/>
      <c r="L799" s="4"/>
      <c r="M799" s="441" t="s">
        <v>75</v>
      </c>
      <c r="N799" s="47">
        <v>0.25</v>
      </c>
      <c r="O799" s="319">
        <v>8</v>
      </c>
      <c r="P799" s="320"/>
      <c r="R799" s="441" t="s">
        <v>75</v>
      </c>
      <c r="S799" s="47">
        <v>0.25</v>
      </c>
      <c r="T799" s="319">
        <v>8</v>
      </c>
      <c r="U799" s="320"/>
      <c r="W799" s="441" t="s">
        <v>75</v>
      </c>
      <c r="X799" s="47">
        <v>0.25</v>
      </c>
      <c r="Y799" s="319">
        <v>8</v>
      </c>
      <c r="Z799" s="320"/>
      <c r="AA799" s="29">
        <f t="shared" si="132"/>
        <v>40</v>
      </c>
      <c r="AB799" s="298">
        <f>Z799+U799+P799+K799+F798</f>
        <v>0</v>
      </c>
      <c r="AC799" s="4"/>
      <c r="AD799" s="47" t="s">
        <v>29</v>
      </c>
      <c r="AE799" s="47" t="s">
        <v>29</v>
      </c>
      <c r="AF799" s="346"/>
      <c r="AG799" s="29">
        <f t="shared" si="133"/>
        <v>0</v>
      </c>
    </row>
    <row r="800" spans="2:47" hidden="1" outlineLevel="1">
      <c r="C800" s="441"/>
      <c r="D800" s="47"/>
      <c r="E800" s="319"/>
      <c r="F800" s="320"/>
      <c r="G800" s="4"/>
      <c r="H800" s="441"/>
      <c r="I800" s="47"/>
      <c r="J800" s="319"/>
      <c r="K800" s="320"/>
      <c r="L800" s="4"/>
      <c r="M800" s="441"/>
      <c r="N800" s="47"/>
      <c r="O800" s="319"/>
      <c r="P800" s="320"/>
      <c r="R800" s="441"/>
      <c r="S800" s="47"/>
      <c r="T800" s="319"/>
      <c r="U800" s="320"/>
      <c r="W800" s="441"/>
      <c r="X800" s="47"/>
      <c r="Y800" s="319"/>
      <c r="Z800" s="320"/>
      <c r="AA800" s="29">
        <f t="shared" si="132"/>
        <v>0</v>
      </c>
      <c r="AB800" s="298">
        <f t="shared" ref="AB800:AB807" si="134">Z800+U800+P800+K800+F800</f>
        <v>0</v>
      </c>
      <c r="AC800" s="4"/>
      <c r="AD800" s="47" t="s">
        <v>29</v>
      </c>
      <c r="AE800" s="47" t="s">
        <v>29</v>
      </c>
      <c r="AF800" s="346"/>
      <c r="AG800" s="29">
        <f t="shared" si="133"/>
        <v>0</v>
      </c>
    </row>
    <row r="801" spans="1:47" hidden="1" outlineLevel="1">
      <c r="B801" s="457"/>
      <c r="C801" s="441"/>
      <c r="D801" s="47"/>
      <c r="E801" s="319"/>
      <c r="F801" s="320"/>
      <c r="G801" s="4"/>
      <c r="H801" s="441"/>
      <c r="I801" s="47"/>
      <c r="J801" s="319"/>
      <c r="K801" s="320"/>
      <c r="L801" s="4"/>
      <c r="M801" s="441"/>
      <c r="N801" s="47"/>
      <c r="O801" s="319"/>
      <c r="P801" s="320"/>
      <c r="R801" s="441"/>
      <c r="S801" s="47"/>
      <c r="T801" s="319"/>
      <c r="U801" s="320"/>
      <c r="W801" s="441"/>
      <c r="X801" s="47"/>
      <c r="Y801" s="319"/>
      <c r="Z801" s="320"/>
      <c r="AA801" s="29">
        <f t="shared" si="132"/>
        <v>0</v>
      </c>
      <c r="AB801" s="298">
        <f t="shared" si="134"/>
        <v>0</v>
      </c>
      <c r="AC801" s="4"/>
      <c r="AD801" s="47" t="s">
        <v>29</v>
      </c>
      <c r="AE801" s="47" t="s">
        <v>29</v>
      </c>
      <c r="AF801" s="19"/>
      <c r="AG801" s="29">
        <f t="shared" si="133"/>
        <v>0</v>
      </c>
    </row>
    <row r="802" spans="1:47" hidden="1" outlineLevel="1">
      <c r="B802" s="166" t="s">
        <v>279</v>
      </c>
      <c r="C802" s="16"/>
      <c r="D802" s="16"/>
      <c r="E802" s="319">
        <v>8</v>
      </c>
      <c r="F802" s="320"/>
      <c r="G802" s="4"/>
      <c r="H802" s="16"/>
      <c r="I802" s="16"/>
      <c r="J802" s="319">
        <v>8</v>
      </c>
      <c r="K802" s="320"/>
      <c r="L802" s="4"/>
      <c r="M802" s="16"/>
      <c r="N802" s="16"/>
      <c r="O802" s="319">
        <v>8</v>
      </c>
      <c r="P802" s="320"/>
      <c r="R802" s="16"/>
      <c r="S802" s="16"/>
      <c r="T802" s="319">
        <v>8</v>
      </c>
      <c r="U802" s="320"/>
      <c r="W802" s="16"/>
      <c r="X802" s="16"/>
      <c r="Y802" s="319">
        <v>8</v>
      </c>
      <c r="Z802" s="320"/>
      <c r="AA802" s="29">
        <f t="shared" si="132"/>
        <v>40</v>
      </c>
      <c r="AB802" s="298">
        <f t="shared" si="134"/>
        <v>0</v>
      </c>
      <c r="AC802" s="4"/>
      <c r="AD802" s="47" t="s">
        <v>29</v>
      </c>
      <c r="AE802" s="47" t="s">
        <v>29</v>
      </c>
      <c r="AF802" s="19"/>
      <c r="AG802" s="29">
        <f t="shared" si="133"/>
        <v>0</v>
      </c>
    </row>
    <row r="803" spans="1:47" hidden="1" outlineLevel="1">
      <c r="B803" s="166" t="s">
        <v>280</v>
      </c>
      <c r="C803" s="16"/>
      <c r="D803" s="16"/>
      <c r="E803" s="319">
        <v>8</v>
      </c>
      <c r="F803" s="320"/>
      <c r="G803" s="4"/>
      <c r="H803" s="16"/>
      <c r="I803" s="16"/>
      <c r="J803" s="319">
        <v>8</v>
      </c>
      <c r="K803" s="320"/>
      <c r="L803" s="4"/>
      <c r="M803" s="16"/>
      <c r="N803" s="16"/>
      <c r="O803" s="319">
        <v>8</v>
      </c>
      <c r="P803" s="320"/>
      <c r="R803" s="16"/>
      <c r="S803" s="16"/>
      <c r="T803" s="319">
        <v>8</v>
      </c>
      <c r="U803" s="320"/>
      <c r="W803" s="16"/>
      <c r="X803" s="16"/>
      <c r="Y803" s="319">
        <v>8</v>
      </c>
      <c r="Z803" s="320"/>
      <c r="AA803" s="29">
        <f t="shared" si="132"/>
        <v>40</v>
      </c>
      <c r="AB803" s="298">
        <f t="shared" si="134"/>
        <v>0</v>
      </c>
      <c r="AC803" s="4"/>
      <c r="AD803" s="47" t="s">
        <v>29</v>
      </c>
      <c r="AE803" s="47" t="s">
        <v>29</v>
      </c>
      <c r="AF803" s="19"/>
      <c r="AG803" s="29">
        <f t="shared" si="133"/>
        <v>0</v>
      </c>
    </row>
    <row r="804" spans="1:47" hidden="1" outlineLevel="1">
      <c r="B804" s="166" t="s">
        <v>281</v>
      </c>
      <c r="C804" s="16"/>
      <c r="D804" s="16"/>
      <c r="E804" s="319">
        <v>8</v>
      </c>
      <c r="F804" s="320"/>
      <c r="G804" s="4"/>
      <c r="H804" s="16"/>
      <c r="I804" s="16"/>
      <c r="J804" s="319">
        <v>8</v>
      </c>
      <c r="K804" s="320"/>
      <c r="L804" s="4"/>
      <c r="M804" s="16"/>
      <c r="N804" s="16"/>
      <c r="O804" s="319">
        <v>8</v>
      </c>
      <c r="P804" s="320"/>
      <c r="R804" s="16"/>
      <c r="S804" s="16"/>
      <c r="T804" s="319">
        <v>8</v>
      </c>
      <c r="U804" s="320"/>
      <c r="W804" s="16"/>
      <c r="X804" s="16"/>
      <c r="Y804" s="319">
        <v>8</v>
      </c>
      <c r="Z804" s="320"/>
      <c r="AA804" s="29">
        <f t="shared" si="132"/>
        <v>40</v>
      </c>
      <c r="AB804" s="298">
        <f t="shared" si="134"/>
        <v>0</v>
      </c>
      <c r="AC804" s="4"/>
      <c r="AD804" s="47" t="s">
        <v>29</v>
      </c>
      <c r="AE804" s="47" t="s">
        <v>29</v>
      </c>
      <c r="AF804" s="19"/>
      <c r="AG804" s="29">
        <f t="shared" si="133"/>
        <v>0</v>
      </c>
    </row>
    <row r="805" spans="1:47" hidden="1" outlineLevel="1">
      <c r="B805" s="166" t="s">
        <v>283</v>
      </c>
      <c r="C805" s="16"/>
      <c r="D805" s="16"/>
      <c r="E805" s="319">
        <v>8</v>
      </c>
      <c r="F805" s="320"/>
      <c r="G805" s="4"/>
      <c r="H805" s="16"/>
      <c r="I805" s="16"/>
      <c r="J805" s="319">
        <v>8</v>
      </c>
      <c r="K805" s="320"/>
      <c r="L805" s="4"/>
      <c r="M805" s="16"/>
      <c r="N805" s="16"/>
      <c r="O805" s="319">
        <v>8</v>
      </c>
      <c r="P805" s="320"/>
      <c r="R805" s="16"/>
      <c r="S805" s="16"/>
      <c r="T805" s="319">
        <v>8</v>
      </c>
      <c r="U805" s="320"/>
      <c r="W805" s="16"/>
      <c r="X805" s="16"/>
      <c r="Y805" s="319">
        <v>8</v>
      </c>
      <c r="Z805" s="320"/>
      <c r="AA805" s="29">
        <f t="shared" si="132"/>
        <v>40</v>
      </c>
      <c r="AB805" s="298">
        <f t="shared" si="134"/>
        <v>0</v>
      </c>
      <c r="AC805" s="4"/>
      <c r="AD805" s="47" t="s">
        <v>29</v>
      </c>
      <c r="AE805" s="47" t="s">
        <v>29</v>
      </c>
      <c r="AF805" s="19"/>
      <c r="AG805" s="29">
        <f t="shared" si="133"/>
        <v>0</v>
      </c>
    </row>
    <row r="806" spans="1:47" hidden="1" outlineLevel="1">
      <c r="B806" s="63" t="s">
        <v>63</v>
      </c>
      <c r="C806" s="16"/>
      <c r="D806" s="16"/>
      <c r="E806" s="319">
        <v>4</v>
      </c>
      <c r="F806" s="320"/>
      <c r="G806" s="438"/>
      <c r="H806" s="16"/>
      <c r="I806" s="16"/>
      <c r="J806" s="319">
        <v>4</v>
      </c>
      <c r="K806" s="320"/>
      <c r="L806" s="438"/>
      <c r="M806" s="16"/>
      <c r="N806" s="16"/>
      <c r="O806" s="319">
        <v>4</v>
      </c>
      <c r="P806" s="320"/>
      <c r="Q806" s="438"/>
      <c r="R806" s="16"/>
      <c r="S806" s="16"/>
      <c r="T806" s="319">
        <v>4</v>
      </c>
      <c r="U806" s="320"/>
      <c r="V806" s="438"/>
      <c r="W806" s="16"/>
      <c r="X806" s="16"/>
      <c r="Y806" s="319">
        <v>4</v>
      </c>
      <c r="Z806" s="320"/>
      <c r="AA806" s="29">
        <f t="shared" si="132"/>
        <v>20</v>
      </c>
      <c r="AB806" s="298">
        <f t="shared" si="134"/>
        <v>0</v>
      </c>
      <c r="AC806" s="4"/>
      <c r="AD806" s="47" t="s">
        <v>29</v>
      </c>
      <c r="AE806" s="47" t="s">
        <v>29</v>
      </c>
      <c r="AF806" s="19"/>
      <c r="AG806" s="29">
        <f t="shared" si="133"/>
        <v>0</v>
      </c>
      <c r="AK806" s="407"/>
    </row>
    <row r="807" spans="1:47" hidden="1" outlineLevel="1">
      <c r="B807" s="63" t="s">
        <v>250</v>
      </c>
      <c r="C807" s="47"/>
      <c r="D807" s="47"/>
      <c r="E807" s="319"/>
      <c r="F807" s="320"/>
      <c r="G807" s="438"/>
      <c r="H807" s="47"/>
      <c r="I807" s="47"/>
      <c r="J807" s="319"/>
      <c r="K807" s="320"/>
      <c r="L807" s="438"/>
      <c r="M807" s="47"/>
      <c r="N807" s="47"/>
      <c r="O807" s="319"/>
      <c r="P807" s="320"/>
      <c r="Q807" s="438"/>
      <c r="R807" s="47"/>
      <c r="S807" s="47"/>
      <c r="T807" s="319"/>
      <c r="U807" s="320"/>
      <c r="V807" s="438"/>
      <c r="W807" s="47"/>
      <c r="X807" s="47"/>
      <c r="Y807" s="319"/>
      <c r="Z807" s="320"/>
      <c r="AA807" s="29">
        <f t="shared" si="132"/>
        <v>0</v>
      </c>
      <c r="AB807" s="298">
        <f t="shared" si="134"/>
        <v>0</v>
      </c>
      <c r="AC807" s="4"/>
      <c r="AD807" s="47" t="s">
        <v>29</v>
      </c>
      <c r="AE807" s="47" t="s">
        <v>29</v>
      </c>
      <c r="AF807" s="19"/>
      <c r="AG807" s="29">
        <f t="shared" si="133"/>
        <v>0</v>
      </c>
      <c r="AK807" s="407"/>
    </row>
    <row r="808" spans="1:47" hidden="1" outlineLevel="1">
      <c r="B808" s="64" t="s">
        <v>61</v>
      </c>
      <c r="C808" s="31"/>
      <c r="D808" s="31"/>
      <c r="E808" s="439">
        <f>SUM(E792:E807)</f>
        <v>92</v>
      </c>
      <c r="F808" s="320">
        <f>SUM(F792:F801)</f>
        <v>0</v>
      </c>
      <c r="G808" s="31"/>
      <c r="H808" s="31"/>
      <c r="I808" s="31"/>
      <c r="J808" s="439">
        <f>SUM(J792:J807)</f>
        <v>100</v>
      </c>
      <c r="K808" s="320">
        <f>SUM(K792:K801)</f>
        <v>0</v>
      </c>
      <c r="L808" s="31"/>
      <c r="M808" s="31"/>
      <c r="N808" s="31"/>
      <c r="O808" s="439">
        <f>SUM(O792:O807)</f>
        <v>100</v>
      </c>
      <c r="P808" s="320">
        <f>SUM(P792:P805)</f>
        <v>0</v>
      </c>
      <c r="Q808" s="31"/>
      <c r="R808" s="31"/>
      <c r="S808" s="31"/>
      <c r="T808" s="439">
        <f>SUM(T792:T807)</f>
        <v>100</v>
      </c>
      <c r="U808" s="320">
        <f>SUM(U792:U805)</f>
        <v>0</v>
      </c>
      <c r="V808" s="31"/>
      <c r="W808" s="31"/>
      <c r="X808" s="31"/>
      <c r="Y808" s="439">
        <f>SUM(Y792:Y807)</f>
        <v>94</v>
      </c>
      <c r="Z808" s="320">
        <f>SUM(Z792:Z801)</f>
        <v>0</v>
      </c>
      <c r="AA808" s="370">
        <f>SUM(AA792:AA807)</f>
        <v>486</v>
      </c>
      <c r="AB808" s="370">
        <f>SUM(AB792:AB807)</f>
        <v>0</v>
      </c>
      <c r="AC808" s="4"/>
      <c r="AD808" s="64"/>
      <c r="AE808" s="64"/>
      <c r="AF808" s="167">
        <f>SUM(AF792:AF807)</f>
        <v>0</v>
      </c>
      <c r="AG808" s="370">
        <f>SUM(AG792:AG807)</f>
        <v>0</v>
      </c>
    </row>
    <row r="809" spans="1:47" hidden="1" outlineLevel="1">
      <c r="B809" s="63" t="s">
        <v>64</v>
      </c>
      <c r="C809" s="56" t="s">
        <v>29</v>
      </c>
      <c r="D809" s="56" t="s">
        <v>29</v>
      </c>
      <c r="E809" s="525">
        <v>6</v>
      </c>
      <c r="F809" s="525"/>
      <c r="G809" s="525"/>
      <c r="H809" s="525"/>
      <c r="I809" s="525"/>
      <c r="J809" s="525">
        <v>6</v>
      </c>
      <c r="K809" s="525"/>
      <c r="L809" s="525"/>
      <c r="M809" s="525"/>
      <c r="N809" s="525"/>
      <c r="O809" s="525">
        <v>6</v>
      </c>
      <c r="P809" s="525"/>
      <c r="Q809" s="525"/>
      <c r="R809" s="525"/>
      <c r="S809" s="525"/>
      <c r="T809" s="525">
        <v>6</v>
      </c>
      <c r="U809" s="525"/>
      <c r="V809" s="525"/>
      <c r="W809" s="525"/>
      <c r="X809" s="525"/>
      <c r="Y809" s="525">
        <v>6</v>
      </c>
      <c r="Z809" s="525"/>
      <c r="AA809" s="28">
        <f>SUM(E809+J809+O809+T809+Y809)</f>
        <v>30</v>
      </c>
      <c r="AB809" s="296">
        <f>Z809+U809+P809+K809+F809</f>
        <v>0</v>
      </c>
      <c r="AC809" s="4"/>
      <c r="AD809" s="56"/>
      <c r="AE809" s="56"/>
      <c r="AF809" s="19"/>
      <c r="AG809" s="29">
        <f>AF809</f>
        <v>0</v>
      </c>
    </row>
    <row r="810" spans="1:47" hidden="1" outlineLevel="1">
      <c r="B810" s="63" t="s">
        <v>110</v>
      </c>
      <c r="C810" s="56" t="s">
        <v>29</v>
      </c>
      <c r="D810" s="56" t="s">
        <v>29</v>
      </c>
      <c r="E810" s="19">
        <v>0</v>
      </c>
      <c r="F810" s="291"/>
      <c r="G810" s="60"/>
      <c r="H810" s="56" t="s">
        <v>29</v>
      </c>
      <c r="I810" s="56" t="s">
        <v>29</v>
      </c>
      <c r="J810" s="19">
        <v>0</v>
      </c>
      <c r="K810" s="291"/>
      <c r="L810" s="60"/>
      <c r="M810" s="56" t="s">
        <v>29</v>
      </c>
      <c r="N810" s="56" t="s">
        <v>29</v>
      </c>
      <c r="O810" s="19">
        <v>0</v>
      </c>
      <c r="P810" s="19"/>
      <c r="Q810" s="60"/>
      <c r="R810" s="56" t="s">
        <v>29</v>
      </c>
      <c r="S810" s="56" t="s">
        <v>29</v>
      </c>
      <c r="T810" s="19">
        <v>0</v>
      </c>
      <c r="U810" s="19"/>
      <c r="V810" s="60"/>
      <c r="W810" s="56" t="s">
        <v>29</v>
      </c>
      <c r="X810" s="56" t="s">
        <v>29</v>
      </c>
      <c r="Y810" s="19">
        <v>0</v>
      </c>
      <c r="Z810" s="19"/>
      <c r="AA810" s="28">
        <f>SUM(E810+J810+O810+T810+Y810)</f>
        <v>0</v>
      </c>
      <c r="AB810" s="296">
        <f>Z810+U810+P810+K810+F810</f>
        <v>0</v>
      </c>
      <c r="AC810" s="4"/>
      <c r="AD810" s="56"/>
      <c r="AE810" s="56"/>
      <c r="AF810" s="19"/>
      <c r="AG810" s="29">
        <f>AF810</f>
        <v>0</v>
      </c>
    </row>
    <row r="811" spans="1:47" hidden="1" outlineLevel="1">
      <c r="B811" s="71" t="s">
        <v>66</v>
      </c>
      <c r="C811" s="371"/>
      <c r="D811" s="371"/>
      <c r="E811" s="71">
        <f t="shared" ref="E811:AB811" si="135">SUM(E809:E810)</f>
        <v>6</v>
      </c>
      <c r="F811" s="71">
        <f t="shared" si="135"/>
        <v>0</v>
      </c>
      <c r="G811" s="71">
        <f t="shared" si="135"/>
        <v>0</v>
      </c>
      <c r="H811" s="71">
        <f t="shared" si="135"/>
        <v>0</v>
      </c>
      <c r="I811" s="71">
        <f t="shared" si="135"/>
        <v>0</v>
      </c>
      <c r="J811" s="71">
        <f t="shared" si="135"/>
        <v>6</v>
      </c>
      <c r="K811" s="71">
        <f t="shared" si="135"/>
        <v>0</v>
      </c>
      <c r="L811" s="71">
        <f t="shared" si="135"/>
        <v>0</v>
      </c>
      <c r="M811" s="71">
        <f t="shared" si="135"/>
        <v>0</v>
      </c>
      <c r="N811" s="71">
        <f t="shared" si="135"/>
        <v>0</v>
      </c>
      <c r="O811" s="71">
        <f t="shared" si="135"/>
        <v>6</v>
      </c>
      <c r="P811" s="71">
        <f t="shared" si="135"/>
        <v>0</v>
      </c>
      <c r="Q811" s="71">
        <f t="shared" si="135"/>
        <v>0</v>
      </c>
      <c r="R811" s="71">
        <f t="shared" si="135"/>
        <v>0</v>
      </c>
      <c r="S811" s="71">
        <f t="shared" si="135"/>
        <v>0</v>
      </c>
      <c r="T811" s="71">
        <f t="shared" si="135"/>
        <v>6</v>
      </c>
      <c r="U811" s="71">
        <f t="shared" si="135"/>
        <v>0</v>
      </c>
      <c r="V811" s="71">
        <f t="shared" si="135"/>
        <v>0</v>
      </c>
      <c r="W811" s="71">
        <f t="shared" si="135"/>
        <v>0</v>
      </c>
      <c r="X811" s="71">
        <f t="shared" si="135"/>
        <v>0</v>
      </c>
      <c r="Y811" s="71">
        <f t="shared" si="135"/>
        <v>6</v>
      </c>
      <c r="Z811" s="71">
        <f t="shared" si="135"/>
        <v>0</v>
      </c>
      <c r="AA811" s="370">
        <f t="shared" si="135"/>
        <v>30</v>
      </c>
      <c r="AB811" s="370">
        <f t="shared" si="135"/>
        <v>0</v>
      </c>
      <c r="AC811" s="4"/>
      <c r="AG811" s="370">
        <f>SUM(AG809:AG810)</f>
        <v>0</v>
      </c>
    </row>
    <row r="812" spans="1:47" hidden="1" outlineLevel="1">
      <c r="B812" s="217" t="s">
        <v>67</v>
      </c>
      <c r="C812" s="207">
        <f>C813+C814</f>
        <v>80</v>
      </c>
      <c r="D812" s="207"/>
      <c r="E812" s="209"/>
      <c r="F812" s="209"/>
      <c r="G812" s="207"/>
      <c r="H812" s="209"/>
      <c r="I812" s="209"/>
      <c r="J812" s="209"/>
      <c r="K812" s="209"/>
      <c r="L812" s="207"/>
      <c r="M812" s="207"/>
      <c r="N812" s="207"/>
      <c r="O812" s="207"/>
      <c r="P812" s="209"/>
      <c r="Q812" s="207"/>
      <c r="R812" s="207"/>
      <c r="S812" s="207"/>
      <c r="T812" s="207"/>
      <c r="U812" s="209"/>
      <c r="V812" s="207"/>
      <c r="W812" s="207"/>
      <c r="X812" s="207"/>
      <c r="Y812" s="210"/>
      <c r="Z812" s="209"/>
      <c r="AA812" s="211"/>
      <c r="AB812" s="209"/>
      <c r="AC812" s="211"/>
      <c r="AD812" s="211"/>
      <c r="AE812" s="211"/>
      <c r="AF812" s="211"/>
      <c r="AG812" s="211"/>
    </row>
    <row r="813" spans="1:47" hidden="1" outlineLevel="1">
      <c r="B813" s="238" t="s">
        <v>68</v>
      </c>
      <c r="C813" s="239"/>
      <c r="D813" s="207"/>
      <c r="E813" s="209"/>
      <c r="F813" s="209"/>
      <c r="G813" s="207"/>
      <c r="H813" s="209"/>
      <c r="I813" s="209"/>
      <c r="J813" s="209"/>
      <c r="K813" s="209"/>
      <c r="L813" s="207"/>
      <c r="M813" s="207"/>
      <c r="N813" s="207"/>
      <c r="O813" s="207"/>
      <c r="P813" s="209"/>
      <c r="Q813" s="207"/>
      <c r="R813" s="207"/>
      <c r="S813" s="207"/>
      <c r="T813" s="207"/>
      <c r="U813" s="209"/>
      <c r="V813" s="207"/>
      <c r="W813" s="207"/>
      <c r="X813" s="207"/>
      <c r="Y813" s="210"/>
      <c r="Z813" s="209"/>
      <c r="AA813" s="211"/>
      <c r="AB813" s="209"/>
      <c r="AC813" s="211"/>
      <c r="AD813" s="211"/>
      <c r="AE813" s="211"/>
      <c r="AF813" s="211"/>
      <c r="AG813" s="211"/>
    </row>
    <row r="814" spans="1:47" hidden="1" outlineLevel="1">
      <c r="B814" s="238" t="s">
        <v>69</v>
      </c>
      <c r="C814" s="526">
        <v>80</v>
      </c>
      <c r="D814" s="581"/>
      <c r="E814" s="209"/>
      <c r="F814" s="209"/>
      <c r="G814" s="207"/>
      <c r="H814" s="209"/>
      <c r="I814" s="209"/>
      <c r="J814" s="209"/>
      <c r="K814" s="209"/>
      <c r="L814" s="207"/>
      <c r="M814" s="207"/>
      <c r="N814" s="207"/>
      <c r="O814" s="207"/>
      <c r="P814" s="209"/>
      <c r="Q814" s="207"/>
      <c r="R814" s="207"/>
      <c r="S814" s="207"/>
      <c r="T814" s="207"/>
      <c r="U814" s="209"/>
      <c r="V814" s="207"/>
      <c r="W814" s="207"/>
      <c r="X814" s="207"/>
      <c r="Y814" s="210"/>
      <c r="Z814" s="209"/>
      <c r="AA814" s="211"/>
      <c r="AB814" s="209"/>
      <c r="AC814" s="211"/>
      <c r="AD814" s="211"/>
      <c r="AE814" s="211"/>
      <c r="AF814" s="211"/>
      <c r="AG814" s="211"/>
    </row>
    <row r="815" spans="1:47" hidden="1" outlineLevel="1">
      <c r="A815" s="180"/>
      <c r="B815" s="180"/>
      <c r="E815" s="4"/>
      <c r="F815" s="4"/>
      <c r="G815" s="4"/>
      <c r="J815" s="4"/>
      <c r="K815" s="4"/>
      <c r="L815" s="4"/>
      <c r="O815" s="4"/>
      <c r="P815" s="4"/>
      <c r="T815" s="4"/>
      <c r="U815" s="4"/>
      <c r="Y815" s="4"/>
      <c r="Z815" s="4"/>
      <c r="AA815" s="4"/>
      <c r="AB815" s="4"/>
      <c r="AC815" s="4"/>
    </row>
    <row r="816" spans="1:47" hidden="1" outlineLevel="1">
      <c r="B816" s="229"/>
      <c r="C816" s="230"/>
      <c r="D816" s="230"/>
      <c r="E816" s="232"/>
      <c r="F816" s="232"/>
      <c r="G816" s="230"/>
      <c r="H816" s="232"/>
      <c r="I816" s="232"/>
      <c r="J816" s="232"/>
      <c r="K816" s="232"/>
      <c r="L816" s="230"/>
      <c r="M816" s="230"/>
      <c r="N816" s="230"/>
      <c r="O816" s="230"/>
      <c r="P816" s="232"/>
      <c r="Q816" s="230"/>
      <c r="R816" s="230"/>
      <c r="S816" s="230"/>
      <c r="T816" s="230"/>
      <c r="U816" s="232"/>
      <c r="V816" s="230"/>
      <c r="W816" s="230"/>
      <c r="X816" s="230"/>
      <c r="Y816" s="233"/>
      <c r="Z816" s="232"/>
      <c r="AA816" s="234"/>
      <c r="AB816" s="232"/>
      <c r="AC816" s="373"/>
      <c r="AD816" s="236"/>
      <c r="AE816" s="255"/>
      <c r="AF816" s="255"/>
      <c r="AG816" s="255"/>
      <c r="AH816" s="255"/>
      <c r="AJ816" s="255"/>
      <c r="AK816" s="255"/>
      <c r="AL816" s="255"/>
      <c r="AM816" s="255"/>
      <c r="AN816" s="255"/>
      <c r="AO816" s="255"/>
      <c r="AP816" s="255"/>
      <c r="AQ816" s="255"/>
      <c r="AR816" s="255"/>
      <c r="AS816" s="255"/>
      <c r="AT816" s="255"/>
      <c r="AU816" s="255"/>
    </row>
    <row r="817" spans="2:47" hidden="1" outlineLevel="1">
      <c r="B817" s="180"/>
      <c r="E817" s="4"/>
      <c r="F817" s="4"/>
      <c r="G817" s="4"/>
      <c r="J817" s="4"/>
      <c r="K817" s="4"/>
      <c r="L817" s="4"/>
      <c r="O817" s="4"/>
      <c r="P817" s="4"/>
      <c r="T817" s="4"/>
      <c r="U817" s="4"/>
      <c r="Y817" s="4"/>
      <c r="Z817" s="4"/>
      <c r="AA817" s="4"/>
      <c r="AB817" s="4"/>
      <c r="AC817" s="4"/>
      <c r="AK817" s="180"/>
      <c r="AL817" s="180"/>
      <c r="AM817" s="180"/>
      <c r="AN817" s="180"/>
      <c r="AO817" s="180"/>
      <c r="AP817" s="180"/>
    </row>
    <row r="818" spans="2:47" hidden="1" outlineLevel="1">
      <c r="B818" s="1518" t="s">
        <v>18</v>
      </c>
      <c r="C818" s="1519" t="s">
        <v>292</v>
      </c>
      <c r="D818" s="1519"/>
      <c r="E818" s="1519"/>
      <c r="F818" s="1519"/>
      <c r="G818" s="365"/>
      <c r="H818" s="1519" t="s">
        <v>293</v>
      </c>
      <c r="I818" s="1519"/>
      <c r="J818" s="1519"/>
      <c r="K818" s="1519"/>
      <c r="L818" s="365">
        <v>45343</v>
      </c>
      <c r="M818" s="1519" t="s">
        <v>294</v>
      </c>
      <c r="N818" s="1519"/>
      <c r="O818" s="1519"/>
      <c r="P818" s="1519"/>
      <c r="Q818" s="365"/>
      <c r="R818" s="1519" t="s">
        <v>295</v>
      </c>
      <c r="S818" s="1519"/>
      <c r="T818" s="1519"/>
      <c r="U818" s="1519"/>
      <c r="V818" s="365"/>
      <c r="W818" s="1519" t="s">
        <v>296</v>
      </c>
      <c r="X818" s="1519"/>
      <c r="Y818" s="1519"/>
      <c r="Z818" s="1519"/>
      <c r="AA818" s="1517" t="s">
        <v>19</v>
      </c>
      <c r="AB818" s="1517" t="s">
        <v>20</v>
      </c>
      <c r="AC818" s="4"/>
      <c r="AD818" s="1519">
        <v>45465</v>
      </c>
      <c r="AE818" s="1519"/>
      <c r="AF818" s="1519"/>
      <c r="AG818" s="1517" t="s">
        <v>21</v>
      </c>
      <c r="AI818" s="368"/>
      <c r="AK818" s="194" t="s">
        <v>84</v>
      </c>
      <c r="AL818" s="366"/>
      <c r="AM818" s="366"/>
      <c r="AN818" s="366"/>
      <c r="AO818" s="366"/>
      <c r="AP818" s="366"/>
    </row>
    <row r="819" spans="2:47" hidden="1" outlineLevel="1">
      <c r="B819" s="1518"/>
      <c r="C819" s="21" t="s">
        <v>23</v>
      </c>
      <c r="D819" s="21" t="s">
        <v>24</v>
      </c>
      <c r="E819" s="205" t="s">
        <v>25</v>
      </c>
      <c r="F819" s="18" t="s">
        <v>14</v>
      </c>
      <c r="G819" s="4"/>
      <c r="H819" s="21" t="s">
        <v>23</v>
      </c>
      <c r="I819" s="21" t="s">
        <v>24</v>
      </c>
      <c r="J819" s="18" t="s">
        <v>25</v>
      </c>
      <c r="K819" s="18" t="s">
        <v>14</v>
      </c>
      <c r="L819" s="4"/>
      <c r="M819" s="21" t="s">
        <v>23</v>
      </c>
      <c r="N819" s="21" t="s">
        <v>24</v>
      </c>
      <c r="O819" s="18" t="s">
        <v>25</v>
      </c>
      <c r="P819" s="18" t="s">
        <v>14</v>
      </c>
      <c r="R819" s="484" t="s">
        <v>23</v>
      </c>
      <c r="S819" s="21" t="s">
        <v>24</v>
      </c>
      <c r="T819" s="18" t="s">
        <v>25</v>
      </c>
      <c r="U819" s="18" t="s">
        <v>14</v>
      </c>
      <c r="W819" s="484" t="s">
        <v>23</v>
      </c>
      <c r="X819" s="21" t="s">
        <v>24</v>
      </c>
      <c r="Y819" s="18" t="s">
        <v>25</v>
      </c>
      <c r="Z819" s="18" t="s">
        <v>14</v>
      </c>
      <c r="AA819" s="1517"/>
      <c r="AB819" s="1517"/>
      <c r="AC819" s="4"/>
      <c r="AD819" s="21" t="s">
        <v>23</v>
      </c>
      <c r="AE819" s="21" t="s">
        <v>24</v>
      </c>
      <c r="AF819" s="18" t="s">
        <v>25</v>
      </c>
      <c r="AG819" s="1517"/>
      <c r="AI819" s="368"/>
      <c r="AJ819" s="367"/>
      <c r="AK819" s="494" t="s">
        <v>26</v>
      </c>
      <c r="AL819" s="471">
        <f>AA835</f>
        <v>376</v>
      </c>
      <c r="AM819" s="510">
        <v>38</v>
      </c>
      <c r="AN819" s="510">
        <f t="shared" ref="AN819:AN825" si="136">AL819*AM819</f>
        <v>14288</v>
      </c>
      <c r="AQ819" s="367"/>
      <c r="AR819" s="367"/>
      <c r="AS819" s="367"/>
      <c r="AT819" s="367"/>
      <c r="AU819" s="367"/>
    </row>
    <row r="820" spans="2:47" hidden="1" outlineLevel="1">
      <c r="B820" s="522" t="s">
        <v>297</v>
      </c>
      <c r="C820" s="441"/>
      <c r="D820" s="47"/>
      <c r="E820" s="319">
        <v>0</v>
      </c>
      <c r="F820" s="320"/>
      <c r="G820" s="4"/>
      <c r="H820" s="441"/>
      <c r="I820" s="47"/>
      <c r="J820" s="319">
        <v>0</v>
      </c>
      <c r="K820" s="320"/>
      <c r="L820" s="4"/>
      <c r="M820" s="441" t="s">
        <v>75</v>
      </c>
      <c r="N820" s="47">
        <v>0.25</v>
      </c>
      <c r="O820" s="319">
        <v>8</v>
      </c>
      <c r="P820" s="320"/>
      <c r="R820" s="441" t="s">
        <v>75</v>
      </c>
      <c r="S820" s="47">
        <v>0.20833333333333334</v>
      </c>
      <c r="T820" s="319">
        <v>8</v>
      </c>
      <c r="U820" s="320"/>
      <c r="W820" s="441" t="s">
        <v>75</v>
      </c>
      <c r="X820" s="47">
        <v>0.25</v>
      </c>
      <c r="Y820" s="319">
        <v>8</v>
      </c>
      <c r="Z820" s="320"/>
      <c r="AA820" s="29">
        <f t="shared" ref="AA820:AA834" si="137">(E820+J820+O820+T820+Y820)</f>
        <v>24</v>
      </c>
      <c r="AB820" s="298">
        <f>Z820+U820+P820+K820+F820</f>
        <v>0</v>
      </c>
      <c r="AC820" s="399"/>
      <c r="AD820" s="47" t="s">
        <v>29</v>
      </c>
      <c r="AE820" s="47" t="s">
        <v>29</v>
      </c>
      <c r="AF820" s="346"/>
      <c r="AG820" s="29">
        <f t="shared" ref="AG820:AG834" si="138">AF820</f>
        <v>0</v>
      </c>
      <c r="AH820" s="175"/>
      <c r="AJ820" s="401"/>
      <c r="AK820" s="494" t="s">
        <v>30</v>
      </c>
      <c r="AL820" s="471">
        <f>AB835</f>
        <v>0</v>
      </c>
      <c r="AM820" s="511">
        <v>57</v>
      </c>
      <c r="AN820" s="510">
        <f t="shared" si="136"/>
        <v>0</v>
      </c>
      <c r="AO820" s="405"/>
      <c r="AP820" s="405"/>
      <c r="AQ820" s="401"/>
      <c r="AR820" s="401"/>
      <c r="AS820" s="401"/>
      <c r="AT820" s="401"/>
      <c r="AU820" s="401"/>
    </row>
    <row r="821" spans="2:47" hidden="1" outlineLevel="1">
      <c r="B821" s="523" t="s">
        <v>298</v>
      </c>
      <c r="C821" s="441"/>
      <c r="D821" s="47"/>
      <c r="E821" s="319">
        <v>0</v>
      </c>
      <c r="F821" s="320"/>
      <c r="G821" s="4"/>
      <c r="H821" s="441" t="s">
        <v>75</v>
      </c>
      <c r="I821" s="47">
        <v>0.25</v>
      </c>
      <c r="J821" s="319">
        <v>8</v>
      </c>
      <c r="K821" s="320"/>
      <c r="L821" s="4"/>
      <c r="M821" s="441" t="s">
        <v>75</v>
      </c>
      <c r="N821" s="47">
        <v>0.25</v>
      </c>
      <c r="O821" s="319">
        <v>8</v>
      </c>
      <c r="P821" s="320"/>
      <c r="R821" s="441" t="s">
        <v>75</v>
      </c>
      <c r="S821" s="47">
        <v>0.20833333333333334</v>
      </c>
      <c r="T821" s="319">
        <v>8</v>
      </c>
      <c r="U821" s="320"/>
      <c r="W821" s="441" t="s">
        <v>75</v>
      </c>
      <c r="X821" s="47">
        <v>0.25</v>
      </c>
      <c r="Y821" s="319">
        <v>8</v>
      </c>
      <c r="Z821" s="320"/>
      <c r="AA821" s="29">
        <f t="shared" si="137"/>
        <v>32</v>
      </c>
      <c r="AB821" s="298">
        <f>Z821+U821+P821+K821+F821</f>
        <v>0</v>
      </c>
      <c r="AC821" s="175"/>
      <c r="AD821" s="47" t="s">
        <v>29</v>
      </c>
      <c r="AE821" s="47" t="s">
        <v>29</v>
      </c>
      <c r="AF821" s="346"/>
      <c r="AG821" s="344">
        <f t="shared" si="138"/>
        <v>0</v>
      </c>
      <c r="AH821" s="175"/>
      <c r="AI821" s="368"/>
      <c r="AK821" s="494" t="s">
        <v>32</v>
      </c>
      <c r="AL821" s="471">
        <f>AG835</f>
        <v>0</v>
      </c>
      <c r="AM821" s="510">
        <v>57</v>
      </c>
      <c r="AN821" s="510">
        <f t="shared" si="136"/>
        <v>0</v>
      </c>
    </row>
    <row r="822" spans="2:47" hidden="1" outlineLevel="1">
      <c r="B822" s="522" t="s">
        <v>299</v>
      </c>
      <c r="C822" s="441" t="s">
        <v>75</v>
      </c>
      <c r="D822" s="47">
        <v>0.25</v>
      </c>
      <c r="E822" s="319">
        <v>8</v>
      </c>
      <c r="F822" s="320"/>
      <c r="G822" s="4"/>
      <c r="H822" s="441" t="s">
        <v>75</v>
      </c>
      <c r="I822" s="47">
        <v>0.25</v>
      </c>
      <c r="J822" s="319">
        <v>8</v>
      </c>
      <c r="K822" s="320"/>
      <c r="L822" s="4"/>
      <c r="M822" s="441" t="s">
        <v>75</v>
      </c>
      <c r="N822" s="47">
        <v>0.25</v>
      </c>
      <c r="O822" s="319">
        <v>8</v>
      </c>
      <c r="P822" s="320"/>
      <c r="R822" s="441" t="s">
        <v>75</v>
      </c>
      <c r="S822" s="47">
        <v>0.20833333333333334</v>
      </c>
      <c r="T822" s="319">
        <v>8</v>
      </c>
      <c r="U822" s="320"/>
      <c r="W822" s="441" t="s">
        <v>75</v>
      </c>
      <c r="X822" s="47">
        <v>0.25</v>
      </c>
      <c r="Y822" s="319">
        <v>8</v>
      </c>
      <c r="Z822" s="320"/>
      <c r="AA822" s="29">
        <f t="shared" si="137"/>
        <v>40</v>
      </c>
      <c r="AB822" s="298">
        <f>Z822+U822+P822+K822+F822</f>
        <v>0</v>
      </c>
      <c r="AC822" s="4"/>
      <c r="AD822" s="47" t="s">
        <v>29</v>
      </c>
      <c r="AE822" s="47" t="s">
        <v>29</v>
      </c>
      <c r="AF822" s="346"/>
      <c r="AG822" s="29">
        <f t="shared" si="138"/>
        <v>0</v>
      </c>
      <c r="AJ822" s="367"/>
      <c r="AK822" s="494" t="s">
        <v>213</v>
      </c>
      <c r="AL822" s="471">
        <f>AA838</f>
        <v>105</v>
      </c>
      <c r="AM822" s="510">
        <v>50</v>
      </c>
      <c r="AN822" s="510">
        <f t="shared" si="136"/>
        <v>5250</v>
      </c>
      <c r="AQ822" s="367"/>
      <c r="AR822" s="367"/>
      <c r="AS822" s="367"/>
      <c r="AT822" s="367"/>
      <c r="AU822" s="367"/>
    </row>
    <row r="823" spans="2:47" hidden="1" outlineLevel="1">
      <c r="B823" s="523" t="s">
        <v>300</v>
      </c>
      <c r="C823" s="441" t="s">
        <v>75</v>
      </c>
      <c r="D823" s="47">
        <v>0.25</v>
      </c>
      <c r="E823" s="319">
        <v>8</v>
      </c>
      <c r="F823" s="320"/>
      <c r="G823" s="4"/>
      <c r="H823" s="441" t="s">
        <v>75</v>
      </c>
      <c r="I823" s="47">
        <v>0.25</v>
      </c>
      <c r="J823" s="319">
        <v>8</v>
      </c>
      <c r="K823" s="320"/>
      <c r="L823" s="4"/>
      <c r="M823" s="441" t="s">
        <v>75</v>
      </c>
      <c r="N823" s="47">
        <v>0.25</v>
      </c>
      <c r="O823" s="319">
        <v>8</v>
      </c>
      <c r="P823" s="320"/>
      <c r="R823" s="441" t="s">
        <v>75</v>
      </c>
      <c r="S823" s="47">
        <v>0.20833333333333334</v>
      </c>
      <c r="T823" s="319">
        <v>8</v>
      </c>
      <c r="U823" s="320"/>
      <c r="W823" s="441" t="s">
        <v>75</v>
      </c>
      <c r="X823" s="47">
        <v>0.25</v>
      </c>
      <c r="Y823" s="319">
        <v>8</v>
      </c>
      <c r="Z823" s="320"/>
      <c r="AA823" s="29">
        <f t="shared" si="137"/>
        <v>40</v>
      </c>
      <c r="AB823" s="298">
        <f>Z823+U823+P823+K823+F823</f>
        <v>0</v>
      </c>
      <c r="AC823" s="4"/>
      <c r="AD823" s="47" t="s">
        <v>29</v>
      </c>
      <c r="AE823" s="47" t="s">
        <v>29</v>
      </c>
      <c r="AF823" s="346"/>
      <c r="AG823" s="29">
        <f t="shared" si="138"/>
        <v>0</v>
      </c>
      <c r="AK823" s="494" t="s">
        <v>36</v>
      </c>
      <c r="AL823" s="471">
        <f>AB838</f>
        <v>0</v>
      </c>
      <c r="AM823" s="510">
        <v>75</v>
      </c>
      <c r="AN823" s="510">
        <f t="shared" si="136"/>
        <v>0</v>
      </c>
    </row>
    <row r="824" spans="2:47" hidden="1" outlineLevel="1">
      <c r="B824" s="522" t="s">
        <v>301</v>
      </c>
      <c r="C824" s="441" t="s">
        <v>302</v>
      </c>
      <c r="D824" s="47"/>
      <c r="E824" s="319">
        <v>0</v>
      </c>
      <c r="F824" s="320"/>
      <c r="G824" s="4"/>
      <c r="H824" s="441" t="s">
        <v>302</v>
      </c>
      <c r="I824" s="47"/>
      <c r="J824" s="319">
        <v>0</v>
      </c>
      <c r="K824" s="320"/>
      <c r="L824" s="4"/>
      <c r="M824" s="441" t="s">
        <v>302</v>
      </c>
      <c r="N824" s="47"/>
      <c r="O824" s="319">
        <v>0</v>
      </c>
      <c r="P824" s="320"/>
      <c r="R824" s="441" t="s">
        <v>302</v>
      </c>
      <c r="S824" s="47"/>
      <c r="T824" s="319">
        <v>0</v>
      </c>
      <c r="U824" s="320"/>
      <c r="W824" s="441"/>
      <c r="X824" s="47"/>
      <c r="Y824" s="319">
        <v>0</v>
      </c>
      <c r="Z824" s="320"/>
      <c r="AA824" s="29">
        <f t="shared" si="137"/>
        <v>0</v>
      </c>
      <c r="AB824" s="298">
        <f>Z824+U824+P824+K824+F823</f>
        <v>0</v>
      </c>
      <c r="AC824" s="4"/>
      <c r="AD824" s="47" t="s">
        <v>29</v>
      </c>
      <c r="AE824" s="47" t="s">
        <v>29</v>
      </c>
      <c r="AF824" s="346"/>
      <c r="AG824" s="29">
        <f t="shared" si="138"/>
        <v>0</v>
      </c>
      <c r="AK824" s="494" t="s">
        <v>38</v>
      </c>
      <c r="AL824" s="471">
        <f>AG838</f>
        <v>0</v>
      </c>
      <c r="AM824" s="510">
        <v>75</v>
      </c>
      <c r="AN824" s="510">
        <f t="shared" si="136"/>
        <v>0</v>
      </c>
    </row>
    <row r="825" spans="2:47" ht="14.25" hidden="1" outlineLevel="1" thickBot="1">
      <c r="B825" s="524" t="s">
        <v>303</v>
      </c>
      <c r="C825" s="441" t="s">
        <v>75</v>
      </c>
      <c r="D825" s="47">
        <v>0.25</v>
      </c>
      <c r="E825" s="319">
        <v>8</v>
      </c>
      <c r="F825" s="320"/>
      <c r="G825" s="4"/>
      <c r="H825" s="441" t="s">
        <v>75</v>
      </c>
      <c r="I825" s="47">
        <v>0.25</v>
      </c>
      <c r="J825" s="319">
        <v>8</v>
      </c>
      <c r="K825" s="320"/>
      <c r="L825" s="4"/>
      <c r="M825" s="441" t="s">
        <v>75</v>
      </c>
      <c r="N825" s="47">
        <v>0.25</v>
      </c>
      <c r="O825" s="319">
        <v>8</v>
      </c>
      <c r="P825" s="320"/>
      <c r="R825" s="441" t="s">
        <v>154</v>
      </c>
      <c r="S825" s="47"/>
      <c r="T825" s="319">
        <v>0</v>
      </c>
      <c r="U825" s="320"/>
      <c r="W825" s="441"/>
      <c r="X825" s="47"/>
      <c r="Y825" s="319">
        <v>0</v>
      </c>
      <c r="Z825" s="320"/>
      <c r="AA825" s="29">
        <f t="shared" si="137"/>
        <v>24</v>
      </c>
      <c r="AB825" s="298">
        <f>Z825+U825+P825+K825+F824</f>
        <v>0</v>
      </c>
      <c r="AC825" s="4"/>
      <c r="AD825" s="47" t="s">
        <v>29</v>
      </c>
      <c r="AE825" s="47" t="s">
        <v>29</v>
      </c>
      <c r="AF825" s="346"/>
      <c r="AG825" s="29">
        <f t="shared" si="138"/>
        <v>0</v>
      </c>
      <c r="AK825" s="494" t="s">
        <v>41</v>
      </c>
      <c r="AL825" s="471">
        <f>C839</f>
        <v>49</v>
      </c>
      <c r="AM825" s="512">
        <v>45</v>
      </c>
      <c r="AN825" s="512">
        <f t="shared" si="136"/>
        <v>2205</v>
      </c>
    </row>
    <row r="826" spans="2:47" ht="14.25" hidden="1" outlineLevel="1" thickTop="1">
      <c r="B826" s="523" t="s">
        <v>304</v>
      </c>
      <c r="C826" s="441" t="s">
        <v>75</v>
      </c>
      <c r="D826" s="47">
        <v>0.25</v>
      </c>
      <c r="E826" s="319">
        <v>8</v>
      </c>
      <c r="F826" s="320"/>
      <c r="G826" s="4"/>
      <c r="H826" s="441" t="s">
        <v>75</v>
      </c>
      <c r="I826" s="47">
        <v>0.25</v>
      </c>
      <c r="J826" s="319">
        <v>8</v>
      </c>
      <c r="K826" s="320"/>
      <c r="L826" s="4"/>
      <c r="M826" s="441" t="s">
        <v>75</v>
      </c>
      <c r="N826" s="47">
        <v>0.25</v>
      </c>
      <c r="O826" s="319">
        <v>8</v>
      </c>
      <c r="P826" s="320"/>
      <c r="R826" s="441" t="s">
        <v>75</v>
      </c>
      <c r="S826" s="47">
        <v>0.20833333333333334</v>
      </c>
      <c r="T826" s="319">
        <v>8</v>
      </c>
      <c r="U826" s="320"/>
      <c r="W826" s="441" t="s">
        <v>75</v>
      </c>
      <c r="X826" s="47">
        <v>0.25</v>
      </c>
      <c r="Y826" s="319">
        <v>8</v>
      </c>
      <c r="Z826" s="320"/>
      <c r="AA826" s="29">
        <f t="shared" si="137"/>
        <v>40</v>
      </c>
      <c r="AB826" s="298">
        <f>Z826+U826+P826+K826+F825</f>
        <v>0</v>
      </c>
      <c r="AC826" s="4"/>
      <c r="AD826" s="47" t="s">
        <v>29</v>
      </c>
      <c r="AE826" s="47" t="s">
        <v>29</v>
      </c>
      <c r="AF826" s="346"/>
      <c r="AG826" s="29">
        <f t="shared" si="138"/>
        <v>0</v>
      </c>
      <c r="AN826" s="510">
        <f>SUM(AN819:AN825)</f>
        <v>21743</v>
      </c>
    </row>
    <row r="827" spans="2:47" hidden="1" outlineLevel="1">
      <c r="B827" s="523" t="s">
        <v>305</v>
      </c>
      <c r="C827" s="441"/>
      <c r="D827" s="47"/>
      <c r="E827" s="319">
        <v>0</v>
      </c>
      <c r="F827" s="320"/>
      <c r="G827" s="4"/>
      <c r="H827" s="441"/>
      <c r="I827" s="47"/>
      <c r="J827" s="319">
        <v>0</v>
      </c>
      <c r="K827" s="320"/>
      <c r="L827" s="4"/>
      <c r="M827" s="441"/>
      <c r="N827" s="47"/>
      <c r="O827" s="319">
        <v>0</v>
      </c>
      <c r="P827" s="320"/>
      <c r="R827" s="441"/>
      <c r="S827" s="47"/>
      <c r="T827" s="319">
        <v>0</v>
      </c>
      <c r="U827" s="320"/>
      <c r="W827" s="441"/>
      <c r="X827" s="47"/>
      <c r="Y827" s="319">
        <v>0</v>
      </c>
      <c r="Z827" s="320"/>
      <c r="AA827" s="29">
        <f t="shared" si="137"/>
        <v>0</v>
      </c>
      <c r="AB827" s="298">
        <f>Z827+U827+P827+K827+F826</f>
        <v>0</v>
      </c>
      <c r="AC827" s="4"/>
      <c r="AD827" s="47" t="s">
        <v>29</v>
      </c>
      <c r="AE827" s="47" t="s">
        <v>29</v>
      </c>
      <c r="AF827" s="346"/>
      <c r="AG827" s="29">
        <f t="shared" si="138"/>
        <v>0</v>
      </c>
    </row>
    <row r="828" spans="2:47" hidden="1" outlineLevel="1">
      <c r="B828" s="313" t="s">
        <v>306</v>
      </c>
      <c r="C828" s="441"/>
      <c r="D828" s="47"/>
      <c r="E828" s="319"/>
      <c r="F828" s="320"/>
      <c r="G828" s="4"/>
      <c r="H828" s="441"/>
      <c r="I828" s="47"/>
      <c r="J828" s="319"/>
      <c r="K828" s="320"/>
      <c r="L828" s="4"/>
      <c r="M828" s="441"/>
      <c r="N828" s="47"/>
      <c r="O828" s="319"/>
      <c r="P828" s="320"/>
      <c r="R828" s="441"/>
      <c r="S828" s="47"/>
      <c r="T828" s="319">
        <v>0</v>
      </c>
      <c r="U828" s="320"/>
      <c r="W828" s="441"/>
      <c r="X828" s="47"/>
      <c r="Y828" s="319"/>
      <c r="Z828" s="320"/>
      <c r="AA828" s="29">
        <f t="shared" si="137"/>
        <v>0</v>
      </c>
      <c r="AB828" s="298">
        <f t="shared" ref="AB828:AB834" si="139">Z828+U828+P828+K828+F828</f>
        <v>0</v>
      </c>
      <c r="AC828" s="4"/>
      <c r="AD828" s="47" t="s">
        <v>29</v>
      </c>
      <c r="AE828" s="47" t="s">
        <v>29</v>
      </c>
      <c r="AF828" s="346"/>
      <c r="AG828" s="29">
        <f t="shared" si="138"/>
        <v>0</v>
      </c>
    </row>
    <row r="829" spans="2:47" hidden="1" outlineLevel="1">
      <c r="B829" s="457"/>
      <c r="C829" s="441"/>
      <c r="D829" s="47"/>
      <c r="E829" s="319"/>
      <c r="F829" s="320"/>
      <c r="G829" s="4"/>
      <c r="H829" s="441"/>
      <c r="I829" s="47"/>
      <c r="J829" s="319"/>
      <c r="K829" s="320"/>
      <c r="L829" s="4"/>
      <c r="M829" s="441"/>
      <c r="N829" s="47"/>
      <c r="O829" s="319"/>
      <c r="P829" s="320"/>
      <c r="R829" s="441"/>
      <c r="S829" s="47"/>
      <c r="T829" s="319"/>
      <c r="U829" s="320"/>
      <c r="W829" s="441"/>
      <c r="X829" s="47"/>
      <c r="Y829" s="319"/>
      <c r="Z829" s="320"/>
      <c r="AA829" s="29">
        <f t="shared" si="137"/>
        <v>0</v>
      </c>
      <c r="AB829" s="298">
        <f t="shared" si="139"/>
        <v>0</v>
      </c>
      <c r="AC829" s="4"/>
      <c r="AD829" s="47" t="s">
        <v>29</v>
      </c>
      <c r="AE829" s="47" t="s">
        <v>29</v>
      </c>
      <c r="AF829" s="19"/>
      <c r="AG829" s="29">
        <f t="shared" si="138"/>
        <v>0</v>
      </c>
    </row>
    <row r="830" spans="2:47" hidden="1" outlineLevel="1">
      <c r="B830" s="166" t="s">
        <v>307</v>
      </c>
      <c r="C830" s="16"/>
      <c r="D830" s="16"/>
      <c r="E830" s="319">
        <v>8</v>
      </c>
      <c r="F830" s="320"/>
      <c r="G830" s="4"/>
      <c r="H830" s="16"/>
      <c r="I830" s="16"/>
      <c r="J830" s="319">
        <v>8</v>
      </c>
      <c r="K830" s="320"/>
      <c r="L830" s="4"/>
      <c r="M830" s="16"/>
      <c r="N830" s="16"/>
      <c r="O830" s="319">
        <v>8</v>
      </c>
      <c r="P830" s="320"/>
      <c r="R830" s="16"/>
      <c r="S830" s="16"/>
      <c r="T830" s="319">
        <v>8</v>
      </c>
      <c r="U830" s="320"/>
      <c r="W830" s="16"/>
      <c r="X830" s="16"/>
      <c r="Y830" s="319">
        <v>8</v>
      </c>
      <c r="Z830" s="320"/>
      <c r="AA830" s="29">
        <f t="shared" si="137"/>
        <v>40</v>
      </c>
      <c r="AB830" s="298">
        <f t="shared" si="139"/>
        <v>0</v>
      </c>
      <c r="AC830" s="4"/>
      <c r="AD830" s="47" t="s">
        <v>29</v>
      </c>
      <c r="AE830" s="47" t="s">
        <v>29</v>
      </c>
      <c r="AF830" s="19"/>
      <c r="AG830" s="29">
        <f t="shared" si="138"/>
        <v>0</v>
      </c>
    </row>
    <row r="831" spans="2:47" hidden="1" outlineLevel="1">
      <c r="B831" s="557" t="s">
        <v>308</v>
      </c>
      <c r="C831" s="16"/>
      <c r="D831" s="16"/>
      <c r="E831" s="319">
        <v>8</v>
      </c>
      <c r="F831" s="320"/>
      <c r="G831" s="4"/>
      <c r="H831" s="16"/>
      <c r="I831" s="16"/>
      <c r="J831" s="319">
        <v>8</v>
      </c>
      <c r="K831" s="320"/>
      <c r="L831" s="4"/>
      <c r="M831" s="16"/>
      <c r="N831" s="16"/>
      <c r="O831" s="319">
        <v>8</v>
      </c>
      <c r="P831" s="320"/>
      <c r="R831" s="16"/>
      <c r="S831" s="16"/>
      <c r="T831" s="319">
        <v>8</v>
      </c>
      <c r="U831" s="320"/>
      <c r="W831" s="16"/>
      <c r="X831" s="16"/>
      <c r="Y831" s="319">
        <v>8</v>
      </c>
      <c r="Z831" s="320"/>
      <c r="AA831" s="29">
        <f t="shared" si="137"/>
        <v>40</v>
      </c>
      <c r="AB831" s="298">
        <f t="shared" si="139"/>
        <v>0</v>
      </c>
      <c r="AC831" s="4"/>
      <c r="AD831" s="47" t="s">
        <v>29</v>
      </c>
      <c r="AE831" s="47" t="s">
        <v>29</v>
      </c>
      <c r="AF831" s="19"/>
      <c r="AG831" s="29">
        <f t="shared" si="138"/>
        <v>0</v>
      </c>
    </row>
    <row r="832" spans="2:47" hidden="1" outlineLevel="1">
      <c r="B832" s="166" t="s">
        <v>309</v>
      </c>
      <c r="C832" s="16"/>
      <c r="D832" s="16"/>
      <c r="E832" s="319">
        <v>8</v>
      </c>
      <c r="F832" s="320"/>
      <c r="G832" s="4"/>
      <c r="H832" s="16"/>
      <c r="I832" s="16"/>
      <c r="J832" s="319">
        <v>8</v>
      </c>
      <c r="K832" s="320"/>
      <c r="L832" s="4"/>
      <c r="M832" s="16"/>
      <c r="N832" s="16"/>
      <c r="O832" s="319">
        <v>8</v>
      </c>
      <c r="P832" s="320"/>
      <c r="R832" s="16"/>
      <c r="S832" s="16"/>
      <c r="T832" s="319">
        <v>8</v>
      </c>
      <c r="U832" s="320"/>
      <c r="W832" s="16"/>
      <c r="X832" s="16"/>
      <c r="Y832" s="319">
        <v>8</v>
      </c>
      <c r="Z832" s="320"/>
      <c r="AA832" s="29">
        <f t="shared" si="137"/>
        <v>40</v>
      </c>
      <c r="AB832" s="298">
        <f t="shared" si="139"/>
        <v>0</v>
      </c>
      <c r="AC832" s="4"/>
      <c r="AD832" s="47" t="s">
        <v>29</v>
      </c>
      <c r="AE832" s="47" t="s">
        <v>29</v>
      </c>
      <c r="AF832" s="19"/>
      <c r="AG832" s="29">
        <f t="shared" si="138"/>
        <v>0</v>
      </c>
    </row>
    <row r="833" spans="2:47" hidden="1" outlineLevel="1">
      <c r="B833" s="166" t="s">
        <v>310</v>
      </c>
      <c r="C833" s="16"/>
      <c r="D833" s="16"/>
      <c r="E833" s="319">
        <v>8</v>
      </c>
      <c r="F833" s="320"/>
      <c r="G833" s="4"/>
      <c r="H833" s="16"/>
      <c r="I833" s="16"/>
      <c r="J833" s="319">
        <v>8</v>
      </c>
      <c r="K833" s="320"/>
      <c r="L833" s="4"/>
      <c r="M833" s="16"/>
      <c r="N833" s="16"/>
      <c r="O833" s="319">
        <v>8</v>
      </c>
      <c r="P833" s="320"/>
      <c r="R833" s="16"/>
      <c r="S833" s="16"/>
      <c r="T833" s="319">
        <v>8</v>
      </c>
      <c r="U833" s="320"/>
      <c r="W833" s="16"/>
      <c r="X833" s="16"/>
      <c r="Y833" s="319">
        <v>8</v>
      </c>
      <c r="Z833" s="320"/>
      <c r="AA833" s="29">
        <f t="shared" si="137"/>
        <v>40</v>
      </c>
      <c r="AB833" s="298">
        <f t="shared" si="139"/>
        <v>0</v>
      </c>
      <c r="AC833" s="4"/>
      <c r="AD833" s="47" t="s">
        <v>29</v>
      </c>
      <c r="AE833" s="47" t="s">
        <v>29</v>
      </c>
      <c r="AF833" s="19"/>
      <c r="AG833" s="29">
        <f t="shared" si="138"/>
        <v>0</v>
      </c>
    </row>
    <row r="834" spans="2:47" hidden="1" outlineLevel="1">
      <c r="B834" s="63" t="s">
        <v>63</v>
      </c>
      <c r="C834" s="16"/>
      <c r="D834" s="16"/>
      <c r="E834" s="319">
        <v>4</v>
      </c>
      <c r="F834" s="320"/>
      <c r="G834" s="438"/>
      <c r="H834" s="16"/>
      <c r="I834" s="16"/>
      <c r="J834" s="319">
        <v>4</v>
      </c>
      <c r="K834" s="320"/>
      <c r="L834" s="438"/>
      <c r="M834" s="16"/>
      <c r="N834" s="16"/>
      <c r="O834" s="319">
        <v>4</v>
      </c>
      <c r="P834" s="320"/>
      <c r="Q834" s="438"/>
      <c r="R834" s="1546" t="s">
        <v>137</v>
      </c>
      <c r="S834" s="1546"/>
      <c r="T834" s="319">
        <v>0</v>
      </c>
      <c r="U834" s="320"/>
      <c r="V834" s="438"/>
      <c r="W834" s="16"/>
      <c r="X834" s="16"/>
      <c r="Y834" s="319">
        <v>4</v>
      </c>
      <c r="Z834" s="320"/>
      <c r="AA834" s="29">
        <f t="shared" si="137"/>
        <v>16</v>
      </c>
      <c r="AB834" s="298">
        <f t="shared" si="139"/>
        <v>0</v>
      </c>
      <c r="AC834" s="4"/>
      <c r="AD834" s="47" t="s">
        <v>29</v>
      </c>
      <c r="AE834" s="47" t="s">
        <v>29</v>
      </c>
      <c r="AF834" s="19"/>
      <c r="AG834" s="29">
        <f t="shared" si="138"/>
        <v>0</v>
      </c>
      <c r="AK834" s="407"/>
    </row>
    <row r="835" spans="2:47" hidden="1" outlineLevel="1">
      <c r="B835" s="64" t="s">
        <v>61</v>
      </c>
      <c r="C835" s="31"/>
      <c r="D835" s="31"/>
      <c r="E835" s="439">
        <f>SUM(E820:E834)</f>
        <v>68</v>
      </c>
      <c r="F835" s="320">
        <f>SUM(F820:F829)</f>
        <v>0</v>
      </c>
      <c r="G835" s="31"/>
      <c r="H835" s="31"/>
      <c r="I835" s="31"/>
      <c r="J835" s="439">
        <f>SUM(J820:J834)</f>
        <v>76</v>
      </c>
      <c r="K835" s="320">
        <f>SUM(K820:K829)</f>
        <v>0</v>
      </c>
      <c r="L835" s="31"/>
      <c r="M835" s="31"/>
      <c r="N835" s="31"/>
      <c r="O835" s="439">
        <f>SUM(O820:O834)</f>
        <v>84</v>
      </c>
      <c r="P835" s="320">
        <f>SUM(P820:P833)</f>
        <v>0</v>
      </c>
      <c r="Q835" s="31"/>
      <c r="R835" s="31"/>
      <c r="S835" s="31"/>
      <c r="T835" s="439">
        <f>SUM(T820:T834)</f>
        <v>72</v>
      </c>
      <c r="U835" s="320">
        <f>SUM(U820:U833)</f>
        <v>0</v>
      </c>
      <c r="V835" s="31"/>
      <c r="W835" s="31"/>
      <c r="X835" s="31"/>
      <c r="Y835" s="439">
        <f>SUM(Y820:Y834)</f>
        <v>76</v>
      </c>
      <c r="Z835" s="320">
        <f>SUM(Z820:Z829)</f>
        <v>0</v>
      </c>
      <c r="AA835" s="370">
        <f>SUM(AA820:AA834)</f>
        <v>376</v>
      </c>
      <c r="AB835" s="370">
        <f>SUM(AB820:AB834)</f>
        <v>0</v>
      </c>
      <c r="AC835" s="4"/>
      <c r="AD835" s="64"/>
      <c r="AE835" s="64"/>
      <c r="AF835" s="167">
        <f>SUM(AF820:AF834)</f>
        <v>0</v>
      </c>
      <c r="AG835" s="370">
        <f>SUM(AG820:AG834)</f>
        <v>0</v>
      </c>
    </row>
    <row r="836" spans="2:47" hidden="1" outlineLevel="1">
      <c r="B836" s="63" t="s">
        <v>64</v>
      </c>
      <c r="C836" s="56" t="s">
        <v>29</v>
      </c>
      <c r="D836" s="56" t="s">
        <v>29</v>
      </c>
      <c r="E836" s="556">
        <v>13</v>
      </c>
      <c r="F836" s="556"/>
      <c r="G836" s="556"/>
      <c r="H836" s="556"/>
      <c r="I836" s="556"/>
      <c r="J836" s="556">
        <v>13</v>
      </c>
      <c r="K836" s="556"/>
      <c r="L836" s="556"/>
      <c r="M836" s="556"/>
      <c r="N836" s="556"/>
      <c r="O836" s="556">
        <v>13</v>
      </c>
      <c r="P836" s="556"/>
      <c r="Q836" s="556"/>
      <c r="R836" s="556"/>
      <c r="S836" s="556"/>
      <c r="T836" s="556">
        <v>13</v>
      </c>
      <c r="U836" s="556"/>
      <c r="V836" s="556"/>
      <c r="W836" s="556"/>
      <c r="X836" s="556"/>
      <c r="Y836" s="556">
        <v>13</v>
      </c>
      <c r="Z836" s="556"/>
      <c r="AA836" s="28">
        <f>SUM(E836+J836+O836+T836+Y836)</f>
        <v>65</v>
      </c>
      <c r="AB836" s="296">
        <f>Z836+U836+P836+K836+F836</f>
        <v>0</v>
      </c>
      <c r="AC836" s="4"/>
      <c r="AD836" s="56"/>
      <c r="AE836" s="56"/>
      <c r="AF836" s="19"/>
      <c r="AG836" s="29">
        <f>AF836</f>
        <v>0</v>
      </c>
    </row>
    <row r="837" spans="2:47" hidden="1" outlineLevel="1">
      <c r="B837" s="63" t="s">
        <v>110</v>
      </c>
      <c r="C837" s="56" t="s">
        <v>29</v>
      </c>
      <c r="D837" s="56" t="s">
        <v>29</v>
      </c>
      <c r="E837" s="556">
        <v>8</v>
      </c>
      <c r="F837" s="556"/>
      <c r="G837" s="556"/>
      <c r="H837" s="556" t="s">
        <v>29</v>
      </c>
      <c r="I837" s="556" t="s">
        <v>29</v>
      </c>
      <c r="J837" s="556">
        <v>8</v>
      </c>
      <c r="K837" s="556"/>
      <c r="L837" s="556"/>
      <c r="M837" s="556" t="s">
        <v>29</v>
      </c>
      <c r="N837" s="556" t="s">
        <v>29</v>
      </c>
      <c r="O837" s="556">
        <v>8</v>
      </c>
      <c r="P837" s="556"/>
      <c r="Q837" s="556"/>
      <c r="R837" s="556" t="s">
        <v>29</v>
      </c>
      <c r="S837" s="556" t="s">
        <v>29</v>
      </c>
      <c r="T837" s="556">
        <v>8</v>
      </c>
      <c r="U837" s="556"/>
      <c r="V837" s="556"/>
      <c r="W837" s="556" t="s">
        <v>29</v>
      </c>
      <c r="X837" s="556" t="s">
        <v>29</v>
      </c>
      <c r="Y837" s="556">
        <v>8</v>
      </c>
      <c r="Z837" s="556"/>
      <c r="AA837" s="28">
        <f>SUM(E837+J837+O837+T837+Y837)</f>
        <v>40</v>
      </c>
      <c r="AB837" s="296">
        <f>Z837+U837+P837+K837+F837</f>
        <v>0</v>
      </c>
      <c r="AC837" s="4"/>
      <c r="AD837" s="56"/>
      <c r="AE837" s="56"/>
      <c r="AF837" s="19"/>
      <c r="AG837" s="29">
        <f>AF837</f>
        <v>0</v>
      </c>
    </row>
    <row r="838" spans="2:47" hidden="1" outlineLevel="1">
      <c r="B838" s="71" t="s">
        <v>66</v>
      </c>
      <c r="C838" s="371"/>
      <c r="D838" s="371"/>
      <c r="E838" s="71">
        <f t="shared" ref="E838:AB838" si="140">SUM(E836:E837)</f>
        <v>21</v>
      </c>
      <c r="F838" s="71">
        <f t="shared" si="140"/>
        <v>0</v>
      </c>
      <c r="G838" s="71">
        <f t="shared" si="140"/>
        <v>0</v>
      </c>
      <c r="H838" s="71">
        <f t="shared" si="140"/>
        <v>0</v>
      </c>
      <c r="I838" s="71">
        <f t="shared" si="140"/>
        <v>0</v>
      </c>
      <c r="J838" s="71">
        <f t="shared" si="140"/>
        <v>21</v>
      </c>
      <c r="K838" s="71">
        <f t="shared" si="140"/>
        <v>0</v>
      </c>
      <c r="L838" s="71">
        <f t="shared" si="140"/>
        <v>0</v>
      </c>
      <c r="M838" s="71">
        <f t="shared" si="140"/>
        <v>0</v>
      </c>
      <c r="N838" s="71">
        <f t="shared" si="140"/>
        <v>0</v>
      </c>
      <c r="O838" s="71">
        <f t="shared" si="140"/>
        <v>21</v>
      </c>
      <c r="P838" s="71">
        <f t="shared" si="140"/>
        <v>0</v>
      </c>
      <c r="Q838" s="71">
        <f t="shared" si="140"/>
        <v>0</v>
      </c>
      <c r="R838" s="71">
        <f t="shared" si="140"/>
        <v>0</v>
      </c>
      <c r="S838" s="71">
        <f t="shared" si="140"/>
        <v>0</v>
      </c>
      <c r="T838" s="71">
        <f t="shared" si="140"/>
        <v>21</v>
      </c>
      <c r="U838" s="71">
        <f t="shared" si="140"/>
        <v>0</v>
      </c>
      <c r="V838" s="71">
        <f t="shared" si="140"/>
        <v>0</v>
      </c>
      <c r="W838" s="71">
        <f t="shared" si="140"/>
        <v>0</v>
      </c>
      <c r="X838" s="71">
        <f t="shared" si="140"/>
        <v>0</v>
      </c>
      <c r="Y838" s="71">
        <f t="shared" si="140"/>
        <v>21</v>
      </c>
      <c r="Z838" s="71">
        <f t="shared" si="140"/>
        <v>0</v>
      </c>
      <c r="AA838" s="370">
        <f t="shared" si="140"/>
        <v>105</v>
      </c>
      <c r="AB838" s="370">
        <f t="shared" si="140"/>
        <v>0</v>
      </c>
      <c r="AC838" s="4"/>
      <c r="AG838" s="370">
        <f>SUM(AG836:AG837)</f>
        <v>0</v>
      </c>
    </row>
    <row r="839" spans="2:47" hidden="1" outlineLevel="1">
      <c r="B839" s="217" t="s">
        <v>67</v>
      </c>
      <c r="C839" s="207">
        <f>C840+C841</f>
        <v>49</v>
      </c>
      <c r="D839" s="207"/>
      <c r="E839" s="209"/>
      <c r="F839" s="209"/>
      <c r="G839" s="207"/>
      <c r="H839" s="209"/>
      <c r="I839" s="209"/>
      <c r="J839" s="209"/>
      <c r="K839" s="209"/>
      <c r="L839" s="207"/>
      <c r="M839" s="207"/>
      <c r="N839" s="207"/>
      <c r="O839" s="207"/>
      <c r="P839" s="209"/>
      <c r="Q839" s="207"/>
      <c r="R839" s="207"/>
      <c r="S839" s="207"/>
      <c r="T839" s="207"/>
      <c r="U839" s="209"/>
      <c r="V839" s="207"/>
      <c r="W839" s="207"/>
      <c r="X839" s="207"/>
      <c r="Y839" s="210"/>
      <c r="Z839" s="209"/>
      <c r="AA839" s="211"/>
      <c r="AB839" s="209"/>
      <c r="AC839" s="211"/>
      <c r="AD839" s="211"/>
      <c r="AE839" s="211"/>
      <c r="AF839" s="211"/>
      <c r="AG839" s="211"/>
    </row>
    <row r="840" spans="2:47" hidden="1" outlineLevel="1">
      <c r="B840" s="238" t="s">
        <v>68</v>
      </c>
      <c r="C840" s="239"/>
      <c r="D840" s="207"/>
      <c r="E840" s="209"/>
      <c r="F840" s="209"/>
      <c r="G840" s="207"/>
      <c r="H840" s="209"/>
      <c r="I840" s="209"/>
      <c r="J840" s="209"/>
      <c r="K840" s="209"/>
      <c r="L840" s="207"/>
      <c r="M840" s="207"/>
      <c r="N840" s="207"/>
      <c r="O840" s="207"/>
      <c r="P840" s="209"/>
      <c r="Q840" s="207"/>
      <c r="R840" s="207"/>
      <c r="S840" s="207"/>
      <c r="T840" s="207"/>
      <c r="U840" s="209"/>
      <c r="V840" s="207"/>
      <c r="W840" s="207"/>
      <c r="X840" s="207"/>
      <c r="Y840" s="210"/>
      <c r="Z840" s="209"/>
      <c r="AA840" s="211"/>
      <c r="AB840" s="209"/>
      <c r="AC840" s="211"/>
      <c r="AD840" s="211"/>
      <c r="AE840" s="211"/>
      <c r="AF840" s="211"/>
      <c r="AG840" s="211"/>
    </row>
    <row r="841" spans="2:47" hidden="1" outlineLevel="1">
      <c r="B841" s="238" t="s">
        <v>69</v>
      </c>
      <c r="C841" s="526">
        <v>49</v>
      </c>
      <c r="D841" s="207"/>
      <c r="E841" s="209"/>
      <c r="F841" s="209"/>
      <c r="G841" s="207"/>
      <c r="H841" s="209"/>
      <c r="I841" s="209"/>
      <c r="J841" s="209"/>
      <c r="K841" s="209"/>
      <c r="L841" s="207"/>
      <c r="M841" s="207"/>
      <c r="N841" s="207"/>
      <c r="O841" s="207"/>
      <c r="P841" s="209"/>
      <c r="Q841" s="207"/>
      <c r="R841" s="207"/>
      <c r="S841" s="207"/>
      <c r="T841" s="207"/>
      <c r="U841" s="209"/>
      <c r="V841" s="207"/>
      <c r="W841" s="207"/>
      <c r="X841" s="207"/>
      <c r="Y841" s="210"/>
      <c r="Z841" s="209"/>
      <c r="AA841" s="211"/>
      <c r="AB841" s="209"/>
      <c r="AC841" s="211"/>
      <c r="AD841" s="211"/>
      <c r="AE841" s="211"/>
      <c r="AF841" s="211"/>
      <c r="AG841" s="211"/>
    </row>
    <row r="842" spans="2:47" hidden="1" outlineLevel="1">
      <c r="E842" s="4"/>
      <c r="F842" s="4"/>
      <c r="G842" s="4"/>
      <c r="J842" s="4"/>
      <c r="K842" s="4"/>
      <c r="L842" s="4"/>
      <c r="O842" s="4"/>
      <c r="P842" s="4"/>
      <c r="T842" s="4"/>
      <c r="U842" s="4"/>
      <c r="Y842" s="4"/>
      <c r="Z842" s="4"/>
      <c r="AA842" s="4"/>
      <c r="AB842" s="4"/>
      <c r="AC842" s="4"/>
    </row>
    <row r="843" spans="2:47" hidden="1" outlineLevel="1">
      <c r="B843" s="229"/>
      <c r="C843" s="230"/>
      <c r="D843" s="230"/>
      <c r="E843" s="232"/>
      <c r="F843" s="232"/>
      <c r="G843" s="230"/>
      <c r="H843" s="232"/>
      <c r="I843" s="232"/>
      <c r="J843" s="232"/>
      <c r="K843" s="232"/>
      <c r="L843" s="230"/>
      <c r="M843" s="230"/>
      <c r="N843" s="230"/>
      <c r="O843" s="230"/>
      <c r="P843" s="232"/>
      <c r="Q843" s="230"/>
      <c r="R843" s="230"/>
      <c r="S843" s="230"/>
      <c r="T843" s="230"/>
      <c r="U843" s="232"/>
      <c r="V843" s="230"/>
      <c r="W843" s="230"/>
      <c r="X843" s="230"/>
      <c r="Y843" s="233"/>
      <c r="Z843" s="232"/>
      <c r="AA843" s="234"/>
      <c r="AB843" s="232"/>
      <c r="AC843" s="373"/>
      <c r="AD843" s="236"/>
      <c r="AE843" s="255"/>
      <c r="AF843" s="255"/>
      <c r="AG843" s="255"/>
      <c r="AH843" s="255"/>
      <c r="AJ843" s="255"/>
      <c r="AK843" s="255"/>
      <c r="AL843" s="255"/>
      <c r="AM843" s="255"/>
      <c r="AN843" s="255"/>
      <c r="AO843" s="255"/>
      <c r="AP843" s="255"/>
      <c r="AQ843" s="255"/>
      <c r="AR843" s="255"/>
      <c r="AS843" s="255"/>
      <c r="AT843" s="255"/>
      <c r="AU843" s="255"/>
    </row>
    <row r="844" spans="2:47" hidden="1" outlineLevel="1">
      <c r="B844" s="180"/>
      <c r="E844" s="4"/>
      <c r="F844" s="4"/>
      <c r="G844" s="4"/>
      <c r="J844" s="4"/>
      <c r="K844" s="4"/>
      <c r="L844" s="4"/>
      <c r="O844" s="4"/>
      <c r="P844" s="4"/>
      <c r="T844" s="4"/>
      <c r="U844" s="4"/>
      <c r="Y844" s="4"/>
      <c r="Z844" s="4"/>
      <c r="AA844" s="4"/>
      <c r="AB844" s="4"/>
      <c r="AC844" s="4"/>
      <c r="AK844" s="180"/>
      <c r="AL844" s="180"/>
      <c r="AM844" s="180"/>
      <c r="AN844" s="180"/>
      <c r="AO844" s="180"/>
      <c r="AP844" s="180"/>
    </row>
    <row r="845" spans="2:47" hidden="1" outlineLevel="1">
      <c r="B845" s="1518" t="s">
        <v>18</v>
      </c>
      <c r="C845" s="1519">
        <v>45467</v>
      </c>
      <c r="D845" s="1519"/>
      <c r="E845" s="1519"/>
      <c r="F845" s="1519"/>
      <c r="G845" s="365"/>
      <c r="H845" s="1519">
        <v>45468</v>
      </c>
      <c r="I845" s="1519"/>
      <c r="J845" s="1519"/>
      <c r="K845" s="1519"/>
      <c r="L845" s="365">
        <v>45343</v>
      </c>
      <c r="M845" s="1519">
        <v>45469</v>
      </c>
      <c r="N845" s="1519"/>
      <c r="O845" s="1519"/>
      <c r="P845" s="1519"/>
      <c r="Q845" s="365"/>
      <c r="R845" s="1519">
        <v>45470</v>
      </c>
      <c r="S845" s="1519"/>
      <c r="T845" s="1519"/>
      <c r="U845" s="1519"/>
      <c r="V845" s="365"/>
      <c r="W845" s="1519">
        <v>45471</v>
      </c>
      <c r="X845" s="1519"/>
      <c r="Y845" s="1519"/>
      <c r="Z845" s="1519"/>
      <c r="AA845" s="1517" t="s">
        <v>19</v>
      </c>
      <c r="AB845" s="1517" t="s">
        <v>20</v>
      </c>
      <c r="AC845" s="4"/>
      <c r="AD845" s="1519">
        <v>45472</v>
      </c>
      <c r="AE845" s="1519"/>
      <c r="AF845" s="1519"/>
      <c r="AG845" s="1517" t="s">
        <v>21</v>
      </c>
      <c r="AI845" s="368"/>
      <c r="AK845" s="194" t="s">
        <v>84</v>
      </c>
      <c r="AL845" s="366"/>
      <c r="AM845" s="366"/>
      <c r="AN845" s="366"/>
      <c r="AO845" s="366"/>
      <c r="AP845" s="366"/>
    </row>
    <row r="846" spans="2:47" hidden="1" outlineLevel="1">
      <c r="B846" s="1518"/>
      <c r="C846" s="21" t="s">
        <v>23</v>
      </c>
      <c r="D846" s="21" t="s">
        <v>24</v>
      </c>
      <c r="E846" s="205" t="s">
        <v>25</v>
      </c>
      <c r="F846" s="18" t="s">
        <v>14</v>
      </c>
      <c r="G846" s="4"/>
      <c r="H846" s="21" t="s">
        <v>23</v>
      </c>
      <c r="I846" s="21" t="s">
        <v>24</v>
      </c>
      <c r="J846" s="18" t="s">
        <v>25</v>
      </c>
      <c r="K846" s="18" t="s">
        <v>14</v>
      </c>
      <c r="L846" s="4"/>
      <c r="M846" s="21" t="s">
        <v>23</v>
      </c>
      <c r="N846" s="21" t="s">
        <v>24</v>
      </c>
      <c r="O846" s="18" t="s">
        <v>25</v>
      </c>
      <c r="P846" s="18" t="s">
        <v>14</v>
      </c>
      <c r="R846" s="484" t="s">
        <v>23</v>
      </c>
      <c r="S846" s="21" t="s">
        <v>24</v>
      </c>
      <c r="T846" s="18" t="s">
        <v>25</v>
      </c>
      <c r="U846" s="18" t="s">
        <v>14</v>
      </c>
      <c r="W846" s="484" t="s">
        <v>23</v>
      </c>
      <c r="X846" s="21" t="s">
        <v>24</v>
      </c>
      <c r="Y846" s="18" t="s">
        <v>25</v>
      </c>
      <c r="Z846" s="18" t="s">
        <v>14</v>
      </c>
      <c r="AA846" s="1517"/>
      <c r="AB846" s="1517"/>
      <c r="AC846" s="4"/>
      <c r="AD846" s="21" t="s">
        <v>23</v>
      </c>
      <c r="AE846" s="21" t="s">
        <v>24</v>
      </c>
      <c r="AF846" s="18" t="s">
        <v>25</v>
      </c>
      <c r="AG846" s="1517"/>
      <c r="AI846" s="368"/>
      <c r="AJ846" s="367"/>
      <c r="AK846" s="494" t="s">
        <v>26</v>
      </c>
      <c r="AL846" s="471">
        <f>AA862</f>
        <v>365.5</v>
      </c>
      <c r="AM846" s="510">
        <v>38</v>
      </c>
      <c r="AN846" s="510">
        <f t="shared" ref="AN846:AN852" si="141">AL846*AM846</f>
        <v>13889</v>
      </c>
      <c r="AQ846" s="367"/>
      <c r="AR846" s="367"/>
      <c r="AS846" s="367"/>
      <c r="AT846" s="367"/>
      <c r="AU846" s="367"/>
    </row>
    <row r="847" spans="2:47" hidden="1" outlineLevel="1">
      <c r="B847" s="522" t="s">
        <v>266</v>
      </c>
      <c r="C847" s="441" t="s">
        <v>154</v>
      </c>
      <c r="D847" s="47"/>
      <c r="E847" s="319">
        <v>0</v>
      </c>
      <c r="F847" s="320"/>
      <c r="G847" s="4"/>
      <c r="H847" s="441" t="s">
        <v>75</v>
      </c>
      <c r="I847" s="47">
        <v>0.25</v>
      </c>
      <c r="J847" s="319">
        <v>8</v>
      </c>
      <c r="K847" s="320"/>
      <c r="L847" s="4"/>
      <c r="M847" s="441" t="s">
        <v>75</v>
      </c>
      <c r="N847" s="47">
        <v>0.25</v>
      </c>
      <c r="O847" s="319">
        <v>8</v>
      </c>
      <c r="P847" s="320"/>
      <c r="R847" s="441" t="s">
        <v>75</v>
      </c>
      <c r="S847" s="47">
        <v>0.25</v>
      </c>
      <c r="T847" s="319">
        <v>8</v>
      </c>
      <c r="U847" s="320"/>
      <c r="W847" s="441" t="s">
        <v>75</v>
      </c>
      <c r="X847" s="47"/>
      <c r="Y847" s="319">
        <v>8</v>
      </c>
      <c r="Z847" s="320"/>
      <c r="AA847" s="29">
        <f t="shared" ref="AA847:AA861" si="142">(E847+J847+O847+T847+Y847)</f>
        <v>32</v>
      </c>
      <c r="AB847" s="298">
        <f>Z847+U847+P847+K847+F847</f>
        <v>0</v>
      </c>
      <c r="AC847" s="399"/>
      <c r="AD847" s="47" t="s">
        <v>29</v>
      </c>
      <c r="AE847" s="47" t="s">
        <v>29</v>
      </c>
      <c r="AF847" s="346"/>
      <c r="AG847" s="29">
        <f t="shared" ref="AG847:AG861" si="143">AF847</f>
        <v>0</v>
      </c>
      <c r="AH847" s="175"/>
      <c r="AJ847" s="401"/>
      <c r="AK847" s="494" t="s">
        <v>30</v>
      </c>
      <c r="AL847" s="471">
        <f>AB862</f>
        <v>0</v>
      </c>
      <c r="AM847" s="511">
        <v>57</v>
      </c>
      <c r="AN847" s="510">
        <f t="shared" si="141"/>
        <v>0</v>
      </c>
      <c r="AO847" s="405"/>
      <c r="AP847" s="405"/>
      <c r="AQ847" s="401"/>
      <c r="AR847" s="401"/>
      <c r="AS847" s="401"/>
      <c r="AT847" s="401"/>
      <c r="AU847" s="401"/>
    </row>
    <row r="848" spans="2:47" hidden="1" outlineLevel="1">
      <c r="B848" s="523" t="s">
        <v>268</v>
      </c>
      <c r="C848" s="441" t="s">
        <v>75</v>
      </c>
      <c r="D848" s="47">
        <v>0.25</v>
      </c>
      <c r="E848" s="319">
        <v>8</v>
      </c>
      <c r="F848" s="320"/>
      <c r="G848" s="4"/>
      <c r="H848" s="589" t="s">
        <v>75</v>
      </c>
      <c r="I848" s="47">
        <v>0.25</v>
      </c>
      <c r="J848" s="319">
        <v>8</v>
      </c>
      <c r="K848" s="320"/>
      <c r="L848" s="4"/>
      <c r="M848" s="590" t="s">
        <v>75</v>
      </c>
      <c r="N848" s="47">
        <v>0.25</v>
      </c>
      <c r="O848" s="319">
        <v>8</v>
      </c>
      <c r="P848" s="320"/>
      <c r="R848" s="590" t="s">
        <v>75</v>
      </c>
      <c r="S848" s="47">
        <v>0.25</v>
      </c>
      <c r="T848" s="319">
        <v>8</v>
      </c>
      <c r="U848" s="320"/>
      <c r="W848" s="590" t="s">
        <v>75</v>
      </c>
      <c r="X848" s="47"/>
      <c r="Y848" s="319">
        <v>8</v>
      </c>
      <c r="Z848" s="320"/>
      <c r="AA848" s="29">
        <f t="shared" si="142"/>
        <v>40</v>
      </c>
      <c r="AB848" s="298">
        <f>Z848+U848+P848+K848+F848</f>
        <v>0</v>
      </c>
      <c r="AC848" s="175"/>
      <c r="AD848" s="47" t="s">
        <v>29</v>
      </c>
      <c r="AE848" s="47" t="s">
        <v>29</v>
      </c>
      <c r="AF848" s="346"/>
      <c r="AG848" s="344">
        <f t="shared" si="143"/>
        <v>0</v>
      </c>
      <c r="AH848" s="175"/>
      <c r="AI848" s="368"/>
      <c r="AK848" s="494" t="s">
        <v>32</v>
      </c>
      <c r="AL848" s="471">
        <f>AG862</f>
        <v>0</v>
      </c>
      <c r="AM848" s="510">
        <v>57</v>
      </c>
      <c r="AN848" s="510">
        <f t="shared" si="141"/>
        <v>0</v>
      </c>
    </row>
    <row r="849" spans="2:47" hidden="1" outlineLevel="1">
      <c r="B849" s="522" t="s">
        <v>271</v>
      </c>
      <c r="C849" s="441" t="s">
        <v>154</v>
      </c>
      <c r="D849" s="47"/>
      <c r="E849" s="319">
        <v>0</v>
      </c>
      <c r="F849" s="320"/>
      <c r="G849" s="4"/>
      <c r="H849" s="441" t="s">
        <v>75</v>
      </c>
      <c r="I849" s="47">
        <v>0.25</v>
      </c>
      <c r="J849" s="319">
        <v>8</v>
      </c>
      <c r="K849" s="320"/>
      <c r="L849" s="4"/>
      <c r="M849" s="441" t="s">
        <v>75</v>
      </c>
      <c r="N849" s="47">
        <v>0.25</v>
      </c>
      <c r="O849" s="319">
        <v>8</v>
      </c>
      <c r="P849" s="320"/>
      <c r="R849" s="441" t="s">
        <v>75</v>
      </c>
      <c r="S849" s="47">
        <v>0.25</v>
      </c>
      <c r="T849" s="319">
        <v>8</v>
      </c>
      <c r="U849" s="320"/>
      <c r="W849" s="441" t="s">
        <v>75</v>
      </c>
      <c r="X849" s="47"/>
      <c r="Y849" s="319">
        <v>8</v>
      </c>
      <c r="Z849" s="320"/>
      <c r="AA849" s="29">
        <f t="shared" si="142"/>
        <v>32</v>
      </c>
      <c r="AB849" s="298">
        <f>Z849+U849+P849+K849+F849</f>
        <v>0</v>
      </c>
      <c r="AC849" s="4"/>
      <c r="AD849" s="47" t="s">
        <v>29</v>
      </c>
      <c r="AE849" s="47" t="s">
        <v>29</v>
      </c>
      <c r="AF849" s="346"/>
      <c r="AG849" s="29">
        <f t="shared" si="143"/>
        <v>0</v>
      </c>
      <c r="AJ849" s="367"/>
      <c r="AK849" s="494" t="s">
        <v>213</v>
      </c>
      <c r="AL849" s="471">
        <f>AA865</f>
        <v>3</v>
      </c>
      <c r="AM849" s="510">
        <v>50</v>
      </c>
      <c r="AN849" s="510">
        <f t="shared" si="141"/>
        <v>150</v>
      </c>
      <c r="AQ849" s="367"/>
      <c r="AR849" s="367"/>
      <c r="AS849" s="367"/>
      <c r="AT849" s="367"/>
      <c r="AU849" s="367"/>
    </row>
    <row r="850" spans="2:47" hidden="1" outlineLevel="1">
      <c r="B850" s="523" t="s">
        <v>272</v>
      </c>
      <c r="C850" s="441" t="s">
        <v>75</v>
      </c>
      <c r="D850" s="47">
        <v>0.25</v>
      </c>
      <c r="E850" s="319">
        <v>8</v>
      </c>
      <c r="F850" s="320"/>
      <c r="G850" s="4"/>
      <c r="H850" s="441" t="s">
        <v>75</v>
      </c>
      <c r="I850" s="47">
        <v>0.25</v>
      </c>
      <c r="J850" s="319">
        <v>8</v>
      </c>
      <c r="K850" s="320"/>
      <c r="L850" s="4"/>
      <c r="M850" s="441" t="s">
        <v>75</v>
      </c>
      <c r="N850" s="47">
        <v>0.25</v>
      </c>
      <c r="O850" s="319">
        <v>8</v>
      </c>
      <c r="P850" s="320"/>
      <c r="R850" s="441" t="s">
        <v>75</v>
      </c>
      <c r="S850" s="47">
        <v>0.25</v>
      </c>
      <c r="T850" s="319">
        <v>8</v>
      </c>
      <c r="U850" s="320"/>
      <c r="W850" s="441" t="s">
        <v>75</v>
      </c>
      <c r="X850" s="47"/>
      <c r="Y850" s="319">
        <v>8</v>
      </c>
      <c r="Z850" s="320"/>
      <c r="AA850" s="29">
        <f t="shared" si="142"/>
        <v>40</v>
      </c>
      <c r="AB850" s="298">
        <f>Z850+U850+P850+K850+F850</f>
        <v>0</v>
      </c>
      <c r="AC850" s="4"/>
      <c r="AD850" s="47" t="s">
        <v>29</v>
      </c>
      <c r="AE850" s="47" t="s">
        <v>29</v>
      </c>
      <c r="AF850" s="346"/>
      <c r="AG850" s="29">
        <f t="shared" si="143"/>
        <v>0</v>
      </c>
      <c r="AK850" s="494" t="s">
        <v>36</v>
      </c>
      <c r="AL850" s="471">
        <f>AB865</f>
        <v>0</v>
      </c>
      <c r="AM850" s="510">
        <v>75</v>
      </c>
      <c r="AN850" s="510">
        <f t="shared" si="141"/>
        <v>0</v>
      </c>
    </row>
    <row r="851" spans="2:47" hidden="1" outlineLevel="1">
      <c r="B851" s="11" t="s">
        <v>301</v>
      </c>
      <c r="C851" s="441" t="s">
        <v>154</v>
      </c>
      <c r="D851" s="47"/>
      <c r="E851" s="319">
        <v>0</v>
      </c>
      <c r="F851" s="320"/>
      <c r="G851" s="4"/>
      <c r="H851" s="441" t="s">
        <v>154</v>
      </c>
      <c r="I851" s="47"/>
      <c r="J851" s="319">
        <v>0</v>
      </c>
      <c r="K851" s="320"/>
      <c r="L851" s="4"/>
      <c r="M851" s="441" t="s">
        <v>154</v>
      </c>
      <c r="N851" s="47"/>
      <c r="O851" s="319">
        <v>0</v>
      </c>
      <c r="P851" s="320"/>
      <c r="R851" s="441" t="s">
        <v>154</v>
      </c>
      <c r="S851" s="47"/>
      <c r="T851" s="319">
        <v>0</v>
      </c>
      <c r="U851" s="320"/>
      <c r="W851" s="441" t="s">
        <v>154</v>
      </c>
      <c r="X851" s="47"/>
      <c r="Y851" s="319">
        <v>0</v>
      </c>
      <c r="Z851" s="320"/>
      <c r="AA851" s="29">
        <f t="shared" si="142"/>
        <v>0</v>
      </c>
      <c r="AB851" s="298">
        <f>Z851+U851+P851+K851+F850</f>
        <v>0</v>
      </c>
      <c r="AC851" s="4"/>
      <c r="AD851" s="47" t="s">
        <v>29</v>
      </c>
      <c r="AE851" s="47" t="s">
        <v>29</v>
      </c>
      <c r="AF851" s="346"/>
      <c r="AG851" s="29">
        <f t="shared" si="143"/>
        <v>0</v>
      </c>
      <c r="AK851" s="494" t="s">
        <v>38</v>
      </c>
      <c r="AL851" s="471">
        <f>AG865</f>
        <v>0</v>
      </c>
      <c r="AM851" s="510">
        <v>75</v>
      </c>
      <c r="AN851" s="510">
        <f t="shared" si="141"/>
        <v>0</v>
      </c>
    </row>
    <row r="852" spans="2:47" ht="14.25" hidden="1" outlineLevel="1" thickBot="1">
      <c r="B852" s="524" t="s">
        <v>275</v>
      </c>
      <c r="C852" s="441" t="s">
        <v>75</v>
      </c>
      <c r="D852" s="47">
        <v>0.25</v>
      </c>
      <c r="E852" s="319">
        <v>8</v>
      </c>
      <c r="F852" s="320"/>
      <c r="G852" s="4"/>
      <c r="H852" s="441" t="s">
        <v>75</v>
      </c>
      <c r="I852" s="47">
        <v>0.25</v>
      </c>
      <c r="J852" s="319">
        <v>8</v>
      </c>
      <c r="K852" s="320"/>
      <c r="L852" s="4"/>
      <c r="M852" s="441" t="s">
        <v>75</v>
      </c>
      <c r="N852" s="47">
        <v>0.25</v>
      </c>
      <c r="O852" s="319">
        <v>8</v>
      </c>
      <c r="P852" s="320"/>
      <c r="R852" s="441" t="s">
        <v>75</v>
      </c>
      <c r="S852" s="47">
        <v>0.25</v>
      </c>
      <c r="T852" s="319">
        <v>8</v>
      </c>
      <c r="U852" s="320"/>
      <c r="W852" s="441" t="s">
        <v>75</v>
      </c>
      <c r="X852" s="47"/>
      <c r="Y852" s="319">
        <v>8</v>
      </c>
      <c r="Z852" s="320"/>
      <c r="AA852" s="29">
        <f t="shared" si="142"/>
        <v>40</v>
      </c>
      <c r="AB852" s="298">
        <f>Z852+U852+P852+K852+F851</f>
        <v>0</v>
      </c>
      <c r="AC852" s="4"/>
      <c r="AD852" s="47" t="s">
        <v>29</v>
      </c>
      <c r="AE852" s="47" t="s">
        <v>29</v>
      </c>
      <c r="AF852" s="346"/>
      <c r="AG852" s="29">
        <f t="shared" si="143"/>
        <v>0</v>
      </c>
      <c r="AK852" s="494" t="s">
        <v>41</v>
      </c>
      <c r="AL852" s="471">
        <f>C866</f>
        <v>30</v>
      </c>
      <c r="AM852" s="512">
        <v>45</v>
      </c>
      <c r="AN852" s="512">
        <f t="shared" si="141"/>
        <v>1350</v>
      </c>
    </row>
    <row r="853" spans="2:47" ht="14.25" hidden="1" outlineLevel="1" thickTop="1">
      <c r="B853" s="523" t="s">
        <v>311</v>
      </c>
      <c r="C853" s="441" t="s">
        <v>154</v>
      </c>
      <c r="D853" s="47"/>
      <c r="E853" s="319">
        <v>0</v>
      </c>
      <c r="F853" s="320"/>
      <c r="G853" s="4"/>
      <c r="H853" s="441" t="s">
        <v>154</v>
      </c>
      <c r="I853" s="47"/>
      <c r="J853" s="319">
        <v>0</v>
      </c>
      <c r="K853" s="320"/>
      <c r="L853" s="4"/>
      <c r="M853" s="441" t="s">
        <v>154</v>
      </c>
      <c r="N853" s="47"/>
      <c r="O853" s="319"/>
      <c r="P853" s="320"/>
      <c r="R853" s="441"/>
      <c r="S853" s="47"/>
      <c r="T853" s="319">
        <v>0</v>
      </c>
      <c r="U853" s="320"/>
      <c r="W853" s="441" t="s">
        <v>154</v>
      </c>
      <c r="X853" s="47"/>
      <c r="Y853" s="319">
        <v>0</v>
      </c>
      <c r="Z853" s="320"/>
      <c r="AA853" s="29">
        <f t="shared" si="142"/>
        <v>0</v>
      </c>
      <c r="AB853" s="298">
        <f>Z853+U853+P853+K853+F852</f>
        <v>0</v>
      </c>
      <c r="AC853" s="4"/>
      <c r="AD853" s="47" t="s">
        <v>29</v>
      </c>
      <c r="AE853" s="47" t="s">
        <v>29</v>
      </c>
      <c r="AF853" s="346"/>
      <c r="AG853" s="29">
        <f t="shared" si="143"/>
        <v>0</v>
      </c>
      <c r="AN853" s="510">
        <f>SUM(AN846:AN852)</f>
        <v>15389</v>
      </c>
    </row>
    <row r="854" spans="2:47" hidden="1" outlineLevel="1">
      <c r="B854" s="523" t="s">
        <v>277</v>
      </c>
      <c r="C854" s="441" t="s">
        <v>154</v>
      </c>
      <c r="D854" s="47"/>
      <c r="E854" s="319">
        <v>0</v>
      </c>
      <c r="F854" s="320"/>
      <c r="G854" s="4"/>
      <c r="H854" s="441" t="s">
        <v>154</v>
      </c>
      <c r="I854" s="47"/>
      <c r="J854" s="319">
        <v>0</v>
      </c>
      <c r="K854" s="320"/>
      <c r="L854" s="4"/>
      <c r="M854" s="441" t="s">
        <v>154</v>
      </c>
      <c r="N854" s="47"/>
      <c r="O854" s="319"/>
      <c r="P854" s="320"/>
      <c r="R854" s="441"/>
      <c r="S854" s="47"/>
      <c r="T854" s="319">
        <v>0</v>
      </c>
      <c r="U854" s="320"/>
      <c r="W854" s="441" t="s">
        <v>154</v>
      </c>
      <c r="X854" s="47"/>
      <c r="Y854" s="319">
        <v>0</v>
      </c>
      <c r="Z854" s="320"/>
      <c r="AA854" s="29">
        <f t="shared" si="142"/>
        <v>0</v>
      </c>
      <c r="AB854" s="298">
        <f>Z854+U854+P854+K854+F853</f>
        <v>0</v>
      </c>
      <c r="AC854" s="4"/>
      <c r="AD854" s="47" t="s">
        <v>29</v>
      </c>
      <c r="AE854" s="47" t="s">
        <v>29</v>
      </c>
      <c r="AF854" s="346"/>
      <c r="AG854" s="29">
        <f t="shared" si="143"/>
        <v>0</v>
      </c>
    </row>
    <row r="855" spans="2:47" hidden="1" outlineLevel="1">
      <c r="C855" s="441"/>
      <c r="D855" s="47"/>
      <c r="E855" s="319"/>
      <c r="F855" s="320"/>
      <c r="G855" s="4"/>
      <c r="H855" s="441"/>
      <c r="I855" s="47"/>
      <c r="J855" s="319"/>
      <c r="K855" s="320"/>
      <c r="L855" s="4"/>
      <c r="M855" s="441"/>
      <c r="N855" s="47"/>
      <c r="O855" s="319"/>
      <c r="P855" s="320"/>
      <c r="R855" s="441"/>
      <c r="S855" s="47"/>
      <c r="T855" s="319"/>
      <c r="U855" s="320"/>
      <c r="W855" s="441"/>
      <c r="X855" s="47"/>
      <c r="Y855" s="319"/>
      <c r="Z855" s="320"/>
      <c r="AA855" s="29">
        <f t="shared" si="142"/>
        <v>0</v>
      </c>
      <c r="AB855" s="298">
        <f t="shared" ref="AB855:AB861" si="144">Z855+U855+P855+K855+F855</f>
        <v>0</v>
      </c>
      <c r="AC855" s="4"/>
      <c r="AD855" s="47" t="s">
        <v>29</v>
      </c>
      <c r="AE855" s="47" t="s">
        <v>29</v>
      </c>
      <c r="AF855" s="346"/>
      <c r="AG855" s="29">
        <f t="shared" si="143"/>
        <v>0</v>
      </c>
    </row>
    <row r="856" spans="2:47" hidden="1" outlineLevel="1">
      <c r="B856" s="457"/>
      <c r="C856" s="441"/>
      <c r="D856" s="47"/>
      <c r="E856" s="319"/>
      <c r="F856" s="320"/>
      <c r="G856" s="4"/>
      <c r="H856" s="441"/>
      <c r="I856" s="47"/>
      <c r="J856" s="319"/>
      <c r="K856" s="320"/>
      <c r="L856" s="4"/>
      <c r="M856" s="441"/>
      <c r="N856" s="47"/>
      <c r="O856" s="319"/>
      <c r="P856" s="320"/>
      <c r="R856" s="441"/>
      <c r="S856" s="47"/>
      <c r="T856" s="319"/>
      <c r="U856" s="320"/>
      <c r="W856" s="441"/>
      <c r="X856" s="47"/>
      <c r="Y856" s="319"/>
      <c r="Z856" s="320"/>
      <c r="AA856" s="29">
        <f t="shared" si="142"/>
        <v>0</v>
      </c>
      <c r="AB856" s="298">
        <f t="shared" si="144"/>
        <v>0</v>
      </c>
      <c r="AC856" s="4"/>
      <c r="AD856" s="47" t="s">
        <v>29</v>
      </c>
      <c r="AE856" s="47" t="s">
        <v>29</v>
      </c>
      <c r="AF856" s="19"/>
      <c r="AG856" s="29">
        <f t="shared" si="143"/>
        <v>0</v>
      </c>
    </row>
    <row r="857" spans="2:47" hidden="1" outlineLevel="1">
      <c r="B857" s="166" t="s">
        <v>279</v>
      </c>
      <c r="C857" s="16"/>
      <c r="D857" s="16"/>
      <c r="E857" s="319">
        <v>8</v>
      </c>
      <c r="F857" s="320"/>
      <c r="G857" s="4"/>
      <c r="H857" s="16"/>
      <c r="I857" s="16"/>
      <c r="J857" s="319">
        <v>8</v>
      </c>
      <c r="K857" s="320"/>
      <c r="L857" s="4"/>
      <c r="M857" s="16"/>
      <c r="N857" s="16"/>
      <c r="O857" s="319">
        <v>8</v>
      </c>
      <c r="P857" s="320"/>
      <c r="R857" s="16"/>
      <c r="S857" s="16"/>
      <c r="T857" s="319">
        <v>8</v>
      </c>
      <c r="U857" s="320"/>
      <c r="W857" s="16"/>
      <c r="X857" s="16"/>
      <c r="Y857" s="319">
        <v>8</v>
      </c>
      <c r="Z857" s="320"/>
      <c r="AA857" s="29">
        <f t="shared" si="142"/>
        <v>40</v>
      </c>
      <c r="AB857" s="298">
        <f t="shared" si="144"/>
        <v>0</v>
      </c>
      <c r="AC857" s="4"/>
      <c r="AD857" s="47" t="s">
        <v>29</v>
      </c>
      <c r="AE857" s="47" t="s">
        <v>29</v>
      </c>
      <c r="AF857" s="19"/>
      <c r="AG857" s="29">
        <f t="shared" si="143"/>
        <v>0</v>
      </c>
    </row>
    <row r="858" spans="2:47" hidden="1" outlineLevel="1">
      <c r="B858" s="166" t="s">
        <v>280</v>
      </c>
      <c r="C858" s="16"/>
      <c r="D858" s="16"/>
      <c r="E858" s="319">
        <v>8</v>
      </c>
      <c r="F858" s="320"/>
      <c r="G858" s="4"/>
      <c r="H858" s="16"/>
      <c r="I858" s="16"/>
      <c r="J858" s="319">
        <v>8</v>
      </c>
      <c r="K858" s="320"/>
      <c r="L858" s="4"/>
      <c r="M858" s="16"/>
      <c r="N858" s="16"/>
      <c r="O858" s="319">
        <v>8</v>
      </c>
      <c r="P858" s="320"/>
      <c r="R858" s="16"/>
      <c r="S858" s="16"/>
      <c r="T858" s="319">
        <v>8</v>
      </c>
      <c r="U858" s="320"/>
      <c r="W858" s="16"/>
      <c r="X858" s="16"/>
      <c r="Y858" s="319">
        <v>8</v>
      </c>
      <c r="Z858" s="320"/>
      <c r="AA858" s="29">
        <f t="shared" si="142"/>
        <v>40</v>
      </c>
      <c r="AB858" s="298">
        <f t="shared" si="144"/>
        <v>0</v>
      </c>
      <c r="AC858" s="4"/>
      <c r="AD858" s="47" t="s">
        <v>29</v>
      </c>
      <c r="AE858" s="47" t="s">
        <v>29</v>
      </c>
      <c r="AF858" s="19"/>
      <c r="AG858" s="29">
        <f t="shared" si="143"/>
        <v>0</v>
      </c>
    </row>
    <row r="859" spans="2:47" hidden="1" outlineLevel="1">
      <c r="B859" s="166" t="s">
        <v>281</v>
      </c>
      <c r="C859" s="16"/>
      <c r="D859" s="16"/>
      <c r="E859" s="319">
        <v>8</v>
      </c>
      <c r="F859" s="320"/>
      <c r="G859" s="4"/>
      <c r="H859" s="16"/>
      <c r="I859" s="16"/>
      <c r="J859" s="319">
        <v>8</v>
      </c>
      <c r="K859" s="320"/>
      <c r="L859" s="4"/>
      <c r="M859" s="16"/>
      <c r="N859" s="16"/>
      <c r="O859" s="319">
        <v>8</v>
      </c>
      <c r="P859" s="320"/>
      <c r="R859" s="16"/>
      <c r="S859" s="16"/>
      <c r="T859" s="319">
        <v>8</v>
      </c>
      <c r="U859" s="320"/>
      <c r="W859" s="16"/>
      <c r="X859" s="16"/>
      <c r="Y859" s="319">
        <v>8</v>
      </c>
      <c r="Z859" s="320"/>
      <c r="AA859" s="29">
        <f t="shared" si="142"/>
        <v>40</v>
      </c>
      <c r="AB859" s="298">
        <f t="shared" si="144"/>
        <v>0</v>
      </c>
      <c r="AC859" s="4"/>
      <c r="AD859" s="47" t="s">
        <v>29</v>
      </c>
      <c r="AE859" s="47" t="s">
        <v>29</v>
      </c>
      <c r="AF859" s="19"/>
      <c r="AG859" s="29">
        <f t="shared" si="143"/>
        <v>0</v>
      </c>
    </row>
    <row r="860" spans="2:47" hidden="1" outlineLevel="1">
      <c r="B860" s="166" t="s">
        <v>283</v>
      </c>
      <c r="C860" s="16"/>
      <c r="D860" s="16"/>
      <c r="E860" s="319">
        <v>8</v>
      </c>
      <c r="F860" s="320"/>
      <c r="G860" s="4"/>
      <c r="H860" s="16"/>
      <c r="I860" s="16"/>
      <c r="J860" s="319">
        <v>8</v>
      </c>
      <c r="K860" s="320"/>
      <c r="L860" s="4"/>
      <c r="M860" s="16"/>
      <c r="N860" s="16"/>
      <c r="O860" s="319">
        <v>8</v>
      </c>
      <c r="P860" s="320"/>
      <c r="R860" s="16"/>
      <c r="S860" s="16"/>
      <c r="T860" s="319">
        <v>8</v>
      </c>
      <c r="U860" s="320"/>
      <c r="W860" s="16"/>
      <c r="X860" s="16"/>
      <c r="Y860" s="319">
        <v>8</v>
      </c>
      <c r="Z860" s="320"/>
      <c r="AA860" s="29">
        <f t="shared" si="142"/>
        <v>40</v>
      </c>
      <c r="AB860" s="298">
        <f t="shared" si="144"/>
        <v>0</v>
      </c>
      <c r="AC860" s="4"/>
      <c r="AD860" s="47" t="s">
        <v>29</v>
      </c>
      <c r="AE860" s="47" t="s">
        <v>29</v>
      </c>
      <c r="AF860" s="19"/>
      <c r="AG860" s="29">
        <f t="shared" si="143"/>
        <v>0</v>
      </c>
    </row>
    <row r="861" spans="2:47" hidden="1" outlineLevel="1">
      <c r="B861" s="63" t="s">
        <v>63</v>
      </c>
      <c r="C861" s="16"/>
      <c r="D861" s="16"/>
      <c r="E861" s="319">
        <v>4</v>
      </c>
      <c r="F861" s="320"/>
      <c r="G861" s="438"/>
      <c r="H861" s="16"/>
      <c r="I861" s="16"/>
      <c r="J861" s="319">
        <v>4</v>
      </c>
      <c r="K861" s="320"/>
      <c r="L861" s="438"/>
      <c r="M861" s="16"/>
      <c r="N861" s="16"/>
      <c r="O861" s="319">
        <v>4.5</v>
      </c>
      <c r="P861" s="320"/>
      <c r="Q861" s="438"/>
      <c r="R861" s="16"/>
      <c r="S861" s="16"/>
      <c r="T861" s="319">
        <v>4.5</v>
      </c>
      <c r="U861" s="320"/>
      <c r="V861" s="438"/>
      <c r="W861" s="16"/>
      <c r="X861" s="16"/>
      <c r="Y861" s="319">
        <v>4.5</v>
      </c>
      <c r="Z861" s="320"/>
      <c r="AA861" s="29">
        <f t="shared" si="142"/>
        <v>21.5</v>
      </c>
      <c r="AB861" s="298">
        <f t="shared" si="144"/>
        <v>0</v>
      </c>
      <c r="AC861" s="4"/>
      <c r="AD861" s="47" t="s">
        <v>29</v>
      </c>
      <c r="AE861" s="47" t="s">
        <v>29</v>
      </c>
      <c r="AF861" s="19"/>
      <c r="AG861" s="29">
        <f t="shared" si="143"/>
        <v>0</v>
      </c>
      <c r="AK861" s="407"/>
    </row>
    <row r="862" spans="2:47" hidden="1" outlineLevel="1">
      <c r="B862" s="64" t="s">
        <v>61</v>
      </c>
      <c r="C862" s="31"/>
      <c r="D862" s="31"/>
      <c r="E862" s="439">
        <f>SUM(E847:E861)</f>
        <v>60</v>
      </c>
      <c r="F862" s="320">
        <f>SUM(F847:F856)</f>
        <v>0</v>
      </c>
      <c r="G862" s="31"/>
      <c r="H862" s="31"/>
      <c r="I862" s="31"/>
      <c r="J862" s="439">
        <f>SUM(J847:J861)</f>
        <v>76</v>
      </c>
      <c r="K862" s="320">
        <f>SUM(K847:K856)</f>
        <v>0</v>
      </c>
      <c r="L862" s="31"/>
      <c r="M862" s="31"/>
      <c r="N862" s="31"/>
      <c r="O862" s="439">
        <f>SUM(O847:O861)</f>
        <v>76.5</v>
      </c>
      <c r="P862" s="320">
        <f>SUM(P847:P860)</f>
        <v>0</v>
      </c>
      <c r="Q862" s="31"/>
      <c r="R862" s="31"/>
      <c r="S862" s="31"/>
      <c r="T862" s="439">
        <f>SUM(T847:T861)</f>
        <v>76.5</v>
      </c>
      <c r="U862" s="320">
        <f>SUM(U847:U860)</f>
        <v>0</v>
      </c>
      <c r="V862" s="31"/>
      <c r="W862" s="31"/>
      <c r="X862" s="31"/>
      <c r="Y862" s="439">
        <f>SUM(Y847:Y861)</f>
        <v>76.5</v>
      </c>
      <c r="Z862" s="320">
        <f>SUM(Z847:Z856)</f>
        <v>0</v>
      </c>
      <c r="AA862" s="370">
        <f>SUM(AA847:AA861)</f>
        <v>365.5</v>
      </c>
      <c r="AB862" s="370">
        <f>SUM(AB847:AB861)</f>
        <v>0</v>
      </c>
      <c r="AC862" s="4"/>
      <c r="AD862" s="64"/>
      <c r="AE862" s="64"/>
      <c r="AF862" s="167">
        <f>SUM(AF847:AF861)</f>
        <v>0</v>
      </c>
      <c r="AG862" s="370">
        <f>SUM(AG847:AG861)</f>
        <v>0</v>
      </c>
    </row>
    <row r="863" spans="2:47" hidden="1" outlineLevel="1">
      <c r="B863" s="63" t="s">
        <v>64</v>
      </c>
      <c r="C863" s="19"/>
      <c r="D863" s="291"/>
      <c r="E863" s="19">
        <v>0.5</v>
      </c>
      <c r="F863" s="291"/>
      <c r="G863" s="19"/>
      <c r="H863" s="291"/>
      <c r="I863" s="19"/>
      <c r="J863" s="291">
        <v>0.5</v>
      </c>
      <c r="K863" s="19"/>
      <c r="L863" s="291"/>
      <c r="M863" s="19"/>
      <c r="N863" s="291"/>
      <c r="O863" s="19">
        <v>0.5</v>
      </c>
      <c r="P863" s="291"/>
      <c r="Q863" s="19"/>
      <c r="R863" s="291"/>
      <c r="S863" s="19"/>
      <c r="T863" s="291">
        <v>1</v>
      </c>
      <c r="U863" s="19"/>
      <c r="V863" s="291"/>
      <c r="W863" s="19"/>
      <c r="X863" s="291"/>
      <c r="Y863" s="19">
        <v>0.5</v>
      </c>
      <c r="Z863" s="291"/>
      <c r="AA863" s="28">
        <f>SUM(E863+J863+O863+T863+Y863)</f>
        <v>3</v>
      </c>
      <c r="AB863" s="296">
        <f>Z863+U863+P863+K863+F863</f>
        <v>0</v>
      </c>
      <c r="AC863" s="4"/>
      <c r="AD863" s="56"/>
      <c r="AE863" s="56"/>
      <c r="AF863" s="19"/>
      <c r="AG863" s="29">
        <f>AF863</f>
        <v>0</v>
      </c>
    </row>
    <row r="864" spans="2:47" hidden="1" outlineLevel="1">
      <c r="B864" s="63" t="s">
        <v>110</v>
      </c>
      <c r="C864" s="19"/>
      <c r="D864" s="291"/>
      <c r="E864" s="19"/>
      <c r="F864" s="291"/>
      <c r="G864" s="19"/>
      <c r="H864" s="291"/>
      <c r="I864" s="19"/>
      <c r="J864" s="291"/>
      <c r="K864" s="19"/>
      <c r="L864" s="291"/>
      <c r="M864" s="19"/>
      <c r="N864" s="291"/>
      <c r="O864" s="19"/>
      <c r="P864" s="291"/>
      <c r="Q864" s="19"/>
      <c r="R864" s="291"/>
      <c r="S864" s="19"/>
      <c r="T864" s="291"/>
      <c r="U864" s="19"/>
      <c r="V864" s="291"/>
      <c r="W864" s="19"/>
      <c r="X864" s="291"/>
      <c r="Y864" s="19"/>
      <c r="Z864" s="291"/>
      <c r="AA864" s="28">
        <f>SUM(E864+J864+O864+T864+Y864)</f>
        <v>0</v>
      </c>
      <c r="AB864" s="296">
        <f>Z864+U864+P864+K864+F864</f>
        <v>0</v>
      </c>
      <c r="AC864" s="4"/>
      <c r="AD864" s="56"/>
      <c r="AE864" s="56"/>
      <c r="AF864" s="19"/>
      <c r="AG864" s="29">
        <f>AF864</f>
        <v>0</v>
      </c>
    </row>
    <row r="865" spans="2:47" hidden="1" outlineLevel="1">
      <c r="B865" s="71" t="s">
        <v>66</v>
      </c>
      <c r="C865" s="371"/>
      <c r="D865" s="371"/>
      <c r="E865" s="71">
        <f t="shared" ref="E865:AB865" si="145">SUM(E863:E864)</f>
        <v>0.5</v>
      </c>
      <c r="F865" s="71">
        <f t="shared" si="145"/>
        <v>0</v>
      </c>
      <c r="G865" s="71">
        <f t="shared" si="145"/>
        <v>0</v>
      </c>
      <c r="H865" s="71">
        <f t="shared" si="145"/>
        <v>0</v>
      </c>
      <c r="I865" s="71">
        <f t="shared" si="145"/>
        <v>0</v>
      </c>
      <c r="J865" s="71">
        <f t="shared" si="145"/>
        <v>0.5</v>
      </c>
      <c r="K865" s="71">
        <f t="shared" si="145"/>
        <v>0</v>
      </c>
      <c r="L865" s="71">
        <f t="shared" si="145"/>
        <v>0</v>
      </c>
      <c r="M865" s="71">
        <f t="shared" si="145"/>
        <v>0</v>
      </c>
      <c r="N865" s="71">
        <f t="shared" si="145"/>
        <v>0</v>
      </c>
      <c r="O865" s="71">
        <f t="shared" si="145"/>
        <v>0.5</v>
      </c>
      <c r="P865" s="71">
        <f t="shared" si="145"/>
        <v>0</v>
      </c>
      <c r="Q865" s="71">
        <f t="shared" si="145"/>
        <v>0</v>
      </c>
      <c r="R865" s="71">
        <f t="shared" si="145"/>
        <v>0</v>
      </c>
      <c r="S865" s="71">
        <f t="shared" si="145"/>
        <v>0</v>
      </c>
      <c r="T865" s="71">
        <f t="shared" si="145"/>
        <v>1</v>
      </c>
      <c r="U865" s="71">
        <f t="shared" si="145"/>
        <v>0</v>
      </c>
      <c r="V865" s="71">
        <f t="shared" si="145"/>
        <v>0</v>
      </c>
      <c r="W865" s="71">
        <f t="shared" si="145"/>
        <v>0</v>
      </c>
      <c r="X865" s="71">
        <f t="shared" si="145"/>
        <v>0</v>
      </c>
      <c r="Y865" s="71">
        <f t="shared" si="145"/>
        <v>0.5</v>
      </c>
      <c r="Z865" s="71">
        <f t="shared" si="145"/>
        <v>0</v>
      </c>
      <c r="AA865" s="370">
        <f t="shared" si="145"/>
        <v>3</v>
      </c>
      <c r="AB865" s="370">
        <f t="shared" si="145"/>
        <v>0</v>
      </c>
      <c r="AC865" s="4"/>
      <c r="AG865" s="370">
        <f>SUM(AG863:AG864)</f>
        <v>0</v>
      </c>
    </row>
    <row r="866" spans="2:47" hidden="1" outlineLevel="1">
      <c r="B866" s="217" t="s">
        <v>67</v>
      </c>
      <c r="C866" s="207">
        <f>C867+C868</f>
        <v>30</v>
      </c>
      <c r="D866" s="207"/>
      <c r="E866" s="209"/>
      <c r="F866" s="209"/>
      <c r="G866" s="207"/>
      <c r="H866" s="209"/>
      <c r="I866" s="209"/>
      <c r="J866" s="209"/>
      <c r="K866" s="209"/>
      <c r="L866" s="207"/>
      <c r="M866" s="207"/>
      <c r="N866" s="207"/>
      <c r="O866" s="207"/>
      <c r="P866" s="209"/>
      <c r="Q866" s="207"/>
      <c r="R866" s="207"/>
      <c r="S866" s="207"/>
      <c r="T866" s="207"/>
      <c r="U866" s="209"/>
      <c r="V866" s="207"/>
      <c r="W866" s="207"/>
      <c r="X866" s="207"/>
      <c r="Y866" s="210"/>
      <c r="Z866" s="209"/>
      <c r="AA866" s="211"/>
      <c r="AB866" s="209"/>
      <c r="AC866" s="211"/>
      <c r="AD866" s="211"/>
      <c r="AE866" s="211"/>
      <c r="AF866" s="211"/>
      <c r="AG866" s="211"/>
    </row>
    <row r="867" spans="2:47" hidden="1" outlineLevel="1">
      <c r="B867" s="238" t="s">
        <v>68</v>
      </c>
      <c r="C867" s="239"/>
      <c r="D867" s="207"/>
      <c r="E867" s="209"/>
      <c r="F867" s="209"/>
      <c r="G867" s="207"/>
      <c r="H867" s="209"/>
      <c r="I867" s="209"/>
      <c r="J867" s="209"/>
      <c r="K867" s="209"/>
      <c r="L867" s="207"/>
      <c r="M867" s="207"/>
      <c r="N867" s="207"/>
      <c r="O867" s="207"/>
      <c r="P867" s="209"/>
      <c r="Q867" s="207"/>
      <c r="R867" s="207"/>
      <c r="S867" s="207"/>
      <c r="T867" s="207"/>
      <c r="U867" s="209"/>
      <c r="V867" s="207"/>
      <c r="W867" s="207"/>
      <c r="X867" s="207"/>
      <c r="Y867" s="210"/>
      <c r="Z867" s="209"/>
      <c r="AA867" s="211"/>
      <c r="AB867" s="209"/>
      <c r="AC867" s="211"/>
      <c r="AD867" s="211"/>
      <c r="AE867" s="211"/>
      <c r="AF867" s="211"/>
      <c r="AG867" s="211"/>
    </row>
    <row r="868" spans="2:47" hidden="1" outlineLevel="1">
      <c r="B868" s="238" t="s">
        <v>69</v>
      </c>
      <c r="C868" s="526">
        <f>7+8+15</f>
        <v>30</v>
      </c>
      <c r="D868" s="207"/>
      <c r="E868" s="209"/>
      <c r="F868" s="209"/>
      <c r="G868" s="207"/>
      <c r="H868" s="209"/>
      <c r="I868" s="209"/>
      <c r="J868" s="209"/>
      <c r="K868" s="209"/>
      <c r="L868" s="207"/>
      <c r="M868" s="207"/>
      <c r="N868" s="207"/>
      <c r="O868" s="207"/>
      <c r="P868" s="209"/>
      <c r="Q868" s="207"/>
      <c r="R868" s="207"/>
      <c r="S868" s="207"/>
      <c r="T868" s="207"/>
      <c r="U868" s="209"/>
      <c r="V868" s="207"/>
      <c r="W868" s="207"/>
      <c r="X868" s="207"/>
      <c r="Y868" s="210"/>
      <c r="Z868" s="209"/>
      <c r="AA868" s="211"/>
      <c r="AB868" s="209"/>
      <c r="AC868" s="211"/>
      <c r="AD868" s="211"/>
      <c r="AE868" s="211"/>
      <c r="AF868" s="211"/>
      <c r="AG868" s="211"/>
    </row>
    <row r="869" spans="2:47" hidden="1" outlineLevel="1">
      <c r="E869" s="4"/>
      <c r="F869" s="4"/>
      <c r="G869" s="4"/>
      <c r="J869" s="4"/>
      <c r="K869" s="4"/>
      <c r="L869" s="4"/>
      <c r="O869" s="4"/>
      <c r="P869" s="4"/>
      <c r="T869" s="4"/>
      <c r="U869" s="4"/>
      <c r="Y869" s="4"/>
      <c r="Z869" s="4"/>
      <c r="AA869" s="4"/>
      <c r="AB869" s="4"/>
      <c r="AC869" s="4"/>
    </row>
    <row r="870" spans="2:47" collapsed="1">
      <c r="B870" s="229"/>
      <c r="C870" s="230"/>
      <c r="D870" s="230"/>
      <c r="E870" s="232"/>
      <c r="F870" s="232"/>
      <c r="G870" s="230"/>
      <c r="H870" s="232"/>
      <c r="I870" s="232"/>
      <c r="J870" s="232"/>
      <c r="K870" s="232"/>
      <c r="L870" s="230"/>
      <c r="M870" s="230"/>
      <c r="N870" s="230"/>
      <c r="O870" s="230"/>
      <c r="P870" s="232"/>
      <c r="Q870" s="230"/>
      <c r="R870" s="230"/>
      <c r="S870" s="230"/>
      <c r="T870" s="230"/>
      <c r="U870" s="232"/>
      <c r="V870" s="230"/>
      <c r="W870" s="230"/>
      <c r="X870" s="230"/>
      <c r="Y870" s="233"/>
      <c r="Z870" s="232"/>
      <c r="AA870" s="234"/>
      <c r="AB870" s="232"/>
      <c r="AC870" s="373"/>
      <c r="AD870" s="236"/>
      <c r="AE870" s="255"/>
      <c r="AF870" s="255"/>
      <c r="AG870" s="255"/>
      <c r="AH870" s="255"/>
      <c r="AJ870" s="255"/>
      <c r="AK870" s="255"/>
      <c r="AL870" s="255"/>
      <c r="AM870" s="255"/>
      <c r="AN870" s="255"/>
      <c r="AO870" s="255"/>
      <c r="AP870" s="255"/>
      <c r="AQ870" s="255"/>
      <c r="AR870" s="255"/>
      <c r="AS870" s="255"/>
      <c r="AT870" s="255"/>
      <c r="AU870" s="255"/>
    </row>
    <row r="871" spans="2:47" hidden="1" outlineLevel="1">
      <c r="B871" s="180"/>
      <c r="E871" s="4"/>
      <c r="F871" s="4"/>
      <c r="G871" s="4"/>
      <c r="J871" s="4"/>
      <c r="K871" s="4"/>
      <c r="L871" s="4"/>
      <c r="O871" s="4"/>
      <c r="P871" s="4"/>
      <c r="T871" s="4"/>
      <c r="U871" s="4"/>
      <c r="Y871" s="4"/>
      <c r="Z871" s="4"/>
      <c r="AA871" s="4"/>
      <c r="AB871" s="4"/>
      <c r="AC871" s="4"/>
      <c r="AK871" s="180"/>
      <c r="AL871" s="180"/>
      <c r="AM871" s="180"/>
      <c r="AN871" s="180"/>
      <c r="AO871" s="180"/>
      <c r="AP871" s="180"/>
    </row>
    <row r="872" spans="2:47" hidden="1" outlineLevel="1">
      <c r="B872" s="1518" t="s">
        <v>18</v>
      </c>
      <c r="C872" s="1519">
        <v>45474</v>
      </c>
      <c r="D872" s="1519"/>
      <c r="E872" s="1519"/>
      <c r="F872" s="1519"/>
      <c r="G872" s="365"/>
      <c r="H872" s="1519">
        <v>45475</v>
      </c>
      <c r="I872" s="1519"/>
      <c r="J872" s="1519"/>
      <c r="K872" s="1519"/>
      <c r="L872" s="365">
        <v>45343</v>
      </c>
      <c r="M872" s="1519">
        <v>45476</v>
      </c>
      <c r="N872" s="1519"/>
      <c r="O872" s="1519"/>
      <c r="P872" s="1519"/>
      <c r="Q872" s="365"/>
      <c r="R872" s="1543">
        <v>45477</v>
      </c>
      <c r="S872" s="1543"/>
      <c r="T872" s="1543"/>
      <c r="U872" s="1543"/>
      <c r="V872" s="365"/>
      <c r="W872" s="1519">
        <v>45478</v>
      </c>
      <c r="X872" s="1519"/>
      <c r="Y872" s="1519"/>
      <c r="Z872" s="1519"/>
      <c r="AA872" s="1517" t="s">
        <v>19</v>
      </c>
      <c r="AB872" s="1517" t="s">
        <v>20</v>
      </c>
      <c r="AC872" s="4"/>
      <c r="AD872" s="1519">
        <v>45479</v>
      </c>
      <c r="AE872" s="1519"/>
      <c r="AF872" s="1519"/>
      <c r="AG872" s="1517" t="s">
        <v>21</v>
      </c>
      <c r="AI872" s="368"/>
      <c r="AK872" s="194" t="s">
        <v>84</v>
      </c>
      <c r="AL872" s="366"/>
      <c r="AM872" s="366"/>
      <c r="AN872" s="366"/>
      <c r="AO872" s="366"/>
      <c r="AP872" s="366"/>
    </row>
    <row r="873" spans="2:47" hidden="1" outlineLevel="1">
      <c r="B873" s="1518"/>
      <c r="C873" s="21" t="s">
        <v>23</v>
      </c>
      <c r="D873" s="21" t="s">
        <v>24</v>
      </c>
      <c r="E873" s="205" t="s">
        <v>25</v>
      </c>
      <c r="F873" s="18" t="s">
        <v>14</v>
      </c>
      <c r="G873" s="4"/>
      <c r="H873" s="21" t="s">
        <v>23</v>
      </c>
      <c r="I873" s="21" t="s">
        <v>24</v>
      </c>
      <c r="J873" s="18" t="s">
        <v>25</v>
      </c>
      <c r="K873" s="18" t="s">
        <v>14</v>
      </c>
      <c r="L873" s="4"/>
      <c r="M873" s="21" t="s">
        <v>23</v>
      </c>
      <c r="N873" s="21" t="s">
        <v>24</v>
      </c>
      <c r="O873" s="18" t="s">
        <v>25</v>
      </c>
      <c r="P873" s="18" t="s">
        <v>14</v>
      </c>
      <c r="R873" s="484" t="s">
        <v>23</v>
      </c>
      <c r="S873" s="21" t="s">
        <v>24</v>
      </c>
      <c r="T873" s="18" t="s">
        <v>25</v>
      </c>
      <c r="U873" s="18" t="s">
        <v>14</v>
      </c>
      <c r="W873" s="484" t="s">
        <v>23</v>
      </c>
      <c r="X873" s="21" t="s">
        <v>24</v>
      </c>
      <c r="Y873" s="18" t="s">
        <v>25</v>
      </c>
      <c r="Z873" s="18" t="s">
        <v>14</v>
      </c>
      <c r="AA873" s="1517"/>
      <c r="AB873" s="1517"/>
      <c r="AC873" s="4"/>
      <c r="AD873" s="21" t="s">
        <v>23</v>
      </c>
      <c r="AE873" s="21" t="s">
        <v>24</v>
      </c>
      <c r="AF873" s="18" t="s">
        <v>25</v>
      </c>
      <c r="AG873" s="1517"/>
      <c r="AI873" s="368"/>
      <c r="AJ873" s="367"/>
      <c r="AK873" s="494" t="s">
        <v>26</v>
      </c>
      <c r="AL873" s="471">
        <f>AA888</f>
        <v>248</v>
      </c>
      <c r="AM873" s="510">
        <v>38</v>
      </c>
      <c r="AN873" s="510">
        <f t="shared" ref="AN873:AN879" si="146">AL873*AM873</f>
        <v>9424</v>
      </c>
      <c r="AQ873" s="367"/>
      <c r="AR873" s="367"/>
      <c r="AS873" s="367"/>
      <c r="AT873" s="367"/>
      <c r="AU873" s="367"/>
    </row>
    <row r="874" spans="2:47" ht="10.9" hidden="1" customHeight="1" outlineLevel="1">
      <c r="B874" s="527" t="s">
        <v>266</v>
      </c>
      <c r="C874" s="47">
        <v>0</v>
      </c>
      <c r="D874" s="47"/>
      <c r="E874" s="319">
        <v>0</v>
      </c>
      <c r="F874" s="320"/>
      <c r="G874" s="4"/>
      <c r="H874" s="47">
        <v>0.375</v>
      </c>
      <c r="I874" s="47">
        <v>0.25</v>
      </c>
      <c r="J874" s="319">
        <v>8</v>
      </c>
      <c r="K874" s="320"/>
      <c r="L874" s="4"/>
      <c r="M874" s="441" t="s">
        <v>75</v>
      </c>
      <c r="N874" s="47">
        <v>0.25</v>
      </c>
      <c r="O874" s="319">
        <v>8</v>
      </c>
      <c r="P874" s="320"/>
      <c r="R874" s="1542" t="s">
        <v>312</v>
      </c>
      <c r="S874" s="1542"/>
      <c r="T874" s="319"/>
      <c r="U874" s="320"/>
      <c r="W874" s="441" t="s">
        <v>154</v>
      </c>
      <c r="X874" s="47"/>
      <c r="Y874" s="319">
        <v>0</v>
      </c>
      <c r="Z874" s="320"/>
      <c r="AA874" s="29">
        <f t="shared" ref="AA874:AA887" si="147">(E874+J874+O874+T874+Y874)</f>
        <v>16</v>
      </c>
      <c r="AB874" s="298">
        <f>Z874+U874+P874+K874+F874</f>
        <v>0</v>
      </c>
      <c r="AC874" s="399"/>
      <c r="AD874" s="47" t="s">
        <v>29</v>
      </c>
      <c r="AE874" s="47" t="s">
        <v>29</v>
      </c>
      <c r="AF874" s="346"/>
      <c r="AG874" s="29">
        <f t="shared" ref="AG874:AG887" si="148">AF874</f>
        <v>0</v>
      </c>
      <c r="AH874" s="175"/>
      <c r="AJ874" s="401"/>
      <c r="AK874" s="494" t="s">
        <v>30</v>
      </c>
      <c r="AL874" s="471">
        <f>AB888</f>
        <v>0</v>
      </c>
      <c r="AM874" s="511">
        <v>57</v>
      </c>
      <c r="AN874" s="510">
        <f t="shared" si="146"/>
        <v>0</v>
      </c>
      <c r="AO874" s="405"/>
      <c r="AP874" s="405"/>
      <c r="AQ874" s="401"/>
      <c r="AR874" s="401"/>
      <c r="AS874" s="401"/>
      <c r="AT874" s="401"/>
      <c r="AU874" s="401"/>
    </row>
    <row r="875" spans="2:47" hidden="1" outlineLevel="1">
      <c r="B875" s="528" t="s">
        <v>268</v>
      </c>
      <c r="C875" s="47">
        <v>0.375</v>
      </c>
      <c r="D875" s="47">
        <v>0.25</v>
      </c>
      <c r="E875" s="319">
        <v>8</v>
      </c>
      <c r="F875" s="320"/>
      <c r="G875" s="4"/>
      <c r="H875" s="47">
        <v>0</v>
      </c>
      <c r="I875" s="47"/>
      <c r="J875" s="319">
        <v>0</v>
      </c>
      <c r="K875" s="320"/>
      <c r="L875" s="4"/>
      <c r="M875" s="441" t="s">
        <v>154</v>
      </c>
      <c r="N875" s="47"/>
      <c r="O875" s="319">
        <v>0</v>
      </c>
      <c r="P875" s="320"/>
      <c r="R875" s="1542"/>
      <c r="S875" s="1542"/>
      <c r="T875" s="319"/>
      <c r="U875" s="320"/>
      <c r="W875" s="441" t="s">
        <v>154</v>
      </c>
      <c r="X875" s="47"/>
      <c r="Y875" s="319">
        <v>0</v>
      </c>
      <c r="Z875" s="320"/>
      <c r="AA875" s="29">
        <f t="shared" si="147"/>
        <v>8</v>
      </c>
      <c r="AB875" s="298">
        <f>Z875+U875+P875+K875+F875</f>
        <v>0</v>
      </c>
      <c r="AC875" s="175"/>
      <c r="AD875" s="47" t="s">
        <v>29</v>
      </c>
      <c r="AE875" s="47" t="s">
        <v>29</v>
      </c>
      <c r="AF875" s="346"/>
      <c r="AG875" s="344">
        <f t="shared" si="148"/>
        <v>0</v>
      </c>
      <c r="AH875" s="175"/>
      <c r="AI875" s="368"/>
      <c r="AK875" s="494" t="s">
        <v>32</v>
      </c>
      <c r="AL875" s="471">
        <f>AG888</f>
        <v>0</v>
      </c>
      <c r="AM875" s="510">
        <v>57</v>
      </c>
      <c r="AN875" s="510">
        <f t="shared" si="146"/>
        <v>0</v>
      </c>
    </row>
    <row r="876" spans="2:47" hidden="1" outlineLevel="1">
      <c r="B876" s="527" t="s">
        <v>271</v>
      </c>
      <c r="C876" s="47">
        <v>0.375</v>
      </c>
      <c r="D876" s="47">
        <v>0.25</v>
      </c>
      <c r="E876" s="319">
        <v>8</v>
      </c>
      <c r="F876" s="320"/>
      <c r="G876" s="4"/>
      <c r="H876" s="47">
        <v>0.375</v>
      </c>
      <c r="I876" s="47">
        <v>0.25</v>
      </c>
      <c r="J876" s="319">
        <v>8</v>
      </c>
      <c r="K876" s="320"/>
      <c r="L876" s="4"/>
      <c r="M876" s="441" t="s">
        <v>154</v>
      </c>
      <c r="N876" s="47"/>
      <c r="O876" s="319">
        <v>0</v>
      </c>
      <c r="P876" s="320"/>
      <c r="R876" s="1542"/>
      <c r="S876" s="1542"/>
      <c r="T876" s="319"/>
      <c r="U876" s="320"/>
      <c r="W876" s="441" t="s">
        <v>154</v>
      </c>
      <c r="X876" s="47"/>
      <c r="Y876" s="319">
        <v>0</v>
      </c>
      <c r="Z876" s="320"/>
      <c r="AA876" s="29">
        <f t="shared" si="147"/>
        <v>16</v>
      </c>
      <c r="AB876" s="298">
        <f>Z876+U876+P876+K876+F876</f>
        <v>0</v>
      </c>
      <c r="AC876" s="4"/>
      <c r="AD876" s="47" t="s">
        <v>29</v>
      </c>
      <c r="AE876" s="47" t="s">
        <v>29</v>
      </c>
      <c r="AF876" s="346"/>
      <c r="AG876" s="29">
        <f t="shared" si="148"/>
        <v>0</v>
      </c>
      <c r="AJ876" s="367"/>
      <c r="AK876" s="494" t="s">
        <v>213</v>
      </c>
      <c r="AL876" s="471">
        <f>AA891</f>
        <v>3</v>
      </c>
      <c r="AM876" s="510">
        <v>50</v>
      </c>
      <c r="AN876" s="510">
        <f t="shared" si="146"/>
        <v>150</v>
      </c>
      <c r="AQ876" s="367"/>
      <c r="AR876" s="367"/>
      <c r="AS876" s="367"/>
      <c r="AT876" s="367"/>
      <c r="AU876" s="367"/>
    </row>
    <row r="877" spans="2:47" hidden="1" outlineLevel="1">
      <c r="B877" s="528" t="s">
        <v>272</v>
      </c>
      <c r="C877" s="47">
        <v>0.375</v>
      </c>
      <c r="D877" s="47">
        <v>0.25</v>
      </c>
      <c r="E877" s="319">
        <v>8</v>
      </c>
      <c r="F877" s="320"/>
      <c r="G877" s="4"/>
      <c r="H877" s="47">
        <v>0.375</v>
      </c>
      <c r="I877" s="47">
        <v>0.25</v>
      </c>
      <c r="J877" s="319">
        <v>8</v>
      </c>
      <c r="K877" s="320"/>
      <c r="L877" s="4"/>
      <c r="M877" s="441" t="s">
        <v>75</v>
      </c>
      <c r="N877" s="47">
        <v>0.25</v>
      </c>
      <c r="O877" s="319">
        <v>8</v>
      </c>
      <c r="P877" s="320"/>
      <c r="R877" s="1542"/>
      <c r="S877" s="1542"/>
      <c r="T877" s="319"/>
      <c r="U877" s="320"/>
      <c r="W877" s="441" t="s">
        <v>154</v>
      </c>
      <c r="X877" s="47"/>
      <c r="Y877" s="319">
        <v>0</v>
      </c>
      <c r="Z877" s="320"/>
      <c r="AA877" s="29">
        <f t="shared" si="147"/>
        <v>24</v>
      </c>
      <c r="AB877" s="298">
        <f>Z877+U877+P877+K877+F877</f>
        <v>0</v>
      </c>
      <c r="AC877" s="4"/>
      <c r="AD877" s="47" t="s">
        <v>29</v>
      </c>
      <c r="AE877" s="47" t="s">
        <v>29</v>
      </c>
      <c r="AF877" s="346"/>
      <c r="AG877" s="29">
        <f t="shared" si="148"/>
        <v>0</v>
      </c>
      <c r="AK877" s="494" t="s">
        <v>36</v>
      </c>
      <c r="AL877" s="471">
        <f>AB891</f>
        <v>0</v>
      </c>
      <c r="AM877" s="510">
        <v>75</v>
      </c>
      <c r="AN877" s="510">
        <f t="shared" si="146"/>
        <v>0</v>
      </c>
    </row>
    <row r="878" spans="2:47" hidden="1" outlineLevel="1">
      <c r="B878" s="597" t="s">
        <v>273</v>
      </c>
      <c r="C878" s="47">
        <v>0</v>
      </c>
      <c r="D878" s="47"/>
      <c r="E878" s="319">
        <v>0</v>
      </c>
      <c r="F878" s="320"/>
      <c r="G878" s="4"/>
      <c r="H878" s="47">
        <v>0</v>
      </c>
      <c r="I878" s="47"/>
      <c r="J878" s="319">
        <v>0</v>
      </c>
      <c r="K878" s="320"/>
      <c r="L878" s="4"/>
      <c r="M878" s="441" t="s">
        <v>154</v>
      </c>
      <c r="N878" s="47"/>
      <c r="O878" s="319">
        <v>0</v>
      </c>
      <c r="P878" s="320"/>
      <c r="R878" s="1542"/>
      <c r="S878" s="1542"/>
      <c r="T878" s="319"/>
      <c r="U878" s="320"/>
      <c r="W878" s="441" t="s">
        <v>154</v>
      </c>
      <c r="X878" s="47"/>
      <c r="Y878" s="319">
        <v>0</v>
      </c>
      <c r="Z878" s="320"/>
      <c r="AA878" s="29">
        <f t="shared" si="147"/>
        <v>0</v>
      </c>
      <c r="AB878" s="298">
        <f>Z878+U878+P878+K878+F877</f>
        <v>0</v>
      </c>
      <c r="AC878" s="4"/>
      <c r="AD878" s="47" t="s">
        <v>29</v>
      </c>
      <c r="AE878" s="47" t="s">
        <v>29</v>
      </c>
      <c r="AF878" s="346"/>
      <c r="AG878" s="29">
        <f t="shared" si="148"/>
        <v>0</v>
      </c>
      <c r="AK878" s="494" t="s">
        <v>38</v>
      </c>
      <c r="AL878" s="471">
        <f>AG891</f>
        <v>0</v>
      </c>
      <c r="AM878" s="510">
        <v>75</v>
      </c>
      <c r="AN878" s="510">
        <f t="shared" si="146"/>
        <v>0</v>
      </c>
    </row>
    <row r="879" spans="2:47" ht="14.25" hidden="1" outlineLevel="1" thickBot="1">
      <c r="B879" s="599" t="s">
        <v>275</v>
      </c>
      <c r="C879" s="47">
        <v>0.375</v>
      </c>
      <c r="D879" s="47">
        <v>0.25</v>
      </c>
      <c r="E879" s="319">
        <v>8</v>
      </c>
      <c r="F879" s="320"/>
      <c r="G879" s="4"/>
      <c r="H879" s="47">
        <v>0.375</v>
      </c>
      <c r="I879" s="47">
        <v>0.25</v>
      </c>
      <c r="J879" s="319">
        <v>8</v>
      </c>
      <c r="K879" s="320"/>
      <c r="L879" s="4"/>
      <c r="M879" s="441" t="s">
        <v>154</v>
      </c>
      <c r="N879" s="47"/>
      <c r="O879" s="319">
        <v>0</v>
      </c>
      <c r="P879" s="320"/>
      <c r="R879" s="1542"/>
      <c r="S879" s="1542"/>
      <c r="T879" s="319"/>
      <c r="U879" s="320"/>
      <c r="W879" s="441" t="s">
        <v>154</v>
      </c>
      <c r="X879" s="47"/>
      <c r="Y879" s="319">
        <v>0</v>
      </c>
      <c r="Z879" s="320"/>
      <c r="AA879" s="29">
        <f t="shared" si="147"/>
        <v>16</v>
      </c>
      <c r="AB879" s="298">
        <f>Z879+U879+P879+K879+F878</f>
        <v>0</v>
      </c>
      <c r="AC879" s="4"/>
      <c r="AD879" s="47" t="s">
        <v>29</v>
      </c>
      <c r="AE879" s="47" t="s">
        <v>29</v>
      </c>
      <c r="AF879" s="346"/>
      <c r="AG879" s="29">
        <f t="shared" si="148"/>
        <v>0</v>
      </c>
      <c r="AK879" s="494" t="s">
        <v>41</v>
      </c>
      <c r="AL879" s="471">
        <f>C892</f>
        <v>12</v>
      </c>
      <c r="AM879" s="512">
        <v>45</v>
      </c>
      <c r="AN879" s="512">
        <f t="shared" si="146"/>
        <v>540</v>
      </c>
    </row>
    <row r="880" spans="2:47" ht="14.25" hidden="1" outlineLevel="1" thickTop="1">
      <c r="B880" s="528" t="s">
        <v>311</v>
      </c>
      <c r="C880" s="47">
        <v>0</v>
      </c>
      <c r="D880" s="47"/>
      <c r="E880" s="319">
        <v>0</v>
      </c>
      <c r="F880" s="320"/>
      <c r="G880" s="4"/>
      <c r="H880" s="47">
        <v>0</v>
      </c>
      <c r="I880" s="47"/>
      <c r="J880" s="319">
        <v>0</v>
      </c>
      <c r="K880" s="320"/>
      <c r="L880" s="4"/>
      <c r="M880" s="441" t="s">
        <v>154</v>
      </c>
      <c r="N880" s="47"/>
      <c r="O880" s="319">
        <v>0</v>
      </c>
      <c r="P880" s="320"/>
      <c r="R880" s="1542"/>
      <c r="S880" s="1542"/>
      <c r="T880" s="319"/>
      <c r="U880" s="320"/>
      <c r="W880" s="441" t="s">
        <v>154</v>
      </c>
      <c r="X880" s="47"/>
      <c r="Y880" s="319">
        <v>0</v>
      </c>
      <c r="Z880" s="320"/>
      <c r="AA880" s="29">
        <f t="shared" si="147"/>
        <v>0</v>
      </c>
      <c r="AB880" s="298">
        <f>Z880+U880+P880+K880+F879</f>
        <v>0</v>
      </c>
      <c r="AC880" s="4"/>
      <c r="AD880" s="47" t="s">
        <v>29</v>
      </c>
      <c r="AE880" s="47" t="s">
        <v>29</v>
      </c>
      <c r="AF880" s="346"/>
      <c r="AG880" s="29">
        <f t="shared" si="148"/>
        <v>0</v>
      </c>
      <c r="AN880" s="510">
        <f>SUM(AN873:AN879)</f>
        <v>10114</v>
      </c>
    </row>
    <row r="881" spans="2:47" hidden="1" outlineLevel="1">
      <c r="B881" s="528" t="s">
        <v>277</v>
      </c>
      <c r="C881" s="47">
        <v>0.375</v>
      </c>
      <c r="D881" s="47">
        <v>0.25</v>
      </c>
      <c r="E881" s="319">
        <v>8</v>
      </c>
      <c r="F881" s="320"/>
      <c r="G881" s="4"/>
      <c r="H881" s="47">
        <v>0.375</v>
      </c>
      <c r="I881" s="47">
        <v>0.25</v>
      </c>
      <c r="J881" s="319">
        <v>8</v>
      </c>
      <c r="K881" s="320"/>
      <c r="L881" s="4"/>
      <c r="M881" s="441" t="s">
        <v>75</v>
      </c>
      <c r="N881" s="47">
        <v>0.25</v>
      </c>
      <c r="O881" s="319">
        <v>8</v>
      </c>
      <c r="P881" s="320"/>
      <c r="R881" s="1542"/>
      <c r="S881" s="1542"/>
      <c r="T881" s="319"/>
      <c r="U881" s="320"/>
      <c r="W881" s="441" t="s">
        <v>154</v>
      </c>
      <c r="X881" s="47"/>
      <c r="Y881" s="319">
        <v>0</v>
      </c>
      <c r="Z881" s="320"/>
      <c r="AA881" s="29">
        <f t="shared" si="147"/>
        <v>24</v>
      </c>
      <c r="AB881" s="298">
        <f>Z881+U881+P881+K881+F880</f>
        <v>0</v>
      </c>
      <c r="AC881" s="4"/>
      <c r="AD881" s="47" t="s">
        <v>29</v>
      </c>
      <c r="AE881" s="47" t="s">
        <v>29</v>
      </c>
      <c r="AF881" s="346"/>
      <c r="AG881" s="29">
        <f t="shared" si="148"/>
        <v>0</v>
      </c>
    </row>
    <row r="882" spans="2:47" hidden="1" outlineLevel="1">
      <c r="B882" s="457"/>
      <c r="C882" s="441"/>
      <c r="D882" s="47"/>
      <c r="E882" s="319"/>
      <c r="F882" s="320"/>
      <c r="G882" s="4"/>
      <c r="H882" s="441"/>
      <c r="I882" s="47"/>
      <c r="J882" s="319"/>
      <c r="K882" s="320"/>
      <c r="L882" s="4"/>
      <c r="M882" s="441"/>
      <c r="N882" s="47"/>
      <c r="O882" s="319"/>
      <c r="P882" s="320"/>
      <c r="R882" s="1542"/>
      <c r="S882" s="1542"/>
      <c r="T882" s="319"/>
      <c r="U882" s="320"/>
      <c r="W882" s="441"/>
      <c r="X882" s="47"/>
      <c r="Y882" s="319"/>
      <c r="Z882" s="320"/>
      <c r="AA882" s="29">
        <f t="shared" si="147"/>
        <v>0</v>
      </c>
      <c r="AB882" s="298">
        <f t="shared" ref="AB882:AB887" si="149">Z882+U882+P882+K882+F882</f>
        <v>0</v>
      </c>
      <c r="AC882" s="4"/>
      <c r="AD882" s="47" t="s">
        <v>29</v>
      </c>
      <c r="AE882" s="47" t="s">
        <v>29</v>
      </c>
      <c r="AF882" s="19"/>
      <c r="AG882" s="29">
        <f t="shared" si="148"/>
        <v>0</v>
      </c>
    </row>
    <row r="883" spans="2:47" hidden="1" outlineLevel="1">
      <c r="B883" s="598" t="s">
        <v>279</v>
      </c>
      <c r="C883" s="16"/>
      <c r="D883" s="16"/>
      <c r="E883" s="319">
        <v>8</v>
      </c>
      <c r="F883" s="320"/>
      <c r="G883" s="4"/>
      <c r="H883" s="16"/>
      <c r="I883" s="16"/>
      <c r="J883" s="319">
        <v>8</v>
      </c>
      <c r="K883" s="320"/>
      <c r="L883" s="4"/>
      <c r="M883" s="16"/>
      <c r="N883" s="16"/>
      <c r="O883" s="319">
        <v>8</v>
      </c>
      <c r="P883" s="320"/>
      <c r="R883" s="1542"/>
      <c r="S883" s="1542"/>
      <c r="T883" s="319"/>
      <c r="U883" s="320"/>
      <c r="W883" s="16"/>
      <c r="X883" s="16"/>
      <c r="Y883" s="319">
        <v>8</v>
      </c>
      <c r="Z883" s="320"/>
      <c r="AA883" s="29">
        <f t="shared" si="147"/>
        <v>32</v>
      </c>
      <c r="AB883" s="298">
        <f t="shared" si="149"/>
        <v>0</v>
      </c>
      <c r="AC883" s="4"/>
      <c r="AD883" s="47" t="s">
        <v>29</v>
      </c>
      <c r="AE883" s="47" t="s">
        <v>29</v>
      </c>
      <c r="AF883" s="19"/>
      <c r="AG883" s="29">
        <f t="shared" si="148"/>
        <v>0</v>
      </c>
    </row>
    <row r="884" spans="2:47" hidden="1" outlineLevel="1">
      <c r="B884" s="598" t="s">
        <v>280</v>
      </c>
      <c r="C884" s="16"/>
      <c r="D884" s="16"/>
      <c r="E884" s="319">
        <v>8</v>
      </c>
      <c r="F884" s="320"/>
      <c r="G884" s="4"/>
      <c r="H884" s="16"/>
      <c r="I884" s="16"/>
      <c r="J884" s="319">
        <v>8</v>
      </c>
      <c r="K884" s="320"/>
      <c r="L884" s="4"/>
      <c r="M884" s="16"/>
      <c r="N884" s="16"/>
      <c r="O884" s="319">
        <v>8</v>
      </c>
      <c r="P884" s="320"/>
      <c r="R884" s="1542"/>
      <c r="S884" s="1542"/>
      <c r="T884" s="319"/>
      <c r="U884" s="320"/>
      <c r="W884" s="16"/>
      <c r="X884" s="16"/>
      <c r="Y884" s="319">
        <v>8</v>
      </c>
      <c r="Z884" s="320"/>
      <c r="AA884" s="29">
        <f t="shared" si="147"/>
        <v>32</v>
      </c>
      <c r="AB884" s="298">
        <f t="shared" si="149"/>
        <v>0</v>
      </c>
      <c r="AC884" s="4"/>
      <c r="AD884" s="47" t="s">
        <v>29</v>
      </c>
      <c r="AE884" s="47" t="s">
        <v>29</v>
      </c>
      <c r="AF884" s="19"/>
      <c r="AG884" s="29">
        <f t="shared" si="148"/>
        <v>0</v>
      </c>
    </row>
    <row r="885" spans="2:47" hidden="1" outlineLevel="1">
      <c r="B885" s="598" t="s">
        <v>281</v>
      </c>
      <c r="C885" s="16"/>
      <c r="D885" s="16"/>
      <c r="E885" s="319">
        <v>8</v>
      </c>
      <c r="F885" s="320"/>
      <c r="G885" s="4"/>
      <c r="H885" s="16"/>
      <c r="I885" s="16"/>
      <c r="J885" s="319">
        <v>8</v>
      </c>
      <c r="K885" s="320"/>
      <c r="L885" s="4"/>
      <c r="M885" s="16"/>
      <c r="N885" s="16"/>
      <c r="O885" s="319">
        <v>8</v>
      </c>
      <c r="P885" s="320"/>
      <c r="R885" s="1542"/>
      <c r="S885" s="1542"/>
      <c r="T885" s="319"/>
      <c r="U885" s="320"/>
      <c r="W885" s="16"/>
      <c r="X885" s="16"/>
      <c r="Y885" s="319">
        <v>8</v>
      </c>
      <c r="Z885" s="320"/>
      <c r="AA885" s="29">
        <f t="shared" si="147"/>
        <v>32</v>
      </c>
      <c r="AB885" s="298">
        <f t="shared" si="149"/>
        <v>0</v>
      </c>
      <c r="AC885" s="4"/>
      <c r="AD885" s="47" t="s">
        <v>29</v>
      </c>
      <c r="AE885" s="47" t="s">
        <v>29</v>
      </c>
      <c r="AF885" s="19"/>
      <c r="AG885" s="29">
        <f t="shared" si="148"/>
        <v>0</v>
      </c>
    </row>
    <row r="886" spans="2:47" hidden="1" outlineLevel="1">
      <c r="B886" s="598" t="s">
        <v>283</v>
      </c>
      <c r="C886" s="16"/>
      <c r="D886" s="16"/>
      <c r="E886" s="319">
        <v>8</v>
      </c>
      <c r="F886" s="320"/>
      <c r="G886" s="4"/>
      <c r="H886" s="16"/>
      <c r="I886" s="16"/>
      <c r="J886" s="319">
        <v>8</v>
      </c>
      <c r="K886" s="320"/>
      <c r="L886" s="4"/>
      <c r="M886" s="16"/>
      <c r="N886" s="16"/>
      <c r="O886" s="319">
        <v>8</v>
      </c>
      <c r="P886" s="320"/>
      <c r="R886" s="1542"/>
      <c r="S886" s="1542"/>
      <c r="T886" s="319"/>
      <c r="U886" s="320"/>
      <c r="W886" s="16"/>
      <c r="X886" s="16"/>
      <c r="Y886" s="319">
        <v>8</v>
      </c>
      <c r="Z886" s="320"/>
      <c r="AA886" s="29">
        <f t="shared" si="147"/>
        <v>32</v>
      </c>
      <c r="AB886" s="298">
        <f t="shared" si="149"/>
        <v>0</v>
      </c>
      <c r="AC886" s="4"/>
      <c r="AD886" s="47" t="s">
        <v>29</v>
      </c>
      <c r="AE886" s="47" t="s">
        <v>29</v>
      </c>
      <c r="AF886" s="19"/>
      <c r="AG886" s="29">
        <f t="shared" si="148"/>
        <v>0</v>
      </c>
    </row>
    <row r="887" spans="2:47" hidden="1" outlineLevel="1">
      <c r="B887" s="63" t="s">
        <v>63</v>
      </c>
      <c r="C887" s="16"/>
      <c r="D887" s="16"/>
      <c r="E887" s="319">
        <v>4</v>
      </c>
      <c r="F887" s="320"/>
      <c r="G887" s="438"/>
      <c r="H887" s="16"/>
      <c r="I887" s="16"/>
      <c r="J887" s="319">
        <v>4</v>
      </c>
      <c r="K887" s="320"/>
      <c r="L887" s="438"/>
      <c r="M887" s="16"/>
      <c r="N887" s="16"/>
      <c r="O887" s="319">
        <v>4</v>
      </c>
      <c r="P887" s="320"/>
      <c r="Q887" s="438"/>
      <c r="R887" s="1542"/>
      <c r="S887" s="1542"/>
      <c r="T887" s="319"/>
      <c r="U887" s="320"/>
      <c r="V887" s="438"/>
      <c r="W887" s="16"/>
      <c r="X887" s="16"/>
      <c r="Y887" s="319">
        <v>4</v>
      </c>
      <c r="Z887" s="320"/>
      <c r="AA887" s="29">
        <f t="shared" si="147"/>
        <v>16</v>
      </c>
      <c r="AB887" s="298">
        <f t="shared" si="149"/>
        <v>0</v>
      </c>
      <c r="AC887" s="4"/>
      <c r="AD887" s="47" t="s">
        <v>29</v>
      </c>
      <c r="AE887" s="47" t="s">
        <v>29</v>
      </c>
      <c r="AF887" s="19"/>
      <c r="AG887" s="29">
        <f t="shared" si="148"/>
        <v>0</v>
      </c>
      <c r="AK887" s="407"/>
    </row>
    <row r="888" spans="2:47" hidden="1" outlineLevel="1">
      <c r="B888" s="64" t="s">
        <v>61</v>
      </c>
      <c r="C888" s="31"/>
      <c r="D888" s="31"/>
      <c r="E888" s="439">
        <f>SUM(E874:E887)</f>
        <v>76</v>
      </c>
      <c r="F888" s="320">
        <f>SUM(F874:F882)</f>
        <v>0</v>
      </c>
      <c r="G888" s="31"/>
      <c r="H888" s="31"/>
      <c r="I888" s="31"/>
      <c r="J888" s="439">
        <f>SUM(J874:J887)</f>
        <v>76</v>
      </c>
      <c r="K888" s="320">
        <f>SUM(K874:K882)</f>
        <v>0</v>
      </c>
      <c r="L888" s="31"/>
      <c r="M888" s="31"/>
      <c r="N888" s="31"/>
      <c r="O888" s="439">
        <f>SUM(O874:O887)</f>
        <v>60</v>
      </c>
      <c r="P888" s="320">
        <f>SUM(P874:P886)</f>
        <v>0</v>
      </c>
      <c r="Q888" s="31"/>
      <c r="R888" s="31"/>
      <c r="S888" s="31"/>
      <c r="T888" s="439">
        <f>SUM(T874:T887)</f>
        <v>0</v>
      </c>
      <c r="U888" s="320">
        <f>SUM(U874:U886)</f>
        <v>0</v>
      </c>
      <c r="V888" s="31"/>
      <c r="W888" s="31"/>
      <c r="X888" s="31"/>
      <c r="Y888" s="439">
        <f>SUM(Y874:Y887)</f>
        <v>36</v>
      </c>
      <c r="Z888" s="320">
        <f>SUM(Z874:Z882)</f>
        <v>0</v>
      </c>
      <c r="AA888" s="370">
        <f>SUM(AA874:AA887)</f>
        <v>248</v>
      </c>
      <c r="AB888" s="370">
        <f>SUM(AB874:AB887)</f>
        <v>0</v>
      </c>
      <c r="AC888" s="4"/>
      <c r="AD888" s="64"/>
      <c r="AE888" s="64"/>
      <c r="AF888" s="167">
        <f>SUM(AF874:AF887)</f>
        <v>0</v>
      </c>
      <c r="AG888" s="370">
        <f>SUM(AG874:AG887)</f>
        <v>0</v>
      </c>
    </row>
    <row r="889" spans="2:47" hidden="1" outlineLevel="1">
      <c r="B889" s="63" t="s">
        <v>64</v>
      </c>
      <c r="C889" s="19"/>
      <c r="D889" s="291"/>
      <c r="E889" s="19">
        <v>0.5</v>
      </c>
      <c r="F889" s="291"/>
      <c r="G889" s="19"/>
      <c r="H889" s="291"/>
      <c r="I889" s="19"/>
      <c r="J889" s="291">
        <v>0.5</v>
      </c>
      <c r="K889" s="19"/>
      <c r="L889" s="291"/>
      <c r="M889" s="19"/>
      <c r="N889" s="291"/>
      <c r="O889" s="19">
        <v>0.5</v>
      </c>
      <c r="P889" s="291"/>
      <c r="Q889" s="19"/>
      <c r="R889" s="291"/>
      <c r="S889" s="19"/>
      <c r="T889" s="291">
        <v>1</v>
      </c>
      <c r="U889" s="19"/>
      <c r="V889" s="291"/>
      <c r="W889" s="19"/>
      <c r="X889" s="291"/>
      <c r="Y889" s="19">
        <v>0.5</v>
      </c>
      <c r="Z889" s="291"/>
      <c r="AA889" s="28">
        <f>SUM(E889+J889+O889+T889+Y889)</f>
        <v>3</v>
      </c>
      <c r="AB889" s="296">
        <f>Z889+U889+P889+K889+F889</f>
        <v>0</v>
      </c>
      <c r="AC889" s="4"/>
      <c r="AD889" s="56"/>
      <c r="AE889" s="56"/>
      <c r="AF889" s="19"/>
      <c r="AG889" s="29">
        <f>AF889</f>
        <v>0</v>
      </c>
    </row>
    <row r="890" spans="2:47" hidden="1" outlineLevel="1">
      <c r="B890" s="63" t="s">
        <v>110</v>
      </c>
      <c r="C890" s="19"/>
      <c r="D890" s="291"/>
      <c r="E890" s="19"/>
      <c r="F890" s="291"/>
      <c r="G890" s="19"/>
      <c r="H890" s="291"/>
      <c r="I890" s="19"/>
      <c r="J890" s="291"/>
      <c r="K890" s="19"/>
      <c r="L890" s="291"/>
      <c r="M890" s="19"/>
      <c r="N890" s="291"/>
      <c r="O890" s="19"/>
      <c r="P890" s="291"/>
      <c r="Q890" s="19"/>
      <c r="R890" s="291"/>
      <c r="S890" s="19"/>
      <c r="T890" s="291"/>
      <c r="U890" s="19"/>
      <c r="V890" s="291"/>
      <c r="W890" s="19"/>
      <c r="X890" s="291"/>
      <c r="Y890" s="19"/>
      <c r="Z890" s="291"/>
      <c r="AA890" s="28">
        <f>SUM(E890+J890+O890+T890+Y890)</f>
        <v>0</v>
      </c>
      <c r="AB890" s="296">
        <f>Z890+U890+P890+K890+F890</f>
        <v>0</v>
      </c>
      <c r="AC890" s="4"/>
      <c r="AD890" s="56"/>
      <c r="AE890" s="56"/>
      <c r="AF890" s="19"/>
      <c r="AG890" s="29">
        <f>AF890</f>
        <v>0</v>
      </c>
    </row>
    <row r="891" spans="2:47" hidden="1" outlineLevel="1">
      <c r="B891" s="71" t="s">
        <v>66</v>
      </c>
      <c r="C891" s="371"/>
      <c r="D891" s="371"/>
      <c r="E891" s="71">
        <f t="shared" ref="E891:AB891" si="150">SUM(E889:E890)</f>
        <v>0.5</v>
      </c>
      <c r="F891" s="71">
        <f t="shared" si="150"/>
        <v>0</v>
      </c>
      <c r="G891" s="71">
        <f t="shared" si="150"/>
        <v>0</v>
      </c>
      <c r="H891" s="71">
        <f t="shared" si="150"/>
        <v>0</v>
      </c>
      <c r="I891" s="71">
        <f t="shared" si="150"/>
        <v>0</v>
      </c>
      <c r="J891" s="71">
        <f t="shared" si="150"/>
        <v>0.5</v>
      </c>
      <c r="K891" s="71">
        <f t="shared" si="150"/>
        <v>0</v>
      </c>
      <c r="L891" s="71">
        <f t="shared" si="150"/>
        <v>0</v>
      </c>
      <c r="M891" s="71">
        <f t="shared" si="150"/>
        <v>0</v>
      </c>
      <c r="N891" s="71">
        <f t="shared" si="150"/>
        <v>0</v>
      </c>
      <c r="O891" s="71">
        <f t="shared" si="150"/>
        <v>0.5</v>
      </c>
      <c r="P891" s="71">
        <f t="shared" si="150"/>
        <v>0</v>
      </c>
      <c r="Q891" s="71">
        <f t="shared" si="150"/>
        <v>0</v>
      </c>
      <c r="R891" s="71">
        <f t="shared" si="150"/>
        <v>0</v>
      </c>
      <c r="S891" s="71">
        <f t="shared" si="150"/>
        <v>0</v>
      </c>
      <c r="T891" s="71">
        <f t="shared" si="150"/>
        <v>1</v>
      </c>
      <c r="U891" s="71">
        <f t="shared" si="150"/>
        <v>0</v>
      </c>
      <c r="V891" s="71">
        <f t="shared" si="150"/>
        <v>0</v>
      </c>
      <c r="W891" s="71">
        <f t="shared" si="150"/>
        <v>0</v>
      </c>
      <c r="X891" s="71">
        <f t="shared" si="150"/>
        <v>0</v>
      </c>
      <c r="Y891" s="71">
        <f t="shared" si="150"/>
        <v>0.5</v>
      </c>
      <c r="Z891" s="71">
        <f t="shared" si="150"/>
        <v>0</v>
      </c>
      <c r="AA891" s="370">
        <f t="shared" si="150"/>
        <v>3</v>
      </c>
      <c r="AB891" s="370">
        <f t="shared" si="150"/>
        <v>0</v>
      </c>
      <c r="AC891" s="4"/>
      <c r="AG891" s="370">
        <f>SUM(AG889:AG890)</f>
        <v>0</v>
      </c>
    </row>
    <row r="892" spans="2:47" hidden="1" outlineLevel="1">
      <c r="B892" s="217" t="s">
        <v>67</v>
      </c>
      <c r="C892" s="207">
        <f>C893+C894</f>
        <v>12</v>
      </c>
      <c r="D892" s="207"/>
      <c r="E892" s="209"/>
      <c r="F892" s="209"/>
      <c r="G892" s="207"/>
      <c r="H892" s="209"/>
      <c r="I892" s="209"/>
      <c r="J892" s="209"/>
      <c r="K892" s="209"/>
      <c r="L892" s="207"/>
      <c r="M892" s="207"/>
      <c r="N892" s="207"/>
      <c r="O892" s="207"/>
      <c r="P892" s="209"/>
      <c r="Q892" s="207"/>
      <c r="R892" s="207"/>
      <c r="S892" s="207"/>
      <c r="T892" s="207"/>
      <c r="U892" s="209"/>
      <c r="V892" s="207"/>
      <c r="W892" s="207"/>
      <c r="X892" s="207"/>
      <c r="Y892" s="210"/>
      <c r="Z892" s="209"/>
      <c r="AA892" s="211"/>
      <c r="AB892" s="209"/>
      <c r="AC892" s="211"/>
      <c r="AD892" s="211"/>
      <c r="AE892" s="211"/>
      <c r="AF892" s="211"/>
      <c r="AG892" s="211"/>
    </row>
    <row r="893" spans="2:47" hidden="1" outlineLevel="1">
      <c r="B893" s="238" t="s">
        <v>68</v>
      </c>
      <c r="C893" s="239"/>
      <c r="D893" s="207"/>
      <c r="E893" s="209"/>
      <c r="F893" s="209"/>
      <c r="G893" s="207"/>
      <c r="H893" s="209"/>
      <c r="I893" s="209"/>
      <c r="J893" s="209"/>
      <c r="K893" s="209"/>
      <c r="L893" s="207"/>
      <c r="M893" s="207"/>
      <c r="N893" s="207"/>
      <c r="O893" s="207"/>
      <c r="P893" s="209"/>
      <c r="Q893" s="207"/>
      <c r="R893" s="207"/>
      <c r="S893" s="207"/>
      <c r="T893" s="207"/>
      <c r="U893" s="209"/>
      <c r="V893" s="207"/>
      <c r="W893" s="207"/>
      <c r="X893" s="207"/>
      <c r="Y893" s="210"/>
      <c r="Z893" s="209"/>
      <c r="AA893" s="211"/>
      <c r="AB893" s="209"/>
      <c r="AC893" s="211"/>
      <c r="AD893" s="211"/>
      <c r="AE893" s="211"/>
      <c r="AF893" s="211"/>
      <c r="AG893" s="211"/>
    </row>
    <row r="894" spans="2:47" hidden="1" outlineLevel="1">
      <c r="B894" s="238" t="s">
        <v>69</v>
      </c>
      <c r="C894" s="526">
        <v>12</v>
      </c>
      <c r="D894" s="207"/>
      <c r="E894" s="209"/>
      <c r="F894" s="209"/>
      <c r="G894" s="207"/>
      <c r="H894" s="209"/>
      <c r="I894" s="209"/>
      <c r="J894" s="209"/>
      <c r="K894" s="209"/>
      <c r="L894" s="207"/>
      <c r="M894" s="207"/>
      <c r="N894" s="207"/>
      <c r="O894" s="207"/>
      <c r="P894" s="209"/>
      <c r="Q894" s="207"/>
      <c r="R894" s="207"/>
      <c r="S894" s="207"/>
      <c r="T894" s="207"/>
      <c r="U894" s="209"/>
      <c r="V894" s="207"/>
      <c r="W894" s="207"/>
      <c r="X894" s="207"/>
      <c r="Y894" s="210"/>
      <c r="Z894" s="209"/>
      <c r="AA894" s="211"/>
      <c r="AB894" s="209"/>
      <c r="AC894" s="211"/>
      <c r="AD894" s="211"/>
      <c r="AE894" s="211"/>
      <c r="AF894" s="211"/>
      <c r="AG894" s="211"/>
    </row>
    <row r="895" spans="2:47" hidden="1" outlineLevel="1">
      <c r="E895" s="4"/>
      <c r="F895" s="4"/>
      <c r="G895" s="4"/>
      <c r="J895" s="4"/>
      <c r="K895" s="4"/>
      <c r="L895" s="4"/>
      <c r="O895" s="4"/>
      <c r="P895" s="4"/>
      <c r="T895" s="4"/>
      <c r="U895" s="4"/>
      <c r="Y895" s="4"/>
      <c r="Z895" s="4"/>
      <c r="AA895" s="4"/>
      <c r="AB895" s="4"/>
      <c r="AC895" s="4"/>
    </row>
    <row r="896" spans="2:47" hidden="1" outlineLevel="1">
      <c r="B896" s="229"/>
      <c r="C896" s="230"/>
      <c r="D896" s="230"/>
      <c r="E896" s="232"/>
      <c r="F896" s="232"/>
      <c r="G896" s="230"/>
      <c r="H896" s="232"/>
      <c r="I896" s="232"/>
      <c r="J896" s="232"/>
      <c r="K896" s="232"/>
      <c r="L896" s="230"/>
      <c r="M896" s="230"/>
      <c r="N896" s="230"/>
      <c r="O896" s="230"/>
      <c r="P896" s="232"/>
      <c r="Q896" s="230"/>
      <c r="R896" s="230"/>
      <c r="S896" s="230"/>
      <c r="T896" s="230"/>
      <c r="U896" s="232"/>
      <c r="V896" s="230"/>
      <c r="W896" s="230"/>
      <c r="X896" s="230"/>
      <c r="Y896" s="233"/>
      <c r="Z896" s="232"/>
      <c r="AA896" s="234"/>
      <c r="AB896" s="232"/>
      <c r="AC896" s="373"/>
      <c r="AD896" s="236"/>
      <c r="AE896" s="255"/>
      <c r="AF896" s="255"/>
      <c r="AG896" s="255"/>
      <c r="AH896" s="255"/>
      <c r="AJ896" s="255"/>
      <c r="AK896" s="255"/>
      <c r="AL896" s="255"/>
      <c r="AM896" s="255"/>
      <c r="AN896" s="255"/>
      <c r="AO896" s="255"/>
      <c r="AP896" s="255"/>
      <c r="AQ896" s="255"/>
      <c r="AR896" s="255"/>
      <c r="AS896" s="255"/>
      <c r="AT896" s="255"/>
      <c r="AU896" s="255"/>
    </row>
    <row r="897" spans="2:47" hidden="1" outlineLevel="1">
      <c r="B897" s="180"/>
      <c r="E897" s="4"/>
      <c r="F897" s="4"/>
      <c r="G897" s="4"/>
      <c r="J897" s="4"/>
      <c r="K897" s="4"/>
      <c r="L897" s="4"/>
      <c r="O897" s="4"/>
      <c r="P897" s="4"/>
      <c r="T897" s="4"/>
      <c r="U897" s="4"/>
      <c r="Y897" s="4"/>
      <c r="Z897" s="4"/>
      <c r="AA897" s="4"/>
      <c r="AB897" s="4"/>
      <c r="AC897" s="4"/>
      <c r="AK897" s="180"/>
      <c r="AL897" s="180"/>
      <c r="AM897" s="180"/>
      <c r="AN897" s="180"/>
      <c r="AO897" s="180"/>
      <c r="AP897" s="180"/>
    </row>
    <row r="898" spans="2:47" hidden="1" outlineLevel="1">
      <c r="B898" s="1518" t="s">
        <v>18</v>
      </c>
      <c r="C898" s="1519">
        <v>45481</v>
      </c>
      <c r="D898" s="1519"/>
      <c r="E898" s="1519"/>
      <c r="F898" s="1519"/>
      <c r="G898" s="365"/>
      <c r="H898" s="1519">
        <v>45482</v>
      </c>
      <c r="I898" s="1519"/>
      <c r="J898" s="1519"/>
      <c r="K898" s="1519"/>
      <c r="L898" s="365">
        <v>45343</v>
      </c>
      <c r="M898" s="1519">
        <v>45483</v>
      </c>
      <c r="N898" s="1519"/>
      <c r="O898" s="1519"/>
      <c r="P898" s="1519"/>
      <c r="Q898" s="365"/>
      <c r="R898" s="1519">
        <v>45484</v>
      </c>
      <c r="S898" s="1519"/>
      <c r="T898" s="1519"/>
      <c r="U898" s="1519"/>
      <c r="V898" s="365"/>
      <c r="W898" s="1519">
        <v>45485</v>
      </c>
      <c r="X898" s="1519"/>
      <c r="Y898" s="1519"/>
      <c r="Z898" s="1519"/>
      <c r="AA898" s="1517" t="s">
        <v>19</v>
      </c>
      <c r="AB898" s="1517" t="s">
        <v>20</v>
      </c>
      <c r="AC898" s="4"/>
      <c r="AD898" s="1519">
        <v>45486</v>
      </c>
      <c r="AE898" s="1519"/>
      <c r="AF898" s="1519"/>
      <c r="AG898" s="1517" t="s">
        <v>21</v>
      </c>
      <c r="AI898" s="368"/>
      <c r="AK898" s="194" t="s">
        <v>84</v>
      </c>
      <c r="AL898" s="366"/>
      <c r="AM898" s="366"/>
      <c r="AN898" s="366"/>
      <c r="AO898" s="366"/>
      <c r="AP898" s="366"/>
    </row>
    <row r="899" spans="2:47" hidden="1" outlineLevel="1">
      <c r="B899" s="1518"/>
      <c r="C899" s="21" t="s">
        <v>23</v>
      </c>
      <c r="D899" s="21" t="s">
        <v>24</v>
      </c>
      <c r="E899" s="205" t="s">
        <v>25</v>
      </c>
      <c r="F899" s="18" t="s">
        <v>14</v>
      </c>
      <c r="G899" s="4"/>
      <c r="H899" s="21" t="s">
        <v>23</v>
      </c>
      <c r="I899" s="21" t="s">
        <v>24</v>
      </c>
      <c r="J899" s="18" t="s">
        <v>25</v>
      </c>
      <c r="K899" s="18" t="s">
        <v>14</v>
      </c>
      <c r="L899" s="4"/>
      <c r="M899" s="21" t="s">
        <v>23</v>
      </c>
      <c r="N899" s="21" t="s">
        <v>24</v>
      </c>
      <c r="O899" s="18" t="s">
        <v>25</v>
      </c>
      <c r="P899" s="18" t="s">
        <v>14</v>
      </c>
      <c r="R899" s="484" t="s">
        <v>23</v>
      </c>
      <c r="S899" s="21" t="s">
        <v>24</v>
      </c>
      <c r="T899" s="18" t="s">
        <v>25</v>
      </c>
      <c r="U899" s="18" t="s">
        <v>14</v>
      </c>
      <c r="W899" s="484" t="s">
        <v>23</v>
      </c>
      <c r="X899" s="21" t="s">
        <v>24</v>
      </c>
      <c r="Y899" s="18" t="s">
        <v>25</v>
      </c>
      <c r="Z899" s="18" t="s">
        <v>14</v>
      </c>
      <c r="AA899" s="1517"/>
      <c r="AB899" s="1517"/>
      <c r="AC899" s="4"/>
      <c r="AD899" s="21" t="s">
        <v>23</v>
      </c>
      <c r="AE899" s="21" t="s">
        <v>24</v>
      </c>
      <c r="AF899" s="18" t="s">
        <v>25</v>
      </c>
      <c r="AG899" s="1517"/>
      <c r="AI899" s="368"/>
      <c r="AJ899" s="367"/>
      <c r="AK899" s="494" t="s">
        <v>26</v>
      </c>
      <c r="AL899" s="471">
        <f>AA914</f>
        <v>400</v>
      </c>
      <c r="AM899" s="510">
        <v>38</v>
      </c>
      <c r="AN899" s="510">
        <f t="shared" ref="AN899:AN905" si="151">AL899*AM899</f>
        <v>15200</v>
      </c>
      <c r="AQ899" s="367"/>
      <c r="AR899" s="367"/>
      <c r="AS899" s="367"/>
      <c r="AT899" s="367"/>
      <c r="AU899" s="367"/>
    </row>
    <row r="900" spans="2:47" hidden="1" outlineLevel="1">
      <c r="B900" s="527" t="s">
        <v>266</v>
      </c>
      <c r="C900" s="441" t="s">
        <v>75</v>
      </c>
      <c r="D900" s="47">
        <v>0.25</v>
      </c>
      <c r="E900" s="319">
        <v>8</v>
      </c>
      <c r="F900" s="320"/>
      <c r="G900" s="4"/>
      <c r="H900" s="441" t="s">
        <v>75</v>
      </c>
      <c r="I900" s="47">
        <v>0.25</v>
      </c>
      <c r="J900" s="319">
        <v>8</v>
      </c>
      <c r="K900" s="320"/>
      <c r="L900" s="4"/>
      <c r="M900" s="441" t="s">
        <v>75</v>
      </c>
      <c r="N900" s="47">
        <v>0.25</v>
      </c>
      <c r="O900" s="319">
        <v>8</v>
      </c>
      <c r="P900" s="320"/>
      <c r="R900" s="441" t="s">
        <v>75</v>
      </c>
      <c r="S900" s="47">
        <v>0.25</v>
      </c>
      <c r="T900" s="319">
        <v>8</v>
      </c>
      <c r="U900" s="320"/>
      <c r="W900" s="441" t="s">
        <v>75</v>
      </c>
      <c r="X900" s="47">
        <v>0.25</v>
      </c>
      <c r="Y900" s="319">
        <v>8</v>
      </c>
      <c r="Z900" s="320"/>
      <c r="AA900" s="29">
        <f t="shared" ref="AA900:AA913" si="152">(E900+J900+O900+T900+Y900)</f>
        <v>40</v>
      </c>
      <c r="AB900" s="298">
        <f>Z900+U900+P900+K900+F900</f>
        <v>0</v>
      </c>
      <c r="AC900" s="399"/>
      <c r="AD900" s="47" t="s">
        <v>29</v>
      </c>
      <c r="AE900" s="47" t="s">
        <v>29</v>
      </c>
      <c r="AF900" s="346"/>
      <c r="AG900" s="29">
        <f t="shared" ref="AG900:AG913" si="153">AF900</f>
        <v>0</v>
      </c>
      <c r="AH900" s="175"/>
      <c r="AJ900" s="401"/>
      <c r="AK900" s="494" t="s">
        <v>30</v>
      </c>
      <c r="AL900" s="471">
        <f>AB914</f>
        <v>0</v>
      </c>
      <c r="AM900" s="511">
        <v>57</v>
      </c>
      <c r="AN900" s="510">
        <f t="shared" si="151"/>
        <v>0</v>
      </c>
      <c r="AO900" s="405"/>
      <c r="AP900" s="405"/>
      <c r="AQ900" s="401"/>
      <c r="AR900" s="401"/>
      <c r="AS900" s="401"/>
      <c r="AT900" s="401"/>
      <c r="AU900" s="401"/>
    </row>
    <row r="901" spans="2:47" hidden="1" outlineLevel="1">
      <c r="B901" s="528" t="s">
        <v>268</v>
      </c>
      <c r="C901" s="441" t="s">
        <v>75</v>
      </c>
      <c r="D901" s="47">
        <v>0.25</v>
      </c>
      <c r="E901" s="319">
        <v>8</v>
      </c>
      <c r="F901" s="320"/>
      <c r="G901" s="4"/>
      <c r="H901" s="441" t="s">
        <v>75</v>
      </c>
      <c r="I901" s="47">
        <v>0.25</v>
      </c>
      <c r="J901" s="319">
        <v>8</v>
      </c>
      <c r="K901" s="320"/>
      <c r="L901" s="4"/>
      <c r="M901" s="441" t="s">
        <v>75</v>
      </c>
      <c r="N901" s="47">
        <v>0.25</v>
      </c>
      <c r="O901" s="319">
        <v>8</v>
      </c>
      <c r="P901" s="320"/>
      <c r="R901" s="441" t="s">
        <v>75</v>
      </c>
      <c r="S901" s="47">
        <v>0.25</v>
      </c>
      <c r="T901" s="319">
        <v>8</v>
      </c>
      <c r="U901" s="320"/>
      <c r="W901" s="441" t="s">
        <v>75</v>
      </c>
      <c r="X901" s="47">
        <v>0.25</v>
      </c>
      <c r="Y901" s="319">
        <v>8</v>
      </c>
      <c r="Z901" s="320"/>
      <c r="AA901" s="29">
        <f t="shared" si="152"/>
        <v>40</v>
      </c>
      <c r="AB901" s="298">
        <f>Z901+U901+P901+K901+F901</f>
        <v>0</v>
      </c>
      <c r="AC901" s="175"/>
      <c r="AD901" s="47" t="s">
        <v>29</v>
      </c>
      <c r="AE901" s="47" t="s">
        <v>29</v>
      </c>
      <c r="AF901" s="346"/>
      <c r="AG901" s="344">
        <f t="shared" si="153"/>
        <v>0</v>
      </c>
      <c r="AH901" s="175"/>
      <c r="AI901" s="368"/>
      <c r="AK901" s="494" t="s">
        <v>32</v>
      </c>
      <c r="AL901" s="471">
        <f>AG914</f>
        <v>0</v>
      </c>
      <c r="AM901" s="510">
        <v>57</v>
      </c>
      <c r="AN901" s="510">
        <f t="shared" si="151"/>
        <v>0</v>
      </c>
    </row>
    <row r="902" spans="2:47" hidden="1" outlineLevel="1">
      <c r="B902" s="527" t="s">
        <v>271</v>
      </c>
      <c r="C902" s="441" t="s">
        <v>75</v>
      </c>
      <c r="D902" s="47">
        <v>0.25</v>
      </c>
      <c r="E902" s="319">
        <v>8</v>
      </c>
      <c r="F902" s="320"/>
      <c r="G902" s="4"/>
      <c r="H902" s="441" t="s">
        <v>75</v>
      </c>
      <c r="I902" s="47">
        <v>0.25</v>
      </c>
      <c r="J902" s="319">
        <v>8</v>
      </c>
      <c r="K902" s="320"/>
      <c r="L902" s="4"/>
      <c r="M902" s="441" t="s">
        <v>75</v>
      </c>
      <c r="N902" s="47">
        <v>0.25</v>
      </c>
      <c r="O902" s="319">
        <v>8</v>
      </c>
      <c r="P902" s="320"/>
      <c r="R902" s="441" t="s">
        <v>75</v>
      </c>
      <c r="S902" s="47">
        <v>0.25</v>
      </c>
      <c r="T902" s="319">
        <v>8</v>
      </c>
      <c r="U902" s="320"/>
      <c r="W902" s="441" t="s">
        <v>75</v>
      </c>
      <c r="X902" s="47">
        <v>0.25</v>
      </c>
      <c r="Y902" s="319">
        <v>8</v>
      </c>
      <c r="Z902" s="320"/>
      <c r="AA902" s="29">
        <f t="shared" si="152"/>
        <v>40</v>
      </c>
      <c r="AB902" s="298">
        <f>Z902+U902+P902+K902+F902</f>
        <v>0</v>
      </c>
      <c r="AC902" s="4"/>
      <c r="AD902" s="47" t="s">
        <v>29</v>
      </c>
      <c r="AE902" s="47" t="s">
        <v>29</v>
      </c>
      <c r="AF902" s="346"/>
      <c r="AG902" s="29">
        <f t="shared" si="153"/>
        <v>0</v>
      </c>
      <c r="AJ902" s="367"/>
      <c r="AK902" s="494" t="s">
        <v>213</v>
      </c>
      <c r="AL902" s="471">
        <f>AA917</f>
        <v>13</v>
      </c>
      <c r="AM902" s="510">
        <v>50</v>
      </c>
      <c r="AN902" s="510">
        <f t="shared" si="151"/>
        <v>650</v>
      </c>
      <c r="AQ902" s="367"/>
      <c r="AR902" s="367"/>
      <c r="AS902" s="367"/>
      <c r="AT902" s="367"/>
      <c r="AU902" s="367"/>
    </row>
    <row r="903" spans="2:47" hidden="1" outlineLevel="1">
      <c r="B903" s="528" t="s">
        <v>272</v>
      </c>
      <c r="C903" s="441" t="s">
        <v>75</v>
      </c>
      <c r="D903" s="47">
        <v>0.25</v>
      </c>
      <c r="E903" s="319">
        <v>8</v>
      </c>
      <c r="F903" s="320"/>
      <c r="G903" s="4"/>
      <c r="H903" s="441" t="s">
        <v>75</v>
      </c>
      <c r="I903" s="47">
        <v>0.25</v>
      </c>
      <c r="J903" s="319">
        <v>8</v>
      </c>
      <c r="K903" s="320"/>
      <c r="L903" s="4"/>
      <c r="M903" s="441" t="s">
        <v>75</v>
      </c>
      <c r="N903" s="47">
        <v>0.25</v>
      </c>
      <c r="O903" s="319">
        <v>8</v>
      </c>
      <c r="P903" s="320"/>
      <c r="R903" s="441" t="s">
        <v>75</v>
      </c>
      <c r="S903" s="47">
        <v>0.25</v>
      </c>
      <c r="T903" s="319">
        <v>8</v>
      </c>
      <c r="U903" s="320"/>
      <c r="W903" s="441" t="s">
        <v>75</v>
      </c>
      <c r="X903" s="47">
        <v>0.25</v>
      </c>
      <c r="Y903" s="319">
        <v>8</v>
      </c>
      <c r="Z903" s="320"/>
      <c r="AA903" s="29">
        <f t="shared" si="152"/>
        <v>40</v>
      </c>
      <c r="AB903" s="298">
        <f>Z903+U903+P903+K903+F903</f>
        <v>0</v>
      </c>
      <c r="AC903" s="4"/>
      <c r="AD903" s="47" t="s">
        <v>29</v>
      </c>
      <c r="AE903" s="47" t="s">
        <v>29</v>
      </c>
      <c r="AF903" s="346"/>
      <c r="AG903" s="29">
        <f t="shared" si="153"/>
        <v>0</v>
      </c>
      <c r="AK903" s="494" t="s">
        <v>36</v>
      </c>
      <c r="AL903" s="471">
        <f>AB917</f>
        <v>0</v>
      </c>
      <c r="AM903" s="510">
        <v>75</v>
      </c>
      <c r="AN903" s="510">
        <f t="shared" si="151"/>
        <v>0</v>
      </c>
    </row>
    <row r="904" spans="2:47" hidden="1" outlineLevel="1">
      <c r="B904" s="599" t="s">
        <v>275</v>
      </c>
      <c r="C904" s="441" t="s">
        <v>75</v>
      </c>
      <c r="D904" s="47">
        <v>0.25</v>
      </c>
      <c r="E904" s="319">
        <v>8</v>
      </c>
      <c r="F904" s="320"/>
      <c r="G904" s="4"/>
      <c r="H904" s="441" t="s">
        <v>75</v>
      </c>
      <c r="I904" s="47">
        <v>0.25</v>
      </c>
      <c r="J904" s="319">
        <v>8</v>
      </c>
      <c r="K904" s="320"/>
      <c r="L904" s="4"/>
      <c r="M904" s="441" t="s">
        <v>75</v>
      </c>
      <c r="N904" s="47">
        <v>0.25</v>
      </c>
      <c r="O904" s="319">
        <v>8</v>
      </c>
      <c r="P904" s="320"/>
      <c r="R904" s="441" t="s">
        <v>75</v>
      </c>
      <c r="S904" s="47">
        <v>0.25</v>
      </c>
      <c r="T904" s="319">
        <v>8</v>
      </c>
      <c r="U904" s="320"/>
      <c r="W904" s="441" t="s">
        <v>75</v>
      </c>
      <c r="X904" s="47">
        <v>0.25</v>
      </c>
      <c r="Y904" s="319">
        <v>8</v>
      </c>
      <c r="Z904" s="320"/>
      <c r="AA904" s="29">
        <f t="shared" si="152"/>
        <v>40</v>
      </c>
      <c r="AB904" s="298">
        <f>Z904+U904+P904+K904+F903</f>
        <v>0</v>
      </c>
      <c r="AC904" s="4"/>
      <c r="AD904" s="47" t="s">
        <v>29</v>
      </c>
      <c r="AE904" s="47" t="s">
        <v>29</v>
      </c>
      <c r="AF904" s="346"/>
      <c r="AG904" s="29">
        <f t="shared" si="153"/>
        <v>0</v>
      </c>
      <c r="AK904" s="494" t="s">
        <v>38</v>
      </c>
      <c r="AL904" s="471">
        <f>AG917</f>
        <v>0</v>
      </c>
      <c r="AM904" s="510">
        <v>75</v>
      </c>
      <c r="AN904" s="510">
        <f t="shared" si="151"/>
        <v>0</v>
      </c>
    </row>
    <row r="905" spans="2:47" ht="14.25" hidden="1" outlineLevel="1" thickBot="1">
      <c r="B905" s="528" t="s">
        <v>277</v>
      </c>
      <c r="C905" s="441" t="s">
        <v>75</v>
      </c>
      <c r="D905" s="47">
        <v>0.25</v>
      </c>
      <c r="E905" s="319">
        <v>8</v>
      </c>
      <c r="F905" s="320"/>
      <c r="G905" s="4"/>
      <c r="H905" s="441" t="s">
        <v>75</v>
      </c>
      <c r="I905" s="47">
        <v>0.25</v>
      </c>
      <c r="J905" s="319">
        <v>8</v>
      </c>
      <c r="K905" s="320"/>
      <c r="L905" s="4"/>
      <c r="M905" s="441" t="s">
        <v>75</v>
      </c>
      <c r="N905" s="47">
        <v>0.25</v>
      </c>
      <c r="O905" s="319">
        <v>8</v>
      </c>
      <c r="P905" s="320"/>
      <c r="R905" s="441" t="s">
        <v>75</v>
      </c>
      <c r="S905" s="47">
        <v>0.25</v>
      </c>
      <c r="T905" s="319">
        <v>8</v>
      </c>
      <c r="U905" s="320"/>
      <c r="W905" s="441" t="s">
        <v>75</v>
      </c>
      <c r="X905" s="47">
        <v>0.25</v>
      </c>
      <c r="Y905" s="319">
        <v>8</v>
      </c>
      <c r="Z905" s="320"/>
      <c r="AA905" s="29">
        <f t="shared" si="152"/>
        <v>40</v>
      </c>
      <c r="AB905" s="298">
        <f>Z905+U905+P905+K905+F904</f>
        <v>0</v>
      </c>
      <c r="AC905" s="4"/>
      <c r="AD905" s="47" t="s">
        <v>29</v>
      </c>
      <c r="AE905" s="47" t="s">
        <v>29</v>
      </c>
      <c r="AF905" s="346"/>
      <c r="AG905" s="29">
        <f t="shared" si="153"/>
        <v>0</v>
      </c>
      <c r="AK905" s="494" t="s">
        <v>41</v>
      </c>
      <c r="AL905" s="471">
        <f>C918</f>
        <v>30</v>
      </c>
      <c r="AM905" s="512">
        <v>45</v>
      </c>
      <c r="AN905" s="512">
        <f t="shared" si="151"/>
        <v>1350</v>
      </c>
    </row>
    <row r="906" spans="2:47" ht="14.25" hidden="1" outlineLevel="1" thickTop="1">
      <c r="C906" s="441"/>
      <c r="D906" s="47"/>
      <c r="E906" s="319"/>
      <c r="F906" s="320"/>
      <c r="G906" s="4"/>
      <c r="H906" s="441"/>
      <c r="I906" s="47"/>
      <c r="J906" s="319"/>
      <c r="K906" s="320"/>
      <c r="L906" s="4"/>
      <c r="M906" s="441"/>
      <c r="N906" s="47"/>
      <c r="O906" s="319"/>
      <c r="P906" s="320"/>
      <c r="R906" s="441"/>
      <c r="S906" s="47"/>
      <c r="T906" s="319"/>
      <c r="U906" s="320"/>
      <c r="W906" s="441"/>
      <c r="X906" s="47"/>
      <c r="Y906" s="319"/>
      <c r="Z906" s="320"/>
      <c r="AA906" s="29">
        <f t="shared" si="152"/>
        <v>0</v>
      </c>
      <c r="AB906" s="298">
        <f>Z906+U906+P906+K906+F905</f>
        <v>0</v>
      </c>
      <c r="AC906" s="4"/>
      <c r="AD906" s="47" t="s">
        <v>29</v>
      </c>
      <c r="AE906" s="47" t="s">
        <v>29</v>
      </c>
      <c r="AF906" s="346"/>
      <c r="AG906" s="29">
        <f t="shared" si="153"/>
        <v>0</v>
      </c>
      <c r="AN906" s="510">
        <f>SUM(AN899:AN905)</f>
        <v>17200</v>
      </c>
    </row>
    <row r="907" spans="2:47" hidden="1" outlineLevel="1">
      <c r="C907" s="441"/>
      <c r="D907" s="47"/>
      <c r="E907" s="319"/>
      <c r="F907" s="320"/>
      <c r="G907" s="4"/>
      <c r="H907" s="441"/>
      <c r="I907" s="47"/>
      <c r="J907" s="319"/>
      <c r="K907" s="320"/>
      <c r="L907" s="4"/>
      <c r="M907" s="441"/>
      <c r="N907" s="47"/>
      <c r="O907" s="319"/>
      <c r="P907" s="320"/>
      <c r="R907" s="441"/>
      <c r="S907" s="47"/>
      <c r="T907" s="319"/>
      <c r="U907" s="320"/>
      <c r="W907" s="441"/>
      <c r="X907" s="47"/>
      <c r="Y907" s="319"/>
      <c r="Z907" s="320"/>
      <c r="AA907" s="29">
        <f t="shared" si="152"/>
        <v>0</v>
      </c>
      <c r="AB907" s="298">
        <f>Z907+U907+P907+K907+F906</f>
        <v>0</v>
      </c>
      <c r="AC907" s="4"/>
      <c r="AD907" s="47" t="s">
        <v>29</v>
      </c>
      <c r="AE907" s="47" t="s">
        <v>29</v>
      </c>
      <c r="AF907" s="346"/>
      <c r="AG907" s="29">
        <f t="shared" si="153"/>
        <v>0</v>
      </c>
    </row>
    <row r="908" spans="2:47" hidden="1" outlineLevel="1">
      <c r="B908" s="457"/>
      <c r="C908" s="441"/>
      <c r="D908" s="47"/>
      <c r="E908" s="319"/>
      <c r="F908" s="320"/>
      <c r="G908" s="4"/>
      <c r="H908" s="441"/>
      <c r="I908" s="47"/>
      <c r="J908" s="319"/>
      <c r="K908" s="320"/>
      <c r="L908" s="4"/>
      <c r="M908" s="441"/>
      <c r="N908" s="47"/>
      <c r="O908" s="319"/>
      <c r="P908" s="320"/>
      <c r="R908" s="441"/>
      <c r="S908" s="47"/>
      <c r="T908" s="319"/>
      <c r="U908" s="320"/>
      <c r="W908" s="441"/>
      <c r="X908" s="47"/>
      <c r="Y908" s="319"/>
      <c r="Z908" s="320"/>
      <c r="AA908" s="29">
        <f t="shared" si="152"/>
        <v>0</v>
      </c>
      <c r="AB908" s="298">
        <f t="shared" ref="AB908:AB913" si="154">Z908+U908+P908+K908+F908</f>
        <v>0</v>
      </c>
      <c r="AC908" s="4"/>
      <c r="AD908" s="47" t="s">
        <v>29</v>
      </c>
      <c r="AE908" s="47" t="s">
        <v>29</v>
      </c>
      <c r="AF908" s="19"/>
      <c r="AG908" s="29">
        <f t="shared" si="153"/>
        <v>0</v>
      </c>
    </row>
    <row r="909" spans="2:47" hidden="1" outlineLevel="1">
      <c r="B909" s="598" t="s">
        <v>279</v>
      </c>
      <c r="C909" s="16"/>
      <c r="D909" s="16"/>
      <c r="E909" s="319">
        <v>8</v>
      </c>
      <c r="F909" s="320"/>
      <c r="G909" s="4"/>
      <c r="H909" s="16"/>
      <c r="I909" s="16"/>
      <c r="J909" s="319">
        <v>8</v>
      </c>
      <c r="K909" s="320"/>
      <c r="L909" s="4"/>
      <c r="M909" s="16"/>
      <c r="N909" s="16"/>
      <c r="O909" s="319">
        <v>8</v>
      </c>
      <c r="P909" s="320"/>
      <c r="R909" s="16"/>
      <c r="S909" s="16"/>
      <c r="T909" s="319">
        <v>8</v>
      </c>
      <c r="U909" s="320"/>
      <c r="W909" s="16"/>
      <c r="X909" s="16"/>
      <c r="Y909" s="319">
        <v>8</v>
      </c>
      <c r="Z909" s="320"/>
      <c r="AA909" s="29">
        <f t="shared" si="152"/>
        <v>40</v>
      </c>
      <c r="AB909" s="298">
        <f t="shared" si="154"/>
        <v>0</v>
      </c>
      <c r="AC909" s="4"/>
      <c r="AD909" s="47" t="s">
        <v>29</v>
      </c>
      <c r="AE909" s="47" t="s">
        <v>29</v>
      </c>
      <c r="AF909" s="19"/>
      <c r="AG909" s="29">
        <f t="shared" si="153"/>
        <v>0</v>
      </c>
    </row>
    <row r="910" spans="2:47" hidden="1" outlineLevel="1">
      <c r="B910" s="598" t="s">
        <v>280</v>
      </c>
      <c r="C910" s="16"/>
      <c r="D910" s="16"/>
      <c r="E910" s="319">
        <v>8</v>
      </c>
      <c r="F910" s="320"/>
      <c r="G910" s="4"/>
      <c r="H910" s="16"/>
      <c r="I910" s="16"/>
      <c r="J910" s="319">
        <v>8</v>
      </c>
      <c r="K910" s="320"/>
      <c r="L910" s="4"/>
      <c r="M910" s="16"/>
      <c r="N910" s="16"/>
      <c r="O910" s="319">
        <v>8</v>
      </c>
      <c r="P910" s="320"/>
      <c r="R910" s="16"/>
      <c r="S910" s="16"/>
      <c r="T910" s="319">
        <v>8</v>
      </c>
      <c r="U910" s="320"/>
      <c r="W910" s="16"/>
      <c r="X910" s="16"/>
      <c r="Y910" s="319">
        <v>8</v>
      </c>
      <c r="Z910" s="320"/>
      <c r="AA910" s="29">
        <f t="shared" si="152"/>
        <v>40</v>
      </c>
      <c r="AB910" s="298">
        <f t="shared" si="154"/>
        <v>0</v>
      </c>
      <c r="AC910" s="4"/>
      <c r="AD910" s="47" t="s">
        <v>29</v>
      </c>
      <c r="AE910" s="47" t="s">
        <v>29</v>
      </c>
      <c r="AF910" s="19"/>
      <c r="AG910" s="29">
        <f t="shared" si="153"/>
        <v>0</v>
      </c>
    </row>
    <row r="911" spans="2:47" hidden="1" outlineLevel="1">
      <c r="B911" s="598" t="s">
        <v>281</v>
      </c>
      <c r="C911" s="16"/>
      <c r="D911" s="16"/>
      <c r="E911" s="319">
        <v>8</v>
      </c>
      <c r="F911" s="320"/>
      <c r="G911" s="4"/>
      <c r="H911" s="16"/>
      <c r="I911" s="16"/>
      <c r="J911" s="319">
        <v>8</v>
      </c>
      <c r="K911" s="320"/>
      <c r="L911" s="4"/>
      <c r="M911" s="16"/>
      <c r="N911" s="16"/>
      <c r="O911" s="319">
        <v>8</v>
      </c>
      <c r="P911" s="320"/>
      <c r="R911" s="16"/>
      <c r="S911" s="16"/>
      <c r="T911" s="319">
        <v>8</v>
      </c>
      <c r="U911" s="320"/>
      <c r="W911" s="16"/>
      <c r="X911" s="16"/>
      <c r="Y911" s="319">
        <v>8</v>
      </c>
      <c r="Z911" s="320"/>
      <c r="AA911" s="29">
        <f t="shared" si="152"/>
        <v>40</v>
      </c>
      <c r="AB911" s="298">
        <f t="shared" si="154"/>
        <v>0</v>
      </c>
      <c r="AC911" s="4"/>
      <c r="AD911" s="47" t="s">
        <v>29</v>
      </c>
      <c r="AE911" s="47" t="s">
        <v>29</v>
      </c>
      <c r="AF911" s="19"/>
      <c r="AG911" s="29">
        <f t="shared" si="153"/>
        <v>0</v>
      </c>
    </row>
    <row r="912" spans="2:47" hidden="1" outlineLevel="1">
      <c r="B912" s="598" t="s">
        <v>283</v>
      </c>
      <c r="C912" s="16"/>
      <c r="D912" s="16"/>
      <c r="E912" s="319">
        <v>8</v>
      </c>
      <c r="F912" s="320"/>
      <c r="G912" s="4"/>
      <c r="H912" s="16"/>
      <c r="I912" s="16"/>
      <c r="J912" s="319">
        <v>8</v>
      </c>
      <c r="K912" s="320"/>
      <c r="L912" s="4"/>
      <c r="M912" s="16"/>
      <c r="N912" s="16"/>
      <c r="O912" s="319">
        <v>8</v>
      </c>
      <c r="P912" s="320"/>
      <c r="R912" s="16"/>
      <c r="S912" s="16"/>
      <c r="T912" s="319">
        <v>8</v>
      </c>
      <c r="U912" s="320"/>
      <c r="W912" s="16"/>
      <c r="X912" s="16"/>
      <c r="Y912" s="319">
        <v>8</v>
      </c>
      <c r="Z912" s="320"/>
      <c r="AA912" s="29">
        <f t="shared" si="152"/>
        <v>40</v>
      </c>
      <c r="AB912" s="298">
        <f t="shared" si="154"/>
        <v>0</v>
      </c>
      <c r="AC912" s="4"/>
      <c r="AD912" s="47" t="s">
        <v>29</v>
      </c>
      <c r="AE912" s="47" t="s">
        <v>29</v>
      </c>
      <c r="AF912" s="19"/>
      <c r="AG912" s="29">
        <f t="shared" si="153"/>
        <v>0</v>
      </c>
    </row>
    <row r="913" spans="2:47" hidden="1" outlineLevel="1">
      <c r="B913" s="63"/>
      <c r="C913" s="16"/>
      <c r="D913" s="16"/>
      <c r="E913" s="319"/>
      <c r="F913" s="320"/>
      <c r="G913" s="438"/>
      <c r="H913" s="16"/>
      <c r="I913" s="16"/>
      <c r="J913" s="319"/>
      <c r="K913" s="320"/>
      <c r="L913" s="438"/>
      <c r="M913" s="16"/>
      <c r="N913" s="16"/>
      <c r="O913" s="319"/>
      <c r="P913" s="320"/>
      <c r="Q913" s="438"/>
      <c r="R913" s="16"/>
      <c r="S913" s="16"/>
      <c r="T913" s="319"/>
      <c r="U913" s="320"/>
      <c r="V913" s="438"/>
      <c r="W913" s="16"/>
      <c r="X913" s="16"/>
      <c r="Y913" s="319"/>
      <c r="Z913" s="320"/>
      <c r="AA913" s="29">
        <f t="shared" si="152"/>
        <v>0</v>
      </c>
      <c r="AB913" s="298">
        <f t="shared" si="154"/>
        <v>0</v>
      </c>
      <c r="AC913" s="4"/>
      <c r="AD913" s="47" t="s">
        <v>29</v>
      </c>
      <c r="AE913" s="47" t="s">
        <v>29</v>
      </c>
      <c r="AF913" s="19"/>
      <c r="AG913" s="29">
        <f t="shared" si="153"/>
        <v>0</v>
      </c>
      <c r="AK913" s="407"/>
    </row>
    <row r="914" spans="2:47" hidden="1" outlineLevel="1">
      <c r="B914" s="64" t="s">
        <v>61</v>
      </c>
      <c r="C914" s="31"/>
      <c r="D914" s="31"/>
      <c r="E914" s="439">
        <f>SUM(E900:E913)</f>
        <v>80</v>
      </c>
      <c r="F914" s="320">
        <f>SUM(F900:F908)</f>
        <v>0</v>
      </c>
      <c r="G914" s="31"/>
      <c r="H914" s="31"/>
      <c r="I914" s="31"/>
      <c r="J914" s="439">
        <f>SUM(J900:J913)</f>
        <v>80</v>
      </c>
      <c r="K914" s="320">
        <f>SUM(K900:K908)</f>
        <v>0</v>
      </c>
      <c r="L914" s="31"/>
      <c r="M914" s="31"/>
      <c r="N914" s="31"/>
      <c r="O914" s="439">
        <f>SUM(O900:O913)</f>
        <v>80</v>
      </c>
      <c r="P914" s="320">
        <f>SUM(P900:P912)</f>
        <v>0</v>
      </c>
      <c r="Q914" s="31"/>
      <c r="R914" s="31"/>
      <c r="S914" s="31"/>
      <c r="T914" s="439">
        <f>SUM(T900:T913)</f>
        <v>80</v>
      </c>
      <c r="U914" s="320">
        <f>SUM(U900:U912)</f>
        <v>0</v>
      </c>
      <c r="V914" s="31"/>
      <c r="W914" s="31"/>
      <c r="X914" s="31"/>
      <c r="Y914" s="439">
        <f>SUM(Y900:Y913)</f>
        <v>80</v>
      </c>
      <c r="Z914" s="320">
        <f>SUM(Z900:Z908)</f>
        <v>0</v>
      </c>
      <c r="AA914" s="370">
        <f>SUM(AA900:AA913)</f>
        <v>400</v>
      </c>
      <c r="AB914" s="370">
        <f>SUM(AB900:AB913)</f>
        <v>0</v>
      </c>
      <c r="AC914" s="4"/>
      <c r="AD914" s="64"/>
      <c r="AE914" s="64"/>
      <c r="AF914" s="167">
        <f>SUM(AF900:AF913)</f>
        <v>0</v>
      </c>
      <c r="AG914" s="370">
        <f>SUM(AG900:AG913)</f>
        <v>0</v>
      </c>
    </row>
    <row r="915" spans="2:47" hidden="1" outlineLevel="1">
      <c r="B915" s="63" t="s">
        <v>64</v>
      </c>
      <c r="C915" s="19"/>
      <c r="D915" s="291"/>
      <c r="E915" s="19">
        <v>0.5</v>
      </c>
      <c r="F915" s="291"/>
      <c r="G915" s="19"/>
      <c r="H915" s="291"/>
      <c r="I915" s="19"/>
      <c r="J915" s="291">
        <v>0.5</v>
      </c>
      <c r="K915" s="19"/>
      <c r="L915" s="291"/>
      <c r="M915" s="19"/>
      <c r="N915" s="291"/>
      <c r="O915" s="19">
        <v>0.5</v>
      </c>
      <c r="P915" s="291"/>
      <c r="Q915" s="19"/>
      <c r="R915" s="291"/>
      <c r="S915" s="19"/>
      <c r="T915" s="291">
        <v>1</v>
      </c>
      <c r="U915" s="19"/>
      <c r="V915" s="291"/>
      <c r="W915" s="19"/>
      <c r="X915" s="291"/>
      <c r="Y915" s="19">
        <v>0.5</v>
      </c>
      <c r="Z915" s="291"/>
      <c r="AA915" s="28">
        <f>SUM(E915+J915+O915+T915+Y915)</f>
        <v>3</v>
      </c>
      <c r="AB915" s="296">
        <f>Z915+U915+P915+K915+F915</f>
        <v>0</v>
      </c>
      <c r="AC915" s="4"/>
      <c r="AD915" s="56"/>
      <c r="AE915" s="56"/>
      <c r="AF915" s="19"/>
      <c r="AG915" s="29">
        <f>AF915</f>
        <v>0</v>
      </c>
    </row>
    <row r="916" spans="2:47" hidden="1" outlineLevel="1">
      <c r="B916" s="63" t="s">
        <v>63</v>
      </c>
      <c r="C916" s="19"/>
      <c r="D916" s="606" t="s">
        <v>313</v>
      </c>
      <c r="E916" s="609">
        <v>2</v>
      </c>
      <c r="F916" s="610" t="s">
        <v>313</v>
      </c>
      <c r="G916" s="609" t="s">
        <v>313</v>
      </c>
      <c r="H916" s="610" t="s">
        <v>313</v>
      </c>
      <c r="I916" s="609" t="s">
        <v>313</v>
      </c>
      <c r="J916" s="610">
        <v>2</v>
      </c>
      <c r="K916" s="609" t="s">
        <v>313</v>
      </c>
      <c r="L916" s="610" t="s">
        <v>313</v>
      </c>
      <c r="M916" s="609" t="s">
        <v>313</v>
      </c>
      <c r="N916" s="610" t="s">
        <v>313</v>
      </c>
      <c r="O916" s="609">
        <v>2</v>
      </c>
      <c r="P916" s="610" t="s">
        <v>313</v>
      </c>
      <c r="Q916" s="609" t="s">
        <v>313</v>
      </c>
      <c r="R916" s="610" t="s">
        <v>313</v>
      </c>
      <c r="S916" s="609" t="s">
        <v>313</v>
      </c>
      <c r="T916" s="610">
        <v>2</v>
      </c>
      <c r="U916" s="609" t="s">
        <v>313</v>
      </c>
      <c r="V916" s="610" t="s">
        <v>313</v>
      </c>
      <c r="W916" s="609" t="s">
        <v>313</v>
      </c>
      <c r="X916" s="610" t="s">
        <v>313</v>
      </c>
      <c r="Y916" s="609">
        <v>2</v>
      </c>
      <c r="Z916" s="609"/>
      <c r="AA916" s="28">
        <f>SUM(E916+J916+O916+T916+Y916)</f>
        <v>10</v>
      </c>
      <c r="AB916" s="608"/>
      <c r="AC916" s="4"/>
      <c r="AD916" s="56"/>
      <c r="AE916" s="56"/>
      <c r="AF916" s="19"/>
      <c r="AG916" s="29">
        <f>AF916</f>
        <v>0</v>
      </c>
    </row>
    <row r="917" spans="2:47" hidden="1" outlineLevel="1">
      <c r="B917" s="71" t="s">
        <v>66</v>
      </c>
      <c r="C917" s="371"/>
      <c r="D917" s="371"/>
      <c r="E917" s="71">
        <f t="shared" ref="E917:AB917" si="155">SUM(E915:E916)</f>
        <v>2.5</v>
      </c>
      <c r="F917" s="71">
        <f t="shared" si="155"/>
        <v>0</v>
      </c>
      <c r="G917" s="71">
        <f t="shared" si="155"/>
        <v>0</v>
      </c>
      <c r="H917" s="71">
        <f t="shared" si="155"/>
        <v>0</v>
      </c>
      <c r="I917" s="71">
        <f t="shared" si="155"/>
        <v>0</v>
      </c>
      <c r="J917" s="71">
        <f t="shared" si="155"/>
        <v>2.5</v>
      </c>
      <c r="K917" s="71">
        <f t="shared" si="155"/>
        <v>0</v>
      </c>
      <c r="L917" s="71">
        <f t="shared" si="155"/>
        <v>0</v>
      </c>
      <c r="M917" s="71">
        <f t="shared" si="155"/>
        <v>0</v>
      </c>
      <c r="N917" s="71">
        <f t="shared" si="155"/>
        <v>0</v>
      </c>
      <c r="O917" s="71">
        <f t="shared" si="155"/>
        <v>2.5</v>
      </c>
      <c r="P917" s="71">
        <f t="shared" si="155"/>
        <v>0</v>
      </c>
      <c r="Q917" s="71">
        <f t="shared" si="155"/>
        <v>0</v>
      </c>
      <c r="R917" s="71">
        <f t="shared" si="155"/>
        <v>0</v>
      </c>
      <c r="S917" s="71">
        <f t="shared" si="155"/>
        <v>0</v>
      </c>
      <c r="T917" s="71">
        <f t="shared" si="155"/>
        <v>3</v>
      </c>
      <c r="U917" s="71">
        <f t="shared" si="155"/>
        <v>0</v>
      </c>
      <c r="V917" s="71">
        <f t="shared" si="155"/>
        <v>0</v>
      </c>
      <c r="W917" s="71">
        <f t="shared" si="155"/>
        <v>0</v>
      </c>
      <c r="X917" s="71">
        <f t="shared" si="155"/>
        <v>0</v>
      </c>
      <c r="Y917" s="71">
        <f t="shared" si="155"/>
        <v>2.5</v>
      </c>
      <c r="Z917" s="71">
        <f t="shared" si="155"/>
        <v>0</v>
      </c>
      <c r="AA917" s="370">
        <f t="shared" si="155"/>
        <v>13</v>
      </c>
      <c r="AB917" s="370">
        <f t="shared" si="155"/>
        <v>0</v>
      </c>
      <c r="AC917" s="4"/>
      <c r="AG917" s="370">
        <f>SUM(AG915:AG916)</f>
        <v>0</v>
      </c>
    </row>
    <row r="918" spans="2:47" hidden="1" outlineLevel="1">
      <c r="B918" s="217" t="s">
        <v>67</v>
      </c>
      <c r="C918" s="207">
        <f>C919+C920</f>
        <v>30</v>
      </c>
      <c r="D918" s="207"/>
      <c r="E918" s="209"/>
      <c r="F918" s="209"/>
      <c r="G918" s="207"/>
      <c r="H918" s="209"/>
      <c r="I918" s="209"/>
      <c r="J918" s="209"/>
      <c r="K918" s="209"/>
      <c r="L918" s="207"/>
      <c r="M918" s="207"/>
      <c r="N918" s="207"/>
      <c r="O918" s="207"/>
      <c r="P918" s="209"/>
      <c r="Q918" s="207"/>
      <c r="R918" s="207"/>
      <c r="S918" s="207"/>
      <c r="T918" s="207"/>
      <c r="U918" s="209"/>
      <c r="V918" s="207"/>
      <c r="W918" s="207"/>
      <c r="X918" s="207"/>
      <c r="Y918" s="210"/>
      <c r="Z918" s="209"/>
      <c r="AA918" s="211"/>
      <c r="AB918" s="209"/>
      <c r="AC918" s="211"/>
      <c r="AD918" s="211"/>
      <c r="AE918" s="211"/>
      <c r="AF918" s="211"/>
      <c r="AG918" s="211"/>
    </row>
    <row r="919" spans="2:47" hidden="1" outlineLevel="1">
      <c r="B919" s="238" t="s">
        <v>68</v>
      </c>
      <c r="C919" s="239"/>
      <c r="D919" s="207"/>
      <c r="E919" s="209"/>
      <c r="F919" s="209"/>
      <c r="G919" s="207"/>
      <c r="H919" s="209"/>
      <c r="I919" s="209"/>
      <c r="J919" s="209"/>
      <c r="K919" s="209"/>
      <c r="L919" s="207"/>
      <c r="M919" s="207"/>
      <c r="N919" s="207"/>
      <c r="O919" s="207"/>
      <c r="P919" s="209"/>
      <c r="Q919" s="207"/>
      <c r="R919" s="207"/>
      <c r="S919" s="207"/>
      <c r="T919" s="207"/>
      <c r="U919" s="209"/>
      <c r="V919" s="207"/>
      <c r="W919" s="207"/>
      <c r="X919" s="207"/>
      <c r="Y919" s="210"/>
      <c r="Z919" s="209"/>
      <c r="AA919" s="211"/>
      <c r="AB919" s="209"/>
      <c r="AC919" s="211"/>
      <c r="AD919" s="211"/>
      <c r="AE919" s="211"/>
      <c r="AF919" s="211"/>
      <c r="AG919" s="211"/>
    </row>
    <row r="920" spans="2:47" hidden="1" outlineLevel="1">
      <c r="B920" s="238" t="s">
        <v>69</v>
      </c>
      <c r="C920" s="526">
        <f>6+6+6+6+6</f>
        <v>30</v>
      </c>
      <c r="D920" s="207"/>
      <c r="E920" s="209"/>
      <c r="F920" s="209"/>
      <c r="G920" s="207"/>
      <c r="H920" s="209"/>
      <c r="I920" s="209"/>
      <c r="J920" s="209"/>
      <c r="K920" s="209"/>
      <c r="L920" s="207"/>
      <c r="M920" s="207"/>
      <c r="N920" s="207"/>
      <c r="O920" s="207"/>
      <c r="P920" s="209"/>
      <c r="Q920" s="207"/>
      <c r="R920" s="207"/>
      <c r="S920" s="207"/>
      <c r="T920" s="207"/>
      <c r="U920" s="209"/>
      <c r="V920" s="207"/>
      <c r="W920" s="207"/>
      <c r="X920" s="207"/>
      <c r="Y920" s="210"/>
      <c r="Z920" s="209"/>
      <c r="AA920" s="211"/>
      <c r="AB920" s="209"/>
      <c r="AC920" s="211"/>
      <c r="AD920" s="211"/>
      <c r="AE920" s="211"/>
      <c r="AF920" s="211"/>
      <c r="AG920" s="211"/>
    </row>
    <row r="921" spans="2:47" hidden="1" outlineLevel="1">
      <c r="E921" s="4"/>
      <c r="F921" s="4"/>
      <c r="G921" s="4"/>
      <c r="J921" s="4"/>
      <c r="K921" s="4"/>
      <c r="L921" s="4"/>
      <c r="O921" s="4"/>
      <c r="P921" s="4"/>
      <c r="T921" s="4"/>
      <c r="U921" s="4"/>
      <c r="Y921" s="4"/>
      <c r="Z921" s="4"/>
      <c r="AA921" s="4"/>
      <c r="AB921" s="4"/>
      <c r="AC921" s="4"/>
    </row>
    <row r="922" spans="2:47" hidden="1" outlineLevel="1">
      <c r="B922" s="229"/>
      <c r="C922" s="230"/>
      <c r="D922" s="230"/>
      <c r="E922" s="232"/>
      <c r="F922" s="232"/>
      <c r="G922" s="230"/>
      <c r="H922" s="232"/>
      <c r="I922" s="232"/>
      <c r="J922" s="232"/>
      <c r="K922" s="232"/>
      <c r="L922" s="230"/>
      <c r="M922" s="230"/>
      <c r="N922" s="230"/>
      <c r="O922" s="230"/>
      <c r="P922" s="232"/>
      <c r="Q922" s="230"/>
      <c r="R922" s="230"/>
      <c r="S922" s="230"/>
      <c r="T922" s="230"/>
      <c r="U922" s="232"/>
      <c r="V922" s="230"/>
      <c r="W922" s="230"/>
      <c r="X922" s="230"/>
      <c r="Y922" s="233"/>
      <c r="Z922" s="232"/>
      <c r="AA922" s="234"/>
      <c r="AB922" s="232"/>
      <c r="AC922" s="373"/>
      <c r="AD922" s="236"/>
      <c r="AE922" s="255"/>
      <c r="AF922" s="255"/>
      <c r="AG922" s="255"/>
      <c r="AH922" s="255"/>
      <c r="AJ922" s="255"/>
      <c r="AK922" s="255"/>
      <c r="AL922" s="255"/>
      <c r="AM922" s="255"/>
      <c r="AN922" s="255"/>
      <c r="AO922" s="255"/>
      <c r="AP922" s="255"/>
      <c r="AQ922" s="255"/>
      <c r="AR922" s="255"/>
      <c r="AS922" s="255"/>
      <c r="AT922" s="255"/>
      <c r="AU922" s="255"/>
    </row>
    <row r="923" spans="2:47" hidden="1" outlineLevel="1">
      <c r="B923" s="180"/>
      <c r="E923" s="4"/>
      <c r="F923" s="4"/>
      <c r="G923" s="4"/>
      <c r="J923" s="4"/>
      <c r="K923" s="4"/>
      <c r="L923" s="4"/>
      <c r="O923" s="4"/>
      <c r="P923" s="4"/>
      <c r="T923" s="4"/>
      <c r="U923" s="4"/>
      <c r="Y923" s="4"/>
      <c r="Z923" s="4"/>
      <c r="AA923" s="4"/>
      <c r="AB923" s="4"/>
      <c r="AC923" s="4"/>
      <c r="AK923" s="180"/>
      <c r="AL923" s="180"/>
      <c r="AM923" s="180"/>
      <c r="AN923" s="180"/>
      <c r="AO923" s="180"/>
      <c r="AP923" s="180"/>
    </row>
    <row r="924" spans="2:47" ht="10.9" hidden="1" customHeight="1" outlineLevel="1">
      <c r="B924" s="1518" t="s">
        <v>18</v>
      </c>
      <c r="C924" s="1519">
        <v>45488</v>
      </c>
      <c r="D924" s="1519"/>
      <c r="E924" s="1519"/>
      <c r="F924" s="1519"/>
      <c r="G924" s="365"/>
      <c r="H924" s="1547">
        <v>45489</v>
      </c>
      <c r="I924" s="1548"/>
      <c r="J924" s="1548"/>
      <c r="K924" s="1548"/>
      <c r="L924" s="607" t="s">
        <v>313</v>
      </c>
      <c r="M924" s="1547">
        <v>45490</v>
      </c>
      <c r="N924" s="1548"/>
      <c r="O924" s="1548"/>
      <c r="P924" s="1548"/>
      <c r="Q924" s="607" t="s">
        <v>313</v>
      </c>
      <c r="R924" s="1547">
        <v>45491</v>
      </c>
      <c r="S924" s="1548"/>
      <c r="T924" s="1548"/>
      <c r="U924" s="1548"/>
      <c r="V924" s="607" t="s">
        <v>313</v>
      </c>
      <c r="W924" s="1547">
        <v>45492</v>
      </c>
      <c r="X924" s="1548"/>
      <c r="Y924" s="1548"/>
      <c r="Z924" s="1548"/>
      <c r="AA924" s="1517" t="s">
        <v>19</v>
      </c>
      <c r="AB924" s="1517" t="s">
        <v>20</v>
      </c>
      <c r="AC924" s="4"/>
      <c r="AD924" s="1519">
        <v>45493</v>
      </c>
      <c r="AE924" s="1519"/>
      <c r="AF924" s="1519"/>
      <c r="AG924" s="1517" t="s">
        <v>21</v>
      </c>
      <c r="AI924" s="368"/>
      <c r="AK924" s="194" t="s">
        <v>84</v>
      </c>
      <c r="AL924" s="366"/>
      <c r="AM924" s="366"/>
      <c r="AN924" s="366"/>
      <c r="AO924" s="366"/>
      <c r="AP924" s="366"/>
    </row>
    <row r="925" spans="2:47" hidden="1" outlineLevel="1">
      <c r="B925" s="1518"/>
      <c r="C925" s="21" t="s">
        <v>23</v>
      </c>
      <c r="D925" s="21" t="s">
        <v>24</v>
      </c>
      <c r="E925" s="205" t="s">
        <v>25</v>
      </c>
      <c r="F925" s="18" t="s">
        <v>14</v>
      </c>
      <c r="G925" s="4"/>
      <c r="H925" s="21" t="s">
        <v>23</v>
      </c>
      <c r="I925" s="21" t="s">
        <v>24</v>
      </c>
      <c r="J925" s="18" t="s">
        <v>25</v>
      </c>
      <c r="K925" s="18" t="s">
        <v>14</v>
      </c>
      <c r="L925" s="4"/>
      <c r="M925" s="21" t="s">
        <v>23</v>
      </c>
      <c r="N925" s="21" t="s">
        <v>24</v>
      </c>
      <c r="O925" s="18" t="s">
        <v>25</v>
      </c>
      <c r="P925" s="18" t="s">
        <v>14</v>
      </c>
      <c r="R925" s="484" t="s">
        <v>23</v>
      </c>
      <c r="S925" s="21" t="s">
        <v>24</v>
      </c>
      <c r="T925" s="18" t="s">
        <v>25</v>
      </c>
      <c r="U925" s="18" t="s">
        <v>14</v>
      </c>
      <c r="W925" s="484" t="s">
        <v>23</v>
      </c>
      <c r="X925" s="21" t="s">
        <v>24</v>
      </c>
      <c r="Y925" s="18" t="s">
        <v>25</v>
      </c>
      <c r="Z925" s="18" t="s">
        <v>14</v>
      </c>
      <c r="AA925" s="1517"/>
      <c r="AB925" s="1517"/>
      <c r="AC925" s="4"/>
      <c r="AD925" s="21" t="s">
        <v>23</v>
      </c>
      <c r="AE925" s="21" t="s">
        <v>24</v>
      </c>
      <c r="AF925" s="18" t="s">
        <v>25</v>
      </c>
      <c r="AG925" s="1517"/>
      <c r="AI925" s="368"/>
      <c r="AJ925" s="367"/>
      <c r="AK925" s="494" t="s">
        <v>26</v>
      </c>
      <c r="AL925" s="471">
        <f>AA940</f>
        <v>128</v>
      </c>
      <c r="AM925" s="510">
        <v>38</v>
      </c>
      <c r="AN925" s="510">
        <f t="shared" ref="AN925:AN931" si="156">AL925*AM925</f>
        <v>4864</v>
      </c>
      <c r="AQ925" s="367"/>
      <c r="AR925" s="367"/>
      <c r="AS925" s="367"/>
      <c r="AT925" s="367"/>
      <c r="AU925" s="367"/>
    </row>
    <row r="926" spans="2:47" hidden="1" outlineLevel="1">
      <c r="B926" s="527" t="s">
        <v>266</v>
      </c>
      <c r="C926" s="441"/>
      <c r="D926" s="47"/>
      <c r="E926" s="319">
        <v>0</v>
      </c>
      <c r="F926" s="320"/>
      <c r="G926" s="4"/>
      <c r="H926" s="441"/>
      <c r="I926" s="47"/>
      <c r="J926" s="319">
        <v>0</v>
      </c>
      <c r="K926" s="320"/>
      <c r="L926" s="4"/>
      <c r="M926" s="441"/>
      <c r="N926" s="47"/>
      <c r="O926" s="319">
        <v>0</v>
      </c>
      <c r="P926" s="320"/>
      <c r="R926" s="441"/>
      <c r="S926" s="47"/>
      <c r="T926" s="319"/>
      <c r="U926" s="320"/>
      <c r="W926" s="441"/>
      <c r="X926" s="47"/>
      <c r="Y926" s="319"/>
      <c r="Z926" s="320"/>
      <c r="AA926" s="29">
        <f t="shared" ref="AA926:AA938" si="157">(E926+J926+O926+T926+Y926)</f>
        <v>0</v>
      </c>
      <c r="AB926" s="298">
        <f>Z926+U926+P926+K926+F926</f>
        <v>0</v>
      </c>
      <c r="AC926" s="399"/>
      <c r="AD926" s="47" t="s">
        <v>29</v>
      </c>
      <c r="AE926" s="47" t="s">
        <v>29</v>
      </c>
      <c r="AF926" s="346"/>
      <c r="AG926" s="29">
        <f t="shared" ref="AG926:AG939" si="158">AF926</f>
        <v>0</v>
      </c>
      <c r="AH926" s="175"/>
      <c r="AJ926" s="401"/>
      <c r="AK926" s="494" t="s">
        <v>30</v>
      </c>
      <c r="AL926" s="471">
        <f>AB940</f>
        <v>0</v>
      </c>
      <c r="AM926" s="511">
        <v>57</v>
      </c>
      <c r="AN926" s="510">
        <f t="shared" si="156"/>
        <v>0</v>
      </c>
      <c r="AO926" s="405"/>
      <c r="AP926" s="405"/>
      <c r="AQ926" s="401"/>
      <c r="AR926" s="401"/>
      <c r="AS926" s="401"/>
      <c r="AT926" s="401"/>
      <c r="AU926" s="401"/>
    </row>
    <row r="927" spans="2:47" hidden="1" outlineLevel="1">
      <c r="B927" s="528" t="s">
        <v>268</v>
      </c>
      <c r="C927" s="441"/>
      <c r="D927" s="47"/>
      <c r="E927" s="319"/>
      <c r="F927" s="320"/>
      <c r="G927" s="4"/>
      <c r="H927" s="441"/>
      <c r="I927" s="47"/>
      <c r="J927" s="319"/>
      <c r="K927" s="320"/>
      <c r="L927" s="4"/>
      <c r="M927" s="441"/>
      <c r="N927" s="47"/>
      <c r="O927" s="319"/>
      <c r="P927" s="320"/>
      <c r="R927" s="441"/>
      <c r="S927" s="47"/>
      <c r="T927" s="319"/>
      <c r="U927" s="320"/>
      <c r="W927" s="441"/>
      <c r="X927" s="47"/>
      <c r="Y927" s="319"/>
      <c r="Z927" s="320"/>
      <c r="AA927" s="29">
        <f t="shared" si="157"/>
        <v>0</v>
      </c>
      <c r="AB927" s="298">
        <f>Z927+U927+P927+K927+F927</f>
        <v>0</v>
      </c>
      <c r="AC927" s="175"/>
      <c r="AD927" s="47" t="s">
        <v>29</v>
      </c>
      <c r="AE927" s="47" t="s">
        <v>29</v>
      </c>
      <c r="AF927" s="346"/>
      <c r="AG927" s="344">
        <f t="shared" si="158"/>
        <v>0</v>
      </c>
      <c r="AH927" s="175"/>
      <c r="AI927" s="368"/>
      <c r="AK927" s="494" t="s">
        <v>32</v>
      </c>
      <c r="AL927" s="471">
        <f>AG940</f>
        <v>0</v>
      </c>
      <c r="AM927" s="510">
        <v>57</v>
      </c>
      <c r="AN927" s="510">
        <f t="shared" si="156"/>
        <v>0</v>
      </c>
    </row>
    <row r="928" spans="2:47" hidden="1" outlineLevel="1">
      <c r="B928" s="527" t="s">
        <v>271</v>
      </c>
      <c r="C928" s="441"/>
      <c r="D928" s="47"/>
      <c r="E928" s="319"/>
      <c r="F928" s="320"/>
      <c r="G928" s="4"/>
      <c r="H928" s="441"/>
      <c r="I928" s="47"/>
      <c r="J928" s="319"/>
      <c r="K928" s="320"/>
      <c r="L928" s="4"/>
      <c r="M928" s="441"/>
      <c r="N928" s="47"/>
      <c r="O928" s="319"/>
      <c r="P928" s="320"/>
      <c r="R928" s="441"/>
      <c r="S928" s="47"/>
      <c r="T928" s="319"/>
      <c r="U928" s="320"/>
      <c r="W928" s="441"/>
      <c r="X928" s="47"/>
      <c r="Y928" s="319"/>
      <c r="Z928" s="320"/>
      <c r="AA928" s="29">
        <f t="shared" si="157"/>
        <v>0</v>
      </c>
      <c r="AB928" s="298">
        <f>Z928+U928+P928+K928+F928</f>
        <v>0</v>
      </c>
      <c r="AC928" s="4"/>
      <c r="AD928" s="47" t="s">
        <v>29</v>
      </c>
      <c r="AE928" s="47" t="s">
        <v>29</v>
      </c>
      <c r="AF928" s="346"/>
      <c r="AG928" s="29">
        <f t="shared" si="158"/>
        <v>0</v>
      </c>
      <c r="AJ928" s="367"/>
      <c r="AK928" s="494" t="s">
        <v>213</v>
      </c>
      <c r="AL928" s="471">
        <f>AA943</f>
        <v>6</v>
      </c>
      <c r="AM928" s="510">
        <v>50</v>
      </c>
      <c r="AN928" s="510">
        <f t="shared" si="156"/>
        <v>300</v>
      </c>
      <c r="AQ928" s="367"/>
      <c r="AR928" s="367"/>
      <c r="AS928" s="367"/>
      <c r="AT928" s="367"/>
      <c r="AU928" s="367"/>
    </row>
    <row r="929" spans="2:40" hidden="1" outlineLevel="1">
      <c r="B929" s="528" t="s">
        <v>272</v>
      </c>
      <c r="C929" s="441"/>
      <c r="D929" s="47"/>
      <c r="E929" s="319"/>
      <c r="F929" s="320"/>
      <c r="G929" s="4"/>
      <c r="H929" s="441"/>
      <c r="I929" s="47"/>
      <c r="J929" s="319"/>
      <c r="K929" s="320"/>
      <c r="L929" s="4"/>
      <c r="M929" s="441"/>
      <c r="N929" s="47"/>
      <c r="O929" s="319"/>
      <c r="P929" s="320"/>
      <c r="R929" s="441"/>
      <c r="S929" s="47"/>
      <c r="T929" s="319"/>
      <c r="U929" s="320"/>
      <c r="W929" s="441"/>
      <c r="X929" s="47"/>
      <c r="Y929" s="319"/>
      <c r="Z929" s="320"/>
      <c r="AA929" s="29">
        <f t="shared" si="157"/>
        <v>0</v>
      </c>
      <c r="AB929" s="298">
        <f>Z929+U929+P929+K929+F929</f>
        <v>0</v>
      </c>
      <c r="AC929" s="4"/>
      <c r="AD929" s="47" t="s">
        <v>29</v>
      </c>
      <c r="AE929" s="47" t="s">
        <v>29</v>
      </c>
      <c r="AF929" s="346"/>
      <c r="AG929" s="29">
        <f t="shared" si="158"/>
        <v>0</v>
      </c>
      <c r="AK929" s="494" t="s">
        <v>36</v>
      </c>
      <c r="AL929" s="471">
        <f>AB943</f>
        <v>0</v>
      </c>
      <c r="AM929" s="510">
        <v>75</v>
      </c>
      <c r="AN929" s="510">
        <f t="shared" si="156"/>
        <v>0</v>
      </c>
    </row>
    <row r="930" spans="2:40" hidden="1" outlineLevel="1">
      <c r="B930" s="599" t="s">
        <v>275</v>
      </c>
      <c r="C930" s="441" t="s">
        <v>75</v>
      </c>
      <c r="D930" s="47">
        <v>0.25</v>
      </c>
      <c r="E930" s="319">
        <v>8</v>
      </c>
      <c r="F930" s="320"/>
      <c r="G930" s="4"/>
      <c r="H930" s="441"/>
      <c r="I930" s="47"/>
      <c r="J930" s="319"/>
      <c r="K930" s="320"/>
      <c r="L930" s="4"/>
      <c r="M930" s="441"/>
      <c r="N930" s="47"/>
      <c r="O930" s="319"/>
      <c r="P930" s="320"/>
      <c r="R930" s="441"/>
      <c r="S930" s="47"/>
      <c r="T930" s="319"/>
      <c r="U930" s="320"/>
      <c r="W930" s="441"/>
      <c r="X930" s="47"/>
      <c r="Y930" s="319"/>
      <c r="Z930" s="320"/>
      <c r="AA930" s="29">
        <f t="shared" si="157"/>
        <v>8</v>
      </c>
      <c r="AB930" s="298">
        <f>Z930+U930+P930+K930+F929</f>
        <v>0</v>
      </c>
      <c r="AC930" s="4"/>
      <c r="AD930" s="47" t="s">
        <v>29</v>
      </c>
      <c r="AE930" s="47" t="s">
        <v>29</v>
      </c>
      <c r="AF930" s="346"/>
      <c r="AG930" s="29">
        <f t="shared" si="158"/>
        <v>0</v>
      </c>
      <c r="AK930" s="494" t="s">
        <v>38</v>
      </c>
      <c r="AL930" s="471">
        <f>AG943</f>
        <v>0</v>
      </c>
      <c r="AM930" s="510">
        <v>75</v>
      </c>
      <c r="AN930" s="510">
        <f t="shared" si="156"/>
        <v>0</v>
      </c>
    </row>
    <row r="931" spans="2:40" ht="14.25" hidden="1" outlineLevel="1" thickBot="1">
      <c r="B931" s="528" t="s">
        <v>277</v>
      </c>
      <c r="C931" s="441"/>
      <c r="D931" s="47"/>
      <c r="E931" s="319"/>
      <c r="F931" s="320"/>
      <c r="G931" s="4"/>
      <c r="H931" s="441"/>
      <c r="I931" s="47"/>
      <c r="J931" s="319"/>
      <c r="K931" s="320"/>
      <c r="L931" s="4"/>
      <c r="M931" s="441"/>
      <c r="N931" s="47"/>
      <c r="O931" s="319"/>
      <c r="P931" s="320"/>
      <c r="R931" s="441"/>
      <c r="S931" s="47"/>
      <c r="T931" s="319"/>
      <c r="U931" s="320"/>
      <c r="W931" s="441"/>
      <c r="X931" s="47"/>
      <c r="Y931" s="319"/>
      <c r="Z931" s="320"/>
      <c r="AA931" s="29">
        <f t="shared" si="157"/>
        <v>0</v>
      </c>
      <c r="AB931" s="298">
        <f>Z931+U931+P931+K931+F930</f>
        <v>0</v>
      </c>
      <c r="AC931" s="4"/>
      <c r="AD931" s="47" t="s">
        <v>29</v>
      </c>
      <c r="AE931" s="47" t="s">
        <v>29</v>
      </c>
      <c r="AF931" s="346"/>
      <c r="AG931" s="29">
        <f t="shared" si="158"/>
        <v>0</v>
      </c>
      <c r="AK931" s="494" t="s">
        <v>41</v>
      </c>
      <c r="AL931" s="471">
        <f>C944</f>
        <v>1</v>
      </c>
      <c r="AM931" s="512">
        <v>45</v>
      </c>
      <c r="AN931" s="512">
        <f t="shared" si="156"/>
        <v>45</v>
      </c>
    </row>
    <row r="932" spans="2:40" ht="14.25" hidden="1" outlineLevel="1" thickTop="1">
      <c r="C932" s="441"/>
      <c r="D932" s="47"/>
      <c r="E932" s="319"/>
      <c r="F932" s="320"/>
      <c r="G932" s="4"/>
      <c r="H932" s="441"/>
      <c r="I932" s="47"/>
      <c r="J932" s="319"/>
      <c r="K932" s="320"/>
      <c r="L932" s="4"/>
      <c r="M932" s="441"/>
      <c r="N932" s="47"/>
      <c r="O932" s="319"/>
      <c r="P932" s="320"/>
      <c r="R932" s="441"/>
      <c r="S932" s="47"/>
      <c r="T932" s="319"/>
      <c r="U932" s="320"/>
      <c r="W932" s="441"/>
      <c r="X932" s="47"/>
      <c r="Y932" s="319"/>
      <c r="Z932" s="320"/>
      <c r="AA932" s="29">
        <f t="shared" si="157"/>
        <v>0</v>
      </c>
      <c r="AB932" s="298">
        <f>Z932+U932+P932+K932+F931</f>
        <v>0</v>
      </c>
      <c r="AC932" s="4"/>
      <c r="AD932" s="47" t="s">
        <v>29</v>
      </c>
      <c r="AE932" s="47" t="s">
        <v>29</v>
      </c>
      <c r="AF932" s="346"/>
      <c r="AG932" s="29">
        <f t="shared" si="158"/>
        <v>0</v>
      </c>
      <c r="AN932" s="510">
        <f>SUM(AN925:AN931)</f>
        <v>5209</v>
      </c>
    </row>
    <row r="933" spans="2:40" hidden="1" outlineLevel="1">
      <c r="C933" s="441"/>
      <c r="D933" s="47"/>
      <c r="E933" s="319"/>
      <c r="F933" s="320"/>
      <c r="G933" s="4"/>
      <c r="H933" s="441"/>
      <c r="I933" s="47"/>
      <c r="J933" s="319"/>
      <c r="K933" s="320"/>
      <c r="L933" s="4"/>
      <c r="M933" s="441"/>
      <c r="N933" s="47"/>
      <c r="O933" s="319"/>
      <c r="P933" s="320"/>
      <c r="R933" s="441"/>
      <c r="S933" s="47"/>
      <c r="T933" s="319"/>
      <c r="U933" s="320"/>
      <c r="W933" s="441"/>
      <c r="X933" s="47"/>
      <c r="Y933" s="319"/>
      <c r="Z933" s="320"/>
      <c r="AA933" s="29">
        <f t="shared" si="157"/>
        <v>0</v>
      </c>
      <c r="AB933" s="298">
        <f>Z933+U933+P933+K933+F932</f>
        <v>0</v>
      </c>
      <c r="AC933" s="4"/>
      <c r="AD933" s="47" t="s">
        <v>29</v>
      </c>
      <c r="AE933" s="47" t="s">
        <v>29</v>
      </c>
      <c r="AF933" s="346"/>
      <c r="AG933" s="29">
        <f t="shared" si="158"/>
        <v>0</v>
      </c>
    </row>
    <row r="934" spans="2:40" hidden="1" outlineLevel="1">
      <c r="B934" s="457"/>
      <c r="C934" s="441"/>
      <c r="D934" s="47"/>
      <c r="E934" s="319"/>
      <c r="F934" s="320"/>
      <c r="G934" s="4"/>
      <c r="H934" s="441"/>
      <c r="I934" s="47"/>
      <c r="J934" s="319"/>
      <c r="K934" s="320"/>
      <c r="L934" s="4"/>
      <c r="M934" s="441"/>
      <c r="N934" s="47"/>
      <c r="O934" s="319"/>
      <c r="P934" s="320"/>
      <c r="R934" s="441"/>
      <c r="S934" s="47"/>
      <c r="T934" s="319"/>
      <c r="U934" s="320"/>
      <c r="W934" s="441"/>
      <c r="X934" s="47"/>
      <c r="Y934" s="319"/>
      <c r="Z934" s="320"/>
      <c r="AA934" s="29">
        <f t="shared" si="157"/>
        <v>0</v>
      </c>
      <c r="AB934" s="298">
        <f>Z934+U934+P934+K934+F934</f>
        <v>0</v>
      </c>
      <c r="AC934" s="4"/>
      <c r="AD934" s="47" t="s">
        <v>29</v>
      </c>
      <c r="AE934" s="47" t="s">
        <v>29</v>
      </c>
      <c r="AF934" s="19"/>
      <c r="AG934" s="29">
        <f t="shared" si="158"/>
        <v>0</v>
      </c>
    </row>
    <row r="935" spans="2:40" hidden="1" outlineLevel="1">
      <c r="B935" s="598" t="s">
        <v>279</v>
      </c>
      <c r="C935" s="47"/>
      <c r="D935" s="47"/>
      <c r="E935" s="602">
        <v>8</v>
      </c>
      <c r="F935" s="603" t="s">
        <v>314</v>
      </c>
      <c r="G935" s="601" t="s">
        <v>313</v>
      </c>
      <c r="H935" s="601" t="s">
        <v>313</v>
      </c>
      <c r="I935" s="601" t="s">
        <v>313</v>
      </c>
      <c r="J935" s="602">
        <v>8</v>
      </c>
      <c r="K935" s="603">
        <v>0</v>
      </c>
      <c r="L935" s="601" t="s">
        <v>313</v>
      </c>
      <c r="M935" s="601" t="s">
        <v>313</v>
      </c>
      <c r="N935" s="601" t="s">
        <v>313</v>
      </c>
      <c r="O935" s="602">
        <v>8</v>
      </c>
      <c r="P935" s="603">
        <v>0</v>
      </c>
      <c r="Q935" s="601" t="s">
        <v>313</v>
      </c>
      <c r="R935" s="601" t="s">
        <v>313</v>
      </c>
      <c r="S935" s="601" t="s">
        <v>313</v>
      </c>
      <c r="T935" s="602">
        <v>8</v>
      </c>
      <c r="U935" s="603">
        <v>0</v>
      </c>
      <c r="V935" s="601" t="s">
        <v>313</v>
      </c>
      <c r="W935" s="601" t="s">
        <v>313</v>
      </c>
      <c r="X935" s="601" t="s">
        <v>313</v>
      </c>
      <c r="Y935" s="602">
        <v>8</v>
      </c>
      <c r="Z935" s="320">
        <v>0</v>
      </c>
      <c r="AA935" s="29">
        <f t="shared" si="157"/>
        <v>40</v>
      </c>
      <c r="AB935" s="298"/>
      <c r="AC935" s="4"/>
      <c r="AD935" s="47" t="s">
        <v>29</v>
      </c>
      <c r="AE935" s="47" t="s">
        <v>29</v>
      </c>
      <c r="AF935" s="19"/>
      <c r="AG935" s="29">
        <f t="shared" si="158"/>
        <v>0</v>
      </c>
    </row>
    <row r="936" spans="2:40" hidden="1" outlineLevel="1">
      <c r="B936" s="598" t="s">
        <v>280</v>
      </c>
      <c r="C936" s="47"/>
      <c r="D936" s="47"/>
      <c r="E936" s="602">
        <v>8</v>
      </c>
      <c r="F936" s="603" t="s">
        <v>313</v>
      </c>
      <c r="G936" s="601" t="s">
        <v>313</v>
      </c>
      <c r="H936" s="601" t="s">
        <v>313</v>
      </c>
      <c r="I936" s="601" t="s">
        <v>313</v>
      </c>
      <c r="J936" s="602">
        <v>8</v>
      </c>
      <c r="K936" s="603" t="s">
        <v>313</v>
      </c>
      <c r="L936" s="601" t="s">
        <v>313</v>
      </c>
      <c r="M936" s="601" t="s">
        <v>313</v>
      </c>
      <c r="N936" s="601" t="s">
        <v>313</v>
      </c>
      <c r="O936" s="602">
        <v>8</v>
      </c>
      <c r="P936" s="603" t="s">
        <v>313</v>
      </c>
      <c r="Q936" s="601" t="s">
        <v>313</v>
      </c>
      <c r="R936" s="601" t="s">
        <v>313</v>
      </c>
      <c r="S936" s="601" t="s">
        <v>313</v>
      </c>
      <c r="T936" s="602">
        <v>8</v>
      </c>
      <c r="U936" s="603" t="s">
        <v>313</v>
      </c>
      <c r="V936" s="601" t="s">
        <v>313</v>
      </c>
      <c r="W936" s="601" t="s">
        <v>313</v>
      </c>
      <c r="X936" s="601" t="s">
        <v>313</v>
      </c>
      <c r="Y936" s="602">
        <v>8</v>
      </c>
      <c r="Z936" s="320"/>
      <c r="AA936" s="29">
        <f t="shared" si="157"/>
        <v>40</v>
      </c>
      <c r="AB936" s="298"/>
      <c r="AC936" s="4"/>
      <c r="AD936" s="47" t="s">
        <v>29</v>
      </c>
      <c r="AE936" s="47" t="s">
        <v>29</v>
      </c>
      <c r="AF936" s="19"/>
      <c r="AG936" s="29">
        <f t="shared" si="158"/>
        <v>0</v>
      </c>
    </row>
    <row r="937" spans="2:40" hidden="1" outlineLevel="1">
      <c r="B937" s="598" t="s">
        <v>281</v>
      </c>
      <c r="C937" s="47"/>
      <c r="D937" s="47"/>
      <c r="E937" s="602">
        <v>8</v>
      </c>
      <c r="F937" s="603" t="s">
        <v>313</v>
      </c>
      <c r="G937" s="601" t="s">
        <v>313</v>
      </c>
      <c r="H937" s="601" t="s">
        <v>313</v>
      </c>
      <c r="I937" s="601" t="s">
        <v>313</v>
      </c>
      <c r="J937" s="602">
        <v>8</v>
      </c>
      <c r="K937" s="603" t="s">
        <v>313</v>
      </c>
      <c r="L937" s="601" t="s">
        <v>313</v>
      </c>
      <c r="M937" s="601" t="s">
        <v>313</v>
      </c>
      <c r="N937" s="601" t="s">
        <v>313</v>
      </c>
      <c r="O937" s="602">
        <v>8</v>
      </c>
      <c r="P937" s="603" t="s">
        <v>313</v>
      </c>
      <c r="Q937" s="601" t="s">
        <v>313</v>
      </c>
      <c r="R937" s="601" t="s">
        <v>313</v>
      </c>
      <c r="S937" s="601" t="s">
        <v>313</v>
      </c>
      <c r="T937" s="602">
        <v>8</v>
      </c>
      <c r="U937" s="603" t="s">
        <v>313</v>
      </c>
      <c r="V937" s="601" t="s">
        <v>313</v>
      </c>
      <c r="W937" s="601" t="s">
        <v>313</v>
      </c>
      <c r="X937" s="601" t="s">
        <v>313</v>
      </c>
      <c r="Y937" s="602">
        <v>8</v>
      </c>
      <c r="Z937" s="320"/>
      <c r="AA937" s="29">
        <f t="shared" si="157"/>
        <v>40</v>
      </c>
      <c r="AB937" s="298"/>
      <c r="AC937" s="4"/>
      <c r="AD937" s="47" t="s">
        <v>29</v>
      </c>
      <c r="AE937" s="47" t="s">
        <v>29</v>
      </c>
      <c r="AF937" s="19"/>
      <c r="AG937" s="29">
        <f t="shared" si="158"/>
        <v>0</v>
      </c>
    </row>
    <row r="938" spans="2:40" hidden="1" outlineLevel="1">
      <c r="B938" s="598" t="s">
        <v>283</v>
      </c>
      <c r="C938" s="47"/>
      <c r="D938" s="47"/>
      <c r="E938" s="602"/>
      <c r="F938" s="603" t="s">
        <v>313</v>
      </c>
      <c r="G938" s="601" t="s">
        <v>313</v>
      </c>
      <c r="H938" s="601" t="s">
        <v>313</v>
      </c>
      <c r="I938" s="601" t="s">
        <v>313</v>
      </c>
      <c r="J938" s="602"/>
      <c r="K938" s="603" t="s">
        <v>313</v>
      </c>
      <c r="L938" s="601" t="s">
        <v>313</v>
      </c>
      <c r="M938" s="601" t="s">
        <v>313</v>
      </c>
      <c r="N938" s="601" t="s">
        <v>313</v>
      </c>
      <c r="O938" s="602"/>
      <c r="P938" s="603" t="s">
        <v>313</v>
      </c>
      <c r="Q938" s="601" t="s">
        <v>313</v>
      </c>
      <c r="R938" s="601" t="s">
        <v>313</v>
      </c>
      <c r="S938" s="601" t="s">
        <v>313</v>
      </c>
      <c r="T938" s="602"/>
      <c r="U938" s="603" t="s">
        <v>313</v>
      </c>
      <c r="V938" s="601" t="s">
        <v>313</v>
      </c>
      <c r="W938" s="601" t="s">
        <v>313</v>
      </c>
      <c r="X938" s="601" t="s">
        <v>313</v>
      </c>
      <c r="Y938" s="602"/>
      <c r="Z938" s="320"/>
      <c r="AA938" s="29">
        <f t="shared" si="157"/>
        <v>0</v>
      </c>
      <c r="AB938" s="298"/>
      <c r="AC938" s="4"/>
      <c r="AD938" s="47" t="s">
        <v>29</v>
      </c>
      <c r="AE938" s="47" t="s">
        <v>29</v>
      </c>
      <c r="AF938" s="19"/>
      <c r="AG938" s="29">
        <f t="shared" si="158"/>
        <v>0</v>
      </c>
    </row>
    <row r="939" spans="2:40" hidden="1" outlineLevel="1">
      <c r="B939" s="63" t="s">
        <v>63</v>
      </c>
      <c r="C939" s="47"/>
      <c r="D939" s="47"/>
      <c r="E939" s="602" t="s">
        <v>313</v>
      </c>
      <c r="F939" s="603" t="s">
        <v>313</v>
      </c>
      <c r="G939" s="605" t="s">
        <v>313</v>
      </c>
      <c r="H939" s="601" t="s">
        <v>313</v>
      </c>
      <c r="I939" s="601" t="s">
        <v>313</v>
      </c>
      <c r="J939" s="602" t="s">
        <v>313</v>
      </c>
      <c r="K939" s="603" t="s">
        <v>313</v>
      </c>
      <c r="L939" s="605" t="s">
        <v>313</v>
      </c>
      <c r="M939" s="601" t="s">
        <v>313</v>
      </c>
      <c r="N939" s="601" t="s">
        <v>313</v>
      </c>
      <c r="O939" s="602" t="s">
        <v>313</v>
      </c>
      <c r="P939" s="603" t="s">
        <v>313</v>
      </c>
      <c r="Q939" s="605" t="s">
        <v>313</v>
      </c>
      <c r="R939" s="601" t="s">
        <v>313</v>
      </c>
      <c r="S939" s="601" t="s">
        <v>313</v>
      </c>
      <c r="T939" s="602" t="s">
        <v>313</v>
      </c>
      <c r="U939" s="603" t="s">
        <v>313</v>
      </c>
      <c r="V939" s="605" t="s">
        <v>313</v>
      </c>
      <c r="W939" s="601" t="s">
        <v>313</v>
      </c>
      <c r="X939" s="601" t="s">
        <v>313</v>
      </c>
      <c r="Y939" s="602" t="s">
        <v>313</v>
      </c>
      <c r="Z939" s="320"/>
      <c r="AA939" s="29"/>
      <c r="AB939" s="298"/>
      <c r="AC939" s="4"/>
      <c r="AD939" s="47" t="s">
        <v>29</v>
      </c>
      <c r="AE939" s="47" t="s">
        <v>29</v>
      </c>
      <c r="AF939" s="19"/>
      <c r="AG939" s="29">
        <f t="shared" si="158"/>
        <v>0</v>
      </c>
      <c r="AK939" s="407"/>
    </row>
    <row r="940" spans="2:40" hidden="1" outlineLevel="1">
      <c r="B940" s="64" t="s">
        <v>61</v>
      </c>
      <c r="C940" s="31"/>
      <c r="D940" s="31"/>
      <c r="E940" s="439">
        <f>SUM(E926:E939)</f>
        <v>32</v>
      </c>
      <c r="F940" s="320">
        <f>SUM(F926:F934)</f>
        <v>0</v>
      </c>
      <c r="G940" s="31"/>
      <c r="H940" s="31"/>
      <c r="I940" s="31"/>
      <c r="J940" s="439">
        <f>SUM(J926:J939)</f>
        <v>24</v>
      </c>
      <c r="K940" s="320">
        <f>SUM(K926:K934)</f>
        <v>0</v>
      </c>
      <c r="L940" s="31"/>
      <c r="M940" s="31"/>
      <c r="N940" s="31"/>
      <c r="O940" s="439">
        <f>SUM(O926:O939)</f>
        <v>24</v>
      </c>
      <c r="P940" s="320">
        <f>SUM(P926:P938)</f>
        <v>0</v>
      </c>
      <c r="Q940" s="31"/>
      <c r="R940" s="31"/>
      <c r="S940" s="31"/>
      <c r="T940" s="439">
        <f>SUM(T926:T939)</f>
        <v>24</v>
      </c>
      <c r="U940" s="320">
        <f>SUM(U926:U938)</f>
        <v>0</v>
      </c>
      <c r="V940" s="31"/>
      <c r="W940" s="31"/>
      <c r="X940" s="31"/>
      <c r="Y940" s="439">
        <f>SUM(Y926:Y939)</f>
        <v>24</v>
      </c>
      <c r="Z940" s="320">
        <f>SUM(Z926:Z934)</f>
        <v>0</v>
      </c>
      <c r="AA940" s="370">
        <f>SUM(AA926:AA939)</f>
        <v>128</v>
      </c>
      <c r="AB940" s="370">
        <f>SUM(AB926:AB939)</f>
        <v>0</v>
      </c>
      <c r="AC940" s="4"/>
      <c r="AD940" s="64"/>
      <c r="AE940" s="64"/>
      <c r="AF940" s="167">
        <f>SUM(AF926:AF939)</f>
        <v>0</v>
      </c>
      <c r="AG940" s="370">
        <f>SUM(AG926:AG939)</f>
        <v>0</v>
      </c>
    </row>
    <row r="941" spans="2:40" hidden="1" outlineLevel="1">
      <c r="B941" s="63" t="s">
        <v>64</v>
      </c>
      <c r="C941" s="19"/>
      <c r="D941" s="291"/>
      <c r="E941" s="19"/>
      <c r="F941" s="291"/>
      <c r="G941" s="19"/>
      <c r="H941" s="291"/>
      <c r="I941" s="19"/>
      <c r="J941" s="291"/>
      <c r="K941" s="19"/>
      <c r="L941" s="291"/>
      <c r="M941" s="19"/>
      <c r="N941" s="291"/>
      <c r="O941" s="19"/>
      <c r="P941" s="291"/>
      <c r="Q941" s="19"/>
      <c r="R941" s="291"/>
      <c r="S941" s="19"/>
      <c r="T941" s="291"/>
      <c r="U941" s="19"/>
      <c r="V941" s="291"/>
      <c r="W941" s="19"/>
      <c r="X941" s="291"/>
      <c r="Y941" s="19"/>
      <c r="Z941" s="291"/>
      <c r="AA941" s="28">
        <f>SUM(E941+J941+O941+T941+Y941)</f>
        <v>0</v>
      </c>
      <c r="AB941" s="296">
        <f>Z941+U941+P941+K941+F941</f>
        <v>0</v>
      </c>
      <c r="AC941" s="4"/>
      <c r="AD941" s="56"/>
      <c r="AE941" s="56"/>
      <c r="AF941" s="19"/>
      <c r="AG941" s="29">
        <f>AF941</f>
        <v>0</v>
      </c>
    </row>
    <row r="942" spans="2:40" hidden="1" outlineLevel="1">
      <c r="B942" s="63" t="s">
        <v>63</v>
      </c>
      <c r="C942" s="19"/>
      <c r="D942" s="291"/>
      <c r="E942" s="19">
        <v>2</v>
      </c>
      <c r="F942" s="291"/>
      <c r="G942" s="19"/>
      <c r="H942" s="291"/>
      <c r="I942" s="19"/>
      <c r="J942" s="291">
        <v>2</v>
      </c>
      <c r="K942" s="19"/>
      <c r="L942" s="291"/>
      <c r="M942" s="19"/>
      <c r="N942" s="291"/>
      <c r="O942" s="19"/>
      <c r="P942" s="291"/>
      <c r="Q942" s="19"/>
      <c r="R942" s="291"/>
      <c r="S942" s="19"/>
      <c r="T942" s="291">
        <v>1</v>
      </c>
      <c r="U942" s="19"/>
      <c r="V942" s="291"/>
      <c r="W942" s="19"/>
      <c r="X942" s="291"/>
      <c r="Y942" s="19">
        <v>1</v>
      </c>
      <c r="Z942" s="291"/>
      <c r="AA942" s="28">
        <f>SUM(E942+J942+O942+T942+Y942)</f>
        <v>6</v>
      </c>
      <c r="AB942" s="296">
        <f>Z942+U942+P942+K942+F942</f>
        <v>0</v>
      </c>
      <c r="AC942" s="4"/>
      <c r="AD942" s="56"/>
      <c r="AE942" s="56"/>
      <c r="AF942" s="19"/>
      <c r="AG942" s="29">
        <f>AF942</f>
        <v>0</v>
      </c>
    </row>
    <row r="943" spans="2:40" hidden="1" outlineLevel="1">
      <c r="B943" s="71" t="s">
        <v>66</v>
      </c>
      <c r="C943" s="371"/>
      <c r="D943" s="371"/>
      <c r="E943" s="71">
        <f t="shared" ref="E943:AB943" si="159">SUM(E941:E942)</f>
        <v>2</v>
      </c>
      <c r="F943" s="71">
        <f t="shared" si="159"/>
        <v>0</v>
      </c>
      <c r="G943" s="71">
        <f t="shared" si="159"/>
        <v>0</v>
      </c>
      <c r="H943" s="71">
        <f t="shared" si="159"/>
        <v>0</v>
      </c>
      <c r="I943" s="71">
        <f t="shared" si="159"/>
        <v>0</v>
      </c>
      <c r="J943" s="71">
        <f t="shared" si="159"/>
        <v>2</v>
      </c>
      <c r="K943" s="71">
        <f t="shared" si="159"/>
        <v>0</v>
      </c>
      <c r="L943" s="71">
        <f t="shared" si="159"/>
        <v>0</v>
      </c>
      <c r="M943" s="71">
        <f t="shared" si="159"/>
        <v>0</v>
      </c>
      <c r="N943" s="71">
        <f t="shared" si="159"/>
        <v>0</v>
      </c>
      <c r="O943" s="71">
        <f t="shared" si="159"/>
        <v>0</v>
      </c>
      <c r="P943" s="71">
        <f t="shared" si="159"/>
        <v>0</v>
      </c>
      <c r="Q943" s="71">
        <f t="shared" si="159"/>
        <v>0</v>
      </c>
      <c r="R943" s="71">
        <f t="shared" si="159"/>
        <v>0</v>
      </c>
      <c r="S943" s="71">
        <f t="shared" si="159"/>
        <v>0</v>
      </c>
      <c r="T943" s="71">
        <f t="shared" si="159"/>
        <v>1</v>
      </c>
      <c r="U943" s="71">
        <f t="shared" si="159"/>
        <v>0</v>
      </c>
      <c r="V943" s="71">
        <f t="shared" si="159"/>
        <v>0</v>
      </c>
      <c r="W943" s="71">
        <f t="shared" si="159"/>
        <v>0</v>
      </c>
      <c r="X943" s="71">
        <f t="shared" si="159"/>
        <v>0</v>
      </c>
      <c r="Y943" s="71">
        <f t="shared" si="159"/>
        <v>1</v>
      </c>
      <c r="Z943" s="71">
        <f t="shared" si="159"/>
        <v>0</v>
      </c>
      <c r="AA943" s="370">
        <f t="shared" si="159"/>
        <v>6</v>
      </c>
      <c r="AB943" s="370">
        <f t="shared" si="159"/>
        <v>0</v>
      </c>
      <c r="AC943" s="4"/>
      <c r="AG943" s="370">
        <f>SUM(AG941:AG942)</f>
        <v>0</v>
      </c>
    </row>
    <row r="944" spans="2:40" hidden="1" outlineLevel="1">
      <c r="B944" s="217" t="s">
        <v>67</v>
      </c>
      <c r="C944" s="207">
        <f>C945+C946</f>
        <v>1</v>
      </c>
      <c r="D944" s="207"/>
      <c r="E944" s="209"/>
      <c r="F944" s="209"/>
      <c r="G944" s="207"/>
      <c r="H944" s="209"/>
      <c r="I944" s="209"/>
      <c r="J944" s="209"/>
      <c r="K944" s="209"/>
      <c r="L944" s="207"/>
      <c r="M944" s="207"/>
      <c r="N944" s="207"/>
      <c r="O944" s="207"/>
      <c r="P944" s="209"/>
      <c r="Q944" s="207"/>
      <c r="R944" s="207"/>
      <c r="S944" s="207"/>
      <c r="T944" s="207"/>
      <c r="U944" s="209"/>
      <c r="V944" s="207"/>
      <c r="W944" s="207"/>
      <c r="X944" s="207"/>
      <c r="Y944" s="210"/>
      <c r="Z944" s="209"/>
      <c r="AA944" s="211"/>
      <c r="AB944" s="209"/>
      <c r="AC944" s="211"/>
      <c r="AD944" s="211"/>
      <c r="AE944" s="211"/>
      <c r="AF944" s="211"/>
      <c r="AG944" s="211"/>
    </row>
    <row r="945" spans="2:47" hidden="1" outlineLevel="1">
      <c r="B945" s="238" t="s">
        <v>68</v>
      </c>
      <c r="C945" s="239"/>
      <c r="D945" s="207"/>
      <c r="E945" s="209"/>
      <c r="F945" s="209"/>
      <c r="G945" s="207"/>
      <c r="H945" s="209"/>
      <c r="I945" s="209"/>
      <c r="J945" s="209"/>
      <c r="K945" s="209"/>
      <c r="L945" s="207"/>
      <c r="M945" s="207"/>
      <c r="N945" s="207"/>
      <c r="O945" s="207"/>
      <c r="P945" s="209"/>
      <c r="Q945" s="207"/>
      <c r="R945" s="207"/>
      <c r="S945" s="207"/>
      <c r="T945" s="207"/>
      <c r="U945" s="209"/>
      <c r="V945" s="207"/>
      <c r="W945" s="207"/>
      <c r="X945" s="207"/>
      <c r="Y945" s="210"/>
      <c r="Z945" s="209"/>
      <c r="AA945" s="211"/>
      <c r="AB945" s="209"/>
      <c r="AC945" s="211"/>
      <c r="AD945" s="211"/>
      <c r="AE945" s="211"/>
      <c r="AF945" s="211"/>
      <c r="AG945" s="211"/>
    </row>
    <row r="946" spans="2:47" hidden="1" outlineLevel="1">
      <c r="B946" s="238" t="s">
        <v>69</v>
      </c>
      <c r="C946" s="526">
        <v>1</v>
      </c>
      <c r="D946" s="207"/>
      <c r="E946" s="209"/>
      <c r="F946" s="209"/>
      <c r="G946" s="207"/>
      <c r="H946" s="209"/>
      <c r="I946" s="209"/>
      <c r="J946" s="209"/>
      <c r="K946" s="209"/>
      <c r="L946" s="207"/>
      <c r="M946" s="207"/>
      <c r="N946" s="207"/>
      <c r="O946" s="207"/>
      <c r="P946" s="209"/>
      <c r="Q946" s="207"/>
      <c r="R946" s="207"/>
      <c r="S946" s="207"/>
      <c r="T946" s="207"/>
      <c r="U946" s="209"/>
      <c r="V946" s="207"/>
      <c r="W946" s="207"/>
      <c r="X946" s="207"/>
      <c r="Y946" s="210"/>
      <c r="Z946" s="209"/>
      <c r="AA946" s="211"/>
      <c r="AB946" s="209"/>
      <c r="AC946" s="211"/>
      <c r="AD946" s="211"/>
      <c r="AE946" s="211"/>
      <c r="AF946" s="211"/>
      <c r="AG946" s="211"/>
    </row>
    <row r="947" spans="2:47" hidden="1" outlineLevel="1">
      <c r="E947" s="4"/>
      <c r="F947" s="4"/>
      <c r="G947" s="4"/>
      <c r="J947" s="4"/>
      <c r="K947" s="4"/>
      <c r="L947" s="4"/>
      <c r="O947" s="4"/>
      <c r="P947" s="4"/>
      <c r="T947" s="4"/>
      <c r="U947" s="4"/>
      <c r="Y947" s="4"/>
      <c r="Z947" s="4"/>
      <c r="AA947" s="4"/>
      <c r="AB947" s="4"/>
      <c r="AC947" s="4"/>
    </row>
    <row r="948" spans="2:47" hidden="1" outlineLevel="1">
      <c r="B948" s="229"/>
      <c r="C948" s="230"/>
      <c r="D948" s="230"/>
      <c r="E948" s="232"/>
      <c r="F948" s="232"/>
      <c r="G948" s="230"/>
      <c r="H948" s="232"/>
      <c r="I948" s="232"/>
      <c r="J948" s="232"/>
      <c r="K948" s="232"/>
      <c r="L948" s="230"/>
      <c r="M948" s="230"/>
      <c r="N948" s="230"/>
      <c r="O948" s="230"/>
      <c r="P948" s="232"/>
      <c r="Q948" s="230"/>
      <c r="R948" s="230"/>
      <c r="S948" s="230"/>
      <c r="T948" s="230"/>
      <c r="U948" s="232"/>
      <c r="V948" s="230"/>
      <c r="W948" s="230"/>
      <c r="X948" s="230"/>
      <c r="Y948" s="233"/>
      <c r="Z948" s="232"/>
      <c r="AA948" s="234"/>
      <c r="AB948" s="232"/>
      <c r="AC948" s="373"/>
      <c r="AD948" s="236"/>
      <c r="AE948" s="255"/>
      <c r="AF948" s="255"/>
      <c r="AG948" s="255"/>
      <c r="AH948" s="255"/>
      <c r="AJ948" s="255"/>
      <c r="AK948" s="255"/>
      <c r="AL948" s="255"/>
      <c r="AM948" s="255"/>
      <c r="AN948" s="255"/>
      <c r="AO948" s="255"/>
      <c r="AP948" s="255"/>
      <c r="AQ948" s="255"/>
      <c r="AR948" s="255"/>
      <c r="AS948" s="255"/>
      <c r="AT948" s="255"/>
      <c r="AU948" s="255"/>
    </row>
    <row r="949" spans="2:47" hidden="1" outlineLevel="1">
      <c r="B949" s="180"/>
      <c r="E949" s="4"/>
      <c r="F949" s="4"/>
      <c r="G949" s="4"/>
      <c r="J949" s="4"/>
      <c r="K949" s="4"/>
      <c r="L949" s="4"/>
      <c r="O949" s="4"/>
      <c r="P949" s="4"/>
      <c r="T949" s="4"/>
      <c r="U949" s="4"/>
      <c r="Y949" s="4"/>
      <c r="Z949" s="4"/>
      <c r="AA949" s="4"/>
      <c r="AB949" s="4"/>
      <c r="AC949" s="4"/>
      <c r="AK949" s="180"/>
      <c r="AL949" s="180"/>
      <c r="AM949" s="180"/>
      <c r="AN949" s="180"/>
      <c r="AO949" s="180"/>
      <c r="AP949" s="180"/>
    </row>
    <row r="950" spans="2:47" ht="10.9" hidden="1" customHeight="1" outlineLevel="1">
      <c r="B950" s="1518" t="s">
        <v>18</v>
      </c>
      <c r="C950" s="1547">
        <v>45495</v>
      </c>
      <c r="D950" s="1548"/>
      <c r="E950" s="1548"/>
      <c r="F950" s="1548"/>
      <c r="G950" s="607" t="s">
        <v>313</v>
      </c>
      <c r="H950" s="1547">
        <v>45496</v>
      </c>
      <c r="I950" s="1548"/>
      <c r="J950" s="1548"/>
      <c r="K950" s="1548"/>
      <c r="L950" s="607" t="s">
        <v>313</v>
      </c>
      <c r="M950" s="1547">
        <v>45497</v>
      </c>
      <c r="N950" s="1548"/>
      <c r="O950" s="1548"/>
      <c r="P950" s="1548"/>
      <c r="Q950" s="607" t="s">
        <v>313</v>
      </c>
      <c r="R950" s="1547">
        <v>45498</v>
      </c>
      <c r="S950" s="1548"/>
      <c r="T950" s="1548"/>
      <c r="U950" s="1548"/>
      <c r="V950" s="607" t="s">
        <v>313</v>
      </c>
      <c r="W950" s="1547">
        <v>45499</v>
      </c>
      <c r="X950" s="1548"/>
      <c r="Y950" s="1548"/>
      <c r="Z950" s="1548"/>
      <c r="AA950" s="1517" t="s">
        <v>19</v>
      </c>
      <c r="AB950" s="1517" t="s">
        <v>20</v>
      </c>
      <c r="AC950" s="4"/>
      <c r="AD950" s="1519">
        <v>45500</v>
      </c>
      <c r="AE950" s="1519"/>
      <c r="AF950" s="1519"/>
      <c r="AG950" s="1517" t="s">
        <v>21</v>
      </c>
      <c r="AI950" s="368"/>
      <c r="AK950" s="194" t="s">
        <v>84</v>
      </c>
      <c r="AL950" s="366"/>
      <c r="AM950" s="366"/>
      <c r="AN950" s="366"/>
      <c r="AO950" s="366"/>
      <c r="AP950" s="366"/>
    </row>
    <row r="951" spans="2:47" hidden="1" outlineLevel="1">
      <c r="B951" s="1518"/>
      <c r="C951" s="21" t="s">
        <v>23</v>
      </c>
      <c r="D951" s="21" t="s">
        <v>24</v>
      </c>
      <c r="E951" s="205" t="s">
        <v>25</v>
      </c>
      <c r="F951" s="18" t="s">
        <v>14</v>
      </c>
      <c r="G951" s="4"/>
      <c r="H951" s="21" t="s">
        <v>23</v>
      </c>
      <c r="I951" s="21" t="s">
        <v>24</v>
      </c>
      <c r="J951" s="18" t="s">
        <v>25</v>
      </c>
      <c r="K951" s="18" t="s">
        <v>14</v>
      </c>
      <c r="L951" s="4"/>
      <c r="M951" s="21" t="s">
        <v>23</v>
      </c>
      <c r="N951" s="21" t="s">
        <v>24</v>
      </c>
      <c r="O951" s="18" t="s">
        <v>25</v>
      </c>
      <c r="P951" s="18" t="s">
        <v>14</v>
      </c>
      <c r="R951" s="484" t="s">
        <v>23</v>
      </c>
      <c r="S951" s="21" t="s">
        <v>24</v>
      </c>
      <c r="T951" s="18" t="s">
        <v>25</v>
      </c>
      <c r="U951" s="18" t="s">
        <v>14</v>
      </c>
      <c r="W951" s="484" t="s">
        <v>23</v>
      </c>
      <c r="X951" s="21" t="s">
        <v>24</v>
      </c>
      <c r="Y951" s="18" t="s">
        <v>25</v>
      </c>
      <c r="Z951" s="18" t="s">
        <v>14</v>
      </c>
      <c r="AA951" s="1517"/>
      <c r="AB951" s="1517"/>
      <c r="AC951" s="4"/>
      <c r="AD951" s="21" t="s">
        <v>23</v>
      </c>
      <c r="AE951" s="21" t="s">
        <v>24</v>
      </c>
      <c r="AF951" s="18" t="s">
        <v>25</v>
      </c>
      <c r="AG951" s="1517"/>
      <c r="AI951" s="368"/>
      <c r="AJ951" s="367"/>
      <c r="AK951" s="494" t="s">
        <v>26</v>
      </c>
      <c r="AL951" s="471">
        <f>AA966</f>
        <v>200</v>
      </c>
      <c r="AM951" s="510">
        <v>38</v>
      </c>
      <c r="AN951" s="510">
        <f t="shared" ref="AN951:AN957" si="160">AL951*AM951</f>
        <v>7600</v>
      </c>
      <c r="AQ951" s="367"/>
      <c r="AR951" s="367"/>
      <c r="AS951" s="367"/>
      <c r="AT951" s="367"/>
      <c r="AU951" s="367"/>
    </row>
    <row r="952" spans="2:47" hidden="1" outlineLevel="1">
      <c r="B952" s="527" t="s">
        <v>266</v>
      </c>
      <c r="C952" s="441"/>
      <c r="D952" s="47"/>
      <c r="E952" s="319"/>
      <c r="F952" s="320"/>
      <c r="G952" s="4"/>
      <c r="H952" s="441"/>
      <c r="I952" s="47"/>
      <c r="J952" s="319"/>
      <c r="K952" s="320"/>
      <c r="L952" s="4"/>
      <c r="M952" s="441"/>
      <c r="N952" s="47"/>
      <c r="O952" s="319"/>
      <c r="P952" s="320"/>
      <c r="R952" s="604">
        <v>0.375</v>
      </c>
      <c r="S952" s="604">
        <v>0.25</v>
      </c>
      <c r="T952" s="319">
        <v>8</v>
      </c>
      <c r="U952" s="320"/>
      <c r="W952" s="604">
        <v>0.375</v>
      </c>
      <c r="X952" s="604">
        <v>0.25</v>
      </c>
      <c r="Y952" s="319">
        <v>8</v>
      </c>
      <c r="Z952" s="320"/>
      <c r="AA952" s="29">
        <f t="shared" ref="AA952:AA965" si="161">(E952+J952+O952+T952+Y952)</f>
        <v>16</v>
      </c>
      <c r="AB952" s="298">
        <f>Z952+U952+P952+K952+F952</f>
        <v>0</v>
      </c>
      <c r="AC952" s="399"/>
      <c r="AD952" s="47" t="s">
        <v>29</v>
      </c>
      <c r="AE952" s="47" t="s">
        <v>29</v>
      </c>
      <c r="AF952" s="346"/>
      <c r="AG952" s="29">
        <f t="shared" ref="AG952:AG965" si="162">AF952</f>
        <v>0</v>
      </c>
      <c r="AH952" s="175"/>
      <c r="AJ952" s="401"/>
      <c r="AK952" s="494" t="s">
        <v>30</v>
      </c>
      <c r="AL952" s="471">
        <f>AB966</f>
        <v>0</v>
      </c>
      <c r="AM952" s="511">
        <v>57</v>
      </c>
      <c r="AN952" s="510">
        <f t="shared" si="160"/>
        <v>0</v>
      </c>
      <c r="AO952" s="405"/>
      <c r="AP952" s="405"/>
      <c r="AQ952" s="401"/>
      <c r="AR952" s="401"/>
      <c r="AS952" s="401"/>
      <c r="AT952" s="401"/>
      <c r="AU952" s="401"/>
    </row>
    <row r="953" spans="2:47" hidden="1" outlineLevel="1">
      <c r="B953" s="528" t="s">
        <v>268</v>
      </c>
      <c r="C953" s="441"/>
      <c r="D953" s="47"/>
      <c r="E953" s="319"/>
      <c r="F953" s="320"/>
      <c r="G953" s="4"/>
      <c r="H953" s="441"/>
      <c r="I953" s="47"/>
      <c r="J953" s="319"/>
      <c r="K953" s="320"/>
      <c r="L953" s="4"/>
      <c r="M953" s="441"/>
      <c r="N953" s="47"/>
      <c r="O953" s="319"/>
      <c r="P953" s="320"/>
      <c r="R953" s="604">
        <v>0.375</v>
      </c>
      <c r="S953" s="604">
        <v>0.25</v>
      </c>
      <c r="T953" s="319">
        <v>8</v>
      </c>
      <c r="U953" s="320"/>
      <c r="W953" s="601" t="s">
        <v>313</v>
      </c>
      <c r="X953" s="604"/>
      <c r="Y953" s="319">
        <v>0</v>
      </c>
      <c r="Z953" s="320"/>
      <c r="AA953" s="29">
        <f t="shared" si="161"/>
        <v>8</v>
      </c>
      <c r="AB953" s="298">
        <f>Z953+U953+P953+K953+F953</f>
        <v>0</v>
      </c>
      <c r="AC953" s="175"/>
      <c r="AD953" s="47" t="s">
        <v>29</v>
      </c>
      <c r="AE953" s="47" t="s">
        <v>29</v>
      </c>
      <c r="AF953" s="346"/>
      <c r="AG953" s="344">
        <f t="shared" si="162"/>
        <v>0</v>
      </c>
      <c r="AH953" s="175"/>
      <c r="AI953" s="368"/>
      <c r="AK953" s="494" t="s">
        <v>32</v>
      </c>
      <c r="AL953" s="471">
        <f>AG966</f>
        <v>0</v>
      </c>
      <c r="AM953" s="510">
        <v>57</v>
      </c>
      <c r="AN953" s="510">
        <f t="shared" si="160"/>
        <v>0</v>
      </c>
    </row>
    <row r="954" spans="2:47" hidden="1" outlineLevel="1">
      <c r="B954" s="527" t="s">
        <v>271</v>
      </c>
      <c r="C954" s="441"/>
      <c r="D954" s="47"/>
      <c r="E954" s="319"/>
      <c r="F954" s="320"/>
      <c r="G954" s="4"/>
      <c r="H954" s="441"/>
      <c r="I954" s="47"/>
      <c r="J954" s="319"/>
      <c r="K954" s="320"/>
      <c r="L954" s="4"/>
      <c r="M954" s="441"/>
      <c r="N954" s="47"/>
      <c r="O954" s="319"/>
      <c r="P954" s="320"/>
      <c r="R954" s="601">
        <v>0</v>
      </c>
      <c r="S954" s="604">
        <v>0</v>
      </c>
      <c r="T954" s="319">
        <v>0</v>
      </c>
      <c r="U954" s="320"/>
      <c r="W954" s="601" t="s">
        <v>313</v>
      </c>
      <c r="X954" s="601" t="s">
        <v>313</v>
      </c>
      <c r="Y954" s="319">
        <v>0</v>
      </c>
      <c r="Z954" s="320"/>
      <c r="AA954" s="29">
        <f t="shared" si="161"/>
        <v>0</v>
      </c>
      <c r="AB954" s="298">
        <f>Z954+U954+P954+K954+F954</f>
        <v>0</v>
      </c>
      <c r="AC954" s="4"/>
      <c r="AD954" s="47" t="s">
        <v>29</v>
      </c>
      <c r="AE954" s="47" t="s">
        <v>29</v>
      </c>
      <c r="AF954" s="346"/>
      <c r="AG954" s="29">
        <f t="shared" si="162"/>
        <v>0</v>
      </c>
      <c r="AJ954" s="367"/>
      <c r="AK954" s="494" t="s">
        <v>213</v>
      </c>
      <c r="AL954" s="471">
        <f>AA969</f>
        <v>4</v>
      </c>
      <c r="AM954" s="510">
        <v>50</v>
      </c>
      <c r="AN954" s="510">
        <f t="shared" si="160"/>
        <v>200</v>
      </c>
      <c r="AQ954" s="367"/>
      <c r="AR954" s="367"/>
      <c r="AS954" s="367"/>
      <c r="AT954" s="367"/>
      <c r="AU954" s="367"/>
    </row>
    <row r="955" spans="2:47" hidden="1" outlineLevel="1">
      <c r="B955" s="528" t="s">
        <v>272</v>
      </c>
      <c r="C955" s="441"/>
      <c r="D955" s="47"/>
      <c r="E955" s="319"/>
      <c r="F955" s="320"/>
      <c r="G955" s="4"/>
      <c r="H955" s="441"/>
      <c r="I955" s="47"/>
      <c r="J955" s="319"/>
      <c r="K955" s="320"/>
      <c r="L955" s="4"/>
      <c r="M955" s="441"/>
      <c r="N955" s="47"/>
      <c r="O955" s="319"/>
      <c r="P955" s="320"/>
      <c r="R955" s="604">
        <v>0.375</v>
      </c>
      <c r="S955" s="604">
        <v>0.25</v>
      </c>
      <c r="T955" s="319">
        <v>8</v>
      </c>
      <c r="U955" s="320"/>
      <c r="W955" s="604">
        <v>0.375</v>
      </c>
      <c r="X955" s="604">
        <v>0.25</v>
      </c>
      <c r="Y955" s="319">
        <v>8</v>
      </c>
      <c r="Z955" s="320"/>
      <c r="AA955" s="29">
        <f t="shared" si="161"/>
        <v>16</v>
      </c>
      <c r="AB955" s="298">
        <f>Z955+U955+P955+K955+F955</f>
        <v>0</v>
      </c>
      <c r="AC955" s="4"/>
      <c r="AD955" s="47" t="s">
        <v>29</v>
      </c>
      <c r="AE955" s="47" t="s">
        <v>29</v>
      </c>
      <c r="AF955" s="346"/>
      <c r="AG955" s="29">
        <f t="shared" si="162"/>
        <v>0</v>
      </c>
      <c r="AK955" s="494" t="s">
        <v>36</v>
      </c>
      <c r="AL955" s="471">
        <f>AB969</f>
        <v>0</v>
      </c>
      <c r="AM955" s="510">
        <v>75</v>
      </c>
      <c r="AN955" s="510">
        <f t="shared" si="160"/>
        <v>0</v>
      </c>
    </row>
    <row r="956" spans="2:47" hidden="1" outlineLevel="1">
      <c r="B956" s="599" t="s">
        <v>275</v>
      </c>
      <c r="C956" s="441"/>
      <c r="D956" s="47"/>
      <c r="E956" s="319"/>
      <c r="F956" s="320"/>
      <c r="G956" s="4"/>
      <c r="H956" s="441"/>
      <c r="I956" s="47"/>
      <c r="J956" s="319"/>
      <c r="K956" s="320"/>
      <c r="L956" s="4"/>
      <c r="M956" s="441"/>
      <c r="N956" s="47"/>
      <c r="O956" s="319"/>
      <c r="P956" s="320"/>
      <c r="R956" s="601">
        <v>0</v>
      </c>
      <c r="S956" s="604">
        <v>0</v>
      </c>
      <c r="T956" s="319">
        <v>0</v>
      </c>
      <c r="U956" s="320"/>
      <c r="W956" s="601" t="s">
        <v>313</v>
      </c>
      <c r="X956" s="601" t="s">
        <v>313</v>
      </c>
      <c r="Y956" s="319">
        <v>0</v>
      </c>
      <c r="Z956" s="320"/>
      <c r="AA956" s="29">
        <f t="shared" si="161"/>
        <v>0</v>
      </c>
      <c r="AB956" s="298">
        <f>Z956+U956+P956+K956+F955</f>
        <v>0</v>
      </c>
      <c r="AC956" s="4"/>
      <c r="AD956" s="47" t="s">
        <v>29</v>
      </c>
      <c r="AE956" s="47" t="s">
        <v>29</v>
      </c>
      <c r="AF956" s="346"/>
      <c r="AG956" s="29">
        <f t="shared" si="162"/>
        <v>0</v>
      </c>
      <c r="AK956" s="494" t="s">
        <v>38</v>
      </c>
      <c r="AL956" s="471">
        <f>AG969</f>
        <v>0</v>
      </c>
      <c r="AM956" s="510">
        <v>75</v>
      </c>
      <c r="AN956" s="510">
        <f t="shared" si="160"/>
        <v>0</v>
      </c>
    </row>
    <row r="957" spans="2:47" ht="14.25" hidden="1" outlineLevel="1" thickBot="1">
      <c r="B957" s="528" t="s">
        <v>277</v>
      </c>
      <c r="C957" s="441"/>
      <c r="D957" s="47"/>
      <c r="E957" s="319"/>
      <c r="F957" s="320"/>
      <c r="G957" s="4"/>
      <c r="H957" s="441"/>
      <c r="I957" s="47"/>
      <c r="J957" s="319"/>
      <c r="K957" s="320"/>
      <c r="L957" s="4"/>
      <c r="M957" s="441"/>
      <c r="N957" s="47"/>
      <c r="O957" s="319"/>
      <c r="P957" s="320"/>
      <c r="R957" s="601">
        <v>0</v>
      </c>
      <c r="S957" s="604">
        <v>0</v>
      </c>
      <c r="T957" s="319">
        <v>0</v>
      </c>
      <c r="U957" s="320"/>
      <c r="W957" s="601" t="s">
        <v>313</v>
      </c>
      <c r="X957" s="601" t="s">
        <v>313</v>
      </c>
      <c r="Y957" s="319">
        <v>0</v>
      </c>
      <c r="Z957" s="320"/>
      <c r="AA957" s="29">
        <f t="shared" si="161"/>
        <v>0</v>
      </c>
      <c r="AB957" s="298">
        <f>Z957+U957+P957+K957+F956</f>
        <v>0</v>
      </c>
      <c r="AC957" s="4"/>
      <c r="AD957" s="47" t="s">
        <v>29</v>
      </c>
      <c r="AE957" s="47" t="s">
        <v>29</v>
      </c>
      <c r="AF957" s="346"/>
      <c r="AG957" s="29">
        <f t="shared" si="162"/>
        <v>0</v>
      </c>
      <c r="AK957" s="494" t="s">
        <v>41</v>
      </c>
      <c r="AL957" s="471">
        <f>C970</f>
        <v>5</v>
      </c>
      <c r="AM957" s="512">
        <v>45</v>
      </c>
      <c r="AN957" s="512">
        <f t="shared" si="160"/>
        <v>225</v>
      </c>
    </row>
    <row r="958" spans="2:47" ht="14.25" hidden="1" outlineLevel="1" thickTop="1">
      <c r="C958" s="441"/>
      <c r="D958" s="47"/>
      <c r="E958" s="319"/>
      <c r="F958" s="320"/>
      <c r="G958" s="4"/>
      <c r="H958" s="441"/>
      <c r="I958" s="47"/>
      <c r="J958" s="319"/>
      <c r="K958" s="320"/>
      <c r="L958" s="4"/>
      <c r="M958" s="441"/>
      <c r="N958" s="47"/>
      <c r="O958" s="319"/>
      <c r="P958" s="320"/>
      <c r="R958" s="441"/>
      <c r="S958" s="47"/>
      <c r="T958" s="319"/>
      <c r="U958" s="320"/>
      <c r="W958" s="601" t="s">
        <v>313</v>
      </c>
      <c r="X958" s="601" t="s">
        <v>313</v>
      </c>
      <c r="Y958" s="319"/>
      <c r="Z958" s="320"/>
      <c r="AA958" s="29">
        <f t="shared" si="161"/>
        <v>0</v>
      </c>
      <c r="AB958" s="298">
        <f>Z958+U958+P958+K958+F957</f>
        <v>0</v>
      </c>
      <c r="AC958" s="4"/>
      <c r="AD958" s="47" t="s">
        <v>29</v>
      </c>
      <c r="AE958" s="47" t="s">
        <v>29</v>
      </c>
      <c r="AF958" s="346"/>
      <c r="AG958" s="29">
        <f t="shared" si="162"/>
        <v>0</v>
      </c>
      <c r="AN958" s="510">
        <f>SUM(AN951:AN957)</f>
        <v>8025</v>
      </c>
    </row>
    <row r="959" spans="2:47" hidden="1" outlineLevel="1">
      <c r="C959" s="441"/>
      <c r="D959" s="47"/>
      <c r="E959" s="319"/>
      <c r="F959" s="320"/>
      <c r="G959" s="4"/>
      <c r="H959" s="441"/>
      <c r="I959" s="47"/>
      <c r="J959" s="319"/>
      <c r="K959" s="320"/>
      <c r="L959" s="4"/>
      <c r="M959" s="441"/>
      <c r="N959" s="47"/>
      <c r="O959" s="319"/>
      <c r="P959" s="320"/>
      <c r="R959" s="441"/>
      <c r="S959" s="47"/>
      <c r="T959" s="319"/>
      <c r="U959" s="320"/>
      <c r="W959" s="441"/>
      <c r="X959" s="47"/>
      <c r="Y959" s="319"/>
      <c r="Z959" s="320"/>
      <c r="AA959" s="29">
        <f t="shared" si="161"/>
        <v>0</v>
      </c>
      <c r="AB959" s="298">
        <f>Z959+U959+P959+K959+F958</f>
        <v>0</v>
      </c>
      <c r="AC959" s="4"/>
      <c r="AD959" s="47" t="s">
        <v>29</v>
      </c>
      <c r="AE959" s="47" t="s">
        <v>29</v>
      </c>
      <c r="AF959" s="346"/>
      <c r="AG959" s="29">
        <f t="shared" si="162"/>
        <v>0</v>
      </c>
    </row>
    <row r="960" spans="2:47" hidden="1" outlineLevel="1">
      <c r="B960" s="457"/>
      <c r="C960" s="441"/>
      <c r="D960" s="47"/>
      <c r="E960" s="319"/>
      <c r="F960" s="320"/>
      <c r="G960" s="4"/>
      <c r="H960" s="441"/>
      <c r="I960" s="47"/>
      <c r="J960" s="319"/>
      <c r="K960" s="320"/>
      <c r="L960" s="4"/>
      <c r="M960" s="441"/>
      <c r="N960" s="47"/>
      <c r="O960" s="319"/>
      <c r="P960" s="320"/>
      <c r="R960" s="441"/>
      <c r="S960" s="47"/>
      <c r="T960" s="319"/>
      <c r="U960" s="320"/>
      <c r="W960" s="441"/>
      <c r="X960" s="47"/>
      <c r="Y960" s="319"/>
      <c r="Z960" s="320"/>
      <c r="AA960" s="29">
        <f t="shared" si="161"/>
        <v>0</v>
      </c>
      <c r="AB960" s="298">
        <f t="shared" ref="AB960:AB965" si="163">Z960+U960+P960+K960+F960</f>
        <v>0</v>
      </c>
      <c r="AC960" s="4"/>
      <c r="AD960" s="47" t="s">
        <v>29</v>
      </c>
      <c r="AE960" s="47" t="s">
        <v>29</v>
      </c>
      <c r="AF960" s="19"/>
      <c r="AG960" s="29">
        <f t="shared" si="162"/>
        <v>0</v>
      </c>
    </row>
    <row r="961" spans="2:47" hidden="1" outlineLevel="1">
      <c r="B961" s="598" t="s">
        <v>279</v>
      </c>
      <c r="C961" s="47"/>
      <c r="D961" s="47"/>
      <c r="E961" s="319">
        <v>8</v>
      </c>
      <c r="F961" s="320"/>
      <c r="G961" s="4"/>
      <c r="H961" s="47"/>
      <c r="I961" s="47"/>
      <c r="J961" s="319">
        <v>8</v>
      </c>
      <c r="K961" s="320"/>
      <c r="L961" s="4"/>
      <c r="M961" s="47"/>
      <c r="N961" s="47"/>
      <c r="O961" s="319">
        <v>8</v>
      </c>
      <c r="P961" s="320"/>
      <c r="R961" s="47"/>
      <c r="S961" s="47"/>
      <c r="T961" s="319">
        <v>8</v>
      </c>
      <c r="U961" s="320"/>
      <c r="W961" s="47"/>
      <c r="X961" s="47"/>
      <c r="Y961" s="319">
        <v>8</v>
      </c>
      <c r="Z961" s="320"/>
      <c r="AA961" s="29">
        <f t="shared" si="161"/>
        <v>40</v>
      </c>
      <c r="AB961" s="298">
        <f t="shared" si="163"/>
        <v>0</v>
      </c>
      <c r="AC961" s="4"/>
      <c r="AD961" s="47" t="s">
        <v>29</v>
      </c>
      <c r="AE961" s="47" t="s">
        <v>29</v>
      </c>
      <c r="AF961" s="19"/>
      <c r="AG961" s="29">
        <f t="shared" si="162"/>
        <v>0</v>
      </c>
    </row>
    <row r="962" spans="2:47" hidden="1" outlineLevel="1">
      <c r="B962" s="598" t="s">
        <v>280</v>
      </c>
      <c r="C962" s="47"/>
      <c r="D962" s="47"/>
      <c r="E962" s="319">
        <v>8</v>
      </c>
      <c r="F962" s="320"/>
      <c r="G962" s="4"/>
      <c r="H962" s="47"/>
      <c r="I962" s="47"/>
      <c r="J962" s="319">
        <v>8</v>
      </c>
      <c r="K962" s="320"/>
      <c r="L962" s="4"/>
      <c r="M962" s="47"/>
      <c r="N962" s="47"/>
      <c r="O962" s="319">
        <v>8</v>
      </c>
      <c r="P962" s="320"/>
      <c r="R962" s="47"/>
      <c r="S962" s="47"/>
      <c r="T962" s="319">
        <v>8</v>
      </c>
      <c r="U962" s="320"/>
      <c r="W962" s="47"/>
      <c r="X962" s="47"/>
      <c r="Y962" s="319">
        <v>8</v>
      </c>
      <c r="Z962" s="320"/>
      <c r="AA962" s="29">
        <f t="shared" si="161"/>
        <v>40</v>
      </c>
      <c r="AB962" s="298">
        <f t="shared" si="163"/>
        <v>0</v>
      </c>
      <c r="AC962" s="4"/>
      <c r="AD962" s="47" t="s">
        <v>29</v>
      </c>
      <c r="AE962" s="47" t="s">
        <v>29</v>
      </c>
      <c r="AF962" s="19"/>
      <c r="AG962" s="29">
        <f t="shared" si="162"/>
        <v>0</v>
      </c>
    </row>
    <row r="963" spans="2:47" hidden="1" outlineLevel="1">
      <c r="B963" s="598" t="s">
        <v>281</v>
      </c>
      <c r="C963" s="47"/>
      <c r="D963" s="47"/>
      <c r="E963" s="319">
        <v>8</v>
      </c>
      <c r="F963" s="320"/>
      <c r="G963" s="4"/>
      <c r="H963" s="47"/>
      <c r="I963" s="47"/>
      <c r="J963" s="319">
        <v>8</v>
      </c>
      <c r="K963" s="320"/>
      <c r="L963" s="4"/>
      <c r="M963" s="47"/>
      <c r="N963" s="47"/>
      <c r="O963" s="319">
        <v>8</v>
      </c>
      <c r="P963" s="320"/>
      <c r="R963" s="47"/>
      <c r="S963" s="47"/>
      <c r="T963" s="319">
        <v>8</v>
      </c>
      <c r="U963" s="320"/>
      <c r="W963" s="47"/>
      <c r="X963" s="47"/>
      <c r="Y963" s="319">
        <v>8</v>
      </c>
      <c r="Z963" s="320"/>
      <c r="AA963" s="29">
        <f t="shared" si="161"/>
        <v>40</v>
      </c>
      <c r="AB963" s="298">
        <f t="shared" si="163"/>
        <v>0</v>
      </c>
      <c r="AC963" s="4"/>
      <c r="AD963" s="47" t="s">
        <v>29</v>
      </c>
      <c r="AE963" s="47" t="s">
        <v>29</v>
      </c>
      <c r="AF963" s="19"/>
      <c r="AG963" s="29">
        <f t="shared" si="162"/>
        <v>0</v>
      </c>
    </row>
    <row r="964" spans="2:47" hidden="1" outlineLevel="1">
      <c r="B964" s="598" t="s">
        <v>283</v>
      </c>
      <c r="C964" s="47"/>
      <c r="D964" s="47"/>
      <c r="E964" s="319">
        <v>8</v>
      </c>
      <c r="F964" s="320"/>
      <c r="G964" s="4"/>
      <c r="H964" s="47"/>
      <c r="I964" s="47"/>
      <c r="J964" s="319">
        <v>8</v>
      </c>
      <c r="K964" s="320"/>
      <c r="L964" s="4"/>
      <c r="M964" s="47"/>
      <c r="N964" s="47"/>
      <c r="O964" s="319">
        <v>8</v>
      </c>
      <c r="P964" s="320"/>
      <c r="R964" s="47"/>
      <c r="S964" s="47"/>
      <c r="T964" s="319">
        <v>8</v>
      </c>
      <c r="U964" s="320"/>
      <c r="W964" s="47"/>
      <c r="X964" s="47"/>
      <c r="Y964" s="319">
        <v>8</v>
      </c>
      <c r="Z964" s="320"/>
      <c r="AA964" s="29">
        <f t="shared" si="161"/>
        <v>40</v>
      </c>
      <c r="AB964" s="298">
        <f t="shared" si="163"/>
        <v>0</v>
      </c>
      <c r="AC964" s="4"/>
      <c r="AD964" s="47" t="s">
        <v>29</v>
      </c>
      <c r="AE964" s="47" t="s">
        <v>29</v>
      </c>
      <c r="AF964" s="19"/>
      <c r="AG964" s="29">
        <f t="shared" si="162"/>
        <v>0</v>
      </c>
    </row>
    <row r="965" spans="2:47" hidden="1" outlineLevel="1">
      <c r="B965" s="63" t="s">
        <v>63</v>
      </c>
      <c r="C965" s="47"/>
      <c r="D965" s="47"/>
      <c r="E965" s="319"/>
      <c r="F965" s="320"/>
      <c r="G965" s="438"/>
      <c r="H965" s="47"/>
      <c r="I965" s="47"/>
      <c r="J965" s="319"/>
      <c r="K965" s="320"/>
      <c r="L965" s="438"/>
      <c r="M965" s="47"/>
      <c r="N965" s="47"/>
      <c r="O965" s="319"/>
      <c r="P965" s="320"/>
      <c r="Q965" s="438"/>
      <c r="R965" s="47"/>
      <c r="S965" s="47"/>
      <c r="T965" s="319"/>
      <c r="U965" s="320"/>
      <c r="V965" s="438"/>
      <c r="W965" s="47"/>
      <c r="X965" s="47"/>
      <c r="Y965" s="319"/>
      <c r="Z965" s="320"/>
      <c r="AA965" s="29">
        <f t="shared" si="161"/>
        <v>0</v>
      </c>
      <c r="AB965" s="298">
        <f t="shared" si="163"/>
        <v>0</v>
      </c>
      <c r="AC965" s="4"/>
      <c r="AD965" s="47" t="s">
        <v>29</v>
      </c>
      <c r="AE965" s="47" t="s">
        <v>29</v>
      </c>
      <c r="AF965" s="19"/>
      <c r="AG965" s="29">
        <f t="shared" si="162"/>
        <v>0</v>
      </c>
      <c r="AK965" s="407"/>
    </row>
    <row r="966" spans="2:47" hidden="1" outlineLevel="1">
      <c r="B966" s="64" t="s">
        <v>61</v>
      </c>
      <c r="C966" s="31"/>
      <c r="D966" s="31"/>
      <c r="E966" s="439">
        <f>SUM(E952:E965)</f>
        <v>32</v>
      </c>
      <c r="F966" s="320">
        <f>SUM(F952:F960)</f>
        <v>0</v>
      </c>
      <c r="G966" s="31"/>
      <c r="H966" s="31"/>
      <c r="I966" s="31"/>
      <c r="J966" s="439">
        <f>SUM(J952:J965)</f>
        <v>32</v>
      </c>
      <c r="K966" s="320">
        <f>SUM(K952:K960)</f>
        <v>0</v>
      </c>
      <c r="L966" s="31"/>
      <c r="M966" s="31"/>
      <c r="N966" s="31"/>
      <c r="O966" s="439">
        <f>SUM(O952:O965)</f>
        <v>32</v>
      </c>
      <c r="P966" s="320">
        <f>SUM(P952:P964)</f>
        <v>0</v>
      </c>
      <c r="Q966" s="31"/>
      <c r="R966" s="31"/>
      <c r="S966" s="31"/>
      <c r="T966" s="439">
        <f>SUM(T952:T965)</f>
        <v>56</v>
      </c>
      <c r="U966" s="320">
        <f>SUM(U952:U964)</f>
        <v>0</v>
      </c>
      <c r="V966" s="31"/>
      <c r="W966" s="31"/>
      <c r="X966" s="31"/>
      <c r="Y966" s="439">
        <f>SUM(Y952:Y965)</f>
        <v>48</v>
      </c>
      <c r="Z966" s="320">
        <f>SUM(Z952:Z960)</f>
        <v>0</v>
      </c>
      <c r="AA966" s="370">
        <f>SUM(AA952:AA965)</f>
        <v>200</v>
      </c>
      <c r="AB966" s="370">
        <f>SUM(AB952:AB965)</f>
        <v>0</v>
      </c>
      <c r="AC966" s="4"/>
      <c r="AD966" s="64"/>
      <c r="AE966" s="64"/>
      <c r="AF966" s="167">
        <f>SUM(AF952:AF965)</f>
        <v>0</v>
      </c>
      <c r="AG966" s="370">
        <f>SUM(AG952:AG965)</f>
        <v>0</v>
      </c>
    </row>
    <row r="967" spans="2:47" hidden="1" outlineLevel="1">
      <c r="B967" s="63" t="s">
        <v>64</v>
      </c>
      <c r="C967" s="19"/>
      <c r="D967" s="291"/>
      <c r="E967" s="19"/>
      <c r="F967" s="291"/>
      <c r="G967" s="19"/>
      <c r="H967" s="291"/>
      <c r="I967" s="19"/>
      <c r="J967" s="291"/>
      <c r="K967" s="19"/>
      <c r="L967" s="291"/>
      <c r="M967" s="19"/>
      <c r="N967" s="291"/>
      <c r="O967" s="19"/>
      <c r="P967" s="291"/>
      <c r="Q967" s="19"/>
      <c r="R967" s="291"/>
      <c r="S967" s="19"/>
      <c r="T967" s="291"/>
      <c r="U967" s="19"/>
      <c r="V967" s="291"/>
      <c r="W967" s="19"/>
      <c r="X967" s="291"/>
      <c r="Y967" s="19"/>
      <c r="Z967" s="291"/>
      <c r="AA967" s="28">
        <f>SUM(E967+J967+O967+T967+Y967)</f>
        <v>0</v>
      </c>
      <c r="AB967" s="296">
        <f>Z967+U967+P967+K967+F967</f>
        <v>0</v>
      </c>
      <c r="AC967" s="4"/>
      <c r="AD967" s="56"/>
      <c r="AE967" s="56"/>
      <c r="AF967" s="19"/>
      <c r="AG967" s="29">
        <f>AF967</f>
        <v>0</v>
      </c>
    </row>
    <row r="968" spans="2:47" hidden="1" outlineLevel="1">
      <c r="B968" s="63" t="s">
        <v>63</v>
      </c>
      <c r="C968" s="19"/>
      <c r="D968" s="291"/>
      <c r="E968" s="19"/>
      <c r="F968" s="291"/>
      <c r="G968" s="19"/>
      <c r="H968" s="291"/>
      <c r="I968" s="19"/>
      <c r="J968" s="291">
        <v>2</v>
      </c>
      <c r="K968" s="19"/>
      <c r="L968" s="291"/>
      <c r="M968" s="19"/>
      <c r="N968" s="291"/>
      <c r="O968" s="19"/>
      <c r="P968" s="291"/>
      <c r="Q968" s="19"/>
      <c r="R968" s="291"/>
      <c r="S968" s="19"/>
      <c r="T968" s="291">
        <v>1</v>
      </c>
      <c r="U968" s="19"/>
      <c r="V968" s="291"/>
      <c r="W968" s="19"/>
      <c r="X968" s="291"/>
      <c r="Y968" s="19">
        <v>1</v>
      </c>
      <c r="Z968" s="291"/>
      <c r="AA968" s="28">
        <f>SUM(E968+J968+O968+T968+Y968)</f>
        <v>4</v>
      </c>
      <c r="AB968" s="296">
        <f>Z968+U968+P968+K968+F968</f>
        <v>0</v>
      </c>
      <c r="AC968" s="4"/>
      <c r="AD968" s="56"/>
      <c r="AE968" s="56"/>
      <c r="AF968" s="19"/>
      <c r="AG968" s="29">
        <f>AF968</f>
        <v>0</v>
      </c>
    </row>
    <row r="969" spans="2:47" hidden="1" outlineLevel="1">
      <c r="B969" s="71" t="s">
        <v>66</v>
      </c>
      <c r="C969" s="371"/>
      <c r="D969" s="371"/>
      <c r="E969" s="71">
        <f t="shared" ref="E969:AB969" si="164">SUM(E967:E968)</f>
        <v>0</v>
      </c>
      <c r="F969" s="71">
        <f t="shared" si="164"/>
        <v>0</v>
      </c>
      <c r="G969" s="71">
        <f t="shared" si="164"/>
        <v>0</v>
      </c>
      <c r="H969" s="71">
        <f t="shared" si="164"/>
        <v>0</v>
      </c>
      <c r="I969" s="71">
        <f t="shared" si="164"/>
        <v>0</v>
      </c>
      <c r="J969" s="71">
        <f t="shared" si="164"/>
        <v>2</v>
      </c>
      <c r="K969" s="71">
        <f t="shared" si="164"/>
        <v>0</v>
      </c>
      <c r="L969" s="71">
        <f t="shared" si="164"/>
        <v>0</v>
      </c>
      <c r="M969" s="71">
        <f t="shared" si="164"/>
        <v>0</v>
      </c>
      <c r="N969" s="71">
        <f t="shared" si="164"/>
        <v>0</v>
      </c>
      <c r="O969" s="71">
        <f t="shared" si="164"/>
        <v>0</v>
      </c>
      <c r="P969" s="71">
        <f t="shared" si="164"/>
        <v>0</v>
      </c>
      <c r="Q969" s="71">
        <f t="shared" si="164"/>
        <v>0</v>
      </c>
      <c r="R969" s="71">
        <f t="shared" si="164"/>
        <v>0</v>
      </c>
      <c r="S969" s="71">
        <f t="shared" si="164"/>
        <v>0</v>
      </c>
      <c r="T969" s="71">
        <f t="shared" si="164"/>
        <v>1</v>
      </c>
      <c r="U969" s="71">
        <f t="shared" si="164"/>
        <v>0</v>
      </c>
      <c r="V969" s="71">
        <f t="shared" si="164"/>
        <v>0</v>
      </c>
      <c r="W969" s="71">
        <f t="shared" si="164"/>
        <v>0</v>
      </c>
      <c r="X969" s="71">
        <f t="shared" si="164"/>
        <v>0</v>
      </c>
      <c r="Y969" s="71">
        <f t="shared" si="164"/>
        <v>1</v>
      </c>
      <c r="Z969" s="71">
        <f t="shared" si="164"/>
        <v>0</v>
      </c>
      <c r="AA969" s="370">
        <f t="shared" si="164"/>
        <v>4</v>
      </c>
      <c r="AB969" s="370">
        <f t="shared" si="164"/>
        <v>0</v>
      </c>
      <c r="AC969" s="4"/>
      <c r="AG969" s="370">
        <f>SUM(AG967:AG968)</f>
        <v>0</v>
      </c>
    </row>
    <row r="970" spans="2:47" hidden="1" outlineLevel="1">
      <c r="B970" s="217" t="s">
        <v>67</v>
      </c>
      <c r="C970" s="207">
        <f>C971+C972</f>
        <v>5</v>
      </c>
      <c r="D970" s="207"/>
      <c r="E970" s="209"/>
      <c r="F970" s="209"/>
      <c r="G970" s="207"/>
      <c r="H970" s="209"/>
      <c r="I970" s="209"/>
      <c r="J970" s="209"/>
      <c r="K970" s="209"/>
      <c r="L970" s="207"/>
      <c r="M970" s="207"/>
      <c r="N970" s="207"/>
      <c r="O970" s="207"/>
      <c r="P970" s="209"/>
      <c r="Q970" s="207"/>
      <c r="R970" s="207"/>
      <c r="S970" s="207"/>
      <c r="T970" s="207"/>
      <c r="U970" s="209"/>
      <c r="V970" s="207"/>
      <c r="W970" s="207"/>
      <c r="X970" s="207"/>
      <c r="Y970" s="210"/>
      <c r="Z970" s="209"/>
      <c r="AA970" s="211"/>
      <c r="AB970" s="209"/>
      <c r="AC970" s="211"/>
      <c r="AD970" s="211"/>
      <c r="AE970" s="211"/>
      <c r="AF970" s="211"/>
      <c r="AG970" s="211"/>
    </row>
    <row r="971" spans="2:47" hidden="1" outlineLevel="1">
      <c r="B971" s="238" t="s">
        <v>68</v>
      </c>
      <c r="C971" s="239"/>
      <c r="D971" s="207"/>
      <c r="E971" s="209"/>
      <c r="F971" s="209"/>
      <c r="G971" s="207"/>
      <c r="H971" s="209"/>
      <c r="I971" s="209"/>
      <c r="J971" s="209"/>
      <c r="K971" s="209"/>
      <c r="L971" s="207"/>
      <c r="M971" s="207"/>
      <c r="N971" s="207"/>
      <c r="O971" s="207"/>
      <c r="P971" s="209"/>
      <c r="Q971" s="207"/>
      <c r="R971" s="207"/>
      <c r="S971" s="207"/>
      <c r="T971" s="207"/>
      <c r="U971" s="209"/>
      <c r="V971" s="207"/>
      <c r="W971" s="207"/>
      <c r="X971" s="207"/>
      <c r="Y971" s="210"/>
      <c r="Z971" s="209"/>
      <c r="AA971" s="211"/>
      <c r="AB971" s="209"/>
      <c r="AC971" s="211"/>
      <c r="AD971" s="211"/>
      <c r="AE971" s="211"/>
      <c r="AF971" s="211"/>
      <c r="AG971" s="211"/>
    </row>
    <row r="972" spans="2:47" hidden="1" outlineLevel="1">
      <c r="B972" s="238" t="s">
        <v>69</v>
      </c>
      <c r="C972" s="526">
        <v>5</v>
      </c>
      <c r="D972" s="207"/>
      <c r="E972" s="209"/>
      <c r="F972" s="209"/>
      <c r="G972" s="207"/>
      <c r="H972" s="209"/>
      <c r="I972" s="209"/>
      <c r="J972" s="209"/>
      <c r="K972" s="209"/>
      <c r="L972" s="207"/>
      <c r="M972" s="207"/>
      <c r="N972" s="207"/>
      <c r="O972" s="207"/>
      <c r="P972" s="209"/>
      <c r="Q972" s="207"/>
      <c r="R972" s="207"/>
      <c r="S972" s="207"/>
      <c r="T972" s="207"/>
      <c r="U972" s="209"/>
      <c r="V972" s="207"/>
      <c r="W972" s="207"/>
      <c r="X972" s="207"/>
      <c r="Y972" s="210"/>
      <c r="Z972" s="209"/>
      <c r="AA972" s="211"/>
      <c r="AB972" s="209"/>
      <c r="AC972" s="211"/>
      <c r="AD972" s="211"/>
      <c r="AE972" s="211"/>
      <c r="AF972" s="211"/>
      <c r="AG972" s="211"/>
    </row>
    <row r="973" spans="2:47" hidden="1" outlineLevel="1">
      <c r="B973" s="180"/>
      <c r="E973" s="4"/>
      <c r="F973" s="4"/>
      <c r="G973" s="4"/>
      <c r="J973" s="4"/>
      <c r="K973" s="4"/>
      <c r="L973" s="4"/>
      <c r="O973" s="4"/>
      <c r="P973" s="4"/>
      <c r="T973" s="4"/>
      <c r="U973" s="4"/>
      <c r="Y973" s="4"/>
      <c r="Z973" s="4"/>
      <c r="AA973" s="4"/>
      <c r="AB973" s="4"/>
      <c r="AC973" s="4"/>
    </row>
    <row r="974" spans="2:47" hidden="1" outlineLevel="1">
      <c r="B974" s="229"/>
      <c r="C974" s="230"/>
      <c r="D974" s="230"/>
      <c r="E974" s="232"/>
      <c r="F974" s="232"/>
      <c r="G974" s="230"/>
      <c r="H974" s="232"/>
      <c r="I974" s="232"/>
      <c r="J974" s="232"/>
      <c r="K974" s="232"/>
      <c r="L974" s="230"/>
      <c r="M974" s="230"/>
      <c r="N974" s="230"/>
      <c r="O974" s="230"/>
      <c r="P974" s="232"/>
      <c r="Q974" s="230"/>
      <c r="R974" s="230"/>
      <c r="S974" s="230"/>
      <c r="T974" s="230"/>
      <c r="U974" s="232"/>
      <c r="V974" s="230"/>
      <c r="W974" s="230"/>
      <c r="X974" s="230"/>
      <c r="Y974" s="233"/>
      <c r="Z974" s="232"/>
      <c r="AA974" s="234"/>
      <c r="AB974" s="232"/>
      <c r="AC974" s="373"/>
      <c r="AD974" s="236"/>
      <c r="AE974" s="255"/>
      <c r="AF974" s="255"/>
      <c r="AG974" s="255"/>
      <c r="AH974" s="255"/>
      <c r="AJ974" s="255"/>
      <c r="AK974" s="255"/>
      <c r="AL974" s="255"/>
      <c r="AM974" s="255"/>
      <c r="AN974" s="255"/>
      <c r="AO974" s="255"/>
      <c r="AP974" s="255"/>
      <c r="AQ974" s="255"/>
      <c r="AR974" s="255"/>
      <c r="AS974" s="255"/>
      <c r="AT974" s="255"/>
      <c r="AU974" s="255"/>
    </row>
    <row r="975" spans="2:47" hidden="1" outlineLevel="1">
      <c r="B975" s="180"/>
      <c r="E975" s="4"/>
      <c r="F975" s="4"/>
      <c r="G975" s="4"/>
      <c r="J975" s="4"/>
      <c r="K975" s="4"/>
      <c r="L975" s="4"/>
      <c r="O975" s="4"/>
      <c r="P975" s="4"/>
      <c r="T975" s="4"/>
      <c r="U975" s="4"/>
      <c r="Y975" s="4"/>
      <c r="Z975" s="4"/>
      <c r="AA975" s="4"/>
      <c r="AB975" s="4"/>
      <c r="AC975" s="4"/>
      <c r="AK975" s="180"/>
      <c r="AL975" s="180"/>
      <c r="AM975" s="180"/>
      <c r="AN975" s="180"/>
      <c r="AO975" s="180"/>
      <c r="AP975" s="180"/>
    </row>
    <row r="976" spans="2:47" ht="10.9" hidden="1" customHeight="1" outlineLevel="1">
      <c r="B976" s="1518" t="s">
        <v>18</v>
      </c>
      <c r="C976" s="1547">
        <v>45502</v>
      </c>
      <c r="D976" s="1548"/>
      <c r="E976" s="1548"/>
      <c r="F976" s="1548"/>
      <c r="G976" s="607" t="s">
        <v>313</v>
      </c>
      <c r="H976" s="1547">
        <v>45503</v>
      </c>
      <c r="I976" s="1548"/>
      <c r="J976" s="1548"/>
      <c r="K976" s="1548"/>
      <c r="L976" s="607" t="s">
        <v>313</v>
      </c>
      <c r="M976" s="1547">
        <v>45504</v>
      </c>
      <c r="N976" s="1548"/>
      <c r="O976" s="1548"/>
      <c r="P976" s="1548"/>
      <c r="Q976" s="607" t="s">
        <v>313</v>
      </c>
      <c r="R976" s="1547">
        <v>45505</v>
      </c>
      <c r="S976" s="1548"/>
      <c r="T976" s="1548"/>
      <c r="U976" s="1548"/>
      <c r="V976" s="607" t="s">
        <v>313</v>
      </c>
      <c r="W976" s="1547">
        <v>45506</v>
      </c>
      <c r="X976" s="1548"/>
      <c r="Y976" s="1548"/>
      <c r="Z976" s="1548"/>
      <c r="AA976" s="1517" t="s">
        <v>19</v>
      </c>
      <c r="AB976" s="1517" t="s">
        <v>20</v>
      </c>
      <c r="AC976" s="4"/>
      <c r="AD976" s="1519">
        <v>45507</v>
      </c>
      <c r="AE976" s="1519"/>
      <c r="AF976" s="1519"/>
      <c r="AG976" s="1517" t="s">
        <v>21</v>
      </c>
      <c r="AI976" s="368"/>
      <c r="AK976" s="194" t="s">
        <v>84</v>
      </c>
      <c r="AL976" s="366"/>
      <c r="AM976" s="366"/>
      <c r="AN976" s="366"/>
      <c r="AO976" s="366"/>
      <c r="AP976" s="366"/>
    </row>
    <row r="977" spans="2:47" hidden="1" outlineLevel="1">
      <c r="B977" s="1518"/>
      <c r="C977" s="21" t="s">
        <v>23</v>
      </c>
      <c r="D977" s="21" t="s">
        <v>24</v>
      </c>
      <c r="E977" s="205" t="s">
        <v>25</v>
      </c>
      <c r="F977" s="18" t="s">
        <v>14</v>
      </c>
      <c r="G977" s="4"/>
      <c r="H977" s="21" t="s">
        <v>23</v>
      </c>
      <c r="I977" s="21" t="s">
        <v>24</v>
      </c>
      <c r="J977" s="18" t="s">
        <v>25</v>
      </c>
      <c r="K977" s="18" t="s">
        <v>14</v>
      </c>
      <c r="L977" s="4"/>
      <c r="M977" s="21" t="s">
        <v>23</v>
      </c>
      <c r="N977" s="21" t="s">
        <v>24</v>
      </c>
      <c r="O977" s="18" t="s">
        <v>25</v>
      </c>
      <c r="P977" s="18" t="s">
        <v>14</v>
      </c>
      <c r="R977" s="484" t="s">
        <v>23</v>
      </c>
      <c r="S977" s="21" t="s">
        <v>24</v>
      </c>
      <c r="T977" s="18" t="s">
        <v>25</v>
      </c>
      <c r="U977" s="18" t="s">
        <v>14</v>
      </c>
      <c r="W977" s="484" t="s">
        <v>23</v>
      </c>
      <c r="X977" s="21" t="s">
        <v>24</v>
      </c>
      <c r="Y977" s="18" t="s">
        <v>25</v>
      </c>
      <c r="Z977" s="18" t="s">
        <v>14</v>
      </c>
      <c r="AA977" s="1517"/>
      <c r="AB977" s="1517"/>
      <c r="AC977" s="4"/>
      <c r="AD977" s="21" t="s">
        <v>23</v>
      </c>
      <c r="AE977" s="21" t="s">
        <v>24</v>
      </c>
      <c r="AF977" s="18" t="s">
        <v>25</v>
      </c>
      <c r="AG977" s="1517"/>
      <c r="AI977" s="368"/>
      <c r="AJ977" s="367"/>
      <c r="AK977" s="188" t="s">
        <v>26</v>
      </c>
      <c r="AL977" s="196">
        <f>AA992</f>
        <v>209</v>
      </c>
      <c r="AM977" s="510">
        <v>38</v>
      </c>
      <c r="AN977" s="510">
        <f t="shared" ref="AN977:AN983" si="165">AL977*AM977</f>
        <v>7942</v>
      </c>
      <c r="AQ977" s="367"/>
      <c r="AR977" s="367"/>
      <c r="AS977" s="367"/>
      <c r="AT977" s="367"/>
      <c r="AU977" s="367"/>
    </row>
    <row r="978" spans="2:47" hidden="1" outlineLevel="1">
      <c r="B978" s="522" t="s">
        <v>266</v>
      </c>
      <c r="C978" s="47" t="s">
        <v>29</v>
      </c>
      <c r="D978" s="47" t="s">
        <v>29</v>
      </c>
      <c r="E978" s="319">
        <v>0</v>
      </c>
      <c r="F978" s="320"/>
      <c r="G978" s="4"/>
      <c r="H978" s="47" t="s">
        <v>29</v>
      </c>
      <c r="I978" s="47" t="s">
        <v>29</v>
      </c>
      <c r="J978" s="319"/>
      <c r="K978" s="320"/>
      <c r="L978" s="4"/>
      <c r="M978" s="441" t="s">
        <v>154</v>
      </c>
      <c r="N978" s="47">
        <v>0</v>
      </c>
      <c r="O978" s="319">
        <v>0</v>
      </c>
      <c r="P978" s="320"/>
      <c r="R978" s="604"/>
      <c r="S978" s="604"/>
      <c r="T978" s="319"/>
      <c r="U978" s="320"/>
      <c r="W978" s="604"/>
      <c r="X978" s="604"/>
      <c r="Y978" s="319"/>
      <c r="Z978" s="320"/>
      <c r="AA978" s="29">
        <f t="shared" ref="AA978:AA991" si="166">(E978+J978+O978+T978+Y978)</f>
        <v>0</v>
      </c>
      <c r="AB978" s="298">
        <f>Z978+U978+P978+K978+F978</f>
        <v>0</v>
      </c>
      <c r="AC978" s="399"/>
      <c r="AD978" s="47" t="s">
        <v>29</v>
      </c>
      <c r="AE978" s="47" t="s">
        <v>29</v>
      </c>
      <c r="AF978" s="346"/>
      <c r="AG978" s="29">
        <f t="shared" ref="AG978:AG991" si="167">AF978</f>
        <v>0</v>
      </c>
      <c r="AH978" s="175"/>
      <c r="AJ978" s="401"/>
      <c r="AK978" s="188" t="s">
        <v>30</v>
      </c>
      <c r="AL978" s="196">
        <f>AB992</f>
        <v>0</v>
      </c>
      <c r="AM978" s="511">
        <v>57</v>
      </c>
      <c r="AN978" s="510">
        <f t="shared" si="165"/>
        <v>0</v>
      </c>
      <c r="AO978" s="405"/>
      <c r="AP978" s="405"/>
      <c r="AQ978" s="401"/>
      <c r="AR978" s="401"/>
      <c r="AS978" s="401"/>
      <c r="AT978" s="401"/>
      <c r="AU978" s="401"/>
    </row>
    <row r="979" spans="2:47" hidden="1" outlineLevel="1">
      <c r="B979" s="523" t="s">
        <v>268</v>
      </c>
      <c r="C979" s="47" t="s">
        <v>29</v>
      </c>
      <c r="D979" s="47" t="s">
        <v>29</v>
      </c>
      <c r="E979" s="319">
        <v>0</v>
      </c>
      <c r="F979" s="320"/>
      <c r="G979" s="4"/>
      <c r="H979" s="47" t="s">
        <v>29</v>
      </c>
      <c r="I979" s="47" t="s">
        <v>29</v>
      </c>
      <c r="J979" s="319"/>
      <c r="K979" s="320"/>
      <c r="L979" s="4"/>
      <c r="M979" s="441" t="s">
        <v>75</v>
      </c>
      <c r="N979" s="47">
        <v>0.25</v>
      </c>
      <c r="O979" s="319">
        <v>8</v>
      </c>
      <c r="P979" s="320"/>
      <c r="R979" s="604">
        <v>4.1666666666666664E-2</v>
      </c>
      <c r="S979" s="604">
        <v>0.125</v>
      </c>
      <c r="T979" s="319">
        <v>2</v>
      </c>
      <c r="U979" s="320"/>
      <c r="W979" s="601"/>
      <c r="X979" s="604"/>
      <c r="Y979" s="319"/>
      <c r="Z979" s="320"/>
      <c r="AA979" s="29">
        <f t="shared" si="166"/>
        <v>10</v>
      </c>
      <c r="AB979" s="298">
        <f>Z979+U979+P979+K979+F979</f>
        <v>0</v>
      </c>
      <c r="AC979" s="175"/>
      <c r="AD979" s="47" t="s">
        <v>29</v>
      </c>
      <c r="AE979" s="47" t="s">
        <v>29</v>
      </c>
      <c r="AF979" s="346"/>
      <c r="AG979" s="344">
        <f t="shared" si="167"/>
        <v>0</v>
      </c>
      <c r="AH979" s="175"/>
      <c r="AI979" s="368"/>
      <c r="AK979" s="188" t="s">
        <v>32</v>
      </c>
      <c r="AL979" s="196">
        <f>AG992</f>
        <v>0</v>
      </c>
      <c r="AM979" s="510">
        <v>57</v>
      </c>
      <c r="AN979" s="510">
        <f t="shared" si="165"/>
        <v>0</v>
      </c>
    </row>
    <row r="980" spans="2:47" hidden="1" outlineLevel="1">
      <c r="B980" s="522" t="s">
        <v>271</v>
      </c>
      <c r="C980" s="47" t="s">
        <v>29</v>
      </c>
      <c r="D980" s="47" t="s">
        <v>29</v>
      </c>
      <c r="E980" s="319">
        <v>0</v>
      </c>
      <c r="F980" s="320"/>
      <c r="G980" s="4"/>
      <c r="H980" s="47" t="s">
        <v>29</v>
      </c>
      <c r="I980" s="47" t="s">
        <v>29</v>
      </c>
      <c r="J980" s="319"/>
      <c r="K980" s="320"/>
      <c r="L980" s="4"/>
      <c r="M980" s="441" t="s">
        <v>75</v>
      </c>
      <c r="N980" s="47">
        <v>0.25</v>
      </c>
      <c r="O980" s="319">
        <v>8</v>
      </c>
      <c r="P980" s="320"/>
      <c r="R980" s="604">
        <v>4.1666666666666664E-2</v>
      </c>
      <c r="S980" s="604">
        <v>0.125</v>
      </c>
      <c r="T980" s="319">
        <v>2</v>
      </c>
      <c r="U980" s="320"/>
      <c r="W980" s="601"/>
      <c r="X980" s="601"/>
      <c r="Y980" s="319"/>
      <c r="Z980" s="320"/>
      <c r="AA980" s="29">
        <f t="shared" si="166"/>
        <v>10</v>
      </c>
      <c r="AB980" s="298">
        <f>Z980+U980+P980+K980+F980</f>
        <v>0</v>
      </c>
      <c r="AC980" s="4"/>
      <c r="AD980" s="47" t="s">
        <v>29</v>
      </c>
      <c r="AE980" s="47" t="s">
        <v>29</v>
      </c>
      <c r="AF980" s="346"/>
      <c r="AG980" s="29">
        <f t="shared" si="167"/>
        <v>0</v>
      </c>
      <c r="AJ980" s="367"/>
      <c r="AK980" s="403" t="s">
        <v>213</v>
      </c>
      <c r="AL980" s="404">
        <f>AA995</f>
        <v>4</v>
      </c>
      <c r="AM980" s="510">
        <v>50</v>
      </c>
      <c r="AN980" s="510">
        <f t="shared" si="165"/>
        <v>200</v>
      </c>
      <c r="AQ980" s="367"/>
      <c r="AR980" s="367"/>
      <c r="AS980" s="367"/>
      <c r="AT980" s="367"/>
      <c r="AU980" s="367"/>
    </row>
    <row r="981" spans="2:47" hidden="1" outlineLevel="1">
      <c r="B981" s="523" t="s">
        <v>272</v>
      </c>
      <c r="C981" s="47" t="s">
        <v>29</v>
      </c>
      <c r="D981" s="47" t="s">
        <v>29</v>
      </c>
      <c r="E981" s="319">
        <v>0</v>
      </c>
      <c r="F981" s="320"/>
      <c r="G981" s="4"/>
      <c r="H981" s="47" t="s">
        <v>29</v>
      </c>
      <c r="I981" s="47" t="s">
        <v>29</v>
      </c>
      <c r="J981" s="319"/>
      <c r="K981" s="320"/>
      <c r="L981" s="4"/>
      <c r="M981" s="441" t="s">
        <v>75</v>
      </c>
      <c r="N981" s="47">
        <v>0.25</v>
      </c>
      <c r="O981" s="319">
        <v>8</v>
      </c>
      <c r="P981" s="320"/>
      <c r="R981" s="604"/>
      <c r="S981" s="604"/>
      <c r="T981" s="319"/>
      <c r="U981" s="320"/>
      <c r="W981" s="604"/>
      <c r="X981" s="604"/>
      <c r="Y981" s="319"/>
      <c r="Z981" s="320"/>
      <c r="AA981" s="29">
        <f t="shared" si="166"/>
        <v>8</v>
      </c>
      <c r="AB981" s="298">
        <f>Z981+U981+P981+K981+F981</f>
        <v>0</v>
      </c>
      <c r="AC981" s="4"/>
      <c r="AD981" s="47" t="s">
        <v>29</v>
      </c>
      <c r="AE981" s="47" t="s">
        <v>29</v>
      </c>
      <c r="AF981" s="346"/>
      <c r="AG981" s="29">
        <f t="shared" si="167"/>
        <v>0</v>
      </c>
      <c r="AK981" s="188" t="s">
        <v>36</v>
      </c>
      <c r="AL981" s="196">
        <f>AB995</f>
        <v>0</v>
      </c>
      <c r="AM981" s="510">
        <v>75</v>
      </c>
      <c r="AN981" s="510">
        <f t="shared" si="165"/>
        <v>0</v>
      </c>
    </row>
    <row r="982" spans="2:47" hidden="1" outlineLevel="1">
      <c r="B982" s="524" t="s">
        <v>275</v>
      </c>
      <c r="C982" s="47" t="s">
        <v>29</v>
      </c>
      <c r="D982" s="47" t="s">
        <v>29</v>
      </c>
      <c r="E982" s="319">
        <v>0</v>
      </c>
      <c r="F982" s="320"/>
      <c r="G982" s="4"/>
      <c r="H982" s="441" t="s">
        <v>315</v>
      </c>
      <c r="I982" s="47"/>
      <c r="J982" s="319">
        <v>2</v>
      </c>
      <c r="K982" s="320"/>
      <c r="L982" s="4"/>
      <c r="M982" s="441" t="s">
        <v>75</v>
      </c>
      <c r="N982" s="47">
        <v>0.25</v>
      </c>
      <c r="O982" s="319">
        <v>8</v>
      </c>
      <c r="P982" s="320"/>
      <c r="R982" s="601"/>
      <c r="S982" s="604"/>
      <c r="T982" s="319"/>
      <c r="U982" s="320"/>
      <c r="W982" s="601"/>
      <c r="X982" s="601"/>
      <c r="Y982" s="319"/>
      <c r="Z982" s="320"/>
      <c r="AA982" s="29">
        <f t="shared" si="166"/>
        <v>10</v>
      </c>
      <c r="AB982" s="298">
        <f>Z982+U982+P982+K982+F981</f>
        <v>0</v>
      </c>
      <c r="AC982" s="4"/>
      <c r="AD982" s="47" t="s">
        <v>29</v>
      </c>
      <c r="AE982" s="47" t="s">
        <v>29</v>
      </c>
      <c r="AF982" s="346"/>
      <c r="AG982" s="29">
        <f t="shared" si="167"/>
        <v>0</v>
      </c>
      <c r="AK982" s="188" t="s">
        <v>38</v>
      </c>
      <c r="AL982" s="196">
        <f>AG995</f>
        <v>0</v>
      </c>
      <c r="AM982" s="510">
        <v>75</v>
      </c>
      <c r="AN982" s="510">
        <f t="shared" si="165"/>
        <v>0</v>
      </c>
    </row>
    <row r="983" spans="2:47" ht="14.25" hidden="1" outlineLevel="1" thickBot="1">
      <c r="B983" s="523" t="s">
        <v>277</v>
      </c>
      <c r="C983" s="47" t="s">
        <v>29</v>
      </c>
      <c r="D983" s="47" t="s">
        <v>29</v>
      </c>
      <c r="E983" s="319">
        <v>0</v>
      </c>
      <c r="F983" s="320"/>
      <c r="G983" s="4"/>
      <c r="H983" s="47" t="s">
        <v>29</v>
      </c>
      <c r="I983" s="47" t="s">
        <v>29</v>
      </c>
      <c r="J983" s="319"/>
      <c r="K983" s="320"/>
      <c r="L983" s="4"/>
      <c r="M983" s="441" t="s">
        <v>75</v>
      </c>
      <c r="N983" s="47">
        <v>0.25</v>
      </c>
      <c r="O983" s="319">
        <v>8</v>
      </c>
      <c r="P983" s="320"/>
      <c r="R983" s="601"/>
      <c r="S983" s="604"/>
      <c r="T983" s="319"/>
      <c r="U983" s="320"/>
      <c r="W983" s="601"/>
      <c r="X983" s="601"/>
      <c r="Y983" s="319"/>
      <c r="Z983" s="320"/>
      <c r="AA983" s="29">
        <f t="shared" si="166"/>
        <v>8</v>
      </c>
      <c r="AB983" s="298">
        <f>Z983+U983+P983+K983+F982</f>
        <v>0</v>
      </c>
      <c r="AC983" s="4"/>
      <c r="AD983" s="47" t="s">
        <v>29</v>
      </c>
      <c r="AE983" s="47" t="s">
        <v>29</v>
      </c>
      <c r="AF983" s="346"/>
      <c r="AG983" s="29">
        <f t="shared" si="167"/>
        <v>0</v>
      </c>
      <c r="AK983" s="188" t="s">
        <v>41</v>
      </c>
      <c r="AL983" s="196">
        <f>C996</f>
        <v>7</v>
      </c>
      <c r="AM983" s="512">
        <v>45</v>
      </c>
      <c r="AN983" s="512">
        <f t="shared" si="165"/>
        <v>315</v>
      </c>
    </row>
    <row r="984" spans="2:47" ht="14.25" hidden="1" outlineLevel="1" thickTop="1">
      <c r="B984" s="180"/>
      <c r="C984" s="441"/>
      <c r="D984" s="47"/>
      <c r="E984" s="319"/>
      <c r="F984" s="320"/>
      <c r="G984" s="4"/>
      <c r="H984" s="441"/>
      <c r="I984" s="47"/>
      <c r="J984" s="319"/>
      <c r="K984" s="320"/>
      <c r="L984" s="4"/>
      <c r="M984" s="441"/>
      <c r="N984" s="47"/>
      <c r="O984" s="319"/>
      <c r="P984" s="320"/>
      <c r="R984" s="441"/>
      <c r="S984" s="47"/>
      <c r="T984" s="319"/>
      <c r="U984" s="320"/>
      <c r="W984" s="601" t="s">
        <v>313</v>
      </c>
      <c r="X984" s="601" t="s">
        <v>313</v>
      </c>
      <c r="Y984" s="319"/>
      <c r="Z984" s="320"/>
      <c r="AA984" s="29">
        <f t="shared" si="166"/>
        <v>0</v>
      </c>
      <c r="AB984" s="298">
        <f>Z984+U984+P984+K984+F983</f>
        <v>0</v>
      </c>
      <c r="AC984" s="4"/>
      <c r="AD984" s="47" t="s">
        <v>29</v>
      </c>
      <c r="AE984" s="47" t="s">
        <v>29</v>
      </c>
      <c r="AF984" s="346"/>
      <c r="AG984" s="29">
        <f t="shared" si="167"/>
        <v>0</v>
      </c>
      <c r="AN984" s="510">
        <f>SUM(AN977:AN983)</f>
        <v>8457</v>
      </c>
    </row>
    <row r="985" spans="2:47" hidden="1" outlineLevel="1">
      <c r="B985" s="180"/>
      <c r="C985" s="441"/>
      <c r="D985" s="47"/>
      <c r="E985" s="319"/>
      <c r="F985" s="320"/>
      <c r="G985" s="4"/>
      <c r="H985" s="441"/>
      <c r="I985" s="47"/>
      <c r="J985" s="319"/>
      <c r="K985" s="320"/>
      <c r="L985" s="4"/>
      <c r="M985" s="441"/>
      <c r="N985" s="47"/>
      <c r="O985" s="319"/>
      <c r="P985" s="320"/>
      <c r="R985" s="441"/>
      <c r="S985" s="47"/>
      <c r="T985" s="319"/>
      <c r="U985" s="320"/>
      <c r="W985" s="441"/>
      <c r="X985" s="47"/>
      <c r="Y985" s="319"/>
      <c r="Z985" s="320"/>
      <c r="AA985" s="29">
        <f t="shared" si="166"/>
        <v>0</v>
      </c>
      <c r="AB985" s="298">
        <f>Z985+U985+P985+K985+F984</f>
        <v>0</v>
      </c>
      <c r="AC985" s="4"/>
      <c r="AD985" s="47" t="s">
        <v>29</v>
      </c>
      <c r="AE985" s="47" t="s">
        <v>29</v>
      </c>
      <c r="AF985" s="346"/>
      <c r="AG985" s="29">
        <f t="shared" si="167"/>
        <v>0</v>
      </c>
    </row>
    <row r="986" spans="2:47" hidden="1" outlineLevel="1">
      <c r="B986" s="457"/>
      <c r="C986" s="441"/>
      <c r="D986" s="47"/>
      <c r="E986" s="319"/>
      <c r="F986" s="320"/>
      <c r="G986" s="4"/>
      <c r="H986" s="441"/>
      <c r="I986" s="47"/>
      <c r="J986" s="319"/>
      <c r="K986" s="320"/>
      <c r="L986" s="4"/>
      <c r="M986" s="441"/>
      <c r="N986" s="47"/>
      <c r="O986" s="319"/>
      <c r="P986" s="320"/>
      <c r="R986" s="441"/>
      <c r="S986" s="47"/>
      <c r="T986" s="319"/>
      <c r="U986" s="320"/>
      <c r="W986" s="441"/>
      <c r="X986" s="47"/>
      <c r="Y986" s="319"/>
      <c r="Z986" s="320"/>
      <c r="AA986" s="29">
        <f t="shared" si="166"/>
        <v>0</v>
      </c>
      <c r="AB986" s="298">
        <f t="shared" ref="AB986:AB991" si="168">Z986+U986+P986+K986+F986</f>
        <v>0</v>
      </c>
      <c r="AC986" s="4"/>
      <c r="AD986" s="47" t="s">
        <v>29</v>
      </c>
      <c r="AE986" s="47" t="s">
        <v>29</v>
      </c>
      <c r="AF986" s="19"/>
      <c r="AG986" s="29">
        <f t="shared" si="167"/>
        <v>0</v>
      </c>
    </row>
    <row r="987" spans="2:47" hidden="1" outlineLevel="1">
      <c r="B987" s="166" t="s">
        <v>279</v>
      </c>
      <c r="C987" s="47"/>
      <c r="D987" s="47"/>
      <c r="E987" s="319">
        <v>8</v>
      </c>
      <c r="F987" s="320"/>
      <c r="G987" s="4"/>
      <c r="H987" s="47"/>
      <c r="I987" s="47"/>
      <c r="J987" s="319">
        <v>8</v>
      </c>
      <c r="K987" s="320"/>
      <c r="L987" s="4"/>
      <c r="M987" s="47"/>
      <c r="N987" s="47"/>
      <c r="O987" s="319">
        <v>8</v>
      </c>
      <c r="P987" s="320"/>
      <c r="R987" s="47"/>
      <c r="S987" s="47"/>
      <c r="T987" s="319">
        <v>8</v>
      </c>
      <c r="U987" s="320"/>
      <c r="W987" s="47"/>
      <c r="X987" s="47"/>
      <c r="Y987" s="319">
        <v>8</v>
      </c>
      <c r="Z987" s="320"/>
      <c r="AA987" s="29">
        <f t="shared" si="166"/>
        <v>40</v>
      </c>
      <c r="AB987" s="298">
        <f t="shared" si="168"/>
        <v>0</v>
      </c>
      <c r="AC987" s="4"/>
      <c r="AD987" s="47" t="s">
        <v>29</v>
      </c>
      <c r="AE987" s="47" t="s">
        <v>29</v>
      </c>
      <c r="AF987" s="19"/>
      <c r="AG987" s="29">
        <f t="shared" si="167"/>
        <v>0</v>
      </c>
    </row>
    <row r="988" spans="2:47" hidden="1" outlineLevel="1">
      <c r="B988" s="166" t="s">
        <v>280</v>
      </c>
      <c r="C988" s="47"/>
      <c r="D988" s="47"/>
      <c r="E988" s="319">
        <v>8</v>
      </c>
      <c r="F988" s="320"/>
      <c r="G988" s="4"/>
      <c r="H988" s="47"/>
      <c r="I988" s="47"/>
      <c r="J988" s="319">
        <v>8</v>
      </c>
      <c r="K988" s="320"/>
      <c r="L988" s="4"/>
      <c r="M988" s="47"/>
      <c r="N988" s="47"/>
      <c r="O988" s="319">
        <v>8</v>
      </c>
      <c r="P988" s="320"/>
      <c r="R988" s="47"/>
      <c r="S988" s="47"/>
      <c r="T988" s="319">
        <v>8</v>
      </c>
      <c r="U988" s="320"/>
      <c r="W988" s="47"/>
      <c r="X988" s="47"/>
      <c r="Y988" s="319">
        <v>8</v>
      </c>
      <c r="Z988" s="320"/>
      <c r="AA988" s="29">
        <f t="shared" si="166"/>
        <v>40</v>
      </c>
      <c r="AB988" s="298">
        <f t="shared" si="168"/>
        <v>0</v>
      </c>
      <c r="AC988" s="4"/>
      <c r="AD988" s="47" t="s">
        <v>29</v>
      </c>
      <c r="AE988" s="47" t="s">
        <v>29</v>
      </c>
      <c r="AF988" s="19"/>
      <c r="AG988" s="29">
        <f t="shared" si="167"/>
        <v>0</v>
      </c>
    </row>
    <row r="989" spans="2:47" hidden="1" outlineLevel="1">
      <c r="B989" s="166" t="s">
        <v>281</v>
      </c>
      <c r="C989" s="47"/>
      <c r="D989" s="47"/>
      <c r="E989" s="319">
        <v>8</v>
      </c>
      <c r="F989" s="320"/>
      <c r="G989" s="4"/>
      <c r="H989" s="47"/>
      <c r="I989" s="47"/>
      <c r="J989" s="319">
        <v>8</v>
      </c>
      <c r="K989" s="320"/>
      <c r="L989" s="4"/>
      <c r="M989" s="47"/>
      <c r="N989" s="47"/>
      <c r="O989" s="319">
        <v>8</v>
      </c>
      <c r="P989" s="320"/>
      <c r="R989" s="47"/>
      <c r="S989" s="47"/>
      <c r="T989" s="319">
        <v>8</v>
      </c>
      <c r="U989" s="320"/>
      <c r="W989" s="47"/>
      <c r="X989" s="47"/>
      <c r="Y989" s="319">
        <v>8</v>
      </c>
      <c r="Z989" s="320"/>
      <c r="AA989" s="29">
        <f t="shared" si="166"/>
        <v>40</v>
      </c>
      <c r="AB989" s="298">
        <f t="shared" si="168"/>
        <v>0</v>
      </c>
      <c r="AC989" s="4"/>
      <c r="AD989" s="47" t="s">
        <v>29</v>
      </c>
      <c r="AE989" s="47" t="s">
        <v>29</v>
      </c>
      <c r="AF989" s="19"/>
      <c r="AG989" s="29">
        <f t="shared" si="167"/>
        <v>0</v>
      </c>
    </row>
    <row r="990" spans="2:47" hidden="1" outlineLevel="1">
      <c r="B990" s="166" t="s">
        <v>283</v>
      </c>
      <c r="C990" s="47"/>
      <c r="D990" s="47"/>
      <c r="E990" s="319">
        <v>8</v>
      </c>
      <c r="F990" s="320"/>
      <c r="G990" s="4"/>
      <c r="H990" s="47"/>
      <c r="I990" s="47"/>
      <c r="J990" s="319">
        <v>8</v>
      </c>
      <c r="K990" s="320"/>
      <c r="L990" s="4"/>
      <c r="M990" s="47"/>
      <c r="N990" s="47"/>
      <c r="O990" s="319">
        <v>8</v>
      </c>
      <c r="P990" s="320"/>
      <c r="R990" s="47"/>
      <c r="S990" s="47"/>
      <c r="T990" s="319">
        <v>8</v>
      </c>
      <c r="U990" s="320"/>
      <c r="W990" s="47"/>
      <c r="X990" s="47"/>
      <c r="Y990" s="319">
        <v>8</v>
      </c>
      <c r="Z990" s="320"/>
      <c r="AA990" s="29">
        <f t="shared" si="166"/>
        <v>40</v>
      </c>
      <c r="AB990" s="298">
        <f t="shared" si="168"/>
        <v>0</v>
      </c>
      <c r="AC990" s="4"/>
      <c r="AD990" s="47" t="s">
        <v>29</v>
      </c>
      <c r="AE990" s="47" t="s">
        <v>29</v>
      </c>
      <c r="AF990" s="19"/>
      <c r="AG990" s="29">
        <f t="shared" si="167"/>
        <v>0</v>
      </c>
    </row>
    <row r="991" spans="2:47" hidden="1" outlineLevel="1">
      <c r="B991" s="63" t="s">
        <v>63</v>
      </c>
      <c r="C991" s="47"/>
      <c r="D991" s="47"/>
      <c r="E991" s="319">
        <v>1</v>
      </c>
      <c r="F991" s="320"/>
      <c r="G991" s="438"/>
      <c r="H991" s="47"/>
      <c r="I991" s="47"/>
      <c r="J991" s="319"/>
      <c r="K991" s="320"/>
      <c r="L991" s="438"/>
      <c r="M991" s="47"/>
      <c r="N991" s="47"/>
      <c r="O991" s="319"/>
      <c r="P991" s="320"/>
      <c r="Q991" s="438"/>
      <c r="R991" s="47"/>
      <c r="S991" s="47"/>
      <c r="T991" s="319">
        <v>1</v>
      </c>
      <c r="U991" s="320"/>
      <c r="V991" s="438"/>
      <c r="W991" s="47"/>
      <c r="X991" s="47"/>
      <c r="Y991" s="319">
        <v>1</v>
      </c>
      <c r="Z991" s="320"/>
      <c r="AA991" s="29">
        <f t="shared" si="166"/>
        <v>3</v>
      </c>
      <c r="AB991" s="298">
        <f t="shared" si="168"/>
        <v>0</v>
      </c>
      <c r="AC991" s="4"/>
      <c r="AD991" s="47" t="s">
        <v>29</v>
      </c>
      <c r="AE991" s="47" t="s">
        <v>29</v>
      </c>
      <c r="AF991" s="19"/>
      <c r="AG991" s="29">
        <f t="shared" si="167"/>
        <v>0</v>
      </c>
      <c r="AK991" s="407"/>
    </row>
    <row r="992" spans="2:47" hidden="1" outlineLevel="1">
      <c r="B992" s="64" t="s">
        <v>61</v>
      </c>
      <c r="C992" s="31"/>
      <c r="D992" s="31"/>
      <c r="E992" s="439">
        <f>SUM(E978:E991)</f>
        <v>33</v>
      </c>
      <c r="F992" s="320">
        <f>SUM(F978:F986)</f>
        <v>0</v>
      </c>
      <c r="G992" s="31"/>
      <c r="H992" s="31"/>
      <c r="I992" s="31"/>
      <c r="J992" s="439">
        <f>SUM(J978:J991)</f>
        <v>34</v>
      </c>
      <c r="K992" s="320">
        <f>SUM(K978:K986)</f>
        <v>0</v>
      </c>
      <c r="L992" s="31"/>
      <c r="M992" s="31"/>
      <c r="N992" s="31"/>
      <c r="O992" s="439">
        <f>SUM(O978:O991)</f>
        <v>72</v>
      </c>
      <c r="P992" s="320">
        <f>SUM(P978:P990)</f>
        <v>0</v>
      </c>
      <c r="Q992" s="31"/>
      <c r="R992" s="31"/>
      <c r="S992" s="31"/>
      <c r="T992" s="439">
        <f>SUM(T978:T991)</f>
        <v>37</v>
      </c>
      <c r="U992" s="320">
        <f>SUM(U978:U990)</f>
        <v>0</v>
      </c>
      <c r="V992" s="31"/>
      <c r="W992" s="31"/>
      <c r="X992" s="31"/>
      <c r="Y992" s="439">
        <f>SUM(Y978:Y991)</f>
        <v>33</v>
      </c>
      <c r="Z992" s="320">
        <f>SUM(Z978:Z986)</f>
        <v>0</v>
      </c>
      <c r="AA992" s="370">
        <f>SUM(AA978:AA991)</f>
        <v>209</v>
      </c>
      <c r="AB992" s="370">
        <f>SUM(AB978:AB991)</f>
        <v>0</v>
      </c>
      <c r="AC992" s="4"/>
      <c r="AD992" s="64"/>
      <c r="AE992" s="64"/>
      <c r="AF992" s="167">
        <f>SUM(AF978:AF991)</f>
        <v>0</v>
      </c>
      <c r="AG992" s="370">
        <f>SUM(AG978:AG991)</f>
        <v>0</v>
      </c>
    </row>
    <row r="993" spans="2:47" hidden="1" outlineLevel="1">
      <c r="B993" s="63" t="s">
        <v>64</v>
      </c>
      <c r="C993" s="19"/>
      <c r="D993" s="291"/>
      <c r="E993" s="19"/>
      <c r="F993" s="291"/>
      <c r="G993" s="19"/>
      <c r="H993" s="291"/>
      <c r="I993" s="19"/>
      <c r="J993" s="291"/>
      <c r="K993" s="19"/>
      <c r="L993" s="291"/>
      <c r="M993" s="19"/>
      <c r="N993" s="291"/>
      <c r="O993" s="19"/>
      <c r="P993" s="291"/>
      <c r="Q993" s="19"/>
      <c r="R993" s="291"/>
      <c r="S993" s="19"/>
      <c r="T993" s="291"/>
      <c r="U993" s="19"/>
      <c r="V993" s="291"/>
      <c r="W993" s="19"/>
      <c r="X993" s="291"/>
      <c r="Y993" s="19"/>
      <c r="Z993" s="291"/>
      <c r="AA993" s="28">
        <f>SUM(E993+J993+O993+T993+Y993)</f>
        <v>0</v>
      </c>
      <c r="AB993" s="296">
        <f>Z993+U993+P993+K993+F993</f>
        <v>0</v>
      </c>
      <c r="AC993" s="4"/>
      <c r="AD993" s="56"/>
      <c r="AE993" s="56"/>
      <c r="AF993" s="19"/>
      <c r="AG993" s="29">
        <f>AF993</f>
        <v>0</v>
      </c>
    </row>
    <row r="994" spans="2:47" hidden="1" outlineLevel="1">
      <c r="B994" s="63" t="s">
        <v>63</v>
      </c>
      <c r="C994" s="19"/>
      <c r="D994" s="291"/>
      <c r="E994" s="19"/>
      <c r="F994" s="291"/>
      <c r="G994" s="19"/>
      <c r="H994" s="291"/>
      <c r="I994" s="19"/>
      <c r="J994" s="291">
        <v>1</v>
      </c>
      <c r="K994" s="19"/>
      <c r="L994" s="291"/>
      <c r="M994" s="19"/>
      <c r="N994" s="291"/>
      <c r="O994" s="19">
        <v>1</v>
      </c>
      <c r="P994" s="291"/>
      <c r="Q994" s="19"/>
      <c r="R994" s="291"/>
      <c r="S994" s="19"/>
      <c r="T994" s="291">
        <v>1</v>
      </c>
      <c r="U994" s="19"/>
      <c r="V994" s="291"/>
      <c r="W994" s="19"/>
      <c r="X994" s="291"/>
      <c r="Y994" s="19">
        <v>1</v>
      </c>
      <c r="Z994" s="291"/>
      <c r="AA994" s="28">
        <f>SUM(E994+J994+O994+T994+Y994)</f>
        <v>4</v>
      </c>
      <c r="AB994" s="296">
        <f>Z994+U994+P994+K994+F994</f>
        <v>0</v>
      </c>
      <c r="AC994" s="4"/>
      <c r="AD994" s="56"/>
      <c r="AE994" s="56"/>
      <c r="AF994" s="19"/>
      <c r="AG994" s="29">
        <f>AF994</f>
        <v>0</v>
      </c>
    </row>
    <row r="995" spans="2:47" hidden="1" outlineLevel="1">
      <c r="B995" s="71" t="s">
        <v>66</v>
      </c>
      <c r="C995" s="371"/>
      <c r="D995" s="371"/>
      <c r="E995" s="71">
        <f t="shared" ref="E995:AB995" si="169">SUM(E993:E994)</f>
        <v>0</v>
      </c>
      <c r="F995" s="71">
        <f t="shared" si="169"/>
        <v>0</v>
      </c>
      <c r="G995" s="71">
        <f t="shared" si="169"/>
        <v>0</v>
      </c>
      <c r="H995" s="71">
        <f t="shared" si="169"/>
        <v>0</v>
      </c>
      <c r="I995" s="71">
        <f t="shared" si="169"/>
        <v>0</v>
      </c>
      <c r="J995" s="71">
        <f t="shared" si="169"/>
        <v>1</v>
      </c>
      <c r="K995" s="71">
        <f t="shared" si="169"/>
        <v>0</v>
      </c>
      <c r="L995" s="71">
        <f t="shared" si="169"/>
        <v>0</v>
      </c>
      <c r="M995" s="71">
        <f t="shared" si="169"/>
        <v>0</v>
      </c>
      <c r="N995" s="71">
        <f t="shared" si="169"/>
        <v>0</v>
      </c>
      <c r="O995" s="71">
        <f t="shared" si="169"/>
        <v>1</v>
      </c>
      <c r="P995" s="71">
        <f t="shared" si="169"/>
        <v>0</v>
      </c>
      <c r="Q995" s="71">
        <f t="shared" si="169"/>
        <v>0</v>
      </c>
      <c r="R995" s="71">
        <f t="shared" si="169"/>
        <v>0</v>
      </c>
      <c r="S995" s="71">
        <f t="shared" si="169"/>
        <v>0</v>
      </c>
      <c r="T995" s="71">
        <f t="shared" si="169"/>
        <v>1</v>
      </c>
      <c r="U995" s="71">
        <f t="shared" si="169"/>
        <v>0</v>
      </c>
      <c r="V995" s="71">
        <f t="shared" si="169"/>
        <v>0</v>
      </c>
      <c r="W995" s="71">
        <f t="shared" si="169"/>
        <v>0</v>
      </c>
      <c r="X995" s="71">
        <f t="shared" si="169"/>
        <v>0</v>
      </c>
      <c r="Y995" s="71">
        <f t="shared" si="169"/>
        <v>1</v>
      </c>
      <c r="Z995" s="71">
        <f t="shared" si="169"/>
        <v>0</v>
      </c>
      <c r="AA995" s="370">
        <f t="shared" si="169"/>
        <v>4</v>
      </c>
      <c r="AB995" s="370">
        <f t="shared" si="169"/>
        <v>0</v>
      </c>
      <c r="AC995" s="4"/>
      <c r="AG995" s="370">
        <f>SUM(AG993:AG994)</f>
        <v>0</v>
      </c>
    </row>
    <row r="996" spans="2:47" hidden="1" outlineLevel="1">
      <c r="B996" s="217" t="s">
        <v>67</v>
      </c>
      <c r="C996" s="207">
        <f>C997+C998</f>
        <v>7</v>
      </c>
      <c r="D996" s="207"/>
      <c r="E996" s="209"/>
      <c r="F996" s="209"/>
      <c r="G996" s="207"/>
      <c r="H996" s="209"/>
      <c r="I996" s="209"/>
      <c r="J996" s="209"/>
      <c r="K996" s="209"/>
      <c r="L996" s="207"/>
      <c r="M996" s="207"/>
      <c r="N996" s="207"/>
      <c r="O996" s="207"/>
      <c r="P996" s="209"/>
      <c r="Q996" s="207"/>
      <c r="R996" s="207"/>
      <c r="S996" s="207"/>
      <c r="T996" s="207"/>
      <c r="U996" s="209"/>
      <c r="V996" s="207"/>
      <c r="W996" s="207"/>
      <c r="X996" s="207"/>
      <c r="Y996" s="210"/>
      <c r="Z996" s="209"/>
      <c r="AA996" s="211"/>
      <c r="AB996" s="209"/>
      <c r="AC996" s="211"/>
      <c r="AD996" s="211"/>
      <c r="AE996" s="211"/>
      <c r="AF996" s="211"/>
      <c r="AG996" s="211"/>
    </row>
    <row r="997" spans="2:47" hidden="1" outlineLevel="1">
      <c r="B997" s="238" t="s">
        <v>68</v>
      </c>
      <c r="C997" s="239"/>
      <c r="D997" s="207"/>
      <c r="E997" s="209"/>
      <c r="F997" s="209"/>
      <c r="G997" s="207"/>
      <c r="H997" s="209"/>
      <c r="I997" s="209"/>
      <c r="J997" s="209"/>
      <c r="K997" s="209"/>
      <c r="L997" s="207"/>
      <c r="M997" s="207"/>
      <c r="N997" s="207"/>
      <c r="O997" s="207"/>
      <c r="P997" s="209"/>
      <c r="Q997" s="207"/>
      <c r="R997" s="207"/>
      <c r="S997" s="207"/>
      <c r="T997" s="207"/>
      <c r="U997" s="209"/>
      <c r="V997" s="207"/>
      <c r="W997" s="207"/>
      <c r="X997" s="207"/>
      <c r="Y997" s="210"/>
      <c r="Z997" s="209"/>
      <c r="AA997" s="211"/>
      <c r="AB997" s="209"/>
      <c r="AC997" s="211"/>
      <c r="AD997" s="211"/>
      <c r="AE997" s="211"/>
      <c r="AF997" s="211"/>
      <c r="AG997" s="211"/>
    </row>
    <row r="998" spans="2:47" hidden="1" outlineLevel="1">
      <c r="B998" s="238" t="s">
        <v>69</v>
      </c>
      <c r="C998" s="526">
        <f>5+2</f>
        <v>7</v>
      </c>
      <c r="D998" s="207"/>
      <c r="E998" s="209"/>
      <c r="F998" s="209"/>
      <c r="G998" s="207"/>
      <c r="H998" s="209"/>
      <c r="I998" s="209"/>
      <c r="J998" s="209"/>
      <c r="K998" s="209"/>
      <c r="L998" s="207"/>
      <c r="M998" s="207"/>
      <c r="N998" s="207"/>
      <c r="O998" s="207"/>
      <c r="P998" s="209"/>
      <c r="Q998" s="207"/>
      <c r="R998" s="207"/>
      <c r="S998" s="207"/>
      <c r="T998" s="207"/>
      <c r="U998" s="209"/>
      <c r="V998" s="207"/>
      <c r="W998" s="207"/>
      <c r="X998" s="207"/>
      <c r="Y998" s="210"/>
      <c r="Z998" s="209"/>
      <c r="AA998" s="211"/>
      <c r="AB998" s="209"/>
      <c r="AC998" s="211"/>
      <c r="AD998" s="211"/>
      <c r="AE998" s="211"/>
      <c r="AF998" s="211"/>
      <c r="AG998" s="211"/>
    </row>
    <row r="999" spans="2:47" hidden="1" outlineLevel="1">
      <c r="E999" s="4"/>
      <c r="F999" s="4"/>
      <c r="G999" s="4"/>
      <c r="J999" s="4"/>
      <c r="K999" s="4"/>
      <c r="L999" s="4"/>
      <c r="O999" s="4"/>
      <c r="P999" s="4"/>
      <c r="T999" s="4"/>
      <c r="U999" s="4"/>
      <c r="Y999" s="4"/>
      <c r="Z999" s="4"/>
      <c r="AA999" s="4"/>
      <c r="AB999" s="4"/>
      <c r="AC999" s="4"/>
    </row>
    <row r="1000" spans="2:47" collapsed="1">
      <c r="B1000" s="229"/>
      <c r="C1000" s="230"/>
      <c r="D1000" s="230"/>
      <c r="E1000" s="232"/>
      <c r="F1000" s="232"/>
      <c r="G1000" s="230"/>
      <c r="H1000" s="232"/>
      <c r="I1000" s="232"/>
      <c r="J1000" s="232"/>
      <c r="K1000" s="232"/>
      <c r="L1000" s="230"/>
      <c r="M1000" s="230"/>
      <c r="N1000" s="230"/>
      <c r="O1000" s="230"/>
      <c r="P1000" s="232"/>
      <c r="Q1000" s="230"/>
      <c r="R1000" s="230"/>
      <c r="S1000" s="230"/>
      <c r="T1000" s="230"/>
      <c r="U1000" s="232"/>
      <c r="V1000" s="230"/>
      <c r="W1000" s="230"/>
      <c r="X1000" s="230"/>
      <c r="Y1000" s="233"/>
      <c r="Z1000" s="232"/>
      <c r="AA1000" s="234"/>
      <c r="AB1000" s="232"/>
      <c r="AC1000" s="373"/>
      <c r="AD1000" s="236"/>
      <c r="AE1000" s="255"/>
      <c r="AF1000" s="255"/>
      <c r="AG1000" s="255"/>
      <c r="AH1000" s="255"/>
      <c r="AJ1000" s="255"/>
      <c r="AK1000" s="255"/>
      <c r="AL1000" s="255"/>
      <c r="AM1000" s="255"/>
      <c r="AN1000" s="255"/>
      <c r="AO1000" s="255"/>
      <c r="AP1000" s="255"/>
      <c r="AQ1000" s="255"/>
      <c r="AR1000" s="255"/>
      <c r="AS1000" s="255"/>
      <c r="AT1000" s="255"/>
      <c r="AU1000" s="255"/>
    </row>
    <row r="1001" spans="2:47">
      <c r="B1001" s="180"/>
      <c r="E1001" s="4"/>
      <c r="F1001" s="4"/>
      <c r="G1001" s="4"/>
      <c r="J1001" s="4"/>
      <c r="K1001" s="4"/>
      <c r="L1001" s="4"/>
      <c r="O1001" s="4"/>
      <c r="P1001" s="4"/>
      <c r="T1001" s="4"/>
      <c r="U1001" s="4"/>
      <c r="Y1001" s="4"/>
      <c r="Z1001" s="4"/>
      <c r="AA1001" s="4"/>
      <c r="AB1001" s="4"/>
      <c r="AC1001" s="4"/>
      <c r="AK1001" s="180"/>
      <c r="AL1001" s="180"/>
      <c r="AM1001" s="180"/>
      <c r="AN1001" s="180"/>
      <c r="AO1001" s="180"/>
      <c r="AP1001" s="180"/>
    </row>
    <row r="1002" spans="2:47" ht="10.9" customHeight="1">
      <c r="B1002" s="1518" t="s">
        <v>18</v>
      </c>
      <c r="C1002" s="1547">
        <v>45509</v>
      </c>
      <c r="D1002" s="1548"/>
      <c r="E1002" s="1548"/>
      <c r="F1002" s="1548"/>
      <c r="G1002" s="607" t="s">
        <v>313</v>
      </c>
      <c r="H1002" s="1547">
        <v>45510</v>
      </c>
      <c r="I1002" s="1548"/>
      <c r="J1002" s="1548"/>
      <c r="K1002" s="1548"/>
      <c r="L1002" s="607" t="s">
        <v>313</v>
      </c>
      <c r="M1002" s="1547">
        <v>45511</v>
      </c>
      <c r="N1002" s="1548"/>
      <c r="O1002" s="1548"/>
      <c r="P1002" s="1548"/>
      <c r="Q1002" s="607" t="s">
        <v>313</v>
      </c>
      <c r="R1002" s="1547">
        <v>45512</v>
      </c>
      <c r="S1002" s="1548"/>
      <c r="T1002" s="1548"/>
      <c r="U1002" s="1548"/>
      <c r="V1002" s="607" t="s">
        <v>313</v>
      </c>
      <c r="W1002" s="1547">
        <v>45513</v>
      </c>
      <c r="X1002" s="1548"/>
      <c r="Y1002" s="1548"/>
      <c r="Z1002" s="1548"/>
      <c r="AA1002" s="1517" t="s">
        <v>19</v>
      </c>
      <c r="AB1002" s="1517" t="s">
        <v>20</v>
      </c>
      <c r="AC1002" s="4"/>
      <c r="AD1002" s="1519">
        <v>45514</v>
      </c>
      <c r="AE1002" s="1519"/>
      <c r="AF1002" s="1519"/>
      <c r="AG1002" s="1517" t="s">
        <v>21</v>
      </c>
      <c r="AI1002" s="368"/>
      <c r="AK1002" s="194" t="s">
        <v>84</v>
      </c>
      <c r="AL1002" s="366"/>
      <c r="AM1002" s="366"/>
      <c r="AN1002" s="366"/>
      <c r="AO1002" s="366"/>
      <c r="AP1002" s="366"/>
    </row>
    <row r="1003" spans="2:47">
      <c r="B1003" s="1518"/>
      <c r="C1003" s="21" t="s">
        <v>23</v>
      </c>
      <c r="D1003" s="21" t="s">
        <v>24</v>
      </c>
      <c r="E1003" s="205" t="s">
        <v>25</v>
      </c>
      <c r="F1003" s="18" t="s">
        <v>14</v>
      </c>
      <c r="G1003" s="4"/>
      <c r="H1003" s="21" t="s">
        <v>23</v>
      </c>
      <c r="I1003" s="21" t="s">
        <v>24</v>
      </c>
      <c r="J1003" s="18" t="s">
        <v>25</v>
      </c>
      <c r="K1003" s="18" t="s">
        <v>14</v>
      </c>
      <c r="L1003" s="4"/>
      <c r="M1003" s="21" t="s">
        <v>23</v>
      </c>
      <c r="N1003" s="21" t="s">
        <v>24</v>
      </c>
      <c r="O1003" s="18" t="s">
        <v>25</v>
      </c>
      <c r="P1003" s="18" t="s">
        <v>14</v>
      </c>
      <c r="R1003" s="484" t="s">
        <v>23</v>
      </c>
      <c r="S1003" s="21" t="s">
        <v>24</v>
      </c>
      <c r="T1003" s="18" t="s">
        <v>25</v>
      </c>
      <c r="U1003" s="18" t="s">
        <v>14</v>
      </c>
      <c r="W1003" s="484" t="s">
        <v>23</v>
      </c>
      <c r="X1003" s="21" t="s">
        <v>24</v>
      </c>
      <c r="Y1003" s="18" t="s">
        <v>25</v>
      </c>
      <c r="Z1003" s="18" t="s">
        <v>14</v>
      </c>
      <c r="AA1003" s="1517"/>
      <c r="AB1003" s="1517"/>
      <c r="AC1003" s="4"/>
      <c r="AD1003" s="21" t="s">
        <v>23</v>
      </c>
      <c r="AE1003" s="21" t="s">
        <v>24</v>
      </c>
      <c r="AF1003" s="18" t="s">
        <v>25</v>
      </c>
      <c r="AG1003" s="1517"/>
      <c r="AI1003" s="368"/>
      <c r="AJ1003" s="367"/>
      <c r="AK1003" s="188" t="s">
        <v>26</v>
      </c>
      <c r="AL1003" s="196">
        <f>AA1018</f>
        <v>9</v>
      </c>
      <c r="AM1003" s="510">
        <v>38</v>
      </c>
      <c r="AN1003" s="510">
        <f t="shared" ref="AN1003:AN1009" si="170">AL1003*AM1003</f>
        <v>342</v>
      </c>
      <c r="AQ1003" s="367"/>
      <c r="AR1003" s="367"/>
      <c r="AS1003" s="367"/>
      <c r="AT1003" s="367"/>
      <c r="AU1003" s="367"/>
    </row>
    <row r="1004" spans="2:47">
      <c r="B1004" s="522" t="s">
        <v>316</v>
      </c>
      <c r="C1004" s="441"/>
      <c r="D1004" s="47"/>
      <c r="E1004" s="319"/>
      <c r="F1004" s="320"/>
      <c r="G1004" s="4"/>
      <c r="H1004" s="441"/>
      <c r="I1004" s="47"/>
      <c r="J1004" s="319"/>
      <c r="K1004" s="320"/>
      <c r="L1004" s="4"/>
      <c r="M1004" s="441"/>
      <c r="N1004" s="47"/>
      <c r="O1004" s="319"/>
      <c r="P1004" s="320"/>
      <c r="R1004" s="604"/>
      <c r="S1004" s="604"/>
      <c r="T1004" s="319"/>
      <c r="U1004" s="320"/>
      <c r="W1004" s="604"/>
      <c r="X1004" s="604"/>
      <c r="Y1004" s="319"/>
      <c r="Z1004" s="320"/>
      <c r="AA1004" s="29">
        <f t="shared" ref="AA1004:AA1017" si="171">(E1004+J1004+O1004+T1004+Y1004)</f>
        <v>0</v>
      </c>
      <c r="AB1004" s="298">
        <f>Z1004+U1004+P1004+K1004+F1004</f>
        <v>0</v>
      </c>
      <c r="AC1004" s="399"/>
      <c r="AD1004" s="47" t="s">
        <v>29</v>
      </c>
      <c r="AE1004" s="47" t="s">
        <v>29</v>
      </c>
      <c r="AF1004" s="346"/>
      <c r="AG1004" s="29">
        <f t="shared" ref="AG1004:AG1017" si="172">AF1004</f>
        <v>0</v>
      </c>
      <c r="AH1004" s="175"/>
      <c r="AJ1004" s="401"/>
      <c r="AK1004" s="188" t="s">
        <v>30</v>
      </c>
      <c r="AL1004" s="196">
        <f>AB1018</f>
        <v>0</v>
      </c>
      <c r="AM1004" s="511">
        <v>57</v>
      </c>
      <c r="AN1004" s="510">
        <f t="shared" si="170"/>
        <v>0</v>
      </c>
      <c r="AO1004" s="405"/>
      <c r="AP1004" s="405"/>
      <c r="AQ1004" s="401"/>
      <c r="AR1004" s="401"/>
      <c r="AS1004" s="401"/>
      <c r="AT1004" s="401"/>
      <c r="AU1004" s="401"/>
    </row>
    <row r="1005" spans="2:47">
      <c r="B1005" s="523" t="s">
        <v>268</v>
      </c>
      <c r="C1005" s="441"/>
      <c r="D1005" s="47"/>
      <c r="E1005" s="319"/>
      <c r="F1005" s="320"/>
      <c r="G1005" s="4"/>
      <c r="H1005" s="441"/>
      <c r="I1005" s="47"/>
      <c r="J1005" s="319"/>
      <c r="K1005" s="320"/>
      <c r="L1005" s="4"/>
      <c r="M1005" s="441"/>
      <c r="N1005" s="47"/>
      <c r="O1005" s="319"/>
      <c r="P1005" s="320"/>
      <c r="R1005" s="604"/>
      <c r="S1005" s="604"/>
      <c r="T1005" s="319"/>
      <c r="U1005" s="320"/>
      <c r="W1005" s="601" t="s">
        <v>317</v>
      </c>
      <c r="X1005" s="604"/>
      <c r="Y1005" s="319"/>
      <c r="Z1005" s="320"/>
      <c r="AA1005" s="29">
        <f t="shared" si="171"/>
        <v>0</v>
      </c>
      <c r="AB1005" s="298">
        <f>Z1005+U1005+P1005+K1005+F1005</f>
        <v>0</v>
      </c>
      <c r="AC1005" s="175"/>
      <c r="AD1005" s="47" t="s">
        <v>29</v>
      </c>
      <c r="AE1005" s="47" t="s">
        <v>29</v>
      </c>
      <c r="AF1005" s="346"/>
      <c r="AG1005" s="344">
        <f t="shared" si="172"/>
        <v>0</v>
      </c>
      <c r="AH1005" s="175"/>
      <c r="AI1005" s="368"/>
      <c r="AK1005" s="188" t="s">
        <v>32</v>
      </c>
      <c r="AL1005" s="196">
        <f>AG1018</f>
        <v>0</v>
      </c>
      <c r="AM1005" s="510">
        <v>57</v>
      </c>
      <c r="AN1005" s="510">
        <f t="shared" si="170"/>
        <v>0</v>
      </c>
    </row>
    <row r="1006" spans="2:47">
      <c r="B1006" s="522" t="s">
        <v>271</v>
      </c>
      <c r="C1006" s="441"/>
      <c r="D1006" s="47"/>
      <c r="E1006" s="319"/>
      <c r="F1006" s="320"/>
      <c r="G1006" s="4"/>
      <c r="H1006" s="441"/>
      <c r="I1006" s="47"/>
      <c r="J1006" s="319"/>
      <c r="K1006" s="320"/>
      <c r="L1006" s="4"/>
      <c r="M1006" s="441"/>
      <c r="N1006" s="47"/>
      <c r="O1006" s="319"/>
      <c r="P1006" s="320"/>
      <c r="R1006" s="604">
        <v>0.375</v>
      </c>
      <c r="S1006" s="604">
        <v>0.41666666666666669</v>
      </c>
      <c r="T1006" s="319">
        <v>1</v>
      </c>
      <c r="U1006" s="320"/>
      <c r="W1006" s="601" t="s">
        <v>317</v>
      </c>
      <c r="X1006" s="601"/>
      <c r="Y1006" s="319"/>
      <c r="Z1006" s="320"/>
      <c r="AA1006" s="29">
        <f t="shared" si="171"/>
        <v>1</v>
      </c>
      <c r="AB1006" s="298">
        <f>Z1006+U1006+P1006+K1006+F1006</f>
        <v>0</v>
      </c>
      <c r="AC1006" s="4"/>
      <c r="AD1006" s="47" t="s">
        <v>29</v>
      </c>
      <c r="AE1006" s="47" t="s">
        <v>29</v>
      </c>
      <c r="AF1006" s="346"/>
      <c r="AG1006" s="29">
        <f t="shared" si="172"/>
        <v>0</v>
      </c>
      <c r="AJ1006" s="367"/>
      <c r="AK1006" s="403" t="s">
        <v>213</v>
      </c>
      <c r="AL1006" s="404">
        <f>AA1021</f>
        <v>4</v>
      </c>
      <c r="AM1006" s="510">
        <v>50</v>
      </c>
      <c r="AN1006" s="510">
        <f t="shared" si="170"/>
        <v>200</v>
      </c>
      <c r="AQ1006" s="367"/>
      <c r="AR1006" s="367"/>
      <c r="AS1006" s="367"/>
      <c r="AT1006" s="367"/>
      <c r="AU1006" s="367"/>
    </row>
    <row r="1007" spans="2:47">
      <c r="B1007" s="523" t="s">
        <v>318</v>
      </c>
      <c r="C1007" s="441"/>
      <c r="D1007" s="47"/>
      <c r="E1007" s="319"/>
      <c r="F1007" s="320"/>
      <c r="G1007" s="4"/>
      <c r="H1007" s="441"/>
      <c r="I1007" s="47"/>
      <c r="J1007" s="319"/>
      <c r="K1007" s="320"/>
      <c r="L1007" s="4"/>
      <c r="M1007" s="441"/>
      <c r="N1007" s="47"/>
      <c r="O1007" s="319"/>
      <c r="P1007" s="320"/>
      <c r="R1007" s="604"/>
      <c r="S1007" s="604"/>
      <c r="T1007" s="319"/>
      <c r="U1007" s="320"/>
      <c r="W1007" s="604"/>
      <c r="X1007" s="604"/>
      <c r="Y1007" s="319"/>
      <c r="Z1007" s="320"/>
      <c r="AA1007" s="29">
        <f t="shared" si="171"/>
        <v>0</v>
      </c>
      <c r="AB1007" s="298">
        <f>Z1007+U1007+P1007+K1007+F1007</f>
        <v>0</v>
      </c>
      <c r="AC1007" s="4"/>
      <c r="AD1007" s="47" t="s">
        <v>29</v>
      </c>
      <c r="AE1007" s="47" t="s">
        <v>29</v>
      </c>
      <c r="AF1007" s="346"/>
      <c r="AG1007" s="29">
        <f t="shared" si="172"/>
        <v>0</v>
      </c>
      <c r="AK1007" s="188" t="s">
        <v>36</v>
      </c>
      <c r="AL1007" s="196">
        <f>AB1021</f>
        <v>0</v>
      </c>
      <c r="AM1007" s="510">
        <v>75</v>
      </c>
      <c r="AN1007" s="510">
        <f t="shared" si="170"/>
        <v>0</v>
      </c>
    </row>
    <row r="1008" spans="2:47">
      <c r="B1008" s="524" t="s">
        <v>319</v>
      </c>
      <c r="C1008" s="441"/>
      <c r="D1008" s="47"/>
      <c r="E1008" s="319"/>
      <c r="F1008" s="320"/>
      <c r="G1008" s="4"/>
      <c r="H1008" s="441"/>
      <c r="I1008" s="47"/>
      <c r="J1008" s="319"/>
      <c r="K1008" s="320"/>
      <c r="L1008" s="4"/>
      <c r="M1008" s="441"/>
      <c r="N1008" s="47"/>
      <c r="O1008" s="319"/>
      <c r="P1008" s="320"/>
      <c r="R1008" s="601"/>
      <c r="S1008" s="604"/>
      <c r="T1008" s="319"/>
      <c r="U1008" s="320"/>
      <c r="W1008" s="601"/>
      <c r="X1008" s="601"/>
      <c r="Y1008" s="319"/>
      <c r="Z1008" s="320"/>
      <c r="AA1008" s="29">
        <f t="shared" si="171"/>
        <v>0</v>
      </c>
      <c r="AB1008" s="298">
        <f>Z1008+U1008+P1008+K1008+F1007</f>
        <v>0</v>
      </c>
      <c r="AC1008" s="4"/>
      <c r="AD1008" s="47" t="s">
        <v>29</v>
      </c>
      <c r="AE1008" s="47" t="s">
        <v>29</v>
      </c>
      <c r="AF1008" s="346"/>
      <c r="AG1008" s="29">
        <f t="shared" si="172"/>
        <v>0</v>
      </c>
      <c r="AK1008" s="188" t="s">
        <v>38</v>
      </c>
      <c r="AL1008" s="196">
        <f>AG1021</f>
        <v>0</v>
      </c>
      <c r="AM1008" s="510">
        <v>75</v>
      </c>
      <c r="AN1008" s="510">
        <f t="shared" si="170"/>
        <v>0</v>
      </c>
    </row>
    <row r="1009" spans="2:40" ht="14.25" thickBot="1">
      <c r="B1009" s="523" t="s">
        <v>277</v>
      </c>
      <c r="C1009" s="441"/>
      <c r="D1009" s="47"/>
      <c r="E1009" s="319"/>
      <c r="F1009" s="320"/>
      <c r="G1009" s="4"/>
      <c r="H1009" s="441"/>
      <c r="I1009" s="47"/>
      <c r="J1009" s="319"/>
      <c r="K1009" s="320"/>
      <c r="L1009" s="4"/>
      <c r="M1009" s="441"/>
      <c r="N1009" s="47"/>
      <c r="O1009" s="319"/>
      <c r="P1009" s="320"/>
      <c r="R1009" s="601"/>
      <c r="S1009" s="604"/>
      <c r="T1009" s="319"/>
      <c r="U1009" s="320"/>
      <c r="W1009" s="601"/>
      <c r="X1009" s="601"/>
      <c r="Y1009" s="319"/>
      <c r="Z1009" s="320"/>
      <c r="AA1009" s="29">
        <f t="shared" si="171"/>
        <v>0</v>
      </c>
      <c r="AB1009" s="298">
        <f>Z1009+U1009+P1009+K1009+F1008</f>
        <v>0</v>
      </c>
      <c r="AC1009" s="4"/>
      <c r="AD1009" s="47" t="s">
        <v>29</v>
      </c>
      <c r="AE1009" s="47" t="s">
        <v>29</v>
      </c>
      <c r="AF1009" s="346"/>
      <c r="AG1009" s="29">
        <f t="shared" si="172"/>
        <v>0</v>
      </c>
      <c r="AK1009" s="188" t="s">
        <v>41</v>
      </c>
      <c r="AL1009" s="196">
        <f>C1022</f>
        <v>0</v>
      </c>
      <c r="AM1009" s="512">
        <v>45</v>
      </c>
      <c r="AN1009" s="512">
        <f t="shared" si="170"/>
        <v>0</v>
      </c>
    </row>
    <row r="1010" spans="2:40" ht="14.25" thickTop="1">
      <c r="B1010" s="180"/>
      <c r="C1010" s="441"/>
      <c r="D1010" s="47"/>
      <c r="E1010" s="319"/>
      <c r="F1010" s="320"/>
      <c r="G1010" s="4"/>
      <c r="H1010" s="441"/>
      <c r="I1010" s="47"/>
      <c r="J1010" s="319"/>
      <c r="K1010" s="320"/>
      <c r="L1010" s="4"/>
      <c r="M1010" s="441"/>
      <c r="N1010" s="47"/>
      <c r="O1010" s="319"/>
      <c r="P1010" s="320"/>
      <c r="R1010" s="441"/>
      <c r="S1010" s="47"/>
      <c r="T1010" s="319"/>
      <c r="U1010" s="320"/>
      <c r="W1010" s="601"/>
      <c r="X1010" s="601"/>
      <c r="Y1010" s="319"/>
      <c r="Z1010" s="320"/>
      <c r="AA1010" s="29">
        <f t="shared" si="171"/>
        <v>0</v>
      </c>
      <c r="AB1010" s="298">
        <f>Z1010+U1010+P1010+K1010+F1009</f>
        <v>0</v>
      </c>
      <c r="AC1010" s="4"/>
      <c r="AD1010" s="47" t="s">
        <v>29</v>
      </c>
      <c r="AE1010" s="47" t="s">
        <v>29</v>
      </c>
      <c r="AF1010" s="346"/>
      <c r="AG1010" s="29">
        <f t="shared" si="172"/>
        <v>0</v>
      </c>
      <c r="AN1010" s="510">
        <f>SUM(AN1003:AN1009)</f>
        <v>542</v>
      </c>
    </row>
    <row r="1011" spans="2:40">
      <c r="B1011" s="180"/>
      <c r="C1011" s="441"/>
      <c r="D1011" s="47"/>
      <c r="E1011" s="319"/>
      <c r="F1011" s="320"/>
      <c r="G1011" s="4"/>
      <c r="H1011" s="441"/>
      <c r="I1011" s="47"/>
      <c r="J1011" s="319"/>
      <c r="K1011" s="320"/>
      <c r="L1011" s="4"/>
      <c r="M1011" s="441"/>
      <c r="N1011" s="47"/>
      <c r="O1011" s="319"/>
      <c r="P1011" s="320"/>
      <c r="R1011" s="441"/>
      <c r="S1011" s="47"/>
      <c r="T1011" s="319"/>
      <c r="U1011" s="320"/>
      <c r="W1011" s="441"/>
      <c r="X1011" s="47"/>
      <c r="Y1011" s="319"/>
      <c r="Z1011" s="320"/>
      <c r="AA1011" s="29">
        <f t="shared" si="171"/>
        <v>0</v>
      </c>
      <c r="AB1011" s="298">
        <f>Z1011+U1011+P1011+K1011+F1010</f>
        <v>0</v>
      </c>
      <c r="AC1011" s="4"/>
      <c r="AD1011" s="47" t="s">
        <v>29</v>
      </c>
      <c r="AE1011" s="47" t="s">
        <v>29</v>
      </c>
      <c r="AF1011" s="346"/>
      <c r="AG1011" s="29">
        <f t="shared" si="172"/>
        <v>0</v>
      </c>
    </row>
    <row r="1012" spans="2:40">
      <c r="B1012" s="457"/>
      <c r="C1012" s="441"/>
      <c r="D1012" s="47"/>
      <c r="E1012" s="319"/>
      <c r="F1012" s="320"/>
      <c r="G1012" s="4"/>
      <c r="H1012" s="441"/>
      <c r="I1012" s="47"/>
      <c r="J1012" s="319"/>
      <c r="K1012" s="320"/>
      <c r="L1012" s="4"/>
      <c r="M1012" s="441"/>
      <c r="N1012" s="47"/>
      <c r="O1012" s="319"/>
      <c r="P1012" s="320"/>
      <c r="R1012" s="441"/>
      <c r="S1012" s="47"/>
      <c r="T1012" s="319"/>
      <c r="U1012" s="320"/>
      <c r="W1012" s="441"/>
      <c r="X1012" s="47"/>
      <c r="Y1012" s="319"/>
      <c r="Z1012" s="320"/>
      <c r="AA1012" s="29">
        <f t="shared" si="171"/>
        <v>0</v>
      </c>
      <c r="AB1012" s="298">
        <f t="shared" ref="AB1012:AB1017" si="173">Z1012+U1012+P1012+K1012+F1012</f>
        <v>0</v>
      </c>
      <c r="AC1012" s="4"/>
      <c r="AD1012" s="47" t="s">
        <v>29</v>
      </c>
      <c r="AE1012" s="47" t="s">
        <v>29</v>
      </c>
      <c r="AF1012" s="19"/>
      <c r="AG1012" s="29">
        <f t="shared" si="172"/>
        <v>0</v>
      </c>
    </row>
    <row r="1013" spans="2:40">
      <c r="B1013" s="166" t="s">
        <v>279</v>
      </c>
      <c r="C1013" s="47" t="s">
        <v>320</v>
      </c>
      <c r="D1013" s="47"/>
      <c r="E1013" s="319">
        <v>0</v>
      </c>
      <c r="F1013" s="320"/>
      <c r="G1013" s="4"/>
      <c r="H1013" s="47"/>
      <c r="I1013" s="47"/>
      <c r="J1013" s="319">
        <v>0</v>
      </c>
      <c r="K1013" s="320"/>
      <c r="L1013" s="4"/>
      <c r="M1013" s="47"/>
      <c r="N1013" s="47"/>
      <c r="O1013" s="319"/>
      <c r="P1013" s="320"/>
      <c r="R1013" s="47"/>
      <c r="S1013" s="47"/>
      <c r="T1013" s="319"/>
      <c r="U1013" s="320"/>
      <c r="W1013" s="47"/>
      <c r="X1013" s="47"/>
      <c r="Y1013" s="319"/>
      <c r="Z1013" s="320"/>
      <c r="AA1013" s="29">
        <f t="shared" si="171"/>
        <v>0</v>
      </c>
      <c r="AB1013" s="298">
        <f t="shared" si="173"/>
        <v>0</v>
      </c>
      <c r="AC1013" s="4"/>
      <c r="AD1013" s="47" t="s">
        <v>29</v>
      </c>
      <c r="AE1013" s="47" t="s">
        <v>29</v>
      </c>
      <c r="AF1013" s="19"/>
      <c r="AG1013" s="29">
        <f t="shared" si="172"/>
        <v>0</v>
      </c>
    </row>
    <row r="1014" spans="2:40">
      <c r="B1014" s="166" t="s">
        <v>280</v>
      </c>
      <c r="C1014" s="47" t="s">
        <v>321</v>
      </c>
      <c r="D1014" s="47"/>
      <c r="E1014" s="319">
        <v>0</v>
      </c>
      <c r="F1014" s="320"/>
      <c r="G1014" s="4"/>
      <c r="H1014" s="47"/>
      <c r="I1014" s="47"/>
      <c r="J1014" s="319"/>
      <c r="K1014" s="320"/>
      <c r="L1014" s="4"/>
      <c r="M1014" s="47"/>
      <c r="N1014" s="47"/>
      <c r="O1014" s="319"/>
      <c r="P1014" s="320"/>
      <c r="R1014" s="47"/>
      <c r="S1014" s="47"/>
      <c r="T1014" s="319"/>
      <c r="U1014" s="320"/>
      <c r="W1014" s="47"/>
      <c r="X1014" s="47"/>
      <c r="Y1014" s="319"/>
      <c r="Z1014" s="320"/>
      <c r="AA1014" s="29">
        <f t="shared" si="171"/>
        <v>0</v>
      </c>
      <c r="AB1014" s="298">
        <f t="shared" si="173"/>
        <v>0</v>
      </c>
      <c r="AC1014" s="4"/>
      <c r="AD1014" s="47" t="s">
        <v>29</v>
      </c>
      <c r="AE1014" s="47" t="s">
        <v>29</v>
      </c>
      <c r="AF1014" s="19"/>
      <c r="AG1014" s="29">
        <f t="shared" si="172"/>
        <v>0</v>
      </c>
    </row>
    <row r="1015" spans="2:40">
      <c r="B1015" s="166" t="s">
        <v>281</v>
      </c>
      <c r="C1015" s="47"/>
      <c r="D1015" s="47"/>
      <c r="E1015" s="319">
        <v>8</v>
      </c>
      <c r="F1015" s="320"/>
      <c r="G1015" s="4"/>
      <c r="H1015" s="47" t="s">
        <v>320</v>
      </c>
      <c r="I1015" s="47"/>
      <c r="J1015" s="319">
        <v>0</v>
      </c>
      <c r="K1015" s="320"/>
      <c r="L1015" s="4"/>
      <c r="M1015" s="47"/>
      <c r="N1015" s="47"/>
      <c r="O1015" s="319"/>
      <c r="P1015" s="320"/>
      <c r="R1015" s="47"/>
      <c r="S1015" s="47"/>
      <c r="T1015" s="319"/>
      <c r="U1015" s="320"/>
      <c r="W1015" s="47"/>
      <c r="X1015" s="47"/>
      <c r="Y1015" s="319"/>
      <c r="Z1015" s="320"/>
      <c r="AA1015" s="29">
        <f t="shared" si="171"/>
        <v>8</v>
      </c>
      <c r="AB1015" s="298">
        <f t="shared" si="173"/>
        <v>0</v>
      </c>
      <c r="AC1015" s="4"/>
      <c r="AD1015" s="47" t="s">
        <v>29</v>
      </c>
      <c r="AE1015" s="47" t="s">
        <v>29</v>
      </c>
      <c r="AF1015" s="19"/>
      <c r="AG1015" s="29">
        <f t="shared" si="172"/>
        <v>0</v>
      </c>
    </row>
    <row r="1016" spans="2:40">
      <c r="B1016" s="166" t="s">
        <v>283</v>
      </c>
      <c r="C1016" s="47" t="s">
        <v>321</v>
      </c>
      <c r="D1016" s="47"/>
      <c r="E1016" s="319">
        <v>0</v>
      </c>
      <c r="F1016" s="320"/>
      <c r="G1016" s="4"/>
      <c r="H1016" s="47"/>
      <c r="I1016" s="47"/>
      <c r="J1016" s="319"/>
      <c r="K1016" s="320"/>
      <c r="L1016" s="4"/>
      <c r="M1016" s="47"/>
      <c r="N1016" s="47"/>
      <c r="O1016" s="319"/>
      <c r="P1016" s="320"/>
      <c r="R1016" s="47"/>
      <c r="S1016" s="47"/>
      <c r="T1016" s="319"/>
      <c r="U1016" s="320"/>
      <c r="W1016" s="47"/>
      <c r="X1016" s="47"/>
      <c r="Y1016" s="319"/>
      <c r="Z1016" s="320"/>
      <c r="AA1016" s="29">
        <f t="shared" si="171"/>
        <v>0</v>
      </c>
      <c r="AB1016" s="298">
        <f t="shared" si="173"/>
        <v>0</v>
      </c>
      <c r="AC1016" s="4"/>
      <c r="AD1016" s="47" t="s">
        <v>29</v>
      </c>
      <c r="AE1016" s="47" t="s">
        <v>29</v>
      </c>
      <c r="AF1016" s="19"/>
      <c r="AG1016" s="29">
        <f t="shared" si="172"/>
        <v>0</v>
      </c>
    </row>
    <row r="1017" spans="2:40">
      <c r="B1017" s="63" t="s">
        <v>63</v>
      </c>
      <c r="C1017" s="47"/>
      <c r="D1017" s="47"/>
      <c r="E1017" s="319"/>
      <c r="F1017" s="320"/>
      <c r="G1017" s="438"/>
      <c r="H1017" s="47"/>
      <c r="I1017" s="47"/>
      <c r="J1017" s="319"/>
      <c r="K1017" s="320"/>
      <c r="L1017" s="438"/>
      <c r="M1017" s="47"/>
      <c r="N1017" s="47"/>
      <c r="O1017" s="319"/>
      <c r="P1017" s="320"/>
      <c r="Q1017" s="438"/>
      <c r="R1017" s="47"/>
      <c r="S1017" s="47"/>
      <c r="T1017" s="319"/>
      <c r="U1017" s="320"/>
      <c r="V1017" s="438"/>
      <c r="W1017" s="47"/>
      <c r="X1017" s="47"/>
      <c r="Y1017" s="319"/>
      <c r="Z1017" s="320"/>
      <c r="AA1017" s="29">
        <f t="shared" si="171"/>
        <v>0</v>
      </c>
      <c r="AB1017" s="298">
        <f t="shared" si="173"/>
        <v>0</v>
      </c>
      <c r="AC1017" s="4"/>
      <c r="AD1017" s="47" t="s">
        <v>29</v>
      </c>
      <c r="AE1017" s="47" t="s">
        <v>29</v>
      </c>
      <c r="AF1017" s="19"/>
      <c r="AG1017" s="29">
        <f t="shared" si="172"/>
        <v>0</v>
      </c>
      <c r="AK1017" s="407"/>
    </row>
    <row r="1018" spans="2:40">
      <c r="B1018" s="64" t="s">
        <v>61</v>
      </c>
      <c r="C1018" s="31"/>
      <c r="D1018" s="31"/>
      <c r="E1018" s="439">
        <f>SUM(E1004:E1017)</f>
        <v>8</v>
      </c>
      <c r="F1018" s="320">
        <f>SUM(F1004:F1012)</f>
        <v>0</v>
      </c>
      <c r="G1018" s="31"/>
      <c r="H1018" s="31"/>
      <c r="I1018" s="31"/>
      <c r="J1018" s="439">
        <f>SUM(J1004:J1017)</f>
        <v>0</v>
      </c>
      <c r="K1018" s="320">
        <f>SUM(K1004:K1012)</f>
        <v>0</v>
      </c>
      <c r="L1018" s="31"/>
      <c r="M1018" s="31"/>
      <c r="N1018" s="31"/>
      <c r="O1018" s="439">
        <f>SUM(O1004:O1017)</f>
        <v>0</v>
      </c>
      <c r="P1018" s="320">
        <f>SUM(P1004:P1016)</f>
        <v>0</v>
      </c>
      <c r="Q1018" s="31"/>
      <c r="R1018" s="31"/>
      <c r="S1018" s="31"/>
      <c r="T1018" s="439">
        <f>SUM(T1004:T1017)</f>
        <v>1</v>
      </c>
      <c r="U1018" s="320">
        <f>SUM(U1004:U1016)</f>
        <v>0</v>
      </c>
      <c r="V1018" s="31"/>
      <c r="W1018" s="31"/>
      <c r="X1018" s="31"/>
      <c r="Y1018" s="439">
        <f>SUM(Y1004:Y1017)</f>
        <v>0</v>
      </c>
      <c r="Z1018" s="320">
        <f>SUM(Z1004:Z1012)</f>
        <v>0</v>
      </c>
      <c r="AA1018" s="370">
        <f>SUM(AA1004:AA1017)</f>
        <v>9</v>
      </c>
      <c r="AB1018" s="370">
        <f>SUM(AB1004:AB1017)</f>
        <v>0</v>
      </c>
      <c r="AC1018" s="4"/>
      <c r="AD1018" s="64"/>
      <c r="AE1018" s="64"/>
      <c r="AF1018" s="167">
        <f>SUM(AF1004:AF1017)</f>
        <v>0</v>
      </c>
      <c r="AG1018" s="370">
        <f>SUM(AG1004:AG1017)</f>
        <v>0</v>
      </c>
    </row>
    <row r="1019" spans="2:40">
      <c r="B1019" s="63" t="s">
        <v>64</v>
      </c>
      <c r="C1019" s="19"/>
      <c r="D1019" s="291"/>
      <c r="E1019" s="19"/>
      <c r="F1019" s="291"/>
      <c r="G1019" s="19"/>
      <c r="H1019" s="291"/>
      <c r="I1019" s="19"/>
      <c r="J1019" s="291"/>
      <c r="K1019" s="19"/>
      <c r="L1019" s="291"/>
      <c r="M1019" s="19"/>
      <c r="N1019" s="291"/>
      <c r="O1019" s="19"/>
      <c r="P1019" s="291"/>
      <c r="Q1019" s="19"/>
      <c r="R1019" s="291"/>
      <c r="S1019" s="19"/>
      <c r="T1019" s="291"/>
      <c r="U1019" s="19"/>
      <c r="V1019" s="291"/>
      <c r="W1019" s="19"/>
      <c r="X1019" s="291"/>
      <c r="Y1019" s="19"/>
      <c r="Z1019" s="291"/>
      <c r="AA1019" s="28">
        <f>SUM(E1019+J1019+O1019+T1019+Y1019)</f>
        <v>0</v>
      </c>
      <c r="AB1019" s="296">
        <f>Z1019+U1019+P1019+K1019+F1019</f>
        <v>0</v>
      </c>
      <c r="AC1019" s="4"/>
      <c r="AD1019" s="56"/>
      <c r="AE1019" s="56"/>
      <c r="AF1019" s="19"/>
      <c r="AG1019" s="29">
        <f>AF1019</f>
        <v>0</v>
      </c>
    </row>
    <row r="1020" spans="2:40">
      <c r="B1020" s="63" t="s">
        <v>63</v>
      </c>
      <c r="C1020" s="19"/>
      <c r="D1020" s="291"/>
      <c r="E1020" s="19"/>
      <c r="F1020" s="291"/>
      <c r="G1020" s="19"/>
      <c r="H1020" s="291"/>
      <c r="I1020" s="19"/>
      <c r="J1020" s="291">
        <v>2</v>
      </c>
      <c r="K1020" s="19"/>
      <c r="L1020" s="291"/>
      <c r="M1020" s="19"/>
      <c r="N1020" s="291"/>
      <c r="O1020" s="19"/>
      <c r="P1020" s="291"/>
      <c r="Q1020" s="19"/>
      <c r="R1020" s="291"/>
      <c r="S1020" s="19"/>
      <c r="T1020" s="291">
        <v>1</v>
      </c>
      <c r="U1020" s="19"/>
      <c r="V1020" s="291"/>
      <c r="W1020" s="19"/>
      <c r="X1020" s="291"/>
      <c r="Y1020" s="19">
        <v>1</v>
      </c>
      <c r="Z1020" s="291"/>
      <c r="AA1020" s="28">
        <f>SUM(E1020+J1020+O1020+T1020+Y1020)</f>
        <v>4</v>
      </c>
      <c r="AB1020" s="296">
        <f>Z1020+U1020+P1020+K1020+F1020</f>
        <v>0</v>
      </c>
      <c r="AC1020" s="4"/>
      <c r="AD1020" s="56"/>
      <c r="AE1020" s="56"/>
      <c r="AF1020" s="19"/>
      <c r="AG1020" s="29">
        <f>AF1020</f>
        <v>0</v>
      </c>
    </row>
    <row r="1021" spans="2:40">
      <c r="B1021" s="71" t="s">
        <v>66</v>
      </c>
      <c r="C1021" s="371"/>
      <c r="D1021" s="371"/>
      <c r="E1021" s="71">
        <f t="shared" ref="E1021:AB1021" si="174">SUM(E1019:E1020)</f>
        <v>0</v>
      </c>
      <c r="F1021" s="71">
        <f t="shared" si="174"/>
        <v>0</v>
      </c>
      <c r="G1021" s="71">
        <f t="shared" si="174"/>
        <v>0</v>
      </c>
      <c r="H1021" s="71">
        <f t="shared" si="174"/>
        <v>0</v>
      </c>
      <c r="I1021" s="71">
        <f t="shared" si="174"/>
        <v>0</v>
      </c>
      <c r="J1021" s="71">
        <f t="shared" si="174"/>
        <v>2</v>
      </c>
      <c r="K1021" s="71">
        <f t="shared" si="174"/>
        <v>0</v>
      </c>
      <c r="L1021" s="71">
        <f t="shared" si="174"/>
        <v>0</v>
      </c>
      <c r="M1021" s="71">
        <f t="shared" si="174"/>
        <v>0</v>
      </c>
      <c r="N1021" s="71">
        <f t="shared" si="174"/>
        <v>0</v>
      </c>
      <c r="O1021" s="71">
        <f t="shared" si="174"/>
        <v>0</v>
      </c>
      <c r="P1021" s="71">
        <f t="shared" si="174"/>
        <v>0</v>
      </c>
      <c r="Q1021" s="71">
        <f t="shared" si="174"/>
        <v>0</v>
      </c>
      <c r="R1021" s="71">
        <f t="shared" si="174"/>
        <v>0</v>
      </c>
      <c r="S1021" s="71">
        <f t="shared" si="174"/>
        <v>0</v>
      </c>
      <c r="T1021" s="71">
        <f t="shared" si="174"/>
        <v>1</v>
      </c>
      <c r="U1021" s="71">
        <f t="shared" si="174"/>
        <v>0</v>
      </c>
      <c r="V1021" s="71">
        <f t="shared" si="174"/>
        <v>0</v>
      </c>
      <c r="W1021" s="71">
        <f t="shared" si="174"/>
        <v>0</v>
      </c>
      <c r="X1021" s="71">
        <f t="shared" si="174"/>
        <v>0</v>
      </c>
      <c r="Y1021" s="71">
        <f t="shared" si="174"/>
        <v>1</v>
      </c>
      <c r="Z1021" s="71">
        <f t="shared" si="174"/>
        <v>0</v>
      </c>
      <c r="AA1021" s="370">
        <f t="shared" si="174"/>
        <v>4</v>
      </c>
      <c r="AB1021" s="370">
        <f t="shared" si="174"/>
        <v>0</v>
      </c>
      <c r="AC1021" s="4"/>
      <c r="AG1021" s="370">
        <f>SUM(AG1019:AG1020)</f>
        <v>0</v>
      </c>
    </row>
    <row r="1022" spans="2:40">
      <c r="B1022" s="217" t="s">
        <v>67</v>
      </c>
      <c r="C1022" s="207">
        <f>C1023+C1024</f>
        <v>0</v>
      </c>
      <c r="D1022" s="207"/>
      <c r="E1022" s="209"/>
      <c r="F1022" s="209"/>
      <c r="G1022" s="207"/>
      <c r="H1022" s="209"/>
      <c r="I1022" s="209"/>
      <c r="J1022" s="209"/>
      <c r="K1022" s="209"/>
      <c r="L1022" s="207"/>
      <c r="M1022" s="207"/>
      <c r="N1022" s="207"/>
      <c r="O1022" s="207"/>
      <c r="P1022" s="209"/>
      <c r="Q1022" s="207"/>
      <c r="R1022" s="207"/>
      <c r="S1022" s="207"/>
      <c r="T1022" s="207"/>
      <c r="U1022" s="209"/>
      <c r="V1022" s="207"/>
      <c r="W1022" s="207"/>
      <c r="X1022" s="207"/>
      <c r="Y1022" s="210"/>
      <c r="Z1022" s="209"/>
      <c r="AA1022" s="211"/>
      <c r="AB1022" s="209"/>
      <c r="AC1022" s="211"/>
      <c r="AD1022" s="211"/>
      <c r="AE1022" s="211"/>
      <c r="AF1022" s="211"/>
      <c r="AG1022" s="211"/>
    </row>
    <row r="1023" spans="2:40">
      <c r="B1023" s="238" t="s">
        <v>68</v>
      </c>
      <c r="C1023" s="239"/>
      <c r="D1023" s="207"/>
      <c r="E1023" s="209"/>
      <c r="F1023" s="209"/>
      <c r="G1023" s="207"/>
      <c r="H1023" s="209"/>
      <c r="I1023" s="209"/>
      <c r="J1023" s="209"/>
      <c r="K1023" s="209"/>
      <c r="L1023" s="207"/>
      <c r="M1023" s="207"/>
      <c r="N1023" s="207"/>
      <c r="O1023" s="207"/>
      <c r="P1023" s="209"/>
      <c r="Q1023" s="207"/>
      <c r="R1023" s="207"/>
      <c r="S1023" s="207"/>
      <c r="T1023" s="207"/>
      <c r="U1023" s="209"/>
      <c r="V1023" s="207"/>
      <c r="W1023" s="207"/>
      <c r="X1023" s="207"/>
      <c r="Y1023" s="210"/>
      <c r="Z1023" s="209"/>
      <c r="AA1023" s="211"/>
      <c r="AB1023" s="209"/>
      <c r="AC1023" s="211"/>
      <c r="AD1023" s="211"/>
      <c r="AE1023" s="211"/>
      <c r="AF1023" s="211"/>
      <c r="AG1023" s="211"/>
    </row>
    <row r="1024" spans="2:40">
      <c r="B1024" s="238" t="s">
        <v>69</v>
      </c>
      <c r="C1024" s="526"/>
      <c r="D1024" s="207"/>
      <c r="E1024" s="209"/>
      <c r="F1024" s="209"/>
      <c r="G1024" s="207"/>
      <c r="H1024" s="209"/>
      <c r="I1024" s="209"/>
      <c r="J1024" s="209"/>
      <c r="K1024" s="209"/>
      <c r="L1024" s="207"/>
      <c r="M1024" s="207"/>
      <c r="N1024" s="207"/>
      <c r="O1024" s="207"/>
      <c r="P1024" s="209"/>
      <c r="Q1024" s="207"/>
      <c r="R1024" s="207"/>
      <c r="S1024" s="207"/>
      <c r="T1024" s="207"/>
      <c r="U1024" s="209"/>
      <c r="V1024" s="207"/>
      <c r="W1024" s="207"/>
      <c r="X1024" s="207"/>
      <c r="Y1024" s="210"/>
      <c r="Z1024" s="209"/>
      <c r="AA1024" s="211"/>
      <c r="AB1024" s="209"/>
      <c r="AC1024" s="211"/>
      <c r="AD1024" s="211"/>
      <c r="AE1024" s="211"/>
      <c r="AF1024" s="211"/>
      <c r="AG1024" s="211"/>
    </row>
    <row r="1025" spans="2:29">
      <c r="B1025" s="180"/>
      <c r="E1025" s="4"/>
      <c r="F1025" s="4"/>
      <c r="G1025" s="4"/>
      <c r="J1025" s="4"/>
      <c r="K1025" s="4"/>
      <c r="L1025" s="4"/>
      <c r="O1025" s="4"/>
      <c r="P1025" s="4"/>
      <c r="T1025" s="4"/>
      <c r="U1025" s="4"/>
      <c r="Y1025" s="4"/>
      <c r="Z1025" s="4"/>
      <c r="AA1025" s="4"/>
      <c r="AB1025" s="4"/>
      <c r="AC1025" s="4"/>
    </row>
    <row r="1026" spans="2:29">
      <c r="B1026" s="180"/>
      <c r="E1026" s="4"/>
      <c r="F1026" s="4"/>
      <c r="G1026" s="4"/>
      <c r="J1026" s="4"/>
      <c r="K1026" s="4"/>
      <c r="L1026" s="4"/>
      <c r="O1026" s="4"/>
      <c r="P1026" s="4"/>
      <c r="T1026" s="4"/>
      <c r="U1026" s="4"/>
      <c r="Y1026" s="4"/>
      <c r="Z1026" s="4"/>
      <c r="AA1026" s="4"/>
      <c r="AB1026" s="4"/>
      <c r="AC1026" s="4"/>
    </row>
    <row r="1027" spans="2:29">
      <c r="B1027" s="180"/>
      <c r="E1027" s="4"/>
      <c r="F1027" s="4"/>
      <c r="G1027" s="4"/>
      <c r="J1027" s="4"/>
      <c r="K1027" s="4"/>
      <c r="L1027" s="4"/>
      <c r="O1027" s="4"/>
      <c r="P1027" s="4"/>
      <c r="T1027" s="4"/>
      <c r="U1027" s="4"/>
      <c r="Y1027" s="4"/>
      <c r="Z1027" s="4"/>
      <c r="AA1027" s="4"/>
      <c r="AB1027" s="4"/>
      <c r="AC1027" s="4"/>
    </row>
    <row r="1028" spans="2:29">
      <c r="B1028" s="180"/>
      <c r="E1028" s="4"/>
      <c r="F1028" s="4"/>
      <c r="G1028" s="4"/>
      <c r="J1028" s="4"/>
      <c r="K1028" s="4"/>
      <c r="L1028" s="4"/>
      <c r="O1028" s="4"/>
      <c r="P1028" s="4"/>
      <c r="T1028" s="4"/>
      <c r="U1028" s="4"/>
      <c r="Y1028" s="4"/>
      <c r="Z1028" s="4"/>
      <c r="AA1028" s="4"/>
      <c r="AB1028" s="4"/>
      <c r="AC1028" s="4"/>
    </row>
    <row r="1029" spans="2:29">
      <c r="B1029" s="180"/>
      <c r="E1029" s="4"/>
      <c r="F1029" s="4"/>
      <c r="G1029" s="4"/>
      <c r="J1029" s="4"/>
      <c r="K1029" s="4"/>
      <c r="L1029" s="4"/>
      <c r="O1029" s="4"/>
      <c r="P1029" s="4"/>
      <c r="T1029" s="4"/>
      <c r="U1029" s="4"/>
      <c r="Y1029" s="4"/>
      <c r="Z1029" s="4"/>
      <c r="AA1029" s="4"/>
      <c r="AB1029" s="4"/>
      <c r="AC1029" s="4"/>
    </row>
    <row r="1030" spans="2:29">
      <c r="B1030" s="180"/>
      <c r="E1030" s="4"/>
      <c r="F1030" s="4"/>
      <c r="G1030" s="4"/>
      <c r="J1030" s="4"/>
      <c r="K1030" s="4"/>
      <c r="L1030" s="4"/>
      <c r="O1030" s="4"/>
      <c r="P1030" s="4"/>
      <c r="T1030" s="4"/>
      <c r="U1030" s="4"/>
      <c r="Y1030" s="4"/>
      <c r="Z1030" s="4"/>
      <c r="AA1030" s="4"/>
      <c r="AB1030" s="4"/>
      <c r="AC1030" s="4"/>
    </row>
    <row r="1031" spans="2:29">
      <c r="B1031" s="180"/>
      <c r="E1031" s="4"/>
      <c r="F1031" s="4"/>
      <c r="G1031" s="4"/>
      <c r="J1031" s="4"/>
      <c r="K1031" s="4"/>
      <c r="L1031" s="4"/>
      <c r="O1031" s="4"/>
      <c r="P1031" s="4"/>
      <c r="T1031" s="4"/>
      <c r="U1031" s="4"/>
      <c r="Y1031" s="4"/>
      <c r="Z1031" s="4"/>
      <c r="AA1031" s="4"/>
      <c r="AB1031" s="4"/>
      <c r="AC1031" s="4"/>
    </row>
    <row r="1032" spans="2:29">
      <c r="B1032" s="180"/>
      <c r="E1032" s="4"/>
      <c r="F1032" s="4"/>
      <c r="G1032" s="4"/>
      <c r="J1032" s="4"/>
      <c r="K1032" s="4"/>
      <c r="L1032" s="4"/>
      <c r="O1032" s="4"/>
      <c r="P1032" s="4"/>
      <c r="T1032" s="4"/>
      <c r="U1032" s="4"/>
      <c r="Y1032" s="4"/>
      <c r="Z1032" s="4"/>
      <c r="AA1032" s="4"/>
      <c r="AB1032" s="4"/>
      <c r="AC1032" s="4"/>
    </row>
    <row r="1033" spans="2:29">
      <c r="B1033" s="180"/>
      <c r="E1033" s="4"/>
      <c r="F1033" s="4"/>
      <c r="G1033" s="4"/>
      <c r="J1033" s="4"/>
      <c r="K1033" s="4"/>
      <c r="L1033" s="4"/>
      <c r="O1033" s="4"/>
      <c r="P1033" s="4"/>
      <c r="T1033" s="4"/>
      <c r="U1033" s="4"/>
      <c r="Y1033" s="4"/>
      <c r="Z1033" s="4"/>
      <c r="AA1033" s="4"/>
      <c r="AB1033" s="4"/>
      <c r="AC1033" s="4"/>
    </row>
    <row r="1034" spans="2:29">
      <c r="B1034" s="180"/>
      <c r="E1034" s="4"/>
      <c r="F1034" s="4"/>
      <c r="G1034" s="4"/>
      <c r="J1034" s="4"/>
      <c r="K1034" s="4"/>
      <c r="L1034" s="4"/>
      <c r="O1034" s="4"/>
      <c r="P1034" s="4"/>
      <c r="T1034" s="4"/>
      <c r="U1034" s="4"/>
      <c r="Y1034" s="4"/>
      <c r="Z1034" s="4"/>
      <c r="AA1034" s="4"/>
      <c r="AB1034" s="4"/>
      <c r="AC1034" s="4"/>
    </row>
    <row r="1035" spans="2:29">
      <c r="B1035" s="180"/>
      <c r="E1035" s="4"/>
      <c r="F1035" s="4"/>
      <c r="G1035" s="4"/>
      <c r="J1035" s="4"/>
      <c r="K1035" s="4"/>
      <c r="L1035" s="4"/>
      <c r="O1035" s="4"/>
      <c r="P1035" s="4"/>
      <c r="T1035" s="4"/>
      <c r="U1035" s="4"/>
      <c r="Y1035" s="4"/>
      <c r="Z1035" s="4"/>
      <c r="AA1035" s="4"/>
      <c r="AB1035" s="4"/>
      <c r="AC1035" s="4"/>
    </row>
    <row r="1036" spans="2:29">
      <c r="B1036" s="180"/>
      <c r="E1036" s="4"/>
      <c r="F1036" s="4"/>
      <c r="G1036" s="4"/>
      <c r="J1036" s="4"/>
      <c r="K1036" s="4"/>
      <c r="L1036" s="4"/>
      <c r="O1036" s="4"/>
      <c r="P1036" s="4"/>
      <c r="T1036" s="4"/>
      <c r="U1036" s="4"/>
      <c r="Y1036" s="4"/>
      <c r="Z1036" s="4"/>
      <c r="AA1036" s="4"/>
      <c r="AB1036" s="4"/>
      <c r="AC1036" s="4"/>
    </row>
    <row r="1037" spans="2:29">
      <c r="B1037" s="180"/>
      <c r="E1037" s="4"/>
      <c r="F1037" s="4"/>
      <c r="G1037" s="4"/>
      <c r="J1037" s="4"/>
      <c r="K1037" s="4"/>
      <c r="L1037" s="4"/>
      <c r="O1037" s="4"/>
      <c r="P1037" s="4"/>
      <c r="T1037" s="4"/>
      <c r="U1037" s="4"/>
      <c r="Y1037" s="4"/>
      <c r="Z1037" s="4"/>
      <c r="AA1037" s="4"/>
      <c r="AB1037" s="4"/>
      <c r="AC1037" s="4"/>
    </row>
    <row r="1038" spans="2:29">
      <c r="B1038" s="180"/>
      <c r="E1038" s="4"/>
      <c r="F1038" s="4"/>
      <c r="G1038" s="4"/>
      <c r="J1038" s="4"/>
      <c r="K1038" s="4"/>
      <c r="L1038" s="4"/>
      <c r="O1038" s="4"/>
      <c r="P1038" s="4"/>
      <c r="T1038" s="4"/>
      <c r="U1038" s="4"/>
      <c r="Y1038" s="4"/>
      <c r="Z1038" s="4"/>
      <c r="AA1038" s="4"/>
      <c r="AB1038" s="4"/>
      <c r="AC1038" s="4"/>
    </row>
    <row r="1039" spans="2:29">
      <c r="B1039" s="180"/>
      <c r="E1039" s="4"/>
      <c r="F1039" s="4"/>
      <c r="G1039" s="4"/>
      <c r="J1039" s="4"/>
      <c r="K1039" s="4"/>
      <c r="L1039" s="4"/>
      <c r="O1039" s="4"/>
      <c r="P1039" s="4"/>
      <c r="T1039" s="4"/>
      <c r="U1039" s="4"/>
      <c r="Y1039" s="4"/>
      <c r="Z1039" s="4"/>
      <c r="AA1039" s="4"/>
      <c r="AB1039" s="4"/>
      <c r="AC1039" s="4"/>
    </row>
    <row r="1040" spans="2:29">
      <c r="B1040" s="180"/>
      <c r="E1040" s="4"/>
      <c r="F1040" s="4"/>
      <c r="G1040" s="4"/>
      <c r="J1040" s="4"/>
      <c r="K1040" s="4"/>
      <c r="L1040" s="4"/>
      <c r="O1040" s="4"/>
      <c r="P1040" s="4"/>
      <c r="T1040" s="4"/>
      <c r="U1040" s="4"/>
      <c r="Y1040" s="4"/>
      <c r="Z1040" s="4"/>
      <c r="AA1040" s="4"/>
      <c r="AB1040" s="4"/>
      <c r="AC1040" s="4"/>
    </row>
    <row r="1041" spans="2:29">
      <c r="B1041" s="180"/>
      <c r="E1041" s="4"/>
      <c r="F1041" s="4"/>
      <c r="G1041" s="4"/>
      <c r="J1041" s="4"/>
      <c r="K1041" s="4"/>
      <c r="L1041" s="4"/>
      <c r="O1041" s="4"/>
      <c r="P1041" s="4"/>
      <c r="T1041" s="4"/>
      <c r="U1041" s="4"/>
      <c r="Y1041" s="4"/>
      <c r="Z1041" s="4"/>
      <c r="AA1041" s="4"/>
      <c r="AB1041" s="4"/>
      <c r="AC1041" s="4"/>
    </row>
    <row r="1042" spans="2:29">
      <c r="B1042" s="180"/>
      <c r="E1042" s="4"/>
      <c r="F1042" s="4"/>
      <c r="G1042" s="4"/>
      <c r="J1042" s="4"/>
      <c r="K1042" s="4"/>
      <c r="L1042" s="4"/>
      <c r="O1042" s="4"/>
      <c r="P1042" s="4"/>
      <c r="T1042" s="4"/>
      <c r="U1042" s="4"/>
      <c r="Y1042" s="4"/>
      <c r="Z1042" s="4"/>
      <c r="AA1042" s="4"/>
      <c r="AB1042" s="4"/>
      <c r="AC1042" s="4"/>
    </row>
    <row r="1043" spans="2:29">
      <c r="B1043" s="180"/>
      <c r="E1043" s="4"/>
      <c r="F1043" s="4"/>
      <c r="G1043" s="4"/>
      <c r="J1043" s="4"/>
      <c r="K1043" s="4"/>
      <c r="L1043" s="4"/>
      <c r="O1043" s="4"/>
      <c r="P1043" s="4"/>
      <c r="T1043" s="4"/>
      <c r="U1043" s="4"/>
      <c r="Y1043" s="4"/>
      <c r="Z1043" s="4"/>
      <c r="AA1043" s="4"/>
      <c r="AB1043" s="4"/>
      <c r="AC1043" s="4"/>
    </row>
    <row r="1044" spans="2:29">
      <c r="B1044" s="180"/>
      <c r="E1044" s="4"/>
      <c r="F1044" s="4"/>
      <c r="G1044" s="4"/>
      <c r="J1044" s="4"/>
      <c r="K1044" s="4"/>
      <c r="L1044" s="4"/>
      <c r="O1044" s="4"/>
      <c r="P1044" s="4"/>
      <c r="T1044" s="4"/>
      <c r="U1044" s="4"/>
      <c r="Y1044" s="4"/>
      <c r="Z1044" s="4"/>
      <c r="AA1044" s="4"/>
      <c r="AB1044" s="4"/>
      <c r="AC1044" s="4"/>
    </row>
    <row r="1045" spans="2:29">
      <c r="B1045" s="180"/>
      <c r="E1045" s="4"/>
      <c r="F1045" s="4"/>
      <c r="G1045" s="4"/>
      <c r="J1045" s="4"/>
      <c r="K1045" s="4"/>
      <c r="L1045" s="4"/>
      <c r="O1045" s="4"/>
      <c r="P1045" s="4"/>
      <c r="T1045" s="4"/>
      <c r="U1045" s="4"/>
      <c r="Y1045" s="4"/>
      <c r="Z1045" s="4"/>
      <c r="AA1045" s="4"/>
      <c r="AB1045" s="4"/>
      <c r="AC1045" s="4"/>
    </row>
    <row r="1046" spans="2:29">
      <c r="B1046" s="180"/>
      <c r="E1046" s="4"/>
      <c r="F1046" s="4"/>
      <c r="G1046" s="4"/>
      <c r="J1046" s="4"/>
      <c r="K1046" s="4"/>
      <c r="L1046" s="4"/>
      <c r="O1046" s="4"/>
      <c r="P1046" s="4"/>
      <c r="T1046" s="4"/>
      <c r="U1046" s="4"/>
      <c r="Y1046" s="4"/>
      <c r="Z1046" s="4"/>
      <c r="AA1046" s="4"/>
      <c r="AB1046" s="4"/>
      <c r="AC1046" s="4"/>
    </row>
    <row r="1047" spans="2:29">
      <c r="B1047" s="180"/>
      <c r="E1047" s="4"/>
      <c r="F1047" s="4"/>
      <c r="G1047" s="4"/>
      <c r="J1047" s="4"/>
      <c r="K1047" s="4"/>
      <c r="L1047" s="4"/>
      <c r="O1047" s="4"/>
      <c r="P1047" s="4"/>
      <c r="T1047" s="4"/>
      <c r="U1047" s="4"/>
      <c r="Y1047" s="4"/>
      <c r="Z1047" s="4"/>
      <c r="AA1047" s="4"/>
      <c r="AB1047" s="4"/>
      <c r="AC1047" s="4"/>
    </row>
    <row r="1048" spans="2:29">
      <c r="B1048" s="180"/>
      <c r="E1048" s="4"/>
      <c r="F1048" s="4"/>
      <c r="G1048" s="4"/>
      <c r="J1048" s="4"/>
      <c r="K1048" s="4"/>
      <c r="L1048" s="4"/>
      <c r="O1048" s="4"/>
      <c r="P1048" s="4"/>
      <c r="T1048" s="4"/>
      <c r="U1048" s="4"/>
      <c r="Y1048" s="4"/>
      <c r="Z1048" s="4"/>
      <c r="AA1048" s="4"/>
      <c r="AB1048" s="4"/>
      <c r="AC1048" s="4"/>
    </row>
    <row r="1049" spans="2:29">
      <c r="B1049" s="180"/>
      <c r="E1049" s="4"/>
      <c r="F1049" s="4"/>
      <c r="G1049" s="4"/>
      <c r="J1049" s="4"/>
      <c r="K1049" s="4"/>
      <c r="L1049" s="4"/>
      <c r="O1049" s="4"/>
      <c r="P1049" s="4"/>
      <c r="T1049" s="4"/>
      <c r="U1049" s="4"/>
      <c r="Y1049" s="4"/>
      <c r="Z1049" s="4"/>
      <c r="AA1049" s="4"/>
      <c r="AB1049" s="4"/>
      <c r="AC1049" s="4"/>
    </row>
    <row r="1050" spans="2:29">
      <c r="B1050" s="180"/>
      <c r="E1050" s="4"/>
      <c r="F1050" s="4"/>
      <c r="G1050" s="4"/>
      <c r="J1050" s="4"/>
      <c r="K1050" s="4"/>
      <c r="L1050" s="4"/>
      <c r="O1050" s="4"/>
      <c r="P1050" s="4"/>
      <c r="T1050" s="4"/>
      <c r="U1050" s="4"/>
      <c r="Y1050" s="4"/>
      <c r="Z1050" s="4"/>
      <c r="AA1050" s="4"/>
      <c r="AB1050" s="4"/>
      <c r="AC1050" s="4"/>
    </row>
    <row r="1051" spans="2:29">
      <c r="B1051" s="180"/>
      <c r="E1051" s="4"/>
      <c r="F1051" s="4"/>
      <c r="G1051" s="4"/>
      <c r="J1051" s="4"/>
      <c r="K1051" s="4"/>
      <c r="L1051" s="4"/>
      <c r="O1051" s="4"/>
      <c r="P1051" s="4"/>
      <c r="T1051" s="4"/>
      <c r="U1051" s="4"/>
      <c r="Y1051" s="4"/>
      <c r="Z1051" s="4"/>
      <c r="AA1051" s="4"/>
      <c r="AB1051" s="4"/>
      <c r="AC1051" s="4"/>
    </row>
    <row r="1052" spans="2:29">
      <c r="B1052" s="180"/>
      <c r="E1052" s="4"/>
      <c r="F1052" s="4"/>
      <c r="G1052" s="4"/>
      <c r="J1052" s="4"/>
      <c r="K1052" s="4"/>
      <c r="L1052" s="4"/>
      <c r="O1052" s="4"/>
      <c r="P1052" s="4"/>
      <c r="T1052" s="4"/>
      <c r="U1052" s="4"/>
      <c r="Y1052" s="4"/>
      <c r="Z1052" s="4"/>
      <c r="AA1052" s="4"/>
      <c r="AB1052" s="4"/>
      <c r="AC1052" s="4"/>
    </row>
    <row r="1053" spans="2:29">
      <c r="B1053" s="180"/>
      <c r="E1053" s="4"/>
      <c r="F1053" s="4"/>
      <c r="G1053" s="4"/>
      <c r="J1053" s="4"/>
      <c r="K1053" s="4"/>
      <c r="L1053" s="4"/>
      <c r="O1053" s="4"/>
      <c r="P1053" s="4"/>
      <c r="T1053" s="4"/>
      <c r="U1053" s="4"/>
      <c r="Y1053" s="4"/>
      <c r="Z1053" s="4"/>
      <c r="AA1053" s="4"/>
      <c r="AB1053" s="4"/>
      <c r="AC1053" s="4"/>
    </row>
    <row r="1054" spans="2:29">
      <c r="B1054" s="180"/>
      <c r="E1054" s="4"/>
      <c r="F1054" s="4"/>
      <c r="G1054" s="4"/>
      <c r="J1054" s="4"/>
      <c r="K1054" s="4"/>
      <c r="L1054" s="4"/>
      <c r="O1054" s="4"/>
      <c r="P1054" s="4"/>
      <c r="T1054" s="4"/>
      <c r="U1054" s="4"/>
      <c r="Y1054" s="4"/>
      <c r="Z1054" s="4"/>
      <c r="AA1054" s="4"/>
      <c r="AB1054" s="4"/>
      <c r="AC1054" s="4"/>
    </row>
    <row r="1055" spans="2:29">
      <c r="B1055" s="180"/>
      <c r="E1055" s="4"/>
      <c r="F1055" s="4"/>
      <c r="G1055" s="4"/>
      <c r="J1055" s="4"/>
      <c r="K1055" s="4"/>
      <c r="L1055" s="4"/>
      <c r="O1055" s="4"/>
      <c r="P1055" s="4"/>
      <c r="T1055" s="4"/>
      <c r="U1055" s="4"/>
      <c r="Y1055" s="4"/>
      <c r="Z1055" s="4"/>
      <c r="AA1055" s="4"/>
      <c r="AB1055" s="4"/>
      <c r="AC1055" s="4"/>
    </row>
    <row r="1056" spans="2:29">
      <c r="B1056" s="180"/>
      <c r="E1056" s="4"/>
      <c r="F1056" s="4"/>
      <c r="G1056" s="4"/>
      <c r="J1056" s="4"/>
      <c r="K1056" s="4"/>
      <c r="L1056" s="4"/>
      <c r="O1056" s="4"/>
      <c r="P1056" s="4"/>
      <c r="T1056" s="4"/>
      <c r="U1056" s="4"/>
      <c r="Y1056" s="4"/>
      <c r="Z1056" s="4"/>
      <c r="AA1056" s="4"/>
      <c r="AB1056" s="4"/>
      <c r="AC1056" s="4"/>
    </row>
    <row r="1057" spans="2:29">
      <c r="B1057" s="180"/>
      <c r="E1057" s="4"/>
      <c r="F1057" s="4"/>
      <c r="G1057" s="4"/>
      <c r="J1057" s="4"/>
      <c r="K1057" s="4"/>
      <c r="L1057" s="4"/>
      <c r="O1057" s="4"/>
      <c r="P1057" s="4"/>
      <c r="T1057" s="4"/>
      <c r="U1057" s="4"/>
      <c r="Y1057" s="4"/>
      <c r="Z1057" s="4"/>
      <c r="AA1057" s="4"/>
      <c r="AB1057" s="4"/>
      <c r="AC1057" s="4"/>
    </row>
    <row r="1058" spans="2:29">
      <c r="B1058" s="180"/>
      <c r="E1058" s="4"/>
      <c r="F1058" s="4"/>
      <c r="G1058" s="4"/>
      <c r="J1058" s="4"/>
      <c r="K1058" s="4"/>
      <c r="L1058" s="4"/>
      <c r="O1058" s="4"/>
      <c r="P1058" s="4"/>
      <c r="T1058" s="4"/>
      <c r="U1058" s="4"/>
      <c r="Y1058" s="4"/>
      <c r="Z1058" s="4"/>
      <c r="AA1058" s="4"/>
      <c r="AB1058" s="4"/>
      <c r="AC1058" s="4"/>
    </row>
    <row r="1059" spans="2:29">
      <c r="B1059" s="180"/>
      <c r="E1059" s="4"/>
      <c r="F1059" s="4"/>
      <c r="G1059" s="4"/>
      <c r="J1059" s="4"/>
      <c r="K1059" s="4"/>
      <c r="L1059" s="4"/>
      <c r="O1059" s="4"/>
      <c r="P1059" s="4"/>
      <c r="T1059" s="4"/>
      <c r="U1059" s="4"/>
      <c r="Y1059" s="4"/>
      <c r="Z1059" s="4"/>
      <c r="AA1059" s="4"/>
      <c r="AB1059" s="4"/>
      <c r="AC1059" s="4"/>
    </row>
  </sheetData>
  <sortState xmlns:xlrd2="http://schemas.microsoft.com/office/spreadsheetml/2017/richdata2" ref="B642:B656">
    <sortCondition ref="B642:B656"/>
  </sortState>
  <mergeCells count="300">
    <mergeCell ref="AG1002:AG1003"/>
    <mergeCell ref="B1002:B1003"/>
    <mergeCell ref="C1002:F1002"/>
    <mergeCell ref="H1002:K1002"/>
    <mergeCell ref="M1002:P1002"/>
    <mergeCell ref="R1002:U1002"/>
    <mergeCell ref="W1002:Z1002"/>
    <mergeCell ref="AA1002:AA1003"/>
    <mergeCell ref="AB1002:AB1003"/>
    <mergeCell ref="AD1002:AF1002"/>
    <mergeCell ref="AG950:AG951"/>
    <mergeCell ref="B976:B977"/>
    <mergeCell ref="C976:F976"/>
    <mergeCell ref="H976:K976"/>
    <mergeCell ref="M976:P976"/>
    <mergeCell ref="R976:U976"/>
    <mergeCell ref="W976:Z976"/>
    <mergeCell ref="AA976:AA977"/>
    <mergeCell ref="AB976:AB977"/>
    <mergeCell ref="AD976:AF976"/>
    <mergeCell ref="AG976:AG977"/>
    <mergeCell ref="B950:B951"/>
    <mergeCell ref="C950:F950"/>
    <mergeCell ref="H950:K950"/>
    <mergeCell ref="M950:P950"/>
    <mergeCell ref="R950:U950"/>
    <mergeCell ref="W950:Z950"/>
    <mergeCell ref="AA950:AA951"/>
    <mergeCell ref="AB950:AB951"/>
    <mergeCell ref="AD950:AF950"/>
    <mergeCell ref="AG924:AG925"/>
    <mergeCell ref="B924:B925"/>
    <mergeCell ref="C924:F924"/>
    <mergeCell ref="H924:K924"/>
    <mergeCell ref="M924:P924"/>
    <mergeCell ref="R924:U924"/>
    <mergeCell ref="W924:Z924"/>
    <mergeCell ref="AA924:AA925"/>
    <mergeCell ref="AB924:AB925"/>
    <mergeCell ref="AD924:AF924"/>
    <mergeCell ref="AG818:AG819"/>
    <mergeCell ref="B845:B846"/>
    <mergeCell ref="C845:F845"/>
    <mergeCell ref="H845:K845"/>
    <mergeCell ref="M845:P845"/>
    <mergeCell ref="R845:U845"/>
    <mergeCell ref="W845:Z845"/>
    <mergeCell ref="AA845:AA846"/>
    <mergeCell ref="AB845:AB846"/>
    <mergeCell ref="AD845:AF845"/>
    <mergeCell ref="AG845:AG846"/>
    <mergeCell ref="B818:B819"/>
    <mergeCell ref="C818:F818"/>
    <mergeCell ref="H818:K818"/>
    <mergeCell ref="M818:P818"/>
    <mergeCell ref="R818:U818"/>
    <mergeCell ref="W818:Z818"/>
    <mergeCell ref="AA818:AA819"/>
    <mergeCell ref="AB818:AB819"/>
    <mergeCell ref="AD818:AF818"/>
    <mergeCell ref="R834:S834"/>
    <mergeCell ref="AG790:AG791"/>
    <mergeCell ref="B790:B791"/>
    <mergeCell ref="C790:F790"/>
    <mergeCell ref="H790:K790"/>
    <mergeCell ref="M790:P790"/>
    <mergeCell ref="R790:U790"/>
    <mergeCell ref="W790:Z790"/>
    <mergeCell ref="AA790:AA791"/>
    <mergeCell ref="AB790:AB791"/>
    <mergeCell ref="AD790:AF790"/>
    <mergeCell ref="AG503:AG504"/>
    <mergeCell ref="B503:B504"/>
    <mergeCell ref="C503:F503"/>
    <mergeCell ref="H503:K503"/>
    <mergeCell ref="M503:P503"/>
    <mergeCell ref="R503:U503"/>
    <mergeCell ref="W503:Z503"/>
    <mergeCell ref="AA503:AA504"/>
    <mergeCell ref="AB503:AB504"/>
    <mergeCell ref="AD503:AF503"/>
    <mergeCell ref="W426:Z426"/>
    <mergeCell ref="AA426:AA427"/>
    <mergeCell ref="AB426:AB427"/>
    <mergeCell ref="AD426:AF426"/>
    <mergeCell ref="AG426:AG427"/>
    <mergeCell ref="B426:B427"/>
    <mergeCell ref="C426:F426"/>
    <mergeCell ref="H426:K426"/>
    <mergeCell ref="M426:P426"/>
    <mergeCell ref="R426:U426"/>
    <mergeCell ref="AA197:AA198"/>
    <mergeCell ref="AB197:AB198"/>
    <mergeCell ref="AD197:AF197"/>
    <mergeCell ref="AG197:AG198"/>
    <mergeCell ref="B244:B245"/>
    <mergeCell ref="C244:F244"/>
    <mergeCell ref="H244:K244"/>
    <mergeCell ref="M244:P244"/>
    <mergeCell ref="R244:U244"/>
    <mergeCell ref="W244:Z244"/>
    <mergeCell ref="AA244:AA245"/>
    <mergeCell ref="AB244:AB245"/>
    <mergeCell ref="AD244:AF244"/>
    <mergeCell ref="AG244:AG245"/>
    <mergeCell ref="B197:B198"/>
    <mergeCell ref="C197:F197"/>
    <mergeCell ref="W197:Z197"/>
    <mergeCell ref="H197:K197"/>
    <mergeCell ref="M197:P197"/>
    <mergeCell ref="R197:U197"/>
    <mergeCell ref="AA56:AA57"/>
    <mergeCell ref="AB56:AB57"/>
    <mergeCell ref="AD56:AF56"/>
    <mergeCell ref="AG56:AG57"/>
    <mergeCell ref="AA102:AA103"/>
    <mergeCell ref="AB102:AB103"/>
    <mergeCell ref="AD102:AF102"/>
    <mergeCell ref="AG102:AG103"/>
    <mergeCell ref="AK1:AP1"/>
    <mergeCell ref="AK2:AP2"/>
    <mergeCell ref="S1:AG1"/>
    <mergeCell ref="W13:Z13"/>
    <mergeCell ref="AA13:AA14"/>
    <mergeCell ref="AB13:AB14"/>
    <mergeCell ref="AD13:AF13"/>
    <mergeCell ref="AG13:AG14"/>
    <mergeCell ref="W56:Z56"/>
    <mergeCell ref="B13:B14"/>
    <mergeCell ref="C13:F13"/>
    <mergeCell ref="H13:K13"/>
    <mergeCell ref="M13:P13"/>
    <mergeCell ref="R13:U13"/>
    <mergeCell ref="B56:B57"/>
    <mergeCell ref="C56:F56"/>
    <mergeCell ref="H56:K56"/>
    <mergeCell ref="M56:P56"/>
    <mergeCell ref="R56:U56"/>
    <mergeCell ref="C15:E45"/>
    <mergeCell ref="H15:J45"/>
    <mergeCell ref="M15:O45"/>
    <mergeCell ref="R15:T45"/>
    <mergeCell ref="B102:B103"/>
    <mergeCell ref="C102:F102"/>
    <mergeCell ref="H102:K102"/>
    <mergeCell ref="M102:P102"/>
    <mergeCell ref="R102:U102"/>
    <mergeCell ref="AA149:AA150"/>
    <mergeCell ref="AB149:AB150"/>
    <mergeCell ref="AD149:AF149"/>
    <mergeCell ref="AG149:AG150"/>
    <mergeCell ref="B149:B150"/>
    <mergeCell ref="C149:F149"/>
    <mergeCell ref="H149:K149"/>
    <mergeCell ref="M149:P149"/>
    <mergeCell ref="R149:U149"/>
    <mergeCell ref="W149:Z149"/>
    <mergeCell ref="W102:Z102"/>
    <mergeCell ref="AA289:AA290"/>
    <mergeCell ref="AB289:AB290"/>
    <mergeCell ref="AD289:AF289"/>
    <mergeCell ref="AG289:AG290"/>
    <mergeCell ref="B289:B290"/>
    <mergeCell ref="C289:F289"/>
    <mergeCell ref="H289:K289"/>
    <mergeCell ref="M289:P289"/>
    <mergeCell ref="R289:U289"/>
    <mergeCell ref="W289:Z289"/>
    <mergeCell ref="AA336:AA337"/>
    <mergeCell ref="AB336:AB337"/>
    <mergeCell ref="AD336:AF336"/>
    <mergeCell ref="AG336:AG337"/>
    <mergeCell ref="B336:B337"/>
    <mergeCell ref="C336:F336"/>
    <mergeCell ref="H336:K336"/>
    <mergeCell ref="M336:P336"/>
    <mergeCell ref="R336:U336"/>
    <mergeCell ref="W336:Z336"/>
    <mergeCell ref="AG384:AG385"/>
    <mergeCell ref="B384:B385"/>
    <mergeCell ref="C384:F384"/>
    <mergeCell ref="H384:K384"/>
    <mergeCell ref="M384:P384"/>
    <mergeCell ref="R384:U384"/>
    <mergeCell ref="W384:Z384"/>
    <mergeCell ref="AA384:AA385"/>
    <mergeCell ref="AB384:AB385"/>
    <mergeCell ref="AD384:AF384"/>
    <mergeCell ref="AG464:AG465"/>
    <mergeCell ref="B464:B465"/>
    <mergeCell ref="C464:F464"/>
    <mergeCell ref="H464:K464"/>
    <mergeCell ref="M464:P464"/>
    <mergeCell ref="R464:U464"/>
    <mergeCell ref="W464:Z464"/>
    <mergeCell ref="AA464:AA465"/>
    <mergeCell ref="AB464:AB465"/>
    <mergeCell ref="AD464:AF464"/>
    <mergeCell ref="AG537:AG538"/>
    <mergeCell ref="B537:B538"/>
    <mergeCell ref="C537:F537"/>
    <mergeCell ref="H537:K537"/>
    <mergeCell ref="M537:P537"/>
    <mergeCell ref="R537:U537"/>
    <mergeCell ref="W537:Z537"/>
    <mergeCell ref="AA537:AA538"/>
    <mergeCell ref="AB537:AB538"/>
    <mergeCell ref="AD537:AF537"/>
    <mergeCell ref="AG572:AG573"/>
    <mergeCell ref="B606:B607"/>
    <mergeCell ref="C606:F606"/>
    <mergeCell ref="H606:K606"/>
    <mergeCell ref="M606:P606"/>
    <mergeCell ref="R606:U606"/>
    <mergeCell ref="W606:Z606"/>
    <mergeCell ref="AA606:AA607"/>
    <mergeCell ref="AB606:AB607"/>
    <mergeCell ref="AD606:AF606"/>
    <mergeCell ref="AG606:AG607"/>
    <mergeCell ref="B572:B573"/>
    <mergeCell ref="C572:F572"/>
    <mergeCell ref="H572:K572"/>
    <mergeCell ref="M572:P572"/>
    <mergeCell ref="R572:U572"/>
    <mergeCell ref="W572:Z572"/>
    <mergeCell ref="AA572:AA573"/>
    <mergeCell ref="AB572:AB573"/>
    <mergeCell ref="AD572:AF572"/>
    <mergeCell ref="AG640:AG641"/>
    <mergeCell ref="B674:B675"/>
    <mergeCell ref="C674:F674"/>
    <mergeCell ref="H674:K674"/>
    <mergeCell ref="M674:P674"/>
    <mergeCell ref="R674:U674"/>
    <mergeCell ref="W674:Z674"/>
    <mergeCell ref="AA674:AA675"/>
    <mergeCell ref="AB674:AB675"/>
    <mergeCell ref="AD674:AF674"/>
    <mergeCell ref="AG674:AG675"/>
    <mergeCell ref="B640:B641"/>
    <mergeCell ref="C640:F640"/>
    <mergeCell ref="H640:K640"/>
    <mergeCell ref="M640:P640"/>
    <mergeCell ref="R640:U640"/>
    <mergeCell ref="W640:Z640"/>
    <mergeCell ref="AA640:AA641"/>
    <mergeCell ref="AB640:AB641"/>
    <mergeCell ref="AD640:AF640"/>
    <mergeCell ref="AG706:AG707"/>
    <mergeCell ref="B706:B707"/>
    <mergeCell ref="C706:F706"/>
    <mergeCell ref="H706:K706"/>
    <mergeCell ref="M706:P706"/>
    <mergeCell ref="R706:U706"/>
    <mergeCell ref="W706:Z706"/>
    <mergeCell ref="AA706:AA707"/>
    <mergeCell ref="AB706:AB707"/>
    <mergeCell ref="AD706:AF706"/>
    <mergeCell ref="AG734:AG735"/>
    <mergeCell ref="B762:B763"/>
    <mergeCell ref="C762:F762"/>
    <mergeCell ref="H762:K762"/>
    <mergeCell ref="M762:P762"/>
    <mergeCell ref="R762:U762"/>
    <mergeCell ref="W762:Z762"/>
    <mergeCell ref="AA762:AA763"/>
    <mergeCell ref="AB762:AB763"/>
    <mergeCell ref="AD762:AF762"/>
    <mergeCell ref="AG762:AG763"/>
    <mergeCell ref="C736:D751"/>
    <mergeCell ref="B734:B735"/>
    <mergeCell ref="C734:F734"/>
    <mergeCell ref="H734:K734"/>
    <mergeCell ref="M734:P734"/>
    <mergeCell ref="R734:U734"/>
    <mergeCell ref="W734:Z734"/>
    <mergeCell ref="AA734:AA735"/>
    <mergeCell ref="AB734:AB735"/>
    <mergeCell ref="AD734:AF734"/>
    <mergeCell ref="AG872:AG873"/>
    <mergeCell ref="B898:B899"/>
    <mergeCell ref="C898:F898"/>
    <mergeCell ref="H898:K898"/>
    <mergeCell ref="M898:P898"/>
    <mergeCell ref="R898:U898"/>
    <mergeCell ref="W898:Z898"/>
    <mergeCell ref="AA898:AA899"/>
    <mergeCell ref="AB898:AB899"/>
    <mergeCell ref="AD898:AF898"/>
    <mergeCell ref="AG898:AG899"/>
    <mergeCell ref="R874:S887"/>
    <mergeCell ref="B872:B873"/>
    <mergeCell ref="C872:F872"/>
    <mergeCell ref="H872:K872"/>
    <mergeCell ref="M872:P872"/>
    <mergeCell ref="R872:U872"/>
    <mergeCell ref="W872:Z872"/>
    <mergeCell ref="AA872:AA873"/>
    <mergeCell ref="AB872:AB873"/>
    <mergeCell ref="AD872:AF872"/>
  </mergeCells>
  <pageMargins left="0.7" right="0.7" top="0.75" bottom="0.75" header="0.3" footer="0.3"/>
  <pageSetup orientation="portrait"/>
  <ignoredErrors>
    <ignoredError sqref="AA279:AB279 Z326:AB326 Z374:AB374" formula="1"/>
  </ignoredErrors>
  <drawing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AW1835"/>
  <sheetViews>
    <sheetView topLeftCell="B1127" zoomScale="90" zoomScaleNormal="90" workbookViewId="0">
      <pane xSplit="1" topLeftCell="H1" activePane="topRight" state="frozen"/>
      <selection pane="topRight" activeCell="D80" sqref="D80"/>
      <selection activeCell="D80" sqref="D80"/>
    </sheetView>
  </sheetViews>
  <sheetFormatPr defaultColWidth="9.42578125" defaultRowHeight="13.5" outlineLevelRow="1"/>
  <cols>
    <col min="1" max="1" width="12.5703125" style="313" hidden="1" customWidth="1"/>
    <col min="2" max="2" width="34.28515625" style="313" customWidth="1"/>
    <col min="3" max="4" width="7.42578125" style="180" customWidth="1"/>
    <col min="5" max="6" width="6.42578125" style="374" customWidth="1"/>
    <col min="7" max="7" width="1" style="374" customWidth="1"/>
    <col min="8" max="9" width="6.42578125" style="180" customWidth="1"/>
    <col min="10" max="10" width="5.5703125" style="374" customWidth="1"/>
    <col min="11" max="11" width="6.42578125" style="374" customWidth="1"/>
    <col min="12" max="12" width="1" style="374" customWidth="1"/>
    <col min="13" max="14" width="7.42578125" style="180" customWidth="1"/>
    <col min="15" max="16" width="6.42578125" style="374" customWidth="1"/>
    <col min="17" max="17" width="1" style="4" customWidth="1"/>
    <col min="18" max="19" width="7.42578125" style="180" customWidth="1"/>
    <col min="20" max="21" width="6.42578125" style="374" customWidth="1"/>
    <col min="22" max="22" width="1" style="4" customWidth="1"/>
    <col min="23" max="24" width="6.42578125" style="180" customWidth="1"/>
    <col min="25" max="26" width="6.42578125" style="374" customWidth="1"/>
    <col min="27" max="27" width="9.42578125" style="374" customWidth="1"/>
    <col min="28" max="28" width="7.42578125" style="374" customWidth="1"/>
    <col min="29" max="29" width="1" style="374" customWidth="1"/>
    <col min="30" max="30" width="7.5703125" style="180" customWidth="1"/>
    <col min="31" max="31" width="9.28515625" style="180" customWidth="1"/>
    <col min="32" max="32" width="6.42578125" style="180" customWidth="1"/>
    <col min="33" max="33" width="7.5703125" style="180" customWidth="1"/>
    <col min="34" max="34" width="2.42578125" style="4" customWidth="1"/>
    <col min="35" max="35" width="2.42578125" style="255" customWidth="1"/>
    <col min="36" max="36" width="1.42578125" style="180" customWidth="1"/>
    <col min="37" max="37" width="13.5703125" style="193" bestFit="1" customWidth="1"/>
    <col min="38" max="38" width="13" style="193" customWidth="1"/>
    <col min="39" max="39" width="9.42578125" style="193"/>
    <col min="40" max="40" width="10.7109375" style="193" customWidth="1"/>
    <col min="41" max="42" width="9.42578125" style="193"/>
    <col min="43" max="49" width="9.42578125" style="180"/>
    <col min="50" max="16384" width="9.42578125" style="313"/>
  </cols>
  <sheetData>
    <row r="1" spans="1:49" s="180" customFormat="1" ht="33" customHeight="1">
      <c r="E1" s="4"/>
      <c r="F1" s="4"/>
      <c r="G1" s="4"/>
      <c r="J1" s="4"/>
      <c r="K1" s="4"/>
      <c r="L1" s="4"/>
      <c r="O1" s="4"/>
      <c r="P1" s="4"/>
      <c r="Q1" s="4"/>
      <c r="S1" s="1520" t="s">
        <v>322</v>
      </c>
      <c r="T1" s="1520"/>
      <c r="U1" s="1520"/>
      <c r="V1" s="1520"/>
      <c r="W1" s="1520"/>
      <c r="X1" s="1520"/>
      <c r="Y1" s="1520"/>
      <c r="Z1" s="1520"/>
      <c r="AA1" s="1520"/>
      <c r="AB1" s="1520"/>
      <c r="AC1" s="1520"/>
      <c r="AD1" s="1520"/>
      <c r="AE1" s="1520"/>
      <c r="AF1" s="1520"/>
      <c r="AG1" s="1520"/>
      <c r="AH1" s="4"/>
      <c r="AI1" s="255"/>
      <c r="AK1" s="1517" t="s">
        <v>323</v>
      </c>
      <c r="AL1" s="1517"/>
      <c r="AM1" s="1517"/>
      <c r="AN1" s="1517"/>
      <c r="AO1" s="1517"/>
      <c r="AP1" s="1517"/>
    </row>
    <row r="2" spans="1:49" s="180" customFormat="1" ht="13.5" customHeight="1">
      <c r="E2" s="4"/>
      <c r="F2" s="4"/>
      <c r="G2" s="4"/>
      <c r="J2" s="4"/>
      <c r="K2" s="4"/>
      <c r="L2" s="4"/>
      <c r="O2" s="4"/>
      <c r="P2" s="4"/>
      <c r="Q2" s="4"/>
      <c r="S2" s="258"/>
      <c r="T2" s="258"/>
      <c r="U2" s="4"/>
      <c r="V2" s="258"/>
      <c r="W2" s="258"/>
      <c r="X2" s="258"/>
      <c r="Y2" s="258" t="s">
        <v>2</v>
      </c>
      <c r="Z2" s="4"/>
      <c r="AA2" s="260">
        <v>12187</v>
      </c>
      <c r="AB2" s="4"/>
      <c r="AC2" s="258"/>
      <c r="AD2" s="266" t="s">
        <v>3</v>
      </c>
      <c r="AE2" s="262" t="e">
        <f>AA2-(AA5+AE5)</f>
        <v>#REF!</v>
      </c>
      <c r="AF2" s="262"/>
      <c r="AH2" s="4"/>
      <c r="AI2" s="255"/>
      <c r="AK2" s="1521" t="s">
        <v>324</v>
      </c>
      <c r="AL2" s="1521"/>
      <c r="AM2" s="1521"/>
      <c r="AN2" s="1521"/>
      <c r="AO2" s="1521"/>
      <c r="AP2" s="1521"/>
    </row>
    <row r="3" spans="1:49" s="180" customFormat="1" ht="13.5" customHeight="1">
      <c r="E3" s="4"/>
      <c r="F3" s="4"/>
      <c r="G3" s="4"/>
      <c r="J3" s="4"/>
      <c r="K3" s="4"/>
      <c r="L3" s="4"/>
      <c r="O3" s="4"/>
      <c r="P3" s="4"/>
      <c r="Q3" s="4"/>
      <c r="S3" s="258"/>
      <c r="T3" s="258"/>
      <c r="U3" s="4"/>
      <c r="V3" s="258"/>
      <c r="W3" s="258"/>
      <c r="X3" s="258"/>
      <c r="Y3" s="258" t="s">
        <v>5</v>
      </c>
      <c r="Z3" s="4"/>
      <c r="AA3" s="261">
        <v>784</v>
      </c>
      <c r="AB3" s="4"/>
      <c r="AC3" s="258"/>
      <c r="AD3" s="266" t="s">
        <v>3</v>
      </c>
      <c r="AE3" s="263">
        <f>AA3-(AA6+AE6)</f>
        <v>-175.14999999999998</v>
      </c>
      <c r="AH3" s="4"/>
      <c r="AI3" s="255"/>
      <c r="AK3" s="192" t="s">
        <v>6</v>
      </c>
      <c r="AL3" s="193"/>
      <c r="AM3" s="193"/>
      <c r="AN3" s="193"/>
      <c r="AO3" s="193"/>
      <c r="AP3" s="193"/>
    </row>
    <row r="4" spans="1:49" s="180" customFormat="1" ht="13.5" customHeight="1">
      <c r="E4" s="4"/>
      <c r="F4" s="4"/>
      <c r="G4" s="4"/>
      <c r="J4" s="4"/>
      <c r="K4" s="4"/>
      <c r="L4" s="4"/>
      <c r="O4" s="4"/>
      <c r="P4" s="4"/>
      <c r="Q4" s="4"/>
      <c r="S4" s="258"/>
      <c r="T4" s="258"/>
      <c r="U4" s="4"/>
      <c r="V4" s="258"/>
      <c r="W4" s="258"/>
      <c r="X4" s="258"/>
      <c r="Y4" s="258" t="s">
        <v>7</v>
      </c>
      <c r="Z4" s="4"/>
      <c r="AA4" s="260">
        <v>1980</v>
      </c>
      <c r="AB4" s="4"/>
      <c r="AC4" s="258"/>
      <c r="AD4" s="266" t="s">
        <v>3</v>
      </c>
      <c r="AE4" s="262">
        <f>AA4-AA7</f>
        <v>34</v>
      </c>
      <c r="AH4" s="4"/>
      <c r="AI4" s="255"/>
      <c r="AK4" s="193" t="s">
        <v>8</v>
      </c>
      <c r="AL4" s="193"/>
      <c r="AM4" s="193"/>
      <c r="AN4" s="193"/>
      <c r="AO4" s="193"/>
      <c r="AP4" s="193"/>
    </row>
    <row r="5" spans="1:49" s="180" customFormat="1" ht="13.5" customHeight="1">
      <c r="E5" s="4"/>
      <c r="F5" s="4"/>
      <c r="G5" s="4"/>
      <c r="J5" s="4"/>
      <c r="K5" s="4"/>
      <c r="L5" s="4"/>
      <c r="O5" s="4"/>
      <c r="P5" s="263"/>
      <c r="Q5" s="4"/>
      <c r="S5" s="258"/>
      <c r="T5" s="258"/>
      <c r="U5" s="4"/>
      <c r="V5" s="258"/>
      <c r="W5" s="258"/>
      <c r="Y5" s="258" t="s">
        <v>9</v>
      </c>
      <c r="Z5" s="4"/>
      <c r="AA5" s="265" t="e">
        <f>AA31+AA66+AA100+AA143+AA185+AA244+AA293+AA343+AA392+AA441+AA490+AA535+AA583+AA631+AA678+AA726+AA772+AA818+AA865+AA912+AA959+AA1006+AA1055+AA1108+AA1156</f>
        <v>#REF!</v>
      </c>
      <c r="AB5" s="4"/>
      <c r="AD5" s="264" t="s">
        <v>10</v>
      </c>
      <c r="AE5" s="263">
        <f>AB31+AG31+AB66+AG66+AB100+AG100+AB143+AG143+AB185+AG185+AB244+AG244+AB293+AG293+AB343+AB392+AB441+AG441+AB490+AG490+AB535+AG535+AB583+AG583+AB631+AG631+AG392+AB678+AG678+AB726+AG726+AB772+AG772+AB818+AG818+AB865+AG865+AB912+AG912</f>
        <v>686.27999999999986</v>
      </c>
      <c r="AH5" s="4"/>
      <c r="AI5" s="255"/>
      <c r="AK5" s="193" t="s">
        <v>11</v>
      </c>
      <c r="AL5" s="193"/>
      <c r="AM5" s="193"/>
      <c r="AN5" s="193"/>
      <c r="AO5" s="193"/>
      <c r="AP5" s="193"/>
    </row>
    <row r="6" spans="1:49" s="180" customFormat="1" ht="13.5" customHeight="1">
      <c r="E6" s="4"/>
      <c r="F6" s="4"/>
      <c r="G6" s="4"/>
      <c r="J6" s="4"/>
      <c r="K6" s="4"/>
      <c r="L6" s="4"/>
      <c r="O6" s="4"/>
      <c r="P6" s="4"/>
      <c r="Q6" s="4"/>
      <c r="S6" s="258"/>
      <c r="U6" s="4"/>
      <c r="V6" s="258"/>
      <c r="Y6" s="258" t="s">
        <v>12</v>
      </c>
      <c r="Z6" s="4"/>
      <c r="AA6" s="265">
        <f>AA33+AA68+AA101+AA145+AA187+AA246+AA295+AA345+AA394+AA443+AA492+AA537+AA585+AA633+AA680+AA728+AA774+AA821+AA867+AA914+AA961+AA1008+AA1057+AA1110+AA1158</f>
        <v>878.15</v>
      </c>
      <c r="AB6" s="4"/>
      <c r="AD6" s="264" t="s">
        <v>13</v>
      </c>
      <c r="AE6" s="263">
        <f>AB33+AG33+AB68+AG68+AB101+AG101+AB145+AG145+AB187+AG187+AB246+AG246+AB295+AG295+AB345+AB394+AB443+AG443+AB492+AG492+AB537+AG537+AB585+AG585+AB633+AG633+AB680+AG680+AB728+AG728+AG345+AG394+AB774+AG774+AB821+AG821+AB867+AG867+AB914+AG914</f>
        <v>81</v>
      </c>
      <c r="AH6" s="4"/>
      <c r="AI6" s="255"/>
      <c r="AK6" s="310" t="s">
        <v>14</v>
      </c>
      <c r="AL6" s="465" t="s">
        <v>325</v>
      </c>
      <c r="AM6" s="193"/>
      <c r="AN6" s="193"/>
      <c r="AO6" s="193"/>
      <c r="AP6" s="193"/>
    </row>
    <row r="7" spans="1:49" s="180" customFormat="1" ht="13.5" customHeight="1">
      <c r="E7" s="4"/>
      <c r="F7" s="4"/>
      <c r="G7" s="4"/>
      <c r="J7" s="4"/>
      <c r="K7" s="4"/>
      <c r="L7" s="4"/>
      <c r="O7" s="4"/>
      <c r="P7" s="4"/>
      <c r="Q7" s="4"/>
      <c r="S7" s="258"/>
      <c r="U7" s="4"/>
      <c r="V7" s="258"/>
      <c r="Y7" s="258" t="s">
        <v>15</v>
      </c>
      <c r="Z7" s="4"/>
      <c r="AA7" s="265">
        <f>C34+C69+C103+C146+C188+C247+C296+C346+C395+C444+C538+C586+C634+C681+C729+C775+C822+C868+C915+C493+C962+C1009+C1058+C1111+C1159</f>
        <v>1946</v>
      </c>
      <c r="AB7" s="4"/>
      <c r="AE7" s="259"/>
      <c r="AH7" s="4"/>
      <c r="AI7" s="255"/>
      <c r="AK7" s="202" t="s">
        <v>16</v>
      </c>
      <c r="AL7" s="193"/>
      <c r="AM7" s="193"/>
      <c r="AN7" s="193"/>
      <c r="AO7" s="193"/>
      <c r="AP7" s="193"/>
    </row>
    <row r="8" spans="1:49" s="180" customFormat="1" ht="13.5" customHeight="1">
      <c r="E8" s="4"/>
      <c r="F8" s="4"/>
      <c r="G8" s="4"/>
      <c r="J8" s="4"/>
      <c r="K8" s="4"/>
      <c r="L8" s="4"/>
      <c r="O8" s="4"/>
      <c r="P8" s="4"/>
      <c r="Q8" s="4"/>
      <c r="S8" s="258"/>
      <c r="U8" s="4"/>
      <c r="V8" s="258"/>
      <c r="Z8" s="4"/>
      <c r="AA8" s="435"/>
      <c r="AB8" s="4"/>
      <c r="AH8" s="4"/>
      <c r="AI8" s="255"/>
      <c r="AK8" s="203" t="s">
        <v>17</v>
      </c>
      <c r="AL8" s="193"/>
      <c r="AM8" s="193"/>
      <c r="AN8" s="193"/>
      <c r="AO8" s="193"/>
      <c r="AP8" s="193"/>
    </row>
    <row r="9" spans="1:49" s="180" customFormat="1" ht="6.75" customHeight="1">
      <c r="E9" s="4"/>
      <c r="F9" s="4"/>
      <c r="G9" s="4"/>
      <c r="J9" s="4"/>
      <c r="K9" s="4"/>
      <c r="L9" s="4"/>
      <c r="O9" s="4"/>
      <c r="P9" s="4"/>
      <c r="Q9" s="4"/>
      <c r="S9" s="258"/>
      <c r="T9" s="258"/>
      <c r="U9" s="4"/>
      <c r="V9" s="258"/>
      <c r="X9" s="258"/>
      <c r="Y9" s="258"/>
      <c r="Z9" s="4"/>
      <c r="AA9" s="362"/>
      <c r="AB9" s="4"/>
      <c r="AC9" s="258"/>
      <c r="AD9" s="363"/>
      <c r="AG9" s="259"/>
      <c r="AH9" s="4"/>
      <c r="AI9" s="255"/>
      <c r="AK9" s="193"/>
      <c r="AL9" s="193"/>
      <c r="AM9" s="193"/>
      <c r="AN9" s="193"/>
      <c r="AO9" s="193"/>
      <c r="AP9" s="193"/>
    </row>
    <row r="10" spans="1:49" s="180" customFormat="1" ht="20.25" customHeight="1">
      <c r="A10" s="313"/>
      <c r="E10" s="4"/>
      <c r="F10" s="4"/>
      <c r="G10" s="4"/>
      <c r="J10" s="4"/>
      <c r="K10" s="4"/>
      <c r="L10" s="4"/>
      <c r="O10" s="4"/>
      <c r="P10" s="4"/>
      <c r="Q10" s="4"/>
      <c r="T10" s="4"/>
      <c r="U10" s="4"/>
      <c r="V10" s="4"/>
      <c r="Y10" s="4"/>
      <c r="Z10" s="4"/>
      <c r="AA10" s="4"/>
      <c r="AB10" s="4"/>
      <c r="AC10" s="4"/>
      <c r="AH10" s="4"/>
      <c r="AI10" s="255"/>
    </row>
    <row r="11" spans="1:49" s="180" customFormat="1" ht="13.5" customHeight="1">
      <c r="A11" s="228"/>
      <c r="B11" s="229"/>
      <c r="C11" s="230"/>
      <c r="D11" s="230"/>
      <c r="E11" s="232"/>
      <c r="F11" s="232"/>
      <c r="G11" s="230"/>
      <c r="H11" s="232"/>
      <c r="I11" s="232"/>
      <c r="J11" s="232"/>
      <c r="K11" s="232"/>
      <c r="L11" s="230"/>
      <c r="M11" s="230"/>
      <c r="N11" s="230"/>
      <c r="O11" s="230"/>
      <c r="P11" s="232"/>
      <c r="Q11" s="230"/>
      <c r="R11" s="230"/>
      <c r="S11" s="230"/>
      <c r="T11" s="230"/>
      <c r="U11" s="232"/>
      <c r="V11" s="230"/>
      <c r="W11" s="230"/>
      <c r="X11" s="230"/>
      <c r="Y11" s="233"/>
      <c r="Z11" s="232"/>
      <c r="AA11" s="234"/>
      <c r="AB11" s="232"/>
      <c r="AC11" s="373"/>
      <c r="AD11" s="236"/>
      <c r="AE11" s="255"/>
      <c r="AF11" s="255"/>
      <c r="AG11" s="255"/>
      <c r="AH11" s="373"/>
      <c r="AI11" s="255"/>
      <c r="AJ11" s="255"/>
      <c r="AK11" s="255"/>
      <c r="AL11" s="255"/>
      <c r="AM11" s="255"/>
      <c r="AN11" s="255"/>
      <c r="AO11" s="255"/>
      <c r="AP11" s="255"/>
      <c r="AQ11" s="255"/>
      <c r="AR11" s="255"/>
      <c r="AS11" s="255"/>
      <c r="AT11" s="255"/>
      <c r="AU11" s="255"/>
      <c r="AV11" s="255"/>
      <c r="AW11" s="255"/>
    </row>
    <row r="12" spans="1:49">
      <c r="A12" s="180"/>
      <c r="B12" s="229"/>
      <c r="C12" s="230"/>
      <c r="D12" s="230"/>
      <c r="E12" s="232"/>
      <c r="F12" s="232"/>
      <c r="G12" s="230"/>
      <c r="H12" s="232"/>
      <c r="I12" s="232"/>
      <c r="J12" s="232"/>
      <c r="K12" s="232"/>
      <c r="L12" s="230"/>
      <c r="M12" s="230"/>
      <c r="N12" s="230"/>
      <c r="O12" s="230"/>
      <c r="P12" s="232"/>
      <c r="Q12" s="230"/>
      <c r="R12" s="230"/>
      <c r="S12" s="230"/>
      <c r="T12" s="230"/>
      <c r="U12" s="232"/>
      <c r="V12" s="230"/>
      <c r="W12" s="230"/>
      <c r="X12" s="230"/>
      <c r="Y12" s="233"/>
      <c r="Z12" s="232"/>
      <c r="AA12" s="234"/>
      <c r="AB12" s="232"/>
      <c r="AC12" s="373"/>
      <c r="AD12" s="236"/>
      <c r="AE12" s="255"/>
      <c r="AF12" s="255"/>
      <c r="AG12" s="255"/>
      <c r="AH12" s="255"/>
      <c r="AJ12" s="255"/>
      <c r="AK12" s="255"/>
      <c r="AL12" s="255"/>
      <c r="AM12" s="255"/>
      <c r="AN12" s="255"/>
      <c r="AO12" s="255"/>
      <c r="AP12" s="255"/>
      <c r="AQ12" s="255"/>
      <c r="AR12" s="255"/>
      <c r="AS12" s="255"/>
      <c r="AT12" s="255"/>
      <c r="AU12" s="255"/>
      <c r="AV12" s="255"/>
      <c r="AW12" s="255"/>
    </row>
    <row r="13" spans="1:49" ht="12.75" customHeight="1">
      <c r="B13" s="180"/>
      <c r="E13" s="4"/>
      <c r="F13" s="4"/>
      <c r="G13" s="4"/>
      <c r="J13" s="4"/>
      <c r="K13" s="4"/>
      <c r="L13" s="4"/>
      <c r="O13" s="4"/>
      <c r="P13" s="4"/>
      <c r="T13" s="4"/>
      <c r="U13" s="4"/>
      <c r="Y13" s="4"/>
      <c r="Z13" s="4"/>
      <c r="AA13" s="4"/>
      <c r="AB13" s="4"/>
      <c r="AC13" s="4"/>
      <c r="AK13" s="180"/>
      <c r="AL13" s="180"/>
      <c r="AM13" s="180"/>
      <c r="AN13" s="180"/>
      <c r="AO13" s="180"/>
      <c r="AP13" s="180"/>
    </row>
    <row r="14" spans="1:49" outlineLevel="1">
      <c r="A14" s="228"/>
      <c r="B14" s="1518" t="s">
        <v>18</v>
      </c>
      <c r="C14" s="1519">
        <v>45369</v>
      </c>
      <c r="D14" s="1519"/>
      <c r="E14" s="1519"/>
      <c r="F14" s="1519"/>
      <c r="G14" s="365"/>
      <c r="H14" s="1519">
        <v>45370</v>
      </c>
      <c r="I14" s="1519"/>
      <c r="J14" s="1519"/>
      <c r="K14" s="1519"/>
      <c r="L14" s="365">
        <v>45343</v>
      </c>
      <c r="M14" s="1519">
        <v>45371</v>
      </c>
      <c r="N14" s="1519"/>
      <c r="O14" s="1519"/>
      <c r="P14" s="1519"/>
      <c r="Q14" s="365"/>
      <c r="R14" s="1519">
        <v>45372</v>
      </c>
      <c r="S14" s="1519"/>
      <c r="T14" s="1519"/>
      <c r="U14" s="1519"/>
      <c r="V14" s="365"/>
      <c r="W14" s="1519">
        <v>45373</v>
      </c>
      <c r="X14" s="1519"/>
      <c r="Y14" s="1519"/>
      <c r="Z14" s="1519"/>
      <c r="AA14" s="1517" t="s">
        <v>19</v>
      </c>
      <c r="AB14" s="1517" t="s">
        <v>20</v>
      </c>
      <c r="AC14" s="4"/>
      <c r="AD14" s="1519">
        <v>45374</v>
      </c>
      <c r="AE14" s="1519"/>
      <c r="AF14" s="1519"/>
      <c r="AG14" s="1517" t="s">
        <v>21</v>
      </c>
      <c r="AI14" s="368"/>
      <c r="AK14" s="194" t="s">
        <v>84</v>
      </c>
      <c r="AL14" s="366"/>
      <c r="AM14" s="366"/>
      <c r="AN14" s="366"/>
      <c r="AO14" s="366"/>
      <c r="AP14" s="366"/>
    </row>
    <row r="15" spans="1:49" outlineLevel="1">
      <c r="A15" s="180"/>
      <c r="B15" s="1518"/>
      <c r="C15" s="21" t="s">
        <v>23</v>
      </c>
      <c r="D15" s="21" t="s">
        <v>24</v>
      </c>
      <c r="E15" s="205" t="s">
        <v>25</v>
      </c>
      <c r="F15" s="18" t="s">
        <v>14</v>
      </c>
      <c r="G15" s="4"/>
      <c r="H15" s="21" t="s">
        <v>23</v>
      </c>
      <c r="I15" s="21" t="s">
        <v>24</v>
      </c>
      <c r="J15" s="18" t="s">
        <v>25</v>
      </c>
      <c r="K15" s="18" t="s">
        <v>14</v>
      </c>
      <c r="L15" s="4"/>
      <c r="M15" s="21" t="s">
        <v>23</v>
      </c>
      <c r="N15" s="21" t="s">
        <v>24</v>
      </c>
      <c r="O15" s="18" t="s">
        <v>25</v>
      </c>
      <c r="P15" s="18" t="s">
        <v>14</v>
      </c>
      <c r="R15" s="21" t="s">
        <v>23</v>
      </c>
      <c r="S15" s="21" t="s">
        <v>24</v>
      </c>
      <c r="T15" s="18" t="s">
        <v>25</v>
      </c>
      <c r="U15" s="18" t="s">
        <v>14</v>
      </c>
      <c r="W15" s="21" t="s">
        <v>23</v>
      </c>
      <c r="X15" s="21" t="s">
        <v>24</v>
      </c>
      <c r="Y15" s="18" t="s">
        <v>25</v>
      </c>
      <c r="Z15" s="18" t="s">
        <v>14</v>
      </c>
      <c r="AA15" s="1517"/>
      <c r="AB15" s="1517"/>
      <c r="AC15" s="4"/>
      <c r="AD15" s="21" t="s">
        <v>23</v>
      </c>
      <c r="AE15" s="21" t="s">
        <v>24</v>
      </c>
      <c r="AF15" s="18" t="s">
        <v>25</v>
      </c>
      <c r="AG15" s="1517"/>
      <c r="AI15" s="368"/>
      <c r="AJ15" s="367"/>
      <c r="AK15" s="188" t="s">
        <v>26</v>
      </c>
      <c r="AL15" s="196">
        <f>$AA$31</f>
        <v>219</v>
      </c>
      <c r="AM15" s="510">
        <v>38</v>
      </c>
      <c r="AN15" s="510">
        <f t="shared" ref="AN15:AN21" si="0">AL15*AM15</f>
        <v>8322</v>
      </c>
      <c r="AQ15" s="367"/>
      <c r="AR15" s="367"/>
      <c r="AS15" s="367"/>
      <c r="AT15" s="367"/>
      <c r="AU15" s="367"/>
      <c r="AV15" s="367"/>
      <c r="AW15" s="367"/>
    </row>
    <row r="16" spans="1:49" outlineLevel="1">
      <c r="A16" s="180"/>
      <c r="B16" s="318" t="s">
        <v>35</v>
      </c>
      <c r="C16" s="47" t="s">
        <v>29</v>
      </c>
      <c r="D16" s="47" t="s">
        <v>29</v>
      </c>
      <c r="E16" s="319">
        <v>0</v>
      </c>
      <c r="F16" s="320"/>
      <c r="G16" s="4"/>
      <c r="H16" s="47" t="s">
        <v>29</v>
      </c>
      <c r="I16" s="47" t="s">
        <v>29</v>
      </c>
      <c r="J16" s="319">
        <v>0</v>
      </c>
      <c r="K16" s="320"/>
      <c r="L16" s="4"/>
      <c r="M16" s="47" t="s">
        <v>29</v>
      </c>
      <c r="N16" s="47" t="s">
        <v>29</v>
      </c>
      <c r="O16" s="319">
        <v>0</v>
      </c>
      <c r="P16" s="320"/>
      <c r="R16" s="441" t="s">
        <v>75</v>
      </c>
      <c r="S16" s="441" t="s">
        <v>136</v>
      </c>
      <c r="T16" s="319">
        <v>8</v>
      </c>
      <c r="U16" s="320"/>
      <c r="W16" s="441" t="s">
        <v>326</v>
      </c>
      <c r="X16" s="441" t="s">
        <v>222</v>
      </c>
      <c r="Y16" s="319">
        <v>5</v>
      </c>
      <c r="Z16" s="320"/>
      <c r="AA16" s="328">
        <f t="shared" ref="AA16:AA30" si="1">(E16+J16+O16+T16+Y16)</f>
        <v>13</v>
      </c>
      <c r="AB16" s="298">
        <f>Z16+U16+P16+K16+F16</f>
        <v>0</v>
      </c>
      <c r="AC16" s="4"/>
      <c r="AD16" s="47" t="s">
        <v>29</v>
      </c>
      <c r="AE16" s="47" t="s">
        <v>29</v>
      </c>
      <c r="AF16" s="319">
        <v>0</v>
      </c>
      <c r="AG16" s="328">
        <f t="shared" ref="AG16:AG30" si="2">AF16</f>
        <v>0</v>
      </c>
      <c r="AI16" s="368"/>
      <c r="AJ16" s="367"/>
      <c r="AK16" s="188" t="s">
        <v>30</v>
      </c>
      <c r="AL16" s="196">
        <f>$AB$31</f>
        <v>0</v>
      </c>
      <c r="AM16" s="511">
        <v>57</v>
      </c>
      <c r="AN16" s="510">
        <f t="shared" si="0"/>
        <v>0</v>
      </c>
      <c r="AQ16" s="367"/>
      <c r="AR16" s="367"/>
      <c r="AS16" s="367"/>
      <c r="AT16" s="367"/>
      <c r="AU16" s="367"/>
      <c r="AV16" s="367"/>
      <c r="AW16" s="367"/>
    </row>
    <row r="17" spans="1:49" outlineLevel="1">
      <c r="A17" s="367"/>
      <c r="B17" s="318" t="s">
        <v>108</v>
      </c>
      <c r="C17" s="47" t="s">
        <v>29</v>
      </c>
      <c r="D17" s="47" t="s">
        <v>29</v>
      </c>
      <c r="E17" s="319">
        <v>0</v>
      </c>
      <c r="F17" s="320"/>
      <c r="G17" s="4"/>
      <c r="H17" s="47" t="s">
        <v>29</v>
      </c>
      <c r="I17" s="47" t="s">
        <v>29</v>
      </c>
      <c r="J17" s="319">
        <v>0</v>
      </c>
      <c r="K17" s="320"/>
      <c r="L17" s="4"/>
      <c r="M17" s="47" t="s">
        <v>29</v>
      </c>
      <c r="N17" s="47" t="s">
        <v>29</v>
      </c>
      <c r="O17" s="319">
        <v>0</v>
      </c>
      <c r="P17" s="320"/>
      <c r="R17" s="441" t="s">
        <v>75</v>
      </c>
      <c r="S17" s="441" t="s">
        <v>136</v>
      </c>
      <c r="T17" s="319">
        <v>8</v>
      </c>
      <c r="U17" s="320"/>
      <c r="W17" s="441" t="s">
        <v>326</v>
      </c>
      <c r="X17" s="441" t="s">
        <v>222</v>
      </c>
      <c r="Y17" s="319">
        <v>5</v>
      </c>
      <c r="Z17" s="320"/>
      <c r="AA17" s="328">
        <f t="shared" si="1"/>
        <v>13</v>
      </c>
      <c r="AB17" s="298">
        <f>Z17+U17+P17+K17+F17</f>
        <v>0</v>
      </c>
      <c r="AC17" s="4"/>
      <c r="AD17" s="47" t="s">
        <v>29</v>
      </c>
      <c r="AE17" s="47" t="s">
        <v>29</v>
      </c>
      <c r="AF17" s="319">
        <v>0</v>
      </c>
      <c r="AG17" s="328">
        <f t="shared" si="2"/>
        <v>0</v>
      </c>
      <c r="AH17" s="175"/>
      <c r="AI17" s="402"/>
      <c r="AJ17" s="367"/>
      <c r="AK17" s="188" t="s">
        <v>32</v>
      </c>
      <c r="AL17" s="196">
        <f>$AG$31</f>
        <v>0</v>
      </c>
      <c r="AM17" s="510">
        <v>57</v>
      </c>
      <c r="AN17" s="510">
        <f t="shared" si="0"/>
        <v>0</v>
      </c>
      <c r="AQ17" s="367"/>
      <c r="AR17" s="367"/>
      <c r="AS17" s="367"/>
      <c r="AT17" s="367"/>
      <c r="AU17" s="367"/>
      <c r="AV17" s="367"/>
      <c r="AW17" s="367"/>
    </row>
    <row r="18" spans="1:49" outlineLevel="1">
      <c r="A18" s="367"/>
      <c r="B18" s="318" t="s">
        <v>52</v>
      </c>
      <c r="C18" s="47" t="s">
        <v>29</v>
      </c>
      <c r="D18" s="47" t="s">
        <v>29</v>
      </c>
      <c r="E18" s="319">
        <v>0</v>
      </c>
      <c r="F18" s="320"/>
      <c r="G18" s="4"/>
      <c r="H18" s="47" t="s">
        <v>29</v>
      </c>
      <c r="I18" s="47" t="s">
        <v>29</v>
      </c>
      <c r="J18" s="319">
        <v>0</v>
      </c>
      <c r="K18" s="320"/>
      <c r="L18" s="4"/>
      <c r="M18" s="47" t="s">
        <v>29</v>
      </c>
      <c r="N18" s="47" t="s">
        <v>29</v>
      </c>
      <c r="O18" s="319">
        <v>0</v>
      </c>
      <c r="P18" s="320"/>
      <c r="R18" s="441" t="s">
        <v>75</v>
      </c>
      <c r="S18" s="441" t="s">
        <v>136</v>
      </c>
      <c r="T18" s="319">
        <v>8</v>
      </c>
      <c r="U18" s="320"/>
      <c r="W18" s="441" t="s">
        <v>326</v>
      </c>
      <c r="X18" s="441" t="s">
        <v>222</v>
      </c>
      <c r="Y18" s="319">
        <v>5</v>
      </c>
      <c r="Z18" s="320"/>
      <c r="AA18" s="328">
        <f t="shared" si="1"/>
        <v>13</v>
      </c>
      <c r="AB18" s="298">
        <f>Z18+U18+P18+K18+F18</f>
        <v>0</v>
      </c>
      <c r="AC18" s="399"/>
      <c r="AD18" s="47" t="s">
        <v>29</v>
      </c>
      <c r="AE18" s="47" t="s">
        <v>29</v>
      </c>
      <c r="AF18" s="319">
        <v>0</v>
      </c>
      <c r="AG18" s="29">
        <f t="shared" si="2"/>
        <v>0</v>
      </c>
      <c r="AH18" s="175"/>
      <c r="AJ18" s="401"/>
      <c r="AK18" s="403" t="s">
        <v>213</v>
      </c>
      <c r="AL18" s="404">
        <f>$AA$33</f>
        <v>36.5</v>
      </c>
      <c r="AM18" s="510">
        <v>50</v>
      </c>
      <c r="AN18" s="510">
        <f t="shared" si="0"/>
        <v>1825</v>
      </c>
      <c r="AO18" s="405"/>
      <c r="AP18" s="405"/>
      <c r="AQ18" s="401"/>
      <c r="AR18" s="401"/>
      <c r="AS18" s="401"/>
      <c r="AT18" s="401"/>
      <c r="AU18" s="401"/>
      <c r="AV18" s="401"/>
      <c r="AW18" s="401"/>
    </row>
    <row r="19" spans="1:49" outlineLevel="1">
      <c r="A19" s="367"/>
      <c r="B19" s="318" t="s">
        <v>232</v>
      </c>
      <c r="C19" s="47" t="s">
        <v>29</v>
      </c>
      <c r="D19" s="47" t="s">
        <v>29</v>
      </c>
      <c r="E19" s="319">
        <v>0</v>
      </c>
      <c r="F19" s="320"/>
      <c r="G19" s="4"/>
      <c r="H19" s="47" t="s">
        <v>29</v>
      </c>
      <c r="I19" s="47" t="s">
        <v>29</v>
      </c>
      <c r="J19" s="319">
        <v>0</v>
      </c>
      <c r="K19" s="320"/>
      <c r="L19" s="4"/>
      <c r="M19" s="47" t="s">
        <v>29</v>
      </c>
      <c r="N19" s="47" t="s">
        <v>29</v>
      </c>
      <c r="O19" s="319">
        <v>0</v>
      </c>
      <c r="P19" s="320"/>
      <c r="R19" s="47" t="s">
        <v>29</v>
      </c>
      <c r="S19" s="47" t="s">
        <v>29</v>
      </c>
      <c r="T19" s="319">
        <v>0</v>
      </c>
      <c r="U19" s="320"/>
      <c r="W19" s="47" t="s">
        <v>29</v>
      </c>
      <c r="X19" s="47" t="s">
        <v>29</v>
      </c>
      <c r="Y19" s="319">
        <v>0</v>
      </c>
      <c r="Z19" s="320"/>
      <c r="AA19" s="328">
        <f t="shared" ref="AA19:AA27" si="3">(E19+J19+O19+T19+Y19)</f>
        <v>0</v>
      </c>
      <c r="AB19" s="298">
        <f t="shared" ref="AB19:AB27" si="4">Z19+U19+P19+K19+F19</f>
        <v>0</v>
      </c>
      <c r="AC19" s="399"/>
      <c r="AD19" s="47" t="s">
        <v>29</v>
      </c>
      <c r="AE19" s="47" t="s">
        <v>29</v>
      </c>
      <c r="AF19" s="319">
        <v>0</v>
      </c>
      <c r="AG19" s="29">
        <f t="shared" ref="AG19:AG28" si="5">AF19</f>
        <v>0</v>
      </c>
      <c r="AH19" s="175"/>
      <c r="AJ19" s="401"/>
      <c r="AK19" s="188" t="s">
        <v>36</v>
      </c>
      <c r="AL19" s="196">
        <f>$AB$33</f>
        <v>2</v>
      </c>
      <c r="AM19" s="510">
        <v>75</v>
      </c>
      <c r="AN19" s="510">
        <f t="shared" si="0"/>
        <v>150</v>
      </c>
      <c r="AO19" s="405"/>
      <c r="AP19" s="405"/>
      <c r="AQ19" s="401"/>
      <c r="AR19" s="401"/>
      <c r="AS19" s="401"/>
      <c r="AT19" s="401"/>
      <c r="AU19" s="401"/>
      <c r="AV19" s="401"/>
      <c r="AW19" s="401"/>
    </row>
    <row r="20" spans="1:49" outlineLevel="1">
      <c r="A20" s="367"/>
      <c r="B20" s="318" t="s">
        <v>327</v>
      </c>
      <c r="C20" s="47" t="s">
        <v>29</v>
      </c>
      <c r="D20" s="47" t="s">
        <v>29</v>
      </c>
      <c r="E20" s="319">
        <v>8</v>
      </c>
      <c r="F20" s="320"/>
      <c r="G20" s="4"/>
      <c r="H20" s="47" t="s">
        <v>29</v>
      </c>
      <c r="I20" s="47" t="s">
        <v>29</v>
      </c>
      <c r="J20" s="319">
        <v>8</v>
      </c>
      <c r="K20" s="320"/>
      <c r="L20" s="4"/>
      <c r="M20" s="47" t="s">
        <v>29</v>
      </c>
      <c r="N20" s="47" t="s">
        <v>29</v>
      </c>
      <c r="O20" s="319">
        <v>0</v>
      </c>
      <c r="P20" s="320"/>
      <c r="R20" s="47" t="s">
        <v>29</v>
      </c>
      <c r="S20" s="47" t="s">
        <v>29</v>
      </c>
      <c r="T20" s="319">
        <v>0</v>
      </c>
      <c r="U20" s="320"/>
      <c r="W20" s="47" t="s">
        <v>29</v>
      </c>
      <c r="X20" s="47" t="s">
        <v>29</v>
      </c>
      <c r="Y20" s="319">
        <v>0</v>
      </c>
      <c r="Z20" s="320"/>
      <c r="AA20" s="328">
        <f t="shared" si="3"/>
        <v>16</v>
      </c>
      <c r="AB20" s="298">
        <f t="shared" si="4"/>
        <v>0</v>
      </c>
      <c r="AC20" s="175"/>
      <c r="AD20" s="47" t="s">
        <v>29</v>
      </c>
      <c r="AE20" s="47" t="s">
        <v>29</v>
      </c>
      <c r="AF20" s="319">
        <v>0</v>
      </c>
      <c r="AG20" s="29">
        <f t="shared" si="5"/>
        <v>0</v>
      </c>
      <c r="AH20" s="175"/>
      <c r="AI20" s="368"/>
      <c r="AK20" s="188" t="s">
        <v>38</v>
      </c>
      <c r="AL20" s="196">
        <f>$AG$33</f>
        <v>0</v>
      </c>
      <c r="AM20" s="510">
        <v>75</v>
      </c>
      <c r="AN20" s="510">
        <f t="shared" si="0"/>
        <v>0</v>
      </c>
    </row>
    <row r="21" spans="1:49" ht="14.25" outlineLevel="1" thickBot="1">
      <c r="A21" s="401"/>
      <c r="B21" s="318" t="s">
        <v>328</v>
      </c>
      <c r="C21" s="47" t="s">
        <v>29</v>
      </c>
      <c r="D21" s="47" t="s">
        <v>29</v>
      </c>
      <c r="E21" s="319">
        <v>8</v>
      </c>
      <c r="F21" s="320"/>
      <c r="G21" s="4"/>
      <c r="H21" s="47" t="s">
        <v>29</v>
      </c>
      <c r="I21" s="47" t="s">
        <v>29</v>
      </c>
      <c r="J21" s="319">
        <v>8</v>
      </c>
      <c r="K21" s="320"/>
      <c r="L21" s="4"/>
      <c r="M21" s="47" t="s">
        <v>29</v>
      </c>
      <c r="N21" s="47" t="s">
        <v>29</v>
      </c>
      <c r="O21" s="319">
        <v>0</v>
      </c>
      <c r="P21" s="320"/>
      <c r="R21" s="47" t="s">
        <v>29</v>
      </c>
      <c r="S21" s="47" t="s">
        <v>29</v>
      </c>
      <c r="T21" s="319">
        <v>0</v>
      </c>
      <c r="U21" s="320"/>
      <c r="W21" s="47" t="s">
        <v>29</v>
      </c>
      <c r="X21" s="47" t="s">
        <v>29</v>
      </c>
      <c r="Y21" s="319">
        <v>0</v>
      </c>
      <c r="Z21" s="320"/>
      <c r="AA21" s="328">
        <f t="shared" si="3"/>
        <v>16</v>
      </c>
      <c r="AB21" s="298">
        <f t="shared" si="4"/>
        <v>0</v>
      </c>
      <c r="AC21" s="4"/>
      <c r="AD21" s="47" t="s">
        <v>29</v>
      </c>
      <c r="AE21" s="47" t="s">
        <v>29</v>
      </c>
      <c r="AF21" s="319">
        <v>0</v>
      </c>
      <c r="AG21" s="29">
        <f t="shared" si="5"/>
        <v>0</v>
      </c>
      <c r="AJ21" s="367"/>
      <c r="AK21" s="188" t="s">
        <v>41</v>
      </c>
      <c r="AL21" s="196">
        <f>$C$34</f>
        <v>14</v>
      </c>
      <c r="AM21" s="512">
        <v>45</v>
      </c>
      <c r="AN21" s="512">
        <f t="shared" si="0"/>
        <v>630</v>
      </c>
      <c r="AQ21" s="367"/>
      <c r="AR21" s="367"/>
      <c r="AS21" s="367"/>
      <c r="AT21" s="367"/>
      <c r="AU21" s="367"/>
      <c r="AV21" s="367"/>
      <c r="AW21" s="367"/>
    </row>
    <row r="22" spans="1:49" ht="14.25" outlineLevel="1" thickTop="1">
      <c r="A22" s="180"/>
      <c r="B22" s="318" t="s">
        <v>329</v>
      </c>
      <c r="C22" s="47" t="s">
        <v>29</v>
      </c>
      <c r="D22" s="47" t="s">
        <v>29</v>
      </c>
      <c r="E22" s="319">
        <v>8</v>
      </c>
      <c r="F22" s="320"/>
      <c r="G22" s="4"/>
      <c r="H22" s="47" t="s">
        <v>29</v>
      </c>
      <c r="I22" s="47" t="s">
        <v>29</v>
      </c>
      <c r="J22" s="319">
        <v>8</v>
      </c>
      <c r="K22" s="320"/>
      <c r="L22" s="4"/>
      <c r="M22" s="47" t="s">
        <v>29</v>
      </c>
      <c r="N22" s="47" t="s">
        <v>29</v>
      </c>
      <c r="O22" s="319">
        <v>0</v>
      </c>
      <c r="P22" s="320"/>
      <c r="R22" s="47" t="s">
        <v>29</v>
      </c>
      <c r="S22" s="47" t="s">
        <v>29</v>
      </c>
      <c r="T22" s="319">
        <v>0</v>
      </c>
      <c r="U22" s="320"/>
      <c r="W22" s="47" t="s">
        <v>29</v>
      </c>
      <c r="X22" s="47" t="s">
        <v>29</v>
      </c>
      <c r="Y22" s="319">
        <v>0</v>
      </c>
      <c r="Z22" s="320"/>
      <c r="AA22" s="328">
        <f t="shared" si="3"/>
        <v>16</v>
      </c>
      <c r="AB22" s="298">
        <f t="shared" si="4"/>
        <v>0</v>
      </c>
      <c r="AC22" s="4"/>
      <c r="AD22" s="47" t="s">
        <v>29</v>
      </c>
      <c r="AE22" s="47" t="s">
        <v>29</v>
      </c>
      <c r="AF22" s="319">
        <v>0</v>
      </c>
      <c r="AG22" s="29">
        <f t="shared" si="5"/>
        <v>0</v>
      </c>
      <c r="AH22" s="175"/>
      <c r="AN22" s="510">
        <f>SUM(AN15:AN21)</f>
        <v>10927</v>
      </c>
      <c r="AO22" s="369"/>
      <c r="AP22" s="369"/>
    </row>
    <row r="23" spans="1:49" outlineLevel="1">
      <c r="A23" s="367"/>
      <c r="B23" s="318" t="s">
        <v>330</v>
      </c>
      <c r="C23" s="47" t="s">
        <v>29</v>
      </c>
      <c r="D23" s="47" t="s">
        <v>29</v>
      </c>
      <c r="E23" s="319">
        <v>8</v>
      </c>
      <c r="F23" s="320"/>
      <c r="G23" s="4"/>
      <c r="H23" s="47" t="s">
        <v>29</v>
      </c>
      <c r="I23" s="47" t="s">
        <v>29</v>
      </c>
      <c r="J23" s="319">
        <v>8</v>
      </c>
      <c r="K23" s="320"/>
      <c r="L23" s="4"/>
      <c r="M23" s="47" t="s">
        <v>29</v>
      </c>
      <c r="N23" s="47" t="s">
        <v>29</v>
      </c>
      <c r="O23" s="319">
        <v>0</v>
      </c>
      <c r="P23" s="320"/>
      <c r="R23" s="47" t="s">
        <v>29</v>
      </c>
      <c r="S23" s="47" t="s">
        <v>29</v>
      </c>
      <c r="T23" s="319">
        <v>0</v>
      </c>
      <c r="U23" s="320"/>
      <c r="W23" s="47" t="s">
        <v>29</v>
      </c>
      <c r="X23" s="47" t="s">
        <v>29</v>
      </c>
      <c r="Y23" s="319">
        <v>0</v>
      </c>
      <c r="Z23" s="320"/>
      <c r="AA23" s="328">
        <f t="shared" si="3"/>
        <v>16</v>
      </c>
      <c r="AB23" s="298">
        <f t="shared" si="4"/>
        <v>0</v>
      </c>
      <c r="AC23" s="4"/>
      <c r="AD23" s="47" t="s">
        <v>29</v>
      </c>
      <c r="AE23" s="47" t="s">
        <v>29</v>
      </c>
      <c r="AF23" s="319">
        <v>0</v>
      </c>
      <c r="AG23" s="29">
        <f t="shared" si="5"/>
        <v>0</v>
      </c>
      <c r="AK23" s="193" t="s">
        <v>331</v>
      </c>
    </row>
    <row r="24" spans="1:49" outlineLevel="1">
      <c r="A24" s="180"/>
      <c r="B24" s="318" t="s">
        <v>332</v>
      </c>
      <c r="C24" s="47" t="s">
        <v>29</v>
      </c>
      <c r="D24" s="47" t="s">
        <v>29</v>
      </c>
      <c r="E24" s="319">
        <v>8</v>
      </c>
      <c r="F24" s="320"/>
      <c r="G24" s="4"/>
      <c r="H24" s="47" t="s">
        <v>29</v>
      </c>
      <c r="I24" s="47" t="s">
        <v>29</v>
      </c>
      <c r="J24" s="319">
        <v>8</v>
      </c>
      <c r="K24" s="320"/>
      <c r="L24" s="4"/>
      <c r="M24" s="47" t="s">
        <v>29</v>
      </c>
      <c r="N24" s="47" t="s">
        <v>29</v>
      </c>
      <c r="O24" s="319">
        <v>0</v>
      </c>
      <c r="P24" s="320"/>
      <c r="R24" s="47" t="s">
        <v>29</v>
      </c>
      <c r="S24" s="47" t="s">
        <v>29</v>
      </c>
      <c r="T24" s="319">
        <v>0</v>
      </c>
      <c r="U24" s="320"/>
      <c r="W24" s="47">
        <v>0.45833333333333331</v>
      </c>
      <c r="X24" s="441" t="s">
        <v>222</v>
      </c>
      <c r="Y24" s="319">
        <v>5</v>
      </c>
      <c r="Z24" s="320"/>
      <c r="AA24" s="328">
        <f t="shared" si="3"/>
        <v>21</v>
      </c>
      <c r="AB24" s="298">
        <f t="shared" si="4"/>
        <v>0</v>
      </c>
      <c r="AC24" s="4"/>
      <c r="AD24" s="47" t="s">
        <v>29</v>
      </c>
      <c r="AE24" s="47" t="s">
        <v>29</v>
      </c>
      <c r="AF24" s="319">
        <v>0</v>
      </c>
      <c r="AG24" s="29">
        <f t="shared" si="5"/>
        <v>0</v>
      </c>
      <c r="AK24" s="193" t="s">
        <v>333</v>
      </c>
    </row>
    <row r="25" spans="1:49" outlineLevel="1">
      <c r="A25" s="180"/>
      <c r="B25" s="318" t="s">
        <v>334</v>
      </c>
      <c r="C25" s="47" t="s">
        <v>29</v>
      </c>
      <c r="D25" s="47" t="s">
        <v>29</v>
      </c>
      <c r="E25" s="319">
        <v>8</v>
      </c>
      <c r="F25" s="320"/>
      <c r="G25" s="4"/>
      <c r="H25" s="47" t="s">
        <v>29</v>
      </c>
      <c r="I25" s="47" t="s">
        <v>29</v>
      </c>
      <c r="J25" s="319">
        <v>8</v>
      </c>
      <c r="K25" s="320"/>
      <c r="L25" s="4"/>
      <c r="M25" s="47" t="s">
        <v>29</v>
      </c>
      <c r="N25" s="47" t="s">
        <v>29</v>
      </c>
      <c r="O25" s="319">
        <v>0</v>
      </c>
      <c r="P25" s="320"/>
      <c r="R25" s="47" t="s">
        <v>29</v>
      </c>
      <c r="S25" s="47" t="s">
        <v>29</v>
      </c>
      <c r="T25" s="319">
        <v>0</v>
      </c>
      <c r="U25" s="320"/>
      <c r="W25" s="47">
        <v>0.45833333333333331</v>
      </c>
      <c r="X25" s="441" t="s">
        <v>222</v>
      </c>
      <c r="Y25" s="319">
        <v>5</v>
      </c>
      <c r="Z25" s="320"/>
      <c r="AA25" s="328">
        <f t="shared" si="3"/>
        <v>21</v>
      </c>
      <c r="AB25" s="298">
        <f t="shared" si="4"/>
        <v>0</v>
      </c>
      <c r="AC25" s="4"/>
      <c r="AD25" s="47" t="s">
        <v>29</v>
      </c>
      <c r="AE25" s="47" t="s">
        <v>29</v>
      </c>
      <c r="AF25" s="319">
        <v>0</v>
      </c>
      <c r="AG25" s="29">
        <f t="shared" si="5"/>
        <v>0</v>
      </c>
      <c r="AK25" s="193" t="s">
        <v>335</v>
      </c>
    </row>
    <row r="26" spans="1:49" outlineLevel="1">
      <c r="A26" s="180"/>
      <c r="B26" s="318" t="s">
        <v>336</v>
      </c>
      <c r="C26" s="47" t="s">
        <v>29</v>
      </c>
      <c r="D26" s="47" t="s">
        <v>29</v>
      </c>
      <c r="E26" s="319">
        <v>8</v>
      </c>
      <c r="F26" s="320"/>
      <c r="G26" s="4"/>
      <c r="H26" s="47" t="s">
        <v>29</v>
      </c>
      <c r="I26" s="47" t="s">
        <v>29</v>
      </c>
      <c r="J26" s="319">
        <v>8</v>
      </c>
      <c r="K26" s="320"/>
      <c r="L26" s="4"/>
      <c r="M26" s="47" t="s">
        <v>29</v>
      </c>
      <c r="N26" s="47" t="s">
        <v>29</v>
      </c>
      <c r="O26" s="319">
        <v>0</v>
      </c>
      <c r="P26" s="320"/>
      <c r="R26" s="47" t="s">
        <v>29</v>
      </c>
      <c r="S26" s="47" t="s">
        <v>29</v>
      </c>
      <c r="T26" s="319">
        <v>0</v>
      </c>
      <c r="U26" s="320"/>
      <c r="W26" s="47" t="s">
        <v>29</v>
      </c>
      <c r="X26" s="47" t="s">
        <v>29</v>
      </c>
      <c r="Y26" s="319">
        <v>0</v>
      </c>
      <c r="Z26" s="320"/>
      <c r="AA26" s="328">
        <f t="shared" si="3"/>
        <v>16</v>
      </c>
      <c r="AB26" s="298">
        <f t="shared" si="4"/>
        <v>0</v>
      </c>
      <c r="AC26" s="4"/>
      <c r="AD26" s="47" t="s">
        <v>29</v>
      </c>
      <c r="AE26" s="47" t="s">
        <v>29</v>
      </c>
      <c r="AF26" s="319">
        <v>0</v>
      </c>
      <c r="AG26" s="29">
        <f t="shared" si="5"/>
        <v>0</v>
      </c>
    </row>
    <row r="27" spans="1:49" outlineLevel="1">
      <c r="A27" s="180"/>
      <c r="B27" s="318" t="s">
        <v>337</v>
      </c>
      <c r="C27" s="47" t="s">
        <v>29</v>
      </c>
      <c r="D27" s="47" t="s">
        <v>29</v>
      </c>
      <c r="E27" s="319">
        <v>0</v>
      </c>
      <c r="F27" s="320"/>
      <c r="G27" s="4"/>
      <c r="H27" s="47" t="s">
        <v>29</v>
      </c>
      <c r="I27" s="47" t="s">
        <v>29</v>
      </c>
      <c r="J27" s="319">
        <v>0</v>
      </c>
      <c r="K27" s="320"/>
      <c r="L27" s="4"/>
      <c r="M27" s="47" t="s">
        <v>29</v>
      </c>
      <c r="N27" s="47" t="s">
        <v>29</v>
      </c>
      <c r="O27" s="319">
        <v>0</v>
      </c>
      <c r="P27" s="320"/>
      <c r="R27" s="47" t="s">
        <v>29</v>
      </c>
      <c r="S27" s="47" t="s">
        <v>29</v>
      </c>
      <c r="T27" s="319">
        <v>0</v>
      </c>
      <c r="U27" s="320"/>
      <c r="W27" s="47" t="s">
        <v>29</v>
      </c>
      <c r="X27" s="47" t="s">
        <v>29</v>
      </c>
      <c r="Y27" s="319">
        <v>0</v>
      </c>
      <c r="Z27" s="320"/>
      <c r="AA27" s="328">
        <f t="shared" si="3"/>
        <v>0</v>
      </c>
      <c r="AB27" s="298">
        <f t="shared" si="4"/>
        <v>0</v>
      </c>
      <c r="AC27" s="4"/>
      <c r="AD27" s="47" t="s">
        <v>29</v>
      </c>
      <c r="AE27" s="47" t="s">
        <v>29</v>
      </c>
      <c r="AF27" s="319">
        <v>0</v>
      </c>
      <c r="AG27" s="29">
        <f t="shared" si="5"/>
        <v>0</v>
      </c>
    </row>
    <row r="28" spans="1:49" outlineLevel="1">
      <c r="A28" s="180"/>
      <c r="B28" s="318" t="s">
        <v>338</v>
      </c>
      <c r="C28" s="47" t="s">
        <v>29</v>
      </c>
      <c r="D28" s="47" t="s">
        <v>29</v>
      </c>
      <c r="E28" s="319">
        <v>8</v>
      </c>
      <c r="F28" s="320"/>
      <c r="G28" s="4"/>
      <c r="H28" s="47" t="s">
        <v>29</v>
      </c>
      <c r="I28" s="47" t="s">
        <v>29</v>
      </c>
      <c r="J28" s="319">
        <v>8</v>
      </c>
      <c r="K28" s="320"/>
      <c r="L28" s="4"/>
      <c r="M28" s="47" t="s">
        <v>29</v>
      </c>
      <c r="N28" s="47" t="s">
        <v>29</v>
      </c>
      <c r="O28" s="319">
        <v>0</v>
      </c>
      <c r="P28" s="320"/>
      <c r="R28" s="47" t="s">
        <v>29</v>
      </c>
      <c r="S28" s="47" t="s">
        <v>29</v>
      </c>
      <c r="T28" s="319">
        <v>0</v>
      </c>
      <c r="U28" s="320"/>
      <c r="W28" s="47">
        <v>0.45833333333333331</v>
      </c>
      <c r="X28" s="441" t="s">
        <v>222</v>
      </c>
      <c r="Y28" s="319">
        <v>5</v>
      </c>
      <c r="Z28" s="320"/>
      <c r="AA28" s="328">
        <f t="shared" si="1"/>
        <v>21</v>
      </c>
      <c r="AB28" s="298">
        <f>Z28+U28+P28+K28+F26</f>
        <v>0</v>
      </c>
      <c r="AC28" s="4"/>
      <c r="AD28" s="47" t="s">
        <v>29</v>
      </c>
      <c r="AE28" s="47" t="s">
        <v>29</v>
      </c>
      <c r="AF28" s="319">
        <v>0</v>
      </c>
      <c r="AG28" s="29">
        <f t="shared" si="5"/>
        <v>0</v>
      </c>
    </row>
    <row r="29" spans="1:49" s="180" customFormat="1" outlineLevel="1">
      <c r="B29" s="63" t="s">
        <v>250</v>
      </c>
      <c r="C29" s="47">
        <v>0.45833333333333331</v>
      </c>
      <c r="D29" s="47">
        <v>0.20833333333333334</v>
      </c>
      <c r="E29" s="319">
        <v>6</v>
      </c>
      <c r="F29" s="320"/>
      <c r="G29" s="4"/>
      <c r="H29" s="47">
        <v>0.45833333333333331</v>
      </c>
      <c r="I29" s="47">
        <v>0.20833333333333334</v>
      </c>
      <c r="J29" s="319">
        <v>6</v>
      </c>
      <c r="K29" s="320"/>
      <c r="L29" s="4"/>
      <c r="M29" s="47">
        <v>0.45833333333333331</v>
      </c>
      <c r="N29" s="47">
        <v>0.20833333333333334</v>
      </c>
      <c r="O29" s="319">
        <v>6</v>
      </c>
      <c r="P29" s="320"/>
      <c r="Q29" s="4"/>
      <c r="R29" s="47">
        <v>0.45833333333333331</v>
      </c>
      <c r="S29" s="47" t="s">
        <v>339</v>
      </c>
      <c r="T29" s="319">
        <v>6</v>
      </c>
      <c r="U29" s="320"/>
      <c r="V29" s="4"/>
      <c r="W29" s="47">
        <v>0.45833333333333331</v>
      </c>
      <c r="X29" s="47">
        <v>0.20833333333333334</v>
      </c>
      <c r="Y29" s="319">
        <v>6</v>
      </c>
      <c r="Z29" s="320"/>
      <c r="AA29" s="328">
        <f t="shared" si="1"/>
        <v>30</v>
      </c>
      <c r="AB29" s="298">
        <f t="shared" ref="AB29:AB30" si="6">Z29+U29+P29+K29+F29</f>
        <v>0</v>
      </c>
      <c r="AC29" s="4"/>
      <c r="AD29" s="47" t="s">
        <v>29</v>
      </c>
      <c r="AE29" s="47" t="s">
        <v>29</v>
      </c>
      <c r="AF29" s="319">
        <v>0</v>
      </c>
      <c r="AG29" s="29">
        <f t="shared" si="2"/>
        <v>0</v>
      </c>
      <c r="AH29" s="4"/>
      <c r="AI29" s="255"/>
      <c r="AK29" s="193"/>
      <c r="AL29" s="193"/>
      <c r="AM29" s="193"/>
      <c r="AN29" s="193"/>
      <c r="AO29" s="193"/>
      <c r="AP29" s="193"/>
    </row>
    <row r="30" spans="1:49" s="180" customFormat="1" outlineLevel="1">
      <c r="B30" s="63" t="s">
        <v>63</v>
      </c>
      <c r="C30" s="47" t="s">
        <v>29</v>
      </c>
      <c r="D30" s="47" t="s">
        <v>29</v>
      </c>
      <c r="E30" s="319">
        <v>0</v>
      </c>
      <c r="F30" s="320"/>
      <c r="G30" s="438"/>
      <c r="H30" s="47" t="s">
        <v>29</v>
      </c>
      <c r="I30" s="47" t="s">
        <v>29</v>
      </c>
      <c r="J30" s="319">
        <v>0</v>
      </c>
      <c r="K30" s="320"/>
      <c r="L30" s="438"/>
      <c r="M30" s="47" t="s">
        <v>29</v>
      </c>
      <c r="N30" s="47" t="s">
        <v>29</v>
      </c>
      <c r="O30" s="319">
        <v>2</v>
      </c>
      <c r="P30" s="320"/>
      <c r="Q30" s="438"/>
      <c r="R30" s="47" t="s">
        <v>29</v>
      </c>
      <c r="S30" s="47" t="s">
        <v>29</v>
      </c>
      <c r="T30" s="319">
        <v>2</v>
      </c>
      <c r="U30" s="320"/>
      <c r="V30" s="438"/>
      <c r="W30" s="47" t="s">
        <v>29</v>
      </c>
      <c r="X30" s="47" t="s">
        <v>29</v>
      </c>
      <c r="Y30" s="319">
        <v>3</v>
      </c>
      <c r="Z30" s="320"/>
      <c r="AA30" s="328">
        <f t="shared" si="1"/>
        <v>7</v>
      </c>
      <c r="AB30" s="298">
        <f t="shared" si="6"/>
        <v>0</v>
      </c>
      <c r="AC30" s="4"/>
      <c r="AD30" s="47" t="s">
        <v>29</v>
      </c>
      <c r="AE30" s="47" t="s">
        <v>29</v>
      </c>
      <c r="AF30" s="319">
        <v>0</v>
      </c>
      <c r="AG30" s="29">
        <f t="shared" si="2"/>
        <v>0</v>
      </c>
      <c r="AH30" s="4"/>
      <c r="AI30" s="255"/>
      <c r="AK30" s="407"/>
      <c r="AL30" s="193"/>
      <c r="AM30" s="193"/>
      <c r="AN30" s="193"/>
      <c r="AO30" s="193"/>
      <c r="AP30" s="193"/>
    </row>
    <row r="31" spans="1:49" s="180" customFormat="1" outlineLevel="1">
      <c r="B31" s="64" t="s">
        <v>61</v>
      </c>
      <c r="C31" s="31"/>
      <c r="D31" s="31"/>
      <c r="E31" s="445">
        <f>SUM(E16:E30)</f>
        <v>70</v>
      </c>
      <c r="F31" s="320">
        <f>SUM(F16:F28)</f>
        <v>0</v>
      </c>
      <c r="G31" s="31"/>
      <c r="H31" s="31"/>
      <c r="I31" s="31"/>
      <c r="J31" s="445">
        <f>SUM(J16:J30)</f>
        <v>70</v>
      </c>
      <c r="K31" s="446">
        <f>SUM(K16:K28)</f>
        <v>0</v>
      </c>
      <c r="L31" s="31"/>
      <c r="M31" s="31"/>
      <c r="N31" s="31"/>
      <c r="O31" s="439">
        <f>SUM(O16:O30)</f>
        <v>8</v>
      </c>
      <c r="P31" s="320">
        <f>SUM(P16:P29)</f>
        <v>0</v>
      </c>
      <c r="Q31" s="31"/>
      <c r="R31" s="31"/>
      <c r="S31" s="31"/>
      <c r="T31" s="445">
        <f>SUM(T16:T30)</f>
        <v>32</v>
      </c>
      <c r="U31" s="320">
        <f>SUM(U16:U29)</f>
        <v>0</v>
      </c>
      <c r="V31" s="31"/>
      <c r="W31" s="31"/>
      <c r="X31" s="31"/>
      <c r="Y31" s="439">
        <f>SUM(Y16:Y30)</f>
        <v>39</v>
      </c>
      <c r="Z31" s="320">
        <f>SUM(Z16:Z28)</f>
        <v>0</v>
      </c>
      <c r="AA31" s="370">
        <f>SUM(AA16:AA30)</f>
        <v>219</v>
      </c>
      <c r="AB31" s="370">
        <f>SUM(AB16:AB30)</f>
        <v>0</v>
      </c>
      <c r="AC31" s="4"/>
      <c r="AD31" s="64"/>
      <c r="AE31" s="64"/>
      <c r="AF31" s="167">
        <f>SUM(AF16:AF30)</f>
        <v>0</v>
      </c>
      <c r="AG31" s="370">
        <f>SUM(AG16:AG30)</f>
        <v>0</v>
      </c>
      <c r="AH31" s="4"/>
      <c r="AI31" s="255"/>
      <c r="AK31" s="193"/>
      <c r="AL31" s="193"/>
      <c r="AM31" s="193"/>
      <c r="AN31" s="193"/>
      <c r="AO31" s="193"/>
      <c r="AP31" s="193"/>
    </row>
    <row r="32" spans="1:49" s="180" customFormat="1" outlineLevel="1">
      <c r="B32" s="63" t="s">
        <v>64</v>
      </c>
      <c r="C32" s="56"/>
      <c r="D32" s="56"/>
      <c r="E32" s="19">
        <v>7</v>
      </c>
      <c r="F32" s="291"/>
      <c r="G32" s="60"/>
      <c r="H32" s="56"/>
      <c r="I32" s="56"/>
      <c r="J32" s="19">
        <v>7</v>
      </c>
      <c r="K32" s="291">
        <v>1</v>
      </c>
      <c r="L32" s="60"/>
      <c r="M32" s="56"/>
      <c r="N32" s="56"/>
      <c r="O32" s="19">
        <v>7</v>
      </c>
      <c r="P32" s="19">
        <v>0.5</v>
      </c>
      <c r="Q32" s="60"/>
      <c r="R32" s="56"/>
      <c r="S32" s="56"/>
      <c r="T32" s="19">
        <v>8</v>
      </c>
      <c r="U32" s="19">
        <v>0.5</v>
      </c>
      <c r="V32" s="60"/>
      <c r="W32" s="56"/>
      <c r="X32" s="56"/>
      <c r="Y32" s="19">
        <v>7.5</v>
      </c>
      <c r="Z32" s="19"/>
      <c r="AA32" s="28">
        <f>SUM(E32+J32+O32+T32+Y32)</f>
        <v>36.5</v>
      </c>
      <c r="AB32" s="296">
        <f>Z32+U32+P32+K32+F32</f>
        <v>2</v>
      </c>
      <c r="AC32" s="4"/>
      <c r="AD32" s="56"/>
      <c r="AE32" s="56"/>
      <c r="AF32" s="19">
        <v>0</v>
      </c>
      <c r="AG32" s="29">
        <f>AF32</f>
        <v>0</v>
      </c>
      <c r="AH32" s="4"/>
      <c r="AI32" s="255"/>
      <c r="AK32" s="193"/>
      <c r="AL32" s="193"/>
      <c r="AM32" s="193"/>
      <c r="AN32" s="193"/>
      <c r="AO32" s="193"/>
      <c r="AP32" s="193"/>
    </row>
    <row r="33" spans="1:49" s="180" customFormat="1" outlineLevel="1">
      <c r="B33" s="71" t="s">
        <v>66</v>
      </c>
      <c r="C33" s="371"/>
      <c r="D33" s="371"/>
      <c r="E33" s="71">
        <f>SUM(E32:E32)</f>
        <v>7</v>
      </c>
      <c r="F33" s="71">
        <f>SUM(F32:F32)</f>
        <v>0</v>
      </c>
      <c r="G33" s="71">
        <f>SUM(G32:G32)</f>
        <v>0</v>
      </c>
      <c r="H33" s="71"/>
      <c r="I33" s="71"/>
      <c r="J33" s="71">
        <f>SUM(J32:J32)</f>
        <v>7</v>
      </c>
      <c r="K33" s="71">
        <f>SUM(K32:K32)</f>
        <v>1</v>
      </c>
      <c r="L33" s="71">
        <f>SUM(L32:L32)</f>
        <v>0</v>
      </c>
      <c r="M33" s="71"/>
      <c r="N33" s="71"/>
      <c r="O33" s="71">
        <f>SUM(O32:O32)</f>
        <v>7</v>
      </c>
      <c r="P33" s="71">
        <f>SUM(P32:P32)</f>
        <v>0.5</v>
      </c>
      <c r="Q33" s="71">
        <f>SUM(Q32:Q32)</f>
        <v>0</v>
      </c>
      <c r="R33" s="71"/>
      <c r="S33" s="71"/>
      <c r="T33" s="71">
        <f>SUM(T32:T32)</f>
        <v>8</v>
      </c>
      <c r="U33" s="71">
        <f>SUM(U32:U32)</f>
        <v>0.5</v>
      </c>
      <c r="V33" s="71">
        <f>SUM(V32:V32)</f>
        <v>0</v>
      </c>
      <c r="W33" s="71"/>
      <c r="X33" s="71"/>
      <c r="Y33" s="71">
        <f>SUM(Y32:Y32)</f>
        <v>7.5</v>
      </c>
      <c r="Z33" s="71">
        <f>SUM(Z32:Z32)</f>
        <v>0</v>
      </c>
      <c r="AA33" s="370">
        <f>SUM(AA32:AA32)</f>
        <v>36.5</v>
      </c>
      <c r="AB33" s="370">
        <f>SUM(AB32:AB32)</f>
        <v>2</v>
      </c>
      <c r="AC33" s="4"/>
      <c r="AG33" s="370">
        <f>SUM(AG32:AG32)</f>
        <v>0</v>
      </c>
      <c r="AH33" s="4"/>
      <c r="AI33" s="255"/>
      <c r="AK33" s="193"/>
      <c r="AL33" s="193"/>
      <c r="AM33" s="193"/>
      <c r="AN33" s="193"/>
      <c r="AO33" s="193"/>
      <c r="AP33" s="193"/>
    </row>
    <row r="34" spans="1:49" s="180" customFormat="1" outlineLevel="1">
      <c r="B34" s="217" t="s">
        <v>67</v>
      </c>
      <c r="C34" s="207">
        <f>C35+C36</f>
        <v>14</v>
      </c>
      <c r="D34" s="207"/>
      <c r="E34" s="209"/>
      <c r="F34" s="209"/>
      <c r="G34" s="207"/>
      <c r="H34" s="209"/>
      <c r="I34" s="209"/>
      <c r="J34" s="209"/>
      <c r="K34" s="209"/>
      <c r="L34" s="207"/>
      <c r="M34" s="207"/>
      <c r="N34" s="207"/>
      <c r="O34" s="207"/>
      <c r="P34" s="209"/>
      <c r="Q34" s="207"/>
      <c r="R34" s="207"/>
      <c r="S34" s="207"/>
      <c r="T34" s="207"/>
      <c r="U34" s="209"/>
      <c r="V34" s="207"/>
      <c r="W34" s="207"/>
      <c r="X34" s="207"/>
      <c r="Y34" s="210"/>
      <c r="Z34" s="209"/>
      <c r="AA34" s="211"/>
      <c r="AB34" s="209"/>
      <c r="AC34" s="211"/>
      <c r="AD34" s="211"/>
      <c r="AE34" s="211"/>
      <c r="AF34" s="211"/>
      <c r="AG34" s="211"/>
      <c r="AH34" s="4"/>
      <c r="AI34" s="255"/>
      <c r="AK34" s="193"/>
      <c r="AL34" s="193"/>
      <c r="AM34" s="193"/>
      <c r="AN34" s="193"/>
      <c r="AO34" s="193"/>
      <c r="AP34" s="193"/>
    </row>
    <row r="35" spans="1:49" s="180" customFormat="1" outlineLevel="1">
      <c r="B35" s="238" t="s">
        <v>68</v>
      </c>
      <c r="C35" s="239">
        <f>5+3+6</f>
        <v>14</v>
      </c>
      <c r="D35" s="207"/>
      <c r="E35" s="209"/>
      <c r="F35" s="209"/>
      <c r="G35" s="207"/>
      <c r="H35" s="209"/>
      <c r="I35" s="209"/>
      <c r="J35" s="209"/>
      <c r="K35" s="209"/>
      <c r="L35" s="207"/>
      <c r="M35" s="207"/>
      <c r="N35" s="207"/>
      <c r="O35" s="207"/>
      <c r="P35" s="209"/>
      <c r="Q35" s="207"/>
      <c r="R35" s="207"/>
      <c r="S35" s="207"/>
      <c r="T35" s="207"/>
      <c r="U35" s="209"/>
      <c r="V35" s="207"/>
      <c r="W35" s="207"/>
      <c r="X35" s="207"/>
      <c r="Y35" s="210"/>
      <c r="Z35" s="209"/>
      <c r="AA35" s="211"/>
      <c r="AB35" s="209"/>
      <c r="AC35" s="211"/>
      <c r="AD35" s="211"/>
      <c r="AE35" s="211"/>
      <c r="AF35" s="211"/>
      <c r="AG35" s="211"/>
      <c r="AH35" s="4"/>
      <c r="AI35" s="255"/>
      <c r="AK35" s="193"/>
      <c r="AL35" s="193"/>
      <c r="AM35" s="193"/>
      <c r="AN35" s="193"/>
      <c r="AO35" s="193"/>
      <c r="AP35" s="193"/>
    </row>
    <row r="36" spans="1:49" s="180" customFormat="1" outlineLevel="1">
      <c r="B36" s="238" t="s">
        <v>69</v>
      </c>
      <c r="C36" s="239"/>
      <c r="D36" s="207"/>
      <c r="E36" s="209"/>
      <c r="F36" s="209"/>
      <c r="G36" s="207"/>
      <c r="H36" s="209"/>
      <c r="I36" s="209"/>
      <c r="J36" s="209"/>
      <c r="K36" s="209"/>
      <c r="L36" s="207"/>
      <c r="M36" s="207"/>
      <c r="N36" s="207"/>
      <c r="O36" s="207"/>
      <c r="P36" s="209"/>
      <c r="Q36" s="207"/>
      <c r="R36" s="207"/>
      <c r="S36" s="207"/>
      <c r="T36" s="207"/>
      <c r="U36" s="209"/>
      <c r="V36" s="207"/>
      <c r="W36" s="207"/>
      <c r="X36" s="207"/>
      <c r="Y36" s="210"/>
      <c r="Z36" s="209"/>
      <c r="AA36" s="211"/>
      <c r="AB36" s="209"/>
      <c r="AC36" s="211"/>
      <c r="AD36" s="211"/>
      <c r="AE36" s="211"/>
      <c r="AF36" s="211"/>
      <c r="AG36" s="211"/>
      <c r="AH36" s="4"/>
      <c r="AI36" s="255"/>
      <c r="AK36" s="193"/>
      <c r="AL36" s="193"/>
      <c r="AM36" s="193"/>
      <c r="AN36" s="193"/>
      <c r="AO36" s="193"/>
      <c r="AP36" s="193"/>
    </row>
    <row r="37" spans="1:49" s="180" customFormat="1" outlineLevel="1">
      <c r="A37" s="313"/>
      <c r="E37" s="4"/>
      <c r="F37" s="4"/>
      <c r="G37" s="4"/>
      <c r="J37" s="4"/>
      <c r="K37" s="4"/>
      <c r="L37" s="4"/>
      <c r="O37" s="4"/>
      <c r="P37" s="4"/>
      <c r="Q37" s="4"/>
      <c r="T37" s="4"/>
      <c r="U37" s="4"/>
      <c r="V37" s="4"/>
      <c r="Y37" s="4"/>
      <c r="Z37" s="4"/>
      <c r="AA37" s="4"/>
      <c r="AB37" s="4"/>
      <c r="AC37" s="4"/>
      <c r="AH37" s="4"/>
      <c r="AI37" s="255"/>
    </row>
    <row r="38" spans="1:49" outlineLevel="1">
      <c r="A38" s="180"/>
      <c r="B38" s="229"/>
      <c r="C38" s="230"/>
      <c r="D38" s="230"/>
      <c r="E38" s="232"/>
      <c r="F38" s="232"/>
      <c r="G38" s="230"/>
      <c r="H38" s="232"/>
      <c r="I38" s="232"/>
      <c r="J38" s="232"/>
      <c r="K38" s="232"/>
      <c r="L38" s="230"/>
      <c r="M38" s="230"/>
      <c r="N38" s="230"/>
      <c r="O38" s="230"/>
      <c r="P38" s="232"/>
      <c r="Q38" s="230"/>
      <c r="R38" s="230"/>
      <c r="S38" s="230"/>
      <c r="T38" s="230"/>
      <c r="U38" s="232"/>
      <c r="V38" s="230"/>
      <c r="W38" s="230"/>
      <c r="X38" s="230"/>
      <c r="Y38" s="233"/>
      <c r="Z38" s="232"/>
      <c r="AA38" s="234"/>
      <c r="AB38" s="232"/>
      <c r="AC38" s="373"/>
      <c r="AD38" s="236"/>
      <c r="AE38" s="255"/>
      <c r="AF38" s="255"/>
      <c r="AG38" s="255"/>
      <c r="AH38" s="255"/>
      <c r="AJ38" s="255"/>
      <c r="AK38" s="255"/>
      <c r="AL38" s="255"/>
      <c r="AM38" s="255"/>
      <c r="AN38" s="255"/>
      <c r="AO38" s="255"/>
      <c r="AP38" s="255"/>
      <c r="AQ38" s="255"/>
      <c r="AR38" s="255"/>
      <c r="AS38" s="255"/>
      <c r="AT38" s="255"/>
      <c r="AU38" s="255"/>
      <c r="AV38" s="255"/>
      <c r="AW38" s="255"/>
    </row>
    <row r="39" spans="1:49" outlineLevel="1">
      <c r="B39" s="180"/>
      <c r="E39" s="4"/>
      <c r="F39" s="4"/>
      <c r="G39" s="4"/>
      <c r="J39" s="4"/>
      <c r="K39" s="4"/>
      <c r="L39" s="4"/>
      <c r="O39" s="4"/>
      <c r="P39" s="4"/>
      <c r="T39" s="4"/>
      <c r="U39" s="4"/>
      <c r="Y39" s="4"/>
      <c r="Z39" s="4"/>
      <c r="AA39" s="4"/>
      <c r="AB39" s="4"/>
      <c r="AC39" s="4"/>
      <c r="AK39" s="180"/>
      <c r="AL39" s="180"/>
      <c r="AM39" s="180"/>
      <c r="AN39" s="180"/>
      <c r="AO39" s="180"/>
      <c r="AP39" s="180"/>
    </row>
    <row r="40" spans="1:49" outlineLevel="1">
      <c r="A40" s="228"/>
      <c r="B40" s="1518" t="s">
        <v>18</v>
      </c>
      <c r="C40" s="1519">
        <v>45376</v>
      </c>
      <c r="D40" s="1519"/>
      <c r="E40" s="1519"/>
      <c r="F40" s="1519"/>
      <c r="G40" s="365"/>
      <c r="H40" s="1519">
        <v>45377</v>
      </c>
      <c r="I40" s="1519"/>
      <c r="J40" s="1519"/>
      <c r="K40" s="1519"/>
      <c r="L40" s="365">
        <v>45343</v>
      </c>
      <c r="M40" s="1519">
        <v>45378</v>
      </c>
      <c r="N40" s="1519"/>
      <c r="O40" s="1519"/>
      <c r="P40" s="1519"/>
      <c r="Q40" s="365"/>
      <c r="R40" s="1519">
        <v>45379</v>
      </c>
      <c r="S40" s="1519"/>
      <c r="T40" s="1519"/>
      <c r="U40" s="1519"/>
      <c r="V40" s="365"/>
      <c r="W40" s="1519">
        <v>45380</v>
      </c>
      <c r="X40" s="1519"/>
      <c r="Y40" s="1519"/>
      <c r="Z40" s="1519"/>
      <c r="AA40" s="1517" t="s">
        <v>19</v>
      </c>
      <c r="AB40" s="1517" t="s">
        <v>20</v>
      </c>
      <c r="AC40" s="4"/>
      <c r="AD40" s="1519">
        <v>45381</v>
      </c>
      <c r="AE40" s="1519"/>
      <c r="AF40" s="1519"/>
      <c r="AG40" s="1517" t="s">
        <v>21</v>
      </c>
      <c r="AI40" s="368"/>
      <c r="AK40" s="194" t="s">
        <v>84</v>
      </c>
      <c r="AL40" s="366"/>
      <c r="AM40" s="366"/>
      <c r="AN40" s="366"/>
      <c r="AO40" s="366"/>
      <c r="AP40" s="366"/>
    </row>
    <row r="41" spans="1:49" outlineLevel="1">
      <c r="A41" s="180"/>
      <c r="B41" s="1518"/>
      <c r="C41" s="21" t="s">
        <v>23</v>
      </c>
      <c r="D41" s="21" t="s">
        <v>24</v>
      </c>
      <c r="E41" s="205" t="s">
        <v>25</v>
      </c>
      <c r="F41" s="18" t="s">
        <v>14</v>
      </c>
      <c r="G41" s="4"/>
      <c r="H41" s="21" t="s">
        <v>23</v>
      </c>
      <c r="I41" s="21" t="s">
        <v>24</v>
      </c>
      <c r="J41" s="18" t="s">
        <v>25</v>
      </c>
      <c r="K41" s="18" t="s">
        <v>14</v>
      </c>
      <c r="L41" s="4"/>
      <c r="M41" s="21" t="s">
        <v>23</v>
      </c>
      <c r="N41" s="21" t="s">
        <v>24</v>
      </c>
      <c r="O41" s="18" t="s">
        <v>25</v>
      </c>
      <c r="P41" s="18" t="s">
        <v>14</v>
      </c>
      <c r="R41" s="21" t="s">
        <v>23</v>
      </c>
      <c r="S41" s="21" t="s">
        <v>24</v>
      </c>
      <c r="T41" s="18" t="s">
        <v>25</v>
      </c>
      <c r="U41" s="18" t="s">
        <v>14</v>
      </c>
      <c r="W41" s="21" t="s">
        <v>23</v>
      </c>
      <c r="X41" s="21" t="s">
        <v>24</v>
      </c>
      <c r="Y41" s="18" t="s">
        <v>25</v>
      </c>
      <c r="Z41" s="18" t="s">
        <v>14</v>
      </c>
      <c r="AA41" s="1517"/>
      <c r="AB41" s="1517"/>
      <c r="AC41" s="4"/>
      <c r="AD41" s="21" t="s">
        <v>23</v>
      </c>
      <c r="AE41" s="21" t="s">
        <v>24</v>
      </c>
      <c r="AF41" s="18" t="s">
        <v>25</v>
      </c>
      <c r="AG41" s="1517"/>
      <c r="AI41" s="368"/>
      <c r="AJ41" s="367"/>
      <c r="AK41" s="188" t="s">
        <v>26</v>
      </c>
      <c r="AL41" s="196">
        <f>AA66</f>
        <v>577.25</v>
      </c>
      <c r="AM41" s="510">
        <v>38</v>
      </c>
      <c r="AN41" s="510">
        <f t="shared" ref="AN41:AN47" si="7">AL41*AM41</f>
        <v>21935.5</v>
      </c>
      <c r="AQ41" s="367"/>
      <c r="AR41" s="367"/>
      <c r="AS41" s="367"/>
      <c r="AT41" s="367"/>
      <c r="AU41" s="367"/>
      <c r="AV41" s="367"/>
      <c r="AW41" s="367"/>
    </row>
    <row r="42" spans="1:49" outlineLevel="1">
      <c r="A42" s="180"/>
      <c r="B42" s="318" t="s">
        <v>332</v>
      </c>
      <c r="C42" s="47">
        <v>0.375</v>
      </c>
      <c r="D42" s="47">
        <v>0.20833333333333334</v>
      </c>
      <c r="E42" s="319">
        <v>7</v>
      </c>
      <c r="F42" s="320"/>
      <c r="G42" s="4"/>
      <c r="H42" s="47">
        <v>0.35416666666666669</v>
      </c>
      <c r="I42" s="47">
        <v>0.20833333333333334</v>
      </c>
      <c r="J42" s="319">
        <v>7.5</v>
      </c>
      <c r="K42" s="320"/>
      <c r="L42" s="4"/>
      <c r="M42" s="47">
        <v>0.36458333333333331</v>
      </c>
      <c r="N42" s="47">
        <v>0.20833333333333334</v>
      </c>
      <c r="O42" s="319">
        <v>7.25</v>
      </c>
      <c r="P42" s="320"/>
      <c r="R42" s="441" t="s">
        <v>76</v>
      </c>
      <c r="S42" s="441" t="s">
        <v>246</v>
      </c>
      <c r="T42" s="319">
        <v>8</v>
      </c>
      <c r="U42" s="320"/>
      <c r="W42" s="441" t="s">
        <v>76</v>
      </c>
      <c r="X42" s="441" t="s">
        <v>246</v>
      </c>
      <c r="Y42" s="319">
        <v>8</v>
      </c>
      <c r="Z42" s="320"/>
      <c r="AA42" s="328">
        <f t="shared" ref="AA42" si="8">(E42+J42+O42+T42+Y42)</f>
        <v>37.75</v>
      </c>
      <c r="AB42" s="298">
        <f>Z42+U42+P42+K42+F42</f>
        <v>0</v>
      </c>
      <c r="AC42" s="4"/>
      <c r="AD42" s="47">
        <v>0.375</v>
      </c>
      <c r="AE42" s="47">
        <v>0.20833333333333334</v>
      </c>
      <c r="AF42" s="319">
        <v>7</v>
      </c>
      <c r="AG42" s="328">
        <f t="shared" ref="AG42:AG44" si="9">AF42</f>
        <v>7</v>
      </c>
      <c r="AI42" s="368"/>
      <c r="AJ42" s="367"/>
      <c r="AK42" s="188" t="s">
        <v>30</v>
      </c>
      <c r="AL42" s="196">
        <f>$AB$31</f>
        <v>0</v>
      </c>
      <c r="AM42" s="511">
        <v>57</v>
      </c>
      <c r="AN42" s="510">
        <f t="shared" si="7"/>
        <v>0</v>
      </c>
      <c r="AQ42" s="367"/>
      <c r="AR42" s="367"/>
      <c r="AS42" s="367"/>
      <c r="AT42" s="367"/>
      <c r="AU42" s="367"/>
      <c r="AV42" s="367"/>
      <c r="AW42" s="367"/>
    </row>
    <row r="43" spans="1:49" outlineLevel="1">
      <c r="A43" s="367"/>
      <c r="B43" s="318" t="s">
        <v>334</v>
      </c>
      <c r="C43" s="47">
        <v>0.36458333333333331</v>
      </c>
      <c r="D43" s="47">
        <v>0.20833333333333334</v>
      </c>
      <c r="E43" s="319">
        <v>7.25</v>
      </c>
      <c r="F43" s="320"/>
      <c r="G43" s="4"/>
      <c r="H43" s="47">
        <v>0.36458333333333331</v>
      </c>
      <c r="I43" s="47">
        <v>0.20833333333333334</v>
      </c>
      <c r="J43" s="319">
        <v>7.25</v>
      </c>
      <c r="K43" s="320"/>
      <c r="L43" s="4"/>
      <c r="M43" s="47">
        <v>0.36458333333333331</v>
      </c>
      <c r="N43" s="47">
        <v>0.20833333333333334</v>
      </c>
      <c r="O43" s="319">
        <v>7.25</v>
      </c>
      <c r="P43" s="320"/>
      <c r="R43" s="441" t="s">
        <v>75</v>
      </c>
      <c r="S43" s="441" t="s">
        <v>246</v>
      </c>
      <c r="T43" s="319">
        <v>8</v>
      </c>
      <c r="U43" s="320"/>
      <c r="W43" s="441" t="s">
        <v>76</v>
      </c>
      <c r="X43" s="441" t="s">
        <v>246</v>
      </c>
      <c r="Y43" s="319">
        <v>8</v>
      </c>
      <c r="Z43" s="320"/>
      <c r="AA43" s="328">
        <f t="shared" ref="AA43:AA65" si="10">(E43+J43+O43+T43+Y43)</f>
        <v>37.75</v>
      </c>
      <c r="AB43" s="298">
        <f>Z43+U43+P43+K43+F43</f>
        <v>0</v>
      </c>
      <c r="AC43" s="4"/>
      <c r="AD43" s="47">
        <v>0.375</v>
      </c>
      <c r="AE43" s="47">
        <v>0.20833333333333334</v>
      </c>
      <c r="AF43" s="319">
        <v>7</v>
      </c>
      <c r="AG43" s="328">
        <f t="shared" si="9"/>
        <v>7</v>
      </c>
      <c r="AH43" s="175"/>
      <c r="AI43" s="402"/>
      <c r="AJ43" s="367"/>
      <c r="AK43" s="188" t="s">
        <v>32</v>
      </c>
      <c r="AL43" s="196">
        <f>AB66</f>
        <v>0</v>
      </c>
      <c r="AM43" s="510">
        <v>57</v>
      </c>
      <c r="AN43" s="510">
        <f t="shared" si="7"/>
        <v>0</v>
      </c>
      <c r="AQ43" s="367"/>
      <c r="AR43" s="367"/>
      <c r="AS43" s="367"/>
      <c r="AT43" s="367"/>
      <c r="AU43" s="367"/>
      <c r="AV43" s="367"/>
      <c r="AW43" s="367"/>
    </row>
    <row r="44" spans="1:49" outlineLevel="1">
      <c r="A44" s="367"/>
      <c r="B44" s="318" t="s">
        <v>329</v>
      </c>
      <c r="C44" s="47">
        <v>0.375</v>
      </c>
      <c r="D44" s="47">
        <v>0.20833333333333334</v>
      </c>
      <c r="E44" s="319">
        <v>7</v>
      </c>
      <c r="F44" s="320"/>
      <c r="G44" s="4"/>
      <c r="H44" s="47">
        <v>0.38541666666666669</v>
      </c>
      <c r="I44" s="47">
        <v>0.20833333333333334</v>
      </c>
      <c r="J44" s="319">
        <v>6.75</v>
      </c>
      <c r="K44" s="320"/>
      <c r="L44" s="4"/>
      <c r="M44" s="47">
        <v>0.375</v>
      </c>
      <c r="N44" s="47">
        <v>0.20833333333333334</v>
      </c>
      <c r="O44" s="319">
        <v>7</v>
      </c>
      <c r="P44" s="320"/>
      <c r="R44" s="441" t="s">
        <v>75</v>
      </c>
      <c r="S44" s="441" t="s">
        <v>246</v>
      </c>
      <c r="T44" s="319">
        <v>8</v>
      </c>
      <c r="U44" s="320"/>
      <c r="W44" s="441" t="s">
        <v>75</v>
      </c>
      <c r="X44" s="441" t="s">
        <v>246</v>
      </c>
      <c r="Y44" s="319">
        <v>8</v>
      </c>
      <c r="Z44" s="320"/>
      <c r="AA44" s="328">
        <f t="shared" si="10"/>
        <v>36.75</v>
      </c>
      <c r="AB44" s="298">
        <f>Z44+U44+P44+K44+F44</f>
        <v>0</v>
      </c>
      <c r="AC44" s="399"/>
      <c r="AD44" s="47" t="s">
        <v>29</v>
      </c>
      <c r="AE44" s="47" t="s">
        <v>29</v>
      </c>
      <c r="AF44" s="319">
        <v>0</v>
      </c>
      <c r="AG44" s="29">
        <f t="shared" si="9"/>
        <v>0</v>
      </c>
      <c r="AH44" s="175"/>
      <c r="AJ44" s="401"/>
      <c r="AK44" s="403" t="s">
        <v>213</v>
      </c>
      <c r="AL44" s="404">
        <f>AA68</f>
        <v>39.5</v>
      </c>
      <c r="AM44" s="510">
        <v>50</v>
      </c>
      <c r="AN44" s="510">
        <f t="shared" si="7"/>
        <v>1975</v>
      </c>
      <c r="AO44" s="405"/>
      <c r="AP44" s="405"/>
      <c r="AQ44" s="401"/>
      <c r="AR44" s="401"/>
      <c r="AS44" s="401"/>
      <c r="AT44" s="401"/>
      <c r="AU44" s="401"/>
      <c r="AV44" s="401"/>
      <c r="AW44" s="401"/>
    </row>
    <row r="45" spans="1:49" outlineLevel="1">
      <c r="A45" s="367"/>
      <c r="B45" s="318" t="s">
        <v>232</v>
      </c>
      <c r="C45" s="47">
        <v>0.39583333333333331</v>
      </c>
      <c r="D45" s="47">
        <v>0.20833333333333334</v>
      </c>
      <c r="E45" s="319">
        <v>8</v>
      </c>
      <c r="F45" s="320"/>
      <c r="G45" s="4"/>
      <c r="H45" s="47">
        <v>0.38541666666666669</v>
      </c>
      <c r="I45" s="47">
        <v>0.20833333333333334</v>
      </c>
      <c r="J45" s="319">
        <v>8</v>
      </c>
      <c r="K45" s="320"/>
      <c r="L45" s="4"/>
      <c r="M45" s="47">
        <v>0.38541666666666669</v>
      </c>
      <c r="N45" s="47">
        <v>0.20833333333333334</v>
      </c>
      <c r="O45" s="319">
        <v>8</v>
      </c>
      <c r="P45" s="320"/>
      <c r="R45" s="47">
        <v>0.375</v>
      </c>
      <c r="S45" s="441" t="s">
        <v>246</v>
      </c>
      <c r="T45" s="319">
        <v>8</v>
      </c>
      <c r="U45" s="320"/>
      <c r="W45" s="47">
        <v>0.375</v>
      </c>
      <c r="X45" s="441" t="s">
        <v>246</v>
      </c>
      <c r="Y45" s="319">
        <v>8</v>
      </c>
      <c r="Z45" s="320"/>
      <c r="AA45" s="328">
        <f t="shared" si="10"/>
        <v>40</v>
      </c>
      <c r="AB45" s="298">
        <f t="shared" ref="AB45:AB53" si="11">Z45+U45+P45+K45+F45</f>
        <v>0</v>
      </c>
      <c r="AC45" s="399"/>
      <c r="AD45" s="47" t="s">
        <v>29</v>
      </c>
      <c r="AE45" s="47" t="s">
        <v>29</v>
      </c>
      <c r="AF45" s="319">
        <v>0</v>
      </c>
      <c r="AG45" s="29">
        <f t="shared" ref="AG45" si="12">AF45</f>
        <v>0</v>
      </c>
      <c r="AH45" s="175"/>
      <c r="AJ45" s="401"/>
      <c r="AK45" s="188" t="s">
        <v>36</v>
      </c>
      <c r="AL45" s="196">
        <f>AB68</f>
        <v>3.75</v>
      </c>
      <c r="AM45" s="510">
        <v>75</v>
      </c>
      <c r="AN45" s="510">
        <f t="shared" si="7"/>
        <v>281.25</v>
      </c>
      <c r="AO45" s="405"/>
      <c r="AP45" s="405"/>
      <c r="AQ45" s="401"/>
      <c r="AR45" s="401"/>
      <c r="AS45" s="401"/>
      <c r="AT45" s="401"/>
      <c r="AU45" s="401"/>
      <c r="AV45" s="401"/>
      <c r="AW45" s="401"/>
    </row>
    <row r="46" spans="1:49" outlineLevel="1">
      <c r="A46" s="367"/>
      <c r="B46" s="318" t="s">
        <v>337</v>
      </c>
      <c r="C46" s="47">
        <v>0.38541666666666669</v>
      </c>
      <c r="D46" s="47">
        <v>0.20833333333333334</v>
      </c>
      <c r="E46" s="319">
        <v>6.75</v>
      </c>
      <c r="F46" s="320"/>
      <c r="G46" s="4"/>
      <c r="H46" s="47">
        <v>0</v>
      </c>
      <c r="I46" s="47">
        <v>0</v>
      </c>
      <c r="J46" s="319">
        <v>0</v>
      </c>
      <c r="K46" s="320"/>
      <c r="L46" s="4"/>
      <c r="M46" s="47">
        <v>0</v>
      </c>
      <c r="N46" s="47">
        <v>0</v>
      </c>
      <c r="O46" s="319">
        <v>0</v>
      </c>
      <c r="P46" s="320"/>
      <c r="R46" s="47">
        <v>0</v>
      </c>
      <c r="S46" s="47">
        <v>0</v>
      </c>
      <c r="T46" s="319">
        <v>0</v>
      </c>
      <c r="U46" s="320"/>
      <c r="W46" s="47">
        <v>0</v>
      </c>
      <c r="X46" s="47">
        <v>0</v>
      </c>
      <c r="Y46" s="319">
        <v>0</v>
      </c>
      <c r="Z46" s="320"/>
      <c r="AA46" s="328">
        <f t="shared" si="10"/>
        <v>6.75</v>
      </c>
      <c r="AB46" s="298">
        <f t="shared" si="11"/>
        <v>0</v>
      </c>
      <c r="AC46" s="175"/>
      <c r="AD46" s="47" t="s">
        <v>29</v>
      </c>
      <c r="AE46" s="47" t="s">
        <v>29</v>
      </c>
      <c r="AF46" s="319">
        <v>0</v>
      </c>
      <c r="AG46" s="344">
        <f t="shared" ref="AG46:AG52" si="13">AF46</f>
        <v>0</v>
      </c>
      <c r="AH46" s="175"/>
      <c r="AI46" s="368"/>
      <c r="AK46" s="188" t="s">
        <v>38</v>
      </c>
      <c r="AL46" s="196">
        <f>AG68</f>
        <v>4</v>
      </c>
      <c r="AM46" s="510">
        <v>75</v>
      </c>
      <c r="AN46" s="510">
        <f t="shared" si="7"/>
        <v>300</v>
      </c>
    </row>
    <row r="47" spans="1:49" ht="14.25" outlineLevel="1" thickBot="1">
      <c r="A47" s="401"/>
      <c r="B47" s="318" t="s">
        <v>330</v>
      </c>
      <c r="C47" s="47">
        <v>0.36458333333333331</v>
      </c>
      <c r="D47" s="47">
        <v>0.20833333333333334</v>
      </c>
      <c r="E47" s="319">
        <v>7.25</v>
      </c>
      <c r="F47" s="320"/>
      <c r="G47" s="4"/>
      <c r="H47" s="47">
        <v>0.35416666666666669</v>
      </c>
      <c r="I47" s="47">
        <v>0.20833333333333334</v>
      </c>
      <c r="J47" s="319">
        <v>7</v>
      </c>
      <c r="K47" s="320"/>
      <c r="L47" s="4"/>
      <c r="M47" s="47">
        <v>0.36458333333333331</v>
      </c>
      <c r="N47" s="47">
        <v>0.20833333333333334</v>
      </c>
      <c r="O47" s="319">
        <v>7.25</v>
      </c>
      <c r="P47" s="320"/>
      <c r="R47" s="47">
        <v>0.36458333333333331</v>
      </c>
      <c r="S47" s="441" t="s">
        <v>246</v>
      </c>
      <c r="T47" s="319">
        <v>8</v>
      </c>
      <c r="U47" s="320"/>
      <c r="W47" s="47">
        <v>0.35416666666666669</v>
      </c>
      <c r="X47" s="441" t="s">
        <v>246</v>
      </c>
      <c r="Y47" s="319">
        <v>8</v>
      </c>
      <c r="Z47" s="320"/>
      <c r="AA47" s="328">
        <f t="shared" si="10"/>
        <v>37.5</v>
      </c>
      <c r="AB47" s="298">
        <f t="shared" si="11"/>
        <v>0</v>
      </c>
      <c r="AC47" s="4"/>
      <c r="AD47" s="47" t="s">
        <v>29</v>
      </c>
      <c r="AE47" s="47" t="s">
        <v>29</v>
      </c>
      <c r="AF47" s="319">
        <v>0</v>
      </c>
      <c r="AG47" s="29">
        <f t="shared" si="13"/>
        <v>0</v>
      </c>
      <c r="AJ47" s="367"/>
      <c r="AK47" s="188" t="s">
        <v>41</v>
      </c>
      <c r="AL47" s="196">
        <f>C69</f>
        <v>83</v>
      </c>
      <c r="AM47" s="512">
        <v>45</v>
      </c>
      <c r="AN47" s="512">
        <f t="shared" si="7"/>
        <v>3735</v>
      </c>
      <c r="AQ47" s="367"/>
      <c r="AR47" s="367"/>
      <c r="AS47" s="367"/>
      <c r="AT47" s="367"/>
      <c r="AU47" s="367"/>
      <c r="AV47" s="367"/>
      <c r="AW47" s="367"/>
    </row>
    <row r="48" spans="1:49" ht="14.25" outlineLevel="1" thickTop="1">
      <c r="A48" s="180"/>
      <c r="B48" s="318" t="s">
        <v>35</v>
      </c>
      <c r="C48" s="47">
        <v>0.375</v>
      </c>
      <c r="D48" s="47">
        <v>0.20833333333333334</v>
      </c>
      <c r="E48" s="319">
        <v>7</v>
      </c>
      <c r="F48" s="320"/>
      <c r="G48" s="4"/>
      <c r="H48" s="47">
        <v>0.38541666666666669</v>
      </c>
      <c r="I48" s="47">
        <v>0.20833333333333334</v>
      </c>
      <c r="J48" s="319">
        <v>6.75</v>
      </c>
      <c r="K48" s="320"/>
      <c r="L48" s="4"/>
      <c r="M48" s="47">
        <v>0.40625</v>
      </c>
      <c r="N48" s="47">
        <v>0.20833333333333334</v>
      </c>
      <c r="O48" s="319">
        <v>6.25</v>
      </c>
      <c r="P48" s="320"/>
      <c r="R48" s="47">
        <v>0.38541666666666669</v>
      </c>
      <c r="S48" s="441" t="s">
        <v>246</v>
      </c>
      <c r="T48" s="319">
        <v>7.75</v>
      </c>
      <c r="U48" s="320"/>
      <c r="W48" s="47">
        <v>0.375</v>
      </c>
      <c r="X48" s="441" t="s">
        <v>246</v>
      </c>
      <c r="Y48" s="319">
        <v>10</v>
      </c>
      <c r="Z48" s="320"/>
      <c r="AA48" s="328">
        <f t="shared" si="10"/>
        <v>37.75</v>
      </c>
      <c r="AB48" s="298">
        <f t="shared" si="11"/>
        <v>0</v>
      </c>
      <c r="AC48" s="4"/>
      <c r="AD48" s="47">
        <v>0.375</v>
      </c>
      <c r="AE48" s="47">
        <v>0.20833333333333334</v>
      </c>
      <c r="AF48" s="319">
        <v>7</v>
      </c>
      <c r="AG48" s="29">
        <f t="shared" si="13"/>
        <v>7</v>
      </c>
      <c r="AH48" s="175"/>
      <c r="AN48" s="510">
        <f>SUM(AN41:AN47)</f>
        <v>28226.75</v>
      </c>
      <c r="AO48" s="369"/>
      <c r="AP48" s="369"/>
    </row>
    <row r="49" spans="1:42" outlineLevel="1">
      <c r="A49" s="367"/>
      <c r="B49" s="318" t="s">
        <v>338</v>
      </c>
      <c r="C49" s="47">
        <v>0.375</v>
      </c>
      <c r="D49" s="47">
        <v>0.20833333333333334</v>
      </c>
      <c r="E49" s="319">
        <v>7</v>
      </c>
      <c r="F49" s="320"/>
      <c r="G49" s="4"/>
      <c r="H49" s="47">
        <v>0.375</v>
      </c>
      <c r="I49" s="47">
        <v>0.20833333333333334</v>
      </c>
      <c r="J49" s="319">
        <v>7</v>
      </c>
      <c r="K49" s="320"/>
      <c r="L49" s="4"/>
      <c r="M49" s="47">
        <v>0.375</v>
      </c>
      <c r="N49" s="47">
        <v>0.20833333333333334</v>
      </c>
      <c r="O49" s="319">
        <v>7</v>
      </c>
      <c r="P49" s="320"/>
      <c r="R49" s="441" t="s">
        <v>75</v>
      </c>
      <c r="S49" s="441" t="s">
        <v>246</v>
      </c>
      <c r="T49" s="319">
        <v>8</v>
      </c>
      <c r="U49" s="320"/>
      <c r="W49" s="463"/>
      <c r="X49" s="463"/>
      <c r="Y49" s="464"/>
      <c r="Z49" s="320"/>
      <c r="AA49" s="328">
        <f t="shared" si="10"/>
        <v>29</v>
      </c>
      <c r="AB49" s="298">
        <f t="shared" si="11"/>
        <v>0</v>
      </c>
      <c r="AC49" s="4"/>
      <c r="AD49" s="47" t="s">
        <v>29</v>
      </c>
      <c r="AE49" s="47" t="s">
        <v>29</v>
      </c>
      <c r="AF49" s="319">
        <v>0</v>
      </c>
      <c r="AG49" s="29">
        <f t="shared" si="13"/>
        <v>0</v>
      </c>
    </row>
    <row r="50" spans="1:42" outlineLevel="1">
      <c r="A50" s="180"/>
      <c r="B50" s="318" t="s">
        <v>336</v>
      </c>
      <c r="C50" s="47">
        <v>0.35416666666666669</v>
      </c>
      <c r="D50" s="47">
        <v>0.20833333333333334</v>
      </c>
      <c r="E50" s="319">
        <v>7</v>
      </c>
      <c r="F50" s="320"/>
      <c r="G50" s="4"/>
      <c r="H50" s="47">
        <v>0.375</v>
      </c>
      <c r="I50" s="47">
        <v>0.20833333333333334</v>
      </c>
      <c r="J50" s="319">
        <v>7</v>
      </c>
      <c r="K50" s="320"/>
      <c r="L50" s="4"/>
      <c r="M50" s="47">
        <v>0.36458333333333331</v>
      </c>
      <c r="N50" s="47">
        <v>0.20833333333333334</v>
      </c>
      <c r="O50" s="319">
        <v>7.25</v>
      </c>
      <c r="P50" s="320"/>
      <c r="R50" s="47">
        <v>0.35416666666666669</v>
      </c>
      <c r="S50" s="441" t="s">
        <v>246</v>
      </c>
      <c r="T50" s="319">
        <v>8</v>
      </c>
      <c r="U50" s="320"/>
      <c r="W50" s="47">
        <v>0.36458333333333331</v>
      </c>
      <c r="X50" s="441" t="s">
        <v>246</v>
      </c>
      <c r="Y50" s="319">
        <v>8</v>
      </c>
      <c r="Z50" s="320"/>
      <c r="AA50" s="328">
        <f t="shared" si="10"/>
        <v>37.25</v>
      </c>
      <c r="AB50" s="298">
        <f t="shared" si="11"/>
        <v>0</v>
      </c>
      <c r="AC50" s="4"/>
      <c r="AD50" s="47" t="s">
        <v>29</v>
      </c>
      <c r="AE50" s="47" t="s">
        <v>29</v>
      </c>
      <c r="AF50" s="319">
        <v>0</v>
      </c>
      <c r="AG50" s="29">
        <f t="shared" si="13"/>
        <v>0</v>
      </c>
    </row>
    <row r="51" spans="1:42" outlineLevel="1">
      <c r="A51" s="180"/>
      <c r="B51" s="318" t="s">
        <v>108</v>
      </c>
      <c r="C51" s="47">
        <v>0.36458333333333331</v>
      </c>
      <c r="D51" s="47">
        <v>0.20833333333333334</v>
      </c>
      <c r="E51" s="319">
        <v>7.25</v>
      </c>
      <c r="F51" s="320"/>
      <c r="G51" s="4"/>
      <c r="H51" s="47">
        <v>0.375</v>
      </c>
      <c r="I51" s="47">
        <v>0.20833333333333334</v>
      </c>
      <c r="J51" s="319">
        <v>7</v>
      </c>
      <c r="K51" s="320"/>
      <c r="L51" s="4"/>
      <c r="M51" s="47">
        <v>0.375</v>
      </c>
      <c r="N51" s="47">
        <v>0.20833333333333334</v>
      </c>
      <c r="O51" s="319">
        <v>7</v>
      </c>
      <c r="P51" s="320"/>
      <c r="R51" s="47">
        <v>0.375</v>
      </c>
      <c r="S51" s="441" t="s">
        <v>246</v>
      </c>
      <c r="T51" s="319">
        <v>8</v>
      </c>
      <c r="U51" s="320"/>
      <c r="W51" s="47">
        <v>0.375</v>
      </c>
      <c r="X51" s="441" t="s">
        <v>246</v>
      </c>
      <c r="Y51" s="319">
        <v>8</v>
      </c>
      <c r="Z51" s="320"/>
      <c r="AA51" s="328">
        <f t="shared" si="10"/>
        <v>37.25</v>
      </c>
      <c r="AB51" s="298">
        <f t="shared" si="11"/>
        <v>0</v>
      </c>
      <c r="AC51" s="4"/>
      <c r="AD51" s="47">
        <v>0.375</v>
      </c>
      <c r="AE51" s="47">
        <v>0.20833333333333334</v>
      </c>
      <c r="AF51" s="319">
        <v>7</v>
      </c>
      <c r="AG51" s="29">
        <f t="shared" si="13"/>
        <v>7</v>
      </c>
    </row>
    <row r="52" spans="1:42" outlineLevel="1">
      <c r="A52" s="180"/>
      <c r="B52" s="318" t="s">
        <v>327</v>
      </c>
      <c r="C52" s="47">
        <v>0.38541666666666669</v>
      </c>
      <c r="D52" s="47">
        <v>0.20833333333333334</v>
      </c>
      <c r="E52" s="319">
        <v>6.75</v>
      </c>
      <c r="F52" s="320"/>
      <c r="G52" s="4"/>
      <c r="H52" s="47">
        <v>0.36458333333333331</v>
      </c>
      <c r="I52" s="47">
        <v>0.20833333333333334</v>
      </c>
      <c r="J52" s="319">
        <v>7.25</v>
      </c>
      <c r="K52" s="320"/>
      <c r="L52" s="4"/>
      <c r="M52" s="47">
        <v>0.375</v>
      </c>
      <c r="N52" s="47">
        <v>0.20833333333333334</v>
      </c>
      <c r="O52" s="319">
        <v>7</v>
      </c>
      <c r="P52" s="320"/>
      <c r="R52" s="47">
        <v>0.375</v>
      </c>
      <c r="S52" s="441" t="s">
        <v>246</v>
      </c>
      <c r="T52" s="319">
        <v>8</v>
      </c>
      <c r="U52" s="320"/>
      <c r="W52" s="47">
        <v>0.375</v>
      </c>
      <c r="X52" s="441" t="s">
        <v>246</v>
      </c>
      <c r="Y52" s="319">
        <v>8</v>
      </c>
      <c r="Z52" s="320"/>
      <c r="AA52" s="328">
        <f t="shared" si="10"/>
        <v>37</v>
      </c>
      <c r="AB52" s="298">
        <f t="shared" si="11"/>
        <v>0</v>
      </c>
      <c r="AC52" s="4"/>
      <c r="AD52" s="47" t="s">
        <v>29</v>
      </c>
      <c r="AE52" s="47" t="s">
        <v>29</v>
      </c>
      <c r="AF52" s="319">
        <v>0</v>
      </c>
      <c r="AG52" s="29">
        <f t="shared" si="13"/>
        <v>0</v>
      </c>
    </row>
    <row r="53" spans="1:42" outlineLevel="1">
      <c r="A53" s="180"/>
      <c r="B53" s="318" t="s">
        <v>328</v>
      </c>
      <c r="C53" s="47">
        <v>0.36458333333333331</v>
      </c>
      <c r="D53" s="47">
        <v>0.20833333333333334</v>
      </c>
      <c r="E53" s="319">
        <v>7.25</v>
      </c>
      <c r="F53" s="320"/>
      <c r="G53" s="4"/>
      <c r="H53" s="47">
        <v>0.375</v>
      </c>
      <c r="I53" s="47">
        <v>0.20833333333333334</v>
      </c>
      <c r="J53" s="319">
        <v>7</v>
      </c>
      <c r="K53" s="320"/>
      <c r="L53" s="4"/>
      <c r="M53" s="47">
        <v>0.38541666666666669</v>
      </c>
      <c r="N53" s="47">
        <v>0.20833333333333334</v>
      </c>
      <c r="O53" s="319">
        <v>6.75</v>
      </c>
      <c r="P53" s="320"/>
      <c r="R53" s="47">
        <v>0.375</v>
      </c>
      <c r="S53" s="441" t="s">
        <v>246</v>
      </c>
      <c r="T53" s="319">
        <v>8</v>
      </c>
      <c r="U53" s="320"/>
      <c r="W53" s="47">
        <v>0.375</v>
      </c>
      <c r="X53" s="441" t="s">
        <v>246</v>
      </c>
      <c r="Y53" s="319">
        <v>8</v>
      </c>
      <c r="Z53" s="320"/>
      <c r="AA53" s="328">
        <f t="shared" si="10"/>
        <v>37</v>
      </c>
      <c r="AB53" s="298">
        <f t="shared" si="11"/>
        <v>0</v>
      </c>
      <c r="AC53" s="4"/>
      <c r="AD53" s="47">
        <v>0.375</v>
      </c>
      <c r="AE53" s="47">
        <v>0.20833333333333334</v>
      </c>
      <c r="AF53" s="319">
        <v>7</v>
      </c>
      <c r="AG53" s="29">
        <f t="shared" ref="AG53" si="14">AF53</f>
        <v>7</v>
      </c>
    </row>
    <row r="54" spans="1:42" outlineLevel="1">
      <c r="A54" s="180"/>
      <c r="B54" s="318" t="s">
        <v>52</v>
      </c>
      <c r="C54" s="47">
        <v>0.375</v>
      </c>
      <c r="D54" s="47">
        <v>0.20833333333333334</v>
      </c>
      <c r="E54" s="319">
        <v>7</v>
      </c>
      <c r="F54" s="320"/>
      <c r="G54" s="4"/>
      <c r="H54" s="47">
        <v>0.375</v>
      </c>
      <c r="I54" s="47">
        <v>0.20833333333333334</v>
      </c>
      <c r="J54" s="319">
        <v>7</v>
      </c>
      <c r="K54" s="320"/>
      <c r="L54" s="4"/>
      <c r="M54" s="47">
        <v>0.375</v>
      </c>
      <c r="N54" s="47">
        <v>0.20833333333333334</v>
      </c>
      <c r="O54" s="319">
        <v>7</v>
      </c>
      <c r="P54" s="320"/>
      <c r="R54" s="47">
        <v>0.36458333333333331</v>
      </c>
      <c r="S54" s="441" t="s">
        <v>246</v>
      </c>
      <c r="T54" s="319">
        <v>8</v>
      </c>
      <c r="U54" s="320"/>
      <c r="W54" s="47">
        <v>0.375</v>
      </c>
      <c r="X54" s="441" t="s">
        <v>246</v>
      </c>
      <c r="Y54" s="319">
        <v>8</v>
      </c>
      <c r="Z54" s="320"/>
      <c r="AA54" s="328">
        <f t="shared" si="10"/>
        <v>37</v>
      </c>
      <c r="AB54" s="298">
        <f>Z54+U54+P54+K54+F52</f>
        <v>0</v>
      </c>
      <c r="AC54" s="4"/>
      <c r="AD54" s="47">
        <v>0.375</v>
      </c>
      <c r="AE54" s="47">
        <v>0.20833333333333334</v>
      </c>
      <c r="AF54" s="319">
        <v>7</v>
      </c>
      <c r="AG54" s="29">
        <f t="shared" ref="AG54:AG65" si="15">AF54</f>
        <v>7</v>
      </c>
    </row>
    <row r="55" spans="1:42" outlineLevel="1">
      <c r="A55" s="180"/>
      <c r="B55" s="457" t="s">
        <v>96</v>
      </c>
      <c r="C55" s="441" t="s">
        <v>154</v>
      </c>
      <c r="D55" s="441" t="s">
        <v>154</v>
      </c>
      <c r="E55" s="319">
        <v>0</v>
      </c>
      <c r="F55" s="320"/>
      <c r="G55" s="4"/>
      <c r="H55" s="441" t="s">
        <v>154</v>
      </c>
      <c r="I55" s="441" t="s">
        <v>154</v>
      </c>
      <c r="J55" s="319">
        <v>0</v>
      </c>
      <c r="K55" s="320"/>
      <c r="L55" s="4"/>
      <c r="M55" s="441" t="s">
        <v>154</v>
      </c>
      <c r="N55" s="441" t="s">
        <v>154</v>
      </c>
      <c r="O55" s="319">
        <v>0</v>
      </c>
      <c r="P55" s="320"/>
      <c r="R55" s="441" t="s">
        <v>154</v>
      </c>
      <c r="S55" s="441" t="s">
        <v>154</v>
      </c>
      <c r="T55" s="319">
        <v>0</v>
      </c>
      <c r="U55" s="320"/>
      <c r="W55" s="47">
        <v>0.35416666666666669</v>
      </c>
      <c r="X55" s="441" t="s">
        <v>246</v>
      </c>
      <c r="Y55" s="319">
        <v>8</v>
      </c>
      <c r="Z55" s="320"/>
      <c r="AA55" s="328">
        <f t="shared" si="10"/>
        <v>8</v>
      </c>
      <c r="AB55" s="298">
        <f>Z55+U55+P55+K55+F53</f>
        <v>0</v>
      </c>
      <c r="AC55" s="4"/>
      <c r="AD55" s="47" t="s">
        <v>29</v>
      </c>
      <c r="AE55" s="47" t="s">
        <v>29</v>
      </c>
      <c r="AF55" s="319">
        <v>0</v>
      </c>
      <c r="AG55" s="29">
        <f>AF55</f>
        <v>0</v>
      </c>
    </row>
    <row r="56" spans="1:42" outlineLevel="1">
      <c r="A56" s="180"/>
      <c r="B56" s="457" t="s">
        <v>42</v>
      </c>
      <c r="C56" s="441" t="s">
        <v>154</v>
      </c>
      <c r="D56" s="441" t="s">
        <v>154</v>
      </c>
      <c r="E56" s="319">
        <v>0</v>
      </c>
      <c r="F56" s="320"/>
      <c r="G56" s="4"/>
      <c r="H56" s="441" t="s">
        <v>154</v>
      </c>
      <c r="I56" s="441" t="s">
        <v>154</v>
      </c>
      <c r="J56" s="319">
        <v>0</v>
      </c>
      <c r="K56" s="320"/>
      <c r="L56" s="4"/>
      <c r="M56" s="441" t="s">
        <v>154</v>
      </c>
      <c r="N56" s="441" t="s">
        <v>154</v>
      </c>
      <c r="O56" s="319">
        <v>0</v>
      </c>
      <c r="P56" s="320"/>
      <c r="R56" s="47">
        <v>0.375</v>
      </c>
      <c r="S56" s="441" t="s">
        <v>246</v>
      </c>
      <c r="T56" s="319">
        <v>8</v>
      </c>
      <c r="U56" s="320"/>
      <c r="W56" s="47">
        <v>0.35416666666666669</v>
      </c>
      <c r="X56" s="441" t="s">
        <v>246</v>
      </c>
      <c r="Y56" s="319">
        <v>8</v>
      </c>
      <c r="Z56" s="320"/>
      <c r="AA56" s="328">
        <f t="shared" si="10"/>
        <v>16</v>
      </c>
      <c r="AB56" s="298">
        <f>Z56+U56+P56+K56+F54</f>
        <v>0</v>
      </c>
      <c r="AC56" s="4"/>
      <c r="AD56" s="47" t="s">
        <v>29</v>
      </c>
      <c r="AE56" s="47" t="s">
        <v>29</v>
      </c>
      <c r="AF56" s="319">
        <v>0</v>
      </c>
      <c r="AG56" s="29">
        <f>AF56</f>
        <v>0</v>
      </c>
    </row>
    <row r="57" spans="1:42" outlineLevel="1">
      <c r="A57" s="180"/>
      <c r="B57" s="457" t="s">
        <v>234</v>
      </c>
      <c r="C57" s="441" t="s">
        <v>154</v>
      </c>
      <c r="D57" s="441" t="s">
        <v>154</v>
      </c>
      <c r="E57" s="319">
        <v>0</v>
      </c>
      <c r="F57" s="320"/>
      <c r="G57" s="4"/>
      <c r="H57" s="441" t="s">
        <v>154</v>
      </c>
      <c r="I57" s="441" t="s">
        <v>154</v>
      </c>
      <c r="J57" s="319">
        <v>0</v>
      </c>
      <c r="K57" s="320"/>
      <c r="L57" s="4"/>
      <c r="M57" s="441" t="s">
        <v>154</v>
      </c>
      <c r="N57" s="441" t="s">
        <v>154</v>
      </c>
      <c r="O57" s="319">
        <v>0</v>
      </c>
      <c r="P57" s="320"/>
      <c r="R57" s="47">
        <v>0.39583333333333331</v>
      </c>
      <c r="S57" s="441" t="s">
        <v>246</v>
      </c>
      <c r="T57" s="319">
        <v>7.5</v>
      </c>
      <c r="U57" s="320"/>
      <c r="W57" s="47">
        <v>0.375</v>
      </c>
      <c r="X57" s="441" t="s">
        <v>246</v>
      </c>
      <c r="Y57" s="319">
        <v>8</v>
      </c>
      <c r="Z57" s="320"/>
      <c r="AA57" s="328">
        <f t="shared" si="10"/>
        <v>15.5</v>
      </c>
      <c r="AB57" s="298">
        <f>Z57+U57+P57+K57+F55</f>
        <v>0</v>
      </c>
      <c r="AC57" s="4"/>
      <c r="AD57" s="47" t="s">
        <v>29</v>
      </c>
      <c r="AE57" s="47" t="s">
        <v>29</v>
      </c>
      <c r="AF57" s="319">
        <v>0</v>
      </c>
      <c r="AG57" s="29">
        <f>AF57</f>
        <v>0</v>
      </c>
    </row>
    <row r="58" spans="1:42" outlineLevel="1">
      <c r="A58" s="180"/>
      <c r="B58" s="318" t="s">
        <v>53</v>
      </c>
      <c r="C58" s="441" t="s">
        <v>154</v>
      </c>
      <c r="D58" s="441" t="s">
        <v>154</v>
      </c>
      <c r="E58" s="319">
        <v>0</v>
      </c>
      <c r="F58" s="320"/>
      <c r="G58" s="4"/>
      <c r="H58" s="441" t="s">
        <v>154</v>
      </c>
      <c r="I58" s="441" t="s">
        <v>154</v>
      </c>
      <c r="J58" s="319">
        <v>0</v>
      </c>
      <c r="K58" s="320"/>
      <c r="L58" s="4"/>
      <c r="M58" s="441" t="s">
        <v>154</v>
      </c>
      <c r="N58" s="441" t="s">
        <v>154</v>
      </c>
      <c r="O58" s="319">
        <v>0</v>
      </c>
      <c r="P58" s="320"/>
      <c r="R58" s="47">
        <v>0.375</v>
      </c>
      <c r="S58" s="47">
        <v>0.25</v>
      </c>
      <c r="T58" s="319">
        <v>8</v>
      </c>
      <c r="U58" s="320"/>
      <c r="W58" s="47">
        <v>0</v>
      </c>
      <c r="X58" s="47">
        <v>0</v>
      </c>
      <c r="Y58" s="319">
        <v>0</v>
      </c>
      <c r="Z58" s="320"/>
      <c r="AA58" s="328">
        <f t="shared" si="10"/>
        <v>8</v>
      </c>
      <c r="AB58" s="298">
        <f>Z58+U58+P58+K58+F56</f>
        <v>0</v>
      </c>
      <c r="AC58" s="4"/>
      <c r="AD58" s="47" t="s">
        <v>29</v>
      </c>
      <c r="AE58" s="47" t="s">
        <v>29</v>
      </c>
      <c r="AF58" s="319">
        <v>0</v>
      </c>
      <c r="AG58" s="29">
        <f>AF58</f>
        <v>0</v>
      </c>
    </row>
    <row r="59" spans="1:42" outlineLevel="1">
      <c r="A59" s="180"/>
      <c r="B59" s="459" t="s">
        <v>340</v>
      </c>
      <c r="C59" s="441" t="s">
        <v>154</v>
      </c>
      <c r="D59" s="441" t="s">
        <v>154</v>
      </c>
      <c r="E59" s="319">
        <v>0</v>
      </c>
      <c r="F59" s="320"/>
      <c r="G59" s="4"/>
      <c r="H59" s="441" t="s">
        <v>154</v>
      </c>
      <c r="I59" s="441" t="s">
        <v>154</v>
      </c>
      <c r="J59" s="319">
        <v>0</v>
      </c>
      <c r="K59" s="320"/>
      <c r="L59" s="4"/>
      <c r="M59" s="47">
        <v>0.47916666666666669</v>
      </c>
      <c r="N59" s="47">
        <v>0.125</v>
      </c>
      <c r="O59" s="319">
        <v>4</v>
      </c>
      <c r="P59" s="320"/>
      <c r="R59" s="441" t="s">
        <v>154</v>
      </c>
      <c r="S59" s="441" t="s">
        <v>154</v>
      </c>
      <c r="T59" s="319">
        <v>0</v>
      </c>
      <c r="U59" s="320"/>
      <c r="W59" s="47">
        <v>0.48958333333333331</v>
      </c>
      <c r="X59" s="47">
        <v>0.10416666666666667</v>
      </c>
      <c r="Y59" s="319">
        <v>4</v>
      </c>
      <c r="Z59" s="320"/>
      <c r="AA59" s="328">
        <f t="shared" si="10"/>
        <v>8</v>
      </c>
      <c r="AB59" s="298">
        <f>Z59+U59+P59+K59+F52</f>
        <v>0</v>
      </c>
      <c r="AC59" s="4"/>
      <c r="AD59" s="47" t="s">
        <v>29</v>
      </c>
      <c r="AE59" s="47" t="s">
        <v>29</v>
      </c>
      <c r="AF59" s="319">
        <v>0</v>
      </c>
      <c r="AG59" s="29">
        <f t="shared" si="15"/>
        <v>0</v>
      </c>
    </row>
    <row r="60" spans="1:42" outlineLevel="1">
      <c r="A60" s="180"/>
      <c r="B60" s="459" t="s">
        <v>341</v>
      </c>
      <c r="C60" s="441" t="s">
        <v>154</v>
      </c>
      <c r="D60" s="441" t="s">
        <v>154</v>
      </c>
      <c r="E60" s="319">
        <v>0</v>
      </c>
      <c r="F60" s="320"/>
      <c r="G60" s="4"/>
      <c r="H60" s="441" t="s">
        <v>154</v>
      </c>
      <c r="I60" s="441" t="s">
        <v>154</v>
      </c>
      <c r="J60" s="319">
        <v>0</v>
      </c>
      <c r="K60" s="320"/>
      <c r="L60" s="4"/>
      <c r="M60" s="47">
        <v>0.48958333333333331</v>
      </c>
      <c r="N60" s="47">
        <v>0.125</v>
      </c>
      <c r="O60" s="319">
        <v>4</v>
      </c>
      <c r="P60" s="320"/>
      <c r="R60" s="47">
        <v>0.48958333333333331</v>
      </c>
      <c r="S60" s="47">
        <v>0.14930555555555555</v>
      </c>
      <c r="T60" s="319">
        <v>5</v>
      </c>
      <c r="U60" s="320"/>
      <c r="W60" s="47">
        <v>0</v>
      </c>
      <c r="X60" s="47">
        <v>0</v>
      </c>
      <c r="Y60" s="319">
        <v>0</v>
      </c>
      <c r="Z60" s="320"/>
      <c r="AA60" s="328">
        <f t="shared" si="10"/>
        <v>9</v>
      </c>
      <c r="AB60" s="298">
        <f>Z60+U60+P60+K60+F53</f>
        <v>0</v>
      </c>
      <c r="AC60" s="4"/>
      <c r="AD60" s="47" t="s">
        <v>29</v>
      </c>
      <c r="AE60" s="47" t="s">
        <v>29</v>
      </c>
      <c r="AF60" s="319">
        <v>0</v>
      </c>
      <c r="AG60" s="29">
        <f t="shared" ref="AG60:AG62" si="16">AF60</f>
        <v>0</v>
      </c>
    </row>
    <row r="61" spans="1:42" outlineLevel="1">
      <c r="A61" s="180"/>
      <c r="B61" s="459" t="s">
        <v>342</v>
      </c>
      <c r="C61" s="441" t="s">
        <v>154</v>
      </c>
      <c r="D61" s="441" t="s">
        <v>154</v>
      </c>
      <c r="E61" s="319">
        <v>0</v>
      </c>
      <c r="F61" s="320"/>
      <c r="G61" s="4"/>
      <c r="H61" s="441" t="s">
        <v>154</v>
      </c>
      <c r="I61" s="441" t="s">
        <v>154</v>
      </c>
      <c r="J61" s="319">
        <v>0</v>
      </c>
      <c r="K61" s="320"/>
      <c r="L61" s="4"/>
      <c r="M61" s="441" t="s">
        <v>154</v>
      </c>
      <c r="N61" s="441" t="s">
        <v>154</v>
      </c>
      <c r="O61" s="319">
        <v>0</v>
      </c>
      <c r="P61" s="320"/>
      <c r="R61" s="441" t="s">
        <v>154</v>
      </c>
      <c r="S61" s="441" t="s">
        <v>154</v>
      </c>
      <c r="T61" s="319">
        <v>0</v>
      </c>
      <c r="U61" s="320"/>
      <c r="W61" s="47">
        <v>0.48958333333333331</v>
      </c>
      <c r="X61" s="47">
        <v>0.10416666666666667</v>
      </c>
      <c r="Y61" s="319">
        <v>4</v>
      </c>
      <c r="Z61" s="320"/>
      <c r="AA61" s="328">
        <f t="shared" si="10"/>
        <v>4</v>
      </c>
      <c r="AB61" s="298">
        <f>Z61+U61+P61+K61+F54</f>
        <v>0</v>
      </c>
      <c r="AC61" s="4"/>
      <c r="AD61" s="47" t="s">
        <v>29</v>
      </c>
      <c r="AE61" s="47" t="s">
        <v>29</v>
      </c>
      <c r="AF61" s="319">
        <v>0</v>
      </c>
      <c r="AG61" s="29">
        <f>AF61</f>
        <v>0</v>
      </c>
    </row>
    <row r="62" spans="1:42" outlineLevel="1">
      <c r="A62" s="180"/>
      <c r="B62" s="460" t="s">
        <v>343</v>
      </c>
      <c r="C62" s="441" t="s">
        <v>154</v>
      </c>
      <c r="D62" s="441" t="s">
        <v>154</v>
      </c>
      <c r="E62" s="319">
        <v>0</v>
      </c>
      <c r="F62" s="320"/>
      <c r="G62" s="4"/>
      <c r="H62" s="441" t="s">
        <v>154</v>
      </c>
      <c r="I62" s="441" t="s">
        <v>154</v>
      </c>
      <c r="J62" s="319">
        <v>0</v>
      </c>
      <c r="K62" s="320"/>
      <c r="L62" s="4"/>
      <c r="M62" s="441" t="s">
        <v>154</v>
      </c>
      <c r="N62" s="441" t="s">
        <v>154</v>
      </c>
      <c r="O62" s="319">
        <v>0</v>
      </c>
      <c r="P62" s="320"/>
      <c r="R62" s="441" t="s">
        <v>154</v>
      </c>
      <c r="S62" s="441" t="s">
        <v>154</v>
      </c>
      <c r="T62" s="319">
        <v>0</v>
      </c>
      <c r="U62" s="320"/>
      <c r="W62" s="441" t="s">
        <v>154</v>
      </c>
      <c r="X62" s="441" t="s">
        <v>154</v>
      </c>
      <c r="Y62" s="319">
        <v>0</v>
      </c>
      <c r="Z62" s="320"/>
      <c r="AA62" s="328">
        <f t="shared" si="10"/>
        <v>0</v>
      </c>
      <c r="AB62" s="298">
        <f>Z62+U62+P62+K62+F54</f>
        <v>0</v>
      </c>
      <c r="AC62" s="4"/>
      <c r="AD62" s="47">
        <v>0.375</v>
      </c>
      <c r="AE62" s="47">
        <v>0.20833333333333334</v>
      </c>
      <c r="AF62" s="319">
        <v>7</v>
      </c>
      <c r="AG62" s="29">
        <f t="shared" si="16"/>
        <v>7</v>
      </c>
    </row>
    <row r="63" spans="1:42" outlineLevel="1">
      <c r="A63" s="180"/>
      <c r="B63" s="460" t="s">
        <v>46</v>
      </c>
      <c r="C63" s="441" t="s">
        <v>154</v>
      </c>
      <c r="D63" s="441" t="s">
        <v>154</v>
      </c>
      <c r="E63" s="319">
        <v>0</v>
      </c>
      <c r="F63" s="320"/>
      <c r="G63" s="4"/>
      <c r="H63" s="441" t="s">
        <v>154</v>
      </c>
      <c r="I63" s="441" t="s">
        <v>154</v>
      </c>
      <c r="J63" s="319">
        <v>0</v>
      </c>
      <c r="K63" s="320"/>
      <c r="L63" s="4"/>
      <c r="M63" s="441" t="s">
        <v>154</v>
      </c>
      <c r="N63" s="441" t="s">
        <v>154</v>
      </c>
      <c r="O63" s="319">
        <v>0</v>
      </c>
      <c r="P63" s="320"/>
      <c r="R63" s="441" t="s">
        <v>154</v>
      </c>
      <c r="S63" s="441" t="s">
        <v>154</v>
      </c>
      <c r="T63" s="319">
        <v>0</v>
      </c>
      <c r="U63" s="320"/>
      <c r="W63" s="441" t="s">
        <v>154</v>
      </c>
      <c r="X63" s="441" t="s">
        <v>154</v>
      </c>
      <c r="Y63" s="319">
        <v>0</v>
      </c>
      <c r="Z63" s="320"/>
      <c r="AA63" s="328">
        <f t="shared" si="10"/>
        <v>0</v>
      </c>
      <c r="AB63" s="298">
        <f>Z63+U63+P63+K63+F59</f>
        <v>0</v>
      </c>
      <c r="AC63" s="4"/>
      <c r="AD63" s="47">
        <v>0.375</v>
      </c>
      <c r="AE63" s="47">
        <v>0.20833333333333334</v>
      </c>
      <c r="AF63" s="319">
        <v>7</v>
      </c>
      <c r="AG63" s="29">
        <f t="shared" ref="AG63" si="17">AF63</f>
        <v>7</v>
      </c>
    </row>
    <row r="64" spans="1:42" s="180" customFormat="1" outlineLevel="1">
      <c r="B64" s="63" t="s">
        <v>250</v>
      </c>
      <c r="C64" s="47" t="s">
        <v>29</v>
      </c>
      <c r="D64" s="47" t="s">
        <v>29</v>
      </c>
      <c r="E64" s="319">
        <v>8</v>
      </c>
      <c r="F64" s="320"/>
      <c r="G64" s="4"/>
      <c r="H64" s="47" t="s">
        <v>29</v>
      </c>
      <c r="I64" s="47" t="s">
        <v>29</v>
      </c>
      <c r="J64" s="319">
        <v>8</v>
      </c>
      <c r="K64" s="320"/>
      <c r="L64" s="4"/>
      <c r="M64" s="47" t="s">
        <v>29</v>
      </c>
      <c r="N64" s="47" t="s">
        <v>29</v>
      </c>
      <c r="O64" s="319">
        <v>8</v>
      </c>
      <c r="P64" s="320"/>
      <c r="Q64" s="4"/>
      <c r="R64" s="47" t="s">
        <v>29</v>
      </c>
      <c r="S64" s="47" t="s">
        <v>29</v>
      </c>
      <c r="T64" s="319">
        <v>8</v>
      </c>
      <c r="U64" s="320"/>
      <c r="V64" s="4"/>
      <c r="W64" s="47" t="s">
        <v>29</v>
      </c>
      <c r="X64" s="47" t="s">
        <v>29</v>
      </c>
      <c r="Y64" s="319">
        <v>8</v>
      </c>
      <c r="Z64" s="320"/>
      <c r="AA64" s="328">
        <f t="shared" si="10"/>
        <v>40</v>
      </c>
      <c r="AB64" s="298">
        <f t="shared" ref="AB64:AB65" si="18">Z64+U64+P64+K64+F64</f>
        <v>0</v>
      </c>
      <c r="AC64" s="4"/>
      <c r="AD64" s="47" t="s">
        <v>29</v>
      </c>
      <c r="AE64" s="47" t="s">
        <v>29</v>
      </c>
      <c r="AF64" s="319">
        <v>0</v>
      </c>
      <c r="AG64" s="29">
        <f t="shared" si="15"/>
        <v>0</v>
      </c>
      <c r="AH64" s="4"/>
      <c r="AI64" s="255"/>
      <c r="AK64" s="193"/>
      <c r="AL64" s="193"/>
      <c r="AM64" s="193"/>
      <c r="AN64" s="193"/>
      <c r="AO64" s="193"/>
      <c r="AP64" s="193"/>
    </row>
    <row r="65" spans="1:49" s="180" customFormat="1" outlineLevel="1">
      <c r="B65" s="63" t="s">
        <v>63</v>
      </c>
      <c r="C65" s="47" t="s">
        <v>29</v>
      </c>
      <c r="D65" s="47" t="s">
        <v>29</v>
      </c>
      <c r="E65" s="319">
        <v>4</v>
      </c>
      <c r="F65" s="320"/>
      <c r="G65" s="438"/>
      <c r="H65" s="47" t="s">
        <v>29</v>
      </c>
      <c r="I65" s="47" t="s">
        <v>29</v>
      </c>
      <c r="J65" s="319">
        <v>4</v>
      </c>
      <c r="K65" s="320"/>
      <c r="L65" s="438"/>
      <c r="M65" s="47" t="s">
        <v>29</v>
      </c>
      <c r="N65" s="47" t="s">
        <v>29</v>
      </c>
      <c r="O65" s="319">
        <v>4</v>
      </c>
      <c r="P65" s="320"/>
      <c r="Q65" s="438"/>
      <c r="R65" s="47" t="s">
        <v>29</v>
      </c>
      <c r="S65" s="47" t="s">
        <v>29</v>
      </c>
      <c r="T65" s="319">
        <v>4</v>
      </c>
      <c r="U65" s="320"/>
      <c r="V65" s="438"/>
      <c r="W65" s="47" t="s">
        <v>29</v>
      </c>
      <c r="X65" s="47" t="s">
        <v>29</v>
      </c>
      <c r="Y65" s="319">
        <v>4</v>
      </c>
      <c r="Z65" s="320"/>
      <c r="AA65" s="328">
        <f t="shared" si="10"/>
        <v>20</v>
      </c>
      <c r="AB65" s="298">
        <f t="shared" si="18"/>
        <v>0</v>
      </c>
      <c r="AC65" s="4"/>
      <c r="AD65" s="47" t="s">
        <v>29</v>
      </c>
      <c r="AE65" s="47" t="s">
        <v>29</v>
      </c>
      <c r="AF65" s="319">
        <v>0</v>
      </c>
      <c r="AG65" s="29">
        <f t="shared" si="15"/>
        <v>0</v>
      </c>
      <c r="AH65" s="4"/>
      <c r="AI65" s="255"/>
      <c r="AK65" s="407"/>
      <c r="AL65" s="193"/>
      <c r="AM65" s="193"/>
      <c r="AN65" s="193"/>
      <c r="AO65" s="193"/>
      <c r="AP65" s="193"/>
    </row>
    <row r="66" spans="1:49" s="180" customFormat="1" outlineLevel="1">
      <c r="B66" s="64" t="s">
        <v>61</v>
      </c>
      <c r="C66" s="31"/>
      <c r="D66" s="31"/>
      <c r="E66" s="445">
        <f>SUM(E42:E65)</f>
        <v>104.5</v>
      </c>
      <c r="F66" s="320">
        <f>SUM(F42:F54)</f>
        <v>0</v>
      </c>
      <c r="G66" s="31"/>
      <c r="H66" s="31"/>
      <c r="I66" s="31"/>
      <c r="J66" s="445">
        <f>SUM(J42:J65)</f>
        <v>97.5</v>
      </c>
      <c r="K66" s="446">
        <f>SUM(K42:K54)</f>
        <v>0</v>
      </c>
      <c r="L66" s="31"/>
      <c r="M66" s="31"/>
      <c r="N66" s="31"/>
      <c r="O66" s="439">
        <f>SUM(O42:O65)</f>
        <v>105</v>
      </c>
      <c r="P66" s="320">
        <f>SUM(P42:P64)</f>
        <v>0</v>
      </c>
      <c r="Q66" s="31"/>
      <c r="R66" s="31"/>
      <c r="S66" s="31"/>
      <c r="T66" s="445">
        <f>SUM(T42:T65)</f>
        <v>136.25</v>
      </c>
      <c r="U66" s="320">
        <f>SUM(U42:U64)</f>
        <v>0</v>
      </c>
      <c r="V66" s="31"/>
      <c r="W66" s="31"/>
      <c r="X66" s="31"/>
      <c r="Y66" s="439">
        <f>SUM(Y42:Y65)</f>
        <v>134</v>
      </c>
      <c r="Z66" s="320">
        <f>SUM(Z42:Z54)</f>
        <v>0</v>
      </c>
      <c r="AA66" s="370">
        <f>SUM(AA42:AA65)</f>
        <v>577.25</v>
      </c>
      <c r="AB66" s="370">
        <f>SUM(AB42:AB65)</f>
        <v>0</v>
      </c>
      <c r="AC66" s="4"/>
      <c r="AD66" s="64"/>
      <c r="AE66" s="64"/>
      <c r="AF66" s="167">
        <f>SUM(AF42:AF65)</f>
        <v>56</v>
      </c>
      <c r="AG66" s="370">
        <f>SUM(AG42:AG65)</f>
        <v>56</v>
      </c>
      <c r="AH66" s="4"/>
      <c r="AI66" s="255"/>
      <c r="AK66" s="193"/>
      <c r="AL66" s="193"/>
      <c r="AM66" s="193"/>
      <c r="AN66" s="193"/>
      <c r="AO66" s="193"/>
      <c r="AP66" s="193"/>
    </row>
    <row r="67" spans="1:49" s="180" customFormat="1" outlineLevel="1">
      <c r="B67" s="63" t="s">
        <v>64</v>
      </c>
      <c r="C67" s="47" t="s">
        <v>29</v>
      </c>
      <c r="D67" s="47" t="s">
        <v>29</v>
      </c>
      <c r="E67" s="319">
        <v>8</v>
      </c>
      <c r="F67" s="291">
        <v>0.5</v>
      </c>
      <c r="G67" s="60"/>
      <c r="H67" s="47" t="s">
        <v>29</v>
      </c>
      <c r="I67" s="47" t="s">
        <v>29</v>
      </c>
      <c r="J67" s="319">
        <v>7.5</v>
      </c>
      <c r="K67" s="291">
        <v>0.5</v>
      </c>
      <c r="L67" s="60"/>
      <c r="M67" s="47" t="s">
        <v>29</v>
      </c>
      <c r="N67" s="47" t="s">
        <v>29</v>
      </c>
      <c r="O67" s="319">
        <v>8</v>
      </c>
      <c r="P67" s="19">
        <v>0.75</v>
      </c>
      <c r="Q67" s="60"/>
      <c r="R67" s="47" t="s">
        <v>29</v>
      </c>
      <c r="S67" s="47" t="s">
        <v>29</v>
      </c>
      <c r="T67" s="319">
        <v>8</v>
      </c>
      <c r="U67" s="19">
        <v>1</v>
      </c>
      <c r="V67" s="60"/>
      <c r="W67" s="47" t="s">
        <v>29</v>
      </c>
      <c r="X67" s="47" t="s">
        <v>29</v>
      </c>
      <c r="Y67" s="319">
        <v>8</v>
      </c>
      <c r="Z67" s="19">
        <v>1</v>
      </c>
      <c r="AA67" s="28">
        <f>SUM(E67+J67+O67+T67+Y67)</f>
        <v>39.5</v>
      </c>
      <c r="AB67" s="296">
        <f>Z67+U67+P67+K67+F67</f>
        <v>3.75</v>
      </c>
      <c r="AC67" s="4"/>
      <c r="AD67" s="47" t="s">
        <v>29</v>
      </c>
      <c r="AE67" s="47" t="s">
        <v>29</v>
      </c>
      <c r="AF67" s="319">
        <v>4</v>
      </c>
      <c r="AG67" s="29">
        <f>AF67</f>
        <v>4</v>
      </c>
      <c r="AH67" s="4"/>
      <c r="AI67" s="255"/>
      <c r="AK67" s="193"/>
      <c r="AL67" s="193"/>
      <c r="AM67" s="193"/>
      <c r="AN67" s="193"/>
      <c r="AO67" s="193"/>
      <c r="AP67" s="193"/>
    </row>
    <row r="68" spans="1:49" s="180" customFormat="1" outlineLevel="1">
      <c r="B68" s="71" t="s">
        <v>66</v>
      </c>
      <c r="C68" s="371"/>
      <c r="D68" s="371"/>
      <c r="E68" s="71"/>
      <c r="F68" s="71"/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  <c r="AA68" s="370">
        <f>SUM(AA67:AA67)</f>
        <v>39.5</v>
      </c>
      <c r="AB68" s="370">
        <f>SUM(AB67:AB67)</f>
        <v>3.75</v>
      </c>
      <c r="AC68" s="4"/>
      <c r="AG68" s="370">
        <v>4</v>
      </c>
      <c r="AH68" s="4"/>
      <c r="AI68" s="255"/>
      <c r="AK68" s="193"/>
      <c r="AL68" s="193"/>
      <c r="AM68" s="193"/>
      <c r="AN68" s="193"/>
      <c r="AO68" s="193"/>
      <c r="AP68" s="193"/>
    </row>
    <row r="69" spans="1:49" s="180" customFormat="1" outlineLevel="1">
      <c r="B69" s="217" t="s">
        <v>67</v>
      </c>
      <c r="C69" s="207">
        <f>C70+C71</f>
        <v>83</v>
      </c>
      <c r="D69" s="207"/>
      <c r="E69" s="209"/>
      <c r="F69" s="209"/>
      <c r="G69" s="207"/>
      <c r="H69" s="209"/>
      <c r="I69" s="209"/>
      <c r="J69" s="209"/>
      <c r="K69" s="209"/>
      <c r="L69" s="207"/>
      <c r="M69" s="207"/>
      <c r="N69" s="207"/>
      <c r="O69" s="207"/>
      <c r="P69" s="209"/>
      <c r="Q69" s="207"/>
      <c r="R69" s="207"/>
      <c r="S69" s="207"/>
      <c r="T69" s="207"/>
      <c r="U69" s="209"/>
      <c r="V69" s="207"/>
      <c r="W69" s="207"/>
      <c r="X69" s="207"/>
      <c r="Y69" s="210"/>
      <c r="Z69" s="209"/>
      <c r="AA69" s="211"/>
      <c r="AB69" s="209"/>
      <c r="AC69" s="211"/>
      <c r="AD69" s="211"/>
      <c r="AE69" s="211"/>
      <c r="AF69" s="211"/>
      <c r="AG69" s="211"/>
      <c r="AH69" s="4"/>
      <c r="AI69" s="255"/>
      <c r="AK69" s="193"/>
      <c r="AL69" s="193"/>
      <c r="AM69" s="193"/>
      <c r="AN69" s="193"/>
      <c r="AO69" s="193"/>
      <c r="AP69" s="193"/>
    </row>
    <row r="70" spans="1:49" s="180" customFormat="1" outlineLevel="1">
      <c r="B70" s="238" t="s">
        <v>68</v>
      </c>
      <c r="C70" s="239">
        <f>14+13+15+16+17+8</f>
        <v>83</v>
      </c>
      <c r="D70" s="207"/>
      <c r="E70" s="209"/>
      <c r="F70" s="209"/>
      <c r="G70" s="207"/>
      <c r="H70" s="209"/>
      <c r="I70" s="209"/>
      <c r="J70" s="209"/>
      <c r="K70" s="209"/>
      <c r="L70" s="207"/>
      <c r="M70" s="207"/>
      <c r="N70" s="207"/>
      <c r="O70" s="207"/>
      <c r="P70" s="209"/>
      <c r="Q70" s="207"/>
      <c r="R70" s="207"/>
      <c r="S70" s="207"/>
      <c r="T70" s="207"/>
      <c r="U70" s="209"/>
      <c r="V70" s="207"/>
      <c r="W70" s="207"/>
      <c r="X70" s="207"/>
      <c r="Y70" s="210"/>
      <c r="Z70" s="209"/>
      <c r="AA70" s="211"/>
      <c r="AB70" s="209"/>
      <c r="AC70" s="211"/>
      <c r="AD70" s="211"/>
      <c r="AE70" s="211"/>
      <c r="AF70" s="211"/>
      <c r="AG70" s="211"/>
      <c r="AH70" s="4"/>
      <c r="AI70" s="255"/>
      <c r="AK70" s="193"/>
      <c r="AL70" s="193"/>
      <c r="AM70" s="193"/>
      <c r="AN70" s="193"/>
      <c r="AO70" s="193"/>
      <c r="AP70" s="193"/>
    </row>
    <row r="71" spans="1:49" s="180" customFormat="1" outlineLevel="1">
      <c r="B71" s="238" t="s">
        <v>69</v>
      </c>
      <c r="C71" s="239"/>
      <c r="D71" s="207"/>
      <c r="E71" s="209"/>
      <c r="F71" s="209"/>
      <c r="G71" s="207"/>
      <c r="H71" s="209"/>
      <c r="I71" s="209"/>
      <c r="J71" s="209"/>
      <c r="K71" s="209"/>
      <c r="L71" s="207"/>
      <c r="M71" s="207"/>
      <c r="N71" s="207"/>
      <c r="O71" s="207"/>
      <c r="P71" s="209"/>
      <c r="Q71" s="207"/>
      <c r="R71" s="207"/>
      <c r="S71" s="207"/>
      <c r="T71" s="207"/>
      <c r="U71" s="209"/>
      <c r="V71" s="207"/>
      <c r="W71" s="207"/>
      <c r="X71" s="207"/>
      <c r="Y71" s="210"/>
      <c r="Z71" s="209"/>
      <c r="AA71" s="211"/>
      <c r="AB71" s="209"/>
      <c r="AC71" s="211"/>
      <c r="AD71" s="211"/>
      <c r="AE71" s="211"/>
      <c r="AF71" s="211"/>
      <c r="AG71" s="211"/>
      <c r="AH71" s="4"/>
      <c r="AI71" s="255"/>
      <c r="AK71" s="193"/>
      <c r="AL71" s="193"/>
      <c r="AM71" s="193"/>
      <c r="AN71" s="193"/>
      <c r="AO71" s="193"/>
      <c r="AP71" s="193"/>
    </row>
    <row r="72" spans="1:49" s="180" customFormat="1" outlineLevel="1">
      <c r="A72" s="313"/>
      <c r="E72" s="4"/>
      <c r="F72" s="4"/>
      <c r="G72" s="4"/>
      <c r="J72" s="4"/>
      <c r="K72" s="4"/>
      <c r="L72" s="4"/>
      <c r="O72" s="4"/>
      <c r="P72" s="4"/>
      <c r="Q72" s="4"/>
      <c r="T72" s="4"/>
      <c r="U72" s="4"/>
      <c r="V72" s="4"/>
      <c r="Y72" s="4"/>
      <c r="Z72" s="4"/>
      <c r="AA72" s="4"/>
      <c r="AB72" s="4"/>
      <c r="AC72" s="4"/>
      <c r="AH72" s="4"/>
      <c r="AI72" s="255"/>
    </row>
    <row r="73" spans="1:49" s="180" customFormat="1" ht="13.5" customHeight="1">
      <c r="B73" s="229"/>
      <c r="C73" s="230"/>
      <c r="D73" s="230"/>
      <c r="E73" s="232"/>
      <c r="F73" s="232"/>
      <c r="G73" s="230"/>
      <c r="H73" s="232"/>
      <c r="I73" s="232"/>
      <c r="J73" s="232"/>
      <c r="K73" s="232"/>
      <c r="L73" s="230"/>
      <c r="M73" s="230"/>
      <c r="N73" s="230"/>
      <c r="O73" s="230"/>
      <c r="P73" s="232"/>
      <c r="Q73" s="230"/>
      <c r="R73" s="230"/>
      <c r="S73" s="230"/>
      <c r="T73" s="230"/>
      <c r="U73" s="232"/>
      <c r="V73" s="230"/>
      <c r="W73" s="230"/>
      <c r="X73" s="230"/>
      <c r="Y73" s="233"/>
      <c r="Z73" s="232"/>
      <c r="AA73" s="234"/>
      <c r="AB73" s="232"/>
      <c r="AC73" s="373"/>
      <c r="AD73" s="236"/>
      <c r="AE73" s="255"/>
      <c r="AF73" s="255"/>
      <c r="AG73" s="255"/>
      <c r="AH73" s="255"/>
      <c r="AI73" s="255"/>
      <c r="AJ73" s="255"/>
      <c r="AK73" s="255"/>
      <c r="AL73" s="255"/>
      <c r="AM73" s="255"/>
      <c r="AN73" s="255"/>
      <c r="AO73" s="255"/>
      <c r="AP73" s="255"/>
      <c r="AQ73" s="255"/>
      <c r="AR73" s="255"/>
      <c r="AS73" s="255"/>
      <c r="AT73" s="255"/>
      <c r="AU73" s="255"/>
      <c r="AV73" s="255"/>
      <c r="AW73" s="255"/>
    </row>
    <row r="74" spans="1:49" ht="11.1" customHeight="1" outlineLevel="1">
      <c r="B74" s="180"/>
      <c r="E74" s="4"/>
      <c r="F74" s="4"/>
      <c r="G74" s="4"/>
      <c r="J74" s="4"/>
      <c r="K74" s="4"/>
      <c r="L74" s="4"/>
      <c r="O74" s="4"/>
      <c r="P74" s="4"/>
      <c r="T74" s="4"/>
      <c r="U74" s="4"/>
      <c r="Y74" s="4"/>
      <c r="Z74" s="4"/>
      <c r="AA74" s="4"/>
      <c r="AB74" s="4"/>
      <c r="AC74" s="4"/>
      <c r="AK74" s="180"/>
      <c r="AL74" s="180"/>
      <c r="AM74" s="180"/>
      <c r="AN74" s="180"/>
      <c r="AO74" s="180"/>
      <c r="AP74" s="180"/>
    </row>
    <row r="75" spans="1:49" ht="13.5" customHeight="1" outlineLevel="1">
      <c r="A75" s="228"/>
      <c r="B75" s="1518" t="s">
        <v>18</v>
      </c>
      <c r="C75" s="1519">
        <v>45383</v>
      </c>
      <c r="D75" s="1519"/>
      <c r="E75" s="1519"/>
      <c r="F75" s="1519"/>
      <c r="G75" s="365"/>
      <c r="H75" s="1519">
        <v>45384</v>
      </c>
      <c r="I75" s="1519"/>
      <c r="J75" s="1519"/>
      <c r="K75" s="1519"/>
      <c r="L75" s="365">
        <v>45343</v>
      </c>
      <c r="M75" s="1519">
        <v>45385</v>
      </c>
      <c r="N75" s="1519"/>
      <c r="O75" s="1519"/>
      <c r="P75" s="1519"/>
      <c r="Q75" s="365"/>
      <c r="R75" s="1519">
        <v>45386</v>
      </c>
      <c r="S75" s="1519"/>
      <c r="T75" s="1519"/>
      <c r="U75" s="1519"/>
      <c r="V75" s="365"/>
      <c r="W75" s="1519">
        <v>45387</v>
      </c>
      <c r="X75" s="1519"/>
      <c r="Y75" s="1519"/>
      <c r="Z75" s="1519"/>
      <c r="AA75" s="1517" t="s">
        <v>19</v>
      </c>
      <c r="AB75" s="1517" t="s">
        <v>20</v>
      </c>
      <c r="AC75" s="4"/>
      <c r="AD75" s="1519">
        <v>45388</v>
      </c>
      <c r="AE75" s="1519"/>
      <c r="AF75" s="1519"/>
      <c r="AG75" s="1517" t="s">
        <v>21</v>
      </c>
      <c r="AI75" s="368"/>
      <c r="AK75" s="194" t="s">
        <v>84</v>
      </c>
      <c r="AL75" s="366"/>
      <c r="AM75" s="366"/>
      <c r="AN75" s="366"/>
      <c r="AO75" s="366"/>
      <c r="AP75" s="366"/>
    </row>
    <row r="76" spans="1:49" outlineLevel="1">
      <c r="A76" s="180"/>
      <c r="B76" s="1518"/>
      <c r="C76" s="21" t="s">
        <v>23</v>
      </c>
      <c r="D76" s="21" t="s">
        <v>24</v>
      </c>
      <c r="E76" s="205" t="s">
        <v>25</v>
      </c>
      <c r="F76" s="18" t="s">
        <v>14</v>
      </c>
      <c r="G76" s="4"/>
      <c r="H76" s="21" t="s">
        <v>23</v>
      </c>
      <c r="I76" s="21" t="s">
        <v>24</v>
      </c>
      <c r="J76" s="18" t="s">
        <v>25</v>
      </c>
      <c r="K76" s="18" t="s">
        <v>14</v>
      </c>
      <c r="L76" s="4"/>
      <c r="M76" s="21" t="s">
        <v>23</v>
      </c>
      <c r="N76" s="21" t="s">
        <v>24</v>
      </c>
      <c r="O76" s="18" t="s">
        <v>25</v>
      </c>
      <c r="P76" s="18" t="s">
        <v>14</v>
      </c>
      <c r="R76" s="21" t="s">
        <v>23</v>
      </c>
      <c r="S76" s="21" t="s">
        <v>24</v>
      </c>
      <c r="T76" s="18" t="s">
        <v>25</v>
      </c>
      <c r="U76" s="18" t="s">
        <v>14</v>
      </c>
      <c r="W76" s="21" t="s">
        <v>23</v>
      </c>
      <c r="X76" s="21" t="s">
        <v>24</v>
      </c>
      <c r="Y76" s="18" t="s">
        <v>25</v>
      </c>
      <c r="Z76" s="18" t="s">
        <v>14</v>
      </c>
      <c r="AA76" s="1517"/>
      <c r="AB76" s="1517"/>
      <c r="AC76" s="4"/>
      <c r="AD76" s="21" t="s">
        <v>23</v>
      </c>
      <c r="AE76" s="21" t="s">
        <v>24</v>
      </c>
      <c r="AF76" s="18" t="s">
        <v>25</v>
      </c>
      <c r="AG76" s="1517"/>
      <c r="AI76" s="368"/>
      <c r="AJ76" s="367"/>
      <c r="AK76" s="188" t="s">
        <v>26</v>
      </c>
      <c r="AL76" s="471">
        <f>AA100</f>
        <v>633.5</v>
      </c>
      <c r="AM76" s="510">
        <v>38</v>
      </c>
      <c r="AN76" s="510">
        <f t="shared" ref="AN76:AN82" si="19">AL76*AM76</f>
        <v>24073</v>
      </c>
      <c r="AQ76" s="367"/>
      <c r="AR76" s="367"/>
      <c r="AS76" s="367"/>
      <c r="AT76" s="367"/>
      <c r="AU76" s="367"/>
      <c r="AV76" s="367"/>
      <c r="AW76" s="367"/>
    </row>
    <row r="77" spans="1:49" ht="13.5" customHeight="1" outlineLevel="1">
      <c r="A77" s="180"/>
      <c r="B77" s="318" t="s">
        <v>332</v>
      </c>
      <c r="C77" s="47">
        <v>0.35416666666666669</v>
      </c>
      <c r="D77" s="47">
        <v>0.25</v>
      </c>
      <c r="E77" s="319">
        <v>8</v>
      </c>
      <c r="F77" s="320"/>
      <c r="G77" s="4"/>
      <c r="H77" s="47">
        <v>0.35416666666666669</v>
      </c>
      <c r="I77" s="47">
        <v>0.25</v>
      </c>
      <c r="J77" s="319">
        <v>8</v>
      </c>
      <c r="K77" s="320"/>
      <c r="L77" s="4"/>
      <c r="M77" s="47">
        <v>0.375</v>
      </c>
      <c r="N77" s="47">
        <v>0.25</v>
      </c>
      <c r="O77" s="319">
        <v>8</v>
      </c>
      <c r="P77" s="320"/>
      <c r="R77" s="441" t="s">
        <v>75</v>
      </c>
      <c r="S77" s="441" t="s">
        <v>246</v>
      </c>
      <c r="T77" s="319">
        <v>8</v>
      </c>
      <c r="U77" s="320"/>
      <c r="W77" s="441" t="s">
        <v>75</v>
      </c>
      <c r="X77" s="441" t="s">
        <v>246</v>
      </c>
      <c r="Y77" s="319">
        <v>8</v>
      </c>
      <c r="Z77" s="320"/>
      <c r="AA77" s="328">
        <f t="shared" ref="AA77:AA99" si="20">(E77+J77+O77+T77+Y77)</f>
        <v>40</v>
      </c>
      <c r="AB77" s="298">
        <f t="shared" ref="AB77:AB87" si="21">Z77+U77+P77+K77+F77</f>
        <v>0</v>
      </c>
      <c r="AC77" s="4"/>
      <c r="AD77" s="47" t="s">
        <v>29</v>
      </c>
      <c r="AE77" s="47" t="s">
        <v>29</v>
      </c>
      <c r="AF77" s="319">
        <v>0</v>
      </c>
      <c r="AG77" s="328">
        <f t="shared" ref="AG77:AG99" si="22">AF77</f>
        <v>0</v>
      </c>
      <c r="AI77" s="368"/>
      <c r="AJ77" s="367"/>
      <c r="AK77" s="188" t="s">
        <v>30</v>
      </c>
      <c r="AL77" s="471">
        <f>$AB$31</f>
        <v>0</v>
      </c>
      <c r="AM77" s="511">
        <v>57</v>
      </c>
      <c r="AN77" s="510">
        <f t="shared" si="19"/>
        <v>0</v>
      </c>
      <c r="AQ77" s="367"/>
      <c r="AR77" s="367"/>
      <c r="AS77" s="367"/>
      <c r="AT77" s="367"/>
      <c r="AU77" s="367"/>
      <c r="AV77" s="367"/>
      <c r="AW77" s="367"/>
    </row>
    <row r="78" spans="1:49" outlineLevel="1">
      <c r="A78" s="367"/>
      <c r="B78" s="318" t="s">
        <v>334</v>
      </c>
      <c r="C78" s="47">
        <v>0.36458333333333331</v>
      </c>
      <c r="D78" s="47">
        <v>0.25</v>
      </c>
      <c r="E78" s="319">
        <v>8</v>
      </c>
      <c r="F78" s="320"/>
      <c r="G78" s="4"/>
      <c r="H78" s="47">
        <v>0.51041666666666663</v>
      </c>
      <c r="I78" s="47">
        <v>0.25</v>
      </c>
      <c r="J78" s="319">
        <v>5.75</v>
      </c>
      <c r="K78" s="320"/>
      <c r="L78" s="4"/>
      <c r="M78" s="47">
        <v>0.375</v>
      </c>
      <c r="N78" s="47">
        <v>0.25</v>
      </c>
      <c r="O78" s="319">
        <v>8</v>
      </c>
      <c r="P78" s="320"/>
      <c r="R78" s="441" t="s">
        <v>74</v>
      </c>
      <c r="S78" s="441" t="s">
        <v>246</v>
      </c>
      <c r="T78" s="319">
        <v>8</v>
      </c>
      <c r="U78" s="320"/>
      <c r="W78" s="441" t="s">
        <v>74</v>
      </c>
      <c r="X78" s="441" t="s">
        <v>246</v>
      </c>
      <c r="Y78" s="319">
        <v>8</v>
      </c>
      <c r="Z78" s="320"/>
      <c r="AA78" s="328">
        <f t="shared" si="20"/>
        <v>37.75</v>
      </c>
      <c r="AB78" s="298">
        <f t="shared" si="21"/>
        <v>0</v>
      </c>
      <c r="AC78" s="4"/>
      <c r="AD78" s="47" t="s">
        <v>29</v>
      </c>
      <c r="AE78" s="47" t="s">
        <v>29</v>
      </c>
      <c r="AF78" s="319">
        <v>0</v>
      </c>
      <c r="AG78" s="328">
        <f t="shared" si="22"/>
        <v>0</v>
      </c>
      <c r="AH78" s="175"/>
      <c r="AI78" s="402"/>
      <c r="AJ78" s="367"/>
      <c r="AK78" s="188" t="s">
        <v>32</v>
      </c>
      <c r="AL78" s="471">
        <f>AB100</f>
        <v>2</v>
      </c>
      <c r="AM78" s="510">
        <v>57</v>
      </c>
      <c r="AN78" s="510">
        <f t="shared" si="19"/>
        <v>114</v>
      </c>
      <c r="AQ78" s="367"/>
      <c r="AR78" s="367"/>
      <c r="AS78" s="367"/>
      <c r="AT78" s="367"/>
      <c r="AU78" s="367"/>
      <c r="AV78" s="367"/>
      <c r="AW78" s="367"/>
    </row>
    <row r="79" spans="1:49" outlineLevel="1">
      <c r="A79" s="367"/>
      <c r="B79" s="318" t="s">
        <v>329</v>
      </c>
      <c r="C79" s="47">
        <v>0.375</v>
      </c>
      <c r="D79" s="47">
        <v>0.25</v>
      </c>
      <c r="E79" s="319">
        <v>8</v>
      </c>
      <c r="F79" s="320"/>
      <c r="G79" s="4"/>
      <c r="H79" s="47">
        <v>0.375</v>
      </c>
      <c r="I79" s="47">
        <v>0.25</v>
      </c>
      <c r="J79" s="319">
        <v>8</v>
      </c>
      <c r="K79" s="320"/>
      <c r="L79" s="4"/>
      <c r="M79" s="47">
        <v>0.375</v>
      </c>
      <c r="N79" s="47">
        <v>0.25</v>
      </c>
      <c r="O79" s="319">
        <v>8</v>
      </c>
      <c r="P79" s="320"/>
      <c r="R79" s="441" t="s">
        <v>75</v>
      </c>
      <c r="S79" s="441" t="s">
        <v>246</v>
      </c>
      <c r="T79" s="319">
        <v>8</v>
      </c>
      <c r="U79" s="320"/>
      <c r="W79" s="441" t="s">
        <v>75</v>
      </c>
      <c r="X79" s="441" t="s">
        <v>246</v>
      </c>
      <c r="Y79" s="319">
        <v>8</v>
      </c>
      <c r="Z79" s="320"/>
      <c r="AA79" s="328">
        <f t="shared" si="20"/>
        <v>40</v>
      </c>
      <c r="AB79" s="298">
        <f t="shared" si="21"/>
        <v>0</v>
      </c>
      <c r="AC79" s="399"/>
      <c r="AD79" s="47">
        <v>0.375</v>
      </c>
      <c r="AE79" s="47">
        <v>8.3333333333333329E-2</v>
      </c>
      <c r="AF79" s="319">
        <v>8</v>
      </c>
      <c r="AG79" s="29">
        <f t="shared" si="22"/>
        <v>8</v>
      </c>
      <c r="AH79" s="175"/>
      <c r="AJ79" s="401"/>
      <c r="AK79" s="403" t="s">
        <v>213</v>
      </c>
      <c r="AL79" s="471">
        <f>AA102</f>
        <v>0</v>
      </c>
      <c r="AM79" s="510">
        <v>50</v>
      </c>
      <c r="AN79" s="510">
        <f t="shared" si="19"/>
        <v>0</v>
      </c>
      <c r="AO79" s="405"/>
      <c r="AP79" s="405"/>
      <c r="AQ79" s="401"/>
      <c r="AR79" s="401"/>
      <c r="AS79" s="401"/>
      <c r="AT79" s="401"/>
      <c r="AU79" s="401"/>
      <c r="AV79" s="401"/>
      <c r="AW79" s="401"/>
    </row>
    <row r="80" spans="1:49" outlineLevel="1">
      <c r="A80" s="367"/>
      <c r="B80" s="318" t="s">
        <v>232</v>
      </c>
      <c r="C80" s="47">
        <v>0</v>
      </c>
      <c r="D80" s="47">
        <v>0</v>
      </c>
      <c r="E80" s="319">
        <v>0</v>
      </c>
      <c r="F80" s="320"/>
      <c r="G80" s="4"/>
      <c r="H80" s="47">
        <v>0</v>
      </c>
      <c r="I80" s="47">
        <v>0</v>
      </c>
      <c r="J80" s="319">
        <v>0</v>
      </c>
      <c r="K80" s="320"/>
      <c r="L80" s="4"/>
      <c r="M80" s="47">
        <v>0.38541666666666669</v>
      </c>
      <c r="N80" s="47">
        <v>0.25</v>
      </c>
      <c r="O80" s="319">
        <v>7.75</v>
      </c>
      <c r="P80" s="320"/>
      <c r="R80" s="47">
        <v>0.375</v>
      </c>
      <c r="S80" s="441" t="s">
        <v>246</v>
      </c>
      <c r="T80" s="319">
        <v>8</v>
      </c>
      <c r="U80" s="320"/>
      <c r="W80" s="47">
        <v>0.39583333333333331</v>
      </c>
      <c r="X80" s="441" t="s">
        <v>246</v>
      </c>
      <c r="Y80" s="319">
        <v>7.5</v>
      </c>
      <c r="Z80" s="320"/>
      <c r="AA80" s="328">
        <f t="shared" si="20"/>
        <v>23.25</v>
      </c>
      <c r="AB80" s="298">
        <f t="shared" si="21"/>
        <v>0</v>
      </c>
      <c r="AC80" s="399"/>
      <c r="AD80" s="47" t="s">
        <v>29</v>
      </c>
      <c r="AE80" s="47" t="s">
        <v>29</v>
      </c>
      <c r="AF80" s="319">
        <v>0</v>
      </c>
      <c r="AG80" s="29">
        <f t="shared" si="22"/>
        <v>0</v>
      </c>
      <c r="AH80" s="175"/>
      <c r="AJ80" s="401"/>
      <c r="AK80" s="188" t="s">
        <v>36</v>
      </c>
      <c r="AL80" s="471">
        <f>AB102</f>
        <v>0</v>
      </c>
      <c r="AM80" s="510">
        <v>75</v>
      </c>
      <c r="AN80" s="510">
        <f t="shared" si="19"/>
        <v>0</v>
      </c>
      <c r="AO80" s="405"/>
      <c r="AP80" s="405"/>
      <c r="AQ80" s="401"/>
      <c r="AR80" s="401"/>
      <c r="AS80" s="401"/>
      <c r="AT80" s="401"/>
      <c r="AU80" s="401"/>
      <c r="AV80" s="401"/>
      <c r="AW80" s="401"/>
    </row>
    <row r="81" spans="1:49" outlineLevel="1">
      <c r="A81" s="367"/>
      <c r="B81" s="318" t="s">
        <v>337</v>
      </c>
      <c r="C81" s="47">
        <v>0</v>
      </c>
      <c r="D81" s="47">
        <v>0</v>
      </c>
      <c r="E81" s="319">
        <v>0</v>
      </c>
      <c r="F81" s="320"/>
      <c r="G81" s="4"/>
      <c r="H81" s="47">
        <v>0</v>
      </c>
      <c r="I81" s="47">
        <v>0</v>
      </c>
      <c r="J81" s="319">
        <v>0</v>
      </c>
      <c r="K81" s="320"/>
      <c r="L81" s="4"/>
      <c r="M81" s="47">
        <v>0</v>
      </c>
      <c r="N81" s="47">
        <v>0</v>
      </c>
      <c r="O81" s="319">
        <v>0</v>
      </c>
      <c r="P81" s="320"/>
      <c r="R81" s="47">
        <v>0</v>
      </c>
      <c r="S81" s="47">
        <v>0</v>
      </c>
      <c r="T81" s="319">
        <v>0</v>
      </c>
      <c r="U81" s="320"/>
      <c r="W81" s="47">
        <v>0</v>
      </c>
      <c r="X81" s="47">
        <v>0</v>
      </c>
      <c r="Y81" s="319">
        <v>0</v>
      </c>
      <c r="Z81" s="320"/>
      <c r="AA81" s="328">
        <f t="shared" si="20"/>
        <v>0</v>
      </c>
      <c r="AB81" s="298">
        <f t="shared" si="21"/>
        <v>0</v>
      </c>
      <c r="AC81" s="175"/>
      <c r="AD81" s="47" t="s">
        <v>29</v>
      </c>
      <c r="AE81" s="47" t="s">
        <v>29</v>
      </c>
      <c r="AF81" s="319">
        <v>0</v>
      </c>
      <c r="AG81" s="344">
        <f t="shared" si="22"/>
        <v>0</v>
      </c>
      <c r="AH81" s="175"/>
      <c r="AI81" s="368"/>
      <c r="AK81" s="188" t="s">
        <v>38</v>
      </c>
      <c r="AL81" s="471">
        <f>AG102</f>
        <v>0</v>
      </c>
      <c r="AM81" s="510">
        <v>75</v>
      </c>
      <c r="AN81" s="510">
        <f t="shared" si="19"/>
        <v>0</v>
      </c>
    </row>
    <row r="82" spans="1:49" ht="14.25" outlineLevel="1" thickBot="1">
      <c r="A82" s="401"/>
      <c r="B82" s="318" t="s">
        <v>53</v>
      </c>
      <c r="C82" s="47">
        <v>0.38541666666666669</v>
      </c>
      <c r="D82" s="47">
        <v>0.25</v>
      </c>
      <c r="E82" s="319">
        <v>7.75</v>
      </c>
      <c r="F82" s="320"/>
      <c r="G82" s="4"/>
      <c r="H82" s="47">
        <v>0.375</v>
      </c>
      <c r="I82" s="47">
        <v>0.25</v>
      </c>
      <c r="J82" s="319">
        <v>8</v>
      </c>
      <c r="K82" s="320"/>
      <c r="L82" s="4"/>
      <c r="M82" s="47">
        <v>0.375</v>
      </c>
      <c r="N82" s="47">
        <v>0.25</v>
      </c>
      <c r="O82" s="319">
        <v>8</v>
      </c>
      <c r="P82" s="320"/>
      <c r="R82" s="47">
        <v>0.375</v>
      </c>
      <c r="S82" s="441" t="s">
        <v>246</v>
      </c>
      <c r="T82" s="319">
        <v>8</v>
      </c>
      <c r="U82" s="320"/>
      <c r="W82" s="47">
        <v>0.36458333333333331</v>
      </c>
      <c r="X82" s="441" t="s">
        <v>246</v>
      </c>
      <c r="Y82" s="319">
        <v>8</v>
      </c>
      <c r="Z82" s="320"/>
      <c r="AA82" s="328">
        <f t="shared" si="20"/>
        <v>39.75</v>
      </c>
      <c r="AB82" s="298">
        <f t="shared" si="21"/>
        <v>0</v>
      </c>
      <c r="AC82" s="4"/>
      <c r="AD82" s="47">
        <v>0.375</v>
      </c>
      <c r="AE82" s="47">
        <v>8.3333333333333329E-2</v>
      </c>
      <c r="AF82" s="319">
        <v>8</v>
      </c>
      <c r="AG82" s="29">
        <f t="shared" si="22"/>
        <v>8</v>
      </c>
      <c r="AJ82" s="367"/>
      <c r="AK82" s="188" t="s">
        <v>41</v>
      </c>
      <c r="AL82" s="471">
        <f>C103</f>
        <v>84</v>
      </c>
      <c r="AM82" s="512">
        <v>45</v>
      </c>
      <c r="AN82" s="512">
        <f t="shared" si="19"/>
        <v>3780</v>
      </c>
      <c r="AQ82" s="367"/>
      <c r="AR82" s="367"/>
      <c r="AS82" s="367"/>
      <c r="AT82" s="367"/>
      <c r="AU82" s="367"/>
      <c r="AV82" s="367"/>
      <c r="AW82" s="367"/>
    </row>
    <row r="83" spans="1:49" ht="14.25" outlineLevel="1" thickTop="1">
      <c r="A83" s="180"/>
      <c r="B83" s="318" t="s">
        <v>330</v>
      </c>
      <c r="C83" s="47">
        <v>0.36458333333333331</v>
      </c>
      <c r="D83" s="47">
        <v>0.25</v>
      </c>
      <c r="E83" s="319">
        <v>8</v>
      </c>
      <c r="F83" s="320"/>
      <c r="G83" s="4"/>
      <c r="H83" s="47">
        <v>0.38541666666666669</v>
      </c>
      <c r="I83" s="47">
        <v>0.25</v>
      </c>
      <c r="J83" s="319">
        <v>7.75</v>
      </c>
      <c r="K83" s="320"/>
      <c r="L83" s="4"/>
      <c r="M83" s="47">
        <v>0.39583333333333331</v>
      </c>
      <c r="N83" s="47">
        <v>0.25</v>
      </c>
      <c r="O83" s="319">
        <v>7.5</v>
      </c>
      <c r="P83" s="320"/>
      <c r="R83" s="47">
        <v>0.375</v>
      </c>
      <c r="S83" s="441" t="s">
        <v>246</v>
      </c>
      <c r="T83" s="319">
        <v>8</v>
      </c>
      <c r="U83" s="320"/>
      <c r="W83" s="47">
        <v>0.36458333333333331</v>
      </c>
      <c r="X83" s="441" t="s">
        <v>246</v>
      </c>
      <c r="Y83" s="319">
        <v>8</v>
      </c>
      <c r="Z83" s="320"/>
      <c r="AA83" s="328">
        <f t="shared" si="20"/>
        <v>39.25</v>
      </c>
      <c r="AB83" s="298">
        <f t="shared" si="21"/>
        <v>0</v>
      </c>
      <c r="AC83" s="4"/>
      <c r="AD83" s="47" t="s">
        <v>29</v>
      </c>
      <c r="AE83" s="47" t="s">
        <v>29</v>
      </c>
      <c r="AF83" s="319">
        <v>0</v>
      </c>
      <c r="AG83" s="29">
        <f t="shared" si="22"/>
        <v>0</v>
      </c>
      <c r="AH83" s="175"/>
      <c r="AN83" s="510">
        <f>SUM(AN76:AN82)</f>
        <v>27967</v>
      </c>
      <c r="AO83" s="369"/>
      <c r="AP83" s="369"/>
    </row>
    <row r="84" spans="1:49" outlineLevel="1">
      <c r="A84" s="367"/>
      <c r="B84" s="457" t="s">
        <v>234</v>
      </c>
      <c r="C84" s="47">
        <v>0.375</v>
      </c>
      <c r="D84" s="47">
        <v>0.25</v>
      </c>
      <c r="E84" s="319">
        <v>8</v>
      </c>
      <c r="F84" s="320"/>
      <c r="G84" s="4"/>
      <c r="H84" s="47">
        <v>0.40625</v>
      </c>
      <c r="I84" s="47">
        <v>0.25</v>
      </c>
      <c r="J84" s="319">
        <v>7.25</v>
      </c>
      <c r="K84" s="320"/>
      <c r="L84" s="4"/>
      <c r="M84" s="47">
        <v>0.375</v>
      </c>
      <c r="N84" s="47">
        <v>0.25</v>
      </c>
      <c r="O84" s="319">
        <v>8</v>
      </c>
      <c r="P84" s="320"/>
      <c r="R84" s="47">
        <v>0.38541666666666669</v>
      </c>
      <c r="S84" s="441" t="s">
        <v>246</v>
      </c>
      <c r="T84" s="319">
        <v>7.75</v>
      </c>
      <c r="U84" s="320"/>
      <c r="W84" s="47">
        <v>0.375</v>
      </c>
      <c r="X84" s="441" t="s">
        <v>246</v>
      </c>
      <c r="Y84" s="319">
        <v>8</v>
      </c>
      <c r="Z84" s="320"/>
      <c r="AA84" s="328">
        <f t="shared" si="20"/>
        <v>39</v>
      </c>
      <c r="AB84" s="298">
        <f t="shared" si="21"/>
        <v>0</v>
      </c>
      <c r="AC84" s="4"/>
      <c r="AD84" s="47">
        <v>0.38541666666666669</v>
      </c>
      <c r="AE84" s="47">
        <v>8.3333333333333329E-2</v>
      </c>
      <c r="AF84" s="319">
        <v>8</v>
      </c>
      <c r="AG84" s="29">
        <f t="shared" si="22"/>
        <v>8</v>
      </c>
    </row>
    <row r="85" spans="1:49" outlineLevel="1">
      <c r="A85" s="180"/>
      <c r="B85" s="318" t="s">
        <v>35</v>
      </c>
      <c r="C85" s="47">
        <v>0.36458333333333331</v>
      </c>
      <c r="D85" s="47">
        <v>0.25</v>
      </c>
      <c r="E85" s="319">
        <v>8</v>
      </c>
      <c r="F85" s="320"/>
      <c r="G85" s="4"/>
      <c r="H85" s="47">
        <v>0.375</v>
      </c>
      <c r="I85" s="47">
        <v>0.25</v>
      </c>
      <c r="J85" s="319">
        <v>8</v>
      </c>
      <c r="K85" s="320"/>
      <c r="L85" s="4"/>
      <c r="M85" s="47">
        <v>0.36458333333333331</v>
      </c>
      <c r="N85" s="47">
        <v>0.25</v>
      </c>
      <c r="O85" s="319">
        <v>8</v>
      </c>
      <c r="P85" s="320"/>
      <c r="R85" s="47">
        <v>0.38541666666666669</v>
      </c>
      <c r="S85" s="441" t="s">
        <v>246</v>
      </c>
      <c r="T85" s="319">
        <v>7.75</v>
      </c>
      <c r="U85" s="320"/>
      <c r="W85" s="47">
        <v>0.375</v>
      </c>
      <c r="X85" s="441" t="s">
        <v>246</v>
      </c>
      <c r="Y85" s="319">
        <v>8</v>
      </c>
      <c r="Z85" s="320"/>
      <c r="AA85" s="328">
        <f t="shared" si="20"/>
        <v>39.75</v>
      </c>
      <c r="AB85" s="298">
        <f t="shared" si="21"/>
        <v>0</v>
      </c>
      <c r="AC85" s="4"/>
      <c r="AD85" s="47" t="s">
        <v>29</v>
      </c>
      <c r="AE85" s="47" t="s">
        <v>29</v>
      </c>
      <c r="AF85" s="319">
        <v>0</v>
      </c>
      <c r="AG85" s="29">
        <f t="shared" si="22"/>
        <v>0</v>
      </c>
    </row>
    <row r="86" spans="1:49" outlineLevel="1">
      <c r="A86" s="180"/>
      <c r="B86" s="318" t="s">
        <v>336</v>
      </c>
      <c r="C86" s="47">
        <v>0.375</v>
      </c>
      <c r="D86" s="47">
        <v>0.25</v>
      </c>
      <c r="E86" s="319">
        <v>8</v>
      </c>
      <c r="F86" s="320"/>
      <c r="G86" s="4"/>
      <c r="H86" s="47">
        <v>0</v>
      </c>
      <c r="I86" s="47">
        <v>0</v>
      </c>
      <c r="J86" s="319">
        <v>0</v>
      </c>
      <c r="K86" s="320"/>
      <c r="L86" s="4"/>
      <c r="M86" s="47">
        <v>0.375</v>
      </c>
      <c r="N86" s="47">
        <v>0.25</v>
      </c>
      <c r="O86" s="319">
        <v>8</v>
      </c>
      <c r="P86" s="320"/>
      <c r="R86" s="47">
        <v>0.39583333333333331</v>
      </c>
      <c r="S86" s="441" t="s">
        <v>246</v>
      </c>
      <c r="T86" s="319">
        <v>7.5</v>
      </c>
      <c r="U86" s="320"/>
      <c r="W86" s="47">
        <v>0.375</v>
      </c>
      <c r="X86" s="441" t="s">
        <v>246</v>
      </c>
      <c r="Y86" s="319">
        <v>8</v>
      </c>
      <c r="Z86" s="320"/>
      <c r="AA86" s="328">
        <f t="shared" si="20"/>
        <v>31.5</v>
      </c>
      <c r="AB86" s="298">
        <f t="shared" si="21"/>
        <v>0</v>
      </c>
      <c r="AC86" s="4"/>
      <c r="AD86" s="47" t="s">
        <v>29</v>
      </c>
      <c r="AE86" s="47" t="s">
        <v>29</v>
      </c>
      <c r="AF86" s="319">
        <v>0</v>
      </c>
      <c r="AG86" s="29">
        <f t="shared" si="22"/>
        <v>0</v>
      </c>
    </row>
    <row r="87" spans="1:49" outlineLevel="1">
      <c r="A87" s="180"/>
      <c r="B87" s="318" t="s">
        <v>108</v>
      </c>
      <c r="C87" s="47">
        <v>0.375</v>
      </c>
      <c r="D87" s="47">
        <v>0.25</v>
      </c>
      <c r="E87" s="319">
        <v>8</v>
      </c>
      <c r="F87" s="320"/>
      <c r="G87" s="4"/>
      <c r="H87" s="47">
        <v>0.375</v>
      </c>
      <c r="I87" s="47">
        <v>0.25</v>
      </c>
      <c r="J87" s="319">
        <v>8</v>
      </c>
      <c r="K87" s="320"/>
      <c r="L87" s="4"/>
      <c r="M87" s="47">
        <v>0.375</v>
      </c>
      <c r="N87" s="47">
        <v>0.25</v>
      </c>
      <c r="O87" s="319">
        <v>8</v>
      </c>
      <c r="P87" s="320"/>
      <c r="R87" s="47">
        <v>0.375</v>
      </c>
      <c r="S87" s="441" t="s">
        <v>246</v>
      </c>
      <c r="T87" s="319">
        <v>8</v>
      </c>
      <c r="U87" s="320"/>
      <c r="W87" s="47">
        <v>0.375</v>
      </c>
      <c r="X87" s="441" t="s">
        <v>246</v>
      </c>
      <c r="Y87" s="319">
        <v>8</v>
      </c>
      <c r="Z87" s="320"/>
      <c r="AA87" s="328">
        <f t="shared" si="20"/>
        <v>40</v>
      </c>
      <c r="AB87" s="298">
        <f t="shared" si="21"/>
        <v>0</v>
      </c>
      <c r="AC87" s="4"/>
      <c r="AD87" s="47">
        <v>0.375</v>
      </c>
      <c r="AE87" s="47">
        <v>8.3333333333333329E-2</v>
      </c>
      <c r="AF87" s="319">
        <v>8</v>
      </c>
      <c r="AG87" s="29">
        <f t="shared" si="22"/>
        <v>8</v>
      </c>
    </row>
    <row r="88" spans="1:49" outlineLevel="1">
      <c r="A88" s="180"/>
      <c r="B88" s="318" t="s">
        <v>327</v>
      </c>
      <c r="C88" s="47">
        <v>0.38541666666666669</v>
      </c>
      <c r="D88" s="47">
        <v>0.25</v>
      </c>
      <c r="E88" s="319">
        <v>7.75</v>
      </c>
      <c r="F88" s="320"/>
      <c r="G88" s="4"/>
      <c r="H88" s="47">
        <v>0.375</v>
      </c>
      <c r="I88" s="47">
        <v>0.25</v>
      </c>
      <c r="J88" s="319">
        <v>8</v>
      </c>
      <c r="K88" s="320"/>
      <c r="L88" s="4"/>
      <c r="M88" s="47">
        <v>0.375</v>
      </c>
      <c r="N88" s="47">
        <v>0.25</v>
      </c>
      <c r="O88" s="319">
        <v>8</v>
      </c>
      <c r="P88" s="320"/>
      <c r="R88" s="47">
        <v>0.375</v>
      </c>
      <c r="S88" s="441" t="s">
        <v>246</v>
      </c>
      <c r="T88" s="319">
        <v>8</v>
      </c>
      <c r="U88" s="320"/>
      <c r="W88" s="47">
        <v>0.38541666666666669</v>
      </c>
      <c r="X88" s="441" t="s">
        <v>246</v>
      </c>
      <c r="Y88" s="319">
        <v>7.75</v>
      </c>
      <c r="Z88" s="320"/>
      <c r="AA88" s="328">
        <f t="shared" si="20"/>
        <v>39.5</v>
      </c>
      <c r="AB88" s="298">
        <f>Z88+U88+P88+K88+F86</f>
        <v>0</v>
      </c>
      <c r="AC88" s="4"/>
      <c r="AD88" s="47">
        <v>0.375</v>
      </c>
      <c r="AE88" s="47">
        <v>8.3333333333333329E-2</v>
      </c>
      <c r="AF88" s="319">
        <v>8</v>
      </c>
      <c r="AG88" s="29">
        <f t="shared" si="22"/>
        <v>8</v>
      </c>
    </row>
    <row r="89" spans="1:49" outlineLevel="1">
      <c r="A89" s="180"/>
      <c r="B89" s="318" t="s">
        <v>328</v>
      </c>
      <c r="C89" s="441" t="s">
        <v>212</v>
      </c>
      <c r="D89" s="47">
        <v>0.25</v>
      </c>
      <c r="E89" s="319">
        <v>7.75</v>
      </c>
      <c r="F89" s="320"/>
      <c r="G89" s="4"/>
      <c r="H89" s="441" t="s">
        <v>212</v>
      </c>
      <c r="I89" s="47">
        <v>0.25</v>
      </c>
      <c r="J89" s="319">
        <v>7.75</v>
      </c>
      <c r="K89" s="320"/>
      <c r="L89" s="4"/>
      <c r="M89" s="441" t="s">
        <v>75</v>
      </c>
      <c r="N89" s="47">
        <v>0.25</v>
      </c>
      <c r="O89" s="319">
        <v>8</v>
      </c>
      <c r="P89" s="320"/>
      <c r="R89" s="441" t="s">
        <v>75</v>
      </c>
      <c r="S89" s="441" t="s">
        <v>246</v>
      </c>
      <c r="T89" s="319">
        <v>8</v>
      </c>
      <c r="U89" s="320"/>
      <c r="W89" s="47">
        <v>0.375</v>
      </c>
      <c r="X89" s="441" t="s">
        <v>246</v>
      </c>
      <c r="Y89" s="319">
        <v>8</v>
      </c>
      <c r="Z89" s="320"/>
      <c r="AA89" s="328">
        <f t="shared" si="20"/>
        <v>39.5</v>
      </c>
      <c r="AB89" s="298">
        <f>Z89+U89+P89+K89+F87</f>
        <v>0</v>
      </c>
      <c r="AC89" s="4"/>
      <c r="AD89" s="47">
        <v>0.38541666666666669</v>
      </c>
      <c r="AE89" s="47">
        <v>8.3333333333333329E-2</v>
      </c>
      <c r="AF89" s="319">
        <v>8</v>
      </c>
      <c r="AG89" s="29">
        <f t="shared" si="22"/>
        <v>8</v>
      </c>
    </row>
    <row r="90" spans="1:49" outlineLevel="1">
      <c r="A90" s="180"/>
      <c r="B90" s="318" t="s">
        <v>52</v>
      </c>
      <c r="C90" s="441" t="s">
        <v>74</v>
      </c>
      <c r="D90" s="47">
        <v>0.25</v>
      </c>
      <c r="E90" s="319">
        <v>8</v>
      </c>
      <c r="F90" s="320"/>
      <c r="G90" s="4"/>
      <c r="H90" s="441" t="s">
        <v>76</v>
      </c>
      <c r="I90" s="47">
        <v>0.25</v>
      </c>
      <c r="J90" s="319">
        <v>8</v>
      </c>
      <c r="K90" s="320"/>
      <c r="L90" s="4"/>
      <c r="M90" s="441" t="s">
        <v>344</v>
      </c>
      <c r="N90" s="47">
        <v>0.25</v>
      </c>
      <c r="O90" s="319">
        <v>8</v>
      </c>
      <c r="P90" s="320"/>
      <c r="R90" s="47">
        <v>0.36458333333333331</v>
      </c>
      <c r="S90" s="441" t="s">
        <v>246</v>
      </c>
      <c r="T90" s="319">
        <v>8</v>
      </c>
      <c r="U90" s="320"/>
      <c r="W90" s="47">
        <v>0.375</v>
      </c>
      <c r="X90" s="441" t="s">
        <v>246</v>
      </c>
      <c r="Y90" s="319">
        <v>8</v>
      </c>
      <c r="Z90" s="320"/>
      <c r="AA90" s="328">
        <f t="shared" si="20"/>
        <v>40</v>
      </c>
      <c r="AB90" s="298">
        <f>Z90+U90+P90+K90+F88</f>
        <v>0</v>
      </c>
      <c r="AC90" s="4"/>
      <c r="AD90" s="47" t="s">
        <v>29</v>
      </c>
      <c r="AE90" s="47" t="s">
        <v>29</v>
      </c>
      <c r="AF90" s="319">
        <v>0</v>
      </c>
      <c r="AG90" s="29">
        <f t="shared" si="22"/>
        <v>0</v>
      </c>
    </row>
    <row r="91" spans="1:49" outlineLevel="1">
      <c r="A91" s="180"/>
      <c r="B91" s="457" t="s">
        <v>96</v>
      </c>
      <c r="C91" s="441" t="s">
        <v>212</v>
      </c>
      <c r="D91" s="47">
        <v>0.25</v>
      </c>
      <c r="E91" s="319">
        <v>7.75</v>
      </c>
      <c r="F91" s="320"/>
      <c r="G91" s="4"/>
      <c r="H91" s="441" t="s">
        <v>74</v>
      </c>
      <c r="I91" s="47">
        <v>0.25</v>
      </c>
      <c r="J91" s="319">
        <v>8</v>
      </c>
      <c r="K91" s="320"/>
      <c r="L91" s="4"/>
      <c r="M91" s="441" t="s">
        <v>75</v>
      </c>
      <c r="N91" s="47">
        <v>0.25</v>
      </c>
      <c r="O91" s="319">
        <v>8</v>
      </c>
      <c r="P91" s="320"/>
      <c r="R91" s="47">
        <v>0</v>
      </c>
      <c r="S91" s="441" t="s">
        <v>154</v>
      </c>
      <c r="T91" s="319">
        <v>0</v>
      </c>
      <c r="U91" s="320"/>
      <c r="W91" s="47">
        <v>0.35416666666666669</v>
      </c>
      <c r="X91" s="441" t="s">
        <v>246</v>
      </c>
      <c r="Y91" s="319">
        <v>8</v>
      </c>
      <c r="Z91" s="320"/>
      <c r="AA91" s="328">
        <f t="shared" si="20"/>
        <v>31.75</v>
      </c>
      <c r="AB91" s="298">
        <f>Z91+U91+P91+K91+F89</f>
        <v>0</v>
      </c>
      <c r="AC91" s="4"/>
      <c r="AD91" s="47" t="s">
        <v>29</v>
      </c>
      <c r="AE91" s="47" t="s">
        <v>29</v>
      </c>
      <c r="AF91" s="319">
        <v>0</v>
      </c>
      <c r="AG91" s="29">
        <f t="shared" si="22"/>
        <v>0</v>
      </c>
    </row>
    <row r="92" spans="1:49" outlineLevel="1">
      <c r="A92" s="180"/>
      <c r="B92" s="457" t="s">
        <v>42</v>
      </c>
      <c r="C92" s="441" t="s">
        <v>74</v>
      </c>
      <c r="D92" s="47">
        <v>0.25</v>
      </c>
      <c r="E92" s="319">
        <v>8</v>
      </c>
      <c r="F92" s="320"/>
      <c r="G92" s="4"/>
      <c r="H92" s="441" t="s">
        <v>76</v>
      </c>
      <c r="I92" s="47">
        <v>0.25</v>
      </c>
      <c r="J92" s="319">
        <v>8</v>
      </c>
      <c r="K92" s="320"/>
      <c r="L92" s="4"/>
      <c r="M92" s="441" t="s">
        <v>76</v>
      </c>
      <c r="N92" s="47">
        <v>0.25</v>
      </c>
      <c r="O92" s="319">
        <v>8</v>
      </c>
      <c r="P92" s="320"/>
      <c r="R92" s="47">
        <v>0.36458333333333331</v>
      </c>
      <c r="S92" s="441" t="s">
        <v>246</v>
      </c>
      <c r="T92" s="319">
        <v>8</v>
      </c>
      <c r="U92" s="320"/>
      <c r="W92" s="47">
        <v>0.36458333333333331</v>
      </c>
      <c r="X92" s="441" t="s">
        <v>246</v>
      </c>
      <c r="Y92" s="319">
        <v>8</v>
      </c>
      <c r="Z92" s="320"/>
      <c r="AA92" s="328">
        <f t="shared" si="20"/>
        <v>40</v>
      </c>
      <c r="AB92" s="298">
        <f>Z92+U92+P92+K92+F90</f>
        <v>0</v>
      </c>
      <c r="AC92" s="4"/>
      <c r="AD92" s="47" t="s">
        <v>29</v>
      </c>
      <c r="AE92" s="47" t="s">
        <v>29</v>
      </c>
      <c r="AF92" s="319">
        <v>0</v>
      </c>
      <c r="AG92" s="29">
        <f t="shared" si="22"/>
        <v>0</v>
      </c>
    </row>
    <row r="93" spans="1:49" outlineLevel="1">
      <c r="A93" s="180"/>
      <c r="B93" s="459" t="s">
        <v>340</v>
      </c>
      <c r="C93" s="441" t="s">
        <v>154</v>
      </c>
      <c r="D93" s="441" t="s">
        <v>154</v>
      </c>
      <c r="E93" s="319">
        <v>0</v>
      </c>
      <c r="F93" s="320"/>
      <c r="G93" s="4"/>
      <c r="H93" s="441" t="s">
        <v>345</v>
      </c>
      <c r="I93" s="441" t="s">
        <v>136</v>
      </c>
      <c r="J93" s="319">
        <v>6.25</v>
      </c>
      <c r="K93" s="320"/>
      <c r="L93" s="4"/>
      <c r="M93" s="441" t="s">
        <v>154</v>
      </c>
      <c r="N93" s="441" t="s">
        <v>154</v>
      </c>
      <c r="O93" s="319">
        <v>0</v>
      </c>
      <c r="P93" s="320"/>
      <c r="R93" s="441" t="s">
        <v>154</v>
      </c>
      <c r="S93" s="441" t="s">
        <v>154</v>
      </c>
      <c r="T93" s="319">
        <v>0</v>
      </c>
      <c r="U93" s="320"/>
      <c r="W93" s="441" t="s">
        <v>154</v>
      </c>
      <c r="X93" s="441" t="s">
        <v>154</v>
      </c>
      <c r="Y93" s="319">
        <v>0</v>
      </c>
      <c r="Z93" s="320"/>
      <c r="AA93" s="328">
        <f t="shared" si="20"/>
        <v>6.25</v>
      </c>
      <c r="AB93" s="298">
        <f>Z93+U93+P93+K93+F86</f>
        <v>0</v>
      </c>
      <c r="AC93" s="4"/>
      <c r="AD93" s="47" t="s">
        <v>29</v>
      </c>
      <c r="AE93" s="47" t="s">
        <v>29</v>
      </c>
      <c r="AF93" s="319">
        <v>0</v>
      </c>
      <c r="AG93" s="29">
        <f t="shared" si="22"/>
        <v>0</v>
      </c>
    </row>
    <row r="94" spans="1:49" outlineLevel="1">
      <c r="A94" s="180"/>
      <c r="B94" s="459" t="s">
        <v>342</v>
      </c>
      <c r="C94" s="441" t="s">
        <v>154</v>
      </c>
      <c r="D94" s="441" t="s">
        <v>154</v>
      </c>
      <c r="E94" s="319">
        <v>0</v>
      </c>
      <c r="F94" s="320"/>
      <c r="G94" s="4"/>
      <c r="H94" s="441" t="s">
        <v>345</v>
      </c>
      <c r="I94" s="441" t="s">
        <v>136</v>
      </c>
      <c r="J94" s="319">
        <v>6.25</v>
      </c>
      <c r="K94" s="320"/>
      <c r="L94" s="4"/>
      <c r="M94" s="441" t="s">
        <v>154</v>
      </c>
      <c r="N94" s="441" t="s">
        <v>154</v>
      </c>
      <c r="O94" s="319">
        <v>0</v>
      </c>
      <c r="P94" s="320"/>
      <c r="R94" s="441" t="s">
        <v>154</v>
      </c>
      <c r="S94" s="441" t="s">
        <v>154</v>
      </c>
      <c r="T94" s="319">
        <v>0</v>
      </c>
      <c r="U94" s="320"/>
      <c r="W94" s="441" t="s">
        <v>154</v>
      </c>
      <c r="X94" s="441" t="s">
        <v>154</v>
      </c>
      <c r="Y94" s="319">
        <v>0</v>
      </c>
      <c r="Z94" s="320"/>
      <c r="AA94" s="328">
        <f t="shared" si="20"/>
        <v>6.25</v>
      </c>
      <c r="AB94" s="298">
        <f>Z94+U94+P94+K94+F88</f>
        <v>0</v>
      </c>
      <c r="AC94" s="4"/>
      <c r="AD94" s="47" t="s">
        <v>29</v>
      </c>
      <c r="AE94" s="47" t="s">
        <v>29</v>
      </c>
      <c r="AF94" s="319">
        <v>0</v>
      </c>
      <c r="AG94" s="29">
        <f t="shared" si="22"/>
        <v>0</v>
      </c>
    </row>
    <row r="95" spans="1:49" outlineLevel="1">
      <c r="A95" s="180"/>
      <c r="B95" s="460" t="s">
        <v>343</v>
      </c>
      <c r="C95" s="441" t="s">
        <v>154</v>
      </c>
      <c r="D95" s="441" t="s">
        <v>154</v>
      </c>
      <c r="E95" s="319">
        <v>0</v>
      </c>
      <c r="F95" s="320"/>
      <c r="G95" s="4"/>
      <c r="H95" s="441" t="s">
        <v>154</v>
      </c>
      <c r="I95" s="441" t="s">
        <v>154</v>
      </c>
      <c r="J95" s="319">
        <v>0</v>
      </c>
      <c r="K95" s="320"/>
      <c r="L95" s="4"/>
      <c r="M95" s="441" t="s">
        <v>154</v>
      </c>
      <c r="N95" s="441" t="s">
        <v>154</v>
      </c>
      <c r="O95" s="319">
        <v>0</v>
      </c>
      <c r="P95" s="320"/>
      <c r="R95" s="441" t="s">
        <v>154</v>
      </c>
      <c r="S95" s="441" t="s">
        <v>154</v>
      </c>
      <c r="T95" s="319">
        <v>0</v>
      </c>
      <c r="U95" s="320"/>
      <c r="W95" s="441" t="s">
        <v>154</v>
      </c>
      <c r="X95" s="441" t="s">
        <v>154</v>
      </c>
      <c r="Y95" s="319">
        <v>0</v>
      </c>
      <c r="Z95" s="320"/>
      <c r="AA95" s="328">
        <f t="shared" si="20"/>
        <v>0</v>
      </c>
      <c r="AB95" s="298">
        <f>Z95+U95+P95+K95+F88</f>
        <v>0</v>
      </c>
      <c r="AC95" s="4"/>
      <c r="AD95" s="47" t="s">
        <v>29</v>
      </c>
      <c r="AE95" s="47" t="s">
        <v>29</v>
      </c>
      <c r="AF95" s="319">
        <v>0</v>
      </c>
      <c r="AG95" s="29">
        <f t="shared" si="22"/>
        <v>0</v>
      </c>
    </row>
    <row r="96" spans="1:49" outlineLevel="1">
      <c r="A96" s="180"/>
      <c r="B96" s="460" t="s">
        <v>46</v>
      </c>
      <c r="C96" s="441" t="s">
        <v>154</v>
      </c>
      <c r="D96" s="441" t="s">
        <v>154</v>
      </c>
      <c r="E96" s="319">
        <v>0</v>
      </c>
      <c r="F96" s="320"/>
      <c r="G96" s="4"/>
      <c r="H96" s="441" t="s">
        <v>154</v>
      </c>
      <c r="I96" s="441" t="s">
        <v>154</v>
      </c>
      <c r="J96" s="319">
        <v>0</v>
      </c>
      <c r="K96" s="320"/>
      <c r="L96" s="4"/>
      <c r="M96" s="441" t="s">
        <v>154</v>
      </c>
      <c r="N96" s="441" t="s">
        <v>154</v>
      </c>
      <c r="O96" s="319">
        <v>0</v>
      </c>
      <c r="P96" s="320"/>
      <c r="R96" s="441" t="s">
        <v>154</v>
      </c>
      <c r="S96" s="441" t="s">
        <v>154</v>
      </c>
      <c r="T96" s="319">
        <v>0</v>
      </c>
      <c r="U96" s="320"/>
      <c r="W96" s="441" t="s">
        <v>154</v>
      </c>
      <c r="X96" s="441" t="s">
        <v>154</v>
      </c>
      <c r="Y96" s="319">
        <v>0</v>
      </c>
      <c r="Z96" s="320"/>
      <c r="AA96" s="328">
        <f t="shared" si="20"/>
        <v>0</v>
      </c>
      <c r="AB96" s="298">
        <f>Z96+U96+P96+K96+F93</f>
        <v>0</v>
      </c>
      <c r="AC96" s="4"/>
      <c r="AD96" s="47" t="s">
        <v>29</v>
      </c>
      <c r="AE96" s="47" t="s">
        <v>29</v>
      </c>
      <c r="AF96" s="319">
        <v>0</v>
      </c>
      <c r="AG96" s="29">
        <f t="shared" si="22"/>
        <v>0</v>
      </c>
    </row>
    <row r="97" spans="1:49" outlineLevel="1">
      <c r="A97" s="180"/>
      <c r="B97" s="63" t="s">
        <v>250</v>
      </c>
      <c r="C97" s="47" t="s">
        <v>29</v>
      </c>
      <c r="D97" s="47" t="s">
        <v>29</v>
      </c>
      <c r="E97" s="319">
        <v>8</v>
      </c>
      <c r="F97" s="320"/>
      <c r="G97" s="4"/>
      <c r="H97" s="47" t="s">
        <v>29</v>
      </c>
      <c r="I97" s="47" t="s">
        <v>29</v>
      </c>
      <c r="J97" s="319">
        <v>8</v>
      </c>
      <c r="K97" s="320">
        <v>1</v>
      </c>
      <c r="L97" s="4"/>
      <c r="M97" s="47" t="s">
        <v>29</v>
      </c>
      <c r="N97" s="47" t="s">
        <v>29</v>
      </c>
      <c r="O97" s="319">
        <v>8</v>
      </c>
      <c r="P97" s="320">
        <v>1</v>
      </c>
      <c r="R97" s="47" t="s">
        <v>29</v>
      </c>
      <c r="S97" s="47" t="s">
        <v>29</v>
      </c>
      <c r="T97" s="319">
        <v>8</v>
      </c>
      <c r="U97" s="320"/>
      <c r="W97" s="47" t="s">
        <v>29</v>
      </c>
      <c r="X97" s="47" t="s">
        <v>29</v>
      </c>
      <c r="Y97" s="319">
        <v>0</v>
      </c>
      <c r="Z97" s="320"/>
      <c r="AA97" s="328">
        <f t="shared" si="20"/>
        <v>32</v>
      </c>
      <c r="AB97" s="298">
        <f>Z97+U97+P97+K97+F97</f>
        <v>2</v>
      </c>
      <c r="AC97" s="4"/>
      <c r="AD97" s="47" t="s">
        <v>29</v>
      </c>
      <c r="AE97" s="47" t="s">
        <v>29</v>
      </c>
      <c r="AF97" s="319">
        <v>0</v>
      </c>
      <c r="AG97" s="29">
        <f t="shared" si="22"/>
        <v>0</v>
      </c>
    </row>
    <row r="98" spans="1:49" ht="13.5" customHeight="1" outlineLevel="1">
      <c r="A98" s="180"/>
      <c r="B98" s="63" t="s">
        <v>346</v>
      </c>
      <c r="C98" s="47" t="s">
        <v>29</v>
      </c>
      <c r="D98" s="47" t="s">
        <v>29</v>
      </c>
      <c r="E98" s="319">
        <v>0</v>
      </c>
      <c r="F98" s="320"/>
      <c r="G98" s="4"/>
      <c r="H98" s="47" t="s">
        <v>29</v>
      </c>
      <c r="I98" s="47" t="s">
        <v>29</v>
      </c>
      <c r="J98" s="319">
        <v>0</v>
      </c>
      <c r="K98" s="320"/>
      <c r="L98" s="4"/>
      <c r="M98" s="47" t="s">
        <v>29</v>
      </c>
      <c r="N98" s="47" t="s">
        <v>29</v>
      </c>
      <c r="O98" s="319">
        <v>0</v>
      </c>
      <c r="P98" s="320"/>
      <c r="R98" s="47" t="s">
        <v>29</v>
      </c>
      <c r="S98" s="47" t="s">
        <v>29</v>
      </c>
      <c r="T98" s="319">
        <v>0</v>
      </c>
      <c r="U98" s="320"/>
      <c r="W98" s="47" t="s">
        <v>29</v>
      </c>
      <c r="X98" s="47" t="s">
        <v>29</v>
      </c>
      <c r="Y98" s="319">
        <v>8</v>
      </c>
      <c r="Z98" s="320"/>
      <c r="AA98" s="328">
        <f t="shared" ref="AA98" si="23">(E98+J98+O98+T98+Y98)</f>
        <v>8</v>
      </c>
      <c r="AB98" s="298">
        <f>Z98+U98+P98+K98+F98</f>
        <v>0</v>
      </c>
      <c r="AC98" s="4"/>
      <c r="AD98" s="47" t="s">
        <v>29</v>
      </c>
      <c r="AE98" s="47" t="s">
        <v>29</v>
      </c>
      <c r="AF98" s="319">
        <v>0</v>
      </c>
      <c r="AG98" s="29">
        <f t="shared" ref="AG98" si="24">AF98</f>
        <v>0</v>
      </c>
    </row>
    <row r="99" spans="1:49" outlineLevel="1">
      <c r="A99" s="180"/>
      <c r="B99" s="63" t="s">
        <v>63</v>
      </c>
      <c r="C99" s="47" t="s">
        <v>29</v>
      </c>
      <c r="D99" s="47" t="s">
        <v>29</v>
      </c>
      <c r="E99" s="319">
        <v>4</v>
      </c>
      <c r="F99" s="320"/>
      <c r="G99" s="438"/>
      <c r="H99" s="47" t="s">
        <v>29</v>
      </c>
      <c r="I99" s="47" t="s">
        <v>29</v>
      </c>
      <c r="J99" s="319">
        <v>4</v>
      </c>
      <c r="K99" s="320"/>
      <c r="L99" s="438"/>
      <c r="M99" s="47" t="s">
        <v>29</v>
      </c>
      <c r="N99" s="47" t="s">
        <v>29</v>
      </c>
      <c r="O99" s="319">
        <v>4</v>
      </c>
      <c r="P99" s="320"/>
      <c r="Q99" s="438"/>
      <c r="R99" s="47" t="s">
        <v>29</v>
      </c>
      <c r="S99" s="47" t="s">
        <v>29</v>
      </c>
      <c r="T99" s="319">
        <v>4</v>
      </c>
      <c r="U99" s="320"/>
      <c r="V99" s="438"/>
      <c r="W99" s="47" t="s">
        <v>29</v>
      </c>
      <c r="X99" s="47" t="s">
        <v>29</v>
      </c>
      <c r="Y99" s="319">
        <v>4</v>
      </c>
      <c r="Z99" s="320"/>
      <c r="AA99" s="328">
        <f t="shared" si="20"/>
        <v>20</v>
      </c>
      <c r="AB99" s="298">
        <f>Z99+U99+P99+K99+F99</f>
        <v>0</v>
      </c>
      <c r="AC99" s="4"/>
      <c r="AD99" s="47" t="s">
        <v>29</v>
      </c>
      <c r="AE99" s="47" t="s">
        <v>29</v>
      </c>
      <c r="AF99" s="319">
        <v>0</v>
      </c>
      <c r="AG99" s="29">
        <f t="shared" si="22"/>
        <v>0</v>
      </c>
      <c r="AK99" s="407"/>
    </row>
    <row r="100" spans="1:49" outlineLevel="1">
      <c r="A100" s="180"/>
      <c r="B100" s="64" t="s">
        <v>61</v>
      </c>
      <c r="C100" s="468"/>
      <c r="D100" s="468"/>
      <c r="E100" s="472">
        <f>SUM(E77:E99)</f>
        <v>123</v>
      </c>
      <c r="F100" s="467">
        <f>SUM(F77:F88)</f>
        <v>0</v>
      </c>
      <c r="G100" s="468"/>
      <c r="H100" s="468"/>
      <c r="I100" s="468"/>
      <c r="J100" s="472">
        <f>SUM(J77:J99)</f>
        <v>125</v>
      </c>
      <c r="K100" s="473">
        <v>1</v>
      </c>
      <c r="L100" s="468"/>
      <c r="M100" s="468"/>
      <c r="N100" s="468"/>
      <c r="O100" s="469">
        <f>SUM(O77:O99)</f>
        <v>131.25</v>
      </c>
      <c r="P100" s="467">
        <f>SUM(P77:P97)</f>
        <v>1</v>
      </c>
      <c r="Q100" s="468"/>
      <c r="R100" s="468"/>
      <c r="S100" s="468"/>
      <c r="T100" s="472">
        <f>SUM(T77:T99)</f>
        <v>123</v>
      </c>
      <c r="U100" s="467">
        <f>SUM(U77:U97)</f>
        <v>0</v>
      </c>
      <c r="V100" s="468"/>
      <c r="W100" s="468"/>
      <c r="X100" s="468"/>
      <c r="Y100" s="469">
        <f>SUM(Y77:Y99)</f>
        <v>131.25</v>
      </c>
      <c r="Z100" s="467">
        <f>SUM(Z77:Z88)</f>
        <v>0</v>
      </c>
      <c r="AA100" s="466">
        <f>SUM(AA77:AA99)</f>
        <v>633.5</v>
      </c>
      <c r="AB100" s="466">
        <f>SUM(AB77:AB99)</f>
        <v>2</v>
      </c>
      <c r="AC100" s="470"/>
      <c r="AD100" s="468"/>
      <c r="AE100" s="468"/>
      <c r="AF100" s="469">
        <f>SUM(AF77:AF99)</f>
        <v>48</v>
      </c>
      <c r="AG100" s="466">
        <f>SUM(AG77:AG99)</f>
        <v>48</v>
      </c>
    </row>
    <row r="101" spans="1:49" outlineLevel="1">
      <c r="A101" s="180"/>
      <c r="B101" s="63" t="s">
        <v>64</v>
      </c>
      <c r="C101" s="474" t="s">
        <v>29</v>
      </c>
      <c r="D101" s="474" t="s">
        <v>29</v>
      </c>
      <c r="E101" s="467">
        <v>8</v>
      </c>
      <c r="F101" s="467">
        <v>0.5</v>
      </c>
      <c r="G101" s="467"/>
      <c r="H101" s="474" t="s">
        <v>29</v>
      </c>
      <c r="I101" s="474" t="s">
        <v>29</v>
      </c>
      <c r="J101" s="467">
        <v>8</v>
      </c>
      <c r="K101" s="467">
        <v>0.75</v>
      </c>
      <c r="L101" s="467"/>
      <c r="M101" s="474" t="s">
        <v>29</v>
      </c>
      <c r="N101" s="474" t="s">
        <v>29</v>
      </c>
      <c r="O101" s="467">
        <v>8</v>
      </c>
      <c r="P101" s="467">
        <f>1</f>
        <v>1</v>
      </c>
      <c r="Q101" s="467"/>
      <c r="R101" s="474" t="s">
        <v>29</v>
      </c>
      <c r="S101" s="474" t="s">
        <v>29</v>
      </c>
      <c r="T101" s="467">
        <v>8</v>
      </c>
      <c r="U101" s="467">
        <f>0.75+0.75</f>
        <v>1.5</v>
      </c>
      <c r="V101" s="467"/>
      <c r="W101" s="474" t="s">
        <v>29</v>
      </c>
      <c r="X101" s="474" t="s">
        <v>29</v>
      </c>
      <c r="Y101" s="467">
        <v>8</v>
      </c>
      <c r="Z101" s="467">
        <v>1.5</v>
      </c>
      <c r="AA101" s="466">
        <f>SUM(E101+J101+O101+T101+Y101)</f>
        <v>40</v>
      </c>
      <c r="AB101" s="467">
        <f>Z101+U101+P101+K101+F101</f>
        <v>5.25</v>
      </c>
      <c r="AC101" s="470"/>
      <c r="AD101" s="474" t="s">
        <v>29</v>
      </c>
      <c r="AE101" s="474" t="s">
        <v>29</v>
      </c>
      <c r="AF101" s="466">
        <f>1+0.25+1</f>
        <v>2.25</v>
      </c>
      <c r="AG101" s="466">
        <f>AF101</f>
        <v>2.25</v>
      </c>
    </row>
    <row r="102" spans="1:49" outlineLevel="1">
      <c r="A102" s="180"/>
      <c r="B102" s="71" t="s">
        <v>66</v>
      </c>
      <c r="C102" s="71"/>
      <c r="D102" s="71"/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  <c r="AA102" s="71"/>
      <c r="AB102" s="71"/>
      <c r="AC102" s="71"/>
      <c r="AD102" s="71"/>
      <c r="AE102" s="71"/>
      <c r="AF102" s="71"/>
      <c r="AG102" s="71"/>
    </row>
    <row r="103" spans="1:49" outlineLevel="1">
      <c r="A103" s="180"/>
      <c r="B103" s="217" t="s">
        <v>67</v>
      </c>
      <c r="C103" s="207">
        <f>C104+C105</f>
        <v>84</v>
      </c>
      <c r="D103" s="207"/>
      <c r="E103" s="209"/>
      <c r="F103" s="209"/>
      <c r="G103" s="207"/>
      <c r="H103" s="209"/>
      <c r="I103" s="209"/>
      <c r="J103" s="209"/>
      <c r="K103" s="209"/>
      <c r="L103" s="207"/>
      <c r="M103" s="207"/>
      <c r="N103" s="207"/>
      <c r="O103" s="207"/>
      <c r="P103" s="209"/>
      <c r="Q103" s="207"/>
      <c r="R103" s="207"/>
      <c r="S103" s="207"/>
      <c r="T103" s="207"/>
      <c r="U103" s="209"/>
      <c r="V103" s="207"/>
      <c r="W103" s="207"/>
      <c r="X103" s="207"/>
      <c r="Y103" s="210"/>
      <c r="Z103" s="209"/>
      <c r="AA103" s="211"/>
      <c r="AB103" s="209"/>
      <c r="AC103" s="211"/>
      <c r="AD103" s="211"/>
      <c r="AE103" s="211"/>
      <c r="AF103" s="211"/>
      <c r="AG103" s="211"/>
    </row>
    <row r="104" spans="1:49" outlineLevel="1">
      <c r="A104" s="180"/>
      <c r="B104" s="238" t="s">
        <v>68</v>
      </c>
      <c r="C104" s="239">
        <f>15+16+16+15+16+6</f>
        <v>84</v>
      </c>
      <c r="D104" s="207"/>
      <c r="E104" s="209"/>
      <c r="F104" s="209"/>
      <c r="G104" s="207"/>
      <c r="H104" s="209"/>
      <c r="I104" s="209"/>
      <c r="J104" s="209"/>
      <c r="K104" s="209"/>
      <c r="L104" s="207"/>
      <c r="M104" s="207"/>
      <c r="N104" s="207"/>
      <c r="O104" s="207"/>
      <c r="P104" s="209"/>
      <c r="Q104" s="207"/>
      <c r="R104" s="207"/>
      <c r="S104" s="207"/>
      <c r="T104" s="207"/>
      <c r="U104" s="209"/>
      <c r="V104" s="207"/>
      <c r="W104" s="207"/>
      <c r="X104" s="207"/>
      <c r="Y104" s="210"/>
      <c r="Z104" s="209"/>
      <c r="AA104" s="211"/>
      <c r="AB104" s="209"/>
      <c r="AC104" s="211"/>
      <c r="AD104" s="211"/>
      <c r="AE104" s="211"/>
      <c r="AF104" s="211"/>
      <c r="AG104" s="211"/>
    </row>
    <row r="105" spans="1:49" outlineLevel="1">
      <c r="A105" s="180"/>
      <c r="B105" s="238" t="s">
        <v>69</v>
      </c>
      <c r="C105" s="239"/>
      <c r="D105" s="207"/>
      <c r="E105" s="209"/>
      <c r="F105" s="209"/>
      <c r="G105" s="207"/>
      <c r="H105" s="209"/>
      <c r="I105" s="209"/>
      <c r="J105" s="209"/>
      <c r="K105" s="209"/>
      <c r="L105" s="207"/>
      <c r="M105" s="207"/>
      <c r="N105" s="207"/>
      <c r="O105" s="207"/>
      <c r="P105" s="209"/>
      <c r="Q105" s="207"/>
      <c r="R105" s="207"/>
      <c r="S105" s="207"/>
      <c r="T105" s="207"/>
      <c r="U105" s="209"/>
      <c r="V105" s="207"/>
      <c r="W105" s="207"/>
      <c r="X105" s="207"/>
      <c r="Y105" s="210"/>
      <c r="Z105" s="209"/>
      <c r="AA105" s="211"/>
      <c r="AB105" s="209"/>
      <c r="AC105" s="211"/>
      <c r="AD105" s="211"/>
      <c r="AE105" s="211"/>
      <c r="AF105" s="211"/>
      <c r="AG105" s="211"/>
    </row>
    <row r="106" spans="1:49" s="180" customFormat="1" outlineLevel="1">
      <c r="E106" s="4"/>
      <c r="F106" s="4"/>
      <c r="G106" s="4"/>
      <c r="J106" s="4"/>
      <c r="K106" s="4"/>
      <c r="L106" s="4"/>
      <c r="O106" s="4"/>
      <c r="P106" s="4"/>
      <c r="Q106" s="4"/>
      <c r="T106" s="4"/>
      <c r="U106" s="4"/>
      <c r="V106" s="4"/>
      <c r="Y106" s="4"/>
      <c r="Z106" s="4"/>
      <c r="AA106" s="4"/>
      <c r="AB106" s="4"/>
      <c r="AC106" s="4"/>
      <c r="AH106" s="4"/>
    </row>
    <row r="107" spans="1:49" outlineLevel="1">
      <c r="A107" s="180"/>
      <c r="B107" s="229"/>
      <c r="C107" s="230"/>
      <c r="D107" s="230"/>
      <c r="E107" s="232"/>
      <c r="F107" s="232"/>
      <c r="G107" s="230"/>
      <c r="H107" s="232"/>
      <c r="I107" s="232"/>
      <c r="J107" s="232"/>
      <c r="K107" s="232"/>
      <c r="L107" s="230"/>
      <c r="M107" s="230"/>
      <c r="N107" s="230"/>
      <c r="O107" s="230"/>
      <c r="P107" s="232"/>
      <c r="Q107" s="230"/>
      <c r="R107" s="230"/>
      <c r="S107" s="230"/>
      <c r="T107" s="230"/>
      <c r="U107" s="232"/>
      <c r="V107" s="230"/>
      <c r="W107" s="230"/>
      <c r="X107" s="230"/>
      <c r="Y107" s="233"/>
      <c r="Z107" s="232"/>
      <c r="AA107" s="234"/>
      <c r="AB107" s="232"/>
      <c r="AC107" s="373"/>
      <c r="AD107" s="236"/>
      <c r="AE107" s="255"/>
      <c r="AF107" s="255"/>
      <c r="AG107" s="255"/>
      <c r="AH107" s="255"/>
      <c r="AJ107" s="255"/>
      <c r="AK107" s="255"/>
      <c r="AL107" s="255"/>
      <c r="AM107" s="255"/>
      <c r="AN107" s="255"/>
      <c r="AO107" s="255"/>
      <c r="AP107" s="255"/>
      <c r="AQ107" s="255"/>
      <c r="AR107" s="255"/>
      <c r="AS107" s="255"/>
      <c r="AT107" s="255"/>
      <c r="AU107" s="255"/>
      <c r="AV107" s="255"/>
      <c r="AW107" s="255"/>
    </row>
    <row r="108" spans="1:49" outlineLevel="1">
      <c r="B108" s="180"/>
      <c r="E108" s="4"/>
      <c r="F108" s="4"/>
      <c r="G108" s="4"/>
      <c r="J108" s="4"/>
      <c r="K108" s="4"/>
      <c r="L108" s="4"/>
      <c r="O108" s="4"/>
      <c r="P108" s="4"/>
      <c r="T108" s="4"/>
      <c r="U108" s="4"/>
      <c r="Y108" s="4"/>
      <c r="Z108" s="4"/>
      <c r="AA108" s="4"/>
      <c r="AB108" s="4"/>
      <c r="AC108" s="4"/>
      <c r="AK108" s="180"/>
      <c r="AL108" s="180"/>
      <c r="AM108" s="180"/>
      <c r="AN108" s="180"/>
      <c r="AO108" s="180"/>
      <c r="AP108" s="180"/>
    </row>
    <row r="109" spans="1:49" outlineLevel="1">
      <c r="A109" s="228"/>
      <c r="B109" s="1518" t="s">
        <v>18</v>
      </c>
      <c r="C109" s="1519">
        <v>45390</v>
      </c>
      <c r="D109" s="1519"/>
      <c r="E109" s="1519"/>
      <c r="F109" s="1519"/>
      <c r="G109" s="365"/>
      <c r="H109" s="1519">
        <v>45391</v>
      </c>
      <c r="I109" s="1519"/>
      <c r="J109" s="1519"/>
      <c r="K109" s="1519"/>
      <c r="L109" s="365">
        <v>45343</v>
      </c>
      <c r="M109" s="1519">
        <v>45392</v>
      </c>
      <c r="N109" s="1519"/>
      <c r="O109" s="1519"/>
      <c r="P109" s="1519"/>
      <c r="Q109" s="365"/>
      <c r="R109" s="1519">
        <v>45393</v>
      </c>
      <c r="S109" s="1519"/>
      <c r="T109" s="1519"/>
      <c r="U109" s="1519"/>
      <c r="V109" s="365"/>
      <c r="W109" s="1519">
        <v>45394</v>
      </c>
      <c r="X109" s="1519"/>
      <c r="Y109" s="1519"/>
      <c r="Z109" s="1519"/>
      <c r="AA109" s="1517" t="s">
        <v>19</v>
      </c>
      <c r="AB109" s="1517" t="s">
        <v>20</v>
      </c>
      <c r="AC109" s="4"/>
      <c r="AD109" s="1519">
        <v>45395</v>
      </c>
      <c r="AE109" s="1519"/>
      <c r="AF109" s="1519"/>
      <c r="AG109" s="1517" t="s">
        <v>21</v>
      </c>
      <c r="AI109" s="368"/>
      <c r="AK109" s="194" t="s">
        <v>84</v>
      </c>
      <c r="AL109" s="366"/>
      <c r="AM109" s="366"/>
      <c r="AN109" s="366"/>
      <c r="AO109" s="366"/>
      <c r="AP109" s="366"/>
    </row>
    <row r="110" spans="1:49" outlineLevel="1">
      <c r="A110" s="180"/>
      <c r="B110" s="1518"/>
      <c r="C110" s="21" t="s">
        <v>23</v>
      </c>
      <c r="D110" s="21" t="s">
        <v>24</v>
      </c>
      <c r="E110" s="205" t="s">
        <v>25</v>
      </c>
      <c r="F110" s="18" t="s">
        <v>14</v>
      </c>
      <c r="G110" s="4"/>
      <c r="H110" s="21" t="s">
        <v>23</v>
      </c>
      <c r="I110" s="21" t="s">
        <v>24</v>
      </c>
      <c r="J110" s="18" t="s">
        <v>25</v>
      </c>
      <c r="K110" s="18" t="s">
        <v>14</v>
      </c>
      <c r="L110" s="4"/>
      <c r="M110" s="21" t="s">
        <v>23</v>
      </c>
      <c r="N110" s="21" t="s">
        <v>24</v>
      </c>
      <c r="O110" s="18" t="s">
        <v>25</v>
      </c>
      <c r="P110" s="18" t="s">
        <v>14</v>
      </c>
      <c r="R110" s="21" t="s">
        <v>23</v>
      </c>
      <c r="S110" s="21" t="s">
        <v>24</v>
      </c>
      <c r="T110" s="18" t="s">
        <v>25</v>
      </c>
      <c r="U110" s="18" t="s">
        <v>14</v>
      </c>
      <c r="W110" s="21" t="s">
        <v>23</v>
      </c>
      <c r="X110" s="21" t="s">
        <v>24</v>
      </c>
      <c r="Y110" s="18" t="s">
        <v>25</v>
      </c>
      <c r="Z110" s="18" t="s">
        <v>14</v>
      </c>
      <c r="AA110" s="1517"/>
      <c r="AB110" s="1517"/>
      <c r="AC110" s="4"/>
      <c r="AD110" s="21" t="s">
        <v>23</v>
      </c>
      <c r="AE110" s="21" t="s">
        <v>24</v>
      </c>
      <c r="AF110" s="18" t="s">
        <v>25</v>
      </c>
      <c r="AG110" s="1517"/>
      <c r="AI110" s="368"/>
      <c r="AJ110" s="367"/>
      <c r="AK110" s="494" t="s">
        <v>26</v>
      </c>
      <c r="AL110" s="471">
        <f>AA143</f>
        <v>703.25</v>
      </c>
      <c r="AM110" s="510">
        <v>38</v>
      </c>
      <c r="AN110" s="510">
        <f t="shared" ref="AN110:AN116" si="25">AL110*AM110</f>
        <v>26723.5</v>
      </c>
      <c r="AQ110" s="367"/>
      <c r="AR110" s="367"/>
      <c r="AS110" s="367"/>
      <c r="AT110" s="367"/>
      <c r="AU110" s="367"/>
      <c r="AV110" s="367"/>
      <c r="AW110" s="367"/>
    </row>
    <row r="111" spans="1:49" outlineLevel="1">
      <c r="A111" s="180"/>
      <c r="B111" s="457" t="s">
        <v>347</v>
      </c>
      <c r="C111" s="47">
        <v>0</v>
      </c>
      <c r="D111" s="47">
        <v>0</v>
      </c>
      <c r="E111" s="319">
        <v>0</v>
      </c>
      <c r="F111" s="320"/>
      <c r="G111" s="4"/>
      <c r="H111" s="47">
        <v>0</v>
      </c>
      <c r="I111" s="47">
        <v>0</v>
      </c>
      <c r="J111" s="319">
        <v>0</v>
      </c>
      <c r="K111" s="320"/>
      <c r="L111" s="4"/>
      <c r="M111" s="47">
        <v>0.35416666666666669</v>
      </c>
      <c r="N111" s="47">
        <v>0.20833333333333334</v>
      </c>
      <c r="O111" s="319">
        <v>7</v>
      </c>
      <c r="P111" s="320"/>
      <c r="R111" s="441" t="s">
        <v>75</v>
      </c>
      <c r="S111" s="441" t="s">
        <v>136</v>
      </c>
      <c r="T111" s="319">
        <v>7</v>
      </c>
      <c r="U111" s="320"/>
      <c r="W111" s="441" t="s">
        <v>75</v>
      </c>
      <c r="X111" s="441" t="s">
        <v>136</v>
      </c>
      <c r="Y111" s="319">
        <v>7</v>
      </c>
      <c r="Z111" s="320"/>
      <c r="AA111" s="328">
        <f t="shared" ref="AA111" si="26">(E111+J111+O111+T111+Y111)</f>
        <v>21</v>
      </c>
      <c r="AB111" s="298">
        <f t="shared" ref="AB111:AB121" si="27">Z111+U111+P111+K111+F111</f>
        <v>0</v>
      </c>
      <c r="AC111" s="4"/>
      <c r="AD111" s="47" t="s">
        <v>29</v>
      </c>
      <c r="AE111" s="47" t="s">
        <v>29</v>
      </c>
      <c r="AF111" s="319">
        <v>0</v>
      </c>
      <c r="AG111" s="328">
        <f t="shared" ref="AG111:AG125" si="28">AF111</f>
        <v>0</v>
      </c>
      <c r="AI111" s="368"/>
      <c r="AJ111" s="367"/>
      <c r="AK111" s="494" t="s">
        <v>30</v>
      </c>
      <c r="AL111" s="471">
        <f>$AB$31</f>
        <v>0</v>
      </c>
      <c r="AM111" s="511">
        <v>57</v>
      </c>
      <c r="AN111" s="510">
        <f t="shared" si="25"/>
        <v>0</v>
      </c>
      <c r="AQ111" s="367"/>
      <c r="AR111" s="367"/>
      <c r="AS111" s="367"/>
      <c r="AT111" s="367"/>
      <c r="AU111" s="367"/>
      <c r="AV111" s="367"/>
      <c r="AW111" s="367"/>
    </row>
    <row r="112" spans="1:49" outlineLevel="1">
      <c r="A112" s="367"/>
      <c r="B112" s="318" t="s">
        <v>332</v>
      </c>
      <c r="C112" s="47">
        <v>0</v>
      </c>
      <c r="D112" s="47">
        <v>0</v>
      </c>
      <c r="E112" s="319">
        <v>0</v>
      </c>
      <c r="F112" s="320"/>
      <c r="G112" s="4"/>
      <c r="H112" s="47">
        <v>0.47916666666666669</v>
      </c>
      <c r="I112" s="47">
        <v>0.20833333333333334</v>
      </c>
      <c r="J112" s="319">
        <v>5</v>
      </c>
      <c r="K112" s="320"/>
      <c r="L112" s="4"/>
      <c r="M112" s="47">
        <v>0.375</v>
      </c>
      <c r="N112" s="47">
        <v>0.20833333333333334</v>
      </c>
      <c r="O112" s="319">
        <v>7</v>
      </c>
      <c r="P112" s="320"/>
      <c r="R112" s="441" t="s">
        <v>75</v>
      </c>
      <c r="S112" s="441" t="s">
        <v>136</v>
      </c>
      <c r="T112" s="319">
        <v>7</v>
      </c>
      <c r="U112" s="320"/>
      <c r="W112" s="441" t="s">
        <v>76</v>
      </c>
      <c r="X112" s="441" t="s">
        <v>136</v>
      </c>
      <c r="Y112" s="319">
        <v>7</v>
      </c>
      <c r="Z112" s="320"/>
      <c r="AA112" s="328">
        <f t="shared" ref="AA112:AA142" si="29">(E112+J112+O112+T112+Y112)</f>
        <v>26</v>
      </c>
      <c r="AB112" s="298">
        <f t="shared" si="27"/>
        <v>0</v>
      </c>
      <c r="AC112" s="4"/>
      <c r="AD112" s="47" t="s">
        <v>29</v>
      </c>
      <c r="AE112" s="47" t="s">
        <v>29</v>
      </c>
      <c r="AF112" s="319">
        <v>0</v>
      </c>
      <c r="AG112" s="328">
        <f t="shared" si="28"/>
        <v>0</v>
      </c>
      <c r="AH112" s="175"/>
      <c r="AI112" s="402"/>
      <c r="AJ112" s="367"/>
      <c r="AK112" s="494" t="s">
        <v>32</v>
      </c>
      <c r="AL112" s="471">
        <f>AG143</f>
        <v>28</v>
      </c>
      <c r="AM112" s="510">
        <v>57</v>
      </c>
      <c r="AN112" s="510">
        <f t="shared" si="25"/>
        <v>1596</v>
      </c>
      <c r="AQ112" s="367"/>
      <c r="AR112" s="367"/>
      <c r="AS112" s="367"/>
      <c r="AT112" s="367"/>
      <c r="AU112" s="367"/>
      <c r="AV112" s="367"/>
      <c r="AW112" s="367"/>
    </row>
    <row r="113" spans="1:49" outlineLevel="1">
      <c r="A113" s="367"/>
      <c r="B113" s="457" t="s">
        <v>348</v>
      </c>
      <c r="C113" s="47">
        <v>0</v>
      </c>
      <c r="D113" s="47">
        <v>0</v>
      </c>
      <c r="E113" s="319">
        <v>0</v>
      </c>
      <c r="F113" s="320"/>
      <c r="G113" s="4"/>
      <c r="H113" s="47">
        <v>0</v>
      </c>
      <c r="I113" s="47">
        <v>0</v>
      </c>
      <c r="J113" s="319">
        <v>5</v>
      </c>
      <c r="K113" s="320"/>
      <c r="L113" s="4"/>
      <c r="M113" s="47">
        <v>0.36458333333333331</v>
      </c>
      <c r="N113" s="47">
        <v>0.20833333333333334</v>
      </c>
      <c r="O113" s="319">
        <v>7</v>
      </c>
      <c r="P113" s="320"/>
      <c r="R113" s="441" t="s">
        <v>75</v>
      </c>
      <c r="S113" s="441" t="s">
        <v>136</v>
      </c>
      <c r="T113" s="319">
        <v>7</v>
      </c>
      <c r="U113" s="320"/>
      <c r="W113" s="441" t="s">
        <v>75</v>
      </c>
      <c r="X113" s="441" t="s">
        <v>136</v>
      </c>
      <c r="Y113" s="319">
        <v>7</v>
      </c>
      <c r="Z113" s="320"/>
      <c r="AA113" s="328">
        <f t="shared" si="29"/>
        <v>26</v>
      </c>
      <c r="AB113" s="298">
        <f t="shared" si="27"/>
        <v>0</v>
      </c>
      <c r="AC113" s="399"/>
      <c r="AD113" s="47" t="s">
        <v>29</v>
      </c>
      <c r="AE113" s="47" t="s">
        <v>29</v>
      </c>
      <c r="AF113" s="319">
        <v>0</v>
      </c>
      <c r="AG113" s="29">
        <f t="shared" si="28"/>
        <v>0</v>
      </c>
      <c r="AH113" s="175"/>
      <c r="AJ113" s="401"/>
      <c r="AK113" s="494" t="s">
        <v>213</v>
      </c>
      <c r="AL113" s="471">
        <f>AA145</f>
        <v>37.5</v>
      </c>
      <c r="AM113" s="510">
        <v>50</v>
      </c>
      <c r="AN113" s="510">
        <f t="shared" si="25"/>
        <v>1875</v>
      </c>
      <c r="AO113" s="405"/>
      <c r="AP113" s="405"/>
      <c r="AQ113" s="401"/>
      <c r="AR113" s="401"/>
      <c r="AS113" s="401"/>
      <c r="AT113" s="401"/>
      <c r="AU113" s="401"/>
      <c r="AV113" s="401"/>
      <c r="AW113" s="401"/>
    </row>
    <row r="114" spans="1:49" outlineLevel="1">
      <c r="A114" s="367"/>
      <c r="B114" s="318" t="s">
        <v>334</v>
      </c>
      <c r="C114" s="47">
        <v>0</v>
      </c>
      <c r="D114" s="47">
        <v>0</v>
      </c>
      <c r="E114" s="319">
        <v>0</v>
      </c>
      <c r="F114" s="320"/>
      <c r="G114" s="4"/>
      <c r="H114" s="47">
        <v>0</v>
      </c>
      <c r="I114" s="47">
        <v>0</v>
      </c>
      <c r="J114" s="319">
        <v>0</v>
      </c>
      <c r="K114" s="320"/>
      <c r="L114" s="4"/>
      <c r="M114" s="47">
        <v>0.36458333333333331</v>
      </c>
      <c r="N114" s="47">
        <v>0.20833333333333334</v>
      </c>
      <c r="O114" s="319">
        <v>7</v>
      </c>
      <c r="P114" s="320"/>
      <c r="R114" s="47">
        <v>0.375</v>
      </c>
      <c r="S114" s="441" t="s">
        <v>136</v>
      </c>
      <c r="T114" s="319">
        <v>7</v>
      </c>
      <c r="U114" s="320"/>
      <c r="W114" s="47">
        <v>0.375</v>
      </c>
      <c r="X114" s="441" t="s">
        <v>136</v>
      </c>
      <c r="Y114" s="319">
        <v>7</v>
      </c>
      <c r="Z114" s="320"/>
      <c r="AA114" s="328">
        <f t="shared" si="29"/>
        <v>21</v>
      </c>
      <c r="AB114" s="298">
        <f t="shared" si="27"/>
        <v>0</v>
      </c>
      <c r="AC114" s="399"/>
      <c r="AD114" s="47" t="s">
        <v>29</v>
      </c>
      <c r="AE114" s="47" t="s">
        <v>29</v>
      </c>
      <c r="AF114" s="319">
        <v>0</v>
      </c>
      <c r="AG114" s="29">
        <f t="shared" si="28"/>
        <v>0</v>
      </c>
      <c r="AH114" s="175"/>
      <c r="AJ114" s="401"/>
      <c r="AK114" s="494" t="s">
        <v>36</v>
      </c>
      <c r="AL114" s="471">
        <f>AB145</f>
        <v>3.75</v>
      </c>
      <c r="AM114" s="510">
        <v>75</v>
      </c>
      <c r="AN114" s="510">
        <f t="shared" si="25"/>
        <v>281.25</v>
      </c>
      <c r="AO114" s="405"/>
      <c r="AP114" s="405"/>
      <c r="AQ114" s="401"/>
      <c r="AR114" s="401"/>
      <c r="AS114" s="401"/>
      <c r="AT114" s="401"/>
      <c r="AU114" s="401"/>
      <c r="AV114" s="401"/>
      <c r="AW114" s="401"/>
    </row>
    <row r="115" spans="1:49" outlineLevel="1">
      <c r="A115" s="367"/>
      <c r="B115" s="318" t="s">
        <v>329</v>
      </c>
      <c r="C115" s="47">
        <v>0.5</v>
      </c>
      <c r="D115" s="47">
        <v>0.20833333333333334</v>
      </c>
      <c r="E115" s="319">
        <v>5</v>
      </c>
      <c r="F115" s="320"/>
      <c r="G115" s="4"/>
      <c r="H115" s="47">
        <v>0.47916666666666669</v>
      </c>
      <c r="I115" s="47">
        <v>0.20833333333333334</v>
      </c>
      <c r="J115" s="319">
        <v>5</v>
      </c>
      <c r="K115" s="320"/>
      <c r="L115" s="4"/>
      <c r="M115" s="47">
        <v>0.36458333333333331</v>
      </c>
      <c r="N115" s="47">
        <v>0.20833333333333334</v>
      </c>
      <c r="O115" s="319">
        <v>7</v>
      </c>
      <c r="P115" s="320"/>
      <c r="R115" s="47">
        <v>0.375</v>
      </c>
      <c r="S115" s="441" t="s">
        <v>136</v>
      </c>
      <c r="T115" s="319">
        <v>7</v>
      </c>
      <c r="U115" s="320"/>
      <c r="W115" s="47">
        <v>0.38541666666666669</v>
      </c>
      <c r="X115" s="441" t="s">
        <v>136</v>
      </c>
      <c r="Y115" s="319">
        <v>6.75</v>
      </c>
      <c r="Z115" s="320"/>
      <c r="AA115" s="328">
        <f t="shared" si="29"/>
        <v>30.75</v>
      </c>
      <c r="AB115" s="298">
        <f t="shared" si="27"/>
        <v>0</v>
      </c>
      <c r="AC115" s="175"/>
      <c r="AD115" s="47" t="s">
        <v>29</v>
      </c>
      <c r="AE115" s="47" t="s">
        <v>29</v>
      </c>
      <c r="AF115" s="319">
        <v>0</v>
      </c>
      <c r="AG115" s="344">
        <f t="shared" si="28"/>
        <v>0</v>
      </c>
      <c r="AH115" s="175"/>
      <c r="AI115" s="368"/>
      <c r="AK115" s="494" t="s">
        <v>38</v>
      </c>
      <c r="AL115" s="471">
        <f>AG145</f>
        <v>2.75</v>
      </c>
      <c r="AM115" s="510">
        <v>75</v>
      </c>
      <c r="AN115" s="510">
        <f t="shared" si="25"/>
        <v>206.25</v>
      </c>
    </row>
    <row r="116" spans="1:49" ht="14.25" outlineLevel="1" thickBot="1">
      <c r="A116" s="401"/>
      <c r="B116" s="318" t="s">
        <v>232</v>
      </c>
      <c r="C116" s="47">
        <v>0</v>
      </c>
      <c r="D116" s="47">
        <v>0</v>
      </c>
      <c r="E116" s="319">
        <v>0</v>
      </c>
      <c r="F116" s="320"/>
      <c r="G116" s="4"/>
      <c r="H116" s="47">
        <v>0</v>
      </c>
      <c r="I116" s="47">
        <v>0</v>
      </c>
      <c r="J116" s="319">
        <v>0</v>
      </c>
      <c r="K116" s="320"/>
      <c r="L116" s="4"/>
      <c r="M116" s="47">
        <v>0.38541666666666669</v>
      </c>
      <c r="N116" s="47">
        <v>0.20833333333333334</v>
      </c>
      <c r="O116" s="319">
        <v>6.75</v>
      </c>
      <c r="P116" s="320"/>
      <c r="R116" s="47">
        <v>0.38541666666666669</v>
      </c>
      <c r="S116" s="441" t="s">
        <v>349</v>
      </c>
      <c r="T116" s="319">
        <v>5.75</v>
      </c>
      <c r="U116" s="320"/>
      <c r="W116" s="47">
        <v>0.40625</v>
      </c>
      <c r="X116" s="441" t="s">
        <v>136</v>
      </c>
      <c r="Y116" s="319">
        <v>6.25</v>
      </c>
      <c r="Z116" s="320"/>
      <c r="AA116" s="328">
        <f t="shared" si="29"/>
        <v>18.75</v>
      </c>
      <c r="AB116" s="298">
        <f t="shared" si="27"/>
        <v>0</v>
      </c>
      <c r="AC116" s="4"/>
      <c r="AD116" s="47" t="s">
        <v>29</v>
      </c>
      <c r="AE116" s="47" t="s">
        <v>29</v>
      </c>
      <c r="AF116" s="319">
        <v>0</v>
      </c>
      <c r="AG116" s="29">
        <f t="shared" si="28"/>
        <v>0</v>
      </c>
      <c r="AJ116" s="367"/>
      <c r="AK116" s="494" t="s">
        <v>41</v>
      </c>
      <c r="AL116" s="471">
        <f>C146</f>
        <v>97</v>
      </c>
      <c r="AM116" s="512">
        <v>45</v>
      </c>
      <c r="AN116" s="512">
        <f t="shared" si="25"/>
        <v>4365</v>
      </c>
      <c r="AQ116" s="367"/>
      <c r="AR116" s="367"/>
      <c r="AS116" s="367"/>
      <c r="AT116" s="367"/>
      <c r="AU116" s="367"/>
      <c r="AV116" s="367"/>
      <c r="AW116" s="367"/>
    </row>
    <row r="117" spans="1:49" ht="13.5" customHeight="1" outlineLevel="1" thickTop="1">
      <c r="A117" s="180"/>
      <c r="B117" s="318" t="s">
        <v>337</v>
      </c>
      <c r="C117" s="47" t="s">
        <v>29</v>
      </c>
      <c r="D117" s="47" t="s">
        <v>29</v>
      </c>
      <c r="E117" s="319">
        <v>8</v>
      </c>
      <c r="F117" s="320"/>
      <c r="G117" s="4"/>
      <c r="H117" s="47" t="s">
        <v>29</v>
      </c>
      <c r="I117" s="47" t="s">
        <v>29</v>
      </c>
      <c r="J117" s="319">
        <v>8</v>
      </c>
      <c r="K117" s="320"/>
      <c r="L117" s="4"/>
      <c r="M117" s="47">
        <v>0</v>
      </c>
      <c r="N117" s="47">
        <v>0</v>
      </c>
      <c r="O117" s="319">
        <v>0</v>
      </c>
      <c r="P117" s="320"/>
      <c r="R117" s="47">
        <v>0</v>
      </c>
      <c r="S117" s="441" t="s">
        <v>154</v>
      </c>
      <c r="T117" s="319">
        <v>0</v>
      </c>
      <c r="U117" s="320"/>
      <c r="W117" s="47">
        <v>0</v>
      </c>
      <c r="X117" s="47">
        <v>0</v>
      </c>
      <c r="Y117" s="319">
        <v>0</v>
      </c>
      <c r="Z117" s="320"/>
      <c r="AA117" s="328">
        <f t="shared" si="29"/>
        <v>16</v>
      </c>
      <c r="AB117" s="298">
        <f t="shared" si="27"/>
        <v>0</v>
      </c>
      <c r="AC117" s="4"/>
      <c r="AD117" s="47" t="s">
        <v>29</v>
      </c>
      <c r="AE117" s="47" t="s">
        <v>29</v>
      </c>
      <c r="AF117" s="319">
        <v>0</v>
      </c>
      <c r="AG117" s="29">
        <f t="shared" si="28"/>
        <v>0</v>
      </c>
      <c r="AH117" s="175"/>
      <c r="AN117" s="510">
        <f>SUM(AN110:AN116)</f>
        <v>35047</v>
      </c>
      <c r="AO117" s="369"/>
      <c r="AP117" s="369"/>
    </row>
    <row r="118" spans="1:49" outlineLevel="1">
      <c r="A118" s="367"/>
      <c r="B118" s="318" t="s">
        <v>53</v>
      </c>
      <c r="C118" s="47">
        <v>0</v>
      </c>
      <c r="D118" s="47">
        <v>0</v>
      </c>
      <c r="E118" s="319">
        <v>0</v>
      </c>
      <c r="F118" s="320"/>
      <c r="G118" s="4"/>
      <c r="H118" s="47">
        <v>0</v>
      </c>
      <c r="I118" s="47">
        <v>0</v>
      </c>
      <c r="J118" s="319">
        <v>0</v>
      </c>
      <c r="K118" s="320"/>
      <c r="L118" s="4"/>
      <c r="M118" s="47">
        <v>0</v>
      </c>
      <c r="N118" s="47">
        <v>0</v>
      </c>
      <c r="O118" s="319">
        <v>0</v>
      </c>
      <c r="P118" s="320"/>
      <c r="R118" s="47">
        <v>0.375</v>
      </c>
      <c r="S118" s="441" t="s">
        <v>136</v>
      </c>
      <c r="T118" s="319">
        <v>7</v>
      </c>
      <c r="U118" s="320"/>
      <c r="W118" s="47">
        <v>0.375</v>
      </c>
      <c r="X118" s="441" t="s">
        <v>136</v>
      </c>
      <c r="Y118" s="319">
        <v>7</v>
      </c>
      <c r="Z118" s="320"/>
      <c r="AA118" s="328">
        <f t="shared" si="29"/>
        <v>14</v>
      </c>
      <c r="AB118" s="298">
        <f t="shared" si="27"/>
        <v>0</v>
      </c>
      <c r="AC118" s="4"/>
      <c r="AD118" s="47">
        <v>0.375</v>
      </c>
      <c r="AE118" s="47">
        <v>0.20833333333333334</v>
      </c>
      <c r="AF118" s="319">
        <v>8</v>
      </c>
      <c r="AG118" s="29">
        <f t="shared" si="28"/>
        <v>8</v>
      </c>
    </row>
    <row r="119" spans="1:49" outlineLevel="1">
      <c r="A119" s="180"/>
      <c r="B119" s="318" t="s">
        <v>330</v>
      </c>
      <c r="C119" s="47">
        <v>0</v>
      </c>
      <c r="D119" s="47">
        <v>0</v>
      </c>
      <c r="E119" s="319">
        <v>0</v>
      </c>
      <c r="F119" s="320"/>
      <c r="G119" s="4"/>
      <c r="H119" s="47">
        <v>0</v>
      </c>
      <c r="I119" s="47">
        <v>0</v>
      </c>
      <c r="J119" s="319">
        <v>0</v>
      </c>
      <c r="K119" s="320"/>
      <c r="L119" s="4"/>
      <c r="M119" s="47">
        <v>0.375</v>
      </c>
      <c r="N119" s="47">
        <v>0.20833333333333334</v>
      </c>
      <c r="O119" s="319">
        <v>7</v>
      </c>
      <c r="P119" s="320"/>
      <c r="R119" s="47">
        <v>0.375</v>
      </c>
      <c r="S119" s="441" t="s">
        <v>136</v>
      </c>
      <c r="T119" s="319">
        <v>7</v>
      </c>
      <c r="U119" s="320"/>
      <c r="W119" s="47">
        <v>0.375</v>
      </c>
      <c r="X119" s="441" t="s">
        <v>136</v>
      </c>
      <c r="Y119" s="319">
        <v>7</v>
      </c>
      <c r="Z119" s="320"/>
      <c r="AA119" s="328">
        <f t="shared" si="29"/>
        <v>21</v>
      </c>
      <c r="AB119" s="298">
        <f t="shared" si="27"/>
        <v>0</v>
      </c>
      <c r="AC119" s="4"/>
      <c r="AD119" s="47" t="s">
        <v>29</v>
      </c>
      <c r="AE119" s="47" t="s">
        <v>29</v>
      </c>
      <c r="AF119" s="319">
        <v>0</v>
      </c>
      <c r="AG119" s="29">
        <f t="shared" si="28"/>
        <v>0</v>
      </c>
    </row>
    <row r="120" spans="1:49" outlineLevel="1">
      <c r="A120" s="180"/>
      <c r="B120" s="457" t="s">
        <v>234</v>
      </c>
      <c r="C120" s="47">
        <v>0</v>
      </c>
      <c r="D120" s="47">
        <v>0</v>
      </c>
      <c r="E120" s="319">
        <v>0</v>
      </c>
      <c r="F120" s="320"/>
      <c r="G120" s="4"/>
      <c r="H120" s="47">
        <v>0.48958333333333331</v>
      </c>
      <c r="I120" s="47">
        <v>0.20833333333333334</v>
      </c>
      <c r="J120" s="319">
        <v>5</v>
      </c>
      <c r="K120" s="320"/>
      <c r="L120" s="4"/>
      <c r="M120" s="47">
        <v>0.375</v>
      </c>
      <c r="N120" s="47">
        <v>0.20833333333333334</v>
      </c>
      <c r="O120" s="319">
        <v>7</v>
      </c>
      <c r="P120" s="320"/>
      <c r="R120" s="47">
        <v>0.375</v>
      </c>
      <c r="S120" s="441" t="s">
        <v>136</v>
      </c>
      <c r="T120" s="319">
        <v>7</v>
      </c>
      <c r="U120" s="320"/>
      <c r="W120" s="47">
        <v>0.375</v>
      </c>
      <c r="X120" s="441" t="s">
        <v>136</v>
      </c>
      <c r="Y120" s="319">
        <v>7</v>
      </c>
      <c r="Z120" s="320"/>
      <c r="AA120" s="328">
        <f t="shared" si="29"/>
        <v>26</v>
      </c>
      <c r="AB120" s="298">
        <f t="shared" si="27"/>
        <v>0</v>
      </c>
      <c r="AC120" s="4"/>
      <c r="AD120" s="47" t="s">
        <v>29</v>
      </c>
      <c r="AE120" s="47" t="s">
        <v>29</v>
      </c>
      <c r="AF120" s="319">
        <v>0</v>
      </c>
      <c r="AG120" s="29">
        <f t="shared" si="28"/>
        <v>0</v>
      </c>
    </row>
    <row r="121" spans="1:49" outlineLevel="1">
      <c r="A121" s="180"/>
      <c r="B121" s="318" t="s">
        <v>35</v>
      </c>
      <c r="C121" s="47">
        <v>0</v>
      </c>
      <c r="D121" s="47">
        <v>0</v>
      </c>
      <c r="E121" s="319">
        <v>0</v>
      </c>
      <c r="F121" s="320"/>
      <c r="G121" s="4"/>
      <c r="H121" s="47">
        <v>0</v>
      </c>
      <c r="I121" s="47">
        <v>0</v>
      </c>
      <c r="J121" s="319">
        <v>0</v>
      </c>
      <c r="K121" s="320"/>
      <c r="L121" s="4"/>
      <c r="M121" s="47" t="s">
        <v>252</v>
      </c>
      <c r="N121" s="47"/>
      <c r="O121" s="319">
        <v>0</v>
      </c>
      <c r="P121" s="320"/>
      <c r="R121" s="47">
        <v>0.40625</v>
      </c>
      <c r="S121" s="441" t="s">
        <v>136</v>
      </c>
      <c r="T121" s="319">
        <v>6.25</v>
      </c>
      <c r="U121" s="320"/>
      <c r="W121" s="47">
        <v>0.375</v>
      </c>
      <c r="X121" s="441" t="s">
        <v>136</v>
      </c>
      <c r="Y121" s="319">
        <v>7</v>
      </c>
      <c r="Z121" s="320"/>
      <c r="AA121" s="328">
        <f t="shared" si="29"/>
        <v>13.25</v>
      </c>
      <c r="AB121" s="298">
        <f t="shared" si="27"/>
        <v>0</v>
      </c>
      <c r="AC121" s="4"/>
      <c r="AD121" s="47" t="s">
        <v>29</v>
      </c>
      <c r="AE121" s="47" t="s">
        <v>29</v>
      </c>
      <c r="AF121" s="319">
        <v>0</v>
      </c>
      <c r="AG121" s="29">
        <f t="shared" si="28"/>
        <v>0</v>
      </c>
    </row>
    <row r="122" spans="1:49" outlineLevel="1">
      <c r="A122" s="180"/>
      <c r="B122" s="318" t="s">
        <v>336</v>
      </c>
      <c r="C122" s="47">
        <v>0</v>
      </c>
      <c r="D122" s="47">
        <v>0</v>
      </c>
      <c r="E122" s="319">
        <v>0</v>
      </c>
      <c r="F122" s="320"/>
      <c r="G122" s="4"/>
      <c r="H122" s="47">
        <v>0.47916666666666669</v>
      </c>
      <c r="I122" s="47">
        <v>0.20833333333333334</v>
      </c>
      <c r="J122" s="319">
        <v>5</v>
      </c>
      <c r="K122" s="320"/>
      <c r="L122" s="4"/>
      <c r="M122" s="47">
        <v>0.375</v>
      </c>
      <c r="N122" s="47">
        <v>0.20833333333333334</v>
      </c>
      <c r="O122" s="319">
        <v>7</v>
      </c>
      <c r="P122" s="320"/>
      <c r="R122" s="47">
        <v>0.35416666666666669</v>
      </c>
      <c r="S122" s="441" t="s">
        <v>136</v>
      </c>
      <c r="T122" s="319">
        <v>7</v>
      </c>
      <c r="U122" s="320"/>
      <c r="W122" s="47">
        <v>0.41666666666666669</v>
      </c>
      <c r="X122" s="441" t="s">
        <v>136</v>
      </c>
      <c r="Y122" s="319">
        <v>6</v>
      </c>
      <c r="Z122" s="320"/>
      <c r="AA122" s="328">
        <f t="shared" si="29"/>
        <v>25</v>
      </c>
      <c r="AB122" s="298">
        <f t="shared" ref="AB122:AB128" si="30">Z122+U122+P122+K122+F120</f>
        <v>0</v>
      </c>
      <c r="AC122" s="4"/>
      <c r="AD122" s="47" t="s">
        <v>29</v>
      </c>
      <c r="AE122" s="47" t="s">
        <v>29</v>
      </c>
      <c r="AF122" s="319">
        <v>0</v>
      </c>
      <c r="AG122" s="29">
        <f t="shared" si="28"/>
        <v>0</v>
      </c>
    </row>
    <row r="123" spans="1:49" outlineLevel="1">
      <c r="A123" s="180"/>
      <c r="B123" s="318" t="s">
        <v>108</v>
      </c>
      <c r="C123" s="47">
        <v>0</v>
      </c>
      <c r="D123" s="47">
        <v>0</v>
      </c>
      <c r="E123" s="319">
        <v>0</v>
      </c>
      <c r="F123" s="320"/>
      <c r="G123" s="4"/>
      <c r="H123" s="441" t="s">
        <v>350</v>
      </c>
      <c r="I123" s="47">
        <v>0.20833333333333334</v>
      </c>
      <c r="J123" s="319">
        <v>5</v>
      </c>
      <c r="K123" s="320"/>
      <c r="L123" s="4"/>
      <c r="M123" s="441" t="s">
        <v>75</v>
      </c>
      <c r="N123" s="47">
        <v>0.20833333333333334</v>
      </c>
      <c r="O123" s="319">
        <v>7</v>
      </c>
      <c r="P123" s="320"/>
      <c r="R123" s="441" t="s">
        <v>75</v>
      </c>
      <c r="S123" s="441" t="s">
        <v>136</v>
      </c>
      <c r="T123" s="319">
        <v>7</v>
      </c>
      <c r="U123" s="320"/>
      <c r="W123" s="47">
        <v>0.375</v>
      </c>
      <c r="X123" s="441" t="s">
        <v>136</v>
      </c>
      <c r="Y123" s="319">
        <v>7</v>
      </c>
      <c r="Z123" s="320"/>
      <c r="AA123" s="328">
        <f t="shared" si="29"/>
        <v>26</v>
      </c>
      <c r="AB123" s="298">
        <f t="shared" si="30"/>
        <v>0</v>
      </c>
      <c r="AC123" s="4"/>
      <c r="AD123" s="47" t="s">
        <v>29</v>
      </c>
      <c r="AE123" s="47" t="s">
        <v>29</v>
      </c>
      <c r="AF123" s="319">
        <v>0</v>
      </c>
      <c r="AG123" s="29">
        <f t="shared" si="28"/>
        <v>0</v>
      </c>
    </row>
    <row r="124" spans="1:49" outlineLevel="1">
      <c r="A124" s="180"/>
      <c r="B124" s="318" t="s">
        <v>327</v>
      </c>
      <c r="C124" s="47">
        <v>0</v>
      </c>
      <c r="D124" s="47">
        <v>0</v>
      </c>
      <c r="E124" s="319">
        <v>0</v>
      </c>
      <c r="F124" s="320"/>
      <c r="G124" s="4"/>
      <c r="H124" s="441" t="s">
        <v>350</v>
      </c>
      <c r="I124" s="47">
        <v>0.20833333333333334</v>
      </c>
      <c r="J124" s="319">
        <v>5</v>
      </c>
      <c r="K124" s="320"/>
      <c r="L124" s="4"/>
      <c r="M124" s="441" t="s">
        <v>212</v>
      </c>
      <c r="N124" s="47">
        <v>0.20833333333333334</v>
      </c>
      <c r="O124" s="319">
        <v>6.75</v>
      </c>
      <c r="P124" s="320"/>
      <c r="R124" s="47">
        <v>0.375</v>
      </c>
      <c r="S124" s="441" t="s">
        <v>136</v>
      </c>
      <c r="T124" s="319">
        <v>7</v>
      </c>
      <c r="U124" s="320"/>
      <c r="W124" s="47">
        <v>0.375</v>
      </c>
      <c r="X124" s="441" t="s">
        <v>136</v>
      </c>
      <c r="Y124" s="319">
        <v>7</v>
      </c>
      <c r="Z124" s="320"/>
      <c r="AA124" s="328">
        <f t="shared" si="29"/>
        <v>25.75</v>
      </c>
      <c r="AB124" s="298">
        <f t="shared" si="30"/>
        <v>0</v>
      </c>
      <c r="AC124" s="4"/>
      <c r="AD124" s="47" t="s">
        <v>29</v>
      </c>
      <c r="AE124" s="47" t="s">
        <v>29</v>
      </c>
      <c r="AF124" s="319">
        <v>0</v>
      </c>
      <c r="AG124" s="29">
        <f t="shared" si="28"/>
        <v>0</v>
      </c>
    </row>
    <row r="125" spans="1:49" outlineLevel="1">
      <c r="A125" s="180"/>
      <c r="B125" s="318" t="s">
        <v>328</v>
      </c>
      <c r="C125" s="47">
        <v>0</v>
      </c>
      <c r="D125" s="47">
        <v>0</v>
      </c>
      <c r="E125" s="319">
        <v>0</v>
      </c>
      <c r="F125" s="320"/>
      <c r="G125" s="4"/>
      <c r="H125" s="441" t="s">
        <v>350</v>
      </c>
      <c r="I125" s="47">
        <v>0.20833333333333334</v>
      </c>
      <c r="J125" s="319">
        <v>5</v>
      </c>
      <c r="K125" s="320"/>
      <c r="L125" s="4"/>
      <c r="M125" s="441" t="s">
        <v>75</v>
      </c>
      <c r="N125" s="47">
        <v>0.20833333333333334</v>
      </c>
      <c r="O125" s="319">
        <v>7</v>
      </c>
      <c r="P125" s="320"/>
      <c r="R125" s="47">
        <v>0.375</v>
      </c>
      <c r="S125" s="441" t="s">
        <v>136</v>
      </c>
      <c r="T125" s="319">
        <v>7</v>
      </c>
      <c r="U125" s="320"/>
      <c r="W125" s="47">
        <v>0.375</v>
      </c>
      <c r="X125" s="441" t="s">
        <v>136</v>
      </c>
      <c r="Y125" s="319">
        <v>7</v>
      </c>
      <c r="Z125" s="320"/>
      <c r="AA125" s="328">
        <f t="shared" si="29"/>
        <v>26</v>
      </c>
      <c r="AB125" s="298">
        <f t="shared" si="30"/>
        <v>0</v>
      </c>
      <c r="AC125" s="4"/>
      <c r="AD125" s="47" t="s">
        <v>29</v>
      </c>
      <c r="AE125" s="47" t="s">
        <v>29</v>
      </c>
      <c r="AF125" s="319">
        <v>0</v>
      </c>
      <c r="AG125" s="29">
        <f t="shared" si="28"/>
        <v>0</v>
      </c>
    </row>
    <row r="126" spans="1:49" outlineLevel="1">
      <c r="A126" s="180"/>
      <c r="B126" s="318" t="s">
        <v>52</v>
      </c>
      <c r="C126" s="47">
        <v>0</v>
      </c>
      <c r="D126" s="47">
        <v>0</v>
      </c>
      <c r="E126" s="319">
        <v>0</v>
      </c>
      <c r="F126" s="320"/>
      <c r="G126" s="4"/>
      <c r="H126" s="47">
        <v>0</v>
      </c>
      <c r="I126" s="441" t="s">
        <v>154</v>
      </c>
      <c r="J126" s="319">
        <v>0</v>
      </c>
      <c r="K126" s="320"/>
      <c r="L126" s="4"/>
      <c r="M126" s="441" t="s">
        <v>212</v>
      </c>
      <c r="N126" s="47">
        <v>0.20833333333333334</v>
      </c>
      <c r="O126" s="319">
        <v>6.75</v>
      </c>
      <c r="P126" s="320"/>
      <c r="R126" s="47">
        <v>0.375</v>
      </c>
      <c r="S126" s="441" t="s">
        <v>136</v>
      </c>
      <c r="T126" s="319">
        <v>7</v>
      </c>
      <c r="U126" s="320"/>
      <c r="W126" s="47">
        <v>0.36458333333333331</v>
      </c>
      <c r="X126" s="441" t="s">
        <v>136</v>
      </c>
      <c r="Y126" s="319">
        <v>7</v>
      </c>
      <c r="Z126" s="320"/>
      <c r="AA126" s="328">
        <f t="shared" si="29"/>
        <v>20.75</v>
      </c>
      <c r="AB126" s="298">
        <f t="shared" si="30"/>
        <v>0</v>
      </c>
      <c r="AC126" s="4"/>
      <c r="AD126" s="47" t="s">
        <v>29</v>
      </c>
      <c r="AE126" s="47" t="s">
        <v>29</v>
      </c>
      <c r="AF126" s="319">
        <v>0</v>
      </c>
      <c r="AG126" s="29">
        <f>AF126</f>
        <v>0</v>
      </c>
    </row>
    <row r="127" spans="1:49" outlineLevel="1">
      <c r="A127" s="180"/>
      <c r="B127" s="457" t="s">
        <v>351</v>
      </c>
      <c r="C127" s="47">
        <v>0</v>
      </c>
      <c r="D127" s="47">
        <v>0</v>
      </c>
      <c r="E127" s="319">
        <v>0</v>
      </c>
      <c r="F127" s="320"/>
      <c r="G127" s="4"/>
      <c r="H127" s="47">
        <v>0</v>
      </c>
      <c r="I127" s="441" t="s">
        <v>154</v>
      </c>
      <c r="J127" s="319">
        <v>0</v>
      </c>
      <c r="K127" s="320"/>
      <c r="L127" s="4"/>
      <c r="M127" s="441" t="s">
        <v>76</v>
      </c>
      <c r="N127" s="47">
        <v>0.20833333333333334</v>
      </c>
      <c r="O127" s="319">
        <v>7</v>
      </c>
      <c r="P127" s="320"/>
      <c r="R127" s="47">
        <v>0.36458333333333331</v>
      </c>
      <c r="S127" s="441" t="s">
        <v>136</v>
      </c>
      <c r="T127" s="319">
        <v>7</v>
      </c>
      <c r="U127" s="320"/>
      <c r="W127" s="47">
        <v>0.375</v>
      </c>
      <c r="X127" s="441" t="s">
        <v>136</v>
      </c>
      <c r="Y127" s="319">
        <v>7</v>
      </c>
      <c r="Z127" s="320"/>
      <c r="AA127" s="328">
        <f t="shared" si="29"/>
        <v>21</v>
      </c>
      <c r="AB127" s="298">
        <f t="shared" si="30"/>
        <v>0</v>
      </c>
      <c r="AC127" s="4"/>
      <c r="AD127" s="47" t="s">
        <v>29</v>
      </c>
      <c r="AE127" s="47" t="s">
        <v>29</v>
      </c>
      <c r="AF127" s="319">
        <v>0</v>
      </c>
      <c r="AG127" s="29">
        <f>AF127</f>
        <v>0</v>
      </c>
    </row>
    <row r="128" spans="1:49" outlineLevel="1">
      <c r="A128" s="180"/>
      <c r="B128" s="457" t="s">
        <v>96</v>
      </c>
      <c r="C128" s="47">
        <v>0</v>
      </c>
      <c r="D128" s="47">
        <v>0</v>
      </c>
      <c r="E128" s="319">
        <v>0</v>
      </c>
      <c r="F128" s="320"/>
      <c r="G128" s="4"/>
      <c r="H128" s="47">
        <v>0</v>
      </c>
      <c r="I128" s="47">
        <v>0</v>
      </c>
      <c r="J128" s="319">
        <v>0</v>
      </c>
      <c r="K128" s="320"/>
      <c r="L128" s="4"/>
      <c r="M128" s="441" t="s">
        <v>74</v>
      </c>
      <c r="N128" s="47">
        <v>0.20833333333333334</v>
      </c>
      <c r="O128" s="319">
        <v>7</v>
      </c>
      <c r="P128" s="320"/>
      <c r="R128" s="47">
        <v>0.375</v>
      </c>
      <c r="S128" s="441" t="s">
        <v>136</v>
      </c>
      <c r="T128" s="319">
        <v>7</v>
      </c>
      <c r="U128" s="320"/>
      <c r="W128" s="47">
        <v>0</v>
      </c>
      <c r="X128" s="47">
        <v>0</v>
      </c>
      <c r="Y128" s="319">
        <v>0</v>
      </c>
      <c r="Z128" s="320"/>
      <c r="AA128" s="328">
        <f t="shared" si="29"/>
        <v>14</v>
      </c>
      <c r="AB128" s="298">
        <f t="shared" si="30"/>
        <v>0</v>
      </c>
      <c r="AC128" s="4"/>
      <c r="AD128" s="47" t="s">
        <v>29</v>
      </c>
      <c r="AE128" s="47" t="s">
        <v>29</v>
      </c>
      <c r="AF128" s="319">
        <v>0</v>
      </c>
      <c r="AG128" s="29">
        <f>AF128</f>
        <v>0</v>
      </c>
    </row>
    <row r="129" spans="1:37" outlineLevel="1">
      <c r="A129" s="180"/>
      <c r="B129" s="457" t="s">
        <v>352</v>
      </c>
      <c r="C129" s="47">
        <v>0</v>
      </c>
      <c r="D129" s="47">
        <v>0</v>
      </c>
      <c r="E129" s="319">
        <v>0</v>
      </c>
      <c r="F129" s="320"/>
      <c r="G129" s="4"/>
      <c r="H129" s="47">
        <v>0</v>
      </c>
      <c r="I129" s="47">
        <v>0</v>
      </c>
      <c r="J129" s="319">
        <v>0</v>
      </c>
      <c r="K129" s="320"/>
      <c r="L129" s="4"/>
      <c r="M129" s="441" t="s">
        <v>75</v>
      </c>
      <c r="N129" s="441" t="s">
        <v>136</v>
      </c>
      <c r="O129" s="319">
        <v>7</v>
      </c>
      <c r="P129" s="320"/>
      <c r="R129" s="47">
        <v>0.375</v>
      </c>
      <c r="S129" s="441" t="s">
        <v>136</v>
      </c>
      <c r="T129" s="319">
        <v>7</v>
      </c>
      <c r="U129" s="320"/>
      <c r="W129" s="47">
        <v>0.38541666666666669</v>
      </c>
      <c r="X129" s="441" t="s">
        <v>136</v>
      </c>
      <c r="Y129" s="319">
        <v>6.75</v>
      </c>
      <c r="Z129" s="320"/>
      <c r="AA129" s="328">
        <f t="shared" si="29"/>
        <v>20.75</v>
      </c>
      <c r="AB129" s="298">
        <f t="shared" ref="AB129:AB131" si="31">Z129+U129+P129+K129+F127</f>
        <v>0</v>
      </c>
      <c r="AC129" s="4"/>
      <c r="AD129" s="47" t="s">
        <v>29</v>
      </c>
      <c r="AE129" s="47" t="s">
        <v>29</v>
      </c>
      <c r="AF129" s="319">
        <v>0</v>
      </c>
      <c r="AG129" s="29">
        <f t="shared" ref="AG129:AG131" si="32">AF129</f>
        <v>0</v>
      </c>
    </row>
    <row r="130" spans="1:37" outlineLevel="1">
      <c r="A130" s="180"/>
      <c r="B130" s="457" t="s">
        <v>353</v>
      </c>
      <c r="C130" s="47">
        <v>0</v>
      </c>
      <c r="D130" s="47">
        <v>0</v>
      </c>
      <c r="E130" s="319">
        <v>0</v>
      </c>
      <c r="F130" s="320"/>
      <c r="G130" s="4"/>
      <c r="H130" s="47">
        <v>0</v>
      </c>
      <c r="I130" s="47">
        <v>0</v>
      </c>
      <c r="J130" s="319">
        <v>0</v>
      </c>
      <c r="K130" s="320"/>
      <c r="L130" s="4"/>
      <c r="M130" s="441" t="s">
        <v>212</v>
      </c>
      <c r="N130" s="47">
        <v>0.20833333333333334</v>
      </c>
      <c r="O130" s="319">
        <v>6.75</v>
      </c>
      <c r="P130" s="320"/>
      <c r="R130" s="47">
        <v>0</v>
      </c>
      <c r="S130" s="47">
        <v>0</v>
      </c>
      <c r="T130" s="319">
        <v>0</v>
      </c>
      <c r="U130" s="320"/>
      <c r="W130" s="47">
        <v>0.375</v>
      </c>
      <c r="X130" s="441" t="s">
        <v>136</v>
      </c>
      <c r="Y130" s="319">
        <v>7</v>
      </c>
      <c r="Z130" s="320"/>
      <c r="AA130" s="328">
        <f t="shared" si="29"/>
        <v>13.75</v>
      </c>
      <c r="AB130" s="298">
        <f t="shared" si="31"/>
        <v>0</v>
      </c>
      <c r="AC130" s="4"/>
      <c r="AD130" s="47" t="s">
        <v>29</v>
      </c>
      <c r="AE130" s="47" t="s">
        <v>29</v>
      </c>
      <c r="AF130" s="319">
        <v>0</v>
      </c>
      <c r="AG130" s="29">
        <f t="shared" si="32"/>
        <v>0</v>
      </c>
    </row>
    <row r="131" spans="1:37" outlineLevel="1">
      <c r="A131" s="180"/>
      <c r="B131" s="457" t="s">
        <v>354</v>
      </c>
      <c r="C131" s="47">
        <v>0</v>
      </c>
      <c r="D131" s="47">
        <v>0</v>
      </c>
      <c r="E131" s="319">
        <v>0</v>
      </c>
      <c r="F131" s="320"/>
      <c r="G131" s="4"/>
      <c r="H131" s="47">
        <v>0</v>
      </c>
      <c r="I131" s="47">
        <v>0</v>
      </c>
      <c r="J131" s="319">
        <v>0</v>
      </c>
      <c r="K131" s="320"/>
      <c r="L131" s="4"/>
      <c r="M131" s="441" t="s">
        <v>74</v>
      </c>
      <c r="N131" s="47">
        <v>0.20833333333333334</v>
      </c>
      <c r="O131" s="319">
        <v>7</v>
      </c>
      <c r="P131" s="320"/>
      <c r="R131" s="47">
        <v>0</v>
      </c>
      <c r="S131" s="47">
        <v>0</v>
      </c>
      <c r="T131" s="319">
        <v>0</v>
      </c>
      <c r="U131" s="320"/>
      <c r="W131" s="47">
        <v>0</v>
      </c>
      <c r="X131" s="47">
        <v>0</v>
      </c>
      <c r="Y131" s="319">
        <v>0</v>
      </c>
      <c r="Z131" s="320"/>
      <c r="AA131" s="328">
        <f t="shared" si="29"/>
        <v>7</v>
      </c>
      <c r="AB131" s="298">
        <f t="shared" si="31"/>
        <v>0</v>
      </c>
      <c r="AC131" s="4"/>
      <c r="AD131" s="47" t="s">
        <v>29</v>
      </c>
      <c r="AE131" s="47" t="s">
        <v>29</v>
      </c>
      <c r="AF131" s="319">
        <v>0</v>
      </c>
      <c r="AG131" s="29">
        <f t="shared" si="32"/>
        <v>0</v>
      </c>
    </row>
    <row r="132" spans="1:37" outlineLevel="1">
      <c r="A132" s="180"/>
      <c r="B132" s="457" t="s">
        <v>355</v>
      </c>
      <c r="C132" s="47" t="s">
        <v>29</v>
      </c>
      <c r="D132" s="47" t="s">
        <v>29</v>
      </c>
      <c r="E132" s="319">
        <v>11.5</v>
      </c>
      <c r="F132" s="320"/>
      <c r="G132" s="4"/>
      <c r="H132" s="47" t="s">
        <v>29</v>
      </c>
      <c r="I132" s="47" t="s">
        <v>29</v>
      </c>
      <c r="J132" s="319">
        <v>13</v>
      </c>
      <c r="K132" s="320"/>
      <c r="L132" s="4"/>
      <c r="M132" s="47" t="s">
        <v>29</v>
      </c>
      <c r="N132" s="47" t="s">
        <v>29</v>
      </c>
      <c r="O132" s="319">
        <v>8.75</v>
      </c>
      <c r="P132" s="320"/>
      <c r="R132" s="47" t="s">
        <v>29</v>
      </c>
      <c r="S132" s="47" t="s">
        <v>29</v>
      </c>
      <c r="T132" s="319">
        <v>11.5</v>
      </c>
      <c r="U132" s="320"/>
      <c r="W132" s="47" t="s">
        <v>29</v>
      </c>
      <c r="X132" s="47" t="s">
        <v>29</v>
      </c>
      <c r="Y132" s="319">
        <v>12.25</v>
      </c>
      <c r="Z132" s="320"/>
      <c r="AA132" s="328">
        <f t="shared" si="29"/>
        <v>57</v>
      </c>
      <c r="AB132" s="298">
        <f t="shared" ref="AB132" si="33">Z132+U132+P132+K132+F130</f>
        <v>0</v>
      </c>
      <c r="AC132" s="4"/>
      <c r="AD132" s="47" t="s">
        <v>29</v>
      </c>
      <c r="AE132" s="47" t="s">
        <v>29</v>
      </c>
      <c r="AF132" s="319">
        <v>0</v>
      </c>
      <c r="AG132" s="29">
        <f t="shared" ref="AG132:AG142" si="34">AF132</f>
        <v>0</v>
      </c>
    </row>
    <row r="133" spans="1:37" outlineLevel="1">
      <c r="A133" s="180"/>
      <c r="B133" s="457" t="s">
        <v>356</v>
      </c>
      <c r="C133" s="47" t="s">
        <v>29</v>
      </c>
      <c r="D133" s="47" t="s">
        <v>29</v>
      </c>
      <c r="E133" s="319">
        <v>10.5</v>
      </c>
      <c r="F133" s="320"/>
      <c r="G133" s="4"/>
      <c r="H133" s="47" t="s">
        <v>29</v>
      </c>
      <c r="I133" s="47" t="s">
        <v>29</v>
      </c>
      <c r="J133" s="319">
        <v>11.75</v>
      </c>
      <c r="K133" s="320"/>
      <c r="L133" s="4"/>
      <c r="M133" s="47" t="s">
        <v>29</v>
      </c>
      <c r="N133" s="47" t="s">
        <v>29</v>
      </c>
      <c r="O133" s="319">
        <v>11.75</v>
      </c>
      <c r="P133" s="320"/>
      <c r="R133" s="47" t="s">
        <v>29</v>
      </c>
      <c r="S133" s="47" t="s">
        <v>29</v>
      </c>
      <c r="T133" s="319">
        <v>11.5</v>
      </c>
      <c r="U133" s="320"/>
      <c r="W133" s="47" t="s">
        <v>29</v>
      </c>
      <c r="X133" s="47" t="s">
        <v>29</v>
      </c>
      <c r="Y133" s="319">
        <v>0</v>
      </c>
      <c r="Z133" s="320"/>
      <c r="AA133" s="328">
        <f t="shared" si="29"/>
        <v>45.5</v>
      </c>
      <c r="AB133" s="298">
        <f t="shared" ref="AB133" si="35">Z133+U133+P133+K133+F131</f>
        <v>0</v>
      </c>
      <c r="AC133" s="4"/>
      <c r="AD133" s="47" t="s">
        <v>29</v>
      </c>
      <c r="AE133" s="47" t="s">
        <v>29</v>
      </c>
      <c r="AF133" s="319">
        <v>0</v>
      </c>
      <c r="AG133" s="29">
        <f t="shared" si="34"/>
        <v>0</v>
      </c>
    </row>
    <row r="134" spans="1:37" outlineLevel="1">
      <c r="A134" s="180"/>
      <c r="B134" s="460" t="s">
        <v>343</v>
      </c>
      <c r="C134" s="47" t="s">
        <v>29</v>
      </c>
      <c r="D134" s="47" t="s">
        <v>29</v>
      </c>
      <c r="E134" s="319">
        <v>0</v>
      </c>
      <c r="F134" s="320"/>
      <c r="G134" s="4"/>
      <c r="H134" s="47" t="s">
        <v>29</v>
      </c>
      <c r="I134" s="47" t="s">
        <v>29</v>
      </c>
      <c r="J134" s="319">
        <v>0</v>
      </c>
      <c r="K134" s="320"/>
      <c r="L134" s="4"/>
      <c r="M134" s="47" t="s">
        <v>29</v>
      </c>
      <c r="N134" s="47" t="s">
        <v>29</v>
      </c>
      <c r="O134" s="319">
        <v>0</v>
      </c>
      <c r="P134" s="320"/>
      <c r="R134" s="47" t="s">
        <v>29</v>
      </c>
      <c r="S134" s="47" t="s">
        <v>29</v>
      </c>
      <c r="T134" s="319">
        <v>0</v>
      </c>
      <c r="U134" s="320"/>
      <c r="W134" s="47" t="s">
        <v>29</v>
      </c>
      <c r="X134" s="47" t="s">
        <v>29</v>
      </c>
      <c r="Y134" s="319">
        <v>0</v>
      </c>
      <c r="Z134" s="320"/>
      <c r="AA134" s="328">
        <f t="shared" si="29"/>
        <v>0</v>
      </c>
      <c r="AB134" s="298">
        <f>Z134+U134+P134+K134+F125</f>
        <v>0</v>
      </c>
      <c r="AC134" s="4"/>
      <c r="AD134" s="47">
        <v>0.375</v>
      </c>
      <c r="AE134" s="47">
        <v>0.27083333333333331</v>
      </c>
      <c r="AF134" s="319">
        <v>9.5</v>
      </c>
      <c r="AG134" s="29">
        <f>AF134</f>
        <v>9.5</v>
      </c>
    </row>
    <row r="135" spans="1:37" outlineLevel="1">
      <c r="A135" s="180"/>
      <c r="B135" s="63" t="s">
        <v>250</v>
      </c>
      <c r="C135" s="47" t="s">
        <v>29</v>
      </c>
      <c r="D135" s="47" t="s">
        <v>29</v>
      </c>
      <c r="E135" s="319">
        <v>7</v>
      </c>
      <c r="F135" s="320"/>
      <c r="G135" s="4"/>
      <c r="H135" s="47" t="s">
        <v>29</v>
      </c>
      <c r="I135" s="47" t="s">
        <v>29</v>
      </c>
      <c r="J135" s="319">
        <v>7</v>
      </c>
      <c r="K135" s="320"/>
      <c r="L135" s="4"/>
      <c r="M135" s="47" t="s">
        <v>29</v>
      </c>
      <c r="N135" s="47" t="s">
        <v>29</v>
      </c>
      <c r="O135" s="319">
        <v>7</v>
      </c>
      <c r="P135" s="320"/>
      <c r="R135" s="47" t="s">
        <v>29</v>
      </c>
      <c r="S135" s="47" t="s">
        <v>29</v>
      </c>
      <c r="T135" s="319">
        <v>7</v>
      </c>
      <c r="U135" s="320"/>
      <c r="W135" s="47" t="s">
        <v>29</v>
      </c>
      <c r="X135" s="47" t="s">
        <v>29</v>
      </c>
      <c r="Y135" s="319">
        <v>7</v>
      </c>
      <c r="Z135" s="320"/>
      <c r="AA135" s="328">
        <f t="shared" si="29"/>
        <v>35</v>
      </c>
      <c r="AB135" s="298">
        <f>Z135+U135+P135+K135+F135</f>
        <v>0</v>
      </c>
      <c r="AC135" s="4"/>
      <c r="AD135" s="47" t="s">
        <v>29</v>
      </c>
      <c r="AE135" s="47" t="s">
        <v>29</v>
      </c>
      <c r="AF135" s="319">
        <v>0</v>
      </c>
      <c r="AG135" s="29">
        <f t="shared" si="34"/>
        <v>0</v>
      </c>
    </row>
    <row r="136" spans="1:37" ht="13.5" customHeight="1" outlineLevel="1">
      <c r="A136" s="180"/>
      <c r="B136" s="63" t="s">
        <v>357</v>
      </c>
      <c r="C136" s="47" t="s">
        <v>29</v>
      </c>
      <c r="D136" s="47" t="s">
        <v>29</v>
      </c>
      <c r="E136" s="319">
        <v>8</v>
      </c>
      <c r="F136" s="320">
        <v>2</v>
      </c>
      <c r="G136" s="4"/>
      <c r="H136" s="47" t="s">
        <v>29</v>
      </c>
      <c r="I136" s="47" t="s">
        <v>29</v>
      </c>
      <c r="J136" s="319">
        <v>8</v>
      </c>
      <c r="K136" s="320">
        <v>0.5</v>
      </c>
      <c r="L136" s="4"/>
      <c r="M136" s="47" t="s">
        <v>29</v>
      </c>
      <c r="N136" s="47" t="s">
        <v>29</v>
      </c>
      <c r="O136" s="319">
        <v>8</v>
      </c>
      <c r="P136" s="320">
        <v>0.5</v>
      </c>
      <c r="R136" s="47" t="s">
        <v>29</v>
      </c>
      <c r="S136" s="47" t="s">
        <v>29</v>
      </c>
      <c r="T136" s="319">
        <v>8</v>
      </c>
      <c r="U136" s="320">
        <v>0.5</v>
      </c>
      <c r="W136" s="47" t="s">
        <v>29</v>
      </c>
      <c r="X136" s="47" t="s">
        <v>29</v>
      </c>
      <c r="Y136" s="319">
        <v>8</v>
      </c>
      <c r="Z136" s="320">
        <v>0.5</v>
      </c>
      <c r="AA136" s="328">
        <f t="shared" si="29"/>
        <v>40</v>
      </c>
      <c r="AB136" s="298">
        <f>Z136+U136+P136+K136+F136</f>
        <v>4</v>
      </c>
      <c r="AC136" s="4"/>
      <c r="AD136" s="47">
        <v>0.35416666666666669</v>
      </c>
      <c r="AE136" s="47">
        <v>0.3125</v>
      </c>
      <c r="AF136" s="319">
        <v>10.5</v>
      </c>
      <c r="AG136" s="29">
        <f t="shared" si="34"/>
        <v>10.5</v>
      </c>
    </row>
    <row r="137" spans="1:37" outlineLevel="1">
      <c r="A137" s="180"/>
      <c r="B137" s="63" t="s">
        <v>63</v>
      </c>
      <c r="C137" s="47" t="s">
        <v>29</v>
      </c>
      <c r="D137" s="47" t="s">
        <v>29</v>
      </c>
      <c r="E137" s="319">
        <v>3</v>
      </c>
      <c r="F137" s="320"/>
      <c r="G137" s="438"/>
      <c r="H137" s="47" t="s">
        <v>29</v>
      </c>
      <c r="I137" s="47" t="s">
        <v>29</v>
      </c>
      <c r="J137" s="319">
        <v>3</v>
      </c>
      <c r="K137" s="320"/>
      <c r="L137" s="438"/>
      <c r="M137" s="47" t="s">
        <v>29</v>
      </c>
      <c r="N137" s="47" t="s">
        <v>29</v>
      </c>
      <c r="O137" s="319">
        <v>3</v>
      </c>
      <c r="P137" s="320"/>
      <c r="Q137" s="438"/>
      <c r="R137" s="47" t="s">
        <v>29</v>
      </c>
      <c r="S137" s="47" t="s">
        <v>29</v>
      </c>
      <c r="T137" s="319">
        <v>3</v>
      </c>
      <c r="U137" s="320"/>
      <c r="V137" s="438"/>
      <c r="W137" s="47" t="s">
        <v>29</v>
      </c>
      <c r="X137" s="47" t="s">
        <v>29</v>
      </c>
      <c r="Y137" s="319">
        <v>3</v>
      </c>
      <c r="Z137" s="320"/>
      <c r="AA137" s="328">
        <f t="shared" si="29"/>
        <v>15</v>
      </c>
      <c r="AB137" s="298">
        <f>Z137+U137+P137+K137+F137</f>
        <v>0</v>
      </c>
      <c r="AC137" s="4"/>
      <c r="AD137" s="47" t="s">
        <v>29</v>
      </c>
      <c r="AE137" s="47" t="s">
        <v>29</v>
      </c>
      <c r="AF137" s="319">
        <v>0</v>
      </c>
      <c r="AG137" s="29">
        <f t="shared" si="34"/>
        <v>0</v>
      </c>
      <c r="AK137" s="407"/>
    </row>
    <row r="138" spans="1:37" outlineLevel="1">
      <c r="A138" s="180"/>
      <c r="B138" s="267" t="s">
        <v>358</v>
      </c>
      <c r="C138" s="47" t="s">
        <v>29</v>
      </c>
      <c r="D138" s="47" t="s">
        <v>29</v>
      </c>
      <c r="E138" s="319">
        <v>4</v>
      </c>
      <c r="F138" s="320"/>
      <c r="G138" s="438"/>
      <c r="H138" s="47" t="s">
        <v>29</v>
      </c>
      <c r="I138" s="47" t="s">
        <v>29</v>
      </c>
      <c r="J138" s="319">
        <v>4</v>
      </c>
      <c r="K138" s="320"/>
      <c r="L138" s="438"/>
      <c r="M138" s="47" t="s">
        <v>29</v>
      </c>
      <c r="N138" s="47" t="s">
        <v>29</v>
      </c>
      <c r="O138" s="319">
        <v>4</v>
      </c>
      <c r="P138" s="320"/>
      <c r="Q138" s="438"/>
      <c r="R138" s="47" t="s">
        <v>29</v>
      </c>
      <c r="S138" s="47" t="s">
        <v>29</v>
      </c>
      <c r="T138" s="319">
        <v>4</v>
      </c>
      <c r="U138" s="320"/>
      <c r="V138" s="438"/>
      <c r="W138" s="47" t="s">
        <v>29</v>
      </c>
      <c r="X138" s="47" t="s">
        <v>29</v>
      </c>
      <c r="Y138" s="319">
        <v>4</v>
      </c>
      <c r="Z138" s="320"/>
      <c r="AA138" s="328">
        <f t="shared" si="29"/>
        <v>20</v>
      </c>
      <c r="AB138" s="298">
        <f t="shared" ref="AB138:AB142" si="36">Z138+U138+P138+K138+F138</f>
        <v>0</v>
      </c>
      <c r="AC138" s="4"/>
      <c r="AD138" s="47" t="s">
        <v>29</v>
      </c>
      <c r="AE138" s="47" t="s">
        <v>29</v>
      </c>
      <c r="AF138" s="319">
        <v>0</v>
      </c>
      <c r="AG138" s="29">
        <f t="shared" si="34"/>
        <v>0</v>
      </c>
      <c r="AK138" s="407"/>
    </row>
    <row r="139" spans="1:37" outlineLevel="1">
      <c r="A139" s="180"/>
      <c r="B139" s="267" t="s">
        <v>359</v>
      </c>
      <c r="C139" s="47" t="s">
        <v>29</v>
      </c>
      <c r="D139" s="47" t="s">
        <v>29</v>
      </c>
      <c r="E139" s="319">
        <v>3</v>
      </c>
      <c r="F139" s="320"/>
      <c r="G139" s="438"/>
      <c r="H139" s="47" t="s">
        <v>29</v>
      </c>
      <c r="I139" s="47" t="s">
        <v>29</v>
      </c>
      <c r="J139" s="319">
        <v>0</v>
      </c>
      <c r="K139" s="320"/>
      <c r="L139" s="438"/>
      <c r="M139" s="47" t="s">
        <v>29</v>
      </c>
      <c r="N139" s="47" t="s">
        <v>29</v>
      </c>
      <c r="O139" s="319">
        <v>3</v>
      </c>
      <c r="P139" s="320"/>
      <c r="Q139" s="438"/>
      <c r="R139" s="47" t="s">
        <v>29</v>
      </c>
      <c r="S139" s="47" t="s">
        <v>29</v>
      </c>
      <c r="T139" s="319">
        <v>0</v>
      </c>
      <c r="U139" s="320"/>
      <c r="V139" s="438"/>
      <c r="W139" s="47" t="s">
        <v>29</v>
      </c>
      <c r="X139" s="47" t="s">
        <v>29</v>
      </c>
      <c r="Y139" s="319">
        <v>3</v>
      </c>
      <c r="Z139" s="320"/>
      <c r="AA139" s="328">
        <f t="shared" si="29"/>
        <v>9</v>
      </c>
      <c r="AB139" s="298">
        <f t="shared" si="36"/>
        <v>0</v>
      </c>
      <c r="AC139" s="4"/>
      <c r="AD139" s="47" t="s">
        <v>29</v>
      </c>
      <c r="AE139" s="47" t="s">
        <v>29</v>
      </c>
      <c r="AF139" s="319">
        <v>0</v>
      </c>
      <c r="AG139" s="29">
        <f t="shared" si="34"/>
        <v>0</v>
      </c>
      <c r="AK139" s="407"/>
    </row>
    <row r="140" spans="1:37" outlineLevel="1">
      <c r="A140" s="180"/>
      <c r="B140" s="267" t="s">
        <v>360</v>
      </c>
      <c r="C140" s="47" t="s">
        <v>29</v>
      </c>
      <c r="D140" s="47" t="s">
        <v>29</v>
      </c>
      <c r="E140" s="319">
        <v>6</v>
      </c>
      <c r="F140" s="320"/>
      <c r="G140" s="438"/>
      <c r="H140" s="47" t="s">
        <v>29</v>
      </c>
      <c r="I140" s="47" t="s">
        <v>29</v>
      </c>
      <c r="J140" s="319">
        <v>4</v>
      </c>
      <c r="K140" s="320"/>
      <c r="L140" s="438"/>
      <c r="M140" s="47" t="s">
        <v>29</v>
      </c>
      <c r="N140" s="47" t="s">
        <v>29</v>
      </c>
      <c r="O140" s="319">
        <v>4</v>
      </c>
      <c r="P140" s="320"/>
      <c r="Q140" s="438"/>
      <c r="R140" s="47" t="s">
        <v>29</v>
      </c>
      <c r="S140" s="47" t="s">
        <v>29</v>
      </c>
      <c r="T140" s="319">
        <v>4</v>
      </c>
      <c r="U140" s="320"/>
      <c r="V140" s="438"/>
      <c r="W140" s="47" t="s">
        <v>29</v>
      </c>
      <c r="X140" s="47" t="s">
        <v>29</v>
      </c>
      <c r="Y140" s="319">
        <v>4</v>
      </c>
      <c r="Z140" s="320"/>
      <c r="AA140" s="328">
        <f t="shared" si="29"/>
        <v>22</v>
      </c>
      <c r="AB140" s="298">
        <f t="shared" si="36"/>
        <v>0</v>
      </c>
      <c r="AC140" s="4"/>
      <c r="AD140" s="47" t="s">
        <v>29</v>
      </c>
      <c r="AE140" s="47" t="s">
        <v>29</v>
      </c>
      <c r="AF140" s="319">
        <v>0</v>
      </c>
      <c r="AG140" s="29">
        <f t="shared" si="34"/>
        <v>0</v>
      </c>
      <c r="AK140" s="407"/>
    </row>
    <row r="141" spans="1:37" outlineLevel="1">
      <c r="A141" s="180"/>
      <c r="B141" s="267" t="s">
        <v>361</v>
      </c>
      <c r="C141" s="47" t="s">
        <v>29</v>
      </c>
      <c r="D141" s="47" t="s">
        <v>29</v>
      </c>
      <c r="E141" s="319">
        <v>0</v>
      </c>
      <c r="F141" s="320"/>
      <c r="G141" s="438"/>
      <c r="H141" s="47" t="s">
        <v>29</v>
      </c>
      <c r="I141" s="47" t="s">
        <v>29</v>
      </c>
      <c r="J141" s="319">
        <v>0</v>
      </c>
      <c r="K141" s="320"/>
      <c r="L141" s="438"/>
      <c r="M141" s="47" t="s">
        <v>29</v>
      </c>
      <c r="N141" s="47" t="s">
        <v>29</v>
      </c>
      <c r="O141" s="319">
        <v>0</v>
      </c>
      <c r="P141" s="320"/>
      <c r="Q141" s="438"/>
      <c r="R141" s="47" t="s">
        <v>29</v>
      </c>
      <c r="S141" s="47" t="s">
        <v>29</v>
      </c>
      <c r="T141" s="319">
        <v>3</v>
      </c>
      <c r="U141" s="320"/>
      <c r="V141" s="438"/>
      <c r="W141" s="47" t="s">
        <v>29</v>
      </c>
      <c r="X141" s="47" t="s">
        <v>29</v>
      </c>
      <c r="Y141" s="319">
        <v>3</v>
      </c>
      <c r="Z141" s="320"/>
      <c r="AA141" s="328">
        <f t="shared" si="29"/>
        <v>6</v>
      </c>
      <c r="AB141" s="298">
        <f t="shared" si="36"/>
        <v>0</v>
      </c>
      <c r="AC141" s="4"/>
      <c r="AD141" s="47" t="s">
        <v>29</v>
      </c>
      <c r="AE141" s="47" t="s">
        <v>29</v>
      </c>
      <c r="AF141" s="319">
        <v>0</v>
      </c>
      <c r="AG141" s="29">
        <f t="shared" si="34"/>
        <v>0</v>
      </c>
      <c r="AK141" s="407"/>
    </row>
    <row r="142" spans="1:37" outlineLevel="1">
      <c r="A142" s="180"/>
      <c r="B142" s="267" t="s">
        <v>362</v>
      </c>
      <c r="C142" s="47" t="s">
        <v>29</v>
      </c>
      <c r="D142" s="47" t="s">
        <v>29</v>
      </c>
      <c r="E142" s="319">
        <v>4</v>
      </c>
      <c r="F142" s="320"/>
      <c r="G142" s="438"/>
      <c r="H142" s="47" t="s">
        <v>29</v>
      </c>
      <c r="I142" s="47" t="s">
        <v>29</v>
      </c>
      <c r="J142" s="319">
        <v>4</v>
      </c>
      <c r="K142" s="320"/>
      <c r="L142" s="438"/>
      <c r="M142" s="47" t="s">
        <v>29</v>
      </c>
      <c r="N142" s="47" t="s">
        <v>29</v>
      </c>
      <c r="O142" s="319">
        <v>4</v>
      </c>
      <c r="P142" s="320"/>
      <c r="Q142" s="438"/>
      <c r="R142" s="47" t="s">
        <v>29</v>
      </c>
      <c r="S142" s="47" t="s">
        <v>29</v>
      </c>
      <c r="T142" s="319">
        <v>4</v>
      </c>
      <c r="U142" s="320"/>
      <c r="V142" s="438"/>
      <c r="W142" s="47" t="s">
        <v>29</v>
      </c>
      <c r="X142" s="47" t="s">
        <v>29</v>
      </c>
      <c r="Y142" s="319">
        <v>4</v>
      </c>
      <c r="Z142" s="320"/>
      <c r="AA142" s="328">
        <f t="shared" si="29"/>
        <v>20</v>
      </c>
      <c r="AB142" s="298">
        <f t="shared" si="36"/>
        <v>0</v>
      </c>
      <c r="AC142" s="4"/>
      <c r="AD142" s="47" t="s">
        <v>29</v>
      </c>
      <c r="AE142" s="47" t="s">
        <v>29</v>
      </c>
      <c r="AF142" s="319">
        <v>0</v>
      </c>
      <c r="AG142" s="29">
        <f t="shared" si="34"/>
        <v>0</v>
      </c>
      <c r="AK142" s="407"/>
    </row>
    <row r="143" spans="1:37" outlineLevel="1">
      <c r="A143" s="180"/>
      <c r="B143" s="64" t="s">
        <v>61</v>
      </c>
      <c r="C143" s="31"/>
      <c r="D143" s="31"/>
      <c r="E143" s="439">
        <f>SUM(E111:E142)</f>
        <v>70</v>
      </c>
      <c r="F143" s="320">
        <f>SUM(F111:F122)</f>
        <v>0</v>
      </c>
      <c r="G143" s="31"/>
      <c r="H143" s="31"/>
      <c r="I143" s="31"/>
      <c r="J143" s="439">
        <f>SUM(J111:J142)</f>
        <v>102.75</v>
      </c>
      <c r="K143" s="446">
        <f>SUM(K111:K122)</f>
        <v>0</v>
      </c>
      <c r="L143" s="31"/>
      <c r="M143" s="31"/>
      <c r="N143" s="31"/>
      <c r="O143" s="439">
        <f>SUM(O111:O142)</f>
        <v>178.5</v>
      </c>
      <c r="P143" s="320">
        <f>SUM(P111:P135)</f>
        <v>0</v>
      </c>
      <c r="Q143" s="31"/>
      <c r="R143" s="31"/>
      <c r="S143" s="31"/>
      <c r="T143" s="439">
        <f>SUM(T111:T142)</f>
        <v>180</v>
      </c>
      <c r="U143" s="320">
        <f>SUM(U111:U135)</f>
        <v>0</v>
      </c>
      <c r="V143" s="31"/>
      <c r="W143" s="31"/>
      <c r="X143" s="31"/>
      <c r="Y143" s="439">
        <f>SUM(Y111:Y142)</f>
        <v>172</v>
      </c>
      <c r="Z143" s="320">
        <f>SUM(Z111:Z122)</f>
        <v>0</v>
      </c>
      <c r="AA143" s="370">
        <f>SUM(AA111:AA142)</f>
        <v>703.25</v>
      </c>
      <c r="AB143" s="370">
        <f>SUM(AB111:AB142)</f>
        <v>4</v>
      </c>
      <c r="AC143" s="4"/>
      <c r="AD143" s="64"/>
      <c r="AE143" s="64"/>
      <c r="AF143" s="370">
        <f>SUM(AF111:AF142)</f>
        <v>28</v>
      </c>
      <c r="AG143" s="370">
        <f>SUM(AG111:AG142)</f>
        <v>28</v>
      </c>
    </row>
    <row r="144" spans="1:37" outlineLevel="1">
      <c r="A144" s="180"/>
      <c r="B144" s="63" t="s">
        <v>64</v>
      </c>
      <c r="C144" s="47" t="s">
        <v>29</v>
      </c>
      <c r="D144" s="47" t="s">
        <v>29</v>
      </c>
      <c r="E144" s="319">
        <v>7.5</v>
      </c>
      <c r="F144" s="291"/>
      <c r="G144" s="60"/>
      <c r="H144" s="47" t="s">
        <v>29</v>
      </c>
      <c r="I144" s="47" t="s">
        <v>29</v>
      </c>
      <c r="J144" s="319">
        <v>7.5</v>
      </c>
      <c r="K144" s="291"/>
      <c r="L144" s="60"/>
      <c r="M144" s="47" t="s">
        <v>29</v>
      </c>
      <c r="N144" s="47" t="s">
        <v>29</v>
      </c>
      <c r="O144" s="319">
        <v>7.5</v>
      </c>
      <c r="P144" s="19">
        <v>0.75</v>
      </c>
      <c r="Q144" s="60"/>
      <c r="R144" s="47" t="s">
        <v>29</v>
      </c>
      <c r="S144" s="47" t="s">
        <v>29</v>
      </c>
      <c r="T144" s="319">
        <v>7.5</v>
      </c>
      <c r="U144" s="19">
        <v>1.5</v>
      </c>
      <c r="V144" s="60"/>
      <c r="W144" s="47" t="s">
        <v>29</v>
      </c>
      <c r="X144" s="47" t="s">
        <v>29</v>
      </c>
      <c r="Y144" s="319">
        <v>7.5</v>
      </c>
      <c r="Z144" s="19">
        <v>1.5</v>
      </c>
      <c r="AA144" s="28">
        <f>SUM(E144+J144+O144+T144+Y144)</f>
        <v>37.5</v>
      </c>
      <c r="AB144" s="296">
        <f>Z144+U144+P144+K144+F144</f>
        <v>3.75</v>
      </c>
      <c r="AC144" s="4"/>
      <c r="AD144" s="47" t="s">
        <v>29</v>
      </c>
      <c r="AE144" s="47" t="s">
        <v>29</v>
      </c>
      <c r="AF144" s="319">
        <f>1.25+0.75+0.25+0.5</f>
        <v>2.75</v>
      </c>
      <c r="AG144" s="29">
        <f>AF144</f>
        <v>2.75</v>
      </c>
    </row>
    <row r="145" spans="1:49" outlineLevel="1">
      <c r="A145" s="180"/>
      <c r="B145" s="71" t="s">
        <v>66</v>
      </c>
      <c r="C145" s="371"/>
      <c r="D145" s="371"/>
      <c r="E145" s="71"/>
      <c r="F145" s="71"/>
      <c r="G145" s="71"/>
      <c r="H145" s="71"/>
      <c r="I145" s="71"/>
      <c r="J145" s="71"/>
      <c r="K145" s="71"/>
      <c r="L145" s="71"/>
      <c r="M145" s="71"/>
      <c r="N145" s="71"/>
      <c r="O145" s="71"/>
      <c r="P145" s="71"/>
      <c r="Q145" s="71"/>
      <c r="R145" s="71"/>
      <c r="S145" s="71"/>
      <c r="T145" s="71"/>
      <c r="U145" s="71"/>
      <c r="V145" s="71"/>
      <c r="W145" s="71"/>
      <c r="X145" s="71"/>
      <c r="Y145" s="71"/>
      <c r="Z145" s="71"/>
      <c r="AA145" s="370">
        <f>SUM(AA144:AA144)</f>
        <v>37.5</v>
      </c>
      <c r="AB145" s="370">
        <f>SUM(AB144:AB144)</f>
        <v>3.75</v>
      </c>
      <c r="AC145" s="4"/>
      <c r="AG145" s="370">
        <f>SUM(AG144:AG144)</f>
        <v>2.75</v>
      </c>
    </row>
    <row r="146" spans="1:49" outlineLevel="1">
      <c r="A146" s="180"/>
      <c r="B146" s="217" t="s">
        <v>67</v>
      </c>
      <c r="C146" s="207">
        <f>C147+C148</f>
        <v>97</v>
      </c>
      <c r="D146" s="207"/>
      <c r="E146" s="209"/>
      <c r="F146" s="209"/>
      <c r="G146" s="207"/>
      <c r="H146" s="209"/>
      <c r="I146" s="209"/>
      <c r="J146" s="209"/>
      <c r="K146" s="209"/>
      <c r="L146" s="207"/>
      <c r="M146" s="207"/>
      <c r="N146" s="207"/>
      <c r="O146" s="207"/>
      <c r="P146" s="209"/>
      <c r="Q146" s="207"/>
      <c r="R146" s="207"/>
      <c r="S146" s="207"/>
      <c r="T146" s="207"/>
      <c r="U146" s="209"/>
      <c r="V146" s="207"/>
      <c r="W146" s="207"/>
      <c r="X146" s="207"/>
      <c r="Y146" s="210"/>
      <c r="Z146" s="209"/>
      <c r="AA146" s="211"/>
      <c r="AB146" s="209"/>
      <c r="AC146" s="211"/>
      <c r="AD146" s="211"/>
      <c r="AE146" s="211"/>
      <c r="AF146" s="211"/>
      <c r="AG146" s="211"/>
    </row>
    <row r="147" spans="1:49" outlineLevel="1">
      <c r="A147" s="180"/>
      <c r="B147" s="238" t="s">
        <v>68</v>
      </c>
      <c r="C147" s="239">
        <f>3+8+19+19+20+25+3</f>
        <v>97</v>
      </c>
      <c r="D147" s="207"/>
      <c r="E147" s="209"/>
      <c r="F147" s="209"/>
      <c r="G147" s="207"/>
      <c r="H147" s="209"/>
      <c r="I147" s="209"/>
      <c r="J147" s="209"/>
      <c r="K147" s="209"/>
      <c r="L147" s="207"/>
      <c r="M147" s="207"/>
      <c r="N147" s="207"/>
      <c r="O147" s="207"/>
      <c r="P147" s="209"/>
      <c r="Q147" s="207"/>
      <c r="R147" s="207"/>
      <c r="S147" s="207"/>
      <c r="T147" s="207"/>
      <c r="U147" s="209"/>
      <c r="V147" s="207"/>
      <c r="W147" s="207"/>
      <c r="X147" s="207"/>
      <c r="Y147" s="210"/>
      <c r="Z147" s="209"/>
      <c r="AA147" s="211"/>
      <c r="AB147" s="209"/>
      <c r="AC147" s="211"/>
      <c r="AD147" s="211"/>
      <c r="AE147" s="211"/>
      <c r="AF147" s="211"/>
      <c r="AG147" s="211"/>
    </row>
    <row r="148" spans="1:49" outlineLevel="1">
      <c r="A148" s="180"/>
      <c r="B148" s="238" t="s">
        <v>69</v>
      </c>
      <c r="C148" s="239"/>
      <c r="D148" s="207"/>
      <c r="E148" s="209"/>
      <c r="F148" s="209"/>
      <c r="G148" s="207"/>
      <c r="H148" s="209"/>
      <c r="I148" s="209"/>
      <c r="J148" s="209"/>
      <c r="K148" s="209"/>
      <c r="L148" s="207"/>
      <c r="M148" s="207"/>
      <c r="N148" s="207"/>
      <c r="O148" s="207"/>
      <c r="P148" s="209"/>
      <c r="Q148" s="207"/>
      <c r="R148" s="207"/>
      <c r="S148" s="207"/>
      <c r="T148" s="207"/>
      <c r="U148" s="209"/>
      <c r="V148" s="207"/>
      <c r="W148" s="207"/>
      <c r="X148" s="207"/>
      <c r="Y148" s="210"/>
      <c r="Z148" s="209"/>
      <c r="AA148" s="211"/>
      <c r="AB148" s="209"/>
      <c r="AC148" s="211"/>
      <c r="AD148" s="211"/>
      <c r="AE148" s="211"/>
      <c r="AF148" s="211"/>
      <c r="AG148" s="211"/>
    </row>
    <row r="149" spans="1:49" s="180" customFormat="1" outlineLevel="1">
      <c r="E149" s="4"/>
      <c r="F149" s="4"/>
      <c r="G149" s="4"/>
      <c r="J149" s="4"/>
      <c r="K149" s="4"/>
      <c r="L149" s="4"/>
      <c r="O149" s="4"/>
      <c r="P149" s="4"/>
      <c r="Q149" s="4"/>
      <c r="T149" s="4"/>
      <c r="U149" s="4"/>
      <c r="V149" s="4"/>
      <c r="Y149" s="4"/>
      <c r="Z149" s="4"/>
      <c r="AA149" s="4"/>
      <c r="AB149" s="4"/>
      <c r="AC149" s="4"/>
      <c r="AH149" s="4"/>
    </row>
    <row r="150" spans="1:49" outlineLevel="1">
      <c r="A150" s="180"/>
      <c r="B150" s="229"/>
      <c r="C150" s="230"/>
      <c r="D150" s="230"/>
      <c r="E150" s="232"/>
      <c r="F150" s="232"/>
      <c r="G150" s="230"/>
      <c r="H150" s="232"/>
      <c r="I150" s="232"/>
      <c r="J150" s="232"/>
      <c r="K150" s="232"/>
      <c r="L150" s="230"/>
      <c r="M150" s="230"/>
      <c r="N150" s="230"/>
      <c r="O150" s="230"/>
      <c r="P150" s="232"/>
      <c r="Q150" s="230"/>
      <c r="R150" s="230"/>
      <c r="S150" s="230"/>
      <c r="T150" s="230"/>
      <c r="U150" s="232"/>
      <c r="V150" s="230"/>
      <c r="W150" s="230"/>
      <c r="X150" s="230"/>
      <c r="Y150" s="233"/>
      <c r="Z150" s="232"/>
      <c r="AA150" s="234"/>
      <c r="AB150" s="232"/>
      <c r="AC150" s="373"/>
      <c r="AD150" s="236"/>
      <c r="AE150" s="255"/>
      <c r="AF150" s="255"/>
      <c r="AG150" s="255"/>
      <c r="AH150" s="255"/>
      <c r="AJ150" s="255"/>
      <c r="AK150" s="255"/>
      <c r="AL150" s="255"/>
      <c r="AM150" s="255"/>
      <c r="AN150" s="255"/>
      <c r="AO150" s="255"/>
      <c r="AP150" s="255"/>
      <c r="AQ150" s="255"/>
      <c r="AR150" s="255"/>
      <c r="AS150" s="255"/>
      <c r="AT150" s="255"/>
      <c r="AU150" s="255"/>
      <c r="AV150" s="255"/>
      <c r="AW150" s="255"/>
    </row>
    <row r="151" spans="1:49" outlineLevel="1">
      <c r="B151" s="180"/>
      <c r="E151" s="4"/>
      <c r="F151" s="4"/>
      <c r="G151" s="4"/>
      <c r="J151" s="4"/>
      <c r="K151" s="4"/>
      <c r="L151" s="4"/>
      <c r="O151" s="4"/>
      <c r="P151" s="4"/>
      <c r="T151" s="4"/>
      <c r="U151" s="4"/>
      <c r="Y151" s="4"/>
      <c r="Z151" s="4"/>
      <c r="AA151" s="4"/>
      <c r="AB151" s="4"/>
      <c r="AC151" s="4"/>
      <c r="AK151" s="180"/>
      <c r="AL151" s="180"/>
      <c r="AM151" s="180"/>
      <c r="AN151" s="180"/>
      <c r="AO151" s="180"/>
      <c r="AP151" s="180"/>
    </row>
    <row r="152" spans="1:49" outlineLevel="1">
      <c r="A152" s="228"/>
      <c r="B152" s="1518" t="s">
        <v>18</v>
      </c>
      <c r="C152" s="1519">
        <v>45397</v>
      </c>
      <c r="D152" s="1519"/>
      <c r="E152" s="1519"/>
      <c r="F152" s="1519"/>
      <c r="G152" s="365"/>
      <c r="H152" s="1519">
        <v>45398</v>
      </c>
      <c r="I152" s="1519"/>
      <c r="J152" s="1519"/>
      <c r="K152" s="1519"/>
      <c r="L152" s="365">
        <v>45343</v>
      </c>
      <c r="M152" s="1519">
        <v>45399</v>
      </c>
      <c r="N152" s="1519"/>
      <c r="O152" s="1519"/>
      <c r="P152" s="1519"/>
      <c r="Q152" s="365"/>
      <c r="R152" s="1519">
        <v>45400</v>
      </c>
      <c r="S152" s="1519"/>
      <c r="T152" s="1519"/>
      <c r="U152" s="1519"/>
      <c r="V152" s="365"/>
      <c r="W152" s="1519">
        <v>45401</v>
      </c>
      <c r="X152" s="1519"/>
      <c r="Y152" s="1519"/>
      <c r="Z152" s="1519"/>
      <c r="AA152" s="1517" t="s">
        <v>19</v>
      </c>
      <c r="AB152" s="1517" t="s">
        <v>20</v>
      </c>
      <c r="AC152" s="4"/>
      <c r="AD152" s="1519">
        <v>45402</v>
      </c>
      <c r="AE152" s="1519"/>
      <c r="AF152" s="1519"/>
      <c r="AG152" s="1517" t="s">
        <v>21</v>
      </c>
      <c r="AI152" s="368"/>
      <c r="AK152" s="194" t="s">
        <v>84</v>
      </c>
      <c r="AL152" s="366"/>
      <c r="AM152" s="366"/>
      <c r="AN152" s="366"/>
      <c r="AO152" s="366"/>
      <c r="AP152" s="366"/>
    </row>
    <row r="153" spans="1:49" outlineLevel="1">
      <c r="A153" s="180"/>
      <c r="B153" s="1518"/>
      <c r="C153" s="21" t="s">
        <v>23</v>
      </c>
      <c r="D153" s="21" t="s">
        <v>24</v>
      </c>
      <c r="E153" s="205" t="s">
        <v>25</v>
      </c>
      <c r="F153" s="18" t="s">
        <v>14</v>
      </c>
      <c r="G153" s="4"/>
      <c r="H153" s="21" t="s">
        <v>23</v>
      </c>
      <c r="I153" s="21" t="s">
        <v>24</v>
      </c>
      <c r="J153" s="18" t="s">
        <v>25</v>
      </c>
      <c r="K153" s="18" t="s">
        <v>14</v>
      </c>
      <c r="L153" s="4"/>
      <c r="M153" s="21" t="s">
        <v>23</v>
      </c>
      <c r="N153" s="21" t="s">
        <v>24</v>
      </c>
      <c r="O153" s="18" t="s">
        <v>25</v>
      </c>
      <c r="P153" s="18" t="s">
        <v>14</v>
      </c>
      <c r="R153" s="21" t="s">
        <v>23</v>
      </c>
      <c r="S153" s="21" t="s">
        <v>24</v>
      </c>
      <c r="T153" s="18" t="s">
        <v>25</v>
      </c>
      <c r="U153" s="18" t="s">
        <v>14</v>
      </c>
      <c r="W153" s="21" t="s">
        <v>23</v>
      </c>
      <c r="X153" s="21" t="s">
        <v>24</v>
      </c>
      <c r="Y153" s="18" t="s">
        <v>25</v>
      </c>
      <c r="Z153" s="18" t="s">
        <v>14</v>
      </c>
      <c r="AA153" s="1517"/>
      <c r="AB153" s="1517"/>
      <c r="AC153" s="4"/>
      <c r="AD153" s="21" t="s">
        <v>23</v>
      </c>
      <c r="AE153" s="21" t="s">
        <v>24</v>
      </c>
      <c r="AF153" s="18" t="s">
        <v>25</v>
      </c>
      <c r="AG153" s="1517"/>
      <c r="AI153" s="368"/>
      <c r="AJ153" s="367"/>
      <c r="AK153" s="494" t="s">
        <v>26</v>
      </c>
      <c r="AL153" s="471">
        <f>AA185</f>
        <v>712.40000000000009</v>
      </c>
      <c r="AM153" s="510">
        <v>38</v>
      </c>
      <c r="AN153" s="510">
        <f t="shared" ref="AN153:AN159" si="37">AL153*AM153</f>
        <v>27071.200000000004</v>
      </c>
      <c r="AQ153" s="367"/>
      <c r="AR153" s="367"/>
      <c r="AS153" s="367"/>
      <c r="AT153" s="367"/>
      <c r="AU153" s="367"/>
      <c r="AV153" s="367"/>
      <c r="AW153" s="367"/>
    </row>
    <row r="154" spans="1:49" outlineLevel="1">
      <c r="A154" s="180"/>
      <c r="B154" s="457" t="s">
        <v>347</v>
      </c>
      <c r="C154" s="436">
        <v>0.34375</v>
      </c>
      <c r="D154" s="47">
        <v>0.53125</v>
      </c>
      <c r="E154" s="319">
        <v>4.5</v>
      </c>
      <c r="F154" s="320"/>
      <c r="G154" s="4"/>
      <c r="H154" s="47">
        <v>0.39583333333333331</v>
      </c>
      <c r="I154" s="47">
        <v>0.20833333333333334</v>
      </c>
      <c r="J154" s="319">
        <v>6.5</v>
      </c>
      <c r="K154" s="320"/>
      <c r="L154" s="4"/>
      <c r="M154" s="47">
        <v>0</v>
      </c>
      <c r="N154" s="47">
        <v>0</v>
      </c>
      <c r="O154" s="319">
        <v>0</v>
      </c>
      <c r="P154" s="320"/>
      <c r="R154" s="441" t="s">
        <v>154</v>
      </c>
      <c r="S154" s="441" t="s">
        <v>154</v>
      </c>
      <c r="T154" s="319">
        <v>0</v>
      </c>
      <c r="U154" s="320"/>
      <c r="W154" s="441" t="s">
        <v>363</v>
      </c>
      <c r="X154" s="441" t="s">
        <v>136</v>
      </c>
      <c r="Y154" s="319">
        <v>6.25</v>
      </c>
      <c r="Z154" s="320"/>
      <c r="AA154" s="328">
        <f t="shared" ref="AA154" si="38">(E154+J154+O154+T154+Y154)</f>
        <v>17.25</v>
      </c>
      <c r="AB154" s="298">
        <f t="shared" ref="AB154:AB163" si="39">Z154+U154+P154+K154+F154</f>
        <v>0</v>
      </c>
      <c r="AC154" s="4"/>
      <c r="AD154" s="47"/>
      <c r="AE154" s="47"/>
      <c r="AF154" s="319"/>
      <c r="AG154" s="328">
        <f t="shared" ref="AG154:AG182" si="40">AF154</f>
        <v>0</v>
      </c>
      <c r="AI154" s="368"/>
      <c r="AJ154" s="367"/>
      <c r="AK154" s="494" t="s">
        <v>30</v>
      </c>
      <c r="AL154" s="471">
        <f>AB185</f>
        <v>4</v>
      </c>
      <c r="AM154" s="511">
        <v>57</v>
      </c>
      <c r="AN154" s="510">
        <f t="shared" si="37"/>
        <v>228</v>
      </c>
      <c r="AQ154" s="367"/>
      <c r="AR154" s="367"/>
      <c r="AS154" s="367"/>
      <c r="AT154" s="367"/>
      <c r="AU154" s="367"/>
      <c r="AV154" s="367"/>
      <c r="AW154" s="367"/>
    </row>
    <row r="155" spans="1:49" outlineLevel="1">
      <c r="A155" s="367"/>
      <c r="B155" s="318" t="s">
        <v>332</v>
      </c>
      <c r="C155" s="47">
        <v>0</v>
      </c>
      <c r="D155" s="47">
        <v>0</v>
      </c>
      <c r="E155" s="319">
        <v>0</v>
      </c>
      <c r="F155" s="320"/>
      <c r="G155" s="4"/>
      <c r="H155" s="47">
        <v>0.375</v>
      </c>
      <c r="I155" s="47">
        <v>0.20833333333333334</v>
      </c>
      <c r="J155" s="319">
        <v>7</v>
      </c>
      <c r="K155" s="320"/>
      <c r="L155" s="4"/>
      <c r="M155" s="47">
        <v>0.375</v>
      </c>
      <c r="N155" s="47">
        <v>0.20833333333333334</v>
      </c>
      <c r="O155" s="319">
        <v>7</v>
      </c>
      <c r="P155" s="320"/>
      <c r="R155" s="441" t="s">
        <v>83</v>
      </c>
      <c r="S155" s="441" t="s">
        <v>136</v>
      </c>
      <c r="T155" s="319">
        <v>6.5</v>
      </c>
      <c r="U155" s="320"/>
      <c r="W155" s="441" t="s">
        <v>75</v>
      </c>
      <c r="X155" s="441" t="s">
        <v>136</v>
      </c>
      <c r="Y155" s="319">
        <v>7</v>
      </c>
      <c r="Z155" s="320"/>
      <c r="AA155" s="328">
        <f t="shared" ref="AA155:AA184" si="41">(E155+J155+O155+T155+Y155)</f>
        <v>27.5</v>
      </c>
      <c r="AB155" s="298">
        <f t="shared" si="39"/>
        <v>0</v>
      </c>
      <c r="AC155" s="4"/>
      <c r="AD155" s="47"/>
      <c r="AE155" s="47"/>
      <c r="AF155" s="319"/>
      <c r="AG155" s="328">
        <f t="shared" si="40"/>
        <v>0</v>
      </c>
      <c r="AH155" s="175"/>
      <c r="AI155" s="402"/>
      <c r="AJ155" s="367"/>
      <c r="AK155" s="494" t="s">
        <v>32</v>
      </c>
      <c r="AL155" s="471">
        <f>AG185</f>
        <v>21</v>
      </c>
      <c r="AM155" s="510">
        <v>57</v>
      </c>
      <c r="AN155" s="510">
        <f t="shared" si="37"/>
        <v>1197</v>
      </c>
      <c r="AQ155" s="367"/>
      <c r="AR155" s="367"/>
      <c r="AS155" s="367"/>
      <c r="AT155" s="367"/>
      <c r="AU155" s="367"/>
      <c r="AV155" s="367"/>
      <c r="AW155" s="367"/>
    </row>
    <row r="156" spans="1:49" outlineLevel="1">
      <c r="A156" s="367"/>
      <c r="B156" s="457" t="s">
        <v>348</v>
      </c>
      <c r="C156" s="47">
        <v>0</v>
      </c>
      <c r="D156" s="47">
        <v>0</v>
      </c>
      <c r="E156" s="319">
        <v>0</v>
      </c>
      <c r="F156" s="320"/>
      <c r="G156" s="4"/>
      <c r="H156" s="47">
        <v>0.375</v>
      </c>
      <c r="I156" s="47">
        <v>0.20833333333333334</v>
      </c>
      <c r="J156" s="319">
        <v>7</v>
      </c>
      <c r="K156" s="320"/>
      <c r="L156" s="4"/>
      <c r="M156" s="47">
        <v>0.375</v>
      </c>
      <c r="N156" s="47">
        <v>0.20833333333333334</v>
      </c>
      <c r="O156" s="319">
        <v>7</v>
      </c>
      <c r="P156" s="320"/>
      <c r="R156" s="441" t="s">
        <v>154</v>
      </c>
      <c r="S156" s="441" t="s">
        <v>154</v>
      </c>
      <c r="T156" s="319">
        <v>0</v>
      </c>
      <c r="U156" s="320"/>
      <c r="W156" s="441" t="s">
        <v>75</v>
      </c>
      <c r="X156" s="441" t="s">
        <v>136</v>
      </c>
      <c r="Y156" s="319">
        <v>7</v>
      </c>
      <c r="Z156" s="320"/>
      <c r="AA156" s="328">
        <f t="shared" si="41"/>
        <v>21</v>
      </c>
      <c r="AB156" s="298">
        <f t="shared" si="39"/>
        <v>0</v>
      </c>
      <c r="AC156" s="399"/>
      <c r="AD156" s="47"/>
      <c r="AE156" s="47"/>
      <c r="AF156" s="319"/>
      <c r="AG156" s="29">
        <f t="shared" si="40"/>
        <v>0</v>
      </c>
      <c r="AH156" s="175"/>
      <c r="AJ156" s="401"/>
      <c r="AK156" s="494" t="s">
        <v>213</v>
      </c>
      <c r="AL156" s="471">
        <f>AA187</f>
        <v>37.5</v>
      </c>
      <c r="AM156" s="510">
        <v>50</v>
      </c>
      <c r="AN156" s="510">
        <f t="shared" si="37"/>
        <v>1875</v>
      </c>
      <c r="AO156" s="405"/>
      <c r="AP156" s="405"/>
      <c r="AQ156" s="401"/>
      <c r="AR156" s="401"/>
      <c r="AS156" s="401"/>
      <c r="AT156" s="401"/>
      <c r="AU156" s="401"/>
      <c r="AV156" s="401"/>
      <c r="AW156" s="401"/>
    </row>
    <row r="157" spans="1:49" outlineLevel="1">
      <c r="A157" s="367"/>
      <c r="B157" s="318" t="s">
        <v>334</v>
      </c>
      <c r="C157" s="47">
        <v>0.41666666666666669</v>
      </c>
      <c r="D157" s="47">
        <v>0.20833333333333334</v>
      </c>
      <c r="E157" s="319">
        <v>6</v>
      </c>
      <c r="F157" s="320"/>
      <c r="G157" s="4"/>
      <c r="H157" s="47">
        <v>0.375</v>
      </c>
      <c r="I157" s="47">
        <v>0.20833333333333334</v>
      </c>
      <c r="J157" s="319">
        <v>7</v>
      </c>
      <c r="K157" s="320"/>
      <c r="L157" s="4"/>
      <c r="M157" s="47">
        <v>0.375</v>
      </c>
      <c r="N157" s="47">
        <v>0.20833333333333334</v>
      </c>
      <c r="O157" s="319">
        <v>7</v>
      </c>
      <c r="P157" s="320"/>
      <c r="R157" s="47">
        <v>0.47916666666666669</v>
      </c>
      <c r="S157" s="441" t="s">
        <v>136</v>
      </c>
      <c r="T157" s="319">
        <v>5.5</v>
      </c>
      <c r="U157" s="320"/>
      <c r="W157" s="47">
        <v>0.375</v>
      </c>
      <c r="X157" s="441" t="s">
        <v>136</v>
      </c>
      <c r="Y157" s="319">
        <v>7</v>
      </c>
      <c r="Z157" s="320"/>
      <c r="AA157" s="328">
        <f t="shared" si="41"/>
        <v>32.5</v>
      </c>
      <c r="AB157" s="298">
        <f t="shared" si="39"/>
        <v>0</v>
      </c>
      <c r="AC157" s="399"/>
      <c r="AD157" s="47"/>
      <c r="AE157" s="47"/>
      <c r="AF157" s="319"/>
      <c r="AG157" s="29">
        <f t="shared" si="40"/>
        <v>0</v>
      </c>
      <c r="AH157" s="175"/>
      <c r="AJ157" s="401"/>
      <c r="AK157" s="494" t="s">
        <v>36</v>
      </c>
      <c r="AL157" s="471">
        <f>AB187</f>
        <v>2.75</v>
      </c>
      <c r="AM157" s="510">
        <v>75</v>
      </c>
      <c r="AN157" s="510">
        <f t="shared" si="37"/>
        <v>206.25</v>
      </c>
      <c r="AO157" s="405"/>
      <c r="AP157" s="405"/>
      <c r="AQ157" s="401"/>
      <c r="AR157" s="401"/>
      <c r="AS157" s="401"/>
      <c r="AT157" s="401"/>
      <c r="AU157" s="401"/>
      <c r="AV157" s="401"/>
      <c r="AW157" s="401"/>
    </row>
    <row r="158" spans="1:49" outlineLevel="1">
      <c r="A158" s="367"/>
      <c r="B158" s="318" t="s">
        <v>329</v>
      </c>
      <c r="C158" s="436">
        <v>0</v>
      </c>
      <c r="D158" s="47">
        <v>0</v>
      </c>
      <c r="E158" s="319">
        <v>0</v>
      </c>
      <c r="F158" s="320"/>
      <c r="G158" s="4"/>
      <c r="H158" s="47">
        <v>0.375</v>
      </c>
      <c r="I158" s="47">
        <v>0.20833333333333334</v>
      </c>
      <c r="J158" s="319">
        <v>7</v>
      </c>
      <c r="K158" s="320"/>
      <c r="L158" s="4"/>
      <c r="M158" s="47">
        <v>0.375</v>
      </c>
      <c r="N158" s="47">
        <v>0.20833333333333334</v>
      </c>
      <c r="O158" s="319">
        <v>7</v>
      </c>
      <c r="P158" s="320"/>
      <c r="R158" s="47">
        <v>0</v>
      </c>
      <c r="S158" s="441" t="s">
        <v>154</v>
      </c>
      <c r="T158" s="319">
        <v>0</v>
      </c>
      <c r="U158" s="320"/>
      <c r="W158" s="47">
        <v>0.36458333333333331</v>
      </c>
      <c r="X158" s="441" t="s">
        <v>136</v>
      </c>
      <c r="Y158" s="319">
        <v>7</v>
      </c>
      <c r="Z158" s="320"/>
      <c r="AA158" s="328">
        <f t="shared" si="41"/>
        <v>21</v>
      </c>
      <c r="AB158" s="298">
        <f t="shared" si="39"/>
        <v>0</v>
      </c>
      <c r="AC158" s="175"/>
      <c r="AD158" s="47"/>
      <c r="AE158" s="47"/>
      <c r="AF158" s="319"/>
      <c r="AG158" s="344">
        <f t="shared" si="40"/>
        <v>0</v>
      </c>
      <c r="AH158" s="175"/>
      <c r="AI158" s="368"/>
      <c r="AK158" s="494" t="s">
        <v>38</v>
      </c>
      <c r="AL158" s="471">
        <f>AG187</f>
        <v>2.75</v>
      </c>
      <c r="AM158" s="510">
        <v>75</v>
      </c>
      <c r="AN158" s="510">
        <f t="shared" si="37"/>
        <v>206.25</v>
      </c>
    </row>
    <row r="159" spans="1:49" ht="14.25" outlineLevel="1" thickBot="1">
      <c r="A159" s="401"/>
      <c r="B159" s="318" t="s">
        <v>232</v>
      </c>
      <c r="C159" s="47">
        <v>0</v>
      </c>
      <c r="D159" s="47">
        <v>0</v>
      </c>
      <c r="E159" s="319">
        <v>0</v>
      </c>
      <c r="F159" s="320"/>
      <c r="G159" s="4"/>
      <c r="H159" s="47">
        <v>0</v>
      </c>
      <c r="I159" s="47"/>
      <c r="J159" s="319">
        <v>0</v>
      </c>
      <c r="K159" s="320"/>
      <c r="L159" s="4"/>
      <c r="M159" s="47">
        <v>0</v>
      </c>
      <c r="N159" s="47">
        <v>0</v>
      </c>
      <c r="O159" s="319">
        <v>0</v>
      </c>
      <c r="P159" s="320"/>
      <c r="R159" s="47">
        <v>0</v>
      </c>
      <c r="S159" s="441" t="s">
        <v>154</v>
      </c>
      <c r="T159" s="319">
        <v>0</v>
      </c>
      <c r="U159" s="320"/>
      <c r="W159" s="47">
        <v>0</v>
      </c>
      <c r="X159" s="441" t="s">
        <v>154</v>
      </c>
      <c r="Y159" s="319">
        <v>0</v>
      </c>
      <c r="Z159" s="320"/>
      <c r="AA159" s="328">
        <f t="shared" si="41"/>
        <v>0</v>
      </c>
      <c r="AB159" s="298">
        <f t="shared" si="39"/>
        <v>0</v>
      </c>
      <c r="AC159" s="4"/>
      <c r="AD159" s="47"/>
      <c r="AE159" s="47"/>
      <c r="AF159" s="319"/>
      <c r="AG159" s="29">
        <f t="shared" si="40"/>
        <v>0</v>
      </c>
      <c r="AJ159" s="367"/>
      <c r="AK159" s="494" t="s">
        <v>41</v>
      </c>
      <c r="AL159" s="471">
        <f>C188</f>
        <v>64</v>
      </c>
      <c r="AM159" s="512">
        <v>45</v>
      </c>
      <c r="AN159" s="512">
        <f t="shared" si="37"/>
        <v>2880</v>
      </c>
      <c r="AQ159" s="367"/>
      <c r="AR159" s="367"/>
      <c r="AS159" s="367"/>
      <c r="AT159" s="367"/>
      <c r="AU159" s="367"/>
      <c r="AV159" s="367"/>
      <c r="AW159" s="367"/>
    </row>
    <row r="160" spans="1:49" ht="14.25" outlineLevel="1" thickTop="1">
      <c r="A160" s="367"/>
      <c r="B160" s="318" t="s">
        <v>53</v>
      </c>
      <c r="C160" s="47">
        <v>0.36458333333333331</v>
      </c>
      <c r="D160" s="47">
        <v>0.20833333333333334</v>
      </c>
      <c r="E160" s="319">
        <v>7.75</v>
      </c>
      <c r="F160" s="320"/>
      <c r="G160" s="4"/>
      <c r="H160" s="47" t="s">
        <v>78</v>
      </c>
      <c r="I160" s="47">
        <v>0.20833333333333334</v>
      </c>
      <c r="J160" s="319">
        <v>7</v>
      </c>
      <c r="K160" s="320"/>
      <c r="L160" s="4"/>
      <c r="M160" s="47">
        <v>0.375</v>
      </c>
      <c r="N160" s="47">
        <v>0.20833333333333334</v>
      </c>
      <c r="O160" s="319">
        <v>7</v>
      </c>
      <c r="P160" s="320"/>
      <c r="R160" s="47">
        <v>0</v>
      </c>
      <c r="S160" s="441" t="s">
        <v>154</v>
      </c>
      <c r="T160" s="319">
        <v>0</v>
      </c>
      <c r="U160" s="320"/>
      <c r="W160" s="47">
        <v>0.375</v>
      </c>
      <c r="X160" s="441" t="s">
        <v>136</v>
      </c>
      <c r="Y160" s="319">
        <v>7</v>
      </c>
      <c r="Z160" s="320"/>
      <c r="AA160" s="328">
        <f t="shared" si="41"/>
        <v>28.75</v>
      </c>
      <c r="AB160" s="298">
        <f t="shared" si="39"/>
        <v>0</v>
      </c>
      <c r="AC160" s="4"/>
      <c r="AD160" s="47"/>
      <c r="AE160" s="47"/>
      <c r="AF160" s="319"/>
      <c r="AG160" s="29">
        <f t="shared" si="40"/>
        <v>0</v>
      </c>
      <c r="AN160" s="510">
        <f>SUM(AN153:AN159)</f>
        <v>33663.700000000004</v>
      </c>
    </row>
    <row r="161" spans="1:33" outlineLevel="1">
      <c r="A161" s="180"/>
      <c r="B161" s="318" t="s">
        <v>330</v>
      </c>
      <c r="C161" s="47">
        <v>0.41666666666666669</v>
      </c>
      <c r="D161" s="47">
        <v>0.20833333333333334</v>
      </c>
      <c r="E161" s="319">
        <v>6</v>
      </c>
      <c r="F161" s="320"/>
      <c r="G161" s="4"/>
      <c r="H161" s="47">
        <v>0.375</v>
      </c>
      <c r="I161" s="47">
        <v>0.20833333333333334</v>
      </c>
      <c r="J161" s="319">
        <v>7</v>
      </c>
      <c r="K161" s="320"/>
      <c r="L161" s="4"/>
      <c r="M161" s="47">
        <v>0.375</v>
      </c>
      <c r="N161" s="47">
        <v>0.20833333333333334</v>
      </c>
      <c r="O161" s="319">
        <v>7</v>
      </c>
      <c r="P161" s="320"/>
      <c r="R161" s="47">
        <v>0</v>
      </c>
      <c r="S161" s="441" t="s">
        <v>154</v>
      </c>
      <c r="T161" s="319">
        <v>0</v>
      </c>
      <c r="U161" s="320"/>
      <c r="W161" s="47">
        <v>0</v>
      </c>
      <c r="X161" s="441" t="s">
        <v>154</v>
      </c>
      <c r="Y161" s="319">
        <v>0</v>
      </c>
      <c r="Z161" s="320"/>
      <c r="AA161" s="328">
        <f t="shared" si="41"/>
        <v>20</v>
      </c>
      <c r="AB161" s="298">
        <f t="shared" si="39"/>
        <v>0</v>
      </c>
      <c r="AC161" s="4"/>
      <c r="AD161" s="47"/>
      <c r="AE161" s="47"/>
      <c r="AF161" s="319"/>
      <c r="AG161" s="29">
        <f t="shared" si="40"/>
        <v>0</v>
      </c>
    </row>
    <row r="162" spans="1:33" outlineLevel="1">
      <c r="A162" s="180"/>
      <c r="B162" s="457" t="s">
        <v>234</v>
      </c>
      <c r="C162" s="47">
        <v>0</v>
      </c>
      <c r="D162" s="47">
        <v>0</v>
      </c>
      <c r="E162" s="319">
        <v>0</v>
      </c>
      <c r="F162" s="320"/>
      <c r="G162" s="4"/>
      <c r="H162" s="47">
        <v>0.38541666666666669</v>
      </c>
      <c r="I162" s="47">
        <v>0.20833333333333334</v>
      </c>
      <c r="J162" s="319">
        <v>6.75</v>
      </c>
      <c r="K162" s="320"/>
      <c r="L162" s="4"/>
      <c r="M162" s="47">
        <v>0.375</v>
      </c>
      <c r="N162" s="47">
        <v>0.20833333333333334</v>
      </c>
      <c r="O162" s="319">
        <v>7</v>
      </c>
      <c r="P162" s="320"/>
      <c r="R162" s="47">
        <v>0.39583333333333331</v>
      </c>
      <c r="S162" s="441" t="s">
        <v>136</v>
      </c>
      <c r="T162" s="319">
        <v>6.5</v>
      </c>
      <c r="U162" s="320"/>
      <c r="W162" s="47">
        <v>0.375</v>
      </c>
      <c r="X162" s="441" t="s">
        <v>136</v>
      </c>
      <c r="Y162" s="319">
        <v>7</v>
      </c>
      <c r="Z162" s="320"/>
      <c r="AA162" s="328">
        <f t="shared" si="41"/>
        <v>27.25</v>
      </c>
      <c r="AB162" s="298">
        <f t="shared" si="39"/>
        <v>0</v>
      </c>
      <c r="AC162" s="4"/>
      <c r="AD162" s="47"/>
      <c r="AE162" s="47"/>
      <c r="AF162" s="319"/>
      <c r="AG162" s="29">
        <f t="shared" si="40"/>
        <v>0</v>
      </c>
    </row>
    <row r="163" spans="1:33" outlineLevel="1">
      <c r="A163" s="180"/>
      <c r="B163" s="318" t="s">
        <v>35</v>
      </c>
      <c r="C163" s="47">
        <v>0</v>
      </c>
      <c r="D163" s="47">
        <v>0</v>
      </c>
      <c r="E163" s="319">
        <v>0</v>
      </c>
      <c r="F163" s="320"/>
      <c r="G163" s="4"/>
      <c r="H163" s="47">
        <v>0.40625</v>
      </c>
      <c r="I163" s="47">
        <v>0.20833333333333334</v>
      </c>
      <c r="J163" s="319">
        <v>6.25</v>
      </c>
      <c r="K163" s="320"/>
      <c r="L163" s="4"/>
      <c r="M163" s="47">
        <v>0.375</v>
      </c>
      <c r="N163" s="47">
        <v>0.20833333333333334</v>
      </c>
      <c r="O163" s="319">
        <v>7</v>
      </c>
      <c r="P163" s="320"/>
      <c r="R163" s="47">
        <v>0</v>
      </c>
      <c r="S163" s="441" t="s">
        <v>154</v>
      </c>
      <c r="T163" s="319">
        <v>0</v>
      </c>
      <c r="U163" s="320"/>
      <c r="W163" s="47">
        <v>0.375</v>
      </c>
      <c r="X163" s="441" t="s">
        <v>136</v>
      </c>
      <c r="Y163" s="319">
        <v>7</v>
      </c>
      <c r="Z163" s="320"/>
      <c r="AA163" s="328">
        <f t="shared" si="41"/>
        <v>20.25</v>
      </c>
      <c r="AB163" s="298">
        <f t="shared" si="39"/>
        <v>0</v>
      </c>
      <c r="AC163" s="4"/>
      <c r="AD163" s="47"/>
      <c r="AE163" s="47"/>
      <c r="AF163" s="319"/>
      <c r="AG163" s="29">
        <f t="shared" si="40"/>
        <v>0</v>
      </c>
    </row>
    <row r="164" spans="1:33" outlineLevel="1">
      <c r="A164" s="180"/>
      <c r="B164" s="318" t="s">
        <v>336</v>
      </c>
      <c r="C164" s="47">
        <v>0</v>
      </c>
      <c r="D164" s="47">
        <v>0</v>
      </c>
      <c r="E164" s="319">
        <v>0</v>
      </c>
      <c r="F164" s="320"/>
      <c r="G164" s="4"/>
      <c r="H164" s="47">
        <v>0</v>
      </c>
      <c r="I164" s="47" t="s">
        <v>364</v>
      </c>
      <c r="J164" s="319"/>
      <c r="K164" s="320"/>
      <c r="L164" s="4"/>
      <c r="M164" s="47">
        <v>0.39583333333333331</v>
      </c>
      <c r="N164" s="47">
        <v>0.20833333333333334</v>
      </c>
      <c r="O164" s="319">
        <v>6.5</v>
      </c>
      <c r="P164" s="320"/>
      <c r="R164" s="47">
        <v>0.47916666666666669</v>
      </c>
      <c r="S164" s="441" t="s">
        <v>136</v>
      </c>
      <c r="T164" s="319">
        <v>5.5</v>
      </c>
      <c r="U164" s="320"/>
      <c r="W164" s="47">
        <v>0.35416666666666669</v>
      </c>
      <c r="X164" s="441" t="s">
        <v>136</v>
      </c>
      <c r="Y164" s="319">
        <v>7</v>
      </c>
      <c r="Z164" s="320"/>
      <c r="AA164" s="328">
        <f t="shared" si="41"/>
        <v>19</v>
      </c>
      <c r="AB164" s="298">
        <f t="shared" ref="AB164:AB173" si="42">Z164+U164+P164+K164+F162</f>
        <v>0</v>
      </c>
      <c r="AC164" s="4"/>
      <c r="AD164" s="47"/>
      <c r="AE164" s="47"/>
      <c r="AF164" s="319"/>
      <c r="AG164" s="29">
        <f t="shared" si="40"/>
        <v>0</v>
      </c>
    </row>
    <row r="165" spans="1:33" outlineLevel="1">
      <c r="A165" s="180"/>
      <c r="B165" s="318" t="s">
        <v>108</v>
      </c>
      <c r="C165" s="47">
        <v>0.38541666666666669</v>
      </c>
      <c r="D165" s="47">
        <v>0.20833333333333334</v>
      </c>
      <c r="E165" s="319">
        <v>7.45</v>
      </c>
      <c r="F165" s="320"/>
      <c r="G165" s="4"/>
      <c r="H165" s="441" t="s">
        <v>154</v>
      </c>
      <c r="I165" s="47">
        <v>0</v>
      </c>
      <c r="J165" s="319">
        <v>0</v>
      </c>
      <c r="K165" s="320"/>
      <c r="L165" s="4"/>
      <c r="M165" s="441" t="s">
        <v>75</v>
      </c>
      <c r="N165" s="47">
        <v>0.20833333333333334</v>
      </c>
      <c r="O165" s="319">
        <v>7</v>
      </c>
      <c r="P165" s="320"/>
      <c r="R165" s="441" t="s">
        <v>350</v>
      </c>
      <c r="S165" s="441" t="s">
        <v>136</v>
      </c>
      <c r="T165" s="319">
        <v>5.5</v>
      </c>
      <c r="U165" s="320"/>
      <c r="W165" s="47">
        <v>0.375</v>
      </c>
      <c r="X165" s="441" t="s">
        <v>136</v>
      </c>
      <c r="Y165" s="319">
        <v>7</v>
      </c>
      <c r="Z165" s="320"/>
      <c r="AA165" s="328">
        <f t="shared" si="41"/>
        <v>26.95</v>
      </c>
      <c r="AB165" s="298">
        <f t="shared" si="42"/>
        <v>0</v>
      </c>
      <c r="AC165" s="4"/>
      <c r="AD165" s="47"/>
      <c r="AE165" s="47"/>
      <c r="AF165" s="319"/>
      <c r="AG165" s="29">
        <f t="shared" si="40"/>
        <v>0</v>
      </c>
    </row>
    <row r="166" spans="1:33" outlineLevel="1">
      <c r="A166" s="180"/>
      <c r="B166" s="318" t="s">
        <v>327</v>
      </c>
      <c r="C166" s="47">
        <v>0</v>
      </c>
      <c r="D166" s="47">
        <v>0</v>
      </c>
      <c r="E166" s="319">
        <v>0</v>
      </c>
      <c r="F166" s="320"/>
      <c r="G166" s="4"/>
      <c r="H166" s="441" t="s">
        <v>363</v>
      </c>
      <c r="I166" s="47">
        <v>0.20833333333333334</v>
      </c>
      <c r="J166" s="319">
        <v>6.25</v>
      </c>
      <c r="K166" s="320"/>
      <c r="L166" s="4"/>
      <c r="M166" s="441" t="s">
        <v>83</v>
      </c>
      <c r="N166" s="47">
        <v>0.20833333333333334</v>
      </c>
      <c r="O166" s="319">
        <v>6.5</v>
      </c>
      <c r="P166" s="320"/>
      <c r="R166" s="47">
        <v>0.47916666666666669</v>
      </c>
      <c r="S166" s="441" t="s">
        <v>136</v>
      </c>
      <c r="T166" s="319">
        <v>5.5</v>
      </c>
      <c r="U166" s="320"/>
      <c r="W166" s="47">
        <v>0.375</v>
      </c>
      <c r="X166" s="441" t="s">
        <v>136</v>
      </c>
      <c r="Y166" s="319">
        <v>7</v>
      </c>
      <c r="Z166" s="320"/>
      <c r="AA166" s="328">
        <f t="shared" si="41"/>
        <v>25.25</v>
      </c>
      <c r="AB166" s="298">
        <f t="shared" si="42"/>
        <v>0</v>
      </c>
      <c r="AC166" s="4"/>
      <c r="AD166" s="47"/>
      <c r="AE166" s="47"/>
      <c r="AF166" s="319"/>
      <c r="AG166" s="29">
        <f t="shared" si="40"/>
        <v>0</v>
      </c>
    </row>
    <row r="167" spans="1:33" outlineLevel="1">
      <c r="A167" s="180"/>
      <c r="B167" s="318" t="s">
        <v>328</v>
      </c>
      <c r="C167" s="47">
        <v>0.41666666666666669</v>
      </c>
      <c r="D167" s="47">
        <v>0.20833333333333334</v>
      </c>
      <c r="E167" s="319">
        <v>8</v>
      </c>
      <c r="F167" s="320"/>
      <c r="G167" s="4"/>
      <c r="H167" s="441" t="s">
        <v>212</v>
      </c>
      <c r="I167" s="47">
        <v>0.20833333333333334</v>
      </c>
      <c r="J167" s="319">
        <v>6.75</v>
      </c>
      <c r="K167" s="320"/>
      <c r="L167" s="4"/>
      <c r="M167" s="441" t="s">
        <v>75</v>
      </c>
      <c r="N167" s="47">
        <v>0.20833333333333334</v>
      </c>
      <c r="O167" s="319">
        <v>7</v>
      </c>
      <c r="P167" s="320"/>
      <c r="R167" s="47">
        <v>0.47916666666666669</v>
      </c>
      <c r="S167" s="441" t="s">
        <v>136</v>
      </c>
      <c r="T167" s="319">
        <v>5.5</v>
      </c>
      <c r="U167" s="320"/>
      <c r="W167" s="47">
        <v>0.375</v>
      </c>
      <c r="X167" s="441" t="s">
        <v>136</v>
      </c>
      <c r="Y167" s="319">
        <v>7</v>
      </c>
      <c r="Z167" s="320"/>
      <c r="AA167" s="328">
        <f t="shared" si="41"/>
        <v>34.25</v>
      </c>
      <c r="AB167" s="298">
        <f t="shared" si="42"/>
        <v>0</v>
      </c>
      <c r="AC167" s="4"/>
      <c r="AD167" s="47"/>
      <c r="AE167" s="47"/>
      <c r="AF167" s="319"/>
      <c r="AG167" s="29">
        <f t="shared" si="40"/>
        <v>0</v>
      </c>
    </row>
    <row r="168" spans="1:33" outlineLevel="1">
      <c r="A168" s="180"/>
      <c r="B168" s="318" t="s">
        <v>52</v>
      </c>
      <c r="C168" s="47">
        <v>0</v>
      </c>
      <c r="D168" s="47">
        <v>0</v>
      </c>
      <c r="E168" s="319">
        <v>0</v>
      </c>
      <c r="F168" s="320"/>
      <c r="G168" s="4"/>
      <c r="H168" s="47">
        <v>0.375</v>
      </c>
      <c r="I168" s="47">
        <v>0.20833333333333334</v>
      </c>
      <c r="J168" s="319">
        <v>7</v>
      </c>
      <c r="K168" s="320"/>
      <c r="L168" s="4"/>
      <c r="M168" s="441" t="s">
        <v>75</v>
      </c>
      <c r="N168" s="47">
        <v>0.20833333333333334</v>
      </c>
      <c r="O168" s="319">
        <v>7</v>
      </c>
      <c r="P168" s="320"/>
      <c r="R168" s="47">
        <v>0</v>
      </c>
      <c r="S168" s="441" t="s">
        <v>154</v>
      </c>
      <c r="T168" s="319">
        <v>0</v>
      </c>
      <c r="U168" s="320"/>
      <c r="W168" s="47">
        <v>0.35416666666666669</v>
      </c>
      <c r="X168" s="441" t="s">
        <v>136</v>
      </c>
      <c r="Y168" s="319">
        <v>7</v>
      </c>
      <c r="Z168" s="320"/>
      <c r="AA168" s="328">
        <f t="shared" si="41"/>
        <v>21</v>
      </c>
      <c r="AB168" s="298">
        <f t="shared" si="42"/>
        <v>0</v>
      </c>
      <c r="AC168" s="4"/>
      <c r="AD168" s="47"/>
      <c r="AE168" s="47"/>
      <c r="AF168" s="319"/>
      <c r="AG168" s="29">
        <f t="shared" si="40"/>
        <v>0</v>
      </c>
    </row>
    <row r="169" spans="1:33" outlineLevel="1">
      <c r="A169" s="180"/>
      <c r="B169" s="457" t="s">
        <v>351</v>
      </c>
      <c r="C169" s="47">
        <v>0</v>
      </c>
      <c r="D169" s="47">
        <v>0</v>
      </c>
      <c r="E169" s="319">
        <v>0</v>
      </c>
      <c r="F169" s="320"/>
      <c r="G169" s="4"/>
      <c r="H169" s="47">
        <v>0.41666666666666669</v>
      </c>
      <c r="I169" s="47">
        <v>0.20833333333333334</v>
      </c>
      <c r="J169" s="319">
        <v>6</v>
      </c>
      <c r="K169" s="320"/>
      <c r="L169" s="4"/>
      <c r="M169" s="441" t="s">
        <v>76</v>
      </c>
      <c r="N169" s="47">
        <v>0.20833333333333334</v>
      </c>
      <c r="O169" s="319">
        <v>7</v>
      </c>
      <c r="P169" s="320"/>
      <c r="R169" s="47">
        <v>0</v>
      </c>
      <c r="S169" s="441" t="s">
        <v>154</v>
      </c>
      <c r="T169" s="319">
        <v>0</v>
      </c>
      <c r="U169" s="320"/>
      <c r="W169" s="47">
        <v>0.35416666666666669</v>
      </c>
      <c r="X169" s="441" t="s">
        <v>136</v>
      </c>
      <c r="Y169" s="319">
        <v>7</v>
      </c>
      <c r="Z169" s="320"/>
      <c r="AA169" s="328">
        <f t="shared" si="41"/>
        <v>20</v>
      </c>
      <c r="AB169" s="298">
        <f t="shared" si="42"/>
        <v>0</v>
      </c>
      <c r="AC169" s="4"/>
      <c r="AD169" s="47"/>
      <c r="AE169" s="47"/>
      <c r="AF169" s="319"/>
      <c r="AG169" s="29">
        <f t="shared" si="40"/>
        <v>0</v>
      </c>
    </row>
    <row r="170" spans="1:33" outlineLevel="1">
      <c r="A170" s="180"/>
      <c r="B170" s="457" t="s">
        <v>96</v>
      </c>
      <c r="C170" s="47">
        <v>0</v>
      </c>
      <c r="D170" s="47">
        <v>0</v>
      </c>
      <c r="E170" s="319">
        <v>0</v>
      </c>
      <c r="F170" s="320"/>
      <c r="G170" s="4"/>
      <c r="H170" s="47">
        <v>0.375</v>
      </c>
      <c r="I170" s="47">
        <v>0.20833333333333334</v>
      </c>
      <c r="J170" s="319">
        <v>7</v>
      </c>
      <c r="K170" s="320"/>
      <c r="L170" s="4"/>
      <c r="M170" s="441" t="s">
        <v>75</v>
      </c>
      <c r="N170" s="47">
        <v>0.20833333333333334</v>
      </c>
      <c r="O170" s="319">
        <v>7</v>
      </c>
      <c r="P170" s="320"/>
      <c r="R170" s="47">
        <v>0</v>
      </c>
      <c r="S170" s="441" t="s">
        <v>154</v>
      </c>
      <c r="T170" s="319">
        <v>0</v>
      </c>
      <c r="U170" s="320"/>
      <c r="W170" s="47">
        <v>0</v>
      </c>
      <c r="X170" s="47">
        <v>0</v>
      </c>
      <c r="Y170" s="319">
        <v>0</v>
      </c>
      <c r="Z170" s="320"/>
      <c r="AA170" s="328">
        <f t="shared" si="41"/>
        <v>14</v>
      </c>
      <c r="AB170" s="298">
        <f t="shared" si="42"/>
        <v>0</v>
      </c>
      <c r="AC170" s="4"/>
      <c r="AD170" s="47"/>
      <c r="AE170" s="47"/>
      <c r="AF170" s="319"/>
      <c r="AG170" s="29">
        <f t="shared" si="40"/>
        <v>0</v>
      </c>
    </row>
    <row r="171" spans="1:33" outlineLevel="1">
      <c r="A171" s="180"/>
      <c r="B171" s="457" t="s">
        <v>352</v>
      </c>
      <c r="C171" s="47">
        <v>0</v>
      </c>
      <c r="D171" s="47">
        <v>0</v>
      </c>
      <c r="E171" s="319">
        <v>0</v>
      </c>
      <c r="F171" s="320"/>
      <c r="G171" s="4"/>
      <c r="H171" s="47">
        <v>0</v>
      </c>
      <c r="I171" s="47">
        <v>0</v>
      </c>
      <c r="J171" s="319">
        <v>0</v>
      </c>
      <c r="K171" s="320"/>
      <c r="L171" s="4"/>
      <c r="M171" s="441" t="s">
        <v>154</v>
      </c>
      <c r="N171" s="441" t="s">
        <v>154</v>
      </c>
      <c r="O171" s="319">
        <v>0</v>
      </c>
      <c r="P171" s="320"/>
      <c r="R171" s="47">
        <v>0</v>
      </c>
      <c r="S171" s="441" t="s">
        <v>154</v>
      </c>
      <c r="T171" s="319">
        <v>0</v>
      </c>
      <c r="U171" s="320"/>
      <c r="W171" s="47">
        <v>0</v>
      </c>
      <c r="X171" s="441" t="s">
        <v>154</v>
      </c>
      <c r="Y171" s="319">
        <v>0</v>
      </c>
      <c r="Z171" s="320"/>
      <c r="AA171" s="328">
        <f t="shared" si="41"/>
        <v>0</v>
      </c>
      <c r="AB171" s="298">
        <f t="shared" si="42"/>
        <v>0</v>
      </c>
      <c r="AC171" s="4"/>
      <c r="AD171" s="47">
        <v>0.39583333333333331</v>
      </c>
      <c r="AE171" s="47">
        <v>0.20833333333333334</v>
      </c>
      <c r="AF171" s="319">
        <v>6.5</v>
      </c>
      <c r="AG171" s="29">
        <f t="shared" si="40"/>
        <v>6.5</v>
      </c>
    </row>
    <row r="172" spans="1:33" outlineLevel="1">
      <c r="A172" s="180"/>
      <c r="B172" s="457" t="s">
        <v>353</v>
      </c>
      <c r="C172" s="47">
        <v>0</v>
      </c>
      <c r="D172" s="47">
        <v>0</v>
      </c>
      <c r="E172" s="319">
        <v>0</v>
      </c>
      <c r="F172" s="320"/>
      <c r="G172" s="4"/>
      <c r="H172" s="47">
        <v>0.375</v>
      </c>
      <c r="I172" s="47">
        <v>0.20833333333333334</v>
      </c>
      <c r="J172" s="319">
        <v>7</v>
      </c>
      <c r="K172" s="320"/>
      <c r="L172" s="4"/>
      <c r="M172" s="441" t="s">
        <v>75</v>
      </c>
      <c r="N172" s="47">
        <v>0.20833333333333334</v>
      </c>
      <c r="O172" s="319">
        <v>7</v>
      </c>
      <c r="P172" s="320"/>
      <c r="R172" s="47">
        <v>0.47916666666666669</v>
      </c>
      <c r="S172" s="441" t="s">
        <v>136</v>
      </c>
      <c r="T172" s="319">
        <v>5.5</v>
      </c>
      <c r="U172" s="320"/>
      <c r="W172" s="47">
        <v>0.375</v>
      </c>
      <c r="X172" s="441" t="s">
        <v>136</v>
      </c>
      <c r="Y172" s="319">
        <v>7</v>
      </c>
      <c r="Z172" s="320"/>
      <c r="AA172" s="328">
        <f t="shared" si="41"/>
        <v>26.5</v>
      </c>
      <c r="AB172" s="298">
        <f t="shared" si="42"/>
        <v>0</v>
      </c>
      <c r="AC172" s="4"/>
      <c r="AD172" s="47"/>
      <c r="AE172" s="47"/>
      <c r="AF172" s="319"/>
      <c r="AG172" s="29">
        <f t="shared" si="40"/>
        <v>0</v>
      </c>
    </row>
    <row r="173" spans="1:33" outlineLevel="1">
      <c r="A173" s="180"/>
      <c r="B173" s="457" t="s">
        <v>354</v>
      </c>
      <c r="C173" s="47">
        <v>0</v>
      </c>
      <c r="D173" s="47">
        <v>0</v>
      </c>
      <c r="E173" s="319">
        <v>0</v>
      </c>
      <c r="F173" s="320"/>
      <c r="G173" s="4"/>
      <c r="H173" s="47">
        <v>0.40625</v>
      </c>
      <c r="I173" s="47">
        <v>0.20833333333333334</v>
      </c>
      <c r="J173" s="319">
        <v>6.25</v>
      </c>
      <c r="K173" s="320"/>
      <c r="L173" s="4"/>
      <c r="M173" s="441" t="s">
        <v>154</v>
      </c>
      <c r="N173" s="47">
        <v>0</v>
      </c>
      <c r="O173" s="319">
        <v>0</v>
      </c>
      <c r="P173" s="320"/>
      <c r="R173" s="47">
        <v>0</v>
      </c>
      <c r="S173" s="441" t="s">
        <v>154</v>
      </c>
      <c r="T173" s="319">
        <v>0</v>
      </c>
      <c r="U173" s="320"/>
      <c r="W173" s="47">
        <v>0.375</v>
      </c>
      <c r="X173" s="441" t="s">
        <v>136</v>
      </c>
      <c r="Y173" s="319">
        <v>7</v>
      </c>
      <c r="Z173" s="320"/>
      <c r="AA173" s="328">
        <f t="shared" si="41"/>
        <v>13.25</v>
      </c>
      <c r="AB173" s="298">
        <f t="shared" si="42"/>
        <v>0</v>
      </c>
      <c r="AC173" s="4"/>
      <c r="AD173" s="47"/>
      <c r="AE173" s="47"/>
      <c r="AF173" s="319"/>
      <c r="AG173" s="29">
        <f t="shared" si="40"/>
        <v>0</v>
      </c>
    </row>
    <row r="174" spans="1:33" outlineLevel="1">
      <c r="A174" s="180"/>
      <c r="B174" s="460" t="s">
        <v>343</v>
      </c>
      <c r="C174" s="47"/>
      <c r="D174" s="47"/>
      <c r="E174" s="319"/>
      <c r="F174" s="320"/>
      <c r="G174" s="4"/>
      <c r="H174" s="47"/>
      <c r="I174" s="47"/>
      <c r="J174" s="319"/>
      <c r="K174" s="320"/>
      <c r="L174" s="4"/>
      <c r="M174" s="47"/>
      <c r="N174" s="47"/>
      <c r="O174" s="319"/>
      <c r="P174" s="320"/>
      <c r="R174" s="47"/>
      <c r="S174" s="47"/>
      <c r="T174" s="319"/>
      <c r="U174" s="320"/>
      <c r="W174" s="47"/>
      <c r="X174" s="47"/>
      <c r="Y174" s="319"/>
      <c r="Z174" s="320"/>
      <c r="AA174" s="328">
        <f t="shared" si="41"/>
        <v>0</v>
      </c>
      <c r="AB174" s="298">
        <f>Z174+U174+P174+K174+F167</f>
        <v>0</v>
      </c>
      <c r="AC174" s="4"/>
      <c r="AD174" s="47">
        <v>0.375</v>
      </c>
      <c r="AE174" s="47">
        <v>0.20833333333333334</v>
      </c>
      <c r="AF174" s="319">
        <v>7</v>
      </c>
      <c r="AG174" s="29">
        <f t="shared" si="40"/>
        <v>7</v>
      </c>
    </row>
    <row r="175" spans="1:33" outlineLevel="1">
      <c r="A175" s="180"/>
      <c r="B175" s="63" t="s">
        <v>250</v>
      </c>
      <c r="C175" s="47"/>
      <c r="D175" s="47"/>
      <c r="E175" s="319">
        <v>7</v>
      </c>
      <c r="F175" s="320"/>
      <c r="G175" s="4"/>
      <c r="H175" s="47"/>
      <c r="I175" s="47"/>
      <c r="J175" s="319">
        <v>7</v>
      </c>
      <c r="K175" s="320"/>
      <c r="L175" s="4"/>
      <c r="M175" s="47"/>
      <c r="N175" s="47"/>
      <c r="O175" s="319">
        <v>7</v>
      </c>
      <c r="P175" s="320"/>
      <c r="R175" s="47"/>
      <c r="S175" s="47"/>
      <c r="T175" s="319">
        <v>7</v>
      </c>
      <c r="U175" s="320"/>
      <c r="W175" s="47"/>
      <c r="X175" s="47"/>
      <c r="Y175" s="319">
        <v>7</v>
      </c>
      <c r="Z175" s="320"/>
      <c r="AA175" s="328">
        <f t="shared" si="41"/>
        <v>35</v>
      </c>
      <c r="AB175" s="298">
        <f t="shared" ref="AB175:AB182" si="43">Z175+U175+P175+K175+F175</f>
        <v>0</v>
      </c>
      <c r="AC175" s="4"/>
      <c r="AD175" s="47"/>
      <c r="AE175" s="47"/>
      <c r="AF175" s="319"/>
      <c r="AG175" s="29">
        <f t="shared" si="40"/>
        <v>0</v>
      </c>
    </row>
    <row r="176" spans="1:33" outlineLevel="1">
      <c r="A176" s="180"/>
      <c r="B176" s="63" t="s">
        <v>357</v>
      </c>
      <c r="C176" s="47"/>
      <c r="D176" s="47"/>
      <c r="E176" s="319">
        <v>8</v>
      </c>
      <c r="F176" s="320">
        <v>0.5</v>
      </c>
      <c r="G176" s="4"/>
      <c r="H176" s="47"/>
      <c r="I176" s="47"/>
      <c r="J176" s="319">
        <v>8</v>
      </c>
      <c r="K176" s="320">
        <v>0.5</v>
      </c>
      <c r="L176" s="4"/>
      <c r="M176" s="47"/>
      <c r="N176" s="47"/>
      <c r="O176" s="319">
        <v>8</v>
      </c>
      <c r="P176" s="320">
        <v>1</v>
      </c>
      <c r="R176" s="47"/>
      <c r="S176" s="47"/>
      <c r="T176" s="319">
        <v>8</v>
      </c>
      <c r="U176" s="320">
        <v>0.5</v>
      </c>
      <c r="W176" s="47"/>
      <c r="X176" s="47"/>
      <c r="Y176" s="319">
        <v>8</v>
      </c>
      <c r="Z176" s="320">
        <v>1.5</v>
      </c>
      <c r="AA176" s="328">
        <f t="shared" si="41"/>
        <v>40</v>
      </c>
      <c r="AB176" s="298">
        <f t="shared" si="43"/>
        <v>4</v>
      </c>
      <c r="AC176" s="4"/>
      <c r="AD176" s="47">
        <v>0.375</v>
      </c>
      <c r="AE176" s="47">
        <v>0.22916666666666666</v>
      </c>
      <c r="AF176" s="319">
        <v>7.5</v>
      </c>
      <c r="AG176" s="29">
        <f t="shared" si="40"/>
        <v>7.5</v>
      </c>
    </row>
    <row r="177" spans="1:49" outlineLevel="1">
      <c r="A177" s="180"/>
      <c r="B177" s="63" t="s">
        <v>63</v>
      </c>
      <c r="C177" s="47"/>
      <c r="D177" s="47"/>
      <c r="E177" s="319">
        <v>3</v>
      </c>
      <c r="F177" s="320"/>
      <c r="G177" s="438"/>
      <c r="H177" s="47"/>
      <c r="I177" s="47"/>
      <c r="J177" s="319">
        <v>3</v>
      </c>
      <c r="K177" s="320"/>
      <c r="L177" s="438"/>
      <c r="M177" s="47"/>
      <c r="N177" s="47"/>
      <c r="O177" s="319">
        <v>3</v>
      </c>
      <c r="P177" s="320"/>
      <c r="Q177" s="438"/>
      <c r="R177" s="47"/>
      <c r="S177" s="47"/>
      <c r="T177" s="319">
        <v>7</v>
      </c>
      <c r="U177" s="320"/>
      <c r="V177" s="438"/>
      <c r="W177" s="47"/>
      <c r="X177" s="47"/>
      <c r="Y177" s="319">
        <v>7</v>
      </c>
      <c r="Z177" s="320"/>
      <c r="AA177" s="328">
        <f t="shared" si="41"/>
        <v>23</v>
      </c>
      <c r="AB177" s="298">
        <f t="shared" si="43"/>
        <v>0</v>
      </c>
      <c r="AC177" s="4"/>
      <c r="AD177" s="47"/>
      <c r="AE177" s="47"/>
      <c r="AF177" s="319"/>
      <c r="AG177" s="29">
        <f t="shared" si="40"/>
        <v>0</v>
      </c>
      <c r="AK177" s="407"/>
    </row>
    <row r="178" spans="1:49" outlineLevel="1">
      <c r="A178" s="180"/>
      <c r="B178" s="267" t="s">
        <v>358</v>
      </c>
      <c r="C178" s="47"/>
      <c r="D178" s="47"/>
      <c r="E178" s="319">
        <v>4</v>
      </c>
      <c r="F178" s="320"/>
      <c r="G178" s="438"/>
      <c r="H178" s="47"/>
      <c r="I178" s="47"/>
      <c r="J178" s="319">
        <v>4</v>
      </c>
      <c r="K178" s="320"/>
      <c r="L178" s="438"/>
      <c r="M178" s="47"/>
      <c r="N178" s="47"/>
      <c r="O178" s="319">
        <v>4</v>
      </c>
      <c r="P178" s="320"/>
      <c r="Q178" s="438"/>
      <c r="R178" s="47"/>
      <c r="S178" s="47"/>
      <c r="T178" s="319">
        <v>4</v>
      </c>
      <c r="U178" s="320"/>
      <c r="V178" s="438"/>
      <c r="W178" s="47"/>
      <c r="X178" s="47"/>
      <c r="Y178" s="319">
        <v>4</v>
      </c>
      <c r="Z178" s="320"/>
      <c r="AA178" s="328">
        <f t="shared" si="41"/>
        <v>20</v>
      </c>
      <c r="AB178" s="298">
        <f t="shared" si="43"/>
        <v>0</v>
      </c>
      <c r="AC178" s="4"/>
      <c r="AD178" s="47"/>
      <c r="AE178" s="47"/>
      <c r="AF178" s="319"/>
      <c r="AG178" s="29">
        <f t="shared" si="40"/>
        <v>0</v>
      </c>
      <c r="AK178" s="407"/>
    </row>
    <row r="179" spans="1:49" outlineLevel="1">
      <c r="A179" s="180"/>
      <c r="B179" s="267" t="s">
        <v>359</v>
      </c>
      <c r="C179" s="47"/>
      <c r="D179" s="47"/>
      <c r="E179" s="319">
        <v>0</v>
      </c>
      <c r="F179" s="320"/>
      <c r="G179" s="438"/>
      <c r="H179" s="47"/>
      <c r="I179" s="47"/>
      <c r="J179" s="319">
        <v>0</v>
      </c>
      <c r="K179" s="320"/>
      <c r="L179" s="438"/>
      <c r="M179" s="47"/>
      <c r="N179" s="47"/>
      <c r="O179" s="319">
        <v>0</v>
      </c>
      <c r="P179" s="320"/>
      <c r="Q179" s="438"/>
      <c r="R179" s="47"/>
      <c r="S179" s="47"/>
      <c r="T179" s="319">
        <v>0</v>
      </c>
      <c r="U179" s="320"/>
      <c r="V179" s="438"/>
      <c r="W179" s="47"/>
      <c r="X179" s="47"/>
      <c r="Y179" s="319">
        <v>0</v>
      </c>
      <c r="Z179" s="320"/>
      <c r="AA179" s="328">
        <f t="shared" si="41"/>
        <v>0</v>
      </c>
      <c r="AB179" s="298">
        <f t="shared" si="43"/>
        <v>0</v>
      </c>
      <c r="AC179" s="4"/>
      <c r="AD179" s="47"/>
      <c r="AE179" s="47"/>
      <c r="AF179" s="319"/>
      <c r="AG179" s="29">
        <f t="shared" si="40"/>
        <v>0</v>
      </c>
      <c r="AK179" s="407"/>
    </row>
    <row r="180" spans="1:49" outlineLevel="1">
      <c r="A180" s="180"/>
      <c r="B180" s="267" t="s">
        <v>360</v>
      </c>
      <c r="C180" s="47"/>
      <c r="D180" s="47"/>
      <c r="E180" s="319">
        <v>4</v>
      </c>
      <c r="F180" s="320"/>
      <c r="G180" s="438"/>
      <c r="H180" s="47"/>
      <c r="I180" s="47"/>
      <c r="J180" s="319">
        <v>4</v>
      </c>
      <c r="K180" s="320"/>
      <c r="L180" s="438"/>
      <c r="M180" s="47"/>
      <c r="N180" s="47"/>
      <c r="O180" s="319">
        <v>6.5</v>
      </c>
      <c r="P180" s="320"/>
      <c r="Q180" s="438"/>
      <c r="R180" s="47"/>
      <c r="S180" s="47"/>
      <c r="T180" s="319">
        <v>4</v>
      </c>
      <c r="U180" s="320"/>
      <c r="V180" s="438"/>
      <c r="W180" s="47"/>
      <c r="X180" s="47"/>
      <c r="Y180" s="319">
        <v>7</v>
      </c>
      <c r="Z180" s="320"/>
      <c r="AA180" s="328">
        <f t="shared" si="41"/>
        <v>25.5</v>
      </c>
      <c r="AB180" s="298">
        <f t="shared" si="43"/>
        <v>0</v>
      </c>
      <c r="AC180" s="4"/>
      <c r="AD180" s="47"/>
      <c r="AE180" s="47"/>
      <c r="AF180" s="319"/>
      <c r="AG180" s="29">
        <f t="shared" si="40"/>
        <v>0</v>
      </c>
      <c r="AK180" s="407"/>
    </row>
    <row r="181" spans="1:49" outlineLevel="1">
      <c r="A181" s="180"/>
      <c r="B181" s="267" t="s">
        <v>361</v>
      </c>
      <c r="C181" s="47"/>
      <c r="D181" s="47"/>
      <c r="E181" s="319">
        <v>12.5</v>
      </c>
      <c r="F181" s="320"/>
      <c r="G181" s="438"/>
      <c r="H181" s="47"/>
      <c r="I181" s="47"/>
      <c r="J181" s="319">
        <v>0</v>
      </c>
      <c r="K181" s="320"/>
      <c r="L181" s="438"/>
      <c r="M181" s="47"/>
      <c r="N181" s="47"/>
      <c r="O181" s="319">
        <v>3</v>
      </c>
      <c r="P181" s="320"/>
      <c r="Q181" s="438"/>
      <c r="R181" s="47"/>
      <c r="S181" s="47"/>
      <c r="T181" s="319">
        <v>0</v>
      </c>
      <c r="U181" s="320"/>
      <c r="V181" s="438"/>
      <c r="W181" s="47"/>
      <c r="X181" s="47"/>
      <c r="Y181" s="319">
        <v>0</v>
      </c>
      <c r="Z181" s="320"/>
      <c r="AA181" s="328">
        <f t="shared" si="41"/>
        <v>15.5</v>
      </c>
      <c r="AB181" s="298">
        <f t="shared" si="43"/>
        <v>0</v>
      </c>
      <c r="AC181" s="4"/>
      <c r="AD181" s="47"/>
      <c r="AE181" s="47"/>
      <c r="AF181" s="319"/>
      <c r="AG181" s="29">
        <f t="shared" si="40"/>
        <v>0</v>
      </c>
      <c r="AK181" s="407"/>
    </row>
    <row r="182" spans="1:49" outlineLevel="1">
      <c r="A182" s="180"/>
      <c r="B182" s="267" t="s">
        <v>362</v>
      </c>
      <c r="C182" s="47"/>
      <c r="D182" s="47"/>
      <c r="E182" s="319">
        <v>4</v>
      </c>
      <c r="F182" s="320"/>
      <c r="G182" s="438"/>
      <c r="H182" s="47"/>
      <c r="I182" s="47"/>
      <c r="J182" s="319">
        <v>4</v>
      </c>
      <c r="K182" s="320"/>
      <c r="L182" s="438"/>
      <c r="M182" s="47"/>
      <c r="N182" s="47"/>
      <c r="O182" s="319">
        <v>4</v>
      </c>
      <c r="P182" s="320"/>
      <c r="Q182" s="438"/>
      <c r="R182" s="47"/>
      <c r="S182" s="47"/>
      <c r="T182" s="319">
        <v>4</v>
      </c>
      <c r="U182" s="320"/>
      <c r="V182" s="438"/>
      <c r="W182" s="47"/>
      <c r="X182" s="47"/>
      <c r="Y182" s="319">
        <v>4</v>
      </c>
      <c r="Z182" s="320"/>
      <c r="AA182" s="328">
        <f t="shared" si="41"/>
        <v>20</v>
      </c>
      <c r="AB182" s="298">
        <f t="shared" si="43"/>
        <v>0</v>
      </c>
      <c r="AC182" s="4"/>
      <c r="AD182" s="47"/>
      <c r="AE182" s="47"/>
      <c r="AF182" s="319"/>
      <c r="AG182" s="29">
        <f t="shared" si="40"/>
        <v>0</v>
      </c>
      <c r="AK182" s="407"/>
    </row>
    <row r="183" spans="1:49" outlineLevel="1">
      <c r="A183" s="180"/>
      <c r="B183" s="437" t="s">
        <v>355</v>
      </c>
      <c r="C183" s="47"/>
      <c r="D183" s="47"/>
      <c r="E183" s="319">
        <v>42.6</v>
      </c>
      <c r="F183" s="320"/>
      <c r="G183" s="438"/>
      <c r="H183" s="47"/>
      <c r="I183" s="47"/>
      <c r="J183" s="319"/>
      <c r="K183" s="320"/>
      <c r="L183" s="438"/>
      <c r="M183" s="47"/>
      <c r="N183" s="47"/>
      <c r="O183" s="319"/>
      <c r="P183" s="320"/>
      <c r="Q183" s="438"/>
      <c r="R183" s="47"/>
      <c r="S183" s="47"/>
      <c r="T183" s="319">
        <v>36.799999999999997</v>
      </c>
      <c r="U183" s="320"/>
      <c r="V183" s="438"/>
      <c r="W183" s="47"/>
      <c r="X183" s="47"/>
      <c r="Y183" s="319">
        <v>13.3</v>
      </c>
      <c r="Z183" s="320"/>
      <c r="AA183" s="328">
        <f t="shared" si="41"/>
        <v>92.7</v>
      </c>
      <c r="AB183" s="298">
        <f>Z183+U183+P183+K183+F183</f>
        <v>0</v>
      </c>
      <c r="AC183" s="4"/>
      <c r="AD183" s="47"/>
      <c r="AE183" s="47"/>
      <c r="AF183" s="319"/>
      <c r="AG183" s="29">
        <f>AF183</f>
        <v>0</v>
      </c>
      <c r="AK183" s="407"/>
    </row>
    <row r="184" spans="1:49" outlineLevel="1">
      <c r="A184" s="180"/>
      <c r="B184" s="437" t="s">
        <v>356</v>
      </c>
      <c r="C184" s="47"/>
      <c r="D184" s="47"/>
      <c r="E184" s="319">
        <v>12.5</v>
      </c>
      <c r="F184" s="320"/>
      <c r="G184" s="438"/>
      <c r="H184" s="47"/>
      <c r="I184" s="47"/>
      <c r="J184" s="319"/>
      <c r="K184" s="320"/>
      <c r="L184" s="438"/>
      <c r="M184" s="47"/>
      <c r="N184" s="47"/>
      <c r="O184" s="319"/>
      <c r="P184" s="320"/>
      <c r="Q184" s="438"/>
      <c r="R184" s="47"/>
      <c r="S184" s="47"/>
      <c r="T184" s="319">
        <v>12.5</v>
      </c>
      <c r="U184" s="320"/>
      <c r="V184" s="438"/>
      <c r="W184" s="47"/>
      <c r="X184" s="47"/>
      <c r="Y184" s="319"/>
      <c r="Z184" s="320"/>
      <c r="AA184" s="328">
        <f t="shared" si="41"/>
        <v>25</v>
      </c>
      <c r="AB184" s="298">
        <f>Z184+U184+P184+K184+F184</f>
        <v>0</v>
      </c>
      <c r="AC184" s="4"/>
      <c r="AD184" s="47"/>
      <c r="AE184" s="47"/>
      <c r="AF184" s="319"/>
      <c r="AG184" s="29">
        <f>AF184</f>
        <v>0</v>
      </c>
      <c r="AK184" s="407"/>
    </row>
    <row r="185" spans="1:49" outlineLevel="1">
      <c r="A185" s="180"/>
      <c r="B185" s="64" t="s">
        <v>61</v>
      </c>
      <c r="C185" s="31"/>
      <c r="D185" s="31"/>
      <c r="E185" s="439">
        <f>SUM(E154:E184)</f>
        <v>137.30000000000001</v>
      </c>
      <c r="F185" s="320">
        <f>SUM(F154:F184)</f>
        <v>0.5</v>
      </c>
      <c r="G185" s="31"/>
      <c r="H185" s="31"/>
      <c r="I185" s="31"/>
      <c r="J185" s="439">
        <f>SUM(J154:J184)</f>
        <v>137.75</v>
      </c>
      <c r="K185" s="320">
        <f>SUM(K154:K184)</f>
        <v>0.5</v>
      </c>
      <c r="L185" s="31"/>
      <c r="M185" s="31"/>
      <c r="N185" s="31"/>
      <c r="O185" s="439">
        <f>SUM(O154:O184)</f>
        <v>146.5</v>
      </c>
      <c r="P185" s="320">
        <f>SUM(P154:P184)</f>
        <v>1</v>
      </c>
      <c r="Q185" s="31"/>
      <c r="R185" s="31"/>
      <c r="S185" s="31"/>
      <c r="T185" s="439">
        <f>SUM(T154:T184)</f>
        <v>129.30000000000001</v>
      </c>
      <c r="U185" s="320">
        <f>SUM(U154:U184)</f>
        <v>0.5</v>
      </c>
      <c r="V185" s="31"/>
      <c r="W185" s="31"/>
      <c r="X185" s="31"/>
      <c r="Y185" s="439">
        <f>SUM(Y154:Y184)</f>
        <v>161.55000000000001</v>
      </c>
      <c r="Z185" s="320">
        <f>SUM(Z154:Z184)</f>
        <v>1.5</v>
      </c>
      <c r="AA185" s="370">
        <f>SUM(AA154:AA184)</f>
        <v>712.40000000000009</v>
      </c>
      <c r="AB185" s="370">
        <f>SUM(AB154:AB184)</f>
        <v>4</v>
      </c>
      <c r="AC185" s="4"/>
      <c r="AD185" s="64"/>
      <c r="AE185" s="64"/>
      <c r="AF185" s="370">
        <f>SUM(AF154:AF184)</f>
        <v>21</v>
      </c>
      <c r="AG185" s="370">
        <f>SUM(AG154:AG184)</f>
        <v>21</v>
      </c>
    </row>
    <row r="186" spans="1:49" outlineLevel="1">
      <c r="A186" s="180"/>
      <c r="B186" s="63" t="s">
        <v>64</v>
      </c>
      <c r="C186" s="47"/>
      <c r="D186" s="47"/>
      <c r="E186" s="319">
        <v>7.5</v>
      </c>
      <c r="F186" s="291">
        <v>0.5</v>
      </c>
      <c r="G186" s="60"/>
      <c r="H186" s="47"/>
      <c r="I186" s="47"/>
      <c r="J186" s="319">
        <v>7.5</v>
      </c>
      <c r="K186" s="291">
        <v>0.5</v>
      </c>
      <c r="L186" s="60"/>
      <c r="M186" s="47"/>
      <c r="N186" s="47"/>
      <c r="O186" s="319">
        <v>7.5</v>
      </c>
      <c r="P186" s="19">
        <v>0.25</v>
      </c>
      <c r="Q186" s="60"/>
      <c r="R186" s="47"/>
      <c r="S186" s="47"/>
      <c r="T186" s="319">
        <v>7.5</v>
      </c>
      <c r="U186" s="19">
        <v>1</v>
      </c>
      <c r="V186" s="60"/>
      <c r="W186" s="47"/>
      <c r="X186" s="47"/>
      <c r="Y186" s="319">
        <v>7.5</v>
      </c>
      <c r="Z186" s="19">
        <v>0.5</v>
      </c>
      <c r="AA186" s="28">
        <f>SUM(E186+J186+O186+T186+Y186)</f>
        <v>37.5</v>
      </c>
      <c r="AB186" s="296">
        <f>Z186+U186+P186+K186+F186</f>
        <v>2.75</v>
      </c>
      <c r="AC186" s="4"/>
      <c r="AD186" s="47" t="s">
        <v>29</v>
      </c>
      <c r="AE186" s="47" t="s">
        <v>29</v>
      </c>
      <c r="AF186" s="319">
        <f>1+0.75+1</f>
        <v>2.75</v>
      </c>
      <c r="AG186" s="29">
        <f>AF186</f>
        <v>2.75</v>
      </c>
    </row>
    <row r="187" spans="1:49" outlineLevel="1">
      <c r="A187" s="180"/>
      <c r="B187" s="71" t="s">
        <v>66</v>
      </c>
      <c r="C187" s="371"/>
      <c r="D187" s="371"/>
      <c r="E187" s="71"/>
      <c r="F187" s="71"/>
      <c r="G187" s="71"/>
      <c r="H187" s="71"/>
      <c r="I187" s="71"/>
      <c r="J187" s="71"/>
      <c r="K187" s="71"/>
      <c r="L187" s="71"/>
      <c r="M187" s="71"/>
      <c r="N187" s="71"/>
      <c r="O187" s="71"/>
      <c r="P187" s="71"/>
      <c r="Q187" s="71"/>
      <c r="R187" s="71"/>
      <c r="S187" s="71"/>
      <c r="T187" s="71"/>
      <c r="U187" s="71"/>
      <c r="V187" s="71"/>
      <c r="W187" s="71"/>
      <c r="X187" s="71"/>
      <c r="Y187" s="71"/>
      <c r="Z187" s="71"/>
      <c r="AA187" s="370">
        <f>SUM(AA186:AA186)</f>
        <v>37.5</v>
      </c>
      <c r="AB187" s="370">
        <f>SUM(AB186:AB186)</f>
        <v>2.75</v>
      </c>
      <c r="AC187" s="4"/>
      <c r="AG187" s="370">
        <f>SUM(AG186:AG186)</f>
        <v>2.75</v>
      </c>
    </row>
    <row r="188" spans="1:49" outlineLevel="1">
      <c r="A188" s="180"/>
      <c r="B188" s="217" t="s">
        <v>67</v>
      </c>
      <c r="C188" s="207">
        <f>C189+C190</f>
        <v>64</v>
      </c>
      <c r="D188" s="207"/>
      <c r="E188" s="209"/>
      <c r="F188" s="209"/>
      <c r="G188" s="207"/>
      <c r="H188" s="209"/>
      <c r="I188" s="209"/>
      <c r="J188" s="209"/>
      <c r="K188" s="209"/>
      <c r="L188" s="207"/>
      <c r="M188" s="207"/>
      <c r="N188" s="207"/>
      <c r="O188" s="207"/>
      <c r="P188" s="209"/>
      <c r="Q188" s="207"/>
      <c r="R188" s="207"/>
      <c r="S188" s="207"/>
      <c r="T188" s="207"/>
      <c r="U188" s="209"/>
      <c r="V188" s="207"/>
      <c r="W188" s="207"/>
      <c r="X188" s="207"/>
      <c r="Y188" s="210"/>
      <c r="Z188" s="209"/>
      <c r="AA188" s="211"/>
      <c r="AB188" s="209"/>
      <c r="AC188" s="211"/>
      <c r="AD188" s="211"/>
      <c r="AE188" s="211"/>
      <c r="AF188" s="211"/>
      <c r="AG188" s="211"/>
    </row>
    <row r="189" spans="1:49" outlineLevel="1">
      <c r="A189" s="180"/>
      <c r="B189" s="238" t="s">
        <v>68</v>
      </c>
      <c r="C189" s="239">
        <f>12+18+6+8+17+3</f>
        <v>64</v>
      </c>
      <c r="D189" s="207"/>
      <c r="E189" s="209"/>
      <c r="F189" s="209"/>
      <c r="G189" s="207"/>
      <c r="H189" s="209"/>
      <c r="I189" s="209"/>
      <c r="J189" s="209"/>
      <c r="K189" s="209"/>
      <c r="L189" s="207"/>
      <c r="M189" s="207"/>
      <c r="N189" s="207"/>
      <c r="O189" s="207"/>
      <c r="P189" s="209"/>
      <c r="Q189" s="207"/>
      <c r="R189" s="207"/>
      <c r="S189" s="207"/>
      <c r="T189" s="207"/>
      <c r="U189" s="209"/>
      <c r="V189" s="207"/>
      <c r="W189" s="207"/>
      <c r="X189" s="207"/>
      <c r="Y189" s="210"/>
      <c r="Z189" s="209"/>
      <c r="AA189" s="211"/>
      <c r="AB189" s="209"/>
      <c r="AC189" s="211"/>
      <c r="AD189" s="211"/>
      <c r="AE189" s="211"/>
      <c r="AF189" s="211"/>
      <c r="AG189" s="211"/>
    </row>
    <row r="190" spans="1:49" outlineLevel="1">
      <c r="A190" s="180"/>
      <c r="B190" s="238" t="s">
        <v>69</v>
      </c>
      <c r="C190" s="239"/>
      <c r="D190" s="207"/>
      <c r="E190" s="209"/>
      <c r="F190" s="209"/>
      <c r="G190" s="207"/>
      <c r="H190" s="209"/>
      <c r="I190" s="209"/>
      <c r="J190" s="209"/>
      <c r="K190" s="209"/>
      <c r="L190" s="207"/>
      <c r="M190" s="207"/>
      <c r="N190" s="207"/>
      <c r="O190" s="207"/>
      <c r="P190" s="209"/>
      <c r="Q190" s="207"/>
      <c r="R190" s="207"/>
      <c r="S190" s="207"/>
      <c r="T190" s="207"/>
      <c r="U190" s="209"/>
      <c r="V190" s="207"/>
      <c r="W190" s="207"/>
      <c r="X190" s="207"/>
      <c r="Y190" s="210"/>
      <c r="Z190" s="209"/>
      <c r="AA190" s="211"/>
      <c r="AB190" s="209"/>
      <c r="AC190" s="211"/>
      <c r="AD190" s="211"/>
      <c r="AE190" s="211"/>
      <c r="AF190" s="211"/>
      <c r="AG190" s="211"/>
    </row>
    <row r="191" spans="1:49" s="180" customFormat="1" outlineLevel="1">
      <c r="E191" s="4"/>
      <c r="F191" s="4"/>
      <c r="G191" s="4"/>
      <c r="J191" s="4"/>
      <c r="K191" s="4"/>
      <c r="L191" s="4"/>
      <c r="O191" s="4"/>
      <c r="P191" s="4"/>
      <c r="Q191" s="4"/>
      <c r="T191" s="4"/>
      <c r="U191" s="4"/>
      <c r="V191" s="4"/>
      <c r="Y191" s="4"/>
      <c r="Z191" s="4"/>
      <c r="AA191" s="4"/>
      <c r="AB191" s="4"/>
      <c r="AC191" s="4"/>
      <c r="AH191" s="4"/>
    </row>
    <row r="192" spans="1:49" outlineLevel="1">
      <c r="A192" s="180"/>
      <c r="B192" s="229"/>
      <c r="C192" s="230"/>
      <c r="D192" s="230"/>
      <c r="E192" s="232"/>
      <c r="F192" s="232"/>
      <c r="G192" s="230"/>
      <c r="H192" s="232"/>
      <c r="I192" s="232"/>
      <c r="J192" s="232"/>
      <c r="K192" s="232"/>
      <c r="L192" s="230"/>
      <c r="M192" s="230"/>
      <c r="N192" s="230"/>
      <c r="O192" s="230"/>
      <c r="P192" s="232"/>
      <c r="Q192" s="230"/>
      <c r="R192" s="230"/>
      <c r="S192" s="230"/>
      <c r="T192" s="230"/>
      <c r="U192" s="232"/>
      <c r="V192" s="230"/>
      <c r="W192" s="230"/>
      <c r="X192" s="230"/>
      <c r="Y192" s="233"/>
      <c r="Z192" s="232"/>
      <c r="AA192" s="234"/>
      <c r="AB192" s="232"/>
      <c r="AC192" s="373"/>
      <c r="AD192" s="236"/>
      <c r="AE192" s="255"/>
      <c r="AF192" s="255"/>
      <c r="AG192" s="255"/>
      <c r="AH192" s="255"/>
      <c r="AJ192" s="255"/>
      <c r="AK192" s="255"/>
      <c r="AL192" s="255"/>
      <c r="AM192" s="255"/>
      <c r="AN192" s="255"/>
      <c r="AO192" s="255"/>
      <c r="AP192" s="255"/>
      <c r="AQ192" s="255"/>
      <c r="AR192" s="255"/>
      <c r="AS192" s="255"/>
      <c r="AT192" s="255"/>
      <c r="AU192" s="255"/>
      <c r="AV192" s="255"/>
      <c r="AW192" s="255"/>
    </row>
    <row r="193" spans="1:49" outlineLevel="1">
      <c r="B193" s="180"/>
      <c r="E193" s="4"/>
      <c r="F193" s="4"/>
      <c r="G193" s="4"/>
      <c r="J193" s="4"/>
      <c r="K193" s="4"/>
      <c r="L193" s="4"/>
      <c r="O193" s="4"/>
      <c r="P193" s="4"/>
      <c r="T193" s="4"/>
      <c r="U193" s="4"/>
      <c r="Y193" s="4"/>
      <c r="Z193" s="4"/>
      <c r="AA193" s="4"/>
      <c r="AB193" s="4"/>
      <c r="AC193" s="4"/>
      <c r="AK193" s="180"/>
      <c r="AL193" s="180"/>
      <c r="AM193" s="180"/>
      <c r="AN193" s="180"/>
      <c r="AO193" s="180"/>
      <c r="AP193" s="180"/>
    </row>
    <row r="194" spans="1:49" ht="11.45" customHeight="1" outlineLevel="1">
      <c r="A194" s="228"/>
      <c r="B194" s="1518" t="s">
        <v>18</v>
      </c>
      <c r="C194" s="1519">
        <v>45404</v>
      </c>
      <c r="D194" s="1519"/>
      <c r="E194" s="1519"/>
      <c r="F194" s="1519"/>
      <c r="G194" s="365"/>
      <c r="H194" s="1519">
        <v>45405</v>
      </c>
      <c r="I194" s="1519"/>
      <c r="J194" s="1519"/>
      <c r="K194" s="1519"/>
      <c r="L194" s="365">
        <v>45343</v>
      </c>
      <c r="M194" s="1519">
        <v>45406</v>
      </c>
      <c r="N194" s="1519"/>
      <c r="O194" s="1519"/>
      <c r="P194" s="1519"/>
      <c r="Q194" s="365"/>
      <c r="R194" s="1519">
        <v>45407</v>
      </c>
      <c r="S194" s="1519"/>
      <c r="T194" s="1519"/>
      <c r="U194" s="1519"/>
      <c r="V194" s="365"/>
      <c r="W194" s="1519">
        <v>45408</v>
      </c>
      <c r="X194" s="1519"/>
      <c r="Y194" s="1519"/>
      <c r="Z194" s="1519"/>
      <c r="AA194" s="1517" t="s">
        <v>19</v>
      </c>
      <c r="AB194" s="1517" t="s">
        <v>20</v>
      </c>
      <c r="AC194" s="4"/>
      <c r="AD194" s="1519">
        <v>45409</v>
      </c>
      <c r="AE194" s="1519"/>
      <c r="AF194" s="1519"/>
      <c r="AG194" s="1517" t="s">
        <v>21</v>
      </c>
      <c r="AI194" s="368"/>
      <c r="AK194" s="194" t="s">
        <v>84</v>
      </c>
      <c r="AL194" s="366"/>
      <c r="AM194" s="366"/>
      <c r="AN194" s="366"/>
      <c r="AO194" s="366"/>
      <c r="AP194" s="366"/>
    </row>
    <row r="195" spans="1:49" outlineLevel="1">
      <c r="A195" s="180"/>
      <c r="B195" s="1518"/>
      <c r="C195" s="21" t="s">
        <v>23</v>
      </c>
      <c r="D195" s="21" t="s">
        <v>24</v>
      </c>
      <c r="E195" s="205" t="s">
        <v>25</v>
      </c>
      <c r="F195" s="18" t="s">
        <v>14</v>
      </c>
      <c r="G195" s="4"/>
      <c r="H195" s="21" t="s">
        <v>23</v>
      </c>
      <c r="I195" s="21" t="s">
        <v>24</v>
      </c>
      <c r="J195" s="18" t="s">
        <v>25</v>
      </c>
      <c r="K195" s="18" t="s">
        <v>14</v>
      </c>
      <c r="L195" s="4"/>
      <c r="M195" s="21" t="s">
        <v>23</v>
      </c>
      <c r="N195" s="21" t="s">
        <v>24</v>
      </c>
      <c r="O195" s="18" t="s">
        <v>25</v>
      </c>
      <c r="P195" s="18" t="s">
        <v>14</v>
      </c>
      <c r="R195" s="21" t="s">
        <v>23</v>
      </c>
      <c r="S195" s="21" t="s">
        <v>24</v>
      </c>
      <c r="T195" s="18" t="s">
        <v>25</v>
      </c>
      <c r="U195" s="18" t="s">
        <v>14</v>
      </c>
      <c r="W195" s="21" t="s">
        <v>23</v>
      </c>
      <c r="X195" s="21" t="s">
        <v>24</v>
      </c>
      <c r="Y195" s="18" t="s">
        <v>25</v>
      </c>
      <c r="Z195" s="18" t="s">
        <v>14</v>
      </c>
      <c r="AA195" s="1517"/>
      <c r="AB195" s="1517"/>
      <c r="AC195" s="4"/>
      <c r="AD195" s="21" t="s">
        <v>23</v>
      </c>
      <c r="AE195" s="21" t="s">
        <v>24</v>
      </c>
      <c r="AF195" s="18" t="s">
        <v>25</v>
      </c>
      <c r="AG195" s="1517"/>
      <c r="AI195" s="368"/>
      <c r="AJ195" s="367"/>
      <c r="AK195" s="494" t="s">
        <v>26</v>
      </c>
      <c r="AL195" s="471">
        <f>AA244</f>
        <v>918.8</v>
      </c>
      <c r="AM195" s="510">
        <v>38</v>
      </c>
      <c r="AN195" s="510">
        <f t="shared" ref="AN195:AN201" si="44">AL195*AM195</f>
        <v>34914.400000000001</v>
      </c>
      <c r="AQ195" s="367"/>
      <c r="AR195" s="367"/>
      <c r="AS195" s="367"/>
      <c r="AT195" s="367"/>
      <c r="AU195" s="367"/>
      <c r="AV195" s="367"/>
      <c r="AW195" s="367"/>
    </row>
    <row r="196" spans="1:49" outlineLevel="1">
      <c r="A196" s="180"/>
      <c r="B196" s="457" t="s">
        <v>347</v>
      </c>
      <c r="C196" s="47">
        <v>0.37430555555555556</v>
      </c>
      <c r="D196" s="47">
        <v>0.25138888888888888</v>
      </c>
      <c r="E196" s="319">
        <v>8</v>
      </c>
      <c r="F196" s="320"/>
      <c r="G196" s="4"/>
      <c r="H196" s="47">
        <v>0.37361111111111112</v>
      </c>
      <c r="I196" s="47">
        <v>0.25138888888888888</v>
      </c>
      <c r="J196" s="319">
        <v>8</v>
      </c>
      <c r="K196" s="320"/>
      <c r="L196" s="4"/>
      <c r="M196" s="47">
        <v>0</v>
      </c>
      <c r="N196" s="47">
        <v>0</v>
      </c>
      <c r="O196" s="319">
        <v>0</v>
      </c>
      <c r="P196" s="320"/>
      <c r="R196" s="441" t="s">
        <v>154</v>
      </c>
      <c r="S196" s="441" t="s">
        <v>154</v>
      </c>
      <c r="T196" s="319">
        <v>0</v>
      </c>
      <c r="U196" s="320"/>
      <c r="W196" s="441" t="s">
        <v>154</v>
      </c>
      <c r="X196" s="441" t="s">
        <v>154</v>
      </c>
      <c r="Y196" s="319">
        <v>0</v>
      </c>
      <c r="Z196" s="320"/>
      <c r="AA196" s="328">
        <f t="shared" ref="AA196:AA215" si="45">(E196+J196+O196+T196+Y196)</f>
        <v>16</v>
      </c>
      <c r="AB196" s="298">
        <f t="shared" ref="AB196:AB243" si="46">Z196+U196+P196+K196+F196</f>
        <v>0</v>
      </c>
      <c r="AC196" s="4"/>
      <c r="AD196" s="47"/>
      <c r="AE196" s="47"/>
      <c r="AF196" s="319"/>
      <c r="AG196" s="328">
        <f t="shared" ref="AG196:AG215" si="47">AF196</f>
        <v>0</v>
      </c>
      <c r="AI196" s="368"/>
      <c r="AJ196" s="367"/>
      <c r="AK196" s="494" t="s">
        <v>30</v>
      </c>
      <c r="AL196" s="471">
        <f>AB244</f>
        <v>35.83</v>
      </c>
      <c r="AM196" s="511">
        <v>57</v>
      </c>
      <c r="AN196" s="510">
        <f t="shared" si="44"/>
        <v>2042.31</v>
      </c>
      <c r="AQ196" s="367"/>
      <c r="AR196" s="367"/>
      <c r="AS196" s="367"/>
      <c r="AT196" s="367"/>
      <c r="AU196" s="367"/>
      <c r="AV196" s="367"/>
      <c r="AW196" s="367"/>
    </row>
    <row r="197" spans="1:49" outlineLevel="1">
      <c r="A197" s="367"/>
      <c r="B197" s="318" t="s">
        <v>332</v>
      </c>
      <c r="C197" s="47">
        <v>0</v>
      </c>
      <c r="D197" s="47">
        <v>0</v>
      </c>
      <c r="E197" s="319">
        <v>0</v>
      </c>
      <c r="F197" s="320"/>
      <c r="G197" s="4"/>
      <c r="H197" s="47">
        <v>0.36805555555555558</v>
      </c>
      <c r="I197" s="47">
        <v>0.25</v>
      </c>
      <c r="J197" s="319">
        <v>8</v>
      </c>
      <c r="K197" s="320"/>
      <c r="L197" s="4"/>
      <c r="M197" s="47">
        <v>0.36388888888888887</v>
      </c>
      <c r="N197" s="47">
        <v>0.25555555555555554</v>
      </c>
      <c r="O197" s="319">
        <v>8</v>
      </c>
      <c r="P197" s="320">
        <v>0.5</v>
      </c>
      <c r="R197" s="47">
        <v>0.37152777777777779</v>
      </c>
      <c r="S197" s="47">
        <v>0.16666666666666666</v>
      </c>
      <c r="T197" s="319">
        <v>7</v>
      </c>
      <c r="U197" s="320"/>
      <c r="W197" s="441" t="s">
        <v>365</v>
      </c>
      <c r="X197" s="441" t="s">
        <v>366</v>
      </c>
      <c r="Y197" s="319">
        <v>3</v>
      </c>
      <c r="Z197" s="320"/>
      <c r="AA197" s="328">
        <f t="shared" si="45"/>
        <v>26</v>
      </c>
      <c r="AB197" s="298">
        <f t="shared" si="46"/>
        <v>0.5</v>
      </c>
      <c r="AC197" s="4"/>
      <c r="AD197" s="47"/>
      <c r="AE197" s="47"/>
      <c r="AF197" s="319"/>
      <c r="AG197" s="328">
        <f t="shared" si="47"/>
        <v>0</v>
      </c>
      <c r="AH197" s="175"/>
      <c r="AI197" s="402"/>
      <c r="AJ197" s="367"/>
      <c r="AK197" s="494" t="s">
        <v>32</v>
      </c>
      <c r="AL197" s="471">
        <f>AG244</f>
        <v>0</v>
      </c>
      <c r="AM197" s="510">
        <v>57</v>
      </c>
      <c r="AN197" s="510">
        <f t="shared" si="44"/>
        <v>0</v>
      </c>
      <c r="AQ197" s="367"/>
      <c r="AR197" s="367"/>
      <c r="AS197" s="367"/>
      <c r="AT197" s="367"/>
      <c r="AU197" s="367"/>
      <c r="AV197" s="367"/>
      <c r="AW197" s="367"/>
    </row>
    <row r="198" spans="1:49" outlineLevel="1">
      <c r="A198" s="367"/>
      <c r="B198" s="457" t="s">
        <v>229</v>
      </c>
      <c r="C198" s="47">
        <v>0.37291666666666667</v>
      </c>
      <c r="D198" s="47">
        <v>0.24583333333333332</v>
      </c>
      <c r="E198" s="319">
        <v>8</v>
      </c>
      <c r="F198" s="320"/>
      <c r="G198" s="4"/>
      <c r="H198" s="47">
        <v>0.36875000000000002</v>
      </c>
      <c r="I198" s="47">
        <v>0.25069444444444444</v>
      </c>
      <c r="J198" s="319">
        <v>8</v>
      </c>
      <c r="K198" s="320"/>
      <c r="L198" s="4"/>
      <c r="M198" s="47">
        <v>0.37013888888888891</v>
      </c>
      <c r="N198" s="47">
        <v>0.25347222222222221</v>
      </c>
      <c r="O198" s="319">
        <v>8</v>
      </c>
      <c r="P198" s="320"/>
      <c r="R198" s="441" t="s">
        <v>367</v>
      </c>
      <c r="S198" s="441" t="s">
        <v>368</v>
      </c>
      <c r="T198" s="319">
        <v>7.5</v>
      </c>
      <c r="U198" s="320"/>
      <c r="W198" s="441" t="s">
        <v>154</v>
      </c>
      <c r="X198" s="441" t="s">
        <v>154</v>
      </c>
      <c r="Y198" s="319">
        <v>0</v>
      </c>
      <c r="Z198" s="320"/>
      <c r="AA198" s="328">
        <f t="shared" si="45"/>
        <v>31.5</v>
      </c>
      <c r="AB198" s="298">
        <f t="shared" si="46"/>
        <v>0</v>
      </c>
      <c r="AC198" s="399"/>
      <c r="AD198" s="47"/>
      <c r="AE198" s="47"/>
      <c r="AF198" s="319"/>
      <c r="AG198" s="29">
        <f t="shared" si="47"/>
        <v>0</v>
      </c>
      <c r="AH198" s="175"/>
      <c r="AJ198" s="401"/>
      <c r="AK198" s="494" t="s">
        <v>213</v>
      </c>
      <c r="AL198" s="471">
        <f>AA246</f>
        <v>38.5</v>
      </c>
      <c r="AM198" s="510">
        <v>50</v>
      </c>
      <c r="AN198" s="510">
        <f t="shared" si="44"/>
        <v>1925</v>
      </c>
      <c r="AO198" s="405"/>
      <c r="AP198" s="405"/>
      <c r="AQ198" s="401"/>
      <c r="AR198" s="401"/>
      <c r="AS198" s="401"/>
      <c r="AT198" s="401"/>
      <c r="AU198" s="401"/>
      <c r="AV198" s="401"/>
      <c r="AW198" s="401"/>
    </row>
    <row r="199" spans="1:49" outlineLevel="1">
      <c r="A199" s="367"/>
      <c r="B199" s="318" t="s">
        <v>334</v>
      </c>
      <c r="C199" s="47">
        <v>0.37638888888888888</v>
      </c>
      <c r="D199" s="47">
        <v>0.25</v>
      </c>
      <c r="E199" s="319">
        <v>8</v>
      </c>
      <c r="F199" s="320"/>
      <c r="G199" s="4"/>
      <c r="H199" s="47">
        <v>0.37083333333333335</v>
      </c>
      <c r="I199" s="47">
        <v>0.25</v>
      </c>
      <c r="J199" s="319">
        <v>8</v>
      </c>
      <c r="K199" s="320"/>
      <c r="L199" s="4"/>
      <c r="M199" s="47">
        <v>0.375</v>
      </c>
      <c r="N199" s="47">
        <v>0.25</v>
      </c>
      <c r="O199" s="319">
        <v>8</v>
      </c>
      <c r="P199" s="320"/>
      <c r="R199" s="47">
        <v>0.375</v>
      </c>
      <c r="S199" s="441" t="s">
        <v>246</v>
      </c>
      <c r="T199" s="319">
        <v>8</v>
      </c>
      <c r="U199" s="320"/>
      <c r="W199" s="47">
        <v>0.375</v>
      </c>
      <c r="X199" s="441" t="s">
        <v>222</v>
      </c>
      <c r="Y199" s="319">
        <v>6</v>
      </c>
      <c r="Z199" s="320"/>
      <c r="AA199" s="328">
        <f t="shared" si="45"/>
        <v>38</v>
      </c>
      <c r="AB199" s="298">
        <f t="shared" si="46"/>
        <v>0</v>
      </c>
      <c r="AC199" s="399"/>
      <c r="AD199" s="47"/>
      <c r="AE199" s="47"/>
      <c r="AF199" s="319"/>
      <c r="AG199" s="29">
        <f t="shared" si="47"/>
        <v>0</v>
      </c>
      <c r="AH199" s="175"/>
      <c r="AJ199" s="401"/>
      <c r="AK199" s="494" t="s">
        <v>36</v>
      </c>
      <c r="AL199" s="471">
        <f>AB246</f>
        <v>5.25</v>
      </c>
      <c r="AM199" s="510">
        <v>75</v>
      </c>
      <c r="AN199" s="510">
        <f t="shared" si="44"/>
        <v>393.75</v>
      </c>
      <c r="AO199" s="405"/>
      <c r="AP199" s="405"/>
      <c r="AQ199" s="401"/>
      <c r="AR199" s="401"/>
      <c r="AS199" s="401"/>
      <c r="AT199" s="401"/>
      <c r="AU199" s="401"/>
      <c r="AV199" s="401"/>
      <c r="AW199" s="401"/>
    </row>
    <row r="200" spans="1:49" outlineLevel="1">
      <c r="A200" s="367"/>
      <c r="B200" s="457" t="s">
        <v>329</v>
      </c>
      <c r="C200" s="47">
        <v>0.37916666666666665</v>
      </c>
      <c r="D200" s="47">
        <v>0.22500000000000001</v>
      </c>
      <c r="E200" s="319">
        <v>8</v>
      </c>
      <c r="F200" s="320"/>
      <c r="G200" s="4"/>
      <c r="H200" s="47">
        <v>0.36388888888888887</v>
      </c>
      <c r="I200" s="47">
        <v>0.2722222222222222</v>
      </c>
      <c r="J200" s="319">
        <v>8</v>
      </c>
      <c r="K200" s="320">
        <v>1.35</v>
      </c>
      <c r="L200" s="4"/>
      <c r="M200" s="47">
        <v>0</v>
      </c>
      <c r="N200" s="47">
        <v>0</v>
      </c>
      <c r="O200" s="319">
        <v>0</v>
      </c>
      <c r="P200" s="320"/>
      <c r="R200" s="47">
        <v>0</v>
      </c>
      <c r="S200" s="441" t="s">
        <v>154</v>
      </c>
      <c r="T200" s="319">
        <v>0</v>
      </c>
      <c r="U200" s="320"/>
      <c r="W200" s="47">
        <v>0</v>
      </c>
      <c r="X200" s="441" t="s">
        <v>154</v>
      </c>
      <c r="Y200" s="319">
        <v>0</v>
      </c>
      <c r="Z200" s="320"/>
      <c r="AA200" s="328">
        <f t="shared" si="45"/>
        <v>16</v>
      </c>
      <c r="AB200" s="298">
        <f t="shared" si="46"/>
        <v>1.35</v>
      </c>
      <c r="AC200" s="175"/>
      <c r="AD200" s="47"/>
      <c r="AE200" s="47"/>
      <c r="AF200" s="319"/>
      <c r="AG200" s="344">
        <f t="shared" si="47"/>
        <v>0</v>
      </c>
      <c r="AH200" s="175"/>
      <c r="AI200" s="368"/>
      <c r="AK200" s="494" t="s">
        <v>38</v>
      </c>
      <c r="AL200" s="471">
        <f>AG246</f>
        <v>0.5</v>
      </c>
      <c r="AM200" s="510">
        <v>75</v>
      </c>
      <c r="AN200" s="510">
        <f t="shared" si="44"/>
        <v>37.5</v>
      </c>
    </row>
    <row r="201" spans="1:49" ht="14.25" outlineLevel="1" thickBot="1">
      <c r="A201" s="401"/>
      <c r="B201" s="318" t="s">
        <v>232</v>
      </c>
      <c r="C201" s="47">
        <v>0.44444444444444442</v>
      </c>
      <c r="D201" s="47">
        <v>0.25</v>
      </c>
      <c r="E201" s="319">
        <v>6.5</v>
      </c>
      <c r="F201" s="320"/>
      <c r="G201" s="4"/>
      <c r="H201" s="47">
        <v>0.38819444444444445</v>
      </c>
      <c r="I201" s="47">
        <v>0.25416666666666665</v>
      </c>
      <c r="J201" s="319">
        <v>7.75</v>
      </c>
      <c r="K201" s="320"/>
      <c r="L201" s="4"/>
      <c r="M201" s="47">
        <v>0.39027777777777778</v>
      </c>
      <c r="N201" s="47">
        <v>0.25486111111111109</v>
      </c>
      <c r="O201" s="319">
        <v>7.75</v>
      </c>
      <c r="P201" s="320"/>
      <c r="R201" s="47">
        <v>0</v>
      </c>
      <c r="S201" s="441" t="s">
        <v>154</v>
      </c>
      <c r="T201" s="319">
        <v>0</v>
      </c>
      <c r="U201" s="320"/>
      <c r="W201" s="47">
        <v>0</v>
      </c>
      <c r="X201" s="441" t="s">
        <v>154</v>
      </c>
      <c r="Y201" s="319">
        <v>0</v>
      </c>
      <c r="Z201" s="320"/>
      <c r="AA201" s="328">
        <f t="shared" si="45"/>
        <v>22</v>
      </c>
      <c r="AB201" s="298">
        <f t="shared" si="46"/>
        <v>0</v>
      </c>
      <c r="AC201" s="4"/>
      <c r="AD201" s="47"/>
      <c r="AE201" s="47"/>
      <c r="AF201" s="319"/>
      <c r="AG201" s="29">
        <f t="shared" si="47"/>
        <v>0</v>
      </c>
      <c r="AJ201" s="367"/>
      <c r="AK201" s="494" t="s">
        <v>41</v>
      </c>
      <c r="AL201" s="471">
        <f>C247</f>
        <v>208</v>
      </c>
      <c r="AM201" s="512">
        <v>45</v>
      </c>
      <c r="AN201" s="512">
        <f t="shared" si="44"/>
        <v>9360</v>
      </c>
      <c r="AQ201" s="367"/>
      <c r="AR201" s="367"/>
      <c r="AS201" s="367"/>
      <c r="AT201" s="367"/>
      <c r="AU201" s="367"/>
      <c r="AV201" s="367"/>
      <c r="AW201" s="367"/>
    </row>
    <row r="202" spans="1:49" ht="14.25" outlineLevel="1" thickTop="1">
      <c r="A202" s="367"/>
      <c r="B202" s="318" t="s">
        <v>53</v>
      </c>
      <c r="C202" s="47">
        <v>0</v>
      </c>
      <c r="D202" s="47">
        <v>0</v>
      </c>
      <c r="E202" s="319">
        <v>0</v>
      </c>
      <c r="F202" s="320"/>
      <c r="G202" s="4"/>
      <c r="H202" s="47">
        <v>0</v>
      </c>
      <c r="I202" s="47">
        <v>0</v>
      </c>
      <c r="J202" s="319">
        <v>0</v>
      </c>
      <c r="K202" s="320"/>
      <c r="L202" s="4"/>
      <c r="M202" s="47">
        <v>0.375</v>
      </c>
      <c r="N202" s="47">
        <v>0.25</v>
      </c>
      <c r="O202" s="319">
        <v>8</v>
      </c>
      <c r="P202" s="320"/>
      <c r="R202" s="47">
        <v>0</v>
      </c>
      <c r="S202" s="441" t="s">
        <v>154</v>
      </c>
      <c r="T202" s="319">
        <v>0</v>
      </c>
      <c r="U202" s="320"/>
      <c r="W202" s="47">
        <v>0</v>
      </c>
      <c r="X202" s="441" t="s">
        <v>154</v>
      </c>
      <c r="Y202" s="319">
        <v>0</v>
      </c>
      <c r="Z202" s="320"/>
      <c r="AA202" s="328">
        <f t="shared" si="45"/>
        <v>8</v>
      </c>
      <c r="AB202" s="298">
        <f t="shared" si="46"/>
        <v>0</v>
      </c>
      <c r="AC202" s="4"/>
      <c r="AD202" s="47"/>
      <c r="AE202" s="47"/>
      <c r="AF202" s="319"/>
      <c r="AG202" s="29">
        <f t="shared" si="47"/>
        <v>0</v>
      </c>
      <c r="AN202" s="510">
        <f>SUM(AN195:AN201)</f>
        <v>48672.959999999999</v>
      </c>
    </row>
    <row r="203" spans="1:49" outlineLevel="1">
      <c r="A203" s="180"/>
      <c r="B203" s="318" t="s">
        <v>330</v>
      </c>
      <c r="C203" s="47">
        <v>0</v>
      </c>
      <c r="D203" s="47">
        <v>0</v>
      </c>
      <c r="E203" s="319">
        <v>0</v>
      </c>
      <c r="F203" s="320"/>
      <c r="G203" s="4"/>
      <c r="H203" s="47">
        <v>0</v>
      </c>
      <c r="I203" s="47">
        <v>0</v>
      </c>
      <c r="J203" s="319">
        <v>0</v>
      </c>
      <c r="K203" s="320"/>
      <c r="L203" s="4"/>
      <c r="M203" s="47">
        <v>0</v>
      </c>
      <c r="N203" s="47">
        <v>0</v>
      </c>
      <c r="O203" s="319">
        <v>0</v>
      </c>
      <c r="P203" s="320"/>
      <c r="R203" s="47">
        <v>0.37430555555555556</v>
      </c>
      <c r="S203" s="441" t="s">
        <v>369</v>
      </c>
      <c r="T203" s="319">
        <v>7.75</v>
      </c>
      <c r="U203" s="320"/>
      <c r="W203" s="47">
        <v>0</v>
      </c>
      <c r="X203" s="441" t="s">
        <v>154</v>
      </c>
      <c r="Y203" s="319">
        <v>0</v>
      </c>
      <c r="Z203" s="320"/>
      <c r="AA203" s="328">
        <f t="shared" si="45"/>
        <v>7.75</v>
      </c>
      <c r="AB203" s="298">
        <f t="shared" si="46"/>
        <v>0</v>
      </c>
      <c r="AC203" s="4"/>
      <c r="AD203" s="47"/>
      <c r="AE203" s="47"/>
      <c r="AF203" s="319"/>
      <c r="AG203" s="29">
        <f t="shared" si="47"/>
        <v>0</v>
      </c>
    </row>
    <row r="204" spans="1:49" outlineLevel="1">
      <c r="A204" s="180"/>
      <c r="B204" s="457" t="s">
        <v>234</v>
      </c>
      <c r="C204" s="47">
        <v>0.375</v>
      </c>
      <c r="D204" s="47">
        <v>0.28263888888888888</v>
      </c>
      <c r="E204" s="319">
        <v>8</v>
      </c>
      <c r="F204" s="320">
        <v>0.75</v>
      </c>
      <c r="G204" s="4"/>
      <c r="H204" s="47">
        <v>0.37638888888888888</v>
      </c>
      <c r="I204" s="47">
        <v>0.26597222222222222</v>
      </c>
      <c r="J204" s="319">
        <v>8</v>
      </c>
      <c r="K204" s="320">
        <v>0.5</v>
      </c>
      <c r="L204" s="4"/>
      <c r="M204" s="47">
        <v>0.39652777777777776</v>
      </c>
      <c r="N204" s="47">
        <v>0.26597222222222222</v>
      </c>
      <c r="O204" s="319">
        <v>8</v>
      </c>
      <c r="P204" s="320">
        <v>0.5</v>
      </c>
      <c r="R204" s="47">
        <v>0</v>
      </c>
      <c r="S204" s="441" t="s">
        <v>154</v>
      </c>
      <c r="T204" s="319">
        <v>0</v>
      </c>
      <c r="U204" s="320"/>
      <c r="W204" s="47">
        <v>0</v>
      </c>
      <c r="X204" s="441" t="s">
        <v>154</v>
      </c>
      <c r="Y204" s="319">
        <v>0</v>
      </c>
      <c r="Z204" s="320"/>
      <c r="AA204" s="328">
        <f t="shared" si="45"/>
        <v>24</v>
      </c>
      <c r="AB204" s="298">
        <f t="shared" si="46"/>
        <v>1.75</v>
      </c>
      <c r="AC204" s="4"/>
      <c r="AD204" s="47"/>
      <c r="AE204" s="47"/>
      <c r="AF204" s="319"/>
      <c r="AG204" s="29">
        <f t="shared" si="47"/>
        <v>0</v>
      </c>
    </row>
    <row r="205" spans="1:49" outlineLevel="1">
      <c r="A205" s="180"/>
      <c r="B205" s="318" t="s">
        <v>35</v>
      </c>
      <c r="C205" s="47">
        <v>0.375</v>
      </c>
      <c r="D205" s="47">
        <v>0.29652777777777778</v>
      </c>
      <c r="E205" s="319">
        <v>8</v>
      </c>
      <c r="F205" s="320">
        <v>1</v>
      </c>
      <c r="G205" s="4"/>
      <c r="H205" s="47">
        <v>0</v>
      </c>
      <c r="I205" s="47">
        <v>0</v>
      </c>
      <c r="J205" s="319">
        <v>0</v>
      </c>
      <c r="K205" s="320"/>
      <c r="L205" s="4"/>
      <c r="M205" s="47">
        <v>0.36736111111111114</v>
      </c>
      <c r="N205" s="47">
        <v>0.31805555555555554</v>
      </c>
      <c r="O205" s="319">
        <v>8</v>
      </c>
      <c r="P205" s="320">
        <v>2.81</v>
      </c>
      <c r="R205" s="47">
        <v>0.375</v>
      </c>
      <c r="S205" s="441" t="s">
        <v>370</v>
      </c>
      <c r="T205" s="319">
        <v>8</v>
      </c>
      <c r="U205" s="320"/>
      <c r="W205" s="47">
        <v>0</v>
      </c>
      <c r="X205" s="441" t="s">
        <v>154</v>
      </c>
      <c r="Y205" s="319">
        <v>0</v>
      </c>
      <c r="Z205" s="320"/>
      <c r="AA205" s="328">
        <f t="shared" si="45"/>
        <v>24</v>
      </c>
      <c r="AB205" s="298">
        <f t="shared" si="46"/>
        <v>3.81</v>
      </c>
      <c r="AC205" s="4"/>
      <c r="AD205" s="47"/>
      <c r="AE205" s="47"/>
      <c r="AF205" s="319"/>
      <c r="AG205" s="29">
        <f t="shared" si="47"/>
        <v>0</v>
      </c>
    </row>
    <row r="206" spans="1:49" outlineLevel="1">
      <c r="A206" s="180"/>
      <c r="B206" s="318" t="s">
        <v>336</v>
      </c>
      <c r="C206" s="47">
        <v>0.35902777777777778</v>
      </c>
      <c r="D206" s="47">
        <v>0.25</v>
      </c>
      <c r="E206" s="319">
        <v>8</v>
      </c>
      <c r="F206" s="320">
        <v>0.25</v>
      </c>
      <c r="G206" s="4"/>
      <c r="H206" s="47">
        <v>0.37986111111111109</v>
      </c>
      <c r="I206" s="47">
        <v>0.22152777777777777</v>
      </c>
      <c r="J206" s="319">
        <v>7.25</v>
      </c>
      <c r="K206" s="320"/>
      <c r="L206" s="4"/>
      <c r="M206" s="47">
        <v>0.36527777777777776</v>
      </c>
      <c r="N206" s="47">
        <v>0.22916666666666666</v>
      </c>
      <c r="O206" s="319">
        <v>7.75</v>
      </c>
      <c r="P206" s="320"/>
      <c r="R206" s="47">
        <v>0.37569444444444444</v>
      </c>
      <c r="S206" s="441" t="s">
        <v>371</v>
      </c>
      <c r="T206" s="319">
        <v>7.25</v>
      </c>
      <c r="U206" s="320"/>
      <c r="W206" s="47">
        <v>0.45555555555555555</v>
      </c>
      <c r="X206" s="441" t="s">
        <v>366</v>
      </c>
      <c r="Y206" s="319">
        <v>3</v>
      </c>
      <c r="Z206" s="320"/>
      <c r="AA206" s="328">
        <f t="shared" si="45"/>
        <v>33.25</v>
      </c>
      <c r="AB206" s="298">
        <f t="shared" si="46"/>
        <v>0.25</v>
      </c>
      <c r="AC206" s="4"/>
      <c r="AD206" s="47"/>
      <c r="AE206" s="47"/>
      <c r="AF206" s="319"/>
      <c r="AG206" s="29">
        <f t="shared" si="47"/>
        <v>0</v>
      </c>
    </row>
    <row r="207" spans="1:49" outlineLevel="1">
      <c r="A207" s="180"/>
      <c r="B207" s="457" t="s">
        <v>352</v>
      </c>
      <c r="C207" s="47">
        <v>0</v>
      </c>
      <c r="D207" s="47">
        <v>0</v>
      </c>
      <c r="E207" s="319">
        <v>0</v>
      </c>
      <c r="F207" s="320"/>
      <c r="G207" s="4"/>
      <c r="H207" s="441" t="s">
        <v>154</v>
      </c>
      <c r="I207" s="47">
        <v>0</v>
      </c>
      <c r="J207" s="319">
        <v>0</v>
      </c>
      <c r="K207" s="320"/>
      <c r="L207" s="4"/>
      <c r="M207" s="441" t="s">
        <v>154</v>
      </c>
      <c r="N207" s="47">
        <v>0</v>
      </c>
      <c r="O207" s="319">
        <v>0</v>
      </c>
      <c r="P207" s="320"/>
      <c r="R207" s="441" t="s">
        <v>154</v>
      </c>
      <c r="S207" s="441" t="s">
        <v>154</v>
      </c>
      <c r="T207" s="319">
        <v>0</v>
      </c>
      <c r="U207" s="320"/>
      <c r="W207" s="47">
        <v>0</v>
      </c>
      <c r="X207" s="441" t="s">
        <v>154</v>
      </c>
      <c r="Y207" s="319">
        <v>0</v>
      </c>
      <c r="Z207" s="320"/>
      <c r="AA207" s="328">
        <f t="shared" si="45"/>
        <v>0</v>
      </c>
      <c r="AB207" s="298">
        <f t="shared" si="46"/>
        <v>0</v>
      </c>
      <c r="AC207" s="4"/>
      <c r="AD207" s="47"/>
      <c r="AE207" s="47"/>
      <c r="AF207" s="319"/>
      <c r="AG207" s="29">
        <f t="shared" si="47"/>
        <v>0</v>
      </c>
    </row>
    <row r="208" spans="1:49" outlineLevel="1">
      <c r="A208" s="180"/>
      <c r="B208" s="457" t="s">
        <v>230</v>
      </c>
      <c r="C208" s="47">
        <v>0</v>
      </c>
      <c r="D208" s="47">
        <v>0</v>
      </c>
      <c r="E208" s="319">
        <v>0</v>
      </c>
      <c r="F208" s="320"/>
      <c r="G208" s="4"/>
      <c r="H208" s="441" t="s">
        <v>75</v>
      </c>
      <c r="I208" s="47">
        <v>0.20902777777777778</v>
      </c>
      <c r="J208" s="319">
        <v>8</v>
      </c>
      <c r="K208" s="320"/>
      <c r="L208" s="4"/>
      <c r="M208" s="441" t="s">
        <v>260</v>
      </c>
      <c r="N208" s="47">
        <v>0.20902777777777778</v>
      </c>
      <c r="O208" s="319">
        <v>8</v>
      </c>
      <c r="P208" s="320"/>
      <c r="R208" s="47">
        <v>0</v>
      </c>
      <c r="S208" s="441" t="s">
        <v>154</v>
      </c>
      <c r="T208" s="319">
        <v>0</v>
      </c>
      <c r="U208" s="320"/>
      <c r="W208" s="47">
        <v>0.43402777777777779</v>
      </c>
      <c r="X208" s="441" t="s">
        <v>372</v>
      </c>
      <c r="Y208" s="319">
        <v>4</v>
      </c>
      <c r="Z208" s="320"/>
      <c r="AA208" s="328">
        <f t="shared" si="45"/>
        <v>20</v>
      </c>
      <c r="AB208" s="298">
        <f t="shared" si="46"/>
        <v>0</v>
      </c>
      <c r="AC208" s="4"/>
      <c r="AD208" s="47"/>
      <c r="AE208" s="47"/>
      <c r="AF208" s="319"/>
      <c r="AG208" s="29">
        <f t="shared" si="47"/>
        <v>0</v>
      </c>
    </row>
    <row r="209" spans="1:37" outlineLevel="1">
      <c r="A209" s="180"/>
      <c r="B209" s="318" t="s">
        <v>108</v>
      </c>
      <c r="C209" s="47">
        <v>0.375</v>
      </c>
      <c r="D209" s="47">
        <v>0.25</v>
      </c>
      <c r="E209" s="319">
        <v>8</v>
      </c>
      <c r="F209" s="320"/>
      <c r="G209" s="4"/>
      <c r="H209" s="47">
        <v>0.375</v>
      </c>
      <c r="I209" s="47">
        <v>0.25</v>
      </c>
      <c r="J209" s="319">
        <v>8</v>
      </c>
      <c r="K209" s="320"/>
      <c r="L209" s="4"/>
      <c r="M209" s="47">
        <v>0.36736111111111114</v>
      </c>
      <c r="N209" s="47">
        <v>0.25</v>
      </c>
      <c r="O209" s="319">
        <v>8</v>
      </c>
      <c r="P209" s="320"/>
      <c r="R209" s="47">
        <v>0.375</v>
      </c>
      <c r="S209" s="441" t="s">
        <v>222</v>
      </c>
      <c r="T209" s="319">
        <v>7</v>
      </c>
      <c r="U209" s="320"/>
      <c r="W209" s="47">
        <v>0.43472222222222223</v>
      </c>
      <c r="X209" s="441" t="s">
        <v>373</v>
      </c>
      <c r="Y209" s="319">
        <v>4</v>
      </c>
      <c r="Z209" s="320"/>
      <c r="AA209" s="328">
        <f t="shared" si="45"/>
        <v>35</v>
      </c>
      <c r="AB209" s="298">
        <f t="shared" si="46"/>
        <v>0</v>
      </c>
      <c r="AC209" s="4"/>
      <c r="AD209" s="47"/>
      <c r="AE209" s="47"/>
      <c r="AF209" s="319"/>
      <c r="AG209" s="29">
        <f t="shared" si="47"/>
        <v>0</v>
      </c>
    </row>
    <row r="210" spans="1:37" outlineLevel="1">
      <c r="A210" s="180"/>
      <c r="B210" s="318" t="s">
        <v>327</v>
      </c>
      <c r="C210" s="47">
        <v>0.375</v>
      </c>
      <c r="D210" s="47">
        <v>0.25069444444444444</v>
      </c>
      <c r="E210" s="319">
        <v>8</v>
      </c>
      <c r="F210" s="320"/>
      <c r="G210" s="4"/>
      <c r="H210" s="47">
        <v>0.37638888888888888</v>
      </c>
      <c r="I210" s="47">
        <v>0.36458333333333331</v>
      </c>
      <c r="J210" s="319">
        <v>8</v>
      </c>
      <c r="K210" s="320">
        <v>2.72</v>
      </c>
      <c r="L210" s="4"/>
      <c r="M210" s="441" t="s">
        <v>256</v>
      </c>
      <c r="N210" s="47">
        <v>0.25069444444444444</v>
      </c>
      <c r="O210" s="319">
        <v>8</v>
      </c>
      <c r="P210" s="320"/>
      <c r="R210" s="47">
        <v>0.37430555555555556</v>
      </c>
      <c r="S210" s="441" t="s">
        <v>136</v>
      </c>
      <c r="T210" s="319">
        <v>7</v>
      </c>
      <c r="U210" s="320"/>
      <c r="W210" s="47">
        <v>0</v>
      </c>
      <c r="X210" s="441" t="s">
        <v>154</v>
      </c>
      <c r="Y210" s="319">
        <v>0</v>
      </c>
      <c r="Z210" s="320"/>
      <c r="AA210" s="328">
        <f t="shared" si="45"/>
        <v>31</v>
      </c>
      <c r="AB210" s="298">
        <f t="shared" si="46"/>
        <v>2.72</v>
      </c>
      <c r="AC210" s="4"/>
      <c r="AD210" s="47"/>
      <c r="AE210" s="47"/>
      <c r="AF210" s="319"/>
      <c r="AG210" s="29">
        <f t="shared" si="47"/>
        <v>0</v>
      </c>
    </row>
    <row r="211" spans="1:37" outlineLevel="1">
      <c r="A211" s="180"/>
      <c r="B211" s="318" t="s">
        <v>328</v>
      </c>
      <c r="C211" s="47">
        <v>0</v>
      </c>
      <c r="D211" s="47">
        <v>0</v>
      </c>
      <c r="E211" s="319">
        <v>0</v>
      </c>
      <c r="F211" s="320"/>
      <c r="G211" s="4"/>
      <c r="H211" s="47">
        <v>0</v>
      </c>
      <c r="I211" s="47">
        <v>0</v>
      </c>
      <c r="J211" s="319">
        <v>0</v>
      </c>
      <c r="K211" s="320"/>
      <c r="L211" s="4"/>
      <c r="M211" s="441" t="s">
        <v>154</v>
      </c>
      <c r="N211" s="47">
        <v>0</v>
      </c>
      <c r="O211" s="319">
        <v>0</v>
      </c>
      <c r="P211" s="320"/>
      <c r="R211" s="47">
        <v>0</v>
      </c>
      <c r="S211" s="441" t="s">
        <v>154</v>
      </c>
      <c r="T211" s="319">
        <v>0</v>
      </c>
      <c r="U211" s="320"/>
      <c r="W211" s="47">
        <v>0</v>
      </c>
      <c r="X211" s="441" t="s">
        <v>154</v>
      </c>
      <c r="Y211" s="319">
        <v>0</v>
      </c>
      <c r="Z211" s="320"/>
      <c r="AA211" s="328">
        <f t="shared" si="45"/>
        <v>0</v>
      </c>
      <c r="AB211" s="298">
        <f t="shared" si="46"/>
        <v>0</v>
      </c>
      <c r="AC211" s="4"/>
      <c r="AD211" s="47"/>
      <c r="AE211" s="47"/>
      <c r="AF211" s="319"/>
      <c r="AG211" s="29">
        <f t="shared" si="47"/>
        <v>0</v>
      </c>
    </row>
    <row r="212" spans="1:37" outlineLevel="1">
      <c r="A212" s="180"/>
      <c r="B212" s="457" t="s">
        <v>353</v>
      </c>
      <c r="C212" s="47">
        <v>0.375</v>
      </c>
      <c r="D212" s="47">
        <v>0.26111111111111113</v>
      </c>
      <c r="E212" s="319">
        <v>8</v>
      </c>
      <c r="F212" s="320">
        <v>0.25</v>
      </c>
      <c r="G212" s="4"/>
      <c r="H212" s="47">
        <v>0.375</v>
      </c>
      <c r="I212" s="47">
        <v>0.20833333333333334</v>
      </c>
      <c r="J212" s="319">
        <v>7</v>
      </c>
      <c r="K212" s="320"/>
      <c r="L212" s="4"/>
      <c r="M212" s="441" t="s">
        <v>154</v>
      </c>
      <c r="N212" s="47">
        <v>0</v>
      </c>
      <c r="O212" s="319">
        <v>0</v>
      </c>
      <c r="P212" s="320"/>
      <c r="R212" s="47">
        <v>0</v>
      </c>
      <c r="S212" s="441" t="s">
        <v>154</v>
      </c>
      <c r="T212" s="319">
        <v>0</v>
      </c>
      <c r="U212" s="320"/>
      <c r="W212" s="47">
        <v>0</v>
      </c>
      <c r="X212" s="47">
        <v>0</v>
      </c>
      <c r="Y212" s="319">
        <v>0</v>
      </c>
      <c r="Z212" s="320"/>
      <c r="AA212" s="328">
        <f t="shared" si="45"/>
        <v>15</v>
      </c>
      <c r="AB212" s="298">
        <f t="shared" si="46"/>
        <v>0.25</v>
      </c>
      <c r="AC212" s="4"/>
      <c r="AD212" s="47"/>
      <c r="AE212" s="47"/>
      <c r="AF212" s="319"/>
      <c r="AG212" s="29">
        <f t="shared" si="47"/>
        <v>0</v>
      </c>
    </row>
    <row r="213" spans="1:37" outlineLevel="1">
      <c r="A213" s="180"/>
      <c r="B213" s="457" t="s">
        <v>374</v>
      </c>
      <c r="C213" s="47">
        <v>0</v>
      </c>
      <c r="D213" s="47">
        <v>0</v>
      </c>
      <c r="E213" s="319">
        <v>0</v>
      </c>
      <c r="F213" s="320"/>
      <c r="G213" s="4"/>
      <c r="H213" s="47">
        <v>0.41597222222222224</v>
      </c>
      <c r="I213" s="47">
        <v>0.20972222222222223</v>
      </c>
      <c r="J213" s="319">
        <v>7.25</v>
      </c>
      <c r="K213" s="320"/>
      <c r="L213" s="4"/>
      <c r="M213" s="441" t="s">
        <v>263</v>
      </c>
      <c r="N213" s="441" t="s">
        <v>375</v>
      </c>
      <c r="O213" s="319">
        <v>7</v>
      </c>
      <c r="P213" s="320"/>
      <c r="R213" s="47">
        <v>0</v>
      </c>
      <c r="S213" s="441" t="s">
        <v>154</v>
      </c>
      <c r="T213" s="319">
        <v>0</v>
      </c>
      <c r="U213" s="320"/>
      <c r="W213" s="47">
        <v>0</v>
      </c>
      <c r="X213" s="441" t="s">
        <v>154</v>
      </c>
      <c r="Y213" s="319">
        <v>0</v>
      </c>
      <c r="Z213" s="320"/>
      <c r="AA213" s="328">
        <f t="shared" si="45"/>
        <v>14.25</v>
      </c>
      <c r="AB213" s="298">
        <f t="shared" si="46"/>
        <v>0</v>
      </c>
      <c r="AC213" s="4"/>
      <c r="AD213" s="47"/>
      <c r="AE213" s="47"/>
      <c r="AF213" s="319"/>
      <c r="AG213" s="29">
        <f t="shared" si="47"/>
        <v>0</v>
      </c>
    </row>
    <row r="214" spans="1:37" outlineLevel="1">
      <c r="A214" s="180"/>
      <c r="B214" s="318" t="s">
        <v>52</v>
      </c>
      <c r="C214" s="47">
        <v>0.375</v>
      </c>
      <c r="D214" s="47">
        <v>0.27430555555555558</v>
      </c>
      <c r="E214" s="319">
        <v>8</v>
      </c>
      <c r="F214" s="320">
        <v>1.7</v>
      </c>
      <c r="G214" s="4"/>
      <c r="H214" s="47">
        <v>0.375</v>
      </c>
      <c r="I214" s="47">
        <v>0.33333333333333331</v>
      </c>
      <c r="J214" s="319">
        <v>8</v>
      </c>
      <c r="K214" s="320">
        <v>2.5</v>
      </c>
      <c r="L214" s="4"/>
      <c r="M214" s="441" t="s">
        <v>376</v>
      </c>
      <c r="N214" s="47">
        <v>0.29722222222222222</v>
      </c>
      <c r="O214" s="319">
        <v>8</v>
      </c>
      <c r="P214" s="320">
        <v>2.75</v>
      </c>
      <c r="R214" s="47">
        <v>0</v>
      </c>
      <c r="S214" s="47">
        <v>0</v>
      </c>
      <c r="T214" s="319">
        <v>0</v>
      </c>
      <c r="U214" s="320"/>
      <c r="W214" s="47">
        <v>0</v>
      </c>
      <c r="X214" s="441" t="s">
        <v>154</v>
      </c>
      <c r="Y214" s="319">
        <v>0</v>
      </c>
      <c r="Z214" s="320"/>
      <c r="AA214" s="328">
        <f t="shared" si="45"/>
        <v>24</v>
      </c>
      <c r="AB214" s="298">
        <f t="shared" si="46"/>
        <v>6.95</v>
      </c>
      <c r="AC214" s="4"/>
      <c r="AD214" s="47"/>
      <c r="AE214" s="47"/>
      <c r="AF214" s="319"/>
      <c r="AG214" s="29">
        <f t="shared" si="47"/>
        <v>0</v>
      </c>
    </row>
    <row r="215" spans="1:37" outlineLevel="1">
      <c r="A215" s="180"/>
      <c r="B215" s="457" t="s">
        <v>351</v>
      </c>
      <c r="C215" s="47">
        <v>0.36458333333333331</v>
      </c>
      <c r="D215" s="47">
        <v>0.25</v>
      </c>
      <c r="E215" s="319">
        <v>8</v>
      </c>
      <c r="F215" s="320">
        <v>0.25</v>
      </c>
      <c r="G215" s="4"/>
      <c r="H215" s="47">
        <v>0.35416666666666669</v>
      </c>
      <c r="I215" s="47">
        <v>0.25</v>
      </c>
      <c r="J215" s="319">
        <v>8</v>
      </c>
      <c r="K215" s="320">
        <v>0.5</v>
      </c>
      <c r="L215" s="4"/>
      <c r="M215" s="441" t="s">
        <v>377</v>
      </c>
      <c r="N215" s="47">
        <v>0.25</v>
      </c>
      <c r="O215" s="319">
        <v>8</v>
      </c>
      <c r="P215" s="320">
        <v>0.25</v>
      </c>
      <c r="R215" s="47">
        <v>0</v>
      </c>
      <c r="S215" s="47">
        <v>0</v>
      </c>
      <c r="T215" s="319">
        <v>0</v>
      </c>
      <c r="U215" s="320"/>
      <c r="W215" s="47">
        <v>0</v>
      </c>
      <c r="X215" s="47">
        <v>0</v>
      </c>
      <c r="Y215" s="319">
        <v>0</v>
      </c>
      <c r="Z215" s="320"/>
      <c r="AA215" s="328">
        <f t="shared" si="45"/>
        <v>24</v>
      </c>
      <c r="AB215" s="298">
        <f t="shared" si="46"/>
        <v>1</v>
      </c>
      <c r="AC215" s="4"/>
      <c r="AD215" s="47"/>
      <c r="AE215" s="47"/>
      <c r="AF215" s="319"/>
      <c r="AG215" s="29">
        <f t="shared" si="47"/>
        <v>0</v>
      </c>
    </row>
    <row r="216" spans="1:37" outlineLevel="1">
      <c r="A216" s="180"/>
      <c r="B216" s="457" t="s">
        <v>96</v>
      </c>
      <c r="C216" s="47">
        <v>0.375</v>
      </c>
      <c r="D216" s="47">
        <v>0.25</v>
      </c>
      <c r="E216" s="319">
        <v>8</v>
      </c>
      <c r="F216" s="320"/>
      <c r="G216" s="4"/>
      <c r="H216" s="47">
        <v>0.375</v>
      </c>
      <c r="I216" s="47">
        <v>0.25</v>
      </c>
      <c r="J216" s="319">
        <v>8</v>
      </c>
      <c r="K216" s="320"/>
      <c r="L216" s="4"/>
      <c r="M216" s="441" t="s">
        <v>154</v>
      </c>
      <c r="N216" s="47">
        <v>0</v>
      </c>
      <c r="O216" s="319">
        <v>0</v>
      </c>
      <c r="P216" s="320"/>
      <c r="R216" s="47">
        <v>0</v>
      </c>
      <c r="S216" s="47">
        <v>0</v>
      </c>
      <c r="T216" s="319">
        <v>0</v>
      </c>
      <c r="U216" s="320"/>
      <c r="W216" s="47">
        <v>0</v>
      </c>
      <c r="X216" s="47">
        <v>0</v>
      </c>
      <c r="Y216" s="319">
        <v>0</v>
      </c>
      <c r="Z216" s="320"/>
      <c r="AA216" s="328">
        <f t="shared" ref="AA216:AA217" si="48">(E216+J216+O216+T216+Y216)</f>
        <v>16</v>
      </c>
      <c r="AB216" s="298">
        <f t="shared" si="46"/>
        <v>0</v>
      </c>
      <c r="AC216" s="4"/>
      <c r="AD216" s="47"/>
      <c r="AE216" s="47"/>
      <c r="AF216" s="319"/>
      <c r="AG216" s="29">
        <f t="shared" ref="AG216:AG217" si="49">AF216</f>
        <v>0</v>
      </c>
    </row>
    <row r="217" spans="1:37" outlineLevel="1">
      <c r="A217" s="180"/>
      <c r="B217" s="457" t="s">
        <v>354</v>
      </c>
      <c r="C217" s="47">
        <v>0</v>
      </c>
      <c r="D217" s="47">
        <v>0</v>
      </c>
      <c r="E217" s="319">
        <v>0</v>
      </c>
      <c r="F217" s="320"/>
      <c r="G217" s="4"/>
      <c r="H217" s="47">
        <v>0</v>
      </c>
      <c r="I217" s="47">
        <v>0</v>
      </c>
      <c r="J217" s="319">
        <v>0</v>
      </c>
      <c r="K217" s="320"/>
      <c r="L217" s="4"/>
      <c r="M217" s="441" t="s">
        <v>378</v>
      </c>
      <c r="N217" s="47">
        <v>0.27083333333333331</v>
      </c>
      <c r="O217" s="319">
        <v>8.1</v>
      </c>
      <c r="P217" s="320"/>
      <c r="R217" s="47">
        <v>0</v>
      </c>
      <c r="S217" s="47">
        <v>0</v>
      </c>
      <c r="T217" s="319">
        <v>0</v>
      </c>
      <c r="U217" s="320"/>
      <c r="W217" s="47">
        <v>0</v>
      </c>
      <c r="X217" s="47">
        <v>0</v>
      </c>
      <c r="Y217" s="319">
        <v>0</v>
      </c>
      <c r="Z217" s="320"/>
      <c r="AA217" s="328">
        <f t="shared" si="48"/>
        <v>8.1</v>
      </c>
      <c r="AB217" s="298">
        <f t="shared" si="46"/>
        <v>0</v>
      </c>
      <c r="AC217" s="4"/>
      <c r="AD217" s="47"/>
      <c r="AE217" s="47"/>
      <c r="AF217" s="319"/>
      <c r="AG217" s="29">
        <f t="shared" si="49"/>
        <v>0</v>
      </c>
    </row>
    <row r="218" spans="1:37" ht="13.5" customHeight="1" outlineLevel="1">
      <c r="A218" s="180"/>
      <c r="B218" s="63" t="s">
        <v>250</v>
      </c>
      <c r="C218" s="16" t="s">
        <v>29</v>
      </c>
      <c r="D218" s="16" t="s">
        <v>29</v>
      </c>
      <c r="E218" s="319">
        <v>8</v>
      </c>
      <c r="F218" s="320">
        <v>1</v>
      </c>
      <c r="G218" s="4"/>
      <c r="H218" s="16" t="s">
        <v>29</v>
      </c>
      <c r="I218" s="16" t="s">
        <v>29</v>
      </c>
      <c r="J218" s="319">
        <v>8</v>
      </c>
      <c r="K218" s="320"/>
      <c r="L218" s="4"/>
      <c r="M218" s="16" t="s">
        <v>29</v>
      </c>
      <c r="N218" s="16" t="s">
        <v>29</v>
      </c>
      <c r="O218" s="319">
        <v>8</v>
      </c>
      <c r="P218" s="320"/>
      <c r="R218" s="16" t="s">
        <v>29</v>
      </c>
      <c r="S218" s="16" t="s">
        <v>29</v>
      </c>
      <c r="T218" s="319">
        <v>8</v>
      </c>
      <c r="U218" s="320"/>
      <c r="W218" s="16" t="s">
        <v>29</v>
      </c>
      <c r="X218" s="16" t="s">
        <v>29</v>
      </c>
      <c r="Y218" s="319">
        <v>4</v>
      </c>
      <c r="Z218" s="320"/>
      <c r="AA218" s="328">
        <f t="shared" ref="AA218:AA227" si="50">(E218+J218+O218+T218+Y218)</f>
        <v>36</v>
      </c>
      <c r="AB218" s="298">
        <f t="shared" si="46"/>
        <v>1</v>
      </c>
      <c r="AC218" s="4"/>
      <c r="AD218" s="47"/>
      <c r="AE218" s="47"/>
      <c r="AF218" s="319"/>
      <c r="AG218" s="29">
        <f t="shared" ref="AG218:AG227" si="51">AF218</f>
        <v>0</v>
      </c>
    </row>
    <row r="219" spans="1:37" outlineLevel="1">
      <c r="A219" s="180"/>
      <c r="B219" s="63" t="s">
        <v>357</v>
      </c>
      <c r="C219" s="16" t="s">
        <v>29</v>
      </c>
      <c r="D219" s="16" t="s">
        <v>29</v>
      </c>
      <c r="E219" s="319">
        <v>8</v>
      </c>
      <c r="F219" s="320"/>
      <c r="G219" s="4"/>
      <c r="H219" s="16" t="s">
        <v>29</v>
      </c>
      <c r="I219" s="16" t="s">
        <v>29</v>
      </c>
      <c r="J219" s="319">
        <v>8</v>
      </c>
      <c r="K219" s="320">
        <v>3.5</v>
      </c>
      <c r="L219" s="4"/>
      <c r="M219" s="16" t="s">
        <v>29</v>
      </c>
      <c r="N219" s="16" t="s">
        <v>29</v>
      </c>
      <c r="O219" s="319">
        <v>8</v>
      </c>
      <c r="P219" s="320">
        <v>1.5</v>
      </c>
      <c r="R219" s="16" t="s">
        <v>29</v>
      </c>
      <c r="S219" s="16" t="s">
        <v>29</v>
      </c>
      <c r="T219" s="319">
        <v>8</v>
      </c>
      <c r="U219" s="320">
        <v>1.5</v>
      </c>
      <c r="W219" s="16" t="s">
        <v>29</v>
      </c>
      <c r="X219" s="16" t="s">
        <v>29</v>
      </c>
      <c r="Y219" s="319">
        <v>8</v>
      </c>
      <c r="Z219" s="320">
        <v>2.5</v>
      </c>
      <c r="AA219" s="328">
        <f t="shared" si="50"/>
        <v>40</v>
      </c>
      <c r="AB219" s="298">
        <f t="shared" si="46"/>
        <v>9</v>
      </c>
      <c r="AC219" s="4"/>
      <c r="AD219" s="47"/>
      <c r="AE219" s="47"/>
      <c r="AF219" s="319"/>
      <c r="AG219" s="29">
        <f t="shared" si="51"/>
        <v>0</v>
      </c>
    </row>
    <row r="220" spans="1:37" outlineLevel="1">
      <c r="A220" s="180"/>
      <c r="B220" s="63" t="s">
        <v>63</v>
      </c>
      <c r="C220" s="16" t="s">
        <v>29</v>
      </c>
      <c r="D220" s="16" t="s">
        <v>29</v>
      </c>
      <c r="E220" s="319">
        <v>4</v>
      </c>
      <c r="F220" s="320">
        <v>1</v>
      </c>
      <c r="G220" s="438"/>
      <c r="H220" s="16" t="s">
        <v>29</v>
      </c>
      <c r="I220" s="16" t="s">
        <v>29</v>
      </c>
      <c r="J220" s="319">
        <v>4</v>
      </c>
      <c r="K220" s="320"/>
      <c r="L220" s="438"/>
      <c r="M220" s="16" t="s">
        <v>29</v>
      </c>
      <c r="N220" s="16" t="s">
        <v>29</v>
      </c>
      <c r="O220" s="319">
        <v>4</v>
      </c>
      <c r="P220" s="320"/>
      <c r="Q220" s="438"/>
      <c r="R220" s="16" t="s">
        <v>29</v>
      </c>
      <c r="S220" s="16" t="s">
        <v>29</v>
      </c>
      <c r="T220" s="319">
        <v>4</v>
      </c>
      <c r="U220" s="320"/>
      <c r="V220" s="438"/>
      <c r="W220" s="16" t="s">
        <v>29</v>
      </c>
      <c r="X220" s="16" t="s">
        <v>29</v>
      </c>
      <c r="Y220" s="319">
        <v>4</v>
      </c>
      <c r="Z220" s="320"/>
      <c r="AA220" s="328">
        <f t="shared" si="50"/>
        <v>20</v>
      </c>
      <c r="AB220" s="298">
        <f t="shared" si="46"/>
        <v>1</v>
      </c>
      <c r="AC220" s="4"/>
      <c r="AD220" s="47"/>
      <c r="AE220" s="47"/>
      <c r="AF220" s="319"/>
      <c r="AG220" s="29">
        <f t="shared" si="51"/>
        <v>0</v>
      </c>
      <c r="AK220" s="407"/>
    </row>
    <row r="221" spans="1:37" outlineLevel="1">
      <c r="A221" s="180"/>
      <c r="B221" s="267" t="s">
        <v>358</v>
      </c>
      <c r="C221" s="16" t="s">
        <v>29</v>
      </c>
      <c r="D221" s="16" t="s">
        <v>29</v>
      </c>
      <c r="E221" s="319">
        <v>5</v>
      </c>
      <c r="F221" s="320"/>
      <c r="G221" s="438"/>
      <c r="H221" s="16" t="s">
        <v>29</v>
      </c>
      <c r="I221" s="16" t="s">
        <v>29</v>
      </c>
      <c r="J221" s="319">
        <v>5</v>
      </c>
      <c r="K221" s="320"/>
      <c r="L221" s="438"/>
      <c r="M221" s="16" t="s">
        <v>29</v>
      </c>
      <c r="N221" s="16" t="s">
        <v>29</v>
      </c>
      <c r="O221" s="319">
        <v>8</v>
      </c>
      <c r="P221" s="320">
        <v>1</v>
      </c>
      <c r="Q221" s="438"/>
      <c r="R221" s="16" t="s">
        <v>29</v>
      </c>
      <c r="S221" s="16" t="s">
        <v>29</v>
      </c>
      <c r="T221" s="319">
        <v>6</v>
      </c>
      <c r="U221" s="320"/>
      <c r="V221" s="438"/>
      <c r="W221" s="16" t="s">
        <v>29</v>
      </c>
      <c r="X221" s="16" t="s">
        <v>29</v>
      </c>
      <c r="Y221" s="319">
        <v>5</v>
      </c>
      <c r="Z221" s="320"/>
      <c r="AA221" s="328">
        <f t="shared" si="50"/>
        <v>29</v>
      </c>
      <c r="AB221" s="298">
        <f t="shared" si="46"/>
        <v>1</v>
      </c>
      <c r="AC221" s="4"/>
      <c r="AD221" s="47"/>
      <c r="AE221" s="47"/>
      <c r="AF221" s="319"/>
      <c r="AG221" s="29">
        <f t="shared" si="51"/>
        <v>0</v>
      </c>
      <c r="AK221" s="407"/>
    </row>
    <row r="222" spans="1:37" outlineLevel="1">
      <c r="A222" s="180"/>
      <c r="B222" s="267" t="s">
        <v>359</v>
      </c>
      <c r="C222" s="16" t="s">
        <v>29</v>
      </c>
      <c r="D222" s="16" t="s">
        <v>29</v>
      </c>
      <c r="E222" s="319">
        <v>0</v>
      </c>
      <c r="F222" s="320"/>
      <c r="G222" s="438"/>
      <c r="H222" s="16" t="s">
        <v>29</v>
      </c>
      <c r="I222" s="16" t="s">
        <v>29</v>
      </c>
      <c r="J222" s="319">
        <v>0</v>
      </c>
      <c r="K222" s="320"/>
      <c r="L222" s="438"/>
      <c r="M222" s="16" t="s">
        <v>29</v>
      </c>
      <c r="N222" s="16" t="s">
        <v>29</v>
      </c>
      <c r="O222" s="319">
        <v>0</v>
      </c>
      <c r="P222" s="320"/>
      <c r="Q222" s="438"/>
      <c r="R222" s="16" t="s">
        <v>29</v>
      </c>
      <c r="S222" s="16" t="s">
        <v>29</v>
      </c>
      <c r="T222" s="319">
        <v>0</v>
      </c>
      <c r="U222" s="320"/>
      <c r="V222" s="438"/>
      <c r="W222" s="16" t="s">
        <v>29</v>
      </c>
      <c r="X222" s="16" t="s">
        <v>29</v>
      </c>
      <c r="Y222" s="319">
        <v>0</v>
      </c>
      <c r="Z222" s="320"/>
      <c r="AA222" s="328">
        <f t="shared" si="50"/>
        <v>0</v>
      </c>
      <c r="AB222" s="298">
        <f t="shared" si="46"/>
        <v>0</v>
      </c>
      <c r="AC222" s="4"/>
      <c r="AD222" s="47"/>
      <c r="AE222" s="47"/>
      <c r="AF222" s="319"/>
      <c r="AG222" s="29">
        <f t="shared" si="51"/>
        <v>0</v>
      </c>
      <c r="AK222" s="407"/>
    </row>
    <row r="223" spans="1:37" outlineLevel="1">
      <c r="A223" s="180"/>
      <c r="B223" s="267" t="s">
        <v>360</v>
      </c>
      <c r="C223" s="16" t="s">
        <v>29</v>
      </c>
      <c r="D223" s="16" t="s">
        <v>29</v>
      </c>
      <c r="E223" s="319">
        <v>3</v>
      </c>
      <c r="F223" s="320"/>
      <c r="G223" s="438"/>
      <c r="H223" s="16" t="s">
        <v>29</v>
      </c>
      <c r="I223" s="16" t="s">
        <v>29</v>
      </c>
      <c r="J223" s="319">
        <v>8</v>
      </c>
      <c r="K223" s="320">
        <v>3</v>
      </c>
      <c r="L223" s="438"/>
      <c r="M223" s="16" t="s">
        <v>29</v>
      </c>
      <c r="N223" s="16" t="s">
        <v>29</v>
      </c>
      <c r="O223" s="319">
        <v>0</v>
      </c>
      <c r="P223" s="320"/>
      <c r="Q223" s="438"/>
      <c r="R223" s="16" t="s">
        <v>29</v>
      </c>
      <c r="S223" s="16" t="s">
        <v>29</v>
      </c>
      <c r="T223" s="319">
        <v>0</v>
      </c>
      <c r="U223" s="320"/>
      <c r="V223" s="438"/>
      <c r="W223" s="16" t="s">
        <v>29</v>
      </c>
      <c r="X223" s="16" t="s">
        <v>29</v>
      </c>
      <c r="Y223" s="319">
        <v>0</v>
      </c>
      <c r="Z223" s="320"/>
      <c r="AA223" s="328">
        <f t="shared" si="50"/>
        <v>11</v>
      </c>
      <c r="AB223" s="298">
        <f t="shared" si="46"/>
        <v>3</v>
      </c>
      <c r="AC223" s="4"/>
      <c r="AD223" s="47"/>
      <c r="AE223" s="47"/>
      <c r="AF223" s="319"/>
      <c r="AG223" s="29">
        <f t="shared" si="51"/>
        <v>0</v>
      </c>
      <c r="AK223" s="407"/>
    </row>
    <row r="224" spans="1:37" outlineLevel="1">
      <c r="A224" s="180"/>
      <c r="B224" s="267" t="s">
        <v>361</v>
      </c>
      <c r="C224" s="16" t="s">
        <v>29</v>
      </c>
      <c r="D224" s="16" t="s">
        <v>29</v>
      </c>
      <c r="E224" s="319">
        <v>0</v>
      </c>
      <c r="F224" s="320"/>
      <c r="G224" s="438"/>
      <c r="H224" s="16" t="s">
        <v>29</v>
      </c>
      <c r="I224" s="16" t="s">
        <v>29</v>
      </c>
      <c r="J224" s="319">
        <v>0</v>
      </c>
      <c r="K224" s="320"/>
      <c r="L224" s="438"/>
      <c r="M224" s="16" t="s">
        <v>29</v>
      </c>
      <c r="N224" s="16" t="s">
        <v>29</v>
      </c>
      <c r="O224" s="319">
        <v>0</v>
      </c>
      <c r="P224" s="320"/>
      <c r="Q224" s="438"/>
      <c r="R224" s="16" t="s">
        <v>29</v>
      </c>
      <c r="S224" s="16" t="s">
        <v>29</v>
      </c>
      <c r="T224" s="319">
        <v>0</v>
      </c>
      <c r="U224" s="320"/>
      <c r="V224" s="438"/>
      <c r="W224" s="16" t="s">
        <v>29</v>
      </c>
      <c r="X224" s="16" t="s">
        <v>29</v>
      </c>
      <c r="Y224" s="319">
        <v>0</v>
      </c>
      <c r="Z224" s="320"/>
      <c r="AA224" s="328">
        <f t="shared" si="50"/>
        <v>0</v>
      </c>
      <c r="AB224" s="298">
        <f t="shared" si="46"/>
        <v>0</v>
      </c>
      <c r="AC224" s="4"/>
      <c r="AD224" s="47"/>
      <c r="AE224" s="47"/>
      <c r="AF224" s="319"/>
      <c r="AG224" s="29">
        <f t="shared" si="51"/>
        <v>0</v>
      </c>
      <c r="AK224" s="407"/>
    </row>
    <row r="225" spans="1:37" outlineLevel="1">
      <c r="A225" s="180"/>
      <c r="B225" s="267" t="s">
        <v>362</v>
      </c>
      <c r="C225" s="16" t="s">
        <v>29</v>
      </c>
      <c r="D225" s="16" t="s">
        <v>29</v>
      </c>
      <c r="E225" s="319">
        <v>3</v>
      </c>
      <c r="F225" s="320"/>
      <c r="G225" s="438"/>
      <c r="H225" s="16" t="s">
        <v>29</v>
      </c>
      <c r="I225" s="16" t="s">
        <v>29</v>
      </c>
      <c r="J225" s="319">
        <v>4</v>
      </c>
      <c r="K225" s="320"/>
      <c r="L225" s="438"/>
      <c r="M225" s="16" t="s">
        <v>29</v>
      </c>
      <c r="N225" s="16" t="s">
        <v>29</v>
      </c>
      <c r="O225" s="319">
        <v>3</v>
      </c>
      <c r="P225" s="320"/>
      <c r="Q225" s="438"/>
      <c r="R225" s="16" t="s">
        <v>29</v>
      </c>
      <c r="S225" s="16" t="s">
        <v>29</v>
      </c>
      <c r="T225" s="319">
        <v>4</v>
      </c>
      <c r="U225" s="320"/>
      <c r="V225" s="438"/>
      <c r="W225" s="16" t="s">
        <v>29</v>
      </c>
      <c r="X225" s="16" t="s">
        <v>29</v>
      </c>
      <c r="Y225" s="319">
        <v>4</v>
      </c>
      <c r="Z225" s="320"/>
      <c r="AA225" s="328">
        <f t="shared" si="50"/>
        <v>18</v>
      </c>
      <c r="AB225" s="298">
        <f t="shared" si="46"/>
        <v>0</v>
      </c>
      <c r="AC225" s="4"/>
      <c r="AD225" s="47"/>
      <c r="AE225" s="47"/>
      <c r="AF225" s="319"/>
      <c r="AG225" s="29">
        <f t="shared" si="51"/>
        <v>0</v>
      </c>
      <c r="AK225" s="407"/>
    </row>
    <row r="226" spans="1:37" outlineLevel="1">
      <c r="A226" s="180"/>
      <c r="B226" s="437" t="s">
        <v>355</v>
      </c>
      <c r="C226" s="16" t="s">
        <v>29</v>
      </c>
      <c r="D226" s="16" t="s">
        <v>29</v>
      </c>
      <c r="E226" s="319">
        <v>8</v>
      </c>
      <c r="F226" s="320"/>
      <c r="G226" s="438"/>
      <c r="H226" s="16" t="s">
        <v>29</v>
      </c>
      <c r="I226" s="16" t="s">
        <v>29</v>
      </c>
      <c r="J226" s="319">
        <v>8</v>
      </c>
      <c r="K226" s="320"/>
      <c r="L226" s="438"/>
      <c r="M226" s="16" t="s">
        <v>29</v>
      </c>
      <c r="N226" s="16" t="s">
        <v>29</v>
      </c>
      <c r="O226" s="319">
        <v>4</v>
      </c>
      <c r="P226" s="320"/>
      <c r="Q226" s="438"/>
      <c r="R226" s="16" t="s">
        <v>29</v>
      </c>
      <c r="S226" s="16" t="s">
        <v>29</v>
      </c>
      <c r="T226" s="319">
        <v>32.299999999999997</v>
      </c>
      <c r="U226" s="320"/>
      <c r="V226" s="438"/>
      <c r="W226" s="16" t="s">
        <v>29</v>
      </c>
      <c r="X226" s="16" t="s">
        <v>29</v>
      </c>
      <c r="Y226" s="319">
        <v>15.6</v>
      </c>
      <c r="Z226" s="320"/>
      <c r="AA226" s="328">
        <f t="shared" si="50"/>
        <v>67.899999999999991</v>
      </c>
      <c r="AB226" s="298">
        <f t="shared" si="46"/>
        <v>0</v>
      </c>
      <c r="AC226" s="4"/>
      <c r="AD226" s="47"/>
      <c r="AE226" s="47"/>
      <c r="AF226" s="319"/>
      <c r="AG226" s="29">
        <f t="shared" si="51"/>
        <v>0</v>
      </c>
      <c r="AK226" s="407"/>
    </row>
    <row r="227" spans="1:37" outlineLevel="1">
      <c r="A227" s="180"/>
      <c r="B227" s="437" t="s">
        <v>356</v>
      </c>
      <c r="C227" s="16" t="s">
        <v>29</v>
      </c>
      <c r="D227" s="16" t="s">
        <v>29</v>
      </c>
      <c r="E227" s="319">
        <v>5.75</v>
      </c>
      <c r="F227" s="320"/>
      <c r="G227" s="438"/>
      <c r="H227" s="16" t="s">
        <v>29</v>
      </c>
      <c r="I227" s="16" t="s">
        <v>29</v>
      </c>
      <c r="J227" s="319">
        <v>2.75</v>
      </c>
      <c r="K227" s="320"/>
      <c r="L227" s="438"/>
      <c r="M227" s="16" t="s">
        <v>29</v>
      </c>
      <c r="N227" s="16" t="s">
        <v>29</v>
      </c>
      <c r="O227" s="319">
        <v>7</v>
      </c>
      <c r="P227" s="320"/>
      <c r="Q227" s="438"/>
      <c r="R227" s="16" t="s">
        <v>29</v>
      </c>
      <c r="S227" s="16" t="s">
        <v>29</v>
      </c>
      <c r="T227" s="319">
        <v>3.5</v>
      </c>
      <c r="U227" s="320"/>
      <c r="V227" s="438"/>
      <c r="W227" s="16" t="s">
        <v>29</v>
      </c>
      <c r="X227" s="16" t="s">
        <v>29</v>
      </c>
      <c r="Y227" s="319">
        <v>5.25</v>
      </c>
      <c r="Z227" s="320"/>
      <c r="AA227" s="328">
        <f t="shared" si="50"/>
        <v>24.25</v>
      </c>
      <c r="AB227" s="298">
        <f t="shared" si="46"/>
        <v>0</v>
      </c>
      <c r="AC227" s="4"/>
      <c r="AD227" s="47"/>
      <c r="AE227" s="47"/>
      <c r="AF227" s="319"/>
      <c r="AG227" s="29">
        <f t="shared" si="51"/>
        <v>0</v>
      </c>
      <c r="AK227" s="407"/>
    </row>
    <row r="228" spans="1:37" outlineLevel="1">
      <c r="A228" s="180"/>
      <c r="B228" s="437" t="s">
        <v>379</v>
      </c>
      <c r="C228" s="16" t="s">
        <v>29</v>
      </c>
      <c r="D228" s="16" t="s">
        <v>29</v>
      </c>
      <c r="E228" s="319">
        <v>7.25</v>
      </c>
      <c r="F228" s="320"/>
      <c r="G228" s="438"/>
      <c r="H228" s="16" t="s">
        <v>29</v>
      </c>
      <c r="I228" s="16" t="s">
        <v>29</v>
      </c>
      <c r="J228" s="319">
        <v>7.25</v>
      </c>
      <c r="K228" s="320"/>
      <c r="L228" s="438"/>
      <c r="M228" s="16" t="s">
        <v>29</v>
      </c>
      <c r="N228" s="16" t="s">
        <v>29</v>
      </c>
      <c r="O228" s="319">
        <v>9.5</v>
      </c>
      <c r="P228" s="320"/>
      <c r="Q228" s="438"/>
      <c r="R228" s="16" t="s">
        <v>29</v>
      </c>
      <c r="S228" s="16" t="s">
        <v>29</v>
      </c>
      <c r="T228" s="319">
        <v>13.25</v>
      </c>
      <c r="U228" s="320"/>
      <c r="V228" s="438"/>
      <c r="W228" s="16" t="s">
        <v>29</v>
      </c>
      <c r="X228" s="16" t="s">
        <v>29</v>
      </c>
      <c r="Y228" s="319">
        <v>12.5</v>
      </c>
      <c r="Z228" s="320"/>
      <c r="AA228" s="328">
        <f>(E228+J228+O228+T228+Y228)</f>
        <v>49.75</v>
      </c>
      <c r="AB228" s="298">
        <f t="shared" si="46"/>
        <v>0</v>
      </c>
      <c r="AC228" s="4"/>
      <c r="AD228" s="47"/>
      <c r="AE228" s="47"/>
      <c r="AF228" s="319"/>
      <c r="AG228" s="29">
        <f>AF228</f>
        <v>0</v>
      </c>
      <c r="AK228" s="407"/>
    </row>
    <row r="229" spans="1:37" outlineLevel="1">
      <c r="A229" s="180"/>
      <c r="B229" s="457" t="s">
        <v>93</v>
      </c>
      <c r="C229" s="16" t="s">
        <v>29</v>
      </c>
      <c r="D229" s="16" t="s">
        <v>29</v>
      </c>
      <c r="E229" s="319">
        <v>0</v>
      </c>
      <c r="F229" s="320"/>
      <c r="G229" s="438"/>
      <c r="H229" s="16" t="s">
        <v>29</v>
      </c>
      <c r="I229" s="16" t="s">
        <v>29</v>
      </c>
      <c r="J229" s="319">
        <v>0</v>
      </c>
      <c r="K229" s="320"/>
      <c r="L229" s="438"/>
      <c r="M229" s="47">
        <v>0.36666666666666664</v>
      </c>
      <c r="N229" s="47">
        <v>0.2722222222222222</v>
      </c>
      <c r="O229" s="319">
        <v>8</v>
      </c>
      <c r="P229" s="320">
        <v>0.75</v>
      </c>
      <c r="Q229" s="438"/>
      <c r="R229" s="47">
        <v>0</v>
      </c>
      <c r="S229" s="47">
        <v>0</v>
      </c>
      <c r="T229" s="319">
        <v>0</v>
      </c>
      <c r="U229" s="320"/>
      <c r="V229" s="438"/>
      <c r="W229" s="47">
        <v>0</v>
      </c>
      <c r="X229" s="47">
        <v>0</v>
      </c>
      <c r="Y229" s="319">
        <v>0</v>
      </c>
      <c r="Z229" s="320"/>
      <c r="AA229" s="328">
        <f t="shared" ref="AA229:AA243" si="52">(E229+J229+O229+T229+Y229)</f>
        <v>8</v>
      </c>
      <c r="AB229" s="298">
        <f t="shared" si="46"/>
        <v>0.75</v>
      </c>
      <c r="AC229" s="4"/>
      <c r="AD229" s="47"/>
      <c r="AE229" s="47"/>
      <c r="AF229" s="319"/>
      <c r="AG229" s="29">
        <f t="shared" ref="AG229:AG243" si="53">AF229</f>
        <v>0</v>
      </c>
      <c r="AK229" s="407"/>
    </row>
    <row r="230" spans="1:37" outlineLevel="1">
      <c r="A230" s="180"/>
      <c r="B230" s="457" t="s">
        <v>72</v>
      </c>
      <c r="C230" s="16" t="s">
        <v>29</v>
      </c>
      <c r="D230" s="16" t="s">
        <v>29</v>
      </c>
      <c r="E230" s="319">
        <v>0</v>
      </c>
      <c r="F230" s="320"/>
      <c r="G230" s="438"/>
      <c r="H230" s="47">
        <v>0.37569444444444444</v>
      </c>
      <c r="I230" s="47">
        <v>0.25</v>
      </c>
      <c r="J230" s="319">
        <v>8.25</v>
      </c>
      <c r="K230" s="320"/>
      <c r="L230" s="438"/>
      <c r="M230" s="47">
        <v>0.375</v>
      </c>
      <c r="N230" s="47">
        <v>0.25</v>
      </c>
      <c r="O230" s="319">
        <v>8</v>
      </c>
      <c r="P230" s="320"/>
      <c r="Q230" s="438"/>
      <c r="R230" s="47">
        <v>0</v>
      </c>
      <c r="S230" s="47">
        <v>0</v>
      </c>
      <c r="T230" s="319">
        <v>0</v>
      </c>
      <c r="U230" s="320"/>
      <c r="V230" s="438"/>
      <c r="W230" s="47">
        <v>0</v>
      </c>
      <c r="X230" s="47">
        <v>0</v>
      </c>
      <c r="Y230" s="319">
        <v>0</v>
      </c>
      <c r="Z230" s="320"/>
      <c r="AA230" s="328">
        <f t="shared" si="52"/>
        <v>16.25</v>
      </c>
      <c r="AB230" s="298">
        <f t="shared" si="46"/>
        <v>0</v>
      </c>
      <c r="AC230" s="4"/>
      <c r="AD230" s="47"/>
      <c r="AE230" s="47"/>
      <c r="AF230" s="319"/>
      <c r="AG230" s="29">
        <f t="shared" si="53"/>
        <v>0</v>
      </c>
      <c r="AK230" s="407"/>
    </row>
    <row r="231" spans="1:37" outlineLevel="1">
      <c r="A231" s="180"/>
      <c r="B231" s="164" t="s">
        <v>242</v>
      </c>
      <c r="C231" s="16" t="s">
        <v>29</v>
      </c>
      <c r="D231" s="16" t="s">
        <v>29</v>
      </c>
      <c r="E231" s="319">
        <v>0</v>
      </c>
      <c r="F231" s="320"/>
      <c r="G231" s="438"/>
      <c r="H231" s="16" t="s">
        <v>29</v>
      </c>
      <c r="I231" s="16" t="s">
        <v>29</v>
      </c>
      <c r="J231" s="319">
        <v>0</v>
      </c>
      <c r="K231" s="320"/>
      <c r="L231" s="438"/>
      <c r="M231" s="47">
        <v>0.37361111111111112</v>
      </c>
      <c r="N231" s="47">
        <v>0.20833333333333334</v>
      </c>
      <c r="O231" s="319">
        <v>8</v>
      </c>
      <c r="P231" s="320"/>
      <c r="Q231" s="438"/>
      <c r="R231" s="47">
        <v>0.36944444444444446</v>
      </c>
      <c r="S231" s="47">
        <v>0.50624999999999998</v>
      </c>
      <c r="T231" s="319">
        <v>3.25</v>
      </c>
      <c r="U231" s="320"/>
      <c r="V231" s="438"/>
      <c r="W231" s="47">
        <v>0</v>
      </c>
      <c r="X231" s="47">
        <v>0</v>
      </c>
      <c r="Y231" s="319">
        <v>0</v>
      </c>
      <c r="Z231" s="320"/>
      <c r="AA231" s="328">
        <f t="shared" si="52"/>
        <v>11.25</v>
      </c>
      <c r="AB231" s="298">
        <f t="shared" si="46"/>
        <v>0</v>
      </c>
      <c r="AC231" s="4"/>
      <c r="AD231" s="47"/>
      <c r="AE231" s="47"/>
      <c r="AF231" s="319"/>
      <c r="AG231" s="29">
        <f t="shared" si="53"/>
        <v>0</v>
      </c>
      <c r="AK231" s="407"/>
    </row>
    <row r="232" spans="1:37" outlineLevel="1">
      <c r="A232" s="180"/>
      <c r="B232" s="458" t="s">
        <v>243</v>
      </c>
      <c r="C232" s="16" t="s">
        <v>29</v>
      </c>
      <c r="D232" s="16" t="s">
        <v>29</v>
      </c>
      <c r="E232" s="319">
        <v>0</v>
      </c>
      <c r="F232" s="320"/>
      <c r="G232" s="438"/>
      <c r="H232" s="16" t="s">
        <v>29</v>
      </c>
      <c r="I232" s="16" t="s">
        <v>29</v>
      </c>
      <c r="J232" s="319">
        <v>0</v>
      </c>
      <c r="K232" s="320"/>
      <c r="L232" s="438"/>
      <c r="M232" s="47">
        <v>0.36875000000000002</v>
      </c>
      <c r="N232" s="47">
        <v>0.20833333333333334</v>
      </c>
      <c r="O232" s="319">
        <v>8</v>
      </c>
      <c r="P232" s="320"/>
      <c r="Q232" s="438"/>
      <c r="R232" s="47">
        <v>0.37013888888888891</v>
      </c>
      <c r="S232" s="47">
        <v>0.50138888888888888</v>
      </c>
      <c r="T232" s="319">
        <v>3.25</v>
      </c>
      <c r="U232" s="320"/>
      <c r="V232" s="438"/>
      <c r="W232" s="47">
        <v>0</v>
      </c>
      <c r="X232" s="47">
        <v>0</v>
      </c>
      <c r="Y232" s="319">
        <v>0</v>
      </c>
      <c r="Z232" s="320"/>
      <c r="AA232" s="328">
        <f t="shared" si="52"/>
        <v>11.25</v>
      </c>
      <c r="AB232" s="298">
        <f t="shared" si="46"/>
        <v>0</v>
      </c>
      <c r="AC232" s="4"/>
      <c r="AD232" s="47"/>
      <c r="AE232" s="47"/>
      <c r="AF232" s="319"/>
      <c r="AG232" s="29">
        <f t="shared" si="53"/>
        <v>0</v>
      </c>
      <c r="AK232" s="407"/>
    </row>
    <row r="233" spans="1:37" outlineLevel="1">
      <c r="A233" s="180"/>
      <c r="B233" s="457" t="s">
        <v>91</v>
      </c>
      <c r="C233" s="16" t="s">
        <v>29</v>
      </c>
      <c r="D233" s="16" t="s">
        <v>29</v>
      </c>
      <c r="E233" s="319">
        <v>0</v>
      </c>
      <c r="F233" s="320"/>
      <c r="G233" s="438"/>
      <c r="H233" s="16" t="s">
        <v>29</v>
      </c>
      <c r="I233" s="16" t="s">
        <v>29</v>
      </c>
      <c r="J233" s="319">
        <v>0</v>
      </c>
      <c r="K233" s="320"/>
      <c r="L233" s="438"/>
      <c r="M233" s="47">
        <v>0.375</v>
      </c>
      <c r="N233" s="47">
        <v>0.22569444444444445</v>
      </c>
      <c r="O233" s="319">
        <v>8</v>
      </c>
      <c r="P233" s="320"/>
      <c r="Q233" s="438"/>
      <c r="R233" s="47">
        <v>0.375</v>
      </c>
      <c r="S233" s="47">
        <v>0.5</v>
      </c>
      <c r="T233" s="319">
        <v>4</v>
      </c>
      <c r="U233" s="320"/>
      <c r="V233" s="438"/>
      <c r="W233" s="47">
        <v>0</v>
      </c>
      <c r="X233" s="47">
        <v>0</v>
      </c>
      <c r="Y233" s="319">
        <v>0</v>
      </c>
      <c r="Z233" s="320"/>
      <c r="AA233" s="328">
        <f t="shared" si="52"/>
        <v>12</v>
      </c>
      <c r="AB233" s="298">
        <f t="shared" si="46"/>
        <v>0</v>
      </c>
      <c r="AC233" s="4"/>
      <c r="AD233" s="47"/>
      <c r="AE233" s="47"/>
      <c r="AF233" s="319"/>
      <c r="AG233" s="29">
        <f t="shared" si="53"/>
        <v>0</v>
      </c>
      <c r="AK233" s="407"/>
    </row>
    <row r="234" spans="1:37" outlineLevel="1">
      <c r="A234" s="180"/>
      <c r="B234" s="457" t="s">
        <v>46</v>
      </c>
      <c r="C234" s="16" t="s">
        <v>29</v>
      </c>
      <c r="D234" s="16" t="s">
        <v>29</v>
      </c>
      <c r="E234" s="319">
        <v>0</v>
      </c>
      <c r="F234" s="320"/>
      <c r="G234" s="438"/>
      <c r="H234" s="16" t="s">
        <v>29</v>
      </c>
      <c r="I234" s="16" t="s">
        <v>29</v>
      </c>
      <c r="J234" s="319">
        <v>0</v>
      </c>
      <c r="K234" s="320"/>
      <c r="L234" s="438"/>
      <c r="M234" s="47">
        <v>0.36875000000000002</v>
      </c>
      <c r="N234" s="47">
        <v>0.27083333333333331</v>
      </c>
      <c r="O234" s="319">
        <v>8</v>
      </c>
      <c r="P234" s="320">
        <v>0.75</v>
      </c>
      <c r="Q234" s="438"/>
      <c r="R234" s="47">
        <v>0.36944444444444446</v>
      </c>
      <c r="S234" s="47">
        <v>0.17083333333333334</v>
      </c>
      <c r="T234" s="319">
        <v>6.25</v>
      </c>
      <c r="U234" s="320"/>
      <c r="V234" s="438"/>
      <c r="W234" s="47">
        <v>0.37222222222222223</v>
      </c>
      <c r="X234" s="441">
        <v>6.458333333333334E-2</v>
      </c>
      <c r="Y234" s="319">
        <v>4.75</v>
      </c>
      <c r="Z234" s="320"/>
      <c r="AA234" s="328">
        <f t="shared" si="52"/>
        <v>19</v>
      </c>
      <c r="AB234" s="298">
        <f t="shared" si="46"/>
        <v>0.75</v>
      </c>
      <c r="AC234" s="4"/>
      <c r="AD234" s="47"/>
      <c r="AE234" s="47"/>
      <c r="AF234" s="319"/>
      <c r="AG234" s="29">
        <f t="shared" si="53"/>
        <v>0</v>
      </c>
      <c r="AK234" s="407"/>
    </row>
    <row r="235" spans="1:37" outlineLevel="1">
      <c r="A235" s="180"/>
      <c r="B235" s="457" t="s">
        <v>43</v>
      </c>
      <c r="C235" s="16" t="s">
        <v>29</v>
      </c>
      <c r="D235" s="16" t="s">
        <v>29</v>
      </c>
      <c r="E235" s="319">
        <v>0</v>
      </c>
      <c r="F235" s="320"/>
      <c r="G235" s="438"/>
      <c r="H235" s="16" t="s">
        <v>29</v>
      </c>
      <c r="I235" s="16" t="s">
        <v>29</v>
      </c>
      <c r="J235" s="319">
        <v>0</v>
      </c>
      <c r="K235" s="320"/>
      <c r="L235" s="438"/>
      <c r="M235" s="47">
        <v>0.37569444444444444</v>
      </c>
      <c r="N235" s="47">
        <v>0.25</v>
      </c>
      <c r="O235" s="319">
        <v>8</v>
      </c>
      <c r="P235" s="320"/>
      <c r="Q235" s="438"/>
      <c r="R235" s="47">
        <v>0.36666666666666664</v>
      </c>
      <c r="S235" s="47">
        <v>0.25</v>
      </c>
      <c r="T235" s="319">
        <v>8</v>
      </c>
      <c r="U235" s="320"/>
      <c r="V235" s="438"/>
      <c r="W235" s="47">
        <v>0</v>
      </c>
      <c r="X235" s="47">
        <v>0</v>
      </c>
      <c r="Y235" s="319">
        <v>0</v>
      </c>
      <c r="Z235" s="320"/>
      <c r="AA235" s="328">
        <f t="shared" si="52"/>
        <v>16</v>
      </c>
      <c r="AB235" s="298">
        <f t="shared" si="46"/>
        <v>0</v>
      </c>
      <c r="AC235" s="4"/>
      <c r="AD235" s="47"/>
      <c r="AE235" s="47"/>
      <c r="AF235" s="319"/>
      <c r="AG235" s="29">
        <f t="shared" si="53"/>
        <v>0</v>
      </c>
      <c r="AK235" s="407"/>
    </row>
    <row r="236" spans="1:37" outlineLevel="1">
      <c r="A236" s="180"/>
      <c r="B236" s="457" t="s">
        <v>113</v>
      </c>
      <c r="C236" s="16" t="s">
        <v>29</v>
      </c>
      <c r="D236" s="16" t="s">
        <v>29</v>
      </c>
      <c r="E236" s="319">
        <v>0</v>
      </c>
      <c r="F236" s="320"/>
      <c r="G236" s="438"/>
      <c r="H236" s="47">
        <v>0.36875000000000002</v>
      </c>
      <c r="I236" s="47">
        <v>0.25138888888888888</v>
      </c>
      <c r="J236" s="319">
        <v>8.65</v>
      </c>
      <c r="K236" s="320"/>
      <c r="L236" s="4"/>
      <c r="M236" s="47">
        <v>0.37916666666666665</v>
      </c>
      <c r="N236" s="47">
        <v>0.25</v>
      </c>
      <c r="O236" s="319">
        <v>8.65</v>
      </c>
      <c r="P236" s="320"/>
      <c r="Q236" s="438"/>
      <c r="R236" s="47">
        <v>0</v>
      </c>
      <c r="S236" s="47">
        <v>0</v>
      </c>
      <c r="T236" s="319">
        <v>0</v>
      </c>
      <c r="U236" s="320"/>
      <c r="V236" s="438"/>
      <c r="W236" s="47">
        <v>0</v>
      </c>
      <c r="X236" s="47">
        <v>0</v>
      </c>
      <c r="Y236" s="319">
        <v>0</v>
      </c>
      <c r="Z236" s="320"/>
      <c r="AA236" s="328">
        <f t="shared" si="52"/>
        <v>17.3</v>
      </c>
      <c r="AB236" s="298">
        <f t="shared" si="46"/>
        <v>0</v>
      </c>
      <c r="AC236" s="4"/>
      <c r="AD236" s="47"/>
      <c r="AE236" s="47"/>
      <c r="AF236" s="319"/>
      <c r="AG236" s="29">
        <f t="shared" si="53"/>
        <v>0</v>
      </c>
      <c r="AK236" s="407"/>
    </row>
    <row r="237" spans="1:37" outlineLevel="1">
      <c r="A237" s="180"/>
      <c r="B237" s="457" t="s">
        <v>44</v>
      </c>
      <c r="C237" s="16" t="s">
        <v>29</v>
      </c>
      <c r="D237" s="16" t="s">
        <v>29</v>
      </c>
      <c r="E237" s="319">
        <v>0</v>
      </c>
      <c r="F237" s="320"/>
      <c r="G237" s="438"/>
      <c r="H237" s="16" t="s">
        <v>29</v>
      </c>
      <c r="I237" s="16" t="s">
        <v>29</v>
      </c>
      <c r="J237" s="319">
        <v>0</v>
      </c>
      <c r="K237" s="320"/>
      <c r="L237" s="438"/>
      <c r="M237" s="47">
        <v>0.36458333333333331</v>
      </c>
      <c r="N237" s="47">
        <v>0.27083333333333331</v>
      </c>
      <c r="O237" s="319">
        <v>8</v>
      </c>
      <c r="P237" s="320">
        <v>0.75</v>
      </c>
      <c r="Q237" s="438"/>
      <c r="R237" s="47">
        <v>0</v>
      </c>
      <c r="S237" s="47">
        <v>0</v>
      </c>
      <c r="T237" s="319">
        <v>0</v>
      </c>
      <c r="U237" s="320"/>
      <c r="V237" s="438"/>
      <c r="W237" s="47">
        <v>0</v>
      </c>
      <c r="X237" s="47">
        <v>0</v>
      </c>
      <c r="Y237" s="319">
        <v>0</v>
      </c>
      <c r="Z237" s="320"/>
      <c r="AA237" s="328">
        <f t="shared" si="52"/>
        <v>8</v>
      </c>
      <c r="AB237" s="298">
        <f t="shared" si="46"/>
        <v>0.75</v>
      </c>
      <c r="AC237" s="4"/>
      <c r="AD237" s="47"/>
      <c r="AE237" s="47"/>
      <c r="AF237" s="319"/>
      <c r="AG237" s="29">
        <f t="shared" si="53"/>
        <v>0</v>
      </c>
      <c r="AK237" s="407"/>
    </row>
    <row r="238" spans="1:37" outlineLevel="1">
      <c r="A238" s="180"/>
      <c r="B238" s="457" t="s">
        <v>45</v>
      </c>
      <c r="C238" s="16" t="s">
        <v>29</v>
      </c>
      <c r="D238" s="16" t="s">
        <v>29</v>
      </c>
      <c r="E238" s="319">
        <v>0</v>
      </c>
      <c r="F238" s="320"/>
      <c r="G238" s="438"/>
      <c r="H238" s="16" t="s">
        <v>29</v>
      </c>
      <c r="I238" s="16" t="s">
        <v>29</v>
      </c>
      <c r="J238" s="319">
        <v>0</v>
      </c>
      <c r="K238" s="320"/>
      <c r="L238" s="438"/>
      <c r="M238" s="47">
        <v>0.36736111111111114</v>
      </c>
      <c r="N238" s="47">
        <v>0.25</v>
      </c>
      <c r="O238" s="319">
        <v>8</v>
      </c>
      <c r="P238" s="320"/>
      <c r="Q238" s="438"/>
      <c r="R238" s="47">
        <v>0</v>
      </c>
      <c r="S238" s="47">
        <v>0</v>
      </c>
      <c r="T238" s="319">
        <v>0</v>
      </c>
      <c r="U238" s="320"/>
      <c r="V238" s="438"/>
      <c r="W238" s="47">
        <v>0</v>
      </c>
      <c r="X238" s="47">
        <v>0</v>
      </c>
      <c r="Y238" s="319">
        <v>0</v>
      </c>
      <c r="Z238" s="320"/>
      <c r="AA238" s="328">
        <f t="shared" si="52"/>
        <v>8</v>
      </c>
      <c r="AB238" s="298">
        <f t="shared" si="46"/>
        <v>0</v>
      </c>
      <c r="AC238" s="4"/>
      <c r="AD238" s="47"/>
      <c r="AE238" s="47"/>
      <c r="AF238" s="319"/>
      <c r="AG238" s="29">
        <f t="shared" si="53"/>
        <v>0</v>
      </c>
      <c r="AK238" s="407"/>
    </row>
    <row r="239" spans="1:37" outlineLevel="1">
      <c r="A239" s="180"/>
      <c r="B239" s="458" t="s">
        <v>244</v>
      </c>
      <c r="C239" s="16" t="s">
        <v>29</v>
      </c>
      <c r="D239" s="16" t="s">
        <v>29</v>
      </c>
      <c r="E239" s="319">
        <v>0</v>
      </c>
      <c r="F239" s="320"/>
      <c r="G239" s="438"/>
      <c r="H239" s="16" t="s">
        <v>29</v>
      </c>
      <c r="I239" s="16" t="s">
        <v>29</v>
      </c>
      <c r="J239" s="319">
        <v>0</v>
      </c>
      <c r="K239" s="320"/>
      <c r="L239" s="438"/>
      <c r="M239" s="47">
        <v>0.37083333333333335</v>
      </c>
      <c r="N239" s="47">
        <v>0.2076388888888889</v>
      </c>
      <c r="O239" s="319">
        <v>7.25</v>
      </c>
      <c r="P239" s="320"/>
      <c r="Q239" s="438"/>
      <c r="R239" s="47">
        <v>0.375</v>
      </c>
      <c r="S239" s="47">
        <v>0.5</v>
      </c>
      <c r="T239" s="319">
        <v>3</v>
      </c>
      <c r="U239" s="320"/>
      <c r="V239" s="438"/>
      <c r="W239" s="47">
        <v>6.25E-2</v>
      </c>
      <c r="X239" s="47">
        <v>0.25</v>
      </c>
      <c r="Y239" s="319">
        <v>4.5</v>
      </c>
      <c r="Z239" s="320"/>
      <c r="AA239" s="328">
        <f t="shared" si="52"/>
        <v>14.75</v>
      </c>
      <c r="AB239" s="298">
        <f t="shared" si="46"/>
        <v>0</v>
      </c>
      <c r="AC239" s="4"/>
      <c r="AD239" s="47"/>
      <c r="AE239" s="47"/>
      <c r="AF239" s="319"/>
      <c r="AG239" s="29">
        <f t="shared" si="53"/>
        <v>0</v>
      </c>
      <c r="AK239" s="407"/>
    </row>
    <row r="240" spans="1:37" outlineLevel="1">
      <c r="A240" s="180"/>
      <c r="B240" s="457" t="s">
        <v>112</v>
      </c>
      <c r="C240" s="16" t="s">
        <v>29</v>
      </c>
      <c r="D240" s="16" t="s">
        <v>29</v>
      </c>
      <c r="E240" s="319">
        <v>0</v>
      </c>
      <c r="F240" s="320"/>
      <c r="G240" s="438"/>
      <c r="H240" s="16" t="s">
        <v>29</v>
      </c>
      <c r="I240" s="16" t="s">
        <v>29</v>
      </c>
      <c r="J240" s="319">
        <v>0</v>
      </c>
      <c r="K240" s="320"/>
      <c r="L240" s="438"/>
      <c r="M240" s="47">
        <v>0.37083333333333335</v>
      </c>
      <c r="N240" s="47">
        <v>0.21249999999999999</v>
      </c>
      <c r="O240" s="319">
        <v>7.25</v>
      </c>
      <c r="P240" s="320"/>
      <c r="Q240" s="438"/>
      <c r="R240" s="47">
        <v>0.37638888888888888</v>
      </c>
      <c r="S240" s="441">
        <v>0.16666666666666666</v>
      </c>
      <c r="T240" s="319">
        <v>7</v>
      </c>
      <c r="U240" s="320"/>
      <c r="V240" s="438"/>
      <c r="W240" s="47">
        <v>0.43680555555555556</v>
      </c>
      <c r="X240" s="441">
        <v>6.25E-2</v>
      </c>
      <c r="Y240" s="319">
        <v>3</v>
      </c>
      <c r="Z240" s="320"/>
      <c r="AA240" s="328">
        <f t="shared" si="52"/>
        <v>17.25</v>
      </c>
      <c r="AB240" s="298">
        <f t="shared" si="46"/>
        <v>0</v>
      </c>
      <c r="AC240" s="4"/>
      <c r="AD240" s="47"/>
      <c r="AE240" s="47"/>
      <c r="AF240" s="319"/>
      <c r="AG240" s="29">
        <f t="shared" si="53"/>
        <v>0</v>
      </c>
      <c r="AK240" s="407"/>
    </row>
    <row r="241" spans="1:49" outlineLevel="1">
      <c r="A241" s="180"/>
      <c r="B241" s="164" t="s">
        <v>39</v>
      </c>
      <c r="C241" s="16" t="s">
        <v>29</v>
      </c>
      <c r="D241" s="16" t="s">
        <v>29</v>
      </c>
      <c r="E241" s="319">
        <v>0</v>
      </c>
      <c r="F241" s="320"/>
      <c r="G241" s="438"/>
      <c r="H241" s="16" t="s">
        <v>29</v>
      </c>
      <c r="I241" s="16" t="s">
        <v>29</v>
      </c>
      <c r="J241" s="319">
        <v>0</v>
      </c>
      <c r="K241" s="320"/>
      <c r="L241" s="438"/>
      <c r="M241" s="47">
        <v>0</v>
      </c>
      <c r="N241" s="47">
        <v>0</v>
      </c>
      <c r="O241" s="319">
        <v>0</v>
      </c>
      <c r="P241" s="320"/>
      <c r="Q241" s="438"/>
      <c r="R241" s="47" t="s">
        <v>154</v>
      </c>
      <c r="S241" s="47">
        <v>0</v>
      </c>
      <c r="T241" s="319">
        <v>0</v>
      </c>
      <c r="U241" s="320"/>
      <c r="V241" s="438"/>
      <c r="W241" s="47" t="s">
        <v>154</v>
      </c>
      <c r="X241" s="47">
        <v>0</v>
      </c>
      <c r="Y241" s="319">
        <v>0</v>
      </c>
      <c r="Z241" s="320"/>
      <c r="AA241" s="328">
        <f t="shared" si="52"/>
        <v>0</v>
      </c>
      <c r="AB241" s="298">
        <f t="shared" si="46"/>
        <v>0</v>
      </c>
      <c r="AC241" s="4"/>
      <c r="AD241" s="47"/>
      <c r="AE241" s="47"/>
      <c r="AF241" s="319"/>
      <c r="AG241" s="29">
        <f t="shared" si="53"/>
        <v>0</v>
      </c>
      <c r="AK241" s="407"/>
    </row>
    <row r="242" spans="1:49" outlineLevel="1">
      <c r="A242" s="180"/>
      <c r="B242" s="164" t="s">
        <v>241</v>
      </c>
      <c r="C242" s="16" t="s">
        <v>29</v>
      </c>
      <c r="D242" s="16" t="s">
        <v>29</v>
      </c>
      <c r="E242" s="319">
        <v>0</v>
      </c>
      <c r="F242" s="320"/>
      <c r="G242" s="438"/>
      <c r="H242" s="16" t="s">
        <v>29</v>
      </c>
      <c r="I242" s="16" t="s">
        <v>29</v>
      </c>
      <c r="J242" s="319">
        <v>0</v>
      </c>
      <c r="K242" s="320"/>
      <c r="L242" s="438"/>
      <c r="M242" s="47">
        <v>0.375</v>
      </c>
      <c r="N242" s="47">
        <v>0.20833333333333334</v>
      </c>
      <c r="O242" s="319">
        <v>7</v>
      </c>
      <c r="P242" s="320"/>
      <c r="Q242" s="438"/>
      <c r="R242" s="47">
        <v>0.375</v>
      </c>
      <c r="S242" s="47">
        <v>0.20833333333333334</v>
      </c>
      <c r="T242" s="319">
        <v>7</v>
      </c>
      <c r="U242" s="320"/>
      <c r="V242" s="438"/>
      <c r="W242" s="47" t="s">
        <v>154</v>
      </c>
      <c r="X242" s="47">
        <v>0</v>
      </c>
      <c r="Y242" s="319">
        <v>0</v>
      </c>
      <c r="Z242" s="320"/>
      <c r="AA242" s="328">
        <f t="shared" si="52"/>
        <v>14</v>
      </c>
      <c r="AB242" s="298">
        <f t="shared" si="46"/>
        <v>0</v>
      </c>
      <c r="AC242" s="4"/>
      <c r="AD242" s="47"/>
      <c r="AE242" s="47"/>
      <c r="AF242" s="319"/>
      <c r="AG242" s="29">
        <f t="shared" si="53"/>
        <v>0</v>
      </c>
      <c r="AK242" s="407"/>
    </row>
    <row r="243" spans="1:49" outlineLevel="1">
      <c r="A243" s="180"/>
      <c r="B243" s="224" t="s">
        <v>42</v>
      </c>
      <c r="C243" s="16" t="s">
        <v>29</v>
      </c>
      <c r="D243" s="16" t="s">
        <v>29</v>
      </c>
      <c r="E243" s="319">
        <v>0</v>
      </c>
      <c r="F243" s="320"/>
      <c r="G243" s="438"/>
      <c r="H243" s="16" t="s">
        <v>29</v>
      </c>
      <c r="I243" s="16" t="s">
        <v>29</v>
      </c>
      <c r="J243" s="319">
        <v>0</v>
      </c>
      <c r="K243" s="320"/>
      <c r="L243" s="438"/>
      <c r="M243" s="47" t="s">
        <v>75</v>
      </c>
      <c r="N243" s="47">
        <v>0.20833333333333334</v>
      </c>
      <c r="O243" s="319">
        <v>8</v>
      </c>
      <c r="P243" s="320"/>
      <c r="Q243" s="438"/>
      <c r="R243" s="47" t="s">
        <v>75</v>
      </c>
      <c r="S243" s="47">
        <v>0.20833333333333334</v>
      </c>
      <c r="T243" s="319">
        <v>8</v>
      </c>
      <c r="U243" s="320"/>
      <c r="V243" s="438"/>
      <c r="W243" s="47">
        <v>0</v>
      </c>
      <c r="X243" s="47">
        <v>0</v>
      </c>
      <c r="Y243" s="319">
        <v>0</v>
      </c>
      <c r="Z243" s="320"/>
      <c r="AA243" s="328">
        <f t="shared" si="52"/>
        <v>16</v>
      </c>
      <c r="AB243" s="298">
        <f t="shared" si="46"/>
        <v>0</v>
      </c>
      <c r="AC243" s="4"/>
      <c r="AD243" s="47"/>
      <c r="AE243" s="47"/>
      <c r="AF243" s="319"/>
      <c r="AG243" s="29">
        <f t="shared" si="53"/>
        <v>0</v>
      </c>
      <c r="AK243" s="407"/>
    </row>
    <row r="244" spans="1:49" outlineLevel="1">
      <c r="A244" s="180"/>
      <c r="B244" s="64" t="s">
        <v>61</v>
      </c>
      <c r="C244" s="31"/>
      <c r="D244" s="31"/>
      <c r="E244" s="439">
        <f>SUM(E196:E243)</f>
        <v>162.5</v>
      </c>
      <c r="F244" s="320">
        <f>SUM(F196:F243)</f>
        <v>6.2</v>
      </c>
      <c r="G244" s="31"/>
      <c r="H244" s="31"/>
      <c r="I244" s="31"/>
      <c r="J244" s="439">
        <f>SUM(J196:J243)</f>
        <v>197.15</v>
      </c>
      <c r="K244" s="320">
        <f>SUM(K196:K243)</f>
        <v>14.07</v>
      </c>
      <c r="L244" s="31"/>
      <c r="M244" s="31"/>
      <c r="N244" s="31"/>
      <c r="O244" s="439">
        <f>SUM(O196:O243)</f>
        <v>280.25</v>
      </c>
      <c r="P244" s="320">
        <f>SUM(P196:P243)</f>
        <v>11.56</v>
      </c>
      <c r="Q244" s="31"/>
      <c r="R244" s="31"/>
      <c r="S244" s="31"/>
      <c r="T244" s="439">
        <f>SUM(T196:T243)</f>
        <v>188.3</v>
      </c>
      <c r="U244" s="320">
        <f>SUM(U196:U243)</f>
        <v>1.5</v>
      </c>
      <c r="V244" s="31"/>
      <c r="W244" s="31"/>
      <c r="X244" s="31"/>
      <c r="Y244" s="439">
        <f>SUM(Y196:Y243)</f>
        <v>90.6</v>
      </c>
      <c r="Z244" s="320">
        <f>SUM(Z196:Z243)</f>
        <v>2.5</v>
      </c>
      <c r="AA244" s="370">
        <f>SUM(AA196:AA243)</f>
        <v>918.8</v>
      </c>
      <c r="AB244" s="370">
        <f>SUM(AB196:AB243)</f>
        <v>35.83</v>
      </c>
      <c r="AC244" s="4"/>
      <c r="AD244" s="64"/>
      <c r="AE244" s="64"/>
      <c r="AF244" s="370">
        <f>SUM(AF196:AF227)</f>
        <v>0</v>
      </c>
      <c r="AG244" s="370">
        <f>SUM(AG196:AG227)</f>
        <v>0</v>
      </c>
    </row>
    <row r="245" spans="1:49" outlineLevel="1">
      <c r="A245" s="180"/>
      <c r="B245" s="63" t="s">
        <v>64</v>
      </c>
      <c r="C245" s="47"/>
      <c r="D245" s="47"/>
      <c r="E245" s="319">
        <v>7</v>
      </c>
      <c r="F245" s="291">
        <v>1.25</v>
      </c>
      <c r="G245" s="60"/>
      <c r="H245" s="47"/>
      <c r="I245" s="47"/>
      <c r="J245" s="319">
        <v>8</v>
      </c>
      <c r="K245" s="291"/>
      <c r="L245" s="60"/>
      <c r="M245" s="47"/>
      <c r="N245" s="47"/>
      <c r="O245" s="319">
        <v>8</v>
      </c>
      <c r="P245" s="19">
        <v>0.5</v>
      </c>
      <c r="Q245" s="60"/>
      <c r="R245" s="47"/>
      <c r="S245" s="47"/>
      <c r="T245" s="319">
        <v>7.5</v>
      </c>
      <c r="U245" s="19">
        <v>0.75</v>
      </c>
      <c r="V245" s="60"/>
      <c r="W245" s="47"/>
      <c r="X245" s="47"/>
      <c r="Y245" s="319">
        <v>8</v>
      </c>
      <c r="Z245" s="19">
        <f>1.25+1.5</f>
        <v>2.75</v>
      </c>
      <c r="AA245" s="28">
        <f>SUM(E245+J245+O245+T245+Y245)</f>
        <v>38.5</v>
      </c>
      <c r="AB245" s="296">
        <f>Z245+U245+P245+K245+F245</f>
        <v>5.25</v>
      </c>
      <c r="AC245" s="4"/>
      <c r="AD245" s="47" t="s">
        <v>29</v>
      </c>
      <c r="AE245" s="47" t="s">
        <v>29</v>
      </c>
      <c r="AF245" s="319">
        <v>0.5</v>
      </c>
      <c r="AG245" s="29">
        <f>AF245</f>
        <v>0.5</v>
      </c>
    </row>
    <row r="246" spans="1:49" outlineLevel="1">
      <c r="A246" s="180"/>
      <c r="B246" s="71" t="s">
        <v>66</v>
      </c>
      <c r="C246" s="371"/>
      <c r="D246" s="371"/>
      <c r="E246" s="71"/>
      <c r="F246" s="71"/>
      <c r="G246" s="71"/>
      <c r="H246" s="71"/>
      <c r="I246" s="71"/>
      <c r="J246" s="71"/>
      <c r="K246" s="71"/>
      <c r="L246" s="71"/>
      <c r="M246" s="71"/>
      <c r="N246" s="71"/>
      <c r="O246" s="71"/>
      <c r="P246" s="71"/>
      <c r="Q246" s="71"/>
      <c r="R246" s="71"/>
      <c r="S246" s="71"/>
      <c r="T246" s="71"/>
      <c r="U246" s="71"/>
      <c r="V246" s="71"/>
      <c r="W246" s="71"/>
      <c r="X246" s="71"/>
      <c r="Y246" s="71"/>
      <c r="Z246" s="71"/>
      <c r="AA246" s="370">
        <f>SUM(AA245:AA245)</f>
        <v>38.5</v>
      </c>
      <c r="AB246" s="370">
        <f>SUM(AB245:AB245)</f>
        <v>5.25</v>
      </c>
      <c r="AC246" s="4"/>
      <c r="AG246" s="370">
        <f>SUM(AG245:AG245)</f>
        <v>0.5</v>
      </c>
    </row>
    <row r="247" spans="1:49" outlineLevel="1">
      <c r="A247" s="180"/>
      <c r="B247" s="496" t="s">
        <v>67</v>
      </c>
      <c r="C247" s="497">
        <f>C248+C249</f>
        <v>208</v>
      </c>
      <c r="D247" s="497"/>
      <c r="E247" s="495"/>
      <c r="F247" s="495"/>
      <c r="G247" s="497"/>
      <c r="H247" s="495"/>
      <c r="I247" s="495"/>
      <c r="J247" s="495"/>
      <c r="K247" s="495"/>
      <c r="L247" s="497"/>
      <c r="M247" s="497"/>
      <c r="N247" s="497"/>
      <c r="O247" s="497"/>
      <c r="P247" s="495"/>
      <c r="Q247" s="497"/>
      <c r="R247" s="497"/>
      <c r="S247" s="497"/>
      <c r="T247" s="497"/>
      <c r="U247" s="495"/>
      <c r="V247" s="497"/>
      <c r="W247" s="497"/>
      <c r="X247" s="497"/>
      <c r="Y247" s="498"/>
      <c r="Z247" s="495"/>
      <c r="AA247" s="499"/>
      <c r="AB247" s="495"/>
      <c r="AC247" s="499"/>
      <c r="AD247" s="499"/>
      <c r="AE247" s="499"/>
      <c r="AF247" s="499"/>
      <c r="AG247" s="499"/>
    </row>
    <row r="248" spans="1:49" outlineLevel="1">
      <c r="A248" s="180"/>
      <c r="B248" s="500" t="s">
        <v>68</v>
      </c>
      <c r="C248" s="501">
        <f>(32*5)</f>
        <v>160</v>
      </c>
      <c r="D248" s="497"/>
      <c r="E248" s="495"/>
      <c r="F248" s="495"/>
      <c r="G248" s="497"/>
      <c r="H248" s="495"/>
      <c r="I248" s="495"/>
      <c r="J248" s="495"/>
      <c r="K248" s="495"/>
      <c r="L248" s="497"/>
      <c r="M248" s="497"/>
      <c r="N248" s="497"/>
      <c r="O248" s="497"/>
      <c r="P248" s="495"/>
      <c r="Q248" s="497"/>
      <c r="R248" s="497"/>
      <c r="S248" s="497"/>
      <c r="T248" s="497"/>
      <c r="U248" s="495"/>
      <c r="V248" s="497"/>
      <c r="W248" s="497"/>
      <c r="X248" s="497"/>
      <c r="Y248" s="498"/>
      <c r="Z248" s="495"/>
      <c r="AA248" s="499"/>
      <c r="AB248" s="495"/>
      <c r="AC248" s="499"/>
      <c r="AD248" s="499"/>
      <c r="AE248" s="499"/>
      <c r="AF248" s="499"/>
      <c r="AG248" s="499"/>
    </row>
    <row r="249" spans="1:49" outlineLevel="1">
      <c r="A249" s="180"/>
      <c r="B249" s="500" t="s">
        <v>69</v>
      </c>
      <c r="C249" s="501">
        <f>3+22+23</f>
        <v>48</v>
      </c>
      <c r="D249" s="497"/>
      <c r="E249" s="495"/>
      <c r="F249" s="495"/>
      <c r="G249" s="497"/>
      <c r="H249" s="495"/>
      <c r="I249" s="495"/>
      <c r="J249" s="495"/>
      <c r="K249" s="495"/>
      <c r="L249" s="497"/>
      <c r="M249" s="497"/>
      <c r="N249" s="497"/>
      <c r="O249" s="497"/>
      <c r="P249" s="495"/>
      <c r="Q249" s="497"/>
      <c r="R249" s="497"/>
      <c r="S249" s="497"/>
      <c r="T249" s="497"/>
      <c r="U249" s="495"/>
      <c r="V249" s="497"/>
      <c r="W249" s="497"/>
      <c r="X249" s="497"/>
      <c r="Y249" s="498"/>
      <c r="Z249" s="495"/>
      <c r="AA249" s="499"/>
      <c r="AB249" s="495"/>
      <c r="AC249" s="499"/>
      <c r="AD249" s="499"/>
      <c r="AE249" s="499"/>
      <c r="AF249" s="499"/>
      <c r="AG249" s="499"/>
    </row>
    <row r="250" spans="1:49" outlineLevel="1">
      <c r="A250" s="180"/>
      <c r="B250" s="180"/>
      <c r="E250" s="4"/>
      <c r="F250" s="4"/>
      <c r="G250" s="4"/>
      <c r="J250" s="4"/>
      <c r="K250" s="4"/>
      <c r="L250" s="4"/>
      <c r="O250" s="4"/>
      <c r="P250" s="4"/>
      <c r="T250" s="4"/>
      <c r="U250" s="4"/>
      <c r="Y250" s="4"/>
      <c r="Z250" s="4"/>
      <c r="AA250" s="4"/>
      <c r="AB250" s="4"/>
      <c r="AC250" s="4"/>
    </row>
    <row r="251" spans="1:49">
      <c r="A251" s="180"/>
      <c r="B251" s="229"/>
      <c r="C251" s="230"/>
      <c r="D251" s="230"/>
      <c r="E251" s="232"/>
      <c r="F251" s="232"/>
      <c r="G251" s="230"/>
      <c r="H251" s="232"/>
      <c r="I251" s="232"/>
      <c r="J251" s="232"/>
      <c r="K251" s="232"/>
      <c r="L251" s="230"/>
      <c r="M251" s="230"/>
      <c r="N251" s="230"/>
      <c r="O251" s="230"/>
      <c r="P251" s="232"/>
      <c r="Q251" s="230"/>
      <c r="R251" s="230"/>
      <c r="S251" s="230"/>
      <c r="T251" s="230"/>
      <c r="U251" s="232"/>
      <c r="V251" s="230"/>
      <c r="W251" s="230"/>
      <c r="X251" s="230"/>
      <c r="Y251" s="233"/>
      <c r="Z251" s="232"/>
      <c r="AA251" s="234"/>
      <c r="AB251" s="232"/>
      <c r="AC251" s="373"/>
      <c r="AD251" s="236"/>
      <c r="AE251" s="255"/>
      <c r="AF251" s="255"/>
      <c r="AG251" s="255"/>
      <c r="AH251" s="255"/>
      <c r="AJ251" s="255"/>
      <c r="AK251" s="255"/>
      <c r="AL251" s="255"/>
      <c r="AM251" s="255"/>
      <c r="AN251" s="255"/>
      <c r="AO251" s="255"/>
      <c r="AP251" s="255"/>
      <c r="AQ251" s="255"/>
      <c r="AR251" s="255"/>
      <c r="AS251" s="255"/>
      <c r="AT251" s="255"/>
      <c r="AU251" s="255"/>
      <c r="AV251" s="255"/>
      <c r="AW251" s="255"/>
    </row>
    <row r="252" spans="1:49" outlineLevel="1">
      <c r="B252" s="180"/>
      <c r="E252" s="4"/>
      <c r="F252" s="4"/>
      <c r="G252" s="4"/>
      <c r="J252" s="4"/>
      <c r="K252" s="4"/>
      <c r="L252" s="4"/>
      <c r="O252" s="4"/>
      <c r="P252" s="4"/>
      <c r="T252" s="4"/>
      <c r="U252" s="4"/>
      <c r="Y252" s="4"/>
      <c r="Z252" s="4"/>
      <c r="AA252" s="4"/>
      <c r="AB252" s="4"/>
      <c r="AC252" s="4"/>
      <c r="AK252" s="180"/>
      <c r="AL252" s="180"/>
      <c r="AM252" s="180"/>
      <c r="AN252" s="180"/>
      <c r="AO252" s="180"/>
      <c r="AP252" s="180"/>
    </row>
    <row r="253" spans="1:49" ht="11.45" customHeight="1" outlineLevel="1">
      <c r="A253" s="228"/>
      <c r="B253" s="1518" t="s">
        <v>18</v>
      </c>
      <c r="C253" s="1519">
        <v>45411</v>
      </c>
      <c r="D253" s="1519"/>
      <c r="E253" s="1519"/>
      <c r="F253" s="1519"/>
      <c r="G253" s="365"/>
      <c r="H253" s="1519">
        <v>45412</v>
      </c>
      <c r="I253" s="1519"/>
      <c r="J253" s="1519"/>
      <c r="K253" s="1519"/>
      <c r="L253" s="365">
        <v>45343</v>
      </c>
      <c r="M253" s="1519">
        <v>45413</v>
      </c>
      <c r="N253" s="1519"/>
      <c r="O253" s="1519"/>
      <c r="P253" s="1519"/>
      <c r="Q253" s="365"/>
      <c r="R253" s="1519">
        <v>45414</v>
      </c>
      <c r="S253" s="1519"/>
      <c r="T253" s="1519"/>
      <c r="U253" s="1519"/>
      <c r="V253" s="365"/>
      <c r="W253" s="1519">
        <v>45415</v>
      </c>
      <c r="X253" s="1519"/>
      <c r="Y253" s="1519"/>
      <c r="Z253" s="1519"/>
      <c r="AA253" s="1517" t="s">
        <v>19</v>
      </c>
      <c r="AB253" s="1517" t="s">
        <v>20</v>
      </c>
      <c r="AC253" s="4"/>
      <c r="AD253" s="1519">
        <v>45416</v>
      </c>
      <c r="AE253" s="1519"/>
      <c r="AF253" s="1519"/>
      <c r="AG253" s="1517" t="s">
        <v>21</v>
      </c>
      <c r="AI253" s="368"/>
      <c r="AK253" s="194" t="s">
        <v>84</v>
      </c>
      <c r="AL253" s="366"/>
      <c r="AM253" s="366"/>
      <c r="AN253" s="366"/>
      <c r="AO253" s="366"/>
      <c r="AP253" s="366"/>
    </row>
    <row r="254" spans="1:49" outlineLevel="1">
      <c r="A254" s="180"/>
      <c r="B254" s="1518"/>
      <c r="C254" s="21" t="s">
        <v>23</v>
      </c>
      <c r="D254" s="21" t="s">
        <v>24</v>
      </c>
      <c r="E254" s="205" t="s">
        <v>25</v>
      </c>
      <c r="F254" s="18" t="s">
        <v>14</v>
      </c>
      <c r="G254" s="4"/>
      <c r="H254" s="21" t="s">
        <v>23</v>
      </c>
      <c r="I254" s="21" t="s">
        <v>24</v>
      </c>
      <c r="J254" s="18" t="s">
        <v>25</v>
      </c>
      <c r="K254" s="18" t="s">
        <v>14</v>
      </c>
      <c r="L254" s="4"/>
      <c r="M254" s="21" t="s">
        <v>23</v>
      </c>
      <c r="N254" s="21" t="s">
        <v>24</v>
      </c>
      <c r="O254" s="18" t="s">
        <v>25</v>
      </c>
      <c r="P254" s="18" t="s">
        <v>14</v>
      </c>
      <c r="R254" s="21" t="s">
        <v>23</v>
      </c>
      <c r="S254" s="21" t="s">
        <v>24</v>
      </c>
      <c r="T254" s="18" t="s">
        <v>25</v>
      </c>
      <c r="U254" s="18" t="s">
        <v>14</v>
      </c>
      <c r="W254" s="21" t="s">
        <v>23</v>
      </c>
      <c r="X254" s="21" t="s">
        <v>24</v>
      </c>
      <c r="Y254" s="18" t="s">
        <v>25</v>
      </c>
      <c r="Z254" s="18" t="s">
        <v>14</v>
      </c>
      <c r="AA254" s="1517"/>
      <c r="AB254" s="1517"/>
      <c r="AC254" s="4"/>
      <c r="AD254" s="21" t="s">
        <v>23</v>
      </c>
      <c r="AE254" s="21" t="s">
        <v>24</v>
      </c>
      <c r="AF254" s="18" t="s">
        <v>25</v>
      </c>
      <c r="AG254" s="1517"/>
      <c r="AI254" s="368"/>
      <c r="AJ254" s="367"/>
      <c r="AK254" s="494" t="s">
        <v>26</v>
      </c>
      <c r="AL254" s="471">
        <f>AA293</f>
        <v>985.25</v>
      </c>
      <c r="AM254" s="510">
        <v>38</v>
      </c>
      <c r="AN254" s="510">
        <f t="shared" ref="AN254:AN260" si="54">AL254*AM254</f>
        <v>37439.5</v>
      </c>
      <c r="AQ254" s="367"/>
      <c r="AR254" s="367"/>
      <c r="AS254" s="367"/>
      <c r="AT254" s="367"/>
      <c r="AU254" s="367"/>
      <c r="AV254" s="367"/>
      <c r="AW254" s="367"/>
    </row>
    <row r="255" spans="1:49" outlineLevel="1">
      <c r="A255" s="180"/>
      <c r="B255" s="457" t="s">
        <v>380</v>
      </c>
      <c r="C255" s="47">
        <v>0.41666666666666669</v>
      </c>
      <c r="D255" s="47">
        <v>0.25</v>
      </c>
      <c r="E255" s="319">
        <v>8</v>
      </c>
      <c r="F255" s="320"/>
      <c r="G255" s="4"/>
      <c r="H255" s="47">
        <v>0.375</v>
      </c>
      <c r="I255" s="47">
        <v>0.25</v>
      </c>
      <c r="J255" s="319">
        <v>8</v>
      </c>
      <c r="K255" s="320"/>
      <c r="L255" s="4"/>
      <c r="M255" s="47">
        <v>0</v>
      </c>
      <c r="N255" s="47">
        <v>0</v>
      </c>
      <c r="O255" s="319"/>
      <c r="P255" s="320"/>
      <c r="R255" s="441" t="s">
        <v>75</v>
      </c>
      <c r="S255" s="441" t="s">
        <v>246</v>
      </c>
      <c r="T255" s="319">
        <v>8</v>
      </c>
      <c r="U255" s="320"/>
      <c r="W255" s="441" t="s">
        <v>75</v>
      </c>
      <c r="X255" s="441" t="s">
        <v>246</v>
      </c>
      <c r="Y255" s="319">
        <v>8</v>
      </c>
      <c r="Z255" s="320"/>
      <c r="AA255" s="328">
        <f t="shared" ref="AA255:AA274" si="55">(E255+J255+O255+T255+Y255)</f>
        <v>32</v>
      </c>
      <c r="AB255" s="298">
        <f t="shared" ref="AB255:AB264" si="56">Z255+U255+P255+K255+F255</f>
        <v>0</v>
      </c>
      <c r="AC255" s="4"/>
      <c r="AD255" s="47"/>
      <c r="AE255" s="47"/>
      <c r="AF255" s="319"/>
      <c r="AG255" s="328">
        <f t="shared" ref="AG255:AG274" si="57">AF255</f>
        <v>0</v>
      </c>
      <c r="AI255" s="368"/>
      <c r="AJ255" s="367"/>
      <c r="AK255" s="494" t="s">
        <v>30</v>
      </c>
      <c r="AL255" s="471">
        <f>$AB$31</f>
        <v>0</v>
      </c>
      <c r="AM255" s="511">
        <v>57</v>
      </c>
      <c r="AN255" s="510">
        <f t="shared" si="54"/>
        <v>0</v>
      </c>
      <c r="AQ255" s="367"/>
      <c r="AR255" s="367"/>
      <c r="AS255" s="367"/>
      <c r="AT255" s="367"/>
      <c r="AU255" s="367"/>
      <c r="AV255" s="367"/>
      <c r="AW255" s="367"/>
    </row>
    <row r="256" spans="1:49" outlineLevel="1">
      <c r="A256" s="367"/>
      <c r="B256" s="318" t="s">
        <v>381</v>
      </c>
      <c r="C256" s="441" t="s">
        <v>75</v>
      </c>
      <c r="D256" s="47">
        <v>0.25</v>
      </c>
      <c r="E256" s="319">
        <v>8</v>
      </c>
      <c r="F256" s="320"/>
      <c r="G256" s="4"/>
      <c r="H256" s="441" t="s">
        <v>75</v>
      </c>
      <c r="I256" s="47">
        <v>0.25</v>
      </c>
      <c r="J256" s="319">
        <v>8</v>
      </c>
      <c r="K256" s="320"/>
      <c r="L256" s="4"/>
      <c r="M256" s="47">
        <v>0.375</v>
      </c>
      <c r="N256" s="47">
        <v>0.14583333333333334</v>
      </c>
      <c r="O256" s="319">
        <v>6.5</v>
      </c>
      <c r="P256" s="320"/>
      <c r="R256" s="441" t="s">
        <v>75</v>
      </c>
      <c r="S256" s="441" t="s">
        <v>246</v>
      </c>
      <c r="T256" s="319">
        <v>8</v>
      </c>
      <c r="U256" s="320"/>
      <c r="W256" s="441" t="s">
        <v>75</v>
      </c>
      <c r="X256" s="441" t="s">
        <v>246</v>
      </c>
      <c r="Y256" s="319">
        <v>8</v>
      </c>
      <c r="Z256" s="320"/>
      <c r="AA256" s="328">
        <f t="shared" si="55"/>
        <v>38.5</v>
      </c>
      <c r="AB256" s="298">
        <f t="shared" si="56"/>
        <v>0</v>
      </c>
      <c r="AC256" s="4"/>
      <c r="AD256" s="47"/>
      <c r="AE256" s="47"/>
      <c r="AF256" s="319"/>
      <c r="AG256" s="328">
        <f t="shared" si="57"/>
        <v>0</v>
      </c>
      <c r="AH256" s="175"/>
      <c r="AI256" s="402"/>
      <c r="AJ256" s="367"/>
      <c r="AK256" s="494" t="s">
        <v>32</v>
      </c>
      <c r="AL256" s="471">
        <f>AB293</f>
        <v>1</v>
      </c>
      <c r="AM256" s="510">
        <v>57</v>
      </c>
      <c r="AN256" s="510">
        <f t="shared" si="54"/>
        <v>57</v>
      </c>
      <c r="AQ256" s="367"/>
      <c r="AR256" s="367"/>
      <c r="AS256" s="367"/>
      <c r="AT256" s="367"/>
      <c r="AU256" s="367"/>
      <c r="AV256" s="367"/>
      <c r="AW256" s="367"/>
    </row>
    <row r="257" spans="1:49" outlineLevel="1">
      <c r="A257" s="367"/>
      <c r="B257" s="457" t="s">
        <v>382</v>
      </c>
      <c r="C257" s="47">
        <v>0</v>
      </c>
      <c r="D257" s="47">
        <v>0</v>
      </c>
      <c r="E257" s="319">
        <v>0</v>
      </c>
      <c r="F257" s="320"/>
      <c r="G257" s="4"/>
      <c r="H257" s="47">
        <v>0</v>
      </c>
      <c r="I257" s="47">
        <v>0</v>
      </c>
      <c r="J257" s="319">
        <v>0</v>
      </c>
      <c r="K257" s="320"/>
      <c r="L257" s="4"/>
      <c r="M257" s="47">
        <v>0</v>
      </c>
      <c r="N257" s="47">
        <v>0</v>
      </c>
      <c r="O257" s="319">
        <v>0</v>
      </c>
      <c r="P257" s="320"/>
      <c r="R257" s="441" t="s">
        <v>367</v>
      </c>
      <c r="S257" s="441" t="s">
        <v>246</v>
      </c>
      <c r="T257" s="319">
        <v>8</v>
      </c>
      <c r="U257" s="320"/>
      <c r="W257" s="441" t="s">
        <v>75</v>
      </c>
      <c r="X257" s="441" t="s">
        <v>246</v>
      </c>
      <c r="Y257" s="319">
        <v>8</v>
      </c>
      <c r="Z257" s="320"/>
      <c r="AA257" s="328">
        <f>(E257+J257+O257+T257+Y257)</f>
        <v>16</v>
      </c>
      <c r="AB257" s="298">
        <f t="shared" si="56"/>
        <v>0</v>
      </c>
      <c r="AC257" s="399"/>
      <c r="AD257" s="47"/>
      <c r="AE257" s="47"/>
      <c r="AF257" s="319"/>
      <c r="AG257" s="29">
        <f t="shared" si="57"/>
        <v>0</v>
      </c>
      <c r="AH257" s="175"/>
      <c r="AJ257" s="401"/>
      <c r="AK257" s="494" t="s">
        <v>213</v>
      </c>
      <c r="AL257" s="471">
        <f>AA295</f>
        <v>39.5</v>
      </c>
      <c r="AM257" s="510">
        <v>50</v>
      </c>
      <c r="AN257" s="510">
        <f t="shared" si="54"/>
        <v>1975</v>
      </c>
      <c r="AO257" s="405"/>
      <c r="AP257" s="405"/>
      <c r="AQ257" s="401"/>
      <c r="AR257" s="401"/>
      <c r="AS257" s="401"/>
      <c r="AT257" s="401"/>
      <c r="AU257" s="401"/>
      <c r="AV257" s="401"/>
      <c r="AW257" s="401"/>
    </row>
    <row r="258" spans="1:49" outlineLevel="1">
      <c r="A258" s="367"/>
      <c r="B258" s="318" t="s">
        <v>383</v>
      </c>
      <c r="C258" s="47">
        <v>0</v>
      </c>
      <c r="D258" s="47">
        <v>0</v>
      </c>
      <c r="E258" s="319">
        <v>0</v>
      </c>
      <c r="F258" s="320"/>
      <c r="G258" s="4"/>
      <c r="H258" s="47">
        <v>0</v>
      </c>
      <c r="I258" s="47">
        <v>0</v>
      </c>
      <c r="J258" s="319">
        <v>0</v>
      </c>
      <c r="K258" s="320"/>
      <c r="L258" s="4"/>
      <c r="M258" s="47">
        <v>0</v>
      </c>
      <c r="N258" s="47">
        <v>0</v>
      </c>
      <c r="O258" s="319">
        <v>0</v>
      </c>
      <c r="P258" s="320"/>
      <c r="R258" s="47">
        <v>0.375</v>
      </c>
      <c r="S258" s="441" t="s">
        <v>246</v>
      </c>
      <c r="T258" s="319">
        <v>8</v>
      </c>
      <c r="U258" s="320"/>
      <c r="W258" s="47">
        <v>0.375</v>
      </c>
      <c r="X258" s="441" t="s">
        <v>246</v>
      </c>
      <c r="Y258" s="319">
        <v>8</v>
      </c>
      <c r="Z258" s="320"/>
      <c r="AA258" s="328">
        <f t="shared" si="55"/>
        <v>16</v>
      </c>
      <c r="AB258" s="298">
        <f t="shared" si="56"/>
        <v>0</v>
      </c>
      <c r="AC258" s="399"/>
      <c r="AD258" s="47"/>
      <c r="AE258" s="47"/>
      <c r="AF258" s="319"/>
      <c r="AG258" s="29">
        <f t="shared" si="57"/>
        <v>0</v>
      </c>
      <c r="AH258" s="175"/>
      <c r="AJ258" s="401"/>
      <c r="AK258" s="494" t="s">
        <v>36</v>
      </c>
      <c r="AL258" s="471">
        <f>AB295</f>
        <v>5</v>
      </c>
      <c r="AM258" s="510">
        <v>75</v>
      </c>
      <c r="AN258" s="510">
        <f t="shared" si="54"/>
        <v>375</v>
      </c>
      <c r="AO258" s="405"/>
      <c r="AP258" s="405"/>
      <c r="AQ258" s="401"/>
      <c r="AR258" s="401"/>
      <c r="AS258" s="401"/>
      <c r="AT258" s="401"/>
      <c r="AU258" s="401"/>
      <c r="AV258" s="401"/>
      <c r="AW258" s="401"/>
    </row>
    <row r="259" spans="1:49" outlineLevel="1">
      <c r="A259" s="367"/>
      <c r="B259" s="318" t="s">
        <v>384</v>
      </c>
      <c r="C259" s="47">
        <v>0.375</v>
      </c>
      <c r="D259" s="47">
        <v>0.27777777777777779</v>
      </c>
      <c r="E259" s="319">
        <v>8</v>
      </c>
      <c r="F259" s="320"/>
      <c r="G259" s="4"/>
      <c r="H259" s="47">
        <v>0.375</v>
      </c>
      <c r="I259" s="47">
        <v>0.25</v>
      </c>
      <c r="J259" s="319">
        <v>8</v>
      </c>
      <c r="K259" s="320"/>
      <c r="L259" s="4"/>
      <c r="M259" s="47">
        <v>0.375</v>
      </c>
      <c r="N259" s="47">
        <v>0.25</v>
      </c>
      <c r="O259" s="319">
        <v>8</v>
      </c>
      <c r="P259" s="320"/>
      <c r="R259" s="47">
        <v>0.375</v>
      </c>
      <c r="S259" s="441" t="s">
        <v>246</v>
      </c>
      <c r="T259" s="319">
        <v>8</v>
      </c>
      <c r="U259" s="320"/>
      <c r="W259" s="47">
        <v>0.375</v>
      </c>
      <c r="X259" s="441" t="s">
        <v>246</v>
      </c>
      <c r="Y259" s="319">
        <v>8</v>
      </c>
      <c r="Z259" s="320"/>
      <c r="AA259" s="328">
        <f t="shared" si="55"/>
        <v>40</v>
      </c>
      <c r="AB259" s="298">
        <f t="shared" si="56"/>
        <v>0</v>
      </c>
      <c r="AC259" s="175"/>
      <c r="AD259" s="47"/>
      <c r="AE259" s="47"/>
      <c r="AF259" s="319"/>
      <c r="AG259" s="344">
        <f t="shared" si="57"/>
        <v>0</v>
      </c>
      <c r="AH259" s="175"/>
      <c r="AI259" s="368"/>
      <c r="AK259" s="494" t="s">
        <v>38</v>
      </c>
      <c r="AL259" s="471">
        <f>AG295</f>
        <v>0</v>
      </c>
      <c r="AM259" s="510">
        <v>75</v>
      </c>
      <c r="AN259" s="510">
        <f t="shared" si="54"/>
        <v>0</v>
      </c>
    </row>
    <row r="260" spans="1:49" ht="14.25" outlineLevel="1" thickBot="1">
      <c r="A260" s="401"/>
      <c r="B260" s="318" t="s">
        <v>385</v>
      </c>
      <c r="C260" s="47">
        <v>0</v>
      </c>
      <c r="D260" s="47">
        <v>0</v>
      </c>
      <c r="E260" s="319">
        <v>0</v>
      </c>
      <c r="F260" s="320"/>
      <c r="G260" s="4"/>
      <c r="H260" s="47">
        <v>0</v>
      </c>
      <c r="I260" s="47">
        <v>0</v>
      </c>
      <c r="J260" s="319">
        <v>0</v>
      </c>
      <c r="K260" s="320"/>
      <c r="L260" s="4"/>
      <c r="M260" s="47">
        <v>0</v>
      </c>
      <c r="N260" s="47">
        <v>0</v>
      </c>
      <c r="O260" s="319">
        <v>0</v>
      </c>
      <c r="P260" s="320"/>
      <c r="R260" s="47">
        <v>0.375</v>
      </c>
      <c r="S260" s="441" t="s">
        <v>246</v>
      </c>
      <c r="T260" s="319">
        <v>8</v>
      </c>
      <c r="U260" s="320"/>
      <c r="W260" s="47">
        <v>0.375</v>
      </c>
      <c r="X260" s="441" t="s">
        <v>246</v>
      </c>
      <c r="Y260" s="319">
        <v>8</v>
      </c>
      <c r="Z260" s="320"/>
      <c r="AA260" s="328">
        <f t="shared" si="55"/>
        <v>16</v>
      </c>
      <c r="AB260" s="298">
        <f t="shared" si="56"/>
        <v>0</v>
      </c>
      <c r="AC260" s="4"/>
      <c r="AD260" s="47"/>
      <c r="AE260" s="47"/>
      <c r="AF260" s="319"/>
      <c r="AG260" s="29">
        <f t="shared" si="57"/>
        <v>0</v>
      </c>
      <c r="AJ260" s="367"/>
      <c r="AK260" s="494" t="s">
        <v>41</v>
      </c>
      <c r="AL260" s="471">
        <f>C296</f>
        <v>176</v>
      </c>
      <c r="AM260" s="512">
        <v>45</v>
      </c>
      <c r="AN260" s="512">
        <f t="shared" si="54"/>
        <v>7920</v>
      </c>
      <c r="AQ260" s="367"/>
      <c r="AR260" s="367"/>
      <c r="AS260" s="367"/>
      <c r="AT260" s="367"/>
      <c r="AU260" s="367"/>
      <c r="AV260" s="367"/>
      <c r="AW260" s="367"/>
    </row>
    <row r="261" spans="1:49" ht="14.25" outlineLevel="1" thickTop="1">
      <c r="A261" s="367"/>
      <c r="B261" s="318" t="s">
        <v>386</v>
      </c>
      <c r="C261" s="47">
        <v>0</v>
      </c>
      <c r="D261" s="47">
        <v>0</v>
      </c>
      <c r="E261" s="319">
        <v>0</v>
      </c>
      <c r="F261" s="320"/>
      <c r="G261" s="4"/>
      <c r="H261" s="47">
        <v>0.375</v>
      </c>
      <c r="I261" s="47">
        <v>0.25</v>
      </c>
      <c r="J261" s="319">
        <v>8</v>
      </c>
      <c r="K261" s="320"/>
      <c r="L261" s="4"/>
      <c r="M261" s="47">
        <v>0.375</v>
      </c>
      <c r="N261" s="47">
        <v>0.14583333333333334</v>
      </c>
      <c r="O261" s="319">
        <v>6.5</v>
      </c>
      <c r="P261" s="320"/>
      <c r="R261" s="47">
        <v>0.45833333333333331</v>
      </c>
      <c r="S261" s="441" t="s">
        <v>387</v>
      </c>
      <c r="T261" s="319">
        <v>3</v>
      </c>
      <c r="U261" s="320"/>
      <c r="W261" s="47">
        <v>0.375</v>
      </c>
      <c r="X261" s="441" t="s">
        <v>349</v>
      </c>
      <c r="Y261" s="319">
        <v>8</v>
      </c>
      <c r="Z261" s="320"/>
      <c r="AA261" s="328">
        <f t="shared" si="55"/>
        <v>25.5</v>
      </c>
      <c r="AB261" s="298">
        <f t="shared" si="56"/>
        <v>0</v>
      </c>
      <c r="AC261" s="4"/>
      <c r="AD261" s="47"/>
      <c r="AE261" s="47"/>
      <c r="AF261" s="319"/>
      <c r="AG261" s="29">
        <f t="shared" si="57"/>
        <v>0</v>
      </c>
      <c r="AN261" s="510">
        <f>SUM(AN254:AN260)</f>
        <v>47766.5</v>
      </c>
    </row>
    <row r="262" spans="1:49" outlineLevel="1">
      <c r="A262" s="180"/>
      <c r="B262" s="318" t="s">
        <v>388</v>
      </c>
      <c r="C262" s="47">
        <v>0</v>
      </c>
      <c r="D262" s="47">
        <v>0</v>
      </c>
      <c r="E262" s="319">
        <v>0</v>
      </c>
      <c r="F262" s="320"/>
      <c r="G262" s="4"/>
      <c r="H262" s="47">
        <v>0.38680555555555557</v>
      </c>
      <c r="I262" s="47">
        <v>0.25</v>
      </c>
      <c r="J262" s="319">
        <v>8</v>
      </c>
      <c r="K262" s="320"/>
      <c r="L262" s="4"/>
      <c r="M262" s="47">
        <v>0.375</v>
      </c>
      <c r="N262" s="47">
        <v>0.14583333333333334</v>
      </c>
      <c r="O262" s="319">
        <v>6.5</v>
      </c>
      <c r="P262" s="320"/>
      <c r="R262" s="47">
        <v>0.375</v>
      </c>
      <c r="S262" s="441" t="s">
        <v>246</v>
      </c>
      <c r="T262" s="319">
        <v>8</v>
      </c>
      <c r="U262" s="320"/>
      <c r="W262" s="47">
        <v>0.375</v>
      </c>
      <c r="X262" s="441" t="s">
        <v>246</v>
      </c>
      <c r="Y262" s="319">
        <v>8</v>
      </c>
      <c r="Z262" s="320"/>
      <c r="AA262" s="328">
        <f t="shared" si="55"/>
        <v>30.5</v>
      </c>
      <c r="AB262" s="298">
        <f t="shared" si="56"/>
        <v>0</v>
      </c>
      <c r="AC262" s="4"/>
      <c r="AD262" s="47"/>
      <c r="AE262" s="47"/>
      <c r="AF262" s="319"/>
      <c r="AG262" s="29">
        <f t="shared" si="57"/>
        <v>0</v>
      </c>
    </row>
    <row r="263" spans="1:49" outlineLevel="1">
      <c r="A263" s="180"/>
      <c r="B263" s="457" t="s">
        <v>389</v>
      </c>
      <c r="C263" s="47">
        <v>0.375</v>
      </c>
      <c r="D263" s="47">
        <v>0.25</v>
      </c>
      <c r="E263" s="319">
        <v>8</v>
      </c>
      <c r="F263" s="320"/>
      <c r="G263" s="4"/>
      <c r="H263" s="47">
        <v>0.375</v>
      </c>
      <c r="I263" s="47">
        <v>0.25</v>
      </c>
      <c r="J263" s="319">
        <v>8</v>
      </c>
      <c r="K263" s="320"/>
      <c r="L263" s="4"/>
      <c r="M263" s="47">
        <v>0.38541666666666669</v>
      </c>
      <c r="N263" s="47">
        <v>0.14583333333333334</v>
      </c>
      <c r="O263" s="319">
        <v>6.25</v>
      </c>
      <c r="P263" s="320"/>
      <c r="R263" s="47">
        <v>0.375</v>
      </c>
      <c r="S263" s="441" t="s">
        <v>246</v>
      </c>
      <c r="T263" s="319">
        <v>8</v>
      </c>
      <c r="U263" s="320"/>
      <c r="W263" s="47">
        <v>0.375</v>
      </c>
      <c r="X263" s="441" t="s">
        <v>246</v>
      </c>
      <c r="Y263" s="319">
        <v>8</v>
      </c>
      <c r="Z263" s="320"/>
      <c r="AA263" s="328">
        <f t="shared" si="55"/>
        <v>38.25</v>
      </c>
      <c r="AB263" s="298">
        <f t="shared" si="56"/>
        <v>0</v>
      </c>
      <c r="AC263" s="4"/>
      <c r="AD263" s="47"/>
      <c r="AE263" s="47"/>
      <c r="AF263" s="319"/>
      <c r="AG263" s="29">
        <f t="shared" si="57"/>
        <v>0</v>
      </c>
    </row>
    <row r="264" spans="1:49" outlineLevel="1">
      <c r="A264" s="180"/>
      <c r="B264" s="318" t="s">
        <v>390</v>
      </c>
      <c r="C264" s="47">
        <v>0.38055555555555554</v>
      </c>
      <c r="D264" s="47">
        <v>0.27916666666666667</v>
      </c>
      <c r="E264" s="319">
        <v>8</v>
      </c>
      <c r="F264" s="320"/>
      <c r="G264" s="4"/>
      <c r="H264" s="47">
        <v>0.37569444444444444</v>
      </c>
      <c r="I264" s="47">
        <v>0.25</v>
      </c>
      <c r="J264" s="319">
        <v>8</v>
      </c>
      <c r="K264" s="320"/>
      <c r="L264" s="4"/>
      <c r="M264" s="47">
        <v>0.3972222222222222</v>
      </c>
      <c r="N264" s="47">
        <v>0.1875</v>
      </c>
      <c r="O264" s="319">
        <v>7</v>
      </c>
      <c r="P264" s="320"/>
      <c r="R264" s="47">
        <v>0.375</v>
      </c>
      <c r="S264" s="441" t="s">
        <v>246</v>
      </c>
      <c r="T264" s="319">
        <v>8</v>
      </c>
      <c r="U264" s="320"/>
      <c r="W264" s="47">
        <v>0.375</v>
      </c>
      <c r="X264" s="441" t="s">
        <v>222</v>
      </c>
      <c r="Y264" s="319">
        <v>7</v>
      </c>
      <c r="Z264" s="320"/>
      <c r="AA264" s="328">
        <f t="shared" si="55"/>
        <v>38</v>
      </c>
      <c r="AB264" s="298">
        <f t="shared" si="56"/>
        <v>0</v>
      </c>
      <c r="AC264" s="4"/>
      <c r="AD264" s="47"/>
      <c r="AE264" s="47"/>
      <c r="AF264" s="319"/>
      <c r="AG264" s="29">
        <f t="shared" si="57"/>
        <v>0</v>
      </c>
    </row>
    <row r="265" spans="1:49" outlineLevel="1">
      <c r="A265" s="180"/>
      <c r="B265" s="318" t="s">
        <v>391</v>
      </c>
      <c r="C265" s="47">
        <v>0.375</v>
      </c>
      <c r="D265" s="47">
        <v>0.25</v>
      </c>
      <c r="E265" s="319">
        <v>8</v>
      </c>
      <c r="F265" s="320"/>
      <c r="G265" s="4"/>
      <c r="H265" s="47">
        <v>0.375</v>
      </c>
      <c r="I265" s="47">
        <v>0.25</v>
      </c>
      <c r="J265" s="319">
        <v>8</v>
      </c>
      <c r="K265" s="320"/>
      <c r="L265" s="4"/>
      <c r="M265" s="47">
        <v>0.375</v>
      </c>
      <c r="N265" s="47">
        <v>0.15625</v>
      </c>
      <c r="O265" s="319">
        <v>6.75</v>
      </c>
      <c r="P265" s="320"/>
      <c r="R265" s="47">
        <v>0.375</v>
      </c>
      <c r="S265" s="441" t="s">
        <v>246</v>
      </c>
      <c r="T265" s="319">
        <v>8</v>
      </c>
      <c r="U265" s="320"/>
      <c r="W265" s="47">
        <v>0.375</v>
      </c>
      <c r="X265" s="441" t="s">
        <v>246</v>
      </c>
      <c r="Y265" s="319">
        <v>8</v>
      </c>
      <c r="Z265" s="320"/>
      <c r="AA265" s="328">
        <f t="shared" si="55"/>
        <v>38.75</v>
      </c>
      <c r="AB265" s="298">
        <f>Z265+U265+P265+K265+F263</f>
        <v>0</v>
      </c>
      <c r="AC265" s="4"/>
      <c r="AD265" s="47"/>
      <c r="AE265" s="47"/>
      <c r="AF265" s="319"/>
      <c r="AG265" s="29">
        <f t="shared" si="57"/>
        <v>0</v>
      </c>
    </row>
    <row r="266" spans="1:49" outlineLevel="1">
      <c r="A266" s="180"/>
      <c r="B266" s="457" t="s">
        <v>392</v>
      </c>
      <c r="C266" s="47">
        <v>0</v>
      </c>
      <c r="D266" s="47">
        <v>0</v>
      </c>
      <c r="E266" s="319">
        <v>0</v>
      </c>
      <c r="F266" s="320"/>
      <c r="G266" s="4"/>
      <c r="H266" s="441" t="s">
        <v>154</v>
      </c>
      <c r="I266" s="47">
        <v>0</v>
      </c>
      <c r="J266" s="319">
        <v>0</v>
      </c>
      <c r="K266" s="320"/>
      <c r="L266" s="4"/>
      <c r="M266" s="441" t="s">
        <v>154</v>
      </c>
      <c r="N266" s="47">
        <v>0</v>
      </c>
      <c r="O266" s="319">
        <v>0</v>
      </c>
      <c r="P266" s="320"/>
      <c r="R266" s="441" t="s">
        <v>154</v>
      </c>
      <c r="S266" s="441" t="s">
        <v>154</v>
      </c>
      <c r="T266" s="319">
        <v>0</v>
      </c>
      <c r="U266" s="320"/>
      <c r="W266" s="47">
        <v>0</v>
      </c>
      <c r="X266" s="441" t="s">
        <v>154</v>
      </c>
      <c r="Y266" s="319">
        <v>0</v>
      </c>
      <c r="Z266" s="320"/>
      <c r="AA266" s="328">
        <f t="shared" si="55"/>
        <v>0</v>
      </c>
      <c r="AB266" s="298">
        <f t="shared" ref="AB266:AB274" si="58">Z266+U266+P266+K266+F264</f>
        <v>0</v>
      </c>
      <c r="AC266" s="4"/>
      <c r="AD266" s="47"/>
      <c r="AE266" s="47"/>
      <c r="AF266" s="319"/>
      <c r="AG266" s="29">
        <f t="shared" si="57"/>
        <v>0</v>
      </c>
    </row>
    <row r="267" spans="1:49" outlineLevel="1">
      <c r="A267" s="180"/>
      <c r="B267" s="457" t="s">
        <v>393</v>
      </c>
      <c r="C267" s="47">
        <v>0.41666666666666669</v>
      </c>
      <c r="D267" s="47">
        <v>0.25</v>
      </c>
      <c r="E267" s="319">
        <v>8</v>
      </c>
      <c r="F267" s="320"/>
      <c r="G267" s="4"/>
      <c r="H267" s="441" t="s">
        <v>75</v>
      </c>
      <c r="I267" s="47">
        <v>0.25</v>
      </c>
      <c r="J267" s="319">
        <v>8</v>
      </c>
      <c r="K267" s="320"/>
      <c r="L267" s="4"/>
      <c r="M267" s="441" t="s">
        <v>75</v>
      </c>
      <c r="N267" s="47">
        <v>0.14583333333333334</v>
      </c>
      <c r="O267" s="319">
        <v>6.5</v>
      </c>
      <c r="P267" s="320"/>
      <c r="R267" s="47">
        <v>0.375</v>
      </c>
      <c r="S267" s="441" t="s">
        <v>246</v>
      </c>
      <c r="T267" s="319">
        <v>8</v>
      </c>
      <c r="U267" s="320"/>
      <c r="W267" s="47">
        <v>0.375</v>
      </c>
      <c r="X267" s="441" t="s">
        <v>246</v>
      </c>
      <c r="Y267" s="319">
        <v>8</v>
      </c>
      <c r="Z267" s="320"/>
      <c r="AA267" s="328">
        <f t="shared" si="55"/>
        <v>38.5</v>
      </c>
      <c r="AB267" s="298">
        <f t="shared" si="58"/>
        <v>0</v>
      </c>
      <c r="AC267" s="4"/>
      <c r="AD267" s="47"/>
      <c r="AE267" s="47"/>
      <c r="AF267" s="319"/>
      <c r="AG267" s="29">
        <f t="shared" si="57"/>
        <v>0</v>
      </c>
    </row>
    <row r="268" spans="1:49" outlineLevel="1">
      <c r="A268" s="180"/>
      <c r="B268" s="318" t="s">
        <v>394</v>
      </c>
      <c r="C268" s="47">
        <v>0.375</v>
      </c>
      <c r="D268" s="47">
        <v>0.25</v>
      </c>
      <c r="E268" s="319">
        <v>8</v>
      </c>
      <c r="F268" s="320"/>
      <c r="G268" s="4"/>
      <c r="H268" s="441" t="s">
        <v>75</v>
      </c>
      <c r="I268" s="47">
        <v>0.25</v>
      </c>
      <c r="J268" s="319">
        <v>8</v>
      </c>
      <c r="K268" s="320">
        <v>1</v>
      </c>
      <c r="L268" s="4"/>
      <c r="M268" s="441" t="s">
        <v>75</v>
      </c>
      <c r="N268" s="47">
        <v>0.14583333333333334</v>
      </c>
      <c r="O268" s="319">
        <v>6.5</v>
      </c>
      <c r="P268" s="320"/>
      <c r="R268" s="47">
        <v>0.375</v>
      </c>
      <c r="S268" s="441" t="s">
        <v>246</v>
      </c>
      <c r="T268" s="319">
        <v>8</v>
      </c>
      <c r="U268" s="320"/>
      <c r="W268" s="47">
        <v>0.375</v>
      </c>
      <c r="X268" s="441" t="s">
        <v>246</v>
      </c>
      <c r="Y268" s="319">
        <v>8</v>
      </c>
      <c r="Z268" s="320"/>
      <c r="AA268" s="328">
        <f t="shared" si="55"/>
        <v>38.5</v>
      </c>
      <c r="AB268" s="298">
        <f t="shared" si="58"/>
        <v>1</v>
      </c>
      <c r="AC268" s="4"/>
      <c r="AD268" s="47"/>
      <c r="AE268" s="47"/>
      <c r="AF268" s="319"/>
      <c r="AG268" s="29">
        <f t="shared" si="57"/>
        <v>0</v>
      </c>
    </row>
    <row r="269" spans="1:49" outlineLevel="1">
      <c r="A269" s="180"/>
      <c r="B269" s="318" t="s">
        <v>395</v>
      </c>
      <c r="C269" s="47">
        <v>0.375</v>
      </c>
      <c r="D269" s="47">
        <v>0.28125</v>
      </c>
      <c r="E269" s="319">
        <v>8</v>
      </c>
      <c r="F269" s="320"/>
      <c r="G269" s="4"/>
      <c r="H269" s="47">
        <v>0.375</v>
      </c>
      <c r="I269" s="47">
        <v>0.25</v>
      </c>
      <c r="J269" s="319">
        <v>8</v>
      </c>
      <c r="K269" s="320"/>
      <c r="L269" s="4"/>
      <c r="M269" s="441" t="s">
        <v>396</v>
      </c>
      <c r="N269" s="47">
        <v>0.14583333333333334</v>
      </c>
      <c r="O269" s="319">
        <v>6.25</v>
      </c>
      <c r="P269" s="320"/>
      <c r="R269" s="47">
        <v>0.39583333333333331</v>
      </c>
      <c r="S269" s="441" t="s">
        <v>246</v>
      </c>
      <c r="T269" s="319">
        <v>8</v>
      </c>
      <c r="U269" s="320"/>
      <c r="W269" s="47">
        <v>0.375</v>
      </c>
      <c r="X269" s="441" t="s">
        <v>246</v>
      </c>
      <c r="Y269" s="319">
        <v>8</v>
      </c>
      <c r="Z269" s="320"/>
      <c r="AA269" s="328">
        <f t="shared" si="55"/>
        <v>38.25</v>
      </c>
      <c r="AB269" s="298">
        <f t="shared" si="58"/>
        <v>0</v>
      </c>
      <c r="AC269" s="4"/>
      <c r="AD269" s="47"/>
      <c r="AE269" s="47"/>
      <c r="AF269" s="319"/>
      <c r="AG269" s="29">
        <f t="shared" si="57"/>
        <v>0</v>
      </c>
    </row>
    <row r="270" spans="1:49" outlineLevel="1">
      <c r="A270" s="180"/>
      <c r="B270" s="457" t="s">
        <v>397</v>
      </c>
      <c r="C270" s="47">
        <v>0</v>
      </c>
      <c r="D270" s="47">
        <v>0</v>
      </c>
      <c r="E270" s="319">
        <v>0</v>
      </c>
      <c r="F270" s="320"/>
      <c r="G270" s="4"/>
      <c r="H270" s="47">
        <v>0.375</v>
      </c>
      <c r="I270" s="47">
        <v>0.20833333333333334</v>
      </c>
      <c r="J270" s="319">
        <v>8</v>
      </c>
      <c r="K270" s="320"/>
      <c r="L270" s="4"/>
      <c r="M270" s="47">
        <v>0</v>
      </c>
      <c r="N270" s="47">
        <v>0</v>
      </c>
      <c r="O270" s="319">
        <v>0</v>
      </c>
      <c r="P270" s="320"/>
      <c r="R270" s="47">
        <v>0.375</v>
      </c>
      <c r="S270" s="441" t="s">
        <v>246</v>
      </c>
      <c r="T270" s="319">
        <v>8</v>
      </c>
      <c r="U270" s="320"/>
      <c r="W270" s="47">
        <v>0.375</v>
      </c>
      <c r="X270" s="441" t="s">
        <v>246</v>
      </c>
      <c r="Y270" s="319">
        <v>8</v>
      </c>
      <c r="Z270" s="320"/>
      <c r="AA270" s="328">
        <f t="shared" si="55"/>
        <v>24</v>
      </c>
      <c r="AB270" s="298">
        <f t="shared" si="58"/>
        <v>0</v>
      </c>
      <c r="AC270" s="4"/>
      <c r="AD270" s="47"/>
      <c r="AE270" s="47"/>
      <c r="AF270" s="319"/>
      <c r="AG270" s="29">
        <f t="shared" si="57"/>
        <v>0</v>
      </c>
    </row>
    <row r="271" spans="1:49" outlineLevel="1">
      <c r="A271" s="180"/>
      <c r="B271" s="318" t="s">
        <v>398</v>
      </c>
      <c r="C271" s="47">
        <v>0.37708333333333333</v>
      </c>
      <c r="D271" s="47">
        <v>0.25</v>
      </c>
      <c r="E271" s="319">
        <v>8</v>
      </c>
      <c r="F271" s="320"/>
      <c r="G271" s="4"/>
      <c r="H271" s="47">
        <v>0.375</v>
      </c>
      <c r="I271" s="47">
        <v>0.25</v>
      </c>
      <c r="J271" s="319">
        <v>8</v>
      </c>
      <c r="K271" s="320"/>
      <c r="L271" s="4"/>
      <c r="M271" s="441" t="s">
        <v>75</v>
      </c>
      <c r="N271" s="47">
        <v>0.14583333333333334</v>
      </c>
      <c r="O271" s="319">
        <v>6.5</v>
      </c>
      <c r="P271" s="320"/>
      <c r="R271" s="47">
        <v>0.375</v>
      </c>
      <c r="S271" s="441" t="s">
        <v>246</v>
      </c>
      <c r="T271" s="319">
        <v>8</v>
      </c>
      <c r="U271" s="320"/>
      <c r="W271" s="47">
        <v>0.38541666666666669</v>
      </c>
      <c r="X271" s="441" t="s">
        <v>246</v>
      </c>
      <c r="Y271" s="319">
        <v>8</v>
      </c>
      <c r="Z271" s="320"/>
      <c r="AA271" s="328">
        <f t="shared" si="55"/>
        <v>38.5</v>
      </c>
      <c r="AB271" s="298">
        <f t="shared" si="58"/>
        <v>0</v>
      </c>
      <c r="AC271" s="4"/>
      <c r="AD271" s="47"/>
      <c r="AE271" s="47"/>
      <c r="AF271" s="319"/>
      <c r="AG271" s="29">
        <f t="shared" si="57"/>
        <v>0</v>
      </c>
    </row>
    <row r="272" spans="1:49" outlineLevel="1">
      <c r="A272" s="180"/>
      <c r="B272" s="457" t="s">
        <v>399</v>
      </c>
      <c r="C272" s="47">
        <v>0.375</v>
      </c>
      <c r="D272" s="47">
        <v>0.25</v>
      </c>
      <c r="E272" s="319">
        <v>8</v>
      </c>
      <c r="F272" s="320"/>
      <c r="G272" s="4"/>
      <c r="H272" s="47">
        <v>0.375</v>
      </c>
      <c r="I272" s="47">
        <v>0.25</v>
      </c>
      <c r="J272" s="319">
        <v>8</v>
      </c>
      <c r="K272" s="320"/>
      <c r="L272" s="4"/>
      <c r="M272" s="441" t="s">
        <v>75</v>
      </c>
      <c r="N272" s="441" t="s">
        <v>400</v>
      </c>
      <c r="O272" s="319">
        <v>5.5</v>
      </c>
      <c r="P272" s="320"/>
      <c r="R272" s="47">
        <v>0.375</v>
      </c>
      <c r="S272" s="441" t="s">
        <v>246</v>
      </c>
      <c r="T272" s="319">
        <v>8</v>
      </c>
      <c r="U272" s="320"/>
      <c r="W272" s="47">
        <v>0.375</v>
      </c>
      <c r="X272" s="441" t="s">
        <v>246</v>
      </c>
      <c r="Y272" s="319">
        <v>8</v>
      </c>
      <c r="Z272" s="320"/>
      <c r="AA272" s="328">
        <f t="shared" si="55"/>
        <v>37.5</v>
      </c>
      <c r="AB272" s="298">
        <f t="shared" si="58"/>
        <v>0</v>
      </c>
      <c r="AC272" s="4"/>
      <c r="AD272" s="47"/>
      <c r="AE272" s="47"/>
      <c r="AF272" s="319"/>
      <c r="AG272" s="29">
        <f t="shared" si="57"/>
        <v>0</v>
      </c>
    </row>
    <row r="273" spans="1:37" outlineLevel="1">
      <c r="A273" s="180"/>
      <c r="B273" s="457" t="s">
        <v>401</v>
      </c>
      <c r="C273" s="47">
        <v>0</v>
      </c>
      <c r="D273" s="47">
        <v>0</v>
      </c>
      <c r="E273" s="319">
        <v>0</v>
      </c>
      <c r="F273" s="320"/>
      <c r="G273" s="4"/>
      <c r="H273" s="47">
        <v>0.375</v>
      </c>
      <c r="I273" s="47">
        <v>0.20833333333333334</v>
      </c>
      <c r="J273" s="319">
        <v>8</v>
      </c>
      <c r="K273" s="320"/>
      <c r="L273" s="4"/>
      <c r="M273" s="47">
        <v>0</v>
      </c>
      <c r="N273" s="47">
        <v>0</v>
      </c>
      <c r="O273" s="319">
        <v>0</v>
      </c>
      <c r="P273" s="320"/>
      <c r="R273" s="47">
        <v>0.375</v>
      </c>
      <c r="S273" s="47">
        <v>0.25</v>
      </c>
      <c r="T273" s="319">
        <v>8</v>
      </c>
      <c r="U273" s="320"/>
      <c r="W273" s="47">
        <v>0.375</v>
      </c>
      <c r="X273" s="441" t="s">
        <v>246</v>
      </c>
      <c r="Y273" s="319">
        <v>8</v>
      </c>
      <c r="Z273" s="320"/>
      <c r="AA273" s="328">
        <f t="shared" si="55"/>
        <v>24</v>
      </c>
      <c r="AB273" s="298">
        <f t="shared" si="58"/>
        <v>0</v>
      </c>
      <c r="AC273" s="4"/>
      <c r="AD273" s="47"/>
      <c r="AE273" s="47"/>
      <c r="AF273" s="319"/>
      <c r="AG273" s="29">
        <f t="shared" si="57"/>
        <v>0</v>
      </c>
    </row>
    <row r="274" spans="1:37" outlineLevel="1">
      <c r="A274" s="180"/>
      <c r="B274" s="457" t="s">
        <v>402</v>
      </c>
      <c r="C274" s="47">
        <v>0.375</v>
      </c>
      <c r="D274" s="47">
        <v>0.22916666666666666</v>
      </c>
      <c r="E274" s="319">
        <v>8</v>
      </c>
      <c r="F274" s="320"/>
      <c r="G274" s="4"/>
      <c r="H274" s="47">
        <v>0.37569444444444444</v>
      </c>
      <c r="I274" s="47">
        <v>0.25069444444444444</v>
      </c>
      <c r="J274" s="319">
        <v>8</v>
      </c>
      <c r="K274" s="320"/>
      <c r="L274" s="4"/>
      <c r="M274" s="441" t="s">
        <v>154</v>
      </c>
      <c r="N274" s="47">
        <v>0</v>
      </c>
      <c r="O274" s="319">
        <v>0</v>
      </c>
      <c r="P274" s="320"/>
      <c r="R274" s="47">
        <v>0.375</v>
      </c>
      <c r="S274" s="47">
        <v>0.25</v>
      </c>
      <c r="T274" s="319">
        <v>8</v>
      </c>
      <c r="U274" s="320"/>
      <c r="W274" s="47">
        <v>0</v>
      </c>
      <c r="X274" s="47">
        <v>0</v>
      </c>
      <c r="Y274" s="319">
        <v>0</v>
      </c>
      <c r="Z274" s="320"/>
      <c r="AA274" s="328">
        <f t="shared" si="55"/>
        <v>24</v>
      </c>
      <c r="AB274" s="298">
        <f t="shared" si="58"/>
        <v>0</v>
      </c>
      <c r="AC274" s="4"/>
      <c r="AD274" s="47"/>
      <c r="AE274" s="47"/>
      <c r="AF274" s="319"/>
      <c r="AG274" s="29">
        <f t="shared" si="57"/>
        <v>0</v>
      </c>
    </row>
    <row r="275" spans="1:37" outlineLevel="1">
      <c r="A275" s="180"/>
      <c r="B275" s="318" t="s">
        <v>403</v>
      </c>
      <c r="C275" s="47">
        <v>0.375</v>
      </c>
      <c r="D275" s="47">
        <v>0.25</v>
      </c>
      <c r="E275" s="319">
        <v>8</v>
      </c>
      <c r="F275" s="320"/>
      <c r="G275" s="4"/>
      <c r="H275" s="47">
        <v>0.375</v>
      </c>
      <c r="I275" s="47">
        <v>0.25</v>
      </c>
      <c r="J275" s="319">
        <v>8</v>
      </c>
      <c r="K275" s="320"/>
      <c r="L275" s="4"/>
      <c r="M275" s="441" t="s">
        <v>75</v>
      </c>
      <c r="N275" s="47">
        <v>0.15625</v>
      </c>
      <c r="O275" s="319">
        <v>5</v>
      </c>
      <c r="P275" s="320"/>
      <c r="R275" s="47">
        <v>0.375</v>
      </c>
      <c r="S275" s="47">
        <v>0.25</v>
      </c>
      <c r="T275" s="319">
        <v>8</v>
      </c>
      <c r="U275" s="320"/>
      <c r="W275" s="47">
        <v>0.375</v>
      </c>
      <c r="X275" s="441" t="s">
        <v>246</v>
      </c>
      <c r="Y275" s="319">
        <v>8</v>
      </c>
      <c r="Z275" s="320"/>
      <c r="AA275" s="328">
        <f t="shared" ref="AA275:AA276" si="59">(E275+J275+O275+T275+Y275)</f>
        <v>37</v>
      </c>
      <c r="AB275" s="298">
        <f t="shared" ref="AB275:AB276" si="60">Z275+U275+P275+K275+F273</f>
        <v>0</v>
      </c>
      <c r="AC275" s="4"/>
      <c r="AD275" s="47"/>
      <c r="AE275" s="47"/>
      <c r="AF275" s="319"/>
      <c r="AG275" s="29">
        <f t="shared" ref="AG275:AG276" si="61">AF275</f>
        <v>0</v>
      </c>
    </row>
    <row r="276" spans="1:37" outlineLevel="1">
      <c r="A276" s="180"/>
      <c r="B276" s="457" t="s">
        <v>404</v>
      </c>
      <c r="C276" s="47">
        <v>0.36458333333333331</v>
      </c>
      <c r="D276" s="47">
        <v>0.25</v>
      </c>
      <c r="E276" s="319">
        <v>8</v>
      </c>
      <c r="F276" s="320"/>
      <c r="G276" s="4"/>
      <c r="H276" s="47">
        <v>0.38263888888888886</v>
      </c>
      <c r="I276" s="47">
        <v>0.25</v>
      </c>
      <c r="J276" s="319">
        <v>8</v>
      </c>
      <c r="K276" s="320"/>
      <c r="L276" s="4"/>
      <c r="M276" s="47">
        <v>0</v>
      </c>
      <c r="N276" s="47">
        <v>0</v>
      </c>
      <c r="O276" s="319">
        <v>0</v>
      </c>
      <c r="P276" s="320"/>
      <c r="R276" s="47">
        <v>0</v>
      </c>
      <c r="S276" s="47">
        <v>0</v>
      </c>
      <c r="T276" s="319">
        <v>0</v>
      </c>
      <c r="U276" s="320"/>
      <c r="W276" s="47">
        <v>0</v>
      </c>
      <c r="X276" s="47">
        <v>0</v>
      </c>
      <c r="Y276" s="319">
        <v>0</v>
      </c>
      <c r="Z276" s="320"/>
      <c r="AA276" s="328">
        <f t="shared" si="59"/>
        <v>16</v>
      </c>
      <c r="AB276" s="298">
        <f t="shared" si="60"/>
        <v>0</v>
      </c>
      <c r="AC276" s="4"/>
      <c r="AD276" s="47"/>
      <c r="AE276" s="47"/>
      <c r="AF276" s="319"/>
      <c r="AG276" s="29">
        <f t="shared" si="61"/>
        <v>0</v>
      </c>
    </row>
    <row r="277" spans="1:37" outlineLevel="1">
      <c r="A277" s="180"/>
      <c r="B277" s="457" t="s">
        <v>405</v>
      </c>
      <c r="C277" s="47">
        <v>0</v>
      </c>
      <c r="D277" s="47">
        <v>0</v>
      </c>
      <c r="E277" s="319">
        <v>0</v>
      </c>
      <c r="F277" s="320"/>
      <c r="G277" s="4"/>
      <c r="H277" s="47">
        <v>0.375</v>
      </c>
      <c r="I277" s="47">
        <v>0.25</v>
      </c>
      <c r="J277" s="319">
        <v>8</v>
      </c>
      <c r="K277" s="320"/>
      <c r="L277" s="4"/>
      <c r="M277" s="441" t="s">
        <v>75</v>
      </c>
      <c r="N277" s="47">
        <v>0.25</v>
      </c>
      <c r="O277" s="319">
        <v>8</v>
      </c>
      <c r="P277" s="320"/>
      <c r="R277" s="47">
        <v>0.375</v>
      </c>
      <c r="S277" s="47">
        <v>0.25</v>
      </c>
      <c r="T277" s="319">
        <v>8</v>
      </c>
      <c r="U277" s="320"/>
      <c r="W277" s="47">
        <v>0.375</v>
      </c>
      <c r="X277" s="47">
        <v>0.25</v>
      </c>
      <c r="Y277" s="319">
        <v>8</v>
      </c>
      <c r="Z277" s="320"/>
      <c r="AA277" s="328">
        <f>(E277+J277+O277+T277+Y277)</f>
        <v>32</v>
      </c>
      <c r="AB277" s="298">
        <f>Z277+U277+P277+K277+F275</f>
        <v>0</v>
      </c>
      <c r="AC277" s="4"/>
      <c r="AD277" s="47"/>
      <c r="AE277" s="47"/>
      <c r="AF277" s="319"/>
      <c r="AG277" s="29">
        <f>AF277</f>
        <v>0</v>
      </c>
    </row>
    <row r="278" spans="1:37" outlineLevel="1">
      <c r="A278" s="180"/>
      <c r="B278" s="457" t="s">
        <v>406</v>
      </c>
      <c r="C278" s="47">
        <v>0</v>
      </c>
      <c r="D278" s="47">
        <v>0</v>
      </c>
      <c r="E278" s="319">
        <v>0</v>
      </c>
      <c r="F278" s="320"/>
      <c r="G278" s="4"/>
      <c r="H278" s="47">
        <v>0.375</v>
      </c>
      <c r="I278" s="47">
        <v>0.25</v>
      </c>
      <c r="J278" s="319">
        <v>8</v>
      </c>
      <c r="K278" s="320"/>
      <c r="L278" s="4"/>
      <c r="M278" s="441" t="s">
        <v>75</v>
      </c>
      <c r="N278" s="47">
        <v>0.17222222222222222</v>
      </c>
      <c r="O278" s="319">
        <v>6</v>
      </c>
      <c r="P278" s="320"/>
      <c r="R278" s="47">
        <v>0.375</v>
      </c>
      <c r="S278" s="47">
        <v>0.25</v>
      </c>
      <c r="T278" s="319">
        <v>8</v>
      </c>
      <c r="U278" s="320"/>
      <c r="W278" s="47"/>
      <c r="X278" s="47"/>
      <c r="Y278" s="319"/>
      <c r="Z278" s="320"/>
      <c r="AA278" s="328">
        <f>(E278+J278+O278+T278+Y278)</f>
        <v>22</v>
      </c>
      <c r="AB278" s="298">
        <f>Z278+U278+P278+K278+F276</f>
        <v>0</v>
      </c>
      <c r="AC278" s="4"/>
      <c r="AD278" s="47"/>
      <c r="AE278" s="47"/>
      <c r="AF278" s="319"/>
      <c r="AG278" s="29">
        <f>AF278</f>
        <v>0</v>
      </c>
    </row>
    <row r="279" spans="1:37" outlineLevel="1">
      <c r="A279" s="180"/>
      <c r="B279" s="502" t="s">
        <v>407</v>
      </c>
      <c r="C279" s="47"/>
      <c r="D279" s="47"/>
      <c r="E279" s="319"/>
      <c r="F279" s="320"/>
      <c r="G279" s="4"/>
      <c r="H279" s="47"/>
      <c r="I279" s="47"/>
      <c r="J279" s="319"/>
      <c r="K279" s="320"/>
      <c r="L279" s="4"/>
      <c r="M279" s="441"/>
      <c r="N279" s="47"/>
      <c r="O279" s="319"/>
      <c r="P279" s="320"/>
      <c r="R279" s="47"/>
      <c r="S279" s="47"/>
      <c r="T279" s="319"/>
      <c r="U279" s="320"/>
      <c r="W279" s="47"/>
      <c r="X279" s="47"/>
      <c r="Y279" s="319"/>
      <c r="Z279" s="320"/>
      <c r="AA279" s="328">
        <f>(E279+J279+O279+T279+Y279)</f>
        <v>0</v>
      </c>
      <c r="AB279" s="298">
        <f>Z279+U279+P279+K279+F275</f>
        <v>0</v>
      </c>
      <c r="AC279" s="4"/>
      <c r="AD279" s="47"/>
      <c r="AE279" s="47"/>
      <c r="AF279" s="319"/>
      <c r="AG279" s="29">
        <f>AF279</f>
        <v>0</v>
      </c>
    </row>
    <row r="280" spans="1:37" outlineLevel="1">
      <c r="A280" s="180"/>
      <c r="B280" s="502" t="s">
        <v>408</v>
      </c>
      <c r="C280" s="47"/>
      <c r="D280" s="47"/>
      <c r="E280" s="319"/>
      <c r="F280" s="320"/>
      <c r="G280" s="4"/>
      <c r="H280" s="47"/>
      <c r="I280" s="47"/>
      <c r="J280" s="319"/>
      <c r="K280" s="320"/>
      <c r="L280" s="4"/>
      <c r="M280" s="441"/>
      <c r="N280" s="47"/>
      <c r="O280" s="319"/>
      <c r="P280" s="320"/>
      <c r="R280" s="47"/>
      <c r="S280" s="47"/>
      <c r="T280" s="319"/>
      <c r="U280" s="320"/>
      <c r="W280" s="47"/>
      <c r="X280" s="47"/>
      <c r="Y280" s="319"/>
      <c r="Z280" s="320"/>
      <c r="AA280" s="328">
        <f>(E280+J280+O280+T280+Y280)</f>
        <v>0</v>
      </c>
      <c r="AB280" s="298">
        <f>Z280+U280+P280+K280+F276</f>
        <v>0</v>
      </c>
      <c r="AC280" s="4"/>
      <c r="AD280" s="47"/>
      <c r="AE280" s="47"/>
      <c r="AF280" s="319"/>
      <c r="AG280" s="29">
        <f>AF280</f>
        <v>0</v>
      </c>
    </row>
    <row r="281" spans="1:37" outlineLevel="1">
      <c r="A281" s="180"/>
      <c r="B281" s="502" t="s">
        <v>409</v>
      </c>
      <c r="C281" s="47"/>
      <c r="D281" s="47"/>
      <c r="E281" s="319"/>
      <c r="F281" s="320"/>
      <c r="G281" s="4"/>
      <c r="H281" s="47"/>
      <c r="I281" s="47"/>
      <c r="J281" s="319"/>
      <c r="K281" s="320"/>
      <c r="L281" s="4"/>
      <c r="M281" s="441"/>
      <c r="N281" s="47"/>
      <c r="O281" s="319"/>
      <c r="P281" s="320"/>
      <c r="R281" s="47"/>
      <c r="S281" s="47"/>
      <c r="T281" s="319"/>
      <c r="U281" s="320"/>
      <c r="W281" s="47"/>
      <c r="X281" s="47"/>
      <c r="Y281" s="319"/>
      <c r="Z281" s="320"/>
      <c r="AA281" s="328">
        <f>(E281+J281+O281+T281+Y281)</f>
        <v>0</v>
      </c>
      <c r="AB281" s="298">
        <f>Z281+U281+P281+K281+F279</f>
        <v>0</v>
      </c>
      <c r="AC281" s="4"/>
      <c r="AD281" s="47"/>
      <c r="AE281" s="47"/>
      <c r="AF281" s="319"/>
      <c r="AG281" s="29">
        <f>AF281</f>
        <v>0</v>
      </c>
    </row>
    <row r="282" spans="1:37" outlineLevel="1">
      <c r="A282" s="180"/>
      <c r="B282" s="460" t="s">
        <v>343</v>
      </c>
      <c r="C282" s="47"/>
      <c r="D282" s="47"/>
      <c r="E282" s="319"/>
      <c r="F282" s="320"/>
      <c r="G282" s="4"/>
      <c r="H282" s="47"/>
      <c r="I282" s="47"/>
      <c r="J282" s="319"/>
      <c r="K282" s="320"/>
      <c r="L282" s="4"/>
      <c r="M282" s="47"/>
      <c r="N282" s="47"/>
      <c r="O282" s="319"/>
      <c r="P282" s="320"/>
      <c r="R282" s="47"/>
      <c r="S282" s="47"/>
      <c r="T282" s="319"/>
      <c r="U282" s="320"/>
      <c r="W282" s="47"/>
      <c r="X282" s="47"/>
      <c r="Y282" s="319"/>
      <c r="Z282" s="320"/>
      <c r="AA282" s="328">
        <f t="shared" ref="AA282:AA292" si="62">(E282+J282+O282+T282+Y282)</f>
        <v>0</v>
      </c>
      <c r="AB282" s="298">
        <f>Z282+U282+P282+K282+F268</f>
        <v>0</v>
      </c>
      <c r="AC282" s="4"/>
      <c r="AD282" s="47"/>
      <c r="AE282" s="47"/>
      <c r="AF282" s="319"/>
      <c r="AG282" s="29">
        <f t="shared" ref="AG282:AG292" si="63">AF282</f>
        <v>0</v>
      </c>
    </row>
    <row r="283" spans="1:37" outlineLevel="1">
      <c r="A283" s="180"/>
      <c r="B283" s="63" t="s">
        <v>250</v>
      </c>
      <c r="C283" s="47"/>
      <c r="D283" s="47"/>
      <c r="E283" s="319">
        <v>8</v>
      </c>
      <c r="F283" s="320"/>
      <c r="G283" s="4"/>
      <c r="H283" s="47"/>
      <c r="I283" s="47"/>
      <c r="J283" s="319">
        <v>8</v>
      </c>
      <c r="K283" s="320"/>
      <c r="L283" s="4"/>
      <c r="M283" s="47"/>
      <c r="N283" s="47"/>
      <c r="O283" s="319">
        <v>8</v>
      </c>
      <c r="P283" s="320"/>
      <c r="R283" s="47"/>
      <c r="S283" s="47"/>
      <c r="T283" s="319">
        <v>8</v>
      </c>
      <c r="U283" s="320"/>
      <c r="W283" s="47"/>
      <c r="X283" s="47"/>
      <c r="Y283" s="319">
        <v>8</v>
      </c>
      <c r="Z283" s="320"/>
      <c r="AA283" s="328">
        <f t="shared" si="62"/>
        <v>40</v>
      </c>
      <c r="AB283" s="298">
        <f t="shared" ref="AB283:AB292" si="64">Z283+U283+P283+K283+F283</f>
        <v>0</v>
      </c>
      <c r="AC283" s="4"/>
      <c r="AD283" s="47"/>
      <c r="AE283" s="47"/>
      <c r="AF283" s="319"/>
      <c r="AG283" s="29">
        <f t="shared" si="63"/>
        <v>0</v>
      </c>
    </row>
    <row r="284" spans="1:37" outlineLevel="1">
      <c r="A284" s="180"/>
      <c r="B284" s="63" t="s">
        <v>357</v>
      </c>
      <c r="C284" s="47"/>
      <c r="D284" s="47"/>
      <c r="E284" s="319">
        <v>8</v>
      </c>
      <c r="F284" s="320"/>
      <c r="G284" s="4"/>
      <c r="H284" s="47"/>
      <c r="I284" s="47"/>
      <c r="J284" s="319">
        <v>8</v>
      </c>
      <c r="K284" s="320"/>
      <c r="L284" s="4"/>
      <c r="M284" s="47"/>
      <c r="N284" s="47"/>
      <c r="O284" s="319">
        <v>8</v>
      </c>
      <c r="P284" s="320"/>
      <c r="R284" s="47"/>
      <c r="S284" s="47"/>
      <c r="T284" s="319">
        <v>8</v>
      </c>
      <c r="U284" s="320"/>
      <c r="W284" s="47"/>
      <c r="X284" s="47"/>
      <c r="Y284" s="319">
        <v>8</v>
      </c>
      <c r="Z284" s="320"/>
      <c r="AA284" s="328">
        <f t="shared" si="62"/>
        <v>40</v>
      </c>
      <c r="AB284" s="298">
        <f t="shared" si="64"/>
        <v>0</v>
      </c>
      <c r="AC284" s="4"/>
      <c r="AD284" s="47"/>
      <c r="AE284" s="47"/>
      <c r="AF284" s="319"/>
      <c r="AG284" s="29">
        <f t="shared" si="63"/>
        <v>0</v>
      </c>
    </row>
    <row r="285" spans="1:37" outlineLevel="1">
      <c r="A285" s="180"/>
      <c r="B285" s="63" t="s">
        <v>63</v>
      </c>
      <c r="C285" s="47"/>
      <c r="D285" s="47"/>
      <c r="E285" s="319">
        <v>4.5</v>
      </c>
      <c r="F285" s="320"/>
      <c r="G285" s="438"/>
      <c r="H285" s="47"/>
      <c r="I285" s="47"/>
      <c r="J285" s="319">
        <v>4.5</v>
      </c>
      <c r="K285" s="320"/>
      <c r="L285" s="438"/>
      <c r="M285" s="47"/>
      <c r="N285" s="47"/>
      <c r="O285" s="319">
        <v>4.5</v>
      </c>
      <c r="P285" s="320"/>
      <c r="Q285" s="438"/>
      <c r="R285" s="47"/>
      <c r="S285" s="47"/>
      <c r="T285" s="319">
        <v>4.5</v>
      </c>
      <c r="U285" s="320"/>
      <c r="V285" s="438"/>
      <c r="W285" s="47"/>
      <c r="X285" s="47"/>
      <c r="Y285" s="319">
        <v>4.5</v>
      </c>
      <c r="Z285" s="320"/>
      <c r="AA285" s="328">
        <f t="shared" si="62"/>
        <v>22.5</v>
      </c>
      <c r="AB285" s="298">
        <f t="shared" si="64"/>
        <v>0</v>
      </c>
      <c r="AC285" s="4"/>
      <c r="AD285" s="47"/>
      <c r="AE285" s="47"/>
      <c r="AF285" s="319"/>
      <c r="AG285" s="29">
        <f t="shared" si="63"/>
        <v>0</v>
      </c>
      <c r="AK285" s="407"/>
    </row>
    <row r="286" spans="1:37" outlineLevel="1">
      <c r="A286" s="180"/>
      <c r="B286" s="267" t="s">
        <v>358</v>
      </c>
      <c r="C286" s="47"/>
      <c r="D286" s="47"/>
      <c r="E286" s="319">
        <v>6</v>
      </c>
      <c r="F286" s="320"/>
      <c r="G286" s="438"/>
      <c r="H286" s="47"/>
      <c r="I286" s="47"/>
      <c r="J286" s="319">
        <v>6</v>
      </c>
      <c r="K286" s="320"/>
      <c r="L286" s="438"/>
      <c r="M286" s="47"/>
      <c r="N286" s="47"/>
      <c r="O286" s="319">
        <v>6</v>
      </c>
      <c r="P286" s="320"/>
      <c r="Q286" s="438"/>
      <c r="R286" s="47"/>
      <c r="S286" s="47"/>
      <c r="T286" s="319">
        <v>6</v>
      </c>
      <c r="U286" s="320"/>
      <c r="V286" s="438"/>
      <c r="W286" s="47"/>
      <c r="X286" s="47"/>
      <c r="Y286" s="319">
        <v>7</v>
      </c>
      <c r="Z286" s="320"/>
      <c r="AA286" s="328">
        <f t="shared" si="62"/>
        <v>31</v>
      </c>
      <c r="AB286" s="298">
        <f t="shared" si="64"/>
        <v>0</v>
      </c>
      <c r="AC286" s="4"/>
      <c r="AD286" s="47"/>
      <c r="AE286" s="47"/>
      <c r="AF286" s="319"/>
      <c r="AG286" s="29">
        <f t="shared" si="63"/>
        <v>0</v>
      </c>
      <c r="AK286" s="407"/>
    </row>
    <row r="287" spans="1:37" outlineLevel="1">
      <c r="A287" s="180"/>
      <c r="B287" s="267" t="s">
        <v>359</v>
      </c>
      <c r="C287" s="47"/>
      <c r="D287" s="47"/>
      <c r="E287" s="319">
        <v>0</v>
      </c>
      <c r="F287" s="320"/>
      <c r="G287" s="438"/>
      <c r="H287" s="47"/>
      <c r="I287" s="47"/>
      <c r="J287" s="319">
        <v>0</v>
      </c>
      <c r="K287" s="320"/>
      <c r="L287" s="438"/>
      <c r="M287" s="47"/>
      <c r="N287" s="47"/>
      <c r="O287" s="319">
        <v>0</v>
      </c>
      <c r="P287" s="320"/>
      <c r="Q287" s="438"/>
      <c r="R287" s="47"/>
      <c r="S287" s="47"/>
      <c r="T287" s="319">
        <v>0</v>
      </c>
      <c r="U287" s="320"/>
      <c r="V287" s="438"/>
      <c r="W287" s="47"/>
      <c r="X287" s="47"/>
      <c r="Y287" s="319">
        <v>0</v>
      </c>
      <c r="Z287" s="320"/>
      <c r="AA287" s="328">
        <f t="shared" si="62"/>
        <v>0</v>
      </c>
      <c r="AB287" s="298">
        <f t="shared" si="64"/>
        <v>0</v>
      </c>
      <c r="AC287" s="4"/>
      <c r="AD287" s="47"/>
      <c r="AE287" s="47"/>
      <c r="AF287" s="319"/>
      <c r="AG287" s="29">
        <f t="shared" si="63"/>
        <v>0</v>
      </c>
      <c r="AK287" s="407"/>
    </row>
    <row r="288" spans="1:37" outlineLevel="1">
      <c r="A288" s="180"/>
      <c r="B288" s="267" t="s">
        <v>360</v>
      </c>
      <c r="C288" s="47"/>
      <c r="D288" s="47"/>
      <c r="E288" s="319">
        <v>0</v>
      </c>
      <c r="F288" s="320"/>
      <c r="G288" s="438"/>
      <c r="H288" s="47"/>
      <c r="I288" s="47"/>
      <c r="J288" s="319">
        <v>0</v>
      </c>
      <c r="K288" s="320"/>
      <c r="L288" s="438"/>
      <c r="M288" s="47"/>
      <c r="N288" s="47"/>
      <c r="O288" s="319">
        <v>0</v>
      </c>
      <c r="P288" s="320"/>
      <c r="Q288" s="438"/>
      <c r="R288" s="47"/>
      <c r="S288" s="47"/>
      <c r="T288" s="319">
        <v>0</v>
      </c>
      <c r="U288" s="320"/>
      <c r="V288" s="438"/>
      <c r="W288" s="47"/>
      <c r="X288" s="47"/>
      <c r="Y288" s="319">
        <v>0</v>
      </c>
      <c r="Z288" s="320"/>
      <c r="AA288" s="328">
        <f t="shared" si="62"/>
        <v>0</v>
      </c>
      <c r="AB288" s="298">
        <f t="shared" si="64"/>
        <v>0</v>
      </c>
      <c r="AC288" s="4"/>
      <c r="AD288" s="47"/>
      <c r="AE288" s="47"/>
      <c r="AF288" s="319"/>
      <c r="AG288" s="29">
        <f t="shared" si="63"/>
        <v>0</v>
      </c>
      <c r="AK288" s="407"/>
    </row>
    <row r="289" spans="1:49" outlineLevel="1">
      <c r="A289" s="180"/>
      <c r="B289" s="267" t="s">
        <v>361</v>
      </c>
      <c r="C289" s="47"/>
      <c r="D289" s="47"/>
      <c r="E289" s="319">
        <v>0</v>
      </c>
      <c r="F289" s="320"/>
      <c r="G289" s="438"/>
      <c r="H289" s="47"/>
      <c r="I289" s="47"/>
      <c r="J289" s="319">
        <v>0</v>
      </c>
      <c r="K289" s="320"/>
      <c r="L289" s="438"/>
      <c r="M289" s="47"/>
      <c r="N289" s="47"/>
      <c r="O289" s="319">
        <v>0</v>
      </c>
      <c r="P289" s="320"/>
      <c r="Q289" s="438"/>
      <c r="R289" s="47"/>
      <c r="S289" s="47"/>
      <c r="T289" s="319">
        <v>0</v>
      </c>
      <c r="U289" s="320"/>
      <c r="V289" s="438"/>
      <c r="W289" s="47"/>
      <c r="X289" s="47"/>
      <c r="Y289" s="319">
        <v>0</v>
      </c>
      <c r="Z289" s="320"/>
      <c r="AA289" s="328">
        <f t="shared" si="62"/>
        <v>0</v>
      </c>
      <c r="AB289" s="298">
        <f t="shared" si="64"/>
        <v>0</v>
      </c>
      <c r="AC289" s="4"/>
      <c r="AD289" s="47"/>
      <c r="AE289" s="47"/>
      <c r="AF289" s="319"/>
      <c r="AG289" s="29">
        <f t="shared" si="63"/>
        <v>0</v>
      </c>
      <c r="AK289" s="407"/>
    </row>
    <row r="290" spans="1:49" outlineLevel="1">
      <c r="A290" s="180"/>
      <c r="B290" s="267" t="s">
        <v>362</v>
      </c>
      <c r="C290" s="47"/>
      <c r="D290" s="47"/>
      <c r="E290" s="319">
        <v>4</v>
      </c>
      <c r="F290" s="320"/>
      <c r="G290" s="438"/>
      <c r="H290" s="47"/>
      <c r="I290" s="47"/>
      <c r="J290" s="319">
        <v>4</v>
      </c>
      <c r="K290" s="320"/>
      <c r="L290" s="438"/>
      <c r="M290" s="47"/>
      <c r="N290" s="47"/>
      <c r="O290" s="319">
        <v>4</v>
      </c>
      <c r="P290" s="320"/>
      <c r="Q290" s="438"/>
      <c r="R290" s="47"/>
      <c r="S290" s="47"/>
      <c r="T290" s="319">
        <v>4</v>
      </c>
      <c r="U290" s="320"/>
      <c r="V290" s="438"/>
      <c r="W290" s="47"/>
      <c r="X290" s="47"/>
      <c r="Y290" s="319">
        <v>5</v>
      </c>
      <c r="Z290" s="320"/>
      <c r="AA290" s="328">
        <f t="shared" si="62"/>
        <v>21</v>
      </c>
      <c r="AB290" s="298">
        <f t="shared" si="64"/>
        <v>0</v>
      </c>
      <c r="AC290" s="4"/>
      <c r="AD290" s="47"/>
      <c r="AE290" s="47"/>
      <c r="AF290" s="319"/>
      <c r="AG290" s="29">
        <f t="shared" si="63"/>
        <v>0</v>
      </c>
      <c r="AK290" s="407"/>
    </row>
    <row r="291" spans="1:49" outlineLevel="1">
      <c r="A291" s="180"/>
      <c r="B291" s="437" t="s">
        <v>355</v>
      </c>
      <c r="C291" s="47"/>
      <c r="D291" s="47"/>
      <c r="E291" s="319">
        <v>12.5</v>
      </c>
      <c r="F291" s="320"/>
      <c r="G291" s="438"/>
      <c r="H291" s="47"/>
      <c r="I291" s="47"/>
      <c r="J291" s="319">
        <v>24</v>
      </c>
      <c r="K291" s="320"/>
      <c r="L291" s="438"/>
      <c r="M291" s="47"/>
      <c r="N291" s="47"/>
      <c r="O291" s="319">
        <v>24</v>
      </c>
      <c r="P291" s="320"/>
      <c r="Q291" s="438"/>
      <c r="R291" s="47"/>
      <c r="S291" s="47"/>
      <c r="T291" s="319">
        <v>24</v>
      </c>
      <c r="U291" s="320"/>
      <c r="V291" s="438"/>
      <c r="W291" s="47"/>
      <c r="X291" s="47"/>
      <c r="Y291" s="319">
        <v>18</v>
      </c>
      <c r="Z291" s="320"/>
      <c r="AA291" s="328">
        <f t="shared" si="62"/>
        <v>102.5</v>
      </c>
      <c r="AB291" s="298">
        <f t="shared" si="64"/>
        <v>0</v>
      </c>
      <c r="AC291" s="4"/>
      <c r="AD291" s="47"/>
      <c r="AE291" s="47"/>
      <c r="AF291" s="319"/>
      <c r="AG291" s="29">
        <f t="shared" si="63"/>
        <v>0</v>
      </c>
      <c r="AK291" s="407"/>
    </row>
    <row r="292" spans="1:49" outlineLevel="1">
      <c r="A292" s="180"/>
      <c r="B292" s="437" t="s">
        <v>356</v>
      </c>
      <c r="C292" s="47"/>
      <c r="D292" s="47"/>
      <c r="E292" s="319">
        <v>12.5</v>
      </c>
      <c r="F292" s="320"/>
      <c r="G292" s="438"/>
      <c r="H292" s="47"/>
      <c r="I292" s="47"/>
      <c r="J292" s="319">
        <v>0</v>
      </c>
      <c r="K292" s="320"/>
      <c r="L292" s="438"/>
      <c r="M292" s="47"/>
      <c r="N292" s="47"/>
      <c r="O292" s="319">
        <v>0</v>
      </c>
      <c r="P292" s="320"/>
      <c r="Q292" s="438"/>
      <c r="R292" s="47"/>
      <c r="S292" s="47"/>
      <c r="T292" s="319">
        <v>16</v>
      </c>
      <c r="U292" s="320"/>
      <c r="V292" s="438"/>
      <c r="W292" s="47"/>
      <c r="X292" s="47"/>
      <c r="Y292" s="319"/>
      <c r="Z292" s="320"/>
      <c r="AA292" s="328">
        <f t="shared" si="62"/>
        <v>28.5</v>
      </c>
      <c r="AB292" s="298">
        <f t="shared" si="64"/>
        <v>0</v>
      </c>
      <c r="AC292" s="4"/>
      <c r="AD292" s="47"/>
      <c r="AE292" s="47"/>
      <c r="AF292" s="319"/>
      <c r="AG292" s="29">
        <f t="shared" si="63"/>
        <v>0</v>
      </c>
      <c r="AK292" s="407"/>
    </row>
    <row r="293" spans="1:49" ht="13.5" customHeight="1" outlineLevel="1">
      <c r="A293" s="180"/>
      <c r="B293" s="64" t="s">
        <v>61</v>
      </c>
      <c r="C293" s="31"/>
      <c r="D293" s="31"/>
      <c r="E293" s="439">
        <f>SUM(E255:E292)</f>
        <v>167.5</v>
      </c>
      <c r="F293" s="320">
        <f>SUM(F255:F292)</f>
        <v>0</v>
      </c>
      <c r="G293" s="31"/>
      <c r="H293" s="31"/>
      <c r="I293" s="31"/>
      <c r="J293" s="439">
        <f>SUM(J255:J292)</f>
        <v>214.5</v>
      </c>
      <c r="K293" s="320">
        <f>SUM(K255:K292)</f>
        <v>1</v>
      </c>
      <c r="L293" s="31"/>
      <c r="M293" s="31"/>
      <c r="N293" s="31"/>
      <c r="O293" s="439">
        <f>SUM(O255:O292)</f>
        <v>152.25</v>
      </c>
      <c r="P293" s="320">
        <f>SUM(P255:P292)</f>
        <v>0</v>
      </c>
      <c r="Q293" s="31"/>
      <c r="R293" s="31"/>
      <c r="S293" s="31"/>
      <c r="T293" s="439">
        <f>SUM(T255:T292)</f>
        <v>241.5</v>
      </c>
      <c r="U293" s="320">
        <f>SUM(U255:U292)</f>
        <v>0</v>
      </c>
      <c r="V293" s="31"/>
      <c r="W293" s="31"/>
      <c r="X293" s="31"/>
      <c r="Y293" s="439">
        <f>SUM(Y255:Y292)</f>
        <v>209.5</v>
      </c>
      <c r="Z293" s="320">
        <f>SUM(Z255:Z292)</f>
        <v>0</v>
      </c>
      <c r="AA293" s="370">
        <f>SUM(AA255:AA292)</f>
        <v>985.25</v>
      </c>
      <c r="AB293" s="370">
        <f>SUM(AB255:AB292)</f>
        <v>1</v>
      </c>
      <c r="AC293" s="4"/>
      <c r="AD293" s="64"/>
      <c r="AE293" s="64"/>
      <c r="AF293" s="370">
        <f>SUM(AF255:AF292)</f>
        <v>0</v>
      </c>
      <c r="AG293" s="370">
        <f>SUM(AG255:AG292)</f>
        <v>0</v>
      </c>
    </row>
    <row r="294" spans="1:49" outlineLevel="1">
      <c r="A294" s="180"/>
      <c r="B294" s="63" t="s">
        <v>64</v>
      </c>
      <c r="C294" s="47"/>
      <c r="D294" s="47"/>
      <c r="E294" s="319">
        <v>8</v>
      </c>
      <c r="F294" s="291"/>
      <c r="G294" s="60"/>
      <c r="H294" s="47"/>
      <c r="I294" s="47"/>
      <c r="J294" s="319">
        <v>8</v>
      </c>
      <c r="K294" s="291">
        <v>1.5</v>
      </c>
      <c r="L294" s="60"/>
      <c r="M294" s="47"/>
      <c r="N294" s="47"/>
      <c r="O294" s="319">
        <v>7.5</v>
      </c>
      <c r="P294" s="19">
        <v>0.75</v>
      </c>
      <c r="Q294" s="60"/>
      <c r="R294" s="47"/>
      <c r="S294" s="47"/>
      <c r="T294" s="319">
        <v>8</v>
      </c>
      <c r="U294" s="19">
        <v>1.25</v>
      </c>
      <c r="V294" s="60"/>
      <c r="W294" s="47"/>
      <c r="X294" s="47"/>
      <c r="Y294" s="319">
        <v>8</v>
      </c>
      <c r="Z294" s="19">
        <v>1.5</v>
      </c>
      <c r="AA294" s="28">
        <f>SUM(E294+J294+O294+T294+Y294)</f>
        <v>39.5</v>
      </c>
      <c r="AB294" s="296">
        <f>Z294+U294+P294+K294+F294</f>
        <v>5</v>
      </c>
      <c r="AC294" s="4"/>
      <c r="AD294" s="47" t="s">
        <v>29</v>
      </c>
      <c r="AE294" s="47" t="s">
        <v>29</v>
      </c>
      <c r="AF294" s="319"/>
      <c r="AG294" s="29">
        <f>AF294</f>
        <v>0</v>
      </c>
    </row>
    <row r="295" spans="1:49" outlineLevel="1">
      <c r="A295" s="180"/>
      <c r="B295" s="71" t="s">
        <v>66</v>
      </c>
      <c r="C295" s="371"/>
      <c r="D295" s="371"/>
      <c r="E295" s="71"/>
      <c r="F295" s="71"/>
      <c r="G295" s="71"/>
      <c r="H295" s="71"/>
      <c r="I295" s="71"/>
      <c r="J295" s="71"/>
      <c r="K295" s="71"/>
      <c r="L295" s="71"/>
      <c r="M295" s="71"/>
      <c r="N295" s="71"/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  <c r="AA295" s="370">
        <f>SUM(AA294:AA294)</f>
        <v>39.5</v>
      </c>
      <c r="AB295" s="370">
        <f>SUM(AB294:AB294)</f>
        <v>5</v>
      </c>
      <c r="AC295" s="4"/>
      <c r="AG295" s="370">
        <f>SUM(AG294:AG294)</f>
        <v>0</v>
      </c>
    </row>
    <row r="296" spans="1:49" outlineLevel="1">
      <c r="A296" s="180"/>
      <c r="B296" s="217" t="s">
        <v>67</v>
      </c>
      <c r="C296" s="207">
        <f>C297+C298</f>
        <v>176</v>
      </c>
      <c r="D296" s="207"/>
      <c r="E296" s="209"/>
      <c r="F296" s="209"/>
      <c r="G296" s="207"/>
      <c r="H296" s="209"/>
      <c r="I296" s="209"/>
      <c r="J296" s="209"/>
      <c r="K296" s="209"/>
      <c r="L296" s="207"/>
      <c r="M296" s="207"/>
      <c r="N296" s="207"/>
      <c r="O296" s="207"/>
      <c r="P296" s="209"/>
      <c r="Q296" s="207"/>
      <c r="R296" s="207"/>
      <c r="S296" s="207"/>
      <c r="T296" s="207"/>
      <c r="U296" s="209"/>
      <c r="V296" s="207"/>
      <c r="W296" s="207"/>
      <c r="X296" s="207"/>
      <c r="Y296" s="210"/>
      <c r="Z296" s="209"/>
      <c r="AA296" s="211"/>
      <c r="AB296" s="209"/>
      <c r="AC296" s="211"/>
      <c r="AD296" s="211"/>
      <c r="AE296" s="211"/>
      <c r="AF296" s="211"/>
      <c r="AG296" s="211"/>
    </row>
    <row r="297" spans="1:49" outlineLevel="1">
      <c r="A297" s="180"/>
      <c r="B297" s="238" t="s">
        <v>68</v>
      </c>
      <c r="C297" s="239">
        <f>16+22+17+23+23</f>
        <v>101</v>
      </c>
      <c r="D297" s="207"/>
      <c r="E297" s="209"/>
      <c r="F297" s="209"/>
      <c r="G297" s="207"/>
      <c r="H297" s="209"/>
      <c r="I297" s="209"/>
      <c r="J297" s="209"/>
      <c r="K297" s="209"/>
      <c r="L297" s="207"/>
      <c r="M297" s="207"/>
      <c r="N297" s="207"/>
      <c r="O297" s="207"/>
      <c r="P297" s="209"/>
      <c r="Q297" s="207"/>
      <c r="R297" s="207"/>
      <c r="S297" s="207"/>
      <c r="T297" s="207"/>
      <c r="U297" s="209"/>
      <c r="V297" s="207"/>
      <c r="W297" s="207"/>
      <c r="X297" s="207"/>
      <c r="Y297" s="210"/>
      <c r="Z297" s="209"/>
      <c r="AA297" s="211"/>
      <c r="AB297" s="209"/>
      <c r="AC297" s="211"/>
      <c r="AD297" s="211"/>
      <c r="AE297" s="211"/>
      <c r="AF297" s="211"/>
      <c r="AG297" s="211"/>
    </row>
    <row r="298" spans="1:49" outlineLevel="1">
      <c r="A298" s="180"/>
      <c r="B298" s="238" t="s">
        <v>69</v>
      </c>
      <c r="C298" s="239">
        <f>15+15+15+15+15</f>
        <v>75</v>
      </c>
      <c r="D298" s="207"/>
      <c r="E298" s="209"/>
      <c r="F298" s="209"/>
      <c r="G298" s="207"/>
      <c r="H298" s="209"/>
      <c r="I298" s="209"/>
      <c r="J298" s="209"/>
      <c r="K298" s="209"/>
      <c r="L298" s="207"/>
      <c r="M298" s="207"/>
      <c r="N298" s="207"/>
      <c r="O298" s="207"/>
      <c r="P298" s="209"/>
      <c r="Q298" s="207"/>
      <c r="R298" s="207"/>
      <c r="S298" s="207"/>
      <c r="T298" s="207"/>
      <c r="U298" s="209"/>
      <c r="V298" s="207"/>
      <c r="W298" s="207"/>
      <c r="X298" s="207"/>
      <c r="Y298" s="210"/>
      <c r="Z298" s="209"/>
      <c r="AA298" s="211"/>
      <c r="AB298" s="209"/>
      <c r="AC298" s="211"/>
      <c r="AD298" s="211"/>
      <c r="AE298" s="211"/>
      <c r="AF298" s="211"/>
      <c r="AG298" s="211"/>
    </row>
    <row r="299" spans="1:49" outlineLevel="1">
      <c r="B299" s="180"/>
      <c r="E299" s="4"/>
      <c r="F299" s="4"/>
      <c r="G299" s="4"/>
      <c r="J299" s="4"/>
      <c r="K299" s="4"/>
      <c r="L299" s="4"/>
      <c r="O299" s="4"/>
      <c r="P299" s="4"/>
      <c r="T299" s="4"/>
      <c r="U299" s="4"/>
      <c r="Y299" s="4"/>
      <c r="Z299" s="4"/>
      <c r="AA299" s="4"/>
      <c r="AB299" s="4"/>
      <c r="AC299" s="4"/>
    </row>
    <row r="300" spans="1:49" outlineLevel="1">
      <c r="A300" s="180"/>
      <c r="B300" s="229"/>
      <c r="C300" s="230"/>
      <c r="D300" s="230"/>
      <c r="E300" s="232"/>
      <c r="F300" s="232"/>
      <c r="G300" s="230"/>
      <c r="H300" s="232"/>
      <c r="I300" s="232"/>
      <c r="J300" s="232"/>
      <c r="K300" s="232"/>
      <c r="L300" s="230"/>
      <c r="M300" s="230"/>
      <c r="N300" s="230"/>
      <c r="O300" s="230"/>
      <c r="P300" s="232"/>
      <c r="Q300" s="230"/>
      <c r="R300" s="230"/>
      <c r="S300" s="230"/>
      <c r="T300" s="230"/>
      <c r="U300" s="232"/>
      <c r="V300" s="230"/>
      <c r="W300" s="230"/>
      <c r="X300" s="230"/>
      <c r="Y300" s="233"/>
      <c r="Z300" s="232"/>
      <c r="AA300" s="234"/>
      <c r="AB300" s="232"/>
      <c r="AC300" s="373"/>
      <c r="AD300" s="236"/>
      <c r="AE300" s="255"/>
      <c r="AF300" s="255"/>
      <c r="AG300" s="255"/>
      <c r="AH300" s="255"/>
      <c r="AJ300" s="255"/>
      <c r="AK300" s="255"/>
      <c r="AL300" s="255"/>
      <c r="AM300" s="255"/>
      <c r="AN300" s="255"/>
      <c r="AO300" s="255"/>
      <c r="AP300" s="255"/>
      <c r="AQ300" s="255"/>
      <c r="AR300" s="255"/>
      <c r="AS300" s="255"/>
      <c r="AT300" s="255"/>
      <c r="AU300" s="255"/>
      <c r="AV300" s="255"/>
      <c r="AW300" s="255"/>
    </row>
    <row r="301" spans="1:49" outlineLevel="1">
      <c r="B301" s="180"/>
      <c r="E301" s="4"/>
      <c r="F301" s="4"/>
      <c r="G301" s="4"/>
      <c r="J301" s="4"/>
      <c r="K301" s="4"/>
      <c r="L301" s="4"/>
      <c r="O301" s="4"/>
      <c r="P301" s="4"/>
      <c r="T301" s="4"/>
      <c r="U301" s="4"/>
      <c r="Y301" s="4"/>
      <c r="Z301" s="4"/>
      <c r="AA301" s="4"/>
      <c r="AB301" s="4"/>
      <c r="AC301" s="4"/>
      <c r="AK301" s="180"/>
      <c r="AL301" s="180"/>
      <c r="AM301" s="180"/>
      <c r="AN301" s="180"/>
      <c r="AO301" s="180"/>
      <c r="AP301" s="180"/>
    </row>
    <row r="302" spans="1:49" outlineLevel="1">
      <c r="A302" s="228"/>
      <c r="B302" s="1518" t="s">
        <v>18</v>
      </c>
      <c r="C302" s="1519">
        <v>45418</v>
      </c>
      <c r="D302" s="1519"/>
      <c r="E302" s="1519"/>
      <c r="F302" s="1519"/>
      <c r="G302" s="365"/>
      <c r="H302" s="1519">
        <v>45419</v>
      </c>
      <c r="I302" s="1519"/>
      <c r="J302" s="1519"/>
      <c r="K302" s="1519"/>
      <c r="L302" s="365">
        <v>45343</v>
      </c>
      <c r="M302" s="1519">
        <v>45420</v>
      </c>
      <c r="N302" s="1519"/>
      <c r="O302" s="1519"/>
      <c r="P302" s="1519"/>
      <c r="Q302" s="365"/>
      <c r="R302" s="1519">
        <v>45421</v>
      </c>
      <c r="S302" s="1519"/>
      <c r="T302" s="1519"/>
      <c r="U302" s="1519"/>
      <c r="V302" s="365"/>
      <c r="W302" s="1519">
        <v>45422</v>
      </c>
      <c r="X302" s="1519"/>
      <c r="Y302" s="1519"/>
      <c r="Z302" s="1519"/>
      <c r="AA302" s="1517" t="s">
        <v>19</v>
      </c>
      <c r="AB302" s="1517" t="s">
        <v>20</v>
      </c>
      <c r="AC302" s="4"/>
      <c r="AD302" s="1519">
        <v>45423</v>
      </c>
      <c r="AE302" s="1519"/>
      <c r="AF302" s="1519"/>
      <c r="AG302" s="1517" t="s">
        <v>21</v>
      </c>
      <c r="AI302" s="368"/>
      <c r="AK302" s="194" t="s">
        <v>84</v>
      </c>
      <c r="AL302" s="366"/>
      <c r="AM302" s="366"/>
      <c r="AN302" s="366"/>
      <c r="AO302" s="366"/>
      <c r="AP302" s="366"/>
    </row>
    <row r="303" spans="1:49" outlineLevel="1">
      <c r="A303" s="180"/>
      <c r="B303" s="1518"/>
      <c r="C303" s="21" t="s">
        <v>23</v>
      </c>
      <c r="D303" s="21" t="s">
        <v>24</v>
      </c>
      <c r="E303" s="205" t="s">
        <v>25</v>
      </c>
      <c r="F303" s="18" t="s">
        <v>14</v>
      </c>
      <c r="G303" s="4"/>
      <c r="H303" s="21" t="s">
        <v>23</v>
      </c>
      <c r="I303" s="21" t="s">
        <v>24</v>
      </c>
      <c r="J303" s="18" t="s">
        <v>25</v>
      </c>
      <c r="K303" s="18" t="s">
        <v>14</v>
      </c>
      <c r="L303" s="4"/>
      <c r="M303" s="21" t="s">
        <v>23</v>
      </c>
      <c r="N303" s="21" t="s">
        <v>24</v>
      </c>
      <c r="O303" s="18" t="s">
        <v>25</v>
      </c>
      <c r="P303" s="18" t="s">
        <v>14</v>
      </c>
      <c r="R303" s="21" t="s">
        <v>23</v>
      </c>
      <c r="S303" s="21" t="s">
        <v>24</v>
      </c>
      <c r="T303" s="18" t="s">
        <v>25</v>
      </c>
      <c r="U303" s="18" t="s">
        <v>14</v>
      </c>
      <c r="W303" s="21" t="s">
        <v>23</v>
      </c>
      <c r="X303" s="21" t="s">
        <v>24</v>
      </c>
      <c r="Y303" s="18" t="s">
        <v>25</v>
      </c>
      <c r="Z303" s="18" t="s">
        <v>14</v>
      </c>
      <c r="AA303" s="1517"/>
      <c r="AB303" s="1517"/>
      <c r="AC303" s="4"/>
      <c r="AD303" s="21" t="s">
        <v>23</v>
      </c>
      <c r="AE303" s="21" t="s">
        <v>24</v>
      </c>
      <c r="AF303" s="18" t="s">
        <v>25</v>
      </c>
      <c r="AG303" s="1517"/>
      <c r="AI303" s="368"/>
      <c r="AJ303" s="367"/>
      <c r="AK303" s="494" t="s">
        <v>26</v>
      </c>
      <c r="AL303" s="471">
        <f>AA343</f>
        <v>1099.6000000000001</v>
      </c>
      <c r="AM303" s="510">
        <v>38</v>
      </c>
      <c r="AN303" s="510">
        <f t="shared" ref="AN303:AN309" si="65">AL303*AM303</f>
        <v>41784.800000000003</v>
      </c>
      <c r="AQ303" s="367"/>
      <c r="AR303" s="367"/>
      <c r="AS303" s="367"/>
      <c r="AT303" s="367"/>
      <c r="AU303" s="367"/>
      <c r="AV303" s="367"/>
      <c r="AW303" s="367"/>
    </row>
    <row r="304" spans="1:49" outlineLevel="1">
      <c r="A304" s="180"/>
      <c r="B304" s="457" t="s">
        <v>402</v>
      </c>
      <c r="C304" s="47">
        <v>0.375</v>
      </c>
      <c r="D304" s="47">
        <v>0.52083333333333337</v>
      </c>
      <c r="E304" s="319">
        <v>3.5</v>
      </c>
      <c r="F304" s="320"/>
      <c r="G304" s="4"/>
      <c r="H304" s="47">
        <v>0.375</v>
      </c>
      <c r="I304" s="47">
        <v>0.25</v>
      </c>
      <c r="J304" s="319">
        <v>8</v>
      </c>
      <c r="K304" s="320"/>
      <c r="L304" s="4"/>
      <c r="M304" s="47">
        <v>0.375</v>
      </c>
      <c r="N304" s="47">
        <v>0.25</v>
      </c>
      <c r="O304" s="319">
        <v>8</v>
      </c>
      <c r="P304" s="320"/>
      <c r="R304" s="441" t="s">
        <v>75</v>
      </c>
      <c r="S304" s="441" t="s">
        <v>246</v>
      </c>
      <c r="T304" s="319">
        <v>8</v>
      </c>
      <c r="U304" s="320"/>
      <c r="W304" s="47">
        <v>0</v>
      </c>
      <c r="X304" s="441" t="s">
        <v>154</v>
      </c>
      <c r="Y304" s="319">
        <v>0</v>
      </c>
      <c r="Z304" s="320"/>
      <c r="AA304" s="328">
        <f t="shared" ref="AA304:AA342" si="66">(E304+J304+O304+T304+Y304)</f>
        <v>27.5</v>
      </c>
      <c r="AB304" s="298">
        <f t="shared" ref="AB304:AB314" si="67">Z304+U304+P304+K304+F304</f>
        <v>0</v>
      </c>
      <c r="AC304" s="4"/>
      <c r="AD304" s="47"/>
      <c r="AE304" s="47"/>
      <c r="AF304" s="319"/>
      <c r="AG304" s="328">
        <f>AF304</f>
        <v>0</v>
      </c>
      <c r="AI304" s="368"/>
      <c r="AJ304" s="367"/>
      <c r="AK304" s="494" t="s">
        <v>30</v>
      </c>
      <c r="AL304" s="471">
        <f>$AB$31</f>
        <v>0</v>
      </c>
      <c r="AM304" s="511">
        <v>57</v>
      </c>
      <c r="AN304" s="510">
        <f t="shared" si="65"/>
        <v>0</v>
      </c>
      <c r="AQ304" s="367"/>
      <c r="AR304" s="367"/>
      <c r="AS304" s="367"/>
      <c r="AT304" s="367"/>
      <c r="AU304" s="367"/>
      <c r="AV304" s="367"/>
      <c r="AW304" s="367"/>
    </row>
    <row r="305" spans="1:49" outlineLevel="1">
      <c r="A305" s="367"/>
      <c r="B305" s="318" t="s">
        <v>385</v>
      </c>
      <c r="C305" s="441" t="s">
        <v>326</v>
      </c>
      <c r="D305" s="47">
        <v>0.25</v>
      </c>
      <c r="E305" s="319">
        <v>6.75</v>
      </c>
      <c r="F305" s="320"/>
      <c r="G305" s="4"/>
      <c r="H305" s="441" t="s">
        <v>83</v>
      </c>
      <c r="I305" s="47">
        <v>0.25</v>
      </c>
      <c r="J305" s="319">
        <v>8</v>
      </c>
      <c r="K305" s="320"/>
      <c r="L305" s="4"/>
      <c r="M305" s="47">
        <v>0.45833333333333331</v>
      </c>
      <c r="N305" s="47">
        <v>0.22916666666666666</v>
      </c>
      <c r="O305" s="319">
        <v>6</v>
      </c>
      <c r="P305" s="320"/>
      <c r="R305" s="441" t="s">
        <v>75</v>
      </c>
      <c r="S305" s="441" t="s">
        <v>246</v>
      </c>
      <c r="T305" s="319">
        <v>8</v>
      </c>
      <c r="U305" s="320"/>
      <c r="W305" s="441" t="s">
        <v>212</v>
      </c>
      <c r="X305" s="441" t="s">
        <v>126</v>
      </c>
      <c r="Y305" s="319">
        <v>5.5</v>
      </c>
      <c r="Z305" s="320"/>
      <c r="AA305" s="328">
        <f t="shared" si="66"/>
        <v>34.25</v>
      </c>
      <c r="AB305" s="298">
        <f t="shared" si="67"/>
        <v>0</v>
      </c>
      <c r="AC305" s="4"/>
      <c r="AD305" s="47"/>
      <c r="AE305" s="47"/>
      <c r="AF305" s="319"/>
      <c r="AG305" s="328">
        <f>AF305</f>
        <v>0</v>
      </c>
      <c r="AH305" s="175"/>
      <c r="AI305" s="402"/>
      <c r="AJ305" s="367"/>
      <c r="AK305" s="494" t="s">
        <v>32</v>
      </c>
      <c r="AL305" s="471">
        <f>AB343</f>
        <v>14.899999999999999</v>
      </c>
      <c r="AM305" s="510">
        <v>57</v>
      </c>
      <c r="AN305" s="510">
        <f t="shared" si="65"/>
        <v>849.3</v>
      </c>
      <c r="AQ305" s="367"/>
      <c r="AR305" s="367"/>
      <c r="AS305" s="367"/>
      <c r="AT305" s="367"/>
      <c r="AU305" s="367"/>
      <c r="AV305" s="367"/>
      <c r="AW305" s="367"/>
    </row>
    <row r="306" spans="1:49" outlineLevel="1">
      <c r="A306" s="367"/>
      <c r="B306" s="318" t="s">
        <v>410</v>
      </c>
      <c r="C306" s="47">
        <v>0</v>
      </c>
      <c r="D306" s="47">
        <v>0</v>
      </c>
      <c r="E306" s="319">
        <v>0</v>
      </c>
      <c r="F306" s="320"/>
      <c r="G306" s="4"/>
      <c r="H306" s="441" t="s">
        <v>212</v>
      </c>
      <c r="I306" s="47">
        <v>0.21875</v>
      </c>
      <c r="J306" s="319">
        <v>7</v>
      </c>
      <c r="K306" s="320"/>
      <c r="L306" s="4"/>
      <c r="M306" s="47">
        <v>0.375</v>
      </c>
      <c r="N306" s="47">
        <v>0.25</v>
      </c>
      <c r="O306" s="319">
        <v>8</v>
      </c>
      <c r="P306" s="320"/>
      <c r="R306" s="47">
        <v>0.375</v>
      </c>
      <c r="S306" s="47">
        <v>0.25</v>
      </c>
      <c r="T306" s="319">
        <v>8</v>
      </c>
      <c r="U306" s="320"/>
      <c r="W306" s="47">
        <v>0.375</v>
      </c>
      <c r="X306" s="441" t="s">
        <v>126</v>
      </c>
      <c r="Y306" s="319">
        <v>5.5</v>
      </c>
      <c r="Z306" s="320"/>
      <c r="AA306" s="328">
        <f t="shared" si="66"/>
        <v>28.5</v>
      </c>
      <c r="AB306" s="298">
        <f t="shared" si="67"/>
        <v>0</v>
      </c>
      <c r="AC306" s="4"/>
      <c r="AD306" s="47"/>
      <c r="AE306" s="47"/>
      <c r="AF306" s="319"/>
      <c r="AG306" s="328"/>
      <c r="AH306" s="175"/>
      <c r="AI306" s="402"/>
      <c r="AJ306" s="367"/>
      <c r="AK306" s="494" t="s">
        <v>213</v>
      </c>
      <c r="AL306" s="471">
        <f>AA345</f>
        <v>36.5</v>
      </c>
      <c r="AM306" s="510">
        <v>50</v>
      </c>
      <c r="AN306" s="510">
        <f t="shared" si="65"/>
        <v>1825</v>
      </c>
      <c r="AQ306" s="367"/>
      <c r="AR306" s="367"/>
      <c r="AS306" s="367"/>
      <c r="AT306" s="367"/>
      <c r="AU306" s="367"/>
      <c r="AV306" s="367"/>
      <c r="AW306" s="367"/>
    </row>
    <row r="307" spans="1:49" outlineLevel="1">
      <c r="A307" s="367"/>
      <c r="B307" s="457" t="s">
        <v>382</v>
      </c>
      <c r="C307" s="47">
        <v>0.375</v>
      </c>
      <c r="D307" s="47">
        <v>0.25</v>
      </c>
      <c r="E307" s="319">
        <v>8</v>
      </c>
      <c r="F307" s="320"/>
      <c r="G307" s="4"/>
      <c r="H307" s="47">
        <v>0.375</v>
      </c>
      <c r="I307" s="47">
        <v>0.25</v>
      </c>
      <c r="J307" s="319">
        <v>8</v>
      </c>
      <c r="K307" s="320"/>
      <c r="L307" s="4"/>
      <c r="M307" s="47">
        <v>0.375</v>
      </c>
      <c r="N307" s="47">
        <v>0.25</v>
      </c>
      <c r="O307" s="319">
        <v>8</v>
      </c>
      <c r="P307" s="320"/>
      <c r="R307" s="47">
        <v>0.375</v>
      </c>
      <c r="S307" s="47">
        <v>0.25</v>
      </c>
      <c r="T307" s="319">
        <v>8</v>
      </c>
      <c r="U307" s="320"/>
      <c r="W307" s="47">
        <v>0.375</v>
      </c>
      <c r="X307" s="441" t="s">
        <v>126</v>
      </c>
      <c r="Y307" s="319">
        <v>5.5</v>
      </c>
      <c r="Z307" s="320"/>
      <c r="AA307" s="328">
        <f t="shared" si="66"/>
        <v>37.5</v>
      </c>
      <c r="AB307" s="298">
        <f t="shared" si="67"/>
        <v>0</v>
      </c>
      <c r="AC307" s="399"/>
      <c r="AD307" s="47"/>
      <c r="AE307" s="47"/>
      <c r="AF307" s="319"/>
      <c r="AG307" s="29">
        <f t="shared" ref="AG307:AG342" si="68">AF307</f>
        <v>0</v>
      </c>
      <c r="AH307" s="175"/>
      <c r="AJ307" s="401"/>
      <c r="AK307" s="494" t="s">
        <v>36</v>
      </c>
      <c r="AL307" s="471">
        <f>AB345</f>
        <v>6.5</v>
      </c>
      <c r="AM307" s="510">
        <v>75</v>
      </c>
      <c r="AN307" s="510">
        <f t="shared" si="65"/>
        <v>487.5</v>
      </c>
      <c r="AO307" s="405"/>
      <c r="AP307" s="405"/>
      <c r="AQ307" s="401"/>
      <c r="AR307" s="401"/>
      <c r="AS307" s="401"/>
      <c r="AT307" s="401"/>
      <c r="AU307" s="401"/>
      <c r="AV307" s="401"/>
      <c r="AW307" s="401"/>
    </row>
    <row r="308" spans="1:49" outlineLevel="1">
      <c r="A308" s="367"/>
      <c r="B308" s="457" t="s">
        <v>405</v>
      </c>
      <c r="C308" s="47">
        <v>0</v>
      </c>
      <c r="D308" s="47">
        <v>0</v>
      </c>
      <c r="E308" s="319">
        <v>0</v>
      </c>
      <c r="F308" s="320"/>
      <c r="G308" s="4"/>
      <c r="H308" s="47">
        <v>0</v>
      </c>
      <c r="I308" s="47">
        <v>0</v>
      </c>
      <c r="J308" s="319">
        <v>0</v>
      </c>
      <c r="K308" s="320"/>
      <c r="L308" s="4"/>
      <c r="M308" s="47">
        <v>0.375</v>
      </c>
      <c r="N308" s="47">
        <v>0.25</v>
      </c>
      <c r="O308" s="319">
        <v>8</v>
      </c>
      <c r="P308" s="320"/>
      <c r="R308" s="47">
        <v>0.375</v>
      </c>
      <c r="S308" s="47">
        <v>0.25</v>
      </c>
      <c r="T308" s="319">
        <v>8</v>
      </c>
      <c r="U308" s="320"/>
      <c r="W308" s="47">
        <v>0.375</v>
      </c>
      <c r="X308" s="441" t="s">
        <v>126</v>
      </c>
      <c r="Y308" s="319">
        <v>5.5</v>
      </c>
      <c r="Z308" s="320"/>
      <c r="AA308" s="328">
        <f t="shared" si="66"/>
        <v>21.5</v>
      </c>
      <c r="AB308" s="298">
        <f t="shared" si="67"/>
        <v>0</v>
      </c>
      <c r="AC308" s="399"/>
      <c r="AD308" s="47"/>
      <c r="AE308" s="47"/>
      <c r="AF308" s="319"/>
      <c r="AG308" s="29">
        <f t="shared" si="68"/>
        <v>0</v>
      </c>
      <c r="AH308" s="175"/>
      <c r="AJ308" s="401"/>
      <c r="AK308" s="494" t="s">
        <v>38</v>
      </c>
      <c r="AL308" s="471">
        <f>AG345</f>
        <v>0</v>
      </c>
      <c r="AM308" s="510">
        <v>75</v>
      </c>
      <c r="AN308" s="510">
        <f t="shared" si="65"/>
        <v>0</v>
      </c>
      <c r="AO308" s="405"/>
      <c r="AP308" s="405"/>
      <c r="AQ308" s="401"/>
      <c r="AR308" s="401"/>
      <c r="AS308" s="401"/>
      <c r="AT308" s="401"/>
      <c r="AU308" s="401"/>
      <c r="AV308" s="401"/>
      <c r="AW308" s="401"/>
    </row>
    <row r="309" spans="1:49" ht="14.25" outlineLevel="1" thickBot="1">
      <c r="A309" s="367"/>
      <c r="B309" s="457" t="s">
        <v>380</v>
      </c>
      <c r="C309" s="47">
        <v>0.375</v>
      </c>
      <c r="D309" s="47">
        <v>0.25</v>
      </c>
      <c r="E309" s="319">
        <v>8</v>
      </c>
      <c r="F309" s="320"/>
      <c r="G309" s="4"/>
      <c r="H309" s="47">
        <v>0.375</v>
      </c>
      <c r="I309" s="47">
        <v>0.25</v>
      </c>
      <c r="J309" s="319">
        <v>8</v>
      </c>
      <c r="K309" s="320"/>
      <c r="L309" s="4"/>
      <c r="M309" s="47">
        <v>0.40625</v>
      </c>
      <c r="N309" s="47">
        <v>0.25</v>
      </c>
      <c r="O309" s="319">
        <v>8</v>
      </c>
      <c r="P309" s="320"/>
      <c r="R309" s="47">
        <v>0</v>
      </c>
      <c r="S309" s="47">
        <v>0</v>
      </c>
      <c r="T309" s="319">
        <v>0</v>
      </c>
      <c r="U309" s="320"/>
      <c r="W309" s="47">
        <v>0.375</v>
      </c>
      <c r="X309" s="441" t="s">
        <v>126</v>
      </c>
      <c r="Y309" s="319">
        <v>5.5</v>
      </c>
      <c r="Z309" s="320"/>
      <c r="AA309" s="328">
        <f t="shared" si="66"/>
        <v>29.5</v>
      </c>
      <c r="AB309" s="298">
        <f t="shared" si="67"/>
        <v>0</v>
      </c>
      <c r="AC309" s="175"/>
      <c r="AD309" s="47"/>
      <c r="AE309" s="47"/>
      <c r="AF309" s="319"/>
      <c r="AG309" s="344">
        <f t="shared" si="68"/>
        <v>0</v>
      </c>
      <c r="AH309" s="175"/>
      <c r="AI309" s="368"/>
      <c r="AK309" s="494" t="s">
        <v>41</v>
      </c>
      <c r="AL309" s="471">
        <f>C346</f>
        <v>190</v>
      </c>
      <c r="AM309" s="512">
        <v>45</v>
      </c>
      <c r="AN309" s="512">
        <f t="shared" si="65"/>
        <v>8550</v>
      </c>
    </row>
    <row r="310" spans="1:49" ht="14.25" outlineLevel="1" thickTop="1">
      <c r="A310" s="401"/>
      <c r="B310" s="457" t="s">
        <v>393</v>
      </c>
      <c r="C310" s="47">
        <v>0.375</v>
      </c>
      <c r="D310" s="47">
        <v>0.25</v>
      </c>
      <c r="E310" s="319">
        <v>8</v>
      </c>
      <c r="F310" s="320"/>
      <c r="G310" s="4"/>
      <c r="H310" s="47">
        <v>0.375</v>
      </c>
      <c r="I310" s="47">
        <v>0.25</v>
      </c>
      <c r="J310" s="319">
        <v>8</v>
      </c>
      <c r="K310" s="320"/>
      <c r="L310" s="4"/>
      <c r="M310" s="47">
        <v>0.375</v>
      </c>
      <c r="N310" s="47">
        <v>0.25</v>
      </c>
      <c r="O310" s="319">
        <v>8</v>
      </c>
      <c r="P310" s="320"/>
      <c r="R310" s="47">
        <v>0.375</v>
      </c>
      <c r="S310" s="47">
        <v>0.25</v>
      </c>
      <c r="T310" s="319">
        <v>8</v>
      </c>
      <c r="U310" s="320"/>
      <c r="W310" s="47">
        <v>0.375</v>
      </c>
      <c r="X310" s="441" t="s">
        <v>126</v>
      </c>
      <c r="Y310" s="319">
        <v>5.5</v>
      </c>
      <c r="Z310" s="320"/>
      <c r="AA310" s="328">
        <f t="shared" si="66"/>
        <v>37.5</v>
      </c>
      <c r="AB310" s="298">
        <f t="shared" si="67"/>
        <v>0</v>
      </c>
      <c r="AC310" s="4"/>
      <c r="AD310" s="47"/>
      <c r="AE310" s="47"/>
      <c r="AF310" s="319"/>
      <c r="AG310" s="29">
        <f t="shared" si="68"/>
        <v>0</v>
      </c>
      <c r="AJ310" s="367"/>
      <c r="AN310" s="510">
        <f>SUM(AN303:AN309)</f>
        <v>53496.600000000006</v>
      </c>
      <c r="AQ310" s="367"/>
      <c r="AR310" s="367"/>
      <c r="AS310" s="367"/>
      <c r="AT310" s="367"/>
      <c r="AU310" s="367"/>
      <c r="AV310" s="367"/>
      <c r="AW310" s="367"/>
    </row>
    <row r="311" spans="1:49" outlineLevel="1">
      <c r="A311" s="367"/>
      <c r="B311" s="318" t="s">
        <v>391</v>
      </c>
      <c r="C311" s="47">
        <v>0.375</v>
      </c>
      <c r="D311" s="47">
        <v>0.25</v>
      </c>
      <c r="E311" s="319">
        <v>8</v>
      </c>
      <c r="F311" s="320"/>
      <c r="G311" s="4"/>
      <c r="H311" s="47">
        <v>0.375</v>
      </c>
      <c r="I311" s="47">
        <v>0.25</v>
      </c>
      <c r="J311" s="319">
        <v>8</v>
      </c>
      <c r="K311" s="320"/>
      <c r="L311" s="4"/>
      <c r="M311" s="47">
        <v>0.375</v>
      </c>
      <c r="N311" s="47">
        <v>0.25</v>
      </c>
      <c r="O311" s="319">
        <v>8</v>
      </c>
      <c r="P311" s="320"/>
      <c r="R311" s="47">
        <v>0.375</v>
      </c>
      <c r="S311" s="47">
        <v>0.25</v>
      </c>
      <c r="T311" s="319">
        <v>8</v>
      </c>
      <c r="U311" s="320"/>
      <c r="W311" s="47">
        <v>0.375</v>
      </c>
      <c r="X311" s="441" t="s">
        <v>126</v>
      </c>
      <c r="Y311" s="319">
        <v>5.5</v>
      </c>
      <c r="Z311" s="320"/>
      <c r="AA311" s="328">
        <f t="shared" si="66"/>
        <v>37.5</v>
      </c>
      <c r="AB311" s="298">
        <f t="shared" si="67"/>
        <v>0</v>
      </c>
      <c r="AC311" s="4"/>
      <c r="AD311" s="47"/>
      <c r="AE311" s="47"/>
      <c r="AF311" s="319"/>
      <c r="AG311" s="29">
        <f t="shared" si="68"/>
        <v>0</v>
      </c>
    </row>
    <row r="312" spans="1:49" outlineLevel="1">
      <c r="A312" s="180"/>
      <c r="B312" s="457" t="s">
        <v>399</v>
      </c>
      <c r="C312" s="47">
        <v>0.375</v>
      </c>
      <c r="D312" s="47">
        <v>0.20833333333333334</v>
      </c>
      <c r="E312" s="319">
        <v>8</v>
      </c>
      <c r="F312" s="320"/>
      <c r="G312" s="4"/>
      <c r="H312" s="47">
        <v>0.375</v>
      </c>
      <c r="I312" s="47">
        <v>0.25</v>
      </c>
      <c r="J312" s="319">
        <v>8</v>
      </c>
      <c r="K312" s="320"/>
      <c r="L312" s="4"/>
      <c r="M312" s="47">
        <v>0.375</v>
      </c>
      <c r="N312" s="47">
        <v>0.25</v>
      </c>
      <c r="O312" s="319">
        <v>8</v>
      </c>
      <c r="P312" s="320"/>
      <c r="R312" s="47">
        <v>0.375</v>
      </c>
      <c r="S312" s="47">
        <v>0.25</v>
      </c>
      <c r="T312" s="319">
        <v>8</v>
      </c>
      <c r="U312" s="320"/>
      <c r="W312" s="47">
        <v>0.375</v>
      </c>
      <c r="X312" s="441" t="s">
        <v>136</v>
      </c>
      <c r="Y312" s="319">
        <v>8</v>
      </c>
      <c r="Z312" s="320"/>
      <c r="AA312" s="328">
        <f t="shared" si="66"/>
        <v>40</v>
      </c>
      <c r="AB312" s="298">
        <f t="shared" si="67"/>
        <v>0</v>
      </c>
      <c r="AC312" s="4"/>
      <c r="AD312" s="47"/>
      <c r="AE312" s="47"/>
      <c r="AF312" s="319"/>
      <c r="AG312" s="29">
        <f t="shared" si="68"/>
        <v>0</v>
      </c>
    </row>
    <row r="313" spans="1:49" outlineLevel="1">
      <c r="A313" s="180"/>
      <c r="B313" s="318" t="s">
        <v>381</v>
      </c>
      <c r="C313" s="47">
        <v>0.375</v>
      </c>
      <c r="D313" s="47">
        <v>0.25</v>
      </c>
      <c r="E313" s="319">
        <v>8</v>
      </c>
      <c r="F313" s="320"/>
      <c r="G313" s="4"/>
      <c r="H313" s="47">
        <v>0.375</v>
      </c>
      <c r="I313" s="47">
        <v>0.25</v>
      </c>
      <c r="J313" s="319">
        <v>8</v>
      </c>
      <c r="K313" s="320"/>
      <c r="L313" s="4"/>
      <c r="M313" s="47">
        <v>0.375</v>
      </c>
      <c r="N313" s="47">
        <v>0.25</v>
      </c>
      <c r="O313" s="319">
        <v>8</v>
      </c>
      <c r="P313" s="320"/>
      <c r="R313" s="47">
        <v>0.375</v>
      </c>
      <c r="S313" s="47">
        <v>0.25</v>
      </c>
      <c r="T313" s="319">
        <v>8</v>
      </c>
      <c r="U313" s="320"/>
      <c r="W313" s="47">
        <v>0.375</v>
      </c>
      <c r="X313" s="441" t="s">
        <v>126</v>
      </c>
      <c r="Y313" s="319">
        <v>5.5</v>
      </c>
      <c r="Z313" s="320"/>
      <c r="AA313" s="328">
        <f t="shared" si="66"/>
        <v>37.5</v>
      </c>
      <c r="AB313" s="298">
        <f t="shared" si="67"/>
        <v>0</v>
      </c>
      <c r="AC313" s="4"/>
      <c r="AD313" s="47"/>
      <c r="AE313" s="47"/>
      <c r="AF313" s="319"/>
      <c r="AG313" s="29">
        <f t="shared" si="68"/>
        <v>0</v>
      </c>
    </row>
    <row r="314" spans="1:49" outlineLevel="1">
      <c r="A314" s="180"/>
      <c r="B314" s="457" t="s">
        <v>389</v>
      </c>
      <c r="C314" s="47">
        <v>0.375</v>
      </c>
      <c r="D314" s="47">
        <v>0.25</v>
      </c>
      <c r="E314" s="319">
        <v>8</v>
      </c>
      <c r="F314" s="320"/>
      <c r="G314" s="4"/>
      <c r="H314" s="47">
        <v>0.375</v>
      </c>
      <c r="I314" s="47">
        <v>0.25</v>
      </c>
      <c r="J314" s="319">
        <v>8</v>
      </c>
      <c r="K314" s="320"/>
      <c r="L314" s="4"/>
      <c r="M314" s="47">
        <v>0.375</v>
      </c>
      <c r="N314" s="47">
        <v>0.25</v>
      </c>
      <c r="O314" s="319">
        <v>8</v>
      </c>
      <c r="P314" s="320"/>
      <c r="R314" s="47">
        <v>0.375</v>
      </c>
      <c r="S314" s="47">
        <v>0.25</v>
      </c>
      <c r="T314" s="319">
        <v>8</v>
      </c>
      <c r="U314" s="320"/>
      <c r="W314" s="47">
        <v>0.375</v>
      </c>
      <c r="X314" s="441" t="s">
        <v>126</v>
      </c>
      <c r="Y314" s="319">
        <v>5.5</v>
      </c>
      <c r="Z314" s="320"/>
      <c r="AA314" s="328">
        <f t="shared" si="66"/>
        <v>37.5</v>
      </c>
      <c r="AB314" s="298">
        <f t="shared" si="67"/>
        <v>0</v>
      </c>
      <c r="AC314" s="4"/>
      <c r="AD314" s="47"/>
      <c r="AE314" s="47"/>
      <c r="AF314" s="319"/>
      <c r="AG314" s="29">
        <f t="shared" si="68"/>
        <v>0</v>
      </c>
    </row>
    <row r="315" spans="1:49" outlineLevel="1">
      <c r="A315" s="180"/>
      <c r="B315" s="318" t="s">
        <v>398</v>
      </c>
      <c r="C315" s="47">
        <v>0.375</v>
      </c>
      <c r="D315" s="47">
        <v>0.25</v>
      </c>
      <c r="E315" s="319">
        <v>8</v>
      </c>
      <c r="F315" s="320"/>
      <c r="G315" s="4"/>
      <c r="H315" s="47">
        <v>0.375</v>
      </c>
      <c r="I315" s="47">
        <v>0.25</v>
      </c>
      <c r="J315" s="319">
        <v>8</v>
      </c>
      <c r="K315" s="320"/>
      <c r="L315" s="4"/>
      <c r="M315" s="47">
        <v>0.375</v>
      </c>
      <c r="N315" s="47">
        <v>0.25</v>
      </c>
      <c r="O315" s="319">
        <v>8</v>
      </c>
      <c r="P315" s="320"/>
      <c r="R315" s="47">
        <v>0.375</v>
      </c>
      <c r="S315" s="47">
        <v>0.25</v>
      </c>
      <c r="T315" s="319">
        <v>8</v>
      </c>
      <c r="U315" s="320"/>
      <c r="W315" s="47">
        <v>0.375</v>
      </c>
      <c r="X315" s="441" t="s">
        <v>126</v>
      </c>
      <c r="Y315" s="319">
        <v>5.5</v>
      </c>
      <c r="Z315" s="320"/>
      <c r="AA315" s="328">
        <f t="shared" si="66"/>
        <v>37.5</v>
      </c>
      <c r="AB315" s="298">
        <f t="shared" ref="AB315:AB328" si="69">Z315+U315+P315+K315+F313</f>
        <v>0</v>
      </c>
      <c r="AC315" s="4"/>
      <c r="AD315" s="47"/>
      <c r="AE315" s="47"/>
      <c r="AF315" s="319"/>
      <c r="AG315" s="29">
        <f t="shared" si="68"/>
        <v>0</v>
      </c>
    </row>
    <row r="316" spans="1:49" outlineLevel="1">
      <c r="A316" s="180"/>
      <c r="B316" s="457" t="s">
        <v>392</v>
      </c>
      <c r="C316" s="47">
        <v>0</v>
      </c>
      <c r="D316" s="47">
        <v>0</v>
      </c>
      <c r="E316" s="319">
        <v>0</v>
      </c>
      <c r="F316" s="320"/>
      <c r="G316" s="4"/>
      <c r="H316" s="47">
        <v>0</v>
      </c>
      <c r="I316" s="47">
        <v>0</v>
      </c>
      <c r="J316" s="319">
        <v>0</v>
      </c>
      <c r="K316" s="320"/>
      <c r="L316" s="4"/>
      <c r="M316" s="47">
        <v>0</v>
      </c>
      <c r="N316" s="47">
        <v>0</v>
      </c>
      <c r="O316" s="319">
        <v>0</v>
      </c>
      <c r="P316" s="320"/>
      <c r="R316" s="47">
        <v>0</v>
      </c>
      <c r="S316" s="47">
        <v>0</v>
      </c>
      <c r="T316" s="319">
        <v>0</v>
      </c>
      <c r="U316" s="320"/>
      <c r="W316" s="47">
        <v>0</v>
      </c>
      <c r="X316" s="441" t="s">
        <v>154</v>
      </c>
      <c r="Y316" s="319">
        <v>0</v>
      </c>
      <c r="Z316" s="320"/>
      <c r="AA316" s="328">
        <f t="shared" si="66"/>
        <v>0</v>
      </c>
      <c r="AB316" s="298">
        <f t="shared" si="69"/>
        <v>0</v>
      </c>
      <c r="AC316" s="4"/>
      <c r="AD316" s="47"/>
      <c r="AE316" s="47"/>
      <c r="AF316" s="319"/>
      <c r="AG316" s="29">
        <f t="shared" si="68"/>
        <v>0</v>
      </c>
    </row>
    <row r="317" spans="1:49" outlineLevel="1">
      <c r="A317" s="180"/>
      <c r="B317" s="457" t="s">
        <v>401</v>
      </c>
      <c r="C317" s="47">
        <v>0.375</v>
      </c>
      <c r="D317" s="47">
        <v>0.25</v>
      </c>
      <c r="E317" s="319">
        <v>8</v>
      </c>
      <c r="F317" s="320"/>
      <c r="G317" s="4"/>
      <c r="H317" s="47">
        <v>0.375</v>
      </c>
      <c r="I317" s="47">
        <v>0.25</v>
      </c>
      <c r="J317" s="319">
        <v>8</v>
      </c>
      <c r="K317" s="320"/>
      <c r="L317" s="4"/>
      <c r="M317" s="47">
        <v>0.375</v>
      </c>
      <c r="N317" s="47">
        <v>0.25</v>
      </c>
      <c r="O317" s="319">
        <v>8</v>
      </c>
      <c r="P317" s="320"/>
      <c r="R317" s="47">
        <v>0.375</v>
      </c>
      <c r="S317" s="47">
        <v>0.25</v>
      </c>
      <c r="T317" s="319">
        <v>8</v>
      </c>
      <c r="U317" s="320"/>
      <c r="W317" s="47">
        <v>0.375</v>
      </c>
      <c r="X317" s="441" t="s">
        <v>126</v>
      </c>
      <c r="Y317" s="319">
        <v>5.5</v>
      </c>
      <c r="Z317" s="320"/>
      <c r="AA317" s="328">
        <f t="shared" si="66"/>
        <v>37.5</v>
      </c>
      <c r="AB317" s="298">
        <f t="shared" si="69"/>
        <v>0</v>
      </c>
      <c r="AC317" s="4"/>
      <c r="AD317" s="47"/>
      <c r="AE317" s="47"/>
      <c r="AF317" s="319"/>
      <c r="AG317" s="29">
        <f t="shared" si="68"/>
        <v>0</v>
      </c>
    </row>
    <row r="318" spans="1:49" outlineLevel="1">
      <c r="A318" s="180"/>
      <c r="B318" s="318" t="s">
        <v>390</v>
      </c>
      <c r="C318" s="47">
        <v>0.375</v>
      </c>
      <c r="D318" s="47">
        <v>0.25</v>
      </c>
      <c r="E318" s="319">
        <v>8</v>
      </c>
      <c r="F318" s="320"/>
      <c r="G318" s="4"/>
      <c r="H318" s="441" t="s">
        <v>75</v>
      </c>
      <c r="I318" s="47">
        <v>0.25</v>
      </c>
      <c r="J318" s="319">
        <v>8</v>
      </c>
      <c r="K318" s="320"/>
      <c r="L318" s="4"/>
      <c r="M318" s="441" t="s">
        <v>75</v>
      </c>
      <c r="N318" s="47">
        <v>0.15625</v>
      </c>
      <c r="O318" s="319">
        <v>6.75</v>
      </c>
      <c r="P318" s="320"/>
      <c r="R318" s="47">
        <v>0.38541666666666669</v>
      </c>
      <c r="S318" s="441" t="s">
        <v>246</v>
      </c>
      <c r="T318" s="319">
        <v>8</v>
      </c>
      <c r="U318" s="320"/>
      <c r="W318" s="47">
        <v>0.375</v>
      </c>
      <c r="X318" s="441" t="s">
        <v>126</v>
      </c>
      <c r="Y318" s="319">
        <v>5.5</v>
      </c>
      <c r="Z318" s="320"/>
      <c r="AA318" s="328">
        <f t="shared" si="66"/>
        <v>36.25</v>
      </c>
      <c r="AB318" s="298">
        <f t="shared" si="69"/>
        <v>0</v>
      </c>
      <c r="AC318" s="4"/>
      <c r="AD318" s="47"/>
      <c r="AE318" s="47"/>
      <c r="AF318" s="319"/>
      <c r="AG318" s="29">
        <f t="shared" si="68"/>
        <v>0</v>
      </c>
    </row>
    <row r="319" spans="1:49" outlineLevel="1">
      <c r="A319" s="180"/>
      <c r="B319" s="457" t="s">
        <v>406</v>
      </c>
      <c r="C319" s="47">
        <v>0</v>
      </c>
      <c r="D319" s="47">
        <v>0</v>
      </c>
      <c r="E319" s="319">
        <v>0</v>
      </c>
      <c r="F319" s="320"/>
      <c r="G319" s="4"/>
      <c r="H319" s="47">
        <v>0.375</v>
      </c>
      <c r="I319" s="47">
        <v>0.25</v>
      </c>
      <c r="J319" s="319">
        <v>8</v>
      </c>
      <c r="K319" s="320"/>
      <c r="L319" s="4"/>
      <c r="M319" s="47">
        <v>0.375</v>
      </c>
      <c r="N319" s="47">
        <v>0.25</v>
      </c>
      <c r="O319" s="319">
        <v>8</v>
      </c>
      <c r="P319" s="320"/>
      <c r="R319" s="47">
        <v>0.375</v>
      </c>
      <c r="S319" s="441" t="s">
        <v>246</v>
      </c>
      <c r="T319" s="319">
        <v>8</v>
      </c>
      <c r="U319" s="320"/>
      <c r="W319" s="47">
        <v>0.375</v>
      </c>
      <c r="X319" s="441" t="s">
        <v>126</v>
      </c>
      <c r="Y319" s="319">
        <v>5.5</v>
      </c>
      <c r="Z319" s="320"/>
      <c r="AA319" s="328">
        <f t="shared" si="66"/>
        <v>29.5</v>
      </c>
      <c r="AB319" s="298">
        <f t="shared" si="69"/>
        <v>0</v>
      </c>
      <c r="AC319" s="4"/>
      <c r="AD319" s="47"/>
      <c r="AE319" s="47"/>
      <c r="AF319" s="319"/>
      <c r="AG319" s="29">
        <f t="shared" si="68"/>
        <v>0</v>
      </c>
    </row>
    <row r="320" spans="1:49" outlineLevel="1">
      <c r="A320" s="180"/>
      <c r="B320" s="318" t="s">
        <v>386</v>
      </c>
      <c r="C320" s="47">
        <v>0.375</v>
      </c>
      <c r="D320" s="47">
        <v>0.25</v>
      </c>
      <c r="E320" s="319">
        <v>8</v>
      </c>
      <c r="F320" s="320"/>
      <c r="G320" s="4"/>
      <c r="H320" s="47">
        <v>0.375</v>
      </c>
      <c r="I320" s="47">
        <v>0.25</v>
      </c>
      <c r="J320" s="319">
        <v>8</v>
      </c>
      <c r="K320" s="320"/>
      <c r="L320" s="4"/>
      <c r="M320" s="47">
        <v>0.375</v>
      </c>
      <c r="N320" s="441" t="s">
        <v>136</v>
      </c>
      <c r="O320" s="319">
        <v>8</v>
      </c>
      <c r="P320" s="320"/>
      <c r="R320" s="47">
        <v>0.375</v>
      </c>
      <c r="S320" s="441" t="s">
        <v>246</v>
      </c>
      <c r="T320" s="319">
        <v>8</v>
      </c>
      <c r="U320" s="320"/>
      <c r="W320" s="47">
        <v>0.375</v>
      </c>
      <c r="X320" s="441" t="s">
        <v>136</v>
      </c>
      <c r="Y320" s="319">
        <v>8</v>
      </c>
      <c r="Z320" s="320"/>
      <c r="AA320" s="328">
        <f>(E320+J320+O320+T320+Y320)</f>
        <v>40</v>
      </c>
      <c r="AB320" s="298">
        <f t="shared" si="69"/>
        <v>0</v>
      </c>
      <c r="AC320" s="4"/>
      <c r="AD320" s="47"/>
      <c r="AE320" s="47"/>
      <c r="AF320" s="319"/>
      <c r="AG320" s="29">
        <f t="shared" si="68"/>
        <v>0</v>
      </c>
    </row>
    <row r="321" spans="1:37" outlineLevel="1">
      <c r="A321" s="180"/>
      <c r="B321" s="318" t="s">
        <v>403</v>
      </c>
      <c r="C321" s="47">
        <v>0.375</v>
      </c>
      <c r="D321" s="47">
        <v>0.25</v>
      </c>
      <c r="E321" s="319">
        <v>8</v>
      </c>
      <c r="F321" s="320"/>
      <c r="G321" s="4"/>
      <c r="H321" s="47">
        <v>0.375</v>
      </c>
      <c r="I321" s="47">
        <v>0.25</v>
      </c>
      <c r="J321" s="319">
        <v>8</v>
      </c>
      <c r="K321" s="320"/>
      <c r="L321" s="4"/>
      <c r="M321" s="47">
        <v>0.375</v>
      </c>
      <c r="N321" s="441" t="s">
        <v>136</v>
      </c>
      <c r="O321" s="319">
        <v>8</v>
      </c>
      <c r="P321" s="320"/>
      <c r="R321" s="47">
        <v>0.375</v>
      </c>
      <c r="S321" s="441" t="s">
        <v>136</v>
      </c>
      <c r="T321" s="319">
        <v>8</v>
      </c>
      <c r="U321" s="320"/>
      <c r="W321" s="47">
        <v>0.375</v>
      </c>
      <c r="X321" s="441" t="s">
        <v>126</v>
      </c>
      <c r="Y321" s="319">
        <v>5.5</v>
      </c>
      <c r="Z321" s="320"/>
      <c r="AA321" s="328">
        <f t="shared" si="66"/>
        <v>37.5</v>
      </c>
      <c r="AB321" s="298">
        <f t="shared" si="69"/>
        <v>0</v>
      </c>
      <c r="AC321" s="4"/>
      <c r="AD321" s="47"/>
      <c r="AE321" s="47"/>
      <c r="AF321" s="319"/>
      <c r="AG321" s="29">
        <f t="shared" si="68"/>
        <v>0</v>
      </c>
    </row>
    <row r="322" spans="1:37" outlineLevel="1">
      <c r="A322" s="180"/>
      <c r="B322" s="457" t="s">
        <v>397</v>
      </c>
      <c r="C322" s="47">
        <v>0.375</v>
      </c>
      <c r="D322" s="47">
        <v>0.25</v>
      </c>
      <c r="E322" s="319">
        <v>8</v>
      </c>
      <c r="F322" s="320"/>
      <c r="G322" s="4"/>
      <c r="H322" s="47">
        <v>0.375</v>
      </c>
      <c r="I322" s="47">
        <v>0.25</v>
      </c>
      <c r="J322" s="319">
        <v>8</v>
      </c>
      <c r="K322" s="320"/>
      <c r="L322" s="4"/>
      <c r="M322" s="47">
        <v>0.375</v>
      </c>
      <c r="N322" s="441" t="s">
        <v>136</v>
      </c>
      <c r="O322" s="319">
        <v>8</v>
      </c>
      <c r="P322" s="320"/>
      <c r="R322" s="47">
        <v>0.375</v>
      </c>
      <c r="S322" s="441" t="s">
        <v>136</v>
      </c>
      <c r="T322" s="319">
        <v>8</v>
      </c>
      <c r="U322" s="320"/>
      <c r="W322" s="47">
        <v>0.375</v>
      </c>
      <c r="X322" s="441" t="s">
        <v>126</v>
      </c>
      <c r="Y322" s="319">
        <v>5.5</v>
      </c>
      <c r="Z322" s="320"/>
      <c r="AA322" s="328">
        <f t="shared" si="66"/>
        <v>37.5</v>
      </c>
      <c r="AB322" s="298">
        <f t="shared" si="69"/>
        <v>0</v>
      </c>
      <c r="AC322" s="4"/>
      <c r="AD322" s="47"/>
      <c r="AE322" s="47"/>
      <c r="AF322" s="319"/>
      <c r="AG322" s="29">
        <f t="shared" si="68"/>
        <v>0</v>
      </c>
    </row>
    <row r="323" spans="1:37" outlineLevel="1">
      <c r="A323" s="180"/>
      <c r="B323" s="457" t="s">
        <v>404</v>
      </c>
      <c r="C323" s="47">
        <v>0</v>
      </c>
      <c r="D323" s="47">
        <v>0</v>
      </c>
      <c r="E323" s="319">
        <v>0</v>
      </c>
      <c r="F323" s="320"/>
      <c r="G323" s="4"/>
      <c r="H323" s="47">
        <v>0</v>
      </c>
      <c r="I323" s="47">
        <v>0</v>
      </c>
      <c r="J323" s="319">
        <v>0</v>
      </c>
      <c r="K323" s="320"/>
      <c r="L323" s="4"/>
      <c r="M323" s="47">
        <v>0</v>
      </c>
      <c r="N323" s="47">
        <v>0</v>
      </c>
      <c r="O323" s="319">
        <v>0</v>
      </c>
      <c r="P323" s="320"/>
      <c r="R323" s="47">
        <v>0</v>
      </c>
      <c r="S323" s="47">
        <v>0</v>
      </c>
      <c r="T323" s="319">
        <v>0</v>
      </c>
      <c r="U323" s="320"/>
      <c r="W323" s="47">
        <v>0</v>
      </c>
      <c r="X323" s="47">
        <v>0</v>
      </c>
      <c r="Y323" s="319">
        <v>0</v>
      </c>
      <c r="Z323" s="320"/>
      <c r="AA323" s="328">
        <f t="shared" si="66"/>
        <v>0</v>
      </c>
      <c r="AB323" s="298">
        <f t="shared" si="69"/>
        <v>0</v>
      </c>
      <c r="AC323" s="4"/>
      <c r="AD323" s="47"/>
      <c r="AE323" s="47"/>
      <c r="AF323" s="319"/>
      <c r="AG323" s="29">
        <f t="shared" si="68"/>
        <v>0</v>
      </c>
    </row>
    <row r="324" spans="1:37" outlineLevel="1">
      <c r="A324" s="180"/>
      <c r="B324" s="318" t="s">
        <v>384</v>
      </c>
      <c r="C324" s="47">
        <v>0.375</v>
      </c>
      <c r="D324" s="47">
        <v>0.25</v>
      </c>
      <c r="E324" s="319">
        <v>8</v>
      </c>
      <c r="F324" s="320"/>
      <c r="G324" s="4"/>
      <c r="H324" s="47">
        <v>0.375</v>
      </c>
      <c r="I324" s="47">
        <v>0.25</v>
      </c>
      <c r="J324" s="319">
        <v>8</v>
      </c>
      <c r="K324" s="320"/>
      <c r="L324" s="4"/>
      <c r="M324" s="47">
        <v>0.375</v>
      </c>
      <c r="N324" s="441" t="s">
        <v>136</v>
      </c>
      <c r="O324" s="319">
        <v>8</v>
      </c>
      <c r="P324" s="320"/>
      <c r="R324" s="47">
        <v>0.375</v>
      </c>
      <c r="S324" s="441" t="s">
        <v>136</v>
      </c>
      <c r="T324" s="319">
        <v>8</v>
      </c>
      <c r="U324" s="320"/>
      <c r="W324" s="47">
        <v>0.375</v>
      </c>
      <c r="X324" s="441" t="s">
        <v>126</v>
      </c>
      <c r="Y324" s="319">
        <v>5.5</v>
      </c>
      <c r="Z324" s="320"/>
      <c r="AA324" s="328">
        <f t="shared" si="66"/>
        <v>37.5</v>
      </c>
      <c r="AB324" s="298">
        <f t="shared" si="69"/>
        <v>0</v>
      </c>
      <c r="AC324" s="4"/>
      <c r="AD324" s="47"/>
      <c r="AE324" s="47"/>
      <c r="AF324" s="319"/>
      <c r="AG324" s="29">
        <f t="shared" si="68"/>
        <v>0</v>
      </c>
    </row>
    <row r="325" spans="1:37" outlineLevel="1">
      <c r="A325" s="180"/>
      <c r="B325" s="318" t="s">
        <v>388</v>
      </c>
      <c r="C325" s="47">
        <v>0</v>
      </c>
      <c r="D325" s="47">
        <v>0</v>
      </c>
      <c r="E325" s="319">
        <v>0</v>
      </c>
      <c r="F325" s="320"/>
      <c r="G325" s="4"/>
      <c r="H325" s="47">
        <v>0.375</v>
      </c>
      <c r="I325" s="47">
        <v>0.25</v>
      </c>
      <c r="J325" s="319">
        <v>8</v>
      </c>
      <c r="K325" s="320"/>
      <c r="L325" s="4"/>
      <c r="M325" s="47">
        <v>0.375</v>
      </c>
      <c r="N325" s="47">
        <v>0.25</v>
      </c>
      <c r="O325" s="319">
        <v>9</v>
      </c>
      <c r="P325" s="320"/>
      <c r="R325" s="47">
        <v>0.375</v>
      </c>
      <c r="S325" s="441" t="s">
        <v>136</v>
      </c>
      <c r="T325" s="319">
        <v>8</v>
      </c>
      <c r="U325" s="320"/>
      <c r="W325" s="47">
        <v>0.375</v>
      </c>
      <c r="X325" s="441" t="s">
        <v>136</v>
      </c>
      <c r="Y325" s="319">
        <v>8</v>
      </c>
      <c r="Z325" s="320"/>
      <c r="AA325" s="328">
        <f t="shared" si="66"/>
        <v>33</v>
      </c>
      <c r="AB325" s="298">
        <f t="shared" si="69"/>
        <v>0</v>
      </c>
      <c r="AC325" s="4"/>
      <c r="AD325" s="47"/>
      <c r="AE325" s="47"/>
      <c r="AF325" s="319"/>
      <c r="AG325" s="29">
        <f t="shared" si="68"/>
        <v>0</v>
      </c>
    </row>
    <row r="326" spans="1:37" outlineLevel="1">
      <c r="A326" s="180"/>
      <c r="B326" s="318" t="s">
        <v>394</v>
      </c>
      <c r="C326" s="47">
        <v>0.375</v>
      </c>
      <c r="D326" s="47">
        <v>0.25</v>
      </c>
      <c r="E326" s="319">
        <v>8</v>
      </c>
      <c r="F326" s="320"/>
      <c r="G326" s="4"/>
      <c r="H326" s="47">
        <v>0.375</v>
      </c>
      <c r="I326" s="47">
        <v>0.25</v>
      </c>
      <c r="J326" s="319">
        <v>8</v>
      </c>
      <c r="K326" s="320"/>
      <c r="L326" s="4"/>
      <c r="M326" s="47">
        <v>0.375</v>
      </c>
      <c r="N326" s="47">
        <v>0.25</v>
      </c>
      <c r="O326" s="319">
        <v>8</v>
      </c>
      <c r="P326" s="320"/>
      <c r="R326" s="47">
        <v>0.375</v>
      </c>
      <c r="S326" s="47">
        <v>0.25</v>
      </c>
      <c r="T326" s="319">
        <v>8</v>
      </c>
      <c r="U326" s="320"/>
      <c r="W326" s="47">
        <v>0.375</v>
      </c>
      <c r="X326" s="441" t="s">
        <v>126</v>
      </c>
      <c r="Y326" s="319">
        <v>5.5</v>
      </c>
      <c r="Z326" s="320"/>
      <c r="AA326" s="328">
        <f t="shared" si="66"/>
        <v>37.5</v>
      </c>
      <c r="AB326" s="298">
        <f t="shared" si="69"/>
        <v>0</v>
      </c>
      <c r="AC326" s="4"/>
      <c r="AD326" s="47"/>
      <c r="AE326" s="47"/>
      <c r="AF326" s="319"/>
      <c r="AG326" s="29">
        <f t="shared" si="68"/>
        <v>0</v>
      </c>
    </row>
    <row r="327" spans="1:37" outlineLevel="1">
      <c r="A327" s="180"/>
      <c r="B327" s="318" t="s">
        <v>395</v>
      </c>
      <c r="C327" s="47">
        <v>0.35416666666666669</v>
      </c>
      <c r="D327" s="47">
        <v>0.1875</v>
      </c>
      <c r="E327" s="319">
        <v>8</v>
      </c>
      <c r="F327" s="320"/>
      <c r="G327" s="4"/>
      <c r="H327" s="47">
        <v>0.375</v>
      </c>
      <c r="I327" s="47">
        <v>0.25</v>
      </c>
      <c r="J327" s="319">
        <v>8</v>
      </c>
      <c r="K327" s="320"/>
      <c r="L327" s="4"/>
      <c r="M327" s="47">
        <v>0.375</v>
      </c>
      <c r="N327" s="47">
        <v>0.25</v>
      </c>
      <c r="O327" s="319">
        <v>8</v>
      </c>
      <c r="P327" s="320"/>
      <c r="R327" s="47">
        <v>0.375</v>
      </c>
      <c r="S327" s="47">
        <v>0.25</v>
      </c>
      <c r="T327" s="319">
        <v>8</v>
      </c>
      <c r="U327" s="320"/>
      <c r="W327" s="47">
        <v>0.45833333333333331</v>
      </c>
      <c r="X327" s="441" t="s">
        <v>126</v>
      </c>
      <c r="Y327" s="319">
        <v>3.5</v>
      </c>
      <c r="Z327" s="320"/>
      <c r="AA327" s="328">
        <f t="shared" si="66"/>
        <v>35.5</v>
      </c>
      <c r="AB327" s="298">
        <f t="shared" si="69"/>
        <v>0</v>
      </c>
      <c r="AC327" s="4"/>
      <c r="AD327" s="47"/>
      <c r="AE327" s="47"/>
      <c r="AF327" s="319"/>
      <c r="AG327" s="29">
        <f t="shared" si="68"/>
        <v>0</v>
      </c>
    </row>
    <row r="328" spans="1:37" outlineLevel="1">
      <c r="A328" s="180"/>
      <c r="B328" s="318" t="s">
        <v>383</v>
      </c>
      <c r="C328" s="47">
        <v>0</v>
      </c>
      <c r="D328" s="47">
        <v>0</v>
      </c>
      <c r="E328" s="319">
        <v>0</v>
      </c>
      <c r="F328" s="320"/>
      <c r="G328" s="4"/>
      <c r="H328" s="47">
        <v>0</v>
      </c>
      <c r="I328" s="47">
        <v>0</v>
      </c>
      <c r="J328" s="319">
        <v>0</v>
      </c>
      <c r="K328" s="320"/>
      <c r="L328" s="4"/>
      <c r="M328" s="47">
        <v>0</v>
      </c>
      <c r="N328" s="47">
        <v>0</v>
      </c>
      <c r="O328" s="319">
        <v>0</v>
      </c>
      <c r="P328" s="320"/>
      <c r="R328" s="47">
        <v>0</v>
      </c>
      <c r="S328" s="47">
        <v>0</v>
      </c>
      <c r="T328" s="319">
        <v>0</v>
      </c>
      <c r="U328" s="320"/>
      <c r="W328" s="47">
        <v>0</v>
      </c>
      <c r="X328" s="47">
        <v>0</v>
      </c>
      <c r="Y328" s="319">
        <v>0</v>
      </c>
      <c r="Z328" s="320"/>
      <c r="AA328" s="328">
        <f t="shared" si="66"/>
        <v>0</v>
      </c>
      <c r="AB328" s="298">
        <f t="shared" si="69"/>
        <v>0</v>
      </c>
      <c r="AC328" s="4"/>
      <c r="AD328" s="47"/>
      <c r="AE328" s="47"/>
      <c r="AF328" s="319"/>
      <c r="AG328" s="29">
        <f t="shared" si="68"/>
        <v>0</v>
      </c>
    </row>
    <row r="329" spans="1:37" outlineLevel="1">
      <c r="A329" s="180"/>
      <c r="B329" s="502" t="s">
        <v>407</v>
      </c>
      <c r="C329" s="47"/>
      <c r="D329" s="47"/>
      <c r="E329" s="319"/>
      <c r="F329" s="320"/>
      <c r="G329" s="4"/>
      <c r="H329" s="47"/>
      <c r="I329" s="47"/>
      <c r="J329" s="319"/>
      <c r="K329" s="320"/>
      <c r="L329" s="4"/>
      <c r="M329" s="441"/>
      <c r="N329" s="47"/>
      <c r="O329" s="319"/>
      <c r="P329" s="320"/>
      <c r="R329" s="47"/>
      <c r="S329" s="47"/>
      <c r="T329" s="319"/>
      <c r="U329" s="320"/>
      <c r="W329" s="47"/>
      <c r="X329" s="47"/>
      <c r="Y329" s="319"/>
      <c r="Z329" s="320"/>
      <c r="AA329" s="328">
        <f t="shared" si="66"/>
        <v>0</v>
      </c>
      <c r="AB329" s="298">
        <f>Z329+U329+P329+K329+F325</f>
        <v>0</v>
      </c>
      <c r="AC329" s="4"/>
      <c r="AD329" s="47"/>
      <c r="AE329" s="47"/>
      <c r="AF329" s="319"/>
      <c r="AG329" s="29">
        <f t="shared" si="68"/>
        <v>0</v>
      </c>
    </row>
    <row r="330" spans="1:37" outlineLevel="1">
      <c r="A330" s="180"/>
      <c r="B330" s="502" t="s">
        <v>408</v>
      </c>
      <c r="C330" s="47"/>
      <c r="D330" s="47"/>
      <c r="E330" s="319"/>
      <c r="F330" s="320"/>
      <c r="G330" s="4"/>
      <c r="H330" s="47"/>
      <c r="I330" s="47"/>
      <c r="J330" s="319"/>
      <c r="K330" s="320"/>
      <c r="L330" s="4"/>
      <c r="M330" s="441"/>
      <c r="N330" s="47"/>
      <c r="O330" s="319"/>
      <c r="P330" s="320"/>
      <c r="R330" s="47"/>
      <c r="S330" s="47"/>
      <c r="T330" s="319"/>
      <c r="U330" s="320"/>
      <c r="W330" s="47"/>
      <c r="X330" s="47"/>
      <c r="Y330" s="319"/>
      <c r="Z330" s="320"/>
      <c r="AA330" s="328">
        <f t="shared" si="66"/>
        <v>0</v>
      </c>
      <c r="AB330" s="298">
        <f>Z330+U330+P330+K330+F326</f>
        <v>0</v>
      </c>
      <c r="AC330" s="4"/>
      <c r="AD330" s="47"/>
      <c r="AE330" s="47"/>
      <c r="AF330" s="319"/>
      <c r="AG330" s="29">
        <f t="shared" si="68"/>
        <v>0</v>
      </c>
    </row>
    <row r="331" spans="1:37" outlineLevel="1">
      <c r="A331" s="180"/>
      <c r="B331" s="502" t="s">
        <v>409</v>
      </c>
      <c r="C331" s="47"/>
      <c r="D331" s="47"/>
      <c r="E331" s="319"/>
      <c r="F331" s="320"/>
      <c r="G331" s="4"/>
      <c r="H331" s="47"/>
      <c r="I331" s="47"/>
      <c r="J331" s="319"/>
      <c r="K331" s="320"/>
      <c r="L331" s="4"/>
      <c r="M331" s="441"/>
      <c r="N331" s="47"/>
      <c r="O331" s="319"/>
      <c r="P331" s="320"/>
      <c r="R331" s="47"/>
      <c r="S331" s="47"/>
      <c r="T331" s="319"/>
      <c r="U331" s="320"/>
      <c r="W331" s="47"/>
      <c r="X331" s="47"/>
      <c r="Y331" s="319"/>
      <c r="Z331" s="320"/>
      <c r="AA331" s="328">
        <f t="shared" si="66"/>
        <v>0</v>
      </c>
      <c r="AB331" s="298">
        <f>Z331+U331+P331+K331+F329</f>
        <v>0</v>
      </c>
      <c r="AC331" s="4"/>
      <c r="AD331" s="47"/>
      <c r="AE331" s="47"/>
      <c r="AF331" s="319"/>
      <c r="AG331" s="29">
        <f t="shared" si="68"/>
        <v>0</v>
      </c>
    </row>
    <row r="332" spans="1:37" outlineLevel="1">
      <c r="A332" s="180"/>
      <c r="B332" s="460" t="s">
        <v>343</v>
      </c>
      <c r="C332" s="47"/>
      <c r="D332" s="47"/>
      <c r="E332" s="319"/>
      <c r="F332" s="320"/>
      <c r="G332" s="4"/>
      <c r="H332" s="47"/>
      <c r="I332" s="47"/>
      <c r="J332" s="319"/>
      <c r="K332" s="320"/>
      <c r="L332" s="4"/>
      <c r="M332" s="47"/>
      <c r="N332" s="47"/>
      <c r="O332" s="319"/>
      <c r="P332" s="320"/>
      <c r="R332" s="47"/>
      <c r="S332" s="47"/>
      <c r="T332" s="319"/>
      <c r="U332" s="320"/>
      <c r="W332" s="47"/>
      <c r="X332" s="47"/>
      <c r="Y332" s="319"/>
      <c r="Z332" s="320"/>
      <c r="AA332" s="328">
        <f t="shared" si="66"/>
        <v>0</v>
      </c>
      <c r="AB332" s="298">
        <f>Z332+U332+P332+K332+F318</f>
        <v>0</v>
      </c>
      <c r="AC332" s="4"/>
      <c r="AD332" s="47"/>
      <c r="AE332" s="47"/>
      <c r="AF332" s="319"/>
      <c r="AG332" s="29">
        <f t="shared" si="68"/>
        <v>0</v>
      </c>
    </row>
    <row r="333" spans="1:37" outlineLevel="1">
      <c r="A333" s="180"/>
      <c r="B333" s="63" t="s">
        <v>250</v>
      </c>
      <c r="C333" s="47"/>
      <c r="D333" s="47"/>
      <c r="E333" s="319">
        <v>8</v>
      </c>
      <c r="F333" s="320"/>
      <c r="G333" s="4"/>
      <c r="H333" s="47"/>
      <c r="I333" s="47"/>
      <c r="J333" s="319">
        <v>8</v>
      </c>
      <c r="K333" s="320"/>
      <c r="L333" s="4"/>
      <c r="M333" s="47"/>
      <c r="N333" s="47"/>
      <c r="O333" s="319">
        <v>8</v>
      </c>
      <c r="P333" s="320"/>
      <c r="R333" s="47"/>
      <c r="S333" s="47"/>
      <c r="T333" s="319">
        <v>8</v>
      </c>
      <c r="U333" s="320"/>
      <c r="W333" s="47"/>
      <c r="X333" s="47"/>
      <c r="Y333" s="319">
        <v>8</v>
      </c>
      <c r="Z333" s="320"/>
      <c r="AA333" s="328">
        <f t="shared" si="66"/>
        <v>40</v>
      </c>
      <c r="AB333" s="298">
        <f t="shared" ref="AB333:AB342" si="70">Z333+U333+P333+K333+F333</f>
        <v>0</v>
      </c>
      <c r="AC333" s="4"/>
      <c r="AD333" s="47"/>
      <c r="AE333" s="47"/>
      <c r="AF333" s="319"/>
      <c r="AG333" s="29">
        <f t="shared" si="68"/>
        <v>0</v>
      </c>
    </row>
    <row r="334" spans="1:37" outlineLevel="1">
      <c r="A334" s="180"/>
      <c r="B334" s="63" t="s">
        <v>357</v>
      </c>
      <c r="C334" s="47"/>
      <c r="D334" s="47"/>
      <c r="E334" s="319">
        <v>8</v>
      </c>
      <c r="F334" s="320"/>
      <c r="G334" s="4"/>
      <c r="H334" s="47"/>
      <c r="I334" s="47"/>
      <c r="J334" s="319">
        <v>8</v>
      </c>
      <c r="K334" s="320"/>
      <c r="L334" s="4"/>
      <c r="M334" s="47"/>
      <c r="N334" s="47"/>
      <c r="O334" s="319">
        <v>8</v>
      </c>
      <c r="P334" s="320"/>
      <c r="R334" s="47"/>
      <c r="S334" s="47"/>
      <c r="T334" s="319">
        <v>8</v>
      </c>
      <c r="U334" s="320"/>
      <c r="W334" s="47"/>
      <c r="X334" s="47"/>
      <c r="Y334" s="319">
        <v>8</v>
      </c>
      <c r="Z334" s="320"/>
      <c r="AA334" s="328">
        <f t="shared" si="66"/>
        <v>40</v>
      </c>
      <c r="AB334" s="298">
        <f t="shared" si="70"/>
        <v>0</v>
      </c>
      <c r="AC334" s="4"/>
      <c r="AD334" s="47"/>
      <c r="AE334" s="47"/>
      <c r="AF334" s="319"/>
      <c r="AG334" s="29">
        <f t="shared" si="68"/>
        <v>0</v>
      </c>
    </row>
    <row r="335" spans="1:37" outlineLevel="1">
      <c r="A335" s="180"/>
      <c r="B335" s="63" t="s">
        <v>63</v>
      </c>
      <c r="C335" s="47"/>
      <c r="D335" s="47"/>
      <c r="E335" s="319">
        <v>4</v>
      </c>
      <c r="F335" s="320">
        <v>0.5</v>
      </c>
      <c r="G335" s="438"/>
      <c r="H335" s="47"/>
      <c r="I335" s="47"/>
      <c r="J335" s="319">
        <v>4</v>
      </c>
      <c r="K335" s="320"/>
      <c r="L335" s="438"/>
      <c r="M335" s="47"/>
      <c r="N335" s="47"/>
      <c r="O335" s="319">
        <v>4</v>
      </c>
      <c r="P335" s="320">
        <v>0.5</v>
      </c>
      <c r="Q335" s="438"/>
      <c r="R335" s="47"/>
      <c r="S335" s="47"/>
      <c r="T335" s="319">
        <v>4</v>
      </c>
      <c r="U335" s="320"/>
      <c r="V335" s="438"/>
      <c r="W335" s="47"/>
      <c r="X335" s="47"/>
      <c r="Y335" s="319">
        <v>4</v>
      </c>
      <c r="Z335" s="320"/>
      <c r="AA335" s="328">
        <f t="shared" si="66"/>
        <v>20</v>
      </c>
      <c r="AB335" s="298">
        <f t="shared" si="70"/>
        <v>1</v>
      </c>
      <c r="AC335" s="4"/>
      <c r="AD335" s="47"/>
      <c r="AE335" s="47"/>
      <c r="AF335" s="319"/>
      <c r="AG335" s="29">
        <f t="shared" si="68"/>
        <v>0</v>
      </c>
      <c r="AK335" s="407"/>
    </row>
    <row r="336" spans="1:37" outlineLevel="1">
      <c r="A336" s="180"/>
      <c r="B336" s="267" t="s">
        <v>358</v>
      </c>
      <c r="C336" s="47"/>
      <c r="D336" s="47"/>
      <c r="E336" s="319">
        <v>5</v>
      </c>
      <c r="F336" s="320"/>
      <c r="G336" s="438"/>
      <c r="H336" s="47"/>
      <c r="I336" s="47"/>
      <c r="J336" s="319">
        <v>7</v>
      </c>
      <c r="K336" s="320"/>
      <c r="L336" s="438"/>
      <c r="M336" s="47"/>
      <c r="N336" s="47"/>
      <c r="O336" s="319">
        <v>8</v>
      </c>
      <c r="P336" s="320">
        <v>1.8</v>
      </c>
      <c r="Q336" s="438"/>
      <c r="R336" s="47"/>
      <c r="S336" s="47"/>
      <c r="T336" s="319">
        <v>8</v>
      </c>
      <c r="U336" s="320">
        <v>1.5</v>
      </c>
      <c r="V336" s="438"/>
      <c r="W336" s="47"/>
      <c r="X336" s="47"/>
      <c r="Y336" s="319">
        <v>6</v>
      </c>
      <c r="Z336" s="320"/>
      <c r="AA336" s="328">
        <f t="shared" si="66"/>
        <v>34</v>
      </c>
      <c r="AB336" s="298">
        <f t="shared" si="70"/>
        <v>3.3</v>
      </c>
      <c r="AC336" s="4"/>
      <c r="AD336" s="47"/>
      <c r="AE336" s="47"/>
      <c r="AF336" s="319"/>
      <c r="AG336" s="29">
        <f t="shared" si="68"/>
        <v>0</v>
      </c>
      <c r="AK336" s="407"/>
    </row>
    <row r="337" spans="1:49" outlineLevel="1">
      <c r="A337" s="180"/>
      <c r="B337" s="267" t="s">
        <v>359</v>
      </c>
      <c r="C337" s="47"/>
      <c r="D337" s="47"/>
      <c r="E337" s="319">
        <v>0</v>
      </c>
      <c r="F337" s="320"/>
      <c r="G337" s="438"/>
      <c r="H337" s="47"/>
      <c r="I337" s="47"/>
      <c r="J337" s="319">
        <v>0</v>
      </c>
      <c r="K337" s="320"/>
      <c r="L337" s="438"/>
      <c r="M337" s="47"/>
      <c r="N337" s="47"/>
      <c r="O337" s="319">
        <v>0</v>
      </c>
      <c r="P337" s="320"/>
      <c r="Q337" s="438"/>
      <c r="R337" s="47"/>
      <c r="S337" s="47"/>
      <c r="T337" s="319">
        <v>0</v>
      </c>
      <c r="U337" s="320"/>
      <c r="V337" s="438"/>
      <c r="W337" s="47"/>
      <c r="X337" s="47"/>
      <c r="Y337" s="319">
        <v>0</v>
      </c>
      <c r="Z337" s="320"/>
      <c r="AA337" s="328">
        <f t="shared" si="66"/>
        <v>0</v>
      </c>
      <c r="AB337" s="298">
        <f t="shared" si="70"/>
        <v>0</v>
      </c>
      <c r="AC337" s="4"/>
      <c r="AD337" s="47"/>
      <c r="AE337" s="47"/>
      <c r="AF337" s="319"/>
      <c r="AG337" s="29">
        <f t="shared" si="68"/>
        <v>0</v>
      </c>
      <c r="AK337" s="407"/>
    </row>
    <row r="338" spans="1:49" outlineLevel="1">
      <c r="A338" s="180"/>
      <c r="B338" s="267" t="s">
        <v>411</v>
      </c>
      <c r="C338" s="47"/>
      <c r="D338" s="47"/>
      <c r="E338" s="319">
        <v>0</v>
      </c>
      <c r="F338" s="320"/>
      <c r="G338" s="438"/>
      <c r="H338" s="47"/>
      <c r="I338" s="47"/>
      <c r="J338" s="319">
        <v>0</v>
      </c>
      <c r="K338" s="320"/>
      <c r="L338" s="438"/>
      <c r="M338" s="47"/>
      <c r="N338" s="47"/>
      <c r="O338" s="319">
        <v>0</v>
      </c>
      <c r="P338" s="320">
        <v>1</v>
      </c>
      <c r="Q338" s="438"/>
      <c r="R338" s="47"/>
      <c r="S338" s="47"/>
      <c r="T338" s="319">
        <v>0.7</v>
      </c>
      <c r="U338" s="320"/>
      <c r="V338" s="438"/>
      <c r="W338" s="47"/>
      <c r="X338" s="47"/>
      <c r="Y338" s="319">
        <v>0</v>
      </c>
      <c r="Z338" s="320"/>
      <c r="AA338" s="328">
        <f t="shared" si="66"/>
        <v>0.7</v>
      </c>
      <c r="AB338" s="298">
        <f t="shared" si="70"/>
        <v>1</v>
      </c>
      <c r="AC338" s="4"/>
      <c r="AD338" s="47"/>
      <c r="AE338" s="47"/>
      <c r="AF338" s="319"/>
      <c r="AG338" s="29">
        <f t="shared" si="68"/>
        <v>0</v>
      </c>
      <c r="AK338" s="407"/>
    </row>
    <row r="339" spans="1:49" outlineLevel="1">
      <c r="A339" s="180"/>
      <c r="B339" s="267" t="s">
        <v>361</v>
      </c>
      <c r="C339" s="47"/>
      <c r="D339" s="47"/>
      <c r="E339" s="319">
        <v>0</v>
      </c>
      <c r="F339" s="320"/>
      <c r="G339" s="438"/>
      <c r="H339" s="47"/>
      <c r="I339" s="47"/>
      <c r="J339" s="319">
        <v>0</v>
      </c>
      <c r="K339" s="320"/>
      <c r="L339" s="438"/>
      <c r="M339" s="47"/>
      <c r="N339" s="47"/>
      <c r="O339" s="319">
        <v>0</v>
      </c>
      <c r="P339" s="320"/>
      <c r="Q339" s="438"/>
      <c r="R339" s="47"/>
      <c r="S339" s="47"/>
      <c r="T339" s="319">
        <v>0</v>
      </c>
      <c r="U339" s="320"/>
      <c r="V339" s="438"/>
      <c r="W339" s="47"/>
      <c r="X339" s="47"/>
      <c r="Y339" s="319">
        <v>0</v>
      </c>
      <c r="Z339" s="320"/>
      <c r="AA339" s="328">
        <f t="shared" si="66"/>
        <v>0</v>
      </c>
      <c r="AB339" s="298">
        <f t="shared" si="70"/>
        <v>0</v>
      </c>
      <c r="AC339" s="4"/>
      <c r="AD339" s="47"/>
      <c r="AE339" s="47"/>
      <c r="AF339" s="319"/>
      <c r="AG339" s="29">
        <f t="shared" si="68"/>
        <v>0</v>
      </c>
      <c r="AK339" s="407"/>
    </row>
    <row r="340" spans="1:49" outlineLevel="1">
      <c r="A340" s="180"/>
      <c r="B340" s="267" t="s">
        <v>362</v>
      </c>
      <c r="C340" s="47"/>
      <c r="D340" s="47"/>
      <c r="E340" s="319">
        <v>5</v>
      </c>
      <c r="F340" s="320"/>
      <c r="G340" s="438"/>
      <c r="H340" s="47"/>
      <c r="I340" s="47"/>
      <c r="J340" s="319">
        <v>4</v>
      </c>
      <c r="K340" s="320"/>
      <c r="L340" s="438"/>
      <c r="M340" s="47"/>
      <c r="N340" s="47"/>
      <c r="O340" s="319">
        <v>6</v>
      </c>
      <c r="P340" s="320"/>
      <c r="Q340" s="438"/>
      <c r="R340" s="47"/>
      <c r="S340" s="47"/>
      <c r="T340" s="319">
        <v>6</v>
      </c>
      <c r="U340" s="320"/>
      <c r="V340" s="438"/>
      <c r="W340" s="47"/>
      <c r="X340" s="47"/>
      <c r="Y340" s="319">
        <v>4</v>
      </c>
      <c r="Z340" s="320"/>
      <c r="AA340" s="328">
        <f t="shared" si="66"/>
        <v>25</v>
      </c>
      <c r="AB340" s="298">
        <f t="shared" si="70"/>
        <v>0</v>
      </c>
      <c r="AC340" s="4"/>
      <c r="AD340" s="47"/>
      <c r="AE340" s="47"/>
      <c r="AF340" s="319"/>
      <c r="AG340" s="29">
        <f t="shared" si="68"/>
        <v>0</v>
      </c>
      <c r="AK340" s="407"/>
    </row>
    <row r="341" spans="1:49" ht="13.5" customHeight="1" outlineLevel="1">
      <c r="A341" s="180"/>
      <c r="B341" s="437" t="s">
        <v>355</v>
      </c>
      <c r="C341" s="47"/>
      <c r="D341" s="47"/>
      <c r="E341" s="319">
        <v>20</v>
      </c>
      <c r="F341" s="320"/>
      <c r="G341" s="438"/>
      <c r="H341" s="47"/>
      <c r="I341" s="47"/>
      <c r="J341" s="319">
        <v>20</v>
      </c>
      <c r="K341" s="320">
        <v>2</v>
      </c>
      <c r="L341" s="438"/>
      <c r="M341" s="47"/>
      <c r="N341" s="47"/>
      <c r="O341" s="319">
        <v>20</v>
      </c>
      <c r="P341" s="320">
        <v>3.6</v>
      </c>
      <c r="Q341" s="438"/>
      <c r="R341" s="47"/>
      <c r="S341" s="47"/>
      <c r="T341" s="319">
        <v>20</v>
      </c>
      <c r="U341" s="320">
        <v>4</v>
      </c>
      <c r="V341" s="438"/>
      <c r="W341" s="47"/>
      <c r="X341" s="47"/>
      <c r="Y341" s="319">
        <v>16</v>
      </c>
      <c r="Z341" s="320"/>
      <c r="AA341" s="328">
        <f t="shared" si="66"/>
        <v>96</v>
      </c>
      <c r="AB341" s="298">
        <f t="shared" si="70"/>
        <v>9.6</v>
      </c>
      <c r="AC341" s="4"/>
      <c r="AD341" s="47"/>
      <c r="AE341" s="47"/>
      <c r="AF341" s="319"/>
      <c r="AG341" s="29">
        <f t="shared" si="68"/>
        <v>0</v>
      </c>
      <c r="AK341" s="407"/>
    </row>
    <row r="342" spans="1:49" outlineLevel="1">
      <c r="A342" s="180"/>
      <c r="B342" s="437" t="s">
        <v>356</v>
      </c>
      <c r="C342" s="47"/>
      <c r="D342" s="47"/>
      <c r="E342" s="319"/>
      <c r="F342" s="320"/>
      <c r="G342" s="438"/>
      <c r="H342" s="47"/>
      <c r="I342" s="47"/>
      <c r="J342" s="319"/>
      <c r="K342" s="320"/>
      <c r="L342" s="438"/>
      <c r="M342" s="47"/>
      <c r="N342" s="47"/>
      <c r="O342" s="319"/>
      <c r="P342" s="320"/>
      <c r="Q342" s="438"/>
      <c r="R342" s="47"/>
      <c r="S342" s="47"/>
      <c r="T342" s="319">
        <v>58.5</v>
      </c>
      <c r="U342" s="320"/>
      <c r="V342" s="438"/>
      <c r="W342" s="47"/>
      <c r="X342" s="47"/>
      <c r="Y342" s="319">
        <v>17.399999999999999</v>
      </c>
      <c r="Z342" s="320"/>
      <c r="AA342" s="328">
        <f t="shared" si="66"/>
        <v>75.900000000000006</v>
      </c>
      <c r="AB342" s="298">
        <f t="shared" si="70"/>
        <v>0</v>
      </c>
      <c r="AC342" s="4"/>
      <c r="AD342" s="47"/>
      <c r="AE342" s="47"/>
      <c r="AF342" s="319"/>
      <c r="AG342" s="29">
        <f t="shared" si="68"/>
        <v>0</v>
      </c>
      <c r="AK342" s="407"/>
    </row>
    <row r="343" spans="1:49" outlineLevel="1">
      <c r="A343" s="180"/>
      <c r="B343" s="64" t="s">
        <v>61</v>
      </c>
      <c r="C343" s="31"/>
      <c r="D343" s="31"/>
      <c r="E343" s="439">
        <f>SUM(E304:E342)</f>
        <v>188.25</v>
      </c>
      <c r="F343" s="320">
        <f>SUM(F304:F342)</f>
        <v>0.5</v>
      </c>
      <c r="G343" s="31"/>
      <c r="H343" s="31"/>
      <c r="I343" s="31"/>
      <c r="J343" s="439">
        <f>SUM(J304:J342)</f>
        <v>218</v>
      </c>
      <c r="K343" s="320">
        <f>SUM(K304:K342)</f>
        <v>2</v>
      </c>
      <c r="L343" s="31"/>
      <c r="M343" s="31"/>
      <c r="N343" s="31"/>
      <c r="O343" s="439">
        <f>SUM(O304:O342)</f>
        <v>227.75</v>
      </c>
      <c r="P343" s="320">
        <f>SUM(P304:P342)</f>
        <v>6.9</v>
      </c>
      <c r="Q343" s="31"/>
      <c r="R343" s="31"/>
      <c r="S343" s="31"/>
      <c r="T343" s="439">
        <f>SUM(T304:T342)</f>
        <v>281.2</v>
      </c>
      <c r="U343" s="320">
        <f>SUM(U304:U342)</f>
        <v>5.5</v>
      </c>
      <c r="V343" s="31"/>
      <c r="W343" s="31"/>
      <c r="X343" s="31"/>
      <c r="Y343" s="439">
        <f>SUM(Y304:Y342)</f>
        <v>184.4</v>
      </c>
      <c r="Z343" s="320">
        <f>SUM(Z304:Z342)</f>
        <v>0</v>
      </c>
      <c r="AA343" s="370">
        <f>SUM(AA304:AA342)</f>
        <v>1099.6000000000001</v>
      </c>
      <c r="AB343" s="370">
        <f>SUM(AB304:AB342)</f>
        <v>14.899999999999999</v>
      </c>
      <c r="AC343" s="4"/>
      <c r="AD343" s="64"/>
      <c r="AE343" s="64"/>
      <c r="AF343" s="370">
        <f>SUM(AF304:AF342)</f>
        <v>0</v>
      </c>
      <c r="AG343" s="370">
        <f>SUM(AG304:AG342)</f>
        <v>0</v>
      </c>
    </row>
    <row r="344" spans="1:49" outlineLevel="1">
      <c r="A344" s="180"/>
      <c r="B344" s="63" t="s">
        <v>64</v>
      </c>
      <c r="C344" s="47"/>
      <c r="D344" s="47"/>
      <c r="E344" s="319">
        <v>8</v>
      </c>
      <c r="F344" s="291">
        <v>0.5</v>
      </c>
      <c r="G344" s="60"/>
      <c r="H344" s="47"/>
      <c r="I344" s="47"/>
      <c r="J344" s="319">
        <v>8</v>
      </c>
      <c r="K344" s="291">
        <v>2.25</v>
      </c>
      <c r="L344" s="60"/>
      <c r="M344" s="47"/>
      <c r="N344" s="47"/>
      <c r="O344" s="319">
        <v>7.5</v>
      </c>
      <c r="P344" s="19">
        <v>1.5</v>
      </c>
      <c r="Q344" s="60"/>
      <c r="R344" s="47"/>
      <c r="S344" s="47"/>
      <c r="T344" s="319">
        <v>5</v>
      </c>
      <c r="U344" s="19">
        <v>1.25</v>
      </c>
      <c r="V344" s="60"/>
      <c r="W344" s="47"/>
      <c r="X344" s="47"/>
      <c r="Y344" s="319">
        <v>8</v>
      </c>
      <c r="Z344" s="19">
        <v>1</v>
      </c>
      <c r="AA344" s="28">
        <f>SUM(E344+J344+O344+T344+Y344)</f>
        <v>36.5</v>
      </c>
      <c r="AB344" s="296">
        <f>Z344+U344+P344+K344+F344</f>
        <v>6.5</v>
      </c>
      <c r="AC344" s="4"/>
      <c r="AD344" s="47" t="s">
        <v>29</v>
      </c>
      <c r="AE344" s="47" t="s">
        <v>29</v>
      </c>
      <c r="AF344" s="319"/>
      <c r="AG344" s="29">
        <f>AF344</f>
        <v>0</v>
      </c>
    </row>
    <row r="345" spans="1:49" outlineLevel="1">
      <c r="A345" s="180"/>
      <c r="B345" s="71" t="s">
        <v>66</v>
      </c>
      <c r="C345" s="371"/>
      <c r="D345" s="371"/>
      <c r="E345" s="71"/>
      <c r="F345" s="71"/>
      <c r="G345" s="71"/>
      <c r="H345" s="71"/>
      <c r="I345" s="71"/>
      <c r="J345" s="71"/>
      <c r="K345" s="71"/>
      <c r="L345" s="71"/>
      <c r="M345" s="71"/>
      <c r="N345" s="71"/>
      <c r="O345" s="71"/>
      <c r="P345" s="71"/>
      <c r="Q345" s="71"/>
      <c r="R345" s="71"/>
      <c r="S345" s="71"/>
      <c r="T345" s="71"/>
      <c r="U345" s="71"/>
      <c r="V345" s="71"/>
      <c r="W345" s="71"/>
      <c r="X345" s="71"/>
      <c r="Y345" s="71"/>
      <c r="Z345" s="71"/>
      <c r="AA345" s="370">
        <f>SUM(AA344:AA344)</f>
        <v>36.5</v>
      </c>
      <c r="AB345" s="370">
        <f>SUM(AB344:AB344)</f>
        <v>6.5</v>
      </c>
      <c r="AC345" s="4"/>
      <c r="AG345" s="370">
        <f>SUM(AG344:AG344)</f>
        <v>0</v>
      </c>
    </row>
    <row r="346" spans="1:49" outlineLevel="1">
      <c r="A346" s="180"/>
      <c r="B346" s="217" t="s">
        <v>67</v>
      </c>
      <c r="C346" s="207">
        <f>C347+C348</f>
        <v>190</v>
      </c>
      <c r="D346" s="207"/>
      <c r="E346" s="209"/>
      <c r="F346" s="209"/>
      <c r="G346" s="207"/>
      <c r="H346" s="209"/>
      <c r="I346" s="209"/>
      <c r="J346" s="209"/>
      <c r="K346" s="209"/>
      <c r="L346" s="207"/>
      <c r="M346" s="207"/>
      <c r="N346" s="207"/>
      <c r="O346" s="207"/>
      <c r="P346" s="209"/>
      <c r="Q346" s="207"/>
      <c r="R346" s="207"/>
      <c r="S346" s="207"/>
      <c r="T346" s="207"/>
      <c r="U346" s="209"/>
      <c r="V346" s="207"/>
      <c r="W346" s="207"/>
      <c r="X346" s="207"/>
      <c r="Y346" s="210"/>
      <c r="Z346" s="209"/>
      <c r="AA346" s="211"/>
      <c r="AB346" s="209"/>
      <c r="AC346" s="211"/>
      <c r="AD346" s="211"/>
      <c r="AE346" s="211"/>
      <c r="AF346" s="211"/>
      <c r="AG346" s="211"/>
    </row>
    <row r="347" spans="1:49" outlineLevel="1">
      <c r="A347" s="180"/>
      <c r="B347" s="238" t="s">
        <v>68</v>
      </c>
      <c r="C347" s="239">
        <f>23+23+23+23+23</f>
        <v>115</v>
      </c>
      <c r="D347" s="207"/>
      <c r="E347" s="209"/>
      <c r="F347" s="209"/>
      <c r="G347" s="207"/>
      <c r="H347" s="209"/>
      <c r="I347" s="209"/>
      <c r="J347" s="209"/>
      <c r="K347" s="209"/>
      <c r="L347" s="207"/>
      <c r="M347" s="207"/>
      <c r="N347" s="207"/>
      <c r="O347" s="207"/>
      <c r="P347" s="209"/>
      <c r="Q347" s="207"/>
      <c r="R347" s="207"/>
      <c r="S347" s="207"/>
      <c r="T347" s="207"/>
      <c r="U347" s="209"/>
      <c r="V347" s="207"/>
      <c r="W347" s="207"/>
      <c r="X347" s="207"/>
      <c r="Y347" s="210"/>
      <c r="Z347" s="209"/>
      <c r="AA347" s="211"/>
      <c r="AB347" s="209"/>
      <c r="AC347" s="211"/>
      <c r="AD347" s="211"/>
      <c r="AE347" s="211"/>
      <c r="AF347" s="211"/>
      <c r="AG347" s="211"/>
    </row>
    <row r="348" spans="1:49" outlineLevel="1">
      <c r="A348" s="180"/>
      <c r="B348" s="238" t="s">
        <v>69</v>
      </c>
      <c r="C348" s="239">
        <f>15+15+15+15+15</f>
        <v>75</v>
      </c>
      <c r="D348" s="207"/>
      <c r="E348" s="209"/>
      <c r="F348" s="209"/>
      <c r="G348" s="207"/>
      <c r="H348" s="209"/>
      <c r="I348" s="209"/>
      <c r="J348" s="209"/>
      <c r="K348" s="209"/>
      <c r="L348" s="207"/>
      <c r="M348" s="207"/>
      <c r="N348" s="207"/>
      <c r="O348" s="207"/>
      <c r="P348" s="209"/>
      <c r="Q348" s="207"/>
      <c r="R348" s="207"/>
      <c r="S348" s="207"/>
      <c r="T348" s="207"/>
      <c r="U348" s="209"/>
      <c r="V348" s="207"/>
      <c r="W348" s="207"/>
      <c r="X348" s="207"/>
      <c r="Y348" s="210"/>
      <c r="Z348" s="209"/>
      <c r="AA348" s="211"/>
      <c r="AB348" s="209"/>
      <c r="AC348" s="211"/>
      <c r="AD348" s="211"/>
      <c r="AE348" s="211"/>
      <c r="AF348" s="211"/>
      <c r="AG348" s="211"/>
    </row>
    <row r="349" spans="1:49" outlineLevel="1"/>
    <row r="350" spans="1:49" outlineLevel="1">
      <c r="A350" s="180"/>
      <c r="B350" s="229"/>
      <c r="C350" s="230"/>
      <c r="D350" s="230"/>
      <c r="E350" s="232"/>
      <c r="F350" s="232"/>
      <c r="G350" s="230"/>
      <c r="H350" s="232"/>
      <c r="I350" s="232"/>
      <c r="J350" s="232"/>
      <c r="K350" s="232"/>
      <c r="L350" s="230"/>
      <c r="M350" s="230"/>
      <c r="N350" s="230"/>
      <c r="O350" s="230"/>
      <c r="P350" s="232"/>
      <c r="Q350" s="230"/>
      <c r="R350" s="230"/>
      <c r="S350" s="230"/>
      <c r="T350" s="230"/>
      <c r="U350" s="232"/>
      <c r="V350" s="230"/>
      <c r="W350" s="230"/>
      <c r="X350" s="230"/>
      <c r="Y350" s="233"/>
      <c r="Z350" s="232"/>
      <c r="AA350" s="234"/>
      <c r="AB350" s="232"/>
      <c r="AC350" s="373"/>
      <c r="AD350" s="236"/>
      <c r="AE350" s="255"/>
      <c r="AF350" s="255"/>
      <c r="AG350" s="255"/>
      <c r="AH350" s="255"/>
      <c r="AJ350" s="255"/>
      <c r="AK350" s="255"/>
      <c r="AL350" s="255"/>
      <c r="AM350" s="255"/>
      <c r="AN350" s="255"/>
      <c r="AO350" s="255"/>
      <c r="AP350" s="255"/>
      <c r="AQ350" s="255"/>
      <c r="AR350" s="255"/>
      <c r="AS350" s="255"/>
      <c r="AT350" s="255"/>
      <c r="AU350" s="255"/>
      <c r="AV350" s="255"/>
      <c r="AW350" s="255"/>
    </row>
    <row r="351" spans="1:49" outlineLevel="1">
      <c r="B351" s="180"/>
      <c r="E351" s="4"/>
      <c r="F351" s="4"/>
      <c r="G351" s="4"/>
      <c r="J351" s="4"/>
      <c r="K351" s="4"/>
      <c r="L351" s="4"/>
      <c r="O351" s="4"/>
      <c r="P351" s="4"/>
      <c r="T351" s="4"/>
      <c r="U351" s="4"/>
      <c r="Y351" s="4"/>
      <c r="Z351" s="4"/>
      <c r="AA351" s="4"/>
      <c r="AB351" s="4"/>
      <c r="AC351" s="4"/>
      <c r="AK351" s="180"/>
      <c r="AL351" s="180"/>
      <c r="AM351" s="180"/>
      <c r="AN351" s="180"/>
      <c r="AO351" s="180"/>
      <c r="AP351" s="180"/>
    </row>
    <row r="352" spans="1:49" outlineLevel="1">
      <c r="A352" s="228"/>
      <c r="B352" s="1518" t="s">
        <v>18</v>
      </c>
      <c r="C352" s="1519">
        <v>45425</v>
      </c>
      <c r="D352" s="1519"/>
      <c r="E352" s="1519"/>
      <c r="F352" s="1519"/>
      <c r="G352" s="365"/>
      <c r="H352" s="1519">
        <v>45426</v>
      </c>
      <c r="I352" s="1519"/>
      <c r="J352" s="1519"/>
      <c r="K352" s="1519"/>
      <c r="L352" s="365">
        <v>45343</v>
      </c>
      <c r="M352" s="1519">
        <v>45427</v>
      </c>
      <c r="N352" s="1519"/>
      <c r="O352" s="1519"/>
      <c r="P352" s="1519"/>
      <c r="Q352" s="365"/>
      <c r="R352" s="1519">
        <v>45428</v>
      </c>
      <c r="S352" s="1519"/>
      <c r="T352" s="1519"/>
      <c r="U352" s="1519"/>
      <c r="V352" s="365"/>
      <c r="W352" s="1519">
        <v>45429</v>
      </c>
      <c r="X352" s="1519"/>
      <c r="Y352" s="1519"/>
      <c r="Z352" s="1519"/>
      <c r="AA352" s="1517" t="s">
        <v>19</v>
      </c>
      <c r="AB352" s="1517" t="s">
        <v>20</v>
      </c>
      <c r="AC352" s="4"/>
      <c r="AD352" s="1519">
        <v>45430</v>
      </c>
      <c r="AE352" s="1519"/>
      <c r="AF352" s="1519"/>
      <c r="AG352" s="1517" t="s">
        <v>21</v>
      </c>
      <c r="AI352" s="368"/>
      <c r="AK352" s="194" t="s">
        <v>84</v>
      </c>
      <c r="AL352" s="366"/>
      <c r="AM352" s="366"/>
      <c r="AN352" s="366"/>
      <c r="AO352" s="366"/>
      <c r="AP352" s="366"/>
    </row>
    <row r="353" spans="1:49" outlineLevel="1">
      <c r="A353" s="180"/>
      <c r="B353" s="1518"/>
      <c r="C353" s="21" t="s">
        <v>23</v>
      </c>
      <c r="D353" s="21" t="s">
        <v>24</v>
      </c>
      <c r="E353" s="205" t="s">
        <v>25</v>
      </c>
      <c r="F353" s="18" t="s">
        <v>14</v>
      </c>
      <c r="G353" s="4"/>
      <c r="H353" s="21" t="s">
        <v>23</v>
      </c>
      <c r="I353" s="21" t="s">
        <v>24</v>
      </c>
      <c r="J353" s="18" t="s">
        <v>25</v>
      </c>
      <c r="K353" s="18" t="s">
        <v>14</v>
      </c>
      <c r="L353" s="4"/>
      <c r="M353" s="21" t="s">
        <v>23</v>
      </c>
      <c r="N353" s="21" t="s">
        <v>24</v>
      </c>
      <c r="O353" s="18" t="s">
        <v>25</v>
      </c>
      <c r="P353" s="18" t="s">
        <v>14</v>
      </c>
      <c r="R353" s="21" t="s">
        <v>23</v>
      </c>
      <c r="S353" s="21" t="s">
        <v>24</v>
      </c>
      <c r="T353" s="18" t="s">
        <v>25</v>
      </c>
      <c r="U353" s="18" t="s">
        <v>14</v>
      </c>
      <c r="W353" s="21" t="s">
        <v>23</v>
      </c>
      <c r="X353" s="21" t="s">
        <v>24</v>
      </c>
      <c r="Y353" s="18" t="s">
        <v>25</v>
      </c>
      <c r="Z353" s="18" t="s">
        <v>14</v>
      </c>
      <c r="AA353" s="1517"/>
      <c r="AB353" s="1517"/>
      <c r="AC353" s="4"/>
      <c r="AD353" s="21" t="s">
        <v>23</v>
      </c>
      <c r="AE353" s="21" t="s">
        <v>24</v>
      </c>
      <c r="AF353" s="18" t="s">
        <v>25</v>
      </c>
      <c r="AG353" s="1517"/>
      <c r="AI353" s="368"/>
      <c r="AJ353" s="367"/>
      <c r="AK353" s="494" t="s">
        <v>26</v>
      </c>
      <c r="AL353" s="471">
        <f>AA392</f>
        <v>1010.2</v>
      </c>
      <c r="AM353" s="510">
        <v>38</v>
      </c>
      <c r="AN353" s="510">
        <f>AL353*AM353</f>
        <v>38387.599999999999</v>
      </c>
      <c r="AQ353" s="367"/>
      <c r="AR353" s="367"/>
      <c r="AS353" s="367"/>
      <c r="AT353" s="367"/>
      <c r="AU353" s="367"/>
      <c r="AV353" s="367"/>
      <c r="AW353" s="367"/>
    </row>
    <row r="354" spans="1:49" outlineLevel="1">
      <c r="A354" s="180"/>
      <c r="B354" s="164" t="s">
        <v>402</v>
      </c>
      <c r="C354" s="47">
        <v>0.375</v>
      </c>
      <c r="D354" s="47">
        <v>0.25</v>
      </c>
      <c r="E354" s="319">
        <v>8</v>
      </c>
      <c r="F354" s="320"/>
      <c r="G354" s="4"/>
      <c r="H354" s="47">
        <v>0.375</v>
      </c>
      <c r="I354" s="47">
        <v>0.25</v>
      </c>
      <c r="J354" s="319">
        <v>8</v>
      </c>
      <c r="K354" s="320"/>
      <c r="L354" s="4"/>
      <c r="M354" s="47">
        <v>0.375</v>
      </c>
      <c r="N354" s="47">
        <v>0.25</v>
      </c>
      <c r="O354" s="319">
        <v>8</v>
      </c>
      <c r="P354" s="320"/>
      <c r="R354" s="327">
        <v>0</v>
      </c>
      <c r="S354" s="327">
        <v>0</v>
      </c>
      <c r="T354" s="319">
        <v>8</v>
      </c>
      <c r="U354" s="320"/>
      <c r="W354" s="47">
        <v>0</v>
      </c>
      <c r="X354" s="47">
        <v>0</v>
      </c>
      <c r="Y354" s="319">
        <v>0</v>
      </c>
      <c r="Z354" s="320"/>
      <c r="AA354" s="328">
        <f t="shared" ref="AA354:AA391" si="71">(E354+J354+O354+T354+Y354)</f>
        <v>32</v>
      </c>
      <c r="AB354" s="298">
        <f t="shared" ref="AB354:AB390" si="72">Z354+U354+P354+K354+F354</f>
        <v>0</v>
      </c>
      <c r="AC354" s="4"/>
      <c r="AD354" s="47"/>
      <c r="AE354" s="47"/>
      <c r="AF354" s="319"/>
      <c r="AG354" s="328">
        <f t="shared" ref="AG354:AG391" si="73">AF354</f>
        <v>0</v>
      </c>
      <c r="AI354" s="368"/>
      <c r="AJ354" s="367"/>
      <c r="AK354" s="494" t="s">
        <v>30</v>
      </c>
      <c r="AL354" s="471">
        <f>$AB$31</f>
        <v>0</v>
      </c>
      <c r="AM354" s="511">
        <v>57</v>
      </c>
      <c r="AN354" s="510">
        <f>AL354*AM354</f>
        <v>0</v>
      </c>
      <c r="AQ354" s="367"/>
      <c r="AR354" s="367"/>
      <c r="AS354" s="367"/>
      <c r="AT354" s="367"/>
      <c r="AU354" s="367"/>
      <c r="AV354" s="367"/>
      <c r="AW354" s="367"/>
    </row>
    <row r="355" spans="1:49" outlineLevel="1">
      <c r="A355" s="367"/>
      <c r="B355" s="13" t="s">
        <v>385</v>
      </c>
      <c r="C355" s="441" t="s">
        <v>83</v>
      </c>
      <c r="D355" s="47">
        <v>0.25</v>
      </c>
      <c r="E355" s="319">
        <v>7.5</v>
      </c>
      <c r="F355" s="320"/>
      <c r="G355" s="4"/>
      <c r="H355" s="441" t="s">
        <v>246</v>
      </c>
      <c r="I355" s="47">
        <v>0.25</v>
      </c>
      <c r="J355" s="319">
        <v>8</v>
      </c>
      <c r="K355" s="320">
        <v>3</v>
      </c>
      <c r="L355" s="4"/>
      <c r="M355" s="47">
        <v>0.25</v>
      </c>
      <c r="N355" s="47">
        <v>0.25</v>
      </c>
      <c r="O355" s="319">
        <v>8</v>
      </c>
      <c r="P355" s="320">
        <v>3</v>
      </c>
      <c r="R355" s="327">
        <v>0</v>
      </c>
      <c r="S355" s="327">
        <v>0</v>
      </c>
      <c r="T355" s="319">
        <v>4</v>
      </c>
      <c r="U355" s="320"/>
      <c r="W355" s="327">
        <v>0</v>
      </c>
      <c r="X355" s="47">
        <v>0</v>
      </c>
      <c r="Y355" s="319">
        <v>0</v>
      </c>
      <c r="Z355" s="320"/>
      <c r="AA355" s="328">
        <f t="shared" si="71"/>
        <v>27.5</v>
      </c>
      <c r="AB355" s="298">
        <f t="shared" si="72"/>
        <v>6</v>
      </c>
      <c r="AC355" s="4"/>
      <c r="AD355" s="47"/>
      <c r="AE355" s="47"/>
      <c r="AF355" s="319"/>
      <c r="AG355" s="328">
        <f t="shared" si="73"/>
        <v>0</v>
      </c>
      <c r="AH355" s="175"/>
      <c r="AI355" s="402"/>
      <c r="AJ355" s="367"/>
      <c r="AK355" s="494" t="s">
        <v>32</v>
      </c>
      <c r="AL355" s="471">
        <f>AB392</f>
        <v>59</v>
      </c>
      <c r="AM355" s="510">
        <v>57</v>
      </c>
      <c r="AN355" s="510">
        <f>AL355*AM355</f>
        <v>3363</v>
      </c>
      <c r="AQ355" s="367"/>
      <c r="AR355" s="367"/>
      <c r="AS355" s="367"/>
      <c r="AT355" s="367"/>
      <c r="AU355" s="367"/>
      <c r="AV355" s="367"/>
      <c r="AW355" s="367"/>
    </row>
    <row r="356" spans="1:49" outlineLevel="1">
      <c r="A356" s="367"/>
      <c r="B356" s="13" t="s">
        <v>410</v>
      </c>
      <c r="C356" s="47">
        <v>0.375</v>
      </c>
      <c r="D356" s="47">
        <v>0.25</v>
      </c>
      <c r="E356" s="319">
        <v>8</v>
      </c>
      <c r="F356" s="320"/>
      <c r="G356" s="4"/>
      <c r="H356" s="47">
        <v>0.375</v>
      </c>
      <c r="I356" s="47">
        <v>0.25</v>
      </c>
      <c r="J356" s="319">
        <v>8</v>
      </c>
      <c r="K356" s="320"/>
      <c r="L356" s="4"/>
      <c r="M356" s="47">
        <v>0.375</v>
      </c>
      <c r="N356" s="47">
        <v>0.25</v>
      </c>
      <c r="O356" s="319">
        <v>8</v>
      </c>
      <c r="P356" s="320"/>
      <c r="R356" s="327">
        <v>0</v>
      </c>
      <c r="S356" s="327">
        <v>0</v>
      </c>
      <c r="T356" s="319">
        <v>8</v>
      </c>
      <c r="U356" s="320"/>
      <c r="W356" s="327">
        <v>0</v>
      </c>
      <c r="X356" s="47">
        <v>0</v>
      </c>
      <c r="Y356" s="319">
        <v>0</v>
      </c>
      <c r="Z356" s="320"/>
      <c r="AA356" s="328">
        <f t="shared" ref="AA356" si="74">(E356+J356+O356+T356+Y356)</f>
        <v>32</v>
      </c>
      <c r="AB356" s="298">
        <f t="shared" si="72"/>
        <v>0</v>
      </c>
      <c r="AC356" s="4"/>
      <c r="AD356" s="47"/>
      <c r="AE356" s="47"/>
      <c r="AF356" s="319"/>
      <c r="AG356" s="328">
        <f t="shared" si="73"/>
        <v>0</v>
      </c>
      <c r="AH356" s="175"/>
      <c r="AI356" s="402"/>
      <c r="AJ356" s="367"/>
      <c r="AK356" s="494"/>
      <c r="AL356" s="471"/>
      <c r="AM356" s="510"/>
      <c r="AN356" s="510"/>
      <c r="AQ356" s="367"/>
      <c r="AR356" s="367"/>
      <c r="AS356" s="367"/>
      <c r="AT356" s="367"/>
      <c r="AU356" s="367"/>
      <c r="AV356" s="367"/>
      <c r="AW356" s="367"/>
    </row>
    <row r="357" spans="1:49" outlineLevel="1">
      <c r="A357" s="367"/>
      <c r="B357" s="164" t="s">
        <v>382</v>
      </c>
      <c r="C357" s="47">
        <v>0.375</v>
      </c>
      <c r="D357" s="47">
        <v>0.25</v>
      </c>
      <c r="E357" s="319">
        <v>8</v>
      </c>
      <c r="F357" s="320"/>
      <c r="G357" s="4"/>
      <c r="H357" s="47">
        <v>0.375</v>
      </c>
      <c r="I357" s="47">
        <v>0.25</v>
      </c>
      <c r="J357" s="319">
        <v>8</v>
      </c>
      <c r="K357" s="320"/>
      <c r="L357" s="4"/>
      <c r="M357" s="47">
        <v>0.375</v>
      </c>
      <c r="N357" s="47">
        <v>0.25</v>
      </c>
      <c r="O357" s="319">
        <v>8</v>
      </c>
      <c r="P357" s="320"/>
      <c r="R357" s="327">
        <v>0</v>
      </c>
      <c r="S357" s="327">
        <v>0</v>
      </c>
      <c r="T357" s="319">
        <v>0</v>
      </c>
      <c r="U357" s="320"/>
      <c r="W357" s="327">
        <v>0</v>
      </c>
      <c r="X357" s="47">
        <v>0</v>
      </c>
      <c r="Y357" s="319">
        <v>0</v>
      </c>
      <c r="Z357" s="320"/>
      <c r="AA357" s="328">
        <f t="shared" si="71"/>
        <v>24</v>
      </c>
      <c r="AB357" s="298">
        <f t="shared" si="72"/>
        <v>0</v>
      </c>
      <c r="AC357" s="399"/>
      <c r="AD357" s="47"/>
      <c r="AE357" s="47"/>
      <c r="AF357" s="319"/>
      <c r="AG357" s="29">
        <f t="shared" si="73"/>
        <v>0</v>
      </c>
      <c r="AH357" s="175"/>
      <c r="AJ357" s="401"/>
      <c r="AK357" s="494" t="s">
        <v>213</v>
      </c>
      <c r="AL357" s="471">
        <f>AA394</f>
        <v>37</v>
      </c>
      <c r="AM357" s="510">
        <v>50</v>
      </c>
      <c r="AN357" s="510">
        <f>AL357*AM357</f>
        <v>1850</v>
      </c>
      <c r="AO357" s="405"/>
      <c r="AP357" s="405"/>
      <c r="AQ357" s="401"/>
      <c r="AR357" s="401"/>
      <c r="AS357" s="401"/>
      <c r="AT357" s="401"/>
      <c r="AU357" s="401"/>
      <c r="AV357" s="401"/>
      <c r="AW357" s="401"/>
    </row>
    <row r="358" spans="1:49" outlineLevel="1">
      <c r="A358" s="367"/>
      <c r="B358" s="164" t="s">
        <v>405</v>
      </c>
      <c r="C358" s="47">
        <v>0.375</v>
      </c>
      <c r="D358" s="47">
        <v>0.25</v>
      </c>
      <c r="E358" s="319">
        <v>8</v>
      </c>
      <c r="F358" s="320"/>
      <c r="G358" s="4"/>
      <c r="H358" s="47">
        <v>0.25</v>
      </c>
      <c r="I358" s="47">
        <v>0.25</v>
      </c>
      <c r="J358" s="319">
        <v>8</v>
      </c>
      <c r="K358" s="320">
        <v>3</v>
      </c>
      <c r="L358" s="4"/>
      <c r="M358" s="47">
        <v>0.33333333333333331</v>
      </c>
      <c r="N358" s="47">
        <v>0.25</v>
      </c>
      <c r="O358" s="319">
        <v>8</v>
      </c>
      <c r="P358" s="320">
        <v>1</v>
      </c>
      <c r="R358" s="327">
        <v>0</v>
      </c>
      <c r="S358" s="327">
        <v>0</v>
      </c>
      <c r="T358" s="319">
        <v>4</v>
      </c>
      <c r="U358" s="320"/>
      <c r="W358" s="327">
        <v>0</v>
      </c>
      <c r="X358" s="47">
        <v>0</v>
      </c>
      <c r="Y358" s="319">
        <v>0</v>
      </c>
      <c r="Z358" s="320"/>
      <c r="AA358" s="328">
        <f t="shared" si="71"/>
        <v>28</v>
      </c>
      <c r="AB358" s="298">
        <f t="shared" si="72"/>
        <v>4</v>
      </c>
      <c r="AC358" s="399"/>
      <c r="AD358" s="47"/>
      <c r="AE358" s="47"/>
      <c r="AF358" s="319"/>
      <c r="AG358" s="29">
        <f t="shared" si="73"/>
        <v>0</v>
      </c>
      <c r="AH358" s="175"/>
      <c r="AJ358" s="401"/>
      <c r="AK358" s="494" t="s">
        <v>36</v>
      </c>
      <c r="AL358" s="471">
        <f>AB394</f>
        <v>2.5</v>
      </c>
      <c r="AM358" s="510">
        <v>75</v>
      </c>
      <c r="AN358" s="510">
        <f>AL358*AM358</f>
        <v>187.5</v>
      </c>
      <c r="AO358" s="405"/>
      <c r="AP358" s="405"/>
      <c r="AQ358" s="401"/>
      <c r="AR358" s="401"/>
      <c r="AS358" s="401"/>
      <c r="AT358" s="401"/>
      <c r="AU358" s="401"/>
      <c r="AV358" s="401"/>
      <c r="AW358" s="401"/>
    </row>
    <row r="359" spans="1:49" outlineLevel="1">
      <c r="A359" s="367"/>
      <c r="B359" s="164" t="s">
        <v>380</v>
      </c>
      <c r="C359" s="47">
        <v>0.375</v>
      </c>
      <c r="D359" s="47">
        <v>0.25</v>
      </c>
      <c r="E359" s="319">
        <v>8</v>
      </c>
      <c r="F359" s="320"/>
      <c r="G359" s="4"/>
      <c r="H359" s="47">
        <v>0.375</v>
      </c>
      <c r="I359" s="47">
        <v>0.25</v>
      </c>
      <c r="J359" s="319">
        <v>8</v>
      </c>
      <c r="K359" s="320"/>
      <c r="L359" s="4"/>
      <c r="M359" s="47">
        <v>0.375</v>
      </c>
      <c r="N359" s="47">
        <v>0.25</v>
      </c>
      <c r="O359" s="319">
        <v>8</v>
      </c>
      <c r="P359" s="320"/>
      <c r="R359" s="327">
        <v>0</v>
      </c>
      <c r="S359" s="327">
        <v>0</v>
      </c>
      <c r="T359" s="319">
        <v>0</v>
      </c>
      <c r="U359" s="320"/>
      <c r="W359" s="327">
        <v>0</v>
      </c>
      <c r="X359" s="47">
        <v>0</v>
      </c>
      <c r="Y359" s="319">
        <v>0</v>
      </c>
      <c r="Z359" s="320"/>
      <c r="AA359" s="328">
        <f t="shared" si="71"/>
        <v>24</v>
      </c>
      <c r="AB359" s="298">
        <f t="shared" si="72"/>
        <v>0</v>
      </c>
      <c r="AC359" s="175"/>
      <c r="AD359" s="47"/>
      <c r="AE359" s="47"/>
      <c r="AF359" s="319"/>
      <c r="AG359" s="344">
        <f t="shared" si="73"/>
        <v>0</v>
      </c>
      <c r="AH359" s="175"/>
      <c r="AI359" s="368"/>
      <c r="AK359" s="494" t="s">
        <v>38</v>
      </c>
      <c r="AL359" s="471">
        <f>AG394</f>
        <v>3.5</v>
      </c>
      <c r="AM359" s="510">
        <v>75</v>
      </c>
      <c r="AN359" s="510">
        <f>AL359*AM359</f>
        <v>262.5</v>
      </c>
    </row>
    <row r="360" spans="1:49" ht="14.25" outlineLevel="1" thickBot="1">
      <c r="A360" s="401"/>
      <c r="B360" s="164" t="s">
        <v>412</v>
      </c>
      <c r="C360" s="441" t="s">
        <v>75</v>
      </c>
      <c r="D360" s="47">
        <v>0.25</v>
      </c>
      <c r="E360" s="319">
        <v>8</v>
      </c>
      <c r="F360" s="320"/>
      <c r="G360" s="4"/>
      <c r="H360" s="441" t="s">
        <v>75</v>
      </c>
      <c r="I360" s="47">
        <v>0.25</v>
      </c>
      <c r="J360" s="319">
        <v>8</v>
      </c>
      <c r="K360" s="320"/>
      <c r="L360" s="4"/>
      <c r="M360" s="441" t="s">
        <v>75</v>
      </c>
      <c r="N360" s="47">
        <v>0.25</v>
      </c>
      <c r="O360" s="319">
        <v>8</v>
      </c>
      <c r="P360" s="320"/>
      <c r="R360" s="327">
        <v>0</v>
      </c>
      <c r="S360" s="327">
        <v>0</v>
      </c>
      <c r="T360" s="319">
        <v>4</v>
      </c>
      <c r="U360" s="320"/>
      <c r="W360" s="327">
        <v>0</v>
      </c>
      <c r="X360" s="47">
        <v>0</v>
      </c>
      <c r="Y360" s="319">
        <v>0</v>
      </c>
      <c r="Z360" s="320"/>
      <c r="AA360" s="328">
        <f t="shared" si="71"/>
        <v>28</v>
      </c>
      <c r="AB360" s="298">
        <f t="shared" si="72"/>
        <v>0</v>
      </c>
      <c r="AC360" s="4"/>
      <c r="AD360" s="47">
        <v>0.33333333333333331</v>
      </c>
      <c r="AE360" s="47">
        <v>0.33333333333333331</v>
      </c>
      <c r="AF360" s="319">
        <v>12</v>
      </c>
      <c r="AG360" s="29">
        <f t="shared" si="73"/>
        <v>12</v>
      </c>
      <c r="AJ360" s="367"/>
      <c r="AK360" s="494" t="s">
        <v>41</v>
      </c>
      <c r="AL360" s="471">
        <f>C395</f>
        <v>235</v>
      </c>
      <c r="AM360" s="512">
        <v>45</v>
      </c>
      <c r="AN360" s="512">
        <f>AL360*AM360</f>
        <v>10575</v>
      </c>
      <c r="AQ360" s="367"/>
      <c r="AR360" s="367"/>
      <c r="AS360" s="367"/>
      <c r="AT360" s="367"/>
      <c r="AU360" s="367"/>
      <c r="AV360" s="367"/>
      <c r="AW360" s="367"/>
    </row>
    <row r="361" spans="1:49" ht="14.25" outlineLevel="1" thickTop="1">
      <c r="A361" s="367"/>
      <c r="B361" s="13" t="s">
        <v>391</v>
      </c>
      <c r="C361" s="441" t="s">
        <v>75</v>
      </c>
      <c r="D361" s="47">
        <v>0.25</v>
      </c>
      <c r="E361" s="319">
        <v>8</v>
      </c>
      <c r="F361" s="320"/>
      <c r="G361" s="4"/>
      <c r="H361" s="441" t="s">
        <v>75</v>
      </c>
      <c r="I361" s="47">
        <v>0.25</v>
      </c>
      <c r="J361" s="319">
        <v>8</v>
      </c>
      <c r="K361" s="320"/>
      <c r="L361" s="4"/>
      <c r="M361" s="47">
        <v>0.25</v>
      </c>
      <c r="N361" s="47">
        <v>0.25</v>
      </c>
      <c r="O361" s="319">
        <v>8</v>
      </c>
      <c r="P361" s="320">
        <v>3</v>
      </c>
      <c r="R361" s="327">
        <v>0</v>
      </c>
      <c r="S361" s="327">
        <v>0</v>
      </c>
      <c r="T361" s="319">
        <v>8</v>
      </c>
      <c r="U361" s="320"/>
      <c r="W361" s="327">
        <v>0</v>
      </c>
      <c r="X361" s="47">
        <v>0</v>
      </c>
      <c r="Y361" s="319">
        <v>0</v>
      </c>
      <c r="Z361" s="320"/>
      <c r="AA361" s="328">
        <f t="shared" si="71"/>
        <v>32</v>
      </c>
      <c r="AB361" s="298">
        <f t="shared" si="72"/>
        <v>3</v>
      </c>
      <c r="AC361" s="4"/>
      <c r="AD361" s="47">
        <v>0.33333333333333331</v>
      </c>
      <c r="AE361" s="47">
        <v>0.33333333333333331</v>
      </c>
      <c r="AF361" s="319">
        <v>12</v>
      </c>
      <c r="AG361" s="29">
        <f t="shared" si="73"/>
        <v>12</v>
      </c>
      <c r="AN361" s="510">
        <f>SUM(AN353:AN360)</f>
        <v>54625.599999999999</v>
      </c>
    </row>
    <row r="362" spans="1:49" outlineLevel="1">
      <c r="A362" s="180"/>
      <c r="B362" s="164" t="s">
        <v>399</v>
      </c>
      <c r="C362" s="441" t="s">
        <v>75</v>
      </c>
      <c r="D362" s="47">
        <v>0.27083333333333331</v>
      </c>
      <c r="E362" s="319">
        <v>8</v>
      </c>
      <c r="F362" s="320">
        <v>0.5</v>
      </c>
      <c r="G362" s="4"/>
      <c r="H362" s="47">
        <v>0.25</v>
      </c>
      <c r="I362" s="47">
        <v>0.25</v>
      </c>
      <c r="J362" s="319">
        <v>8</v>
      </c>
      <c r="K362" s="320">
        <v>3</v>
      </c>
      <c r="L362" s="4"/>
      <c r="M362" s="441" t="s">
        <v>75</v>
      </c>
      <c r="N362" s="47">
        <v>0.25</v>
      </c>
      <c r="O362" s="319">
        <v>8</v>
      </c>
      <c r="P362" s="320"/>
      <c r="R362" s="327">
        <v>0</v>
      </c>
      <c r="S362" s="327">
        <v>0</v>
      </c>
      <c r="T362" s="319">
        <v>4</v>
      </c>
      <c r="U362" s="320"/>
      <c r="W362" s="327">
        <v>0.375</v>
      </c>
      <c r="X362" s="441" t="s">
        <v>136</v>
      </c>
      <c r="Y362" s="319">
        <v>8</v>
      </c>
      <c r="Z362" s="320"/>
      <c r="AA362" s="328">
        <f t="shared" si="71"/>
        <v>36</v>
      </c>
      <c r="AB362" s="298">
        <f t="shared" si="72"/>
        <v>3.5</v>
      </c>
      <c r="AC362" s="4"/>
      <c r="AD362" s="47"/>
      <c r="AE362" s="47"/>
      <c r="AF362" s="319"/>
      <c r="AG362" s="29">
        <f t="shared" si="73"/>
        <v>0</v>
      </c>
    </row>
    <row r="363" spans="1:49" outlineLevel="1">
      <c r="A363" s="180"/>
      <c r="B363" s="13" t="s">
        <v>381</v>
      </c>
      <c r="C363" s="441" t="s">
        <v>75</v>
      </c>
      <c r="D363" s="47">
        <v>0.25</v>
      </c>
      <c r="E363" s="319">
        <v>8</v>
      </c>
      <c r="F363" s="320"/>
      <c r="G363" s="4"/>
      <c r="H363" s="47">
        <v>0.25</v>
      </c>
      <c r="I363" s="47">
        <v>0.25</v>
      </c>
      <c r="J363" s="319">
        <v>8</v>
      </c>
      <c r="K363" s="320">
        <v>3</v>
      </c>
      <c r="L363" s="4"/>
      <c r="M363" s="47">
        <v>0.25</v>
      </c>
      <c r="N363" s="47">
        <v>0.25</v>
      </c>
      <c r="O363" s="319">
        <v>8</v>
      </c>
      <c r="P363" s="320">
        <v>3</v>
      </c>
      <c r="R363" s="327">
        <v>0</v>
      </c>
      <c r="S363" s="327">
        <v>0</v>
      </c>
      <c r="T363" s="319">
        <v>8</v>
      </c>
      <c r="U363" s="320"/>
      <c r="W363" s="327">
        <v>0</v>
      </c>
      <c r="X363" s="47">
        <v>0</v>
      </c>
      <c r="Y363" s="319">
        <v>0</v>
      </c>
      <c r="Z363" s="320"/>
      <c r="AA363" s="328">
        <f t="shared" si="71"/>
        <v>32</v>
      </c>
      <c r="AB363" s="298">
        <f t="shared" si="72"/>
        <v>6</v>
      </c>
      <c r="AC363" s="4"/>
      <c r="AD363" s="515">
        <v>0.36458333333333331</v>
      </c>
      <c r="AE363" s="47">
        <v>0.33333333333333331</v>
      </c>
      <c r="AF363" s="319">
        <v>11.5</v>
      </c>
      <c r="AG363" s="29">
        <f t="shared" si="73"/>
        <v>11.5</v>
      </c>
    </row>
    <row r="364" spans="1:49" outlineLevel="1">
      <c r="A364" s="180"/>
      <c r="B364" s="164" t="s">
        <v>389</v>
      </c>
      <c r="C364" s="441" t="s">
        <v>75</v>
      </c>
      <c r="D364" s="47">
        <v>0.25</v>
      </c>
      <c r="E364" s="319">
        <v>8</v>
      </c>
      <c r="F364" s="320"/>
      <c r="G364" s="4"/>
      <c r="H364" s="47">
        <v>0.25</v>
      </c>
      <c r="I364" s="47">
        <v>0.25</v>
      </c>
      <c r="J364" s="319">
        <v>8</v>
      </c>
      <c r="K364" s="320">
        <v>3</v>
      </c>
      <c r="L364" s="4"/>
      <c r="M364" s="47">
        <v>0.25</v>
      </c>
      <c r="N364" s="47">
        <v>0.25</v>
      </c>
      <c r="O364" s="319">
        <v>8</v>
      </c>
      <c r="P364" s="320">
        <v>3</v>
      </c>
      <c r="R364" s="327">
        <v>0</v>
      </c>
      <c r="S364" s="327">
        <v>0</v>
      </c>
      <c r="T364" s="319">
        <v>8</v>
      </c>
      <c r="U364" s="320"/>
      <c r="W364" s="327" t="s">
        <v>413</v>
      </c>
      <c r="X364" s="47">
        <v>0</v>
      </c>
      <c r="Y364" s="319">
        <v>4</v>
      </c>
      <c r="Z364" s="320"/>
      <c r="AA364" s="328">
        <f t="shared" si="71"/>
        <v>36</v>
      </c>
      <c r="AB364" s="298">
        <f t="shared" si="72"/>
        <v>6</v>
      </c>
      <c r="AC364" s="4"/>
      <c r="AD364" s="47">
        <v>0.33333333333333331</v>
      </c>
      <c r="AE364" s="47">
        <v>0.33333333333333331</v>
      </c>
      <c r="AF364" s="319">
        <v>12</v>
      </c>
      <c r="AG364" s="29">
        <f t="shared" si="73"/>
        <v>12</v>
      </c>
    </row>
    <row r="365" spans="1:49" outlineLevel="1">
      <c r="A365" s="180"/>
      <c r="B365" s="13" t="s">
        <v>398</v>
      </c>
      <c r="C365" s="441" t="s">
        <v>75</v>
      </c>
      <c r="D365" s="47">
        <v>0.25</v>
      </c>
      <c r="E365" s="319">
        <v>8</v>
      </c>
      <c r="F365" s="320"/>
      <c r="G365" s="4"/>
      <c r="H365" s="441" t="s">
        <v>75</v>
      </c>
      <c r="I365" s="47">
        <v>0.25</v>
      </c>
      <c r="J365" s="319">
        <v>8</v>
      </c>
      <c r="K365" s="320"/>
      <c r="L365" s="4"/>
      <c r="M365" s="47">
        <v>0.25</v>
      </c>
      <c r="N365" s="47">
        <v>0.25</v>
      </c>
      <c r="O365" s="319">
        <v>8</v>
      </c>
      <c r="P365" s="320">
        <v>3</v>
      </c>
      <c r="R365" s="327">
        <v>0</v>
      </c>
      <c r="S365" s="327">
        <v>0</v>
      </c>
      <c r="T365" s="319">
        <v>4</v>
      </c>
      <c r="U365" s="320"/>
      <c r="W365" s="327">
        <v>0</v>
      </c>
      <c r="X365" s="47">
        <v>0</v>
      </c>
      <c r="Y365" s="319">
        <v>0</v>
      </c>
      <c r="Z365" s="320"/>
      <c r="AA365" s="328">
        <f t="shared" si="71"/>
        <v>28</v>
      </c>
      <c r="AB365" s="298">
        <f t="shared" si="72"/>
        <v>3</v>
      </c>
      <c r="AC365" s="4"/>
      <c r="AD365" s="515">
        <v>0.375</v>
      </c>
      <c r="AE365" s="47">
        <v>0.33333333333333331</v>
      </c>
      <c r="AF365" s="319">
        <v>11</v>
      </c>
      <c r="AG365" s="29">
        <f t="shared" si="73"/>
        <v>11</v>
      </c>
    </row>
    <row r="366" spans="1:49" outlineLevel="1">
      <c r="A366" s="180"/>
      <c r="B366" s="164" t="s">
        <v>401</v>
      </c>
      <c r="C366" s="441" t="s">
        <v>75</v>
      </c>
      <c r="D366" s="47">
        <v>0.25</v>
      </c>
      <c r="E366" s="319">
        <v>8</v>
      </c>
      <c r="F366" s="320"/>
      <c r="G366" s="4"/>
      <c r="H366" s="441" t="s">
        <v>75</v>
      </c>
      <c r="I366" s="47">
        <v>0.25</v>
      </c>
      <c r="J366" s="319">
        <v>8</v>
      </c>
      <c r="K366" s="320"/>
      <c r="L366" s="4"/>
      <c r="M366" s="441" t="s">
        <v>75</v>
      </c>
      <c r="N366" s="47">
        <v>0.25</v>
      </c>
      <c r="O366" s="319">
        <v>8</v>
      </c>
      <c r="P366" s="320"/>
      <c r="R366" s="327">
        <v>0</v>
      </c>
      <c r="S366" s="327">
        <v>0</v>
      </c>
      <c r="T366" s="319">
        <v>4</v>
      </c>
      <c r="U366" s="320"/>
      <c r="W366" s="327">
        <v>0</v>
      </c>
      <c r="X366" s="47">
        <v>0</v>
      </c>
      <c r="Y366" s="319">
        <v>0</v>
      </c>
      <c r="Z366" s="320"/>
      <c r="AA366" s="328">
        <f t="shared" si="71"/>
        <v>28</v>
      </c>
      <c r="AB366" s="298">
        <f t="shared" si="72"/>
        <v>0</v>
      </c>
      <c r="AC366" s="4"/>
      <c r="AD366" s="47">
        <v>0.33333333333333331</v>
      </c>
      <c r="AE366" s="47">
        <v>0.33333333333333331</v>
      </c>
      <c r="AF366" s="319">
        <v>12</v>
      </c>
      <c r="AG366" s="29">
        <f t="shared" si="73"/>
        <v>12</v>
      </c>
    </row>
    <row r="367" spans="1:49" outlineLevel="1">
      <c r="A367" s="180"/>
      <c r="B367" s="13" t="s">
        <v>390</v>
      </c>
      <c r="C367" s="47">
        <v>0.375</v>
      </c>
      <c r="D367" s="47">
        <v>0.25</v>
      </c>
      <c r="E367" s="319">
        <v>8</v>
      </c>
      <c r="F367" s="320"/>
      <c r="G367" s="4"/>
      <c r="H367" s="47">
        <v>0.375</v>
      </c>
      <c r="I367" s="47">
        <v>0.25</v>
      </c>
      <c r="J367" s="319">
        <v>8</v>
      </c>
      <c r="K367" s="320"/>
      <c r="L367" s="4"/>
      <c r="M367" s="441" t="s">
        <v>246</v>
      </c>
      <c r="N367" s="47">
        <v>0.25</v>
      </c>
      <c r="O367" s="319">
        <v>8</v>
      </c>
      <c r="P367" s="320">
        <v>3</v>
      </c>
      <c r="R367" s="327">
        <v>0</v>
      </c>
      <c r="S367" s="327">
        <v>0</v>
      </c>
      <c r="T367" s="319">
        <v>8</v>
      </c>
      <c r="U367" s="320"/>
      <c r="W367" s="327" t="s">
        <v>285</v>
      </c>
      <c r="X367" s="47">
        <v>0</v>
      </c>
      <c r="Y367" s="319">
        <v>4</v>
      </c>
      <c r="Z367" s="320"/>
      <c r="AA367" s="328">
        <f t="shared" si="71"/>
        <v>36</v>
      </c>
      <c r="AB367" s="298">
        <f t="shared" si="72"/>
        <v>3</v>
      </c>
      <c r="AC367" s="4"/>
      <c r="AD367" s="47">
        <v>0.33333333333333331</v>
      </c>
      <c r="AE367" s="47">
        <v>0.33333333333333331</v>
      </c>
      <c r="AF367" s="319">
        <v>11</v>
      </c>
      <c r="AG367" s="29">
        <f t="shared" si="73"/>
        <v>11</v>
      </c>
    </row>
    <row r="368" spans="1:49" outlineLevel="1">
      <c r="A368" s="180"/>
      <c r="B368" s="164" t="s">
        <v>414</v>
      </c>
      <c r="C368" s="47">
        <v>0.375</v>
      </c>
      <c r="D368" s="47">
        <v>0.25</v>
      </c>
      <c r="E368" s="319">
        <v>8</v>
      </c>
      <c r="F368" s="320"/>
      <c r="G368" s="4"/>
      <c r="H368" s="47">
        <v>0.375</v>
      </c>
      <c r="I368" s="47">
        <v>0.25</v>
      </c>
      <c r="J368" s="319">
        <v>8</v>
      </c>
      <c r="K368" s="320"/>
      <c r="L368" s="4"/>
      <c r="M368" s="441" t="s">
        <v>249</v>
      </c>
      <c r="N368" s="47">
        <v>8.3333333333333329E-2</v>
      </c>
      <c r="O368" s="319">
        <v>4</v>
      </c>
      <c r="P368" s="320"/>
      <c r="R368" s="327">
        <v>0</v>
      </c>
      <c r="S368" s="327">
        <v>0</v>
      </c>
      <c r="T368" s="319">
        <v>4</v>
      </c>
      <c r="U368" s="320"/>
      <c r="W368" s="327">
        <v>0</v>
      </c>
      <c r="X368" s="47">
        <v>0</v>
      </c>
      <c r="Y368" s="319">
        <v>0</v>
      </c>
      <c r="Z368" s="320"/>
      <c r="AA368" s="328">
        <f t="shared" si="71"/>
        <v>24</v>
      </c>
      <c r="AB368" s="298">
        <f t="shared" si="72"/>
        <v>0</v>
      </c>
      <c r="AC368" s="4"/>
      <c r="AD368" s="47">
        <v>0.33333333333333331</v>
      </c>
      <c r="AE368" s="47">
        <v>0.33333333333333331</v>
      </c>
      <c r="AF368" s="319">
        <v>11.5</v>
      </c>
      <c r="AG368" s="29">
        <f t="shared" si="73"/>
        <v>11.5</v>
      </c>
    </row>
    <row r="369" spans="1:37" outlineLevel="1">
      <c r="A369" s="180"/>
      <c r="B369" s="13" t="s">
        <v>386</v>
      </c>
      <c r="C369" s="441" t="s">
        <v>75</v>
      </c>
      <c r="D369" s="47">
        <v>0.25</v>
      </c>
      <c r="E369" s="319">
        <v>8</v>
      </c>
      <c r="F369" s="320"/>
      <c r="G369" s="4"/>
      <c r="H369" s="47">
        <v>0.25</v>
      </c>
      <c r="I369" s="47">
        <v>0.25</v>
      </c>
      <c r="J369" s="319">
        <v>8</v>
      </c>
      <c r="K369" s="320">
        <v>3</v>
      </c>
      <c r="L369" s="4"/>
      <c r="M369" s="47">
        <v>0.25</v>
      </c>
      <c r="N369" s="47">
        <v>0.25</v>
      </c>
      <c r="O369" s="319">
        <v>8</v>
      </c>
      <c r="P369" s="320">
        <v>3</v>
      </c>
      <c r="R369" s="327">
        <v>0</v>
      </c>
      <c r="S369" s="327">
        <v>0</v>
      </c>
      <c r="T369" s="319">
        <v>8</v>
      </c>
      <c r="U369" s="320"/>
      <c r="W369" s="327">
        <v>0.375</v>
      </c>
      <c r="X369" s="441" t="s">
        <v>136</v>
      </c>
      <c r="Y369" s="319">
        <v>8</v>
      </c>
      <c r="Z369" s="320"/>
      <c r="AA369" s="328">
        <f t="shared" si="71"/>
        <v>40</v>
      </c>
      <c r="AB369" s="298">
        <f t="shared" si="72"/>
        <v>6</v>
      </c>
      <c r="AC369" s="4"/>
      <c r="AD369" s="47">
        <v>0.33333333333333331</v>
      </c>
      <c r="AE369" s="47">
        <v>0.33333333333333331</v>
      </c>
      <c r="AF369" s="319">
        <v>12</v>
      </c>
      <c r="AG369" s="29">
        <f t="shared" si="73"/>
        <v>12</v>
      </c>
    </row>
    <row r="370" spans="1:37" outlineLevel="1">
      <c r="A370" s="180"/>
      <c r="B370" s="13" t="s">
        <v>403</v>
      </c>
      <c r="C370" s="441" t="s">
        <v>75</v>
      </c>
      <c r="D370" s="47">
        <v>0.25</v>
      </c>
      <c r="E370" s="319">
        <v>8</v>
      </c>
      <c r="F370" s="320"/>
      <c r="G370" s="4"/>
      <c r="H370" s="47">
        <v>0.33333333333333331</v>
      </c>
      <c r="I370" s="47">
        <v>0.25</v>
      </c>
      <c r="J370" s="319">
        <v>8</v>
      </c>
      <c r="K370" s="320">
        <v>1</v>
      </c>
      <c r="L370" s="4"/>
      <c r="M370" s="47">
        <v>0.25</v>
      </c>
      <c r="N370" s="47">
        <v>0.25</v>
      </c>
      <c r="O370" s="319">
        <v>8</v>
      </c>
      <c r="P370" s="320">
        <v>3</v>
      </c>
      <c r="R370" s="327">
        <v>0</v>
      </c>
      <c r="S370" s="327">
        <v>0</v>
      </c>
      <c r="T370" s="319">
        <v>8</v>
      </c>
      <c r="U370" s="320"/>
      <c r="W370" s="327">
        <v>0</v>
      </c>
      <c r="X370" s="47">
        <v>0</v>
      </c>
      <c r="Y370" s="319">
        <v>0</v>
      </c>
      <c r="Z370" s="320"/>
      <c r="AA370" s="328">
        <f t="shared" si="71"/>
        <v>32</v>
      </c>
      <c r="AB370" s="298">
        <f t="shared" si="72"/>
        <v>4</v>
      </c>
      <c r="AC370" s="4"/>
      <c r="AD370" s="47"/>
      <c r="AE370" s="47"/>
      <c r="AF370" s="319"/>
      <c r="AG370" s="29">
        <f t="shared" si="73"/>
        <v>0</v>
      </c>
    </row>
    <row r="371" spans="1:37" outlineLevel="1">
      <c r="A371" s="180"/>
      <c r="B371" s="164" t="s">
        <v>397</v>
      </c>
      <c r="C371" s="441" t="s">
        <v>75</v>
      </c>
      <c r="D371" s="47">
        <v>0.25</v>
      </c>
      <c r="E371" s="319">
        <v>8</v>
      </c>
      <c r="F371" s="320"/>
      <c r="G371" s="4"/>
      <c r="H371" s="47">
        <v>0</v>
      </c>
      <c r="I371" s="47">
        <v>0</v>
      </c>
      <c r="J371" s="319">
        <v>0</v>
      </c>
      <c r="K371" s="320"/>
      <c r="L371" s="4"/>
      <c r="M371" s="441" t="s">
        <v>154</v>
      </c>
      <c r="N371" s="441" t="s">
        <v>154</v>
      </c>
      <c r="O371" s="319">
        <v>0</v>
      </c>
      <c r="P371" s="320"/>
      <c r="R371" s="327">
        <v>0</v>
      </c>
      <c r="S371" s="327">
        <v>0</v>
      </c>
      <c r="T371" s="319">
        <v>0</v>
      </c>
      <c r="U371" s="320"/>
      <c r="W371" s="327">
        <v>0</v>
      </c>
      <c r="X371" s="47">
        <v>0</v>
      </c>
      <c r="Y371" s="319">
        <v>0</v>
      </c>
      <c r="Z371" s="320"/>
      <c r="AA371" s="328">
        <f t="shared" si="71"/>
        <v>8</v>
      </c>
      <c r="AB371" s="298">
        <f t="shared" si="72"/>
        <v>0</v>
      </c>
      <c r="AC371" s="4"/>
      <c r="AD371" s="47"/>
      <c r="AE371" s="47"/>
      <c r="AF371" s="319"/>
      <c r="AG371" s="29">
        <f t="shared" si="73"/>
        <v>0</v>
      </c>
    </row>
    <row r="372" spans="1:37" outlineLevel="1">
      <c r="A372" s="180"/>
      <c r="B372" s="164" t="s">
        <v>404</v>
      </c>
      <c r="C372" s="47">
        <v>0</v>
      </c>
      <c r="D372" s="47">
        <v>0</v>
      </c>
      <c r="E372" s="319">
        <v>0</v>
      </c>
      <c r="F372" s="320"/>
      <c r="G372" s="4"/>
      <c r="H372" s="47">
        <v>0</v>
      </c>
      <c r="I372" s="47">
        <v>0</v>
      </c>
      <c r="J372" s="319">
        <v>0</v>
      </c>
      <c r="K372" s="320"/>
      <c r="L372" s="4"/>
      <c r="M372" s="47">
        <v>0</v>
      </c>
      <c r="N372" s="47">
        <v>0</v>
      </c>
      <c r="O372" s="319">
        <v>0</v>
      </c>
      <c r="P372" s="320"/>
      <c r="R372" s="327">
        <v>0</v>
      </c>
      <c r="S372" s="327">
        <v>0</v>
      </c>
      <c r="T372" s="319">
        <v>0</v>
      </c>
      <c r="U372" s="320"/>
      <c r="W372" s="327">
        <v>0</v>
      </c>
      <c r="X372" s="47">
        <v>0</v>
      </c>
      <c r="Y372" s="319">
        <v>0</v>
      </c>
      <c r="Z372" s="320"/>
      <c r="AA372" s="328">
        <f t="shared" si="71"/>
        <v>0</v>
      </c>
      <c r="AB372" s="298">
        <f t="shared" si="72"/>
        <v>0</v>
      </c>
      <c r="AC372" s="4"/>
      <c r="AD372" s="47"/>
      <c r="AE372" s="47"/>
      <c r="AF372" s="319"/>
      <c r="AG372" s="29">
        <f t="shared" si="73"/>
        <v>0</v>
      </c>
    </row>
    <row r="373" spans="1:37" outlineLevel="1">
      <c r="A373" s="180"/>
      <c r="B373" s="13" t="s">
        <v>384</v>
      </c>
      <c r="C373" s="441" t="s">
        <v>75</v>
      </c>
      <c r="D373" s="47">
        <v>0.25</v>
      </c>
      <c r="E373" s="319">
        <v>8</v>
      </c>
      <c r="F373" s="320"/>
      <c r="G373" s="4"/>
      <c r="H373" s="441" t="s">
        <v>75</v>
      </c>
      <c r="I373" s="47">
        <v>0.25</v>
      </c>
      <c r="J373" s="319">
        <v>8</v>
      </c>
      <c r="K373" s="320"/>
      <c r="L373" s="4"/>
      <c r="M373" s="441" t="s">
        <v>75</v>
      </c>
      <c r="N373" s="47">
        <v>0.25</v>
      </c>
      <c r="O373" s="319">
        <v>8</v>
      </c>
      <c r="P373" s="320"/>
      <c r="R373" s="327">
        <v>0</v>
      </c>
      <c r="S373" s="327">
        <v>0</v>
      </c>
      <c r="T373" s="319">
        <v>8</v>
      </c>
      <c r="U373" s="320"/>
      <c r="W373" s="327">
        <v>0</v>
      </c>
      <c r="X373" s="47">
        <v>0</v>
      </c>
      <c r="Y373" s="319">
        <v>8</v>
      </c>
      <c r="Z373" s="320"/>
      <c r="AA373" s="328">
        <f t="shared" si="71"/>
        <v>40</v>
      </c>
      <c r="AB373" s="298">
        <f t="shared" si="72"/>
        <v>0</v>
      </c>
      <c r="AC373" s="4"/>
      <c r="AD373" s="47">
        <v>0.33333333333333331</v>
      </c>
      <c r="AE373" s="47">
        <v>0.33333333333333331</v>
      </c>
      <c r="AF373" s="319">
        <v>12</v>
      </c>
      <c r="AG373" s="29">
        <f t="shared" si="73"/>
        <v>12</v>
      </c>
    </row>
    <row r="374" spans="1:37" outlineLevel="1">
      <c r="A374" s="180"/>
      <c r="B374" s="13" t="s">
        <v>388</v>
      </c>
      <c r="C374" s="441" t="s">
        <v>75</v>
      </c>
      <c r="D374" s="47">
        <v>0.25</v>
      </c>
      <c r="E374" s="319">
        <v>8</v>
      </c>
      <c r="F374" s="320"/>
      <c r="G374" s="4"/>
      <c r="H374" s="441" t="s">
        <v>75</v>
      </c>
      <c r="I374" s="47">
        <v>0.25</v>
      </c>
      <c r="J374" s="319">
        <v>8</v>
      </c>
      <c r="K374" s="320"/>
      <c r="L374" s="4"/>
      <c r="M374" s="441" t="s">
        <v>75</v>
      </c>
      <c r="N374" s="47">
        <v>0.25</v>
      </c>
      <c r="O374" s="319">
        <v>8</v>
      </c>
      <c r="P374" s="320"/>
      <c r="R374" s="327">
        <v>0</v>
      </c>
      <c r="S374" s="327">
        <v>0</v>
      </c>
      <c r="T374" s="319">
        <v>4</v>
      </c>
      <c r="U374" s="320"/>
      <c r="W374" s="327">
        <v>0.375</v>
      </c>
      <c r="X374" s="441" t="s">
        <v>136</v>
      </c>
      <c r="Y374" s="319">
        <v>8</v>
      </c>
      <c r="Z374" s="320"/>
      <c r="AA374" s="328">
        <f t="shared" si="71"/>
        <v>36</v>
      </c>
      <c r="AB374" s="298">
        <f t="shared" si="72"/>
        <v>0</v>
      </c>
      <c r="AC374" s="4"/>
      <c r="AD374" s="47"/>
      <c r="AE374" s="47"/>
      <c r="AF374" s="319"/>
      <c r="AG374" s="29">
        <f t="shared" si="73"/>
        <v>0</v>
      </c>
    </row>
    <row r="375" spans="1:37" outlineLevel="1">
      <c r="A375" s="180"/>
      <c r="B375" s="13" t="s">
        <v>394</v>
      </c>
      <c r="C375" s="47">
        <v>0.33333333333333331</v>
      </c>
      <c r="D375" s="47">
        <v>0.25</v>
      </c>
      <c r="E375" s="319">
        <v>8</v>
      </c>
      <c r="F375" s="320">
        <v>1</v>
      </c>
      <c r="G375" s="4"/>
      <c r="H375" s="47">
        <v>0.33333333333333331</v>
      </c>
      <c r="I375" s="47">
        <v>0.25</v>
      </c>
      <c r="J375" s="319">
        <v>8</v>
      </c>
      <c r="K375" s="320"/>
      <c r="L375" s="4"/>
      <c r="M375" s="47">
        <v>0.25</v>
      </c>
      <c r="N375" s="47">
        <v>0.25</v>
      </c>
      <c r="O375" s="319">
        <v>8</v>
      </c>
      <c r="P375" s="320">
        <v>3</v>
      </c>
      <c r="R375" s="327">
        <v>0</v>
      </c>
      <c r="S375" s="327">
        <v>0</v>
      </c>
      <c r="T375" s="319">
        <v>8</v>
      </c>
      <c r="U375" s="320"/>
      <c r="W375" s="327">
        <v>0</v>
      </c>
      <c r="X375" s="47">
        <v>0</v>
      </c>
      <c r="Y375" s="319">
        <v>4</v>
      </c>
      <c r="Z375" s="320"/>
      <c r="AA375" s="328">
        <f t="shared" si="71"/>
        <v>36</v>
      </c>
      <c r="AB375" s="298">
        <f t="shared" si="72"/>
        <v>4</v>
      </c>
      <c r="AC375" s="4"/>
      <c r="AD375" s="47">
        <v>0.33333333333333331</v>
      </c>
      <c r="AE375" s="47">
        <v>0.375</v>
      </c>
      <c r="AF375" s="319">
        <v>13</v>
      </c>
      <c r="AG375" s="29">
        <f t="shared" si="73"/>
        <v>13</v>
      </c>
    </row>
    <row r="376" spans="1:37" outlineLevel="1">
      <c r="A376" s="180"/>
      <c r="B376" s="13" t="s">
        <v>395</v>
      </c>
      <c r="C376" s="47">
        <v>0.375</v>
      </c>
      <c r="D376" s="47">
        <v>0.25</v>
      </c>
      <c r="E376" s="319">
        <v>8</v>
      </c>
      <c r="F376" s="320"/>
      <c r="G376" s="4"/>
      <c r="H376" s="47">
        <v>0.375</v>
      </c>
      <c r="I376" s="47">
        <v>0.25</v>
      </c>
      <c r="J376" s="319">
        <v>8</v>
      </c>
      <c r="K376" s="320"/>
      <c r="L376" s="4"/>
      <c r="M376" s="47">
        <v>0.375</v>
      </c>
      <c r="N376" s="47">
        <v>0.25</v>
      </c>
      <c r="O376" s="319">
        <v>8</v>
      </c>
      <c r="P376" s="320"/>
      <c r="R376" s="327">
        <v>0</v>
      </c>
      <c r="S376" s="327">
        <v>0</v>
      </c>
      <c r="T376" s="319">
        <v>8</v>
      </c>
      <c r="U376" s="320"/>
      <c r="W376" s="327">
        <v>0</v>
      </c>
      <c r="X376" s="47">
        <v>0</v>
      </c>
      <c r="Y376" s="319">
        <v>0</v>
      </c>
      <c r="Z376" s="320"/>
      <c r="AA376" s="328">
        <f t="shared" si="71"/>
        <v>32</v>
      </c>
      <c r="AB376" s="298">
        <f t="shared" si="72"/>
        <v>0</v>
      </c>
      <c r="AC376" s="4"/>
      <c r="AD376" s="47">
        <v>0.33333333333333331</v>
      </c>
      <c r="AE376" s="47">
        <v>0.33333333333333331</v>
      </c>
      <c r="AF376" s="319">
        <v>12</v>
      </c>
      <c r="AG376" s="29">
        <f t="shared" si="73"/>
        <v>12</v>
      </c>
    </row>
    <row r="377" spans="1:37" outlineLevel="1">
      <c r="A377" s="180"/>
      <c r="B377" s="13" t="s">
        <v>383</v>
      </c>
      <c r="C377" s="47">
        <v>0.375</v>
      </c>
      <c r="D377" s="47">
        <v>0.25</v>
      </c>
      <c r="E377" s="319">
        <v>8</v>
      </c>
      <c r="F377" s="320"/>
      <c r="G377" s="4"/>
      <c r="H377" s="47">
        <v>0</v>
      </c>
      <c r="I377" s="47">
        <v>0</v>
      </c>
      <c r="J377" s="319">
        <v>0</v>
      </c>
      <c r="K377" s="320"/>
      <c r="L377" s="4"/>
      <c r="M377" s="441" t="s">
        <v>154</v>
      </c>
      <c r="N377" s="47">
        <v>0</v>
      </c>
      <c r="O377" s="319">
        <v>0</v>
      </c>
      <c r="P377" s="320"/>
      <c r="R377" s="327">
        <v>0</v>
      </c>
      <c r="S377" s="327">
        <v>0</v>
      </c>
      <c r="T377" s="319">
        <v>4</v>
      </c>
      <c r="U377" s="320"/>
      <c r="W377" s="327">
        <v>0.375</v>
      </c>
      <c r="X377" s="441" t="s">
        <v>136</v>
      </c>
      <c r="Y377" s="319">
        <v>8</v>
      </c>
      <c r="Z377" s="320"/>
      <c r="AA377" s="328">
        <f t="shared" si="71"/>
        <v>20</v>
      </c>
      <c r="AB377" s="298">
        <f t="shared" si="72"/>
        <v>0</v>
      </c>
      <c r="AC377" s="4"/>
      <c r="AD377" s="47"/>
      <c r="AE377" s="47"/>
      <c r="AF377" s="319"/>
      <c r="AG377" s="29">
        <f t="shared" si="73"/>
        <v>0</v>
      </c>
    </row>
    <row r="378" spans="1:37" outlineLevel="1">
      <c r="A378" s="180"/>
      <c r="B378" s="502" t="s">
        <v>407</v>
      </c>
      <c r="C378" s="47"/>
      <c r="D378" s="47"/>
      <c r="E378" s="319"/>
      <c r="F378" s="320"/>
      <c r="G378" s="4"/>
      <c r="H378" s="47"/>
      <c r="I378" s="47"/>
      <c r="J378" s="319"/>
      <c r="K378" s="320"/>
      <c r="L378" s="4"/>
      <c r="M378" s="441"/>
      <c r="N378" s="47"/>
      <c r="O378" s="319"/>
      <c r="P378" s="320"/>
      <c r="R378" s="47"/>
      <c r="S378" s="47"/>
      <c r="T378" s="319"/>
      <c r="U378" s="320"/>
      <c r="W378" s="47"/>
      <c r="X378" s="47"/>
      <c r="Y378" s="319"/>
      <c r="Z378" s="320"/>
      <c r="AA378" s="328">
        <f t="shared" si="71"/>
        <v>0</v>
      </c>
      <c r="AB378" s="298">
        <f t="shared" si="72"/>
        <v>0</v>
      </c>
      <c r="AC378" s="4"/>
      <c r="AD378" s="47"/>
      <c r="AE378" s="47"/>
      <c r="AF378" s="319"/>
      <c r="AG378" s="29">
        <f t="shared" si="73"/>
        <v>0</v>
      </c>
    </row>
    <row r="379" spans="1:37" outlineLevel="1">
      <c r="A379" s="180"/>
      <c r="B379" s="502" t="s">
        <v>408</v>
      </c>
      <c r="C379" s="47"/>
      <c r="D379" s="47"/>
      <c r="E379" s="319"/>
      <c r="F379" s="320"/>
      <c r="G379" s="4"/>
      <c r="H379" s="47"/>
      <c r="I379" s="47"/>
      <c r="J379" s="319"/>
      <c r="K379" s="320"/>
      <c r="L379" s="4"/>
      <c r="M379" s="441"/>
      <c r="N379" s="47"/>
      <c r="O379" s="319"/>
      <c r="P379" s="320"/>
      <c r="R379" s="47"/>
      <c r="S379" s="47"/>
      <c r="T379" s="319"/>
      <c r="U379" s="320"/>
      <c r="W379" s="47"/>
      <c r="X379" s="47"/>
      <c r="Y379" s="319"/>
      <c r="Z379" s="320"/>
      <c r="AA379" s="328">
        <f t="shared" si="71"/>
        <v>0</v>
      </c>
      <c r="AB379" s="298">
        <f t="shared" si="72"/>
        <v>0</v>
      </c>
      <c r="AC379" s="4"/>
      <c r="AD379" s="47"/>
      <c r="AE379" s="47"/>
      <c r="AF379" s="319"/>
      <c r="AG379" s="29">
        <f t="shared" si="73"/>
        <v>0</v>
      </c>
    </row>
    <row r="380" spans="1:37" outlineLevel="1">
      <c r="A380" s="180"/>
      <c r="B380" s="502" t="s">
        <v>409</v>
      </c>
      <c r="C380" s="47"/>
      <c r="D380" s="47"/>
      <c r="E380" s="319"/>
      <c r="F380" s="320"/>
      <c r="G380" s="4"/>
      <c r="H380" s="47"/>
      <c r="I380" s="47"/>
      <c r="J380" s="319"/>
      <c r="K380" s="320"/>
      <c r="L380" s="4"/>
      <c r="M380" s="441"/>
      <c r="N380" s="47"/>
      <c r="O380" s="319"/>
      <c r="P380" s="320"/>
      <c r="R380" s="47"/>
      <c r="S380" s="47"/>
      <c r="T380" s="319"/>
      <c r="U380" s="320"/>
      <c r="W380" s="47"/>
      <c r="X380" s="47"/>
      <c r="Y380" s="319"/>
      <c r="Z380" s="320"/>
      <c r="AA380" s="328">
        <f t="shared" si="71"/>
        <v>0</v>
      </c>
      <c r="AB380" s="298">
        <f t="shared" si="72"/>
        <v>0</v>
      </c>
      <c r="AC380" s="4"/>
      <c r="AD380" s="47"/>
      <c r="AE380" s="47"/>
      <c r="AF380" s="319"/>
      <c r="AG380" s="29">
        <f t="shared" si="73"/>
        <v>0</v>
      </c>
    </row>
    <row r="381" spans="1:37" outlineLevel="1">
      <c r="A381" s="180"/>
      <c r="B381" s="460" t="s">
        <v>343</v>
      </c>
      <c r="C381" s="519"/>
      <c r="D381" s="519"/>
      <c r="E381" s="520"/>
      <c r="F381" s="520"/>
      <c r="G381" s="521"/>
      <c r="H381" s="519"/>
      <c r="I381" s="519"/>
      <c r="J381" s="520"/>
      <c r="K381" s="520"/>
      <c r="L381" s="521"/>
      <c r="M381" s="519"/>
      <c r="N381" s="519"/>
      <c r="O381" s="520"/>
      <c r="P381" s="520"/>
      <c r="Q381" s="521"/>
      <c r="R381" s="519"/>
      <c r="S381" s="519"/>
      <c r="T381" s="520"/>
      <c r="U381" s="520"/>
      <c r="V381" s="521"/>
      <c r="W381" s="519"/>
      <c r="X381" s="519"/>
      <c r="Y381" s="520"/>
      <c r="Z381" s="320"/>
      <c r="AA381" s="328">
        <f t="shared" si="71"/>
        <v>0</v>
      </c>
      <c r="AB381" s="298">
        <f t="shared" si="72"/>
        <v>0</v>
      </c>
      <c r="AC381" s="4"/>
      <c r="AD381" s="47"/>
      <c r="AE381" s="47"/>
      <c r="AF381" s="319"/>
      <c r="AG381" s="29">
        <f t="shared" si="73"/>
        <v>0</v>
      </c>
    </row>
    <row r="382" spans="1:37" outlineLevel="1">
      <c r="A382" s="180"/>
      <c r="B382" s="63" t="s">
        <v>250</v>
      </c>
      <c r="C382" s="47"/>
      <c r="D382" s="47"/>
      <c r="E382" s="319">
        <v>8</v>
      </c>
      <c r="F382" s="320"/>
      <c r="G382" s="4"/>
      <c r="H382" s="47"/>
      <c r="I382" s="47"/>
      <c r="J382" s="319">
        <v>8</v>
      </c>
      <c r="K382" s="320"/>
      <c r="L382" s="4"/>
      <c r="M382" s="47"/>
      <c r="N382" s="47"/>
      <c r="O382" s="319">
        <v>8</v>
      </c>
      <c r="P382" s="320"/>
      <c r="R382" s="47"/>
      <c r="S382" s="47"/>
      <c r="T382" s="319">
        <v>4</v>
      </c>
      <c r="U382" s="320"/>
      <c r="W382" s="47"/>
      <c r="X382" s="47"/>
      <c r="Y382" s="319">
        <v>4</v>
      </c>
      <c r="Z382" s="320"/>
      <c r="AA382" s="328">
        <f t="shared" si="71"/>
        <v>32</v>
      </c>
      <c r="AB382" s="298">
        <f t="shared" si="72"/>
        <v>0</v>
      </c>
      <c r="AC382" s="4"/>
      <c r="AD382" s="47"/>
      <c r="AE382" s="47"/>
      <c r="AF382" s="319"/>
      <c r="AG382" s="29">
        <f t="shared" si="73"/>
        <v>0</v>
      </c>
    </row>
    <row r="383" spans="1:37" outlineLevel="1">
      <c r="A383" s="180"/>
      <c r="B383" s="63" t="s">
        <v>357</v>
      </c>
      <c r="C383" s="47"/>
      <c r="D383" s="47"/>
      <c r="E383" s="319">
        <v>8</v>
      </c>
      <c r="F383" s="320"/>
      <c r="G383" s="4"/>
      <c r="H383" s="47"/>
      <c r="I383" s="47"/>
      <c r="J383" s="319">
        <v>8</v>
      </c>
      <c r="K383" s="320"/>
      <c r="L383" s="4"/>
      <c r="M383" s="47"/>
      <c r="N383" s="47"/>
      <c r="O383" s="319">
        <v>8</v>
      </c>
      <c r="P383" s="320"/>
      <c r="R383" s="47"/>
      <c r="S383" s="47"/>
      <c r="T383" s="319">
        <v>4</v>
      </c>
      <c r="U383" s="320"/>
      <c r="W383" s="47"/>
      <c r="X383" s="47"/>
      <c r="Y383" s="319">
        <v>4</v>
      </c>
      <c r="Z383" s="320"/>
      <c r="AA383" s="328">
        <f t="shared" si="71"/>
        <v>32</v>
      </c>
      <c r="AB383" s="298">
        <f t="shared" si="72"/>
        <v>0</v>
      </c>
      <c r="AC383" s="4"/>
      <c r="AD383" s="47"/>
      <c r="AE383" s="47"/>
      <c r="AF383" s="319"/>
      <c r="AG383" s="29">
        <f t="shared" si="73"/>
        <v>0</v>
      </c>
    </row>
    <row r="384" spans="1:37" outlineLevel="1">
      <c r="A384" s="180"/>
      <c r="B384" s="63" t="s">
        <v>63</v>
      </c>
      <c r="C384" s="47"/>
      <c r="D384" s="47"/>
      <c r="E384" s="319">
        <v>4</v>
      </c>
      <c r="F384" s="320">
        <v>0.5</v>
      </c>
      <c r="G384" s="438"/>
      <c r="H384" s="47"/>
      <c r="I384" s="47"/>
      <c r="J384" s="319">
        <v>4</v>
      </c>
      <c r="K384" s="320">
        <v>0.5</v>
      </c>
      <c r="L384" s="438"/>
      <c r="M384" s="47"/>
      <c r="N384" s="47"/>
      <c r="O384" s="319">
        <v>4</v>
      </c>
      <c r="P384" s="320"/>
      <c r="Q384" s="438"/>
      <c r="R384" s="47"/>
      <c r="S384" s="47"/>
      <c r="T384" s="319">
        <v>4</v>
      </c>
      <c r="U384" s="320"/>
      <c r="V384" s="438"/>
      <c r="W384" s="47"/>
      <c r="X384" s="47"/>
      <c r="Y384" s="319">
        <v>4</v>
      </c>
      <c r="Z384" s="320"/>
      <c r="AA384" s="328">
        <f t="shared" si="71"/>
        <v>20</v>
      </c>
      <c r="AB384" s="298">
        <f t="shared" si="72"/>
        <v>1</v>
      </c>
      <c r="AC384" s="4"/>
      <c r="AD384" s="47"/>
      <c r="AE384" s="47"/>
      <c r="AF384" s="319"/>
      <c r="AG384" s="29">
        <f t="shared" si="73"/>
        <v>0</v>
      </c>
      <c r="AK384" s="407"/>
    </row>
    <row r="385" spans="1:49" outlineLevel="1">
      <c r="A385" s="180"/>
      <c r="B385" s="267" t="s">
        <v>358</v>
      </c>
      <c r="C385" s="47"/>
      <c r="D385" s="47"/>
      <c r="E385" s="319">
        <v>7</v>
      </c>
      <c r="F385" s="320"/>
      <c r="G385" s="438"/>
      <c r="H385" s="47"/>
      <c r="I385" s="47"/>
      <c r="J385" s="319">
        <v>7</v>
      </c>
      <c r="K385" s="320"/>
      <c r="L385" s="438"/>
      <c r="M385" s="47"/>
      <c r="N385" s="47"/>
      <c r="O385" s="319">
        <v>8</v>
      </c>
      <c r="P385" s="320"/>
      <c r="Q385" s="438"/>
      <c r="R385" s="47"/>
      <c r="S385" s="47"/>
      <c r="T385" s="319">
        <v>8</v>
      </c>
      <c r="U385" s="320">
        <v>1</v>
      </c>
      <c r="V385" s="438"/>
      <c r="W385" s="47"/>
      <c r="X385" s="47"/>
      <c r="Y385" s="319">
        <v>0</v>
      </c>
      <c r="Z385" s="320"/>
      <c r="AA385" s="328">
        <f t="shared" si="71"/>
        <v>30</v>
      </c>
      <c r="AB385" s="298">
        <f t="shared" si="72"/>
        <v>1</v>
      </c>
      <c r="AC385" s="4"/>
      <c r="AD385" s="47"/>
      <c r="AE385" s="47"/>
      <c r="AF385" s="319"/>
      <c r="AG385" s="29">
        <f t="shared" si="73"/>
        <v>0</v>
      </c>
      <c r="AK385" s="407"/>
    </row>
    <row r="386" spans="1:49" outlineLevel="1">
      <c r="A386" s="180"/>
      <c r="B386" s="267" t="s">
        <v>359</v>
      </c>
      <c r="C386" s="47"/>
      <c r="D386" s="47"/>
      <c r="E386" s="319">
        <v>0</v>
      </c>
      <c r="F386" s="320"/>
      <c r="G386" s="438"/>
      <c r="H386" s="47"/>
      <c r="I386" s="47"/>
      <c r="J386" s="319">
        <v>0</v>
      </c>
      <c r="K386" s="320"/>
      <c r="L386" s="438"/>
      <c r="M386" s="47"/>
      <c r="N386" s="47"/>
      <c r="O386" s="319">
        <v>0</v>
      </c>
      <c r="P386" s="320"/>
      <c r="Q386" s="438"/>
      <c r="R386" s="47"/>
      <c r="S386" s="47"/>
      <c r="T386" s="319">
        <v>0</v>
      </c>
      <c r="U386" s="320"/>
      <c r="V386" s="438"/>
      <c r="W386" s="47"/>
      <c r="X386" s="47"/>
      <c r="Y386" s="319">
        <v>0</v>
      </c>
      <c r="Z386" s="320"/>
      <c r="AA386" s="328">
        <f t="shared" si="71"/>
        <v>0</v>
      </c>
      <c r="AB386" s="298">
        <f t="shared" si="72"/>
        <v>0</v>
      </c>
      <c r="AC386" s="4"/>
      <c r="AD386" s="47"/>
      <c r="AE386" s="47"/>
      <c r="AF386" s="319"/>
      <c r="AG386" s="29">
        <f t="shared" si="73"/>
        <v>0</v>
      </c>
      <c r="AK386" s="407"/>
    </row>
    <row r="387" spans="1:49" outlineLevel="1">
      <c r="A387" s="180"/>
      <c r="B387" s="267" t="s">
        <v>411</v>
      </c>
      <c r="C387" s="47"/>
      <c r="D387" s="47"/>
      <c r="E387" s="319">
        <v>0</v>
      </c>
      <c r="F387" s="320"/>
      <c r="G387" s="438"/>
      <c r="H387" s="47"/>
      <c r="I387" s="47"/>
      <c r="J387" s="319">
        <v>0</v>
      </c>
      <c r="K387" s="320"/>
      <c r="L387" s="438"/>
      <c r="M387" s="47"/>
      <c r="N387" s="47"/>
      <c r="O387" s="319">
        <v>1</v>
      </c>
      <c r="P387" s="320"/>
      <c r="Q387" s="438"/>
      <c r="R387" s="47"/>
      <c r="S387" s="47"/>
      <c r="T387" s="319">
        <v>3</v>
      </c>
      <c r="U387" s="320"/>
      <c r="V387" s="438"/>
      <c r="W387" s="47"/>
      <c r="X387" s="47"/>
      <c r="Y387" s="319">
        <v>0</v>
      </c>
      <c r="Z387" s="320"/>
      <c r="AA387" s="328">
        <f t="shared" si="71"/>
        <v>4</v>
      </c>
      <c r="AB387" s="298">
        <f t="shared" si="72"/>
        <v>0</v>
      </c>
      <c r="AC387" s="4"/>
      <c r="AD387" s="47"/>
      <c r="AE387" s="47"/>
      <c r="AF387" s="319"/>
      <c r="AG387" s="29">
        <f t="shared" si="73"/>
        <v>0</v>
      </c>
      <c r="AK387" s="407"/>
    </row>
    <row r="388" spans="1:49" outlineLevel="1">
      <c r="A388" s="180"/>
      <c r="B388" s="267" t="s">
        <v>361</v>
      </c>
      <c r="C388" s="47"/>
      <c r="D388" s="47"/>
      <c r="E388" s="319">
        <v>0</v>
      </c>
      <c r="F388" s="320"/>
      <c r="G388" s="438"/>
      <c r="H388" s="47"/>
      <c r="I388" s="47"/>
      <c r="J388" s="319">
        <v>0</v>
      </c>
      <c r="K388" s="320"/>
      <c r="L388" s="438"/>
      <c r="M388" s="47"/>
      <c r="N388" s="47"/>
      <c r="O388" s="319">
        <v>0</v>
      </c>
      <c r="P388" s="320"/>
      <c r="Q388" s="438"/>
      <c r="R388" s="47"/>
      <c r="S388" s="47"/>
      <c r="T388" s="319">
        <v>0</v>
      </c>
      <c r="U388" s="320"/>
      <c r="V388" s="438"/>
      <c r="W388" s="47"/>
      <c r="X388" s="47"/>
      <c r="Y388" s="319">
        <v>0</v>
      </c>
      <c r="Z388" s="320"/>
      <c r="AA388" s="328">
        <f t="shared" si="71"/>
        <v>0</v>
      </c>
      <c r="AB388" s="298">
        <f t="shared" si="72"/>
        <v>0</v>
      </c>
      <c r="AC388" s="4"/>
      <c r="AD388" s="47"/>
      <c r="AE388" s="47"/>
      <c r="AF388" s="319"/>
      <c r="AG388" s="29">
        <f t="shared" si="73"/>
        <v>0</v>
      </c>
      <c r="AK388" s="407"/>
    </row>
    <row r="389" spans="1:49" outlineLevel="1">
      <c r="A389" s="180"/>
      <c r="B389" s="267" t="s">
        <v>362</v>
      </c>
      <c r="C389" s="47"/>
      <c r="D389" s="47"/>
      <c r="E389" s="319">
        <v>4</v>
      </c>
      <c r="F389" s="320"/>
      <c r="G389" s="438"/>
      <c r="H389" s="47"/>
      <c r="I389" s="47"/>
      <c r="J389" s="319">
        <v>4</v>
      </c>
      <c r="K389" s="320"/>
      <c r="L389" s="438"/>
      <c r="M389" s="47"/>
      <c r="N389" s="47"/>
      <c r="O389" s="319">
        <v>4</v>
      </c>
      <c r="P389" s="320"/>
      <c r="Q389" s="438"/>
      <c r="R389" s="47"/>
      <c r="S389" s="47"/>
      <c r="T389" s="319">
        <v>4</v>
      </c>
      <c r="U389" s="320"/>
      <c r="V389" s="438"/>
      <c r="W389" s="47"/>
      <c r="X389" s="47"/>
      <c r="Y389" s="319">
        <v>6</v>
      </c>
      <c r="Z389" s="320"/>
      <c r="AA389" s="328">
        <f t="shared" si="71"/>
        <v>22</v>
      </c>
      <c r="AB389" s="298">
        <f t="shared" si="72"/>
        <v>0</v>
      </c>
      <c r="AC389" s="4"/>
      <c r="AD389" s="47"/>
      <c r="AE389" s="47"/>
      <c r="AF389" s="319"/>
      <c r="AG389" s="29">
        <f t="shared" si="73"/>
        <v>0</v>
      </c>
      <c r="AK389" s="407"/>
    </row>
    <row r="390" spans="1:49" outlineLevel="1">
      <c r="A390" s="180"/>
      <c r="B390" s="437" t="s">
        <v>355</v>
      </c>
      <c r="C390" s="47"/>
      <c r="D390" s="47"/>
      <c r="E390" s="319">
        <v>16</v>
      </c>
      <c r="F390" s="320"/>
      <c r="G390" s="438"/>
      <c r="H390" s="47"/>
      <c r="I390" s="47"/>
      <c r="J390" s="319">
        <v>16</v>
      </c>
      <c r="K390" s="320">
        <v>2.2000000000000002</v>
      </c>
      <c r="L390" s="438"/>
      <c r="M390" s="47"/>
      <c r="N390" s="47"/>
      <c r="O390" s="319">
        <v>16.5</v>
      </c>
      <c r="P390" s="320">
        <v>1.5</v>
      </c>
      <c r="Q390" s="438"/>
      <c r="R390" s="47"/>
      <c r="S390" s="47"/>
      <c r="T390" s="319">
        <v>20</v>
      </c>
      <c r="U390" s="320">
        <v>2.8</v>
      </c>
      <c r="V390" s="438"/>
      <c r="W390" s="47"/>
      <c r="X390" s="47"/>
      <c r="Y390" s="319">
        <v>16</v>
      </c>
      <c r="Z390" s="320">
        <v>2</v>
      </c>
      <c r="AA390" s="328">
        <f t="shared" si="71"/>
        <v>84.5</v>
      </c>
      <c r="AB390" s="298">
        <f t="shared" si="72"/>
        <v>8.5</v>
      </c>
      <c r="AC390" s="4"/>
      <c r="AD390" s="47"/>
      <c r="AE390" s="47"/>
      <c r="AF390" s="319"/>
      <c r="AG390" s="29">
        <f t="shared" si="73"/>
        <v>0</v>
      </c>
      <c r="AK390" s="407"/>
    </row>
    <row r="391" spans="1:49" outlineLevel="1">
      <c r="A391" s="180"/>
      <c r="B391" s="437" t="s">
        <v>356</v>
      </c>
      <c r="C391" s="47"/>
      <c r="D391" s="47"/>
      <c r="E391" s="319">
        <v>3.2</v>
      </c>
      <c r="F391" s="320"/>
      <c r="G391" s="438"/>
      <c r="H391" s="47"/>
      <c r="I391" s="47"/>
      <c r="J391" s="319">
        <v>3.2</v>
      </c>
      <c r="K391" s="320"/>
      <c r="L391" s="438"/>
      <c r="M391" s="47"/>
      <c r="N391" s="47"/>
      <c r="O391" s="319">
        <v>21.7</v>
      </c>
      <c r="P391" s="320"/>
      <c r="Q391" s="438"/>
      <c r="R391" s="47"/>
      <c r="S391" s="47"/>
      <c r="T391" s="319">
        <v>40.9</v>
      </c>
      <c r="U391" s="320"/>
      <c r="V391" s="438"/>
      <c r="W391" s="47"/>
      <c r="X391" s="47"/>
      <c r="Y391" s="319">
        <v>25.2</v>
      </c>
      <c r="Z391" s="320"/>
      <c r="AA391" s="328">
        <f t="shared" si="71"/>
        <v>94.2</v>
      </c>
      <c r="AB391" s="298">
        <f t="shared" ref="AB391" si="75">Z391+U391+P391+K391+F391</f>
        <v>0</v>
      </c>
      <c r="AC391" s="4"/>
      <c r="AD391" s="47"/>
      <c r="AE391" s="47"/>
      <c r="AF391" s="319"/>
      <c r="AG391" s="29">
        <f t="shared" si="73"/>
        <v>0</v>
      </c>
      <c r="AK391" s="407"/>
    </row>
    <row r="392" spans="1:49" outlineLevel="1">
      <c r="A392" s="180"/>
      <c r="B392" s="64" t="s">
        <v>61</v>
      </c>
      <c r="C392" s="31"/>
      <c r="D392" s="31"/>
      <c r="E392" s="439">
        <f>SUM(E354:E391)</f>
        <v>233.7</v>
      </c>
      <c r="F392" s="320">
        <f>SUM(F354:F391)</f>
        <v>2</v>
      </c>
      <c r="G392" s="31"/>
      <c r="H392" s="31"/>
      <c r="I392" s="31"/>
      <c r="J392" s="439">
        <f>SUM(J354:J391)</f>
        <v>218.2</v>
      </c>
      <c r="K392" s="320">
        <f>SUM(K354:K391)</f>
        <v>21.7</v>
      </c>
      <c r="L392" s="31"/>
      <c r="M392" s="31"/>
      <c r="N392" s="31"/>
      <c r="O392" s="439">
        <f>SUM(O354:O391)</f>
        <v>235.2</v>
      </c>
      <c r="P392" s="320">
        <f>SUM(P354:P391)</f>
        <v>29.5</v>
      </c>
      <c r="Q392" s="31"/>
      <c r="R392" s="31"/>
      <c r="S392" s="31"/>
      <c r="T392" s="439">
        <f>SUM(T354:T391)</f>
        <v>211.9</v>
      </c>
      <c r="U392" s="320">
        <f>SUM(U354:U391)</f>
        <v>3.8</v>
      </c>
      <c r="V392" s="31"/>
      <c r="W392" s="31"/>
      <c r="X392" s="31"/>
      <c r="Y392" s="439">
        <f>SUM(Y354:Y391)</f>
        <v>111.2</v>
      </c>
      <c r="Z392" s="320">
        <f>SUM(Z354:Z391)</f>
        <v>2</v>
      </c>
      <c r="AA392" s="370">
        <f>SUM(AA354:AA391)</f>
        <v>1010.2</v>
      </c>
      <c r="AB392" s="370">
        <f>SUM(AB354:AB391)</f>
        <v>59</v>
      </c>
      <c r="AC392" s="4"/>
      <c r="AD392" s="64"/>
      <c r="AE392" s="64"/>
      <c r="AF392" s="370">
        <f>SUM(AF354:AF391)</f>
        <v>142</v>
      </c>
      <c r="AG392" s="370">
        <f>SUM(AG354:AG391)</f>
        <v>142</v>
      </c>
    </row>
    <row r="393" spans="1:49" outlineLevel="1">
      <c r="A393" s="180"/>
      <c r="B393" s="63" t="s">
        <v>64</v>
      </c>
      <c r="C393" s="47"/>
      <c r="D393" s="47"/>
      <c r="E393" s="319">
        <v>7</v>
      </c>
      <c r="F393" s="291"/>
      <c r="G393" s="60"/>
      <c r="H393" s="47"/>
      <c r="I393" s="47"/>
      <c r="J393" s="319">
        <v>6</v>
      </c>
      <c r="K393" s="291"/>
      <c r="L393" s="60"/>
      <c r="M393" s="47"/>
      <c r="N393" s="47"/>
      <c r="O393" s="319">
        <v>8</v>
      </c>
      <c r="P393" s="19">
        <v>1</v>
      </c>
      <c r="Q393" s="60"/>
      <c r="R393" s="47"/>
      <c r="S393" s="47"/>
      <c r="T393" s="319">
        <v>8</v>
      </c>
      <c r="U393" s="19">
        <v>0.5</v>
      </c>
      <c r="V393" s="60"/>
      <c r="W393" s="47"/>
      <c r="X393" s="47"/>
      <c r="Y393" s="319">
        <v>8</v>
      </c>
      <c r="Z393" s="19">
        <v>1</v>
      </c>
      <c r="AA393" s="28">
        <f>SUM(E393+J393+O393+T393+Y393)</f>
        <v>37</v>
      </c>
      <c r="AB393" s="296">
        <f>Z393+U393+P393+K393+F393</f>
        <v>2.5</v>
      </c>
      <c r="AC393" s="4"/>
      <c r="AD393" s="47" t="s">
        <v>29</v>
      </c>
      <c r="AE393" s="47" t="s">
        <v>29</v>
      </c>
      <c r="AF393" s="319">
        <f>0.25+0.75+0.25+0.5+0.25+0.25+0.5+0.25+0.5</f>
        <v>3.5</v>
      </c>
      <c r="AG393" s="29">
        <f>AF393</f>
        <v>3.5</v>
      </c>
    </row>
    <row r="394" spans="1:49" outlineLevel="1">
      <c r="A394" s="180"/>
      <c r="B394" s="71" t="s">
        <v>66</v>
      </c>
      <c r="C394" s="371"/>
      <c r="D394" s="371"/>
      <c r="E394" s="71"/>
      <c r="F394" s="71"/>
      <c r="G394" s="71"/>
      <c r="H394" s="71"/>
      <c r="I394" s="71"/>
      <c r="J394" s="71"/>
      <c r="K394" s="71"/>
      <c r="L394" s="71"/>
      <c r="M394" s="71"/>
      <c r="N394" s="71"/>
      <c r="O394" s="71"/>
      <c r="P394" s="71"/>
      <c r="Q394" s="71"/>
      <c r="R394" s="71"/>
      <c r="S394" s="71"/>
      <c r="T394" s="71"/>
      <c r="U394" s="71"/>
      <c r="V394" s="71"/>
      <c r="W394" s="71"/>
      <c r="X394" s="71"/>
      <c r="Y394" s="71"/>
      <c r="Z394" s="71"/>
      <c r="AA394" s="370">
        <f>SUM(AA393:AA393)</f>
        <v>37</v>
      </c>
      <c r="AB394" s="370">
        <f>SUM(AB393:AB393)</f>
        <v>2.5</v>
      </c>
      <c r="AC394" s="4"/>
      <c r="AG394" s="370">
        <f>SUM(AG393:AG393)</f>
        <v>3.5</v>
      </c>
    </row>
    <row r="395" spans="1:49" outlineLevel="1">
      <c r="A395" s="180"/>
      <c r="B395" s="217" t="s">
        <v>67</v>
      </c>
      <c r="C395" s="207">
        <f>C396+C397</f>
        <v>235</v>
      </c>
      <c r="D395" s="207"/>
      <c r="E395" s="209"/>
      <c r="F395" s="209"/>
      <c r="G395" s="207"/>
      <c r="H395" s="209"/>
      <c r="I395" s="209"/>
      <c r="J395" s="209"/>
      <c r="K395" s="209"/>
      <c r="L395" s="207"/>
      <c r="M395" s="207"/>
      <c r="N395" s="207"/>
      <c r="O395" s="207"/>
      <c r="P395" s="209"/>
      <c r="Q395" s="207"/>
      <c r="R395" s="207"/>
      <c r="S395" s="207"/>
      <c r="T395" s="207"/>
      <c r="U395" s="209"/>
      <c r="V395" s="207"/>
      <c r="W395" s="207"/>
      <c r="X395" s="207"/>
      <c r="Y395" s="210"/>
      <c r="Z395" s="209"/>
      <c r="AA395" s="211"/>
      <c r="AB395" s="209"/>
      <c r="AC395" s="211"/>
      <c r="AD395" s="211"/>
      <c r="AE395" s="211"/>
      <c r="AF395" s="211"/>
      <c r="AG395" s="211"/>
    </row>
    <row r="396" spans="1:49" outlineLevel="1">
      <c r="A396" s="180"/>
      <c r="B396" s="238" t="s">
        <v>68</v>
      </c>
      <c r="C396" s="239">
        <v>160</v>
      </c>
      <c r="D396" s="207"/>
      <c r="E396" s="209"/>
      <c r="F396" s="209"/>
      <c r="G396" s="207"/>
      <c r="H396" s="209"/>
      <c r="I396" s="209"/>
      <c r="J396" s="209"/>
      <c r="K396" s="209"/>
      <c r="L396" s="207"/>
      <c r="M396" s="207"/>
      <c r="N396" s="207"/>
      <c r="O396" s="207"/>
      <c r="P396" s="209"/>
      <c r="Q396" s="207"/>
      <c r="R396" s="207"/>
      <c r="S396" s="207"/>
      <c r="T396" s="207"/>
      <c r="U396" s="209"/>
      <c r="V396" s="207"/>
      <c r="W396" s="207"/>
      <c r="X396" s="207"/>
      <c r="Y396" s="210"/>
      <c r="Z396" s="209"/>
      <c r="AA396" s="211"/>
      <c r="AB396" s="209"/>
      <c r="AC396" s="211"/>
      <c r="AD396" s="211"/>
      <c r="AE396" s="211"/>
      <c r="AF396" s="211"/>
      <c r="AG396" s="211"/>
    </row>
    <row r="397" spans="1:49" outlineLevel="1">
      <c r="A397" s="180"/>
      <c r="B397" s="238" t="s">
        <v>69</v>
      </c>
      <c r="C397" s="239">
        <v>75</v>
      </c>
      <c r="D397" s="207"/>
      <c r="E397" s="209"/>
      <c r="F397" s="209"/>
      <c r="G397" s="207"/>
      <c r="H397" s="209"/>
      <c r="I397" s="209"/>
      <c r="J397" s="209"/>
      <c r="K397" s="209"/>
      <c r="L397" s="207"/>
      <c r="M397" s="207"/>
      <c r="N397" s="207"/>
      <c r="O397" s="207"/>
      <c r="P397" s="209"/>
      <c r="Q397" s="207"/>
      <c r="R397" s="207"/>
      <c r="S397" s="207"/>
      <c r="T397" s="207"/>
      <c r="U397" s="209"/>
      <c r="V397" s="207"/>
      <c r="W397" s="207"/>
      <c r="X397" s="207"/>
      <c r="Y397" s="210"/>
      <c r="Z397" s="209"/>
      <c r="AA397" s="211"/>
      <c r="AB397" s="209"/>
      <c r="AC397" s="211"/>
      <c r="AD397" s="211"/>
      <c r="AE397" s="211"/>
      <c r="AF397" s="211"/>
      <c r="AG397" s="211"/>
    </row>
    <row r="398" spans="1:49" outlineLevel="1"/>
    <row r="399" spans="1:49" outlineLevel="1">
      <c r="A399" s="180"/>
      <c r="B399" s="229"/>
      <c r="C399" s="230"/>
      <c r="D399" s="230"/>
      <c r="E399" s="232"/>
      <c r="F399" s="232"/>
      <c r="G399" s="230"/>
      <c r="H399" s="232"/>
      <c r="I399" s="232"/>
      <c r="J399" s="232"/>
      <c r="K399" s="232"/>
      <c r="L399" s="230"/>
      <c r="M399" s="230"/>
      <c r="N399" s="230"/>
      <c r="O399" s="230"/>
      <c r="P399" s="232"/>
      <c r="Q399" s="230"/>
      <c r="R399" s="230"/>
      <c r="S399" s="230"/>
      <c r="T399" s="230"/>
      <c r="U399" s="232"/>
      <c r="V399" s="230"/>
      <c r="W399" s="230"/>
      <c r="X399" s="230"/>
      <c r="Y399" s="233"/>
      <c r="Z399" s="232"/>
      <c r="AA399" s="234"/>
      <c r="AB399" s="232"/>
      <c r="AC399" s="373"/>
      <c r="AD399" s="236"/>
      <c r="AE399" s="255"/>
      <c r="AF399" s="255"/>
      <c r="AG399" s="255"/>
      <c r="AH399" s="255"/>
      <c r="AJ399" s="255"/>
      <c r="AK399" s="255"/>
      <c r="AL399" s="255"/>
      <c r="AM399" s="255"/>
      <c r="AN399" s="255"/>
      <c r="AO399" s="255"/>
      <c r="AP399" s="255"/>
      <c r="AQ399" s="255"/>
      <c r="AR399" s="255"/>
      <c r="AS399" s="255"/>
      <c r="AT399" s="255"/>
      <c r="AU399" s="255"/>
      <c r="AV399" s="255"/>
      <c r="AW399" s="255"/>
    </row>
    <row r="400" spans="1:49" outlineLevel="1">
      <c r="B400" s="180"/>
      <c r="E400" s="4"/>
      <c r="F400" s="4"/>
      <c r="G400" s="4"/>
      <c r="J400" s="4"/>
      <c r="K400" s="4"/>
      <c r="L400" s="4"/>
      <c r="O400" s="4"/>
      <c r="P400" s="4"/>
      <c r="T400" s="4"/>
      <c r="U400" s="4"/>
      <c r="Y400" s="4"/>
      <c r="Z400" s="4"/>
      <c r="AA400" s="4"/>
      <c r="AB400" s="4"/>
      <c r="AC400" s="4"/>
      <c r="AK400" s="180"/>
      <c r="AL400" s="180"/>
      <c r="AM400" s="180"/>
      <c r="AN400" s="180"/>
      <c r="AO400" s="180"/>
      <c r="AP400" s="180"/>
    </row>
    <row r="401" spans="1:49" outlineLevel="1">
      <c r="A401" s="228"/>
      <c r="B401" s="1518" t="s">
        <v>18</v>
      </c>
      <c r="C401" s="1519">
        <v>45432</v>
      </c>
      <c r="D401" s="1519"/>
      <c r="E401" s="1519"/>
      <c r="F401" s="1519"/>
      <c r="G401" s="365"/>
      <c r="H401" s="1519">
        <v>45433</v>
      </c>
      <c r="I401" s="1519"/>
      <c r="J401" s="1519"/>
      <c r="K401" s="1519"/>
      <c r="L401" s="365">
        <v>45343</v>
      </c>
      <c r="M401" s="1519">
        <v>45434</v>
      </c>
      <c r="N401" s="1519"/>
      <c r="O401" s="1519"/>
      <c r="P401" s="1519"/>
      <c r="Q401" s="365"/>
      <c r="R401" s="1519">
        <v>45435</v>
      </c>
      <c r="S401" s="1519"/>
      <c r="T401" s="1519"/>
      <c r="U401" s="1519"/>
      <c r="V401" s="365"/>
      <c r="W401" s="1519">
        <v>45436</v>
      </c>
      <c r="X401" s="1519"/>
      <c r="Y401" s="1519"/>
      <c r="Z401" s="1519"/>
      <c r="AA401" s="1517" t="s">
        <v>19</v>
      </c>
      <c r="AB401" s="1517" t="s">
        <v>20</v>
      </c>
      <c r="AC401" s="4"/>
      <c r="AD401" s="1519">
        <v>45437</v>
      </c>
      <c r="AE401" s="1519"/>
      <c r="AF401" s="1519"/>
      <c r="AG401" s="1517" t="s">
        <v>21</v>
      </c>
      <c r="AI401" s="368"/>
      <c r="AK401" s="194" t="s">
        <v>84</v>
      </c>
      <c r="AL401" s="366"/>
      <c r="AM401" s="366"/>
      <c r="AN401" s="366"/>
      <c r="AO401" s="366"/>
      <c r="AP401" s="366"/>
    </row>
    <row r="402" spans="1:49" outlineLevel="1">
      <c r="A402" s="180"/>
      <c r="B402" s="1518"/>
      <c r="C402" s="21" t="s">
        <v>23</v>
      </c>
      <c r="D402" s="21" t="s">
        <v>24</v>
      </c>
      <c r="E402" s="205" t="s">
        <v>25</v>
      </c>
      <c r="F402" s="18" t="s">
        <v>14</v>
      </c>
      <c r="G402" s="4"/>
      <c r="H402" s="21" t="s">
        <v>23</v>
      </c>
      <c r="I402" s="21" t="s">
        <v>24</v>
      </c>
      <c r="J402" s="18" t="s">
        <v>25</v>
      </c>
      <c r="K402" s="18" t="s">
        <v>14</v>
      </c>
      <c r="L402" s="4"/>
      <c r="M402" s="21" t="s">
        <v>23</v>
      </c>
      <c r="N402" s="21" t="s">
        <v>24</v>
      </c>
      <c r="O402" s="18" t="s">
        <v>25</v>
      </c>
      <c r="P402" s="18" t="s">
        <v>14</v>
      </c>
      <c r="R402" s="21" t="s">
        <v>23</v>
      </c>
      <c r="S402" s="21" t="s">
        <v>24</v>
      </c>
      <c r="T402" s="18" t="s">
        <v>25</v>
      </c>
      <c r="U402" s="18" t="s">
        <v>14</v>
      </c>
      <c r="W402" s="21" t="s">
        <v>23</v>
      </c>
      <c r="X402" s="21" t="s">
        <v>24</v>
      </c>
      <c r="Y402" s="18" t="s">
        <v>25</v>
      </c>
      <c r="Z402" s="18" t="s">
        <v>14</v>
      </c>
      <c r="AA402" s="1517"/>
      <c r="AB402" s="1517"/>
      <c r="AC402" s="4"/>
      <c r="AD402" s="21" t="s">
        <v>23</v>
      </c>
      <c r="AE402" s="21" t="s">
        <v>24</v>
      </c>
      <c r="AF402" s="18" t="s">
        <v>25</v>
      </c>
      <c r="AG402" s="1517"/>
      <c r="AI402" s="368"/>
      <c r="AJ402" s="367"/>
      <c r="AK402" s="494" t="s">
        <v>26</v>
      </c>
      <c r="AL402" s="471">
        <f>AA441</f>
        <v>565.6</v>
      </c>
      <c r="AM402" s="510">
        <v>38</v>
      </c>
      <c r="AN402" s="510">
        <f t="shared" ref="AN402:AN409" si="76">AL402*AM402</f>
        <v>21492.799999999999</v>
      </c>
      <c r="AQ402" s="367"/>
      <c r="AR402" s="367"/>
      <c r="AS402" s="367"/>
      <c r="AT402" s="367"/>
      <c r="AU402" s="367"/>
      <c r="AV402" s="367"/>
      <c r="AW402" s="367"/>
    </row>
    <row r="403" spans="1:49" outlineLevel="1">
      <c r="A403" s="180"/>
      <c r="B403" s="457" t="s">
        <v>402</v>
      </c>
      <c r="C403" s="47"/>
      <c r="D403" s="47"/>
      <c r="E403" s="319"/>
      <c r="F403" s="320"/>
      <c r="G403" s="4"/>
      <c r="H403" s="47"/>
      <c r="I403" s="47"/>
      <c r="J403" s="319"/>
      <c r="K403" s="320"/>
      <c r="L403" s="4"/>
      <c r="M403" s="47"/>
      <c r="N403" s="47"/>
      <c r="O403" s="319"/>
      <c r="P403" s="320"/>
      <c r="R403" s="441"/>
      <c r="S403" s="441"/>
      <c r="T403" s="319">
        <v>1</v>
      </c>
      <c r="U403" s="320"/>
      <c r="W403" s="441"/>
      <c r="X403" s="441"/>
      <c r="Y403" s="319"/>
      <c r="Z403" s="320"/>
      <c r="AA403" s="328">
        <f t="shared" ref="AA403" si="77">(E403+J403+O403+T403+Y403)</f>
        <v>1</v>
      </c>
      <c r="AB403" s="298">
        <f t="shared" ref="AB403:AB413" si="78">Z403+U403+P403+K403+F403</f>
        <v>0</v>
      </c>
      <c r="AC403" s="4"/>
      <c r="AD403" s="47"/>
      <c r="AE403" s="47"/>
      <c r="AF403" s="319"/>
      <c r="AG403" s="328">
        <f t="shared" ref="AG403:AG440" si="79">AF403</f>
        <v>0</v>
      </c>
      <c r="AI403" s="368"/>
      <c r="AJ403" s="367"/>
      <c r="AK403" s="494" t="s">
        <v>30</v>
      </c>
      <c r="AL403" s="471">
        <f>$AB$31</f>
        <v>0</v>
      </c>
      <c r="AM403" s="511">
        <v>57</v>
      </c>
      <c r="AN403" s="510">
        <f t="shared" si="76"/>
        <v>0</v>
      </c>
      <c r="AQ403" s="367"/>
      <c r="AR403" s="367"/>
      <c r="AS403" s="367"/>
      <c r="AT403" s="367"/>
      <c r="AU403" s="367"/>
      <c r="AV403" s="367"/>
      <c r="AW403" s="367"/>
    </row>
    <row r="404" spans="1:49" outlineLevel="1">
      <c r="A404" s="367"/>
      <c r="B404" s="318" t="s">
        <v>385</v>
      </c>
      <c r="C404" s="441"/>
      <c r="D404" s="47"/>
      <c r="E404" s="319"/>
      <c r="F404" s="320"/>
      <c r="G404" s="4"/>
      <c r="H404" s="47">
        <v>0.375</v>
      </c>
      <c r="I404" s="47">
        <v>0.25</v>
      </c>
      <c r="J404" s="319">
        <v>8</v>
      </c>
      <c r="K404" s="320"/>
      <c r="L404" s="4"/>
      <c r="M404" s="47">
        <v>0.33333333333333331</v>
      </c>
      <c r="N404" s="47">
        <v>0.20833333333333334</v>
      </c>
      <c r="O404" s="319">
        <v>8</v>
      </c>
      <c r="P404" s="320"/>
      <c r="R404" s="441"/>
      <c r="S404" s="441"/>
      <c r="T404" s="319">
        <v>1</v>
      </c>
      <c r="U404" s="320"/>
      <c r="W404" s="441"/>
      <c r="X404" s="441"/>
      <c r="Y404" s="319"/>
      <c r="Z404" s="320"/>
      <c r="AA404" s="328">
        <f t="shared" ref="AA404:AA440" si="80">(E404+J404+O404+T404+Y404)</f>
        <v>17</v>
      </c>
      <c r="AB404" s="298">
        <f t="shared" si="78"/>
        <v>0</v>
      </c>
      <c r="AC404" s="4"/>
      <c r="AD404" s="47"/>
      <c r="AE404" s="47"/>
      <c r="AF404" s="319"/>
      <c r="AG404" s="328">
        <f t="shared" si="79"/>
        <v>0</v>
      </c>
      <c r="AH404" s="175"/>
      <c r="AI404" s="402"/>
      <c r="AJ404" s="367"/>
      <c r="AK404" s="494" t="s">
        <v>32</v>
      </c>
      <c r="AL404" s="471">
        <f>AB441</f>
        <v>21.9</v>
      </c>
      <c r="AM404" s="510">
        <v>57</v>
      </c>
      <c r="AN404" s="510">
        <f t="shared" si="76"/>
        <v>1248.3</v>
      </c>
      <c r="AQ404" s="367"/>
      <c r="AR404" s="367"/>
      <c r="AS404" s="367"/>
      <c r="AT404" s="367"/>
      <c r="AU404" s="367"/>
      <c r="AV404" s="367"/>
      <c r="AW404" s="367"/>
    </row>
    <row r="405" spans="1:49" outlineLevel="1">
      <c r="A405" s="367"/>
      <c r="B405" s="13" t="s">
        <v>410</v>
      </c>
      <c r="C405" s="441"/>
      <c r="D405" s="47"/>
      <c r="E405" s="319"/>
      <c r="F405" s="320"/>
      <c r="G405" s="4"/>
      <c r="H405" s="47"/>
      <c r="I405" s="47"/>
      <c r="J405" s="319"/>
      <c r="K405" s="320"/>
      <c r="L405" s="4"/>
      <c r="M405" s="47"/>
      <c r="N405" s="47"/>
      <c r="O405" s="319"/>
      <c r="P405" s="320"/>
      <c r="R405" s="441"/>
      <c r="S405" s="441"/>
      <c r="T405" s="319">
        <v>1</v>
      </c>
      <c r="U405" s="320"/>
      <c r="W405" s="441"/>
      <c r="X405" s="441"/>
      <c r="Y405" s="319"/>
      <c r="Z405" s="320"/>
      <c r="AA405" s="328">
        <f t="shared" si="80"/>
        <v>1</v>
      </c>
      <c r="AB405" s="298"/>
      <c r="AC405" s="4"/>
      <c r="AD405" s="47"/>
      <c r="AE405" s="47"/>
      <c r="AF405" s="319"/>
      <c r="AG405" s="328"/>
      <c r="AH405" s="175"/>
      <c r="AI405" s="402"/>
      <c r="AJ405" s="367"/>
      <c r="AK405" s="494"/>
      <c r="AL405" s="471"/>
      <c r="AM405" s="510"/>
      <c r="AN405" s="510"/>
      <c r="AQ405" s="367"/>
      <c r="AR405" s="367"/>
      <c r="AS405" s="367"/>
      <c r="AT405" s="367"/>
      <c r="AU405" s="367"/>
      <c r="AV405" s="367"/>
      <c r="AW405" s="367"/>
    </row>
    <row r="406" spans="1:49" outlineLevel="1">
      <c r="A406" s="367"/>
      <c r="B406" s="457" t="s">
        <v>382</v>
      </c>
      <c r="C406" s="47"/>
      <c r="D406" s="47"/>
      <c r="E406" s="319"/>
      <c r="F406" s="320"/>
      <c r="G406" s="4"/>
      <c r="H406" s="47"/>
      <c r="I406" s="47"/>
      <c r="J406" s="319"/>
      <c r="K406" s="320"/>
      <c r="L406" s="4"/>
      <c r="M406" s="47"/>
      <c r="N406" s="47"/>
      <c r="O406" s="319"/>
      <c r="P406" s="320"/>
      <c r="R406" s="441"/>
      <c r="S406" s="441"/>
      <c r="T406" s="319">
        <v>1</v>
      </c>
      <c r="U406" s="320"/>
      <c r="W406" s="441"/>
      <c r="X406" s="441"/>
      <c r="Y406" s="319"/>
      <c r="Z406" s="320"/>
      <c r="AA406" s="328">
        <f t="shared" si="80"/>
        <v>1</v>
      </c>
      <c r="AB406" s="298">
        <f t="shared" si="78"/>
        <v>0</v>
      </c>
      <c r="AC406" s="399"/>
      <c r="AD406" s="47"/>
      <c r="AE406" s="47"/>
      <c r="AF406" s="319"/>
      <c r="AG406" s="29">
        <f t="shared" si="79"/>
        <v>0</v>
      </c>
      <c r="AH406" s="175"/>
      <c r="AJ406" s="401"/>
      <c r="AK406" s="494" t="s">
        <v>213</v>
      </c>
      <c r="AL406" s="471">
        <f>AA443</f>
        <v>43</v>
      </c>
      <c r="AM406" s="510">
        <v>50</v>
      </c>
      <c r="AN406" s="510">
        <f t="shared" si="76"/>
        <v>2150</v>
      </c>
      <c r="AO406" s="405"/>
      <c r="AP406" s="405"/>
      <c r="AQ406" s="401"/>
      <c r="AR406" s="401"/>
      <c r="AS406" s="401"/>
      <c r="AT406" s="401"/>
      <c r="AU406" s="401"/>
      <c r="AV406" s="401"/>
      <c r="AW406" s="401"/>
    </row>
    <row r="407" spans="1:49" outlineLevel="1">
      <c r="A407" s="367"/>
      <c r="B407" s="457" t="s">
        <v>405</v>
      </c>
      <c r="C407" s="47">
        <v>0</v>
      </c>
      <c r="D407" s="47">
        <v>0</v>
      </c>
      <c r="E407" s="319">
        <v>0</v>
      </c>
      <c r="F407" s="320">
        <v>0</v>
      </c>
      <c r="G407" s="4"/>
      <c r="H407" s="47">
        <v>0</v>
      </c>
      <c r="I407" s="47">
        <v>0</v>
      </c>
      <c r="J407" s="319">
        <v>0</v>
      </c>
      <c r="K407" s="320">
        <v>0</v>
      </c>
      <c r="L407" s="4"/>
      <c r="M407" s="47">
        <v>0</v>
      </c>
      <c r="N407" s="47">
        <v>0</v>
      </c>
      <c r="O407" s="319">
        <v>0</v>
      </c>
      <c r="P407" s="320"/>
      <c r="R407" s="47">
        <v>0</v>
      </c>
      <c r="S407" s="441" t="s">
        <v>154</v>
      </c>
      <c r="T407" s="319">
        <v>0</v>
      </c>
      <c r="U407" s="320"/>
      <c r="W407" s="47">
        <v>0</v>
      </c>
      <c r="X407" s="441" t="s">
        <v>154</v>
      </c>
      <c r="Y407" s="319">
        <v>0</v>
      </c>
      <c r="Z407" s="320"/>
      <c r="AA407" s="328">
        <f t="shared" si="80"/>
        <v>0</v>
      </c>
      <c r="AB407" s="298">
        <f t="shared" si="78"/>
        <v>0</v>
      </c>
      <c r="AC407" s="399"/>
      <c r="AD407" s="47"/>
      <c r="AE407" s="47"/>
      <c r="AF407" s="319"/>
      <c r="AG407" s="29">
        <f t="shared" si="79"/>
        <v>0</v>
      </c>
      <c r="AH407" s="175"/>
      <c r="AJ407" s="401"/>
      <c r="AK407" s="494" t="s">
        <v>36</v>
      </c>
      <c r="AL407" s="471">
        <f>AB443</f>
        <v>0</v>
      </c>
      <c r="AM407" s="510">
        <v>75</v>
      </c>
      <c r="AN407" s="510">
        <f t="shared" si="76"/>
        <v>0</v>
      </c>
      <c r="AO407" s="405"/>
      <c r="AP407" s="405"/>
      <c r="AQ407" s="401"/>
      <c r="AR407" s="401"/>
      <c r="AS407" s="401"/>
      <c r="AT407" s="401"/>
      <c r="AU407" s="401"/>
      <c r="AV407" s="401"/>
      <c r="AW407" s="401"/>
    </row>
    <row r="408" spans="1:49" outlineLevel="1">
      <c r="A408" s="367"/>
      <c r="B408" s="457" t="s">
        <v>380</v>
      </c>
      <c r="C408" s="47"/>
      <c r="D408" s="47"/>
      <c r="E408" s="319"/>
      <c r="F408" s="320"/>
      <c r="G408" s="4"/>
      <c r="H408" s="47"/>
      <c r="I408" s="47"/>
      <c r="J408" s="319"/>
      <c r="K408" s="320"/>
      <c r="L408" s="4"/>
      <c r="M408" s="47">
        <v>0.33333333333333331</v>
      </c>
      <c r="N408" s="47">
        <v>0.20833333333333334</v>
      </c>
      <c r="O408" s="319">
        <v>8</v>
      </c>
      <c r="P408" s="320"/>
      <c r="R408" s="47"/>
      <c r="S408" s="441"/>
      <c r="T408" s="319">
        <v>1</v>
      </c>
      <c r="U408" s="320"/>
      <c r="W408" s="47"/>
      <c r="X408" s="441"/>
      <c r="Y408" s="319"/>
      <c r="Z408" s="320"/>
      <c r="AA408" s="328">
        <f t="shared" si="80"/>
        <v>9</v>
      </c>
      <c r="AB408" s="298">
        <f t="shared" si="78"/>
        <v>0</v>
      </c>
      <c r="AC408" s="175"/>
      <c r="AD408" s="47"/>
      <c r="AE408" s="47"/>
      <c r="AF408" s="319"/>
      <c r="AG408" s="344">
        <f t="shared" si="79"/>
        <v>0</v>
      </c>
      <c r="AH408" s="175"/>
      <c r="AI408" s="368"/>
      <c r="AK408" s="494" t="s">
        <v>38</v>
      </c>
      <c r="AL408" s="471">
        <f>AG443</f>
        <v>0</v>
      </c>
      <c r="AM408" s="510">
        <v>75</v>
      </c>
      <c r="AN408" s="510">
        <f t="shared" si="76"/>
        <v>0</v>
      </c>
    </row>
    <row r="409" spans="1:49" ht="14.25" outlineLevel="1" thickBot="1">
      <c r="A409" s="401"/>
      <c r="B409" s="457" t="s">
        <v>412</v>
      </c>
      <c r="C409" s="47"/>
      <c r="D409" s="47"/>
      <c r="E409" s="319"/>
      <c r="F409" s="320"/>
      <c r="G409" s="4"/>
      <c r="H409" s="47">
        <v>0.375</v>
      </c>
      <c r="I409" s="47">
        <v>0.25</v>
      </c>
      <c r="J409" s="319">
        <v>8</v>
      </c>
      <c r="K409" s="320"/>
      <c r="L409" s="4"/>
      <c r="M409" s="47">
        <v>0.33333333333333331</v>
      </c>
      <c r="N409" s="47">
        <v>0.20833333333333334</v>
      </c>
      <c r="O409" s="319">
        <v>8</v>
      </c>
      <c r="P409" s="320"/>
      <c r="R409" s="47"/>
      <c r="S409" s="441"/>
      <c r="T409" s="319">
        <v>1</v>
      </c>
      <c r="U409" s="320"/>
      <c r="W409" s="47"/>
      <c r="X409" s="441"/>
      <c r="Y409" s="319"/>
      <c r="Z409" s="320"/>
      <c r="AA409" s="328">
        <f t="shared" si="80"/>
        <v>17</v>
      </c>
      <c r="AB409" s="298">
        <f t="shared" si="78"/>
        <v>0</v>
      </c>
      <c r="AC409" s="4"/>
      <c r="AD409" s="47"/>
      <c r="AE409" s="47"/>
      <c r="AF409" s="319"/>
      <c r="AG409" s="29">
        <f t="shared" si="79"/>
        <v>0</v>
      </c>
      <c r="AJ409" s="367"/>
      <c r="AK409" s="494" t="s">
        <v>41</v>
      </c>
      <c r="AL409" s="471">
        <f>C444</f>
        <v>100</v>
      </c>
      <c r="AM409" s="512">
        <v>45</v>
      </c>
      <c r="AN409" s="512">
        <f t="shared" si="76"/>
        <v>4500</v>
      </c>
      <c r="AQ409" s="367"/>
      <c r="AR409" s="367"/>
      <c r="AS409" s="367"/>
      <c r="AT409" s="367"/>
      <c r="AU409" s="367"/>
      <c r="AV409" s="367"/>
      <c r="AW409" s="367"/>
    </row>
    <row r="410" spans="1:49" ht="14.25" outlineLevel="1" thickTop="1">
      <c r="A410" s="367"/>
      <c r="B410" s="318" t="s">
        <v>391</v>
      </c>
      <c r="C410" s="47"/>
      <c r="D410" s="47"/>
      <c r="E410" s="319"/>
      <c r="F410" s="320"/>
      <c r="G410" s="4"/>
      <c r="H410" s="47"/>
      <c r="I410" s="47"/>
      <c r="J410" s="319"/>
      <c r="K410" s="320"/>
      <c r="L410" s="4"/>
      <c r="M410" s="47"/>
      <c r="N410" s="47"/>
      <c r="O410" s="319"/>
      <c r="P410" s="320"/>
      <c r="R410" s="47"/>
      <c r="S410" s="441"/>
      <c r="T410" s="319">
        <v>1</v>
      </c>
      <c r="U410" s="320"/>
      <c r="W410" s="47"/>
      <c r="X410" s="441"/>
      <c r="Y410" s="319"/>
      <c r="Z410" s="320"/>
      <c r="AA410" s="328">
        <f t="shared" si="80"/>
        <v>1</v>
      </c>
      <c r="AB410" s="298">
        <f t="shared" si="78"/>
        <v>0</v>
      </c>
      <c r="AC410" s="4"/>
      <c r="AD410" s="47"/>
      <c r="AE410" s="47"/>
      <c r="AF410" s="319"/>
      <c r="AG410" s="29">
        <f t="shared" si="79"/>
        <v>0</v>
      </c>
      <c r="AN410" s="510">
        <f>SUM(AN402:AN409)</f>
        <v>29391.1</v>
      </c>
    </row>
    <row r="411" spans="1:49" outlineLevel="1">
      <c r="A411" s="180"/>
      <c r="B411" s="457" t="s">
        <v>399</v>
      </c>
      <c r="C411" s="47"/>
      <c r="D411" s="47"/>
      <c r="E411" s="319"/>
      <c r="F411" s="320"/>
      <c r="G411" s="4"/>
      <c r="H411" s="47">
        <v>0.375</v>
      </c>
      <c r="I411" s="47">
        <v>0.25</v>
      </c>
      <c r="J411" s="319">
        <v>8</v>
      </c>
      <c r="K411" s="320"/>
      <c r="L411" s="4"/>
      <c r="M411" s="47">
        <v>0.33333333333333331</v>
      </c>
      <c r="N411" s="47">
        <v>0.20833333333333334</v>
      </c>
      <c r="O411" s="319">
        <v>8</v>
      </c>
      <c r="P411" s="320"/>
      <c r="R411" s="47"/>
      <c r="S411" s="441"/>
      <c r="T411" s="319">
        <v>1</v>
      </c>
      <c r="U411" s="320"/>
      <c r="W411" s="47">
        <v>0.375</v>
      </c>
      <c r="X411" s="47">
        <v>0.25</v>
      </c>
      <c r="Y411" s="319">
        <v>8</v>
      </c>
      <c r="Z411" s="320"/>
      <c r="AA411" s="328">
        <f t="shared" si="80"/>
        <v>25</v>
      </c>
      <c r="AB411" s="298">
        <f t="shared" si="78"/>
        <v>0</v>
      </c>
      <c r="AC411" s="4"/>
      <c r="AD411" s="47"/>
      <c r="AE411" s="47"/>
      <c r="AF411" s="319"/>
      <c r="AG411" s="29">
        <f t="shared" si="79"/>
        <v>0</v>
      </c>
    </row>
    <row r="412" spans="1:49" outlineLevel="1">
      <c r="A412" s="180"/>
      <c r="B412" s="318" t="s">
        <v>381</v>
      </c>
      <c r="C412" s="47"/>
      <c r="D412" s="47"/>
      <c r="E412" s="319"/>
      <c r="F412" s="320"/>
      <c r="G412" s="4"/>
      <c r="H412" s="47">
        <v>0.33333333333333331</v>
      </c>
      <c r="I412" s="47">
        <v>0.25</v>
      </c>
      <c r="J412" s="319"/>
      <c r="K412" s="320"/>
      <c r="L412" s="4"/>
      <c r="M412" s="47">
        <v>0.33333333333333331</v>
      </c>
      <c r="N412" s="47">
        <v>0.20833333333333334</v>
      </c>
      <c r="O412" s="319">
        <v>8</v>
      </c>
      <c r="P412" s="320"/>
      <c r="R412" s="47"/>
      <c r="S412" s="441"/>
      <c r="T412" s="319">
        <v>1</v>
      </c>
      <c r="U412" s="320"/>
      <c r="W412" s="47"/>
      <c r="X412" s="441"/>
      <c r="Y412" s="319"/>
      <c r="Z412" s="320"/>
      <c r="AA412" s="328">
        <f t="shared" si="80"/>
        <v>9</v>
      </c>
      <c r="AB412" s="298">
        <f t="shared" si="78"/>
        <v>0</v>
      </c>
      <c r="AC412" s="4"/>
      <c r="AD412" s="47"/>
      <c r="AE412" s="47"/>
      <c r="AF412" s="319"/>
      <c r="AG412" s="29">
        <f t="shared" si="79"/>
        <v>0</v>
      </c>
    </row>
    <row r="413" spans="1:49" outlineLevel="1">
      <c r="A413" s="180"/>
      <c r="B413" s="457" t="s">
        <v>389</v>
      </c>
      <c r="C413" s="47"/>
      <c r="D413" s="47"/>
      <c r="E413" s="319"/>
      <c r="F413" s="320"/>
      <c r="G413" s="4"/>
      <c r="H413" s="47">
        <v>0.33333333333333331</v>
      </c>
      <c r="I413" s="47">
        <v>0.25</v>
      </c>
      <c r="J413" s="319">
        <v>8</v>
      </c>
      <c r="K413" s="320"/>
      <c r="L413" s="4"/>
      <c r="M413" s="47">
        <v>0.33333333333333331</v>
      </c>
      <c r="N413" s="47">
        <v>0.20833333333333334</v>
      </c>
      <c r="O413" s="319">
        <v>8</v>
      </c>
      <c r="P413" s="320"/>
      <c r="R413" s="47"/>
      <c r="S413" s="441"/>
      <c r="T413" s="319">
        <v>1</v>
      </c>
      <c r="U413" s="320"/>
      <c r="W413" s="47"/>
      <c r="X413" s="441"/>
      <c r="Y413" s="319"/>
      <c r="Z413" s="320"/>
      <c r="AA413" s="328">
        <f t="shared" si="80"/>
        <v>17</v>
      </c>
      <c r="AB413" s="298">
        <f t="shared" si="78"/>
        <v>0</v>
      </c>
      <c r="AC413" s="4"/>
      <c r="AD413" s="47"/>
      <c r="AE413" s="47"/>
      <c r="AF413" s="319"/>
      <c r="AG413" s="29">
        <f t="shared" si="79"/>
        <v>0</v>
      </c>
    </row>
    <row r="414" spans="1:49" outlineLevel="1">
      <c r="A414" s="180"/>
      <c r="B414" s="318" t="s">
        <v>398</v>
      </c>
      <c r="C414" s="47"/>
      <c r="D414" s="47"/>
      <c r="E414" s="319"/>
      <c r="F414" s="320"/>
      <c r="G414" s="4"/>
      <c r="H414" s="47">
        <v>0.375</v>
      </c>
      <c r="I414" s="47">
        <v>0.25</v>
      </c>
      <c r="J414" s="319">
        <v>8</v>
      </c>
      <c r="K414" s="320"/>
      <c r="L414" s="4"/>
      <c r="M414" s="47"/>
      <c r="N414" s="47"/>
      <c r="O414" s="319"/>
      <c r="P414" s="320"/>
      <c r="R414" s="47"/>
      <c r="S414" s="441"/>
      <c r="T414" s="319">
        <v>1</v>
      </c>
      <c r="U414" s="320"/>
      <c r="W414" s="47"/>
      <c r="X414" s="441"/>
      <c r="Y414" s="319"/>
      <c r="Z414" s="320"/>
      <c r="AA414" s="328">
        <f t="shared" si="80"/>
        <v>9</v>
      </c>
      <c r="AB414" s="298">
        <f t="shared" ref="AB414:AB426" si="81">Z414+U414+P414+K414+F412</f>
        <v>0</v>
      </c>
      <c r="AC414" s="4"/>
      <c r="AD414" s="47"/>
      <c r="AE414" s="47"/>
      <c r="AF414" s="319"/>
      <c r="AG414" s="29">
        <f t="shared" si="79"/>
        <v>0</v>
      </c>
    </row>
    <row r="415" spans="1:49" outlineLevel="1">
      <c r="A415" s="180"/>
      <c r="B415" s="457" t="s">
        <v>401</v>
      </c>
      <c r="C415" s="47"/>
      <c r="D415" s="47"/>
      <c r="E415" s="319"/>
      <c r="F415" s="320"/>
      <c r="G415" s="4"/>
      <c r="H415" s="441"/>
      <c r="I415" s="47"/>
      <c r="J415" s="319"/>
      <c r="K415" s="320"/>
      <c r="L415" s="4"/>
      <c r="M415" s="441"/>
      <c r="N415" s="47"/>
      <c r="O415" s="319"/>
      <c r="P415" s="320"/>
      <c r="R415" s="47"/>
      <c r="S415" s="441"/>
      <c r="T415" s="319">
        <v>1</v>
      </c>
      <c r="U415" s="320"/>
      <c r="W415" s="47"/>
      <c r="X415" s="441"/>
      <c r="Y415" s="319"/>
      <c r="Z415" s="320"/>
      <c r="AA415" s="328">
        <f t="shared" si="80"/>
        <v>1</v>
      </c>
      <c r="AB415" s="298">
        <f>Z415+U415+P415+K415+F414</f>
        <v>0</v>
      </c>
      <c r="AC415" s="4"/>
      <c r="AD415" s="47"/>
      <c r="AE415" s="47"/>
      <c r="AF415" s="319"/>
      <c r="AG415" s="29">
        <f t="shared" si="79"/>
        <v>0</v>
      </c>
    </row>
    <row r="416" spans="1:49" outlineLevel="1">
      <c r="A416" s="180"/>
      <c r="B416" s="449" t="s">
        <v>415</v>
      </c>
      <c r="C416" s="47"/>
      <c r="D416" s="47"/>
      <c r="E416" s="319"/>
      <c r="F416" s="320"/>
      <c r="G416" s="4"/>
      <c r="H416" s="441"/>
      <c r="I416" s="47"/>
      <c r="J416" s="319"/>
      <c r="K416" s="320"/>
      <c r="L416" s="4"/>
      <c r="M416" s="441"/>
      <c r="N416" s="47"/>
      <c r="O416" s="319"/>
      <c r="P416" s="320"/>
      <c r="R416" s="47"/>
      <c r="S416" s="441"/>
      <c r="T416" s="319">
        <v>0</v>
      </c>
      <c r="U416" s="320"/>
      <c r="W416" s="47"/>
      <c r="X416" s="441"/>
      <c r="Y416" s="319"/>
      <c r="Z416" s="320"/>
      <c r="AA416" s="328">
        <f t="shared" si="80"/>
        <v>0</v>
      </c>
      <c r="AB416" s="298">
        <f>Z416+U416+P416+K416+F415</f>
        <v>0</v>
      </c>
      <c r="AC416" s="4"/>
      <c r="AD416" s="47"/>
      <c r="AE416" s="47"/>
      <c r="AF416" s="319"/>
      <c r="AG416" s="29">
        <f t="shared" si="79"/>
        <v>0</v>
      </c>
    </row>
    <row r="417" spans="1:33" outlineLevel="1">
      <c r="A417" s="180"/>
      <c r="B417" s="164" t="s">
        <v>414</v>
      </c>
      <c r="C417" s="47"/>
      <c r="D417" s="47"/>
      <c r="E417" s="319"/>
      <c r="F417" s="320"/>
      <c r="G417" s="4"/>
      <c r="H417" s="47"/>
      <c r="I417" s="47"/>
      <c r="J417" s="319"/>
      <c r="K417" s="320"/>
      <c r="L417" s="4"/>
      <c r="M417" s="441"/>
      <c r="N417" s="47"/>
      <c r="O417" s="319"/>
      <c r="P417" s="320"/>
      <c r="R417" s="47"/>
      <c r="S417" s="441"/>
      <c r="T417" s="319">
        <v>0</v>
      </c>
      <c r="U417" s="320"/>
      <c r="W417" s="47"/>
      <c r="X417" s="441"/>
      <c r="Y417" s="319"/>
      <c r="Z417" s="320"/>
      <c r="AA417" s="328">
        <f t="shared" si="80"/>
        <v>0</v>
      </c>
      <c r="AB417" s="298">
        <f t="shared" si="81"/>
        <v>0</v>
      </c>
      <c r="AC417" s="4"/>
      <c r="AD417" s="47"/>
      <c r="AE417" s="47"/>
      <c r="AF417" s="319"/>
      <c r="AG417" s="29">
        <f t="shared" si="79"/>
        <v>0</v>
      </c>
    </row>
    <row r="418" spans="1:33" ht="10.15" customHeight="1" outlineLevel="1">
      <c r="A418" s="180"/>
      <c r="B418" s="318" t="s">
        <v>386</v>
      </c>
      <c r="C418" s="47">
        <v>0.375</v>
      </c>
      <c r="D418" s="47">
        <v>0.25</v>
      </c>
      <c r="E418" s="319">
        <v>8</v>
      </c>
      <c r="F418" s="320"/>
      <c r="G418" s="4"/>
      <c r="H418" s="47">
        <v>0.375</v>
      </c>
      <c r="I418" s="47">
        <v>0.25</v>
      </c>
      <c r="J418" s="319">
        <v>8</v>
      </c>
      <c r="K418" s="320"/>
      <c r="L418" s="4"/>
      <c r="M418" s="47">
        <v>0.33333333333333331</v>
      </c>
      <c r="N418" s="47">
        <v>0.20833333333333334</v>
      </c>
      <c r="O418" s="319">
        <v>8</v>
      </c>
      <c r="P418" s="320"/>
      <c r="R418" s="47"/>
      <c r="S418" s="441"/>
      <c r="T418" s="319">
        <v>1</v>
      </c>
      <c r="U418" s="320"/>
      <c r="W418" s="47">
        <v>0.375</v>
      </c>
      <c r="X418" s="47">
        <v>0.25</v>
      </c>
      <c r="Y418" s="319">
        <v>8</v>
      </c>
      <c r="Z418" s="320"/>
      <c r="AA418" s="328">
        <f t="shared" si="80"/>
        <v>33</v>
      </c>
      <c r="AB418" s="298">
        <f t="shared" si="81"/>
        <v>0</v>
      </c>
      <c r="AC418" s="4"/>
      <c r="AD418" s="47"/>
      <c r="AE418" s="47"/>
      <c r="AF418" s="319"/>
      <c r="AG418" s="29">
        <f t="shared" si="79"/>
        <v>0</v>
      </c>
    </row>
    <row r="419" spans="1:33" outlineLevel="1">
      <c r="A419" s="180"/>
      <c r="B419" s="318" t="s">
        <v>403</v>
      </c>
      <c r="C419" s="47"/>
      <c r="D419" s="47"/>
      <c r="E419" s="319"/>
      <c r="F419" s="320"/>
      <c r="G419" s="4"/>
      <c r="H419" s="47">
        <v>0.375</v>
      </c>
      <c r="I419" s="47">
        <v>0.25</v>
      </c>
      <c r="J419" s="319">
        <v>8</v>
      </c>
      <c r="K419" s="320">
        <v>1</v>
      </c>
      <c r="L419" s="4"/>
      <c r="M419" s="47">
        <v>0.33333333333333331</v>
      </c>
      <c r="N419" s="47">
        <v>0.20833333333333334</v>
      </c>
      <c r="O419" s="319">
        <v>8</v>
      </c>
      <c r="P419" s="320">
        <v>1</v>
      </c>
      <c r="R419" s="47"/>
      <c r="S419" s="441"/>
      <c r="T419" s="319">
        <v>0</v>
      </c>
      <c r="U419" s="320"/>
      <c r="W419" s="47"/>
      <c r="X419" s="47"/>
      <c r="Y419" s="319"/>
      <c r="Z419" s="320"/>
      <c r="AA419" s="328">
        <f t="shared" si="80"/>
        <v>16</v>
      </c>
      <c r="AB419" s="298">
        <f t="shared" si="81"/>
        <v>2</v>
      </c>
      <c r="AC419" s="4"/>
      <c r="AD419" s="47"/>
      <c r="AE419" s="47"/>
      <c r="AF419" s="319"/>
      <c r="AG419" s="29">
        <f t="shared" si="79"/>
        <v>0</v>
      </c>
    </row>
    <row r="420" spans="1:33" outlineLevel="1">
      <c r="A420" s="180"/>
      <c r="B420" s="457" t="s">
        <v>397</v>
      </c>
      <c r="C420" s="47"/>
      <c r="D420" s="47"/>
      <c r="E420" s="319"/>
      <c r="F420" s="320"/>
      <c r="G420" s="4"/>
      <c r="H420" s="47"/>
      <c r="I420" s="47"/>
      <c r="J420" s="319"/>
      <c r="K420" s="320"/>
      <c r="L420" s="4"/>
      <c r="M420" s="441"/>
      <c r="N420" s="441"/>
      <c r="O420" s="319"/>
      <c r="P420" s="320"/>
      <c r="R420" s="47"/>
      <c r="S420" s="441"/>
      <c r="T420" s="319">
        <v>1</v>
      </c>
      <c r="U420" s="320"/>
      <c r="W420" s="47"/>
      <c r="X420" s="441"/>
      <c r="Y420" s="319"/>
      <c r="Z420" s="320"/>
      <c r="AA420" s="328">
        <f t="shared" si="80"/>
        <v>1</v>
      </c>
      <c r="AB420" s="298">
        <f t="shared" si="81"/>
        <v>0</v>
      </c>
      <c r="AC420" s="4"/>
      <c r="AD420" s="47"/>
      <c r="AE420" s="47"/>
      <c r="AF420" s="319"/>
      <c r="AG420" s="29">
        <f t="shared" si="79"/>
        <v>0</v>
      </c>
    </row>
    <row r="421" spans="1:33" outlineLevel="1">
      <c r="A421" s="180"/>
      <c r="B421" s="457" t="s">
        <v>404</v>
      </c>
      <c r="C421" s="47"/>
      <c r="D421" s="47"/>
      <c r="E421" s="319"/>
      <c r="F421" s="320"/>
      <c r="G421" s="4"/>
      <c r="H421" s="47"/>
      <c r="I421" s="47"/>
      <c r="J421" s="319"/>
      <c r="K421" s="320"/>
      <c r="L421" s="4"/>
      <c r="M421" s="47"/>
      <c r="N421" s="47"/>
      <c r="O421" s="319"/>
      <c r="P421" s="320"/>
      <c r="R421" s="47"/>
      <c r="S421" s="47"/>
      <c r="T421" s="319">
        <v>0</v>
      </c>
      <c r="U421" s="320"/>
      <c r="W421" s="47"/>
      <c r="X421" s="441"/>
      <c r="Y421" s="319"/>
      <c r="Z421" s="320"/>
      <c r="AA421" s="328">
        <f t="shared" si="80"/>
        <v>0</v>
      </c>
      <c r="AB421" s="298">
        <f t="shared" si="81"/>
        <v>0</v>
      </c>
      <c r="AC421" s="4"/>
      <c r="AD421" s="47"/>
      <c r="AE421" s="47"/>
      <c r="AF421" s="319"/>
      <c r="AG421" s="29">
        <f t="shared" si="79"/>
        <v>0</v>
      </c>
    </row>
    <row r="422" spans="1:33" outlineLevel="1">
      <c r="A422" s="180"/>
      <c r="B422" s="318" t="s">
        <v>384</v>
      </c>
      <c r="C422" s="47"/>
      <c r="D422" s="47"/>
      <c r="E422" s="319"/>
      <c r="F422" s="320"/>
      <c r="G422" s="4"/>
      <c r="H422" s="47">
        <v>0.375</v>
      </c>
      <c r="I422" s="47">
        <v>0.25</v>
      </c>
      <c r="J422" s="319">
        <v>8</v>
      </c>
      <c r="K422" s="320"/>
      <c r="L422" s="4"/>
      <c r="M422" s="47">
        <v>0.33333333333333331</v>
      </c>
      <c r="N422" s="47">
        <v>0.20833333333333334</v>
      </c>
      <c r="O422" s="319">
        <v>8</v>
      </c>
      <c r="P422" s="320"/>
      <c r="R422" s="47"/>
      <c r="S422" s="47"/>
      <c r="T422" s="319">
        <v>1</v>
      </c>
      <c r="U422" s="320"/>
      <c r="W422" s="47"/>
      <c r="X422" s="47"/>
      <c r="Y422" s="319"/>
      <c r="Z422" s="320"/>
      <c r="AA422" s="328">
        <f t="shared" si="80"/>
        <v>17</v>
      </c>
      <c r="AB422" s="298">
        <f t="shared" si="81"/>
        <v>0</v>
      </c>
      <c r="AC422" s="4"/>
      <c r="AD422" s="47"/>
      <c r="AE422" s="47"/>
      <c r="AF422" s="319"/>
      <c r="AG422" s="29">
        <f t="shared" si="79"/>
        <v>0</v>
      </c>
    </row>
    <row r="423" spans="1:33" outlineLevel="1">
      <c r="A423" s="180"/>
      <c r="B423" s="318" t="s">
        <v>388</v>
      </c>
      <c r="C423" s="47">
        <v>0.375</v>
      </c>
      <c r="D423" s="47">
        <v>0.25</v>
      </c>
      <c r="E423" s="319">
        <v>8</v>
      </c>
      <c r="F423" s="320"/>
      <c r="G423" s="4"/>
      <c r="H423" s="47"/>
      <c r="I423" s="47"/>
      <c r="J423" s="319"/>
      <c r="K423" s="320"/>
      <c r="L423" s="4"/>
      <c r="M423" s="441"/>
      <c r="N423" s="47"/>
      <c r="O423" s="319"/>
      <c r="P423" s="320"/>
      <c r="R423" s="47"/>
      <c r="S423" s="47"/>
      <c r="T423" s="319">
        <v>1</v>
      </c>
      <c r="U423" s="320"/>
      <c r="W423" s="47">
        <v>0.375</v>
      </c>
      <c r="X423" s="47">
        <v>0.25</v>
      </c>
      <c r="Y423" s="319">
        <v>8</v>
      </c>
      <c r="Z423" s="320"/>
      <c r="AA423" s="328">
        <f t="shared" si="80"/>
        <v>17</v>
      </c>
      <c r="AB423" s="298">
        <f t="shared" si="81"/>
        <v>0</v>
      </c>
      <c r="AC423" s="4"/>
      <c r="AD423" s="47"/>
      <c r="AE423" s="47"/>
      <c r="AF423" s="319"/>
      <c r="AG423" s="29">
        <f t="shared" si="79"/>
        <v>0</v>
      </c>
    </row>
    <row r="424" spans="1:33" outlineLevel="1">
      <c r="A424" s="180"/>
      <c r="B424" s="318" t="s">
        <v>394</v>
      </c>
      <c r="C424" s="47"/>
      <c r="D424" s="47"/>
      <c r="E424" s="319"/>
      <c r="F424" s="320"/>
      <c r="G424" s="4"/>
      <c r="H424" s="47">
        <v>0.375</v>
      </c>
      <c r="I424" s="47">
        <v>0.25</v>
      </c>
      <c r="J424" s="319">
        <v>8</v>
      </c>
      <c r="K424" s="320"/>
      <c r="L424" s="4"/>
      <c r="M424" s="47">
        <v>0.33333333333333331</v>
      </c>
      <c r="N424" s="47">
        <v>0.20833333333333334</v>
      </c>
      <c r="O424" s="319">
        <v>8</v>
      </c>
      <c r="P424" s="320"/>
      <c r="R424" s="47"/>
      <c r="S424" s="47"/>
      <c r="T424" s="319">
        <v>1</v>
      </c>
      <c r="U424" s="320"/>
      <c r="W424" s="47"/>
      <c r="X424" s="47"/>
      <c r="Y424" s="319"/>
      <c r="Z424" s="320"/>
      <c r="AA424" s="328">
        <f t="shared" si="80"/>
        <v>17</v>
      </c>
      <c r="AB424" s="298">
        <f t="shared" si="81"/>
        <v>0</v>
      </c>
      <c r="AC424" s="4"/>
      <c r="AD424" s="47"/>
      <c r="AE424" s="47"/>
      <c r="AF424" s="319"/>
      <c r="AG424" s="29">
        <f t="shared" si="79"/>
        <v>0</v>
      </c>
    </row>
    <row r="425" spans="1:33" outlineLevel="1">
      <c r="A425" s="180"/>
      <c r="B425" s="318" t="s">
        <v>395</v>
      </c>
      <c r="C425" s="47"/>
      <c r="D425" s="47"/>
      <c r="E425" s="319"/>
      <c r="F425" s="320"/>
      <c r="G425" s="4"/>
      <c r="H425" s="47">
        <v>0.375</v>
      </c>
      <c r="I425" s="47">
        <v>0.25</v>
      </c>
      <c r="J425" s="319">
        <v>8</v>
      </c>
      <c r="K425" s="320"/>
      <c r="L425" s="4"/>
      <c r="M425" s="47">
        <v>0.33333333333333331</v>
      </c>
      <c r="N425" s="47">
        <v>0.20833333333333334</v>
      </c>
      <c r="O425" s="319">
        <v>8</v>
      </c>
      <c r="P425" s="320"/>
      <c r="R425" s="47"/>
      <c r="S425" s="47"/>
      <c r="T425" s="319">
        <v>1</v>
      </c>
      <c r="U425" s="320"/>
      <c r="W425" s="47"/>
      <c r="X425" s="47"/>
      <c r="Y425" s="319"/>
      <c r="Z425" s="320"/>
      <c r="AA425" s="328">
        <f t="shared" si="80"/>
        <v>17</v>
      </c>
      <c r="AB425" s="298">
        <f t="shared" si="81"/>
        <v>0</v>
      </c>
      <c r="AC425" s="4"/>
      <c r="AD425" s="47"/>
      <c r="AE425" s="47"/>
      <c r="AF425" s="319"/>
      <c r="AG425" s="29">
        <f t="shared" si="79"/>
        <v>0</v>
      </c>
    </row>
    <row r="426" spans="1:33" outlineLevel="1">
      <c r="A426" s="180"/>
      <c r="B426" s="318" t="s">
        <v>383</v>
      </c>
      <c r="C426" s="47">
        <v>0.375</v>
      </c>
      <c r="D426" s="47">
        <v>0.25</v>
      </c>
      <c r="E426" s="319">
        <v>8</v>
      </c>
      <c r="F426" s="320"/>
      <c r="G426" s="4"/>
      <c r="H426" s="47">
        <v>0.375</v>
      </c>
      <c r="I426" s="47">
        <v>0.25</v>
      </c>
      <c r="J426" s="319">
        <v>8</v>
      </c>
      <c r="K426" s="320"/>
      <c r="L426" s="4"/>
      <c r="M426" s="47">
        <v>0.33333333333333331</v>
      </c>
      <c r="N426" s="47">
        <v>0.20833333333333334</v>
      </c>
      <c r="O426" s="319">
        <v>8</v>
      </c>
      <c r="P426" s="320"/>
      <c r="R426" s="47"/>
      <c r="S426" s="47"/>
      <c r="T426" s="319">
        <v>1</v>
      </c>
      <c r="U426" s="320"/>
      <c r="W426" s="47">
        <v>0.375</v>
      </c>
      <c r="X426" s="47">
        <v>0.25</v>
      </c>
      <c r="Y426" s="319">
        <v>8</v>
      </c>
      <c r="Z426" s="320"/>
      <c r="AA426" s="328">
        <f t="shared" si="80"/>
        <v>33</v>
      </c>
      <c r="AB426" s="298">
        <f t="shared" si="81"/>
        <v>0</v>
      </c>
      <c r="AC426" s="4"/>
      <c r="AD426" s="47"/>
      <c r="AE426" s="47"/>
      <c r="AF426" s="319"/>
      <c r="AG426" s="29">
        <f t="shared" si="79"/>
        <v>0</v>
      </c>
    </row>
    <row r="427" spans="1:33" outlineLevel="1">
      <c r="A427" s="180"/>
      <c r="B427" s="502" t="s">
        <v>407</v>
      </c>
      <c r="C427" s="47"/>
      <c r="D427" s="47"/>
      <c r="E427" s="319"/>
      <c r="F427" s="320"/>
      <c r="G427" s="4"/>
      <c r="H427" s="47"/>
      <c r="I427" s="47"/>
      <c r="J427" s="319"/>
      <c r="K427" s="320"/>
      <c r="L427" s="4"/>
      <c r="M427" s="441"/>
      <c r="N427" s="47"/>
      <c r="O427" s="319"/>
      <c r="P427" s="320"/>
      <c r="R427" s="47"/>
      <c r="S427" s="47"/>
      <c r="T427" s="319"/>
      <c r="U427" s="320"/>
      <c r="W427" s="47"/>
      <c r="X427" s="47"/>
      <c r="Y427" s="319"/>
      <c r="Z427" s="320"/>
      <c r="AA427" s="328">
        <f t="shared" si="80"/>
        <v>0</v>
      </c>
      <c r="AB427" s="298">
        <f>Z427+U427+P427+K427+F423</f>
        <v>0</v>
      </c>
      <c r="AC427" s="4"/>
      <c r="AD427" s="47"/>
      <c r="AE427" s="47"/>
      <c r="AF427" s="319"/>
      <c r="AG427" s="29">
        <f t="shared" si="79"/>
        <v>0</v>
      </c>
    </row>
    <row r="428" spans="1:33" outlineLevel="1">
      <c r="A428" s="180"/>
      <c r="B428" s="502" t="s">
        <v>408</v>
      </c>
      <c r="C428" s="47"/>
      <c r="D428" s="47"/>
      <c r="E428" s="319"/>
      <c r="F428" s="320"/>
      <c r="G428" s="4"/>
      <c r="H428" s="47"/>
      <c r="I428" s="47"/>
      <c r="J428" s="319"/>
      <c r="K428" s="320"/>
      <c r="L428" s="4"/>
      <c r="M428" s="441"/>
      <c r="N428" s="47"/>
      <c r="O428" s="319"/>
      <c r="P428" s="320"/>
      <c r="R428" s="47"/>
      <c r="S428" s="47"/>
      <c r="T428" s="319"/>
      <c r="U428" s="320"/>
      <c r="W428" s="47"/>
      <c r="X428" s="47"/>
      <c r="Y428" s="319"/>
      <c r="Z428" s="320"/>
      <c r="AA428" s="328">
        <f t="shared" si="80"/>
        <v>0</v>
      </c>
      <c r="AB428" s="298">
        <f>Z428+U428+P428+K428+F424</f>
        <v>0</v>
      </c>
      <c r="AC428" s="4"/>
      <c r="AD428" s="47"/>
      <c r="AE428" s="47"/>
      <c r="AF428" s="319"/>
      <c r="AG428" s="29">
        <f t="shared" si="79"/>
        <v>0</v>
      </c>
    </row>
    <row r="429" spans="1:33" outlineLevel="1">
      <c r="A429" s="180"/>
      <c r="B429" s="502" t="s">
        <v>409</v>
      </c>
      <c r="C429" s="47"/>
      <c r="D429" s="47"/>
      <c r="E429" s="319"/>
      <c r="F429" s="320"/>
      <c r="G429" s="4"/>
      <c r="H429" s="47"/>
      <c r="I429" s="47"/>
      <c r="J429" s="319"/>
      <c r="K429" s="320"/>
      <c r="L429" s="4"/>
      <c r="M429" s="441"/>
      <c r="N429" s="47"/>
      <c r="O429" s="319"/>
      <c r="P429" s="320"/>
      <c r="R429" s="47"/>
      <c r="S429" s="47"/>
      <c r="T429" s="319"/>
      <c r="U429" s="320"/>
      <c r="W429" s="47"/>
      <c r="X429" s="47"/>
      <c r="Y429" s="319"/>
      <c r="Z429" s="320"/>
      <c r="AA429" s="328">
        <f t="shared" si="80"/>
        <v>0</v>
      </c>
      <c r="AB429" s="298">
        <f>Z429+U429+P429+K429+F427</f>
        <v>0</v>
      </c>
      <c r="AC429" s="4"/>
      <c r="AD429" s="47"/>
      <c r="AE429" s="47"/>
      <c r="AF429" s="319"/>
      <c r="AG429" s="29">
        <f t="shared" si="79"/>
        <v>0</v>
      </c>
    </row>
    <row r="430" spans="1:33" outlineLevel="1">
      <c r="A430" s="180"/>
      <c r="B430" s="460" t="s">
        <v>343</v>
      </c>
      <c r="C430" s="47"/>
      <c r="D430" s="47"/>
      <c r="E430" s="319"/>
      <c r="F430" s="320"/>
      <c r="G430" s="4"/>
      <c r="H430" s="47"/>
      <c r="I430" s="47"/>
      <c r="J430" s="319"/>
      <c r="K430" s="320"/>
      <c r="L430" s="4"/>
      <c r="M430" s="47"/>
      <c r="N430" s="47"/>
      <c r="O430" s="319"/>
      <c r="P430" s="320"/>
      <c r="R430" s="47"/>
      <c r="S430" s="47"/>
      <c r="T430" s="319"/>
      <c r="U430" s="320"/>
      <c r="W430" s="47"/>
      <c r="X430" s="47"/>
      <c r="Y430" s="319"/>
      <c r="Z430" s="320"/>
      <c r="AA430" s="328">
        <f t="shared" si="80"/>
        <v>0</v>
      </c>
      <c r="AB430" s="298">
        <f>Z430+U430+P430+K430+F416</f>
        <v>0</v>
      </c>
      <c r="AC430" s="4"/>
      <c r="AD430" s="47"/>
      <c r="AE430" s="47"/>
      <c r="AF430" s="319"/>
      <c r="AG430" s="29">
        <f t="shared" si="79"/>
        <v>0</v>
      </c>
    </row>
    <row r="431" spans="1:33" outlineLevel="1">
      <c r="A431" s="180"/>
      <c r="B431" s="63" t="s">
        <v>250</v>
      </c>
      <c r="C431" s="47"/>
      <c r="D431" s="47"/>
      <c r="E431" s="319">
        <v>8</v>
      </c>
      <c r="F431" s="320"/>
      <c r="G431" s="4"/>
      <c r="H431" s="47"/>
      <c r="I431" s="47"/>
      <c r="J431" s="319">
        <v>8</v>
      </c>
      <c r="K431" s="320"/>
      <c r="L431" s="4"/>
      <c r="M431" s="47"/>
      <c r="N431" s="47"/>
      <c r="O431" s="319">
        <v>8</v>
      </c>
      <c r="P431" s="320"/>
      <c r="R431" s="47"/>
      <c r="S431" s="47"/>
      <c r="T431" s="319">
        <v>8</v>
      </c>
      <c r="U431" s="320"/>
      <c r="W431" s="47"/>
      <c r="X431" s="47"/>
      <c r="Y431" s="319">
        <v>8</v>
      </c>
      <c r="Z431" s="320"/>
      <c r="AA431" s="328">
        <f t="shared" si="80"/>
        <v>40</v>
      </c>
      <c r="AB431" s="298">
        <f t="shared" ref="AB431:AB440" si="82">Z431+U431+P431+K431+F431</f>
        <v>0</v>
      </c>
      <c r="AC431" s="4"/>
      <c r="AD431" s="47"/>
      <c r="AE431" s="47"/>
      <c r="AF431" s="319"/>
      <c r="AG431" s="29">
        <f t="shared" si="79"/>
        <v>0</v>
      </c>
    </row>
    <row r="432" spans="1:33" outlineLevel="1">
      <c r="A432" s="180"/>
      <c r="B432" s="63" t="s">
        <v>357</v>
      </c>
      <c r="C432" s="47"/>
      <c r="D432" s="47"/>
      <c r="E432" s="319">
        <v>8</v>
      </c>
      <c r="F432" s="320"/>
      <c r="G432" s="4"/>
      <c r="H432" s="47"/>
      <c r="I432" s="47"/>
      <c r="J432" s="319">
        <v>8</v>
      </c>
      <c r="K432" s="320"/>
      <c r="L432" s="4"/>
      <c r="M432" s="47"/>
      <c r="N432" s="47"/>
      <c r="O432" s="319">
        <v>8</v>
      </c>
      <c r="P432" s="320"/>
      <c r="R432" s="47"/>
      <c r="S432" s="47"/>
      <c r="T432" s="319">
        <v>8</v>
      </c>
      <c r="U432" s="320"/>
      <c r="W432" s="47"/>
      <c r="X432" s="47"/>
      <c r="Y432" s="319">
        <v>8</v>
      </c>
      <c r="Z432" s="320"/>
      <c r="AA432" s="328">
        <f t="shared" si="80"/>
        <v>40</v>
      </c>
      <c r="AB432" s="298">
        <f t="shared" si="82"/>
        <v>0</v>
      </c>
      <c r="AC432" s="4"/>
      <c r="AD432" s="47"/>
      <c r="AE432" s="47"/>
      <c r="AF432" s="319"/>
      <c r="AG432" s="29">
        <f t="shared" si="79"/>
        <v>0</v>
      </c>
    </row>
    <row r="433" spans="1:49" outlineLevel="1">
      <c r="A433" s="180"/>
      <c r="B433" s="63" t="s">
        <v>63</v>
      </c>
      <c r="C433" s="47"/>
      <c r="D433" s="47"/>
      <c r="E433" s="319">
        <v>4</v>
      </c>
      <c r="F433" s="320">
        <v>1</v>
      </c>
      <c r="G433" s="438"/>
      <c r="H433" s="47"/>
      <c r="I433" s="47"/>
      <c r="J433" s="319">
        <v>4</v>
      </c>
      <c r="K433" s="320">
        <v>0.5</v>
      </c>
      <c r="L433" s="438"/>
      <c r="M433" s="47"/>
      <c r="N433" s="47"/>
      <c r="O433" s="319">
        <v>4</v>
      </c>
      <c r="P433" s="320">
        <v>0.5</v>
      </c>
      <c r="Q433" s="438"/>
      <c r="R433" s="47"/>
      <c r="S433" s="47"/>
      <c r="T433" s="319">
        <v>4</v>
      </c>
      <c r="U433" s="320"/>
      <c r="V433" s="438"/>
      <c r="W433" s="47"/>
      <c r="X433" s="47"/>
      <c r="Y433" s="319">
        <v>4</v>
      </c>
      <c r="Z433" s="320">
        <v>0.5</v>
      </c>
      <c r="AA433" s="328">
        <f t="shared" si="80"/>
        <v>20</v>
      </c>
      <c r="AB433" s="298">
        <f t="shared" si="82"/>
        <v>2.5</v>
      </c>
      <c r="AC433" s="4"/>
      <c r="AD433" s="47"/>
      <c r="AE433" s="47"/>
      <c r="AF433" s="319"/>
      <c r="AG433" s="29">
        <f t="shared" si="79"/>
        <v>0</v>
      </c>
      <c r="AK433" s="407"/>
    </row>
    <row r="434" spans="1:49" outlineLevel="1">
      <c r="A434" s="180"/>
      <c r="B434" s="267" t="s">
        <v>358</v>
      </c>
      <c r="C434" s="47"/>
      <c r="D434" s="47"/>
      <c r="E434" s="319">
        <v>6</v>
      </c>
      <c r="F434" s="320"/>
      <c r="G434" s="438"/>
      <c r="H434" s="47"/>
      <c r="I434" s="47"/>
      <c r="J434" s="319">
        <v>8</v>
      </c>
      <c r="K434" s="320">
        <v>1</v>
      </c>
      <c r="L434" s="438"/>
      <c r="M434" s="47"/>
      <c r="N434" s="47"/>
      <c r="O434" s="319">
        <v>6</v>
      </c>
      <c r="P434" s="320"/>
      <c r="Q434" s="438"/>
      <c r="R434" s="47"/>
      <c r="S434" s="47"/>
      <c r="T434" s="319">
        <v>8</v>
      </c>
      <c r="U434" s="320">
        <v>0</v>
      </c>
      <c r="V434" s="438"/>
      <c r="W434" s="47"/>
      <c r="X434" s="47"/>
      <c r="Y434" s="319">
        <v>8</v>
      </c>
      <c r="Z434" s="320"/>
      <c r="AA434" s="328">
        <f t="shared" si="80"/>
        <v>36</v>
      </c>
      <c r="AB434" s="298">
        <f t="shared" si="82"/>
        <v>1</v>
      </c>
      <c r="AC434" s="4"/>
      <c r="AD434" s="47"/>
      <c r="AE434" s="47"/>
      <c r="AF434" s="319"/>
      <c r="AG434" s="29">
        <f t="shared" si="79"/>
        <v>0</v>
      </c>
      <c r="AK434" s="407"/>
    </row>
    <row r="435" spans="1:49" outlineLevel="1">
      <c r="A435" s="180"/>
      <c r="B435" s="267" t="s">
        <v>359</v>
      </c>
      <c r="C435" s="47"/>
      <c r="D435" s="47"/>
      <c r="E435" s="319">
        <v>0</v>
      </c>
      <c r="F435" s="320"/>
      <c r="G435" s="438"/>
      <c r="H435" s="47"/>
      <c r="I435" s="47"/>
      <c r="J435" s="319">
        <v>0</v>
      </c>
      <c r="K435" s="320"/>
      <c r="L435" s="438"/>
      <c r="M435" s="47"/>
      <c r="N435" s="47"/>
      <c r="O435" s="319">
        <v>0</v>
      </c>
      <c r="P435" s="320"/>
      <c r="Q435" s="438"/>
      <c r="R435" s="47"/>
      <c r="S435" s="47"/>
      <c r="T435" s="319">
        <v>0</v>
      </c>
      <c r="U435" s="320"/>
      <c r="V435" s="438"/>
      <c r="W435" s="47"/>
      <c r="X435" s="47"/>
      <c r="Y435" s="319">
        <v>0</v>
      </c>
      <c r="Z435" s="320"/>
      <c r="AA435" s="328">
        <f t="shared" si="80"/>
        <v>0</v>
      </c>
      <c r="AB435" s="298">
        <f t="shared" si="82"/>
        <v>0</v>
      </c>
      <c r="AC435" s="4"/>
      <c r="AD435" s="47"/>
      <c r="AE435" s="47"/>
      <c r="AF435" s="319"/>
      <c r="AG435" s="29">
        <f t="shared" si="79"/>
        <v>0</v>
      </c>
      <c r="AK435" s="407"/>
    </row>
    <row r="436" spans="1:49" outlineLevel="1">
      <c r="A436" s="180"/>
      <c r="B436" s="267" t="s">
        <v>411</v>
      </c>
      <c r="C436" s="47"/>
      <c r="D436" s="47"/>
      <c r="E436" s="319">
        <v>0</v>
      </c>
      <c r="F436" s="320"/>
      <c r="G436" s="438"/>
      <c r="H436" s="47"/>
      <c r="I436" s="47"/>
      <c r="J436" s="319">
        <v>1</v>
      </c>
      <c r="K436" s="320"/>
      <c r="L436" s="438"/>
      <c r="M436" s="47"/>
      <c r="N436" s="47"/>
      <c r="O436" s="319">
        <v>0</v>
      </c>
      <c r="P436" s="320"/>
      <c r="Q436" s="438"/>
      <c r="R436" s="47"/>
      <c r="S436" s="47"/>
      <c r="T436" s="319">
        <v>0</v>
      </c>
      <c r="U436" s="320"/>
      <c r="V436" s="438"/>
      <c r="W436" s="47"/>
      <c r="X436" s="47"/>
      <c r="Y436" s="319">
        <v>0</v>
      </c>
      <c r="Z436" s="320"/>
      <c r="AA436" s="328">
        <f t="shared" si="80"/>
        <v>1</v>
      </c>
      <c r="AB436" s="298">
        <f t="shared" si="82"/>
        <v>0</v>
      </c>
      <c r="AC436" s="4"/>
      <c r="AD436" s="47"/>
      <c r="AE436" s="47"/>
      <c r="AF436" s="319"/>
      <c r="AG436" s="29">
        <f t="shared" si="79"/>
        <v>0</v>
      </c>
      <c r="AK436" s="407"/>
    </row>
    <row r="437" spans="1:49" outlineLevel="1">
      <c r="A437" s="180"/>
      <c r="B437" s="267" t="s">
        <v>361</v>
      </c>
      <c r="C437" s="47"/>
      <c r="D437" s="47"/>
      <c r="E437" s="319">
        <v>0</v>
      </c>
      <c r="F437" s="320"/>
      <c r="G437" s="438"/>
      <c r="H437" s="47"/>
      <c r="I437" s="47"/>
      <c r="J437" s="319">
        <v>0</v>
      </c>
      <c r="K437" s="320"/>
      <c r="L437" s="438"/>
      <c r="M437" s="47"/>
      <c r="N437" s="47"/>
      <c r="O437" s="319">
        <v>0</v>
      </c>
      <c r="P437" s="320"/>
      <c r="Q437" s="438"/>
      <c r="R437" s="47"/>
      <c r="S437" s="47"/>
      <c r="T437" s="319">
        <v>0</v>
      </c>
      <c r="U437" s="320"/>
      <c r="V437" s="438"/>
      <c r="W437" s="47"/>
      <c r="X437" s="47"/>
      <c r="Y437" s="319">
        <v>0</v>
      </c>
      <c r="Z437" s="320"/>
      <c r="AA437" s="328">
        <f t="shared" si="80"/>
        <v>0</v>
      </c>
      <c r="AB437" s="298">
        <f t="shared" si="82"/>
        <v>0</v>
      </c>
      <c r="AC437" s="4"/>
      <c r="AD437" s="47"/>
      <c r="AE437" s="47"/>
      <c r="AF437" s="319"/>
      <c r="AG437" s="29">
        <f t="shared" si="79"/>
        <v>0</v>
      </c>
      <c r="AK437" s="407"/>
    </row>
    <row r="438" spans="1:49" outlineLevel="1">
      <c r="A438" s="180"/>
      <c r="B438" s="267" t="s">
        <v>362</v>
      </c>
      <c r="C438" s="47"/>
      <c r="D438" s="47"/>
      <c r="E438" s="319">
        <v>4</v>
      </c>
      <c r="F438" s="320"/>
      <c r="G438" s="438"/>
      <c r="H438" s="47"/>
      <c r="I438" s="47"/>
      <c r="J438" s="319">
        <v>4</v>
      </c>
      <c r="K438" s="320"/>
      <c r="L438" s="438"/>
      <c r="M438" s="47"/>
      <c r="N438" s="47"/>
      <c r="O438" s="319">
        <v>4</v>
      </c>
      <c r="P438" s="320"/>
      <c r="Q438" s="438"/>
      <c r="R438" s="47"/>
      <c r="S438" s="47"/>
      <c r="T438" s="319">
        <v>6</v>
      </c>
      <c r="U438" s="320"/>
      <c r="V438" s="438"/>
      <c r="W438" s="47"/>
      <c r="X438" s="47"/>
      <c r="Y438" s="319">
        <v>4</v>
      </c>
      <c r="Z438" s="320"/>
      <c r="AA438" s="328">
        <f t="shared" si="80"/>
        <v>22</v>
      </c>
      <c r="AB438" s="298">
        <f t="shared" si="82"/>
        <v>0</v>
      </c>
      <c r="AC438" s="4"/>
      <c r="AD438" s="47"/>
      <c r="AE438" s="47"/>
      <c r="AF438" s="319"/>
      <c r="AG438" s="29">
        <f t="shared" si="79"/>
        <v>0</v>
      </c>
      <c r="AK438" s="407"/>
    </row>
    <row r="439" spans="1:49" outlineLevel="1">
      <c r="A439" s="180"/>
      <c r="B439" s="437" t="s">
        <v>355</v>
      </c>
      <c r="C439" s="47"/>
      <c r="D439" s="47"/>
      <c r="E439" s="319">
        <v>16</v>
      </c>
      <c r="F439" s="320">
        <v>3</v>
      </c>
      <c r="G439" s="438"/>
      <c r="H439" s="47"/>
      <c r="I439" s="47"/>
      <c r="J439" s="319">
        <v>16</v>
      </c>
      <c r="K439" s="320">
        <v>8.1999999999999993</v>
      </c>
      <c r="L439" s="438"/>
      <c r="M439" s="47"/>
      <c r="N439" s="47"/>
      <c r="O439" s="319">
        <v>16</v>
      </c>
      <c r="P439" s="320"/>
      <c r="Q439" s="438"/>
      <c r="R439" s="47"/>
      <c r="S439" s="47"/>
      <c r="T439" s="319">
        <v>16</v>
      </c>
      <c r="U439" s="320">
        <v>4.2</v>
      </c>
      <c r="V439" s="438"/>
      <c r="W439" s="47"/>
      <c r="X439" s="47"/>
      <c r="Y439" s="319">
        <v>16</v>
      </c>
      <c r="Z439" s="320">
        <v>1</v>
      </c>
      <c r="AA439" s="328">
        <f t="shared" si="80"/>
        <v>80</v>
      </c>
      <c r="AB439" s="298">
        <f t="shared" si="82"/>
        <v>16.399999999999999</v>
      </c>
      <c r="AC439" s="4"/>
      <c r="AD439" s="47"/>
      <c r="AE439" s="47"/>
      <c r="AF439" s="319"/>
      <c r="AG439" s="29">
        <f t="shared" si="79"/>
        <v>0</v>
      </c>
      <c r="AK439" s="407"/>
    </row>
    <row r="440" spans="1:49" outlineLevel="1">
      <c r="A440" s="180"/>
      <c r="B440" s="437" t="s">
        <v>356</v>
      </c>
      <c r="C440" s="47"/>
      <c r="D440" s="47"/>
      <c r="E440" s="319">
        <v>37.1</v>
      </c>
      <c r="F440" s="320"/>
      <c r="G440" s="438"/>
      <c r="H440" s="47"/>
      <c r="I440" s="47"/>
      <c r="J440" s="319">
        <v>7.9</v>
      </c>
      <c r="K440" s="320"/>
      <c r="L440" s="438"/>
      <c r="M440" s="47"/>
      <c r="N440" s="47"/>
      <c r="O440" s="319"/>
      <c r="P440" s="320"/>
      <c r="Q440" s="438"/>
      <c r="R440" s="47"/>
      <c r="S440" s="47"/>
      <c r="T440" s="319">
        <v>19.399999999999999</v>
      </c>
      <c r="U440" s="320"/>
      <c r="V440" s="438"/>
      <c r="W440" s="47"/>
      <c r="X440" s="47"/>
      <c r="Y440" s="319">
        <v>3.2</v>
      </c>
      <c r="Z440" s="320"/>
      <c r="AA440" s="328">
        <f t="shared" si="80"/>
        <v>67.600000000000009</v>
      </c>
      <c r="AB440" s="298">
        <f t="shared" si="82"/>
        <v>0</v>
      </c>
      <c r="AC440" s="4"/>
      <c r="AD440" s="47"/>
      <c r="AE440" s="47"/>
      <c r="AF440" s="319"/>
      <c r="AG440" s="29">
        <f t="shared" si="79"/>
        <v>0</v>
      </c>
      <c r="AK440" s="407"/>
    </row>
    <row r="441" spans="1:49" outlineLevel="1">
      <c r="A441" s="180"/>
      <c r="B441" s="64" t="s">
        <v>61</v>
      </c>
      <c r="C441" s="31"/>
      <c r="D441" s="31"/>
      <c r="E441" s="439">
        <f>SUM(E403:E440)</f>
        <v>107.1</v>
      </c>
      <c r="F441" s="320">
        <f>SUM(F403:F440)</f>
        <v>4</v>
      </c>
      <c r="G441" s="31"/>
      <c r="H441" s="31"/>
      <c r="I441" s="31"/>
      <c r="J441" s="439">
        <f>SUM(J403:J440)</f>
        <v>144.9</v>
      </c>
      <c r="K441" s="320">
        <f>SUM(K403:K440)</f>
        <v>10.7</v>
      </c>
      <c r="L441" s="31"/>
      <c r="M441" s="31"/>
      <c r="N441" s="31"/>
      <c r="O441" s="439">
        <f>SUM(O403:O440)</f>
        <v>142</v>
      </c>
      <c r="P441" s="320">
        <f>SUM(P403:P440)</f>
        <v>1.5</v>
      </c>
      <c r="Q441" s="31"/>
      <c r="R441" s="31"/>
      <c r="S441" s="31"/>
      <c r="T441" s="439">
        <f>SUM(T403:T440)</f>
        <v>88.4</v>
      </c>
      <c r="U441" s="320">
        <f>SUM(U403:U440)</f>
        <v>4.2</v>
      </c>
      <c r="V441" s="31"/>
      <c r="W441" s="31"/>
      <c r="X441" s="31"/>
      <c r="Y441" s="439">
        <f>SUM(Y403:Y440)</f>
        <v>83.2</v>
      </c>
      <c r="Z441" s="320">
        <f>SUM(Z403:Z440)</f>
        <v>1.5</v>
      </c>
      <c r="AA441" s="370">
        <f>SUM(AA403:AA440)</f>
        <v>565.6</v>
      </c>
      <c r="AB441" s="370">
        <f>SUM(AB403:AB440)</f>
        <v>21.9</v>
      </c>
      <c r="AC441" s="4"/>
      <c r="AD441" s="64"/>
      <c r="AE441" s="64"/>
      <c r="AF441" s="370">
        <f>SUM(AF403:AF440)</f>
        <v>0</v>
      </c>
      <c r="AG441" s="370">
        <f>SUM(AG403:AG440)</f>
        <v>0</v>
      </c>
    </row>
    <row r="442" spans="1:49" outlineLevel="1">
      <c r="A442" s="180"/>
      <c r="B442" s="63" t="s">
        <v>64</v>
      </c>
      <c r="C442" s="47"/>
      <c r="D442" s="47"/>
      <c r="E442" s="319">
        <v>9</v>
      </c>
      <c r="F442" s="291"/>
      <c r="G442" s="60"/>
      <c r="H442" s="47"/>
      <c r="I442" s="47"/>
      <c r="J442" s="319">
        <v>9</v>
      </c>
      <c r="K442" s="291"/>
      <c r="L442" s="60"/>
      <c r="M442" s="47"/>
      <c r="N442" s="47"/>
      <c r="O442" s="319">
        <v>9</v>
      </c>
      <c r="P442" s="19"/>
      <c r="Q442" s="60"/>
      <c r="R442" s="47"/>
      <c r="S442" s="47"/>
      <c r="T442" s="319">
        <v>8</v>
      </c>
      <c r="U442" s="19"/>
      <c r="V442" s="60"/>
      <c r="W442" s="47"/>
      <c r="X442" s="47"/>
      <c r="Y442" s="319">
        <v>8</v>
      </c>
      <c r="Z442" s="19"/>
      <c r="AA442" s="28">
        <f>SUM(E442+J442+O442+T442+Y442)</f>
        <v>43</v>
      </c>
      <c r="AB442" s="296">
        <f>Z442+U442+P442+K442+F442</f>
        <v>0</v>
      </c>
      <c r="AC442" s="4"/>
      <c r="AD442" s="47" t="s">
        <v>29</v>
      </c>
      <c r="AE442" s="47" t="s">
        <v>29</v>
      </c>
      <c r="AF442" s="319"/>
      <c r="AG442" s="29">
        <f>AF442</f>
        <v>0</v>
      </c>
    </row>
    <row r="443" spans="1:49" outlineLevel="1">
      <c r="A443" s="180"/>
      <c r="B443" s="71" t="s">
        <v>66</v>
      </c>
      <c r="C443" s="371"/>
      <c r="D443" s="371"/>
      <c r="E443" s="71"/>
      <c r="F443" s="71"/>
      <c r="G443" s="71"/>
      <c r="H443" s="71"/>
      <c r="I443" s="71"/>
      <c r="J443" s="71"/>
      <c r="K443" s="71"/>
      <c r="L443" s="71"/>
      <c r="M443" s="71"/>
      <c r="N443" s="71"/>
      <c r="O443" s="71"/>
      <c r="P443" s="71"/>
      <c r="Q443" s="71"/>
      <c r="R443" s="71"/>
      <c r="S443" s="71"/>
      <c r="T443" s="71"/>
      <c r="U443" s="71"/>
      <c r="V443" s="71"/>
      <c r="W443" s="71"/>
      <c r="X443" s="71"/>
      <c r="Y443" s="71"/>
      <c r="Z443" s="71"/>
      <c r="AA443" s="370">
        <f>SUM(AA442:AA442)</f>
        <v>43</v>
      </c>
      <c r="AB443" s="370">
        <f>SUM(AB442:AB442)</f>
        <v>0</v>
      </c>
      <c r="AC443" s="4"/>
      <c r="AG443" s="370">
        <f>SUM(AG442:AG442)</f>
        <v>0</v>
      </c>
    </row>
    <row r="444" spans="1:49" outlineLevel="1">
      <c r="A444" s="180"/>
      <c r="B444" s="217" t="s">
        <v>67</v>
      </c>
      <c r="C444" s="207">
        <f>C445+C446</f>
        <v>100</v>
      </c>
      <c r="D444" s="207"/>
      <c r="E444" s="209"/>
      <c r="F444" s="209"/>
      <c r="G444" s="207"/>
      <c r="H444" s="209"/>
      <c r="I444" s="209"/>
      <c r="J444" s="209"/>
      <c r="K444" s="209"/>
      <c r="L444" s="207"/>
      <c r="M444" s="207"/>
      <c r="N444" s="207"/>
      <c r="O444" s="207"/>
      <c r="P444" s="209"/>
      <c r="Q444" s="207"/>
      <c r="R444" s="207"/>
      <c r="S444" s="207"/>
      <c r="T444" s="207"/>
      <c r="U444" s="209"/>
      <c r="V444" s="207"/>
      <c r="W444" s="207"/>
      <c r="X444" s="207"/>
      <c r="Y444" s="210"/>
      <c r="Z444" s="209"/>
      <c r="AA444" s="211"/>
      <c r="AB444" s="209"/>
      <c r="AC444" s="211"/>
      <c r="AD444" s="211"/>
      <c r="AE444" s="211"/>
      <c r="AF444" s="211"/>
      <c r="AG444" s="211"/>
    </row>
    <row r="445" spans="1:49" outlineLevel="1">
      <c r="A445" s="180"/>
      <c r="B445" s="238" t="s">
        <v>68</v>
      </c>
      <c r="C445" s="239"/>
      <c r="D445" s="207"/>
      <c r="E445" s="209"/>
      <c r="F445" s="209"/>
      <c r="G445" s="207"/>
      <c r="H445" s="209"/>
      <c r="I445" s="209"/>
      <c r="J445" s="209"/>
      <c r="K445" s="209"/>
      <c r="L445" s="207"/>
      <c r="M445" s="207"/>
      <c r="N445" s="207"/>
      <c r="O445" s="207"/>
      <c r="P445" s="209"/>
      <c r="Q445" s="207"/>
      <c r="R445" s="207"/>
      <c r="S445" s="207"/>
      <c r="T445" s="207"/>
      <c r="U445" s="209"/>
      <c r="V445" s="207"/>
      <c r="W445" s="207"/>
      <c r="X445" s="207"/>
      <c r="Y445" s="210"/>
      <c r="Z445" s="209"/>
      <c r="AA445" s="211"/>
      <c r="AB445" s="209"/>
      <c r="AC445" s="211"/>
      <c r="AD445" s="211"/>
      <c r="AE445" s="211"/>
      <c r="AF445" s="211"/>
      <c r="AG445" s="211"/>
    </row>
    <row r="446" spans="1:49" outlineLevel="1">
      <c r="A446" s="180"/>
      <c r="B446" s="238" t="s">
        <v>69</v>
      </c>
      <c r="C446" s="239">
        <v>100</v>
      </c>
      <c r="D446" s="207"/>
      <c r="E446" s="209"/>
      <c r="F446" s="209"/>
      <c r="G446" s="207"/>
      <c r="H446" s="209"/>
      <c r="I446" s="209"/>
      <c r="J446" s="209"/>
      <c r="K446" s="209"/>
      <c r="L446" s="207"/>
      <c r="M446" s="207"/>
      <c r="N446" s="207"/>
      <c r="O446" s="207"/>
      <c r="P446" s="209"/>
      <c r="Q446" s="207"/>
      <c r="R446" s="207"/>
      <c r="S446" s="207"/>
      <c r="T446" s="207"/>
      <c r="U446" s="209"/>
      <c r="V446" s="207"/>
      <c r="W446" s="207"/>
      <c r="X446" s="207"/>
      <c r="Y446" s="210"/>
      <c r="Z446" s="209"/>
      <c r="AA446" s="211"/>
      <c r="AB446" s="209"/>
      <c r="AC446" s="211"/>
      <c r="AD446" s="211"/>
      <c r="AE446" s="211"/>
      <c r="AF446" s="211"/>
      <c r="AG446" s="211"/>
    </row>
    <row r="447" spans="1:49" outlineLevel="1">
      <c r="B447" s="180"/>
      <c r="E447" s="4"/>
      <c r="F447" s="4"/>
      <c r="G447" s="4"/>
      <c r="J447" s="4"/>
      <c r="K447" s="4"/>
      <c r="L447" s="4"/>
      <c r="O447" s="4"/>
      <c r="P447" s="4"/>
      <c r="T447" s="4"/>
      <c r="U447" s="4"/>
      <c r="Y447" s="4"/>
      <c r="Z447" s="4"/>
      <c r="AA447" s="4"/>
      <c r="AB447" s="4"/>
      <c r="AC447" s="4"/>
    </row>
    <row r="448" spans="1:49" outlineLevel="1">
      <c r="A448" s="180"/>
      <c r="B448" s="229"/>
      <c r="C448" s="230"/>
      <c r="D448" s="230"/>
      <c r="E448" s="232"/>
      <c r="F448" s="232"/>
      <c r="G448" s="230"/>
      <c r="H448" s="232"/>
      <c r="I448" s="232"/>
      <c r="J448" s="232"/>
      <c r="K448" s="232"/>
      <c r="L448" s="230"/>
      <c r="M448" s="230"/>
      <c r="N448" s="230"/>
      <c r="O448" s="230"/>
      <c r="P448" s="232"/>
      <c r="Q448" s="230"/>
      <c r="R448" s="230"/>
      <c r="S448" s="230"/>
      <c r="T448" s="230"/>
      <c r="U448" s="232"/>
      <c r="V448" s="230"/>
      <c r="W448" s="230"/>
      <c r="X448" s="230"/>
      <c r="Y448" s="233"/>
      <c r="Z448" s="232"/>
      <c r="AA448" s="234"/>
      <c r="AB448" s="232"/>
      <c r="AC448" s="373"/>
      <c r="AD448" s="236"/>
      <c r="AE448" s="255"/>
      <c r="AF448" s="255"/>
      <c r="AG448" s="255"/>
      <c r="AH448" s="255"/>
      <c r="AJ448" s="255"/>
      <c r="AK448" s="255"/>
      <c r="AL448" s="255"/>
      <c r="AM448" s="255"/>
      <c r="AN448" s="255"/>
      <c r="AO448" s="255"/>
      <c r="AP448" s="255"/>
      <c r="AQ448" s="255"/>
      <c r="AR448" s="255"/>
      <c r="AS448" s="255"/>
      <c r="AT448" s="255"/>
      <c r="AU448" s="255"/>
      <c r="AV448" s="255"/>
      <c r="AW448" s="255"/>
    </row>
    <row r="449" spans="1:49" outlineLevel="1">
      <c r="B449" s="180"/>
      <c r="E449" s="4"/>
      <c r="F449" s="4"/>
      <c r="G449" s="4"/>
      <c r="J449" s="4"/>
      <c r="K449" s="4"/>
      <c r="L449" s="4"/>
      <c r="O449" s="4"/>
      <c r="P449" s="4"/>
      <c r="T449" s="4"/>
      <c r="U449" s="4"/>
      <c r="Y449" s="4"/>
      <c r="Z449" s="4"/>
      <c r="AA449" s="4"/>
      <c r="AB449" s="4"/>
      <c r="AC449" s="4"/>
      <c r="AK449" s="180"/>
      <c r="AL449" s="180"/>
      <c r="AM449" s="180"/>
      <c r="AN449" s="180"/>
      <c r="AO449" s="180"/>
      <c r="AP449" s="180"/>
    </row>
    <row r="450" spans="1:49" outlineLevel="1">
      <c r="A450" s="228"/>
      <c r="B450" s="1518" t="s">
        <v>18</v>
      </c>
      <c r="C450" s="1519">
        <v>45439</v>
      </c>
      <c r="D450" s="1519"/>
      <c r="E450" s="1519"/>
      <c r="F450" s="1519"/>
      <c r="G450" s="365"/>
      <c r="H450" s="1519">
        <v>45440</v>
      </c>
      <c r="I450" s="1519"/>
      <c r="J450" s="1519"/>
      <c r="K450" s="1519"/>
      <c r="L450" s="365">
        <v>45343</v>
      </c>
      <c r="M450" s="1519">
        <v>45441</v>
      </c>
      <c r="N450" s="1519"/>
      <c r="O450" s="1519"/>
      <c r="P450" s="1519"/>
      <c r="Q450" s="365"/>
      <c r="R450" s="1519">
        <v>45442</v>
      </c>
      <c r="S450" s="1519"/>
      <c r="T450" s="1519"/>
      <c r="U450" s="1519"/>
      <c r="V450" s="365"/>
      <c r="W450" s="1519">
        <v>45443</v>
      </c>
      <c r="X450" s="1519"/>
      <c r="Y450" s="1519"/>
      <c r="Z450" s="1519"/>
      <c r="AA450" s="1517" t="s">
        <v>19</v>
      </c>
      <c r="AB450" s="1517" t="s">
        <v>20</v>
      </c>
      <c r="AC450" s="4"/>
      <c r="AD450" s="1519">
        <v>45444</v>
      </c>
      <c r="AE450" s="1519"/>
      <c r="AF450" s="1519"/>
      <c r="AG450" s="1517" t="s">
        <v>21</v>
      </c>
      <c r="AI450" s="368"/>
      <c r="AK450" s="194" t="s">
        <v>84</v>
      </c>
      <c r="AL450" s="366"/>
      <c r="AM450" s="366"/>
      <c r="AN450" s="366"/>
      <c r="AO450" s="366"/>
      <c r="AP450" s="366"/>
    </row>
    <row r="451" spans="1:49" outlineLevel="1">
      <c r="A451" s="180"/>
      <c r="B451" s="1518"/>
      <c r="C451" s="21" t="s">
        <v>23</v>
      </c>
      <c r="D451" s="21" t="s">
        <v>24</v>
      </c>
      <c r="E451" s="205" t="s">
        <v>25</v>
      </c>
      <c r="F451" s="18" t="s">
        <v>14</v>
      </c>
      <c r="G451" s="4"/>
      <c r="H451" s="21" t="s">
        <v>23</v>
      </c>
      <c r="I451" s="21" t="s">
        <v>24</v>
      </c>
      <c r="J451" s="18" t="s">
        <v>25</v>
      </c>
      <c r="K451" s="18" t="s">
        <v>14</v>
      </c>
      <c r="L451" s="4"/>
      <c r="M451" s="21" t="s">
        <v>23</v>
      </c>
      <c r="N451" s="21" t="s">
        <v>24</v>
      </c>
      <c r="O451" s="18" t="s">
        <v>25</v>
      </c>
      <c r="P451" s="18" t="s">
        <v>14</v>
      </c>
      <c r="R451" s="21" t="s">
        <v>23</v>
      </c>
      <c r="S451" s="21" t="s">
        <v>24</v>
      </c>
      <c r="T451" s="18" t="s">
        <v>25</v>
      </c>
      <c r="U451" s="18" t="s">
        <v>14</v>
      </c>
      <c r="W451" s="21" t="s">
        <v>23</v>
      </c>
      <c r="X451" s="21" t="s">
        <v>24</v>
      </c>
      <c r="Y451" s="18" t="s">
        <v>25</v>
      </c>
      <c r="Z451" s="18" t="s">
        <v>14</v>
      </c>
      <c r="AA451" s="1517"/>
      <c r="AB451" s="1517"/>
      <c r="AC451" s="4"/>
      <c r="AD451" s="21" t="s">
        <v>23</v>
      </c>
      <c r="AE451" s="21" t="s">
        <v>24</v>
      </c>
      <c r="AF451" s="18" t="s">
        <v>25</v>
      </c>
      <c r="AG451" s="1517"/>
      <c r="AI451" s="368"/>
      <c r="AJ451" s="367"/>
      <c r="AK451" s="494" t="s">
        <v>26</v>
      </c>
      <c r="AL451" s="471">
        <f>AA490</f>
        <v>456</v>
      </c>
      <c r="AM451" s="510">
        <v>38</v>
      </c>
      <c r="AN451" s="510">
        <f>AL451*AM451</f>
        <v>17328</v>
      </c>
      <c r="AQ451" s="367"/>
      <c r="AR451" s="367"/>
      <c r="AS451" s="367"/>
      <c r="AT451" s="367"/>
      <c r="AU451" s="367"/>
      <c r="AV451" s="367"/>
      <c r="AW451" s="367"/>
    </row>
    <row r="452" spans="1:49" outlineLevel="1">
      <c r="A452" s="180"/>
      <c r="B452" s="457" t="s">
        <v>402</v>
      </c>
      <c r="C452" s="1550" t="s">
        <v>416</v>
      </c>
      <c r="D452" s="1550"/>
      <c r="E452" s="1550"/>
      <c r="F452" s="320"/>
      <c r="G452" s="4"/>
      <c r="H452" s="47"/>
      <c r="I452" s="47"/>
      <c r="J452" s="319"/>
      <c r="K452" s="320"/>
      <c r="L452" s="4"/>
      <c r="M452" s="47"/>
      <c r="N452" s="47"/>
      <c r="O452" s="319"/>
      <c r="P452" s="320"/>
      <c r="R452" s="47"/>
      <c r="S452" s="47"/>
      <c r="T452" s="319"/>
      <c r="U452" s="320"/>
      <c r="W452" s="441"/>
      <c r="X452" s="441"/>
      <c r="Y452" s="319"/>
      <c r="Z452" s="320"/>
      <c r="AA452" s="328">
        <f>(E452+J452+O452+T452+Y452)</f>
        <v>0</v>
      </c>
      <c r="AB452" s="298">
        <f>Z452+U452+P452+K452+F452</f>
        <v>0</v>
      </c>
      <c r="AC452" s="4"/>
      <c r="AD452" s="47"/>
      <c r="AE452" s="47"/>
      <c r="AF452" s="319"/>
      <c r="AG452" s="328">
        <f>AF452</f>
        <v>0</v>
      </c>
      <c r="AI452" s="368"/>
      <c r="AJ452" s="367"/>
      <c r="AK452" s="494" t="s">
        <v>30</v>
      </c>
      <c r="AL452" s="471">
        <f>AB490</f>
        <v>17.7</v>
      </c>
      <c r="AM452" s="511">
        <v>57</v>
      </c>
      <c r="AN452" s="510">
        <f>AL452*AM452</f>
        <v>1008.9</v>
      </c>
      <c r="AQ452" s="367"/>
      <c r="AR452" s="367"/>
      <c r="AS452" s="367"/>
      <c r="AT452" s="367"/>
      <c r="AU452" s="367"/>
      <c r="AV452" s="367"/>
      <c r="AW452" s="367"/>
    </row>
    <row r="453" spans="1:49" outlineLevel="1">
      <c r="A453" s="367"/>
      <c r="B453" s="318" t="s">
        <v>385</v>
      </c>
      <c r="C453" s="1550"/>
      <c r="D453" s="1550"/>
      <c r="E453" s="1550"/>
      <c r="F453" s="320"/>
      <c r="G453" s="4"/>
      <c r="H453" s="441"/>
      <c r="I453" s="47"/>
      <c r="J453" s="319"/>
      <c r="K453" s="320"/>
      <c r="L453" s="4"/>
      <c r="M453" s="47"/>
      <c r="N453" s="47"/>
      <c r="O453" s="319"/>
      <c r="P453" s="320"/>
      <c r="R453" s="47"/>
      <c r="S453" s="47"/>
      <c r="T453" s="319"/>
      <c r="U453" s="320"/>
      <c r="W453" s="441"/>
      <c r="X453" s="441"/>
      <c r="Y453" s="319"/>
      <c r="Z453" s="320"/>
      <c r="AA453" s="328">
        <f>(E453+J453+O453+T453+Y453)</f>
        <v>0</v>
      </c>
      <c r="AB453" s="298">
        <f>Z453+U453+P453+K453+F453</f>
        <v>0</v>
      </c>
      <c r="AC453" s="4"/>
      <c r="AD453" s="47"/>
      <c r="AE453" s="47"/>
      <c r="AF453" s="319"/>
      <c r="AG453" s="328">
        <f>AF453</f>
        <v>0</v>
      </c>
      <c r="AH453" s="175"/>
      <c r="AI453" s="402"/>
      <c r="AJ453" s="367"/>
      <c r="AK453" s="494" t="s">
        <v>32</v>
      </c>
      <c r="AL453" s="471">
        <f>AG490</f>
        <v>0</v>
      </c>
      <c r="AM453" s="510">
        <v>57</v>
      </c>
      <c r="AN453" s="510">
        <f>AL453*AM453</f>
        <v>0</v>
      </c>
      <c r="AQ453" s="367"/>
      <c r="AR453" s="367"/>
      <c r="AS453" s="367"/>
      <c r="AT453" s="367"/>
      <c r="AU453" s="367"/>
      <c r="AV453" s="367"/>
      <c r="AW453" s="367"/>
    </row>
    <row r="454" spans="1:49" outlineLevel="1">
      <c r="A454" s="367"/>
      <c r="B454" s="527" t="s">
        <v>417</v>
      </c>
      <c r="C454" s="1550"/>
      <c r="D454" s="1550"/>
      <c r="E454" s="1550"/>
      <c r="F454" s="320"/>
      <c r="G454" s="4"/>
      <c r="H454" s="441"/>
      <c r="I454" s="47"/>
      <c r="J454" s="319"/>
      <c r="K454" s="320"/>
      <c r="L454" s="4"/>
      <c r="M454" s="47"/>
      <c r="N454" s="47"/>
      <c r="O454" s="319"/>
      <c r="P454" s="320"/>
      <c r="R454" s="47"/>
      <c r="S454" s="47"/>
      <c r="T454" s="319"/>
      <c r="U454" s="320"/>
      <c r="W454" s="441"/>
      <c r="X454" s="441"/>
      <c r="Y454" s="319"/>
      <c r="Z454" s="320"/>
      <c r="AA454" s="328">
        <f>(E454+J454+O454+T454+Y454)</f>
        <v>0</v>
      </c>
      <c r="AB454" s="298">
        <f>Z454+U454+P454+K454+F454</f>
        <v>0</v>
      </c>
      <c r="AC454" s="4"/>
      <c r="AD454" s="47"/>
      <c r="AE454" s="47"/>
      <c r="AF454" s="319"/>
      <c r="AG454" s="328">
        <f>AF454</f>
        <v>0</v>
      </c>
      <c r="AH454" s="175"/>
      <c r="AI454" s="402"/>
      <c r="AJ454" s="367"/>
      <c r="AK454" s="494"/>
      <c r="AL454" s="471"/>
      <c r="AM454" s="510"/>
      <c r="AN454" s="510"/>
      <c r="AQ454" s="367"/>
      <c r="AR454" s="367"/>
      <c r="AS454" s="367"/>
      <c r="AT454" s="367"/>
      <c r="AU454" s="367"/>
      <c r="AV454" s="367"/>
      <c r="AW454" s="367"/>
    </row>
    <row r="455" spans="1:49" outlineLevel="1">
      <c r="A455" s="367"/>
      <c r="B455" s="523" t="s">
        <v>382</v>
      </c>
      <c r="C455" s="1550"/>
      <c r="D455" s="1550"/>
      <c r="E455" s="1550"/>
      <c r="F455" s="320"/>
      <c r="G455" s="4"/>
      <c r="H455" s="47"/>
      <c r="I455" s="47"/>
      <c r="J455" s="319"/>
      <c r="K455" s="320"/>
      <c r="L455" s="4"/>
      <c r="M455" s="47"/>
      <c r="N455" s="47"/>
      <c r="O455" s="319"/>
      <c r="P455" s="320"/>
      <c r="R455" s="47"/>
      <c r="S455" s="47"/>
      <c r="T455" s="319">
        <v>1</v>
      </c>
      <c r="U455" s="320"/>
      <c r="W455" s="441"/>
      <c r="X455" s="441"/>
      <c r="Y455" s="319">
        <v>8</v>
      </c>
      <c r="Z455" s="320"/>
      <c r="AA455" s="328">
        <f t="shared" ref="AA455:AA489" si="83">(E455+J455+O455+T455+Y455)</f>
        <v>9</v>
      </c>
      <c r="AB455" s="298">
        <f t="shared" ref="AB455:AB462" si="84">Z455+U455+P455+K455+F455</f>
        <v>0</v>
      </c>
      <c r="AC455" s="399"/>
      <c r="AD455" s="47"/>
      <c r="AE455" s="47"/>
      <c r="AF455" s="319"/>
      <c r="AG455" s="29">
        <f t="shared" ref="AG455:AG489" si="85">AF455</f>
        <v>0</v>
      </c>
      <c r="AH455" s="175"/>
      <c r="AJ455" s="401"/>
      <c r="AK455" s="494" t="s">
        <v>213</v>
      </c>
      <c r="AL455" s="471">
        <f>AA492</f>
        <v>37</v>
      </c>
      <c r="AM455" s="510">
        <v>50</v>
      </c>
      <c r="AN455" s="510">
        <f>AL455*AM455</f>
        <v>1850</v>
      </c>
      <c r="AO455" s="405"/>
      <c r="AP455" s="405"/>
      <c r="AQ455" s="401"/>
      <c r="AR455" s="401"/>
      <c r="AS455" s="401"/>
      <c r="AT455" s="401"/>
      <c r="AU455" s="401"/>
      <c r="AV455" s="401"/>
      <c r="AW455" s="401"/>
    </row>
    <row r="456" spans="1:49" outlineLevel="1">
      <c r="A456" s="367"/>
      <c r="B456" s="523" t="s">
        <v>405</v>
      </c>
      <c r="C456" s="1550"/>
      <c r="D456" s="1550"/>
      <c r="E456" s="1550"/>
      <c r="F456" s="320"/>
      <c r="G456" s="4"/>
      <c r="H456" s="47"/>
      <c r="I456" s="47"/>
      <c r="J456" s="319"/>
      <c r="K456" s="320"/>
      <c r="L456" s="4"/>
      <c r="M456" s="47"/>
      <c r="N456" s="47"/>
      <c r="O456" s="319"/>
      <c r="P456" s="320"/>
      <c r="R456" s="47"/>
      <c r="S456" s="47"/>
      <c r="T456" s="319">
        <v>1</v>
      </c>
      <c r="U456" s="320"/>
      <c r="W456" s="47"/>
      <c r="X456" s="441"/>
      <c r="Y456" s="319">
        <v>1</v>
      </c>
      <c r="Z456" s="320"/>
      <c r="AA456" s="328">
        <f t="shared" si="83"/>
        <v>2</v>
      </c>
      <c r="AB456" s="298">
        <f t="shared" si="84"/>
        <v>0</v>
      </c>
      <c r="AC456" s="399"/>
      <c r="AD456" s="47"/>
      <c r="AE456" s="47"/>
      <c r="AF456" s="319"/>
      <c r="AG456" s="29">
        <f t="shared" si="85"/>
        <v>0</v>
      </c>
      <c r="AH456" s="175"/>
      <c r="AJ456" s="401"/>
      <c r="AK456" s="494" t="s">
        <v>36</v>
      </c>
      <c r="AL456" s="471">
        <f>AB492</f>
        <v>1</v>
      </c>
      <c r="AM456" s="510">
        <v>75</v>
      </c>
      <c r="AN456" s="510">
        <f>AL456*AM456</f>
        <v>75</v>
      </c>
      <c r="AO456" s="405"/>
      <c r="AP456" s="405"/>
      <c r="AQ456" s="401"/>
      <c r="AR456" s="401"/>
      <c r="AS456" s="401"/>
      <c r="AT456" s="401"/>
      <c r="AU456" s="401"/>
      <c r="AV456" s="401"/>
      <c r="AW456" s="401"/>
    </row>
    <row r="457" spans="1:49" outlineLevel="1">
      <c r="A457" s="367"/>
      <c r="B457" s="528" t="s">
        <v>418</v>
      </c>
      <c r="C457" s="1550"/>
      <c r="D457" s="1550"/>
      <c r="E457" s="1550"/>
      <c r="F457" s="320"/>
      <c r="G457" s="4"/>
      <c r="H457" s="47"/>
      <c r="I457" s="47"/>
      <c r="J457" s="319"/>
      <c r="K457" s="320"/>
      <c r="L457" s="4"/>
      <c r="M457" s="47"/>
      <c r="N457" s="47"/>
      <c r="O457" s="319"/>
      <c r="P457" s="320"/>
      <c r="R457" s="47"/>
      <c r="S457" s="47"/>
      <c r="T457" s="319"/>
      <c r="U457" s="320"/>
      <c r="W457" s="47"/>
      <c r="X457" s="441"/>
      <c r="Y457" s="319"/>
      <c r="Z457" s="320"/>
      <c r="AA457" s="328">
        <f t="shared" si="83"/>
        <v>0</v>
      </c>
      <c r="AB457" s="298">
        <f t="shared" si="84"/>
        <v>0</v>
      </c>
      <c r="AC457" s="175"/>
      <c r="AD457" s="47"/>
      <c r="AE457" s="47"/>
      <c r="AF457" s="319"/>
      <c r="AG457" s="344">
        <f t="shared" si="85"/>
        <v>0</v>
      </c>
      <c r="AH457" s="175"/>
      <c r="AI457" s="368"/>
      <c r="AK457" s="494" t="s">
        <v>38</v>
      </c>
      <c r="AL457" s="471">
        <f>AG492</f>
        <v>0</v>
      </c>
      <c r="AM457" s="510">
        <v>75</v>
      </c>
      <c r="AN457" s="510">
        <f>AL457*AM457</f>
        <v>0</v>
      </c>
    </row>
    <row r="458" spans="1:49" ht="14.25" outlineLevel="1" thickBot="1">
      <c r="A458" s="401"/>
      <c r="B458" s="530" t="s">
        <v>393</v>
      </c>
      <c r="C458" s="1550"/>
      <c r="D458" s="1550"/>
      <c r="E458" s="1550"/>
      <c r="F458" s="320"/>
      <c r="G458" s="4"/>
      <c r="H458" s="47">
        <v>0.375</v>
      </c>
      <c r="I458" s="47">
        <v>0.25</v>
      </c>
      <c r="J458" s="319">
        <v>8</v>
      </c>
      <c r="K458" s="320"/>
      <c r="L458" s="4"/>
      <c r="M458" s="47"/>
      <c r="N458" s="47"/>
      <c r="O458" s="319"/>
      <c r="P458" s="320"/>
      <c r="R458" s="47"/>
      <c r="S458" s="47"/>
      <c r="T458" s="319">
        <v>1</v>
      </c>
      <c r="U458" s="320"/>
      <c r="W458" s="47">
        <v>0.375</v>
      </c>
      <c r="X458" s="441" t="s">
        <v>246</v>
      </c>
      <c r="Y458" s="319">
        <v>8</v>
      </c>
      <c r="Z458" s="320"/>
      <c r="AA458" s="328">
        <f t="shared" si="83"/>
        <v>17</v>
      </c>
      <c r="AB458" s="298">
        <f t="shared" si="84"/>
        <v>0</v>
      </c>
      <c r="AC458" s="4"/>
      <c r="AD458" s="47"/>
      <c r="AE458" s="47"/>
      <c r="AF458" s="319"/>
      <c r="AG458" s="29">
        <f t="shared" si="85"/>
        <v>0</v>
      </c>
      <c r="AJ458" s="367"/>
      <c r="AK458" s="494" t="s">
        <v>41</v>
      </c>
      <c r="AL458" s="471">
        <f>C493</f>
        <v>96</v>
      </c>
      <c r="AM458" s="512">
        <v>45</v>
      </c>
      <c r="AN458" s="512">
        <f>AL458*AM458</f>
        <v>4320</v>
      </c>
      <c r="AQ458" s="367"/>
      <c r="AR458" s="367"/>
      <c r="AS458" s="367"/>
      <c r="AT458" s="367"/>
      <c r="AU458" s="367"/>
      <c r="AV458" s="367"/>
      <c r="AW458" s="367"/>
    </row>
    <row r="459" spans="1:49" ht="14.25" outlineLevel="1" thickTop="1">
      <c r="A459" s="367"/>
      <c r="B459" s="528" t="s">
        <v>419</v>
      </c>
      <c r="C459" s="1550"/>
      <c r="D459" s="1550"/>
      <c r="E459" s="1550"/>
      <c r="F459" s="320"/>
      <c r="G459" s="4"/>
      <c r="H459" s="47"/>
      <c r="I459" s="47"/>
      <c r="J459" s="319"/>
      <c r="K459" s="320"/>
      <c r="L459" s="4"/>
      <c r="M459" s="47"/>
      <c r="N459" s="47"/>
      <c r="O459" s="319"/>
      <c r="P459" s="320"/>
      <c r="R459" s="47"/>
      <c r="S459" s="47"/>
      <c r="T459" s="319">
        <v>1</v>
      </c>
      <c r="U459" s="320"/>
      <c r="W459" s="47">
        <v>0.375</v>
      </c>
      <c r="X459" s="441" t="s">
        <v>246</v>
      </c>
      <c r="Y459" s="319">
        <f>8*4</f>
        <v>32</v>
      </c>
      <c r="Z459" s="320"/>
      <c r="AA459" s="328">
        <f t="shared" si="83"/>
        <v>33</v>
      </c>
      <c r="AB459" s="298">
        <f t="shared" si="84"/>
        <v>0</v>
      </c>
      <c r="AC459" s="4"/>
      <c r="AD459" s="47"/>
      <c r="AE459" s="47"/>
      <c r="AF459" s="319"/>
      <c r="AG459" s="29">
        <f t="shared" si="85"/>
        <v>0</v>
      </c>
      <c r="AK459" s="465"/>
      <c r="AL459" s="465"/>
      <c r="AN459" s="510">
        <f>SUM(AN451:AN458)</f>
        <v>24581.9</v>
      </c>
    </row>
    <row r="460" spans="1:49" outlineLevel="1">
      <c r="A460" s="180"/>
      <c r="B460" s="530" t="s">
        <v>399</v>
      </c>
      <c r="C460" s="1550"/>
      <c r="D460" s="1550"/>
      <c r="E460" s="1550"/>
      <c r="F460" s="320"/>
      <c r="G460" s="4"/>
      <c r="H460" s="47">
        <v>0.375</v>
      </c>
      <c r="I460" s="47">
        <v>0.25</v>
      </c>
      <c r="J460" s="319">
        <v>8</v>
      </c>
      <c r="K460" s="320"/>
      <c r="L460" s="4"/>
      <c r="M460" s="47">
        <v>0.375</v>
      </c>
      <c r="N460" s="47">
        <v>0.25</v>
      </c>
      <c r="O460" s="319">
        <v>8</v>
      </c>
      <c r="P460" s="320"/>
      <c r="R460" s="47">
        <v>0.375</v>
      </c>
      <c r="S460" s="47">
        <v>0.25</v>
      </c>
      <c r="T460" s="319">
        <v>8</v>
      </c>
      <c r="U460" s="320"/>
      <c r="W460" s="47">
        <v>0.375</v>
      </c>
      <c r="X460" s="47">
        <v>0.25</v>
      </c>
      <c r="Y460" s="319">
        <v>8</v>
      </c>
      <c r="Z460" s="320"/>
      <c r="AA460" s="328">
        <f t="shared" si="83"/>
        <v>32</v>
      </c>
      <c r="AB460" s="298">
        <f t="shared" si="84"/>
        <v>0</v>
      </c>
      <c r="AC460" s="4"/>
      <c r="AD460" s="47"/>
      <c r="AE460" s="47"/>
      <c r="AF460" s="319"/>
      <c r="AG460" s="29">
        <f t="shared" si="85"/>
        <v>0</v>
      </c>
    </row>
    <row r="461" spans="1:49" outlineLevel="1">
      <c r="A461" s="180"/>
      <c r="B461" s="529" t="s">
        <v>420</v>
      </c>
      <c r="C461" s="1550"/>
      <c r="D461" s="1550"/>
      <c r="E461" s="1550"/>
      <c r="F461" s="320"/>
      <c r="G461" s="4"/>
      <c r="H461" s="47">
        <v>0.375</v>
      </c>
      <c r="I461" s="47">
        <v>0.25</v>
      </c>
      <c r="J461" s="319">
        <v>8</v>
      </c>
      <c r="K461" s="320"/>
      <c r="L461" s="4"/>
      <c r="M461" s="47">
        <v>0.375</v>
      </c>
      <c r="N461" s="47">
        <v>0.25</v>
      </c>
      <c r="O461" s="319">
        <v>8</v>
      </c>
      <c r="P461" s="320"/>
      <c r="R461" s="47"/>
      <c r="S461" s="47"/>
      <c r="T461" s="319">
        <v>1</v>
      </c>
      <c r="U461" s="320"/>
      <c r="W461" s="47"/>
      <c r="X461" s="47"/>
      <c r="Y461" s="319"/>
      <c r="Z461" s="320"/>
      <c r="AA461" s="328">
        <f t="shared" si="83"/>
        <v>17</v>
      </c>
      <c r="AB461" s="298">
        <f t="shared" si="84"/>
        <v>0</v>
      </c>
      <c r="AC461" s="4"/>
      <c r="AD461" s="47"/>
      <c r="AE461" s="47"/>
      <c r="AF461" s="319"/>
      <c r="AG461" s="29">
        <f t="shared" si="85"/>
        <v>0</v>
      </c>
    </row>
    <row r="462" spans="1:49" outlineLevel="1">
      <c r="A462" s="180"/>
      <c r="B462" s="523" t="s">
        <v>389</v>
      </c>
      <c r="C462" s="1550"/>
      <c r="D462" s="1550"/>
      <c r="E462" s="1550"/>
      <c r="F462" s="320"/>
      <c r="G462" s="4"/>
      <c r="H462" s="47"/>
      <c r="I462" s="47"/>
      <c r="J462" s="319"/>
      <c r="K462" s="320"/>
      <c r="L462" s="4"/>
      <c r="M462" s="47"/>
      <c r="N462" s="47"/>
      <c r="O462" s="319"/>
      <c r="P462" s="320"/>
      <c r="R462" s="47"/>
      <c r="S462" s="47"/>
      <c r="T462" s="319">
        <v>1</v>
      </c>
      <c r="U462" s="320"/>
      <c r="W462" s="47">
        <v>0.375</v>
      </c>
      <c r="X462" s="47">
        <v>0.25</v>
      </c>
      <c r="Y462" s="319">
        <v>8</v>
      </c>
      <c r="Z462" s="320"/>
      <c r="AA462" s="328">
        <f t="shared" si="83"/>
        <v>9</v>
      </c>
      <c r="AB462" s="298">
        <f t="shared" si="84"/>
        <v>0</v>
      </c>
      <c r="AC462" s="4"/>
      <c r="AD462" s="47"/>
      <c r="AE462" s="47"/>
      <c r="AF462" s="319"/>
      <c r="AG462" s="29">
        <f t="shared" si="85"/>
        <v>0</v>
      </c>
    </row>
    <row r="463" spans="1:49" outlineLevel="1">
      <c r="A463" s="180"/>
      <c r="B463" s="529" t="s">
        <v>421</v>
      </c>
      <c r="C463" s="1550"/>
      <c r="D463" s="1550"/>
      <c r="E463" s="1550"/>
      <c r="F463" s="320"/>
      <c r="G463" s="4"/>
      <c r="H463" s="47">
        <v>0.375</v>
      </c>
      <c r="I463" s="47">
        <v>0.25</v>
      </c>
      <c r="J463" s="319">
        <v>8</v>
      </c>
      <c r="K463" s="320"/>
      <c r="L463" s="4"/>
      <c r="M463" s="47">
        <v>0.375</v>
      </c>
      <c r="N463" s="47">
        <v>0.25</v>
      </c>
      <c r="O463" s="319">
        <v>8</v>
      </c>
      <c r="P463" s="320"/>
      <c r="R463" s="47"/>
      <c r="S463" s="47"/>
      <c r="T463" s="319">
        <v>1</v>
      </c>
      <c r="U463" s="320"/>
      <c r="W463" s="47">
        <v>0.375</v>
      </c>
      <c r="X463" s="47">
        <v>0.25</v>
      </c>
      <c r="Y463" s="319">
        <v>8</v>
      </c>
      <c r="Z463" s="320"/>
      <c r="AA463" s="328">
        <f t="shared" si="83"/>
        <v>25</v>
      </c>
      <c r="AB463" s="298">
        <f>Z463+U463+P463+K463+F461</f>
        <v>0</v>
      </c>
      <c r="AC463" s="4"/>
      <c r="AD463" s="47"/>
      <c r="AE463" s="47"/>
      <c r="AF463" s="319"/>
      <c r="AG463" s="29">
        <f t="shared" si="85"/>
        <v>0</v>
      </c>
    </row>
    <row r="464" spans="1:49" outlineLevel="1">
      <c r="A464" s="180"/>
      <c r="B464" s="530" t="s">
        <v>401</v>
      </c>
      <c r="C464" s="1550"/>
      <c r="D464" s="1550"/>
      <c r="E464" s="1550"/>
      <c r="F464" s="320"/>
      <c r="G464" s="4"/>
      <c r="H464" s="441" t="s">
        <v>75</v>
      </c>
      <c r="I464" s="47">
        <v>0.25</v>
      </c>
      <c r="J464" s="319">
        <v>8</v>
      </c>
      <c r="K464" s="320"/>
      <c r="L464" s="4"/>
      <c r="M464" s="441"/>
      <c r="N464" s="47"/>
      <c r="O464" s="319"/>
      <c r="P464" s="320"/>
      <c r="R464" s="441" t="s">
        <v>75</v>
      </c>
      <c r="S464" s="47">
        <v>0.25</v>
      </c>
      <c r="T464" s="319">
        <v>8</v>
      </c>
      <c r="U464" s="320"/>
      <c r="W464" s="441" t="s">
        <v>75</v>
      </c>
      <c r="X464" s="47">
        <v>0.25</v>
      </c>
      <c r="Y464" s="319">
        <v>16</v>
      </c>
      <c r="Z464" s="320"/>
      <c r="AA464" s="328">
        <f t="shared" si="83"/>
        <v>32</v>
      </c>
      <c r="AB464" s="298">
        <f>Z464+U464+P464+K464+F463</f>
        <v>0</v>
      </c>
      <c r="AC464" s="4"/>
      <c r="AD464" s="47"/>
      <c r="AE464" s="47"/>
      <c r="AF464" s="319"/>
      <c r="AG464" s="29">
        <f t="shared" si="85"/>
        <v>0</v>
      </c>
    </row>
    <row r="465" spans="1:33" outlineLevel="1">
      <c r="A465" s="180"/>
      <c r="B465" s="523" t="s">
        <v>390</v>
      </c>
      <c r="C465" s="1550"/>
      <c r="D465" s="1550"/>
      <c r="E465" s="1550"/>
      <c r="F465" s="320"/>
      <c r="G465" s="4"/>
      <c r="H465" s="441"/>
      <c r="I465" s="47"/>
      <c r="J465" s="319"/>
      <c r="K465" s="320"/>
      <c r="L465" s="4"/>
      <c r="M465" s="441"/>
      <c r="N465" s="47"/>
      <c r="O465" s="319"/>
      <c r="P465" s="320"/>
      <c r="R465" s="441"/>
      <c r="S465" s="47"/>
      <c r="T465" s="319"/>
      <c r="U465" s="320"/>
      <c r="W465" s="441"/>
      <c r="X465" s="47"/>
      <c r="Y465" s="319"/>
      <c r="Z465" s="320"/>
      <c r="AA465" s="328">
        <f t="shared" si="83"/>
        <v>0</v>
      </c>
      <c r="AB465" s="298">
        <f t="shared" ref="AB465:AB471" si="86">Z465+U465+P465+K465+F464</f>
        <v>0</v>
      </c>
      <c r="AC465" s="4"/>
      <c r="AD465" s="47"/>
      <c r="AE465" s="47"/>
      <c r="AF465" s="319"/>
      <c r="AG465" s="29">
        <f t="shared" si="85"/>
        <v>0</v>
      </c>
    </row>
    <row r="466" spans="1:33" outlineLevel="1">
      <c r="A466" s="180"/>
      <c r="B466" s="530" t="s">
        <v>422</v>
      </c>
      <c r="C466" s="1550"/>
      <c r="D466" s="1550"/>
      <c r="E466" s="1550"/>
      <c r="F466" s="320"/>
      <c r="G466" s="4"/>
      <c r="H466" s="47">
        <v>0.375</v>
      </c>
      <c r="I466" s="47">
        <v>0.25</v>
      </c>
      <c r="J466" s="319">
        <v>8</v>
      </c>
      <c r="K466" s="320"/>
      <c r="L466" s="4"/>
      <c r="M466" s="441"/>
      <c r="N466" s="47"/>
      <c r="O466" s="319"/>
      <c r="P466" s="320"/>
      <c r="R466" s="441" t="s">
        <v>75</v>
      </c>
      <c r="S466" s="47">
        <v>0.25</v>
      </c>
      <c r="T466" s="319">
        <v>8</v>
      </c>
      <c r="U466" s="320"/>
      <c r="W466" s="441" t="s">
        <v>75</v>
      </c>
      <c r="X466" s="47">
        <v>0.25</v>
      </c>
      <c r="Y466" s="319">
        <v>8</v>
      </c>
      <c r="Z466" s="320"/>
      <c r="AA466" s="328">
        <f t="shared" si="83"/>
        <v>24</v>
      </c>
      <c r="AB466" s="298">
        <f t="shared" si="86"/>
        <v>0</v>
      </c>
      <c r="AC466" s="4"/>
      <c r="AD466" s="47"/>
      <c r="AE466" s="47"/>
      <c r="AF466" s="319"/>
      <c r="AG466" s="29">
        <f t="shared" si="85"/>
        <v>0</v>
      </c>
    </row>
    <row r="467" spans="1:33" outlineLevel="1">
      <c r="A467" s="180"/>
      <c r="B467" s="530" t="s">
        <v>386</v>
      </c>
      <c r="C467" s="1550"/>
      <c r="D467" s="1550"/>
      <c r="E467" s="1550"/>
      <c r="F467" s="320"/>
      <c r="G467" s="4"/>
      <c r="H467" s="47">
        <v>0.375</v>
      </c>
      <c r="I467" s="47">
        <v>0.25</v>
      </c>
      <c r="J467" s="319">
        <v>8</v>
      </c>
      <c r="K467" s="320"/>
      <c r="L467" s="4"/>
      <c r="M467" s="47">
        <v>0.375</v>
      </c>
      <c r="N467" s="47">
        <v>0.25</v>
      </c>
      <c r="O467" s="319">
        <v>8</v>
      </c>
      <c r="P467" s="320"/>
      <c r="R467" s="47">
        <v>0.375</v>
      </c>
      <c r="S467" s="47">
        <v>0.25</v>
      </c>
      <c r="T467" s="319">
        <v>8</v>
      </c>
      <c r="U467" s="320"/>
      <c r="W467" s="47"/>
      <c r="X467" s="47"/>
      <c r="Y467" s="319"/>
      <c r="Z467" s="320"/>
      <c r="AA467" s="328">
        <f t="shared" si="83"/>
        <v>24</v>
      </c>
      <c r="AB467" s="298">
        <f t="shared" si="86"/>
        <v>0</v>
      </c>
      <c r="AC467" s="4"/>
      <c r="AD467" s="47"/>
      <c r="AE467" s="47"/>
      <c r="AF467" s="319"/>
      <c r="AG467" s="29">
        <f t="shared" si="85"/>
        <v>0</v>
      </c>
    </row>
    <row r="468" spans="1:33" outlineLevel="1">
      <c r="A468" s="180"/>
      <c r="B468" s="523" t="s">
        <v>403</v>
      </c>
      <c r="C468" s="1550"/>
      <c r="D468" s="1550"/>
      <c r="E468" s="1550"/>
      <c r="F468" s="320"/>
      <c r="G468" s="4"/>
      <c r="H468" s="47"/>
      <c r="I468" s="47"/>
      <c r="J468" s="319"/>
      <c r="K468" s="320"/>
      <c r="L468" s="4"/>
      <c r="M468" s="441"/>
      <c r="N468" s="47"/>
      <c r="O468" s="319"/>
      <c r="P468" s="320"/>
      <c r="R468" s="441" t="s">
        <v>75</v>
      </c>
      <c r="S468" s="47">
        <v>0.25</v>
      </c>
      <c r="T468" s="319">
        <v>8</v>
      </c>
      <c r="U468" s="320"/>
      <c r="W468" s="441" t="s">
        <v>75</v>
      </c>
      <c r="X468" s="47">
        <v>0.25</v>
      </c>
      <c r="Y468" s="319">
        <v>8</v>
      </c>
      <c r="Z468" s="320"/>
      <c r="AA468" s="328">
        <f t="shared" si="83"/>
        <v>16</v>
      </c>
      <c r="AB468" s="298">
        <f t="shared" si="86"/>
        <v>0</v>
      </c>
      <c r="AC468" s="4"/>
      <c r="AD468" s="47"/>
      <c r="AE468" s="47"/>
      <c r="AF468" s="319"/>
      <c r="AG468" s="29">
        <f t="shared" si="85"/>
        <v>0</v>
      </c>
    </row>
    <row r="469" spans="1:33" outlineLevel="1">
      <c r="A469" s="180"/>
      <c r="B469" s="523" t="s">
        <v>397</v>
      </c>
      <c r="C469" s="1550"/>
      <c r="D469" s="1550"/>
      <c r="E469" s="1550"/>
      <c r="F469" s="320"/>
      <c r="G469" s="4"/>
      <c r="H469" s="47"/>
      <c r="I469" s="47"/>
      <c r="J469" s="319"/>
      <c r="K469" s="320"/>
      <c r="L469" s="4"/>
      <c r="M469" s="441"/>
      <c r="N469" s="441"/>
      <c r="O469" s="319"/>
      <c r="P469" s="320"/>
      <c r="R469" s="441"/>
      <c r="S469" s="441"/>
      <c r="T469" s="319">
        <v>1</v>
      </c>
      <c r="U469" s="320"/>
      <c r="W469" s="441" t="s">
        <v>75</v>
      </c>
      <c r="X469" s="441" t="s">
        <v>246</v>
      </c>
      <c r="Y469" s="319">
        <v>8</v>
      </c>
      <c r="Z469" s="320"/>
      <c r="AA469" s="328">
        <f t="shared" si="83"/>
        <v>9</v>
      </c>
      <c r="AB469" s="298">
        <f t="shared" si="86"/>
        <v>0</v>
      </c>
      <c r="AC469" s="4"/>
      <c r="AD469" s="47"/>
      <c r="AE469" s="47"/>
      <c r="AF469" s="319"/>
      <c r="AG469" s="29">
        <f t="shared" si="85"/>
        <v>0</v>
      </c>
    </row>
    <row r="470" spans="1:33" outlineLevel="1">
      <c r="A470" s="180"/>
      <c r="B470" s="528" t="s">
        <v>423</v>
      </c>
      <c r="C470" s="1550"/>
      <c r="D470" s="1550"/>
      <c r="E470" s="1550"/>
      <c r="F470" s="320"/>
      <c r="G470" s="4"/>
      <c r="H470" s="47"/>
      <c r="I470" s="47"/>
      <c r="J470" s="319"/>
      <c r="K470" s="320"/>
      <c r="L470" s="4"/>
      <c r="M470" s="441"/>
      <c r="N470" s="47"/>
      <c r="O470" s="319"/>
      <c r="P470" s="320"/>
      <c r="R470" s="441"/>
      <c r="S470" s="47"/>
      <c r="T470" s="319">
        <v>1</v>
      </c>
      <c r="U470" s="320"/>
      <c r="W470" s="47">
        <v>0.375</v>
      </c>
      <c r="X470" s="47">
        <v>0.25</v>
      </c>
      <c r="Y470" s="319">
        <v>8</v>
      </c>
      <c r="Z470" s="320"/>
      <c r="AA470" s="328">
        <f t="shared" si="83"/>
        <v>9</v>
      </c>
      <c r="AB470" s="298">
        <f t="shared" si="86"/>
        <v>0</v>
      </c>
      <c r="AC470" s="4"/>
      <c r="AD470" s="47"/>
      <c r="AE470" s="47"/>
      <c r="AF470" s="319"/>
      <c r="AG470" s="29">
        <f t="shared" si="85"/>
        <v>0</v>
      </c>
    </row>
    <row r="471" spans="1:33" outlineLevel="1">
      <c r="A471" s="180"/>
      <c r="B471" s="318" t="s">
        <v>388</v>
      </c>
      <c r="C471" s="1550"/>
      <c r="D471" s="1550"/>
      <c r="E471" s="1550"/>
      <c r="F471" s="320"/>
      <c r="G471" s="4"/>
      <c r="H471" s="47"/>
      <c r="I471" s="47"/>
      <c r="J471" s="319"/>
      <c r="K471" s="320"/>
      <c r="L471" s="4"/>
      <c r="M471" s="441"/>
      <c r="N471" s="47"/>
      <c r="O471" s="319"/>
      <c r="P471" s="320"/>
      <c r="R471" s="441"/>
      <c r="S471" s="47"/>
      <c r="T471" s="319"/>
      <c r="U471" s="320"/>
      <c r="W471" s="441"/>
      <c r="X471" s="441"/>
      <c r="Y471" s="319">
        <v>8</v>
      </c>
      <c r="Z471" s="320"/>
      <c r="AA471" s="328">
        <f t="shared" si="83"/>
        <v>8</v>
      </c>
      <c r="AB471" s="298">
        <f t="shared" si="86"/>
        <v>0</v>
      </c>
      <c r="AC471" s="4"/>
      <c r="AD471" s="47"/>
      <c r="AE471" s="47"/>
      <c r="AF471" s="319"/>
      <c r="AG471" s="29">
        <f t="shared" si="85"/>
        <v>0</v>
      </c>
    </row>
    <row r="472" spans="1:33" outlineLevel="1">
      <c r="A472" s="180"/>
      <c r="B472" s="318" t="s">
        <v>394</v>
      </c>
      <c r="C472" s="1550"/>
      <c r="D472" s="1550"/>
      <c r="E472" s="1550"/>
      <c r="F472" s="320"/>
      <c r="G472" s="4"/>
      <c r="H472" s="47"/>
      <c r="I472" s="47"/>
      <c r="J472" s="319"/>
      <c r="K472" s="320"/>
      <c r="L472" s="4"/>
      <c r="M472" s="47"/>
      <c r="N472" s="47"/>
      <c r="O472" s="319"/>
      <c r="P472" s="320"/>
      <c r="R472" s="47"/>
      <c r="S472" s="47"/>
      <c r="T472" s="319">
        <v>1</v>
      </c>
      <c r="U472" s="320"/>
      <c r="W472" s="47"/>
      <c r="X472" s="47"/>
      <c r="Y472" s="319"/>
      <c r="Z472" s="320"/>
      <c r="AA472" s="328">
        <f t="shared" si="83"/>
        <v>1</v>
      </c>
      <c r="AB472" s="298">
        <f>Z472+U472+P472+K472+F470</f>
        <v>0</v>
      </c>
      <c r="AC472" s="4"/>
      <c r="AD472" s="47"/>
      <c r="AE472" s="47"/>
      <c r="AF472" s="319"/>
      <c r="AG472" s="29">
        <f t="shared" si="85"/>
        <v>0</v>
      </c>
    </row>
    <row r="473" spans="1:33" outlineLevel="1">
      <c r="A473" s="180"/>
      <c r="B473" s="318" t="s">
        <v>395</v>
      </c>
      <c r="C473" s="1550"/>
      <c r="D473" s="1550"/>
      <c r="E473" s="1550"/>
      <c r="F473" s="320"/>
      <c r="G473" s="4"/>
      <c r="H473" s="47"/>
      <c r="I473" s="47"/>
      <c r="J473" s="319"/>
      <c r="K473" s="320"/>
      <c r="L473" s="4"/>
      <c r="M473" s="441" t="s">
        <v>75</v>
      </c>
      <c r="N473" s="47">
        <v>0.25</v>
      </c>
      <c r="O473" s="319">
        <v>8</v>
      </c>
      <c r="P473" s="320"/>
      <c r="R473" s="441" t="s">
        <v>75</v>
      </c>
      <c r="S473" s="47">
        <v>0.25</v>
      </c>
      <c r="T473" s="319">
        <v>8</v>
      </c>
      <c r="U473" s="320"/>
      <c r="W473" s="441" t="s">
        <v>75</v>
      </c>
      <c r="X473" s="47">
        <v>0.25</v>
      </c>
      <c r="Y473" s="319">
        <v>8</v>
      </c>
      <c r="Z473" s="320"/>
      <c r="AA473" s="328">
        <f t="shared" si="83"/>
        <v>24</v>
      </c>
      <c r="AB473" s="298">
        <f>Z473+U473+P473+K473+F471</f>
        <v>0</v>
      </c>
      <c r="AC473" s="4"/>
      <c r="AD473" s="47"/>
      <c r="AE473" s="47"/>
      <c r="AF473" s="319"/>
      <c r="AG473" s="29">
        <f t="shared" si="85"/>
        <v>0</v>
      </c>
    </row>
    <row r="474" spans="1:33" outlineLevel="1">
      <c r="A474" s="180"/>
      <c r="B474" s="530" t="s">
        <v>383</v>
      </c>
      <c r="C474" s="1550"/>
      <c r="D474" s="1550"/>
      <c r="E474" s="1550"/>
      <c r="F474" s="320"/>
      <c r="G474" s="4"/>
      <c r="H474" s="47">
        <v>0.375</v>
      </c>
      <c r="I474" s="47">
        <v>0.25</v>
      </c>
      <c r="J474" s="319">
        <v>8</v>
      </c>
      <c r="K474" s="320"/>
      <c r="L474" s="4"/>
      <c r="M474" s="441" t="s">
        <v>75</v>
      </c>
      <c r="N474" s="47">
        <v>0.25</v>
      </c>
      <c r="O474" s="319">
        <v>8</v>
      </c>
      <c r="P474" s="320"/>
      <c r="R474" s="441" t="s">
        <v>75</v>
      </c>
      <c r="S474" s="47">
        <v>0.25</v>
      </c>
      <c r="T474" s="319">
        <v>8</v>
      </c>
      <c r="U474" s="320"/>
      <c r="W474" s="441"/>
      <c r="X474" s="47"/>
      <c r="Y474" s="319"/>
      <c r="Z474" s="320"/>
      <c r="AA474" s="328">
        <f t="shared" si="83"/>
        <v>24</v>
      </c>
      <c r="AB474" s="298">
        <f>Z474+U474+P474+K474+F472</f>
        <v>0</v>
      </c>
      <c r="AC474" s="4"/>
      <c r="AD474" s="47"/>
      <c r="AE474" s="47"/>
      <c r="AF474" s="319"/>
      <c r="AG474" s="29">
        <f t="shared" si="85"/>
        <v>0</v>
      </c>
    </row>
    <row r="475" spans="1:33" outlineLevel="1">
      <c r="A475" s="180"/>
      <c r="B475" s="13" t="s">
        <v>410</v>
      </c>
      <c r="C475" s="1550"/>
      <c r="D475" s="1550"/>
      <c r="E475" s="1550"/>
      <c r="F475" s="320"/>
      <c r="G475" s="4"/>
      <c r="H475" s="47"/>
      <c r="I475" s="47"/>
      <c r="J475" s="319"/>
      <c r="K475" s="320"/>
      <c r="L475" s="4"/>
      <c r="M475" s="441"/>
      <c r="N475" s="47"/>
      <c r="O475" s="319"/>
      <c r="P475" s="320"/>
      <c r="R475" s="441"/>
      <c r="S475" s="47"/>
      <c r="T475" s="319"/>
      <c r="U475" s="320"/>
      <c r="W475" s="441"/>
      <c r="X475" s="441"/>
      <c r="Y475" s="319">
        <v>16</v>
      </c>
      <c r="Z475" s="320"/>
      <c r="AA475" s="328">
        <f t="shared" ref="AA475" si="87">(E475+J475+O475+T475+Y475)</f>
        <v>16</v>
      </c>
      <c r="AB475" s="298">
        <f>Z475+U475+P475+K475+F473</f>
        <v>0</v>
      </c>
      <c r="AC475" s="4"/>
      <c r="AD475" s="47"/>
      <c r="AE475" s="47"/>
      <c r="AF475" s="319"/>
      <c r="AG475" s="29">
        <f t="shared" si="85"/>
        <v>0</v>
      </c>
    </row>
    <row r="476" spans="1:33" outlineLevel="1">
      <c r="A476" s="180"/>
      <c r="B476" s="502" t="s">
        <v>407</v>
      </c>
      <c r="C476" s="1550"/>
      <c r="D476" s="1550"/>
      <c r="E476" s="1550"/>
      <c r="F476" s="320"/>
      <c r="G476" s="4"/>
      <c r="H476" s="47"/>
      <c r="I476" s="47"/>
      <c r="J476" s="319"/>
      <c r="K476" s="320"/>
      <c r="L476" s="4"/>
      <c r="M476" s="441"/>
      <c r="N476" s="47"/>
      <c r="O476" s="319"/>
      <c r="P476" s="320"/>
      <c r="R476" s="47"/>
      <c r="S476" s="47"/>
      <c r="T476" s="319"/>
      <c r="U476" s="320"/>
      <c r="W476" s="47"/>
      <c r="X476" s="47"/>
      <c r="Y476" s="319"/>
      <c r="Z476" s="320"/>
      <c r="AA476" s="328">
        <f t="shared" si="83"/>
        <v>0</v>
      </c>
      <c r="AB476" s="298">
        <f>Z476+U476+P476+K476+F471</f>
        <v>0</v>
      </c>
      <c r="AC476" s="4"/>
      <c r="AD476" s="47"/>
      <c r="AE476" s="47"/>
      <c r="AF476" s="319"/>
      <c r="AG476" s="29">
        <f t="shared" si="85"/>
        <v>0</v>
      </c>
    </row>
    <row r="477" spans="1:33" outlineLevel="1">
      <c r="A477" s="180"/>
      <c r="B477" s="502" t="s">
        <v>408</v>
      </c>
      <c r="C477" s="1550"/>
      <c r="D477" s="1550"/>
      <c r="E477" s="1550"/>
      <c r="F477" s="320"/>
      <c r="G477" s="4"/>
      <c r="H477" s="47"/>
      <c r="I477" s="47"/>
      <c r="J477" s="319"/>
      <c r="K477" s="320"/>
      <c r="L477" s="4"/>
      <c r="M477" s="441"/>
      <c r="N477" s="47"/>
      <c r="O477" s="319"/>
      <c r="P477" s="320"/>
      <c r="R477" s="47"/>
      <c r="S477" s="47"/>
      <c r="T477" s="319"/>
      <c r="U477" s="320"/>
      <c r="W477" s="47"/>
      <c r="X477" s="47"/>
      <c r="Y477" s="319"/>
      <c r="Z477" s="320"/>
      <c r="AA477" s="328">
        <f t="shared" si="83"/>
        <v>0</v>
      </c>
      <c r="AB477" s="298">
        <f>Z477+U477+P477+K477+F472</f>
        <v>0</v>
      </c>
      <c r="AC477" s="4"/>
      <c r="AD477" s="47"/>
      <c r="AE477" s="47"/>
      <c r="AF477" s="319"/>
      <c r="AG477" s="29">
        <f t="shared" si="85"/>
        <v>0</v>
      </c>
    </row>
    <row r="478" spans="1:33" outlineLevel="1">
      <c r="A478" s="180"/>
      <c r="B478" s="502" t="s">
        <v>409</v>
      </c>
      <c r="C478" s="1550"/>
      <c r="D478" s="1550"/>
      <c r="E478" s="1550"/>
      <c r="F478" s="320"/>
      <c r="G478" s="4"/>
      <c r="H478" s="47"/>
      <c r="I478" s="47"/>
      <c r="J478" s="319"/>
      <c r="K478" s="320"/>
      <c r="L478" s="4"/>
      <c r="M478" s="441"/>
      <c r="N478" s="47"/>
      <c r="O478" s="319"/>
      <c r="P478" s="320"/>
      <c r="R478" s="47"/>
      <c r="S478" s="47"/>
      <c r="T478" s="319"/>
      <c r="U478" s="320"/>
      <c r="W478" s="47"/>
      <c r="X478" s="47"/>
      <c r="Y478" s="319"/>
      <c r="Z478" s="320"/>
      <c r="AA478" s="328">
        <f t="shared" si="83"/>
        <v>0</v>
      </c>
      <c r="AB478" s="298">
        <f>Z478+U478+P478+K478+F476</f>
        <v>0</v>
      </c>
      <c r="AC478" s="4"/>
      <c r="AD478" s="47"/>
      <c r="AE478" s="47"/>
      <c r="AF478" s="319"/>
      <c r="AG478" s="29">
        <f t="shared" si="85"/>
        <v>0</v>
      </c>
    </row>
    <row r="479" spans="1:33" outlineLevel="1">
      <c r="A479" s="180"/>
      <c r="B479" s="460" t="s">
        <v>343</v>
      </c>
      <c r="C479" s="1550"/>
      <c r="D479" s="1550"/>
      <c r="E479" s="1550"/>
      <c r="F479" s="320"/>
      <c r="G479" s="4"/>
      <c r="H479" s="47"/>
      <c r="I479" s="47"/>
      <c r="J479" s="319"/>
      <c r="K479" s="320"/>
      <c r="L479" s="4"/>
      <c r="M479" s="47"/>
      <c r="N479" s="47"/>
      <c r="O479" s="319"/>
      <c r="P479" s="320"/>
      <c r="R479" s="47"/>
      <c r="S479" s="47"/>
      <c r="T479" s="319"/>
      <c r="U479" s="320"/>
      <c r="W479" s="47"/>
      <c r="X479" s="47"/>
      <c r="Y479" s="319"/>
      <c r="Z479" s="320"/>
      <c r="AA479" s="328">
        <f t="shared" si="83"/>
        <v>0</v>
      </c>
      <c r="AB479" s="298">
        <f>Z479+U479+P479+K479+F465</f>
        <v>0</v>
      </c>
      <c r="AC479" s="4"/>
      <c r="AD479" s="47"/>
      <c r="AE479" s="47"/>
      <c r="AF479" s="319"/>
      <c r="AG479" s="29">
        <f t="shared" si="85"/>
        <v>0</v>
      </c>
    </row>
    <row r="480" spans="1:33" outlineLevel="1">
      <c r="A480" s="180"/>
      <c r="B480" s="63" t="s">
        <v>250</v>
      </c>
      <c r="C480" s="1550"/>
      <c r="D480" s="1550"/>
      <c r="E480" s="1550"/>
      <c r="F480" s="320"/>
      <c r="G480" s="4"/>
      <c r="H480" s="47"/>
      <c r="I480" s="47"/>
      <c r="J480" s="319"/>
      <c r="K480" s="320"/>
      <c r="L480" s="4"/>
      <c r="M480" s="47"/>
      <c r="N480" s="47"/>
      <c r="O480" s="319"/>
      <c r="P480" s="320"/>
      <c r="R480" s="47"/>
      <c r="S480" s="47"/>
      <c r="T480" s="319"/>
      <c r="U480" s="320"/>
      <c r="W480" s="47"/>
      <c r="X480" s="47"/>
      <c r="Y480" s="319"/>
      <c r="Z480" s="320"/>
      <c r="AA480" s="328">
        <f t="shared" si="83"/>
        <v>0</v>
      </c>
      <c r="AB480" s="298">
        <f t="shared" ref="AB480:AB489" si="88">Z480+U480+P480+K480+F480</f>
        <v>0</v>
      </c>
      <c r="AC480" s="4"/>
      <c r="AD480" s="47"/>
      <c r="AE480" s="47"/>
      <c r="AF480" s="319"/>
      <c r="AG480" s="29">
        <f t="shared" si="85"/>
        <v>0</v>
      </c>
    </row>
    <row r="481" spans="1:37" outlineLevel="1">
      <c r="A481" s="180"/>
      <c r="B481" s="63" t="s">
        <v>357</v>
      </c>
      <c r="C481" s="1550"/>
      <c r="D481" s="1550"/>
      <c r="E481" s="1550"/>
      <c r="F481" s="320"/>
      <c r="G481" s="4"/>
      <c r="H481" s="47"/>
      <c r="I481" s="47"/>
      <c r="J481" s="319"/>
      <c r="K481" s="320"/>
      <c r="L481" s="4"/>
      <c r="M481" s="47"/>
      <c r="N481" s="47"/>
      <c r="O481" s="319"/>
      <c r="P481" s="320"/>
      <c r="R481" s="47"/>
      <c r="S481" s="47"/>
      <c r="T481" s="319"/>
      <c r="U481" s="320"/>
      <c r="W481" s="47"/>
      <c r="X481" s="47"/>
      <c r="Y481" s="319"/>
      <c r="Z481" s="320"/>
      <c r="AA481" s="328">
        <f t="shared" si="83"/>
        <v>0</v>
      </c>
      <c r="AB481" s="298">
        <f t="shared" si="88"/>
        <v>0</v>
      </c>
      <c r="AC481" s="4"/>
      <c r="AD481" s="47"/>
      <c r="AE481" s="47"/>
      <c r="AF481" s="319"/>
      <c r="AG481" s="29">
        <f t="shared" si="85"/>
        <v>0</v>
      </c>
    </row>
    <row r="482" spans="1:37" outlineLevel="1">
      <c r="A482" s="180"/>
      <c r="B482" s="63" t="s">
        <v>63</v>
      </c>
      <c r="C482" s="1550"/>
      <c r="D482" s="1550"/>
      <c r="E482" s="1550"/>
      <c r="F482" s="320"/>
      <c r="G482" s="438"/>
      <c r="H482" s="47"/>
      <c r="I482" s="47"/>
      <c r="J482" s="319">
        <v>4</v>
      </c>
      <c r="K482" s="320"/>
      <c r="L482" s="438"/>
      <c r="M482" s="47"/>
      <c r="N482" s="47"/>
      <c r="O482" s="319">
        <v>4</v>
      </c>
      <c r="P482" s="320"/>
      <c r="Q482" s="438"/>
      <c r="R482" s="47"/>
      <c r="S482" s="47"/>
      <c r="T482" s="319">
        <v>4</v>
      </c>
      <c r="U482" s="320"/>
      <c r="V482" s="438"/>
      <c r="W482" s="47"/>
      <c r="X482" s="47"/>
      <c r="Y482" s="319">
        <v>4.5</v>
      </c>
      <c r="Z482" s="320"/>
      <c r="AA482" s="328">
        <f t="shared" si="83"/>
        <v>16.5</v>
      </c>
      <c r="AB482" s="298">
        <f t="shared" si="88"/>
        <v>0</v>
      </c>
      <c r="AC482" s="4"/>
      <c r="AD482" s="47"/>
      <c r="AE482" s="47"/>
      <c r="AF482" s="319"/>
      <c r="AG482" s="29">
        <f t="shared" si="85"/>
        <v>0</v>
      </c>
      <c r="AK482" s="407"/>
    </row>
    <row r="483" spans="1:37" outlineLevel="1">
      <c r="A483" s="180"/>
      <c r="B483" s="267" t="s">
        <v>358</v>
      </c>
      <c r="C483" s="1550"/>
      <c r="D483" s="1550"/>
      <c r="E483" s="1550"/>
      <c r="F483" s="320"/>
      <c r="G483" s="438"/>
      <c r="H483" s="47"/>
      <c r="I483" s="47"/>
      <c r="J483" s="319">
        <v>8</v>
      </c>
      <c r="K483" s="320">
        <v>1.5</v>
      </c>
      <c r="L483" s="438"/>
      <c r="M483" s="47"/>
      <c r="N483" s="47"/>
      <c r="O483" s="319">
        <v>6</v>
      </c>
      <c r="P483" s="320"/>
      <c r="Q483" s="438"/>
      <c r="R483" s="47"/>
      <c r="S483" s="47"/>
      <c r="T483" s="319">
        <v>8</v>
      </c>
      <c r="U483" s="320"/>
      <c r="V483" s="438"/>
      <c r="W483" s="47"/>
      <c r="X483" s="47"/>
      <c r="Y483" s="319">
        <v>6</v>
      </c>
      <c r="Z483" s="320"/>
      <c r="AA483" s="328">
        <f t="shared" si="83"/>
        <v>28</v>
      </c>
      <c r="AB483" s="298">
        <f t="shared" si="88"/>
        <v>1.5</v>
      </c>
      <c r="AC483" s="4"/>
      <c r="AD483" s="47"/>
      <c r="AE483" s="47"/>
      <c r="AF483" s="319"/>
      <c r="AG483" s="29">
        <f t="shared" si="85"/>
        <v>0</v>
      </c>
      <c r="AK483" s="407"/>
    </row>
    <row r="484" spans="1:37" outlineLevel="1">
      <c r="A484" s="180"/>
      <c r="B484" s="267" t="s">
        <v>359</v>
      </c>
      <c r="C484" s="1550"/>
      <c r="D484" s="1550"/>
      <c r="E484" s="1550"/>
      <c r="F484" s="320"/>
      <c r="G484" s="438"/>
      <c r="H484" s="47"/>
      <c r="I484" s="47"/>
      <c r="J484" s="319"/>
      <c r="K484" s="320"/>
      <c r="L484" s="438"/>
      <c r="M484" s="47"/>
      <c r="N484" s="47"/>
      <c r="O484" s="319"/>
      <c r="P484" s="320"/>
      <c r="Q484" s="438"/>
      <c r="R484" s="47"/>
      <c r="S484" s="47"/>
      <c r="T484" s="319"/>
      <c r="U484" s="320"/>
      <c r="V484" s="438"/>
      <c r="W484" s="47"/>
      <c r="X484" s="47"/>
      <c r="Y484" s="319"/>
      <c r="Z484" s="320"/>
      <c r="AA484" s="328">
        <f t="shared" si="83"/>
        <v>0</v>
      </c>
      <c r="AB484" s="298">
        <f t="shared" si="88"/>
        <v>0</v>
      </c>
      <c r="AC484" s="4"/>
      <c r="AD484" s="47"/>
      <c r="AE484" s="47"/>
      <c r="AF484" s="319"/>
      <c r="AG484" s="29">
        <f t="shared" si="85"/>
        <v>0</v>
      </c>
      <c r="AK484" s="407"/>
    </row>
    <row r="485" spans="1:37" outlineLevel="1">
      <c r="A485" s="180"/>
      <c r="B485" s="267" t="s">
        <v>411</v>
      </c>
      <c r="C485" s="1550"/>
      <c r="D485" s="1550"/>
      <c r="E485" s="1550"/>
      <c r="F485" s="320"/>
      <c r="G485" s="438"/>
      <c r="H485" s="47"/>
      <c r="I485" s="47"/>
      <c r="J485" s="319"/>
      <c r="K485" s="320"/>
      <c r="L485" s="438"/>
      <c r="M485" s="47"/>
      <c r="N485" s="47"/>
      <c r="O485" s="319"/>
      <c r="P485" s="320"/>
      <c r="Q485" s="438"/>
      <c r="R485" s="47"/>
      <c r="S485" s="47"/>
      <c r="T485" s="319"/>
      <c r="U485" s="320"/>
      <c r="V485" s="438"/>
      <c r="W485" s="47"/>
      <c r="X485" s="47"/>
      <c r="Y485" s="319"/>
      <c r="Z485" s="320"/>
      <c r="AA485" s="328">
        <f t="shared" si="83"/>
        <v>0</v>
      </c>
      <c r="AB485" s="298">
        <f t="shared" si="88"/>
        <v>0</v>
      </c>
      <c r="AC485" s="4"/>
      <c r="AD485" s="47"/>
      <c r="AE485" s="47"/>
      <c r="AF485" s="319"/>
      <c r="AG485" s="29">
        <f t="shared" si="85"/>
        <v>0</v>
      </c>
      <c r="AK485" s="407"/>
    </row>
    <row r="486" spans="1:37" outlineLevel="1">
      <c r="A486" s="180"/>
      <c r="B486" s="267" t="s">
        <v>361</v>
      </c>
      <c r="C486" s="1550"/>
      <c r="D486" s="1550"/>
      <c r="E486" s="1550"/>
      <c r="F486" s="320"/>
      <c r="G486" s="438"/>
      <c r="H486" s="47"/>
      <c r="I486" s="47"/>
      <c r="J486" s="319"/>
      <c r="K486" s="320"/>
      <c r="L486" s="438"/>
      <c r="M486" s="47"/>
      <c r="N486" s="47"/>
      <c r="O486" s="319"/>
      <c r="P486" s="320"/>
      <c r="Q486" s="438"/>
      <c r="R486" s="47"/>
      <c r="S486" s="47"/>
      <c r="T486" s="319"/>
      <c r="U486" s="320"/>
      <c r="V486" s="438"/>
      <c r="W486" s="47"/>
      <c r="X486" s="47"/>
      <c r="Y486" s="319"/>
      <c r="Z486" s="320"/>
      <c r="AA486" s="328">
        <f t="shared" si="83"/>
        <v>0</v>
      </c>
      <c r="AB486" s="298">
        <f t="shared" si="88"/>
        <v>0</v>
      </c>
      <c r="AC486" s="4"/>
      <c r="AD486" s="47"/>
      <c r="AE486" s="47"/>
      <c r="AF486" s="319"/>
      <c r="AG486" s="29">
        <f t="shared" si="85"/>
        <v>0</v>
      </c>
      <c r="AK486" s="407"/>
    </row>
    <row r="487" spans="1:37" outlineLevel="1">
      <c r="A487" s="180"/>
      <c r="B487" s="267" t="s">
        <v>362</v>
      </c>
      <c r="C487" s="1550"/>
      <c r="D487" s="1550"/>
      <c r="E487" s="1550"/>
      <c r="F487" s="320"/>
      <c r="G487" s="438"/>
      <c r="H487" s="47"/>
      <c r="I487" s="47"/>
      <c r="J487" s="319">
        <v>4</v>
      </c>
      <c r="K487" s="320"/>
      <c r="L487" s="438"/>
      <c r="M487" s="47"/>
      <c r="N487" s="47"/>
      <c r="O487" s="319">
        <v>4</v>
      </c>
      <c r="P487" s="320"/>
      <c r="Q487" s="438"/>
      <c r="R487" s="47"/>
      <c r="S487" s="47"/>
      <c r="T487" s="319">
        <v>4</v>
      </c>
      <c r="U487" s="320"/>
      <c r="V487" s="438"/>
      <c r="W487" s="47"/>
      <c r="X487" s="47"/>
      <c r="Y487" s="319">
        <v>5</v>
      </c>
      <c r="Z487" s="320"/>
      <c r="AA487" s="328">
        <f t="shared" si="83"/>
        <v>17</v>
      </c>
      <c r="AB487" s="298">
        <f t="shared" si="88"/>
        <v>0</v>
      </c>
      <c r="AC487" s="4"/>
      <c r="AD487" s="47"/>
      <c r="AE487" s="47"/>
      <c r="AF487" s="319"/>
      <c r="AG487" s="29">
        <f t="shared" si="85"/>
        <v>0</v>
      </c>
      <c r="AK487" s="407"/>
    </row>
    <row r="488" spans="1:37" outlineLevel="1">
      <c r="A488" s="180"/>
      <c r="B488" s="437" t="s">
        <v>355</v>
      </c>
      <c r="C488" s="1550"/>
      <c r="D488" s="1550"/>
      <c r="E488" s="1550"/>
      <c r="F488" s="320"/>
      <c r="G488" s="438"/>
      <c r="H488" s="47"/>
      <c r="I488" s="47"/>
      <c r="J488" s="319">
        <v>16</v>
      </c>
      <c r="K488" s="320">
        <v>8.4</v>
      </c>
      <c r="L488" s="438"/>
      <c r="M488" s="47"/>
      <c r="N488" s="47"/>
      <c r="O488" s="319">
        <v>16</v>
      </c>
      <c r="P488" s="320">
        <v>1.5</v>
      </c>
      <c r="Q488" s="438"/>
      <c r="R488" s="47"/>
      <c r="S488" s="47"/>
      <c r="T488" s="319">
        <v>16</v>
      </c>
      <c r="U488" s="320">
        <v>6.3</v>
      </c>
      <c r="V488" s="438"/>
      <c r="W488" s="47"/>
      <c r="X488" s="47"/>
      <c r="Y488" s="319">
        <v>15.5</v>
      </c>
      <c r="Z488" s="320"/>
      <c r="AA488" s="328">
        <f t="shared" si="83"/>
        <v>63.5</v>
      </c>
      <c r="AB488" s="298">
        <f t="shared" si="88"/>
        <v>16.2</v>
      </c>
      <c r="AC488" s="4"/>
      <c r="AD488" s="47"/>
      <c r="AE488" s="47"/>
      <c r="AF488" s="319"/>
      <c r="AG488" s="29">
        <f t="shared" si="85"/>
        <v>0</v>
      </c>
      <c r="AK488" s="407"/>
    </row>
    <row r="489" spans="1:37" outlineLevel="1">
      <c r="A489" s="180"/>
      <c r="B489" s="437" t="s">
        <v>356</v>
      </c>
      <c r="C489" s="1550"/>
      <c r="D489" s="1550"/>
      <c r="E489" s="1550"/>
      <c r="F489" s="320"/>
      <c r="G489" s="438"/>
      <c r="H489" s="47"/>
      <c r="I489" s="47"/>
      <c r="J489" s="319"/>
      <c r="K489" s="320"/>
      <c r="L489" s="438"/>
      <c r="M489" s="47"/>
      <c r="N489" s="47"/>
      <c r="O489" s="319"/>
      <c r="P489" s="320"/>
      <c r="Q489" s="438"/>
      <c r="R489" s="47"/>
      <c r="S489" s="47"/>
      <c r="T489" s="319"/>
      <c r="U489" s="320"/>
      <c r="V489" s="438"/>
      <c r="W489" s="47"/>
      <c r="X489" s="47"/>
      <c r="Y489" s="319"/>
      <c r="Z489" s="320"/>
      <c r="AA489" s="328">
        <f t="shared" si="83"/>
        <v>0</v>
      </c>
      <c r="AB489" s="298">
        <f t="shared" si="88"/>
        <v>0</v>
      </c>
      <c r="AC489" s="4"/>
      <c r="AD489" s="47"/>
      <c r="AE489" s="47"/>
      <c r="AF489" s="319"/>
      <c r="AG489" s="29">
        <f t="shared" si="85"/>
        <v>0</v>
      </c>
      <c r="AK489" s="407"/>
    </row>
    <row r="490" spans="1:37" outlineLevel="1">
      <c r="A490" s="180"/>
      <c r="B490" s="64" t="s">
        <v>61</v>
      </c>
      <c r="C490" s="31"/>
      <c r="D490" s="31"/>
      <c r="E490" s="439">
        <f>SUM(E452:E489)</f>
        <v>0</v>
      </c>
      <c r="F490" s="320">
        <f>SUM(F452:F489)</f>
        <v>0</v>
      </c>
      <c r="G490" s="31"/>
      <c r="H490" s="31"/>
      <c r="I490" s="31"/>
      <c r="J490" s="439">
        <f>SUM(J452:J489)</f>
        <v>96</v>
      </c>
      <c r="K490" s="320">
        <f>SUM(K452:K489)</f>
        <v>9.9</v>
      </c>
      <c r="L490" s="31"/>
      <c r="M490" s="31"/>
      <c r="N490" s="31"/>
      <c r="O490" s="439">
        <f>SUM(O452:O489)</f>
        <v>78</v>
      </c>
      <c r="P490" s="320">
        <f>SUM(P452:P489)</f>
        <v>1.5</v>
      </c>
      <c r="Q490" s="31"/>
      <c r="R490" s="31"/>
      <c r="S490" s="31"/>
      <c r="T490" s="439">
        <f>SUM(T452:T489)</f>
        <v>98</v>
      </c>
      <c r="U490" s="320">
        <f>SUM(U452:U489)</f>
        <v>6.3</v>
      </c>
      <c r="V490" s="31"/>
      <c r="W490" s="31"/>
      <c r="X490" s="31"/>
      <c r="Y490" s="439">
        <f>SUM(Y452:Y489)</f>
        <v>184</v>
      </c>
      <c r="Z490" s="320">
        <f>SUM(Z452:Z489)</f>
        <v>0</v>
      </c>
      <c r="AA490" s="370">
        <f>SUM(AA452:AA489)</f>
        <v>456</v>
      </c>
      <c r="AB490" s="370">
        <f>SUM(AB452:AB489)</f>
        <v>17.7</v>
      </c>
      <c r="AC490" s="4"/>
      <c r="AD490" s="64"/>
      <c r="AE490" s="64"/>
      <c r="AF490" s="370">
        <f>SUM(AF452:AF489)</f>
        <v>0</v>
      </c>
      <c r="AG490" s="370">
        <f>SUM(AG452:AG489)</f>
        <v>0</v>
      </c>
    </row>
    <row r="491" spans="1:37" outlineLevel="1">
      <c r="A491" s="180"/>
      <c r="B491" s="63" t="s">
        <v>64</v>
      </c>
      <c r="C491" s="47"/>
      <c r="D491" s="47"/>
      <c r="E491" s="319">
        <v>0</v>
      </c>
      <c r="F491" s="291"/>
      <c r="G491" s="60"/>
      <c r="H491" s="47"/>
      <c r="I491" s="47"/>
      <c r="J491" s="319">
        <v>9</v>
      </c>
      <c r="K491" s="291"/>
      <c r="L491" s="60"/>
      <c r="M491" s="47"/>
      <c r="N491" s="47"/>
      <c r="O491" s="319">
        <v>9</v>
      </c>
      <c r="P491" s="19"/>
      <c r="Q491" s="60"/>
      <c r="R491" s="47"/>
      <c r="S491" s="47"/>
      <c r="T491" s="319">
        <v>10</v>
      </c>
      <c r="U491" s="19"/>
      <c r="V491" s="60"/>
      <c r="W491" s="47"/>
      <c r="X491" s="47"/>
      <c r="Y491" s="319">
        <v>9</v>
      </c>
      <c r="Z491" s="19">
        <v>1</v>
      </c>
      <c r="AA491" s="28">
        <f>SUM(E491+J491+O491+T491+Y491)</f>
        <v>37</v>
      </c>
      <c r="AB491" s="296">
        <f>Z491+U491+P491+K491+F491</f>
        <v>1</v>
      </c>
      <c r="AC491" s="4"/>
      <c r="AD491" s="47" t="s">
        <v>29</v>
      </c>
      <c r="AE491" s="47" t="s">
        <v>29</v>
      </c>
      <c r="AF491" s="319"/>
      <c r="AG491" s="29">
        <f>AF491</f>
        <v>0</v>
      </c>
    </row>
    <row r="492" spans="1:37" outlineLevel="1">
      <c r="A492" s="180"/>
      <c r="B492" s="71" t="s">
        <v>66</v>
      </c>
      <c r="C492" s="371"/>
      <c r="D492" s="371"/>
      <c r="E492" s="71"/>
      <c r="F492" s="71"/>
      <c r="G492" s="71"/>
      <c r="H492" s="71"/>
      <c r="I492" s="71"/>
      <c r="J492" s="71"/>
      <c r="K492" s="71"/>
      <c r="L492" s="71"/>
      <c r="M492" s="71"/>
      <c r="N492" s="71"/>
      <c r="O492" s="71"/>
      <c r="P492" s="71"/>
      <c r="Q492" s="71"/>
      <c r="R492" s="71"/>
      <c r="S492" s="71"/>
      <c r="T492" s="71"/>
      <c r="U492" s="71"/>
      <c r="V492" s="71"/>
      <c r="W492" s="71"/>
      <c r="X492" s="71"/>
      <c r="Y492" s="71"/>
      <c r="Z492" s="71"/>
      <c r="AA492" s="370">
        <f>SUM(AA491:AA491)</f>
        <v>37</v>
      </c>
      <c r="AB492" s="370">
        <f>SUM(AB491:AB491)</f>
        <v>1</v>
      </c>
      <c r="AC492" s="4"/>
      <c r="AG492" s="370">
        <f>SUM(AG491:AG491)</f>
        <v>0</v>
      </c>
    </row>
    <row r="493" spans="1:37" outlineLevel="1">
      <c r="A493" s="180"/>
      <c r="B493" s="217" t="s">
        <v>67</v>
      </c>
      <c r="C493" s="207">
        <f>C494+C495</f>
        <v>96</v>
      </c>
      <c r="D493" s="207"/>
      <c r="E493" s="209"/>
      <c r="F493" s="209"/>
      <c r="G493" s="207"/>
      <c r="H493" s="209"/>
      <c r="I493" s="209"/>
      <c r="J493" s="209"/>
      <c r="K493" s="209"/>
      <c r="L493" s="207"/>
      <c r="M493" s="207"/>
      <c r="N493" s="207"/>
      <c r="O493" s="207"/>
      <c r="P493" s="209"/>
      <c r="Q493" s="207"/>
      <c r="R493" s="207"/>
      <c r="S493" s="207"/>
      <c r="T493" s="207"/>
      <c r="U493" s="209"/>
      <c r="V493" s="207"/>
      <c r="W493" s="207"/>
      <c r="X493" s="207"/>
      <c r="Y493" s="210"/>
      <c r="Z493" s="209"/>
      <c r="AA493" s="211"/>
      <c r="AB493" s="209"/>
      <c r="AC493" s="211"/>
      <c r="AD493" s="211"/>
      <c r="AE493" s="211"/>
      <c r="AF493" s="211"/>
      <c r="AG493" s="211"/>
    </row>
    <row r="494" spans="1:37" outlineLevel="1">
      <c r="A494" s="180"/>
      <c r="B494" s="238" t="s">
        <v>68</v>
      </c>
      <c r="C494" s="239"/>
      <c r="D494" s="207"/>
      <c r="E494" s="209"/>
      <c r="F494" s="209"/>
      <c r="G494" s="207"/>
      <c r="H494" s="209"/>
      <c r="I494" s="209"/>
      <c r="J494" s="209"/>
      <c r="K494" s="209"/>
      <c r="L494" s="207"/>
      <c r="M494" s="207"/>
      <c r="N494" s="207"/>
      <c r="O494" s="207"/>
      <c r="P494" s="209"/>
      <c r="Q494" s="207"/>
      <c r="R494" s="207"/>
      <c r="S494" s="207"/>
      <c r="T494" s="207"/>
      <c r="U494" s="209"/>
      <c r="V494" s="207"/>
      <c r="W494" s="207"/>
      <c r="X494" s="207"/>
      <c r="Y494" s="210"/>
      <c r="Z494" s="209"/>
      <c r="AA494" s="211"/>
      <c r="AB494" s="209"/>
      <c r="AC494" s="211"/>
      <c r="AD494" s="211"/>
      <c r="AE494" s="211"/>
      <c r="AF494" s="211"/>
      <c r="AG494" s="211"/>
    </row>
    <row r="495" spans="1:37" outlineLevel="1">
      <c r="A495" s="180"/>
      <c r="B495" s="238" t="s">
        <v>69</v>
      </c>
      <c r="C495" s="239">
        <f>(8+6+7+11)*3</f>
        <v>96</v>
      </c>
      <c r="D495" s="207"/>
      <c r="E495" s="209"/>
      <c r="F495" s="209"/>
      <c r="G495" s="207"/>
      <c r="H495" s="209"/>
      <c r="I495" s="209"/>
      <c r="J495" s="209"/>
      <c r="K495" s="209"/>
      <c r="L495" s="207"/>
      <c r="M495" s="207"/>
      <c r="N495" s="207"/>
      <c r="O495" s="207"/>
      <c r="P495" s="209"/>
      <c r="Q495" s="207"/>
      <c r="R495" s="207"/>
      <c r="S495" s="207"/>
      <c r="T495" s="207"/>
      <c r="U495" s="209"/>
      <c r="V495" s="207"/>
      <c r="W495" s="207"/>
      <c r="X495" s="207"/>
      <c r="Y495" s="210"/>
      <c r="Z495" s="209"/>
      <c r="AA495" s="211"/>
      <c r="AB495" s="209"/>
      <c r="AC495" s="211"/>
      <c r="AD495" s="211"/>
      <c r="AE495" s="211"/>
      <c r="AF495" s="211"/>
      <c r="AG495" s="211"/>
    </row>
    <row r="496" spans="1:37" outlineLevel="1">
      <c r="B496" s="180"/>
      <c r="E496" s="4"/>
      <c r="F496" s="4"/>
      <c r="G496" s="4"/>
      <c r="J496" s="4"/>
      <c r="K496" s="4"/>
      <c r="L496" s="4"/>
      <c r="O496" s="4"/>
      <c r="P496" s="4"/>
      <c r="T496" s="4"/>
      <c r="U496" s="4"/>
      <c r="Y496" s="4"/>
      <c r="Z496" s="4"/>
      <c r="AA496" s="4"/>
      <c r="AB496" s="4"/>
      <c r="AC496" s="4"/>
    </row>
    <row r="497" spans="1:49">
      <c r="A497" s="180"/>
      <c r="B497" s="229"/>
      <c r="C497" s="230"/>
      <c r="D497" s="230"/>
      <c r="E497" s="232"/>
      <c r="F497" s="232"/>
      <c r="G497" s="230"/>
      <c r="H497" s="232"/>
      <c r="I497" s="232"/>
      <c r="J497" s="232"/>
      <c r="K497" s="232"/>
      <c r="L497" s="230"/>
      <c r="M497" s="230"/>
      <c r="N497" s="230"/>
      <c r="O497" s="230"/>
      <c r="P497" s="232"/>
      <c r="Q497" s="230"/>
      <c r="R497" s="230"/>
      <c r="S497" s="230"/>
      <c r="T497" s="230"/>
      <c r="U497" s="232"/>
      <c r="V497" s="230"/>
      <c r="W497" s="230"/>
      <c r="X497" s="230"/>
      <c r="Y497" s="233"/>
      <c r="Z497" s="232"/>
      <c r="AA497" s="234"/>
      <c r="AB497" s="232"/>
      <c r="AC497" s="373"/>
      <c r="AD497" s="236"/>
      <c r="AE497" s="255"/>
      <c r="AF497" s="255"/>
      <c r="AG497" s="255"/>
      <c r="AH497" s="255"/>
      <c r="AJ497" s="255"/>
      <c r="AK497" s="255"/>
      <c r="AL497" s="255"/>
      <c r="AM497" s="255"/>
      <c r="AN497" s="255"/>
      <c r="AO497" s="255"/>
      <c r="AP497" s="255"/>
      <c r="AQ497" s="255"/>
      <c r="AR497" s="255"/>
      <c r="AS497" s="255"/>
      <c r="AT497" s="255"/>
      <c r="AU497" s="255"/>
      <c r="AV497" s="255"/>
      <c r="AW497" s="255"/>
    </row>
    <row r="498" spans="1:49" outlineLevel="1">
      <c r="B498" s="180"/>
      <c r="E498" s="4"/>
      <c r="F498" s="4"/>
      <c r="G498" s="4"/>
      <c r="J498" s="4"/>
      <c r="K498" s="4"/>
      <c r="L498" s="4"/>
      <c r="O498" s="4"/>
      <c r="P498" s="4"/>
      <c r="T498" s="4"/>
      <c r="U498" s="4"/>
      <c r="Y498" s="4"/>
      <c r="Z498" s="4"/>
      <c r="AA498" s="4"/>
      <c r="AB498" s="4"/>
      <c r="AC498" s="4"/>
      <c r="AK498" s="180"/>
      <c r="AL498" s="180"/>
      <c r="AM498" s="180"/>
      <c r="AN498" s="180"/>
      <c r="AO498" s="180"/>
      <c r="AP498" s="180"/>
    </row>
    <row r="499" spans="1:49" outlineLevel="1">
      <c r="A499" s="228"/>
      <c r="B499" s="1518" t="s">
        <v>18</v>
      </c>
      <c r="C499" s="1519">
        <v>45446</v>
      </c>
      <c r="D499" s="1519"/>
      <c r="E499" s="1519"/>
      <c r="F499" s="1519"/>
      <c r="G499" s="365"/>
      <c r="H499" s="1519">
        <v>45447</v>
      </c>
      <c r="I499" s="1519"/>
      <c r="J499" s="1519"/>
      <c r="K499" s="1519"/>
      <c r="L499" s="365">
        <v>45343</v>
      </c>
      <c r="M499" s="1519">
        <v>45448</v>
      </c>
      <c r="N499" s="1519"/>
      <c r="O499" s="1519"/>
      <c r="P499" s="1519"/>
      <c r="Q499" s="365"/>
      <c r="R499" s="1519">
        <v>45449</v>
      </c>
      <c r="S499" s="1519"/>
      <c r="T499" s="1519"/>
      <c r="U499" s="1519"/>
      <c r="V499" s="365"/>
      <c r="W499" s="1519">
        <v>45450</v>
      </c>
      <c r="X499" s="1519"/>
      <c r="Y499" s="1519"/>
      <c r="Z499" s="1519"/>
      <c r="AA499" s="1517" t="s">
        <v>19</v>
      </c>
      <c r="AB499" s="1517" t="s">
        <v>20</v>
      </c>
      <c r="AC499" s="4"/>
      <c r="AD499" s="1519">
        <v>45451</v>
      </c>
      <c r="AE499" s="1519"/>
      <c r="AF499" s="1519"/>
      <c r="AG499" s="1517" t="s">
        <v>21</v>
      </c>
      <c r="AI499" s="368"/>
      <c r="AK499" s="194" t="s">
        <v>84</v>
      </c>
      <c r="AL499" s="366"/>
      <c r="AM499" s="366"/>
      <c r="AN499" s="366"/>
      <c r="AO499" s="366"/>
      <c r="AP499" s="366"/>
    </row>
    <row r="500" spans="1:49" outlineLevel="1">
      <c r="A500" s="180"/>
      <c r="B500" s="1518"/>
      <c r="C500" s="21" t="s">
        <v>23</v>
      </c>
      <c r="D500" s="21" t="s">
        <v>24</v>
      </c>
      <c r="E500" s="205" t="s">
        <v>25</v>
      </c>
      <c r="F500" s="18" t="s">
        <v>14</v>
      </c>
      <c r="G500" s="4"/>
      <c r="H500" s="21" t="s">
        <v>23</v>
      </c>
      <c r="I500" s="21" t="s">
        <v>24</v>
      </c>
      <c r="J500" s="18" t="s">
        <v>25</v>
      </c>
      <c r="K500" s="18" t="s">
        <v>14</v>
      </c>
      <c r="L500" s="4"/>
      <c r="M500" s="21" t="s">
        <v>23</v>
      </c>
      <c r="N500" s="21" t="s">
        <v>24</v>
      </c>
      <c r="O500" s="18" t="s">
        <v>25</v>
      </c>
      <c r="P500" s="18" t="s">
        <v>14</v>
      </c>
      <c r="R500" s="21" t="s">
        <v>23</v>
      </c>
      <c r="S500" s="21" t="s">
        <v>24</v>
      </c>
      <c r="T500" s="18" t="s">
        <v>25</v>
      </c>
      <c r="U500" s="18" t="s">
        <v>14</v>
      </c>
      <c r="W500" s="21" t="s">
        <v>23</v>
      </c>
      <c r="X500" s="21" t="s">
        <v>24</v>
      </c>
      <c r="Y500" s="18" t="s">
        <v>25</v>
      </c>
      <c r="Z500" s="18" t="s">
        <v>14</v>
      </c>
      <c r="AA500" s="1517"/>
      <c r="AB500" s="1517"/>
      <c r="AC500" s="4"/>
      <c r="AD500" s="21" t="s">
        <v>23</v>
      </c>
      <c r="AE500" s="21" t="s">
        <v>24</v>
      </c>
      <c r="AF500" s="18" t="s">
        <v>25</v>
      </c>
      <c r="AG500" s="1517"/>
      <c r="AI500" s="368"/>
      <c r="AJ500" s="367"/>
      <c r="AK500" s="494" t="s">
        <v>26</v>
      </c>
      <c r="AL500" s="471">
        <f>AA535</f>
        <v>839.1</v>
      </c>
      <c r="AM500" s="510">
        <v>38</v>
      </c>
      <c r="AN500" s="510">
        <f>AL500*AM500</f>
        <v>31885.8</v>
      </c>
      <c r="AQ500" s="367"/>
      <c r="AR500" s="367"/>
      <c r="AS500" s="367"/>
      <c r="AT500" s="367"/>
      <c r="AU500" s="367"/>
      <c r="AV500" s="367"/>
      <c r="AW500" s="367"/>
    </row>
    <row r="501" spans="1:49" outlineLevel="1">
      <c r="A501" s="180"/>
      <c r="B501" s="318" t="s">
        <v>385</v>
      </c>
      <c r="C501" s="441" t="s">
        <v>424</v>
      </c>
      <c r="D501" s="47"/>
      <c r="E501" s="319">
        <v>0</v>
      </c>
      <c r="F501" s="320"/>
      <c r="G501" s="4"/>
      <c r="H501" s="441" t="s">
        <v>424</v>
      </c>
      <c r="I501" s="47"/>
      <c r="J501" s="319">
        <v>0</v>
      </c>
      <c r="K501" s="320"/>
      <c r="L501" s="4"/>
      <c r="M501" s="441" t="s">
        <v>424</v>
      </c>
      <c r="N501" s="47"/>
      <c r="O501" s="319">
        <v>0</v>
      </c>
      <c r="P501" s="320"/>
      <c r="R501" s="441" t="s">
        <v>425</v>
      </c>
      <c r="S501" s="441"/>
      <c r="T501" s="319">
        <v>1</v>
      </c>
      <c r="U501" s="320"/>
      <c r="W501" s="1546" t="s">
        <v>137</v>
      </c>
      <c r="X501" s="1546"/>
      <c r="Y501" s="319"/>
      <c r="Z501" s="320"/>
      <c r="AA501" s="328">
        <f t="shared" ref="AA501:AA517" si="89">(E501+J501+O501+T501+Y501)</f>
        <v>1</v>
      </c>
      <c r="AB501" s="298">
        <f t="shared" ref="AB501:AB517" si="90">Z501+U501+P501+K501+F501</f>
        <v>0</v>
      </c>
      <c r="AC501" s="4"/>
      <c r="AD501" s="441"/>
      <c r="AE501" s="441"/>
      <c r="AF501" s="319"/>
      <c r="AG501" s="328">
        <f>AF501</f>
        <v>0</v>
      </c>
      <c r="AI501" s="368"/>
      <c r="AJ501" s="367"/>
      <c r="AK501" s="494" t="s">
        <v>30</v>
      </c>
      <c r="AL501" s="471">
        <f>AB535</f>
        <v>23.83</v>
      </c>
      <c r="AM501" s="511">
        <v>57</v>
      </c>
      <c r="AN501" s="510">
        <f>AL501*AM501</f>
        <v>1358.31</v>
      </c>
      <c r="AQ501" s="367"/>
      <c r="AR501" s="367"/>
      <c r="AS501" s="367"/>
      <c r="AT501" s="367"/>
      <c r="AU501" s="367"/>
      <c r="AV501" s="367"/>
      <c r="AW501" s="367"/>
    </row>
    <row r="502" spans="1:49" outlineLevel="1">
      <c r="A502" s="367"/>
      <c r="B502" s="461" t="s">
        <v>382</v>
      </c>
      <c r="C502" s="533" t="s">
        <v>75</v>
      </c>
      <c r="D502" s="47">
        <v>0.25</v>
      </c>
      <c r="E502" s="319">
        <v>8</v>
      </c>
      <c r="F502" s="320"/>
      <c r="G502" s="4"/>
      <c r="H502" s="532">
        <v>0.375</v>
      </c>
      <c r="I502" s="47">
        <v>0.25</v>
      </c>
      <c r="J502" s="319">
        <v>8</v>
      </c>
      <c r="K502" s="320"/>
      <c r="L502" s="4"/>
      <c r="M502" s="47" t="s">
        <v>285</v>
      </c>
      <c r="N502" s="47"/>
      <c r="O502" s="319">
        <v>0</v>
      </c>
      <c r="P502" s="320"/>
      <c r="R502" s="47" t="s">
        <v>285</v>
      </c>
      <c r="S502" s="441"/>
      <c r="T502" s="319">
        <v>0</v>
      </c>
      <c r="U502" s="320"/>
      <c r="W502" s="47" t="s">
        <v>285</v>
      </c>
      <c r="X502" s="441"/>
      <c r="Y502" s="319">
        <v>0</v>
      </c>
      <c r="Z502" s="320"/>
      <c r="AA502" s="328">
        <f t="shared" si="89"/>
        <v>16</v>
      </c>
      <c r="AB502" s="298">
        <f t="shared" si="90"/>
        <v>0</v>
      </c>
      <c r="AC502" s="4"/>
      <c r="AF502" s="319"/>
      <c r="AG502" s="328">
        <f>AF502</f>
        <v>0</v>
      </c>
      <c r="AH502" s="175"/>
      <c r="AI502" s="402"/>
      <c r="AJ502" s="367"/>
      <c r="AK502" s="494" t="s">
        <v>32</v>
      </c>
      <c r="AL502" s="471">
        <f>AB535</f>
        <v>23.83</v>
      </c>
      <c r="AM502" s="510">
        <v>57</v>
      </c>
      <c r="AN502" s="510">
        <f>AL502*AM502</f>
        <v>1358.31</v>
      </c>
      <c r="AQ502" s="367"/>
      <c r="AR502" s="367"/>
      <c r="AS502" s="367"/>
      <c r="AT502" s="367"/>
      <c r="AU502" s="367"/>
      <c r="AV502" s="367"/>
      <c r="AW502" s="367"/>
    </row>
    <row r="503" spans="1:49" ht="10.9" customHeight="1" outlineLevel="1">
      <c r="A503" s="367"/>
      <c r="B503" s="461" t="s">
        <v>405</v>
      </c>
      <c r="C503" s="533" t="s">
        <v>249</v>
      </c>
      <c r="D503" s="47">
        <v>0.25</v>
      </c>
      <c r="E503" s="319">
        <v>8</v>
      </c>
      <c r="F503" s="320"/>
      <c r="G503" s="4"/>
      <c r="H503" s="441" t="s">
        <v>426</v>
      </c>
      <c r="I503" s="47"/>
      <c r="J503" s="319">
        <v>0</v>
      </c>
      <c r="K503" s="320"/>
      <c r="L503" s="4"/>
      <c r="M503" s="47">
        <v>0.45833333333333331</v>
      </c>
      <c r="N503" s="47">
        <v>0.125</v>
      </c>
      <c r="O503" s="319">
        <v>4</v>
      </c>
      <c r="P503" s="320"/>
      <c r="R503" s="441" t="s">
        <v>125</v>
      </c>
      <c r="S503" s="441" t="s">
        <v>427</v>
      </c>
      <c r="T503" s="319">
        <v>4</v>
      </c>
      <c r="U503" s="320"/>
      <c r="W503" s="441" t="s">
        <v>249</v>
      </c>
      <c r="X503" s="441" t="s">
        <v>246</v>
      </c>
      <c r="Y503" s="319">
        <v>8</v>
      </c>
      <c r="Z503" s="320"/>
      <c r="AA503" s="328">
        <f t="shared" si="89"/>
        <v>24</v>
      </c>
      <c r="AB503" s="298">
        <f t="shared" si="90"/>
        <v>0</v>
      </c>
      <c r="AC503" s="4"/>
      <c r="AD503" s="531"/>
      <c r="AE503" s="531"/>
      <c r="AF503" s="319"/>
      <c r="AG503" s="328">
        <f>AF503</f>
        <v>0</v>
      </c>
      <c r="AH503" s="175"/>
      <c r="AI503" s="402"/>
      <c r="AJ503" s="367"/>
      <c r="AK503" s="494"/>
      <c r="AL503" s="471"/>
      <c r="AM503" s="510"/>
      <c r="AN503" s="510"/>
      <c r="AQ503" s="367"/>
      <c r="AR503" s="367"/>
      <c r="AS503" s="367"/>
      <c r="AT503" s="367"/>
      <c r="AU503" s="367"/>
      <c r="AV503" s="367"/>
      <c r="AW503" s="367"/>
    </row>
    <row r="504" spans="1:49" outlineLevel="1">
      <c r="A504" s="367"/>
      <c r="B504" s="457" t="s">
        <v>418</v>
      </c>
      <c r="C504" s="47" t="s">
        <v>285</v>
      </c>
      <c r="D504" s="47"/>
      <c r="E504" s="319">
        <v>0</v>
      </c>
      <c r="F504" s="320"/>
      <c r="G504" s="4"/>
      <c r="H504" s="47" t="s">
        <v>285</v>
      </c>
      <c r="I504" s="47"/>
      <c r="J504" s="319">
        <v>0</v>
      </c>
      <c r="K504" s="320"/>
      <c r="L504" s="4"/>
      <c r="M504" s="47" t="s">
        <v>285</v>
      </c>
      <c r="N504" s="47"/>
      <c r="O504" s="319">
        <v>0</v>
      </c>
      <c r="P504" s="320"/>
      <c r="R504" s="47" t="s">
        <v>285</v>
      </c>
      <c r="S504" s="47"/>
      <c r="T504" s="319">
        <v>0</v>
      </c>
      <c r="U504" s="320"/>
      <c r="W504" s="47" t="s">
        <v>285</v>
      </c>
      <c r="X504" s="47"/>
      <c r="Y504" s="319">
        <v>0</v>
      </c>
      <c r="Z504" s="320"/>
      <c r="AA504" s="328">
        <f t="shared" si="89"/>
        <v>0</v>
      </c>
      <c r="AB504" s="298">
        <f t="shared" si="90"/>
        <v>0</v>
      </c>
      <c r="AC504" s="399"/>
      <c r="AD504" s="47"/>
      <c r="AE504" s="47"/>
      <c r="AF504" s="319"/>
      <c r="AG504" s="29">
        <f t="shared" ref="AG504:AG534" si="91">AF504</f>
        <v>0</v>
      </c>
      <c r="AH504" s="175"/>
      <c r="AJ504" s="401"/>
      <c r="AK504" s="494" t="s">
        <v>213</v>
      </c>
      <c r="AL504" s="471">
        <f>AA537</f>
        <v>40</v>
      </c>
      <c r="AM504" s="510">
        <v>50</v>
      </c>
      <c r="AN504" s="510">
        <f>AL504*AM504</f>
        <v>2000</v>
      </c>
      <c r="AO504" s="405"/>
      <c r="AP504" s="405"/>
      <c r="AQ504" s="401"/>
      <c r="AR504" s="401"/>
      <c r="AS504" s="401"/>
      <c r="AT504" s="401"/>
      <c r="AU504" s="401"/>
      <c r="AV504" s="401"/>
      <c r="AW504" s="401"/>
    </row>
    <row r="505" spans="1:49" outlineLevel="1">
      <c r="A505" s="367"/>
      <c r="B505" s="461" t="s">
        <v>393</v>
      </c>
      <c r="C505" s="532">
        <v>0.41666666666666669</v>
      </c>
      <c r="D505" s="47">
        <v>0.25</v>
      </c>
      <c r="E505" s="319">
        <v>8</v>
      </c>
      <c r="F505" s="320"/>
      <c r="G505" s="4"/>
      <c r="H505" s="532">
        <v>0.375</v>
      </c>
      <c r="I505" s="47">
        <v>0.25</v>
      </c>
      <c r="J505" s="319">
        <v>8</v>
      </c>
      <c r="K505" s="320"/>
      <c r="L505" s="4"/>
      <c r="M505" s="47">
        <v>0.375</v>
      </c>
      <c r="N505" s="47">
        <v>0.25</v>
      </c>
      <c r="O505" s="319">
        <v>8</v>
      </c>
      <c r="P505" s="320"/>
      <c r="R505" s="47">
        <v>0.41666666666666669</v>
      </c>
      <c r="S505" s="441" t="s">
        <v>246</v>
      </c>
      <c r="T505" s="319">
        <v>8</v>
      </c>
      <c r="U505" s="320"/>
      <c r="W505" s="47" t="s">
        <v>428</v>
      </c>
      <c r="X505" s="441"/>
      <c r="Y505" s="319">
        <v>8</v>
      </c>
      <c r="Z505" s="320"/>
      <c r="AA505" s="328">
        <f t="shared" si="89"/>
        <v>40</v>
      </c>
      <c r="AB505" s="298">
        <f t="shared" si="90"/>
        <v>0</v>
      </c>
      <c r="AC505" s="399"/>
      <c r="AD505" s="47"/>
      <c r="AE505" s="47"/>
      <c r="AF505" s="319"/>
      <c r="AG505" s="29">
        <f t="shared" si="91"/>
        <v>0</v>
      </c>
      <c r="AH505" s="175"/>
      <c r="AJ505" s="401"/>
      <c r="AK505" s="494" t="s">
        <v>36</v>
      </c>
      <c r="AL505" s="471">
        <f>AB537</f>
        <v>4.5</v>
      </c>
      <c r="AM505" s="510">
        <v>75</v>
      </c>
      <c r="AN505" s="510">
        <f>AL505*AM505</f>
        <v>337.5</v>
      </c>
      <c r="AO505" s="405"/>
      <c r="AP505" s="405"/>
      <c r="AQ505" s="401"/>
      <c r="AR505" s="401"/>
      <c r="AS505" s="401"/>
      <c r="AT505" s="401"/>
      <c r="AU505" s="401"/>
      <c r="AV505" s="401"/>
      <c r="AW505" s="401"/>
    </row>
    <row r="506" spans="1:49" outlineLevel="1">
      <c r="A506" s="367"/>
      <c r="B506" s="318" t="s">
        <v>419</v>
      </c>
      <c r="C506" s="47" t="s">
        <v>285</v>
      </c>
      <c r="D506" s="47"/>
      <c r="E506" s="319">
        <v>0</v>
      </c>
      <c r="F506" s="320"/>
      <c r="G506" s="4"/>
      <c r="H506" s="533" t="s">
        <v>75</v>
      </c>
      <c r="I506" s="47">
        <v>0.25</v>
      </c>
      <c r="J506" s="319">
        <v>8</v>
      </c>
      <c r="K506" s="320"/>
      <c r="L506" s="4"/>
      <c r="M506" s="47"/>
      <c r="N506" s="47"/>
      <c r="O506" s="319">
        <v>0</v>
      </c>
      <c r="P506" s="320"/>
      <c r="R506" s="533" t="s">
        <v>75</v>
      </c>
      <c r="S506" s="47">
        <v>0.25</v>
      </c>
      <c r="T506" s="319">
        <v>8</v>
      </c>
      <c r="U506" s="320"/>
      <c r="W506" s="47">
        <v>0</v>
      </c>
      <c r="X506" s="441"/>
      <c r="Y506" s="319">
        <v>0</v>
      </c>
      <c r="Z506" s="320"/>
      <c r="AA506" s="328">
        <f t="shared" si="89"/>
        <v>16</v>
      </c>
      <c r="AB506" s="298">
        <f t="shared" si="90"/>
        <v>0</v>
      </c>
      <c r="AC506" s="175"/>
      <c r="AD506" s="47"/>
      <c r="AE506" s="47"/>
      <c r="AF506" s="319"/>
      <c r="AG506" s="344">
        <f t="shared" si="91"/>
        <v>0</v>
      </c>
      <c r="AH506" s="175"/>
      <c r="AI506" s="368"/>
      <c r="AK506" s="494" t="s">
        <v>38</v>
      </c>
      <c r="AL506" s="471">
        <f>AG537</f>
        <v>0.5</v>
      </c>
      <c r="AM506" s="510">
        <v>75</v>
      </c>
      <c r="AN506" s="510">
        <f>AL506*AM506</f>
        <v>37.5</v>
      </c>
    </row>
    <row r="507" spans="1:49" ht="14.25" outlineLevel="1" thickBot="1">
      <c r="A507" s="401"/>
      <c r="B507" s="461" t="s">
        <v>399</v>
      </c>
      <c r="C507" s="532">
        <v>0.375</v>
      </c>
      <c r="D507" s="47">
        <v>0.20833333333333334</v>
      </c>
      <c r="E507" s="319">
        <v>8</v>
      </c>
      <c r="F507" s="320"/>
      <c r="G507" s="4"/>
      <c r="H507" s="47">
        <v>0</v>
      </c>
      <c r="I507" s="47"/>
      <c r="J507" s="319">
        <v>0</v>
      </c>
      <c r="K507" s="320"/>
      <c r="L507" s="4"/>
      <c r="M507" s="47">
        <v>0</v>
      </c>
      <c r="N507" s="47">
        <v>0</v>
      </c>
      <c r="O507" s="319">
        <v>0</v>
      </c>
      <c r="P507" s="320"/>
      <c r="R507" s="47" t="s">
        <v>425</v>
      </c>
      <c r="S507" s="441"/>
      <c r="T507" s="319">
        <v>1</v>
      </c>
      <c r="U507" s="320"/>
      <c r="W507" s="47" t="s">
        <v>428</v>
      </c>
      <c r="X507" s="441"/>
      <c r="Y507" s="319">
        <v>8</v>
      </c>
      <c r="Z507" s="320"/>
      <c r="AA507" s="328">
        <f t="shared" si="89"/>
        <v>17</v>
      </c>
      <c r="AB507" s="298">
        <f t="shared" si="90"/>
        <v>0</v>
      </c>
      <c r="AC507" s="4"/>
      <c r="AD507" s="47"/>
      <c r="AE507" s="47"/>
      <c r="AF507" s="319"/>
      <c r="AG507" s="29">
        <f t="shared" si="91"/>
        <v>0</v>
      </c>
      <c r="AJ507" s="367"/>
      <c r="AK507" s="494" t="s">
        <v>41</v>
      </c>
      <c r="AL507" s="471">
        <f>C538</f>
        <v>75</v>
      </c>
      <c r="AM507" s="512">
        <v>45</v>
      </c>
      <c r="AN507" s="512">
        <f>AL507*AM507</f>
        <v>3375</v>
      </c>
      <c r="AQ507" s="367"/>
      <c r="AR507" s="367"/>
      <c r="AS507" s="367"/>
      <c r="AT507" s="367"/>
      <c r="AU507" s="367"/>
      <c r="AV507" s="367"/>
      <c r="AW507" s="367"/>
    </row>
    <row r="508" spans="1:49" ht="14.25" outlineLevel="1" thickTop="1">
      <c r="A508" s="367"/>
      <c r="B508" s="318" t="s">
        <v>381</v>
      </c>
      <c r="C508" s="47">
        <v>0</v>
      </c>
      <c r="D508" s="47"/>
      <c r="E508" s="319">
        <v>0</v>
      </c>
      <c r="F508" s="320"/>
      <c r="G508" s="4"/>
      <c r="H508" s="47">
        <v>0</v>
      </c>
      <c r="I508" s="47">
        <v>0</v>
      </c>
      <c r="J508" s="319">
        <v>0</v>
      </c>
      <c r="K508" s="320"/>
      <c r="L508" s="4"/>
      <c r="M508" s="47">
        <v>0</v>
      </c>
      <c r="N508" s="47">
        <v>0</v>
      </c>
      <c r="O508" s="319">
        <v>0</v>
      </c>
      <c r="P508" s="320"/>
      <c r="R508" s="47" t="s">
        <v>425</v>
      </c>
      <c r="S508" s="441"/>
      <c r="T508" s="319">
        <v>1</v>
      </c>
      <c r="U508" s="320"/>
      <c r="W508" s="47" t="s">
        <v>428</v>
      </c>
      <c r="X508" s="441"/>
      <c r="Y508" s="319">
        <v>8</v>
      </c>
      <c r="Z508" s="320"/>
      <c r="AA508" s="328">
        <f t="shared" si="89"/>
        <v>9</v>
      </c>
      <c r="AB508" s="298">
        <f t="shared" si="90"/>
        <v>0</v>
      </c>
      <c r="AC508" s="4"/>
      <c r="AD508" s="47"/>
      <c r="AE508" s="47"/>
      <c r="AF508" s="319"/>
      <c r="AG508" s="29">
        <f t="shared" si="91"/>
        <v>0</v>
      </c>
      <c r="AN508" s="510">
        <f>SUM(AN500:AN507)</f>
        <v>40352.42</v>
      </c>
    </row>
    <row r="509" spans="1:49" outlineLevel="1">
      <c r="A509" s="180"/>
      <c r="B509" s="461" t="s">
        <v>389</v>
      </c>
      <c r="C509" s="532">
        <v>0.375</v>
      </c>
      <c r="D509" s="47">
        <v>0.25</v>
      </c>
      <c r="E509" s="319">
        <v>8</v>
      </c>
      <c r="F509" s="320"/>
      <c r="G509" s="4"/>
      <c r="H509" s="532">
        <v>0.375</v>
      </c>
      <c r="I509" s="47">
        <v>0.25</v>
      </c>
      <c r="J509" s="319">
        <v>8</v>
      </c>
      <c r="K509" s="320"/>
      <c r="L509" s="4"/>
      <c r="M509" s="47">
        <v>0.375</v>
      </c>
      <c r="N509" s="47">
        <v>0.25</v>
      </c>
      <c r="O509" s="319">
        <v>8</v>
      </c>
      <c r="P509" s="320"/>
      <c r="R509" s="47">
        <v>0.375</v>
      </c>
      <c r="S509" s="47">
        <v>0.25</v>
      </c>
      <c r="T509" s="319">
        <v>8</v>
      </c>
      <c r="U509" s="320"/>
      <c r="W509" s="47" t="s">
        <v>428</v>
      </c>
      <c r="X509" s="441"/>
      <c r="Y509" s="319">
        <v>8</v>
      </c>
      <c r="Z509" s="320"/>
      <c r="AA509" s="328">
        <f t="shared" si="89"/>
        <v>40</v>
      </c>
      <c r="AB509" s="298">
        <f t="shared" si="90"/>
        <v>0</v>
      </c>
      <c r="AC509" s="4"/>
      <c r="AD509" s="47"/>
      <c r="AE509" s="47"/>
      <c r="AF509" s="319"/>
      <c r="AG509" s="29">
        <f t="shared" si="91"/>
        <v>0</v>
      </c>
    </row>
    <row r="510" spans="1:49" outlineLevel="1">
      <c r="A510" s="180"/>
      <c r="B510" s="318" t="s">
        <v>398</v>
      </c>
      <c r="C510" s="47" t="s">
        <v>285</v>
      </c>
      <c r="D510" s="47"/>
      <c r="E510" s="319">
        <v>0</v>
      </c>
      <c r="F510" s="320"/>
      <c r="G510" s="4"/>
      <c r="H510" s="47" t="s">
        <v>285</v>
      </c>
      <c r="I510" s="47"/>
      <c r="J510" s="319">
        <v>0</v>
      </c>
      <c r="K510" s="320"/>
      <c r="L510" s="4"/>
      <c r="M510" s="47" t="s">
        <v>285</v>
      </c>
      <c r="N510" s="47"/>
      <c r="O510" s="319">
        <v>0</v>
      </c>
      <c r="P510" s="320"/>
      <c r="R510" s="47" t="s">
        <v>285</v>
      </c>
      <c r="S510" s="441"/>
      <c r="T510" s="319">
        <v>0</v>
      </c>
      <c r="U510" s="320"/>
      <c r="W510" s="47" t="s">
        <v>285</v>
      </c>
      <c r="X510" s="441"/>
      <c r="Y510" s="319">
        <v>0</v>
      </c>
      <c r="Z510" s="320"/>
      <c r="AA510" s="328">
        <f t="shared" si="89"/>
        <v>0</v>
      </c>
      <c r="AB510" s="298">
        <f t="shared" si="90"/>
        <v>0</v>
      </c>
      <c r="AC510" s="4"/>
      <c r="AD510" s="47"/>
      <c r="AE510" s="47"/>
      <c r="AF510" s="319"/>
      <c r="AG510" s="29">
        <f t="shared" si="91"/>
        <v>0</v>
      </c>
    </row>
    <row r="511" spans="1:49" outlineLevel="1">
      <c r="A511" s="180"/>
      <c r="B511" s="457" t="s">
        <v>401</v>
      </c>
      <c r="C511" s="47">
        <v>0</v>
      </c>
      <c r="D511" s="47"/>
      <c r="E511" s="319">
        <v>0</v>
      </c>
      <c r="F511" s="320"/>
      <c r="G511" s="4"/>
      <c r="H511" s="532">
        <v>0.375</v>
      </c>
      <c r="I511" s="47">
        <v>0.25</v>
      </c>
      <c r="J511" s="319">
        <v>8</v>
      </c>
      <c r="K511" s="320"/>
      <c r="L511" s="4"/>
      <c r="M511" s="47">
        <v>0.375</v>
      </c>
      <c r="N511" s="47">
        <v>0.25</v>
      </c>
      <c r="O511" s="319">
        <v>8</v>
      </c>
      <c r="P511" s="320"/>
      <c r="R511" s="47">
        <v>0.375</v>
      </c>
      <c r="S511" s="47">
        <v>0.25</v>
      </c>
      <c r="T511" s="319">
        <v>8</v>
      </c>
      <c r="U511" s="320"/>
      <c r="W511" s="47" t="s">
        <v>429</v>
      </c>
      <c r="X511" s="441"/>
      <c r="Y511" s="319">
        <v>8</v>
      </c>
      <c r="Z511" s="320"/>
      <c r="AA511" s="328">
        <f t="shared" si="89"/>
        <v>32</v>
      </c>
      <c r="AB511" s="298">
        <f t="shared" si="90"/>
        <v>0</v>
      </c>
      <c r="AC511" s="4"/>
      <c r="AD511" s="47"/>
      <c r="AE511" s="47"/>
      <c r="AF511" s="319"/>
      <c r="AG511" s="29">
        <f t="shared" si="91"/>
        <v>0</v>
      </c>
    </row>
    <row r="512" spans="1:49" outlineLevel="1">
      <c r="A512" s="180"/>
      <c r="B512" s="457" t="s">
        <v>406</v>
      </c>
      <c r="C512" s="47">
        <v>0</v>
      </c>
      <c r="D512" s="47"/>
      <c r="E512" s="319">
        <v>0</v>
      </c>
      <c r="F512" s="320"/>
      <c r="G512" s="4"/>
      <c r="H512" s="532">
        <v>0.375</v>
      </c>
      <c r="I512" s="47">
        <v>0.25</v>
      </c>
      <c r="J512" s="319">
        <v>8</v>
      </c>
      <c r="K512" s="320"/>
      <c r="L512" s="4"/>
      <c r="M512" s="47">
        <v>0.375</v>
      </c>
      <c r="N512" s="47">
        <v>0.25</v>
      </c>
      <c r="O512" s="319">
        <v>8</v>
      </c>
      <c r="P512" s="320"/>
      <c r="R512" s="47">
        <v>0.375</v>
      </c>
      <c r="S512" s="47">
        <v>0.25</v>
      </c>
      <c r="T512" s="319">
        <v>8</v>
      </c>
      <c r="U512" s="320"/>
      <c r="W512" s="47">
        <v>0.25</v>
      </c>
      <c r="X512" s="441" t="s">
        <v>246</v>
      </c>
      <c r="Y512" s="319">
        <v>8</v>
      </c>
      <c r="Z512" s="320">
        <v>3</v>
      </c>
      <c r="AA512" s="328">
        <f t="shared" si="89"/>
        <v>32</v>
      </c>
      <c r="AB512" s="298">
        <f t="shared" si="90"/>
        <v>3</v>
      </c>
      <c r="AC512" s="4"/>
      <c r="AD512" s="47"/>
      <c r="AE512" s="47"/>
      <c r="AF512" s="319"/>
      <c r="AG512" s="29">
        <f t="shared" si="91"/>
        <v>0</v>
      </c>
    </row>
    <row r="513" spans="1:37" outlineLevel="1">
      <c r="A513" s="180"/>
      <c r="B513" s="449" t="s">
        <v>386</v>
      </c>
      <c r="C513" s="532">
        <v>0.375</v>
      </c>
      <c r="D513" s="47">
        <v>0.25</v>
      </c>
      <c r="E513" s="319">
        <v>8</v>
      </c>
      <c r="F513" s="320"/>
      <c r="G513" s="4"/>
      <c r="H513" s="533" t="s">
        <v>75</v>
      </c>
      <c r="I513" s="47">
        <v>0.25</v>
      </c>
      <c r="J513" s="319">
        <v>8</v>
      </c>
      <c r="K513" s="320"/>
      <c r="L513" s="4"/>
      <c r="M513" s="441" t="s">
        <v>75</v>
      </c>
      <c r="N513" s="47">
        <v>0.25</v>
      </c>
      <c r="O513" s="319">
        <v>8</v>
      </c>
      <c r="P513" s="320"/>
      <c r="R513" s="441" t="s">
        <v>75</v>
      </c>
      <c r="S513" s="47">
        <v>0.25</v>
      </c>
      <c r="T513" s="319">
        <v>8</v>
      </c>
      <c r="U513" s="320"/>
      <c r="W513" s="47">
        <v>0.25</v>
      </c>
      <c r="X513" s="441" t="s">
        <v>246</v>
      </c>
      <c r="Y513" s="319">
        <v>8</v>
      </c>
      <c r="Z513" s="320">
        <v>3</v>
      </c>
      <c r="AA513" s="328">
        <f t="shared" si="89"/>
        <v>40</v>
      </c>
      <c r="AB513" s="298">
        <f t="shared" si="90"/>
        <v>3</v>
      </c>
      <c r="AC513" s="4"/>
      <c r="AD513" s="47"/>
      <c r="AE513" s="47"/>
      <c r="AF513" s="319"/>
      <c r="AG513" s="29">
        <f t="shared" si="91"/>
        <v>0</v>
      </c>
    </row>
    <row r="514" spans="1:37" outlineLevel="1">
      <c r="A514" s="180"/>
      <c r="B514" s="318" t="s">
        <v>403</v>
      </c>
      <c r="C514" s="47" t="s">
        <v>430</v>
      </c>
      <c r="D514" s="47"/>
      <c r="E514" s="319">
        <v>4</v>
      </c>
      <c r="F514" s="320"/>
      <c r="G514" s="4"/>
      <c r="H514" s="441" t="s">
        <v>424</v>
      </c>
      <c r="I514" s="47"/>
      <c r="J514" s="319">
        <v>0</v>
      </c>
      <c r="K514" s="320"/>
      <c r="L514" s="4"/>
      <c r="M514" s="441" t="s">
        <v>424</v>
      </c>
      <c r="N514" s="47"/>
      <c r="O514" s="319">
        <v>0</v>
      </c>
      <c r="P514" s="320"/>
      <c r="R514" s="441" t="s">
        <v>424</v>
      </c>
      <c r="S514" s="47"/>
      <c r="T514" s="319">
        <v>0</v>
      </c>
      <c r="U514" s="320"/>
      <c r="W514" s="441" t="s">
        <v>424</v>
      </c>
      <c r="X514" s="47"/>
      <c r="Y514" s="319">
        <v>0</v>
      </c>
      <c r="Z514" s="320"/>
      <c r="AA514" s="328">
        <f t="shared" si="89"/>
        <v>4</v>
      </c>
      <c r="AB514" s="298">
        <f t="shared" si="90"/>
        <v>0</v>
      </c>
      <c r="AC514" s="4"/>
      <c r="AD514" s="47"/>
      <c r="AE514" s="47"/>
      <c r="AF514" s="319"/>
      <c r="AG514" s="29">
        <f t="shared" si="91"/>
        <v>0</v>
      </c>
    </row>
    <row r="515" spans="1:37" outlineLevel="1">
      <c r="A515" s="180"/>
      <c r="B515" s="457" t="s">
        <v>397</v>
      </c>
      <c r="C515" s="47" t="s">
        <v>302</v>
      </c>
      <c r="D515" s="47"/>
      <c r="E515" s="319">
        <v>0</v>
      </c>
      <c r="F515" s="320"/>
      <c r="G515" s="4"/>
      <c r="H515" s="47" t="s">
        <v>302</v>
      </c>
      <c r="I515" s="47"/>
      <c r="J515" s="319">
        <v>0</v>
      </c>
      <c r="K515" s="320"/>
      <c r="L515" s="4"/>
      <c r="M515" s="47" t="s">
        <v>302</v>
      </c>
      <c r="N515" s="47"/>
      <c r="O515" s="319">
        <v>0</v>
      </c>
      <c r="P515" s="320"/>
      <c r="R515" s="47" t="s">
        <v>302</v>
      </c>
      <c r="S515" s="47"/>
      <c r="T515" s="319">
        <v>0</v>
      </c>
      <c r="U515" s="320"/>
      <c r="W515" s="47" t="s">
        <v>302</v>
      </c>
      <c r="X515" s="47"/>
      <c r="Y515" s="319">
        <v>0</v>
      </c>
      <c r="Z515" s="320"/>
      <c r="AA515" s="328">
        <f t="shared" si="89"/>
        <v>0</v>
      </c>
      <c r="AB515" s="298">
        <f t="shared" si="90"/>
        <v>0</v>
      </c>
      <c r="AC515" s="4"/>
      <c r="AD515" s="47"/>
      <c r="AE515" s="47"/>
      <c r="AF515" s="319"/>
      <c r="AG515" s="29">
        <f t="shared" si="91"/>
        <v>0</v>
      </c>
    </row>
    <row r="516" spans="1:37" outlineLevel="1">
      <c r="A516" s="180"/>
      <c r="B516" s="318" t="s">
        <v>384</v>
      </c>
      <c r="C516" s="47" t="s">
        <v>285</v>
      </c>
      <c r="D516" s="47"/>
      <c r="E516" s="319">
        <v>0</v>
      </c>
      <c r="F516" s="320"/>
      <c r="G516" s="4"/>
      <c r="H516" s="532" t="s">
        <v>431</v>
      </c>
      <c r="I516" s="47">
        <v>0.25</v>
      </c>
      <c r="J516" s="319">
        <v>8</v>
      </c>
      <c r="K516" s="320"/>
      <c r="L516" s="4"/>
      <c r="M516" s="47" t="s">
        <v>285</v>
      </c>
      <c r="N516" s="47"/>
      <c r="O516" s="319">
        <v>0</v>
      </c>
      <c r="P516" s="320"/>
      <c r="R516" s="47" t="s">
        <v>425</v>
      </c>
      <c r="S516" s="47"/>
      <c r="T516" s="319">
        <v>1</v>
      </c>
      <c r="U516" s="320"/>
      <c r="W516" s="47" t="s">
        <v>285</v>
      </c>
      <c r="X516" s="47"/>
      <c r="Y516" s="319">
        <v>0</v>
      </c>
      <c r="Z516" s="320"/>
      <c r="AA516" s="328">
        <f t="shared" si="89"/>
        <v>9</v>
      </c>
      <c r="AB516" s="298">
        <f t="shared" si="90"/>
        <v>0</v>
      </c>
      <c r="AC516" s="4"/>
      <c r="AD516" s="47"/>
      <c r="AE516" s="47"/>
      <c r="AF516" s="319"/>
      <c r="AG516" s="29">
        <f t="shared" si="91"/>
        <v>0</v>
      </c>
    </row>
    <row r="517" spans="1:37" outlineLevel="1">
      <c r="A517" s="180"/>
      <c r="B517" s="449" t="s">
        <v>388</v>
      </c>
      <c r="C517" s="532">
        <v>0.375</v>
      </c>
      <c r="D517" s="47">
        <v>0.25</v>
      </c>
      <c r="E517" s="319">
        <v>8</v>
      </c>
      <c r="F517" s="320"/>
      <c r="G517" s="4"/>
      <c r="H517" s="47">
        <v>0</v>
      </c>
      <c r="I517" s="47">
        <v>0</v>
      </c>
      <c r="J517" s="319">
        <v>0</v>
      </c>
      <c r="K517" s="320"/>
      <c r="L517" s="4"/>
      <c r="M517" s="441" t="s">
        <v>154</v>
      </c>
      <c r="N517" s="47">
        <v>0</v>
      </c>
      <c r="O517" s="319">
        <v>0</v>
      </c>
      <c r="P517" s="320"/>
      <c r="R517" s="47">
        <v>0.375</v>
      </c>
      <c r="S517" s="47">
        <v>0.25</v>
      </c>
      <c r="T517" s="319">
        <v>8</v>
      </c>
      <c r="U517" s="320"/>
      <c r="W517" s="47" t="s">
        <v>428</v>
      </c>
      <c r="X517" s="47"/>
      <c r="Y517" s="319">
        <v>8</v>
      </c>
      <c r="Z517" s="320"/>
      <c r="AA517" s="328">
        <f t="shared" si="89"/>
        <v>24</v>
      </c>
      <c r="AB517" s="298">
        <f t="shared" si="90"/>
        <v>0</v>
      </c>
      <c r="AC517" s="4"/>
      <c r="AD517" s="47"/>
      <c r="AE517" s="47"/>
      <c r="AF517" s="319"/>
      <c r="AG517" s="29">
        <f t="shared" si="91"/>
        <v>0</v>
      </c>
    </row>
    <row r="518" spans="1:37" outlineLevel="1">
      <c r="A518" s="180"/>
      <c r="B518" s="449" t="s">
        <v>394</v>
      </c>
      <c r="C518" s="532">
        <v>0.375</v>
      </c>
      <c r="D518" s="47">
        <v>0.25</v>
      </c>
      <c r="E518" s="319">
        <v>8</v>
      </c>
      <c r="F518" s="320"/>
      <c r="G518" s="4"/>
      <c r="H518" s="532">
        <v>0.375</v>
      </c>
      <c r="I518" s="47">
        <v>0.25</v>
      </c>
      <c r="J518" s="319">
        <v>8</v>
      </c>
      <c r="K518" s="320"/>
      <c r="L518" s="4"/>
      <c r="M518" s="47">
        <v>0.375</v>
      </c>
      <c r="N518" s="47">
        <v>0.25</v>
      </c>
      <c r="O518" s="319">
        <v>8</v>
      </c>
      <c r="P518" s="320"/>
      <c r="R518" s="47">
        <v>0.375</v>
      </c>
      <c r="S518" s="47">
        <v>0.25</v>
      </c>
      <c r="T518" s="319">
        <v>8</v>
      </c>
      <c r="U518" s="320"/>
      <c r="W518" s="47">
        <v>0.25</v>
      </c>
      <c r="X518" s="441" t="s">
        <v>246</v>
      </c>
      <c r="Y518" s="319">
        <v>8</v>
      </c>
      <c r="Z518" s="320">
        <v>3</v>
      </c>
      <c r="AA518" s="328">
        <f t="shared" ref="AA518:AA534" si="92">(E518+J518+O518+T518+Y518)</f>
        <v>40</v>
      </c>
      <c r="AB518" s="298">
        <f t="shared" ref="AB518:AB520" si="93">Z518+U518+P518+K518+F516</f>
        <v>3</v>
      </c>
      <c r="AC518" s="4"/>
      <c r="AD518" s="47"/>
      <c r="AE518" s="47"/>
      <c r="AF518" s="319"/>
      <c r="AG518" s="29">
        <f t="shared" si="91"/>
        <v>0</v>
      </c>
    </row>
    <row r="519" spans="1:37" outlineLevel="1">
      <c r="A519" s="180"/>
      <c r="B519" s="318" t="s">
        <v>395</v>
      </c>
      <c r="C519" s="47">
        <v>0</v>
      </c>
      <c r="D519" s="47"/>
      <c r="E519" s="319"/>
      <c r="F519" s="320"/>
      <c r="G519" s="4"/>
      <c r="H519" s="47">
        <v>0</v>
      </c>
      <c r="I519" s="47">
        <v>0</v>
      </c>
      <c r="J519" s="319">
        <v>0</v>
      </c>
      <c r="K519" s="320"/>
      <c r="L519" s="4"/>
      <c r="M519" s="441" t="s">
        <v>154</v>
      </c>
      <c r="N519" s="47">
        <v>0</v>
      </c>
      <c r="O519" s="319">
        <v>0</v>
      </c>
      <c r="P519" s="320"/>
      <c r="R519" s="47" t="s">
        <v>425</v>
      </c>
      <c r="S519" s="47"/>
      <c r="T519" s="319">
        <v>1</v>
      </c>
      <c r="U519" s="320"/>
      <c r="W519" s="47" t="s">
        <v>428</v>
      </c>
      <c r="X519" s="47"/>
      <c r="Y519" s="319">
        <v>8</v>
      </c>
      <c r="Z519" s="320"/>
      <c r="AA519" s="328">
        <f t="shared" si="92"/>
        <v>9</v>
      </c>
      <c r="AB519" s="298">
        <f t="shared" si="93"/>
        <v>0</v>
      </c>
      <c r="AC519" s="4"/>
      <c r="AD519" s="47"/>
      <c r="AE519" s="47"/>
      <c r="AF519" s="319"/>
      <c r="AG519" s="29">
        <f t="shared" si="91"/>
        <v>0</v>
      </c>
    </row>
    <row r="520" spans="1:37" outlineLevel="1">
      <c r="A520" s="180"/>
      <c r="B520" s="449" t="s">
        <v>383</v>
      </c>
      <c r="C520" s="532">
        <v>0.375</v>
      </c>
      <c r="D520" s="47">
        <v>0.25</v>
      </c>
      <c r="E520" s="319">
        <v>8</v>
      </c>
      <c r="F520" s="320"/>
      <c r="G520" s="4"/>
      <c r="H520" s="47">
        <v>0</v>
      </c>
      <c r="I520" s="47">
        <v>0</v>
      </c>
      <c r="J520" s="319">
        <v>0</v>
      </c>
      <c r="K520" s="320"/>
      <c r="L520" s="4"/>
      <c r="M520" s="441" t="s">
        <v>154</v>
      </c>
      <c r="N520" s="47">
        <v>0</v>
      </c>
      <c r="O520" s="319">
        <v>0</v>
      </c>
      <c r="P520" s="320"/>
      <c r="R520" s="47" t="s">
        <v>425</v>
      </c>
      <c r="S520" s="47"/>
      <c r="T520" s="319">
        <v>1</v>
      </c>
      <c r="U520" s="320"/>
      <c r="W520" s="47" t="s">
        <v>428</v>
      </c>
      <c r="X520" s="47"/>
      <c r="Y520" s="319">
        <v>8</v>
      </c>
      <c r="Z520" s="320"/>
      <c r="AA520" s="328">
        <f t="shared" si="92"/>
        <v>17</v>
      </c>
      <c r="AB520" s="298">
        <f t="shared" si="93"/>
        <v>0</v>
      </c>
      <c r="AC520" s="4"/>
      <c r="AD520" s="47"/>
      <c r="AE520" s="47"/>
      <c r="AF520" s="319"/>
      <c r="AG520" s="29">
        <f t="shared" si="91"/>
        <v>0</v>
      </c>
    </row>
    <row r="521" spans="1:37" outlineLevel="1">
      <c r="A521" s="180"/>
      <c r="B521" s="318" t="s">
        <v>410</v>
      </c>
      <c r="C521" s="532"/>
      <c r="D521" s="47"/>
      <c r="E521" s="319"/>
      <c r="F521" s="320"/>
      <c r="G521" s="4"/>
      <c r="H521" s="47"/>
      <c r="I521" s="47"/>
      <c r="J521" s="319"/>
      <c r="K521" s="320"/>
      <c r="L521" s="4"/>
      <c r="M521" s="441"/>
      <c r="N521" s="47"/>
      <c r="O521" s="319"/>
      <c r="P521" s="320"/>
      <c r="R521" s="47" t="s">
        <v>425</v>
      </c>
      <c r="S521" s="47"/>
      <c r="T521" s="319">
        <v>1</v>
      </c>
      <c r="U521" s="320"/>
      <c r="W521" s="47"/>
      <c r="X521" s="47"/>
      <c r="Y521" s="319">
        <v>0</v>
      </c>
      <c r="Z521" s="320"/>
      <c r="AA521" s="328">
        <f t="shared" ref="AA521" si="94">(E521+J521+O521+T521+Y521)</f>
        <v>1</v>
      </c>
      <c r="AB521" s="298">
        <f t="shared" ref="AB521" si="95">Z521+U521+P521+K521+F519</f>
        <v>0</v>
      </c>
      <c r="AC521" s="4"/>
      <c r="AD521" s="47"/>
      <c r="AE521" s="47"/>
      <c r="AF521" s="319"/>
      <c r="AG521" s="29">
        <f t="shared" si="91"/>
        <v>0</v>
      </c>
    </row>
    <row r="522" spans="1:37" outlineLevel="1">
      <c r="A522" s="180"/>
      <c r="B522" s="502" t="s">
        <v>407</v>
      </c>
      <c r="C522" s="47"/>
      <c r="D522" s="47"/>
      <c r="E522" s="319">
        <v>8</v>
      </c>
      <c r="F522" s="320"/>
      <c r="G522" s="4"/>
      <c r="H522" s="47"/>
      <c r="I522" s="47"/>
      <c r="J522" s="319">
        <v>8</v>
      </c>
      <c r="K522" s="320"/>
      <c r="L522" s="4"/>
      <c r="M522" s="441"/>
      <c r="N522" s="47"/>
      <c r="O522" s="319">
        <v>8</v>
      </c>
      <c r="P522" s="320"/>
      <c r="R522" s="47"/>
      <c r="S522" s="47"/>
      <c r="T522" s="319">
        <v>8</v>
      </c>
      <c r="U522" s="320"/>
      <c r="W522" s="47"/>
      <c r="X522" s="47"/>
      <c r="Y522" s="319">
        <v>8</v>
      </c>
      <c r="Z522" s="320"/>
      <c r="AA522" s="328">
        <f t="shared" si="92"/>
        <v>40</v>
      </c>
      <c r="AB522" s="298">
        <f>Z522+U522+P522+K522+F517</f>
        <v>0</v>
      </c>
      <c r="AC522" s="4"/>
      <c r="AD522" s="47"/>
      <c r="AE522" s="47"/>
      <c r="AF522" s="319"/>
      <c r="AG522" s="29">
        <f t="shared" si="91"/>
        <v>0</v>
      </c>
    </row>
    <row r="523" spans="1:37" outlineLevel="1">
      <c r="A523" s="180"/>
      <c r="B523" s="502" t="s">
        <v>408</v>
      </c>
      <c r="C523" s="47"/>
      <c r="D523" s="47"/>
      <c r="E523" s="319">
        <v>8</v>
      </c>
      <c r="F523" s="320"/>
      <c r="G523" s="4"/>
      <c r="H523" s="47"/>
      <c r="I523" s="47"/>
      <c r="J523" s="319">
        <v>8</v>
      </c>
      <c r="K523" s="320"/>
      <c r="L523" s="4"/>
      <c r="M523" s="441"/>
      <c r="N523" s="47"/>
      <c r="O523" s="319">
        <v>8</v>
      </c>
      <c r="P523" s="320"/>
      <c r="R523" s="47"/>
      <c r="S523" s="47"/>
      <c r="T523" s="319">
        <v>8</v>
      </c>
      <c r="U523" s="320"/>
      <c r="W523" s="47"/>
      <c r="X523" s="47"/>
      <c r="Y523" s="319">
        <v>8</v>
      </c>
      <c r="Z523" s="320"/>
      <c r="AA523" s="328">
        <f t="shared" si="92"/>
        <v>40</v>
      </c>
      <c r="AB523" s="298">
        <f>Z523+U523+P523+K523+F518</f>
        <v>0</v>
      </c>
      <c r="AC523" s="4"/>
      <c r="AD523" s="47"/>
      <c r="AE523" s="47"/>
      <c r="AF523" s="319"/>
      <c r="AG523" s="29">
        <f t="shared" si="91"/>
        <v>0</v>
      </c>
    </row>
    <row r="524" spans="1:37" outlineLevel="1">
      <c r="A524" s="180"/>
      <c r="B524" s="502" t="s">
        <v>409</v>
      </c>
      <c r="C524" s="47"/>
      <c r="D524" s="47"/>
      <c r="E524" s="319">
        <v>8</v>
      </c>
      <c r="F524" s="320"/>
      <c r="G524" s="4"/>
      <c r="H524" s="47"/>
      <c r="I524" s="47"/>
      <c r="J524" s="319">
        <v>8</v>
      </c>
      <c r="K524" s="320"/>
      <c r="L524" s="4"/>
      <c r="M524" s="441"/>
      <c r="N524" s="47"/>
      <c r="O524" s="319">
        <v>8</v>
      </c>
      <c r="P524" s="320"/>
      <c r="R524" s="47"/>
      <c r="S524" s="47"/>
      <c r="T524" s="319">
        <v>8</v>
      </c>
      <c r="U524" s="320"/>
      <c r="W524" s="47"/>
      <c r="X524" s="47"/>
      <c r="Y524" s="319">
        <v>8</v>
      </c>
      <c r="Z524" s="320"/>
      <c r="AA524" s="328">
        <f t="shared" si="92"/>
        <v>40</v>
      </c>
      <c r="AB524" s="298">
        <f>Z524+U524+P524+K524+F522</f>
        <v>0</v>
      </c>
      <c r="AC524" s="4"/>
      <c r="AD524" s="47"/>
      <c r="AE524" s="47"/>
      <c r="AF524" s="319"/>
      <c r="AG524" s="29">
        <f t="shared" si="91"/>
        <v>0</v>
      </c>
    </row>
    <row r="525" spans="1:37" outlineLevel="1">
      <c r="A525" s="180"/>
      <c r="B525" s="460"/>
      <c r="C525" s="460"/>
      <c r="D525" s="460"/>
      <c r="E525" s="460"/>
      <c r="F525" s="460"/>
      <c r="G525" s="460"/>
      <c r="H525" s="460"/>
      <c r="I525" s="460"/>
      <c r="J525" s="460"/>
      <c r="K525" s="460"/>
      <c r="L525" s="460"/>
      <c r="M525" s="460"/>
      <c r="N525" s="460"/>
      <c r="O525" s="460"/>
      <c r="P525" s="460"/>
      <c r="Q525" s="460"/>
      <c r="R525" s="460"/>
      <c r="S525" s="460"/>
      <c r="T525" s="460"/>
      <c r="U525" s="460"/>
      <c r="V525" s="460"/>
      <c r="W525" s="460"/>
      <c r="X525" s="460"/>
      <c r="Y525" s="460"/>
      <c r="Z525" s="460"/>
      <c r="AA525" s="328">
        <f t="shared" si="92"/>
        <v>0</v>
      </c>
      <c r="AB525" s="298">
        <f>Z525+U525+P525+K525+F515</f>
        <v>0</v>
      </c>
      <c r="AC525" s="4"/>
      <c r="AD525" s="47"/>
      <c r="AE525" s="47"/>
      <c r="AF525" s="319"/>
      <c r="AG525" s="29">
        <f t="shared" si="91"/>
        <v>0</v>
      </c>
    </row>
    <row r="526" spans="1:37" outlineLevel="1">
      <c r="A526" s="180"/>
      <c r="B526" s="63" t="s">
        <v>250</v>
      </c>
      <c r="C526" s="47"/>
      <c r="D526" s="47"/>
      <c r="E526" s="319">
        <v>8</v>
      </c>
      <c r="F526" s="320"/>
      <c r="G526" s="4"/>
      <c r="H526" s="47"/>
      <c r="I526" s="47"/>
      <c r="J526" s="319"/>
      <c r="K526" s="320"/>
      <c r="L526" s="4"/>
      <c r="M526" s="47"/>
      <c r="N526" s="47"/>
      <c r="O526" s="319"/>
      <c r="P526" s="320"/>
      <c r="R526" s="47"/>
      <c r="S526" s="47"/>
      <c r="T526" s="319"/>
      <c r="U526" s="320"/>
      <c r="W526" s="47"/>
      <c r="X526" s="47"/>
      <c r="Y526" s="319">
        <v>8</v>
      </c>
      <c r="Z526" s="320"/>
      <c r="AA526" s="328">
        <f t="shared" si="92"/>
        <v>16</v>
      </c>
      <c r="AB526" s="298">
        <f t="shared" ref="AB526:AB534" si="96">Z526+U526+P526+K526+F526</f>
        <v>0</v>
      </c>
      <c r="AC526" s="4"/>
      <c r="AD526" s="47"/>
      <c r="AE526" s="47"/>
      <c r="AF526" s="319"/>
      <c r="AG526" s="29">
        <f t="shared" si="91"/>
        <v>0</v>
      </c>
    </row>
    <row r="527" spans="1:37" ht="9.75" customHeight="1" outlineLevel="1">
      <c r="A527" s="180"/>
      <c r="B527" s="63" t="s">
        <v>63</v>
      </c>
      <c r="C527" s="47"/>
      <c r="D527" s="47"/>
      <c r="E527" s="319">
        <v>4</v>
      </c>
      <c r="F527" s="320">
        <v>0.5</v>
      </c>
      <c r="G527" s="438"/>
      <c r="H527" s="47"/>
      <c r="I527" s="47"/>
      <c r="J527" s="319">
        <v>4</v>
      </c>
      <c r="K527" s="320">
        <v>0.5</v>
      </c>
      <c r="L527" s="438"/>
      <c r="M527" s="47"/>
      <c r="N527" s="47"/>
      <c r="O527" s="319">
        <v>4</v>
      </c>
      <c r="P527" s="320">
        <v>0.5</v>
      </c>
      <c r="Q527" s="438"/>
      <c r="R527" s="47"/>
      <c r="S527" s="47"/>
      <c r="T527" s="319">
        <v>4</v>
      </c>
      <c r="U527" s="320">
        <v>0.5</v>
      </c>
      <c r="V527" s="438"/>
      <c r="W527" s="47"/>
      <c r="X527" s="47"/>
      <c r="Y527" s="319">
        <v>4</v>
      </c>
      <c r="Z527" s="320">
        <v>0.5</v>
      </c>
      <c r="AA527" s="328">
        <f t="shared" si="92"/>
        <v>20</v>
      </c>
      <c r="AB527" s="298">
        <f t="shared" si="96"/>
        <v>2.5</v>
      </c>
      <c r="AC527" s="4"/>
      <c r="AD527" s="47"/>
      <c r="AE527" s="47"/>
      <c r="AF527" s="319"/>
      <c r="AG527" s="29">
        <f t="shared" si="91"/>
        <v>0</v>
      </c>
      <c r="AK527" s="407"/>
    </row>
    <row r="528" spans="1:37" outlineLevel="1">
      <c r="A528" s="180"/>
      <c r="B528" s="267" t="s">
        <v>358</v>
      </c>
      <c r="C528" s="47"/>
      <c r="D528" s="47"/>
      <c r="E528" s="319">
        <v>7</v>
      </c>
      <c r="F528" s="320"/>
      <c r="G528" s="438"/>
      <c r="H528" s="47"/>
      <c r="I528" s="47"/>
      <c r="J528" s="319">
        <v>8</v>
      </c>
      <c r="K528" s="320">
        <v>1</v>
      </c>
      <c r="L528" s="438"/>
      <c r="M528" s="47"/>
      <c r="N528" s="47"/>
      <c r="O528" s="319">
        <v>8</v>
      </c>
      <c r="P528" s="320">
        <v>1</v>
      </c>
      <c r="Q528" s="438"/>
      <c r="R528" s="47"/>
      <c r="S528" s="47"/>
      <c r="T528" s="319">
        <v>8</v>
      </c>
      <c r="U528" s="320">
        <v>1</v>
      </c>
      <c r="V528" s="438"/>
      <c r="W528" s="1546" t="s">
        <v>137</v>
      </c>
      <c r="X528" s="1546"/>
      <c r="Y528" s="319">
        <v>0</v>
      </c>
      <c r="Z528" s="320"/>
      <c r="AA528" s="328">
        <f t="shared" si="92"/>
        <v>31</v>
      </c>
      <c r="AB528" s="298">
        <f t="shared" si="96"/>
        <v>3</v>
      </c>
      <c r="AC528" s="4"/>
      <c r="AD528" s="47"/>
      <c r="AE528" s="47"/>
      <c r="AF528" s="319"/>
      <c r="AG528" s="29">
        <f t="shared" si="91"/>
        <v>0</v>
      </c>
      <c r="AK528" s="407"/>
    </row>
    <row r="529" spans="1:49" outlineLevel="1">
      <c r="A529" s="180"/>
      <c r="B529" s="267" t="s">
        <v>359</v>
      </c>
      <c r="C529" s="47"/>
      <c r="D529" s="47"/>
      <c r="E529" s="319"/>
      <c r="F529" s="320"/>
      <c r="G529" s="438"/>
      <c r="H529" s="47"/>
      <c r="I529" s="47"/>
      <c r="J529" s="319"/>
      <c r="K529" s="320"/>
      <c r="L529" s="438"/>
      <c r="M529" s="47"/>
      <c r="N529" s="47"/>
      <c r="O529" s="319"/>
      <c r="P529" s="320"/>
      <c r="Q529" s="438"/>
      <c r="R529" s="47"/>
      <c r="S529" s="47"/>
      <c r="T529" s="319"/>
      <c r="U529" s="320"/>
      <c r="V529" s="438"/>
      <c r="W529" s="47"/>
      <c r="X529" s="47"/>
      <c r="Y529" s="319"/>
      <c r="Z529" s="320"/>
      <c r="AA529" s="328">
        <f t="shared" si="92"/>
        <v>0</v>
      </c>
      <c r="AB529" s="298">
        <f t="shared" si="96"/>
        <v>0</v>
      </c>
      <c r="AC529" s="4"/>
      <c r="AD529" s="47"/>
      <c r="AE529" s="47"/>
      <c r="AF529" s="319"/>
      <c r="AG529" s="29">
        <f t="shared" si="91"/>
        <v>0</v>
      </c>
      <c r="AK529" s="407"/>
    </row>
    <row r="530" spans="1:49" outlineLevel="1">
      <c r="A530" s="180"/>
      <c r="B530" s="267" t="s">
        <v>411</v>
      </c>
      <c r="C530" s="47"/>
      <c r="D530" s="47"/>
      <c r="E530" s="319"/>
      <c r="F530" s="320"/>
      <c r="G530" s="438"/>
      <c r="H530" s="47"/>
      <c r="I530" s="47"/>
      <c r="J530" s="319"/>
      <c r="K530" s="320"/>
      <c r="L530" s="438"/>
      <c r="M530" s="47"/>
      <c r="N530" s="47"/>
      <c r="O530" s="319"/>
      <c r="P530" s="320"/>
      <c r="Q530" s="438"/>
      <c r="R530" s="47"/>
      <c r="S530" s="47"/>
      <c r="T530" s="319"/>
      <c r="U530" s="320"/>
      <c r="V530" s="438"/>
      <c r="W530" s="47"/>
      <c r="X530" s="47"/>
      <c r="Y530" s="319"/>
      <c r="Z530" s="320"/>
      <c r="AA530" s="328">
        <f t="shared" si="92"/>
        <v>0</v>
      </c>
      <c r="AB530" s="298">
        <f t="shared" si="96"/>
        <v>0</v>
      </c>
      <c r="AC530" s="4"/>
      <c r="AD530" s="47"/>
      <c r="AE530" s="47"/>
      <c r="AF530" s="319"/>
      <c r="AG530" s="29">
        <f t="shared" si="91"/>
        <v>0</v>
      </c>
      <c r="AK530" s="407"/>
    </row>
    <row r="531" spans="1:49" ht="14.25" customHeight="1" outlineLevel="1">
      <c r="A531" s="180"/>
      <c r="B531" s="267" t="s">
        <v>432</v>
      </c>
      <c r="C531" s="47"/>
      <c r="D531" s="47"/>
      <c r="E531" s="319">
        <v>8</v>
      </c>
      <c r="F531" s="320"/>
      <c r="G531" s="438"/>
      <c r="H531" s="47"/>
      <c r="I531" s="47"/>
      <c r="J531" s="319">
        <v>8</v>
      </c>
      <c r="K531" s="320"/>
      <c r="L531" s="438"/>
      <c r="M531" s="47"/>
      <c r="N531" s="47"/>
      <c r="O531" s="319">
        <v>8</v>
      </c>
      <c r="P531" s="320"/>
      <c r="Q531" s="438"/>
      <c r="R531" s="47"/>
      <c r="S531" s="47"/>
      <c r="T531" s="319">
        <v>8</v>
      </c>
      <c r="U531" s="320"/>
      <c r="V531" s="438"/>
      <c r="W531" s="47"/>
      <c r="X531" s="47"/>
      <c r="Y531" s="319">
        <v>8</v>
      </c>
      <c r="Z531" s="320"/>
      <c r="AA531" s="328">
        <f t="shared" si="92"/>
        <v>40</v>
      </c>
      <c r="AB531" s="298">
        <f t="shared" si="96"/>
        <v>0</v>
      </c>
      <c r="AC531" s="4"/>
      <c r="AD531" s="47"/>
      <c r="AE531" s="47"/>
      <c r="AF531" s="319"/>
      <c r="AG531" s="29">
        <f t="shared" si="91"/>
        <v>0</v>
      </c>
      <c r="AK531" s="407"/>
    </row>
    <row r="532" spans="1:49" outlineLevel="1">
      <c r="A532" s="180"/>
      <c r="B532" s="267" t="s">
        <v>362</v>
      </c>
      <c r="C532" s="47"/>
      <c r="D532" s="47"/>
      <c r="E532" s="319">
        <v>4</v>
      </c>
      <c r="F532" s="320"/>
      <c r="G532" s="438"/>
      <c r="H532" s="47"/>
      <c r="I532" s="47"/>
      <c r="J532" s="319">
        <v>4</v>
      </c>
      <c r="K532" s="320"/>
      <c r="L532" s="438"/>
      <c r="M532" s="47"/>
      <c r="N532" s="47"/>
      <c r="O532" s="319">
        <v>5</v>
      </c>
      <c r="P532" s="320"/>
      <c r="Q532" s="438"/>
      <c r="R532" s="47"/>
      <c r="S532" s="47"/>
      <c r="T532" s="319">
        <v>6</v>
      </c>
      <c r="U532" s="320"/>
      <c r="V532" s="438"/>
      <c r="W532" s="47"/>
      <c r="X532" s="47"/>
      <c r="Y532" s="319">
        <v>8</v>
      </c>
      <c r="Z532" s="320"/>
      <c r="AA532" s="328">
        <f t="shared" si="92"/>
        <v>27</v>
      </c>
      <c r="AB532" s="298">
        <f t="shared" si="96"/>
        <v>0</v>
      </c>
      <c r="AC532" s="4"/>
      <c r="AD532" s="47"/>
      <c r="AE532" s="47"/>
      <c r="AF532" s="319"/>
      <c r="AG532" s="29">
        <f t="shared" si="91"/>
        <v>0</v>
      </c>
      <c r="AK532" s="407"/>
    </row>
    <row r="533" spans="1:49" outlineLevel="1">
      <c r="A533" s="180"/>
      <c r="B533" s="437" t="s">
        <v>355</v>
      </c>
      <c r="C533" s="47"/>
      <c r="D533" s="47"/>
      <c r="E533" s="534">
        <v>23.7</v>
      </c>
      <c r="F533" s="320">
        <v>2.6</v>
      </c>
      <c r="G533" s="438"/>
      <c r="H533" s="47"/>
      <c r="I533" s="47"/>
      <c r="J533" s="319">
        <v>25.7</v>
      </c>
      <c r="K533" s="320"/>
      <c r="L533" s="438"/>
      <c r="M533" s="47"/>
      <c r="N533" s="47"/>
      <c r="O533" s="319">
        <v>23.7</v>
      </c>
      <c r="P533" s="320">
        <v>1.2</v>
      </c>
      <c r="Q533" s="438"/>
      <c r="R533" s="47"/>
      <c r="S533" s="47"/>
      <c r="T533" s="319">
        <v>23.7</v>
      </c>
      <c r="U533" s="320">
        <v>5.53</v>
      </c>
      <c r="V533" s="438"/>
      <c r="W533" s="47"/>
      <c r="X533" s="47"/>
      <c r="Y533" s="319">
        <v>23.7</v>
      </c>
      <c r="Z533" s="320"/>
      <c r="AA533" s="328">
        <f t="shared" si="92"/>
        <v>120.5</v>
      </c>
      <c r="AB533" s="298">
        <f t="shared" si="96"/>
        <v>9.33</v>
      </c>
      <c r="AC533" s="4"/>
      <c r="AD533" s="47"/>
      <c r="AE533" s="47"/>
      <c r="AF533" s="319"/>
      <c r="AG533" s="29">
        <f t="shared" si="91"/>
        <v>0</v>
      </c>
      <c r="AK533" s="407"/>
    </row>
    <row r="534" spans="1:49" outlineLevel="1">
      <c r="A534" s="180"/>
      <c r="B534" s="437" t="s">
        <v>356</v>
      </c>
      <c r="C534" s="47"/>
      <c r="D534" s="47"/>
      <c r="E534" s="534">
        <v>16</v>
      </c>
      <c r="F534" s="320"/>
      <c r="G534" s="438"/>
      <c r="H534" s="47"/>
      <c r="I534" s="47"/>
      <c r="J534" s="534">
        <v>8</v>
      </c>
      <c r="K534" s="320"/>
      <c r="L534" s="438"/>
      <c r="M534" s="47"/>
      <c r="N534" s="47"/>
      <c r="O534" s="319">
        <v>21.9</v>
      </c>
      <c r="P534" s="320"/>
      <c r="Q534" s="438"/>
      <c r="R534" s="47"/>
      <c r="S534" s="47"/>
      <c r="T534" s="319">
        <v>28.9</v>
      </c>
      <c r="U534" s="320"/>
      <c r="V534" s="438"/>
      <c r="W534" s="47"/>
      <c r="X534" s="47"/>
      <c r="Y534" s="319">
        <v>18.8</v>
      </c>
      <c r="Z534" s="320"/>
      <c r="AA534" s="328">
        <f t="shared" si="92"/>
        <v>93.6</v>
      </c>
      <c r="AB534" s="298">
        <f t="shared" si="96"/>
        <v>0</v>
      </c>
      <c r="AC534" s="4"/>
      <c r="AD534" s="47"/>
      <c r="AE534" s="47"/>
      <c r="AF534" s="319"/>
      <c r="AG534" s="29">
        <f t="shared" si="91"/>
        <v>0</v>
      </c>
      <c r="AK534" s="407"/>
    </row>
    <row r="535" spans="1:49" outlineLevel="1">
      <c r="A535" s="180"/>
      <c r="B535" s="64" t="s">
        <v>61</v>
      </c>
      <c r="C535" s="31"/>
      <c r="D535" s="31"/>
      <c r="E535" s="439">
        <f>SUM(E501:E534)</f>
        <v>170.7</v>
      </c>
      <c r="F535" s="320">
        <f>SUM(F501:F534)</f>
        <v>3.1</v>
      </c>
      <c r="G535" s="31"/>
      <c r="H535" s="31"/>
      <c r="I535" s="31"/>
      <c r="J535" s="439">
        <f>SUM(J501:J534)</f>
        <v>153.69999999999999</v>
      </c>
      <c r="K535" s="320">
        <f>SUM(K501:K534)</f>
        <v>1.5</v>
      </c>
      <c r="L535" s="31"/>
      <c r="M535" s="31"/>
      <c r="N535" s="31"/>
      <c r="O535" s="439">
        <f>SUM(O501:O534)</f>
        <v>146.6</v>
      </c>
      <c r="P535" s="320">
        <f>SUM(P501:P534)</f>
        <v>2.7</v>
      </c>
      <c r="Q535" s="31"/>
      <c r="R535" s="31"/>
      <c r="S535" s="31"/>
      <c r="T535" s="439">
        <f>SUM(T501:T534)</f>
        <v>177.6</v>
      </c>
      <c r="U535" s="320">
        <f>SUM(U501:U534)</f>
        <v>7.03</v>
      </c>
      <c r="V535" s="31"/>
      <c r="W535" s="31"/>
      <c r="X535" s="31"/>
      <c r="Y535" s="439">
        <f>SUM(Y501:Y534)</f>
        <v>190.5</v>
      </c>
      <c r="Z535" s="320">
        <f>SUM(Z501:Z534)</f>
        <v>9.5</v>
      </c>
      <c r="AA535" s="370">
        <f>SUM(AA501:AA534)</f>
        <v>839.1</v>
      </c>
      <c r="AB535" s="370">
        <f>SUM(AB501:AB534)</f>
        <v>23.83</v>
      </c>
      <c r="AC535" s="4"/>
      <c r="AD535" s="64"/>
      <c r="AE535" s="64"/>
      <c r="AF535" s="370">
        <f>SUM(AF501:AF534)</f>
        <v>0</v>
      </c>
      <c r="AG535" s="370">
        <f>SUM(AG501:AG534)</f>
        <v>0</v>
      </c>
    </row>
    <row r="536" spans="1:49" outlineLevel="1">
      <c r="A536" s="180"/>
      <c r="B536" s="63" t="s">
        <v>64</v>
      </c>
      <c r="C536" s="47"/>
      <c r="D536" s="47"/>
      <c r="E536" s="319">
        <v>8</v>
      </c>
      <c r="F536" s="291"/>
      <c r="G536" s="60"/>
      <c r="H536" s="47"/>
      <c r="I536" s="47"/>
      <c r="J536" s="319">
        <v>8</v>
      </c>
      <c r="K536" s="291">
        <v>0.5</v>
      </c>
      <c r="L536" s="60"/>
      <c r="M536" s="47"/>
      <c r="N536" s="47"/>
      <c r="O536" s="319">
        <v>8</v>
      </c>
      <c r="P536" s="19">
        <v>0.5</v>
      </c>
      <c r="Q536" s="60"/>
      <c r="R536" s="47"/>
      <c r="S536" s="47"/>
      <c r="T536" s="319">
        <v>8</v>
      </c>
      <c r="U536" s="19">
        <v>2</v>
      </c>
      <c r="V536" s="60"/>
      <c r="W536" s="47"/>
      <c r="X536" s="47"/>
      <c r="Y536" s="319">
        <v>8</v>
      </c>
      <c r="Z536" s="19">
        <f>1.25+0.25</f>
        <v>1.5</v>
      </c>
      <c r="AA536" s="28">
        <f>SUM(E536+J536+O536+T536+Y536)</f>
        <v>40</v>
      </c>
      <c r="AB536" s="296">
        <f>Z536+U536+P536+K536+F536</f>
        <v>4.5</v>
      </c>
      <c r="AC536" s="4"/>
      <c r="AD536" s="47" t="s">
        <v>29</v>
      </c>
      <c r="AE536" s="47" t="s">
        <v>29</v>
      </c>
      <c r="AF536" s="319">
        <v>0.5</v>
      </c>
      <c r="AG536" s="29">
        <f>AF536</f>
        <v>0.5</v>
      </c>
    </row>
    <row r="537" spans="1:49" outlineLevel="1">
      <c r="A537" s="180"/>
      <c r="B537" s="71" t="s">
        <v>66</v>
      </c>
      <c r="C537" s="371"/>
      <c r="D537" s="371"/>
      <c r="E537" s="71"/>
      <c r="F537" s="71"/>
      <c r="G537" s="71"/>
      <c r="H537" s="71"/>
      <c r="I537" s="71"/>
      <c r="J537" s="71"/>
      <c r="K537" s="71"/>
      <c r="L537" s="71"/>
      <c r="M537" s="71"/>
      <c r="N537" s="71"/>
      <c r="O537" s="71"/>
      <c r="P537" s="71"/>
      <c r="Q537" s="71"/>
      <c r="R537" s="71"/>
      <c r="S537" s="71"/>
      <c r="T537" s="71"/>
      <c r="U537" s="71"/>
      <c r="V537" s="71"/>
      <c r="W537" s="71"/>
      <c r="X537" s="71"/>
      <c r="Y537" s="71"/>
      <c r="Z537" s="71"/>
      <c r="AA537" s="370">
        <f>SUM(AA536:AA536)</f>
        <v>40</v>
      </c>
      <c r="AB537" s="370">
        <f>SUM(AB536:AB536)</f>
        <v>4.5</v>
      </c>
      <c r="AC537" s="4"/>
      <c r="AG537" s="370">
        <f>SUM(AG536:AG536)</f>
        <v>0.5</v>
      </c>
    </row>
    <row r="538" spans="1:49" outlineLevel="1">
      <c r="A538" s="180"/>
      <c r="B538" s="217" t="s">
        <v>67</v>
      </c>
      <c r="C538" s="207">
        <f>C539+C540</f>
        <v>75</v>
      </c>
      <c r="D538" s="207"/>
      <c r="E538" s="209"/>
      <c r="F538" s="209"/>
      <c r="G538" s="207"/>
      <c r="H538" s="209"/>
      <c r="I538" s="209"/>
      <c r="J538" s="209"/>
      <c r="K538" s="209"/>
      <c r="L538" s="207"/>
      <c r="M538" s="207"/>
      <c r="N538" s="207"/>
      <c r="O538" s="207"/>
      <c r="P538" s="209"/>
      <c r="Q538" s="207"/>
      <c r="R538" s="207"/>
      <c r="S538" s="207"/>
      <c r="T538" s="207"/>
      <c r="U538" s="209"/>
      <c r="V538" s="207"/>
      <c r="W538" s="207"/>
      <c r="X538" s="207"/>
      <c r="Y538" s="210"/>
      <c r="Z538" s="209"/>
      <c r="AA538" s="211"/>
      <c r="AB538" s="209"/>
      <c r="AC538" s="211"/>
      <c r="AD538" s="211"/>
      <c r="AE538" s="211"/>
      <c r="AF538" s="211"/>
      <c r="AG538" s="211"/>
    </row>
    <row r="539" spans="1:49" outlineLevel="1">
      <c r="A539" s="180"/>
      <c r="B539" s="238" t="s">
        <v>68</v>
      </c>
      <c r="C539" s="239"/>
      <c r="D539" s="207"/>
      <c r="E539" s="209"/>
      <c r="F539" s="209"/>
      <c r="G539" s="207"/>
      <c r="H539" s="209"/>
      <c r="I539" s="209"/>
      <c r="J539" s="209"/>
      <c r="K539" s="209"/>
      <c r="L539" s="207"/>
      <c r="M539" s="207"/>
      <c r="N539" s="207"/>
      <c r="O539" s="207"/>
      <c r="P539" s="209"/>
      <c r="Q539" s="207"/>
      <c r="R539" s="207"/>
      <c r="S539" s="207"/>
      <c r="T539" s="207"/>
      <c r="U539" s="209"/>
      <c r="V539" s="207"/>
      <c r="W539" s="207"/>
      <c r="X539" s="207"/>
      <c r="Y539" s="210"/>
      <c r="Z539" s="209"/>
      <c r="AA539" s="211"/>
      <c r="AB539" s="209"/>
      <c r="AC539" s="211"/>
      <c r="AD539" s="211"/>
      <c r="AE539" s="211"/>
      <c r="AF539" s="211"/>
      <c r="AG539" s="211"/>
    </row>
    <row r="540" spans="1:49" outlineLevel="1">
      <c r="A540" s="180"/>
      <c r="B540" s="238" t="s">
        <v>69</v>
      </c>
      <c r="C540" s="239">
        <v>75</v>
      </c>
      <c r="D540" s="207"/>
      <c r="E540" s="209"/>
      <c r="F540" s="209"/>
      <c r="G540" s="207"/>
      <c r="H540" s="209"/>
      <c r="I540" s="209"/>
      <c r="J540" s="209"/>
      <c r="K540" s="209"/>
      <c r="L540" s="207"/>
      <c r="M540" s="207"/>
      <c r="N540" s="207"/>
      <c r="O540" s="207"/>
      <c r="P540" s="209"/>
      <c r="Q540" s="207"/>
      <c r="R540" s="207"/>
      <c r="S540" s="207"/>
      <c r="T540" s="207"/>
      <c r="U540" s="209"/>
      <c r="V540" s="207"/>
      <c r="W540" s="207"/>
      <c r="X540" s="207"/>
      <c r="Y540" s="210"/>
      <c r="Z540" s="209"/>
      <c r="AA540" s="211"/>
      <c r="AB540" s="209"/>
      <c r="AC540" s="211"/>
      <c r="AD540" s="211"/>
      <c r="AE540" s="211"/>
      <c r="AF540" s="211"/>
      <c r="AG540" s="211"/>
    </row>
    <row r="541" spans="1:49" outlineLevel="1">
      <c r="B541" s="180"/>
      <c r="E541" s="4"/>
      <c r="F541" s="4"/>
      <c r="G541" s="4"/>
      <c r="J541" s="4"/>
      <c r="K541" s="4"/>
      <c r="L541" s="4"/>
      <c r="O541" s="4"/>
      <c r="P541" s="4"/>
      <c r="T541" s="4"/>
      <c r="U541" s="4"/>
      <c r="Y541" s="4"/>
      <c r="Z541" s="4"/>
      <c r="AA541" s="4"/>
      <c r="AB541" s="4"/>
      <c r="AC541" s="4"/>
    </row>
    <row r="542" spans="1:49" outlineLevel="1">
      <c r="A542" s="180"/>
      <c r="B542" s="229"/>
      <c r="C542" s="230"/>
      <c r="D542" s="230"/>
      <c r="E542" s="232"/>
      <c r="F542" s="232"/>
      <c r="G542" s="230"/>
      <c r="H542" s="232"/>
      <c r="I542" s="232"/>
      <c r="J542" s="232"/>
      <c r="K542" s="232"/>
      <c r="L542" s="230"/>
      <c r="M542" s="230"/>
      <c r="N542" s="230"/>
      <c r="O542" s="230"/>
      <c r="P542" s="232"/>
      <c r="Q542" s="230"/>
      <c r="R542" s="230"/>
      <c r="S542" s="230"/>
      <c r="T542" s="230"/>
      <c r="U542" s="232"/>
      <c r="V542" s="230"/>
      <c r="W542" s="230"/>
      <c r="X542" s="230"/>
      <c r="Y542" s="233"/>
      <c r="Z542" s="232"/>
      <c r="AA542" s="234"/>
      <c r="AB542" s="232"/>
      <c r="AC542" s="373"/>
      <c r="AD542" s="236"/>
      <c r="AE542" s="255"/>
      <c r="AF542" s="255"/>
      <c r="AG542" s="255"/>
      <c r="AH542" s="255"/>
      <c r="AJ542" s="255"/>
      <c r="AK542" s="255"/>
      <c r="AL542" s="255"/>
      <c r="AM542" s="255"/>
      <c r="AN542" s="255"/>
      <c r="AO542" s="255"/>
      <c r="AP542" s="255"/>
      <c r="AQ542" s="255"/>
      <c r="AR542" s="255"/>
      <c r="AS542" s="255"/>
      <c r="AT542" s="255"/>
      <c r="AU542" s="255"/>
      <c r="AV542" s="255"/>
      <c r="AW542" s="255"/>
    </row>
    <row r="543" spans="1:49" outlineLevel="1">
      <c r="B543" s="180"/>
      <c r="E543" s="4"/>
      <c r="F543" s="4"/>
      <c r="G543" s="4"/>
      <c r="J543" s="4"/>
      <c r="K543" s="4"/>
      <c r="L543" s="4"/>
      <c r="O543" s="4"/>
      <c r="P543" s="4"/>
      <c r="T543" s="4"/>
      <c r="U543" s="4"/>
      <c r="Y543" s="4"/>
      <c r="Z543" s="4"/>
      <c r="AA543" s="4"/>
      <c r="AB543" s="4"/>
      <c r="AC543" s="4"/>
      <c r="AK543" s="180"/>
      <c r="AL543" s="180"/>
      <c r="AM543" s="180"/>
      <c r="AN543" s="180"/>
      <c r="AO543" s="180"/>
      <c r="AP543" s="180"/>
    </row>
    <row r="544" spans="1:49" outlineLevel="1">
      <c r="A544" s="228"/>
      <c r="B544" s="1518" t="s">
        <v>18</v>
      </c>
      <c r="C544" s="1519">
        <v>45453</v>
      </c>
      <c r="D544" s="1519"/>
      <c r="E544" s="1519"/>
      <c r="F544" s="1519"/>
      <c r="G544" s="365"/>
      <c r="H544" s="1519">
        <v>45454</v>
      </c>
      <c r="I544" s="1519"/>
      <c r="J544" s="1519"/>
      <c r="K544" s="1519"/>
      <c r="L544" s="365">
        <v>45343</v>
      </c>
      <c r="M544" s="1519">
        <v>45455</v>
      </c>
      <c r="N544" s="1519"/>
      <c r="O544" s="1519"/>
      <c r="P544" s="1519"/>
      <c r="Q544" s="365"/>
      <c r="R544" s="1519">
        <v>45456</v>
      </c>
      <c r="S544" s="1519"/>
      <c r="T544" s="1519"/>
      <c r="U544" s="1519"/>
      <c r="V544" s="365"/>
      <c r="W544" s="1519">
        <v>45457</v>
      </c>
      <c r="X544" s="1519"/>
      <c r="Y544" s="1519"/>
      <c r="Z544" s="1519"/>
      <c r="AA544" s="1517" t="s">
        <v>19</v>
      </c>
      <c r="AB544" s="1517" t="s">
        <v>20</v>
      </c>
      <c r="AC544" s="4"/>
      <c r="AD544" s="1519">
        <v>45458</v>
      </c>
      <c r="AE544" s="1519"/>
      <c r="AF544" s="1519"/>
      <c r="AG544" s="1517" t="s">
        <v>21</v>
      </c>
      <c r="AI544" s="368"/>
      <c r="AK544" s="194" t="s">
        <v>84</v>
      </c>
      <c r="AL544" s="366"/>
      <c r="AM544" s="366"/>
      <c r="AN544" s="366"/>
      <c r="AO544" s="366"/>
      <c r="AP544" s="366"/>
    </row>
    <row r="545" spans="1:49" outlineLevel="1">
      <c r="A545" s="180"/>
      <c r="B545" s="1518"/>
      <c r="C545" s="21" t="s">
        <v>23</v>
      </c>
      <c r="D545" s="21" t="s">
        <v>24</v>
      </c>
      <c r="E545" s="205" t="s">
        <v>25</v>
      </c>
      <c r="F545" s="18" t="s">
        <v>14</v>
      </c>
      <c r="G545" s="4"/>
      <c r="H545" s="21" t="s">
        <v>23</v>
      </c>
      <c r="I545" s="21" t="s">
        <v>24</v>
      </c>
      <c r="J545" s="18" t="s">
        <v>25</v>
      </c>
      <c r="K545" s="18" t="s">
        <v>14</v>
      </c>
      <c r="L545" s="4"/>
      <c r="M545" s="21" t="s">
        <v>23</v>
      </c>
      <c r="N545" s="21" t="s">
        <v>24</v>
      </c>
      <c r="O545" s="18" t="s">
        <v>25</v>
      </c>
      <c r="P545" s="18" t="s">
        <v>14</v>
      </c>
      <c r="R545" s="21" t="s">
        <v>23</v>
      </c>
      <c r="S545" s="21" t="s">
        <v>24</v>
      </c>
      <c r="T545" s="18" t="s">
        <v>25</v>
      </c>
      <c r="U545" s="18" t="s">
        <v>14</v>
      </c>
      <c r="W545" s="21" t="s">
        <v>23</v>
      </c>
      <c r="X545" s="21" t="s">
        <v>24</v>
      </c>
      <c r="Y545" s="18" t="s">
        <v>25</v>
      </c>
      <c r="Z545" s="18" t="s">
        <v>14</v>
      </c>
      <c r="AA545" s="1517"/>
      <c r="AB545" s="1517"/>
      <c r="AC545" s="4"/>
      <c r="AD545" s="21" t="s">
        <v>23</v>
      </c>
      <c r="AE545" s="21" t="s">
        <v>24</v>
      </c>
      <c r="AF545" s="18" t="s">
        <v>25</v>
      </c>
      <c r="AG545" s="1517"/>
      <c r="AI545" s="368"/>
      <c r="AJ545" s="367"/>
      <c r="AK545" s="494" t="s">
        <v>26</v>
      </c>
      <c r="AL545" s="471">
        <f>AA583</f>
        <v>841.4</v>
      </c>
      <c r="AM545" s="510">
        <v>38</v>
      </c>
      <c r="AN545" s="510">
        <f>AL545*AM545</f>
        <v>31973.200000000001</v>
      </c>
      <c r="AQ545" s="367"/>
      <c r="AR545" s="367"/>
      <c r="AS545" s="367"/>
      <c r="AT545" s="367"/>
      <c r="AU545" s="367"/>
      <c r="AV545" s="367"/>
      <c r="AW545" s="367"/>
    </row>
    <row r="546" spans="1:49" outlineLevel="1">
      <c r="A546" s="180"/>
      <c r="B546" s="318" t="s">
        <v>405</v>
      </c>
      <c r="C546" s="47" t="s">
        <v>433</v>
      </c>
      <c r="D546" s="47"/>
      <c r="E546" s="319">
        <v>8</v>
      </c>
      <c r="F546" s="320"/>
      <c r="G546" s="4"/>
      <c r="H546" s="47" t="s">
        <v>433</v>
      </c>
      <c r="I546" s="47"/>
      <c r="J546" s="319">
        <v>8</v>
      </c>
      <c r="K546" s="320"/>
      <c r="L546" s="4"/>
      <c r="M546" s="47" t="s">
        <v>433</v>
      </c>
      <c r="N546" s="47"/>
      <c r="O546" s="319">
        <v>8</v>
      </c>
      <c r="P546" s="320"/>
      <c r="R546" s="47" t="s">
        <v>433</v>
      </c>
      <c r="S546" s="441"/>
      <c r="T546" s="319">
        <v>8</v>
      </c>
      <c r="U546" s="320"/>
      <c r="W546" s="47" t="s">
        <v>433</v>
      </c>
      <c r="X546" s="441"/>
      <c r="Y546" s="319">
        <v>8</v>
      </c>
      <c r="Z546" s="320"/>
      <c r="AA546" s="328">
        <f t="shared" ref="AA546:AA582" si="97">(E546+J546+O546+T546+Y546)</f>
        <v>40</v>
      </c>
      <c r="AB546" s="298">
        <f t="shared" ref="AB546:AB562" si="98">Z546+U546+P546+K546+F546</f>
        <v>0</v>
      </c>
      <c r="AC546" s="4"/>
      <c r="AD546" s="531"/>
      <c r="AE546" s="531"/>
      <c r="AF546" s="319"/>
      <c r="AG546" s="328">
        <f>AF546</f>
        <v>0</v>
      </c>
      <c r="AI546" s="368"/>
      <c r="AJ546" s="367"/>
      <c r="AK546" s="494" t="s">
        <v>30</v>
      </c>
      <c r="AL546" s="471">
        <f>AB583</f>
        <v>35.92</v>
      </c>
      <c r="AM546" s="511">
        <v>57</v>
      </c>
      <c r="AN546" s="510">
        <f>AL546*AM546</f>
        <v>2047.44</v>
      </c>
      <c r="AQ546" s="367"/>
      <c r="AR546" s="367"/>
      <c r="AS546" s="367"/>
      <c r="AT546" s="367"/>
      <c r="AU546" s="367"/>
      <c r="AV546" s="367"/>
      <c r="AW546" s="367"/>
    </row>
    <row r="547" spans="1:49" outlineLevel="1">
      <c r="A547" s="367"/>
      <c r="B547" s="457" t="s">
        <v>393</v>
      </c>
      <c r="C547" s="47" t="s">
        <v>433</v>
      </c>
      <c r="D547" s="47"/>
      <c r="E547" s="319">
        <v>8</v>
      </c>
      <c r="F547" s="320"/>
      <c r="G547" s="4"/>
      <c r="H547" s="47" t="s">
        <v>433</v>
      </c>
      <c r="I547" s="47"/>
      <c r="J547" s="319">
        <v>8</v>
      </c>
      <c r="K547" s="320"/>
      <c r="L547" s="4"/>
      <c r="M547" s="47" t="s">
        <v>433</v>
      </c>
      <c r="N547" s="47"/>
      <c r="O547" s="319">
        <v>8</v>
      </c>
      <c r="P547" s="320"/>
      <c r="R547" s="47" t="s">
        <v>434</v>
      </c>
      <c r="S547" s="441"/>
      <c r="T547" s="319">
        <v>8</v>
      </c>
      <c r="U547" s="320"/>
      <c r="W547" s="47" t="s">
        <v>433</v>
      </c>
      <c r="X547" s="441"/>
      <c r="Y547" s="319">
        <v>8</v>
      </c>
      <c r="Z547" s="320">
        <v>3</v>
      </c>
      <c r="AA547" s="328">
        <f t="shared" si="97"/>
        <v>40</v>
      </c>
      <c r="AB547" s="298">
        <f>Z547+U547+P547+K547+F547</f>
        <v>3</v>
      </c>
      <c r="AC547" s="4"/>
      <c r="AF547" s="319"/>
      <c r="AG547" s="328">
        <f>AF547</f>
        <v>0</v>
      </c>
      <c r="AH547" s="175"/>
      <c r="AI547" s="402"/>
      <c r="AJ547" s="367"/>
      <c r="AK547" s="494" t="s">
        <v>32</v>
      </c>
      <c r="AL547" s="471">
        <f>AG583</f>
        <v>0</v>
      </c>
      <c r="AM547" s="510">
        <v>57</v>
      </c>
      <c r="AN547" s="510">
        <f>AL547*AM547</f>
        <v>0</v>
      </c>
      <c r="AQ547" s="367"/>
      <c r="AR547" s="367"/>
      <c r="AS547" s="367"/>
      <c r="AT547" s="367"/>
      <c r="AU547" s="367"/>
      <c r="AV547" s="367"/>
      <c r="AW547" s="367"/>
    </row>
    <row r="548" spans="1:49" outlineLevel="1">
      <c r="A548" s="367"/>
      <c r="B548" s="457" t="s">
        <v>391</v>
      </c>
      <c r="C548" s="319"/>
      <c r="D548" s="319"/>
      <c r="E548" s="319">
        <v>0</v>
      </c>
      <c r="F548" s="320"/>
      <c r="G548" s="4"/>
      <c r="H548" s="319"/>
      <c r="I548" s="319"/>
      <c r="J548" s="319">
        <v>0</v>
      </c>
      <c r="K548" s="320"/>
      <c r="L548" s="4"/>
      <c r="M548" s="319"/>
      <c r="N548" s="319"/>
      <c r="O548" s="319">
        <v>0</v>
      </c>
      <c r="P548" s="320"/>
      <c r="R548" s="319"/>
      <c r="S548" s="319"/>
      <c r="T548" s="319">
        <v>0</v>
      </c>
      <c r="U548" s="320"/>
      <c r="W548" s="319"/>
      <c r="X548" s="319"/>
      <c r="Y548" s="319">
        <v>0</v>
      </c>
      <c r="Z548" s="320"/>
      <c r="AA548" s="328">
        <f t="shared" si="97"/>
        <v>0</v>
      </c>
      <c r="AB548" s="298">
        <f t="shared" si="98"/>
        <v>0</v>
      </c>
      <c r="AC548" s="4"/>
      <c r="AD548" s="531"/>
      <c r="AE548" s="531"/>
      <c r="AF548" s="319"/>
      <c r="AG548" s="328"/>
      <c r="AH548" s="175"/>
      <c r="AI548" s="402"/>
      <c r="AJ548" s="367"/>
      <c r="AK548" s="494"/>
      <c r="AL548" s="471"/>
      <c r="AM548" s="510"/>
      <c r="AN548" s="510"/>
      <c r="AQ548" s="367"/>
      <c r="AR548" s="367"/>
      <c r="AS548" s="367"/>
      <c r="AT548" s="367"/>
      <c r="AU548" s="367"/>
      <c r="AV548" s="367"/>
      <c r="AW548" s="367"/>
    </row>
    <row r="549" spans="1:49" outlineLevel="1">
      <c r="A549" s="367"/>
      <c r="B549" s="457" t="s">
        <v>399</v>
      </c>
      <c r="C549" s="47" t="s">
        <v>433</v>
      </c>
      <c r="D549" s="47"/>
      <c r="E549" s="319">
        <v>8</v>
      </c>
      <c r="F549" s="320"/>
      <c r="G549" s="4"/>
      <c r="H549" s="47" t="s">
        <v>433</v>
      </c>
      <c r="I549" s="47"/>
      <c r="J549" s="319">
        <v>8</v>
      </c>
      <c r="K549" s="320"/>
      <c r="L549" s="4"/>
      <c r="M549" s="47" t="s">
        <v>433</v>
      </c>
      <c r="N549" s="47"/>
      <c r="O549" s="319">
        <v>8</v>
      </c>
      <c r="P549" s="320"/>
      <c r="R549" s="47" t="s">
        <v>434</v>
      </c>
      <c r="S549" s="441"/>
      <c r="T549" s="319">
        <v>8</v>
      </c>
      <c r="U549" s="320"/>
      <c r="W549" s="47" t="s">
        <v>433</v>
      </c>
      <c r="X549" s="441"/>
      <c r="Y549" s="319">
        <v>8</v>
      </c>
      <c r="Z549" s="320">
        <v>3</v>
      </c>
      <c r="AA549" s="328">
        <f t="shared" si="97"/>
        <v>40</v>
      </c>
      <c r="AB549" s="298">
        <f t="shared" si="98"/>
        <v>3</v>
      </c>
      <c r="AC549" s="399"/>
      <c r="AD549" s="47"/>
      <c r="AE549" s="47"/>
      <c r="AF549" s="319"/>
      <c r="AG549" s="29">
        <f t="shared" ref="AG549:AG582" si="99">AF549</f>
        <v>0</v>
      </c>
      <c r="AH549" s="175"/>
      <c r="AJ549" s="401"/>
      <c r="AK549" s="494" t="s">
        <v>213</v>
      </c>
      <c r="AL549" s="471">
        <f>AA585</f>
        <v>40</v>
      </c>
      <c r="AM549" s="510">
        <v>50</v>
      </c>
      <c r="AN549" s="510">
        <f>AL549*AM549</f>
        <v>2000</v>
      </c>
      <c r="AO549" s="405"/>
      <c r="AP549" s="405"/>
      <c r="AQ549" s="401"/>
      <c r="AR549" s="401"/>
      <c r="AS549" s="401"/>
      <c r="AT549" s="401"/>
      <c r="AU549" s="401"/>
      <c r="AV549" s="401"/>
      <c r="AW549" s="401"/>
    </row>
    <row r="550" spans="1:49" outlineLevel="1">
      <c r="A550" s="367"/>
      <c r="B550" s="318" t="s">
        <v>381</v>
      </c>
      <c r="C550" s="47" t="s">
        <v>435</v>
      </c>
      <c r="D550" s="47"/>
      <c r="E550" s="319">
        <v>8</v>
      </c>
      <c r="F550" s="320"/>
      <c r="G550" s="4"/>
      <c r="H550" s="319"/>
      <c r="I550" s="319"/>
      <c r="J550" s="319">
        <v>8</v>
      </c>
      <c r="K550" s="320"/>
      <c r="L550" s="4"/>
      <c r="M550" s="319"/>
      <c r="N550" s="319"/>
      <c r="O550" s="319">
        <v>8</v>
      </c>
      <c r="P550" s="320"/>
      <c r="R550" s="319"/>
      <c r="S550" s="319"/>
      <c r="T550" s="319">
        <v>8</v>
      </c>
      <c r="U550" s="320"/>
      <c r="W550" s="319"/>
      <c r="X550" s="319"/>
      <c r="Y550" s="319">
        <v>0</v>
      </c>
      <c r="Z550" s="320"/>
      <c r="AA550" s="328">
        <f t="shared" si="97"/>
        <v>32</v>
      </c>
      <c r="AB550" s="298">
        <f t="shared" si="98"/>
        <v>0</v>
      </c>
      <c r="AC550" s="399"/>
      <c r="AD550" s="47"/>
      <c r="AE550" s="47"/>
      <c r="AF550" s="319"/>
      <c r="AG550" s="29">
        <f t="shared" si="99"/>
        <v>0</v>
      </c>
      <c r="AH550" s="175"/>
      <c r="AJ550" s="401"/>
      <c r="AK550" s="494" t="s">
        <v>36</v>
      </c>
      <c r="AL550" s="471">
        <f>AB585</f>
        <v>6.25</v>
      </c>
      <c r="AM550" s="510">
        <v>75</v>
      </c>
      <c r="AN550" s="510">
        <f>AL550*AM550</f>
        <v>468.75</v>
      </c>
      <c r="AO550" s="405"/>
      <c r="AP550" s="405"/>
      <c r="AQ550" s="401"/>
      <c r="AR550" s="401"/>
      <c r="AS550" s="401"/>
      <c r="AT550" s="401"/>
      <c r="AU550" s="401"/>
      <c r="AV550" s="401"/>
      <c r="AW550" s="401"/>
    </row>
    <row r="551" spans="1:49" outlineLevel="1">
      <c r="A551" s="367"/>
      <c r="B551" s="457" t="s">
        <v>389</v>
      </c>
      <c r="C551" s="47" t="s">
        <v>433</v>
      </c>
      <c r="D551" s="47"/>
      <c r="E551" s="319">
        <v>8</v>
      </c>
      <c r="F551" s="320"/>
      <c r="G551" s="4"/>
      <c r="H551" s="47" t="s">
        <v>433</v>
      </c>
      <c r="I551" s="47"/>
      <c r="J551" s="319">
        <v>8</v>
      </c>
      <c r="K551" s="320"/>
      <c r="L551" s="4"/>
      <c r="M551" s="47" t="s">
        <v>433</v>
      </c>
      <c r="N551" s="47"/>
      <c r="O551" s="319">
        <v>8</v>
      </c>
      <c r="P551" s="320"/>
      <c r="R551" s="47" t="s">
        <v>433</v>
      </c>
      <c r="S551" s="441"/>
      <c r="T551" s="319">
        <v>8</v>
      </c>
      <c r="U551" s="320"/>
      <c r="W551" s="47" t="s">
        <v>433</v>
      </c>
      <c r="X551" s="441"/>
      <c r="Y551" s="319">
        <v>8</v>
      </c>
      <c r="Z551" s="320">
        <v>3</v>
      </c>
      <c r="AA551" s="328">
        <f t="shared" si="97"/>
        <v>40</v>
      </c>
      <c r="AB551" s="298">
        <f t="shared" si="98"/>
        <v>3</v>
      </c>
      <c r="AC551" s="175"/>
      <c r="AD551" s="47"/>
      <c r="AE551" s="47"/>
      <c r="AF551" s="319"/>
      <c r="AG551" s="344">
        <f t="shared" si="99"/>
        <v>0</v>
      </c>
      <c r="AH551" s="175"/>
      <c r="AI551" s="368"/>
      <c r="AK551" s="494" t="s">
        <v>38</v>
      </c>
      <c r="AL551" s="471">
        <f>AG585</f>
        <v>0</v>
      </c>
      <c r="AM551" s="510">
        <v>75</v>
      </c>
      <c r="AN551" s="510">
        <f>AL551*AM551</f>
        <v>0</v>
      </c>
    </row>
    <row r="552" spans="1:49" ht="14.25" outlineLevel="1" thickBot="1">
      <c r="A552" s="401"/>
      <c r="B552" s="318" t="s">
        <v>398</v>
      </c>
      <c r="C552" s="541" t="s">
        <v>433</v>
      </c>
      <c r="D552" s="319"/>
      <c r="E552" s="319">
        <v>8</v>
      </c>
      <c r="F552" s="320"/>
      <c r="G552" s="4"/>
      <c r="H552" s="47" t="s">
        <v>433</v>
      </c>
      <c r="I552" s="319"/>
      <c r="J552" s="319">
        <v>8</v>
      </c>
      <c r="K552" s="320"/>
      <c r="L552" s="4"/>
      <c r="M552" s="47" t="s">
        <v>433</v>
      </c>
      <c r="N552" s="319"/>
      <c r="O552" s="319">
        <v>8</v>
      </c>
      <c r="P552" s="320"/>
      <c r="R552" s="319"/>
      <c r="S552" s="319"/>
      <c r="T552" s="319">
        <v>0</v>
      </c>
      <c r="U552" s="320"/>
      <c r="W552" s="353">
        <v>0.45833333333333331</v>
      </c>
      <c r="X552" s="353">
        <v>0.25</v>
      </c>
      <c r="Y552" s="319">
        <v>8</v>
      </c>
      <c r="Z552" s="320"/>
      <c r="AA552" s="328">
        <f t="shared" si="97"/>
        <v>32</v>
      </c>
      <c r="AB552" s="298">
        <f t="shared" si="98"/>
        <v>0</v>
      </c>
      <c r="AC552" s="4"/>
      <c r="AD552" s="47"/>
      <c r="AE552" s="47"/>
      <c r="AF552" s="319"/>
      <c r="AG552" s="29">
        <f t="shared" si="99"/>
        <v>0</v>
      </c>
      <c r="AJ552" s="367"/>
      <c r="AK552" s="494" t="s">
        <v>41</v>
      </c>
      <c r="AL552" s="471">
        <f>C586</f>
        <v>51</v>
      </c>
      <c r="AM552" s="512">
        <v>45</v>
      </c>
      <c r="AN552" s="512">
        <f>AL552*AM552</f>
        <v>2295</v>
      </c>
      <c r="AQ552" s="367"/>
      <c r="AR552" s="367"/>
      <c r="AS552" s="367"/>
      <c r="AT552" s="367"/>
      <c r="AU552" s="367"/>
      <c r="AV552" s="367"/>
      <c r="AW552" s="367"/>
    </row>
    <row r="553" spans="1:49" ht="14.25" outlineLevel="1" thickTop="1">
      <c r="A553" s="367"/>
      <c r="B553" s="457" t="s">
        <v>401</v>
      </c>
      <c r="C553" s="376" t="s">
        <v>433</v>
      </c>
      <c r="D553" s="537"/>
      <c r="E553" s="319">
        <v>8</v>
      </c>
      <c r="F553" s="538"/>
      <c r="G553" s="539"/>
      <c r="H553" s="376" t="s">
        <v>433</v>
      </c>
      <c r="I553" s="537"/>
      <c r="J553" s="319">
        <v>8</v>
      </c>
      <c r="K553" s="538"/>
      <c r="L553" s="539"/>
      <c r="M553" s="47" t="s">
        <v>433</v>
      </c>
      <c r="N553" s="537"/>
      <c r="O553" s="319">
        <v>8</v>
      </c>
      <c r="P553" s="538"/>
      <c r="Q553" s="539"/>
      <c r="R553" s="47" t="s">
        <v>433</v>
      </c>
      <c r="S553" s="540"/>
      <c r="T553" s="319">
        <v>8</v>
      </c>
      <c r="U553" s="538"/>
      <c r="V553" s="539"/>
      <c r="W553" s="47" t="s">
        <v>433</v>
      </c>
      <c r="X553" s="540"/>
      <c r="Y553" s="319">
        <v>8</v>
      </c>
      <c r="Z553" s="320">
        <v>2</v>
      </c>
      <c r="AA553" s="328">
        <f t="shared" si="97"/>
        <v>40</v>
      </c>
      <c r="AB553" s="298">
        <f t="shared" si="98"/>
        <v>2</v>
      </c>
      <c r="AC553" s="4"/>
      <c r="AD553" s="47"/>
      <c r="AE553" s="47"/>
      <c r="AF553" s="319"/>
      <c r="AG553" s="29">
        <f t="shared" si="99"/>
        <v>0</v>
      </c>
      <c r="AN553" s="510">
        <f>SUM(AN545:AN552)</f>
        <v>38784.39</v>
      </c>
    </row>
    <row r="554" spans="1:49" outlineLevel="1">
      <c r="A554" s="180"/>
      <c r="B554" s="318" t="s">
        <v>406</v>
      </c>
      <c r="C554" s="47" t="s">
        <v>433</v>
      </c>
      <c r="D554" s="47"/>
      <c r="E554" s="319">
        <v>8</v>
      </c>
      <c r="F554" s="320"/>
      <c r="G554" s="4"/>
      <c r="H554" s="319"/>
      <c r="I554" s="319"/>
      <c r="J554" s="319">
        <v>0</v>
      </c>
      <c r="K554" s="320"/>
      <c r="L554" s="4"/>
      <c r="M554" s="47" t="s">
        <v>433</v>
      </c>
      <c r="N554" s="47"/>
      <c r="O554" s="319">
        <v>8</v>
      </c>
      <c r="P554" s="320"/>
      <c r="R554" s="47" t="s">
        <v>433</v>
      </c>
      <c r="S554" s="441"/>
      <c r="T554" s="319">
        <v>8</v>
      </c>
      <c r="U554" s="320"/>
      <c r="W554" s="47" t="s">
        <v>433</v>
      </c>
      <c r="X554" s="441"/>
      <c r="Y554" s="319">
        <v>8</v>
      </c>
      <c r="Z554" s="320">
        <v>3</v>
      </c>
      <c r="AA554" s="328">
        <f t="shared" si="97"/>
        <v>32</v>
      </c>
      <c r="AB554" s="298">
        <f t="shared" si="98"/>
        <v>3</v>
      </c>
      <c r="AC554" s="4"/>
      <c r="AD554" s="47"/>
      <c r="AE554" s="47"/>
      <c r="AF554" s="319"/>
      <c r="AG554" s="29">
        <f t="shared" si="99"/>
        <v>0</v>
      </c>
    </row>
    <row r="555" spans="1:49" outlineLevel="1">
      <c r="A555" s="180"/>
      <c r="B555" s="457" t="s">
        <v>386</v>
      </c>
      <c r="C555" s="319"/>
      <c r="D555" s="319"/>
      <c r="E555" s="319">
        <v>0</v>
      </c>
      <c r="F555" s="320"/>
      <c r="G555" s="4"/>
      <c r="H555" s="47" t="s">
        <v>436</v>
      </c>
      <c r="I555" s="47"/>
      <c r="J555" s="319">
        <v>8</v>
      </c>
      <c r="K555" s="320"/>
      <c r="L555" s="4"/>
      <c r="M555" s="47" t="s">
        <v>437</v>
      </c>
      <c r="N555" s="47"/>
      <c r="O555" s="319">
        <v>8</v>
      </c>
      <c r="P555" s="320"/>
      <c r="R555" s="47" t="s">
        <v>437</v>
      </c>
      <c r="S555" s="441"/>
      <c r="T555" s="319">
        <v>8</v>
      </c>
      <c r="U555" s="320"/>
      <c r="W555" s="47" t="s">
        <v>437</v>
      </c>
      <c r="X555" s="441"/>
      <c r="Y555" s="319">
        <v>8</v>
      </c>
      <c r="Z555" s="320"/>
      <c r="AA555" s="328">
        <f t="shared" si="97"/>
        <v>32</v>
      </c>
      <c r="AB555" s="298">
        <f t="shared" si="98"/>
        <v>0</v>
      </c>
      <c r="AC555" s="4"/>
      <c r="AD555" s="47"/>
      <c r="AE555" s="47"/>
      <c r="AF555" s="319"/>
      <c r="AG555" s="29">
        <f t="shared" si="99"/>
        <v>0</v>
      </c>
    </row>
    <row r="556" spans="1:49" outlineLevel="1">
      <c r="A556" s="180"/>
      <c r="B556" s="457" t="s">
        <v>388</v>
      </c>
      <c r="C556" s="47" t="s">
        <v>435</v>
      </c>
      <c r="D556" s="47"/>
      <c r="E556" s="319">
        <v>8</v>
      </c>
      <c r="F556" s="320"/>
      <c r="G556" s="4"/>
      <c r="H556" s="47" t="s">
        <v>436</v>
      </c>
      <c r="I556" s="47"/>
      <c r="J556" s="319">
        <v>8</v>
      </c>
      <c r="K556" s="320"/>
      <c r="L556" s="4"/>
      <c r="M556" s="47" t="s">
        <v>437</v>
      </c>
      <c r="N556" s="47"/>
      <c r="O556" s="319">
        <v>8</v>
      </c>
      <c r="P556" s="320"/>
      <c r="R556" s="47" t="s">
        <v>437</v>
      </c>
      <c r="S556" s="441"/>
      <c r="T556" s="319">
        <v>8</v>
      </c>
      <c r="U556" s="320"/>
      <c r="W556" s="47" t="s">
        <v>437</v>
      </c>
      <c r="X556" s="441"/>
      <c r="Y556" s="319">
        <v>8</v>
      </c>
      <c r="Z556" s="320"/>
      <c r="AA556" s="328">
        <f t="shared" si="97"/>
        <v>40</v>
      </c>
      <c r="AB556" s="298">
        <f t="shared" si="98"/>
        <v>0</v>
      </c>
      <c r="AC556" s="4"/>
      <c r="AD556" s="47"/>
      <c r="AE556" s="47"/>
      <c r="AF556" s="319"/>
      <c r="AG556" s="29">
        <f t="shared" si="99"/>
        <v>0</v>
      </c>
    </row>
    <row r="557" spans="1:49" outlineLevel="1">
      <c r="A557" s="180"/>
      <c r="B557" s="318" t="s">
        <v>394</v>
      </c>
      <c r="C557" s="47" t="s">
        <v>433</v>
      </c>
      <c r="D557" s="47"/>
      <c r="E557" s="319">
        <v>8</v>
      </c>
      <c r="F557" s="320"/>
      <c r="G557" s="4"/>
      <c r="H557" s="47" t="s">
        <v>433</v>
      </c>
      <c r="I557" s="47"/>
      <c r="J557" s="319">
        <v>8</v>
      </c>
      <c r="K557" s="320"/>
      <c r="L557" s="4"/>
      <c r="M557" s="47" t="s">
        <v>433</v>
      </c>
      <c r="N557" s="47"/>
      <c r="O557" s="319">
        <v>8</v>
      </c>
      <c r="P557" s="320"/>
      <c r="R557" s="47" t="s">
        <v>434</v>
      </c>
      <c r="S557" s="441"/>
      <c r="T557" s="319">
        <v>8</v>
      </c>
      <c r="U557" s="320"/>
      <c r="W557" s="47" t="s">
        <v>433</v>
      </c>
      <c r="X557" s="441"/>
      <c r="Y557" s="319">
        <v>8</v>
      </c>
      <c r="Z557" s="320"/>
      <c r="AA557" s="328">
        <f t="shared" si="97"/>
        <v>40</v>
      </c>
      <c r="AB557" s="298">
        <f t="shared" si="98"/>
        <v>0</v>
      </c>
      <c r="AC557" s="4"/>
      <c r="AD557" s="47"/>
      <c r="AE557" s="47"/>
      <c r="AF557" s="319"/>
      <c r="AG557" s="29">
        <f t="shared" si="99"/>
        <v>0</v>
      </c>
    </row>
    <row r="558" spans="1:49" outlineLevel="1">
      <c r="A558" s="180"/>
      <c r="B558" s="318" t="s">
        <v>395</v>
      </c>
      <c r="C558" s="376" t="s">
        <v>433</v>
      </c>
      <c r="D558" s="537"/>
      <c r="E558" s="319">
        <v>8</v>
      </c>
      <c r="F558" s="538"/>
      <c r="G558" s="539"/>
      <c r="H558" s="376" t="s">
        <v>433</v>
      </c>
      <c r="I558" s="537"/>
      <c r="J558" s="319">
        <v>8</v>
      </c>
      <c r="K558" s="538"/>
      <c r="L558" s="539"/>
      <c r="M558" s="47" t="s">
        <v>433</v>
      </c>
      <c r="N558" s="537"/>
      <c r="O558" s="319">
        <v>8</v>
      </c>
      <c r="P558" s="538"/>
      <c r="Q558" s="539"/>
      <c r="R558" s="376" t="s">
        <v>433</v>
      </c>
      <c r="S558" s="540"/>
      <c r="T558" s="319">
        <v>8</v>
      </c>
      <c r="U558" s="538"/>
      <c r="V558" s="539"/>
      <c r="W558" s="47" t="s">
        <v>433</v>
      </c>
      <c r="X558" s="540"/>
      <c r="Y558" s="319">
        <v>8</v>
      </c>
      <c r="Z558" s="320">
        <v>2</v>
      </c>
      <c r="AA558" s="328">
        <f t="shared" si="97"/>
        <v>40</v>
      </c>
      <c r="AB558" s="298">
        <f>Z558+U558+P558+K558+F558</f>
        <v>2</v>
      </c>
      <c r="AC558" s="4"/>
      <c r="AD558" s="47"/>
      <c r="AE558" s="47"/>
      <c r="AF558" s="319"/>
      <c r="AG558" s="29">
        <f t="shared" si="99"/>
        <v>0</v>
      </c>
    </row>
    <row r="559" spans="1:49" outlineLevel="1">
      <c r="A559" s="180"/>
      <c r="B559" s="457" t="s">
        <v>383</v>
      </c>
      <c r="C559" s="47" t="s">
        <v>435</v>
      </c>
      <c r="D559" s="47"/>
      <c r="E559" s="319">
        <v>8</v>
      </c>
      <c r="F559" s="320"/>
      <c r="G559" s="4"/>
      <c r="H559" s="47" t="s">
        <v>436</v>
      </c>
      <c r="I559" s="47"/>
      <c r="J559" s="319">
        <v>8</v>
      </c>
      <c r="K559" s="320"/>
      <c r="L559" s="4"/>
      <c r="M559" s="47" t="s">
        <v>437</v>
      </c>
      <c r="N559" s="47"/>
      <c r="O559" s="319">
        <v>8</v>
      </c>
      <c r="P559" s="320"/>
      <c r="R559" s="47" t="s">
        <v>437</v>
      </c>
      <c r="S559" s="441"/>
      <c r="T559" s="319">
        <v>8</v>
      </c>
      <c r="U559" s="320"/>
      <c r="W559" s="47" t="s">
        <v>437</v>
      </c>
      <c r="X559" s="441"/>
      <c r="Y559" s="319">
        <v>8</v>
      </c>
      <c r="Z559" s="320"/>
      <c r="AA559" s="328">
        <f t="shared" si="97"/>
        <v>40</v>
      </c>
      <c r="AB559" s="298">
        <f t="shared" si="98"/>
        <v>0</v>
      </c>
      <c r="AC559" s="4"/>
      <c r="AD559" s="47"/>
      <c r="AE559" s="47"/>
      <c r="AF559" s="319"/>
      <c r="AG559" s="29">
        <f t="shared" si="99"/>
        <v>0</v>
      </c>
    </row>
    <row r="560" spans="1:49" outlineLevel="1">
      <c r="A560" s="180"/>
      <c r="B560" s="318" t="s">
        <v>438</v>
      </c>
      <c r="C560" s="319"/>
      <c r="D560" s="319"/>
      <c r="E560" s="319">
        <v>0</v>
      </c>
      <c r="F560" s="320"/>
      <c r="G560" s="4"/>
      <c r="H560" s="319"/>
      <c r="I560" s="319"/>
      <c r="J560" s="319">
        <v>0</v>
      </c>
      <c r="K560" s="320"/>
      <c r="L560" s="4"/>
      <c r="M560" s="319"/>
      <c r="N560" s="319"/>
      <c r="O560" s="319">
        <v>0</v>
      </c>
      <c r="P560" s="320"/>
      <c r="R560" s="319"/>
      <c r="S560" s="319"/>
      <c r="T560" s="319">
        <v>0</v>
      </c>
      <c r="U560" s="320"/>
      <c r="W560" s="319"/>
      <c r="X560" s="319"/>
      <c r="Y560" s="319">
        <v>0</v>
      </c>
      <c r="Z560" s="320"/>
      <c r="AA560" s="328">
        <f t="shared" si="97"/>
        <v>0</v>
      </c>
      <c r="AB560" s="298">
        <f t="shared" si="98"/>
        <v>0</v>
      </c>
      <c r="AC560" s="4"/>
      <c r="AD560" s="47"/>
      <c r="AE560" s="47"/>
      <c r="AF560" s="319"/>
      <c r="AG560" s="29">
        <f t="shared" si="99"/>
        <v>0</v>
      </c>
    </row>
    <row r="561" spans="1:37" outlineLevel="1">
      <c r="A561" s="180"/>
      <c r="B561" s="318" t="s">
        <v>439</v>
      </c>
      <c r="C561" s="319"/>
      <c r="D561" s="319"/>
      <c r="E561" s="319">
        <v>0</v>
      </c>
      <c r="F561" s="320"/>
      <c r="G561" s="4"/>
      <c r="H561" s="319"/>
      <c r="I561" s="319"/>
      <c r="J561" s="319">
        <v>0</v>
      </c>
      <c r="K561" s="320"/>
      <c r="L561" s="4"/>
      <c r="M561" s="319"/>
      <c r="N561" s="319"/>
      <c r="O561" s="319">
        <v>0</v>
      </c>
      <c r="P561" s="320"/>
      <c r="R561" s="319"/>
      <c r="S561" s="319"/>
      <c r="T561" s="319">
        <v>0</v>
      </c>
      <c r="U561" s="320"/>
      <c r="W561" s="319"/>
      <c r="X561" s="319"/>
      <c r="Y561" s="319">
        <v>0</v>
      </c>
      <c r="Z561" s="320"/>
      <c r="AA561" s="328">
        <f t="shared" si="97"/>
        <v>0</v>
      </c>
      <c r="AB561" s="298">
        <f t="shared" si="98"/>
        <v>0</v>
      </c>
      <c r="AC561" s="4"/>
      <c r="AD561" s="47"/>
      <c r="AE561" s="47"/>
      <c r="AF561" s="319"/>
      <c r="AG561" s="29">
        <f t="shared" si="99"/>
        <v>0</v>
      </c>
    </row>
    <row r="562" spans="1:37" outlineLevel="1">
      <c r="A562" s="180"/>
      <c r="B562" s="318" t="s">
        <v>440</v>
      </c>
      <c r="C562" s="319"/>
      <c r="D562" s="319"/>
      <c r="E562" s="319">
        <v>0</v>
      </c>
      <c r="F562" s="320"/>
      <c r="G562" s="4"/>
      <c r="H562" s="319"/>
      <c r="I562" s="319"/>
      <c r="J562" s="319">
        <v>0</v>
      </c>
      <c r="K562" s="320"/>
      <c r="L562" s="4"/>
      <c r="M562" s="319"/>
      <c r="N562" s="319"/>
      <c r="O562" s="319">
        <v>0</v>
      </c>
      <c r="P562" s="320"/>
      <c r="R562" s="319"/>
      <c r="S562" s="319"/>
      <c r="T562" s="544">
        <v>8</v>
      </c>
      <c r="U562" s="320"/>
      <c r="W562" s="319"/>
      <c r="X562" s="319"/>
      <c r="Y562" s="544">
        <v>8</v>
      </c>
      <c r="Z562" s="320"/>
      <c r="AA562" s="328">
        <f t="shared" si="97"/>
        <v>16</v>
      </c>
      <c r="AB562" s="298">
        <f t="shared" si="98"/>
        <v>0</v>
      </c>
      <c r="AC562" s="4"/>
      <c r="AD562" s="47"/>
      <c r="AE562" s="47"/>
      <c r="AF562" s="319"/>
      <c r="AG562" s="29">
        <f t="shared" si="99"/>
        <v>0</v>
      </c>
    </row>
    <row r="563" spans="1:37" outlineLevel="1">
      <c r="A563" s="180"/>
      <c r="B563" s="318" t="s">
        <v>441</v>
      </c>
      <c r="C563" s="319"/>
      <c r="D563" s="319"/>
      <c r="E563" s="319">
        <v>0</v>
      </c>
      <c r="F563" s="320"/>
      <c r="G563" s="4"/>
      <c r="H563" s="319"/>
      <c r="I563" s="319"/>
      <c r="J563" s="319">
        <v>0</v>
      </c>
      <c r="K563" s="320"/>
      <c r="L563" s="4"/>
      <c r="M563" s="319"/>
      <c r="N563" s="319"/>
      <c r="O563" s="319">
        <v>0</v>
      </c>
      <c r="P563" s="320"/>
      <c r="R563" s="319"/>
      <c r="S563" s="319"/>
      <c r="T563" s="319">
        <v>0</v>
      </c>
      <c r="U563" s="320"/>
      <c r="W563" s="319"/>
      <c r="X563" s="319"/>
      <c r="Y563" s="319">
        <v>0</v>
      </c>
      <c r="Z563" s="320"/>
      <c r="AA563" s="328">
        <f t="shared" si="97"/>
        <v>0</v>
      </c>
      <c r="AB563" s="298">
        <f t="shared" ref="AB563:AB574" si="100">Z563+U563+P563+K563+F561</f>
        <v>0</v>
      </c>
      <c r="AC563" s="4"/>
      <c r="AD563" s="47"/>
      <c r="AE563" s="47"/>
      <c r="AF563" s="319"/>
      <c r="AG563" s="29">
        <f t="shared" si="99"/>
        <v>0</v>
      </c>
    </row>
    <row r="564" spans="1:37" outlineLevel="1">
      <c r="A564" s="180"/>
      <c r="B564" s="318" t="s">
        <v>442</v>
      </c>
      <c r="C564" s="319"/>
      <c r="D564" s="319"/>
      <c r="E564" s="319">
        <v>0</v>
      </c>
      <c r="F564" s="320"/>
      <c r="G564" s="4"/>
      <c r="H564" s="319"/>
      <c r="I564" s="319"/>
      <c r="J564" s="319">
        <v>0</v>
      </c>
      <c r="K564" s="320"/>
      <c r="L564" s="4"/>
      <c r="M564" s="319"/>
      <c r="N564" s="319"/>
      <c r="O564" s="319">
        <v>0</v>
      </c>
      <c r="P564" s="320"/>
      <c r="R564" s="319"/>
      <c r="S564" s="319"/>
      <c r="T564" s="319">
        <v>0</v>
      </c>
      <c r="U564" s="320"/>
      <c r="W564" s="319"/>
      <c r="X564" s="319"/>
      <c r="Y564" s="319">
        <v>0</v>
      </c>
      <c r="Z564" s="320"/>
      <c r="AA564" s="328">
        <f t="shared" ref="AA564:AA574" si="101">(E564+J564+O564+T564+Y564)</f>
        <v>0</v>
      </c>
      <c r="AB564" s="298">
        <f t="shared" si="100"/>
        <v>0</v>
      </c>
      <c r="AC564" s="4"/>
      <c r="AD564" s="47"/>
      <c r="AE564" s="47"/>
      <c r="AF564" s="319"/>
      <c r="AG564" s="29">
        <f t="shared" ref="AG564:AG574" si="102">AF564</f>
        <v>0</v>
      </c>
    </row>
    <row r="565" spans="1:37" outlineLevel="1">
      <c r="A565" s="180"/>
      <c r="B565" s="318" t="s">
        <v>443</v>
      </c>
      <c r="C565" s="319"/>
      <c r="D565" s="319"/>
      <c r="E565" s="319">
        <v>0</v>
      </c>
      <c r="F565" s="320"/>
      <c r="G565" s="4"/>
      <c r="H565" s="319"/>
      <c r="I565" s="319"/>
      <c r="J565" s="319">
        <v>0</v>
      </c>
      <c r="K565" s="320"/>
      <c r="L565" s="4"/>
      <c r="M565" s="319"/>
      <c r="N565" s="319"/>
      <c r="O565" s="319">
        <v>0</v>
      </c>
      <c r="P565" s="320"/>
      <c r="R565" s="319"/>
      <c r="S565" s="319"/>
      <c r="T565" s="319">
        <v>0</v>
      </c>
      <c r="U565" s="320"/>
      <c r="W565" s="319"/>
      <c r="X565" s="319"/>
      <c r="Y565" s="319">
        <v>0</v>
      </c>
      <c r="Z565" s="320"/>
      <c r="AA565" s="328">
        <f t="shared" si="101"/>
        <v>0</v>
      </c>
      <c r="AB565" s="298">
        <f t="shared" si="100"/>
        <v>0</v>
      </c>
      <c r="AC565" s="4"/>
      <c r="AD565" s="47"/>
      <c r="AE565" s="47"/>
      <c r="AF565" s="319"/>
      <c r="AG565" s="29">
        <f t="shared" si="102"/>
        <v>0</v>
      </c>
    </row>
    <row r="566" spans="1:37" outlineLevel="1">
      <c r="A566" s="180"/>
      <c r="B566" s="318" t="s">
        <v>444</v>
      </c>
      <c r="C566" s="319"/>
      <c r="D566" s="319"/>
      <c r="E566" s="319">
        <v>0</v>
      </c>
      <c r="F566" s="320"/>
      <c r="G566" s="4"/>
      <c r="H566" s="319"/>
      <c r="I566" s="319"/>
      <c r="J566" s="319">
        <v>0</v>
      </c>
      <c r="K566" s="320"/>
      <c r="L566" s="4"/>
      <c r="M566" s="319"/>
      <c r="N566" s="319"/>
      <c r="O566" s="319">
        <v>0</v>
      </c>
      <c r="P566" s="320"/>
      <c r="R566" s="319"/>
      <c r="S566" s="319"/>
      <c r="T566" s="319">
        <v>0</v>
      </c>
      <c r="U566" s="320"/>
      <c r="W566" s="319"/>
      <c r="X566" s="319"/>
      <c r="Y566" s="319">
        <v>0</v>
      </c>
      <c r="Z566" s="320"/>
      <c r="AA566" s="328">
        <f t="shared" si="101"/>
        <v>0</v>
      </c>
      <c r="AB566" s="298">
        <f t="shared" si="100"/>
        <v>0</v>
      </c>
      <c r="AC566" s="4"/>
      <c r="AD566" s="47"/>
      <c r="AE566" s="47"/>
      <c r="AF566" s="319"/>
      <c r="AG566" s="29">
        <f t="shared" si="102"/>
        <v>0</v>
      </c>
    </row>
    <row r="567" spans="1:37" outlineLevel="1">
      <c r="A567" s="180"/>
      <c r="B567" s="318" t="s">
        <v>445</v>
      </c>
      <c r="C567" s="47" t="s">
        <v>446</v>
      </c>
      <c r="D567" s="47"/>
      <c r="E567" s="319">
        <v>8</v>
      </c>
      <c r="F567" s="320"/>
      <c r="G567" s="4"/>
      <c r="H567" s="47" t="s">
        <v>446</v>
      </c>
      <c r="I567" s="47"/>
      <c r="J567" s="319">
        <v>8</v>
      </c>
      <c r="K567" s="320"/>
      <c r="L567" s="4"/>
      <c r="M567" s="319"/>
      <c r="N567" s="319"/>
      <c r="O567" s="319">
        <v>0</v>
      </c>
      <c r="P567" s="320"/>
      <c r="R567" s="541" t="s">
        <v>447</v>
      </c>
      <c r="S567" s="319"/>
      <c r="T567" s="319">
        <v>8</v>
      </c>
      <c r="U567" s="320"/>
      <c r="W567" s="545" t="s">
        <v>448</v>
      </c>
      <c r="X567" s="545"/>
      <c r="Y567" s="319">
        <v>8</v>
      </c>
      <c r="Z567" s="320"/>
      <c r="AA567" s="328">
        <f t="shared" si="101"/>
        <v>32</v>
      </c>
      <c r="AB567" s="298">
        <f t="shared" si="100"/>
        <v>0</v>
      </c>
      <c r="AC567" s="4"/>
      <c r="AD567" s="47"/>
      <c r="AE567" s="47"/>
      <c r="AF567" s="319"/>
      <c r="AG567" s="29">
        <f t="shared" si="102"/>
        <v>0</v>
      </c>
    </row>
    <row r="568" spans="1:37" outlineLevel="1">
      <c r="A568" s="180"/>
      <c r="B568" s="457" t="s">
        <v>449</v>
      </c>
      <c r="C568" s="319"/>
      <c r="D568" s="319"/>
      <c r="E568" s="319">
        <v>0</v>
      </c>
      <c r="F568" s="320"/>
      <c r="G568" s="4"/>
      <c r="H568" s="319"/>
      <c r="I568" s="319"/>
      <c r="J568" s="319">
        <v>0</v>
      </c>
      <c r="K568" s="320"/>
      <c r="L568" s="4"/>
      <c r="M568" s="319"/>
      <c r="N568" s="319"/>
      <c r="O568" s="319">
        <v>0</v>
      </c>
      <c r="P568" s="320"/>
      <c r="R568" s="319"/>
      <c r="S568" s="319"/>
      <c r="T568" s="319">
        <v>0</v>
      </c>
      <c r="U568" s="320"/>
      <c r="W568" s="319"/>
      <c r="X568" s="319"/>
      <c r="Y568" s="319">
        <v>0</v>
      </c>
      <c r="Z568" s="320"/>
      <c r="AA568" s="328">
        <f t="shared" si="101"/>
        <v>0</v>
      </c>
      <c r="AB568" s="298">
        <f t="shared" si="100"/>
        <v>0</v>
      </c>
      <c r="AC568" s="4"/>
      <c r="AD568" s="47"/>
      <c r="AE568" s="47"/>
      <c r="AF568" s="319"/>
      <c r="AG568" s="29">
        <f t="shared" si="102"/>
        <v>0</v>
      </c>
    </row>
    <row r="569" spans="1:37" outlineLevel="1">
      <c r="A569" s="180"/>
      <c r="B569" s="457" t="s">
        <v>450</v>
      </c>
      <c r="C569" s="319"/>
      <c r="D569" s="319"/>
      <c r="E569" s="319">
        <v>0</v>
      </c>
      <c r="F569" s="320"/>
      <c r="G569" s="4"/>
      <c r="H569" s="319"/>
      <c r="I569" s="319"/>
      <c r="J569" s="319">
        <v>0</v>
      </c>
      <c r="K569" s="320"/>
      <c r="L569" s="4"/>
      <c r="M569" s="319"/>
      <c r="N569" s="319"/>
      <c r="O569" s="319">
        <v>0</v>
      </c>
      <c r="P569" s="320"/>
      <c r="R569" s="319"/>
      <c r="S569" s="319"/>
      <c r="T569" s="319">
        <v>0</v>
      </c>
      <c r="U569" s="320"/>
      <c r="W569" s="319"/>
      <c r="X569" s="319"/>
      <c r="Y569" s="319">
        <v>0</v>
      </c>
      <c r="Z569" s="320"/>
      <c r="AA569" s="328">
        <f t="shared" si="101"/>
        <v>0</v>
      </c>
      <c r="AB569" s="298">
        <f t="shared" si="100"/>
        <v>0</v>
      </c>
      <c r="AC569" s="4"/>
      <c r="AD569" s="47"/>
      <c r="AE569" s="47"/>
      <c r="AF569" s="319"/>
      <c r="AG569" s="29">
        <f t="shared" si="102"/>
        <v>0</v>
      </c>
    </row>
    <row r="570" spans="1:37" outlineLevel="1">
      <c r="A570" s="180"/>
      <c r="B570" s="502" t="s">
        <v>407</v>
      </c>
      <c r="C570" s="47"/>
      <c r="D570" s="47"/>
      <c r="E570" s="319"/>
      <c r="F570" s="320"/>
      <c r="G570" s="4"/>
      <c r="H570" s="47"/>
      <c r="I570" s="47"/>
      <c r="J570" s="319"/>
      <c r="K570" s="320"/>
      <c r="L570" s="4"/>
      <c r="M570" s="441"/>
      <c r="N570" s="47"/>
      <c r="O570" s="319"/>
      <c r="P570" s="320"/>
      <c r="R570" s="47"/>
      <c r="S570" s="47"/>
      <c r="T570" s="319"/>
      <c r="U570" s="320"/>
      <c r="W570" s="47"/>
      <c r="X570" s="47"/>
      <c r="Y570" s="319"/>
      <c r="Z570" s="320"/>
      <c r="AA570" s="328">
        <f t="shared" si="101"/>
        <v>0</v>
      </c>
      <c r="AB570" s="298">
        <f t="shared" si="100"/>
        <v>0</v>
      </c>
      <c r="AC570" s="4"/>
      <c r="AD570" s="47"/>
      <c r="AE570" s="47"/>
      <c r="AF570" s="319"/>
      <c r="AG570" s="29">
        <f t="shared" si="102"/>
        <v>0</v>
      </c>
    </row>
    <row r="571" spans="1:37" outlineLevel="1">
      <c r="A571" s="180"/>
      <c r="B571" s="502" t="s">
        <v>408</v>
      </c>
      <c r="C571" s="47"/>
      <c r="D571" s="47"/>
      <c r="E571" s="319"/>
      <c r="F571" s="320"/>
      <c r="G571" s="4"/>
      <c r="H571" s="47"/>
      <c r="I571" s="47"/>
      <c r="J571" s="319"/>
      <c r="K571" s="320"/>
      <c r="L571" s="4"/>
      <c r="M571" s="441"/>
      <c r="N571" s="47"/>
      <c r="O571" s="319"/>
      <c r="P571" s="320"/>
      <c r="R571" s="47"/>
      <c r="S571" s="47"/>
      <c r="T571" s="319"/>
      <c r="U571" s="320"/>
      <c r="W571" s="47"/>
      <c r="X571" s="47"/>
      <c r="Y571" s="319"/>
      <c r="Z571" s="320"/>
      <c r="AA571" s="328">
        <f t="shared" si="101"/>
        <v>0</v>
      </c>
      <c r="AB571" s="298">
        <f t="shared" si="100"/>
        <v>0</v>
      </c>
      <c r="AC571" s="4"/>
      <c r="AD571" s="47"/>
      <c r="AE571" s="47"/>
      <c r="AF571" s="319"/>
      <c r="AG571" s="29">
        <f t="shared" si="102"/>
        <v>0</v>
      </c>
    </row>
    <row r="572" spans="1:37" outlineLevel="1">
      <c r="A572" s="180"/>
      <c r="B572" s="502" t="s">
        <v>409</v>
      </c>
      <c r="C572" s="47"/>
      <c r="D572" s="47"/>
      <c r="E572" s="319"/>
      <c r="F572" s="320"/>
      <c r="G572" s="4"/>
      <c r="H572" s="47"/>
      <c r="I572" s="47"/>
      <c r="J572" s="319"/>
      <c r="K572" s="320"/>
      <c r="L572" s="4"/>
      <c r="M572" s="441"/>
      <c r="N572" s="47"/>
      <c r="O572" s="319"/>
      <c r="P572" s="320"/>
      <c r="R572" s="47"/>
      <c r="S572" s="47"/>
      <c r="T572" s="319"/>
      <c r="U572" s="320"/>
      <c r="W572" s="47"/>
      <c r="X572" s="47"/>
      <c r="Y572" s="319"/>
      <c r="Z572" s="320"/>
      <c r="AA572" s="328">
        <f t="shared" si="101"/>
        <v>0</v>
      </c>
      <c r="AB572" s="298">
        <f t="shared" si="100"/>
        <v>0</v>
      </c>
      <c r="AC572" s="4"/>
      <c r="AD572" s="47"/>
      <c r="AE572" s="47"/>
      <c r="AF572" s="319"/>
      <c r="AG572" s="29">
        <f t="shared" si="102"/>
        <v>0</v>
      </c>
    </row>
    <row r="573" spans="1:37" outlineLevel="1">
      <c r="A573" s="180"/>
      <c r="B573" s="460" t="s">
        <v>343</v>
      </c>
      <c r="C573" s="47"/>
      <c r="D573" s="47"/>
      <c r="E573" s="319"/>
      <c r="F573" s="320"/>
      <c r="G573" s="4"/>
      <c r="H573" s="47"/>
      <c r="I573" s="47"/>
      <c r="J573" s="319"/>
      <c r="K573" s="320"/>
      <c r="L573" s="4"/>
      <c r="M573" s="47"/>
      <c r="N573" s="47"/>
      <c r="O573" s="319"/>
      <c r="P573" s="320"/>
      <c r="R573" s="47"/>
      <c r="S573" s="47"/>
      <c r="T573" s="319"/>
      <c r="U573" s="320"/>
      <c r="W573" s="47"/>
      <c r="X573" s="47"/>
      <c r="Y573" s="319"/>
      <c r="Z573" s="320"/>
      <c r="AA573" s="328">
        <f t="shared" si="101"/>
        <v>0</v>
      </c>
      <c r="AB573" s="298">
        <f t="shared" si="100"/>
        <v>0</v>
      </c>
      <c r="AC573" s="4"/>
      <c r="AD573" s="47"/>
      <c r="AE573" s="47"/>
      <c r="AF573" s="319"/>
      <c r="AG573" s="29">
        <f t="shared" si="102"/>
        <v>0</v>
      </c>
    </row>
    <row r="574" spans="1:37" outlineLevel="1">
      <c r="A574" s="180"/>
      <c r="B574" s="63" t="s">
        <v>250</v>
      </c>
      <c r="C574" s="47" t="s">
        <v>435</v>
      </c>
      <c r="D574" s="47"/>
      <c r="E574" s="319">
        <v>8</v>
      </c>
      <c r="F574" s="320"/>
      <c r="G574" s="4"/>
      <c r="H574" s="47"/>
      <c r="I574" s="47"/>
      <c r="J574" s="319"/>
      <c r="K574" s="320"/>
      <c r="L574" s="4"/>
      <c r="M574" s="47"/>
      <c r="N574" s="47"/>
      <c r="O574" s="319"/>
      <c r="P574" s="320"/>
      <c r="R574" s="47"/>
      <c r="S574" s="47"/>
      <c r="T574" s="319"/>
      <c r="U574" s="320"/>
      <c r="W574" s="47"/>
      <c r="X574" s="47"/>
      <c r="Y574" s="319"/>
      <c r="Z574" s="320"/>
      <c r="AA574" s="328">
        <f t="shared" si="101"/>
        <v>8</v>
      </c>
      <c r="AB574" s="298">
        <f t="shared" si="100"/>
        <v>0</v>
      </c>
      <c r="AC574" s="4"/>
      <c r="AD574" s="47"/>
      <c r="AE574" s="47"/>
      <c r="AF574" s="319"/>
      <c r="AG574" s="29">
        <f t="shared" si="102"/>
        <v>0</v>
      </c>
    </row>
    <row r="575" spans="1:37" outlineLevel="1">
      <c r="A575" s="180"/>
      <c r="B575" s="63" t="s">
        <v>63</v>
      </c>
      <c r="C575" s="47"/>
      <c r="D575" s="47"/>
      <c r="E575" s="319">
        <v>4</v>
      </c>
      <c r="F575" s="320">
        <v>0.5</v>
      </c>
      <c r="G575" s="438"/>
      <c r="H575" s="47"/>
      <c r="I575" s="47"/>
      <c r="J575" s="319">
        <v>4</v>
      </c>
      <c r="K575" s="320">
        <v>0.5</v>
      </c>
      <c r="L575" s="438"/>
      <c r="M575" s="47"/>
      <c r="N575" s="47"/>
      <c r="O575" s="319">
        <v>4</v>
      </c>
      <c r="P575" s="320">
        <v>0.5</v>
      </c>
      <c r="Q575" s="438"/>
      <c r="R575" s="47"/>
      <c r="S575" s="47"/>
      <c r="T575" s="319">
        <v>4</v>
      </c>
      <c r="U575" s="320">
        <v>0.5</v>
      </c>
      <c r="V575" s="438"/>
      <c r="W575" s="47"/>
      <c r="X575" s="47"/>
      <c r="Y575" s="319">
        <v>4</v>
      </c>
      <c r="Z575" s="320"/>
      <c r="AA575" s="328">
        <f t="shared" si="97"/>
        <v>20</v>
      </c>
      <c r="AB575" s="298">
        <f t="shared" ref="AB575:AB582" si="103">Z575+U575+P575+K575+F575</f>
        <v>2</v>
      </c>
      <c r="AC575" s="4"/>
      <c r="AD575" s="47"/>
      <c r="AE575" s="47"/>
      <c r="AF575" s="319"/>
      <c r="AG575" s="29">
        <f t="shared" si="99"/>
        <v>0</v>
      </c>
      <c r="AK575" s="407"/>
    </row>
    <row r="576" spans="1:37" outlineLevel="1">
      <c r="A576" s="180"/>
      <c r="B576" s="267" t="s">
        <v>358</v>
      </c>
      <c r="C576" s="47"/>
      <c r="D576" s="47"/>
      <c r="E576" s="319">
        <v>8</v>
      </c>
      <c r="F576" s="320"/>
      <c r="G576" s="438"/>
      <c r="H576" s="47"/>
      <c r="I576" s="47"/>
      <c r="J576" s="319">
        <v>8</v>
      </c>
      <c r="K576" s="320"/>
      <c r="L576" s="438"/>
      <c r="M576" s="47"/>
      <c r="N576" s="47"/>
      <c r="O576" s="319">
        <v>8</v>
      </c>
      <c r="P576" s="320"/>
      <c r="Q576" s="438"/>
      <c r="R576" s="47"/>
      <c r="S576" s="47"/>
      <c r="T576" s="319">
        <v>8</v>
      </c>
      <c r="U576" s="320"/>
      <c r="V576" s="438"/>
      <c r="W576" s="47"/>
      <c r="X576" s="47"/>
      <c r="Y576" s="319">
        <v>8</v>
      </c>
      <c r="Z576" s="320"/>
      <c r="AA576" s="328">
        <f t="shared" si="97"/>
        <v>40</v>
      </c>
      <c r="AB576" s="298">
        <f t="shared" si="103"/>
        <v>0</v>
      </c>
      <c r="AC576" s="4"/>
      <c r="AD576" s="47"/>
      <c r="AE576" s="47"/>
      <c r="AF576" s="319"/>
      <c r="AG576" s="29">
        <f t="shared" si="99"/>
        <v>0</v>
      </c>
      <c r="AK576" s="407"/>
    </row>
    <row r="577" spans="1:49" outlineLevel="1">
      <c r="A577" s="180"/>
      <c r="B577" s="267" t="s">
        <v>359</v>
      </c>
      <c r="C577" s="47"/>
      <c r="D577" s="47"/>
      <c r="E577" s="319"/>
      <c r="F577" s="320"/>
      <c r="G577" s="438"/>
      <c r="H577" s="47"/>
      <c r="I577" s="47"/>
      <c r="J577" s="319"/>
      <c r="K577" s="320"/>
      <c r="L577" s="438"/>
      <c r="M577" s="47"/>
      <c r="N577" s="47"/>
      <c r="O577" s="319"/>
      <c r="P577" s="320"/>
      <c r="Q577" s="438"/>
      <c r="R577" s="47"/>
      <c r="S577" s="47"/>
      <c r="T577" s="319"/>
      <c r="U577" s="320"/>
      <c r="V577" s="438"/>
      <c r="W577" s="47"/>
      <c r="X577" s="47"/>
      <c r="Y577" s="319"/>
      <c r="Z577" s="320"/>
      <c r="AA577" s="328">
        <f t="shared" si="97"/>
        <v>0</v>
      </c>
      <c r="AB577" s="298">
        <f t="shared" si="103"/>
        <v>0</v>
      </c>
      <c r="AC577" s="4"/>
      <c r="AD577" s="47"/>
      <c r="AE577" s="47"/>
      <c r="AF577" s="319"/>
      <c r="AG577" s="29">
        <f t="shared" si="99"/>
        <v>0</v>
      </c>
      <c r="AK577" s="407"/>
    </row>
    <row r="578" spans="1:49" outlineLevel="1">
      <c r="A578" s="180"/>
      <c r="B578" s="267" t="s">
        <v>411</v>
      </c>
      <c r="C578" s="47"/>
      <c r="D578" s="47"/>
      <c r="E578" s="319"/>
      <c r="F578" s="320"/>
      <c r="G578" s="438"/>
      <c r="H578" s="47"/>
      <c r="I578" s="47"/>
      <c r="J578" s="319"/>
      <c r="K578" s="320"/>
      <c r="L578" s="438"/>
      <c r="M578" s="47"/>
      <c r="N578" s="47"/>
      <c r="O578" s="319"/>
      <c r="P578" s="320"/>
      <c r="Q578" s="438"/>
      <c r="R578" s="47"/>
      <c r="S578" s="47"/>
      <c r="T578" s="319"/>
      <c r="U578" s="320"/>
      <c r="V578" s="438"/>
      <c r="W578" s="47"/>
      <c r="X578" s="47"/>
      <c r="Y578" s="319"/>
      <c r="Z578" s="320"/>
      <c r="AA578" s="328">
        <f t="shared" si="97"/>
        <v>0</v>
      </c>
      <c r="AB578" s="298">
        <f t="shared" si="103"/>
        <v>0</v>
      </c>
      <c r="AC578" s="4"/>
      <c r="AD578" s="47"/>
      <c r="AE578" s="47"/>
      <c r="AF578" s="319"/>
      <c r="AG578" s="29">
        <f t="shared" si="99"/>
        <v>0</v>
      </c>
      <c r="AK578" s="407"/>
    </row>
    <row r="579" spans="1:49" ht="15" customHeight="1" outlineLevel="1">
      <c r="A579" s="180"/>
      <c r="B579" s="267" t="s">
        <v>432</v>
      </c>
      <c r="C579" s="47"/>
      <c r="D579" s="47"/>
      <c r="E579" s="319">
        <v>8</v>
      </c>
      <c r="F579" s="320"/>
      <c r="G579" s="438"/>
      <c r="H579" s="47"/>
      <c r="I579" s="47"/>
      <c r="J579" s="319">
        <v>8</v>
      </c>
      <c r="K579" s="320"/>
      <c r="L579" s="438"/>
      <c r="M579" s="47"/>
      <c r="N579" s="47"/>
      <c r="O579" s="319">
        <v>8</v>
      </c>
      <c r="P579" s="320"/>
      <c r="Q579" s="438"/>
      <c r="R579" s="47"/>
      <c r="S579" s="47"/>
      <c r="T579" s="319">
        <v>8</v>
      </c>
      <c r="U579" s="320"/>
      <c r="V579" s="438"/>
      <c r="W579" s="47"/>
      <c r="X579" s="47"/>
      <c r="Y579" s="319">
        <v>8</v>
      </c>
      <c r="Z579" s="320"/>
      <c r="AA579" s="328">
        <f t="shared" si="97"/>
        <v>40</v>
      </c>
      <c r="AB579" s="298">
        <f t="shared" si="103"/>
        <v>0</v>
      </c>
      <c r="AC579" s="4"/>
      <c r="AD579" s="47"/>
      <c r="AE579" s="47"/>
      <c r="AF579" s="319"/>
      <c r="AG579" s="29">
        <f t="shared" si="99"/>
        <v>0</v>
      </c>
      <c r="AK579" s="407"/>
    </row>
    <row r="580" spans="1:49" outlineLevel="1">
      <c r="A580" s="180"/>
      <c r="B580" s="267" t="s">
        <v>362</v>
      </c>
      <c r="C580" s="47"/>
      <c r="D580" s="47"/>
      <c r="E580" s="319">
        <v>4</v>
      </c>
      <c r="F580" s="320"/>
      <c r="G580" s="438"/>
      <c r="H580" s="47"/>
      <c r="I580" s="47"/>
      <c r="J580" s="319">
        <v>4</v>
      </c>
      <c r="K580" s="320"/>
      <c r="L580" s="438"/>
      <c r="M580" s="47"/>
      <c r="N580" s="47"/>
      <c r="O580" s="319">
        <v>4</v>
      </c>
      <c r="P580" s="320"/>
      <c r="Q580" s="438"/>
      <c r="R580" s="47"/>
      <c r="S580" s="47"/>
      <c r="T580" s="319">
        <v>4</v>
      </c>
      <c r="U580" s="320"/>
      <c r="V580" s="438"/>
      <c r="W580" s="47"/>
      <c r="X580" s="47"/>
      <c r="Y580" s="319">
        <v>4</v>
      </c>
      <c r="Z580" s="320"/>
      <c r="AA580" s="328">
        <f t="shared" si="97"/>
        <v>20</v>
      </c>
      <c r="AB580" s="298">
        <f t="shared" si="103"/>
        <v>0</v>
      </c>
      <c r="AC580" s="4"/>
      <c r="AD580" s="47"/>
      <c r="AE580" s="47"/>
      <c r="AF580" s="319"/>
      <c r="AG580" s="29">
        <f t="shared" si="99"/>
        <v>0</v>
      </c>
      <c r="AK580" s="407"/>
    </row>
    <row r="581" spans="1:49" outlineLevel="1">
      <c r="A581" s="180"/>
      <c r="B581" s="437" t="s">
        <v>355</v>
      </c>
      <c r="C581" s="47"/>
      <c r="D581" s="47"/>
      <c r="E581" s="319">
        <v>23.7</v>
      </c>
      <c r="F581" s="320">
        <v>2</v>
      </c>
      <c r="G581" s="438"/>
      <c r="H581" s="47"/>
      <c r="I581" s="47"/>
      <c r="J581" s="319">
        <v>27.7</v>
      </c>
      <c r="K581" s="320">
        <v>10.5</v>
      </c>
      <c r="L581" s="438"/>
      <c r="M581" s="47"/>
      <c r="N581" s="47"/>
      <c r="O581" s="319">
        <v>23.7</v>
      </c>
      <c r="P581" s="320">
        <v>2.66</v>
      </c>
      <c r="Q581" s="438"/>
      <c r="R581" s="47"/>
      <c r="S581" s="47"/>
      <c r="T581" s="319">
        <v>20</v>
      </c>
      <c r="U581" s="320">
        <v>1.26</v>
      </c>
      <c r="V581" s="438"/>
      <c r="W581" s="47"/>
      <c r="X581" s="47"/>
      <c r="Y581" s="319">
        <v>27.7</v>
      </c>
      <c r="Z581" s="320">
        <v>1.5</v>
      </c>
      <c r="AA581" s="328">
        <f t="shared" si="97"/>
        <v>122.8</v>
      </c>
      <c r="AB581" s="298">
        <f t="shared" si="103"/>
        <v>17.920000000000002</v>
      </c>
      <c r="AC581" s="4"/>
      <c r="AD581" s="47"/>
      <c r="AE581" s="47"/>
      <c r="AF581" s="319"/>
      <c r="AG581" s="29">
        <f t="shared" si="99"/>
        <v>0</v>
      </c>
      <c r="AK581" s="407"/>
    </row>
    <row r="582" spans="1:49" outlineLevel="1">
      <c r="A582" s="180"/>
      <c r="B582" s="437" t="s">
        <v>356</v>
      </c>
      <c r="C582" s="47"/>
      <c r="D582" s="47"/>
      <c r="E582" s="319">
        <v>37.299999999999997</v>
      </c>
      <c r="F582" s="320"/>
      <c r="G582" s="438"/>
      <c r="H582" s="47"/>
      <c r="I582" s="47"/>
      <c r="J582" s="319">
        <v>13.5</v>
      </c>
      <c r="K582" s="320"/>
      <c r="L582" s="438"/>
      <c r="M582" s="47"/>
      <c r="N582" s="47"/>
      <c r="O582" s="319">
        <v>0</v>
      </c>
      <c r="P582" s="320"/>
      <c r="Q582" s="438"/>
      <c r="R582" s="47"/>
      <c r="S582" s="47"/>
      <c r="T582" s="319">
        <v>0</v>
      </c>
      <c r="U582" s="320"/>
      <c r="V582" s="438"/>
      <c r="W582" s="47"/>
      <c r="X582" s="47"/>
      <c r="Y582" s="319">
        <v>3.8</v>
      </c>
      <c r="Z582" s="320"/>
      <c r="AA582" s="328">
        <f t="shared" si="97"/>
        <v>54.599999999999994</v>
      </c>
      <c r="AB582" s="298">
        <f t="shared" si="103"/>
        <v>0</v>
      </c>
      <c r="AC582" s="4"/>
      <c r="AD582" s="47"/>
      <c r="AE582" s="47"/>
      <c r="AF582" s="319"/>
      <c r="AG582" s="29">
        <f t="shared" si="99"/>
        <v>0</v>
      </c>
      <c r="AK582" s="407"/>
    </row>
    <row r="583" spans="1:49" outlineLevel="1">
      <c r="A583" s="180"/>
      <c r="B583" s="64" t="s">
        <v>61</v>
      </c>
      <c r="C583" s="31"/>
      <c r="D583" s="31"/>
      <c r="E583" s="439">
        <f>SUM(E546:E582)</f>
        <v>197</v>
      </c>
      <c r="F583" s="320">
        <f>SUM(F546:F582)</f>
        <v>2.5</v>
      </c>
      <c r="G583" s="31"/>
      <c r="H583" s="31"/>
      <c r="I583" s="31"/>
      <c r="J583" s="439">
        <f>SUM(J546:J582)</f>
        <v>169.2</v>
      </c>
      <c r="K583" s="320">
        <f>SUM(K546:K582)</f>
        <v>11</v>
      </c>
      <c r="L583" s="31"/>
      <c r="M583" s="31"/>
      <c r="N583" s="31"/>
      <c r="O583" s="439">
        <f>SUM(O546:O582)</f>
        <v>151.69999999999999</v>
      </c>
      <c r="P583" s="320">
        <f>SUM(P546:P582)</f>
        <v>3.16</v>
      </c>
      <c r="Q583" s="31"/>
      <c r="R583" s="31"/>
      <c r="S583" s="31"/>
      <c r="T583" s="439">
        <f>SUM(T546:T582)</f>
        <v>156</v>
      </c>
      <c r="U583" s="320">
        <f>SUM(U546:U582)</f>
        <v>1.76</v>
      </c>
      <c r="V583" s="31"/>
      <c r="W583" s="31"/>
      <c r="X583" s="31"/>
      <c r="Y583" s="439">
        <f>SUM(Y546:Y582)</f>
        <v>167.5</v>
      </c>
      <c r="Z583" s="320">
        <f>SUM(Z546:Z582)</f>
        <v>17.5</v>
      </c>
      <c r="AA583" s="370">
        <f>SUM(AA546:AA582)</f>
        <v>841.4</v>
      </c>
      <c r="AB583" s="370">
        <f>SUM(AB546:AB582)</f>
        <v>35.92</v>
      </c>
      <c r="AC583" s="4"/>
      <c r="AD583" s="64"/>
      <c r="AE583" s="64"/>
      <c r="AF583" s="370">
        <f>SUM(AF546:AF582)</f>
        <v>0</v>
      </c>
      <c r="AG583" s="370">
        <f>SUM(AG546:AG582)</f>
        <v>0</v>
      </c>
    </row>
    <row r="584" spans="1:49" outlineLevel="1">
      <c r="A584" s="180"/>
      <c r="B584" s="63" t="s">
        <v>64</v>
      </c>
      <c r="C584" s="47"/>
      <c r="D584" s="47"/>
      <c r="E584" s="319">
        <v>8</v>
      </c>
      <c r="F584" s="291">
        <v>0.5</v>
      </c>
      <c r="G584" s="60"/>
      <c r="H584" s="47"/>
      <c r="I584" s="47"/>
      <c r="J584" s="319">
        <v>8</v>
      </c>
      <c r="K584" s="291">
        <v>2.75</v>
      </c>
      <c r="L584" s="60"/>
      <c r="M584" s="47"/>
      <c r="N584" s="47"/>
      <c r="O584" s="319">
        <v>8</v>
      </c>
      <c r="P584" s="19">
        <f>1.25+1</f>
        <v>2.25</v>
      </c>
      <c r="Q584" s="60"/>
      <c r="R584" s="47"/>
      <c r="S584" s="47"/>
      <c r="T584" s="319">
        <v>8</v>
      </c>
      <c r="U584" s="19"/>
      <c r="V584" s="60"/>
      <c r="W584" s="47"/>
      <c r="X584" s="47"/>
      <c r="Y584" s="319">
        <v>8</v>
      </c>
      <c r="Z584" s="19">
        <v>0.75</v>
      </c>
      <c r="AA584" s="28">
        <f>SUM(E584+J584+O584+T584+Y584)</f>
        <v>40</v>
      </c>
      <c r="AB584" s="296">
        <f>Z584+U584+P584+K584+F584</f>
        <v>6.25</v>
      </c>
      <c r="AC584" s="4"/>
      <c r="AD584" s="47" t="s">
        <v>29</v>
      </c>
      <c r="AE584" s="47" t="s">
        <v>29</v>
      </c>
      <c r="AF584" s="319"/>
      <c r="AG584" s="29">
        <f>AF584</f>
        <v>0</v>
      </c>
    </row>
    <row r="585" spans="1:49" outlineLevel="1">
      <c r="A585" s="180"/>
      <c r="B585" s="71" t="s">
        <v>66</v>
      </c>
      <c r="C585" s="371"/>
      <c r="D585" s="371"/>
      <c r="E585" s="71"/>
      <c r="F585" s="71"/>
      <c r="G585" s="71"/>
      <c r="H585" s="71"/>
      <c r="I585" s="71"/>
      <c r="J585" s="71"/>
      <c r="K585" s="71"/>
      <c r="L585" s="71"/>
      <c r="M585" s="71"/>
      <c r="N585" s="71"/>
      <c r="O585" s="71"/>
      <c r="P585" s="71"/>
      <c r="Q585" s="71"/>
      <c r="R585" s="71"/>
      <c r="S585" s="71"/>
      <c r="T585" s="71"/>
      <c r="U585" s="71"/>
      <c r="V585" s="71"/>
      <c r="W585" s="71"/>
      <c r="X585" s="71"/>
      <c r="Y585" s="71"/>
      <c r="Z585" s="71"/>
      <c r="AA585" s="370">
        <f>SUM(AA584:AA584)</f>
        <v>40</v>
      </c>
      <c r="AB585" s="370">
        <f>SUM(AB584:AB584)</f>
        <v>6.25</v>
      </c>
      <c r="AC585" s="4"/>
      <c r="AG585" s="370">
        <f>SUM(AG584:AG584)</f>
        <v>0</v>
      </c>
    </row>
    <row r="586" spans="1:49" outlineLevel="1">
      <c r="A586" s="180"/>
      <c r="B586" s="217" t="s">
        <v>67</v>
      </c>
      <c r="C586" s="207">
        <f>C587+C588</f>
        <v>51</v>
      </c>
      <c r="D586" s="207"/>
      <c r="E586" s="209"/>
      <c r="F586" s="209"/>
      <c r="G586" s="207"/>
      <c r="H586" s="209"/>
      <c r="I586" s="209"/>
      <c r="J586" s="209"/>
      <c r="K586" s="209"/>
      <c r="L586" s="207"/>
      <c r="M586" s="207"/>
      <c r="N586" s="207"/>
      <c r="O586" s="207"/>
      <c r="P586" s="209"/>
      <c r="Q586" s="207"/>
      <c r="R586" s="207"/>
      <c r="S586" s="207"/>
      <c r="T586" s="207"/>
      <c r="U586" s="209"/>
      <c r="V586" s="207"/>
      <c r="W586" s="207"/>
      <c r="X586" s="207"/>
      <c r="Y586" s="210"/>
      <c r="Z586" s="209"/>
      <c r="AA586" s="211"/>
      <c r="AB586" s="209"/>
      <c r="AC586" s="211"/>
      <c r="AD586" s="211"/>
      <c r="AE586" s="211"/>
      <c r="AF586" s="211"/>
      <c r="AG586" s="211"/>
    </row>
    <row r="587" spans="1:49" outlineLevel="1">
      <c r="A587" s="180"/>
      <c r="B587" s="238" t="s">
        <v>68</v>
      </c>
      <c r="C587" s="239"/>
      <c r="D587" s="207"/>
      <c r="E587" s="209"/>
      <c r="F587" s="209"/>
      <c r="G587" s="207"/>
      <c r="H587" s="209"/>
      <c r="I587" s="209"/>
      <c r="J587" s="209"/>
      <c r="K587" s="209"/>
      <c r="L587" s="207"/>
      <c r="M587" s="207"/>
      <c r="N587" s="207"/>
      <c r="O587" s="207"/>
      <c r="P587" s="209"/>
      <c r="Q587" s="207"/>
      <c r="R587" s="207"/>
      <c r="S587" s="207"/>
      <c r="T587" s="207"/>
      <c r="U587" s="209"/>
      <c r="V587" s="207"/>
      <c r="W587" s="207"/>
      <c r="X587" s="207"/>
      <c r="Y587" s="210"/>
      <c r="Z587" s="209"/>
      <c r="AA587" s="211"/>
      <c r="AB587" s="209"/>
      <c r="AC587" s="211"/>
      <c r="AD587" s="211"/>
      <c r="AE587" s="211"/>
      <c r="AF587" s="211"/>
      <c r="AG587" s="211"/>
    </row>
    <row r="588" spans="1:49" outlineLevel="1">
      <c r="A588" s="180"/>
      <c r="B588" s="238" t="s">
        <v>69</v>
      </c>
      <c r="C588" s="542">
        <f>13+9+9+10+10</f>
        <v>51</v>
      </c>
      <c r="D588" s="207"/>
      <c r="E588" s="209"/>
      <c r="F588" s="209"/>
      <c r="G588" s="207"/>
      <c r="H588" s="209"/>
      <c r="I588" s="209"/>
      <c r="J588" s="209"/>
      <c r="K588" s="209"/>
      <c r="L588" s="207"/>
      <c r="M588" s="207"/>
      <c r="N588" s="207"/>
      <c r="O588" s="207"/>
      <c r="P588" s="209"/>
      <c r="Q588" s="207"/>
      <c r="R588" s="207"/>
      <c r="S588" s="207"/>
      <c r="T588" s="207"/>
      <c r="U588" s="209"/>
      <c r="V588" s="207"/>
      <c r="W588" s="207"/>
      <c r="X588" s="207"/>
      <c r="Y588" s="210"/>
      <c r="Z588" s="209"/>
      <c r="AA588" s="211"/>
      <c r="AB588" s="209"/>
      <c r="AC588" s="211"/>
      <c r="AD588" s="211"/>
      <c r="AE588" s="211"/>
      <c r="AF588" s="211"/>
      <c r="AG588" s="211"/>
    </row>
    <row r="589" spans="1:49" outlineLevel="1">
      <c r="B589" s="180"/>
      <c r="E589" s="4"/>
      <c r="F589" s="4"/>
      <c r="G589" s="4"/>
      <c r="J589" s="4"/>
      <c r="K589" s="4"/>
      <c r="L589" s="4"/>
      <c r="O589" s="4"/>
      <c r="P589" s="4"/>
      <c r="T589" s="4"/>
      <c r="U589" s="4"/>
      <c r="Y589" s="4"/>
      <c r="Z589" s="4"/>
      <c r="AA589" s="4"/>
      <c r="AB589" s="4"/>
      <c r="AC589" s="4"/>
    </row>
    <row r="590" spans="1:49" outlineLevel="1">
      <c r="A590" s="180"/>
      <c r="B590" s="229"/>
      <c r="C590" s="230"/>
      <c r="D590" s="230"/>
      <c r="E590" s="232"/>
      <c r="F590" s="232"/>
      <c r="G590" s="230"/>
      <c r="H590" s="232"/>
      <c r="I590" s="232"/>
      <c r="J590" s="232"/>
      <c r="K590" s="232"/>
      <c r="L590" s="230"/>
      <c r="M590" s="230"/>
      <c r="N590" s="230"/>
      <c r="O590" s="230"/>
      <c r="P590" s="232"/>
      <c r="Q590" s="230"/>
      <c r="R590" s="230"/>
      <c r="S590" s="230"/>
      <c r="T590" s="230"/>
      <c r="U590" s="232"/>
      <c r="V590" s="230"/>
      <c r="W590" s="230"/>
      <c r="X590" s="230"/>
      <c r="Y590" s="233"/>
      <c r="Z590" s="232"/>
      <c r="AA590" s="234"/>
      <c r="AB590" s="232"/>
      <c r="AC590" s="373"/>
      <c r="AD590" s="236"/>
      <c r="AE590" s="255"/>
      <c r="AF590" s="255"/>
      <c r="AG590" s="255"/>
      <c r="AH590" s="255"/>
      <c r="AJ590" s="255"/>
      <c r="AK590" s="255"/>
      <c r="AL590" s="255"/>
      <c r="AM590" s="255"/>
      <c r="AN590" s="255"/>
      <c r="AO590" s="255"/>
      <c r="AP590" s="255"/>
      <c r="AQ590" s="255"/>
      <c r="AR590" s="255"/>
      <c r="AS590" s="255"/>
      <c r="AT590" s="255"/>
      <c r="AU590" s="255"/>
      <c r="AV590" s="255"/>
      <c r="AW590" s="255"/>
    </row>
    <row r="591" spans="1:49" outlineLevel="1">
      <c r="B591" s="180"/>
      <c r="E591" s="4"/>
      <c r="F591" s="4"/>
      <c r="G591" s="4"/>
      <c r="J591" s="4"/>
      <c r="K591" s="4"/>
      <c r="L591" s="4"/>
      <c r="O591" s="4"/>
      <c r="P591" s="4"/>
      <c r="T591" s="4"/>
      <c r="U591" s="4"/>
      <c r="Y591" s="4"/>
      <c r="Z591" s="4"/>
      <c r="AA591" s="4"/>
      <c r="AB591" s="4"/>
      <c r="AC591" s="4"/>
      <c r="AK591" s="180"/>
      <c r="AL591" s="180"/>
      <c r="AM591" s="180"/>
      <c r="AN591" s="180"/>
      <c r="AO591" s="180"/>
      <c r="AP591" s="180"/>
    </row>
    <row r="592" spans="1:49" outlineLevel="1">
      <c r="A592" s="228"/>
      <c r="B592" s="1518" t="s">
        <v>18</v>
      </c>
      <c r="C592" s="1519" t="s">
        <v>451</v>
      </c>
      <c r="D592" s="1519"/>
      <c r="E592" s="1519"/>
      <c r="F592" s="1519"/>
      <c r="G592" s="365"/>
      <c r="H592" s="1519" t="s">
        <v>452</v>
      </c>
      <c r="I592" s="1519"/>
      <c r="J592" s="1519"/>
      <c r="K592" s="1519"/>
      <c r="L592" s="365">
        <v>45343</v>
      </c>
      <c r="M592" s="1519" t="s">
        <v>453</v>
      </c>
      <c r="N592" s="1519"/>
      <c r="O592" s="1519"/>
      <c r="P592" s="1519"/>
      <c r="Q592" s="365"/>
      <c r="R592" s="1519" t="s">
        <v>454</v>
      </c>
      <c r="S592" s="1519"/>
      <c r="T592" s="1519"/>
      <c r="U592" s="1519"/>
      <c r="V592" s="365"/>
      <c r="W592" s="1519" t="s">
        <v>455</v>
      </c>
      <c r="X592" s="1519"/>
      <c r="Y592" s="1519"/>
      <c r="Z592" s="1519"/>
      <c r="AA592" s="1517" t="s">
        <v>19</v>
      </c>
      <c r="AB592" s="1517" t="s">
        <v>20</v>
      </c>
      <c r="AC592" s="4"/>
      <c r="AD592" s="1519">
        <v>45465</v>
      </c>
      <c r="AE592" s="1519"/>
      <c r="AF592" s="1519"/>
      <c r="AG592" s="1517" t="s">
        <v>21</v>
      </c>
      <c r="AI592" s="368"/>
      <c r="AK592" s="194" t="s">
        <v>84</v>
      </c>
      <c r="AL592" s="366"/>
      <c r="AM592" s="366"/>
      <c r="AN592" s="366"/>
      <c r="AO592" s="366"/>
      <c r="AP592" s="366"/>
    </row>
    <row r="593" spans="1:49" outlineLevel="1">
      <c r="A593" s="180"/>
      <c r="B593" s="1518"/>
      <c r="C593" s="21" t="s">
        <v>23</v>
      </c>
      <c r="D593" s="21" t="s">
        <v>24</v>
      </c>
      <c r="E593" s="205" t="s">
        <v>25</v>
      </c>
      <c r="F593" s="18" t="s">
        <v>14</v>
      </c>
      <c r="G593" s="4"/>
      <c r="H593" s="21" t="s">
        <v>23</v>
      </c>
      <c r="I593" s="21" t="s">
        <v>24</v>
      </c>
      <c r="J593" s="18" t="s">
        <v>25</v>
      </c>
      <c r="K593" s="18" t="s">
        <v>14</v>
      </c>
      <c r="L593" s="4"/>
      <c r="M593" s="21" t="s">
        <v>23</v>
      </c>
      <c r="N593" s="21" t="s">
        <v>24</v>
      </c>
      <c r="O593" s="18" t="s">
        <v>25</v>
      </c>
      <c r="P593" s="18" t="s">
        <v>14</v>
      </c>
      <c r="R593" s="21" t="s">
        <v>23</v>
      </c>
      <c r="S593" s="21" t="s">
        <v>24</v>
      </c>
      <c r="T593" s="18" t="s">
        <v>25</v>
      </c>
      <c r="U593" s="18" t="s">
        <v>14</v>
      </c>
      <c r="W593" s="21" t="s">
        <v>23</v>
      </c>
      <c r="X593" s="21" t="s">
        <v>24</v>
      </c>
      <c r="Y593" s="18" t="s">
        <v>25</v>
      </c>
      <c r="Z593" s="18" t="s">
        <v>14</v>
      </c>
      <c r="AA593" s="1517"/>
      <c r="AB593" s="1517"/>
      <c r="AC593" s="4"/>
      <c r="AD593" s="21" t="s">
        <v>23</v>
      </c>
      <c r="AE593" s="21" t="s">
        <v>24</v>
      </c>
      <c r="AF593" s="18" t="s">
        <v>25</v>
      </c>
      <c r="AG593" s="1517"/>
      <c r="AI593" s="368"/>
      <c r="AJ593" s="367"/>
      <c r="AK593" s="494" t="s">
        <v>26</v>
      </c>
      <c r="AL593" s="471">
        <f>AA631</f>
        <v>631.39</v>
      </c>
      <c r="AM593" s="510">
        <v>38</v>
      </c>
      <c r="AN593" s="510">
        <f>AL593*AM593</f>
        <v>23992.82</v>
      </c>
      <c r="AQ593" s="367"/>
      <c r="AR593" s="367"/>
      <c r="AS593" s="367"/>
      <c r="AT593" s="367"/>
      <c r="AU593" s="367"/>
      <c r="AV593" s="367"/>
      <c r="AW593" s="367"/>
    </row>
    <row r="594" spans="1:49" outlineLevel="1">
      <c r="A594" s="180"/>
      <c r="B594" s="318" t="s">
        <v>456</v>
      </c>
      <c r="C594" s="47" t="s">
        <v>457</v>
      </c>
      <c r="D594" s="47"/>
      <c r="E594" s="319">
        <v>8</v>
      </c>
      <c r="F594" s="320"/>
      <c r="G594" s="4"/>
      <c r="H594" s="47" t="s">
        <v>458</v>
      </c>
      <c r="I594" s="47"/>
      <c r="J594" s="319">
        <v>8</v>
      </c>
      <c r="K594" s="320"/>
      <c r="L594" s="4"/>
      <c r="M594" s="47" t="s">
        <v>458</v>
      </c>
      <c r="N594" s="47"/>
      <c r="O594" s="319">
        <v>8</v>
      </c>
      <c r="P594" s="320"/>
      <c r="R594" s="47">
        <v>0.39583333333333331</v>
      </c>
      <c r="S594" s="441" t="s">
        <v>246</v>
      </c>
      <c r="T594" s="319">
        <v>8</v>
      </c>
      <c r="U594" s="320"/>
      <c r="W594" s="47">
        <v>0.375</v>
      </c>
      <c r="X594" s="441" t="s">
        <v>136</v>
      </c>
      <c r="Y594" s="319">
        <v>8</v>
      </c>
      <c r="Z594" s="567"/>
      <c r="AA594" s="328">
        <f t="shared" ref="AA594:AA612" si="104">(E594+J594+O594+T594+Y594)</f>
        <v>40</v>
      </c>
      <c r="AB594" s="298">
        <f t="shared" ref="AB594:AB610" si="105">Z594+U594+P594+K594+F594</f>
        <v>0</v>
      </c>
      <c r="AC594" s="4"/>
      <c r="AD594" s="531"/>
      <c r="AE594" s="531"/>
      <c r="AF594" s="319"/>
      <c r="AG594" s="328">
        <f>AF594</f>
        <v>0</v>
      </c>
      <c r="AI594" s="368"/>
      <c r="AJ594" s="367"/>
      <c r="AK594" s="494" t="s">
        <v>30</v>
      </c>
      <c r="AL594" s="471">
        <f>AB631</f>
        <v>8.5</v>
      </c>
      <c r="AM594" s="511">
        <v>57</v>
      </c>
      <c r="AN594" s="510">
        <f>AL594*AM594</f>
        <v>484.5</v>
      </c>
      <c r="AQ594" s="367"/>
      <c r="AR594" s="367"/>
      <c r="AS594" s="367"/>
      <c r="AT594" s="367"/>
      <c r="AU594" s="367"/>
      <c r="AV594" s="367"/>
      <c r="AW594" s="367"/>
    </row>
    <row r="595" spans="1:49" outlineLevel="1">
      <c r="A595" s="367"/>
      <c r="B595" s="457" t="s">
        <v>459</v>
      </c>
      <c r="C595" s="441" t="s">
        <v>460</v>
      </c>
      <c r="D595" s="47"/>
      <c r="E595" s="319">
        <v>8</v>
      </c>
      <c r="F595" s="320"/>
      <c r="G595" s="4"/>
      <c r="H595" s="47" t="s">
        <v>458</v>
      </c>
      <c r="I595" s="47"/>
      <c r="J595" s="319">
        <v>8</v>
      </c>
      <c r="K595" s="320"/>
      <c r="L595" s="4"/>
      <c r="M595" s="47" t="s">
        <v>458</v>
      </c>
      <c r="N595" s="47"/>
      <c r="O595" s="319">
        <v>8</v>
      </c>
      <c r="P595" s="320"/>
      <c r="R595" s="47">
        <v>0.375</v>
      </c>
      <c r="S595" s="441" t="s">
        <v>246</v>
      </c>
      <c r="T595" s="319">
        <v>8</v>
      </c>
      <c r="U595" s="320"/>
      <c r="W595" s="47">
        <v>0.375</v>
      </c>
      <c r="X595" s="441" t="s">
        <v>136</v>
      </c>
      <c r="Y595" s="319">
        <v>8</v>
      </c>
      <c r="Z595" s="320"/>
      <c r="AA595" s="328">
        <f t="shared" si="104"/>
        <v>40</v>
      </c>
      <c r="AB595" s="298">
        <f t="shared" si="105"/>
        <v>0</v>
      </c>
      <c r="AC595" s="4"/>
      <c r="AF595" s="319"/>
      <c r="AG595" s="328">
        <f>AF595</f>
        <v>0</v>
      </c>
      <c r="AH595" s="175"/>
      <c r="AI595" s="402"/>
      <c r="AJ595" s="367"/>
      <c r="AK595" s="494" t="s">
        <v>32</v>
      </c>
      <c r="AL595" s="471">
        <f>AG631</f>
        <v>0</v>
      </c>
      <c r="AM595" s="510">
        <v>57</v>
      </c>
      <c r="AN595" s="510">
        <f>AL595*AM595</f>
        <v>0</v>
      </c>
      <c r="AQ595" s="367"/>
      <c r="AR595" s="367"/>
      <c r="AS595" s="367"/>
      <c r="AT595" s="367"/>
      <c r="AU595" s="367"/>
      <c r="AV595" s="367"/>
      <c r="AW595" s="367"/>
    </row>
    <row r="596" spans="1:49" outlineLevel="1">
      <c r="A596" s="367"/>
      <c r="B596" s="457" t="s">
        <v>461</v>
      </c>
      <c r="C596" s="541"/>
      <c r="D596" s="319"/>
      <c r="E596" s="319">
        <v>0</v>
      </c>
      <c r="F596" s="320"/>
      <c r="G596" s="4"/>
      <c r="H596" s="319"/>
      <c r="I596" s="319"/>
      <c r="J596" s="319">
        <v>0</v>
      </c>
      <c r="K596" s="320"/>
      <c r="L596" s="4"/>
      <c r="M596" s="319"/>
      <c r="N596" s="319"/>
      <c r="O596" s="319">
        <v>0</v>
      </c>
      <c r="P596" s="320"/>
      <c r="R596" s="319"/>
      <c r="S596" s="319"/>
      <c r="T596" s="319">
        <v>0</v>
      </c>
      <c r="U596" s="320"/>
      <c r="W596" s="569">
        <v>0.375</v>
      </c>
      <c r="X596" s="569">
        <v>0.20833333333333334</v>
      </c>
      <c r="Y596" s="570">
        <v>8</v>
      </c>
      <c r="Z596" s="567"/>
      <c r="AA596" s="328">
        <f t="shared" si="104"/>
        <v>8</v>
      </c>
      <c r="AB596" s="298">
        <f t="shared" si="105"/>
        <v>0</v>
      </c>
      <c r="AC596" s="4"/>
      <c r="AD596" s="531"/>
      <c r="AE596" s="531"/>
      <c r="AF596" s="319"/>
      <c r="AG596" s="328">
        <f>AF596</f>
        <v>0</v>
      </c>
      <c r="AH596" s="175"/>
      <c r="AI596" s="402"/>
      <c r="AJ596" s="367"/>
      <c r="AK596" s="494"/>
      <c r="AL596" s="471"/>
      <c r="AM596" s="510"/>
      <c r="AN596" s="510"/>
      <c r="AQ596" s="367"/>
      <c r="AR596" s="367"/>
      <c r="AS596" s="367"/>
      <c r="AT596" s="367"/>
      <c r="AU596" s="367"/>
      <c r="AV596" s="367"/>
      <c r="AW596" s="367"/>
    </row>
    <row r="597" spans="1:49" outlineLevel="1">
      <c r="A597" s="367"/>
      <c r="B597" s="457" t="s">
        <v>462</v>
      </c>
      <c r="C597" s="47" t="s">
        <v>463</v>
      </c>
      <c r="D597" s="47"/>
      <c r="E597" s="319">
        <v>8</v>
      </c>
      <c r="F597" s="320"/>
      <c r="G597" s="4"/>
      <c r="H597" s="47" t="s">
        <v>458</v>
      </c>
      <c r="I597" s="47"/>
      <c r="J597" s="319">
        <v>8</v>
      </c>
      <c r="K597" s="320"/>
      <c r="L597" s="4"/>
      <c r="M597" s="47" t="s">
        <v>458</v>
      </c>
      <c r="N597" s="47"/>
      <c r="O597" s="319">
        <v>8</v>
      </c>
      <c r="P597" s="320"/>
      <c r="R597" s="47">
        <v>0.375</v>
      </c>
      <c r="S597" s="441" t="s">
        <v>246</v>
      </c>
      <c r="T597" s="319">
        <v>8</v>
      </c>
      <c r="U597" s="320"/>
      <c r="W597" s="47">
        <v>0.375</v>
      </c>
      <c r="X597" s="441" t="s">
        <v>136</v>
      </c>
      <c r="Y597" s="319">
        <v>8</v>
      </c>
      <c r="Z597" s="320"/>
      <c r="AA597" s="328">
        <f t="shared" si="104"/>
        <v>40</v>
      </c>
      <c r="AB597" s="298">
        <f t="shared" si="105"/>
        <v>0</v>
      </c>
      <c r="AC597" s="399"/>
      <c r="AD597" s="47"/>
      <c r="AE597" s="47"/>
      <c r="AF597" s="319"/>
      <c r="AG597" s="29">
        <f t="shared" ref="AG597:AG612" si="106">AF597</f>
        <v>0</v>
      </c>
      <c r="AH597" s="175"/>
      <c r="AJ597" s="401"/>
      <c r="AK597" s="494" t="s">
        <v>213</v>
      </c>
      <c r="AL597" s="471">
        <f>AA633</f>
        <v>40</v>
      </c>
      <c r="AM597" s="510">
        <v>50</v>
      </c>
      <c r="AN597" s="510">
        <f>AL597*AM597</f>
        <v>2000</v>
      </c>
      <c r="AO597" s="405"/>
      <c r="AP597" s="405"/>
      <c r="AQ597" s="401"/>
      <c r="AR597" s="401"/>
      <c r="AS597" s="401"/>
      <c r="AT597" s="401"/>
      <c r="AU597" s="401"/>
      <c r="AV597" s="401"/>
      <c r="AW597" s="401"/>
    </row>
    <row r="598" spans="1:49" ht="27" outlineLevel="1">
      <c r="A598" s="367"/>
      <c r="B598" s="457" t="s">
        <v>464</v>
      </c>
      <c r="C598" s="47" t="s">
        <v>457</v>
      </c>
      <c r="D598" s="47"/>
      <c r="E598" s="319">
        <v>8</v>
      </c>
      <c r="F598" s="320"/>
      <c r="G598" s="4"/>
      <c r="H598" s="319"/>
      <c r="I598" s="319"/>
      <c r="J598" s="319">
        <v>0</v>
      </c>
      <c r="K598" s="320"/>
      <c r="L598" s="4"/>
      <c r="M598" s="319"/>
      <c r="N598" s="319"/>
      <c r="O598" s="319">
        <v>0</v>
      </c>
      <c r="P598" s="320"/>
      <c r="R598" s="319"/>
      <c r="S598" s="319"/>
      <c r="T598" s="319">
        <v>0</v>
      </c>
      <c r="U598" s="320"/>
      <c r="W598" s="319"/>
      <c r="X598" s="319"/>
      <c r="Y598" s="319">
        <v>0</v>
      </c>
      <c r="Z598" s="320"/>
      <c r="AA598" s="328">
        <f t="shared" si="104"/>
        <v>8</v>
      </c>
      <c r="AB598" s="298">
        <f t="shared" si="105"/>
        <v>0</v>
      </c>
      <c r="AC598" s="399"/>
      <c r="AD598" s="47"/>
      <c r="AE598" s="47"/>
      <c r="AF598" s="319"/>
      <c r="AG598" s="29">
        <f t="shared" si="106"/>
        <v>0</v>
      </c>
      <c r="AH598" s="175"/>
      <c r="AJ598" s="401"/>
      <c r="AK598" s="494" t="s">
        <v>36</v>
      </c>
      <c r="AL598" s="471">
        <f>AB633</f>
        <v>0</v>
      </c>
      <c r="AM598" s="510">
        <v>75</v>
      </c>
      <c r="AN598" s="510">
        <f>AL598*AM598</f>
        <v>0</v>
      </c>
      <c r="AO598" s="405"/>
      <c r="AP598" s="405"/>
      <c r="AQ598" s="401"/>
      <c r="AR598" s="401"/>
      <c r="AS598" s="401"/>
      <c r="AT598" s="401"/>
      <c r="AU598" s="401"/>
      <c r="AV598" s="401"/>
      <c r="AW598" s="401"/>
    </row>
    <row r="599" spans="1:49" outlineLevel="1">
      <c r="A599" s="367"/>
      <c r="B599" s="318" t="s">
        <v>465</v>
      </c>
      <c r="C599" s="47" t="s">
        <v>457</v>
      </c>
      <c r="D599" s="47"/>
      <c r="E599" s="319">
        <v>8</v>
      </c>
      <c r="F599" s="320"/>
      <c r="G599" s="4"/>
      <c r="H599" s="319"/>
      <c r="I599" s="319"/>
      <c r="J599" s="319">
        <v>0</v>
      </c>
      <c r="K599" s="320"/>
      <c r="L599" s="4"/>
      <c r="M599" s="319"/>
      <c r="N599" s="319"/>
      <c r="O599" s="319">
        <v>0</v>
      </c>
      <c r="P599" s="320"/>
      <c r="R599" s="319" t="s">
        <v>466</v>
      </c>
      <c r="S599" s="319"/>
      <c r="T599" s="319">
        <v>0</v>
      </c>
      <c r="U599" s="320"/>
      <c r="W599" s="569">
        <v>0.375</v>
      </c>
      <c r="X599" s="569">
        <v>0.20833333333333334</v>
      </c>
      <c r="Y599" s="570">
        <v>8</v>
      </c>
      <c r="Z599" s="567"/>
      <c r="AA599" s="328">
        <f t="shared" si="104"/>
        <v>16</v>
      </c>
      <c r="AB599" s="298">
        <f t="shared" si="105"/>
        <v>0</v>
      </c>
      <c r="AC599" s="175"/>
      <c r="AD599" s="47"/>
      <c r="AE599" s="47"/>
      <c r="AF599" s="319"/>
      <c r="AG599" s="344">
        <f t="shared" si="106"/>
        <v>0</v>
      </c>
      <c r="AH599" s="175"/>
      <c r="AI599" s="368"/>
      <c r="AK599" s="494" t="s">
        <v>38</v>
      </c>
      <c r="AL599" s="471">
        <f>AG633</f>
        <v>0</v>
      </c>
      <c r="AM599" s="510">
        <v>75</v>
      </c>
      <c r="AN599" s="510">
        <f>AL599*AM599</f>
        <v>0</v>
      </c>
    </row>
    <row r="600" spans="1:49" ht="14.25" outlineLevel="1" thickBot="1">
      <c r="A600" s="401"/>
      <c r="B600" s="457" t="s">
        <v>467</v>
      </c>
      <c r="C600" s="541"/>
      <c r="D600" s="319"/>
      <c r="E600" s="319">
        <v>0</v>
      </c>
      <c r="F600" s="320"/>
      <c r="G600" s="4"/>
      <c r="H600" s="319"/>
      <c r="I600" s="319"/>
      <c r="J600" s="319">
        <v>0</v>
      </c>
      <c r="K600" s="320"/>
      <c r="L600" s="4"/>
      <c r="M600" s="319"/>
      <c r="N600" s="319"/>
      <c r="O600" s="319">
        <v>0</v>
      </c>
      <c r="P600" s="320"/>
      <c r="R600" s="353">
        <v>0.375</v>
      </c>
      <c r="S600" s="353">
        <v>0.41666666666666669</v>
      </c>
      <c r="T600" s="319">
        <v>1</v>
      </c>
      <c r="U600" s="320"/>
      <c r="W600" s="569">
        <v>0.375</v>
      </c>
      <c r="X600" s="569">
        <v>0.20833333333333334</v>
      </c>
      <c r="Y600" s="570">
        <v>8</v>
      </c>
      <c r="Z600" s="567"/>
      <c r="AA600" s="328">
        <f t="shared" si="104"/>
        <v>9</v>
      </c>
      <c r="AB600" s="298">
        <f t="shared" si="105"/>
        <v>0</v>
      </c>
      <c r="AC600" s="4"/>
      <c r="AD600" s="47"/>
      <c r="AE600" s="47"/>
      <c r="AF600" s="319"/>
      <c r="AG600" s="29">
        <f t="shared" si="106"/>
        <v>0</v>
      </c>
      <c r="AJ600" s="367"/>
      <c r="AK600" s="494" t="s">
        <v>41</v>
      </c>
      <c r="AL600" s="471">
        <f>C634</f>
        <v>46</v>
      </c>
      <c r="AM600" s="512">
        <v>45</v>
      </c>
      <c r="AN600" s="512">
        <f>AL600*AM600</f>
        <v>2070</v>
      </c>
      <c r="AQ600" s="367"/>
      <c r="AR600" s="367"/>
      <c r="AS600" s="367"/>
      <c r="AT600" s="367"/>
      <c r="AU600" s="367"/>
      <c r="AV600" s="367"/>
      <c r="AW600" s="367"/>
    </row>
    <row r="601" spans="1:49" ht="14.25" outlineLevel="1" thickTop="1">
      <c r="A601" s="367"/>
      <c r="B601" s="318" t="s">
        <v>468</v>
      </c>
      <c r="C601" s="47" t="s">
        <v>457</v>
      </c>
      <c r="D601" s="47"/>
      <c r="E601" s="319">
        <v>8</v>
      </c>
      <c r="F601" s="320"/>
      <c r="G601" s="4"/>
      <c r="H601" s="319"/>
      <c r="I601" s="319"/>
      <c r="J601" s="319">
        <v>0</v>
      </c>
      <c r="K601" s="320"/>
      <c r="L601" s="4"/>
      <c r="M601" s="319"/>
      <c r="N601" s="319"/>
      <c r="O601" s="319">
        <v>0</v>
      </c>
      <c r="P601" s="320"/>
      <c r="R601" s="319"/>
      <c r="S601" s="319"/>
      <c r="T601" s="544">
        <v>1</v>
      </c>
      <c r="U601" s="320"/>
      <c r="W601" s="47">
        <v>0.375</v>
      </c>
      <c r="X601" s="441" t="s">
        <v>136</v>
      </c>
      <c r="Y601" s="319">
        <v>8</v>
      </c>
      <c r="Z601" s="567"/>
      <c r="AA601" s="328">
        <f t="shared" si="104"/>
        <v>17</v>
      </c>
      <c r="AB601" s="298">
        <f t="shared" si="105"/>
        <v>0</v>
      </c>
      <c r="AC601" s="4"/>
      <c r="AD601" s="47"/>
      <c r="AE601" s="47"/>
      <c r="AF601" s="319"/>
      <c r="AG601" s="29">
        <f t="shared" si="106"/>
        <v>0</v>
      </c>
      <c r="AN601" s="510">
        <f>SUM(AN593:AN600)</f>
        <v>28547.32</v>
      </c>
    </row>
    <row r="602" spans="1:49" outlineLevel="1">
      <c r="A602" s="180"/>
      <c r="B602" s="457" t="s">
        <v>469</v>
      </c>
      <c r="C602" s="47" t="s">
        <v>457</v>
      </c>
      <c r="D602" s="47"/>
      <c r="E602" s="544">
        <v>8</v>
      </c>
      <c r="F602" s="320"/>
      <c r="G602" s="4"/>
      <c r="H602" s="47" t="s">
        <v>458</v>
      </c>
      <c r="I602" s="47"/>
      <c r="J602" s="319">
        <v>8</v>
      </c>
      <c r="K602" s="320"/>
      <c r="L602" s="4"/>
      <c r="M602" s="47" t="s">
        <v>458</v>
      </c>
      <c r="N602" s="47"/>
      <c r="O602" s="319">
        <v>8</v>
      </c>
      <c r="P602" s="320"/>
      <c r="R602" s="47">
        <v>0.38541666666666669</v>
      </c>
      <c r="S602" s="441" t="s">
        <v>246</v>
      </c>
      <c r="T602" s="319">
        <v>8</v>
      </c>
      <c r="U602" s="320"/>
      <c r="W602" s="47">
        <v>0.375</v>
      </c>
      <c r="X602" s="441" t="s">
        <v>136</v>
      </c>
      <c r="Y602" s="319">
        <v>8</v>
      </c>
      <c r="Z602" s="567"/>
      <c r="AA602" s="328">
        <f t="shared" si="104"/>
        <v>40</v>
      </c>
      <c r="AB602" s="298">
        <f t="shared" si="105"/>
        <v>0</v>
      </c>
      <c r="AC602" s="4"/>
      <c r="AD602" s="47"/>
      <c r="AE602" s="47"/>
      <c r="AF602" s="319"/>
      <c r="AG602" s="29">
        <f t="shared" si="106"/>
        <v>0</v>
      </c>
    </row>
    <row r="603" spans="1:49" outlineLevel="1">
      <c r="A603" s="180"/>
      <c r="B603" s="318" t="s">
        <v>470</v>
      </c>
      <c r="C603" s="47" t="s">
        <v>471</v>
      </c>
      <c r="D603" s="543"/>
      <c r="E603" s="319">
        <v>8</v>
      </c>
      <c r="F603" s="320"/>
      <c r="G603" s="4"/>
      <c r="H603" s="47" t="s">
        <v>472</v>
      </c>
      <c r="I603" s="47"/>
      <c r="J603" s="319">
        <v>8</v>
      </c>
      <c r="K603" s="320"/>
      <c r="L603" s="4"/>
      <c r="M603" s="319"/>
      <c r="N603" s="319"/>
      <c r="O603" s="319">
        <v>0</v>
      </c>
      <c r="P603" s="320"/>
      <c r="R603" s="319"/>
      <c r="S603" s="319"/>
      <c r="T603" s="319">
        <v>0</v>
      </c>
      <c r="U603" s="320"/>
      <c r="W603" s="47"/>
      <c r="X603" s="441"/>
      <c r="Y603" s="319"/>
      <c r="Z603" s="320"/>
      <c r="AA603" s="328">
        <f t="shared" si="104"/>
        <v>16</v>
      </c>
      <c r="AB603" s="298">
        <f t="shared" si="105"/>
        <v>0</v>
      </c>
      <c r="AC603" s="4"/>
      <c r="AD603" s="47"/>
      <c r="AE603" s="47"/>
      <c r="AF603" s="319"/>
      <c r="AG603" s="29">
        <f t="shared" si="106"/>
        <v>0</v>
      </c>
    </row>
    <row r="604" spans="1:49" ht="19.149999999999999" customHeight="1" outlineLevel="1">
      <c r="A604" s="180"/>
      <c r="B604" s="457" t="s">
        <v>473</v>
      </c>
      <c r="C604" s="47" t="s">
        <v>471</v>
      </c>
      <c r="D604" s="47"/>
      <c r="E604" s="319">
        <v>8</v>
      </c>
      <c r="F604" s="320"/>
      <c r="G604" s="4"/>
      <c r="H604" s="47" t="s">
        <v>472</v>
      </c>
      <c r="I604" s="47"/>
      <c r="J604" s="319">
        <v>8</v>
      </c>
      <c r="K604" s="320"/>
      <c r="L604" s="4"/>
      <c r="M604" s="319"/>
      <c r="N604" s="319"/>
      <c r="O604" s="319">
        <v>0</v>
      </c>
      <c r="P604" s="320"/>
      <c r="R604" s="353">
        <v>0.375</v>
      </c>
      <c r="S604" s="353">
        <v>0.41666666666666669</v>
      </c>
      <c r="T604" s="319">
        <v>1</v>
      </c>
      <c r="U604" s="320"/>
      <c r="W604" s="569">
        <v>0.375</v>
      </c>
      <c r="X604" s="569">
        <v>0.20833333333333334</v>
      </c>
      <c r="Y604" s="570">
        <v>8</v>
      </c>
      <c r="Z604" s="567"/>
      <c r="AA604" s="328">
        <f t="shared" si="104"/>
        <v>25</v>
      </c>
      <c r="AB604" s="298">
        <f t="shared" si="105"/>
        <v>0</v>
      </c>
      <c r="AC604" s="4"/>
      <c r="AD604" s="47"/>
      <c r="AE604" s="47"/>
      <c r="AF604" s="319"/>
      <c r="AG604" s="29">
        <f t="shared" si="106"/>
        <v>0</v>
      </c>
    </row>
    <row r="605" spans="1:49" outlineLevel="1">
      <c r="A605" s="180"/>
      <c r="B605" s="457" t="s">
        <v>474</v>
      </c>
      <c r="C605" s="47" t="s">
        <v>457</v>
      </c>
      <c r="D605" s="47"/>
      <c r="E605" s="544">
        <v>8</v>
      </c>
      <c r="F605" s="320"/>
      <c r="G605" s="4"/>
      <c r="H605" s="47" t="s">
        <v>458</v>
      </c>
      <c r="I605" s="47"/>
      <c r="J605" s="544">
        <v>8</v>
      </c>
      <c r="K605" s="320"/>
      <c r="L605" s="4"/>
      <c r="M605" s="47" t="s">
        <v>458</v>
      </c>
      <c r="N605" s="47"/>
      <c r="O605" s="319">
        <v>8</v>
      </c>
      <c r="P605" s="320"/>
      <c r="R605" s="47">
        <v>0.375</v>
      </c>
      <c r="S605" s="441" t="s">
        <v>246</v>
      </c>
      <c r="T605" s="319">
        <v>8</v>
      </c>
      <c r="U605" s="320"/>
      <c r="W605" s="47">
        <v>0.375</v>
      </c>
      <c r="X605" s="441" t="s">
        <v>136</v>
      </c>
      <c r="Y605" s="319">
        <v>8</v>
      </c>
      <c r="Z605" s="567"/>
      <c r="AA605" s="328">
        <f t="shared" si="104"/>
        <v>40</v>
      </c>
      <c r="AB605" s="298">
        <f t="shared" si="105"/>
        <v>0</v>
      </c>
      <c r="AC605" s="4"/>
      <c r="AD605" s="47"/>
      <c r="AE605" s="47"/>
      <c r="AF605" s="319"/>
      <c r="AG605" s="29">
        <f t="shared" si="106"/>
        <v>0</v>
      </c>
    </row>
    <row r="606" spans="1:49" outlineLevel="1">
      <c r="A606" s="180"/>
      <c r="B606" s="318" t="s">
        <v>475</v>
      </c>
      <c r="C606" s="319"/>
      <c r="D606" s="319"/>
      <c r="E606" s="319">
        <v>0</v>
      </c>
      <c r="F606" s="320"/>
      <c r="G606" s="4"/>
      <c r="H606" s="319"/>
      <c r="I606" s="319"/>
      <c r="J606" s="319">
        <v>0</v>
      </c>
      <c r="K606" s="320"/>
      <c r="L606" s="4"/>
      <c r="M606" s="319"/>
      <c r="N606" s="319"/>
      <c r="O606" s="319">
        <v>0</v>
      </c>
      <c r="P606" s="320"/>
      <c r="R606" s="319"/>
      <c r="S606" s="319"/>
      <c r="T606" s="319">
        <v>0</v>
      </c>
      <c r="U606" s="320"/>
      <c r="W606" s="571">
        <v>0.375</v>
      </c>
      <c r="X606" s="571">
        <v>0.20833333333333334</v>
      </c>
      <c r="Y606" s="570">
        <v>8</v>
      </c>
      <c r="Z606" s="320"/>
      <c r="AA606" s="328">
        <f t="shared" si="104"/>
        <v>8</v>
      </c>
      <c r="AB606" s="298">
        <f t="shared" si="105"/>
        <v>0</v>
      </c>
      <c r="AC606" s="4"/>
      <c r="AD606" s="47"/>
      <c r="AE606" s="47"/>
      <c r="AF606" s="319"/>
      <c r="AG606" s="29">
        <f t="shared" si="106"/>
        <v>0</v>
      </c>
    </row>
    <row r="607" spans="1:49" outlineLevel="1">
      <c r="A607" s="180"/>
      <c r="B607" s="318" t="s">
        <v>476</v>
      </c>
      <c r="C607" s="319"/>
      <c r="D607" s="319"/>
      <c r="E607" s="319">
        <v>0</v>
      </c>
      <c r="F607" s="320"/>
      <c r="G607" s="4"/>
      <c r="H607" s="47" t="s">
        <v>472</v>
      </c>
      <c r="I607" s="71"/>
      <c r="J607" s="319">
        <v>8</v>
      </c>
      <c r="K607" s="320"/>
      <c r="L607" s="4"/>
      <c r="M607" s="319"/>
      <c r="N607" s="319"/>
      <c r="O607" s="319">
        <v>0</v>
      </c>
      <c r="P607" s="320"/>
      <c r="R607" s="353">
        <v>0.375</v>
      </c>
      <c r="S607" s="353">
        <v>0.41666666666666669</v>
      </c>
      <c r="T607" s="319">
        <v>1</v>
      </c>
      <c r="U607" s="320"/>
      <c r="W607" s="47"/>
      <c r="X607" s="71"/>
      <c r="Y607" s="319">
        <v>0</v>
      </c>
      <c r="Z607" s="320"/>
      <c r="AA607" s="328">
        <f t="shared" si="104"/>
        <v>9</v>
      </c>
      <c r="AB607" s="298">
        <f t="shared" si="105"/>
        <v>0</v>
      </c>
      <c r="AC607" s="4"/>
      <c r="AD607" s="47"/>
      <c r="AE607" s="47"/>
      <c r="AF607" s="319"/>
      <c r="AG607" s="29">
        <f t="shared" si="106"/>
        <v>0</v>
      </c>
    </row>
    <row r="608" spans="1:49" outlineLevel="1">
      <c r="A608" s="180"/>
      <c r="B608" s="457" t="s">
        <v>477</v>
      </c>
      <c r="C608" s="319"/>
      <c r="D608" s="319"/>
      <c r="E608" s="319">
        <v>0</v>
      </c>
      <c r="F608" s="320"/>
      <c r="G608" s="4"/>
      <c r="H608" s="319"/>
      <c r="I608" s="319"/>
      <c r="J608" s="319">
        <v>0</v>
      </c>
      <c r="K608" s="320"/>
      <c r="L608" s="4"/>
      <c r="M608" s="319"/>
      <c r="N608" s="319"/>
      <c r="O608" s="319">
        <v>0</v>
      </c>
      <c r="P608" s="320"/>
      <c r="R608" s="319"/>
      <c r="S608" s="319"/>
      <c r="T608" s="319">
        <v>0</v>
      </c>
      <c r="U608" s="320"/>
      <c r="W608" s="319"/>
      <c r="X608" s="319"/>
      <c r="Y608" s="319">
        <v>0</v>
      </c>
      <c r="Z608" s="320"/>
      <c r="AA608" s="328">
        <f t="shared" si="104"/>
        <v>0</v>
      </c>
      <c r="AB608" s="298">
        <f t="shared" si="105"/>
        <v>0</v>
      </c>
      <c r="AC608" s="4"/>
      <c r="AD608" s="47"/>
      <c r="AE608" s="47"/>
      <c r="AF608" s="319"/>
      <c r="AG608" s="29">
        <f t="shared" si="106"/>
        <v>0</v>
      </c>
    </row>
    <row r="609" spans="1:37" outlineLevel="1">
      <c r="A609" s="180"/>
      <c r="B609" s="318" t="s">
        <v>478</v>
      </c>
      <c r="C609" s="319"/>
      <c r="D609" s="319"/>
      <c r="E609" s="319">
        <v>0</v>
      </c>
      <c r="F609" s="320"/>
      <c r="G609" s="4"/>
      <c r="H609" s="319"/>
      <c r="I609" s="319"/>
      <c r="J609" s="319">
        <v>0</v>
      </c>
      <c r="K609" s="320"/>
      <c r="L609" s="4"/>
      <c r="M609" s="319"/>
      <c r="N609" s="319"/>
      <c r="O609" s="319">
        <v>0</v>
      </c>
      <c r="P609" s="320"/>
      <c r="R609" s="353">
        <v>0.375</v>
      </c>
      <c r="S609" s="353">
        <v>0.41666666666666669</v>
      </c>
      <c r="T609" s="319">
        <v>1</v>
      </c>
      <c r="U609" s="320"/>
      <c r="W609" s="319"/>
      <c r="X609" s="319"/>
      <c r="Y609" s="319">
        <v>0</v>
      </c>
      <c r="Z609" s="320"/>
      <c r="AA609" s="328">
        <f t="shared" si="104"/>
        <v>1</v>
      </c>
      <c r="AB609" s="298">
        <f t="shared" si="105"/>
        <v>0</v>
      </c>
      <c r="AC609" s="4"/>
      <c r="AD609" s="47"/>
      <c r="AE609" s="47"/>
      <c r="AF609" s="319"/>
      <c r="AG609" s="29">
        <f t="shared" si="106"/>
        <v>0</v>
      </c>
    </row>
    <row r="610" spans="1:37" outlineLevel="1">
      <c r="A610" s="180"/>
      <c r="B610" s="318" t="s">
        <v>479</v>
      </c>
      <c r="C610" s="319"/>
      <c r="D610" s="319"/>
      <c r="E610" s="319">
        <v>0</v>
      </c>
      <c r="F610" s="320"/>
      <c r="G610" s="4"/>
      <c r="H610" s="319"/>
      <c r="I610" s="319"/>
      <c r="J610" s="319">
        <v>0</v>
      </c>
      <c r="K610" s="320"/>
      <c r="L610" s="4"/>
      <c r="M610" s="319"/>
      <c r="N610" s="319"/>
      <c r="O610" s="319">
        <v>0</v>
      </c>
      <c r="P610" s="320"/>
      <c r="R610" s="353">
        <v>0.375</v>
      </c>
      <c r="S610" s="353">
        <v>0.41666666666666669</v>
      </c>
      <c r="T610" s="319">
        <v>1</v>
      </c>
      <c r="U610" s="320"/>
      <c r="W610" s="319"/>
      <c r="X610" s="319"/>
      <c r="Y610" s="319">
        <v>0</v>
      </c>
      <c r="Z610" s="320"/>
      <c r="AA610" s="328">
        <f t="shared" si="104"/>
        <v>1</v>
      </c>
      <c r="AB610" s="298">
        <f t="shared" si="105"/>
        <v>0</v>
      </c>
      <c r="AC610" s="4"/>
      <c r="AD610" s="47"/>
      <c r="AE610" s="47"/>
      <c r="AF610" s="319"/>
      <c r="AG610" s="29">
        <f t="shared" si="106"/>
        <v>0</v>
      </c>
    </row>
    <row r="611" spans="1:37" outlineLevel="1">
      <c r="A611" s="180"/>
      <c r="B611" s="13" t="s">
        <v>441</v>
      </c>
      <c r="C611" s="319"/>
      <c r="D611" s="319"/>
      <c r="E611" s="319">
        <v>0</v>
      </c>
      <c r="F611" s="320"/>
      <c r="G611" s="4"/>
      <c r="H611" s="319"/>
      <c r="I611" s="319"/>
      <c r="J611" s="319">
        <v>0</v>
      </c>
      <c r="K611" s="320"/>
      <c r="L611" s="4"/>
      <c r="M611" s="319"/>
      <c r="N611" s="319"/>
      <c r="O611" s="319">
        <v>0</v>
      </c>
      <c r="P611" s="320"/>
      <c r="R611" s="353">
        <v>0.375</v>
      </c>
      <c r="S611" s="353">
        <v>0.41666666666666669</v>
      </c>
      <c r="T611" s="319">
        <v>1</v>
      </c>
      <c r="U611" s="320"/>
      <c r="W611" s="319"/>
      <c r="X611" s="319"/>
      <c r="Y611" s="319">
        <v>0</v>
      </c>
      <c r="Z611" s="320"/>
      <c r="AA611" s="328">
        <f t="shared" si="104"/>
        <v>1</v>
      </c>
      <c r="AB611" s="298">
        <f>Z611+U611+P611+K611+F609</f>
        <v>0</v>
      </c>
      <c r="AC611" s="4"/>
      <c r="AD611" s="47"/>
      <c r="AE611" s="47"/>
      <c r="AF611" s="319"/>
      <c r="AG611" s="29">
        <f t="shared" si="106"/>
        <v>0</v>
      </c>
    </row>
    <row r="612" spans="1:37" outlineLevel="1">
      <c r="A612" s="180"/>
      <c r="B612" s="13" t="s">
        <v>480</v>
      </c>
      <c r="C612" s="319"/>
      <c r="D612" s="319"/>
      <c r="E612" s="319">
        <v>0</v>
      </c>
      <c r="F612" s="320"/>
      <c r="G612" s="4"/>
      <c r="H612" s="319"/>
      <c r="I612" s="319"/>
      <c r="J612" s="319">
        <v>0</v>
      </c>
      <c r="K612" s="320"/>
      <c r="L612" s="4"/>
      <c r="M612" s="319"/>
      <c r="N612" s="319"/>
      <c r="O612" s="319">
        <v>0</v>
      </c>
      <c r="P612" s="320"/>
      <c r="R612" s="319"/>
      <c r="S612" s="319"/>
      <c r="T612" s="319">
        <v>0</v>
      </c>
      <c r="U612" s="320"/>
      <c r="W612" s="319"/>
      <c r="X612" s="319"/>
      <c r="Y612" s="319">
        <v>0</v>
      </c>
      <c r="Z612" s="320"/>
      <c r="AA612" s="328">
        <f t="shared" si="104"/>
        <v>0</v>
      </c>
      <c r="AB612" s="298">
        <f>Z612+U612+P612+K612+F610</f>
        <v>0</v>
      </c>
      <c r="AC612" s="4"/>
      <c r="AD612" s="47"/>
      <c r="AE612" s="47"/>
      <c r="AF612" s="319"/>
      <c r="AG612" s="29">
        <f t="shared" si="106"/>
        <v>0</v>
      </c>
    </row>
    <row r="613" spans="1:37" outlineLevel="1">
      <c r="A613" s="180"/>
      <c r="B613" s="318" t="s">
        <v>444</v>
      </c>
      <c r="C613" s="319"/>
      <c r="D613" s="319"/>
      <c r="E613" s="319">
        <v>0</v>
      </c>
      <c r="F613" s="320"/>
      <c r="G613" s="4"/>
      <c r="H613" s="319"/>
      <c r="I613" s="319"/>
      <c r="J613" s="319">
        <v>0</v>
      </c>
      <c r="K613" s="320"/>
      <c r="L613" s="4"/>
      <c r="M613" s="319"/>
      <c r="N613" s="319"/>
      <c r="O613" s="319">
        <v>0</v>
      </c>
      <c r="P613" s="320"/>
      <c r="R613" s="319"/>
      <c r="S613" s="319"/>
      <c r="T613" s="319">
        <v>0</v>
      </c>
      <c r="U613" s="320"/>
      <c r="W613" s="319"/>
      <c r="X613" s="319"/>
      <c r="Y613" s="319">
        <v>0</v>
      </c>
      <c r="Z613" s="320"/>
      <c r="AA613" s="328">
        <f t="shared" ref="AA613:AA617" si="107">(E613+J613+O613+T613+Y613)</f>
        <v>0</v>
      </c>
      <c r="AB613" s="298">
        <f>Z613+U613+P613+K613+F612</f>
        <v>0</v>
      </c>
      <c r="AC613" s="4"/>
      <c r="AD613" s="47"/>
      <c r="AE613" s="47"/>
      <c r="AF613" s="319"/>
      <c r="AG613" s="29">
        <f t="shared" ref="AG613:AG615" si="108">AF613</f>
        <v>0</v>
      </c>
    </row>
    <row r="614" spans="1:37" outlineLevel="1">
      <c r="A614" s="180"/>
      <c r="B614" s="13" t="s">
        <v>481</v>
      </c>
      <c r="C614" s="319"/>
      <c r="D614" s="319"/>
      <c r="E614" s="319">
        <v>0</v>
      </c>
      <c r="F614" s="320"/>
      <c r="G614" s="4"/>
      <c r="H614" s="319"/>
      <c r="I614" s="319"/>
      <c r="J614" s="319">
        <v>0</v>
      </c>
      <c r="K614" s="320"/>
      <c r="L614" s="4"/>
      <c r="M614" s="319"/>
      <c r="N614" s="319"/>
      <c r="O614" s="319">
        <v>0</v>
      </c>
      <c r="P614" s="320"/>
      <c r="R614" s="319"/>
      <c r="S614" s="319"/>
      <c r="T614" s="319">
        <v>0</v>
      </c>
      <c r="U614" s="320"/>
      <c r="W614" s="319"/>
      <c r="X614" s="319"/>
      <c r="Y614" s="319">
        <v>0</v>
      </c>
      <c r="Z614" s="320"/>
      <c r="AA614" s="328">
        <f t="shared" si="107"/>
        <v>0</v>
      </c>
      <c r="AB614" s="298">
        <f>Z614+U614+P614+K614+F613</f>
        <v>0</v>
      </c>
      <c r="AC614" s="4"/>
      <c r="AD614" s="47"/>
      <c r="AE614" s="47"/>
      <c r="AF614" s="319"/>
      <c r="AG614" s="29">
        <f t="shared" si="108"/>
        <v>0</v>
      </c>
    </row>
    <row r="615" spans="1:37" outlineLevel="1">
      <c r="A615" s="180"/>
      <c r="B615" s="318" t="s">
        <v>482</v>
      </c>
      <c r="C615" s="319"/>
      <c r="D615" s="319"/>
      <c r="E615" s="319">
        <v>0</v>
      </c>
      <c r="F615" s="320"/>
      <c r="G615" s="4"/>
      <c r="H615" s="319"/>
      <c r="I615" s="319"/>
      <c r="J615" s="319">
        <v>0</v>
      </c>
      <c r="K615" s="320"/>
      <c r="L615" s="4"/>
      <c r="M615" s="319"/>
      <c r="N615" s="319"/>
      <c r="O615" s="319">
        <v>0</v>
      </c>
      <c r="P615" s="320"/>
      <c r="R615" s="319"/>
      <c r="S615" s="319"/>
      <c r="T615" s="319">
        <v>0</v>
      </c>
      <c r="U615" s="320"/>
      <c r="W615" s="319"/>
      <c r="X615" s="319"/>
      <c r="Y615" s="319">
        <v>0</v>
      </c>
      <c r="Z615" s="320"/>
      <c r="AA615" s="328">
        <f t="shared" si="107"/>
        <v>0</v>
      </c>
      <c r="AB615" s="298">
        <f>Z615+U615+P615+K615+F613</f>
        <v>0</v>
      </c>
      <c r="AC615" s="4"/>
      <c r="AD615" s="47"/>
      <c r="AE615" s="47"/>
      <c r="AF615" s="319"/>
      <c r="AG615" s="29">
        <f t="shared" si="108"/>
        <v>0</v>
      </c>
    </row>
    <row r="616" spans="1:37" outlineLevel="1">
      <c r="A616" s="180"/>
      <c r="B616" s="318" t="s">
        <v>450</v>
      </c>
      <c r="C616" s="319"/>
      <c r="D616" s="319"/>
      <c r="E616" s="319">
        <v>0</v>
      </c>
      <c r="F616" s="320"/>
      <c r="G616" s="4"/>
      <c r="H616" s="319"/>
      <c r="I616" s="319"/>
      <c r="J616" s="319">
        <v>0</v>
      </c>
      <c r="K616" s="320"/>
      <c r="L616" s="4"/>
      <c r="M616" s="319"/>
      <c r="N616" s="319"/>
      <c r="O616" s="319">
        <v>0</v>
      </c>
      <c r="P616" s="320"/>
      <c r="R616" s="353">
        <v>0.375</v>
      </c>
      <c r="S616" s="353">
        <v>0.41666666666666669</v>
      </c>
      <c r="T616" s="319">
        <v>1</v>
      </c>
      <c r="U616" s="320"/>
      <c r="W616" s="319"/>
      <c r="X616" s="319"/>
      <c r="Y616" s="319">
        <v>0</v>
      </c>
      <c r="Z616" s="320"/>
      <c r="AA616" s="328">
        <f t="shared" si="107"/>
        <v>1</v>
      </c>
      <c r="AB616" s="298">
        <f t="shared" ref="AB616:AB625" si="109">Z616+U616+P616+K616+F614</f>
        <v>0</v>
      </c>
      <c r="AC616" s="4"/>
      <c r="AD616" s="47"/>
      <c r="AE616" s="47"/>
      <c r="AF616" s="319"/>
      <c r="AG616" s="29">
        <f t="shared" ref="AG616:AG630" si="110">AF616</f>
        <v>0</v>
      </c>
    </row>
    <row r="617" spans="1:37" outlineLevel="1">
      <c r="A617" s="180"/>
      <c r="B617" s="568" t="s">
        <v>93</v>
      </c>
      <c r="C617" s="319" t="s">
        <v>466</v>
      </c>
      <c r="D617" s="319"/>
      <c r="E617" s="319">
        <v>0</v>
      </c>
      <c r="F617" s="320"/>
      <c r="G617" s="4"/>
      <c r="H617" s="319" t="s">
        <v>466</v>
      </c>
      <c r="J617" s="319">
        <v>0</v>
      </c>
      <c r="K617" s="320"/>
      <c r="L617" s="4"/>
      <c r="M617" s="319" t="s">
        <v>466</v>
      </c>
      <c r="N617" s="319"/>
      <c r="O617" s="319">
        <v>0</v>
      </c>
      <c r="P617" s="320"/>
      <c r="R617" s="319" t="s">
        <v>466</v>
      </c>
      <c r="S617" s="319"/>
      <c r="T617" s="319">
        <v>0</v>
      </c>
      <c r="U617" s="320"/>
      <c r="W617" s="571">
        <v>0.29166666666666669</v>
      </c>
      <c r="X617" s="571">
        <v>0.29166666666666669</v>
      </c>
      <c r="Y617" s="570">
        <v>8</v>
      </c>
      <c r="Z617" s="320">
        <v>3</v>
      </c>
      <c r="AA617" s="328">
        <f t="shared" si="107"/>
        <v>8</v>
      </c>
      <c r="AB617" s="298">
        <f t="shared" si="109"/>
        <v>3</v>
      </c>
      <c r="AC617" s="4"/>
      <c r="AD617" s="47"/>
      <c r="AE617" s="47"/>
      <c r="AF617" s="319"/>
      <c r="AG617" s="29">
        <f t="shared" si="110"/>
        <v>0</v>
      </c>
    </row>
    <row r="618" spans="1:37" outlineLevel="1">
      <c r="A618" s="180"/>
      <c r="B618" s="502" t="s">
        <v>483</v>
      </c>
      <c r="C618" s="47"/>
      <c r="D618" s="47"/>
      <c r="E618" s="319">
        <v>8</v>
      </c>
      <c r="F618" s="320"/>
      <c r="G618" s="4"/>
      <c r="H618" s="47"/>
      <c r="I618" s="47"/>
      <c r="J618" s="319">
        <v>8</v>
      </c>
      <c r="K618" s="320">
        <v>1.5</v>
      </c>
      <c r="L618" s="4"/>
      <c r="M618" s="441"/>
      <c r="N618" s="47"/>
      <c r="O618" s="319">
        <v>8</v>
      </c>
      <c r="P618" s="320"/>
      <c r="R618" s="47"/>
      <c r="S618" s="47"/>
      <c r="T618" s="319">
        <v>7.63</v>
      </c>
      <c r="U618" s="320"/>
      <c r="W618" s="47"/>
      <c r="X618" s="47"/>
      <c r="Y618" s="319">
        <v>8</v>
      </c>
      <c r="Z618" s="320"/>
      <c r="AA618" s="328">
        <f t="shared" ref="AA618:AA630" si="111">(E618+J618+O618+T618+Y618)</f>
        <v>39.629999999999995</v>
      </c>
      <c r="AB618" s="298">
        <f t="shared" si="109"/>
        <v>1.5</v>
      </c>
      <c r="AC618" s="4"/>
      <c r="AD618" s="47"/>
      <c r="AE618" s="47"/>
      <c r="AF618" s="319"/>
      <c r="AG618" s="29">
        <f t="shared" si="110"/>
        <v>0</v>
      </c>
    </row>
    <row r="619" spans="1:37" outlineLevel="1">
      <c r="A619" s="180"/>
      <c r="B619" s="502" t="s">
        <v>484</v>
      </c>
      <c r="C619" s="47"/>
      <c r="D619" s="47"/>
      <c r="E619" s="319">
        <v>8</v>
      </c>
      <c r="F619" s="320"/>
      <c r="G619" s="4"/>
      <c r="H619" s="47"/>
      <c r="I619" s="47"/>
      <c r="J619" s="319">
        <v>8</v>
      </c>
      <c r="K619" s="320">
        <v>1.5</v>
      </c>
      <c r="L619" s="4"/>
      <c r="M619" s="441"/>
      <c r="N619" s="47"/>
      <c r="O619" s="319">
        <v>8</v>
      </c>
      <c r="P619" s="320"/>
      <c r="R619" s="47"/>
      <c r="S619" s="47"/>
      <c r="T619" s="319">
        <v>7.63</v>
      </c>
      <c r="U619" s="320"/>
      <c r="W619" s="47"/>
      <c r="X619" s="47"/>
      <c r="Y619" s="319">
        <v>8</v>
      </c>
      <c r="Z619" s="320"/>
      <c r="AA619" s="328">
        <f t="shared" si="111"/>
        <v>39.629999999999995</v>
      </c>
      <c r="AB619" s="298">
        <f t="shared" si="109"/>
        <v>1.5</v>
      </c>
      <c r="AC619" s="4"/>
      <c r="AD619" s="47"/>
      <c r="AE619" s="47"/>
      <c r="AF619" s="319"/>
      <c r="AG619" s="29">
        <f t="shared" si="110"/>
        <v>0</v>
      </c>
    </row>
    <row r="620" spans="1:37" outlineLevel="1">
      <c r="A620" s="180"/>
      <c r="B620" s="502" t="s">
        <v>485</v>
      </c>
      <c r="C620" s="47"/>
      <c r="D620" s="47"/>
      <c r="E620" s="319">
        <v>8</v>
      </c>
      <c r="F620" s="320"/>
      <c r="G620" s="4"/>
      <c r="H620" s="47"/>
      <c r="I620" s="47"/>
      <c r="J620" s="319">
        <v>8</v>
      </c>
      <c r="K620" s="320">
        <v>1.5</v>
      </c>
      <c r="L620" s="4"/>
      <c r="M620" s="441"/>
      <c r="N620" s="47"/>
      <c r="O620" s="319">
        <v>8</v>
      </c>
      <c r="P620" s="320"/>
      <c r="R620" s="47"/>
      <c r="S620" s="47"/>
      <c r="T620" s="319">
        <v>7.63</v>
      </c>
      <c r="U620" s="320"/>
      <c r="W620" s="47"/>
      <c r="X620" s="47"/>
      <c r="Y620" s="319">
        <v>8</v>
      </c>
      <c r="Z620" s="320"/>
      <c r="AA620" s="328">
        <f t="shared" si="111"/>
        <v>39.629999999999995</v>
      </c>
      <c r="AB620" s="298">
        <f t="shared" si="109"/>
        <v>1.5</v>
      </c>
      <c r="AC620" s="4"/>
      <c r="AD620" s="47"/>
      <c r="AE620" s="47"/>
      <c r="AF620" s="319"/>
      <c r="AG620" s="29">
        <f t="shared" si="110"/>
        <v>0</v>
      </c>
    </row>
    <row r="621" spans="1:37" outlineLevel="1">
      <c r="A621" s="180"/>
      <c r="B621" s="502" t="s">
        <v>486</v>
      </c>
      <c r="C621" s="47"/>
      <c r="D621" s="47"/>
      <c r="E621" s="319">
        <v>4</v>
      </c>
      <c r="F621" s="320"/>
      <c r="G621" s="4"/>
      <c r="H621" s="47"/>
      <c r="I621" s="47"/>
      <c r="J621" s="319">
        <v>2.5</v>
      </c>
      <c r="K621" s="320"/>
      <c r="L621" s="4"/>
      <c r="M621" s="441"/>
      <c r="N621" s="47"/>
      <c r="O621" s="319"/>
      <c r="P621" s="320"/>
      <c r="R621" s="47"/>
      <c r="S621" s="47"/>
      <c r="T621" s="319"/>
      <c r="U621" s="320"/>
      <c r="W621" s="47"/>
      <c r="X621" s="47"/>
      <c r="Y621" s="319"/>
      <c r="Z621" s="320"/>
      <c r="AA621" s="328">
        <f t="shared" si="111"/>
        <v>6.5</v>
      </c>
      <c r="AB621" s="298">
        <f t="shared" si="109"/>
        <v>0</v>
      </c>
      <c r="AC621" s="4"/>
      <c r="AD621" s="47"/>
      <c r="AE621" s="47"/>
      <c r="AF621" s="319"/>
      <c r="AG621" s="29">
        <f t="shared" si="110"/>
        <v>0</v>
      </c>
    </row>
    <row r="622" spans="1:37" outlineLevel="1">
      <c r="A622" s="180"/>
      <c r="B622" s="63" t="s">
        <v>63</v>
      </c>
      <c r="C622" s="47"/>
      <c r="D622" s="47"/>
      <c r="E622" s="319">
        <v>4.5</v>
      </c>
      <c r="F622" s="320"/>
      <c r="G622" s="438"/>
      <c r="H622" s="47"/>
      <c r="I622" s="47"/>
      <c r="J622" s="319">
        <v>4.5</v>
      </c>
      <c r="K622" s="320"/>
      <c r="L622" s="438"/>
      <c r="M622" s="47"/>
      <c r="N622" s="47"/>
      <c r="O622" s="319">
        <v>4.5</v>
      </c>
      <c r="P622" s="320"/>
      <c r="Q622" s="438"/>
      <c r="R622" s="1546" t="s">
        <v>137</v>
      </c>
      <c r="S622" s="1546"/>
      <c r="T622" s="319">
        <v>0</v>
      </c>
      <c r="U622" s="320"/>
      <c r="V622" s="438"/>
      <c r="W622" s="47"/>
      <c r="X622" s="47"/>
      <c r="Y622" s="319">
        <v>4.5</v>
      </c>
      <c r="Z622" s="320"/>
      <c r="AA622" s="328">
        <f t="shared" si="111"/>
        <v>18</v>
      </c>
      <c r="AB622" s="298">
        <f t="shared" si="109"/>
        <v>0</v>
      </c>
      <c r="AC622" s="4"/>
      <c r="AD622" s="47"/>
      <c r="AE622" s="47"/>
      <c r="AF622" s="319"/>
      <c r="AG622" s="29">
        <f t="shared" si="110"/>
        <v>0</v>
      </c>
      <c r="AK622" s="407"/>
    </row>
    <row r="623" spans="1:37" outlineLevel="1">
      <c r="A623" s="180"/>
      <c r="B623" s="267" t="s">
        <v>358</v>
      </c>
      <c r="C623" s="47"/>
      <c r="D623" s="47"/>
      <c r="E623" s="319">
        <v>8</v>
      </c>
      <c r="F623" s="320"/>
      <c r="G623" s="438"/>
      <c r="H623" s="47"/>
      <c r="I623" s="47"/>
      <c r="J623" s="319">
        <v>8</v>
      </c>
      <c r="K623" s="320"/>
      <c r="L623" s="438"/>
      <c r="M623" s="47"/>
      <c r="N623" s="47"/>
      <c r="O623" s="319">
        <v>8</v>
      </c>
      <c r="P623" s="320"/>
      <c r="Q623" s="438"/>
      <c r="R623" s="47"/>
      <c r="S623" s="47"/>
      <c r="T623" s="319">
        <v>8</v>
      </c>
      <c r="U623" s="320"/>
      <c r="V623" s="438"/>
      <c r="W623" s="47"/>
      <c r="X623" s="47"/>
      <c r="Y623" s="319">
        <v>8</v>
      </c>
      <c r="Z623" s="320"/>
      <c r="AA623" s="328">
        <f t="shared" si="111"/>
        <v>40</v>
      </c>
      <c r="AB623" s="298">
        <f t="shared" si="109"/>
        <v>0</v>
      </c>
      <c r="AC623" s="4"/>
      <c r="AD623" s="47"/>
      <c r="AE623" s="47"/>
      <c r="AF623" s="319"/>
      <c r="AG623" s="29">
        <f t="shared" si="110"/>
        <v>0</v>
      </c>
      <c r="AK623" s="407"/>
    </row>
    <row r="624" spans="1:37" outlineLevel="1">
      <c r="A624" s="180"/>
      <c r="B624" s="267" t="s">
        <v>487</v>
      </c>
      <c r="C624" s="47"/>
      <c r="D624" s="47"/>
      <c r="E624" s="319">
        <v>8</v>
      </c>
      <c r="F624" s="320"/>
      <c r="G624" s="438"/>
      <c r="H624" s="47"/>
      <c r="I624" s="47"/>
      <c r="J624" s="319">
        <v>8</v>
      </c>
      <c r="K624" s="320"/>
      <c r="L624" s="438"/>
      <c r="M624" s="47"/>
      <c r="N624" s="47"/>
      <c r="O624" s="319">
        <v>8</v>
      </c>
      <c r="P624" s="320"/>
      <c r="Q624" s="438"/>
      <c r="R624" s="47"/>
      <c r="S624" s="47"/>
      <c r="T624" s="319">
        <v>8</v>
      </c>
      <c r="U624" s="320"/>
      <c r="V624" s="438"/>
      <c r="W624" s="47"/>
      <c r="X624" s="47"/>
      <c r="Y624" s="319">
        <v>8</v>
      </c>
      <c r="Z624" s="320">
        <v>1</v>
      </c>
      <c r="AA624" s="328">
        <f t="shared" si="111"/>
        <v>40</v>
      </c>
      <c r="AB624" s="298">
        <f t="shared" si="109"/>
        <v>1</v>
      </c>
      <c r="AC624" s="4"/>
      <c r="AD624" s="47"/>
      <c r="AE624" s="47"/>
      <c r="AF624" s="319"/>
      <c r="AG624" s="29">
        <f t="shared" si="110"/>
        <v>0</v>
      </c>
      <c r="AK624" s="407"/>
    </row>
    <row r="625" spans="1:49" outlineLevel="1">
      <c r="A625" s="180"/>
      <c r="B625" s="267" t="s">
        <v>359</v>
      </c>
      <c r="C625" s="47"/>
      <c r="D625" s="47"/>
      <c r="E625" s="319"/>
      <c r="F625" s="320"/>
      <c r="G625" s="438"/>
      <c r="H625" s="47"/>
      <c r="I625" s="47"/>
      <c r="J625" s="319"/>
      <c r="K625" s="320"/>
      <c r="L625" s="438"/>
      <c r="M625" s="47"/>
      <c r="N625" s="47"/>
      <c r="O625" s="319"/>
      <c r="P625" s="320"/>
      <c r="Q625" s="438"/>
      <c r="R625" s="47"/>
      <c r="S625" s="47"/>
      <c r="T625" s="319"/>
      <c r="U625" s="320"/>
      <c r="V625" s="438"/>
      <c r="W625" s="47"/>
      <c r="X625" s="47"/>
      <c r="Y625" s="319"/>
      <c r="Z625" s="320"/>
      <c r="AA625" s="328">
        <f t="shared" si="111"/>
        <v>0</v>
      </c>
      <c r="AB625" s="298">
        <f t="shared" si="109"/>
        <v>0</v>
      </c>
      <c r="AC625" s="4"/>
      <c r="AD625" s="47"/>
      <c r="AE625" s="47"/>
      <c r="AF625" s="319"/>
      <c r="AG625" s="29">
        <f t="shared" si="110"/>
        <v>0</v>
      </c>
      <c r="AK625" s="407"/>
    </row>
    <row r="626" spans="1:49" outlineLevel="1">
      <c r="A626" s="180"/>
      <c r="B626" s="267" t="s">
        <v>411</v>
      </c>
      <c r="C626" s="47"/>
      <c r="D626" s="47"/>
      <c r="E626" s="319"/>
      <c r="F626" s="320"/>
      <c r="G626" s="438"/>
      <c r="H626" s="47"/>
      <c r="I626" s="47"/>
      <c r="J626" s="319"/>
      <c r="K626" s="320"/>
      <c r="L626" s="438"/>
      <c r="M626" s="47"/>
      <c r="N626" s="47"/>
      <c r="O626" s="319"/>
      <c r="P626" s="320"/>
      <c r="Q626" s="438"/>
      <c r="R626" s="47"/>
      <c r="S626" s="47"/>
      <c r="T626" s="319"/>
      <c r="U626" s="320"/>
      <c r="V626" s="438"/>
      <c r="W626" s="47"/>
      <c r="X626" s="47"/>
      <c r="Y626" s="319"/>
      <c r="Z626" s="320"/>
      <c r="AA626" s="328">
        <f t="shared" si="111"/>
        <v>0</v>
      </c>
      <c r="AB626" s="298">
        <f t="shared" ref="AB626:AB630" si="112">Z626+U626+P626+K626+F626</f>
        <v>0</v>
      </c>
      <c r="AC626" s="4"/>
      <c r="AD626" s="47"/>
      <c r="AE626" s="47"/>
      <c r="AF626" s="319"/>
      <c r="AG626" s="29">
        <f t="shared" si="110"/>
        <v>0</v>
      </c>
      <c r="AK626" s="407"/>
    </row>
    <row r="627" spans="1:49" outlineLevel="1">
      <c r="A627" s="180"/>
      <c r="B627" s="267" t="s">
        <v>361</v>
      </c>
      <c r="C627" s="47"/>
      <c r="D627" s="47"/>
      <c r="E627" s="319"/>
      <c r="F627" s="320"/>
      <c r="G627" s="438"/>
      <c r="H627" s="47"/>
      <c r="I627" s="47"/>
      <c r="J627" s="319"/>
      <c r="K627" s="320"/>
      <c r="L627" s="438"/>
      <c r="M627" s="47"/>
      <c r="N627" s="47"/>
      <c r="O627" s="319"/>
      <c r="P627" s="320"/>
      <c r="Q627" s="438"/>
      <c r="R627" s="47"/>
      <c r="S627" s="47"/>
      <c r="T627" s="319"/>
      <c r="U627" s="320"/>
      <c r="V627" s="438"/>
      <c r="W627" s="47"/>
      <c r="X627" s="47"/>
      <c r="Y627" s="319"/>
      <c r="Z627" s="320"/>
      <c r="AA627" s="328">
        <f t="shared" si="111"/>
        <v>0</v>
      </c>
      <c r="AB627" s="298">
        <f t="shared" si="112"/>
        <v>0</v>
      </c>
      <c r="AC627" s="4"/>
      <c r="AD627" s="47"/>
      <c r="AE627" s="47"/>
      <c r="AF627" s="319"/>
      <c r="AG627" s="29">
        <f t="shared" si="110"/>
        <v>0</v>
      </c>
      <c r="AK627" s="407"/>
    </row>
    <row r="628" spans="1:49" outlineLevel="1">
      <c r="A628" s="180"/>
      <c r="B628" s="267" t="s">
        <v>362</v>
      </c>
      <c r="C628" s="47"/>
      <c r="D628" s="47"/>
      <c r="E628" s="319">
        <v>4</v>
      </c>
      <c r="F628" s="320"/>
      <c r="G628" s="438"/>
      <c r="H628" s="47"/>
      <c r="I628" s="47"/>
      <c r="J628" s="319">
        <v>4</v>
      </c>
      <c r="K628" s="320"/>
      <c r="L628" s="438"/>
      <c r="M628" s="47"/>
      <c r="N628" s="47"/>
      <c r="O628" s="319">
        <v>4</v>
      </c>
      <c r="P628" s="320"/>
      <c r="Q628" s="438"/>
      <c r="R628" s="47"/>
      <c r="S628" s="47"/>
      <c r="T628" s="319">
        <v>4</v>
      </c>
      <c r="U628" s="320"/>
      <c r="V628" s="438"/>
      <c r="W628" s="47"/>
      <c r="X628" s="47"/>
      <c r="Y628" s="319">
        <v>4</v>
      </c>
      <c r="Z628" s="320"/>
      <c r="AA628" s="328">
        <f t="shared" si="111"/>
        <v>20</v>
      </c>
      <c r="AB628" s="298">
        <f t="shared" si="112"/>
        <v>0</v>
      </c>
      <c r="AC628" s="4"/>
      <c r="AD628" s="47"/>
      <c r="AE628" s="47"/>
      <c r="AF628" s="319"/>
      <c r="AG628" s="29">
        <f t="shared" si="110"/>
        <v>0</v>
      </c>
      <c r="AK628" s="407"/>
    </row>
    <row r="629" spans="1:49" outlineLevel="1">
      <c r="A629" s="180"/>
      <c r="B629" s="437" t="s">
        <v>355</v>
      </c>
      <c r="C629" s="47"/>
      <c r="D629" s="47"/>
      <c r="E629" s="319">
        <v>7.7</v>
      </c>
      <c r="F629" s="320"/>
      <c r="G629" s="438"/>
      <c r="H629" s="47"/>
      <c r="I629" s="47"/>
      <c r="J629" s="319">
        <v>7.7</v>
      </c>
      <c r="K629" s="320"/>
      <c r="L629" s="438"/>
      <c r="M629" s="47"/>
      <c r="N629" s="47"/>
      <c r="O629" s="319">
        <v>0</v>
      </c>
      <c r="P629" s="320"/>
      <c r="Q629" s="438"/>
      <c r="R629" s="47"/>
      <c r="S629" s="47"/>
      <c r="T629" s="319">
        <v>7.7</v>
      </c>
      <c r="U629" s="320"/>
      <c r="V629" s="438"/>
      <c r="W629" s="47"/>
      <c r="X629" s="47"/>
      <c r="Y629" s="319">
        <v>7.7</v>
      </c>
      <c r="Z629" s="320"/>
      <c r="AA629" s="328">
        <f t="shared" si="111"/>
        <v>30.8</v>
      </c>
      <c r="AB629" s="298">
        <f t="shared" si="112"/>
        <v>0</v>
      </c>
      <c r="AC629" s="4"/>
      <c r="AD629" s="47"/>
      <c r="AE629" s="47"/>
      <c r="AF629" s="319"/>
      <c r="AG629" s="29">
        <f t="shared" si="110"/>
        <v>0</v>
      </c>
      <c r="AK629" s="407"/>
    </row>
    <row r="630" spans="1:49" outlineLevel="1">
      <c r="A630" s="180"/>
      <c r="B630" s="437" t="s">
        <v>356</v>
      </c>
      <c r="C630" s="47"/>
      <c r="D630" s="47"/>
      <c r="E630" s="319">
        <v>29.2</v>
      </c>
      <c r="F630" s="320"/>
      <c r="G630" s="438"/>
      <c r="H630" s="47"/>
      <c r="I630" s="47"/>
      <c r="J630" s="319"/>
      <c r="K630" s="320"/>
      <c r="L630" s="438"/>
      <c r="M630" s="47"/>
      <c r="N630" s="47"/>
      <c r="O630" s="319"/>
      <c r="P630" s="320"/>
      <c r="Q630" s="438"/>
      <c r="R630" s="47"/>
      <c r="S630" s="47"/>
      <c r="T630" s="319"/>
      <c r="U630" s="320"/>
      <c r="V630" s="438"/>
      <c r="W630" s="47"/>
      <c r="X630" s="47"/>
      <c r="Y630" s="319"/>
      <c r="Z630" s="320"/>
      <c r="AA630" s="328">
        <f t="shared" si="111"/>
        <v>29.2</v>
      </c>
      <c r="AB630" s="298">
        <f t="shared" si="112"/>
        <v>0</v>
      </c>
      <c r="AC630" s="4"/>
      <c r="AD630" s="47"/>
      <c r="AE630" s="47"/>
      <c r="AF630" s="319"/>
      <c r="AG630" s="29">
        <f t="shared" si="110"/>
        <v>0</v>
      </c>
      <c r="AK630" s="407"/>
    </row>
    <row r="631" spans="1:49" outlineLevel="1">
      <c r="A631" s="180"/>
      <c r="B631" s="64" t="s">
        <v>61</v>
      </c>
      <c r="C631" s="31"/>
      <c r="D631" s="31"/>
      <c r="E631" s="439">
        <f>SUM(E594:E630)</f>
        <v>169.39999999999998</v>
      </c>
      <c r="F631" s="320">
        <f>SUM(F594:F630)</f>
        <v>0</v>
      </c>
      <c r="G631" s="31"/>
      <c r="H631" s="31"/>
      <c r="I631" s="31"/>
      <c r="J631" s="439">
        <f>SUM(J594:J630)</f>
        <v>122.7</v>
      </c>
      <c r="K631" s="320">
        <f>SUM(K594:K630)</f>
        <v>4.5</v>
      </c>
      <c r="L631" s="31"/>
      <c r="M631" s="31"/>
      <c r="N631" s="31"/>
      <c r="O631" s="439">
        <f>SUM(O594:O630)</f>
        <v>88.5</v>
      </c>
      <c r="P631" s="320">
        <f>SUM(P594:P630)</f>
        <v>0</v>
      </c>
      <c r="Q631" s="31"/>
      <c r="R631" s="31"/>
      <c r="S631" s="31"/>
      <c r="T631" s="439">
        <f>SUM(T594:T630)</f>
        <v>98.59</v>
      </c>
      <c r="U631" s="320">
        <f>SUM(U594:U630)</f>
        <v>0</v>
      </c>
      <c r="V631" s="31"/>
      <c r="W631" s="31"/>
      <c r="X631" s="31"/>
      <c r="Y631" s="439">
        <f>SUM(Y594:Y630)</f>
        <v>152.19999999999999</v>
      </c>
      <c r="Z631" s="320">
        <f>SUM(Z594:Z630)</f>
        <v>4</v>
      </c>
      <c r="AA631" s="370">
        <f>SUM(AA594:AA630)</f>
        <v>631.39</v>
      </c>
      <c r="AB631" s="370">
        <f>SUM(AB594:AB630)</f>
        <v>8.5</v>
      </c>
      <c r="AC631" s="4"/>
      <c r="AD631" s="64"/>
      <c r="AE631" s="64"/>
      <c r="AF631" s="370">
        <f>SUM(AF594:AF630)</f>
        <v>0</v>
      </c>
      <c r="AG631" s="370">
        <f>SUM(AG594:AG630)</f>
        <v>0</v>
      </c>
    </row>
    <row r="632" spans="1:49" outlineLevel="1">
      <c r="A632" s="180"/>
      <c r="B632" s="63" t="s">
        <v>64</v>
      </c>
      <c r="C632" s="47"/>
      <c r="D632" s="47"/>
      <c r="E632" s="319">
        <v>8</v>
      </c>
      <c r="F632" s="291"/>
      <c r="G632" s="60"/>
      <c r="H632" s="47"/>
      <c r="I632" s="47"/>
      <c r="J632" s="319">
        <v>8</v>
      </c>
      <c r="K632" s="291"/>
      <c r="L632" s="60"/>
      <c r="M632" s="47"/>
      <c r="N632" s="47"/>
      <c r="O632" s="319">
        <v>8</v>
      </c>
      <c r="P632" s="19"/>
      <c r="Q632" s="60"/>
      <c r="R632" s="47"/>
      <c r="S632" s="47"/>
      <c r="T632" s="319">
        <v>8</v>
      </c>
      <c r="U632" s="19"/>
      <c r="V632" s="60"/>
      <c r="W632" s="47"/>
      <c r="X632" s="47"/>
      <c r="Y632" s="319">
        <v>8</v>
      </c>
      <c r="Z632" s="19"/>
      <c r="AA632" s="28">
        <f>SUM(E632+J632+O632+T632+Y632)</f>
        <v>40</v>
      </c>
      <c r="AB632" s="296">
        <f>Z632+U632+P632+K632+F632</f>
        <v>0</v>
      </c>
      <c r="AC632" s="4"/>
      <c r="AD632" s="47" t="s">
        <v>29</v>
      </c>
      <c r="AE632" s="47" t="s">
        <v>29</v>
      </c>
      <c r="AF632" s="319"/>
      <c r="AG632" s="29">
        <f>AF632</f>
        <v>0</v>
      </c>
    </row>
    <row r="633" spans="1:49" outlineLevel="1">
      <c r="A633" s="180"/>
      <c r="B633" s="71" t="s">
        <v>66</v>
      </c>
      <c r="C633" s="371"/>
      <c r="D633" s="371"/>
      <c r="E633" s="71"/>
      <c r="F633" s="71"/>
      <c r="G633" s="71"/>
      <c r="H633" s="71"/>
      <c r="I633" s="71"/>
      <c r="J633" s="71"/>
      <c r="K633" s="71"/>
      <c r="L633" s="71"/>
      <c r="M633" s="71"/>
      <c r="N633" s="71"/>
      <c r="O633" s="71"/>
      <c r="P633" s="71"/>
      <c r="Q633" s="71"/>
      <c r="R633" s="71"/>
      <c r="S633" s="71"/>
      <c r="T633" s="71"/>
      <c r="U633" s="71"/>
      <c r="V633" s="71"/>
      <c r="W633" s="71"/>
      <c r="X633" s="71"/>
      <c r="Y633" s="71"/>
      <c r="Z633" s="71"/>
      <c r="AA633" s="370">
        <f>SUM(AA632:AA632)</f>
        <v>40</v>
      </c>
      <c r="AB633" s="370">
        <f>SUM(AB632:AB632)</f>
        <v>0</v>
      </c>
      <c r="AC633" s="4"/>
      <c r="AG633" s="370">
        <f>SUM(AG632:AG632)</f>
        <v>0</v>
      </c>
    </row>
    <row r="634" spans="1:49" outlineLevel="1">
      <c r="A634" s="180"/>
      <c r="B634" s="217" t="s">
        <v>67</v>
      </c>
      <c r="C634" s="207">
        <f>C635+C636</f>
        <v>46</v>
      </c>
      <c r="D634" s="207"/>
      <c r="E634" s="209"/>
      <c r="F634" s="209"/>
      <c r="G634" s="207"/>
      <c r="H634" s="209"/>
      <c r="I634" s="209"/>
      <c r="J634" s="209"/>
      <c r="K634" s="209"/>
      <c r="L634" s="207"/>
      <c r="M634" s="207"/>
      <c r="N634" s="207"/>
      <c r="O634" s="207"/>
      <c r="P634" s="209"/>
      <c r="Q634" s="207"/>
      <c r="R634" s="207"/>
      <c r="S634" s="207"/>
      <c r="T634" s="207"/>
      <c r="U634" s="209"/>
      <c r="V634" s="207"/>
      <c r="W634" s="207"/>
      <c r="X634" s="207"/>
      <c r="Y634" s="210"/>
      <c r="Z634" s="209"/>
      <c r="AA634" s="211"/>
      <c r="AB634" s="209"/>
      <c r="AC634" s="211"/>
      <c r="AD634" s="211"/>
      <c r="AE634" s="211"/>
      <c r="AF634" s="211"/>
      <c r="AG634" s="211"/>
    </row>
    <row r="635" spans="1:49" outlineLevel="1">
      <c r="A635" s="180"/>
      <c r="B635" s="238" t="s">
        <v>68</v>
      </c>
      <c r="C635" s="239"/>
      <c r="D635" s="207"/>
      <c r="E635" s="209"/>
      <c r="F635" s="209"/>
      <c r="G635" s="207"/>
      <c r="H635" s="209"/>
      <c r="I635" s="209"/>
      <c r="J635" s="209"/>
      <c r="K635" s="209"/>
      <c r="L635" s="207"/>
      <c r="M635" s="207"/>
      <c r="N635" s="207"/>
      <c r="O635" s="207"/>
      <c r="P635" s="209"/>
      <c r="Q635" s="207"/>
      <c r="R635" s="207"/>
      <c r="S635" s="207"/>
      <c r="T635" s="207"/>
      <c r="U635" s="209"/>
      <c r="V635" s="207"/>
      <c r="W635" s="207"/>
      <c r="X635" s="207"/>
      <c r="Y635" s="210"/>
      <c r="Z635" s="209"/>
      <c r="AA635" s="211"/>
      <c r="AB635" s="209"/>
      <c r="AC635" s="211"/>
      <c r="AD635" s="211"/>
      <c r="AE635" s="211"/>
      <c r="AF635" s="211"/>
      <c r="AG635" s="211"/>
    </row>
    <row r="636" spans="1:49" outlineLevel="1">
      <c r="A636" s="180"/>
      <c r="B636" s="238" t="s">
        <v>69</v>
      </c>
      <c r="C636" s="239">
        <f>10+8+5+12+11</f>
        <v>46</v>
      </c>
      <c r="D636" s="207"/>
      <c r="E636" s="209"/>
      <c r="F636" s="209"/>
      <c r="G636" s="207"/>
      <c r="H636" s="209"/>
      <c r="I636" s="209"/>
      <c r="J636" s="209"/>
      <c r="K636" s="209"/>
      <c r="L636" s="207"/>
      <c r="M636" s="207"/>
      <c r="N636" s="207"/>
      <c r="O636" s="207"/>
      <c r="P636" s="209"/>
      <c r="Q636" s="207"/>
      <c r="R636" s="207"/>
      <c r="S636" s="207"/>
      <c r="T636" s="207"/>
      <c r="U636" s="209"/>
      <c r="V636" s="207"/>
      <c r="W636" s="207"/>
      <c r="X636" s="207"/>
      <c r="Y636" s="210"/>
      <c r="Z636" s="209"/>
      <c r="AA636" s="211"/>
      <c r="AB636" s="209"/>
      <c r="AC636" s="211"/>
      <c r="AD636" s="211"/>
      <c r="AE636" s="211"/>
      <c r="AF636" s="211"/>
      <c r="AG636" s="211"/>
    </row>
    <row r="637" spans="1:49" outlineLevel="1">
      <c r="B637" s="180"/>
      <c r="E637" s="4"/>
      <c r="F637" s="4"/>
      <c r="G637" s="4"/>
      <c r="J637" s="4"/>
      <c r="K637" s="4"/>
      <c r="L637" s="4"/>
      <c r="O637" s="4"/>
      <c r="P637" s="4"/>
      <c r="T637" s="4"/>
      <c r="U637" s="4"/>
      <c r="Y637" s="4"/>
      <c r="Z637" s="4"/>
      <c r="AA637" s="4"/>
      <c r="AB637" s="4"/>
      <c r="AC637" s="4"/>
    </row>
    <row r="638" spans="1:49" outlineLevel="1">
      <c r="A638" s="180"/>
      <c r="B638" s="229"/>
      <c r="C638" s="230"/>
      <c r="D638" s="230"/>
      <c r="E638" s="232"/>
      <c r="F638" s="232"/>
      <c r="G638" s="230"/>
      <c r="H638" s="232"/>
      <c r="I638" s="232"/>
      <c r="J638" s="232"/>
      <c r="K638" s="232"/>
      <c r="L638" s="230"/>
      <c r="M638" s="230"/>
      <c r="N638" s="230"/>
      <c r="O638" s="230"/>
      <c r="P638" s="232"/>
      <c r="Q638" s="230"/>
      <c r="R638" s="230"/>
      <c r="S638" s="230"/>
      <c r="T638" s="230"/>
      <c r="U638" s="232"/>
      <c r="V638" s="230"/>
      <c r="W638" s="230"/>
      <c r="X638" s="230"/>
      <c r="Y638" s="233"/>
      <c r="Z638" s="232"/>
      <c r="AA638" s="234"/>
      <c r="AB638" s="232"/>
      <c r="AC638" s="373"/>
      <c r="AD638" s="236"/>
      <c r="AE638" s="255"/>
      <c r="AF638" s="255"/>
      <c r="AG638" s="255"/>
      <c r="AH638" s="255"/>
      <c r="AJ638" s="255"/>
      <c r="AK638" s="255"/>
      <c r="AL638" s="255"/>
      <c r="AM638" s="255"/>
      <c r="AN638" s="255"/>
      <c r="AO638" s="255"/>
      <c r="AP638" s="255"/>
      <c r="AQ638" s="255"/>
      <c r="AR638" s="255"/>
      <c r="AS638" s="255"/>
      <c r="AT638" s="255"/>
      <c r="AU638" s="255"/>
      <c r="AV638" s="255"/>
      <c r="AW638" s="255"/>
    </row>
    <row r="639" spans="1:49" outlineLevel="1">
      <c r="B639" s="180"/>
      <c r="E639" s="4"/>
      <c r="F639" s="4"/>
      <c r="G639" s="4"/>
      <c r="J639" s="4"/>
      <c r="K639" s="4"/>
      <c r="L639" s="4"/>
      <c r="O639" s="4"/>
      <c r="P639" s="4"/>
      <c r="T639" s="4"/>
      <c r="U639" s="4"/>
      <c r="Y639" s="4"/>
      <c r="Z639" s="4"/>
      <c r="AA639" s="4"/>
      <c r="AB639" s="4"/>
      <c r="AC639" s="4"/>
      <c r="AK639" s="180"/>
      <c r="AL639" s="180"/>
      <c r="AM639" s="180"/>
      <c r="AN639" s="180"/>
      <c r="AO639" s="180"/>
      <c r="AP639" s="180"/>
    </row>
    <row r="640" spans="1:49" outlineLevel="1">
      <c r="A640" s="228"/>
      <c r="B640" s="1518" t="s">
        <v>18</v>
      </c>
      <c r="C640" s="1519" t="s">
        <v>488</v>
      </c>
      <c r="D640" s="1519"/>
      <c r="E640" s="1519"/>
      <c r="F640" s="1519"/>
      <c r="G640" s="365"/>
      <c r="H640" s="1519">
        <v>45468</v>
      </c>
      <c r="I640" s="1519"/>
      <c r="J640" s="1519"/>
      <c r="K640" s="1519"/>
      <c r="L640" s="365">
        <v>45343</v>
      </c>
      <c r="M640" s="1519" t="s">
        <v>489</v>
      </c>
      <c r="N640" s="1519"/>
      <c r="O640" s="1519"/>
      <c r="P640" s="1519"/>
      <c r="Q640" s="365"/>
      <c r="R640" s="1519">
        <v>45470</v>
      </c>
      <c r="S640" s="1519"/>
      <c r="T640" s="1519"/>
      <c r="U640" s="1519"/>
      <c r="V640" s="365"/>
      <c r="W640" s="1519" t="s">
        <v>490</v>
      </c>
      <c r="X640" s="1519"/>
      <c r="Y640" s="1519"/>
      <c r="Z640" s="1519"/>
      <c r="AA640" s="1517" t="s">
        <v>19</v>
      </c>
      <c r="AB640" s="1517" t="s">
        <v>20</v>
      </c>
      <c r="AC640" s="4"/>
      <c r="AD640" s="1519">
        <v>45472</v>
      </c>
      <c r="AE640" s="1519"/>
      <c r="AF640" s="1519"/>
      <c r="AG640" s="1517" t="s">
        <v>21</v>
      </c>
      <c r="AI640" s="368"/>
      <c r="AK640" s="194" t="s">
        <v>84</v>
      </c>
      <c r="AL640" s="366"/>
      <c r="AM640" s="366"/>
      <c r="AN640" s="366"/>
      <c r="AO640" s="366"/>
      <c r="AP640" s="366"/>
    </row>
    <row r="641" spans="1:49" outlineLevel="1">
      <c r="A641" s="180"/>
      <c r="B641" s="1518"/>
      <c r="C641" s="21" t="s">
        <v>23</v>
      </c>
      <c r="D641" s="21" t="s">
        <v>24</v>
      </c>
      <c r="E641" s="205" t="s">
        <v>25</v>
      </c>
      <c r="F641" s="18" t="s">
        <v>14</v>
      </c>
      <c r="G641" s="4"/>
      <c r="H641" s="21" t="s">
        <v>23</v>
      </c>
      <c r="I641" s="21" t="s">
        <v>24</v>
      </c>
      <c r="J641" s="18" t="s">
        <v>25</v>
      </c>
      <c r="K641" s="18" t="s">
        <v>14</v>
      </c>
      <c r="L641" s="4"/>
      <c r="M641" s="21" t="s">
        <v>23</v>
      </c>
      <c r="N641" s="21" t="s">
        <v>24</v>
      </c>
      <c r="O641" s="18" t="s">
        <v>25</v>
      </c>
      <c r="P641" s="18" t="s">
        <v>14</v>
      </c>
      <c r="R641" s="21" t="s">
        <v>23</v>
      </c>
      <c r="S641" s="21" t="s">
        <v>24</v>
      </c>
      <c r="T641" s="18" t="s">
        <v>25</v>
      </c>
      <c r="U641" s="18" t="s">
        <v>14</v>
      </c>
      <c r="W641" s="21" t="s">
        <v>23</v>
      </c>
      <c r="X641" s="21" t="s">
        <v>24</v>
      </c>
      <c r="Y641" s="18" t="s">
        <v>25</v>
      </c>
      <c r="Z641" s="18" t="s">
        <v>14</v>
      </c>
      <c r="AA641" s="1517"/>
      <c r="AB641" s="1517"/>
      <c r="AC641" s="4"/>
      <c r="AD641" s="21" t="s">
        <v>23</v>
      </c>
      <c r="AE641" s="21" t="s">
        <v>24</v>
      </c>
      <c r="AF641" s="18" t="s">
        <v>25</v>
      </c>
      <c r="AG641" s="1517"/>
      <c r="AI641" s="368"/>
      <c r="AJ641" s="367"/>
      <c r="AK641" s="494" t="s">
        <v>26</v>
      </c>
      <c r="AL641" s="471">
        <f>AA678</f>
        <v>628.55999999999995</v>
      </c>
      <c r="AM641" s="510">
        <v>38</v>
      </c>
      <c r="AN641" s="510">
        <f>AL641*AM641</f>
        <v>23885.279999999999</v>
      </c>
      <c r="AQ641" s="367"/>
      <c r="AR641" s="367"/>
      <c r="AS641" s="367"/>
      <c r="AT641" s="367"/>
      <c r="AU641" s="367"/>
      <c r="AV641" s="367"/>
      <c r="AW641" s="367"/>
    </row>
    <row r="642" spans="1:49" ht="13.5" customHeight="1" outlineLevel="1">
      <c r="A642" s="180"/>
      <c r="B642" s="418" t="s">
        <v>491</v>
      </c>
      <c r="C642" s="565"/>
      <c r="D642" s="565"/>
      <c r="E642" s="319"/>
      <c r="F642" s="320"/>
      <c r="G642" s="4"/>
      <c r="H642" s="565" t="s">
        <v>114</v>
      </c>
      <c r="I642" s="565"/>
      <c r="J642" s="319"/>
      <c r="K642" s="320"/>
      <c r="L642" s="4"/>
      <c r="M642" s="565" t="s">
        <v>114</v>
      </c>
      <c r="N642" s="565"/>
      <c r="O642" s="319"/>
      <c r="P642" s="320"/>
      <c r="R642" s="565" t="s">
        <v>114</v>
      </c>
      <c r="S642" s="565"/>
      <c r="T642" s="319"/>
      <c r="U642" s="320"/>
      <c r="W642" s="565"/>
      <c r="X642" s="565"/>
      <c r="Y642" s="319"/>
      <c r="Z642" s="320"/>
      <c r="AA642" s="328">
        <f t="shared" ref="AA642:AA660" si="113">(E642+J642+O642+T642+Y642)</f>
        <v>0</v>
      </c>
      <c r="AB642" s="298">
        <f t="shared" ref="AB642:AB664" si="114">Z642+U642+P642+K642+F642</f>
        <v>0</v>
      </c>
      <c r="AC642" s="4"/>
      <c r="AD642" s="531"/>
      <c r="AE642" s="531"/>
      <c r="AF642" s="319"/>
      <c r="AG642" s="328">
        <f>AF642</f>
        <v>0</v>
      </c>
      <c r="AI642" s="368"/>
      <c r="AJ642" s="367"/>
      <c r="AK642" s="494" t="s">
        <v>30</v>
      </c>
      <c r="AL642" s="471">
        <f>AB678</f>
        <v>5.8100000000000005</v>
      </c>
      <c r="AM642" s="511">
        <v>57</v>
      </c>
      <c r="AN642" s="510">
        <f>AL642*AM642</f>
        <v>331.17</v>
      </c>
      <c r="AQ642" s="367"/>
      <c r="AR642" s="367"/>
      <c r="AS642" s="367"/>
      <c r="AT642" s="367"/>
      <c r="AU642" s="367"/>
      <c r="AV642" s="367"/>
      <c r="AW642" s="367"/>
    </row>
    <row r="643" spans="1:49" ht="13.5" customHeight="1" outlineLevel="1">
      <c r="A643" s="367"/>
      <c r="B643" s="437" t="s">
        <v>492</v>
      </c>
      <c r="C643" s="566"/>
      <c r="D643" s="565"/>
      <c r="E643" s="319"/>
      <c r="F643" s="320"/>
      <c r="G643" s="4"/>
      <c r="H643" s="566"/>
      <c r="I643" s="565"/>
      <c r="J643" s="319"/>
      <c r="K643" s="320"/>
      <c r="L643" s="4"/>
      <c r="M643" s="566"/>
      <c r="N643" s="565"/>
      <c r="O643" s="319"/>
      <c r="P643" s="320"/>
      <c r="R643" s="566"/>
      <c r="S643" s="565"/>
      <c r="T643" s="319"/>
      <c r="U643" s="320"/>
      <c r="W643" s="566"/>
      <c r="X643" s="565"/>
      <c r="Y643" s="319"/>
      <c r="Z643" s="320"/>
      <c r="AA643" s="328">
        <f t="shared" si="113"/>
        <v>0</v>
      </c>
      <c r="AB643" s="298">
        <f t="shared" si="114"/>
        <v>0</v>
      </c>
      <c r="AC643" s="4"/>
      <c r="AF643" s="319"/>
      <c r="AG643" s="328">
        <f>AF643</f>
        <v>0</v>
      </c>
      <c r="AH643" s="175"/>
      <c r="AI643" s="402"/>
      <c r="AJ643" s="367"/>
      <c r="AK643" s="494" t="s">
        <v>32</v>
      </c>
      <c r="AL643" s="471">
        <f>AG678</f>
        <v>0</v>
      </c>
      <c r="AM643" s="510">
        <v>57</v>
      </c>
      <c r="AN643" s="510">
        <f>AL643*AM643</f>
        <v>0</v>
      </c>
      <c r="AQ643" s="367"/>
      <c r="AR643" s="367"/>
      <c r="AS643" s="367"/>
      <c r="AT643" s="367"/>
      <c r="AU643" s="367"/>
      <c r="AV643" s="367"/>
      <c r="AW643" s="367"/>
    </row>
    <row r="644" spans="1:49" ht="13.5" customHeight="1" outlineLevel="1">
      <c r="A644" s="367"/>
      <c r="B644" s="437" t="s">
        <v>493</v>
      </c>
      <c r="C644" s="566"/>
      <c r="D644" s="565"/>
      <c r="E644" s="319"/>
      <c r="F644" s="320"/>
      <c r="G644" s="4"/>
      <c r="H644" s="566"/>
      <c r="I644" s="565"/>
      <c r="J644" s="319"/>
      <c r="K644" s="320"/>
      <c r="L644" s="4"/>
      <c r="M644" s="566"/>
      <c r="N644" s="565"/>
      <c r="O644" s="319"/>
      <c r="P644" s="320"/>
      <c r="R644" s="566"/>
      <c r="S644" s="565"/>
      <c r="T644" s="319"/>
      <c r="U644" s="320"/>
      <c r="W644" s="566"/>
      <c r="X644" s="565"/>
      <c r="Y644" s="319"/>
      <c r="Z644" s="320"/>
      <c r="AA644" s="328">
        <f t="shared" si="113"/>
        <v>0</v>
      </c>
      <c r="AB644" s="298">
        <f t="shared" si="114"/>
        <v>0</v>
      </c>
      <c r="AC644" s="4"/>
      <c r="AD644" s="531"/>
      <c r="AE644" s="531"/>
      <c r="AF644" s="319"/>
      <c r="AG644" s="328"/>
      <c r="AH644" s="175"/>
      <c r="AI644" s="402"/>
      <c r="AJ644" s="367"/>
      <c r="AK644" s="494"/>
      <c r="AL644" s="471"/>
      <c r="AM644" s="510"/>
      <c r="AN644" s="510"/>
      <c r="AQ644" s="367"/>
      <c r="AR644" s="367"/>
      <c r="AS644" s="367"/>
      <c r="AT644" s="367"/>
      <c r="AU644" s="367"/>
      <c r="AV644" s="367"/>
      <c r="AW644" s="367"/>
    </row>
    <row r="645" spans="1:49" ht="13.5" customHeight="1" outlineLevel="1">
      <c r="A645" s="367"/>
      <c r="B645" s="437" t="s">
        <v>494</v>
      </c>
      <c r="C645" s="565"/>
      <c r="D645" s="565"/>
      <c r="E645" s="319"/>
      <c r="F645" s="320"/>
      <c r="G645" s="4"/>
      <c r="H645" s="565"/>
      <c r="I645" s="565"/>
      <c r="J645" s="319"/>
      <c r="K645" s="320"/>
      <c r="L645" s="4"/>
      <c r="M645" s="565"/>
      <c r="N645" s="565"/>
      <c r="O645" s="319"/>
      <c r="P645" s="320"/>
      <c r="R645" s="565"/>
      <c r="S645" s="565"/>
      <c r="T645" s="319"/>
      <c r="U645" s="320"/>
      <c r="W645" s="565"/>
      <c r="X645" s="565"/>
      <c r="Y645" s="319"/>
      <c r="Z645" s="320"/>
      <c r="AA645" s="328">
        <f t="shared" si="113"/>
        <v>0</v>
      </c>
      <c r="AB645" s="298">
        <f t="shared" si="114"/>
        <v>0</v>
      </c>
      <c r="AC645" s="399"/>
      <c r="AD645" s="47"/>
      <c r="AE645" s="47"/>
      <c r="AF645" s="319"/>
      <c r="AG645" s="29">
        <f t="shared" ref="AG645:AG664" si="115">AF645</f>
        <v>0</v>
      </c>
      <c r="AH645" s="175"/>
      <c r="AJ645" s="401"/>
      <c r="AK645" s="494" t="s">
        <v>213</v>
      </c>
      <c r="AL645" s="471">
        <f>AA680</f>
        <v>40</v>
      </c>
      <c r="AM645" s="510">
        <v>50</v>
      </c>
      <c r="AN645" s="510">
        <f>AL645*AM645</f>
        <v>2000</v>
      </c>
      <c r="AO645" s="405"/>
      <c r="AP645" s="405"/>
      <c r="AQ645" s="401"/>
      <c r="AR645" s="401"/>
      <c r="AS645" s="401"/>
      <c r="AT645" s="401"/>
      <c r="AU645" s="401"/>
      <c r="AV645" s="401"/>
      <c r="AW645" s="401"/>
    </row>
    <row r="646" spans="1:49" ht="13.5" customHeight="1" outlineLevel="1">
      <c r="A646" s="367"/>
      <c r="B646" s="437" t="s">
        <v>495</v>
      </c>
      <c r="C646" s="565"/>
      <c r="D646" s="565"/>
      <c r="E646" s="319"/>
      <c r="F646" s="320"/>
      <c r="G646" s="4"/>
      <c r="H646" s="565"/>
      <c r="I646" s="565"/>
      <c r="J646" s="319"/>
      <c r="K646" s="320"/>
      <c r="L646" s="4"/>
      <c r="M646" s="565"/>
      <c r="N646" s="565"/>
      <c r="O646" s="319"/>
      <c r="P646" s="320"/>
      <c r="R646" s="565"/>
      <c r="S646" s="565"/>
      <c r="T646" s="319"/>
      <c r="U646" s="320"/>
      <c r="W646" s="565"/>
      <c r="X646" s="565"/>
      <c r="Y646" s="319"/>
      <c r="Z646" s="320"/>
      <c r="AA646" s="328">
        <f t="shared" si="113"/>
        <v>0</v>
      </c>
      <c r="AB646" s="298">
        <f t="shared" si="114"/>
        <v>0</v>
      </c>
      <c r="AC646" s="399"/>
      <c r="AD646" s="47"/>
      <c r="AE646" s="47"/>
      <c r="AF646" s="319"/>
      <c r="AG646" s="29">
        <f t="shared" si="115"/>
        <v>0</v>
      </c>
      <c r="AH646" s="175"/>
      <c r="AJ646" s="401"/>
      <c r="AK646" s="494" t="s">
        <v>36</v>
      </c>
      <c r="AL646" s="471">
        <f>AB680</f>
        <v>3.5</v>
      </c>
      <c r="AM646" s="510">
        <v>75</v>
      </c>
      <c r="AN646" s="510">
        <f>AL646*AM646</f>
        <v>262.5</v>
      </c>
      <c r="AO646" s="405"/>
      <c r="AP646" s="405"/>
      <c r="AQ646" s="401"/>
      <c r="AR646" s="401"/>
      <c r="AS646" s="401"/>
      <c r="AT646" s="401"/>
      <c r="AU646" s="401"/>
      <c r="AV646" s="401"/>
      <c r="AW646" s="401"/>
    </row>
    <row r="647" spans="1:49" ht="13.5" customHeight="1" outlineLevel="1">
      <c r="A647" s="367"/>
      <c r="B647" s="418" t="s">
        <v>496</v>
      </c>
      <c r="C647" s="565"/>
      <c r="D647" s="565"/>
      <c r="E647" s="319"/>
      <c r="F647" s="320"/>
      <c r="G647" s="4"/>
      <c r="H647" s="565"/>
      <c r="I647" s="565"/>
      <c r="J647" s="319"/>
      <c r="K647" s="320"/>
      <c r="L647" s="4"/>
      <c r="M647" s="565"/>
      <c r="N647" s="565"/>
      <c r="O647" s="319"/>
      <c r="P647" s="320"/>
      <c r="R647" s="565"/>
      <c r="S647" s="565"/>
      <c r="T647" s="319"/>
      <c r="U647" s="320"/>
      <c r="W647" s="565"/>
      <c r="X647" s="565"/>
      <c r="Y647" s="319"/>
      <c r="Z647" s="320"/>
      <c r="AA647" s="328">
        <f t="shared" si="113"/>
        <v>0</v>
      </c>
      <c r="AB647" s="298">
        <f t="shared" si="114"/>
        <v>0</v>
      </c>
      <c r="AC647" s="175"/>
      <c r="AD647" s="47"/>
      <c r="AE647" s="47"/>
      <c r="AF647" s="319"/>
      <c r="AG647" s="344">
        <f t="shared" si="115"/>
        <v>0</v>
      </c>
      <c r="AH647" s="175"/>
      <c r="AI647" s="368"/>
      <c r="AK647" s="494" t="s">
        <v>38</v>
      </c>
      <c r="AL647" s="471">
        <f>AG680</f>
        <v>0</v>
      </c>
      <c r="AM647" s="510">
        <v>75</v>
      </c>
      <c r="AN647" s="510">
        <f>AL647*AM647</f>
        <v>0</v>
      </c>
    </row>
    <row r="648" spans="1:49" ht="13.5" customHeight="1" outlineLevel="1" thickBot="1">
      <c r="A648" s="401"/>
      <c r="B648" s="318" t="s">
        <v>456</v>
      </c>
      <c r="C648" s="47" t="s">
        <v>114</v>
      </c>
      <c r="D648" s="47"/>
      <c r="E648" s="319">
        <v>0</v>
      </c>
      <c r="F648" s="320"/>
      <c r="G648" s="4"/>
      <c r="H648" s="47"/>
      <c r="I648" s="47"/>
      <c r="J648" s="319">
        <v>0</v>
      </c>
      <c r="K648" s="320"/>
      <c r="L648" s="4"/>
      <c r="M648" s="47"/>
      <c r="N648" s="47"/>
      <c r="O648" s="319">
        <v>0</v>
      </c>
      <c r="P648" s="320"/>
      <c r="R648" s="47"/>
      <c r="S648" s="47"/>
      <c r="T648" s="319">
        <v>0</v>
      </c>
      <c r="U648" s="320"/>
      <c r="W648" s="47"/>
      <c r="X648" s="47"/>
      <c r="Y648" s="319">
        <v>0</v>
      </c>
      <c r="Z648" s="320"/>
      <c r="AA648" s="328">
        <f t="shared" si="113"/>
        <v>0</v>
      </c>
      <c r="AB648" s="298">
        <f t="shared" si="114"/>
        <v>0</v>
      </c>
      <c r="AC648" s="4"/>
      <c r="AD648" s="47"/>
      <c r="AE648" s="47"/>
      <c r="AF648" s="319"/>
      <c r="AG648" s="29">
        <f t="shared" si="115"/>
        <v>0</v>
      </c>
      <c r="AJ648" s="367"/>
      <c r="AK648" s="494" t="s">
        <v>41</v>
      </c>
      <c r="AL648" s="471">
        <f>C681</f>
        <v>56</v>
      </c>
      <c r="AM648" s="512">
        <v>45</v>
      </c>
      <c r="AN648" s="512">
        <f>AL648*AM648</f>
        <v>2520</v>
      </c>
      <c r="AQ648" s="367"/>
      <c r="AR648" s="367"/>
      <c r="AS648" s="367"/>
      <c r="AT648" s="367"/>
      <c r="AU648" s="367"/>
      <c r="AV648" s="367"/>
      <c r="AW648" s="367"/>
    </row>
    <row r="649" spans="1:49" ht="13.5" customHeight="1" outlineLevel="1" thickTop="1">
      <c r="A649" s="367"/>
      <c r="B649" s="437" t="s">
        <v>497</v>
      </c>
      <c r="C649" s="565"/>
      <c r="D649" s="565"/>
      <c r="E649" s="319">
        <v>0</v>
      </c>
      <c r="F649" s="320"/>
      <c r="G649" s="4"/>
      <c r="H649" s="565"/>
      <c r="I649" s="565"/>
      <c r="J649" s="319">
        <v>0</v>
      </c>
      <c r="K649" s="320"/>
      <c r="L649" s="4"/>
      <c r="M649" s="565"/>
      <c r="N649" s="565"/>
      <c r="O649" s="319"/>
      <c r="P649" s="320"/>
      <c r="R649" s="565"/>
      <c r="S649" s="565"/>
      <c r="T649" s="319"/>
      <c r="U649" s="320"/>
      <c r="W649" s="565"/>
      <c r="X649" s="565"/>
      <c r="Y649" s="319">
        <v>0</v>
      </c>
      <c r="Z649" s="320"/>
      <c r="AA649" s="328">
        <f t="shared" si="113"/>
        <v>0</v>
      </c>
      <c r="AB649" s="298">
        <f t="shared" si="114"/>
        <v>0</v>
      </c>
      <c r="AC649" s="4"/>
      <c r="AD649" s="47"/>
      <c r="AE649" s="47"/>
      <c r="AF649" s="319"/>
      <c r="AG649" s="29">
        <f t="shared" si="115"/>
        <v>0</v>
      </c>
      <c r="AK649" s="465"/>
      <c r="AL649" s="465"/>
      <c r="AN649" s="510">
        <f>SUM(AN641:AN648)</f>
        <v>28998.949999999997</v>
      </c>
    </row>
    <row r="650" spans="1:49" ht="13.5" customHeight="1" outlineLevel="1">
      <c r="A650" s="180"/>
      <c r="B650" s="457" t="s">
        <v>459</v>
      </c>
      <c r="C650" s="47">
        <v>0.375</v>
      </c>
      <c r="D650" s="47">
        <v>0.25</v>
      </c>
      <c r="E650" s="319">
        <v>8</v>
      </c>
      <c r="F650" s="320"/>
      <c r="G650" s="4"/>
      <c r="H650" s="47">
        <v>0.375</v>
      </c>
      <c r="I650" s="47">
        <v>0.25</v>
      </c>
      <c r="J650" s="319">
        <v>8</v>
      </c>
      <c r="K650" s="320"/>
      <c r="L650" s="4"/>
      <c r="M650" s="47">
        <v>0.375</v>
      </c>
      <c r="N650" s="47">
        <v>0.25</v>
      </c>
      <c r="O650" s="319">
        <v>8</v>
      </c>
      <c r="P650" s="320"/>
      <c r="R650" s="47">
        <v>0.375</v>
      </c>
      <c r="S650" s="47">
        <v>0.25</v>
      </c>
      <c r="T650" s="319">
        <v>8</v>
      </c>
      <c r="U650" s="320"/>
      <c r="W650" s="47">
        <v>0.375</v>
      </c>
      <c r="X650" s="47">
        <v>0.25</v>
      </c>
      <c r="Y650" s="319">
        <v>8</v>
      </c>
      <c r="Z650" s="320"/>
      <c r="AA650" s="328">
        <f t="shared" si="113"/>
        <v>40</v>
      </c>
      <c r="AB650" s="298">
        <f t="shared" si="114"/>
        <v>0</v>
      </c>
      <c r="AC650" s="4"/>
      <c r="AD650" s="47"/>
      <c r="AE650" s="47"/>
      <c r="AF650" s="319"/>
      <c r="AG650" s="29">
        <f t="shared" si="115"/>
        <v>0</v>
      </c>
    </row>
    <row r="651" spans="1:49" ht="13.5" customHeight="1" outlineLevel="1">
      <c r="A651" s="180"/>
      <c r="B651" s="437" t="s">
        <v>461</v>
      </c>
      <c r="C651" s="565">
        <v>0.375</v>
      </c>
      <c r="D651" s="47">
        <v>0.25</v>
      </c>
      <c r="E651" s="319">
        <v>8</v>
      </c>
      <c r="F651" s="320"/>
      <c r="G651" s="4"/>
      <c r="H651" s="565">
        <v>0.375</v>
      </c>
      <c r="I651" s="565">
        <v>0.25</v>
      </c>
      <c r="J651" s="319">
        <v>8</v>
      </c>
      <c r="K651" s="320"/>
      <c r="L651" s="4"/>
      <c r="M651" s="565">
        <v>0.375</v>
      </c>
      <c r="N651" s="565">
        <v>0.25</v>
      </c>
      <c r="O651" s="319">
        <v>8</v>
      </c>
      <c r="P651" s="320"/>
      <c r="R651" s="565">
        <v>0.375</v>
      </c>
      <c r="S651" s="565">
        <v>0.25</v>
      </c>
      <c r="T651" s="319">
        <v>8</v>
      </c>
      <c r="U651" s="320"/>
      <c r="W651" s="565">
        <v>0.375</v>
      </c>
      <c r="X651" s="565"/>
      <c r="Y651" s="319">
        <v>8</v>
      </c>
      <c r="Z651" s="320"/>
      <c r="AA651" s="328">
        <f t="shared" si="113"/>
        <v>40</v>
      </c>
      <c r="AB651" s="298">
        <f t="shared" si="114"/>
        <v>0</v>
      </c>
      <c r="AC651" s="4"/>
      <c r="AD651" s="47"/>
      <c r="AE651" s="47"/>
      <c r="AF651" s="319"/>
      <c r="AG651" s="29">
        <f t="shared" si="115"/>
        <v>0</v>
      </c>
    </row>
    <row r="652" spans="1:49" ht="13.5" customHeight="1" outlineLevel="1">
      <c r="A652" s="180"/>
      <c r="B652" s="457" t="s">
        <v>462</v>
      </c>
      <c r="C652" s="47">
        <v>0.375</v>
      </c>
      <c r="D652" s="47">
        <v>0.25</v>
      </c>
      <c r="E652" s="319">
        <v>8</v>
      </c>
      <c r="F652" s="320"/>
      <c r="G652" s="4"/>
      <c r="H652" s="47">
        <v>0.375</v>
      </c>
      <c r="I652" s="47">
        <v>0.25</v>
      </c>
      <c r="J652" s="319">
        <v>8</v>
      </c>
      <c r="K652" s="320"/>
      <c r="L652" s="4"/>
      <c r="M652" s="47"/>
      <c r="N652" s="47"/>
      <c r="O652" s="319"/>
      <c r="P652" s="320"/>
      <c r="R652" s="47">
        <v>0.375</v>
      </c>
      <c r="S652" s="47">
        <v>0.25</v>
      </c>
      <c r="T652" s="319">
        <v>8</v>
      </c>
      <c r="U652" s="320"/>
      <c r="W652" s="47">
        <v>0.375</v>
      </c>
      <c r="X652" s="47"/>
      <c r="Y652" s="319">
        <v>8</v>
      </c>
      <c r="Z652" s="320"/>
      <c r="AA652" s="328">
        <f t="shared" si="113"/>
        <v>32</v>
      </c>
      <c r="AB652" s="298">
        <f t="shared" si="114"/>
        <v>0</v>
      </c>
      <c r="AC652" s="4"/>
      <c r="AD652" s="47"/>
      <c r="AE652" s="47"/>
      <c r="AF652" s="319"/>
      <c r="AG652" s="29">
        <f t="shared" si="115"/>
        <v>0</v>
      </c>
    </row>
    <row r="653" spans="1:49" ht="19.899999999999999" customHeight="1" outlineLevel="1">
      <c r="A653" s="180"/>
      <c r="B653" s="457" t="s">
        <v>464</v>
      </c>
      <c r="C653" s="47"/>
      <c r="D653" s="47"/>
      <c r="E653" s="319">
        <v>0</v>
      </c>
      <c r="F653" s="320"/>
      <c r="G653" s="4"/>
      <c r="H653" s="47" t="s">
        <v>114</v>
      </c>
      <c r="I653" s="47"/>
      <c r="J653" s="319">
        <v>0</v>
      </c>
      <c r="K653" s="320"/>
      <c r="L653" s="4"/>
      <c r="M653" s="47" t="s">
        <v>114</v>
      </c>
      <c r="N653" s="47"/>
      <c r="O653" s="319"/>
      <c r="P653" s="320"/>
      <c r="R653" s="47" t="s">
        <v>114</v>
      </c>
      <c r="S653" s="47"/>
      <c r="T653" s="319"/>
      <c r="U653" s="320"/>
      <c r="W653" s="47"/>
      <c r="X653" s="47"/>
      <c r="Y653" s="319">
        <v>0</v>
      </c>
      <c r="Z653" s="320"/>
      <c r="AA653" s="328">
        <f t="shared" si="113"/>
        <v>0</v>
      </c>
      <c r="AB653" s="298">
        <f t="shared" si="114"/>
        <v>0</v>
      </c>
      <c r="AC653" s="4"/>
      <c r="AD653" s="47"/>
      <c r="AE653" s="47"/>
      <c r="AF653" s="319"/>
      <c r="AG653" s="29">
        <f t="shared" si="115"/>
        <v>0</v>
      </c>
    </row>
    <row r="654" spans="1:49" ht="13.5" customHeight="1" outlineLevel="1">
      <c r="A654" s="180"/>
      <c r="B654" s="318" t="s">
        <v>465</v>
      </c>
      <c r="C654" s="47" t="s">
        <v>466</v>
      </c>
      <c r="D654" s="47"/>
      <c r="E654" s="319">
        <v>0</v>
      </c>
      <c r="F654" s="320"/>
      <c r="G654" s="4"/>
      <c r="H654" s="47" t="s">
        <v>466</v>
      </c>
      <c r="I654" s="47"/>
      <c r="J654" s="319">
        <v>0</v>
      </c>
      <c r="K654" s="320"/>
      <c r="L654" s="4"/>
      <c r="M654" s="47">
        <v>0.375</v>
      </c>
      <c r="N654" s="47">
        <v>0.25</v>
      </c>
      <c r="O654" s="319">
        <v>8</v>
      </c>
      <c r="P654" s="320"/>
      <c r="R654" s="47">
        <v>0.375</v>
      </c>
      <c r="S654" s="565">
        <v>0.25</v>
      </c>
      <c r="T654" s="319">
        <v>8</v>
      </c>
      <c r="U654" s="320"/>
      <c r="W654" s="47">
        <v>0.375</v>
      </c>
      <c r="X654" s="47">
        <v>0.25</v>
      </c>
      <c r="Y654" s="319">
        <v>8</v>
      </c>
      <c r="Z654" s="320"/>
      <c r="AA654" s="328">
        <f t="shared" si="113"/>
        <v>24</v>
      </c>
      <c r="AB654" s="298">
        <f t="shared" si="114"/>
        <v>0</v>
      </c>
      <c r="AC654" s="4"/>
      <c r="AD654" s="47"/>
      <c r="AE654" s="47"/>
      <c r="AF654" s="319"/>
      <c r="AG654" s="29">
        <f t="shared" si="115"/>
        <v>0</v>
      </c>
    </row>
    <row r="655" spans="1:49" ht="13.5" customHeight="1" outlineLevel="1">
      <c r="A655" s="180"/>
      <c r="B655" s="437" t="s">
        <v>498</v>
      </c>
      <c r="C655" s="565">
        <v>0.375</v>
      </c>
      <c r="D655" s="47">
        <v>0.25</v>
      </c>
      <c r="E655" s="319">
        <v>8</v>
      </c>
      <c r="F655" s="320"/>
      <c r="G655" s="4"/>
      <c r="H655" s="565">
        <v>0.375</v>
      </c>
      <c r="I655" s="565">
        <v>0.25</v>
      </c>
      <c r="J655" s="319">
        <v>8</v>
      </c>
      <c r="K655" s="320"/>
      <c r="L655" s="4"/>
      <c r="M655" s="565">
        <v>0.375</v>
      </c>
      <c r="N655" s="565">
        <v>0.25</v>
      </c>
      <c r="O655" s="319">
        <v>8</v>
      </c>
      <c r="P655" s="320"/>
      <c r="R655" s="565">
        <v>0.375</v>
      </c>
      <c r="S655" s="565">
        <v>0.25</v>
      </c>
      <c r="T655" s="319">
        <v>8</v>
      </c>
      <c r="U655" s="320"/>
      <c r="W655" s="565">
        <v>0.375</v>
      </c>
      <c r="X655" s="565">
        <v>0.25</v>
      </c>
      <c r="Y655" s="319">
        <v>8</v>
      </c>
      <c r="Z655" s="320"/>
      <c r="AA655" s="328">
        <f t="shared" si="113"/>
        <v>40</v>
      </c>
      <c r="AB655" s="298">
        <f t="shared" si="114"/>
        <v>0</v>
      </c>
      <c r="AC655" s="4"/>
      <c r="AD655" s="47"/>
      <c r="AE655" s="47"/>
      <c r="AF655" s="319"/>
      <c r="AG655" s="29">
        <f t="shared" si="115"/>
        <v>0</v>
      </c>
    </row>
    <row r="656" spans="1:49" ht="13.5" customHeight="1" outlineLevel="1">
      <c r="A656" s="180"/>
      <c r="B656" s="318" t="s">
        <v>468</v>
      </c>
      <c r="C656" s="47">
        <v>0.375</v>
      </c>
      <c r="D656" s="47">
        <v>0.5</v>
      </c>
      <c r="E656" s="319">
        <v>4</v>
      </c>
      <c r="F656" s="320"/>
      <c r="G656" s="4"/>
      <c r="H656" s="47">
        <v>0.375</v>
      </c>
      <c r="I656" s="47">
        <v>0.25</v>
      </c>
      <c r="J656" s="319">
        <v>8</v>
      </c>
      <c r="K656" s="320"/>
      <c r="L656" s="4"/>
      <c r="M656" s="47">
        <v>0.375</v>
      </c>
      <c r="N656" s="47">
        <v>0.25</v>
      </c>
      <c r="O656" s="319">
        <v>8</v>
      </c>
      <c r="P656" s="320"/>
      <c r="R656" s="47">
        <v>0.375</v>
      </c>
      <c r="S656" s="47">
        <v>0.25</v>
      </c>
      <c r="T656" s="319">
        <v>8</v>
      </c>
      <c r="U656" s="320"/>
      <c r="W656" s="47"/>
      <c r="X656" s="47"/>
      <c r="Y656" s="319">
        <v>0</v>
      </c>
      <c r="Z656" s="320"/>
      <c r="AA656" s="328">
        <f t="shared" si="113"/>
        <v>28</v>
      </c>
      <c r="AB656" s="298">
        <f t="shared" si="114"/>
        <v>0</v>
      </c>
      <c r="AC656" s="4"/>
      <c r="AD656" s="47"/>
      <c r="AE656" s="47"/>
      <c r="AF656" s="319"/>
      <c r="AG656" s="29">
        <f t="shared" si="115"/>
        <v>0</v>
      </c>
    </row>
    <row r="657" spans="1:37" ht="13.5" customHeight="1" outlineLevel="1">
      <c r="A657" s="180"/>
      <c r="B657" s="437" t="s">
        <v>415</v>
      </c>
      <c r="C657" s="565"/>
      <c r="D657" s="565"/>
      <c r="E657" s="319">
        <v>0</v>
      </c>
      <c r="F657" s="320"/>
      <c r="G657" s="4"/>
      <c r="H657" s="565"/>
      <c r="I657" s="565"/>
      <c r="J657" s="319">
        <v>0</v>
      </c>
      <c r="K657" s="320"/>
      <c r="L657" s="4"/>
      <c r="M657" s="565"/>
      <c r="N657" s="565"/>
      <c r="O657" s="319"/>
      <c r="P657" s="320"/>
      <c r="R657" s="565"/>
      <c r="S657" s="565"/>
      <c r="T657" s="319"/>
      <c r="U657" s="320"/>
      <c r="W657" s="565"/>
      <c r="X657" s="565"/>
      <c r="Y657" s="319">
        <v>0</v>
      </c>
      <c r="Z657" s="320"/>
      <c r="AA657" s="328">
        <f t="shared" si="113"/>
        <v>0</v>
      </c>
      <c r="AB657" s="298">
        <f t="shared" si="114"/>
        <v>0</v>
      </c>
      <c r="AC657" s="4"/>
      <c r="AD657" s="47"/>
      <c r="AE657" s="47"/>
      <c r="AF657" s="319"/>
      <c r="AG657" s="29">
        <f t="shared" si="115"/>
        <v>0</v>
      </c>
    </row>
    <row r="658" spans="1:37" ht="13.5" customHeight="1" outlineLevel="1">
      <c r="A658" s="180"/>
      <c r="B658" s="457" t="s">
        <v>469</v>
      </c>
      <c r="C658" s="47" t="s">
        <v>114</v>
      </c>
      <c r="D658" s="47"/>
      <c r="E658" s="319">
        <v>0</v>
      </c>
      <c r="F658" s="320"/>
      <c r="G658" s="4"/>
      <c r="H658" s="47"/>
      <c r="I658" s="47"/>
      <c r="J658" s="319">
        <v>0</v>
      </c>
      <c r="K658" s="320"/>
      <c r="L658" s="4"/>
      <c r="M658" s="47"/>
      <c r="N658" s="47"/>
      <c r="O658" s="319">
        <v>0</v>
      </c>
      <c r="P658" s="320"/>
      <c r="R658" s="319">
        <v>0</v>
      </c>
      <c r="S658" s="47"/>
      <c r="T658" s="319"/>
      <c r="U658" s="320"/>
      <c r="W658" s="47">
        <v>0.45833333333333331</v>
      </c>
      <c r="X658" s="47">
        <v>0.25</v>
      </c>
      <c r="Y658" s="544">
        <v>7</v>
      </c>
      <c r="Z658" s="320"/>
      <c r="AA658" s="328">
        <f t="shared" si="113"/>
        <v>7</v>
      </c>
      <c r="AB658" s="298">
        <f t="shared" si="114"/>
        <v>0</v>
      </c>
      <c r="AC658" s="4"/>
      <c r="AD658" s="47"/>
      <c r="AE658" s="47"/>
      <c r="AF658" s="319"/>
      <c r="AG658" s="29">
        <f t="shared" si="115"/>
        <v>0</v>
      </c>
    </row>
    <row r="659" spans="1:37" ht="13.5" customHeight="1" outlineLevel="1">
      <c r="A659" s="180"/>
      <c r="B659" s="318" t="s">
        <v>470</v>
      </c>
      <c r="C659" s="47">
        <v>0.375</v>
      </c>
      <c r="D659" s="47">
        <v>0.5</v>
      </c>
      <c r="E659" s="319">
        <v>4</v>
      </c>
      <c r="F659" s="320"/>
      <c r="G659" s="4"/>
      <c r="H659" s="47">
        <v>0.375</v>
      </c>
      <c r="I659" s="47">
        <v>0.25</v>
      </c>
      <c r="J659" s="319">
        <v>8</v>
      </c>
      <c r="K659" s="320"/>
      <c r="L659" s="4"/>
      <c r="M659" s="47">
        <v>0.375</v>
      </c>
      <c r="N659" s="47">
        <v>0.25</v>
      </c>
      <c r="O659" s="319">
        <v>8</v>
      </c>
      <c r="P659" s="320"/>
      <c r="R659" s="47">
        <v>0.375</v>
      </c>
      <c r="S659" s="47">
        <v>0.25</v>
      </c>
      <c r="T659" s="319">
        <v>8</v>
      </c>
      <c r="U659" s="320"/>
      <c r="W659" s="47"/>
      <c r="X659" s="47"/>
      <c r="Y659" s="319">
        <v>0</v>
      </c>
      <c r="Z659" s="320"/>
      <c r="AA659" s="328">
        <f t="shared" si="113"/>
        <v>28</v>
      </c>
      <c r="AB659" s="298">
        <f t="shared" si="114"/>
        <v>0</v>
      </c>
      <c r="AC659" s="4"/>
      <c r="AD659" s="47"/>
      <c r="AE659" s="47"/>
      <c r="AF659" s="319"/>
      <c r="AG659" s="29">
        <f t="shared" si="115"/>
        <v>0</v>
      </c>
    </row>
    <row r="660" spans="1:37" ht="21.6" customHeight="1" outlineLevel="1">
      <c r="A660" s="180"/>
      <c r="B660" s="457" t="s">
        <v>473</v>
      </c>
      <c r="C660" s="47">
        <v>0.375</v>
      </c>
      <c r="D660" s="47">
        <v>0.5</v>
      </c>
      <c r="E660" s="319">
        <v>4</v>
      </c>
      <c r="F660" s="320"/>
      <c r="G660" s="4"/>
      <c r="H660" s="47">
        <v>0.375</v>
      </c>
      <c r="I660" s="47">
        <v>0.25</v>
      </c>
      <c r="J660" s="319">
        <v>8</v>
      </c>
      <c r="K660" s="320"/>
      <c r="L660" s="4"/>
      <c r="M660" s="47">
        <v>0.375</v>
      </c>
      <c r="N660" s="47">
        <v>0.25</v>
      </c>
      <c r="O660" s="319">
        <v>8</v>
      </c>
      <c r="P660" s="320"/>
      <c r="R660" s="47">
        <v>0.375</v>
      </c>
      <c r="S660" s="47">
        <v>0.25</v>
      </c>
      <c r="T660" s="319">
        <v>8</v>
      </c>
      <c r="U660" s="320"/>
      <c r="W660" s="47"/>
      <c r="X660" s="47"/>
      <c r="Y660" s="319">
        <v>0</v>
      </c>
      <c r="Z660" s="320"/>
      <c r="AA660" s="328">
        <f t="shared" si="113"/>
        <v>28</v>
      </c>
      <c r="AB660" s="298">
        <f t="shared" si="114"/>
        <v>0</v>
      </c>
      <c r="AC660" s="4"/>
      <c r="AD660" s="47"/>
      <c r="AE660" s="47"/>
      <c r="AF660" s="319"/>
      <c r="AG660" s="29">
        <f t="shared" si="115"/>
        <v>0</v>
      </c>
    </row>
    <row r="661" spans="1:37" ht="13.5" customHeight="1" outlineLevel="1">
      <c r="A661" s="180"/>
      <c r="B661" s="457" t="s">
        <v>474</v>
      </c>
      <c r="C661" s="47">
        <v>0.375</v>
      </c>
      <c r="D661" s="47">
        <v>0.25</v>
      </c>
      <c r="E661" s="319">
        <v>8</v>
      </c>
      <c r="F661" s="320"/>
      <c r="G661" s="4"/>
      <c r="H661" s="47">
        <v>0.375</v>
      </c>
      <c r="I661" s="47">
        <v>0.25</v>
      </c>
      <c r="J661" s="319">
        <v>8</v>
      </c>
      <c r="K661" s="320"/>
      <c r="L661" s="4"/>
      <c r="M661" s="47">
        <v>0.375</v>
      </c>
      <c r="N661" s="47">
        <v>0.25</v>
      </c>
      <c r="O661" s="319">
        <v>8</v>
      </c>
      <c r="P661" s="320"/>
      <c r="R661" s="47">
        <v>0.375</v>
      </c>
      <c r="S661" s="47">
        <v>0.25</v>
      </c>
      <c r="T661" s="319">
        <v>8</v>
      </c>
      <c r="U661" s="320"/>
      <c r="W661" s="47">
        <v>0.375</v>
      </c>
      <c r="X661" s="47"/>
      <c r="Y661" s="319">
        <v>8</v>
      </c>
      <c r="Z661" s="320"/>
      <c r="AA661" s="328">
        <f t="shared" ref="AA661:AA665" si="116">(E661+J661+O661+T661+Y661)</f>
        <v>40</v>
      </c>
      <c r="AB661" s="298">
        <f t="shared" si="114"/>
        <v>0</v>
      </c>
      <c r="AC661" s="4"/>
      <c r="AD661" s="47"/>
      <c r="AE661" s="47"/>
      <c r="AF661" s="319"/>
      <c r="AG661" s="29">
        <f t="shared" si="115"/>
        <v>0</v>
      </c>
    </row>
    <row r="662" spans="1:37" ht="13.5" customHeight="1" outlineLevel="1">
      <c r="A662" s="180"/>
      <c r="B662" s="437" t="s">
        <v>475</v>
      </c>
      <c r="C662" s="565">
        <v>0.375</v>
      </c>
      <c r="D662" s="47">
        <v>0.5</v>
      </c>
      <c r="E662" s="319">
        <v>4</v>
      </c>
      <c r="F662" s="320"/>
      <c r="G662" s="4"/>
      <c r="H662" s="565">
        <v>0.375</v>
      </c>
      <c r="I662" s="47">
        <v>0.25</v>
      </c>
      <c r="J662" s="319">
        <v>8</v>
      </c>
      <c r="K662" s="320"/>
      <c r="L662" s="4"/>
      <c r="M662" s="565">
        <v>0.375</v>
      </c>
      <c r="N662" s="47">
        <v>0.25</v>
      </c>
      <c r="O662" s="319">
        <v>8</v>
      </c>
      <c r="P662" s="320"/>
      <c r="R662" s="565">
        <v>0.375</v>
      </c>
      <c r="S662" s="47">
        <v>0.25</v>
      </c>
      <c r="T662" s="319">
        <v>8</v>
      </c>
      <c r="U662" s="320"/>
      <c r="W662" s="565"/>
      <c r="X662" s="565"/>
      <c r="Y662" s="319">
        <v>0</v>
      </c>
      <c r="Z662" s="320"/>
      <c r="AA662" s="328">
        <f t="shared" si="116"/>
        <v>28</v>
      </c>
      <c r="AB662" s="298">
        <f t="shared" si="114"/>
        <v>0</v>
      </c>
      <c r="AC662" s="4"/>
      <c r="AD662" s="47"/>
      <c r="AE662" s="47"/>
      <c r="AF662" s="319"/>
      <c r="AG662" s="29">
        <f t="shared" si="115"/>
        <v>0</v>
      </c>
    </row>
    <row r="663" spans="1:37" ht="13.5" customHeight="1" outlineLevel="1">
      <c r="A663" s="180"/>
      <c r="B663" s="437" t="s">
        <v>476</v>
      </c>
      <c r="C663" s="565">
        <v>0.375</v>
      </c>
      <c r="D663" s="47">
        <v>0.5</v>
      </c>
      <c r="E663" s="319">
        <v>4</v>
      </c>
      <c r="F663" s="320"/>
      <c r="G663" s="4"/>
      <c r="H663" s="565">
        <v>0.375</v>
      </c>
      <c r="I663" s="47">
        <v>0.25</v>
      </c>
      <c r="J663" s="319">
        <v>8</v>
      </c>
      <c r="K663" s="320"/>
      <c r="L663" s="4"/>
      <c r="M663" s="565">
        <v>0.375</v>
      </c>
      <c r="N663" s="47">
        <v>0.25</v>
      </c>
      <c r="O663" s="319">
        <v>8</v>
      </c>
      <c r="P663" s="320"/>
      <c r="R663" s="565">
        <v>0.375</v>
      </c>
      <c r="S663" s="47">
        <v>0.25</v>
      </c>
      <c r="T663" s="319">
        <v>8</v>
      </c>
      <c r="U663" s="320"/>
      <c r="W663" s="565"/>
      <c r="X663" s="565"/>
      <c r="Y663" s="319"/>
      <c r="Z663" s="320"/>
      <c r="AA663" s="328">
        <f t="shared" si="116"/>
        <v>28</v>
      </c>
      <c r="AB663" s="298">
        <f t="shared" si="114"/>
        <v>0</v>
      </c>
      <c r="AC663" s="4"/>
      <c r="AD663" s="47"/>
      <c r="AE663" s="47"/>
      <c r="AF663" s="319"/>
      <c r="AG663" s="29">
        <f t="shared" si="115"/>
        <v>0</v>
      </c>
    </row>
    <row r="664" spans="1:37" ht="13.5" customHeight="1" outlineLevel="1">
      <c r="A664" s="180"/>
      <c r="B664" s="267" t="s">
        <v>265</v>
      </c>
      <c r="C664" s="565"/>
      <c r="D664" s="47"/>
      <c r="E664" s="319">
        <v>0</v>
      </c>
      <c r="F664" s="320"/>
      <c r="G664" s="4"/>
      <c r="H664" s="565"/>
      <c r="I664" s="47"/>
      <c r="J664" s="319">
        <v>0</v>
      </c>
      <c r="K664" s="320"/>
      <c r="L664" s="4"/>
      <c r="M664" s="565"/>
      <c r="N664" s="47"/>
      <c r="O664" s="319">
        <v>0</v>
      </c>
      <c r="P664" s="320"/>
      <c r="R664" s="565"/>
      <c r="S664" s="565"/>
      <c r="T664" s="319">
        <v>0</v>
      </c>
      <c r="U664" s="320"/>
      <c r="W664" s="565">
        <v>0.375</v>
      </c>
      <c r="X664" s="565"/>
      <c r="Y664" s="319">
        <v>8</v>
      </c>
      <c r="Z664" s="320"/>
      <c r="AA664" s="328">
        <f t="shared" si="116"/>
        <v>8</v>
      </c>
      <c r="AB664" s="298">
        <f t="shared" si="114"/>
        <v>0</v>
      </c>
      <c r="AC664" s="4"/>
      <c r="AD664" s="47"/>
      <c r="AE664" s="47"/>
      <c r="AF664" s="319"/>
      <c r="AG664" s="29">
        <f t="shared" si="115"/>
        <v>0</v>
      </c>
    </row>
    <row r="665" spans="1:37" outlineLevel="1">
      <c r="A665" s="180"/>
      <c r="B665" s="502" t="s">
        <v>483</v>
      </c>
      <c r="C665" s="47"/>
      <c r="D665" s="47"/>
      <c r="E665" s="319">
        <v>8</v>
      </c>
      <c r="F665" s="320">
        <v>0.5</v>
      </c>
      <c r="G665" s="4"/>
      <c r="H665" s="47"/>
      <c r="I665" s="47"/>
      <c r="J665" s="319">
        <v>8</v>
      </c>
      <c r="K665" s="320">
        <v>0.5</v>
      </c>
      <c r="L665" s="4"/>
      <c r="M665" s="441"/>
      <c r="N665" s="47"/>
      <c r="O665" s="319">
        <v>8</v>
      </c>
      <c r="P665" s="320">
        <v>0.67</v>
      </c>
      <c r="R665" s="47"/>
      <c r="S665" s="47"/>
      <c r="T665" s="319">
        <v>8</v>
      </c>
      <c r="U665" s="320">
        <v>0.6</v>
      </c>
      <c r="W665" s="47"/>
      <c r="X665" s="47"/>
      <c r="Y665" s="319">
        <v>6.83</v>
      </c>
      <c r="Z665" s="320"/>
      <c r="AA665" s="328">
        <f t="shared" si="116"/>
        <v>38.83</v>
      </c>
      <c r="AB665" s="298">
        <f>Z665+U665+P665+K665+F662</f>
        <v>1.77</v>
      </c>
      <c r="AC665" s="4"/>
      <c r="AD665" s="47"/>
      <c r="AE665" s="47"/>
      <c r="AF665" s="319"/>
      <c r="AG665" s="29">
        <f t="shared" ref="AG665:AG677" si="117">AF665</f>
        <v>0</v>
      </c>
    </row>
    <row r="666" spans="1:37" outlineLevel="1">
      <c r="A666" s="180"/>
      <c r="B666" s="502" t="s">
        <v>484</v>
      </c>
      <c r="C666" s="47"/>
      <c r="D666" s="47"/>
      <c r="E666" s="319">
        <v>8</v>
      </c>
      <c r="F666" s="320">
        <v>0.5</v>
      </c>
      <c r="G666" s="4"/>
      <c r="H666" s="47"/>
      <c r="I666" s="47"/>
      <c r="J666" s="319">
        <v>8</v>
      </c>
      <c r="K666" s="320">
        <v>0.5</v>
      </c>
      <c r="L666" s="4"/>
      <c r="M666" s="441"/>
      <c r="N666" s="47"/>
      <c r="O666" s="319">
        <v>8</v>
      </c>
      <c r="P666" s="320">
        <v>0.67</v>
      </c>
      <c r="R666" s="47"/>
      <c r="S666" s="47"/>
      <c r="T666" s="319">
        <v>8</v>
      </c>
      <c r="U666" s="320">
        <v>0.6</v>
      </c>
      <c r="W666" s="47"/>
      <c r="X666" s="47"/>
      <c r="Y666" s="319">
        <v>6.83</v>
      </c>
      <c r="Z666" s="320"/>
      <c r="AA666" s="328">
        <f t="shared" ref="AA666:AA677" si="118">(E666+J666+O666+T666+Y666)</f>
        <v>38.83</v>
      </c>
      <c r="AB666" s="298">
        <f>Z666+U666+P666+K666+F658</f>
        <v>1.77</v>
      </c>
      <c r="AC666" s="4"/>
      <c r="AD666" s="47"/>
      <c r="AE666" s="47"/>
      <c r="AF666" s="319"/>
      <c r="AG666" s="29">
        <f t="shared" si="117"/>
        <v>0</v>
      </c>
    </row>
    <row r="667" spans="1:37" outlineLevel="1">
      <c r="A667" s="180"/>
      <c r="B667" s="502" t="s">
        <v>485</v>
      </c>
      <c r="C667" s="47"/>
      <c r="D667" s="47"/>
      <c r="E667" s="319">
        <v>8</v>
      </c>
      <c r="F667" s="320">
        <v>0.5</v>
      </c>
      <c r="G667" s="4"/>
      <c r="H667" s="47"/>
      <c r="I667" s="47"/>
      <c r="J667" s="319">
        <v>8</v>
      </c>
      <c r="K667" s="320">
        <v>0.5</v>
      </c>
      <c r="L667" s="4"/>
      <c r="M667" s="441"/>
      <c r="N667" s="47"/>
      <c r="O667" s="319">
        <v>8</v>
      </c>
      <c r="P667" s="320">
        <v>0.67</v>
      </c>
      <c r="R667" s="47"/>
      <c r="S667" s="47"/>
      <c r="T667" s="319">
        <v>8</v>
      </c>
      <c r="U667" s="320">
        <v>0.6</v>
      </c>
      <c r="W667" s="47"/>
      <c r="X667" s="47"/>
      <c r="Y667" s="319"/>
      <c r="Z667" s="320"/>
      <c r="AA667" s="328">
        <f t="shared" si="118"/>
        <v>32</v>
      </c>
      <c r="AB667" s="298">
        <f>Z667+U667+P667+K667+F659</f>
        <v>1.77</v>
      </c>
      <c r="AC667" s="4"/>
      <c r="AD667" s="47"/>
      <c r="AE667" s="47"/>
      <c r="AF667" s="319"/>
      <c r="AG667" s="29">
        <f t="shared" si="117"/>
        <v>0</v>
      </c>
    </row>
    <row r="668" spans="1:37" outlineLevel="1">
      <c r="A668" s="180"/>
      <c r="B668" s="502" t="s">
        <v>486</v>
      </c>
      <c r="C668" s="47"/>
      <c r="D668" s="47"/>
      <c r="E668" s="319"/>
      <c r="F668" s="320"/>
      <c r="G668" s="4"/>
      <c r="H668" s="47"/>
      <c r="I668" s="47"/>
      <c r="J668" s="319"/>
      <c r="K668" s="320"/>
      <c r="L668" s="4"/>
      <c r="M668" s="441"/>
      <c r="N668" s="47"/>
      <c r="O668" s="319"/>
      <c r="P668" s="320"/>
      <c r="R668" s="47"/>
      <c r="S668" s="47"/>
      <c r="T668" s="319"/>
      <c r="U668" s="320"/>
      <c r="W668" s="47"/>
      <c r="X668" s="47"/>
      <c r="Y668" s="319"/>
      <c r="Z668" s="320"/>
      <c r="AA668" s="328">
        <f t="shared" si="118"/>
        <v>0</v>
      </c>
      <c r="AB668" s="298">
        <f>Z668+U668+P668+K668+F666</f>
        <v>0.5</v>
      </c>
      <c r="AC668" s="4"/>
      <c r="AD668" s="47"/>
      <c r="AE668" s="47"/>
      <c r="AF668" s="319"/>
      <c r="AG668" s="29">
        <f t="shared" si="117"/>
        <v>0</v>
      </c>
    </row>
    <row r="669" spans="1:37" outlineLevel="1">
      <c r="A669" s="180"/>
      <c r="B669" s="63" t="s">
        <v>63</v>
      </c>
      <c r="C669" s="47"/>
      <c r="D669" s="47"/>
      <c r="E669" s="319">
        <v>4</v>
      </c>
      <c r="F669" s="320"/>
      <c r="G669" s="4"/>
      <c r="H669" s="47"/>
      <c r="I669" s="47"/>
      <c r="J669" s="319">
        <v>4</v>
      </c>
      <c r="K669" s="320"/>
      <c r="L669" s="4"/>
      <c r="M669" s="47"/>
      <c r="N669" s="47"/>
      <c r="O669" s="319">
        <v>4</v>
      </c>
      <c r="P669" s="320"/>
      <c r="R669" s="47"/>
      <c r="S669" s="47"/>
      <c r="T669" s="319">
        <v>4</v>
      </c>
      <c r="U669" s="320"/>
      <c r="W669" s="47"/>
      <c r="X669" s="47"/>
      <c r="Y669" s="319">
        <v>4</v>
      </c>
      <c r="Z669" s="320"/>
      <c r="AA669" s="328">
        <f t="shared" si="118"/>
        <v>20</v>
      </c>
      <c r="AB669" s="298">
        <f t="shared" ref="AB669:AB677" si="119">Z669+U669+P669+K669+F669</f>
        <v>0</v>
      </c>
      <c r="AC669" s="4"/>
      <c r="AD669" s="47"/>
      <c r="AE669" s="47"/>
      <c r="AF669" s="319"/>
      <c r="AG669" s="29">
        <f t="shared" si="117"/>
        <v>0</v>
      </c>
    </row>
    <row r="670" spans="1:37" outlineLevel="1">
      <c r="A670" s="180"/>
      <c r="B670" s="63" t="s">
        <v>487</v>
      </c>
      <c r="C670" s="47"/>
      <c r="D670" s="47"/>
      <c r="E670" s="319">
        <v>2</v>
      </c>
      <c r="F670" s="320"/>
      <c r="G670" s="438"/>
      <c r="H670" s="47"/>
      <c r="I670" s="47"/>
      <c r="J670" s="319">
        <v>2</v>
      </c>
      <c r="K670" s="320"/>
      <c r="L670" s="438"/>
      <c r="M670" s="47"/>
      <c r="N670" s="47"/>
      <c r="O670" s="319">
        <v>2</v>
      </c>
      <c r="P670" s="320"/>
      <c r="Q670" s="438"/>
      <c r="R670" s="47"/>
      <c r="S670" s="47"/>
      <c r="T670" s="319">
        <v>2</v>
      </c>
      <c r="U670" s="320"/>
      <c r="V670" s="438"/>
      <c r="W670" s="47"/>
      <c r="X670" s="47"/>
      <c r="Y670" s="319">
        <v>2</v>
      </c>
      <c r="Z670" s="320"/>
      <c r="AA670" s="328">
        <f t="shared" si="118"/>
        <v>10</v>
      </c>
      <c r="AB670" s="298">
        <f t="shared" si="119"/>
        <v>0</v>
      </c>
      <c r="AC670" s="4"/>
      <c r="AD670" s="47"/>
      <c r="AE670" s="47"/>
      <c r="AF670" s="319"/>
      <c r="AG670" s="29">
        <f t="shared" si="117"/>
        <v>0</v>
      </c>
      <c r="AK670" s="407"/>
    </row>
    <row r="671" spans="1:37" outlineLevel="1">
      <c r="A671" s="180"/>
      <c r="B671" s="267" t="s">
        <v>358</v>
      </c>
      <c r="C671" s="47"/>
      <c r="D671" s="47"/>
      <c r="E671" s="319">
        <v>8</v>
      </c>
      <c r="F671" s="320"/>
      <c r="G671" s="438"/>
      <c r="H671" s="47"/>
      <c r="I671" s="47"/>
      <c r="J671" s="319">
        <v>8</v>
      </c>
      <c r="K671" s="320"/>
      <c r="L671" s="438"/>
      <c r="M671" s="47"/>
      <c r="N671" s="47"/>
      <c r="O671" s="319">
        <v>8</v>
      </c>
      <c r="P671" s="320"/>
      <c r="Q671" s="438"/>
      <c r="R671" s="47"/>
      <c r="S671" s="47"/>
      <c r="T671" s="319">
        <v>8</v>
      </c>
      <c r="U671" s="320"/>
      <c r="V671" s="438"/>
      <c r="W671" s="47"/>
      <c r="X671" s="47"/>
      <c r="Y671" s="319">
        <v>8</v>
      </c>
      <c r="Z671" s="320"/>
      <c r="AA671" s="328">
        <f t="shared" si="118"/>
        <v>40</v>
      </c>
      <c r="AB671" s="298">
        <f t="shared" si="119"/>
        <v>0</v>
      </c>
      <c r="AC671" s="4"/>
      <c r="AD671" s="47"/>
      <c r="AE671" s="47"/>
      <c r="AF671" s="319"/>
      <c r="AG671" s="29">
        <f t="shared" si="117"/>
        <v>0</v>
      </c>
      <c r="AK671" s="407"/>
    </row>
    <row r="672" spans="1:37" outlineLevel="1">
      <c r="A672" s="180"/>
      <c r="B672" s="267" t="s">
        <v>359</v>
      </c>
      <c r="C672" s="47"/>
      <c r="D672" s="47"/>
      <c r="E672" s="319"/>
      <c r="F672" s="320"/>
      <c r="G672" s="438"/>
      <c r="H672" s="47"/>
      <c r="I672" s="47"/>
      <c r="J672" s="319"/>
      <c r="K672" s="320"/>
      <c r="L672" s="438"/>
      <c r="M672" s="47"/>
      <c r="N672" s="47"/>
      <c r="O672" s="319"/>
      <c r="P672" s="320"/>
      <c r="Q672" s="438"/>
      <c r="R672" s="47"/>
      <c r="S672" s="47"/>
      <c r="T672" s="319"/>
      <c r="U672" s="320"/>
      <c r="V672" s="438"/>
      <c r="W672" s="47"/>
      <c r="X672" s="47"/>
      <c r="Y672" s="319"/>
      <c r="Z672" s="320"/>
      <c r="AA672" s="328">
        <f t="shared" si="118"/>
        <v>0</v>
      </c>
      <c r="AB672" s="298">
        <f t="shared" si="119"/>
        <v>0</v>
      </c>
      <c r="AC672" s="4"/>
      <c r="AD672" s="47"/>
      <c r="AE672" s="47"/>
      <c r="AF672" s="319"/>
      <c r="AG672" s="29">
        <f t="shared" si="117"/>
        <v>0</v>
      </c>
      <c r="AK672" s="407"/>
    </row>
    <row r="673" spans="1:49" outlineLevel="1">
      <c r="A673" s="180"/>
      <c r="B673" s="267" t="s">
        <v>411</v>
      </c>
      <c r="C673" s="47"/>
      <c r="D673" s="47"/>
      <c r="E673" s="319"/>
      <c r="F673" s="320"/>
      <c r="G673" s="438"/>
      <c r="H673" s="47"/>
      <c r="I673" s="47"/>
      <c r="J673" s="319"/>
      <c r="K673" s="320"/>
      <c r="L673" s="438"/>
      <c r="M673" s="47"/>
      <c r="N673" s="47"/>
      <c r="O673" s="319"/>
      <c r="P673" s="320"/>
      <c r="Q673" s="438"/>
      <c r="R673" s="47"/>
      <c r="S673" s="47"/>
      <c r="T673" s="319"/>
      <c r="U673" s="320"/>
      <c r="V673" s="438"/>
      <c r="W673" s="47"/>
      <c r="X673" s="47"/>
      <c r="Y673" s="319"/>
      <c r="Z673" s="320"/>
      <c r="AA673" s="328">
        <f t="shared" si="118"/>
        <v>0</v>
      </c>
      <c r="AB673" s="298">
        <f t="shared" si="119"/>
        <v>0</v>
      </c>
      <c r="AC673" s="4"/>
      <c r="AD673" s="47"/>
      <c r="AE673" s="47"/>
      <c r="AF673" s="319"/>
      <c r="AG673" s="29">
        <f t="shared" si="117"/>
        <v>0</v>
      </c>
      <c r="AK673" s="407"/>
    </row>
    <row r="674" spans="1:49" outlineLevel="1">
      <c r="A674" s="180"/>
      <c r="B674" s="267" t="s">
        <v>361</v>
      </c>
      <c r="C674" s="47"/>
      <c r="D674" s="47"/>
      <c r="E674" s="319"/>
      <c r="F674" s="320"/>
      <c r="G674" s="438"/>
      <c r="H674" s="47"/>
      <c r="I674" s="47"/>
      <c r="J674" s="319"/>
      <c r="K674" s="320"/>
      <c r="L674" s="438"/>
      <c r="M674" s="47"/>
      <c r="N674" s="47"/>
      <c r="O674" s="319"/>
      <c r="P674" s="320"/>
      <c r="Q674" s="438"/>
      <c r="R674" s="47"/>
      <c r="S674" s="47"/>
      <c r="T674" s="319"/>
      <c r="U674" s="320"/>
      <c r="V674" s="438"/>
      <c r="W674" s="47"/>
      <c r="X674" s="47"/>
      <c r="Y674" s="319"/>
      <c r="Z674" s="320"/>
      <c r="AA674" s="328">
        <f t="shared" si="118"/>
        <v>0</v>
      </c>
      <c r="AB674" s="298">
        <f t="shared" si="119"/>
        <v>0</v>
      </c>
      <c r="AC674" s="4"/>
      <c r="AD674" s="47"/>
      <c r="AE674" s="47"/>
      <c r="AF674" s="319"/>
      <c r="AG674" s="29">
        <f t="shared" si="117"/>
        <v>0</v>
      </c>
      <c r="AK674" s="407"/>
    </row>
    <row r="675" spans="1:49" outlineLevel="1">
      <c r="A675" s="180"/>
      <c r="B675" s="267" t="s">
        <v>362</v>
      </c>
      <c r="C675" s="47"/>
      <c r="D675" s="47"/>
      <c r="E675" s="319">
        <v>4</v>
      </c>
      <c r="F675" s="320"/>
      <c r="G675" s="438"/>
      <c r="H675" s="47"/>
      <c r="I675" s="47"/>
      <c r="J675" s="319">
        <v>4</v>
      </c>
      <c r="K675" s="320"/>
      <c r="L675" s="438"/>
      <c r="M675" s="47"/>
      <c r="N675" s="47"/>
      <c r="O675" s="319">
        <v>4</v>
      </c>
      <c r="P675" s="320"/>
      <c r="Q675" s="438"/>
      <c r="R675" s="47"/>
      <c r="S675" s="47"/>
      <c r="T675" s="319">
        <v>4</v>
      </c>
      <c r="U675" s="320"/>
      <c r="V675" s="438"/>
      <c r="W675" s="47"/>
      <c r="X675" s="47"/>
      <c r="Y675" s="319">
        <v>4</v>
      </c>
      <c r="Z675" s="320"/>
      <c r="AA675" s="328">
        <f t="shared" si="118"/>
        <v>20</v>
      </c>
      <c r="AB675" s="298">
        <f t="shared" si="119"/>
        <v>0</v>
      </c>
      <c r="AC675" s="4"/>
      <c r="AD675" s="47"/>
      <c r="AE675" s="47"/>
      <c r="AF675" s="319"/>
      <c r="AG675" s="29">
        <f t="shared" si="117"/>
        <v>0</v>
      </c>
      <c r="AK675" s="407"/>
    </row>
    <row r="676" spans="1:49" outlineLevel="1">
      <c r="A676" s="180"/>
      <c r="B676" s="437" t="s">
        <v>355</v>
      </c>
      <c r="C676" s="47"/>
      <c r="D676" s="47"/>
      <c r="E676" s="319">
        <v>7.7</v>
      </c>
      <c r="F676" s="320"/>
      <c r="G676" s="438"/>
      <c r="H676" s="47"/>
      <c r="I676" s="47"/>
      <c r="J676" s="319">
        <v>7.7</v>
      </c>
      <c r="K676" s="320"/>
      <c r="L676" s="438"/>
      <c r="M676" s="47"/>
      <c r="N676" s="47"/>
      <c r="O676" s="319">
        <v>7.7</v>
      </c>
      <c r="P676" s="320"/>
      <c r="Q676" s="438"/>
      <c r="R676" s="47"/>
      <c r="S676" s="47"/>
      <c r="T676" s="319">
        <v>7.7</v>
      </c>
      <c r="U676" s="320"/>
      <c r="V676" s="438"/>
      <c r="W676" s="47"/>
      <c r="X676" s="47"/>
      <c r="Y676" s="319">
        <v>7.7</v>
      </c>
      <c r="Z676" s="320"/>
      <c r="AA676" s="328">
        <f t="shared" si="118"/>
        <v>38.5</v>
      </c>
      <c r="AB676" s="298">
        <f t="shared" si="119"/>
        <v>0</v>
      </c>
      <c r="AC676" s="4"/>
      <c r="AD676" s="47"/>
      <c r="AE676" s="47"/>
      <c r="AF676" s="319"/>
      <c r="AG676" s="29">
        <f t="shared" si="117"/>
        <v>0</v>
      </c>
      <c r="AK676" s="407"/>
    </row>
    <row r="677" spans="1:49" outlineLevel="1">
      <c r="A677" s="180"/>
      <c r="B677" s="437" t="s">
        <v>356</v>
      </c>
      <c r="C677" s="47"/>
      <c r="D677" s="47"/>
      <c r="E677" s="319"/>
      <c r="F677" s="320"/>
      <c r="G677" s="438"/>
      <c r="H677" s="47"/>
      <c r="I677" s="47"/>
      <c r="J677" s="319">
        <v>19.399999999999999</v>
      </c>
      <c r="K677" s="320"/>
      <c r="L677" s="438"/>
      <c r="M677" s="47"/>
      <c r="N677" s="47"/>
      <c r="O677" s="319"/>
      <c r="P677" s="320"/>
      <c r="Q677" s="438"/>
      <c r="R677" s="47"/>
      <c r="S677" s="47"/>
      <c r="T677" s="319"/>
      <c r="U677" s="320"/>
      <c r="V677" s="438"/>
      <c r="W677" s="47"/>
      <c r="X677" s="47"/>
      <c r="Y677" s="319"/>
      <c r="Z677" s="320"/>
      <c r="AA677" s="328">
        <f t="shared" si="118"/>
        <v>19.399999999999999</v>
      </c>
      <c r="AB677" s="298">
        <f t="shared" si="119"/>
        <v>0</v>
      </c>
      <c r="AC677" s="4"/>
      <c r="AD677" s="47"/>
      <c r="AE677" s="47"/>
      <c r="AF677" s="319"/>
      <c r="AG677" s="29">
        <f t="shared" si="117"/>
        <v>0</v>
      </c>
      <c r="AK677" s="407"/>
    </row>
    <row r="678" spans="1:49" outlineLevel="1">
      <c r="A678" s="180"/>
      <c r="B678" s="64" t="s">
        <v>61</v>
      </c>
      <c r="C678" s="31"/>
      <c r="D678" s="31"/>
      <c r="E678" s="439">
        <f>SUM(E642:E677)</f>
        <v>109.7</v>
      </c>
      <c r="F678" s="320">
        <f>SUM(F642:F677)</f>
        <v>1.5</v>
      </c>
      <c r="G678" s="31"/>
      <c r="H678" s="31"/>
      <c r="I678" s="31"/>
      <c r="J678" s="439">
        <f>SUM(J642:J677)</f>
        <v>149.1</v>
      </c>
      <c r="K678" s="320">
        <f>SUM(K642:K677)</f>
        <v>1.5</v>
      </c>
      <c r="L678" s="31"/>
      <c r="M678" s="31"/>
      <c r="N678" s="31"/>
      <c r="O678" s="439">
        <f>SUM(O642:O677)</f>
        <v>129.69999999999999</v>
      </c>
      <c r="P678" s="320">
        <f>SUM(P642:P677)</f>
        <v>2.0100000000000002</v>
      </c>
      <c r="Q678" s="31"/>
      <c r="R678" s="31"/>
      <c r="S678" s="31"/>
      <c r="T678" s="439">
        <f>SUM(T642:T677)</f>
        <v>137.69999999999999</v>
      </c>
      <c r="U678" s="320">
        <f>SUM(U642:U677)</f>
        <v>1.7999999999999998</v>
      </c>
      <c r="V678" s="31"/>
      <c r="W678" s="31"/>
      <c r="X678" s="31"/>
      <c r="Y678" s="439">
        <f>SUM(Y642:Y677)</f>
        <v>102.36</v>
      </c>
      <c r="Z678" s="320">
        <f>SUM(Z642:Z677)</f>
        <v>0</v>
      </c>
      <c r="AA678" s="370">
        <f>SUM(AA642:AA677)</f>
        <v>628.55999999999995</v>
      </c>
      <c r="AB678" s="370">
        <f>SUM(AB642:AB677)</f>
        <v>5.8100000000000005</v>
      </c>
      <c r="AC678" s="4"/>
      <c r="AD678" s="64"/>
      <c r="AE678" s="64"/>
      <c r="AF678" s="370">
        <f>SUM(AF642:AF677)</f>
        <v>0</v>
      </c>
      <c r="AG678" s="370">
        <f>SUM(AG642:AG677)</f>
        <v>0</v>
      </c>
    </row>
    <row r="679" spans="1:49" outlineLevel="1">
      <c r="A679" s="180"/>
      <c r="B679" s="63" t="s">
        <v>64</v>
      </c>
      <c r="C679" s="47"/>
      <c r="D679" s="47"/>
      <c r="E679" s="319">
        <v>8</v>
      </c>
      <c r="F679" s="291"/>
      <c r="G679" s="60"/>
      <c r="H679" s="47"/>
      <c r="I679" s="47"/>
      <c r="J679" s="319">
        <v>8</v>
      </c>
      <c r="K679" s="291">
        <v>0.75</v>
      </c>
      <c r="L679" s="60"/>
      <c r="M679" s="47"/>
      <c r="N679" s="47"/>
      <c r="O679" s="319">
        <v>8</v>
      </c>
      <c r="P679" s="19">
        <v>2.75</v>
      </c>
      <c r="Q679" s="60"/>
      <c r="R679" s="47"/>
      <c r="S679" s="47"/>
      <c r="T679" s="319">
        <v>8</v>
      </c>
      <c r="U679" s="19"/>
      <c r="V679" s="60"/>
      <c r="W679" s="47"/>
      <c r="X679" s="47"/>
      <c r="Y679" s="319">
        <v>8</v>
      </c>
      <c r="Z679" s="19"/>
      <c r="AA679" s="28">
        <f>SUM(E679+J679+O679+T679+Y679)</f>
        <v>40</v>
      </c>
      <c r="AB679" s="296">
        <f>Z679+U679+P679+K679+F679</f>
        <v>3.5</v>
      </c>
      <c r="AC679" s="4"/>
      <c r="AD679" s="47" t="s">
        <v>29</v>
      </c>
      <c r="AE679" s="47" t="s">
        <v>29</v>
      </c>
      <c r="AF679" s="319"/>
      <c r="AG679" s="29">
        <f>AF679</f>
        <v>0</v>
      </c>
    </row>
    <row r="680" spans="1:49" outlineLevel="1">
      <c r="A680" s="180"/>
      <c r="B680" s="71" t="s">
        <v>66</v>
      </c>
      <c r="C680" s="371"/>
      <c r="D680" s="371"/>
      <c r="E680" s="71"/>
      <c r="F680" s="71"/>
      <c r="G680" s="71"/>
      <c r="H680" s="71"/>
      <c r="I680" s="71"/>
      <c r="J680" s="71"/>
      <c r="K680" s="71"/>
      <c r="L680" s="71"/>
      <c r="M680" s="71"/>
      <c r="N680" s="71"/>
      <c r="O680" s="71"/>
      <c r="P680" s="71"/>
      <c r="Q680" s="71"/>
      <c r="R680" s="71"/>
      <c r="S680" s="71"/>
      <c r="T680" s="71"/>
      <c r="U680" s="71"/>
      <c r="V680" s="71"/>
      <c r="W680" s="71"/>
      <c r="X680" s="71"/>
      <c r="Y680" s="71"/>
      <c r="Z680" s="71"/>
      <c r="AA680" s="370">
        <f>SUM(AA679:AA679)</f>
        <v>40</v>
      </c>
      <c r="AB680" s="370">
        <f>SUM(AB679:AB679)</f>
        <v>3.5</v>
      </c>
      <c r="AC680" s="4"/>
      <c r="AG680" s="370">
        <f>SUM(AG679:AG679)</f>
        <v>0</v>
      </c>
    </row>
    <row r="681" spans="1:49" outlineLevel="1">
      <c r="A681" s="180"/>
      <c r="B681" s="217" t="s">
        <v>67</v>
      </c>
      <c r="C681" s="207">
        <f>C682+C683</f>
        <v>56</v>
      </c>
      <c r="D681" s="207"/>
      <c r="E681" s="209"/>
      <c r="F681" s="209"/>
      <c r="G681" s="207"/>
      <c r="H681" s="209"/>
      <c r="I681" s="209"/>
      <c r="J681" s="209"/>
      <c r="K681" s="209"/>
      <c r="L681" s="207"/>
      <c r="M681" s="207"/>
      <c r="N681" s="207"/>
      <c r="O681" s="207"/>
      <c r="P681" s="209"/>
      <c r="Q681" s="207"/>
      <c r="R681" s="207"/>
      <c r="S681" s="207"/>
      <c r="T681" s="207"/>
      <c r="U681" s="209"/>
      <c r="V681" s="207"/>
      <c r="W681" s="207"/>
      <c r="X681" s="207"/>
      <c r="Y681" s="210"/>
      <c r="Z681" s="209"/>
      <c r="AA681" s="211"/>
      <c r="AB681" s="209"/>
      <c r="AC681" s="211"/>
      <c r="AD681" s="211"/>
      <c r="AE681" s="211"/>
      <c r="AF681" s="211"/>
      <c r="AG681" s="211"/>
    </row>
    <row r="682" spans="1:49" outlineLevel="1">
      <c r="A682" s="180"/>
      <c r="B682" s="238" t="s">
        <v>68</v>
      </c>
      <c r="C682" s="239"/>
      <c r="D682" s="207"/>
      <c r="E682" s="209"/>
      <c r="F682" s="209"/>
      <c r="G682" s="207"/>
      <c r="H682" s="209"/>
      <c r="I682" s="209"/>
      <c r="J682" s="209"/>
      <c r="K682" s="209"/>
      <c r="L682" s="207"/>
      <c r="M682" s="207"/>
      <c r="N682" s="207"/>
      <c r="O682" s="207"/>
      <c r="P682" s="209"/>
      <c r="Q682" s="207"/>
      <c r="R682" s="207"/>
      <c r="S682" s="207"/>
      <c r="T682" s="207"/>
      <c r="U682" s="209"/>
      <c r="V682" s="207"/>
      <c r="W682" s="207"/>
      <c r="X682" s="207"/>
      <c r="Y682" s="210"/>
      <c r="Z682" s="209"/>
      <c r="AA682" s="211"/>
      <c r="AB682" s="209"/>
      <c r="AC682" s="211"/>
      <c r="AD682" s="211"/>
      <c r="AE682" s="211"/>
      <c r="AF682" s="211"/>
      <c r="AG682" s="211"/>
    </row>
    <row r="683" spans="1:49" outlineLevel="1">
      <c r="A683" s="180"/>
      <c r="B683" s="238" t="s">
        <v>69</v>
      </c>
      <c r="C683" s="239">
        <f>10+12+13+12+9</f>
        <v>56</v>
      </c>
      <c r="D683" s="207"/>
      <c r="E683" s="209"/>
      <c r="F683" s="209"/>
      <c r="G683" s="207"/>
      <c r="H683" s="209"/>
      <c r="I683" s="209"/>
      <c r="J683" s="209"/>
      <c r="K683" s="209"/>
      <c r="L683" s="207"/>
      <c r="M683" s="207"/>
      <c r="N683" s="207"/>
      <c r="O683" s="207"/>
      <c r="P683" s="209"/>
      <c r="Q683" s="207"/>
      <c r="R683" s="207"/>
      <c r="S683" s="207"/>
      <c r="T683" s="207"/>
      <c r="U683" s="209"/>
      <c r="V683" s="207"/>
      <c r="W683" s="207"/>
      <c r="X683" s="207"/>
      <c r="Y683" s="210"/>
      <c r="Z683" s="209"/>
      <c r="AA683" s="211"/>
      <c r="AB683" s="209"/>
      <c r="AC683" s="211"/>
      <c r="AD683" s="211"/>
      <c r="AE683" s="211"/>
      <c r="AF683" s="211"/>
      <c r="AG683" s="211"/>
    </row>
    <row r="684" spans="1:49" outlineLevel="1">
      <c r="B684" s="180"/>
      <c r="E684" s="4"/>
      <c r="F684" s="4"/>
      <c r="G684" s="4"/>
      <c r="J684" s="4"/>
      <c r="K684" s="4"/>
      <c r="L684" s="4"/>
      <c r="O684" s="4"/>
      <c r="P684" s="4"/>
      <c r="T684" s="4"/>
      <c r="U684" s="4"/>
      <c r="Y684" s="4"/>
      <c r="Z684" s="4"/>
      <c r="AA684" s="4"/>
      <c r="AB684" s="4"/>
      <c r="AC684" s="4"/>
    </row>
    <row r="685" spans="1:49">
      <c r="A685" s="180"/>
      <c r="B685" s="229"/>
      <c r="C685" s="230"/>
      <c r="D685" s="230"/>
      <c r="E685" s="232"/>
      <c r="F685" s="232"/>
      <c r="G685" s="230"/>
      <c r="H685" s="232"/>
      <c r="I685" s="232"/>
      <c r="J685" s="232"/>
      <c r="K685" s="232"/>
      <c r="L685" s="230"/>
      <c r="M685" s="230"/>
      <c r="N685" s="230"/>
      <c r="O685" s="230"/>
      <c r="P685" s="232"/>
      <c r="Q685" s="230"/>
      <c r="R685" s="230"/>
      <c r="S685" s="230"/>
      <c r="T685" s="230"/>
      <c r="U685" s="232"/>
      <c r="V685" s="230"/>
      <c r="W685" s="230"/>
      <c r="X685" s="230"/>
      <c r="Y685" s="233"/>
      <c r="Z685" s="232"/>
      <c r="AA685" s="234"/>
      <c r="AB685" s="232"/>
      <c r="AC685" s="373"/>
      <c r="AD685" s="236"/>
      <c r="AE685" s="255"/>
      <c r="AF685" s="255"/>
      <c r="AG685" s="255"/>
      <c r="AH685" s="255"/>
      <c r="AJ685" s="255"/>
      <c r="AK685" s="255"/>
      <c r="AL685" s="255"/>
      <c r="AM685" s="255"/>
      <c r="AN685" s="255"/>
      <c r="AO685" s="255"/>
      <c r="AP685" s="255"/>
      <c r="AQ685" s="255"/>
      <c r="AR685" s="255"/>
      <c r="AS685" s="255"/>
      <c r="AT685" s="255"/>
      <c r="AU685" s="255"/>
      <c r="AV685" s="255"/>
      <c r="AW685" s="255"/>
    </row>
    <row r="686" spans="1:49" outlineLevel="1">
      <c r="B686" s="180"/>
      <c r="E686" s="4"/>
      <c r="F686" s="4"/>
      <c r="G686" s="4"/>
      <c r="J686" s="4"/>
      <c r="K686" s="4"/>
      <c r="L686" s="4"/>
      <c r="O686" s="4"/>
      <c r="P686" s="4"/>
      <c r="T686" s="4"/>
      <c r="U686" s="4"/>
      <c r="Y686" s="4"/>
      <c r="Z686" s="4"/>
      <c r="AA686" s="4"/>
      <c r="AB686" s="4"/>
      <c r="AC686" s="4"/>
      <c r="AK686" s="180"/>
      <c r="AL686" s="180"/>
      <c r="AM686" s="180"/>
      <c r="AN686" s="180"/>
      <c r="AO686" s="180"/>
      <c r="AP686" s="180"/>
    </row>
    <row r="687" spans="1:49" outlineLevel="1">
      <c r="A687" s="228"/>
      <c r="B687" s="1518" t="s">
        <v>18</v>
      </c>
      <c r="C687" s="1519">
        <v>45474</v>
      </c>
      <c r="D687" s="1519"/>
      <c r="E687" s="1519"/>
      <c r="F687" s="1519"/>
      <c r="G687" s="365"/>
      <c r="H687" s="1519">
        <v>45475</v>
      </c>
      <c r="I687" s="1519"/>
      <c r="J687" s="1519"/>
      <c r="K687" s="1519"/>
      <c r="L687" s="365">
        <v>45343</v>
      </c>
      <c r="M687" s="1519">
        <v>45476</v>
      </c>
      <c r="N687" s="1519"/>
      <c r="O687" s="1519"/>
      <c r="P687" s="1519"/>
      <c r="Q687" s="365"/>
      <c r="R687" s="1519">
        <v>45477</v>
      </c>
      <c r="S687" s="1519"/>
      <c r="T687" s="1519"/>
      <c r="U687" s="1519"/>
      <c r="V687" s="365"/>
      <c r="W687" s="1519">
        <v>45478</v>
      </c>
      <c r="X687" s="1519"/>
      <c r="Y687" s="1519"/>
      <c r="Z687" s="1519"/>
      <c r="AA687" s="1517" t="s">
        <v>19</v>
      </c>
      <c r="AB687" s="1517" t="s">
        <v>20</v>
      </c>
      <c r="AC687" s="4"/>
      <c r="AD687" s="1519">
        <v>45479</v>
      </c>
      <c r="AE687" s="1519"/>
      <c r="AF687" s="1519"/>
      <c r="AG687" s="1517" t="s">
        <v>21</v>
      </c>
      <c r="AI687" s="368"/>
      <c r="AK687" s="194" t="s">
        <v>84</v>
      </c>
      <c r="AL687" s="366"/>
      <c r="AM687" s="366"/>
      <c r="AN687" s="366"/>
      <c r="AO687" s="366"/>
      <c r="AP687" s="366"/>
    </row>
    <row r="688" spans="1:49" outlineLevel="1">
      <c r="A688" s="180"/>
      <c r="B688" s="1518"/>
      <c r="C688" s="21" t="s">
        <v>23</v>
      </c>
      <c r="D688" s="21" t="s">
        <v>24</v>
      </c>
      <c r="E688" s="205" t="s">
        <v>25</v>
      </c>
      <c r="F688" s="18" t="s">
        <v>14</v>
      </c>
      <c r="G688" s="4"/>
      <c r="H688" s="21" t="s">
        <v>23</v>
      </c>
      <c r="I688" s="21" t="s">
        <v>24</v>
      </c>
      <c r="J688" s="18" t="s">
        <v>25</v>
      </c>
      <c r="K688" s="18" t="s">
        <v>14</v>
      </c>
      <c r="L688" s="4"/>
      <c r="M688" s="21" t="s">
        <v>23</v>
      </c>
      <c r="N688" s="21" t="s">
        <v>24</v>
      </c>
      <c r="O688" s="18" t="s">
        <v>25</v>
      </c>
      <c r="P688" s="18" t="s">
        <v>14</v>
      </c>
      <c r="R688" s="21" t="s">
        <v>23</v>
      </c>
      <c r="S688" s="21" t="s">
        <v>24</v>
      </c>
      <c r="T688" s="18" t="s">
        <v>25</v>
      </c>
      <c r="U688" s="18" t="s">
        <v>14</v>
      </c>
      <c r="W688" s="21" t="s">
        <v>23</v>
      </c>
      <c r="X688" s="21" t="s">
        <v>24</v>
      </c>
      <c r="Y688" s="18" t="s">
        <v>25</v>
      </c>
      <c r="Z688" s="18" t="s">
        <v>14</v>
      </c>
      <c r="AA688" s="1517"/>
      <c r="AB688" s="1517"/>
      <c r="AC688" s="4"/>
      <c r="AD688" s="21" t="s">
        <v>23</v>
      </c>
      <c r="AE688" s="21" t="s">
        <v>24</v>
      </c>
      <c r="AF688" s="18" t="s">
        <v>25</v>
      </c>
      <c r="AG688" s="1517"/>
      <c r="AI688" s="368"/>
      <c r="AJ688" s="367"/>
      <c r="AK688" s="494" t="s">
        <v>26</v>
      </c>
      <c r="AL688" s="471">
        <f>AA726</f>
        <v>504.90000000000003</v>
      </c>
      <c r="AM688" s="510">
        <v>38</v>
      </c>
      <c r="AN688" s="510">
        <f>AL688*AM688</f>
        <v>19186.2</v>
      </c>
      <c r="AQ688" s="367"/>
      <c r="AR688" s="367"/>
      <c r="AS688" s="367"/>
      <c r="AT688" s="367"/>
      <c r="AU688" s="367"/>
      <c r="AV688" s="367"/>
      <c r="AW688" s="367"/>
    </row>
    <row r="689" spans="1:49" ht="13.5" customHeight="1" outlineLevel="1">
      <c r="A689" s="180"/>
      <c r="B689" s="418" t="s">
        <v>491</v>
      </c>
      <c r="C689" s="565"/>
      <c r="D689" s="565"/>
      <c r="E689" s="319">
        <v>0</v>
      </c>
      <c r="F689" s="320"/>
      <c r="G689" s="4"/>
      <c r="H689" s="565"/>
      <c r="I689" s="565"/>
      <c r="J689" s="319">
        <v>0</v>
      </c>
      <c r="K689" s="320"/>
      <c r="L689" s="4"/>
      <c r="M689" s="565"/>
      <c r="N689" s="565"/>
      <c r="O689" s="319">
        <v>0</v>
      </c>
      <c r="P689" s="320"/>
      <c r="R689" s="1549" t="s">
        <v>499</v>
      </c>
      <c r="S689" s="1549"/>
      <c r="T689" s="319"/>
      <c r="U689" s="320"/>
      <c r="W689" s="565"/>
      <c r="X689" s="565"/>
      <c r="Y689" s="319">
        <v>0</v>
      </c>
      <c r="Z689" s="320"/>
      <c r="AA689" s="328">
        <f t="shared" ref="AA689:AA723" si="120">(E689+J689+O689+T689+Y689)</f>
        <v>0</v>
      </c>
      <c r="AB689" s="298">
        <f t="shared" ref="AB689:AB705" si="121">Z689+U689+P689+K689+F689</f>
        <v>0</v>
      </c>
      <c r="AC689" s="4"/>
      <c r="AD689" s="531"/>
      <c r="AE689" s="531"/>
      <c r="AF689" s="319"/>
      <c r="AG689" s="328">
        <f>AF689</f>
        <v>0</v>
      </c>
      <c r="AI689" s="368"/>
      <c r="AJ689" s="367"/>
      <c r="AK689" s="494" t="s">
        <v>30</v>
      </c>
      <c r="AL689" s="471">
        <f>AB726</f>
        <v>10.75</v>
      </c>
      <c r="AM689" s="511">
        <v>57</v>
      </c>
      <c r="AN689" s="510">
        <f>AL689*AM689</f>
        <v>612.75</v>
      </c>
      <c r="AQ689" s="367"/>
      <c r="AR689" s="367"/>
      <c r="AS689" s="367"/>
      <c r="AT689" s="367"/>
      <c r="AU689" s="367"/>
      <c r="AV689" s="367"/>
      <c r="AW689" s="367"/>
    </row>
    <row r="690" spans="1:49" ht="13.5" customHeight="1" outlineLevel="1">
      <c r="A690" s="367"/>
      <c r="B690" s="437" t="s">
        <v>492</v>
      </c>
      <c r="C690" s="566"/>
      <c r="D690" s="565"/>
      <c r="E690" s="319">
        <v>0</v>
      </c>
      <c r="F690" s="320"/>
      <c r="G690" s="4"/>
      <c r="H690" s="566"/>
      <c r="I690" s="565"/>
      <c r="J690" s="319">
        <v>0</v>
      </c>
      <c r="K690" s="320"/>
      <c r="L690" s="4"/>
      <c r="M690" s="566"/>
      <c r="N690" s="565"/>
      <c r="O690" s="319">
        <v>0</v>
      </c>
      <c r="P690" s="320"/>
      <c r="R690" s="1549"/>
      <c r="S690" s="1549"/>
      <c r="T690" s="319"/>
      <c r="U690" s="320"/>
      <c r="W690" s="566"/>
      <c r="X690" s="565"/>
      <c r="Y690" s="319">
        <v>0</v>
      </c>
      <c r="Z690" s="320"/>
      <c r="AA690" s="328">
        <f t="shared" si="120"/>
        <v>0</v>
      </c>
      <c r="AB690" s="298">
        <f t="shared" si="121"/>
        <v>0</v>
      </c>
      <c r="AC690" s="4"/>
      <c r="AF690" s="319"/>
      <c r="AG690" s="328">
        <f>AF690</f>
        <v>0</v>
      </c>
      <c r="AH690" s="175"/>
      <c r="AI690" s="402"/>
      <c r="AJ690" s="367"/>
      <c r="AK690" s="494" t="s">
        <v>32</v>
      </c>
      <c r="AL690" s="471">
        <f>AG726</f>
        <v>0</v>
      </c>
      <c r="AM690" s="510">
        <v>57</v>
      </c>
      <c r="AN690" s="510">
        <f>AL690*AM690</f>
        <v>0</v>
      </c>
      <c r="AQ690" s="367"/>
      <c r="AR690" s="367"/>
      <c r="AS690" s="367"/>
      <c r="AT690" s="367"/>
      <c r="AU690" s="367"/>
      <c r="AV690" s="367"/>
      <c r="AW690" s="367"/>
    </row>
    <row r="691" spans="1:49" ht="13.5" customHeight="1" outlineLevel="1">
      <c r="A691" s="367"/>
      <c r="B691" s="437" t="s">
        <v>493</v>
      </c>
      <c r="C691" s="566" t="s">
        <v>114</v>
      </c>
      <c r="D691" s="565"/>
      <c r="E691" s="319">
        <v>0</v>
      </c>
      <c r="F691" s="320"/>
      <c r="G691" s="4"/>
      <c r="H691" s="566" t="s">
        <v>114</v>
      </c>
      <c r="I691" s="565"/>
      <c r="J691" s="319">
        <v>0</v>
      </c>
      <c r="K691" s="320"/>
      <c r="L691" s="4"/>
      <c r="M691" s="47">
        <v>0.39583333333333331</v>
      </c>
      <c r="N691" s="47">
        <v>0.27083333333333331</v>
      </c>
      <c r="O691" s="319">
        <v>8</v>
      </c>
      <c r="P691" s="320"/>
      <c r="R691" s="1549"/>
      <c r="S691" s="1549"/>
      <c r="T691" s="319"/>
      <c r="U691" s="320"/>
      <c r="W691" s="566" t="s">
        <v>75</v>
      </c>
      <c r="X691" s="47">
        <v>0.27083333333333331</v>
      </c>
      <c r="Y691" s="319">
        <v>8</v>
      </c>
      <c r="Z691" s="320">
        <v>0.5</v>
      </c>
      <c r="AA691" s="328">
        <f t="shared" si="120"/>
        <v>16</v>
      </c>
      <c r="AB691" s="298">
        <f t="shared" si="121"/>
        <v>0.5</v>
      </c>
      <c r="AC691" s="4"/>
      <c r="AD691" s="531"/>
      <c r="AE691" s="531"/>
      <c r="AF691" s="319"/>
      <c r="AG691" s="328">
        <f t="shared" ref="AG691:AG692" si="122">AF691</f>
        <v>0</v>
      </c>
      <c r="AH691" s="175"/>
      <c r="AI691" s="402"/>
      <c r="AJ691" s="367"/>
      <c r="AK691" s="494"/>
      <c r="AL691" s="471"/>
      <c r="AM691" s="510"/>
      <c r="AN691" s="510"/>
      <c r="AQ691" s="367"/>
      <c r="AR691" s="367"/>
      <c r="AS691" s="367"/>
      <c r="AT691" s="367"/>
      <c r="AU691" s="367"/>
      <c r="AV691" s="367"/>
      <c r="AW691" s="367"/>
    </row>
    <row r="692" spans="1:49" ht="13.5" customHeight="1" outlineLevel="1">
      <c r="A692" s="367"/>
      <c r="B692" s="437" t="s">
        <v>494</v>
      </c>
      <c r="C692" s="565"/>
      <c r="D692" s="565"/>
      <c r="E692" s="319">
        <v>0</v>
      </c>
      <c r="F692" s="320"/>
      <c r="G692" s="4"/>
      <c r="H692" s="565"/>
      <c r="I692" s="565"/>
      <c r="J692" s="319">
        <v>0</v>
      </c>
      <c r="K692" s="320"/>
      <c r="L692" s="4"/>
      <c r="M692" s="565"/>
      <c r="N692" s="565"/>
      <c r="O692" s="319">
        <v>0</v>
      </c>
      <c r="P692" s="320"/>
      <c r="R692" s="1549"/>
      <c r="S692" s="1549"/>
      <c r="T692" s="319"/>
      <c r="U692" s="320"/>
      <c r="W692" s="565"/>
      <c r="X692" s="565"/>
      <c r="Y692" s="319">
        <v>0</v>
      </c>
      <c r="Z692" s="320"/>
      <c r="AA692" s="328">
        <f t="shared" si="120"/>
        <v>0</v>
      </c>
      <c r="AB692" s="298">
        <f t="shared" si="121"/>
        <v>0</v>
      </c>
      <c r="AC692" s="399"/>
      <c r="AD692" s="47"/>
      <c r="AE692" s="47"/>
      <c r="AF692" s="319"/>
      <c r="AG692" s="328">
        <f t="shared" si="122"/>
        <v>0</v>
      </c>
      <c r="AH692" s="175"/>
      <c r="AJ692" s="401"/>
      <c r="AK692" s="494" t="s">
        <v>213</v>
      </c>
      <c r="AL692" s="471">
        <f>AA728</f>
        <v>32.75</v>
      </c>
      <c r="AM692" s="510">
        <v>50</v>
      </c>
      <c r="AN692" s="510">
        <f>AL692*AM692</f>
        <v>1637.5</v>
      </c>
      <c r="AO692" s="405"/>
      <c r="AP692" s="405"/>
      <c r="AQ692" s="401"/>
      <c r="AR692" s="401"/>
      <c r="AS692" s="401"/>
      <c r="AT692" s="401"/>
      <c r="AU692" s="401"/>
      <c r="AV692" s="401"/>
      <c r="AW692" s="401"/>
    </row>
    <row r="693" spans="1:49" ht="13.5" customHeight="1" outlineLevel="1">
      <c r="A693" s="367"/>
      <c r="B693" s="437" t="s">
        <v>495</v>
      </c>
      <c r="C693" s="565">
        <v>0</v>
      </c>
      <c r="D693" s="565">
        <v>0</v>
      </c>
      <c r="E693" s="319">
        <v>0</v>
      </c>
      <c r="F693" s="320"/>
      <c r="G693" s="4"/>
      <c r="H693" s="565"/>
      <c r="I693" s="565"/>
      <c r="J693" s="319">
        <v>0</v>
      </c>
      <c r="K693" s="320"/>
      <c r="L693" s="4"/>
      <c r="M693" s="565"/>
      <c r="N693" s="565"/>
      <c r="O693" s="319">
        <v>0</v>
      </c>
      <c r="P693" s="320"/>
      <c r="R693" s="1549"/>
      <c r="S693" s="1549"/>
      <c r="T693" s="319"/>
      <c r="U693" s="320"/>
      <c r="W693" s="565" t="s">
        <v>500</v>
      </c>
      <c r="X693" s="565" t="s">
        <v>501</v>
      </c>
      <c r="Y693" s="319">
        <v>4</v>
      </c>
      <c r="Z693" s="320"/>
      <c r="AA693" s="328">
        <f t="shared" si="120"/>
        <v>4</v>
      </c>
      <c r="AB693" s="298">
        <f t="shared" si="121"/>
        <v>0</v>
      </c>
      <c r="AC693" s="399"/>
      <c r="AD693" s="47"/>
      <c r="AE693" s="47"/>
      <c r="AF693" s="319"/>
      <c r="AG693" s="29">
        <f t="shared" ref="AG693:AG725" si="123">AF693</f>
        <v>0</v>
      </c>
      <c r="AH693" s="175"/>
      <c r="AJ693" s="401"/>
      <c r="AK693" s="494" t="s">
        <v>36</v>
      </c>
      <c r="AL693" s="471">
        <f>AB728</f>
        <v>0</v>
      </c>
      <c r="AM693" s="510">
        <v>75</v>
      </c>
      <c r="AN693" s="510">
        <f>AL693*AM693</f>
        <v>0</v>
      </c>
      <c r="AO693" s="405"/>
      <c r="AP693" s="405"/>
      <c r="AQ693" s="401"/>
      <c r="AR693" s="401"/>
      <c r="AS693" s="401"/>
      <c r="AT693" s="401"/>
      <c r="AU693" s="401"/>
      <c r="AV693" s="401"/>
      <c r="AW693" s="401"/>
    </row>
    <row r="694" spans="1:49" ht="13.5" customHeight="1" outlineLevel="1">
      <c r="A694" s="367"/>
      <c r="B694" s="418" t="s">
        <v>496</v>
      </c>
      <c r="C694" s="565"/>
      <c r="D694" s="565"/>
      <c r="E694" s="319">
        <v>0</v>
      </c>
      <c r="F694" s="320"/>
      <c r="G694" s="4"/>
      <c r="H694" s="565"/>
      <c r="I694" s="565"/>
      <c r="J694" s="319">
        <v>0</v>
      </c>
      <c r="K694" s="320"/>
      <c r="L694" s="4"/>
      <c r="M694" s="565"/>
      <c r="N694" s="565"/>
      <c r="O694" s="319">
        <v>0</v>
      </c>
      <c r="P694" s="320"/>
      <c r="R694" s="1549"/>
      <c r="S694" s="1549"/>
      <c r="T694" s="319"/>
      <c r="U694" s="320"/>
      <c r="W694" s="565"/>
      <c r="X694" s="565"/>
      <c r="Y694" s="319">
        <v>0</v>
      </c>
      <c r="Z694" s="320"/>
      <c r="AA694" s="328">
        <f t="shared" si="120"/>
        <v>0</v>
      </c>
      <c r="AB694" s="298">
        <f t="shared" si="121"/>
        <v>0</v>
      </c>
      <c r="AC694" s="175"/>
      <c r="AD694" s="47"/>
      <c r="AE694" s="47"/>
      <c r="AF694" s="319"/>
      <c r="AG694" s="344">
        <f t="shared" si="123"/>
        <v>0</v>
      </c>
      <c r="AH694" s="175"/>
      <c r="AI694" s="368"/>
      <c r="AK694" s="494" t="s">
        <v>38</v>
      </c>
      <c r="AL694" s="471">
        <f>AG728</f>
        <v>0</v>
      </c>
      <c r="AM694" s="510">
        <v>75</v>
      </c>
      <c r="AN694" s="510">
        <f>AL694*AM694</f>
        <v>0</v>
      </c>
    </row>
    <row r="695" spans="1:49" ht="13.5" customHeight="1" outlineLevel="1" thickBot="1">
      <c r="A695" s="401"/>
      <c r="B695" s="449" t="s">
        <v>456</v>
      </c>
      <c r="C695" s="47"/>
      <c r="D695" s="47"/>
      <c r="E695" s="319">
        <v>0</v>
      </c>
      <c r="F695" s="320"/>
      <c r="G695" s="4"/>
      <c r="H695" s="47"/>
      <c r="I695" s="456"/>
      <c r="J695" s="319">
        <v>0</v>
      </c>
      <c r="K695" s="320"/>
      <c r="L695" s="4"/>
      <c r="M695" s="47"/>
      <c r="N695" s="456"/>
      <c r="O695" s="319">
        <v>0</v>
      </c>
      <c r="P695" s="320"/>
      <c r="R695" s="1549"/>
      <c r="S695" s="1549"/>
      <c r="T695" s="319"/>
      <c r="U695" s="320"/>
      <c r="W695" s="47">
        <v>0.375</v>
      </c>
      <c r="X695" s="591">
        <v>0.25</v>
      </c>
      <c r="Y695" s="319">
        <v>8</v>
      </c>
      <c r="Z695" s="320"/>
      <c r="AA695" s="328">
        <f t="shared" si="120"/>
        <v>8</v>
      </c>
      <c r="AB695" s="298">
        <f t="shared" si="121"/>
        <v>0</v>
      </c>
      <c r="AC695" s="4"/>
      <c r="AD695" s="47"/>
      <c r="AE695" s="47"/>
      <c r="AF695" s="319"/>
      <c r="AG695" s="29">
        <f t="shared" si="123"/>
        <v>0</v>
      </c>
      <c r="AJ695" s="367"/>
      <c r="AK695" s="494" t="s">
        <v>41</v>
      </c>
      <c r="AL695" s="471">
        <f>C729</f>
        <v>54</v>
      </c>
      <c r="AM695" s="512">
        <v>45</v>
      </c>
      <c r="AN695" s="512">
        <f>AL695*AM695</f>
        <v>2430</v>
      </c>
      <c r="AQ695" s="367"/>
      <c r="AR695" s="367"/>
      <c r="AS695" s="367"/>
      <c r="AT695" s="367"/>
      <c r="AU695" s="367"/>
      <c r="AV695" s="367"/>
      <c r="AW695" s="367"/>
    </row>
    <row r="696" spans="1:49" ht="13.5" customHeight="1" outlineLevel="1" thickTop="1">
      <c r="A696" s="367"/>
      <c r="B696" s="437" t="s">
        <v>497</v>
      </c>
      <c r="C696" s="565"/>
      <c r="D696" s="565"/>
      <c r="E696" s="319">
        <v>0</v>
      </c>
      <c r="F696" s="320"/>
      <c r="G696" s="4"/>
      <c r="H696" s="565"/>
      <c r="I696" s="565"/>
      <c r="J696" s="319">
        <v>0</v>
      </c>
      <c r="K696" s="320"/>
      <c r="L696" s="4"/>
      <c r="M696" s="565"/>
      <c r="N696" s="565"/>
      <c r="O696" s="319">
        <v>0</v>
      </c>
      <c r="P696" s="320"/>
      <c r="R696" s="1549"/>
      <c r="S696" s="1549"/>
      <c r="T696" s="319"/>
      <c r="U696" s="320"/>
      <c r="W696" s="565"/>
      <c r="X696" s="565"/>
      <c r="Y696" s="319">
        <v>0</v>
      </c>
      <c r="Z696" s="320"/>
      <c r="AA696" s="328">
        <f t="shared" si="120"/>
        <v>0</v>
      </c>
      <c r="AB696" s="298">
        <f t="shared" si="121"/>
        <v>0</v>
      </c>
      <c r="AC696" s="4"/>
      <c r="AD696" s="47"/>
      <c r="AE696" s="47"/>
      <c r="AF696" s="319"/>
      <c r="AG696" s="29">
        <f t="shared" si="123"/>
        <v>0</v>
      </c>
      <c r="AN696" s="510">
        <f>SUM(AN688:AN695)</f>
        <v>23866.45</v>
      </c>
    </row>
    <row r="697" spans="1:49" ht="13.5" customHeight="1" outlineLevel="1">
      <c r="A697" s="180"/>
      <c r="B697" s="461" t="s">
        <v>459</v>
      </c>
      <c r="C697" s="47" t="s">
        <v>502</v>
      </c>
      <c r="D697" s="47"/>
      <c r="E697" s="319">
        <v>0</v>
      </c>
      <c r="F697" s="320"/>
      <c r="G697" s="4"/>
      <c r="H697" s="47">
        <v>0.41666666666666669</v>
      </c>
      <c r="I697" s="47">
        <v>0.25</v>
      </c>
      <c r="J697" s="319">
        <v>8</v>
      </c>
      <c r="K697" s="320"/>
      <c r="L697" s="4"/>
      <c r="M697" s="47">
        <v>0.375</v>
      </c>
      <c r="N697" s="47">
        <v>0.25</v>
      </c>
      <c r="O697" s="319">
        <v>8</v>
      </c>
      <c r="P697" s="320"/>
      <c r="R697" s="1549"/>
      <c r="S697" s="1549"/>
      <c r="T697" s="319"/>
      <c r="U697" s="320"/>
      <c r="W697" s="47">
        <v>0.375</v>
      </c>
      <c r="X697" s="591">
        <v>0.25</v>
      </c>
      <c r="Y697" s="319">
        <v>8</v>
      </c>
      <c r="Z697" s="320"/>
      <c r="AA697" s="328">
        <f t="shared" si="120"/>
        <v>24</v>
      </c>
      <c r="AB697" s="298">
        <f t="shared" si="121"/>
        <v>0</v>
      </c>
      <c r="AC697" s="4"/>
      <c r="AD697" s="47"/>
      <c r="AE697" s="47"/>
      <c r="AF697" s="319"/>
      <c r="AG697" s="29">
        <f t="shared" si="123"/>
        <v>0</v>
      </c>
    </row>
    <row r="698" spans="1:49" s="596" customFormat="1" ht="13.5" customHeight="1" outlineLevel="1">
      <c r="A698" s="594"/>
      <c r="B698" s="267" t="s">
        <v>503</v>
      </c>
      <c r="C698" s="593">
        <v>0.375</v>
      </c>
      <c r="D698" s="593">
        <v>0.25</v>
      </c>
      <c r="E698" s="319">
        <v>8</v>
      </c>
      <c r="F698" s="320"/>
      <c r="G698" s="67"/>
      <c r="H698" s="436">
        <v>0.375</v>
      </c>
      <c r="I698" s="588">
        <v>0.25</v>
      </c>
      <c r="J698" s="319">
        <v>8</v>
      </c>
      <c r="K698" s="320"/>
      <c r="L698" s="67"/>
      <c r="M698" s="436">
        <v>0.375</v>
      </c>
      <c r="N698" s="588">
        <v>0.25</v>
      </c>
      <c r="O698" s="319">
        <v>8</v>
      </c>
      <c r="P698" s="320"/>
      <c r="Q698" s="67"/>
      <c r="R698" s="1549"/>
      <c r="S698" s="1549"/>
      <c r="T698" s="319"/>
      <c r="U698" s="320"/>
      <c r="V698" s="67"/>
      <c r="W698" s="436">
        <v>0.375</v>
      </c>
      <c r="X698" s="588">
        <v>0.25</v>
      </c>
      <c r="Y698" s="319">
        <v>8</v>
      </c>
      <c r="Z698" s="320"/>
      <c r="AA698" s="328">
        <f t="shared" si="120"/>
        <v>32</v>
      </c>
      <c r="AB698" s="298">
        <f t="shared" si="121"/>
        <v>0</v>
      </c>
      <c r="AC698" s="67"/>
      <c r="AD698" s="436"/>
      <c r="AE698" s="436"/>
      <c r="AF698" s="319"/>
      <c r="AG698" s="29">
        <f t="shared" si="123"/>
        <v>0</v>
      </c>
      <c r="AH698" s="67"/>
      <c r="AI698" s="595"/>
      <c r="AJ698" s="594"/>
      <c r="AK698" s="192"/>
      <c r="AL698" s="192"/>
      <c r="AM698" s="192"/>
      <c r="AN698" s="192"/>
      <c r="AO698" s="192"/>
      <c r="AP698" s="192"/>
      <c r="AQ698" s="594"/>
      <c r="AR698" s="594"/>
      <c r="AS698" s="594"/>
      <c r="AT698" s="594"/>
      <c r="AU698" s="594"/>
      <c r="AV698" s="594"/>
      <c r="AW698" s="594"/>
    </row>
    <row r="699" spans="1:49" ht="13.5" customHeight="1" outlineLevel="1">
      <c r="A699" s="180"/>
      <c r="B699" s="457" t="s">
        <v>462</v>
      </c>
      <c r="C699" s="47" t="s">
        <v>504</v>
      </c>
      <c r="D699" s="47"/>
      <c r="E699" s="319">
        <v>0</v>
      </c>
      <c r="F699" s="320"/>
      <c r="G699" s="4"/>
      <c r="H699" s="47" t="s">
        <v>504</v>
      </c>
      <c r="I699" s="47"/>
      <c r="J699" s="319">
        <v>0</v>
      </c>
      <c r="K699" s="320"/>
      <c r="L699" s="4"/>
      <c r="M699" s="47">
        <v>0.39583333333333331</v>
      </c>
      <c r="N699" s="47">
        <v>0.25</v>
      </c>
      <c r="O699" s="319">
        <v>7.5</v>
      </c>
      <c r="P699" s="320"/>
      <c r="R699" s="1549"/>
      <c r="S699" s="1549"/>
      <c r="T699" s="319"/>
      <c r="U699" s="320"/>
      <c r="W699" s="47"/>
      <c r="X699" s="47"/>
      <c r="Y699" s="319">
        <v>0</v>
      </c>
      <c r="Z699" s="320"/>
      <c r="AA699" s="328">
        <f t="shared" si="120"/>
        <v>7.5</v>
      </c>
      <c r="AB699" s="298">
        <f t="shared" si="121"/>
        <v>0</v>
      </c>
      <c r="AC699" s="4"/>
      <c r="AD699" s="47"/>
      <c r="AE699" s="47"/>
      <c r="AF699" s="319"/>
      <c r="AG699" s="29">
        <f t="shared" si="123"/>
        <v>0</v>
      </c>
    </row>
    <row r="700" spans="1:49" ht="13.5" customHeight="1" outlineLevel="1">
      <c r="A700" s="180"/>
      <c r="B700" s="457" t="s">
        <v>464</v>
      </c>
      <c r="C700" s="565"/>
      <c r="D700" s="565"/>
      <c r="E700" s="319">
        <v>0</v>
      </c>
      <c r="F700" s="320"/>
      <c r="G700" s="4"/>
      <c r="H700" s="565"/>
      <c r="I700" s="565"/>
      <c r="J700" s="319">
        <v>0</v>
      </c>
      <c r="K700" s="320"/>
      <c r="L700" s="4"/>
      <c r="M700" s="565"/>
      <c r="N700" s="565"/>
      <c r="O700" s="319">
        <v>0</v>
      </c>
      <c r="P700" s="320"/>
      <c r="R700" s="1549"/>
      <c r="S700" s="1549"/>
      <c r="T700" s="319"/>
      <c r="U700" s="320"/>
      <c r="W700" s="565"/>
      <c r="X700" s="565"/>
      <c r="Y700" s="319">
        <v>0</v>
      </c>
      <c r="Z700" s="320"/>
      <c r="AA700" s="328">
        <f t="shared" si="120"/>
        <v>0</v>
      </c>
      <c r="AB700" s="298">
        <f t="shared" si="121"/>
        <v>0</v>
      </c>
      <c r="AC700" s="4"/>
      <c r="AD700" s="47"/>
      <c r="AE700" s="47"/>
      <c r="AF700" s="319"/>
      <c r="AG700" s="29">
        <f t="shared" si="123"/>
        <v>0</v>
      </c>
    </row>
    <row r="701" spans="1:49" ht="13.5" customHeight="1" outlineLevel="1">
      <c r="A701" s="180"/>
      <c r="B701" s="318" t="s">
        <v>465</v>
      </c>
      <c r="C701" s="47" t="s">
        <v>137</v>
      </c>
      <c r="D701" s="47"/>
      <c r="E701" s="319">
        <v>0</v>
      </c>
      <c r="F701" s="320"/>
      <c r="G701" s="4"/>
      <c r="H701" s="47" t="s">
        <v>137</v>
      </c>
      <c r="I701" s="47"/>
      <c r="J701" s="319">
        <v>0</v>
      </c>
      <c r="K701" s="320"/>
      <c r="L701" s="4"/>
      <c r="M701" s="47" t="s">
        <v>137</v>
      </c>
      <c r="N701" s="47"/>
      <c r="O701" s="319">
        <v>0</v>
      </c>
      <c r="P701" s="320"/>
      <c r="R701" s="1549"/>
      <c r="S701" s="1549"/>
      <c r="T701" s="319"/>
      <c r="U701" s="320"/>
      <c r="W701" s="47" t="s">
        <v>137</v>
      </c>
      <c r="X701" s="47"/>
      <c r="Y701" s="319">
        <v>0</v>
      </c>
      <c r="Z701" s="320"/>
      <c r="AA701" s="328">
        <f t="shared" si="120"/>
        <v>0</v>
      </c>
      <c r="AB701" s="298">
        <f t="shared" si="121"/>
        <v>0</v>
      </c>
      <c r="AC701" s="4"/>
      <c r="AD701" s="47"/>
      <c r="AE701" s="47"/>
      <c r="AF701" s="319"/>
      <c r="AG701" s="29">
        <f t="shared" si="123"/>
        <v>0</v>
      </c>
    </row>
    <row r="702" spans="1:49" ht="13.5" customHeight="1" outlineLevel="1">
      <c r="A702" s="180"/>
      <c r="B702" s="437" t="s">
        <v>467</v>
      </c>
      <c r="C702" s="565">
        <v>0.375</v>
      </c>
      <c r="D702" s="565">
        <v>0.25</v>
      </c>
      <c r="E702" s="319">
        <v>8</v>
      </c>
      <c r="F702" s="320"/>
      <c r="G702" s="4"/>
      <c r="H702" s="47">
        <v>0.41666666666666669</v>
      </c>
      <c r="I702" s="591">
        <v>0.25</v>
      </c>
      <c r="J702" s="319">
        <v>8</v>
      </c>
      <c r="K702" s="320"/>
      <c r="L702" s="4"/>
      <c r="M702" s="47">
        <v>0.375</v>
      </c>
      <c r="N702" s="591">
        <v>0.25</v>
      </c>
      <c r="O702" s="319">
        <v>8</v>
      </c>
      <c r="P702" s="320"/>
      <c r="R702" s="1549"/>
      <c r="S702" s="1549"/>
      <c r="T702" s="319"/>
      <c r="U702" s="320"/>
      <c r="W702" s="47">
        <v>0.375</v>
      </c>
      <c r="X702" s="591">
        <v>0.25</v>
      </c>
      <c r="Y702" s="319">
        <v>8</v>
      </c>
      <c r="Z702" s="320"/>
      <c r="AA702" s="328">
        <f t="shared" si="120"/>
        <v>32</v>
      </c>
      <c r="AB702" s="298">
        <f t="shared" si="121"/>
        <v>0</v>
      </c>
      <c r="AC702" s="4"/>
      <c r="AD702" s="47"/>
      <c r="AE702" s="47"/>
      <c r="AF702" s="319"/>
      <c r="AG702" s="29">
        <f t="shared" si="123"/>
        <v>0</v>
      </c>
    </row>
    <row r="703" spans="1:49" ht="13.5" customHeight="1" outlineLevel="1">
      <c r="A703" s="180"/>
      <c r="B703" s="318" t="s">
        <v>468</v>
      </c>
      <c r="C703" s="47">
        <v>0</v>
      </c>
      <c r="D703" s="47">
        <v>0</v>
      </c>
      <c r="E703" s="319">
        <v>0</v>
      </c>
      <c r="F703" s="320"/>
      <c r="G703" s="4"/>
      <c r="H703" s="47">
        <v>0.29166666666666669</v>
      </c>
      <c r="I703" s="47">
        <v>0.25</v>
      </c>
      <c r="J703" s="319">
        <v>8</v>
      </c>
      <c r="K703" s="320">
        <v>2</v>
      </c>
      <c r="L703" s="4"/>
      <c r="M703" s="47">
        <v>0.375</v>
      </c>
      <c r="N703" s="47">
        <v>0.25</v>
      </c>
      <c r="O703" s="319">
        <v>8</v>
      </c>
      <c r="P703" s="320"/>
      <c r="R703" s="1549"/>
      <c r="S703" s="1549"/>
      <c r="T703" s="319"/>
      <c r="U703" s="320"/>
      <c r="W703" s="47">
        <v>0.375</v>
      </c>
      <c r="X703" s="591">
        <v>0.25</v>
      </c>
      <c r="Y703" s="319">
        <v>8</v>
      </c>
      <c r="Z703" s="320"/>
      <c r="AA703" s="328">
        <f t="shared" si="120"/>
        <v>24</v>
      </c>
      <c r="AB703" s="298">
        <f t="shared" si="121"/>
        <v>2</v>
      </c>
      <c r="AC703" s="4"/>
      <c r="AD703" s="47"/>
      <c r="AE703" s="47"/>
      <c r="AF703" s="319"/>
      <c r="AG703" s="29">
        <f t="shared" si="123"/>
        <v>0</v>
      </c>
    </row>
    <row r="704" spans="1:49" ht="13.5" customHeight="1" outlineLevel="1">
      <c r="A704" s="180"/>
      <c r="B704" s="437" t="s">
        <v>415</v>
      </c>
      <c r="C704" s="565"/>
      <c r="D704" s="565"/>
      <c r="E704" s="319">
        <v>0</v>
      </c>
      <c r="F704" s="320"/>
      <c r="G704" s="4"/>
      <c r="H704" s="565"/>
      <c r="I704" s="565"/>
      <c r="J704" s="319">
        <v>0</v>
      </c>
      <c r="K704" s="320"/>
      <c r="L704" s="4"/>
      <c r="M704" s="565"/>
      <c r="N704" s="565"/>
      <c r="O704" s="319">
        <v>0</v>
      </c>
      <c r="P704" s="320"/>
      <c r="R704" s="1549"/>
      <c r="S704" s="1549"/>
      <c r="T704" s="319"/>
      <c r="U704" s="320"/>
      <c r="W704" s="565"/>
      <c r="X704" s="565"/>
      <c r="Y704" s="319">
        <v>0</v>
      </c>
      <c r="Z704" s="320"/>
      <c r="AA704" s="328">
        <f t="shared" si="120"/>
        <v>0</v>
      </c>
      <c r="AB704" s="298">
        <f t="shared" si="121"/>
        <v>0</v>
      </c>
      <c r="AC704" s="4"/>
      <c r="AD704" s="47"/>
      <c r="AE704" s="47"/>
      <c r="AF704" s="319"/>
      <c r="AG704" s="29">
        <f t="shared" si="123"/>
        <v>0</v>
      </c>
    </row>
    <row r="705" spans="1:37" ht="13.5" customHeight="1" outlineLevel="1">
      <c r="A705" s="180"/>
      <c r="B705" s="461" t="s">
        <v>469</v>
      </c>
      <c r="C705" s="47"/>
      <c r="D705" s="47"/>
      <c r="E705" s="319">
        <v>0</v>
      </c>
      <c r="F705" s="320"/>
      <c r="G705" s="4"/>
      <c r="H705" s="47">
        <v>0</v>
      </c>
      <c r="I705" s="592"/>
      <c r="J705" s="319">
        <v>0</v>
      </c>
      <c r="K705" s="320"/>
      <c r="L705" s="4"/>
      <c r="M705" s="47">
        <v>0.375</v>
      </c>
      <c r="N705" s="591">
        <v>0.25</v>
      </c>
      <c r="O705" s="319">
        <v>8</v>
      </c>
      <c r="P705" s="320"/>
      <c r="R705" s="1549"/>
      <c r="S705" s="1549"/>
      <c r="T705" s="319"/>
      <c r="U705" s="320"/>
      <c r="W705" s="47">
        <v>0.375</v>
      </c>
      <c r="X705" s="591">
        <v>0.25</v>
      </c>
      <c r="Y705" s="319">
        <v>8</v>
      </c>
      <c r="Z705" s="320"/>
      <c r="AA705" s="328">
        <f t="shared" si="120"/>
        <v>16</v>
      </c>
      <c r="AB705" s="298">
        <f t="shared" si="121"/>
        <v>0</v>
      </c>
      <c r="AC705" s="4"/>
      <c r="AD705" s="47"/>
      <c r="AE705" s="47"/>
      <c r="AF705" s="319"/>
      <c r="AG705" s="29">
        <f t="shared" si="123"/>
        <v>0</v>
      </c>
    </row>
    <row r="706" spans="1:37" ht="13.5" customHeight="1" outlineLevel="1">
      <c r="A706" s="180"/>
      <c r="B706" s="449" t="s">
        <v>470</v>
      </c>
      <c r="C706" s="47">
        <v>0.375</v>
      </c>
      <c r="D706" s="47">
        <v>0.25</v>
      </c>
      <c r="E706" s="319">
        <v>8</v>
      </c>
      <c r="F706" s="320"/>
      <c r="G706" s="4"/>
      <c r="H706" s="47">
        <v>0.29166666666666669</v>
      </c>
      <c r="I706" s="47">
        <v>0.20833333333333334</v>
      </c>
      <c r="J706" s="319">
        <v>8</v>
      </c>
      <c r="K706" s="320">
        <v>1</v>
      </c>
      <c r="L706" s="4"/>
      <c r="M706" s="47">
        <v>0.375</v>
      </c>
      <c r="N706" s="47">
        <v>0.25</v>
      </c>
      <c r="O706" s="319">
        <v>8</v>
      </c>
      <c r="P706" s="320"/>
      <c r="R706" s="1549"/>
      <c r="S706" s="1549"/>
      <c r="T706" s="319"/>
      <c r="U706" s="320"/>
      <c r="W706" s="47">
        <v>0.375</v>
      </c>
      <c r="X706" s="47">
        <v>0.25</v>
      </c>
      <c r="Y706" s="319">
        <v>8</v>
      </c>
      <c r="Z706" s="320"/>
      <c r="AA706" s="328">
        <f t="shared" si="120"/>
        <v>32</v>
      </c>
      <c r="AB706" s="298">
        <f>Z706+U706+P706+K706+F704</f>
        <v>1</v>
      </c>
      <c r="AC706" s="4"/>
      <c r="AD706" s="47"/>
      <c r="AE706" s="47"/>
      <c r="AF706" s="319"/>
      <c r="AG706" s="29">
        <f t="shared" si="123"/>
        <v>0</v>
      </c>
    </row>
    <row r="707" spans="1:37" ht="13.5" customHeight="1" outlineLevel="1">
      <c r="A707" s="180"/>
      <c r="B707" s="461" t="s">
        <v>473</v>
      </c>
      <c r="C707" s="47">
        <v>0</v>
      </c>
      <c r="D707" s="47">
        <v>0</v>
      </c>
      <c r="E707" s="319">
        <v>0</v>
      </c>
      <c r="F707" s="320"/>
      <c r="G707" s="4"/>
      <c r="H707" s="47">
        <v>0.29166666666666669</v>
      </c>
      <c r="I707" s="47">
        <v>0.16666666666666666</v>
      </c>
      <c r="J707" s="319">
        <v>8</v>
      </c>
      <c r="K707" s="320">
        <v>1</v>
      </c>
      <c r="L707" s="4"/>
      <c r="M707" s="47">
        <v>0.375</v>
      </c>
      <c r="N707" s="47">
        <v>0.25</v>
      </c>
      <c r="O707" s="319">
        <v>8</v>
      </c>
      <c r="P707" s="320"/>
      <c r="R707" s="1549"/>
      <c r="S707" s="1549"/>
      <c r="T707" s="319"/>
      <c r="U707" s="320"/>
      <c r="W707" s="47">
        <v>0.375</v>
      </c>
      <c r="X707" s="47">
        <v>0.25</v>
      </c>
      <c r="Y707" s="319">
        <v>8</v>
      </c>
      <c r="Z707" s="320"/>
      <c r="AA707" s="328">
        <f t="shared" si="120"/>
        <v>24</v>
      </c>
      <c r="AB707" s="298">
        <f>Z707+U707+P707+K707+F706</f>
        <v>1</v>
      </c>
      <c r="AC707" s="4"/>
      <c r="AD707" s="47"/>
      <c r="AE707" s="47"/>
      <c r="AF707" s="319"/>
      <c r="AG707" s="29">
        <f t="shared" si="123"/>
        <v>0</v>
      </c>
    </row>
    <row r="708" spans="1:37" ht="13.5" customHeight="1" outlineLevel="1">
      <c r="A708" s="180"/>
      <c r="B708" s="461" t="s">
        <v>474</v>
      </c>
      <c r="C708" s="47" t="s">
        <v>502</v>
      </c>
      <c r="D708" s="47"/>
      <c r="E708" s="319">
        <v>0</v>
      </c>
      <c r="F708" s="320"/>
      <c r="G708" s="4"/>
      <c r="H708" s="47">
        <v>0.39583333333333331</v>
      </c>
      <c r="I708" s="591">
        <v>0.25</v>
      </c>
      <c r="J708" s="319">
        <v>7.5</v>
      </c>
      <c r="K708" s="320"/>
      <c r="L708" s="4"/>
      <c r="M708" s="47">
        <v>0.375</v>
      </c>
      <c r="N708" s="591">
        <v>0.25</v>
      </c>
      <c r="O708" s="319">
        <v>8</v>
      </c>
      <c r="P708" s="320"/>
      <c r="R708" s="1549"/>
      <c r="S708" s="1549"/>
      <c r="T708" s="319"/>
      <c r="U708" s="320"/>
      <c r="W708" s="47">
        <v>0.375</v>
      </c>
      <c r="X708" s="591">
        <v>0.25</v>
      </c>
      <c r="Y708" s="319">
        <v>8</v>
      </c>
      <c r="Z708" s="320"/>
      <c r="AA708" s="328">
        <f t="shared" si="120"/>
        <v>23.5</v>
      </c>
      <c r="AB708" s="298">
        <f>Z708+U708+P708+K708+F707</f>
        <v>0</v>
      </c>
      <c r="AC708" s="4"/>
      <c r="AD708" s="47"/>
      <c r="AE708" s="47"/>
      <c r="AF708" s="319"/>
      <c r="AG708" s="29">
        <f t="shared" si="123"/>
        <v>0</v>
      </c>
    </row>
    <row r="709" spans="1:37" ht="13.5" customHeight="1" outlineLevel="1">
      <c r="A709" s="180"/>
      <c r="B709" s="457" t="s">
        <v>505</v>
      </c>
      <c r="C709" s="47">
        <v>0.33333333333333331</v>
      </c>
      <c r="D709" s="47">
        <v>0.20833333333333334</v>
      </c>
      <c r="E709" s="319">
        <v>8</v>
      </c>
      <c r="F709" s="320"/>
      <c r="G709" s="4"/>
      <c r="H709" s="47">
        <v>0.33333333333333331</v>
      </c>
      <c r="I709" s="591">
        <v>0.20833333333333334</v>
      </c>
      <c r="J709" s="319">
        <v>8</v>
      </c>
      <c r="K709" s="320"/>
      <c r="L709" s="4"/>
      <c r="M709" s="47">
        <v>0.33333333333333331</v>
      </c>
      <c r="N709" s="591">
        <v>0.20833333333333334</v>
      </c>
      <c r="O709" s="319">
        <v>8</v>
      </c>
      <c r="P709" s="320"/>
      <c r="R709" s="1549"/>
      <c r="S709" s="1549"/>
      <c r="T709" s="319"/>
      <c r="U709" s="320"/>
      <c r="W709" s="47">
        <v>0.33333333333333331</v>
      </c>
      <c r="X709" s="591">
        <v>0.20833333333333334</v>
      </c>
      <c r="Y709" s="319">
        <v>8</v>
      </c>
      <c r="Z709" s="320"/>
      <c r="AA709" s="328">
        <f t="shared" ref="AA709" si="124">(E709+J709+O709+T709+Y709)</f>
        <v>32</v>
      </c>
      <c r="AB709" s="298">
        <f>Z709+U709+P709+K709+F708</f>
        <v>0</v>
      </c>
      <c r="AC709" s="4"/>
      <c r="AD709" s="47"/>
      <c r="AE709" s="47"/>
      <c r="AF709" s="319"/>
      <c r="AG709" s="29">
        <f t="shared" si="123"/>
        <v>0</v>
      </c>
    </row>
    <row r="710" spans="1:37" ht="13.5" customHeight="1" outlineLevel="1">
      <c r="A710" s="180"/>
      <c r="B710" s="267" t="s">
        <v>475</v>
      </c>
      <c r="C710" s="47"/>
      <c r="D710" s="47"/>
      <c r="E710" s="319">
        <v>0</v>
      </c>
      <c r="F710" s="320"/>
      <c r="G710" s="4"/>
      <c r="H710" s="47">
        <v>0.29166666666666669</v>
      </c>
      <c r="I710" s="47">
        <v>0.25</v>
      </c>
      <c r="J710" s="319">
        <v>8</v>
      </c>
      <c r="K710" s="320">
        <v>2</v>
      </c>
      <c r="L710" s="4"/>
      <c r="M710" s="47">
        <v>0.375</v>
      </c>
      <c r="N710" s="47">
        <v>0.25</v>
      </c>
      <c r="O710" s="319">
        <v>8</v>
      </c>
      <c r="P710" s="320"/>
      <c r="R710" s="1549"/>
      <c r="S710" s="1549"/>
      <c r="T710" s="319"/>
      <c r="U710" s="320"/>
      <c r="W710" s="47">
        <v>0.375</v>
      </c>
      <c r="X710" s="591">
        <v>0.25</v>
      </c>
      <c r="Y710" s="319">
        <v>8</v>
      </c>
      <c r="Z710" s="320"/>
      <c r="AA710" s="328">
        <f t="shared" si="120"/>
        <v>24</v>
      </c>
      <c r="AB710" s="298">
        <f>Z710+U710+P710+K710+F707</f>
        <v>2</v>
      </c>
      <c r="AC710" s="4"/>
      <c r="AD710" s="47"/>
      <c r="AE710" s="47"/>
      <c r="AF710" s="319"/>
      <c r="AG710" s="29">
        <f t="shared" si="123"/>
        <v>0</v>
      </c>
    </row>
    <row r="711" spans="1:37" ht="13.5" customHeight="1" outlineLevel="1">
      <c r="A711" s="180"/>
      <c r="B711" s="267" t="s">
        <v>476</v>
      </c>
      <c r="C711" s="47"/>
      <c r="D711" s="47"/>
      <c r="E711" s="319">
        <v>0</v>
      </c>
      <c r="F711" s="320"/>
      <c r="G711" s="4"/>
      <c r="H711" s="47">
        <v>0.29166666666666669</v>
      </c>
      <c r="I711" s="47">
        <v>0.17708333333333334</v>
      </c>
      <c r="J711" s="319">
        <v>8</v>
      </c>
      <c r="K711" s="320">
        <v>1.25</v>
      </c>
      <c r="L711" s="4"/>
      <c r="M711" s="47">
        <v>0</v>
      </c>
      <c r="N711" s="47"/>
      <c r="O711" s="319">
        <v>0</v>
      </c>
      <c r="P711" s="320"/>
      <c r="R711" s="1549"/>
      <c r="S711" s="1549"/>
      <c r="T711" s="319"/>
      <c r="U711" s="320"/>
      <c r="W711" s="47">
        <v>0.375</v>
      </c>
      <c r="X711" s="47">
        <v>0.25</v>
      </c>
      <c r="Y711" s="319">
        <v>8</v>
      </c>
      <c r="Z711" s="320"/>
      <c r="AA711" s="328">
        <f t="shared" si="120"/>
        <v>16</v>
      </c>
      <c r="AB711" s="298">
        <f>Z711+U711+P711+K711+F708</f>
        <v>1.25</v>
      </c>
      <c r="AC711" s="4"/>
      <c r="AD711" s="47"/>
      <c r="AE711" s="47"/>
      <c r="AF711" s="319"/>
      <c r="AG711" s="29">
        <f t="shared" si="123"/>
        <v>0</v>
      </c>
    </row>
    <row r="712" spans="1:37" outlineLevel="1">
      <c r="A712" s="180"/>
      <c r="B712" s="502" t="s">
        <v>483</v>
      </c>
      <c r="C712" s="47"/>
      <c r="D712" s="47"/>
      <c r="E712" s="319">
        <v>0</v>
      </c>
      <c r="F712" s="320"/>
      <c r="G712" s="4"/>
      <c r="H712" s="47"/>
      <c r="I712" s="47"/>
      <c r="J712" s="319">
        <v>0</v>
      </c>
      <c r="K712" s="320"/>
      <c r="L712" s="4"/>
      <c r="M712" s="441"/>
      <c r="N712" s="47"/>
      <c r="O712" s="319">
        <v>8</v>
      </c>
      <c r="P712" s="320"/>
      <c r="R712" s="1549"/>
      <c r="S712" s="1549"/>
      <c r="T712" s="319"/>
      <c r="U712" s="320"/>
      <c r="W712" s="47"/>
      <c r="X712" s="47"/>
      <c r="Y712" s="319">
        <v>8</v>
      </c>
      <c r="Z712" s="320">
        <v>1</v>
      </c>
      <c r="AA712" s="328">
        <f t="shared" si="120"/>
        <v>16</v>
      </c>
      <c r="AB712" s="298">
        <f t="shared" ref="AB712" si="125">Z712+U712+P712+K712+F710</f>
        <v>1</v>
      </c>
      <c r="AC712" s="4"/>
      <c r="AD712" s="47"/>
      <c r="AE712" s="47"/>
      <c r="AF712" s="319"/>
      <c r="AG712" s="29">
        <f t="shared" si="123"/>
        <v>0</v>
      </c>
    </row>
    <row r="713" spans="1:37" outlineLevel="1">
      <c r="A713" s="180"/>
      <c r="B713" s="502" t="s">
        <v>484</v>
      </c>
      <c r="C713" s="47"/>
      <c r="D713" s="47"/>
      <c r="E713" s="319">
        <v>0</v>
      </c>
      <c r="F713" s="320"/>
      <c r="G713" s="4"/>
      <c r="H713" s="47"/>
      <c r="I713" s="47"/>
      <c r="J713" s="319">
        <v>0</v>
      </c>
      <c r="K713" s="320"/>
      <c r="L713" s="4"/>
      <c r="M713" s="441"/>
      <c r="N713" s="47"/>
      <c r="O713" s="319">
        <v>8</v>
      </c>
      <c r="P713" s="320"/>
      <c r="R713" s="1549"/>
      <c r="S713" s="1549"/>
      <c r="T713" s="319"/>
      <c r="U713" s="320"/>
      <c r="W713" s="47"/>
      <c r="X713" s="47"/>
      <c r="Y713" s="319">
        <v>8</v>
      </c>
      <c r="Z713" s="320">
        <v>1</v>
      </c>
      <c r="AA713" s="328">
        <f t="shared" si="120"/>
        <v>16</v>
      </c>
      <c r="AB713" s="298">
        <f>Z713+U713+P713+K713+F705</f>
        <v>1</v>
      </c>
      <c r="AC713" s="4"/>
      <c r="AD713" s="47"/>
      <c r="AE713" s="47"/>
      <c r="AF713" s="319"/>
      <c r="AG713" s="29">
        <f t="shared" si="123"/>
        <v>0</v>
      </c>
    </row>
    <row r="714" spans="1:37" outlineLevel="1">
      <c r="A714" s="180"/>
      <c r="B714" s="502" t="s">
        <v>485</v>
      </c>
      <c r="C714" s="47"/>
      <c r="D714" s="47"/>
      <c r="E714" s="319">
        <v>0</v>
      </c>
      <c r="F714" s="320"/>
      <c r="G714" s="4"/>
      <c r="H714" s="47"/>
      <c r="I714" s="47"/>
      <c r="J714" s="319">
        <v>0</v>
      </c>
      <c r="K714" s="320"/>
      <c r="L714" s="4"/>
      <c r="M714" s="441"/>
      <c r="N714" s="47"/>
      <c r="O714" s="319">
        <v>8</v>
      </c>
      <c r="P714" s="320"/>
      <c r="R714" s="1549"/>
      <c r="S714" s="1549"/>
      <c r="T714" s="319"/>
      <c r="U714" s="320"/>
      <c r="W714" s="47"/>
      <c r="X714" s="47"/>
      <c r="Y714" s="319">
        <v>8</v>
      </c>
      <c r="Z714" s="320">
        <v>1</v>
      </c>
      <c r="AA714" s="328">
        <f t="shared" si="120"/>
        <v>16</v>
      </c>
      <c r="AB714" s="298">
        <f>Z714+U714+P714+K714+F706</f>
        <v>1</v>
      </c>
      <c r="AC714" s="4"/>
      <c r="AD714" s="47"/>
      <c r="AE714" s="47"/>
      <c r="AF714" s="319"/>
      <c r="AG714" s="29">
        <f t="shared" si="123"/>
        <v>0</v>
      </c>
    </row>
    <row r="715" spans="1:37" outlineLevel="1">
      <c r="A715" s="180"/>
      <c r="B715" s="502" t="s">
        <v>486</v>
      </c>
      <c r="C715" s="47"/>
      <c r="D715" s="47"/>
      <c r="E715" s="319"/>
      <c r="F715" s="320"/>
      <c r="G715" s="4"/>
      <c r="H715" s="47"/>
      <c r="I715" s="47"/>
      <c r="J715" s="319">
        <v>6</v>
      </c>
      <c r="K715" s="320"/>
      <c r="L715" s="4"/>
      <c r="M715" s="441"/>
      <c r="N715" s="47"/>
      <c r="O715" s="319"/>
      <c r="P715" s="320"/>
      <c r="R715" s="1549"/>
      <c r="S715" s="1549"/>
      <c r="T715" s="319"/>
      <c r="U715" s="320"/>
      <c r="W715" s="47"/>
      <c r="X715" s="47"/>
      <c r="Y715" s="319"/>
      <c r="Z715" s="320"/>
      <c r="AA715" s="328">
        <f t="shared" si="120"/>
        <v>6</v>
      </c>
      <c r="AB715" s="298">
        <f>Z715+U715+P715+K715+F713</f>
        <v>0</v>
      </c>
      <c r="AC715" s="4"/>
      <c r="AD715" s="47"/>
      <c r="AE715" s="47"/>
      <c r="AF715" s="319"/>
      <c r="AG715" s="29">
        <f t="shared" si="123"/>
        <v>0</v>
      </c>
    </row>
    <row r="716" spans="1:37" outlineLevel="1">
      <c r="A716" s="180"/>
      <c r="B716" s="63" t="s">
        <v>63</v>
      </c>
      <c r="C716" s="47"/>
      <c r="D716" s="47"/>
      <c r="E716" s="319">
        <v>4</v>
      </c>
      <c r="F716" s="320"/>
      <c r="G716" s="4"/>
      <c r="H716" s="47"/>
      <c r="I716" s="47"/>
      <c r="J716" s="319">
        <v>4</v>
      </c>
      <c r="K716" s="320"/>
      <c r="L716" s="4"/>
      <c r="M716" s="47"/>
      <c r="N716" s="47"/>
      <c r="O716" s="319">
        <v>4</v>
      </c>
      <c r="P716" s="320"/>
      <c r="R716" s="1549"/>
      <c r="S716" s="1549"/>
      <c r="T716" s="319"/>
      <c r="U716" s="320"/>
      <c r="W716" s="47"/>
      <c r="X716" s="47"/>
      <c r="Y716" s="319">
        <v>4</v>
      </c>
      <c r="Z716" s="320"/>
      <c r="AA716" s="328">
        <f t="shared" si="120"/>
        <v>16</v>
      </c>
      <c r="AB716" s="298">
        <f t="shared" ref="AB716:AB725" si="126">Z716+U716+P716+K716+F716</f>
        <v>0</v>
      </c>
      <c r="AC716" s="4"/>
      <c r="AD716" s="47"/>
      <c r="AE716" s="47"/>
      <c r="AF716" s="319"/>
      <c r="AG716" s="29">
        <f t="shared" si="123"/>
        <v>0</v>
      </c>
    </row>
    <row r="717" spans="1:37" outlineLevel="1">
      <c r="A717" s="180"/>
      <c r="B717" s="267" t="s">
        <v>265</v>
      </c>
      <c r="C717" s="47">
        <v>0.33333333333333331</v>
      </c>
      <c r="D717" s="47">
        <v>0.29166666666666669</v>
      </c>
      <c r="E717" s="319">
        <v>8</v>
      </c>
      <c r="F717" s="320">
        <v>2</v>
      </c>
      <c r="G717" s="4"/>
      <c r="H717" s="47">
        <v>0.375</v>
      </c>
      <c r="I717" s="47">
        <v>0.27083333333333331</v>
      </c>
      <c r="J717" s="319">
        <v>8</v>
      </c>
      <c r="K717" s="320">
        <v>0.5</v>
      </c>
      <c r="L717" s="4"/>
      <c r="M717" s="47">
        <v>0.33333333333333331</v>
      </c>
      <c r="N717" s="47">
        <v>0.20833333333333334</v>
      </c>
      <c r="O717" s="319">
        <v>8</v>
      </c>
      <c r="P717" s="320"/>
      <c r="R717" s="1549"/>
      <c r="S717" s="1549"/>
      <c r="T717" s="319"/>
      <c r="U717" s="320"/>
      <c r="W717" s="47">
        <v>0.33333333333333331</v>
      </c>
      <c r="X717" s="47">
        <v>0.20833333333333334</v>
      </c>
      <c r="Y717" s="319">
        <v>8</v>
      </c>
      <c r="Z717" s="320"/>
      <c r="AA717" s="328">
        <f t="shared" si="120"/>
        <v>32</v>
      </c>
      <c r="AB717" s="298"/>
      <c r="AC717" s="4"/>
      <c r="AD717" s="47"/>
      <c r="AE717" s="47"/>
      <c r="AF717" s="319"/>
      <c r="AG717" s="29"/>
    </row>
    <row r="718" spans="1:37" outlineLevel="1">
      <c r="A718" s="180"/>
      <c r="B718" s="63" t="s">
        <v>487</v>
      </c>
      <c r="C718" s="47"/>
      <c r="D718" s="47"/>
      <c r="E718" s="319">
        <v>0</v>
      </c>
      <c r="F718" s="320"/>
      <c r="G718" s="438"/>
      <c r="H718" s="47"/>
      <c r="I718" s="47"/>
      <c r="J718" s="319">
        <v>0</v>
      </c>
      <c r="K718" s="320"/>
      <c r="L718" s="438"/>
      <c r="M718" s="47"/>
      <c r="N718" s="47"/>
      <c r="O718" s="319">
        <v>0</v>
      </c>
      <c r="P718" s="320"/>
      <c r="Q718" s="438"/>
      <c r="R718" s="1549"/>
      <c r="S718" s="1549"/>
      <c r="T718" s="319"/>
      <c r="U718" s="320"/>
      <c r="V718" s="438"/>
      <c r="W718" s="47"/>
      <c r="X718" s="47"/>
      <c r="Y718" s="319">
        <v>0</v>
      </c>
      <c r="Z718" s="320"/>
      <c r="AA718" s="328">
        <f t="shared" si="120"/>
        <v>0</v>
      </c>
      <c r="AB718" s="298">
        <f t="shared" si="126"/>
        <v>0</v>
      </c>
      <c r="AC718" s="4"/>
      <c r="AD718" s="47"/>
      <c r="AE718" s="47"/>
      <c r="AF718" s="319"/>
      <c r="AG718" s="29">
        <f t="shared" si="123"/>
        <v>0</v>
      </c>
      <c r="AK718" s="407"/>
    </row>
    <row r="719" spans="1:37" outlineLevel="1">
      <c r="A719" s="180"/>
      <c r="B719" s="267" t="s">
        <v>358</v>
      </c>
      <c r="C719" s="1546" t="s">
        <v>137</v>
      </c>
      <c r="D719" s="1546"/>
      <c r="E719" s="319">
        <v>0</v>
      </c>
      <c r="F719" s="320"/>
      <c r="G719" s="438"/>
      <c r="H719" s="1546" t="s">
        <v>137</v>
      </c>
      <c r="I719" s="1546"/>
      <c r="J719" s="319">
        <v>0</v>
      </c>
      <c r="K719" s="320"/>
      <c r="L719" s="438"/>
      <c r="M719" s="1546" t="s">
        <v>137</v>
      </c>
      <c r="N719" s="1546"/>
      <c r="O719" s="319">
        <v>0</v>
      </c>
      <c r="P719" s="320"/>
      <c r="Q719" s="438"/>
      <c r="R719" s="1549"/>
      <c r="S719" s="1549"/>
      <c r="T719" s="319"/>
      <c r="U719" s="320"/>
      <c r="V719" s="438"/>
      <c r="W719" s="1546" t="s">
        <v>137</v>
      </c>
      <c r="X719" s="1546"/>
      <c r="Y719" s="319">
        <v>0</v>
      </c>
      <c r="Z719" s="320"/>
      <c r="AA719" s="328">
        <f t="shared" si="120"/>
        <v>0</v>
      </c>
      <c r="AB719" s="298">
        <f t="shared" si="126"/>
        <v>0</v>
      </c>
      <c r="AC719" s="4"/>
      <c r="AD719" s="47"/>
      <c r="AE719" s="47"/>
      <c r="AF719" s="319"/>
      <c r="AG719" s="29">
        <f t="shared" si="123"/>
        <v>0</v>
      </c>
      <c r="AK719" s="407"/>
    </row>
    <row r="720" spans="1:37" outlineLevel="1">
      <c r="A720" s="180"/>
      <c r="B720" s="267" t="s">
        <v>359</v>
      </c>
      <c r="C720" s="47"/>
      <c r="D720" s="47"/>
      <c r="E720" s="319"/>
      <c r="F720" s="320"/>
      <c r="G720" s="438"/>
      <c r="H720" s="47"/>
      <c r="I720" s="47"/>
      <c r="J720" s="319"/>
      <c r="K720" s="320"/>
      <c r="L720" s="438"/>
      <c r="M720" s="47"/>
      <c r="N720" s="47"/>
      <c r="O720" s="319"/>
      <c r="P720" s="320"/>
      <c r="Q720" s="438"/>
      <c r="R720" s="1549"/>
      <c r="S720" s="1549"/>
      <c r="T720" s="319"/>
      <c r="U720" s="320"/>
      <c r="V720" s="438"/>
      <c r="W720" s="47"/>
      <c r="X720" s="47"/>
      <c r="Y720" s="319"/>
      <c r="Z720" s="320"/>
      <c r="AA720" s="328">
        <f t="shared" si="120"/>
        <v>0</v>
      </c>
      <c r="AB720" s="298">
        <f t="shared" si="126"/>
        <v>0</v>
      </c>
      <c r="AC720" s="4"/>
      <c r="AD720" s="47"/>
      <c r="AE720" s="47"/>
      <c r="AF720" s="319"/>
      <c r="AG720" s="29">
        <f t="shared" si="123"/>
        <v>0</v>
      </c>
      <c r="AK720" s="407"/>
    </row>
    <row r="721" spans="1:49" outlineLevel="1">
      <c r="A721" s="180"/>
      <c r="B721" s="267" t="s">
        <v>411</v>
      </c>
      <c r="C721" s="47"/>
      <c r="D721" s="47"/>
      <c r="E721" s="319"/>
      <c r="F721" s="320"/>
      <c r="G721" s="438"/>
      <c r="H721" s="47"/>
      <c r="I721" s="47"/>
      <c r="J721" s="319"/>
      <c r="K721" s="320"/>
      <c r="L721" s="438"/>
      <c r="M721" s="47"/>
      <c r="N721" s="47"/>
      <c r="O721" s="319"/>
      <c r="P721" s="320"/>
      <c r="Q721" s="438"/>
      <c r="R721" s="1549"/>
      <c r="S721" s="1549"/>
      <c r="T721" s="319"/>
      <c r="U721" s="320"/>
      <c r="V721" s="438"/>
      <c r="W721" s="47"/>
      <c r="X721" s="47"/>
      <c r="Y721" s="319"/>
      <c r="Z721" s="320"/>
      <c r="AA721" s="328">
        <f t="shared" si="120"/>
        <v>0</v>
      </c>
      <c r="AB721" s="298">
        <f t="shared" si="126"/>
        <v>0</v>
      </c>
      <c r="AC721" s="4"/>
      <c r="AD721" s="47"/>
      <c r="AE721" s="47"/>
      <c r="AF721" s="319"/>
      <c r="AG721" s="29">
        <f t="shared" si="123"/>
        <v>0</v>
      </c>
      <c r="AK721" s="407"/>
    </row>
    <row r="722" spans="1:49" outlineLevel="1">
      <c r="A722" s="180"/>
      <c r="B722" s="267" t="s">
        <v>361</v>
      </c>
      <c r="C722" s="47"/>
      <c r="D722" s="47"/>
      <c r="E722" s="319"/>
      <c r="F722" s="320"/>
      <c r="G722" s="438"/>
      <c r="H722" s="47"/>
      <c r="I722" s="47"/>
      <c r="J722" s="319"/>
      <c r="K722" s="320"/>
      <c r="L722" s="438"/>
      <c r="M722" s="47"/>
      <c r="N722" s="47"/>
      <c r="O722" s="319"/>
      <c r="P722" s="320"/>
      <c r="Q722" s="438"/>
      <c r="R722" s="1549"/>
      <c r="S722" s="1549"/>
      <c r="T722" s="319"/>
      <c r="U722" s="320"/>
      <c r="V722" s="438"/>
      <c r="W722" s="47"/>
      <c r="X722" s="47"/>
      <c r="Y722" s="319"/>
      <c r="Z722" s="320"/>
      <c r="AA722" s="328">
        <f t="shared" si="120"/>
        <v>0</v>
      </c>
      <c r="AB722" s="298">
        <f t="shared" si="126"/>
        <v>0</v>
      </c>
      <c r="AC722" s="4"/>
      <c r="AD722" s="47"/>
      <c r="AE722" s="47"/>
      <c r="AF722" s="319"/>
      <c r="AG722" s="29">
        <f t="shared" si="123"/>
        <v>0</v>
      </c>
      <c r="AK722" s="407"/>
    </row>
    <row r="723" spans="1:49" outlineLevel="1">
      <c r="A723" s="180"/>
      <c r="B723" s="267" t="s">
        <v>362</v>
      </c>
      <c r="C723" s="47"/>
      <c r="D723" s="47"/>
      <c r="E723" s="319">
        <v>8</v>
      </c>
      <c r="F723" s="320"/>
      <c r="G723" s="438"/>
      <c r="H723" s="47"/>
      <c r="I723" s="47"/>
      <c r="J723" s="319">
        <v>8</v>
      </c>
      <c r="K723" s="320"/>
      <c r="L723" s="438"/>
      <c r="M723" s="47"/>
      <c r="N723" s="47"/>
      <c r="O723" s="319">
        <v>8</v>
      </c>
      <c r="P723" s="320"/>
      <c r="Q723" s="438"/>
      <c r="R723" s="1549"/>
      <c r="S723" s="1549"/>
      <c r="T723" s="319"/>
      <c r="U723" s="320"/>
      <c r="V723" s="438"/>
      <c r="W723" s="47"/>
      <c r="X723" s="47"/>
      <c r="Y723" s="319">
        <v>8</v>
      </c>
      <c r="Z723" s="320"/>
      <c r="AA723" s="328">
        <f t="shared" si="120"/>
        <v>32</v>
      </c>
      <c r="AB723" s="298">
        <f t="shared" si="126"/>
        <v>0</v>
      </c>
      <c r="AC723" s="4"/>
      <c r="AD723" s="47"/>
      <c r="AE723" s="47"/>
      <c r="AF723" s="319"/>
      <c r="AG723" s="29">
        <f t="shared" si="123"/>
        <v>0</v>
      </c>
      <c r="AK723" s="407"/>
    </row>
    <row r="724" spans="1:49" outlineLevel="1">
      <c r="A724" s="180"/>
      <c r="B724" s="437" t="s">
        <v>355</v>
      </c>
      <c r="C724" s="47"/>
      <c r="D724" s="47"/>
      <c r="E724" s="319">
        <v>7.1</v>
      </c>
      <c r="F724" s="320"/>
      <c r="G724" s="438"/>
      <c r="H724" s="47"/>
      <c r="I724" s="47"/>
      <c r="J724" s="319">
        <v>21.6</v>
      </c>
      <c r="K724" s="320"/>
      <c r="L724" s="438"/>
      <c r="M724" s="47"/>
      <c r="N724" s="47"/>
      <c r="O724" s="319">
        <v>7.7</v>
      </c>
      <c r="P724" s="320"/>
      <c r="Q724" s="438"/>
      <c r="R724" s="1549"/>
      <c r="S724" s="1549"/>
      <c r="T724" s="319"/>
      <c r="U724" s="320"/>
      <c r="V724" s="438"/>
      <c r="W724" s="47"/>
      <c r="X724" s="47"/>
      <c r="Y724" s="319">
        <v>7.7</v>
      </c>
      <c r="Z724" s="320"/>
      <c r="AA724" s="328">
        <f>(E724+J724+O724+T724+Y724)</f>
        <v>44.100000000000009</v>
      </c>
      <c r="AB724" s="298">
        <f t="shared" si="126"/>
        <v>0</v>
      </c>
      <c r="AC724" s="4"/>
      <c r="AD724" s="47"/>
      <c r="AE724" s="47"/>
      <c r="AF724" s="319"/>
      <c r="AG724" s="29">
        <f t="shared" si="123"/>
        <v>0</v>
      </c>
      <c r="AK724" s="407"/>
    </row>
    <row r="725" spans="1:49" outlineLevel="1">
      <c r="A725" s="180"/>
      <c r="B725" s="437" t="s">
        <v>356</v>
      </c>
      <c r="C725" s="47"/>
      <c r="D725" s="47"/>
      <c r="E725" s="319"/>
      <c r="F725" s="320"/>
      <c r="G725" s="438"/>
      <c r="H725" s="47"/>
      <c r="I725" s="47"/>
      <c r="J725" s="319"/>
      <c r="K725" s="320"/>
      <c r="L725" s="438"/>
      <c r="M725" s="47"/>
      <c r="N725" s="47"/>
      <c r="O725" s="319">
        <v>11.8</v>
      </c>
      <c r="P725" s="320"/>
      <c r="Q725" s="438"/>
      <c r="R725" s="1549"/>
      <c r="S725" s="1549"/>
      <c r="T725" s="319"/>
      <c r="U725" s="320"/>
      <c r="V725" s="438"/>
      <c r="W725" s="47"/>
      <c r="X725" s="47"/>
      <c r="Y725" s="319"/>
      <c r="Z725" s="320"/>
      <c r="AA725" s="328">
        <f>(E725+J725+O725+T725+Y725)</f>
        <v>11.8</v>
      </c>
      <c r="AB725" s="298">
        <f t="shared" si="126"/>
        <v>0</v>
      </c>
      <c r="AC725" s="4"/>
      <c r="AD725" s="47"/>
      <c r="AE725" s="47"/>
      <c r="AF725" s="319"/>
      <c r="AG725" s="29">
        <f t="shared" si="123"/>
        <v>0</v>
      </c>
      <c r="AK725" s="407"/>
    </row>
    <row r="726" spans="1:49" outlineLevel="1">
      <c r="A726" s="180"/>
      <c r="B726" s="64" t="s">
        <v>61</v>
      </c>
      <c r="C726" s="31"/>
      <c r="D726" s="31"/>
      <c r="E726" s="439">
        <f>SUM(E689:E725)</f>
        <v>59.1</v>
      </c>
      <c r="F726" s="320">
        <f>SUM(F689:F725)</f>
        <v>2</v>
      </c>
      <c r="G726" s="31"/>
      <c r="H726" s="31"/>
      <c r="I726" s="31"/>
      <c r="J726" s="439">
        <f>SUM(J689:J725)</f>
        <v>127.1</v>
      </c>
      <c r="K726" s="320">
        <f>SUM(K689:K725)</f>
        <v>7.75</v>
      </c>
      <c r="L726" s="31"/>
      <c r="M726" s="31"/>
      <c r="N726" s="31"/>
      <c r="O726" s="439">
        <f>SUM(O689:O725)</f>
        <v>159</v>
      </c>
      <c r="P726" s="320">
        <f>SUM(P689:P725)</f>
        <v>0</v>
      </c>
      <c r="Q726" s="31"/>
      <c r="R726" s="31"/>
      <c r="S726" s="31"/>
      <c r="T726" s="439">
        <f>SUM(T689:T725)</f>
        <v>0</v>
      </c>
      <c r="U726" s="320">
        <f>SUM(U689:U725)</f>
        <v>0</v>
      </c>
      <c r="V726" s="31"/>
      <c r="W726" s="31"/>
      <c r="X726" s="31"/>
      <c r="Y726" s="439">
        <f>SUM(Y689:Y725)</f>
        <v>159.69999999999999</v>
      </c>
      <c r="Z726" s="320">
        <f>SUM(Z689:Z725)</f>
        <v>3.5</v>
      </c>
      <c r="AA726" s="370">
        <f>SUM(AA689:AA725)</f>
        <v>504.90000000000003</v>
      </c>
      <c r="AB726" s="370">
        <f>SUM(AB689:AB725)</f>
        <v>10.75</v>
      </c>
      <c r="AC726" s="4"/>
      <c r="AD726" s="64"/>
      <c r="AE726" s="64"/>
      <c r="AF726" s="370">
        <f>SUM(AF689:AF725)</f>
        <v>0</v>
      </c>
      <c r="AG726" s="370">
        <f>SUM(AG689:AG725)</f>
        <v>0</v>
      </c>
    </row>
    <row r="727" spans="1:49" outlineLevel="1">
      <c r="A727" s="180"/>
      <c r="B727" s="63" t="s">
        <v>64</v>
      </c>
      <c r="C727" s="47"/>
      <c r="D727" s="47"/>
      <c r="E727" s="319">
        <v>8</v>
      </c>
      <c r="F727" s="291"/>
      <c r="G727" s="60"/>
      <c r="H727" s="47"/>
      <c r="I727" s="47"/>
      <c r="J727" s="319">
        <v>8.75</v>
      </c>
      <c r="K727" s="291"/>
      <c r="L727" s="60"/>
      <c r="M727" s="47"/>
      <c r="N727" s="47"/>
      <c r="O727" s="319">
        <v>8</v>
      </c>
      <c r="P727" s="19"/>
      <c r="Q727" s="60"/>
      <c r="R727" s="47"/>
      <c r="S727" s="47"/>
      <c r="T727" s="319">
        <v>0</v>
      </c>
      <c r="U727" s="19"/>
      <c r="V727" s="60"/>
      <c r="W727" s="47"/>
      <c r="X727" s="47"/>
      <c r="Y727" s="319">
        <v>8</v>
      </c>
      <c r="Z727" s="19"/>
      <c r="AA727" s="28">
        <f>SUM(E727+J727+O727+T727+Y727)</f>
        <v>32.75</v>
      </c>
      <c r="AB727" s="296">
        <f>Z727+U727+P727+K727+F727</f>
        <v>0</v>
      </c>
      <c r="AC727" s="4"/>
      <c r="AD727" s="47" t="s">
        <v>29</v>
      </c>
      <c r="AE727" s="47" t="s">
        <v>29</v>
      </c>
      <c r="AF727" s="319"/>
      <c r="AG727" s="29">
        <f>AF727</f>
        <v>0</v>
      </c>
    </row>
    <row r="728" spans="1:49" outlineLevel="1">
      <c r="A728" s="180"/>
      <c r="B728" s="71" t="s">
        <v>66</v>
      </c>
      <c r="C728" s="371"/>
      <c r="D728" s="371"/>
      <c r="E728" s="71"/>
      <c r="F728" s="71"/>
      <c r="G728" s="71"/>
      <c r="H728" s="71"/>
      <c r="I728" s="71"/>
      <c r="J728" s="71"/>
      <c r="K728" s="71"/>
      <c r="L728" s="71"/>
      <c r="M728" s="71"/>
      <c r="N728" s="71"/>
      <c r="O728" s="71"/>
      <c r="P728" s="71"/>
      <c r="Q728" s="71"/>
      <c r="R728" s="71"/>
      <c r="S728" s="71"/>
      <c r="T728" s="71"/>
      <c r="U728" s="71"/>
      <c r="V728" s="71"/>
      <c r="W728" s="71"/>
      <c r="X728" s="71"/>
      <c r="Y728" s="71"/>
      <c r="Z728" s="71"/>
      <c r="AA728" s="370">
        <f>SUM(AA727:AA727)</f>
        <v>32.75</v>
      </c>
      <c r="AB728" s="370">
        <f>SUM(AB727:AB727)</f>
        <v>0</v>
      </c>
      <c r="AC728" s="4"/>
      <c r="AG728" s="370">
        <f>SUM(AG727:AG727)</f>
        <v>0</v>
      </c>
    </row>
    <row r="729" spans="1:49" outlineLevel="1">
      <c r="A729" s="180"/>
      <c r="B729" s="217" t="s">
        <v>67</v>
      </c>
      <c r="C729" s="207">
        <f>C730+C731</f>
        <v>54</v>
      </c>
      <c r="D729" s="207"/>
      <c r="E729" s="209"/>
      <c r="F729" s="209"/>
      <c r="G729" s="207"/>
      <c r="H729" s="209"/>
      <c r="I729" s="209"/>
      <c r="J729" s="209"/>
      <c r="K729" s="209"/>
      <c r="L729" s="207"/>
      <c r="M729" s="207"/>
      <c r="N729" s="207"/>
      <c r="O729" s="207"/>
      <c r="P729" s="209"/>
      <c r="Q729" s="207"/>
      <c r="R729" s="207"/>
      <c r="S729" s="207"/>
      <c r="T729" s="207"/>
      <c r="U729" s="209"/>
      <c r="V729" s="207"/>
      <c r="W729" s="207"/>
      <c r="X729" s="207"/>
      <c r="Y729" s="210"/>
      <c r="Z729" s="209"/>
      <c r="AA729" s="211"/>
      <c r="AB729" s="209"/>
      <c r="AC729" s="211"/>
      <c r="AD729" s="211"/>
      <c r="AE729" s="211"/>
      <c r="AF729" s="211"/>
      <c r="AG729" s="211"/>
    </row>
    <row r="730" spans="1:49" outlineLevel="1">
      <c r="A730" s="180"/>
      <c r="B730" s="238" t="s">
        <v>68</v>
      </c>
      <c r="C730" s="239"/>
      <c r="D730" s="207"/>
      <c r="E730" s="209"/>
      <c r="F730" s="209"/>
      <c r="G730" s="207"/>
      <c r="H730" s="209"/>
      <c r="I730" s="209"/>
      <c r="J730" s="209"/>
      <c r="K730" s="209"/>
      <c r="L730" s="207"/>
      <c r="M730" s="207"/>
      <c r="N730" s="207"/>
      <c r="O730" s="207"/>
      <c r="P730" s="209"/>
      <c r="Q730" s="207"/>
      <c r="R730" s="207"/>
      <c r="S730" s="207"/>
      <c r="T730" s="207"/>
      <c r="U730" s="209"/>
      <c r="V730" s="207"/>
      <c r="W730" s="207"/>
      <c r="X730" s="207"/>
      <c r="Y730" s="210"/>
      <c r="Z730" s="209"/>
      <c r="AA730" s="211"/>
      <c r="AB730" s="209"/>
      <c r="AC730" s="211"/>
      <c r="AD730" s="211"/>
      <c r="AE730" s="211"/>
      <c r="AF730" s="211"/>
      <c r="AG730" s="211"/>
    </row>
    <row r="731" spans="1:49" outlineLevel="1">
      <c r="A731" s="180"/>
      <c r="B731" s="238" t="s">
        <v>69</v>
      </c>
      <c r="C731" s="239">
        <v>54</v>
      </c>
      <c r="D731" s="207"/>
      <c r="E731" s="209"/>
      <c r="F731" s="209"/>
      <c r="G731" s="207"/>
      <c r="H731" s="209"/>
      <c r="I731" s="209"/>
      <c r="J731" s="209"/>
      <c r="K731" s="209"/>
      <c r="L731" s="207"/>
      <c r="M731" s="207"/>
      <c r="N731" s="207"/>
      <c r="O731" s="207"/>
      <c r="P731" s="209"/>
      <c r="Q731" s="207"/>
      <c r="R731" s="207"/>
      <c r="S731" s="207"/>
      <c r="T731" s="207"/>
      <c r="U731" s="209"/>
      <c r="V731" s="207"/>
      <c r="W731" s="207"/>
      <c r="X731" s="207"/>
      <c r="Y731" s="210"/>
      <c r="Z731" s="209"/>
      <c r="AA731" s="211"/>
      <c r="AB731" s="209"/>
      <c r="AC731" s="211"/>
      <c r="AD731" s="211"/>
      <c r="AE731" s="211"/>
      <c r="AF731" s="211"/>
      <c r="AG731" s="211"/>
    </row>
    <row r="732" spans="1:49" outlineLevel="1"/>
    <row r="733" spans="1:49" outlineLevel="1">
      <c r="A733" s="180"/>
      <c r="B733" s="229"/>
      <c r="C733" s="230"/>
      <c r="D733" s="230"/>
      <c r="E733" s="232"/>
      <c r="F733" s="232"/>
      <c r="G733" s="230"/>
      <c r="H733" s="232"/>
      <c r="I733" s="232"/>
      <c r="J733" s="232"/>
      <c r="K733" s="232"/>
      <c r="L733" s="230"/>
      <c r="M733" s="230"/>
      <c r="N733" s="230"/>
      <c r="O733" s="230"/>
      <c r="P733" s="232"/>
      <c r="Q733" s="230"/>
      <c r="R733" s="230"/>
      <c r="S733" s="230"/>
      <c r="T733" s="230"/>
      <c r="U733" s="232"/>
      <c r="V733" s="230"/>
      <c r="W733" s="230"/>
      <c r="X733" s="230"/>
      <c r="Y733" s="233"/>
      <c r="Z733" s="232"/>
      <c r="AA733" s="234"/>
      <c r="AB733" s="232"/>
      <c r="AC733" s="373"/>
      <c r="AD733" s="236"/>
      <c r="AE733" s="255"/>
      <c r="AF733" s="255"/>
      <c r="AG733" s="255"/>
      <c r="AH733" s="255"/>
      <c r="AJ733" s="255"/>
      <c r="AK733" s="255"/>
      <c r="AL733" s="255"/>
      <c r="AM733" s="255"/>
      <c r="AN733" s="255"/>
      <c r="AO733" s="255"/>
      <c r="AP733" s="255"/>
      <c r="AQ733" s="255"/>
      <c r="AR733" s="255"/>
      <c r="AS733" s="255"/>
      <c r="AT733" s="255"/>
      <c r="AU733" s="255"/>
      <c r="AV733" s="255"/>
      <c r="AW733" s="255"/>
    </row>
    <row r="734" spans="1:49" outlineLevel="1">
      <c r="B734" s="180"/>
      <c r="E734" s="4"/>
      <c r="F734" s="4"/>
      <c r="G734" s="4"/>
      <c r="J734" s="4"/>
      <c r="K734" s="4"/>
      <c r="L734" s="4"/>
      <c r="O734" s="4"/>
      <c r="P734" s="4"/>
      <c r="T734" s="4"/>
      <c r="U734" s="4"/>
      <c r="Y734" s="4"/>
      <c r="Z734" s="4"/>
      <c r="AA734" s="4"/>
      <c r="AB734" s="4"/>
      <c r="AC734" s="4"/>
      <c r="AK734" s="180"/>
      <c r="AL734" s="180"/>
      <c r="AM734" s="180"/>
      <c r="AN734" s="180"/>
      <c r="AO734" s="180"/>
      <c r="AP734" s="180"/>
    </row>
    <row r="735" spans="1:49" outlineLevel="1">
      <c r="A735" s="228"/>
      <c r="B735" s="1518" t="s">
        <v>18</v>
      </c>
      <c r="C735" s="1519">
        <v>45481</v>
      </c>
      <c r="D735" s="1519"/>
      <c r="E735" s="1519"/>
      <c r="F735" s="1519"/>
      <c r="G735" s="365"/>
      <c r="H735" s="1519">
        <v>45482</v>
      </c>
      <c r="I735" s="1519"/>
      <c r="J735" s="1519"/>
      <c r="K735" s="1519"/>
      <c r="L735" s="365">
        <v>45343</v>
      </c>
      <c r="M735" s="1519">
        <v>45483</v>
      </c>
      <c r="N735" s="1519"/>
      <c r="O735" s="1519"/>
      <c r="P735" s="1519"/>
      <c r="Q735" s="365"/>
      <c r="R735" s="1519">
        <v>45484</v>
      </c>
      <c r="S735" s="1519"/>
      <c r="T735" s="1519"/>
      <c r="U735" s="1519"/>
      <c r="V735" s="365"/>
      <c r="W735" s="1519">
        <v>45485</v>
      </c>
      <c r="X735" s="1519"/>
      <c r="Y735" s="1519"/>
      <c r="Z735" s="1519"/>
      <c r="AA735" s="1517" t="s">
        <v>19</v>
      </c>
      <c r="AB735" s="1517" t="s">
        <v>20</v>
      </c>
      <c r="AC735" s="4"/>
      <c r="AD735" s="1519">
        <v>45486</v>
      </c>
      <c r="AE735" s="1519"/>
      <c r="AF735" s="1519"/>
      <c r="AG735" s="1517" t="s">
        <v>21</v>
      </c>
      <c r="AI735" s="368"/>
      <c r="AK735" s="194" t="s">
        <v>84</v>
      </c>
      <c r="AL735" s="366"/>
      <c r="AM735" s="366"/>
      <c r="AN735" s="366"/>
      <c r="AO735" s="366"/>
      <c r="AP735" s="366"/>
    </row>
    <row r="736" spans="1:49" outlineLevel="1">
      <c r="A736" s="180"/>
      <c r="B736" s="1518"/>
      <c r="C736" s="21" t="s">
        <v>23</v>
      </c>
      <c r="D736" s="21" t="s">
        <v>24</v>
      </c>
      <c r="E736" s="205" t="s">
        <v>25</v>
      </c>
      <c r="F736" s="18" t="s">
        <v>14</v>
      </c>
      <c r="G736" s="4"/>
      <c r="H736" s="21" t="s">
        <v>23</v>
      </c>
      <c r="I736" s="21" t="s">
        <v>24</v>
      </c>
      <c r="J736" s="18" t="s">
        <v>25</v>
      </c>
      <c r="K736" s="18" t="s">
        <v>14</v>
      </c>
      <c r="L736" s="4"/>
      <c r="M736" s="21" t="s">
        <v>23</v>
      </c>
      <c r="N736" s="21" t="s">
        <v>24</v>
      </c>
      <c r="O736" s="18" t="s">
        <v>25</v>
      </c>
      <c r="P736" s="18" t="s">
        <v>14</v>
      </c>
      <c r="R736" s="21" t="s">
        <v>23</v>
      </c>
      <c r="S736" s="21" t="s">
        <v>24</v>
      </c>
      <c r="T736" s="18" t="s">
        <v>25</v>
      </c>
      <c r="U736" s="18" t="s">
        <v>14</v>
      </c>
      <c r="W736" s="21" t="s">
        <v>23</v>
      </c>
      <c r="X736" s="21" t="s">
        <v>24</v>
      </c>
      <c r="Y736" s="18" t="s">
        <v>25</v>
      </c>
      <c r="Z736" s="18" t="s">
        <v>14</v>
      </c>
      <c r="AA736" s="1517"/>
      <c r="AB736" s="1517"/>
      <c r="AC736" s="4"/>
      <c r="AD736" s="21" t="s">
        <v>23</v>
      </c>
      <c r="AE736" s="21" t="s">
        <v>24</v>
      </c>
      <c r="AF736" s="18" t="s">
        <v>25</v>
      </c>
      <c r="AG736" s="1517"/>
      <c r="AI736" s="368"/>
      <c r="AJ736" s="367"/>
      <c r="AK736" s="494" t="s">
        <v>26</v>
      </c>
      <c r="AL736" s="471">
        <f>AA772</f>
        <v>737.7</v>
      </c>
      <c r="AM736" s="510">
        <v>38</v>
      </c>
      <c r="AN736" s="510">
        <f>AL736*AM736</f>
        <v>28032.600000000002</v>
      </c>
      <c r="AQ736" s="367"/>
      <c r="AR736" s="367"/>
      <c r="AS736" s="367"/>
      <c r="AT736" s="367"/>
      <c r="AU736" s="367"/>
      <c r="AV736" s="367"/>
      <c r="AW736" s="367"/>
    </row>
    <row r="737" spans="1:49" ht="13.5" customHeight="1" outlineLevel="1">
      <c r="A737" s="180"/>
      <c r="B737" s="598" t="s">
        <v>506</v>
      </c>
      <c r="C737" s="565">
        <v>0.35416666666666669</v>
      </c>
      <c r="D737" s="565">
        <v>0.20833333333333334</v>
      </c>
      <c r="E737" s="319">
        <v>7.5</v>
      </c>
      <c r="F737" s="320"/>
      <c r="G737" s="4"/>
      <c r="H737" s="565">
        <v>0.29166666666666669</v>
      </c>
      <c r="I737" s="565">
        <v>0.20833333333333334</v>
      </c>
      <c r="J737" s="319">
        <v>8</v>
      </c>
      <c r="K737" s="320">
        <v>1</v>
      </c>
      <c r="L737" s="4"/>
      <c r="M737" s="565">
        <v>0.33333333333333331</v>
      </c>
      <c r="N737" s="565">
        <v>0.20833333333333334</v>
      </c>
      <c r="O737" s="319">
        <v>8</v>
      </c>
      <c r="P737" s="320"/>
      <c r="R737" s="565">
        <v>0.33333333333333331</v>
      </c>
      <c r="S737" s="565">
        <v>0.20833333333333334</v>
      </c>
      <c r="T737" s="319">
        <v>8</v>
      </c>
      <c r="U737" s="320"/>
      <c r="W737" s="565">
        <v>0.33333333333333331</v>
      </c>
      <c r="X737" s="565">
        <v>0.20833333333333334</v>
      </c>
      <c r="Y737" s="319">
        <v>8</v>
      </c>
      <c r="Z737" s="320"/>
      <c r="AA737" s="328">
        <f t="shared" ref="AA737:AA771" si="127">(E737+J737+O737+T737+Y737)</f>
        <v>39.5</v>
      </c>
      <c r="AB737" s="298">
        <f t="shared" ref="AB737:AB753" si="128">Z737+U737+P737+K737+F737</f>
        <v>1</v>
      </c>
      <c r="AC737" s="4"/>
      <c r="AD737" s="587"/>
      <c r="AE737" s="531"/>
      <c r="AF737" s="319"/>
      <c r="AG737" s="328">
        <f>AF737</f>
        <v>0</v>
      </c>
      <c r="AI737" s="368"/>
      <c r="AJ737" s="367"/>
      <c r="AK737" s="494" t="s">
        <v>30</v>
      </c>
      <c r="AL737" s="471">
        <f>AB772</f>
        <v>40.510000000000005</v>
      </c>
      <c r="AM737" s="511">
        <v>57</v>
      </c>
      <c r="AN737" s="510">
        <f>AL737*AM737</f>
        <v>2309.0700000000002</v>
      </c>
      <c r="AQ737" s="367"/>
      <c r="AR737" s="367"/>
      <c r="AS737" s="367"/>
      <c r="AT737" s="367"/>
      <c r="AU737" s="367"/>
      <c r="AV737" s="367"/>
      <c r="AW737" s="367"/>
    </row>
    <row r="738" spans="1:49" ht="15.75" customHeight="1" outlineLevel="1">
      <c r="A738" s="367"/>
      <c r="B738" s="166" t="s">
        <v>507</v>
      </c>
      <c r="C738" s="566" t="s">
        <v>154</v>
      </c>
      <c r="D738" s="565"/>
      <c r="E738" s="319">
        <v>0</v>
      </c>
      <c r="F738" s="320"/>
      <c r="G738" s="4"/>
      <c r="H738" s="566" t="s">
        <v>154</v>
      </c>
      <c r="I738" s="565"/>
      <c r="J738" s="319">
        <v>0</v>
      </c>
      <c r="K738" s="320"/>
      <c r="L738" s="4"/>
      <c r="M738" s="566" t="s">
        <v>154</v>
      </c>
      <c r="N738" s="565"/>
      <c r="O738" s="319">
        <v>0</v>
      </c>
      <c r="P738" s="320"/>
      <c r="R738" s="566" t="s">
        <v>249</v>
      </c>
      <c r="S738" s="565">
        <v>0.45833333333333331</v>
      </c>
      <c r="T738" s="319">
        <v>1</v>
      </c>
      <c r="U738" s="320"/>
      <c r="W738" s="566" t="s">
        <v>154</v>
      </c>
      <c r="X738" s="565">
        <v>0</v>
      </c>
      <c r="Y738" s="319">
        <v>0</v>
      </c>
      <c r="Z738" s="320"/>
      <c r="AA738" s="328">
        <f>(E738+J738+O738+T738+Y738)</f>
        <v>1</v>
      </c>
      <c r="AB738" s="298">
        <f t="shared" si="128"/>
        <v>0</v>
      </c>
      <c r="AC738" s="4"/>
      <c r="AF738" s="319"/>
      <c r="AG738" s="328">
        <f>AF738</f>
        <v>0</v>
      </c>
      <c r="AH738" s="175"/>
      <c r="AI738" s="402"/>
      <c r="AJ738" s="367"/>
      <c r="AK738" s="494" t="s">
        <v>32</v>
      </c>
      <c r="AL738" s="471">
        <f>AG772</f>
        <v>24</v>
      </c>
      <c r="AM738" s="510">
        <v>57</v>
      </c>
      <c r="AN738" s="510">
        <f>AL738*AM738</f>
        <v>1368</v>
      </c>
      <c r="AQ738" s="367"/>
      <c r="AR738" s="367"/>
      <c r="AS738" s="367"/>
      <c r="AT738" s="367"/>
      <c r="AU738" s="367"/>
      <c r="AV738" s="367"/>
      <c r="AW738" s="367"/>
    </row>
    <row r="739" spans="1:49" ht="13.5" customHeight="1" outlineLevel="1">
      <c r="A739" s="367"/>
      <c r="B739" s="586" t="s">
        <v>508</v>
      </c>
      <c r="C739" s="566" t="s">
        <v>154</v>
      </c>
      <c r="D739" s="565"/>
      <c r="E739" s="319">
        <v>0</v>
      </c>
      <c r="F739" s="320"/>
      <c r="G739" s="4"/>
      <c r="H739" s="566" t="s">
        <v>154</v>
      </c>
      <c r="I739" s="565"/>
      <c r="J739" s="319">
        <v>0</v>
      </c>
      <c r="K739" s="320"/>
      <c r="L739" s="4"/>
      <c r="M739" s="566" t="s">
        <v>154</v>
      </c>
      <c r="N739" s="565"/>
      <c r="O739" s="319">
        <v>0</v>
      </c>
      <c r="P739" s="320"/>
      <c r="R739" s="566" t="s">
        <v>154</v>
      </c>
      <c r="S739" s="565"/>
      <c r="T739" s="319">
        <v>0</v>
      </c>
      <c r="U739" s="320"/>
      <c r="W739" s="566" t="s">
        <v>154</v>
      </c>
      <c r="X739" s="565"/>
      <c r="Y739" s="319">
        <v>0</v>
      </c>
      <c r="Z739" s="320"/>
      <c r="AA739" s="328">
        <f t="shared" si="127"/>
        <v>0</v>
      </c>
      <c r="AB739" s="298">
        <f t="shared" si="128"/>
        <v>0</v>
      </c>
      <c r="AC739" s="4"/>
      <c r="AD739" s="531"/>
      <c r="AE739" s="531"/>
      <c r="AF739" s="319"/>
      <c r="AG739" s="328"/>
      <c r="AH739" s="175"/>
      <c r="AI739" s="402"/>
      <c r="AJ739" s="367"/>
      <c r="AK739" s="494"/>
      <c r="AL739" s="471"/>
      <c r="AM739" s="510"/>
      <c r="AN739" s="510"/>
      <c r="AQ739" s="367"/>
      <c r="AR739" s="367"/>
      <c r="AS739" s="367"/>
      <c r="AT739" s="367"/>
      <c r="AU739" s="367"/>
      <c r="AV739" s="367"/>
      <c r="AW739" s="367"/>
    </row>
    <row r="740" spans="1:49" ht="13.5" customHeight="1" outlineLevel="1">
      <c r="A740" s="367"/>
      <c r="B740" s="166" t="s">
        <v>509</v>
      </c>
      <c r="C740" s="565">
        <v>0.375</v>
      </c>
      <c r="D740" s="565">
        <v>0.25</v>
      </c>
      <c r="E740" s="319">
        <v>8</v>
      </c>
      <c r="F740" s="320"/>
      <c r="G740" s="4"/>
      <c r="H740" s="565">
        <v>0.375</v>
      </c>
      <c r="I740" s="47">
        <v>0.3125</v>
      </c>
      <c r="J740" s="319">
        <v>8</v>
      </c>
      <c r="K740" s="320">
        <v>2.5</v>
      </c>
      <c r="L740" s="4"/>
      <c r="M740" s="565"/>
      <c r="N740" s="565"/>
      <c r="O740" s="319">
        <v>0</v>
      </c>
      <c r="P740" s="320"/>
      <c r="R740" s="565"/>
      <c r="S740" s="565"/>
      <c r="T740" s="319">
        <v>0</v>
      </c>
      <c r="U740" s="320"/>
      <c r="W740" s="565">
        <v>0</v>
      </c>
      <c r="X740" s="565">
        <v>0</v>
      </c>
      <c r="Y740" s="319">
        <v>0</v>
      </c>
      <c r="Z740" s="320"/>
      <c r="AA740" s="328">
        <f t="shared" si="127"/>
        <v>16</v>
      </c>
      <c r="AB740" s="298">
        <f t="shared" si="128"/>
        <v>2.5</v>
      </c>
      <c r="AC740" s="399"/>
      <c r="AD740" s="47"/>
      <c r="AE740" s="47"/>
      <c r="AF740" s="319"/>
      <c r="AG740" s="29">
        <f t="shared" ref="AG740:AG771" si="129">AF740</f>
        <v>0</v>
      </c>
      <c r="AH740" s="175"/>
      <c r="AJ740" s="401"/>
      <c r="AK740" s="494" t="s">
        <v>213</v>
      </c>
      <c r="AL740" s="471">
        <f>AA774</f>
        <v>40</v>
      </c>
      <c r="AM740" s="510">
        <v>50</v>
      </c>
      <c r="AN740" s="510">
        <f>AL740*AM740</f>
        <v>2000</v>
      </c>
      <c r="AO740" s="405"/>
      <c r="AP740" s="405"/>
      <c r="AQ740" s="401"/>
      <c r="AR740" s="401"/>
      <c r="AS740" s="401"/>
      <c r="AT740" s="401"/>
      <c r="AU740" s="401"/>
      <c r="AV740" s="401"/>
      <c r="AW740" s="401"/>
    </row>
    <row r="741" spans="1:49" ht="13.5" customHeight="1" outlineLevel="1">
      <c r="A741" s="367"/>
      <c r="B741" s="166" t="s">
        <v>510</v>
      </c>
      <c r="C741" s="565">
        <v>0</v>
      </c>
      <c r="D741" s="565"/>
      <c r="E741" s="319">
        <v>0</v>
      </c>
      <c r="F741" s="320"/>
      <c r="G741" s="4"/>
      <c r="H741" s="565">
        <v>0</v>
      </c>
      <c r="I741" s="565"/>
      <c r="J741" s="319">
        <v>0</v>
      </c>
      <c r="K741" s="320"/>
      <c r="L741" s="4"/>
      <c r="M741" s="565"/>
      <c r="N741" s="565"/>
      <c r="O741" s="319">
        <v>0</v>
      </c>
      <c r="P741" s="320"/>
      <c r="R741" s="565"/>
      <c r="S741" s="565"/>
      <c r="T741" s="319">
        <v>0</v>
      </c>
      <c r="U741" s="320"/>
      <c r="W741" s="565"/>
      <c r="X741" s="565"/>
      <c r="Y741" s="319">
        <v>0</v>
      </c>
      <c r="Z741" s="320"/>
      <c r="AA741" s="328">
        <f t="shared" si="127"/>
        <v>0</v>
      </c>
      <c r="AB741" s="298">
        <f t="shared" si="128"/>
        <v>0</v>
      </c>
      <c r="AC741" s="399"/>
      <c r="AD741" s="47"/>
      <c r="AE741" s="47"/>
      <c r="AF741" s="319"/>
      <c r="AG741" s="29">
        <f t="shared" si="129"/>
        <v>0</v>
      </c>
      <c r="AH741" s="175"/>
      <c r="AJ741" s="401"/>
      <c r="AK741" s="494" t="s">
        <v>36</v>
      </c>
      <c r="AL741" s="471">
        <f>AB774</f>
        <v>0.25</v>
      </c>
      <c r="AM741" s="510">
        <v>75</v>
      </c>
      <c r="AN741" s="510">
        <f>AL741*AM741</f>
        <v>18.75</v>
      </c>
      <c r="AO741" s="405"/>
      <c r="AP741" s="405"/>
      <c r="AQ741" s="401"/>
      <c r="AR741" s="401"/>
      <c r="AS741" s="401"/>
      <c r="AT741" s="401"/>
      <c r="AU741" s="401"/>
      <c r="AV741" s="401"/>
      <c r="AW741" s="401"/>
    </row>
    <row r="742" spans="1:49" ht="13.5" customHeight="1" outlineLevel="1">
      <c r="A742" s="367"/>
      <c r="B742" s="166" t="s">
        <v>511</v>
      </c>
      <c r="C742" s="565">
        <v>0</v>
      </c>
      <c r="D742" s="565"/>
      <c r="E742" s="319">
        <v>0</v>
      </c>
      <c r="F742" s="320"/>
      <c r="G742" s="4"/>
      <c r="H742" s="565">
        <v>0</v>
      </c>
      <c r="I742" s="565"/>
      <c r="J742" s="319">
        <v>0</v>
      </c>
      <c r="K742" s="320"/>
      <c r="L742" s="4"/>
      <c r="M742" s="565">
        <v>0</v>
      </c>
      <c r="N742" s="565"/>
      <c r="O742" s="319">
        <v>0</v>
      </c>
      <c r="P742" s="320"/>
      <c r="R742" s="565">
        <v>0</v>
      </c>
      <c r="S742" s="565"/>
      <c r="T742" s="319">
        <v>0</v>
      </c>
      <c r="U742" s="320"/>
      <c r="W742" s="565">
        <v>0</v>
      </c>
      <c r="X742" s="565"/>
      <c r="Y742" s="319">
        <v>0</v>
      </c>
      <c r="Z742" s="320"/>
      <c r="AA742" s="328">
        <f t="shared" si="127"/>
        <v>0</v>
      </c>
      <c r="AB742" s="298">
        <f t="shared" si="128"/>
        <v>0</v>
      </c>
      <c r="AC742" s="175"/>
      <c r="AD742" s="47"/>
      <c r="AE742" s="47"/>
      <c r="AF742" s="319"/>
      <c r="AG742" s="344">
        <f t="shared" si="129"/>
        <v>0</v>
      </c>
      <c r="AH742" s="175"/>
      <c r="AI742" s="368"/>
      <c r="AK742" s="494" t="s">
        <v>38</v>
      </c>
      <c r="AL742" s="471">
        <f>AG774</f>
        <v>0</v>
      </c>
      <c r="AM742" s="510">
        <v>75</v>
      </c>
      <c r="AN742" s="510">
        <f>AL742*AM742</f>
        <v>0</v>
      </c>
    </row>
    <row r="743" spans="1:49" ht="13.5" customHeight="1" outlineLevel="1" thickBot="1">
      <c r="A743" s="401"/>
      <c r="B743" s="586" t="s">
        <v>512</v>
      </c>
      <c r="C743" s="565">
        <v>0</v>
      </c>
      <c r="D743" s="565"/>
      <c r="E743" s="319">
        <v>0</v>
      </c>
      <c r="F743" s="320"/>
      <c r="G743" s="4"/>
      <c r="H743" s="565">
        <v>0</v>
      </c>
      <c r="I743" s="565"/>
      <c r="J743" s="319">
        <v>0</v>
      </c>
      <c r="K743" s="320"/>
      <c r="L743" s="4"/>
      <c r="M743" s="565">
        <v>0</v>
      </c>
      <c r="N743" s="565"/>
      <c r="O743" s="319">
        <v>0</v>
      </c>
      <c r="P743" s="320"/>
      <c r="R743" s="565">
        <v>0</v>
      </c>
      <c r="S743" s="565"/>
      <c r="T743" s="319">
        <v>0</v>
      </c>
      <c r="U743" s="320"/>
      <c r="W743" s="565">
        <v>0</v>
      </c>
      <c r="X743" s="565"/>
      <c r="Y743" s="319">
        <v>0</v>
      </c>
      <c r="Z743" s="320"/>
      <c r="AA743" s="328">
        <f t="shared" si="127"/>
        <v>0</v>
      </c>
      <c r="AB743" s="298">
        <f t="shared" si="128"/>
        <v>0</v>
      </c>
      <c r="AC743" s="4"/>
      <c r="AD743" s="47"/>
      <c r="AE743" s="47"/>
      <c r="AF743" s="319"/>
      <c r="AG743" s="29">
        <f t="shared" si="129"/>
        <v>0</v>
      </c>
      <c r="AJ743" s="367"/>
      <c r="AK743" s="494" t="s">
        <v>41</v>
      </c>
      <c r="AL743" s="471">
        <f>C775</f>
        <v>85</v>
      </c>
      <c r="AM743" s="512">
        <v>45</v>
      </c>
      <c r="AN743" s="512">
        <f>AL743*AM743</f>
        <v>3825</v>
      </c>
      <c r="AQ743" s="367"/>
      <c r="AR743" s="367"/>
      <c r="AS743" s="367"/>
      <c r="AT743" s="367"/>
      <c r="AU743" s="367"/>
      <c r="AV743" s="367"/>
      <c r="AW743" s="367"/>
    </row>
    <row r="744" spans="1:49" ht="13.5" customHeight="1" outlineLevel="1" thickTop="1">
      <c r="A744" s="367"/>
      <c r="B744" s="586" t="s">
        <v>513</v>
      </c>
      <c r="C744" s="565">
        <v>0</v>
      </c>
      <c r="D744" s="565"/>
      <c r="E744" s="319">
        <v>0</v>
      </c>
      <c r="F744" s="320"/>
      <c r="G744" s="4"/>
      <c r="H744" s="565">
        <v>0</v>
      </c>
      <c r="I744" s="565"/>
      <c r="J744" s="319">
        <v>0</v>
      </c>
      <c r="K744" s="320"/>
      <c r="L744" s="4"/>
      <c r="M744" s="565">
        <v>0</v>
      </c>
      <c r="N744" s="565"/>
      <c r="O744" s="319">
        <v>0</v>
      </c>
      <c r="P744" s="320"/>
      <c r="R744" s="565">
        <v>0</v>
      </c>
      <c r="S744" s="565"/>
      <c r="T744" s="319">
        <v>0</v>
      </c>
      <c r="U744" s="320"/>
      <c r="W744" s="565">
        <v>0</v>
      </c>
      <c r="X744" s="565"/>
      <c r="Y744" s="319">
        <v>0</v>
      </c>
      <c r="Z744" s="320"/>
      <c r="AA744" s="328">
        <f t="shared" si="127"/>
        <v>0</v>
      </c>
      <c r="AB744" s="298">
        <f t="shared" si="128"/>
        <v>0</v>
      </c>
      <c r="AC744" s="4"/>
      <c r="AD744" s="47"/>
      <c r="AE744" s="47"/>
      <c r="AF744" s="319"/>
      <c r="AG744" s="29">
        <f t="shared" si="129"/>
        <v>0</v>
      </c>
      <c r="AN744" s="510">
        <f>SUM(AN736:AN743)</f>
        <v>37553.42</v>
      </c>
    </row>
    <row r="745" spans="1:49" ht="13.5" customHeight="1" outlineLevel="1">
      <c r="A745" s="180"/>
      <c r="B745" s="523" t="s">
        <v>514</v>
      </c>
      <c r="C745" s="47">
        <v>0</v>
      </c>
      <c r="D745" s="47"/>
      <c r="E745" s="319">
        <v>0</v>
      </c>
      <c r="F745" s="320"/>
      <c r="G745" s="4"/>
      <c r="H745" s="47">
        <v>0</v>
      </c>
      <c r="I745" s="47"/>
      <c r="J745" s="319">
        <v>0</v>
      </c>
      <c r="K745" s="320"/>
      <c r="L745" s="4"/>
      <c r="M745" s="47">
        <v>0</v>
      </c>
      <c r="N745" s="47"/>
      <c r="O745" s="319">
        <v>0</v>
      </c>
      <c r="P745" s="320"/>
      <c r="R745" s="47">
        <v>0.39583333333333331</v>
      </c>
      <c r="S745" s="47">
        <v>0.25</v>
      </c>
      <c r="T745" s="319">
        <v>7.5</v>
      </c>
      <c r="U745" s="320"/>
      <c r="W745" s="47">
        <v>0.375</v>
      </c>
      <c r="X745" s="47">
        <v>0.25</v>
      </c>
      <c r="Y745" s="319">
        <v>8</v>
      </c>
      <c r="Z745" s="320"/>
      <c r="AA745" s="328">
        <f t="shared" si="127"/>
        <v>15.5</v>
      </c>
      <c r="AB745" s="298">
        <f t="shared" si="128"/>
        <v>0</v>
      </c>
      <c r="AC745" s="4"/>
      <c r="AD745" s="47"/>
      <c r="AE745" s="47"/>
      <c r="AF745" s="319"/>
      <c r="AG745" s="29">
        <f t="shared" si="129"/>
        <v>0</v>
      </c>
    </row>
    <row r="746" spans="1:49" ht="13.5" customHeight="1" outlineLevel="1">
      <c r="A746" s="180"/>
      <c r="B746" s="180" t="s">
        <v>515</v>
      </c>
      <c r="C746" s="47">
        <v>0</v>
      </c>
      <c r="D746" s="47"/>
      <c r="E746" s="319">
        <v>0</v>
      </c>
      <c r="F746" s="320"/>
      <c r="G746" s="4"/>
      <c r="H746" s="47">
        <v>0.375</v>
      </c>
      <c r="I746" s="47">
        <v>0.25</v>
      </c>
      <c r="J746" s="319">
        <v>8</v>
      </c>
      <c r="K746" s="320"/>
      <c r="L746" s="4"/>
      <c r="M746" s="47">
        <v>0.375</v>
      </c>
      <c r="N746" s="47">
        <v>4.1666666666666664E-2</v>
      </c>
      <c r="O746" s="319">
        <v>4</v>
      </c>
      <c r="P746" s="320"/>
      <c r="R746" s="47">
        <v>0.375</v>
      </c>
      <c r="S746" s="47">
        <v>4.1666666666666664E-2</v>
      </c>
      <c r="T746" s="319">
        <v>4</v>
      </c>
      <c r="U746" s="320"/>
      <c r="W746" s="47">
        <v>0.33333333333333331</v>
      </c>
      <c r="X746" s="47">
        <v>0.5</v>
      </c>
      <c r="Y746" s="319">
        <v>4</v>
      </c>
      <c r="Z746" s="320"/>
      <c r="AA746" s="328">
        <f t="shared" si="127"/>
        <v>20</v>
      </c>
      <c r="AB746" s="298">
        <f t="shared" si="128"/>
        <v>0</v>
      </c>
      <c r="AC746" s="4"/>
      <c r="AD746" s="47"/>
      <c r="AE746" s="47"/>
      <c r="AF746" s="319"/>
      <c r="AG746" s="29">
        <f t="shared" si="129"/>
        <v>0</v>
      </c>
    </row>
    <row r="747" spans="1:49" ht="13.5" customHeight="1" outlineLevel="1">
      <c r="A747" s="180"/>
      <c r="B747" s="594" t="s">
        <v>516</v>
      </c>
      <c r="C747" s="47">
        <v>0.375</v>
      </c>
      <c r="D747" s="47">
        <v>0.25</v>
      </c>
      <c r="E747" s="319">
        <v>8</v>
      </c>
      <c r="F747" s="320"/>
      <c r="G747" s="4"/>
      <c r="H747" s="47">
        <v>0.375</v>
      </c>
      <c r="I747" s="47">
        <v>0.3125</v>
      </c>
      <c r="J747" s="319">
        <v>8</v>
      </c>
      <c r="K747" s="320">
        <v>2.5</v>
      </c>
      <c r="L747" s="4"/>
      <c r="M747" s="47">
        <v>0.375</v>
      </c>
      <c r="N747" s="47">
        <v>0.25</v>
      </c>
      <c r="O747" s="319">
        <v>8</v>
      </c>
      <c r="P747" s="320"/>
      <c r="R747" s="47">
        <v>0.375</v>
      </c>
      <c r="S747" s="47">
        <v>4.1666666666666664E-2</v>
      </c>
      <c r="T747" s="319">
        <v>4</v>
      </c>
      <c r="U747" s="320"/>
      <c r="W747" s="47">
        <v>0.375</v>
      </c>
      <c r="X747" s="47">
        <v>0.25</v>
      </c>
      <c r="Y747" s="319">
        <v>8</v>
      </c>
      <c r="Z747" s="320"/>
      <c r="AA747" s="328">
        <f t="shared" si="127"/>
        <v>36</v>
      </c>
      <c r="AB747" s="298">
        <f t="shared" si="128"/>
        <v>2.5</v>
      </c>
      <c r="AC747" s="4"/>
      <c r="AD747" s="47"/>
      <c r="AE747" s="47"/>
      <c r="AF747" s="319"/>
      <c r="AG747" s="29">
        <f t="shared" si="129"/>
        <v>0</v>
      </c>
    </row>
    <row r="748" spans="1:49" ht="13.5" customHeight="1" outlineLevel="1">
      <c r="A748" s="180"/>
      <c r="B748" s="594" t="s">
        <v>517</v>
      </c>
      <c r="C748" s="47">
        <v>0.375</v>
      </c>
      <c r="D748" s="47">
        <v>0.25</v>
      </c>
      <c r="E748" s="319">
        <v>8</v>
      </c>
      <c r="F748" s="320"/>
      <c r="G748" s="4"/>
      <c r="H748" s="47">
        <v>0.375</v>
      </c>
      <c r="I748" s="47">
        <v>0.25</v>
      </c>
      <c r="J748" s="319">
        <v>8</v>
      </c>
      <c r="K748" s="320"/>
      <c r="L748" s="4"/>
      <c r="M748" s="47">
        <v>0</v>
      </c>
      <c r="N748" s="47">
        <v>0</v>
      </c>
      <c r="O748" s="319">
        <v>0</v>
      </c>
      <c r="P748" s="320"/>
      <c r="R748" s="47">
        <v>0.375</v>
      </c>
      <c r="S748" s="47">
        <v>0.25</v>
      </c>
      <c r="T748" s="319">
        <v>8</v>
      </c>
      <c r="U748" s="320"/>
      <c r="W748" s="47">
        <v>0.375</v>
      </c>
      <c r="X748" s="47">
        <v>0.25</v>
      </c>
      <c r="Y748" s="319">
        <v>8</v>
      </c>
      <c r="Z748" s="320"/>
      <c r="AA748" s="328">
        <f t="shared" si="127"/>
        <v>32</v>
      </c>
      <c r="AB748" s="298">
        <f t="shared" si="128"/>
        <v>0</v>
      </c>
      <c r="AC748" s="4"/>
      <c r="AD748" s="47">
        <v>0.375</v>
      </c>
      <c r="AE748" s="47">
        <v>0.25</v>
      </c>
      <c r="AF748" s="319">
        <v>8</v>
      </c>
      <c r="AG748" s="29">
        <f t="shared" si="129"/>
        <v>8</v>
      </c>
    </row>
    <row r="749" spans="1:49" ht="13.5" customHeight="1" outlineLevel="1">
      <c r="A749" s="180"/>
      <c r="B749" s="528" t="s">
        <v>518</v>
      </c>
      <c r="C749" s="47">
        <v>0.375</v>
      </c>
      <c r="D749" s="47">
        <v>0.25</v>
      </c>
      <c r="E749" s="319">
        <v>8</v>
      </c>
      <c r="F749" s="320"/>
      <c r="G749" s="4"/>
      <c r="H749" s="47">
        <v>0.375</v>
      </c>
      <c r="I749" s="47">
        <v>0.25</v>
      </c>
      <c r="J749" s="319">
        <v>8</v>
      </c>
      <c r="K749" s="320"/>
      <c r="L749" s="4"/>
      <c r="M749" s="47">
        <v>0.375</v>
      </c>
      <c r="N749" s="47">
        <v>0.25</v>
      </c>
      <c r="O749" s="319">
        <v>8</v>
      </c>
      <c r="P749" s="320"/>
      <c r="R749" s="47">
        <v>0.375</v>
      </c>
      <c r="S749" s="47">
        <v>0.25</v>
      </c>
      <c r="T749" s="319">
        <v>8</v>
      </c>
      <c r="U749" s="320"/>
      <c r="W749" s="47">
        <v>0.375</v>
      </c>
      <c r="X749" s="47">
        <v>0.25</v>
      </c>
      <c r="Y749" s="319">
        <v>8</v>
      </c>
      <c r="Z749" s="320"/>
      <c r="AA749" s="328">
        <f t="shared" si="127"/>
        <v>40</v>
      </c>
      <c r="AB749" s="298">
        <f t="shared" si="128"/>
        <v>0</v>
      </c>
      <c r="AC749" s="4"/>
      <c r="AD749" s="47">
        <v>0.375</v>
      </c>
      <c r="AE749" s="47">
        <v>0.25</v>
      </c>
      <c r="AF749" s="319">
        <v>8</v>
      </c>
      <c r="AG749" s="29">
        <f t="shared" si="129"/>
        <v>8</v>
      </c>
    </row>
    <row r="750" spans="1:49" ht="13.5" customHeight="1" outlineLevel="1">
      <c r="A750" s="180"/>
      <c r="B750" s="528" t="s">
        <v>519</v>
      </c>
      <c r="C750" s="47">
        <v>0.375</v>
      </c>
      <c r="D750" s="47">
        <v>0.25</v>
      </c>
      <c r="E750" s="319">
        <v>8</v>
      </c>
      <c r="F750" s="320"/>
      <c r="G750" s="4"/>
      <c r="H750" s="47">
        <v>0.375</v>
      </c>
      <c r="I750" s="47">
        <v>0.3125</v>
      </c>
      <c r="J750" s="319">
        <v>8</v>
      </c>
      <c r="K750" s="320">
        <v>2.5</v>
      </c>
      <c r="L750" s="4"/>
      <c r="M750" s="47">
        <v>0.375</v>
      </c>
      <c r="N750" s="47">
        <v>0.25</v>
      </c>
      <c r="O750" s="319">
        <v>8</v>
      </c>
      <c r="P750" s="320"/>
      <c r="R750" s="47">
        <v>0.39583333333333331</v>
      </c>
      <c r="S750" s="47">
        <v>0.25</v>
      </c>
      <c r="T750" s="319">
        <v>8</v>
      </c>
      <c r="U750" s="320"/>
      <c r="W750" s="47">
        <v>0.10416666666666667</v>
      </c>
      <c r="X750" s="47">
        <v>0.25</v>
      </c>
      <c r="Y750" s="319">
        <v>3.5</v>
      </c>
      <c r="Z750" s="320"/>
      <c r="AA750" s="328">
        <f t="shared" si="127"/>
        <v>35.5</v>
      </c>
      <c r="AB750" s="298">
        <f t="shared" si="128"/>
        <v>2.5</v>
      </c>
      <c r="AC750" s="4"/>
      <c r="AD750" s="47" t="s">
        <v>78</v>
      </c>
      <c r="AE750" s="47">
        <v>0.25</v>
      </c>
      <c r="AF750" s="319">
        <v>8</v>
      </c>
      <c r="AG750" s="29">
        <f t="shared" si="129"/>
        <v>8</v>
      </c>
    </row>
    <row r="751" spans="1:49" ht="13.5" customHeight="1" outlineLevel="1">
      <c r="A751" s="180"/>
      <c r="B751" s="180" t="s">
        <v>520</v>
      </c>
      <c r="C751" s="47"/>
      <c r="D751" s="47"/>
      <c r="E751" s="319">
        <v>0</v>
      </c>
      <c r="F751" s="320"/>
      <c r="G751" s="4"/>
      <c r="H751" s="47">
        <v>0.375</v>
      </c>
      <c r="I751" s="47">
        <v>0.20833333333333334</v>
      </c>
      <c r="J751" s="319">
        <v>8</v>
      </c>
      <c r="K751" s="320"/>
      <c r="L751" s="4"/>
      <c r="M751" s="47">
        <v>0.375</v>
      </c>
      <c r="N751" s="47">
        <v>4.1666666666666664E-2</v>
      </c>
      <c r="O751" s="319">
        <v>4</v>
      </c>
      <c r="P751" s="320"/>
      <c r="R751" s="47">
        <v>0.375</v>
      </c>
      <c r="S751" s="47">
        <v>0.25</v>
      </c>
      <c r="T751" s="319">
        <v>8</v>
      </c>
      <c r="U751" s="320"/>
      <c r="W751" s="47">
        <v>0.375</v>
      </c>
      <c r="X751" s="47">
        <v>0.25</v>
      </c>
      <c r="Y751" s="319">
        <v>8</v>
      </c>
      <c r="Z751" s="320"/>
      <c r="AA751" s="328">
        <f t="shared" si="127"/>
        <v>28</v>
      </c>
      <c r="AB751" s="298">
        <f t="shared" si="128"/>
        <v>0</v>
      </c>
      <c r="AC751" s="4"/>
      <c r="AD751" s="47"/>
      <c r="AE751" s="47"/>
      <c r="AF751" s="319"/>
      <c r="AG751" s="29">
        <f t="shared" si="129"/>
        <v>0</v>
      </c>
    </row>
    <row r="752" spans="1:49" ht="13.5" customHeight="1" outlineLevel="1">
      <c r="A752" s="180"/>
      <c r="B752" s="594" t="s">
        <v>521</v>
      </c>
      <c r="C752" s="47">
        <v>0</v>
      </c>
      <c r="D752" s="47"/>
      <c r="E752" s="319">
        <v>0</v>
      </c>
      <c r="F752" s="320"/>
      <c r="G752" s="4"/>
      <c r="H752" s="47">
        <v>0.4375</v>
      </c>
      <c r="I752" s="47">
        <v>0.25</v>
      </c>
      <c r="J752" s="319">
        <v>7.5</v>
      </c>
      <c r="K752" s="320"/>
      <c r="L752" s="4"/>
      <c r="M752" s="47">
        <v>0.33333333333333331</v>
      </c>
      <c r="N752" s="47">
        <v>0.20833333333333334</v>
      </c>
      <c r="O752" s="319">
        <v>8</v>
      </c>
      <c r="P752" s="320"/>
      <c r="R752" s="47">
        <v>0.375</v>
      </c>
      <c r="S752" s="47">
        <v>0.5</v>
      </c>
      <c r="T752" s="319">
        <v>3</v>
      </c>
      <c r="U752" s="320"/>
      <c r="W752" s="47">
        <v>0.375</v>
      </c>
      <c r="X752" s="47">
        <v>0.5</v>
      </c>
      <c r="Y752" s="319">
        <v>3</v>
      </c>
      <c r="Z752" s="320"/>
      <c r="AA752" s="328">
        <f t="shared" si="127"/>
        <v>21.5</v>
      </c>
      <c r="AB752" s="298">
        <f t="shared" si="128"/>
        <v>0</v>
      </c>
      <c r="AC752" s="4"/>
      <c r="AD752" s="47"/>
      <c r="AE752" s="47"/>
      <c r="AF752" s="319"/>
      <c r="AG752" s="29">
        <f t="shared" si="129"/>
        <v>0</v>
      </c>
    </row>
    <row r="753" spans="1:37" ht="13.5" customHeight="1" outlineLevel="1">
      <c r="A753" s="180"/>
      <c r="B753" s="585" t="s">
        <v>522</v>
      </c>
      <c r="C753" s="47">
        <v>0.375</v>
      </c>
      <c r="D753" s="565">
        <v>0.25</v>
      </c>
      <c r="E753" s="319">
        <v>8</v>
      </c>
      <c r="F753" s="320"/>
      <c r="G753" s="4"/>
      <c r="H753" s="47">
        <v>0.375</v>
      </c>
      <c r="I753" s="565">
        <v>0.25</v>
      </c>
      <c r="J753" s="319">
        <v>8</v>
      </c>
      <c r="K753" s="320"/>
      <c r="L753" s="4"/>
      <c r="M753" s="47">
        <v>0.375</v>
      </c>
      <c r="N753" s="565">
        <v>0.25</v>
      </c>
      <c r="O753" s="319">
        <v>8</v>
      </c>
      <c r="P753" s="320"/>
      <c r="R753" s="47">
        <v>0</v>
      </c>
      <c r="S753" s="565">
        <v>0</v>
      </c>
      <c r="T753" s="319">
        <v>0</v>
      </c>
      <c r="U753" s="320"/>
      <c r="W753" s="47">
        <v>0.41666666666666669</v>
      </c>
      <c r="X753" s="565">
        <v>0.20833333333333334</v>
      </c>
      <c r="Y753" s="319">
        <v>7</v>
      </c>
      <c r="Z753" s="320"/>
      <c r="AA753" s="328">
        <f t="shared" si="127"/>
        <v>31</v>
      </c>
      <c r="AB753" s="298">
        <f t="shared" si="128"/>
        <v>0</v>
      </c>
      <c r="AC753" s="4"/>
      <c r="AD753" s="47"/>
      <c r="AE753" s="47"/>
      <c r="AF753" s="319"/>
      <c r="AG753" s="29">
        <f t="shared" si="129"/>
        <v>0</v>
      </c>
    </row>
    <row r="754" spans="1:37" ht="13.5" customHeight="1" outlineLevel="1">
      <c r="A754" s="180"/>
      <c r="B754" s="267" t="s">
        <v>523</v>
      </c>
      <c r="C754" s="47">
        <v>0.52083333333333337</v>
      </c>
      <c r="D754" s="565">
        <v>0.25</v>
      </c>
      <c r="E754" s="319">
        <v>5.5</v>
      </c>
      <c r="F754" s="320"/>
      <c r="G754" s="4"/>
      <c r="H754" s="47">
        <v>0.3125</v>
      </c>
      <c r="I754" s="565">
        <v>0.25</v>
      </c>
      <c r="J754" s="319">
        <v>8</v>
      </c>
      <c r="K754" s="320">
        <v>1.5</v>
      </c>
      <c r="L754" s="4"/>
      <c r="M754" s="47">
        <v>0.4375</v>
      </c>
      <c r="N754" s="565">
        <v>0.25</v>
      </c>
      <c r="O754" s="319">
        <v>7.5</v>
      </c>
      <c r="P754" s="320"/>
      <c r="R754" s="47">
        <v>0.375</v>
      </c>
      <c r="S754" s="565">
        <v>0.25</v>
      </c>
      <c r="T754" s="319">
        <v>8</v>
      </c>
      <c r="U754" s="320"/>
      <c r="W754" s="47">
        <v>0.375</v>
      </c>
      <c r="X754" s="565">
        <v>0.25</v>
      </c>
      <c r="Y754" s="319">
        <v>8</v>
      </c>
      <c r="Z754" s="320"/>
      <c r="AA754" s="328">
        <f t="shared" si="127"/>
        <v>37</v>
      </c>
      <c r="AB754" s="298">
        <f>Z754+U754+P754+K754+F752</f>
        <v>1.5</v>
      </c>
      <c r="AC754" s="4"/>
      <c r="AD754" s="47"/>
      <c r="AE754" s="47"/>
      <c r="AF754" s="319"/>
      <c r="AG754" s="29">
        <f t="shared" si="129"/>
        <v>0</v>
      </c>
    </row>
    <row r="755" spans="1:37" ht="13.5" customHeight="1" outlineLevel="1">
      <c r="A755" s="180"/>
      <c r="B755" s="437" t="s">
        <v>524</v>
      </c>
      <c r="C755" s="47" t="s">
        <v>137</v>
      </c>
      <c r="D755" s="565"/>
      <c r="E755" s="319">
        <v>0</v>
      </c>
      <c r="F755" s="320"/>
      <c r="G755" s="4"/>
      <c r="H755" s="47" t="s">
        <v>137</v>
      </c>
      <c r="I755" s="565"/>
      <c r="J755" s="319">
        <v>0</v>
      </c>
      <c r="K755" s="320"/>
      <c r="L755" s="4"/>
      <c r="M755" s="47" t="s">
        <v>137</v>
      </c>
      <c r="N755" s="565"/>
      <c r="O755" s="319">
        <v>0</v>
      </c>
      <c r="P755" s="320"/>
      <c r="R755" s="47" t="s">
        <v>137</v>
      </c>
      <c r="S755" s="565"/>
      <c r="T755" s="319">
        <v>0</v>
      </c>
      <c r="U755" s="320"/>
      <c r="W755" s="47" t="s">
        <v>137</v>
      </c>
      <c r="X755" s="565"/>
      <c r="Y755" s="319">
        <v>0</v>
      </c>
      <c r="Z755" s="320"/>
      <c r="AA755" s="328">
        <f t="shared" si="127"/>
        <v>0</v>
      </c>
      <c r="AB755" s="298">
        <f>Z755+U755+P755+K755+F754</f>
        <v>0</v>
      </c>
      <c r="AC755" s="4"/>
      <c r="AD755" s="47"/>
      <c r="AE755" s="47"/>
      <c r="AF755" s="319"/>
      <c r="AG755" s="29">
        <f t="shared" si="129"/>
        <v>0</v>
      </c>
    </row>
    <row r="756" spans="1:37" ht="13.5" customHeight="1" outlineLevel="1">
      <c r="A756" s="180"/>
      <c r="B756" s="437" t="s">
        <v>525</v>
      </c>
      <c r="C756" s="47">
        <v>0.41666666666666669</v>
      </c>
      <c r="D756" s="565">
        <v>0.25</v>
      </c>
      <c r="E756" s="319">
        <v>8</v>
      </c>
      <c r="F756" s="320"/>
      <c r="G756" s="4"/>
      <c r="H756" s="47">
        <v>0.25</v>
      </c>
      <c r="I756" s="565">
        <v>0.25</v>
      </c>
      <c r="J756" s="319">
        <v>8</v>
      </c>
      <c r="K756" s="320">
        <v>3</v>
      </c>
      <c r="L756" s="4"/>
      <c r="M756" s="47">
        <v>0.41666666666666669</v>
      </c>
      <c r="N756" s="565">
        <v>0.25</v>
      </c>
      <c r="O756" s="319">
        <v>8</v>
      </c>
      <c r="P756" s="320"/>
      <c r="R756" s="47">
        <v>0.375</v>
      </c>
      <c r="S756" s="565">
        <v>0.25</v>
      </c>
      <c r="T756" s="319">
        <v>8</v>
      </c>
      <c r="U756" s="320"/>
      <c r="W756" s="47">
        <v>0.39583333333333331</v>
      </c>
      <c r="X756" s="565">
        <v>0.25</v>
      </c>
      <c r="Y756" s="319">
        <v>7.5</v>
      </c>
      <c r="Z756" s="320"/>
      <c r="AA756" s="328">
        <f t="shared" si="127"/>
        <v>39.5</v>
      </c>
      <c r="AB756" s="298">
        <f>Z756+U756+P756+K756+F755</f>
        <v>3</v>
      </c>
      <c r="AC756" s="4"/>
      <c r="AD756" s="47"/>
      <c r="AE756" s="47"/>
      <c r="AF756" s="319"/>
      <c r="AG756" s="29">
        <f t="shared" si="129"/>
        <v>0</v>
      </c>
    </row>
    <row r="757" spans="1:37" ht="13.5" customHeight="1" outlineLevel="1">
      <c r="A757" s="180"/>
      <c r="B757" s="267" t="s">
        <v>505</v>
      </c>
      <c r="C757" s="47">
        <v>0.375</v>
      </c>
      <c r="D757" s="565">
        <v>0.25</v>
      </c>
      <c r="E757" s="319">
        <v>8</v>
      </c>
      <c r="F757" s="320"/>
      <c r="G757" s="4"/>
      <c r="H757" s="47">
        <v>0.25</v>
      </c>
      <c r="I757" s="565">
        <v>0.25</v>
      </c>
      <c r="J757" s="319">
        <v>8</v>
      </c>
      <c r="K757" s="320">
        <v>3</v>
      </c>
      <c r="L757" s="4"/>
      <c r="M757" s="47">
        <v>0.25</v>
      </c>
      <c r="N757" s="565">
        <v>0.25</v>
      </c>
      <c r="O757" s="319">
        <v>8</v>
      </c>
      <c r="P757" s="320">
        <v>3</v>
      </c>
      <c r="R757" s="47">
        <v>0.375</v>
      </c>
      <c r="S757" s="565">
        <v>0.25</v>
      </c>
      <c r="T757" s="319">
        <v>8</v>
      </c>
      <c r="U757" s="320"/>
      <c r="W757" s="47">
        <v>0.375</v>
      </c>
      <c r="X757" s="565">
        <v>0.25</v>
      </c>
      <c r="Y757" s="319">
        <v>8</v>
      </c>
      <c r="Z757" s="320"/>
      <c r="AA757" s="328">
        <f t="shared" si="127"/>
        <v>40</v>
      </c>
      <c r="AB757" s="298">
        <f t="shared" ref="AB757:AB759" si="130">Z757+U757+P757+K757+F755</f>
        <v>6</v>
      </c>
      <c r="AC757" s="4"/>
      <c r="AD757" s="47"/>
      <c r="AE757" s="47"/>
      <c r="AF757" s="319"/>
      <c r="AG757" s="29">
        <f t="shared" si="129"/>
        <v>0</v>
      </c>
    </row>
    <row r="758" spans="1:37" ht="13.5" customHeight="1" outlineLevel="1">
      <c r="A758" s="180"/>
      <c r="B758" s="267" t="s">
        <v>526</v>
      </c>
      <c r="C758" s="47">
        <v>0.375</v>
      </c>
      <c r="D758" s="565">
        <v>0.25</v>
      </c>
      <c r="E758" s="319">
        <v>8</v>
      </c>
      <c r="F758" s="320"/>
      <c r="G758" s="4"/>
      <c r="H758" s="47">
        <v>0.25</v>
      </c>
      <c r="I758" s="565">
        <v>6</v>
      </c>
      <c r="J758" s="319">
        <v>8</v>
      </c>
      <c r="K758" s="320">
        <v>3</v>
      </c>
      <c r="L758" s="4"/>
      <c r="M758" s="47">
        <v>0.41666666666666669</v>
      </c>
      <c r="N758" s="565">
        <v>0.25</v>
      </c>
      <c r="O758" s="319">
        <v>8</v>
      </c>
      <c r="P758" s="320"/>
      <c r="R758" s="47">
        <v>0.375</v>
      </c>
      <c r="S758" s="565">
        <v>0.25</v>
      </c>
      <c r="T758" s="319">
        <v>8</v>
      </c>
      <c r="U758" s="320"/>
      <c r="W758" s="47">
        <v>0.375</v>
      </c>
      <c r="X758" s="565">
        <v>0.25</v>
      </c>
      <c r="Y758" s="319">
        <v>8</v>
      </c>
      <c r="Z758" s="320"/>
      <c r="AA758" s="328">
        <f t="shared" si="127"/>
        <v>40</v>
      </c>
      <c r="AB758" s="298">
        <f t="shared" si="130"/>
        <v>3</v>
      </c>
      <c r="AC758" s="4"/>
      <c r="AD758" s="47"/>
      <c r="AE758" s="47"/>
      <c r="AF758" s="319"/>
      <c r="AG758" s="29">
        <f t="shared" si="129"/>
        <v>0</v>
      </c>
    </row>
    <row r="759" spans="1:37" outlineLevel="1">
      <c r="A759" s="180"/>
      <c r="B759" s="502" t="s">
        <v>483</v>
      </c>
      <c r="C759" s="47"/>
      <c r="D759" s="47"/>
      <c r="E759" s="319">
        <v>8</v>
      </c>
      <c r="F759" s="320">
        <v>0.5</v>
      </c>
      <c r="G759" s="4"/>
      <c r="H759" s="47"/>
      <c r="I759" s="47"/>
      <c r="J759" s="319">
        <v>8</v>
      </c>
      <c r="K759" s="320">
        <v>1.75</v>
      </c>
      <c r="L759" s="4"/>
      <c r="M759" s="47"/>
      <c r="N759" s="47"/>
      <c r="O759" s="319">
        <v>8</v>
      </c>
      <c r="P759" s="320">
        <v>1.67</v>
      </c>
      <c r="R759" s="47"/>
      <c r="S759" s="47"/>
      <c r="T759" s="319">
        <v>8</v>
      </c>
      <c r="U759" s="320">
        <v>1.75</v>
      </c>
      <c r="W759" s="47"/>
      <c r="X759" s="47"/>
      <c r="Y759" s="319">
        <v>8</v>
      </c>
      <c r="Z759" s="320">
        <v>0.5</v>
      </c>
      <c r="AA759" s="328">
        <f t="shared" si="127"/>
        <v>40</v>
      </c>
      <c r="AB759" s="298">
        <f t="shared" si="130"/>
        <v>5.67</v>
      </c>
      <c r="AC759" s="4"/>
      <c r="AD759" s="47"/>
      <c r="AE759" s="47"/>
      <c r="AF759" s="319"/>
      <c r="AG759" s="29">
        <f t="shared" si="129"/>
        <v>0</v>
      </c>
    </row>
    <row r="760" spans="1:37" outlineLevel="1">
      <c r="A760" s="180"/>
      <c r="B760" s="502" t="s">
        <v>484</v>
      </c>
      <c r="C760" s="47"/>
      <c r="D760" s="47"/>
      <c r="E760" s="319">
        <v>8</v>
      </c>
      <c r="F760" s="320">
        <v>0.5</v>
      </c>
      <c r="G760" s="4"/>
      <c r="H760" s="47"/>
      <c r="I760" s="47"/>
      <c r="J760" s="319">
        <v>8</v>
      </c>
      <c r="K760" s="320">
        <v>1.75</v>
      </c>
      <c r="L760" s="4"/>
      <c r="M760" s="47"/>
      <c r="N760" s="47"/>
      <c r="O760" s="319">
        <v>8</v>
      </c>
      <c r="P760" s="320">
        <v>1.67</v>
      </c>
      <c r="R760" s="47"/>
      <c r="S760" s="47"/>
      <c r="T760" s="319">
        <v>8</v>
      </c>
      <c r="U760" s="320">
        <v>1.75</v>
      </c>
      <c r="W760" s="47"/>
      <c r="X760" s="47"/>
      <c r="Y760" s="319">
        <v>8</v>
      </c>
      <c r="Z760" s="320">
        <v>0.5</v>
      </c>
      <c r="AA760" s="328">
        <f t="shared" si="127"/>
        <v>40</v>
      </c>
      <c r="AB760" s="298">
        <f>Z760+U760+P760+K760+F753</f>
        <v>5.67</v>
      </c>
      <c r="AC760" s="4"/>
      <c r="AD760" s="47"/>
      <c r="AE760" s="47"/>
      <c r="AF760" s="319"/>
      <c r="AG760" s="29">
        <f t="shared" si="129"/>
        <v>0</v>
      </c>
    </row>
    <row r="761" spans="1:37" outlineLevel="1">
      <c r="A761" s="180"/>
      <c r="B761" s="502" t="s">
        <v>485</v>
      </c>
      <c r="C761" s="47"/>
      <c r="D761" s="47"/>
      <c r="E761" s="319">
        <v>8</v>
      </c>
      <c r="F761" s="320">
        <v>0.5</v>
      </c>
      <c r="G761" s="4"/>
      <c r="H761" s="47"/>
      <c r="I761" s="47"/>
      <c r="J761" s="319">
        <v>8</v>
      </c>
      <c r="K761" s="320">
        <v>1.75</v>
      </c>
      <c r="L761" s="4"/>
      <c r="M761" s="47"/>
      <c r="N761" s="47"/>
      <c r="O761" s="319">
        <v>8</v>
      </c>
      <c r="P761" s="320">
        <v>1.67</v>
      </c>
      <c r="R761" s="47"/>
      <c r="S761" s="47"/>
      <c r="T761" s="319">
        <v>8</v>
      </c>
      <c r="U761" s="320">
        <v>1.75</v>
      </c>
      <c r="W761" s="47"/>
      <c r="X761" s="47"/>
      <c r="Y761" s="319">
        <v>8</v>
      </c>
      <c r="Z761" s="320">
        <v>0.5</v>
      </c>
      <c r="AA761" s="328">
        <f t="shared" si="127"/>
        <v>40</v>
      </c>
      <c r="AB761" s="298">
        <f>Z761+U761+P761+K761+F754</f>
        <v>5.67</v>
      </c>
      <c r="AC761" s="4"/>
      <c r="AD761" s="47"/>
      <c r="AE761" s="47"/>
      <c r="AF761" s="319"/>
      <c r="AG761" s="29">
        <f t="shared" si="129"/>
        <v>0</v>
      </c>
    </row>
    <row r="762" spans="1:37" outlineLevel="1">
      <c r="A762" s="180"/>
      <c r="B762" s="502" t="s">
        <v>486</v>
      </c>
      <c r="C762" s="47"/>
      <c r="D762" s="47"/>
      <c r="E762" s="319"/>
      <c r="F762" s="320"/>
      <c r="G762" s="4"/>
      <c r="H762" s="47"/>
      <c r="I762" s="47"/>
      <c r="J762" s="319"/>
      <c r="K762" s="320"/>
      <c r="L762" s="4"/>
      <c r="M762" s="47"/>
      <c r="N762" s="47"/>
      <c r="O762" s="319"/>
      <c r="P762" s="320"/>
      <c r="R762" s="47"/>
      <c r="S762" s="47"/>
      <c r="T762" s="319"/>
      <c r="U762" s="320"/>
      <c r="W762" s="47"/>
      <c r="X762" s="47"/>
      <c r="Y762" s="319"/>
      <c r="Z762" s="320"/>
      <c r="AA762" s="328">
        <f t="shared" si="127"/>
        <v>0</v>
      </c>
      <c r="AB762" s="298">
        <f>Z762+U762+P762+K762+F760</f>
        <v>0.5</v>
      </c>
      <c r="AC762" s="4"/>
      <c r="AD762" s="47"/>
      <c r="AE762" s="47"/>
      <c r="AF762" s="319"/>
      <c r="AG762" s="29">
        <f t="shared" si="129"/>
        <v>0</v>
      </c>
    </row>
    <row r="763" spans="1:37" outlineLevel="1">
      <c r="A763" s="180"/>
      <c r="B763" s="63" t="s">
        <v>63</v>
      </c>
      <c r="C763" s="47"/>
      <c r="D763" s="47"/>
      <c r="E763" s="319">
        <v>4</v>
      </c>
      <c r="F763" s="320"/>
      <c r="G763" s="4"/>
      <c r="H763" s="47"/>
      <c r="I763" s="47"/>
      <c r="J763" s="319">
        <v>4</v>
      </c>
      <c r="K763" s="320"/>
      <c r="L763" s="4"/>
      <c r="M763" s="47"/>
      <c r="N763" s="47"/>
      <c r="O763" s="319">
        <v>5.5</v>
      </c>
      <c r="P763" s="320"/>
      <c r="R763" s="47"/>
      <c r="S763" s="47"/>
      <c r="T763" s="319">
        <v>4.5</v>
      </c>
      <c r="U763" s="320"/>
      <c r="W763" s="47"/>
      <c r="X763" s="47"/>
      <c r="Y763" s="319">
        <v>4.5</v>
      </c>
      <c r="Z763" s="320"/>
      <c r="AA763" s="328">
        <f t="shared" si="127"/>
        <v>22.5</v>
      </c>
      <c r="AB763" s="298">
        <f t="shared" ref="AB763:AB771" si="131">Z763+U763+P763+K763+F763</f>
        <v>0</v>
      </c>
      <c r="AC763" s="4"/>
      <c r="AD763" s="47"/>
      <c r="AE763" s="47"/>
      <c r="AF763" s="319"/>
      <c r="AG763" s="29">
        <f t="shared" si="129"/>
        <v>0</v>
      </c>
    </row>
    <row r="764" spans="1:37" outlineLevel="1">
      <c r="A764" s="180"/>
      <c r="B764" s="63" t="s">
        <v>487</v>
      </c>
      <c r="C764" s="47"/>
      <c r="D764" s="47"/>
      <c r="E764" s="319"/>
      <c r="F764" s="320"/>
      <c r="G764" s="438"/>
      <c r="H764" s="47"/>
      <c r="I764" s="47"/>
      <c r="J764" s="319"/>
      <c r="K764" s="320"/>
      <c r="L764" s="438"/>
      <c r="M764" s="47"/>
      <c r="N764" s="47"/>
      <c r="O764" s="319"/>
      <c r="P764" s="320"/>
      <c r="Q764" s="438"/>
      <c r="R764" s="47"/>
      <c r="S764" s="47"/>
      <c r="T764" s="319"/>
      <c r="U764" s="320"/>
      <c r="V764" s="438"/>
      <c r="W764" s="47"/>
      <c r="X764" s="47"/>
      <c r="Y764" s="319"/>
      <c r="Z764" s="320"/>
      <c r="AA764" s="328">
        <f t="shared" si="127"/>
        <v>0</v>
      </c>
      <c r="AB764" s="298">
        <f t="shared" si="131"/>
        <v>0</v>
      </c>
      <c r="AC764" s="4"/>
      <c r="AD764" s="47"/>
      <c r="AE764" s="47"/>
      <c r="AF764" s="319"/>
      <c r="AG764" s="29">
        <f t="shared" si="129"/>
        <v>0</v>
      </c>
      <c r="AK764" s="407"/>
    </row>
    <row r="765" spans="1:37" outlineLevel="1">
      <c r="A765" s="180"/>
      <c r="B765" s="267" t="s">
        <v>358</v>
      </c>
      <c r="C765" s="47"/>
      <c r="D765" s="47"/>
      <c r="E765" s="319">
        <v>8</v>
      </c>
      <c r="F765" s="320"/>
      <c r="G765" s="438"/>
      <c r="H765" s="47"/>
      <c r="I765" s="47"/>
      <c r="J765" s="319">
        <v>8</v>
      </c>
      <c r="K765" s="320">
        <v>1</v>
      </c>
      <c r="L765" s="438"/>
      <c r="M765" s="47"/>
      <c r="N765" s="47"/>
      <c r="O765" s="319">
        <v>8</v>
      </c>
      <c r="P765" s="320"/>
      <c r="Q765" s="438"/>
      <c r="R765" s="47"/>
      <c r="S765" s="47"/>
      <c r="T765" s="319">
        <v>8</v>
      </c>
      <c r="U765" s="320"/>
      <c r="V765" s="438"/>
      <c r="W765" s="47"/>
      <c r="X765" s="47"/>
      <c r="Y765" s="319">
        <v>8</v>
      </c>
      <c r="Z765" s="320"/>
      <c r="AA765" s="328">
        <f t="shared" si="127"/>
        <v>40</v>
      </c>
      <c r="AB765" s="298">
        <f t="shared" si="131"/>
        <v>1</v>
      </c>
      <c r="AC765" s="4"/>
      <c r="AD765" s="47"/>
      <c r="AE765" s="47"/>
      <c r="AF765" s="319"/>
      <c r="AG765" s="29">
        <f t="shared" si="129"/>
        <v>0</v>
      </c>
      <c r="AK765" s="407"/>
    </row>
    <row r="766" spans="1:37" outlineLevel="1">
      <c r="A766" s="180"/>
      <c r="B766" s="267" t="s">
        <v>359</v>
      </c>
      <c r="C766" s="47"/>
      <c r="D766" s="47"/>
      <c r="E766" s="319"/>
      <c r="F766" s="320"/>
      <c r="G766" s="438"/>
      <c r="H766" s="47"/>
      <c r="I766" s="47"/>
      <c r="J766" s="319"/>
      <c r="K766" s="320"/>
      <c r="L766" s="438"/>
      <c r="M766" s="47"/>
      <c r="N766" s="47"/>
      <c r="O766" s="319"/>
      <c r="P766" s="320"/>
      <c r="Q766" s="438"/>
      <c r="R766" s="47"/>
      <c r="S766" s="47"/>
      <c r="T766" s="319"/>
      <c r="U766" s="320"/>
      <c r="V766" s="438"/>
      <c r="W766" s="47"/>
      <c r="X766" s="47"/>
      <c r="Y766" s="319"/>
      <c r="Z766" s="320"/>
      <c r="AA766" s="328">
        <f t="shared" si="127"/>
        <v>0</v>
      </c>
      <c r="AB766" s="298">
        <f t="shared" si="131"/>
        <v>0</v>
      </c>
      <c r="AC766" s="4"/>
      <c r="AD766" s="47"/>
      <c r="AE766" s="47"/>
      <c r="AF766" s="319"/>
      <c r="AG766" s="29">
        <f t="shared" si="129"/>
        <v>0</v>
      </c>
      <c r="AK766" s="407"/>
    </row>
    <row r="767" spans="1:37" outlineLevel="1">
      <c r="A767" s="180"/>
      <c r="B767" s="267" t="s">
        <v>411</v>
      </c>
      <c r="C767" s="47"/>
      <c r="D767" s="47"/>
      <c r="E767" s="319"/>
      <c r="F767" s="320"/>
      <c r="G767" s="438"/>
      <c r="H767" s="47"/>
      <c r="I767" s="47"/>
      <c r="J767" s="319"/>
      <c r="K767" s="320"/>
      <c r="L767" s="438"/>
      <c r="M767" s="47"/>
      <c r="N767" s="47"/>
      <c r="O767" s="319"/>
      <c r="P767" s="320"/>
      <c r="Q767" s="438"/>
      <c r="R767" s="47"/>
      <c r="S767" s="47"/>
      <c r="T767" s="319"/>
      <c r="U767" s="320"/>
      <c r="V767" s="438"/>
      <c r="W767" s="47"/>
      <c r="X767" s="47"/>
      <c r="Y767" s="319"/>
      <c r="Z767" s="320"/>
      <c r="AA767" s="328">
        <f t="shared" si="127"/>
        <v>0</v>
      </c>
      <c r="AB767" s="298">
        <f t="shared" si="131"/>
        <v>0</v>
      </c>
      <c r="AC767" s="4"/>
      <c r="AD767" s="47"/>
      <c r="AE767" s="47"/>
      <c r="AF767" s="319"/>
      <c r="AG767" s="29">
        <f t="shared" si="129"/>
        <v>0</v>
      </c>
      <c r="AK767" s="407"/>
    </row>
    <row r="768" spans="1:37" outlineLevel="1">
      <c r="A768" s="180"/>
      <c r="B768" s="267" t="s">
        <v>361</v>
      </c>
      <c r="C768" s="47"/>
      <c r="D768" s="47"/>
      <c r="E768" s="319"/>
      <c r="F768" s="320"/>
      <c r="G768" s="438"/>
      <c r="H768" s="47"/>
      <c r="I768" s="47"/>
      <c r="J768" s="319"/>
      <c r="K768" s="320"/>
      <c r="L768" s="438"/>
      <c r="M768" s="47"/>
      <c r="N768" s="47"/>
      <c r="O768" s="319"/>
      <c r="P768" s="320"/>
      <c r="Q768" s="438"/>
      <c r="R768" s="47"/>
      <c r="S768" s="47"/>
      <c r="T768" s="319"/>
      <c r="U768" s="320"/>
      <c r="V768" s="438"/>
      <c r="W768" s="47"/>
      <c r="X768" s="47"/>
      <c r="Y768" s="319"/>
      <c r="Z768" s="320"/>
      <c r="AA768" s="328">
        <f t="shared" si="127"/>
        <v>0</v>
      </c>
      <c r="AB768" s="298">
        <f t="shared" si="131"/>
        <v>0</v>
      </c>
      <c r="AC768" s="4"/>
      <c r="AD768" s="47"/>
      <c r="AE768" s="47"/>
      <c r="AF768" s="319"/>
      <c r="AG768" s="29">
        <f t="shared" si="129"/>
        <v>0</v>
      </c>
      <c r="AK768" s="407"/>
    </row>
    <row r="769" spans="1:49" outlineLevel="1">
      <c r="A769" s="180"/>
      <c r="B769" s="267" t="s">
        <v>362</v>
      </c>
      <c r="C769" s="47"/>
      <c r="D769" s="47"/>
      <c r="E769" s="319">
        <v>4</v>
      </c>
      <c r="F769" s="320"/>
      <c r="G769" s="438"/>
      <c r="H769" s="47"/>
      <c r="I769" s="47"/>
      <c r="J769" s="319">
        <v>4</v>
      </c>
      <c r="K769" s="320"/>
      <c r="L769" s="438"/>
      <c r="M769" s="47"/>
      <c r="N769" s="47"/>
      <c r="O769" s="319">
        <v>4</v>
      </c>
      <c r="P769" s="320"/>
      <c r="Q769" s="438"/>
      <c r="R769" s="47"/>
      <c r="S769" s="47"/>
      <c r="T769" s="319">
        <v>4</v>
      </c>
      <c r="U769" s="320"/>
      <c r="V769" s="438"/>
      <c r="W769" s="47"/>
      <c r="X769" s="47"/>
      <c r="Y769" s="319">
        <v>4</v>
      </c>
      <c r="Z769" s="320"/>
      <c r="AA769" s="328">
        <f t="shared" si="127"/>
        <v>20</v>
      </c>
      <c r="AB769" s="298">
        <f t="shared" si="131"/>
        <v>0</v>
      </c>
      <c r="AC769" s="4"/>
      <c r="AD769" s="47"/>
      <c r="AE769" s="47"/>
      <c r="AF769" s="319"/>
      <c r="AG769" s="29">
        <f t="shared" si="129"/>
        <v>0</v>
      </c>
      <c r="AK769" s="407"/>
    </row>
    <row r="770" spans="1:49" outlineLevel="1">
      <c r="A770" s="180"/>
      <c r="B770" s="437" t="s">
        <v>355</v>
      </c>
      <c r="C770" s="47"/>
      <c r="D770" s="47"/>
      <c r="E770" s="319">
        <v>7.7</v>
      </c>
      <c r="F770" s="320"/>
      <c r="G770" s="438"/>
      <c r="H770" s="47"/>
      <c r="I770" s="47"/>
      <c r="J770" s="319">
        <v>7.7</v>
      </c>
      <c r="K770" s="320"/>
      <c r="L770" s="438"/>
      <c r="M770" s="47"/>
      <c r="N770" s="47"/>
      <c r="O770" s="319">
        <v>7.7</v>
      </c>
      <c r="P770" s="320"/>
      <c r="Q770" s="438"/>
      <c r="R770" s="47"/>
      <c r="S770" s="47"/>
      <c r="T770" s="319">
        <v>7.7</v>
      </c>
      <c r="U770" s="320"/>
      <c r="V770" s="438"/>
      <c r="W770" s="47"/>
      <c r="X770" s="47"/>
      <c r="Y770" s="319">
        <v>7.7</v>
      </c>
      <c r="Z770" s="320"/>
      <c r="AA770" s="328">
        <f t="shared" si="127"/>
        <v>38.5</v>
      </c>
      <c r="AB770" s="298">
        <f t="shared" si="131"/>
        <v>0</v>
      </c>
      <c r="AC770" s="4"/>
      <c r="AD770" s="47"/>
      <c r="AE770" s="47"/>
      <c r="AF770" s="319"/>
      <c r="AG770" s="29">
        <f t="shared" si="129"/>
        <v>0</v>
      </c>
      <c r="AK770" s="407"/>
    </row>
    <row r="771" spans="1:49" outlineLevel="1">
      <c r="A771" s="180"/>
      <c r="B771" s="437" t="s">
        <v>356</v>
      </c>
      <c r="C771" s="47"/>
      <c r="D771" s="47"/>
      <c r="E771" s="319">
        <v>11.9</v>
      </c>
      <c r="F771" s="320"/>
      <c r="G771" s="438"/>
      <c r="H771" s="47"/>
      <c r="I771" s="47"/>
      <c r="J771" s="319"/>
      <c r="K771" s="320"/>
      <c r="L771" s="438"/>
      <c r="M771" s="47"/>
      <c r="N771" s="47"/>
      <c r="O771" s="319">
        <v>12.3</v>
      </c>
      <c r="P771" s="320"/>
      <c r="Q771" s="438"/>
      <c r="R771" s="47"/>
      <c r="S771" s="47"/>
      <c r="T771" s="319"/>
      <c r="U771" s="320"/>
      <c r="V771" s="438"/>
      <c r="W771" s="47"/>
      <c r="X771" s="47"/>
      <c r="Y771" s="319"/>
      <c r="Z771" s="320"/>
      <c r="AA771" s="328">
        <f t="shared" si="127"/>
        <v>24.200000000000003</v>
      </c>
      <c r="AB771" s="298">
        <f t="shared" si="131"/>
        <v>0</v>
      </c>
      <c r="AC771" s="4"/>
      <c r="AD771" s="47"/>
      <c r="AE771" s="47"/>
      <c r="AF771" s="319"/>
      <c r="AG771" s="29">
        <f t="shared" si="129"/>
        <v>0</v>
      </c>
      <c r="AK771" s="407"/>
    </row>
    <row r="772" spans="1:49" outlineLevel="1">
      <c r="A772" s="180"/>
      <c r="B772" s="64" t="s">
        <v>61</v>
      </c>
      <c r="C772" s="31"/>
      <c r="D772" s="31"/>
      <c r="E772" s="439">
        <f>SUM(E737:E771)</f>
        <v>144.6</v>
      </c>
      <c r="F772" s="320">
        <f>SUM(F737:F771)</f>
        <v>1.5</v>
      </c>
      <c r="G772" s="31"/>
      <c r="H772" s="31"/>
      <c r="I772" s="31"/>
      <c r="J772" s="439">
        <f>SUM(J737:J771)</f>
        <v>159.19999999999999</v>
      </c>
      <c r="K772" s="320">
        <f>SUM(K737:K771)</f>
        <v>25.25</v>
      </c>
      <c r="L772" s="31"/>
      <c r="M772" s="31"/>
      <c r="N772" s="31"/>
      <c r="O772" s="439">
        <f>SUM(O737:O771)</f>
        <v>149</v>
      </c>
      <c r="P772" s="320">
        <f>SUM(P737:P771)</f>
        <v>8.01</v>
      </c>
      <c r="Q772" s="31"/>
      <c r="R772" s="31"/>
      <c r="S772" s="31"/>
      <c r="T772" s="439">
        <f>SUM(T737:T771)</f>
        <v>139.69999999999999</v>
      </c>
      <c r="U772" s="320">
        <f>SUM(U737:U771)</f>
        <v>5.25</v>
      </c>
      <c r="V772" s="31"/>
      <c r="W772" s="31"/>
      <c r="X772" s="31"/>
      <c r="Y772" s="439">
        <f>SUM(Y737:Y771)</f>
        <v>145.19999999999999</v>
      </c>
      <c r="Z772" s="320">
        <f>SUM(Z737:Z771)</f>
        <v>1.5</v>
      </c>
      <c r="AA772" s="370">
        <f>SUM(AA737:AA771)</f>
        <v>737.7</v>
      </c>
      <c r="AB772" s="370">
        <f>SUM(AB737:AB771)</f>
        <v>40.510000000000005</v>
      </c>
      <c r="AC772" s="4"/>
      <c r="AD772" s="64"/>
      <c r="AE772" s="64"/>
      <c r="AF772" s="370">
        <f>SUM(AF737:AF771)</f>
        <v>24</v>
      </c>
      <c r="AG772" s="370">
        <f>SUM(AG737:AG771)</f>
        <v>24</v>
      </c>
    </row>
    <row r="773" spans="1:49" outlineLevel="1">
      <c r="A773" s="180"/>
      <c r="B773" s="63" t="s">
        <v>64</v>
      </c>
      <c r="C773" s="47"/>
      <c r="D773" s="47"/>
      <c r="E773" s="319">
        <v>8</v>
      </c>
      <c r="F773" s="291"/>
      <c r="G773" s="60"/>
      <c r="H773" s="47"/>
      <c r="I773" s="47"/>
      <c r="J773" s="319">
        <v>8</v>
      </c>
      <c r="K773" s="291">
        <v>0.25</v>
      </c>
      <c r="L773" s="60"/>
      <c r="M773" s="47"/>
      <c r="N773" s="47"/>
      <c r="O773" s="319">
        <v>8</v>
      </c>
      <c r="P773" s="19"/>
      <c r="Q773" s="60"/>
      <c r="R773" s="47"/>
      <c r="S773" s="47"/>
      <c r="T773" s="319">
        <v>8</v>
      </c>
      <c r="U773" s="19"/>
      <c r="V773" s="60"/>
      <c r="W773" s="47"/>
      <c r="X773" s="47"/>
      <c r="Y773" s="319">
        <v>8</v>
      </c>
      <c r="Z773" s="19"/>
      <c r="AA773" s="28">
        <f>SUM(E773+J773+O773+T773+Y773)</f>
        <v>40</v>
      </c>
      <c r="AB773" s="296">
        <f>Z773+U773+P773+K773+F773</f>
        <v>0.25</v>
      </c>
      <c r="AC773" s="4"/>
      <c r="AD773" s="47" t="s">
        <v>29</v>
      </c>
      <c r="AE773" s="47" t="s">
        <v>29</v>
      </c>
      <c r="AF773" s="319"/>
      <c r="AG773" s="29">
        <f>AF773</f>
        <v>0</v>
      </c>
    </row>
    <row r="774" spans="1:49" outlineLevel="1">
      <c r="A774" s="180"/>
      <c r="B774" s="71" t="s">
        <v>66</v>
      </c>
      <c r="C774" s="371"/>
      <c r="D774" s="371"/>
      <c r="E774" s="71"/>
      <c r="F774" s="71"/>
      <c r="G774" s="71"/>
      <c r="H774" s="71"/>
      <c r="I774" s="71"/>
      <c r="J774" s="71"/>
      <c r="K774" s="71"/>
      <c r="L774" s="71"/>
      <c r="M774" s="71"/>
      <c r="N774" s="71"/>
      <c r="O774" s="71"/>
      <c r="P774" s="71"/>
      <c r="Q774" s="71"/>
      <c r="R774" s="71"/>
      <c r="S774" s="71"/>
      <c r="T774" s="71"/>
      <c r="U774" s="71"/>
      <c r="V774" s="71"/>
      <c r="W774" s="71"/>
      <c r="X774" s="71"/>
      <c r="Y774" s="71"/>
      <c r="Z774" s="71"/>
      <c r="AA774" s="370">
        <f>SUM(AA773:AA773)</f>
        <v>40</v>
      </c>
      <c r="AB774" s="370">
        <f>SUM(AB773:AB773)</f>
        <v>0.25</v>
      </c>
      <c r="AC774" s="4"/>
      <c r="AG774" s="370">
        <f>SUM(AG773:AG773)</f>
        <v>0</v>
      </c>
    </row>
    <row r="775" spans="1:49" outlineLevel="1">
      <c r="A775" s="180"/>
      <c r="B775" s="217" t="s">
        <v>67</v>
      </c>
      <c r="C775" s="207">
        <f>C776+C777</f>
        <v>85</v>
      </c>
      <c r="D775" s="207"/>
      <c r="E775" s="209"/>
      <c r="F775" s="209"/>
      <c r="G775" s="207"/>
      <c r="H775" s="209"/>
      <c r="I775" s="209"/>
      <c r="J775" s="209"/>
      <c r="K775" s="209"/>
      <c r="L775" s="207"/>
      <c r="M775" s="207"/>
      <c r="N775" s="207"/>
      <c r="O775" s="207"/>
      <c r="P775" s="209"/>
      <c r="Q775" s="207"/>
      <c r="R775" s="207"/>
      <c r="S775" s="207"/>
      <c r="T775" s="207"/>
      <c r="U775" s="209"/>
      <c r="V775" s="207"/>
      <c r="W775" s="207"/>
      <c r="X775" s="207"/>
      <c r="Y775" s="210"/>
      <c r="Z775" s="209"/>
      <c r="AA775" s="211"/>
      <c r="AB775" s="209"/>
      <c r="AC775" s="211"/>
      <c r="AD775" s="211"/>
      <c r="AE775" s="211"/>
      <c r="AF775" s="211"/>
      <c r="AG775" s="211"/>
    </row>
    <row r="776" spans="1:49" outlineLevel="1">
      <c r="A776" s="180"/>
      <c r="B776" s="238" t="s">
        <v>68</v>
      </c>
      <c r="C776" s="239"/>
      <c r="D776" s="207"/>
      <c r="E776" s="209"/>
      <c r="F776" s="209"/>
      <c r="G776" s="207"/>
      <c r="H776" s="209"/>
      <c r="I776" s="209"/>
      <c r="J776" s="209"/>
      <c r="K776" s="209"/>
      <c r="L776" s="207"/>
      <c r="M776" s="207"/>
      <c r="N776" s="207"/>
      <c r="O776" s="207"/>
      <c r="P776" s="209"/>
      <c r="Q776" s="207"/>
      <c r="R776" s="207"/>
      <c r="S776" s="207"/>
      <c r="T776" s="207"/>
      <c r="U776" s="209"/>
      <c r="V776" s="207"/>
      <c r="W776" s="207"/>
      <c r="X776" s="207"/>
      <c r="Y776" s="210"/>
      <c r="Z776" s="209"/>
      <c r="AA776" s="211"/>
      <c r="AB776" s="209"/>
      <c r="AC776" s="211"/>
      <c r="AD776" s="211"/>
      <c r="AE776" s="211"/>
      <c r="AF776" s="211"/>
      <c r="AG776" s="211"/>
    </row>
    <row r="777" spans="1:49" outlineLevel="1">
      <c r="A777" s="180"/>
      <c r="B777" s="238" t="s">
        <v>69</v>
      </c>
      <c r="C777" s="239">
        <f>68*1.25</f>
        <v>85</v>
      </c>
      <c r="D777" s="207"/>
      <c r="E777" s="209"/>
      <c r="F777" s="209"/>
      <c r="G777" s="207"/>
      <c r="H777" s="209"/>
      <c r="I777" s="209"/>
      <c r="J777" s="209"/>
      <c r="K777" s="209"/>
      <c r="L777" s="207"/>
      <c r="M777" s="207"/>
      <c r="N777" s="207"/>
      <c r="O777" s="207"/>
      <c r="P777" s="209"/>
      <c r="Q777" s="207"/>
      <c r="R777" s="207"/>
      <c r="S777" s="207"/>
      <c r="T777" s="207"/>
      <c r="U777" s="209"/>
      <c r="V777" s="207"/>
      <c r="W777" s="207"/>
      <c r="X777" s="207"/>
      <c r="Y777" s="210"/>
      <c r="Z777" s="209"/>
      <c r="AA777" s="211"/>
      <c r="AB777" s="209"/>
      <c r="AC777" s="211"/>
      <c r="AD777" s="211"/>
      <c r="AE777" s="211"/>
      <c r="AF777" s="211"/>
      <c r="AG777" s="211"/>
    </row>
    <row r="778" spans="1:49" outlineLevel="1"/>
    <row r="779" spans="1:49" outlineLevel="1">
      <c r="A779" s="180"/>
      <c r="B779" s="229"/>
      <c r="C779" s="230"/>
      <c r="D779" s="230"/>
      <c r="E779" s="232"/>
      <c r="F779" s="232"/>
      <c r="G779" s="230"/>
      <c r="H779" s="232"/>
      <c r="I779" s="232"/>
      <c r="J779" s="232"/>
      <c r="K779" s="232"/>
      <c r="L779" s="230"/>
      <c r="M779" s="230"/>
      <c r="N779" s="230"/>
      <c r="O779" s="230"/>
      <c r="P779" s="232"/>
      <c r="Q779" s="230"/>
      <c r="R779" s="230"/>
      <c r="S779" s="230"/>
      <c r="T779" s="230"/>
      <c r="U779" s="232"/>
      <c r="V779" s="230"/>
      <c r="W779" s="230"/>
      <c r="X779" s="230"/>
      <c r="Y779" s="233"/>
      <c r="Z779" s="232"/>
      <c r="AA779" s="234"/>
      <c r="AB779" s="232"/>
      <c r="AC779" s="373"/>
      <c r="AD779" s="236"/>
      <c r="AE779" s="255"/>
      <c r="AF779" s="255"/>
      <c r="AG779" s="255"/>
      <c r="AH779" s="255"/>
      <c r="AJ779" s="255"/>
      <c r="AK779" s="255"/>
      <c r="AL779" s="255"/>
      <c r="AM779" s="255"/>
      <c r="AN779" s="255"/>
      <c r="AO779" s="255"/>
      <c r="AP779" s="255"/>
      <c r="AQ779" s="255"/>
      <c r="AR779" s="255"/>
      <c r="AS779" s="255"/>
      <c r="AT779" s="255"/>
      <c r="AU779" s="255"/>
      <c r="AV779" s="255"/>
      <c r="AW779" s="255"/>
    </row>
    <row r="780" spans="1:49" outlineLevel="1">
      <c r="B780" s="180"/>
      <c r="E780" s="4"/>
      <c r="F780" s="4"/>
      <c r="G780" s="4"/>
      <c r="J780" s="4"/>
      <c r="K780" s="4"/>
      <c r="L780" s="4"/>
      <c r="O780" s="4"/>
      <c r="P780" s="4"/>
      <c r="T780" s="4"/>
      <c r="U780" s="4"/>
      <c r="Y780" s="4"/>
      <c r="Z780" s="4"/>
      <c r="AA780" s="4"/>
      <c r="AB780" s="4"/>
      <c r="AC780" s="4"/>
      <c r="AK780" s="180"/>
      <c r="AL780" s="180"/>
      <c r="AM780" s="180"/>
      <c r="AN780" s="180"/>
      <c r="AO780" s="180"/>
      <c r="AP780" s="180"/>
    </row>
    <row r="781" spans="1:49" outlineLevel="1">
      <c r="A781" s="228"/>
      <c r="B781" s="1518" t="s">
        <v>18</v>
      </c>
      <c r="C781" s="1519">
        <v>45488</v>
      </c>
      <c r="D781" s="1519"/>
      <c r="E781" s="1519"/>
      <c r="F781" s="1519"/>
      <c r="G781" s="365"/>
      <c r="H781" s="1519">
        <v>45489</v>
      </c>
      <c r="I781" s="1519"/>
      <c r="J781" s="1519"/>
      <c r="K781" s="1519"/>
      <c r="L781" s="365">
        <v>45343</v>
      </c>
      <c r="M781" s="1519">
        <v>45490</v>
      </c>
      <c r="N781" s="1519"/>
      <c r="O781" s="1519"/>
      <c r="P781" s="1519"/>
      <c r="Q781" s="365"/>
      <c r="R781" s="1519">
        <v>45491</v>
      </c>
      <c r="S781" s="1519"/>
      <c r="T781" s="1519"/>
      <c r="U781" s="1519"/>
      <c r="V781" s="365"/>
      <c r="W781" s="1519">
        <v>45492</v>
      </c>
      <c r="X781" s="1519"/>
      <c r="Y781" s="1519"/>
      <c r="Z781" s="1519"/>
      <c r="AA781" s="1517" t="s">
        <v>19</v>
      </c>
      <c r="AB781" s="1517" t="s">
        <v>20</v>
      </c>
      <c r="AC781" s="4"/>
      <c r="AD781" s="1519">
        <v>45493</v>
      </c>
      <c r="AE781" s="1519"/>
      <c r="AF781" s="1519"/>
      <c r="AG781" s="1517" t="s">
        <v>21</v>
      </c>
      <c r="AI781" s="368"/>
      <c r="AK781" s="194" t="s">
        <v>84</v>
      </c>
      <c r="AL781" s="366"/>
      <c r="AM781" s="366"/>
      <c r="AN781" s="366"/>
      <c r="AO781" s="366"/>
      <c r="AP781" s="366"/>
    </row>
    <row r="782" spans="1:49" outlineLevel="1">
      <c r="A782" s="180"/>
      <c r="B782" s="1518"/>
      <c r="C782" s="21" t="s">
        <v>23</v>
      </c>
      <c r="D782" s="21" t="s">
        <v>24</v>
      </c>
      <c r="E782" s="205" t="s">
        <v>25</v>
      </c>
      <c r="F782" s="18" t="s">
        <v>14</v>
      </c>
      <c r="G782" s="4"/>
      <c r="H782" s="21" t="s">
        <v>23</v>
      </c>
      <c r="I782" s="21" t="s">
        <v>24</v>
      </c>
      <c r="J782" s="18" t="s">
        <v>25</v>
      </c>
      <c r="K782" s="18" t="s">
        <v>14</v>
      </c>
      <c r="L782" s="4"/>
      <c r="M782" s="21" t="s">
        <v>23</v>
      </c>
      <c r="N782" s="21" t="s">
        <v>24</v>
      </c>
      <c r="O782" s="18" t="s">
        <v>25</v>
      </c>
      <c r="P782" s="18" t="s">
        <v>14</v>
      </c>
      <c r="R782" s="21" t="s">
        <v>23</v>
      </c>
      <c r="S782" s="21" t="s">
        <v>24</v>
      </c>
      <c r="T782" s="18" t="s">
        <v>25</v>
      </c>
      <c r="U782" s="18" t="s">
        <v>14</v>
      </c>
      <c r="W782" s="21" t="s">
        <v>23</v>
      </c>
      <c r="X782" s="21" t="s">
        <v>24</v>
      </c>
      <c r="Y782" s="18" t="s">
        <v>25</v>
      </c>
      <c r="Z782" s="18" t="s">
        <v>14</v>
      </c>
      <c r="AA782" s="1517"/>
      <c r="AB782" s="1517"/>
      <c r="AC782" s="4"/>
      <c r="AD782" s="21" t="s">
        <v>23</v>
      </c>
      <c r="AE782" s="21" t="s">
        <v>24</v>
      </c>
      <c r="AF782" s="18" t="s">
        <v>25</v>
      </c>
      <c r="AG782" s="1517"/>
      <c r="AI782" s="368"/>
      <c r="AJ782" s="367"/>
      <c r="AK782" s="494" t="s">
        <v>26</v>
      </c>
      <c r="AL782" s="471">
        <f>AA818</f>
        <v>749.90000000000009</v>
      </c>
      <c r="AM782" s="510">
        <v>38</v>
      </c>
      <c r="AN782" s="510">
        <f>AL782*AM782</f>
        <v>28496.200000000004</v>
      </c>
      <c r="AQ782" s="367"/>
      <c r="AR782" s="367"/>
      <c r="AS782" s="367"/>
      <c r="AT782" s="367"/>
      <c r="AU782" s="367"/>
      <c r="AV782" s="367"/>
      <c r="AW782" s="367"/>
    </row>
    <row r="783" spans="1:49" ht="13.5" customHeight="1" outlineLevel="1">
      <c r="A783" s="180"/>
      <c r="B783" s="166" t="s">
        <v>506</v>
      </c>
      <c r="C783" s="565">
        <v>0.33333333333333331</v>
      </c>
      <c r="D783" s="565">
        <v>0.20833333333333334</v>
      </c>
      <c r="E783" s="319">
        <v>8</v>
      </c>
      <c r="F783" s="320"/>
      <c r="G783" s="4"/>
      <c r="H783" s="565">
        <v>0.33333333333333331</v>
      </c>
      <c r="I783" s="565">
        <v>0.20833333333333334</v>
      </c>
      <c r="J783" s="319">
        <v>8</v>
      </c>
      <c r="K783" s="320"/>
      <c r="L783" s="4"/>
      <c r="M783" s="565">
        <v>0.33333333333333331</v>
      </c>
      <c r="N783" s="565">
        <v>0.20833333333333334</v>
      </c>
      <c r="O783" s="319">
        <v>8</v>
      </c>
      <c r="P783" s="320"/>
      <c r="R783" s="565">
        <v>0.375</v>
      </c>
      <c r="S783" s="565">
        <v>0.20833333333333334</v>
      </c>
      <c r="T783" s="319">
        <v>7</v>
      </c>
      <c r="U783" s="320"/>
      <c r="W783" s="565">
        <v>0.375</v>
      </c>
      <c r="X783" s="565">
        <v>0.20833333333333334</v>
      </c>
      <c r="Y783" s="319">
        <v>7</v>
      </c>
      <c r="Z783" s="320"/>
      <c r="AA783" s="328">
        <f t="shared" ref="AA783:AA817" si="132">(E783+J783+O783+T783+Y783)</f>
        <v>38</v>
      </c>
      <c r="AB783" s="298">
        <f t="shared" ref="AB783:AB817" si="133">Z783+U783+P783+K783+F783</f>
        <v>0</v>
      </c>
      <c r="AC783" s="4"/>
      <c r="AD783" s="587"/>
      <c r="AE783" s="531"/>
      <c r="AF783" s="319"/>
      <c r="AG783" s="328">
        <f>AF783</f>
        <v>0</v>
      </c>
      <c r="AI783" s="368"/>
      <c r="AJ783" s="367"/>
      <c r="AK783" s="494" t="s">
        <v>30</v>
      </c>
      <c r="AL783" s="471">
        <f>AB818</f>
        <v>48.230000000000004</v>
      </c>
      <c r="AM783" s="511">
        <v>57</v>
      </c>
      <c r="AN783" s="510">
        <f>AL783*AM783</f>
        <v>2749.11</v>
      </c>
      <c r="AQ783" s="367"/>
      <c r="AR783" s="367"/>
      <c r="AS783" s="367"/>
      <c r="AT783" s="367"/>
      <c r="AU783" s="367"/>
      <c r="AV783" s="367"/>
      <c r="AW783" s="367"/>
    </row>
    <row r="784" spans="1:49" ht="13.5" customHeight="1" outlineLevel="1">
      <c r="A784" s="367"/>
      <c r="B784" s="166" t="s">
        <v>507</v>
      </c>
      <c r="C784" s="566" t="s">
        <v>154</v>
      </c>
      <c r="D784" s="565"/>
      <c r="E784" s="521">
        <v>0</v>
      </c>
      <c r="F784" s="320"/>
      <c r="G784" s="4"/>
      <c r="H784" s="566"/>
      <c r="I784" s="565"/>
      <c r="J784" s="319"/>
      <c r="K784" s="320"/>
      <c r="L784" s="4"/>
      <c r="M784" s="566"/>
      <c r="N784" s="565"/>
      <c r="O784" s="319"/>
      <c r="P784" s="320"/>
      <c r="R784" s="566"/>
      <c r="S784" s="565"/>
      <c r="T784" s="319"/>
      <c r="U784" s="320"/>
      <c r="W784" s="566"/>
      <c r="X784" s="565"/>
      <c r="Y784" s="319"/>
      <c r="Z784" s="320"/>
      <c r="AA784" s="328">
        <f>(E785+J784+O784+T784+Y784)</f>
        <v>0</v>
      </c>
      <c r="AB784" s="298">
        <f t="shared" si="133"/>
        <v>0</v>
      </c>
      <c r="AC784" s="4"/>
      <c r="AF784" s="319"/>
      <c r="AG784" s="328">
        <f>AF784</f>
        <v>0</v>
      </c>
      <c r="AH784" s="175"/>
      <c r="AI784" s="402"/>
      <c r="AJ784" s="367"/>
      <c r="AK784" s="494" t="s">
        <v>32</v>
      </c>
      <c r="AL784" s="471">
        <f>AG818</f>
        <v>0</v>
      </c>
      <c r="AM784" s="510">
        <v>57</v>
      </c>
      <c r="AN784" s="510">
        <f>AL784*AM784</f>
        <v>0</v>
      </c>
      <c r="AQ784" s="367"/>
      <c r="AR784" s="367"/>
      <c r="AS784" s="367"/>
      <c r="AT784" s="367"/>
      <c r="AU784" s="367"/>
      <c r="AV784" s="367"/>
      <c r="AW784" s="367"/>
    </row>
    <row r="785" spans="1:49" ht="13.5" customHeight="1" outlineLevel="1">
      <c r="A785" s="367"/>
      <c r="B785" s="586" t="s">
        <v>508</v>
      </c>
      <c r="C785" s="566" t="s">
        <v>154</v>
      </c>
      <c r="D785" s="565"/>
      <c r="E785" s="521">
        <v>0</v>
      </c>
      <c r="F785" s="320"/>
      <c r="G785" s="4"/>
      <c r="H785" s="566"/>
      <c r="I785" s="565"/>
      <c r="J785" s="319"/>
      <c r="K785" s="320"/>
      <c r="L785" s="4"/>
      <c r="M785" s="566"/>
      <c r="N785" s="565"/>
      <c r="O785" s="319"/>
      <c r="P785" s="320"/>
      <c r="R785" s="566"/>
      <c r="S785" s="565"/>
      <c r="T785" s="319"/>
      <c r="U785" s="320"/>
      <c r="W785" s="566"/>
      <c r="X785" s="565"/>
      <c r="Y785" s="319"/>
      <c r="Z785" s="320"/>
      <c r="AA785" s="328">
        <f>(E786+J785+O785+T785+Y785)</f>
        <v>0</v>
      </c>
      <c r="AB785" s="298">
        <f t="shared" si="133"/>
        <v>0</v>
      </c>
      <c r="AC785" s="4"/>
      <c r="AD785" s="531"/>
      <c r="AE785" s="531"/>
      <c r="AF785" s="319"/>
      <c r="AG785" s="328">
        <f>AF785</f>
        <v>0</v>
      </c>
      <c r="AH785" s="175"/>
      <c r="AI785" s="402"/>
      <c r="AJ785" s="367"/>
      <c r="AK785" s="494"/>
      <c r="AL785" s="471"/>
      <c r="AM785" s="510"/>
      <c r="AN785" s="510"/>
      <c r="AQ785" s="367"/>
      <c r="AR785" s="367"/>
      <c r="AS785" s="367"/>
      <c r="AT785" s="367"/>
      <c r="AU785" s="367"/>
      <c r="AV785" s="367"/>
      <c r="AW785" s="367"/>
    </row>
    <row r="786" spans="1:49" ht="13.5" customHeight="1" outlineLevel="1">
      <c r="A786" s="367"/>
      <c r="B786" s="166" t="s">
        <v>509</v>
      </c>
      <c r="C786" s="565">
        <v>0</v>
      </c>
      <c r="D786" s="565"/>
      <c r="E786" s="521">
        <v>0</v>
      </c>
      <c r="F786" s="320"/>
      <c r="G786" s="4"/>
      <c r="H786" s="565"/>
      <c r="I786" s="565"/>
      <c r="J786" s="319"/>
      <c r="K786" s="320"/>
      <c r="L786" s="4"/>
      <c r="M786" s="565"/>
      <c r="N786" s="565"/>
      <c r="O786" s="319"/>
      <c r="P786" s="320"/>
      <c r="R786" s="565">
        <v>0.375</v>
      </c>
      <c r="S786" s="565">
        <v>0.41666666666666669</v>
      </c>
      <c r="T786" s="319">
        <v>1</v>
      </c>
      <c r="U786" s="320"/>
      <c r="W786" s="565">
        <v>0.4375</v>
      </c>
      <c r="X786" s="565">
        <v>0.25</v>
      </c>
      <c r="Y786" s="319">
        <v>7.5</v>
      </c>
      <c r="Z786" s="320"/>
      <c r="AA786" s="328">
        <f t="shared" si="132"/>
        <v>8.5</v>
      </c>
      <c r="AB786" s="298">
        <f t="shared" si="133"/>
        <v>0</v>
      </c>
      <c r="AC786" s="399"/>
      <c r="AD786" s="47"/>
      <c r="AE786" s="47"/>
      <c r="AF786" s="319"/>
      <c r="AG786" s="29">
        <f t="shared" ref="AG786:AG817" si="134">AF786</f>
        <v>0</v>
      </c>
      <c r="AH786" s="175"/>
      <c r="AJ786" s="401"/>
      <c r="AK786" s="494" t="s">
        <v>213</v>
      </c>
      <c r="AL786" s="471">
        <f>AA821</f>
        <v>39.65</v>
      </c>
      <c r="AM786" s="510">
        <v>50</v>
      </c>
      <c r="AN786" s="510">
        <f>AL786*AM786</f>
        <v>1982.5</v>
      </c>
      <c r="AO786" s="405"/>
      <c r="AP786" s="405"/>
      <c r="AQ786" s="401"/>
      <c r="AR786" s="401"/>
      <c r="AS786" s="401"/>
      <c r="AT786" s="401"/>
      <c r="AU786" s="401"/>
      <c r="AV786" s="401"/>
      <c r="AW786" s="401"/>
    </row>
    <row r="787" spans="1:49" ht="13.5" customHeight="1" outlineLevel="1">
      <c r="A787" s="367"/>
      <c r="B787" s="166" t="s">
        <v>510</v>
      </c>
      <c r="C787" s="565">
        <v>0.375</v>
      </c>
      <c r="D787" s="565">
        <v>0.25</v>
      </c>
      <c r="E787" s="600">
        <v>8</v>
      </c>
      <c r="F787" s="320"/>
      <c r="G787" s="4"/>
      <c r="H787" s="565"/>
      <c r="I787" s="565"/>
      <c r="J787" s="319"/>
      <c r="K787" s="320"/>
      <c r="L787" s="4"/>
      <c r="M787" s="565"/>
      <c r="N787" s="565"/>
      <c r="O787" s="319"/>
      <c r="P787" s="320"/>
      <c r="R787" s="565">
        <v>0.375</v>
      </c>
      <c r="S787" s="565">
        <v>0.25</v>
      </c>
      <c r="T787" s="319">
        <v>8</v>
      </c>
      <c r="U787" s="320"/>
      <c r="W787" s="565">
        <v>0.39583333333333331</v>
      </c>
      <c r="X787" s="565">
        <v>0.25</v>
      </c>
      <c r="Y787" s="319">
        <v>7.5</v>
      </c>
      <c r="Z787" s="320"/>
      <c r="AA787" s="328">
        <f t="shared" si="132"/>
        <v>23.5</v>
      </c>
      <c r="AB787" s="298">
        <f t="shared" si="133"/>
        <v>0</v>
      </c>
      <c r="AC787" s="399"/>
      <c r="AD787" s="47"/>
      <c r="AE787" s="47"/>
      <c r="AF787" s="319"/>
      <c r="AG787" s="29">
        <f t="shared" si="134"/>
        <v>0</v>
      </c>
      <c r="AH787" s="175"/>
      <c r="AJ787" s="401"/>
      <c r="AK787" s="494" t="s">
        <v>36</v>
      </c>
      <c r="AL787" s="471">
        <f>AB821</f>
        <v>7</v>
      </c>
      <c r="AM787" s="510">
        <v>75</v>
      </c>
      <c r="AN787" s="510">
        <f>AL787*AM787</f>
        <v>525</v>
      </c>
      <c r="AO787" s="405"/>
      <c r="AP787" s="405"/>
      <c r="AQ787" s="401"/>
      <c r="AR787" s="401"/>
      <c r="AS787" s="401"/>
      <c r="AT787" s="401"/>
      <c r="AU787" s="401"/>
      <c r="AV787" s="401"/>
      <c r="AW787" s="401"/>
    </row>
    <row r="788" spans="1:49" ht="13.5" customHeight="1" outlineLevel="1">
      <c r="A788" s="367"/>
      <c r="B788" s="166" t="s">
        <v>511</v>
      </c>
      <c r="C788" s="565">
        <v>0</v>
      </c>
      <c r="D788" s="565"/>
      <c r="E788" s="521">
        <v>0</v>
      </c>
      <c r="F788" s="320"/>
      <c r="G788" s="4"/>
      <c r="H788" s="565"/>
      <c r="I788" s="565"/>
      <c r="J788" s="319"/>
      <c r="K788" s="320"/>
      <c r="L788" s="4"/>
      <c r="M788" s="565"/>
      <c r="N788" s="565"/>
      <c r="O788" s="319"/>
      <c r="P788" s="320"/>
      <c r="R788" s="565"/>
      <c r="S788" s="565"/>
      <c r="T788" s="319"/>
      <c r="U788" s="320"/>
      <c r="W788" s="565"/>
      <c r="X788" s="565"/>
      <c r="Y788" s="319"/>
      <c r="Z788" s="320"/>
      <c r="AA788" s="328">
        <f t="shared" si="132"/>
        <v>0</v>
      </c>
      <c r="AB788" s="298">
        <f t="shared" si="133"/>
        <v>0</v>
      </c>
      <c r="AC788" s="175"/>
      <c r="AD788" s="47"/>
      <c r="AE788" s="47"/>
      <c r="AF788" s="319"/>
      <c r="AG788" s="344">
        <f t="shared" si="134"/>
        <v>0</v>
      </c>
      <c r="AH788" s="175"/>
      <c r="AI788" s="368"/>
      <c r="AK788" s="494" t="s">
        <v>38</v>
      </c>
      <c r="AL788" s="471">
        <f>AG821</f>
        <v>0</v>
      </c>
      <c r="AM788" s="510">
        <v>75</v>
      </c>
      <c r="AN788" s="510">
        <f>AL788*AM788</f>
        <v>0</v>
      </c>
    </row>
    <row r="789" spans="1:49" ht="13.5" customHeight="1" outlineLevel="1" thickBot="1">
      <c r="A789" s="401"/>
      <c r="B789" s="586" t="s">
        <v>512</v>
      </c>
      <c r="C789" s="565">
        <v>0</v>
      </c>
      <c r="D789" s="565"/>
      <c r="E789" s="521">
        <v>0</v>
      </c>
      <c r="F789" s="320"/>
      <c r="G789" s="4"/>
      <c r="H789" s="565"/>
      <c r="I789" s="565"/>
      <c r="J789" s="319"/>
      <c r="K789" s="320"/>
      <c r="L789" s="4"/>
      <c r="M789" s="565"/>
      <c r="N789" s="565"/>
      <c r="O789" s="319"/>
      <c r="P789" s="320"/>
      <c r="R789" s="565"/>
      <c r="S789" s="565"/>
      <c r="T789" s="319"/>
      <c r="U789" s="320"/>
      <c r="W789" s="565"/>
      <c r="X789" s="565"/>
      <c r="Y789" s="319"/>
      <c r="Z789" s="320"/>
      <c r="AA789" s="328">
        <f t="shared" si="132"/>
        <v>0</v>
      </c>
      <c r="AB789" s="298">
        <f t="shared" si="133"/>
        <v>0</v>
      </c>
      <c r="AC789" s="4"/>
      <c r="AD789" s="47"/>
      <c r="AE789" s="47"/>
      <c r="AF789" s="319"/>
      <c r="AG789" s="29">
        <f t="shared" si="134"/>
        <v>0</v>
      </c>
      <c r="AJ789" s="367"/>
      <c r="AK789" s="494" t="s">
        <v>41</v>
      </c>
      <c r="AL789" s="471">
        <f>C822</f>
        <v>69</v>
      </c>
      <c r="AM789" s="512">
        <v>45</v>
      </c>
      <c r="AN789" s="512">
        <f>AL789*AM789</f>
        <v>3105</v>
      </c>
      <c r="AQ789" s="367"/>
      <c r="AR789" s="367"/>
      <c r="AS789" s="367"/>
      <c r="AT789" s="367"/>
      <c r="AU789" s="367"/>
      <c r="AV789" s="367"/>
      <c r="AW789" s="367"/>
    </row>
    <row r="790" spans="1:49" ht="13.5" customHeight="1" outlineLevel="1" thickTop="1">
      <c r="A790" s="367"/>
      <c r="B790" s="586" t="s">
        <v>513</v>
      </c>
      <c r="C790" s="565">
        <v>0</v>
      </c>
      <c r="D790" s="565"/>
      <c r="E790" s="521">
        <v>0</v>
      </c>
      <c r="F790" s="320"/>
      <c r="G790" s="4"/>
      <c r="H790" s="565"/>
      <c r="I790" s="565"/>
      <c r="J790" s="319"/>
      <c r="K790" s="320"/>
      <c r="L790" s="4"/>
      <c r="M790" s="565"/>
      <c r="N790" s="565"/>
      <c r="O790" s="319"/>
      <c r="P790" s="320"/>
      <c r="R790" s="565"/>
      <c r="S790" s="565"/>
      <c r="T790" s="319"/>
      <c r="U790" s="320"/>
      <c r="W790" s="565"/>
      <c r="X790" s="565"/>
      <c r="Y790" s="319"/>
      <c r="Z790" s="320"/>
      <c r="AA790" s="328">
        <f t="shared" si="132"/>
        <v>0</v>
      </c>
      <c r="AB790" s="298">
        <f t="shared" si="133"/>
        <v>0</v>
      </c>
      <c r="AC790" s="4"/>
      <c r="AD790" s="47"/>
      <c r="AE790" s="47"/>
      <c r="AF790" s="319"/>
      <c r="AG790" s="29">
        <f t="shared" si="134"/>
        <v>0</v>
      </c>
      <c r="AN790" s="510">
        <f>SUM(AN782:AN789)</f>
        <v>36857.810000000005</v>
      </c>
    </row>
    <row r="791" spans="1:49" ht="13.5" customHeight="1" outlineLevel="1">
      <c r="A791" s="180"/>
      <c r="B791" s="523" t="s">
        <v>514</v>
      </c>
      <c r="C791" s="47">
        <v>0</v>
      </c>
      <c r="D791" s="47"/>
      <c r="E791" s="319">
        <v>0</v>
      </c>
      <c r="F791" s="320"/>
      <c r="G791" s="4"/>
      <c r="H791" s="47">
        <v>0</v>
      </c>
      <c r="I791" s="47"/>
      <c r="J791" s="319">
        <v>0</v>
      </c>
      <c r="K791" s="320"/>
      <c r="L791" s="4"/>
      <c r="M791" s="47">
        <v>0.39583333333333331</v>
      </c>
      <c r="N791" s="47">
        <v>0.16666666666666666</v>
      </c>
      <c r="O791" s="319">
        <v>6.5</v>
      </c>
      <c r="P791" s="320"/>
      <c r="R791" s="47">
        <v>0.375</v>
      </c>
      <c r="S791" s="47">
        <v>0.125</v>
      </c>
      <c r="T791" s="319">
        <v>6</v>
      </c>
      <c r="U791" s="320"/>
      <c r="W791" s="47">
        <v>0</v>
      </c>
      <c r="X791" s="47">
        <v>0</v>
      </c>
      <c r="Y791" s="319">
        <v>0</v>
      </c>
      <c r="Z791" s="320">
        <v>0</v>
      </c>
      <c r="AA791" s="328">
        <f t="shared" si="132"/>
        <v>12.5</v>
      </c>
      <c r="AB791" s="298">
        <f t="shared" si="133"/>
        <v>0</v>
      </c>
      <c r="AC791" s="4"/>
      <c r="AD791" s="47"/>
      <c r="AE791" s="47"/>
      <c r="AF791" s="319"/>
      <c r="AG791" s="29">
        <f t="shared" si="134"/>
        <v>0</v>
      </c>
    </row>
    <row r="792" spans="1:49" ht="13.5" customHeight="1" outlineLevel="1">
      <c r="A792" s="180"/>
      <c r="B792" s="180" t="s">
        <v>515</v>
      </c>
      <c r="C792" s="47">
        <v>0</v>
      </c>
      <c r="D792" s="47"/>
      <c r="E792" s="319">
        <v>0</v>
      </c>
      <c r="F792" s="320"/>
      <c r="G792" s="4"/>
      <c r="H792" s="47">
        <v>0.375</v>
      </c>
      <c r="I792" s="47">
        <v>0.25</v>
      </c>
      <c r="J792" s="319">
        <v>8</v>
      </c>
      <c r="K792" s="320"/>
      <c r="L792" s="4"/>
      <c r="M792" s="47">
        <v>0.375</v>
      </c>
      <c r="N792" s="47">
        <v>0.25</v>
      </c>
      <c r="O792" s="319">
        <v>8</v>
      </c>
      <c r="P792" s="320"/>
      <c r="R792" s="47">
        <v>0.375</v>
      </c>
      <c r="S792" s="47">
        <v>0.25</v>
      </c>
      <c r="T792" s="319">
        <v>8</v>
      </c>
      <c r="U792" s="320"/>
      <c r="W792" s="47">
        <v>0.375</v>
      </c>
      <c r="X792" s="47">
        <v>0.5</v>
      </c>
      <c r="Y792" s="319">
        <v>4</v>
      </c>
      <c r="Z792" s="320"/>
      <c r="AA792" s="328">
        <f t="shared" si="132"/>
        <v>28</v>
      </c>
      <c r="AB792" s="298">
        <f t="shared" si="133"/>
        <v>0</v>
      </c>
      <c r="AC792" s="4"/>
      <c r="AD792" s="47"/>
      <c r="AE792" s="47"/>
      <c r="AF792" s="319"/>
      <c r="AG792" s="29">
        <f t="shared" si="134"/>
        <v>0</v>
      </c>
    </row>
    <row r="793" spans="1:49" ht="13.5" customHeight="1" outlineLevel="1">
      <c r="A793" s="180"/>
      <c r="B793" s="180" t="s">
        <v>516</v>
      </c>
      <c r="C793" s="47">
        <v>0</v>
      </c>
      <c r="D793" s="47"/>
      <c r="E793" s="319">
        <v>0</v>
      </c>
      <c r="F793" s="320"/>
      <c r="G793" s="4"/>
      <c r="H793" s="47">
        <v>0.3125</v>
      </c>
      <c r="I793" s="47">
        <v>0.25</v>
      </c>
      <c r="J793" s="319">
        <v>8</v>
      </c>
      <c r="K793" s="320">
        <v>2.5</v>
      </c>
      <c r="L793" s="4"/>
      <c r="M793" s="47">
        <v>0.375</v>
      </c>
      <c r="N793" s="47">
        <v>0.29166666666666669</v>
      </c>
      <c r="O793" s="319">
        <v>8</v>
      </c>
      <c r="P793" s="320">
        <v>2</v>
      </c>
      <c r="R793" s="47">
        <v>0.375</v>
      </c>
      <c r="S793" s="47">
        <v>0.29166666666666669</v>
      </c>
      <c r="T793" s="319">
        <v>8</v>
      </c>
      <c r="U793" s="320">
        <v>2</v>
      </c>
      <c r="W793" s="47">
        <v>0.33333333333333331</v>
      </c>
      <c r="X793" s="47">
        <v>0.25</v>
      </c>
      <c r="Y793" s="319">
        <v>8</v>
      </c>
      <c r="Z793" s="320">
        <v>1</v>
      </c>
      <c r="AA793" s="328">
        <f t="shared" si="132"/>
        <v>32</v>
      </c>
      <c r="AB793" s="298">
        <f>Z793+U793+P793+K793+F793</f>
        <v>7.5</v>
      </c>
      <c r="AC793" s="4"/>
      <c r="AD793" s="47"/>
      <c r="AE793" s="47"/>
      <c r="AF793" s="319"/>
      <c r="AG793" s="29">
        <f t="shared" si="134"/>
        <v>0</v>
      </c>
    </row>
    <row r="794" spans="1:49" ht="13.5" customHeight="1" outlineLevel="1">
      <c r="A794" s="180"/>
      <c r="B794" s="180" t="s">
        <v>517</v>
      </c>
      <c r="C794" s="47">
        <v>0.375</v>
      </c>
      <c r="D794" s="47">
        <v>0.25</v>
      </c>
      <c r="E794" s="319">
        <v>8</v>
      </c>
      <c r="F794" s="320"/>
      <c r="G794" s="4"/>
      <c r="H794" s="47">
        <v>0.375</v>
      </c>
      <c r="I794" s="47">
        <v>0.25</v>
      </c>
      <c r="J794" s="319">
        <v>8</v>
      </c>
      <c r="K794" s="320"/>
      <c r="L794" s="4"/>
      <c r="M794" s="47">
        <v>0.375</v>
      </c>
      <c r="N794" s="47">
        <v>0.25</v>
      </c>
      <c r="O794" s="319">
        <v>8</v>
      </c>
      <c r="P794" s="320"/>
      <c r="R794" s="47">
        <v>0.375</v>
      </c>
      <c r="S794" s="47">
        <v>0.41666666666666669</v>
      </c>
      <c r="T794" s="319">
        <v>1</v>
      </c>
      <c r="U794" s="320"/>
      <c r="W794" s="47">
        <v>0.33333333333333331</v>
      </c>
      <c r="X794" s="47">
        <v>0.25</v>
      </c>
      <c r="Y794" s="319">
        <v>8</v>
      </c>
      <c r="Z794" s="320">
        <v>1</v>
      </c>
      <c r="AA794" s="328">
        <f t="shared" si="132"/>
        <v>33</v>
      </c>
      <c r="AB794" s="298">
        <f t="shared" si="133"/>
        <v>1</v>
      </c>
      <c r="AC794" s="4"/>
      <c r="AD794" s="47"/>
      <c r="AE794" s="47"/>
      <c r="AF794" s="319"/>
      <c r="AG794" s="29">
        <f t="shared" si="134"/>
        <v>0</v>
      </c>
    </row>
    <row r="795" spans="1:49" ht="13.5" customHeight="1" outlineLevel="1">
      <c r="A795" s="180"/>
      <c r="B795" s="523" t="s">
        <v>518</v>
      </c>
      <c r="C795" s="47">
        <v>0</v>
      </c>
      <c r="D795" s="47"/>
      <c r="E795" s="319">
        <v>0</v>
      </c>
      <c r="F795" s="320"/>
      <c r="G795" s="4"/>
      <c r="H795" s="47">
        <v>0.3125</v>
      </c>
      <c r="I795" s="47">
        <v>0.25</v>
      </c>
      <c r="J795" s="319">
        <v>8</v>
      </c>
      <c r="K795" s="320">
        <v>1.5</v>
      </c>
      <c r="L795" s="4"/>
      <c r="M795" s="47">
        <v>0.375</v>
      </c>
      <c r="N795" s="47">
        <v>0.25</v>
      </c>
      <c r="O795" s="319">
        <v>8</v>
      </c>
      <c r="P795" s="320">
        <v>1</v>
      </c>
      <c r="R795" s="47">
        <v>0.41666666666666669</v>
      </c>
      <c r="S795" s="47">
        <v>0.25</v>
      </c>
      <c r="T795" s="319">
        <v>8</v>
      </c>
      <c r="U795" s="320"/>
      <c r="W795" s="47">
        <v>0.375</v>
      </c>
      <c r="X795" s="47">
        <v>0.5</v>
      </c>
      <c r="Y795" s="319">
        <v>4</v>
      </c>
      <c r="Z795" s="320"/>
      <c r="AA795" s="328">
        <f t="shared" si="132"/>
        <v>28</v>
      </c>
      <c r="AB795" s="298">
        <f t="shared" si="133"/>
        <v>2.5</v>
      </c>
      <c r="AC795" s="4"/>
      <c r="AD795" s="47"/>
      <c r="AE795" s="47"/>
      <c r="AF795" s="319"/>
      <c r="AG795" s="29">
        <f t="shared" si="134"/>
        <v>0</v>
      </c>
    </row>
    <row r="796" spans="1:49" ht="13.5" customHeight="1" outlineLevel="1">
      <c r="A796" s="180"/>
      <c r="B796" s="523" t="s">
        <v>519</v>
      </c>
      <c r="C796" s="47">
        <v>0</v>
      </c>
      <c r="D796" s="47"/>
      <c r="E796" s="319">
        <v>0</v>
      </c>
      <c r="F796" s="320"/>
      <c r="G796" s="4"/>
      <c r="H796" s="47">
        <v>0.375</v>
      </c>
      <c r="I796" s="47">
        <v>0.25</v>
      </c>
      <c r="J796" s="319">
        <v>8</v>
      </c>
      <c r="K796" s="320"/>
      <c r="L796" s="4"/>
      <c r="M796" s="47">
        <v>0</v>
      </c>
      <c r="N796" s="47">
        <v>0</v>
      </c>
      <c r="O796" s="319">
        <v>0</v>
      </c>
      <c r="P796" s="320"/>
      <c r="R796" s="47">
        <v>0.375</v>
      </c>
      <c r="S796" s="47">
        <v>0.25</v>
      </c>
      <c r="T796" s="319">
        <v>8</v>
      </c>
      <c r="U796" s="320"/>
      <c r="W796" s="47">
        <v>0.375</v>
      </c>
      <c r="X796" s="47">
        <v>0.5</v>
      </c>
      <c r="Y796" s="319">
        <v>4</v>
      </c>
      <c r="Z796" s="320"/>
      <c r="AA796" s="328">
        <f t="shared" si="132"/>
        <v>20</v>
      </c>
      <c r="AB796" s="298">
        <f t="shared" si="133"/>
        <v>0</v>
      </c>
      <c r="AC796" s="4"/>
      <c r="AD796" s="47"/>
      <c r="AE796" s="47"/>
      <c r="AF796" s="319"/>
      <c r="AG796" s="29">
        <f t="shared" si="134"/>
        <v>0</v>
      </c>
    </row>
    <row r="797" spans="1:49" ht="13.5" customHeight="1" outlineLevel="1">
      <c r="A797" s="180"/>
      <c r="B797" s="180" t="s">
        <v>520</v>
      </c>
      <c r="C797" s="47">
        <v>0.375</v>
      </c>
      <c r="D797" s="47">
        <v>0.25</v>
      </c>
      <c r="E797" s="319">
        <v>8</v>
      </c>
      <c r="F797" s="320"/>
      <c r="G797" s="4"/>
      <c r="H797" s="47">
        <v>0.3125</v>
      </c>
      <c r="I797" s="47">
        <v>0.25</v>
      </c>
      <c r="J797" s="319">
        <v>8</v>
      </c>
      <c r="K797" s="320">
        <v>1.5</v>
      </c>
      <c r="L797" s="4"/>
      <c r="M797" s="47"/>
      <c r="N797" s="47"/>
      <c r="O797" s="319">
        <v>0</v>
      </c>
      <c r="P797" s="320"/>
      <c r="R797" s="47"/>
      <c r="S797" s="47"/>
      <c r="T797" s="319">
        <v>0</v>
      </c>
      <c r="U797" s="320"/>
      <c r="W797" s="47">
        <v>0</v>
      </c>
      <c r="X797" s="47">
        <v>0</v>
      </c>
      <c r="Y797" s="319">
        <v>0</v>
      </c>
      <c r="Z797" s="320"/>
      <c r="AA797" s="328">
        <f t="shared" si="132"/>
        <v>16</v>
      </c>
      <c r="AB797" s="298">
        <f t="shared" si="133"/>
        <v>1.5</v>
      </c>
      <c r="AC797" s="4"/>
      <c r="AD797" s="47"/>
      <c r="AE797" s="47"/>
      <c r="AF797" s="319"/>
      <c r="AG797" s="29">
        <f t="shared" si="134"/>
        <v>0</v>
      </c>
    </row>
    <row r="798" spans="1:49" ht="13.5" customHeight="1" outlineLevel="1">
      <c r="A798" s="180"/>
      <c r="B798" s="180" t="s">
        <v>521</v>
      </c>
      <c r="C798" s="47">
        <v>0</v>
      </c>
      <c r="D798" s="47">
        <v>0</v>
      </c>
      <c r="E798" s="319">
        <v>0</v>
      </c>
      <c r="F798" s="320"/>
      <c r="G798" s="4"/>
      <c r="H798" s="47">
        <v>0</v>
      </c>
      <c r="I798" s="47">
        <v>0</v>
      </c>
      <c r="J798" s="319">
        <v>0</v>
      </c>
      <c r="K798" s="320"/>
      <c r="L798" s="4"/>
      <c r="M798" s="47">
        <v>0</v>
      </c>
      <c r="N798" s="47">
        <v>0</v>
      </c>
      <c r="O798" s="319"/>
      <c r="P798" s="320"/>
      <c r="R798" s="47">
        <v>0.375</v>
      </c>
      <c r="S798" s="47">
        <v>0.25</v>
      </c>
      <c r="T798" s="319">
        <v>8</v>
      </c>
      <c r="U798" s="320"/>
      <c r="W798" s="47">
        <v>0.375</v>
      </c>
      <c r="X798" s="47">
        <v>0.25</v>
      </c>
      <c r="Y798" s="319">
        <v>8</v>
      </c>
      <c r="Z798" s="320"/>
      <c r="AA798" s="328">
        <f t="shared" si="132"/>
        <v>16</v>
      </c>
      <c r="AB798" s="298">
        <f t="shared" si="133"/>
        <v>0</v>
      </c>
      <c r="AC798" s="4"/>
      <c r="AD798" s="47"/>
      <c r="AE798" s="47"/>
      <c r="AF798" s="319"/>
      <c r="AG798" s="29">
        <f t="shared" si="134"/>
        <v>0</v>
      </c>
    </row>
    <row r="799" spans="1:49" ht="13.5" customHeight="1" outlineLevel="1">
      <c r="A799" s="180"/>
      <c r="B799" s="585" t="s">
        <v>522</v>
      </c>
      <c r="C799" s="47">
        <v>0</v>
      </c>
      <c r="D799" s="565"/>
      <c r="E799" s="319">
        <v>0</v>
      </c>
      <c r="F799" s="320"/>
      <c r="G799" s="4"/>
      <c r="H799" s="47">
        <v>0</v>
      </c>
      <c r="I799" s="565">
        <v>0</v>
      </c>
      <c r="J799" s="319">
        <v>0</v>
      </c>
      <c r="K799" s="320"/>
      <c r="L799" s="4"/>
      <c r="M799" s="47">
        <v>0.375</v>
      </c>
      <c r="N799" s="565">
        <v>0.25</v>
      </c>
      <c r="O799" s="319">
        <v>8</v>
      </c>
      <c r="P799" s="320"/>
      <c r="R799" s="47">
        <v>0</v>
      </c>
      <c r="S799" s="565">
        <v>0</v>
      </c>
      <c r="T799" s="319">
        <v>0</v>
      </c>
      <c r="U799" s="320"/>
      <c r="W799" s="47">
        <v>0.39583333333333331</v>
      </c>
      <c r="X799" s="565">
        <v>0.25</v>
      </c>
      <c r="Y799" s="319">
        <v>7.5</v>
      </c>
      <c r="Z799" s="320"/>
      <c r="AA799" s="328">
        <f t="shared" si="132"/>
        <v>15.5</v>
      </c>
      <c r="AB799" s="298">
        <f t="shared" si="133"/>
        <v>0</v>
      </c>
      <c r="AC799" s="4"/>
      <c r="AD799" s="47"/>
      <c r="AE799" s="47"/>
      <c r="AF799" s="319"/>
      <c r="AG799" s="29">
        <f t="shared" si="134"/>
        <v>0</v>
      </c>
    </row>
    <row r="800" spans="1:49" ht="13.5" customHeight="1" outlineLevel="1">
      <c r="A800" s="180"/>
      <c r="B800" s="437" t="s">
        <v>523</v>
      </c>
      <c r="C800" s="47">
        <v>0.25</v>
      </c>
      <c r="D800" s="565">
        <v>0.25</v>
      </c>
      <c r="E800" s="319">
        <v>8</v>
      </c>
      <c r="F800" s="320">
        <v>3</v>
      </c>
      <c r="G800" s="4"/>
      <c r="H800" s="47">
        <v>0.375</v>
      </c>
      <c r="I800" s="565">
        <v>0.25</v>
      </c>
      <c r="J800" s="319">
        <v>8</v>
      </c>
      <c r="K800" s="320"/>
      <c r="L800" s="4"/>
      <c r="M800" s="47">
        <v>0.375</v>
      </c>
      <c r="N800" s="565">
        <v>0.25</v>
      </c>
      <c r="O800" s="319">
        <v>8</v>
      </c>
      <c r="P800" s="320"/>
      <c r="R800" s="47">
        <v>0.375</v>
      </c>
      <c r="S800" s="565">
        <v>0.25</v>
      </c>
      <c r="T800" s="319">
        <v>8</v>
      </c>
      <c r="U800" s="320"/>
      <c r="W800" s="47">
        <v>0.375</v>
      </c>
      <c r="X800" s="565">
        <v>0.25</v>
      </c>
      <c r="Y800" s="319">
        <v>8</v>
      </c>
      <c r="Z800" s="320"/>
      <c r="AA800" s="328">
        <f t="shared" si="132"/>
        <v>40</v>
      </c>
      <c r="AB800" s="298">
        <f t="shared" si="133"/>
        <v>3</v>
      </c>
      <c r="AC800" s="4"/>
      <c r="AD800" s="47"/>
      <c r="AE800" s="47"/>
      <c r="AF800" s="319"/>
      <c r="AG800" s="29">
        <f t="shared" si="134"/>
        <v>0</v>
      </c>
    </row>
    <row r="801" spans="1:37" ht="13.5" customHeight="1" outlineLevel="1">
      <c r="A801" s="180"/>
      <c r="B801" s="437" t="s">
        <v>524</v>
      </c>
      <c r="C801" s="47">
        <v>0</v>
      </c>
      <c r="D801" s="565">
        <v>0</v>
      </c>
      <c r="E801" s="319">
        <v>0</v>
      </c>
      <c r="F801" s="320"/>
      <c r="G801" s="4"/>
      <c r="H801" s="47">
        <v>0</v>
      </c>
      <c r="I801" s="565">
        <v>0</v>
      </c>
      <c r="J801" s="319">
        <v>0</v>
      </c>
      <c r="K801" s="320"/>
      <c r="L801" s="4"/>
      <c r="M801" s="47">
        <v>0</v>
      </c>
      <c r="N801" s="565"/>
      <c r="O801" s="319">
        <v>0</v>
      </c>
      <c r="P801" s="320"/>
      <c r="R801" s="47">
        <v>0</v>
      </c>
      <c r="S801" s="565">
        <v>0</v>
      </c>
      <c r="T801" s="319">
        <v>0</v>
      </c>
      <c r="U801" s="320"/>
      <c r="W801" s="180">
        <v>0</v>
      </c>
      <c r="X801" s="565">
        <v>0</v>
      </c>
      <c r="Y801" s="319">
        <v>0</v>
      </c>
      <c r="Z801" s="320"/>
      <c r="AA801" s="328">
        <f t="shared" si="132"/>
        <v>0</v>
      </c>
      <c r="AB801" s="298">
        <f t="shared" si="133"/>
        <v>0</v>
      </c>
      <c r="AC801" s="4"/>
      <c r="AD801" s="47"/>
      <c r="AE801" s="47"/>
      <c r="AF801" s="319"/>
      <c r="AG801" s="29">
        <f t="shared" si="134"/>
        <v>0</v>
      </c>
    </row>
    <row r="802" spans="1:37" ht="13.5" customHeight="1" outlineLevel="1">
      <c r="A802" s="180"/>
      <c r="B802" s="437" t="s">
        <v>525</v>
      </c>
      <c r="C802" s="47">
        <v>0.29166666666666669</v>
      </c>
      <c r="D802" s="565">
        <v>0.25</v>
      </c>
      <c r="E802" s="319">
        <v>8</v>
      </c>
      <c r="F802" s="320">
        <v>2</v>
      </c>
      <c r="G802" s="4"/>
      <c r="H802" s="47">
        <v>0.375</v>
      </c>
      <c r="I802" s="565">
        <v>0.25</v>
      </c>
      <c r="J802" s="319">
        <v>8</v>
      </c>
      <c r="K802" s="320"/>
      <c r="L802" s="4"/>
      <c r="M802" s="47">
        <v>0.375</v>
      </c>
      <c r="N802" s="565">
        <v>0.25</v>
      </c>
      <c r="O802" s="319">
        <v>8</v>
      </c>
      <c r="P802" s="320"/>
      <c r="R802" s="47">
        <v>0.375</v>
      </c>
      <c r="S802" s="565">
        <v>0.25</v>
      </c>
      <c r="T802" s="319">
        <v>8</v>
      </c>
      <c r="U802" s="320"/>
      <c r="W802" s="47">
        <v>0.375</v>
      </c>
      <c r="X802" s="565">
        <v>0.25</v>
      </c>
      <c r="Y802" s="319">
        <v>8</v>
      </c>
      <c r="Z802" s="320"/>
      <c r="AA802" s="328">
        <f t="shared" si="132"/>
        <v>40</v>
      </c>
      <c r="AB802" s="298">
        <f t="shared" si="133"/>
        <v>2</v>
      </c>
      <c r="AC802" s="4"/>
      <c r="AD802" s="47"/>
      <c r="AE802" s="47"/>
      <c r="AF802" s="319"/>
      <c r="AG802" s="29">
        <f t="shared" si="134"/>
        <v>0</v>
      </c>
    </row>
    <row r="803" spans="1:37" ht="13.5" customHeight="1" outlineLevel="1">
      <c r="A803" s="180"/>
      <c r="B803" s="267" t="s">
        <v>505</v>
      </c>
      <c r="C803" s="47">
        <v>0.27083333333333331</v>
      </c>
      <c r="D803" s="565">
        <v>0.22916666666666666</v>
      </c>
      <c r="E803" s="319">
        <v>8</v>
      </c>
      <c r="F803" s="320">
        <v>2</v>
      </c>
      <c r="G803" s="4"/>
      <c r="H803" s="47">
        <v>0.375</v>
      </c>
      <c r="I803" s="565">
        <v>0.25</v>
      </c>
      <c r="J803" s="319">
        <v>8</v>
      </c>
      <c r="K803" s="320"/>
      <c r="L803" s="4"/>
      <c r="M803" s="47">
        <v>0.375</v>
      </c>
      <c r="N803" s="565">
        <v>0.25</v>
      </c>
      <c r="O803" s="319">
        <v>8</v>
      </c>
      <c r="P803" s="320"/>
      <c r="R803" s="47">
        <v>0.375</v>
      </c>
      <c r="S803" s="565">
        <v>0.25</v>
      </c>
      <c r="T803" s="319">
        <v>8</v>
      </c>
      <c r="U803" s="320"/>
      <c r="W803" s="47">
        <v>0.375</v>
      </c>
      <c r="X803" s="565">
        <v>0.25</v>
      </c>
      <c r="Y803" s="319">
        <v>8</v>
      </c>
      <c r="Z803" s="320"/>
      <c r="AA803" s="328">
        <f t="shared" si="132"/>
        <v>40</v>
      </c>
      <c r="AB803" s="298">
        <f t="shared" si="133"/>
        <v>2</v>
      </c>
      <c r="AC803" s="4"/>
      <c r="AD803" s="47"/>
      <c r="AE803" s="47"/>
      <c r="AF803" s="319"/>
      <c r="AG803" s="29">
        <f t="shared" si="134"/>
        <v>0</v>
      </c>
    </row>
    <row r="804" spans="1:37" ht="13.5" customHeight="1" outlineLevel="1">
      <c r="A804" s="180"/>
      <c r="B804" s="437" t="s">
        <v>526</v>
      </c>
      <c r="C804" s="47">
        <v>0.25</v>
      </c>
      <c r="D804" s="565">
        <v>0.25</v>
      </c>
      <c r="E804" s="319">
        <v>8</v>
      </c>
      <c r="F804" s="320">
        <v>3</v>
      </c>
      <c r="G804" s="4"/>
      <c r="H804" s="47">
        <v>0.35416666666666669</v>
      </c>
      <c r="I804" s="565">
        <v>0.25</v>
      </c>
      <c r="J804" s="319">
        <v>8</v>
      </c>
      <c r="K804" s="320">
        <v>0.5</v>
      </c>
      <c r="L804" s="4"/>
      <c r="M804" s="47">
        <v>0.375</v>
      </c>
      <c r="N804" s="565">
        <v>0.25</v>
      </c>
      <c r="O804" s="319">
        <v>8</v>
      </c>
      <c r="P804" s="320"/>
      <c r="R804" s="47">
        <v>0.375</v>
      </c>
      <c r="S804" s="565">
        <v>0.25</v>
      </c>
      <c r="T804" s="319">
        <v>8</v>
      </c>
      <c r="U804" s="320"/>
      <c r="W804" s="47">
        <v>0.375</v>
      </c>
      <c r="X804" s="565">
        <v>0.25</v>
      </c>
      <c r="Y804" s="319">
        <v>8</v>
      </c>
      <c r="Z804" s="320"/>
      <c r="AA804" s="328">
        <f t="shared" si="132"/>
        <v>40</v>
      </c>
      <c r="AB804" s="298">
        <f t="shared" si="133"/>
        <v>3.5</v>
      </c>
      <c r="AC804" s="4"/>
      <c r="AD804" s="47"/>
      <c r="AE804" s="47"/>
      <c r="AF804" s="319"/>
      <c r="AG804" s="29">
        <f t="shared" si="134"/>
        <v>0</v>
      </c>
    </row>
    <row r="805" spans="1:37" outlineLevel="1">
      <c r="A805" s="180"/>
      <c r="B805" s="502" t="s">
        <v>483</v>
      </c>
      <c r="C805" s="47"/>
      <c r="D805" s="47"/>
      <c r="E805" s="319">
        <v>8</v>
      </c>
      <c r="F805" s="320">
        <v>0.75</v>
      </c>
      <c r="G805" s="4"/>
      <c r="H805" s="47"/>
      <c r="I805" s="47"/>
      <c r="J805" s="319">
        <v>8</v>
      </c>
      <c r="K805" s="320">
        <v>2</v>
      </c>
      <c r="L805" s="4"/>
      <c r="M805" s="47"/>
      <c r="N805" s="47"/>
      <c r="O805" s="319">
        <v>8</v>
      </c>
      <c r="P805" s="320">
        <v>1.33</v>
      </c>
      <c r="R805" s="47"/>
      <c r="S805" s="47"/>
      <c r="T805" s="319">
        <v>8</v>
      </c>
      <c r="U805" s="320">
        <v>2.5</v>
      </c>
      <c r="W805" s="47"/>
      <c r="X805" s="47"/>
      <c r="Y805" s="319">
        <v>8</v>
      </c>
      <c r="Z805" s="320">
        <v>1.83</v>
      </c>
      <c r="AA805" s="328">
        <f t="shared" si="132"/>
        <v>40</v>
      </c>
      <c r="AB805" s="298">
        <f t="shared" si="133"/>
        <v>8.41</v>
      </c>
      <c r="AC805" s="4"/>
      <c r="AD805" s="47"/>
      <c r="AE805" s="47"/>
      <c r="AF805" s="319"/>
      <c r="AG805" s="29">
        <f t="shared" si="134"/>
        <v>0</v>
      </c>
    </row>
    <row r="806" spans="1:37" outlineLevel="1">
      <c r="A806" s="180"/>
      <c r="B806" s="502" t="s">
        <v>484</v>
      </c>
      <c r="C806" s="47"/>
      <c r="D806" s="47"/>
      <c r="E806" s="319">
        <v>8</v>
      </c>
      <c r="F806" s="320">
        <v>0.75</v>
      </c>
      <c r="G806" s="4"/>
      <c r="H806" s="47"/>
      <c r="I806" s="47"/>
      <c r="J806" s="319">
        <v>8</v>
      </c>
      <c r="K806" s="320">
        <v>2</v>
      </c>
      <c r="L806" s="4"/>
      <c r="M806" s="47"/>
      <c r="N806" s="47"/>
      <c r="O806" s="319">
        <v>8</v>
      </c>
      <c r="P806" s="320">
        <v>1.33</v>
      </c>
      <c r="R806" s="47"/>
      <c r="S806" s="47"/>
      <c r="T806" s="319">
        <v>8</v>
      </c>
      <c r="U806" s="320">
        <v>2.5</v>
      </c>
      <c r="W806" s="47"/>
      <c r="X806" s="47"/>
      <c r="Y806" s="319">
        <v>8</v>
      </c>
      <c r="Z806" s="320">
        <v>1.83</v>
      </c>
      <c r="AA806" s="328">
        <f t="shared" si="132"/>
        <v>40</v>
      </c>
      <c r="AB806" s="298">
        <f t="shared" si="133"/>
        <v>8.41</v>
      </c>
      <c r="AC806" s="4"/>
      <c r="AD806" s="47"/>
      <c r="AE806" s="47"/>
      <c r="AF806" s="319"/>
      <c r="AG806" s="29">
        <f t="shared" si="134"/>
        <v>0</v>
      </c>
    </row>
    <row r="807" spans="1:37" outlineLevel="1">
      <c r="A807" s="180"/>
      <c r="B807" s="502" t="s">
        <v>485</v>
      </c>
      <c r="C807" s="47"/>
      <c r="D807" s="47"/>
      <c r="E807" s="319">
        <v>8</v>
      </c>
      <c r="F807" s="320">
        <v>0.75</v>
      </c>
      <c r="G807" s="4"/>
      <c r="H807" s="47"/>
      <c r="I807" s="47"/>
      <c r="J807" s="319">
        <v>8</v>
      </c>
      <c r="K807" s="320">
        <v>2</v>
      </c>
      <c r="L807" s="4"/>
      <c r="M807" s="47"/>
      <c r="N807" s="47"/>
      <c r="O807" s="319">
        <v>8</v>
      </c>
      <c r="P807" s="320">
        <v>1.33</v>
      </c>
      <c r="R807" s="47"/>
      <c r="S807" s="47"/>
      <c r="T807" s="319">
        <v>8</v>
      </c>
      <c r="U807" s="320">
        <v>2.5</v>
      </c>
      <c r="W807" s="47"/>
      <c r="X807" s="47"/>
      <c r="Y807" s="319">
        <v>8</v>
      </c>
      <c r="Z807" s="320">
        <v>1.83</v>
      </c>
      <c r="AA807" s="328">
        <f t="shared" si="132"/>
        <v>40</v>
      </c>
      <c r="AB807" s="298">
        <f t="shared" si="133"/>
        <v>8.41</v>
      </c>
      <c r="AC807" s="4"/>
      <c r="AD807" s="47"/>
      <c r="AE807" s="47"/>
      <c r="AF807" s="319"/>
      <c r="AG807" s="29">
        <f t="shared" si="134"/>
        <v>0</v>
      </c>
    </row>
    <row r="808" spans="1:37" outlineLevel="1">
      <c r="A808" s="180"/>
      <c r="B808" s="502" t="s">
        <v>486</v>
      </c>
      <c r="C808" s="47"/>
      <c r="D808" s="47"/>
      <c r="E808" s="319"/>
      <c r="F808" s="320"/>
      <c r="G808" s="4"/>
      <c r="H808" s="47"/>
      <c r="I808" s="47"/>
      <c r="J808" s="319"/>
      <c r="K808" s="320"/>
      <c r="L808" s="4"/>
      <c r="M808" s="47"/>
      <c r="N808" s="47"/>
      <c r="O808" s="319"/>
      <c r="P808" s="320"/>
      <c r="R808" s="47"/>
      <c r="S808" s="47"/>
      <c r="T808" s="319"/>
      <c r="U808" s="320"/>
      <c r="W808" s="47"/>
      <c r="X808" s="47"/>
      <c r="Y808" s="319"/>
      <c r="Z808" s="320"/>
      <c r="AA808" s="328">
        <f t="shared" si="132"/>
        <v>0</v>
      </c>
      <c r="AB808" s="298">
        <f t="shared" si="133"/>
        <v>0</v>
      </c>
      <c r="AC808" s="4"/>
      <c r="AD808" s="47"/>
      <c r="AE808" s="47"/>
      <c r="AF808" s="319"/>
      <c r="AG808" s="29">
        <f t="shared" si="134"/>
        <v>0</v>
      </c>
    </row>
    <row r="809" spans="1:37" outlineLevel="1">
      <c r="A809" s="180"/>
      <c r="B809" s="63" t="s">
        <v>63</v>
      </c>
      <c r="C809" s="47"/>
      <c r="D809" s="47"/>
      <c r="E809" s="319"/>
      <c r="F809" s="320"/>
      <c r="G809" s="4"/>
      <c r="H809" s="47"/>
      <c r="I809" s="47"/>
      <c r="J809" s="319"/>
      <c r="K809" s="320"/>
      <c r="L809" s="4"/>
      <c r="M809" s="47"/>
      <c r="N809" s="47"/>
      <c r="O809" s="319"/>
      <c r="P809" s="320"/>
      <c r="R809" s="47"/>
      <c r="S809" s="47"/>
      <c r="T809" s="319"/>
      <c r="U809" s="320"/>
      <c r="W809" s="47"/>
      <c r="X809" s="47"/>
      <c r="Y809" s="319"/>
      <c r="Z809" s="320"/>
      <c r="AA809" s="328">
        <f t="shared" si="132"/>
        <v>0</v>
      </c>
      <c r="AB809" s="298">
        <f t="shared" si="133"/>
        <v>0</v>
      </c>
      <c r="AC809" s="4"/>
      <c r="AD809" s="47"/>
      <c r="AE809" s="47"/>
      <c r="AF809" s="319"/>
      <c r="AG809" s="29">
        <f t="shared" si="134"/>
        <v>0</v>
      </c>
    </row>
    <row r="810" spans="1:37" outlineLevel="1">
      <c r="A810" s="180"/>
      <c r="B810" s="63" t="s">
        <v>487</v>
      </c>
      <c r="C810" s="47"/>
      <c r="D810" s="47"/>
      <c r="E810" s="319"/>
      <c r="F810" s="320"/>
      <c r="G810" s="438"/>
      <c r="H810" s="47"/>
      <c r="I810" s="47"/>
      <c r="J810" s="319"/>
      <c r="K810" s="320"/>
      <c r="L810" s="438"/>
      <c r="M810" s="47"/>
      <c r="N810" s="47"/>
      <c r="O810" s="319"/>
      <c r="P810" s="320"/>
      <c r="Q810" s="438"/>
      <c r="R810" s="47"/>
      <c r="S810" s="47"/>
      <c r="T810" s="319"/>
      <c r="U810" s="320"/>
      <c r="V810" s="438"/>
      <c r="W810" s="47"/>
      <c r="X810" s="47"/>
      <c r="Y810" s="319"/>
      <c r="Z810" s="320"/>
      <c r="AA810" s="328">
        <f t="shared" si="132"/>
        <v>0</v>
      </c>
      <c r="AB810" s="298">
        <f t="shared" si="133"/>
        <v>0</v>
      </c>
      <c r="AC810" s="4"/>
      <c r="AD810" s="47"/>
      <c r="AE810" s="47"/>
      <c r="AF810" s="319"/>
      <c r="AG810" s="29">
        <f t="shared" si="134"/>
        <v>0</v>
      </c>
      <c r="AK810" s="407"/>
    </row>
    <row r="811" spans="1:37" outlineLevel="1">
      <c r="A811" s="180"/>
      <c r="B811" s="267" t="s">
        <v>358</v>
      </c>
      <c r="C811" s="47"/>
      <c r="D811" s="47"/>
      <c r="E811" s="319">
        <v>8</v>
      </c>
      <c r="F811" s="320"/>
      <c r="G811" s="438"/>
      <c r="H811" s="47"/>
      <c r="I811" s="47"/>
      <c r="J811" s="319">
        <v>8</v>
      </c>
      <c r="K811" s="320"/>
      <c r="L811" s="438"/>
      <c r="M811" s="47"/>
      <c r="N811" s="47"/>
      <c r="O811" s="319">
        <v>8</v>
      </c>
      <c r="P811" s="320"/>
      <c r="Q811" s="438"/>
      <c r="R811" s="47"/>
      <c r="S811" s="47"/>
      <c r="T811" s="319">
        <v>8</v>
      </c>
      <c r="U811" s="320"/>
      <c r="V811" s="438"/>
      <c r="W811" s="47"/>
      <c r="X811" s="47"/>
      <c r="Y811" s="319">
        <v>8</v>
      </c>
      <c r="Z811" s="320"/>
      <c r="AA811" s="328">
        <f t="shared" si="132"/>
        <v>40</v>
      </c>
      <c r="AB811" s="298">
        <f t="shared" si="133"/>
        <v>0</v>
      </c>
      <c r="AC811" s="4"/>
      <c r="AD811" s="47"/>
      <c r="AE811" s="47"/>
      <c r="AF811" s="319"/>
      <c r="AG811" s="29">
        <f t="shared" si="134"/>
        <v>0</v>
      </c>
      <c r="AK811" s="407"/>
    </row>
    <row r="812" spans="1:37" outlineLevel="1">
      <c r="A812" s="180"/>
      <c r="B812" s="267" t="s">
        <v>359</v>
      </c>
      <c r="C812" s="47"/>
      <c r="D812" s="47"/>
      <c r="E812" s="319"/>
      <c r="F812" s="320"/>
      <c r="G812" s="438"/>
      <c r="H812" s="47"/>
      <c r="I812" s="47"/>
      <c r="J812" s="319"/>
      <c r="K812" s="320"/>
      <c r="L812" s="438"/>
      <c r="M812" s="47"/>
      <c r="N812" s="47"/>
      <c r="O812" s="319"/>
      <c r="P812" s="320"/>
      <c r="Q812" s="438"/>
      <c r="R812" s="47"/>
      <c r="S812" s="47"/>
      <c r="T812" s="319"/>
      <c r="U812" s="320"/>
      <c r="V812" s="438"/>
      <c r="W812" s="47"/>
      <c r="X812" s="47"/>
      <c r="Y812" s="319"/>
      <c r="Z812" s="320"/>
      <c r="AA812" s="328">
        <f t="shared" si="132"/>
        <v>0</v>
      </c>
      <c r="AB812" s="298">
        <f t="shared" si="133"/>
        <v>0</v>
      </c>
      <c r="AC812" s="4"/>
      <c r="AD812" s="47"/>
      <c r="AE812" s="47"/>
      <c r="AF812" s="319"/>
      <c r="AG812" s="29">
        <f t="shared" si="134"/>
        <v>0</v>
      </c>
      <c r="AK812" s="407"/>
    </row>
    <row r="813" spans="1:37" outlineLevel="1">
      <c r="A813" s="180"/>
      <c r="B813" s="267" t="s">
        <v>411</v>
      </c>
      <c r="C813" s="47"/>
      <c r="D813" s="47"/>
      <c r="E813" s="319"/>
      <c r="F813" s="320"/>
      <c r="G813" s="438"/>
      <c r="H813" s="47"/>
      <c r="I813" s="47"/>
      <c r="J813" s="319"/>
      <c r="K813" s="320"/>
      <c r="L813" s="438"/>
      <c r="M813" s="47"/>
      <c r="N813" s="47"/>
      <c r="O813" s="319"/>
      <c r="P813" s="320"/>
      <c r="Q813" s="438"/>
      <c r="R813" s="47"/>
      <c r="S813" s="47"/>
      <c r="T813" s="319"/>
      <c r="U813" s="320"/>
      <c r="V813" s="438"/>
      <c r="W813" s="47"/>
      <c r="X813" s="47"/>
      <c r="Y813" s="319"/>
      <c r="Z813" s="320"/>
      <c r="AA813" s="328">
        <f t="shared" si="132"/>
        <v>0</v>
      </c>
      <c r="AB813" s="298">
        <f t="shared" si="133"/>
        <v>0</v>
      </c>
      <c r="AC813" s="4"/>
      <c r="AD813" s="47"/>
      <c r="AE813" s="47"/>
      <c r="AF813" s="319"/>
      <c r="AG813" s="29">
        <f t="shared" si="134"/>
        <v>0</v>
      </c>
      <c r="AK813" s="407"/>
    </row>
    <row r="814" spans="1:37" outlineLevel="1">
      <c r="A814" s="180"/>
      <c r="B814" s="267" t="s">
        <v>361</v>
      </c>
      <c r="C814" s="47"/>
      <c r="D814" s="47"/>
      <c r="E814" s="319"/>
      <c r="F814" s="320"/>
      <c r="G814" s="438"/>
      <c r="H814" s="47"/>
      <c r="I814" s="47"/>
      <c r="J814" s="319"/>
      <c r="K814" s="320"/>
      <c r="L814" s="438"/>
      <c r="M814" s="47"/>
      <c r="N814" s="47"/>
      <c r="O814" s="319"/>
      <c r="P814" s="320"/>
      <c r="Q814" s="438"/>
      <c r="R814" s="47"/>
      <c r="S814" s="47"/>
      <c r="T814" s="319"/>
      <c r="U814" s="320"/>
      <c r="V814" s="438"/>
      <c r="W814" s="47"/>
      <c r="X814" s="47"/>
      <c r="Y814" s="319"/>
      <c r="Z814" s="320"/>
      <c r="AA814" s="328">
        <f t="shared" si="132"/>
        <v>0</v>
      </c>
      <c r="AB814" s="298">
        <f t="shared" si="133"/>
        <v>0</v>
      </c>
      <c r="AC814" s="4"/>
      <c r="AD814" s="47"/>
      <c r="AE814" s="47"/>
      <c r="AF814" s="319"/>
      <c r="AG814" s="29">
        <f t="shared" si="134"/>
        <v>0</v>
      </c>
      <c r="AK814" s="407"/>
    </row>
    <row r="815" spans="1:37" outlineLevel="1">
      <c r="A815" s="180"/>
      <c r="B815" s="267" t="s">
        <v>362</v>
      </c>
      <c r="C815" s="47"/>
      <c r="D815" s="47"/>
      <c r="E815" s="319">
        <v>4</v>
      </c>
      <c r="F815" s="320"/>
      <c r="G815" s="438"/>
      <c r="H815" s="47"/>
      <c r="I815" s="47"/>
      <c r="J815" s="319">
        <v>4</v>
      </c>
      <c r="K815" s="320"/>
      <c r="L815" s="438"/>
      <c r="M815" s="47"/>
      <c r="N815" s="47"/>
      <c r="O815" s="319">
        <v>4</v>
      </c>
      <c r="P815" s="320"/>
      <c r="Q815" s="438"/>
      <c r="R815" s="47"/>
      <c r="S815" s="47"/>
      <c r="T815" s="319">
        <v>4</v>
      </c>
      <c r="U815" s="320"/>
      <c r="V815" s="438"/>
      <c r="W815" s="47"/>
      <c r="X815" s="47"/>
      <c r="Y815" s="319">
        <v>4</v>
      </c>
      <c r="Z815" s="320"/>
      <c r="AA815" s="328">
        <f t="shared" si="132"/>
        <v>20</v>
      </c>
      <c r="AB815" s="298">
        <f t="shared" si="133"/>
        <v>0</v>
      </c>
      <c r="AC815" s="4"/>
      <c r="AD815" s="47"/>
      <c r="AE815" s="47"/>
      <c r="AF815" s="319"/>
      <c r="AG815" s="29">
        <f t="shared" si="134"/>
        <v>0</v>
      </c>
      <c r="AK815" s="407"/>
    </row>
    <row r="816" spans="1:37" outlineLevel="1">
      <c r="A816" s="180"/>
      <c r="B816" s="437" t="s">
        <v>355</v>
      </c>
      <c r="C816" s="47"/>
      <c r="D816" s="47"/>
      <c r="E816" s="319">
        <v>7.7</v>
      </c>
      <c r="F816" s="320"/>
      <c r="G816" s="438"/>
      <c r="H816" s="47"/>
      <c r="I816" s="47"/>
      <c r="J816" s="319">
        <v>7.7</v>
      </c>
      <c r="K816" s="320"/>
      <c r="L816" s="438"/>
      <c r="M816" s="47"/>
      <c r="N816" s="47"/>
      <c r="O816" s="319">
        <v>31.4</v>
      </c>
      <c r="P816" s="320"/>
      <c r="Q816" s="438"/>
      <c r="R816" s="47"/>
      <c r="S816" s="47"/>
      <c r="T816" s="319">
        <v>7.7</v>
      </c>
      <c r="U816" s="320"/>
      <c r="V816" s="438"/>
      <c r="W816" s="47"/>
      <c r="X816" s="47"/>
      <c r="Y816" s="319">
        <v>7.7</v>
      </c>
      <c r="Z816" s="320"/>
      <c r="AA816" s="328">
        <f t="shared" si="132"/>
        <v>62.2</v>
      </c>
      <c r="AB816" s="298">
        <f t="shared" si="133"/>
        <v>0</v>
      </c>
      <c r="AC816" s="4"/>
      <c r="AD816" s="47"/>
      <c r="AE816" s="47"/>
      <c r="AF816" s="319"/>
      <c r="AG816" s="29">
        <f t="shared" si="134"/>
        <v>0</v>
      </c>
      <c r="AK816" s="407"/>
    </row>
    <row r="817" spans="1:49" outlineLevel="1">
      <c r="A817" s="180"/>
      <c r="B817" s="437" t="s">
        <v>356</v>
      </c>
      <c r="C817" s="47"/>
      <c r="D817" s="47"/>
      <c r="E817" s="319"/>
      <c r="F817" s="320"/>
      <c r="G817" s="438"/>
      <c r="H817" s="47"/>
      <c r="I817" s="47"/>
      <c r="J817" s="319">
        <v>44.9</v>
      </c>
      <c r="K817" s="320"/>
      <c r="L817" s="438"/>
      <c r="M817" s="47"/>
      <c r="N817" s="47"/>
      <c r="O817" s="319">
        <v>12.8</v>
      </c>
      <c r="P817" s="320"/>
      <c r="Q817" s="438"/>
      <c r="R817" s="47"/>
      <c r="S817" s="47"/>
      <c r="T817" s="319">
        <v>7.1</v>
      </c>
      <c r="U817" s="320"/>
      <c r="V817" s="438"/>
      <c r="W817" s="47"/>
      <c r="X817" s="47"/>
      <c r="Y817" s="319">
        <v>11.9</v>
      </c>
      <c r="Z817" s="320"/>
      <c r="AA817" s="328">
        <f t="shared" si="132"/>
        <v>76.7</v>
      </c>
      <c r="AB817" s="298">
        <f t="shared" si="133"/>
        <v>0</v>
      </c>
      <c r="AC817" s="4"/>
      <c r="AD817" s="47"/>
      <c r="AE817" s="47"/>
      <c r="AF817" s="319"/>
      <c r="AG817" s="29">
        <f t="shared" si="134"/>
        <v>0</v>
      </c>
      <c r="AK817" s="407"/>
    </row>
    <row r="818" spans="1:49" outlineLevel="1">
      <c r="A818" s="180"/>
      <c r="B818" s="64" t="s">
        <v>61</v>
      </c>
      <c r="C818" s="31"/>
      <c r="D818" s="31"/>
      <c r="E818" s="439">
        <f>SUM(E783:E817)</f>
        <v>107.7</v>
      </c>
      <c r="F818" s="320">
        <f>SUM(F783:F817)</f>
        <v>12.25</v>
      </c>
      <c r="G818" s="31"/>
      <c r="H818" s="31"/>
      <c r="I818" s="31"/>
      <c r="J818" s="439">
        <f>SUM(J783:J817)</f>
        <v>176.6</v>
      </c>
      <c r="K818" s="320">
        <f>SUM(K783:K817)</f>
        <v>12</v>
      </c>
      <c r="L818" s="31"/>
      <c r="M818" s="31"/>
      <c r="N818" s="31"/>
      <c r="O818" s="439">
        <f>SUM(O783:O817)</f>
        <v>166.70000000000002</v>
      </c>
      <c r="P818" s="320">
        <f>SUM(P783:P817)</f>
        <v>6.99</v>
      </c>
      <c r="Q818" s="31"/>
      <c r="R818" s="31"/>
      <c r="S818" s="31"/>
      <c r="T818" s="439">
        <f>SUM(T783:T817)</f>
        <v>145.79999999999998</v>
      </c>
      <c r="U818" s="320">
        <f>SUM(U783:U817)</f>
        <v>9.5</v>
      </c>
      <c r="V818" s="31"/>
      <c r="W818" s="31"/>
      <c r="X818" s="31"/>
      <c r="Y818" s="439">
        <f>SUM(Y783:Y817)</f>
        <v>153.1</v>
      </c>
      <c r="Z818" s="320">
        <f>SUM(Z783:Z817)</f>
        <v>7.49</v>
      </c>
      <c r="AA818" s="370">
        <f>SUM(AA783:AA817)</f>
        <v>749.90000000000009</v>
      </c>
      <c r="AB818" s="370">
        <f>SUM(AB783:AB817)</f>
        <v>48.230000000000004</v>
      </c>
      <c r="AC818" s="4"/>
      <c r="AD818" s="64"/>
      <c r="AE818" s="64"/>
      <c r="AF818" s="370">
        <f>SUM(AF783:AF817)</f>
        <v>0</v>
      </c>
      <c r="AG818" s="370">
        <f>SUM(AG783:AG817)</f>
        <v>0</v>
      </c>
    </row>
    <row r="819" spans="1:49" outlineLevel="1">
      <c r="A819" s="180"/>
      <c r="B819" s="63" t="s">
        <v>63</v>
      </c>
      <c r="C819" s="47"/>
      <c r="D819" s="47"/>
      <c r="E819" s="319">
        <v>7.65</v>
      </c>
      <c r="F819" s="291"/>
      <c r="G819" s="60"/>
      <c r="H819" s="47"/>
      <c r="I819" s="47"/>
      <c r="J819" s="319">
        <v>8</v>
      </c>
      <c r="K819" s="291">
        <v>1.75</v>
      </c>
      <c r="L819" s="60"/>
      <c r="M819" s="47"/>
      <c r="N819" s="47"/>
      <c r="O819" s="319">
        <v>8</v>
      </c>
      <c r="P819" s="19">
        <v>1.5</v>
      </c>
      <c r="Q819" s="60"/>
      <c r="R819" s="47"/>
      <c r="S819" s="47"/>
      <c r="T819" s="319">
        <v>8</v>
      </c>
      <c r="U819" s="19">
        <v>1.75</v>
      </c>
      <c r="V819" s="60"/>
      <c r="W819" s="47"/>
      <c r="X819" s="47"/>
      <c r="Y819" s="319">
        <v>8</v>
      </c>
      <c r="Z819" s="19">
        <v>2</v>
      </c>
      <c r="AA819" s="28">
        <f>SUM(E819+J819+O819+T819+Y819)</f>
        <v>39.65</v>
      </c>
      <c r="AB819" s="296">
        <f>Z819+U819+P819+K819+F819</f>
        <v>7</v>
      </c>
      <c r="AC819" s="4"/>
      <c r="AD819" s="47" t="s">
        <v>29</v>
      </c>
      <c r="AE819" s="47" t="s">
        <v>29</v>
      </c>
      <c r="AF819" s="319"/>
      <c r="AG819" s="29">
        <f>AF819</f>
        <v>0</v>
      </c>
    </row>
    <row r="820" spans="1:49" outlineLevel="1">
      <c r="A820" s="180"/>
      <c r="B820" s="63" t="s">
        <v>64</v>
      </c>
      <c r="C820" s="47"/>
      <c r="D820" s="47"/>
      <c r="E820" s="319">
        <v>0</v>
      </c>
      <c r="F820" s="291"/>
      <c r="G820" s="60"/>
      <c r="H820" s="47"/>
      <c r="I820" s="47"/>
      <c r="J820" s="319">
        <v>0</v>
      </c>
      <c r="K820" s="291"/>
      <c r="L820" s="60"/>
      <c r="M820" s="47"/>
      <c r="N820" s="47"/>
      <c r="O820" s="319">
        <v>0</v>
      </c>
      <c r="P820" s="19"/>
      <c r="Q820" s="60"/>
      <c r="R820" s="47"/>
      <c r="S820" s="47"/>
      <c r="T820" s="319">
        <v>0</v>
      </c>
      <c r="U820" s="19"/>
      <c r="V820" s="60"/>
      <c r="W820" s="47"/>
      <c r="X820" s="47"/>
      <c r="Y820" s="319">
        <v>0</v>
      </c>
      <c r="Z820" s="19"/>
      <c r="AA820" s="28">
        <f>SUM(E820+J820+O820+T820+Y820)</f>
        <v>0</v>
      </c>
      <c r="AB820" s="296">
        <f>Z820+U820+P820+K820+F820</f>
        <v>0</v>
      </c>
      <c r="AC820" s="4"/>
      <c r="AD820" s="47" t="s">
        <v>29</v>
      </c>
      <c r="AE820" s="47" t="s">
        <v>29</v>
      </c>
      <c r="AF820" s="319"/>
      <c r="AG820" s="29">
        <f>AF820</f>
        <v>0</v>
      </c>
    </row>
    <row r="821" spans="1:49" outlineLevel="1">
      <c r="A821" s="180"/>
      <c r="B821" s="71" t="s">
        <v>66</v>
      </c>
      <c r="C821" s="371"/>
      <c r="D821" s="371"/>
      <c r="E821" s="71"/>
      <c r="F821" s="71"/>
      <c r="G821" s="71"/>
      <c r="H821" s="71"/>
      <c r="I821" s="71"/>
      <c r="J821" s="71"/>
      <c r="K821" s="71"/>
      <c r="L821" s="71"/>
      <c r="M821" s="71"/>
      <c r="N821" s="71"/>
      <c r="O821" s="71"/>
      <c r="P821" s="71"/>
      <c r="Q821" s="71"/>
      <c r="R821" s="71"/>
      <c r="S821" s="71"/>
      <c r="T821" s="71"/>
      <c r="U821" s="71"/>
      <c r="V821" s="71"/>
      <c r="W821" s="71"/>
      <c r="X821" s="71"/>
      <c r="Y821" s="71"/>
      <c r="Z821" s="71"/>
      <c r="AA821" s="370">
        <f>SUM(AA819:AA820)</f>
        <v>39.65</v>
      </c>
      <c r="AB821" s="370">
        <f>SUM(AB819:AB820)</f>
        <v>7</v>
      </c>
      <c r="AC821" s="4"/>
      <c r="AG821" s="370">
        <f>SUM(AG820:AG820)</f>
        <v>0</v>
      </c>
    </row>
    <row r="822" spans="1:49" outlineLevel="1">
      <c r="A822" s="180"/>
      <c r="B822" s="217" t="s">
        <v>67</v>
      </c>
      <c r="C822" s="207">
        <f>C823+C824</f>
        <v>69</v>
      </c>
      <c r="D822" s="207"/>
      <c r="E822" s="209"/>
      <c r="F822" s="209"/>
      <c r="G822" s="207"/>
      <c r="H822" s="209"/>
      <c r="I822" s="209"/>
      <c r="J822" s="209"/>
      <c r="K822" s="209"/>
      <c r="L822" s="207"/>
      <c r="M822" s="207"/>
      <c r="N822" s="207"/>
      <c r="O822" s="207"/>
      <c r="P822" s="209"/>
      <c r="Q822" s="207"/>
      <c r="R822" s="207"/>
      <c r="S822" s="207"/>
      <c r="T822" s="207"/>
      <c r="U822" s="209"/>
      <c r="V822" s="207"/>
      <c r="W822" s="207"/>
      <c r="X822" s="207"/>
      <c r="Y822" s="210"/>
      <c r="Z822" s="209"/>
      <c r="AA822" s="211"/>
      <c r="AB822" s="209"/>
      <c r="AC822" s="211"/>
      <c r="AD822" s="211"/>
      <c r="AE822" s="211"/>
      <c r="AF822" s="211"/>
      <c r="AG822" s="211"/>
    </row>
    <row r="823" spans="1:49" outlineLevel="1">
      <c r="A823" s="180"/>
      <c r="B823" s="238" t="s">
        <v>68</v>
      </c>
      <c r="C823" s="239"/>
      <c r="D823" s="207"/>
      <c r="E823" s="209"/>
      <c r="F823" s="209"/>
      <c r="G823" s="207"/>
      <c r="H823" s="209"/>
      <c r="I823" s="209"/>
      <c r="J823" s="209"/>
      <c r="K823" s="209"/>
      <c r="L823" s="207"/>
      <c r="M823" s="207"/>
      <c r="N823" s="207"/>
      <c r="O823" s="207"/>
      <c r="P823" s="209"/>
      <c r="Q823" s="207"/>
      <c r="R823" s="207"/>
      <c r="S823" s="207"/>
      <c r="T823" s="207"/>
      <c r="U823" s="209"/>
      <c r="V823" s="207"/>
      <c r="W823" s="207"/>
      <c r="X823" s="207"/>
      <c r="Y823" s="210"/>
      <c r="Z823" s="209"/>
      <c r="AA823" s="211"/>
      <c r="AB823" s="209"/>
      <c r="AC823" s="211"/>
      <c r="AD823" s="211"/>
      <c r="AE823" s="211"/>
      <c r="AF823" s="211"/>
      <c r="AG823" s="211"/>
    </row>
    <row r="824" spans="1:49" outlineLevel="1">
      <c r="A824" s="180"/>
      <c r="B824" s="238" t="s">
        <v>69</v>
      </c>
      <c r="C824" s="239">
        <f>10+15+15+15+14</f>
        <v>69</v>
      </c>
      <c r="D824" s="207"/>
      <c r="E824" s="209"/>
      <c r="F824" s="209"/>
      <c r="G824" s="207"/>
      <c r="H824" s="209"/>
      <c r="I824" s="209"/>
      <c r="J824" s="209"/>
      <c r="K824" s="209"/>
      <c r="L824" s="207"/>
      <c r="M824" s="207"/>
      <c r="N824" s="207"/>
      <c r="O824" s="207"/>
      <c r="P824" s="209"/>
      <c r="Q824" s="207"/>
      <c r="R824" s="207"/>
      <c r="S824" s="207"/>
      <c r="T824" s="207"/>
      <c r="U824" s="209"/>
      <c r="V824" s="207"/>
      <c r="W824" s="207"/>
      <c r="X824" s="207"/>
      <c r="Y824" s="210"/>
      <c r="Z824" s="209"/>
      <c r="AA824" s="211"/>
      <c r="AB824" s="209"/>
      <c r="AC824" s="211"/>
      <c r="AD824" s="211"/>
      <c r="AE824" s="211"/>
      <c r="AF824" s="211"/>
      <c r="AG824" s="211"/>
    </row>
    <row r="825" spans="1:49" ht="14.25" customHeight="1" outlineLevel="1"/>
    <row r="826" spans="1:49" outlineLevel="1">
      <c r="A826" s="180"/>
      <c r="B826" s="229"/>
      <c r="C826" s="230"/>
      <c r="D826" s="230"/>
      <c r="E826" s="232"/>
      <c r="F826" s="232"/>
      <c r="G826" s="230"/>
      <c r="H826" s="232"/>
      <c r="I826" s="232"/>
      <c r="J826" s="232"/>
      <c r="K826" s="232"/>
      <c r="L826" s="230"/>
      <c r="M826" s="230"/>
      <c r="N826" s="230"/>
      <c r="O826" s="230"/>
      <c r="P826" s="232"/>
      <c r="Q826" s="230"/>
      <c r="R826" s="230"/>
      <c r="S826" s="230"/>
      <c r="T826" s="230"/>
      <c r="U826" s="232"/>
      <c r="V826" s="230"/>
      <c r="W826" s="230"/>
      <c r="X826" s="230"/>
      <c r="Y826" s="233"/>
      <c r="Z826" s="232"/>
      <c r="AA826" s="234"/>
      <c r="AB826" s="232"/>
      <c r="AC826" s="373"/>
      <c r="AD826" s="236"/>
      <c r="AE826" s="255"/>
      <c r="AF826" s="255"/>
      <c r="AG826" s="255"/>
      <c r="AH826" s="255"/>
      <c r="AJ826" s="255"/>
      <c r="AK826" s="255"/>
      <c r="AL826" s="255"/>
      <c r="AM826" s="255"/>
      <c r="AN826" s="255"/>
      <c r="AO826" s="255"/>
      <c r="AP826" s="255"/>
      <c r="AQ826" s="255"/>
      <c r="AR826" s="255"/>
      <c r="AS826" s="255"/>
      <c r="AT826" s="255"/>
      <c r="AU826" s="255"/>
      <c r="AV826" s="255"/>
      <c r="AW826" s="255"/>
    </row>
    <row r="827" spans="1:49" outlineLevel="1">
      <c r="B827" s="180"/>
      <c r="E827" s="4"/>
      <c r="F827" s="4"/>
      <c r="G827" s="4"/>
      <c r="J827" s="4"/>
      <c r="K827" s="4"/>
      <c r="L827" s="4"/>
      <c r="O827" s="4"/>
      <c r="P827" s="4"/>
      <c r="T827" s="4"/>
      <c r="U827" s="4"/>
      <c r="Y827" s="4"/>
      <c r="Z827" s="4"/>
      <c r="AA827" s="4"/>
      <c r="AB827" s="4"/>
      <c r="AC827" s="4"/>
      <c r="AK827" s="180"/>
      <c r="AL827" s="180"/>
      <c r="AM827" s="180"/>
      <c r="AN827" s="180"/>
      <c r="AO827" s="180"/>
      <c r="AP827" s="180"/>
    </row>
    <row r="828" spans="1:49" outlineLevel="1">
      <c r="A828" s="228"/>
      <c r="B828" s="1518" t="s">
        <v>18</v>
      </c>
      <c r="C828" s="1519">
        <v>45495</v>
      </c>
      <c r="D828" s="1519"/>
      <c r="E828" s="1519"/>
      <c r="F828" s="1519"/>
      <c r="G828" s="365"/>
      <c r="H828" s="1519">
        <v>45496</v>
      </c>
      <c r="I828" s="1519"/>
      <c r="J828" s="1519"/>
      <c r="K828" s="1519"/>
      <c r="L828" s="365">
        <v>45343</v>
      </c>
      <c r="M828" s="1519">
        <v>45497</v>
      </c>
      <c r="N828" s="1519"/>
      <c r="O828" s="1519"/>
      <c r="P828" s="1519"/>
      <c r="Q828" s="365"/>
      <c r="R828" s="1519">
        <v>45498</v>
      </c>
      <c r="S828" s="1519"/>
      <c r="T828" s="1519"/>
      <c r="U828" s="1519"/>
      <c r="V828" s="365"/>
      <c r="W828" s="1519">
        <v>45499</v>
      </c>
      <c r="X828" s="1519"/>
      <c r="Y828" s="1519"/>
      <c r="Z828" s="1519"/>
      <c r="AA828" s="1517" t="s">
        <v>19</v>
      </c>
      <c r="AB828" s="1517" t="s">
        <v>20</v>
      </c>
      <c r="AC828" s="4"/>
      <c r="AD828" s="1519">
        <v>45500</v>
      </c>
      <c r="AE828" s="1519"/>
      <c r="AF828" s="1519"/>
      <c r="AG828" s="1517" t="s">
        <v>21</v>
      </c>
      <c r="AI828" s="368"/>
      <c r="AK828" s="194" t="s">
        <v>84</v>
      </c>
      <c r="AL828" s="366"/>
      <c r="AM828" s="366"/>
      <c r="AN828" s="366"/>
      <c r="AO828" s="366"/>
      <c r="AP828" s="366"/>
    </row>
    <row r="829" spans="1:49" outlineLevel="1">
      <c r="A829" s="180"/>
      <c r="B829" s="1518"/>
      <c r="C829" s="21" t="s">
        <v>23</v>
      </c>
      <c r="D829" s="21" t="s">
        <v>24</v>
      </c>
      <c r="E829" s="205" t="s">
        <v>25</v>
      </c>
      <c r="F829" s="18" t="s">
        <v>14</v>
      </c>
      <c r="G829" s="4"/>
      <c r="H829" s="21" t="s">
        <v>23</v>
      </c>
      <c r="I829" s="21" t="s">
        <v>24</v>
      </c>
      <c r="J829" s="18" t="s">
        <v>25</v>
      </c>
      <c r="K829" s="18" t="s">
        <v>14</v>
      </c>
      <c r="L829" s="4"/>
      <c r="M829" s="21" t="s">
        <v>23</v>
      </c>
      <c r="N829" s="21" t="s">
        <v>24</v>
      </c>
      <c r="O829" s="18" t="s">
        <v>25</v>
      </c>
      <c r="P829" s="18" t="s">
        <v>14</v>
      </c>
      <c r="R829" s="21" t="s">
        <v>23</v>
      </c>
      <c r="S829" s="21" t="s">
        <v>24</v>
      </c>
      <c r="T829" s="18" t="s">
        <v>25</v>
      </c>
      <c r="U829" s="18" t="s">
        <v>14</v>
      </c>
      <c r="W829" s="21" t="s">
        <v>23</v>
      </c>
      <c r="X829" s="21" t="s">
        <v>24</v>
      </c>
      <c r="Y829" s="18" t="s">
        <v>25</v>
      </c>
      <c r="Z829" s="18" t="s">
        <v>14</v>
      </c>
      <c r="AA829" s="1517"/>
      <c r="AB829" s="1517"/>
      <c r="AC829" s="4"/>
      <c r="AD829" s="21" t="s">
        <v>23</v>
      </c>
      <c r="AE829" s="21" t="s">
        <v>24</v>
      </c>
      <c r="AF829" s="18" t="s">
        <v>25</v>
      </c>
      <c r="AG829" s="1517"/>
      <c r="AI829" s="368"/>
      <c r="AJ829" s="367"/>
      <c r="AK829" s="188" t="s">
        <v>26</v>
      </c>
      <c r="AL829" s="196">
        <f>AA865</f>
        <v>540.19999999999993</v>
      </c>
      <c r="AM829" s="510">
        <v>38</v>
      </c>
      <c r="AN829" s="510">
        <f>AL829*AM829</f>
        <v>20527.599999999999</v>
      </c>
      <c r="AQ829" s="367"/>
      <c r="AR829" s="367"/>
      <c r="AS829" s="367"/>
      <c r="AT829" s="367"/>
      <c r="AU829" s="367"/>
      <c r="AV829" s="367"/>
      <c r="AW829" s="367"/>
    </row>
    <row r="830" spans="1:49" ht="13.5" customHeight="1" outlineLevel="1">
      <c r="A830" s="180"/>
      <c r="B830" s="166" t="s">
        <v>506</v>
      </c>
      <c r="C830" s="565">
        <v>0.33333333333333331</v>
      </c>
      <c r="D830" s="565">
        <v>0.20833333333333334</v>
      </c>
      <c r="E830" s="319">
        <v>8</v>
      </c>
      <c r="F830" s="320"/>
      <c r="G830" s="4"/>
      <c r="H830" s="565">
        <v>0.33333333333333331</v>
      </c>
      <c r="I830" s="565">
        <v>0.20833333333333334</v>
      </c>
      <c r="J830" s="319">
        <v>8</v>
      </c>
      <c r="K830" s="320"/>
      <c r="L830" s="4"/>
      <c r="M830" s="565">
        <v>0.375</v>
      </c>
      <c r="N830" s="47">
        <v>0.20833333333333334</v>
      </c>
      <c r="O830" s="319">
        <v>7</v>
      </c>
      <c r="P830" s="320"/>
      <c r="R830" s="565">
        <v>0.39583333333333331</v>
      </c>
      <c r="S830" s="565">
        <v>0.20833333333333334</v>
      </c>
      <c r="T830" s="319">
        <v>6.5</v>
      </c>
      <c r="U830" s="320"/>
      <c r="W830" s="565"/>
      <c r="X830" s="565"/>
      <c r="Y830" s="319">
        <v>4</v>
      </c>
      <c r="Z830" s="320"/>
      <c r="AA830" s="328">
        <f t="shared" ref="AA830:AA864" si="135">(E830+J830+O830+T830+Y830)</f>
        <v>33.5</v>
      </c>
      <c r="AB830" s="298">
        <f t="shared" ref="AB830:AB864" si="136">Z830+U830+P830+K830+F830</f>
        <v>0</v>
      </c>
      <c r="AC830" s="4"/>
      <c r="AD830" s="587"/>
      <c r="AE830" s="531"/>
      <c r="AF830" s="319"/>
      <c r="AG830" s="328">
        <f>AF830</f>
        <v>0</v>
      </c>
      <c r="AI830" s="368"/>
      <c r="AJ830" s="367"/>
      <c r="AK830" s="188" t="s">
        <v>30</v>
      </c>
      <c r="AL830" s="196">
        <f>AB865</f>
        <v>8.3000000000000007</v>
      </c>
      <c r="AM830" s="511">
        <v>57</v>
      </c>
      <c r="AN830" s="510">
        <f>AL830*AM830</f>
        <v>473.1</v>
      </c>
      <c r="AQ830" s="367"/>
      <c r="AR830" s="367"/>
      <c r="AS830" s="367"/>
      <c r="AT830" s="367"/>
      <c r="AU830" s="367"/>
      <c r="AV830" s="367"/>
      <c r="AW830" s="367"/>
    </row>
    <row r="831" spans="1:49" ht="13.5" customHeight="1" outlineLevel="1">
      <c r="A831" s="367"/>
      <c r="B831" s="166" t="s">
        <v>507</v>
      </c>
      <c r="C831" s="566"/>
      <c r="D831" s="565"/>
      <c r="E831" s="319"/>
      <c r="F831" s="320"/>
      <c r="G831" s="4"/>
      <c r="H831" s="566"/>
      <c r="I831" s="565"/>
      <c r="J831" s="319"/>
      <c r="K831" s="320"/>
      <c r="L831" s="4"/>
      <c r="M831" s="566"/>
      <c r="N831" s="565"/>
      <c r="O831" s="319"/>
      <c r="P831" s="320"/>
      <c r="R831" s="566"/>
      <c r="S831" s="565"/>
      <c r="T831" s="319"/>
      <c r="U831" s="320"/>
      <c r="W831" s="566"/>
      <c r="X831" s="565"/>
      <c r="Y831" s="319"/>
      <c r="Z831" s="320"/>
      <c r="AA831" s="328">
        <f t="shared" si="135"/>
        <v>0</v>
      </c>
      <c r="AB831" s="298">
        <f t="shared" si="136"/>
        <v>0</v>
      </c>
      <c r="AC831" s="4"/>
      <c r="AF831" s="319"/>
      <c r="AG831" s="328">
        <f>AF831</f>
        <v>0</v>
      </c>
      <c r="AH831" s="175"/>
      <c r="AI831" s="402"/>
      <c r="AJ831" s="367"/>
      <c r="AK831" s="188" t="s">
        <v>32</v>
      </c>
      <c r="AL831" s="196">
        <f>AG865</f>
        <v>0</v>
      </c>
      <c r="AM831" s="510">
        <v>57</v>
      </c>
      <c r="AN831" s="510">
        <f>AL831*AM831</f>
        <v>0</v>
      </c>
      <c r="AQ831" s="367"/>
      <c r="AR831" s="367"/>
      <c r="AS831" s="367"/>
      <c r="AT831" s="367"/>
      <c r="AU831" s="367"/>
      <c r="AV831" s="367"/>
      <c r="AW831" s="367"/>
    </row>
    <row r="832" spans="1:49" ht="13.5" customHeight="1" outlineLevel="1">
      <c r="A832" s="367"/>
      <c r="B832" s="586" t="s">
        <v>508</v>
      </c>
      <c r="C832" s="566"/>
      <c r="D832" s="565"/>
      <c r="E832" s="319"/>
      <c r="F832" s="320"/>
      <c r="G832" s="4"/>
      <c r="H832" s="566"/>
      <c r="I832" s="565"/>
      <c r="J832" s="319"/>
      <c r="K832" s="320"/>
      <c r="L832" s="4"/>
      <c r="M832" s="566"/>
      <c r="N832" s="565"/>
      <c r="O832" s="319"/>
      <c r="P832" s="320"/>
      <c r="R832" s="566"/>
      <c r="S832" s="565"/>
      <c r="T832" s="319"/>
      <c r="U832" s="320"/>
      <c r="W832" s="566"/>
      <c r="X832" s="565"/>
      <c r="Y832" s="319"/>
      <c r="Z832" s="320"/>
      <c r="AA832" s="328">
        <f t="shared" si="135"/>
        <v>0</v>
      </c>
      <c r="AB832" s="298">
        <f t="shared" si="136"/>
        <v>0</v>
      </c>
      <c r="AC832" s="4"/>
      <c r="AD832" s="531"/>
      <c r="AE832" s="531"/>
      <c r="AF832" s="319"/>
      <c r="AG832" s="328">
        <f>AF832</f>
        <v>0</v>
      </c>
      <c r="AH832" s="175"/>
      <c r="AI832" s="402"/>
      <c r="AJ832" s="367"/>
      <c r="AK832" s="188"/>
      <c r="AL832" s="196"/>
      <c r="AM832" s="510"/>
      <c r="AN832" s="510"/>
      <c r="AQ832" s="367"/>
      <c r="AR832" s="367"/>
      <c r="AS832" s="367"/>
      <c r="AT832" s="367"/>
      <c r="AU832" s="367"/>
      <c r="AV832" s="367"/>
      <c r="AW832" s="367"/>
    </row>
    <row r="833" spans="1:49" ht="13.5" customHeight="1" outlineLevel="1">
      <c r="A833" s="367"/>
      <c r="B833" s="166" t="s">
        <v>509</v>
      </c>
      <c r="C833" s="565">
        <v>0.41666666666666669</v>
      </c>
      <c r="D833" s="565">
        <v>0.25</v>
      </c>
      <c r="E833" s="319">
        <v>8</v>
      </c>
      <c r="F833" s="320"/>
      <c r="G833" s="4"/>
      <c r="H833" s="565">
        <v>0.375</v>
      </c>
      <c r="I833" s="47">
        <v>0.25</v>
      </c>
      <c r="J833" s="319">
        <v>8</v>
      </c>
      <c r="K833" s="320"/>
      <c r="L833" s="4"/>
      <c r="M833" s="565">
        <v>0.375</v>
      </c>
      <c r="N833" s="47">
        <v>8.3333333333333329E-2</v>
      </c>
      <c r="O833" s="319">
        <v>5</v>
      </c>
      <c r="P833" s="320"/>
      <c r="R833" s="565">
        <v>0.375</v>
      </c>
      <c r="S833" s="565">
        <v>0.41666666666666669</v>
      </c>
      <c r="T833" s="319">
        <v>1</v>
      </c>
      <c r="U833" s="320"/>
      <c r="W833" s="565">
        <v>0</v>
      </c>
      <c r="X833" s="565">
        <v>0</v>
      </c>
      <c r="Y833" s="319">
        <v>0</v>
      </c>
      <c r="Z833" s="320"/>
      <c r="AA833" s="328">
        <f t="shared" si="135"/>
        <v>22</v>
      </c>
      <c r="AB833" s="298">
        <f t="shared" si="136"/>
        <v>0</v>
      </c>
      <c r="AC833" s="399"/>
      <c r="AD833" s="47"/>
      <c r="AE833" s="47"/>
      <c r="AF833" s="319"/>
      <c r="AG833" s="29">
        <f t="shared" ref="AG833:AG864" si="137">AF833</f>
        <v>0</v>
      </c>
      <c r="AH833" s="175"/>
      <c r="AJ833" s="401"/>
      <c r="AK833" s="403" t="s">
        <v>213</v>
      </c>
      <c r="AL833" s="404">
        <f>AA867</f>
        <v>47.25</v>
      </c>
      <c r="AM833" s="510">
        <v>50</v>
      </c>
      <c r="AN833" s="510">
        <f>AL833*AM833</f>
        <v>2362.5</v>
      </c>
      <c r="AO833" s="405"/>
      <c r="AP833" s="405"/>
      <c r="AQ833" s="401"/>
      <c r="AR833" s="401"/>
      <c r="AS833" s="401"/>
      <c r="AT833" s="401"/>
      <c r="AU833" s="401"/>
      <c r="AV833" s="401"/>
      <c r="AW833" s="401"/>
    </row>
    <row r="834" spans="1:49" ht="13.5" customHeight="1" outlineLevel="1">
      <c r="A834" s="367"/>
      <c r="B834" s="166" t="s">
        <v>510</v>
      </c>
      <c r="C834" s="565" t="s">
        <v>527</v>
      </c>
      <c r="D834" s="565"/>
      <c r="E834" s="319"/>
      <c r="F834" s="320"/>
      <c r="G834" s="4"/>
      <c r="H834" s="565" t="s">
        <v>527</v>
      </c>
      <c r="I834" s="565"/>
      <c r="J834" s="544"/>
      <c r="K834" s="320"/>
      <c r="L834" s="4"/>
      <c r="M834" s="565"/>
      <c r="N834" s="565"/>
      <c r="O834" s="319"/>
      <c r="P834" s="320"/>
      <c r="R834" s="565"/>
      <c r="S834" s="565"/>
      <c r="T834" s="319"/>
      <c r="U834" s="320"/>
      <c r="W834" s="565"/>
      <c r="X834" s="565"/>
      <c r="Y834" s="319"/>
      <c r="Z834" s="320"/>
      <c r="AA834" s="328">
        <f t="shared" si="135"/>
        <v>0</v>
      </c>
      <c r="AB834" s="298">
        <f t="shared" si="136"/>
        <v>0</v>
      </c>
      <c r="AC834" s="399"/>
      <c r="AD834" s="47"/>
      <c r="AE834" s="47"/>
      <c r="AF834" s="319"/>
      <c r="AG834" s="29">
        <f t="shared" si="137"/>
        <v>0</v>
      </c>
      <c r="AH834" s="175"/>
      <c r="AJ834" s="401"/>
      <c r="AK834" s="188" t="s">
        <v>36</v>
      </c>
      <c r="AL834" s="196">
        <f>AB867</f>
        <v>0</v>
      </c>
      <c r="AM834" s="510">
        <v>75</v>
      </c>
      <c r="AN834" s="510">
        <f>AL834*AM834</f>
        <v>0</v>
      </c>
      <c r="AO834" s="405"/>
      <c r="AP834" s="405"/>
      <c r="AQ834" s="401"/>
      <c r="AR834" s="401"/>
      <c r="AS834" s="401"/>
      <c r="AT834" s="401"/>
      <c r="AU834" s="401"/>
      <c r="AV834" s="401"/>
      <c r="AW834" s="401"/>
    </row>
    <row r="835" spans="1:49" ht="13.5" customHeight="1" outlineLevel="1">
      <c r="A835" s="367"/>
      <c r="B835" s="166" t="s">
        <v>511</v>
      </c>
      <c r="C835" s="565"/>
      <c r="D835" s="565"/>
      <c r="E835" s="319"/>
      <c r="F835" s="320"/>
      <c r="G835" s="4"/>
      <c r="H835" s="565"/>
      <c r="I835" s="565"/>
      <c r="J835" s="319"/>
      <c r="K835" s="320"/>
      <c r="L835" s="4"/>
      <c r="M835" s="565"/>
      <c r="N835" s="565"/>
      <c r="O835" s="319"/>
      <c r="P835" s="320"/>
      <c r="R835" s="565"/>
      <c r="S835" s="565"/>
      <c r="T835" s="319"/>
      <c r="U835" s="320"/>
      <c r="W835" s="565"/>
      <c r="X835" s="565"/>
      <c r="Y835" s="319"/>
      <c r="Z835" s="320"/>
      <c r="AA835" s="328">
        <f t="shared" si="135"/>
        <v>0</v>
      </c>
      <c r="AB835" s="298">
        <f t="shared" si="136"/>
        <v>0</v>
      </c>
      <c r="AC835" s="175"/>
      <c r="AD835" s="47"/>
      <c r="AE835" s="47"/>
      <c r="AF835" s="319"/>
      <c r="AG835" s="344">
        <f t="shared" si="137"/>
        <v>0</v>
      </c>
      <c r="AH835" s="175"/>
      <c r="AI835" s="368"/>
      <c r="AK835" s="188" t="s">
        <v>38</v>
      </c>
      <c r="AL835" s="196">
        <f>AG867</f>
        <v>0.5</v>
      </c>
      <c r="AM835" s="510">
        <v>75</v>
      </c>
      <c r="AN835" s="510">
        <f>AL835*AM835</f>
        <v>37.5</v>
      </c>
    </row>
    <row r="836" spans="1:49" ht="13.5" customHeight="1" outlineLevel="1" thickBot="1">
      <c r="A836" s="401"/>
      <c r="B836" s="586" t="s">
        <v>512</v>
      </c>
      <c r="C836" s="565"/>
      <c r="D836" s="565"/>
      <c r="E836" s="319"/>
      <c r="F836" s="320"/>
      <c r="G836" s="4"/>
      <c r="H836" s="565"/>
      <c r="I836" s="565"/>
      <c r="J836" s="319"/>
      <c r="K836" s="320"/>
      <c r="L836" s="4"/>
      <c r="M836" s="565"/>
      <c r="N836" s="565"/>
      <c r="O836" s="319"/>
      <c r="P836" s="320"/>
      <c r="R836" s="565"/>
      <c r="S836" s="565"/>
      <c r="T836" s="319"/>
      <c r="U836" s="320"/>
      <c r="W836" s="565"/>
      <c r="X836" s="565"/>
      <c r="Y836" s="319"/>
      <c r="Z836" s="320"/>
      <c r="AA836" s="328">
        <f t="shared" si="135"/>
        <v>0</v>
      </c>
      <c r="AB836" s="298">
        <f t="shared" si="136"/>
        <v>0</v>
      </c>
      <c r="AC836" s="4"/>
      <c r="AD836" s="47"/>
      <c r="AE836" s="47"/>
      <c r="AF836" s="319"/>
      <c r="AG836" s="29">
        <f t="shared" si="137"/>
        <v>0</v>
      </c>
      <c r="AJ836" s="367"/>
      <c r="AK836" s="188" t="s">
        <v>41</v>
      </c>
      <c r="AL836" s="196">
        <f>C868</f>
        <v>28</v>
      </c>
      <c r="AM836" s="512">
        <v>45</v>
      </c>
      <c r="AN836" s="512">
        <f>AL836*AM836</f>
        <v>1260</v>
      </c>
      <c r="AQ836" s="367"/>
      <c r="AR836" s="367"/>
      <c r="AS836" s="367"/>
      <c r="AT836" s="367"/>
      <c r="AU836" s="367"/>
      <c r="AV836" s="367"/>
      <c r="AW836" s="367"/>
    </row>
    <row r="837" spans="1:49" ht="13.5" customHeight="1" outlineLevel="1" thickTop="1">
      <c r="A837" s="367"/>
      <c r="B837" s="586" t="s">
        <v>513</v>
      </c>
      <c r="C837" s="565"/>
      <c r="D837" s="565"/>
      <c r="E837" s="319"/>
      <c r="F837" s="320"/>
      <c r="G837" s="4"/>
      <c r="H837" s="565"/>
      <c r="I837" s="565"/>
      <c r="J837" s="319"/>
      <c r="K837" s="320"/>
      <c r="L837" s="4"/>
      <c r="M837" s="565"/>
      <c r="N837" s="565"/>
      <c r="O837" s="319"/>
      <c r="P837" s="320"/>
      <c r="R837" s="565"/>
      <c r="S837" s="565"/>
      <c r="T837" s="319"/>
      <c r="U837" s="320"/>
      <c r="W837" s="565"/>
      <c r="X837" s="565"/>
      <c r="Y837" s="319"/>
      <c r="Z837" s="320"/>
      <c r="AA837" s="328">
        <f t="shared" si="135"/>
        <v>0</v>
      </c>
      <c r="AB837" s="298">
        <f t="shared" si="136"/>
        <v>0</v>
      </c>
      <c r="AC837" s="4"/>
      <c r="AD837" s="47"/>
      <c r="AE837" s="47"/>
      <c r="AF837" s="319"/>
      <c r="AG837" s="29">
        <f t="shared" si="137"/>
        <v>0</v>
      </c>
      <c r="AN837" s="510">
        <f>SUM(AN829:AN836)</f>
        <v>24660.699999999997</v>
      </c>
    </row>
    <row r="838" spans="1:49" ht="13.5" customHeight="1" outlineLevel="1">
      <c r="A838" s="180"/>
      <c r="B838" s="523" t="s">
        <v>514</v>
      </c>
      <c r="C838" s="47">
        <v>0</v>
      </c>
      <c r="D838" s="47"/>
      <c r="E838" s="319">
        <v>0</v>
      </c>
      <c r="F838" s="320"/>
      <c r="G838" s="4"/>
      <c r="H838" s="47">
        <v>0</v>
      </c>
      <c r="I838" s="47">
        <v>0</v>
      </c>
      <c r="J838" s="319">
        <v>0</v>
      </c>
      <c r="K838" s="320"/>
      <c r="L838" s="4"/>
      <c r="M838" s="47">
        <v>0</v>
      </c>
      <c r="N838" s="47">
        <v>0</v>
      </c>
      <c r="O838" s="319">
        <v>0</v>
      </c>
      <c r="P838" s="320"/>
      <c r="R838" s="47">
        <v>0</v>
      </c>
      <c r="S838" s="47">
        <v>0</v>
      </c>
      <c r="T838" s="319">
        <v>0</v>
      </c>
      <c r="U838" s="320"/>
      <c r="W838" s="47">
        <v>0</v>
      </c>
      <c r="X838" s="47">
        <v>0</v>
      </c>
      <c r="Y838" s="319">
        <v>0</v>
      </c>
      <c r="Z838" s="320"/>
      <c r="AA838" s="328">
        <f t="shared" si="135"/>
        <v>0</v>
      </c>
      <c r="AB838" s="298">
        <f t="shared" si="136"/>
        <v>0</v>
      </c>
      <c r="AC838" s="4"/>
      <c r="AD838" s="47"/>
      <c r="AE838" s="47"/>
      <c r="AF838" s="319"/>
      <c r="AG838" s="29">
        <f t="shared" si="137"/>
        <v>0</v>
      </c>
    </row>
    <row r="839" spans="1:49" ht="13.5" customHeight="1" outlineLevel="1">
      <c r="A839" s="180"/>
      <c r="B839" s="180" t="s">
        <v>515</v>
      </c>
      <c r="C839" s="47" t="s">
        <v>527</v>
      </c>
      <c r="D839" s="47"/>
      <c r="E839" s="319">
        <v>0</v>
      </c>
      <c r="F839" s="320"/>
      <c r="G839" s="4"/>
      <c r="H839" s="47" t="s">
        <v>527</v>
      </c>
      <c r="I839" s="47"/>
      <c r="J839" s="319"/>
      <c r="K839" s="320"/>
      <c r="L839" s="4"/>
      <c r="M839" s="47">
        <v>0</v>
      </c>
      <c r="N839" s="47"/>
      <c r="O839" s="319">
        <v>0</v>
      </c>
      <c r="P839" s="320"/>
      <c r="R839" s="47">
        <v>0.375</v>
      </c>
      <c r="S839" s="47">
        <v>0.41666666666666669</v>
      </c>
      <c r="T839" s="319">
        <v>1</v>
      </c>
      <c r="U839" s="320"/>
      <c r="W839" s="47">
        <v>0</v>
      </c>
      <c r="X839" s="47">
        <v>0</v>
      </c>
      <c r="Y839" s="319">
        <v>0</v>
      </c>
      <c r="Z839" s="320"/>
      <c r="AA839" s="328">
        <f t="shared" si="135"/>
        <v>1</v>
      </c>
      <c r="AB839" s="298">
        <f t="shared" si="136"/>
        <v>0</v>
      </c>
      <c r="AC839" s="4"/>
      <c r="AD839" s="47"/>
      <c r="AE839" s="47"/>
      <c r="AF839" s="319"/>
      <c r="AG839" s="29">
        <f t="shared" si="137"/>
        <v>0</v>
      </c>
    </row>
    <row r="840" spans="1:49" ht="13.5" customHeight="1" outlineLevel="1">
      <c r="A840" s="180"/>
      <c r="B840" s="180" t="s">
        <v>516</v>
      </c>
      <c r="C840" s="47">
        <v>0.375</v>
      </c>
      <c r="D840" s="47">
        <v>0.25</v>
      </c>
      <c r="E840" s="319">
        <v>8</v>
      </c>
      <c r="F840" s="320"/>
      <c r="G840" s="4"/>
      <c r="H840" s="47">
        <v>0</v>
      </c>
      <c r="I840" s="47">
        <v>0</v>
      </c>
      <c r="J840" s="319">
        <v>0</v>
      </c>
      <c r="K840" s="320"/>
      <c r="L840" s="4"/>
      <c r="M840" s="47">
        <v>0.39583333333333331</v>
      </c>
      <c r="N840" s="47">
        <v>8.3333333333333329E-2</v>
      </c>
      <c r="O840" s="319">
        <v>4.5</v>
      </c>
      <c r="P840" s="320"/>
      <c r="R840" s="47">
        <v>0.375</v>
      </c>
      <c r="S840" s="47">
        <v>0.41666666666666669</v>
      </c>
      <c r="T840" s="319">
        <v>1</v>
      </c>
      <c r="U840" s="320"/>
      <c r="W840" s="47">
        <v>0</v>
      </c>
      <c r="X840" s="47">
        <v>0</v>
      </c>
      <c r="Y840" s="319">
        <v>0</v>
      </c>
      <c r="Z840" s="320"/>
      <c r="AA840" s="328">
        <f t="shared" si="135"/>
        <v>13.5</v>
      </c>
      <c r="AB840" s="298">
        <f t="shared" si="136"/>
        <v>0</v>
      </c>
      <c r="AC840" s="4"/>
      <c r="AD840" s="47"/>
      <c r="AE840" s="47"/>
      <c r="AF840" s="319"/>
      <c r="AG840" s="29">
        <f t="shared" si="137"/>
        <v>0</v>
      </c>
    </row>
    <row r="841" spans="1:49" ht="13.5" customHeight="1" outlineLevel="1">
      <c r="A841" s="180"/>
      <c r="B841" s="180" t="s">
        <v>517</v>
      </c>
      <c r="C841" s="47">
        <v>0.375</v>
      </c>
      <c r="D841" s="47">
        <v>0.25</v>
      </c>
      <c r="E841" s="319">
        <v>8</v>
      </c>
      <c r="F841" s="320"/>
      <c r="G841" s="4"/>
      <c r="H841" s="47">
        <v>0</v>
      </c>
      <c r="I841" s="47">
        <v>0</v>
      </c>
      <c r="J841" s="319">
        <v>0</v>
      </c>
      <c r="K841" s="320"/>
      <c r="L841" s="4"/>
      <c r="M841" s="47">
        <v>0.375</v>
      </c>
      <c r="N841" s="47">
        <v>8.3333333333333329E-2</v>
      </c>
      <c r="O841" s="319">
        <v>5</v>
      </c>
      <c r="P841" s="320"/>
      <c r="R841" s="47">
        <v>0</v>
      </c>
      <c r="S841" s="47">
        <v>0</v>
      </c>
      <c r="T841" s="319">
        <v>0</v>
      </c>
      <c r="U841" s="320"/>
      <c r="W841" s="47">
        <v>0.375</v>
      </c>
      <c r="X841" s="47">
        <v>0.25</v>
      </c>
      <c r="Y841" s="319">
        <v>8</v>
      </c>
      <c r="Z841" s="320"/>
      <c r="AA841" s="328">
        <f t="shared" si="135"/>
        <v>21</v>
      </c>
      <c r="AB841" s="298">
        <f t="shared" si="136"/>
        <v>0</v>
      </c>
      <c r="AC841" s="4"/>
      <c r="AD841" s="47"/>
      <c r="AE841" s="47"/>
      <c r="AF841" s="319"/>
      <c r="AG841" s="29">
        <f t="shared" si="137"/>
        <v>0</v>
      </c>
    </row>
    <row r="842" spans="1:49" ht="13.5" customHeight="1" outlineLevel="1">
      <c r="A842" s="180"/>
      <c r="B842" s="523" t="s">
        <v>518</v>
      </c>
      <c r="C842" s="47" t="s">
        <v>527</v>
      </c>
      <c r="D842" s="47"/>
      <c r="E842" s="319">
        <v>0</v>
      </c>
      <c r="F842" s="320"/>
      <c r="G842" s="4"/>
      <c r="H842" s="47">
        <v>0.41666666666666669</v>
      </c>
      <c r="I842" s="47">
        <v>0.29166666666666669</v>
      </c>
      <c r="J842" s="319">
        <v>8</v>
      </c>
      <c r="K842" s="320"/>
      <c r="L842" s="4"/>
      <c r="M842" s="47">
        <v>0</v>
      </c>
      <c r="N842" s="47">
        <v>0</v>
      </c>
      <c r="O842" s="319">
        <v>0</v>
      </c>
      <c r="P842" s="320"/>
      <c r="R842" s="47">
        <v>0</v>
      </c>
      <c r="S842" s="47">
        <v>0</v>
      </c>
      <c r="T842" s="319">
        <v>0</v>
      </c>
      <c r="U842" s="320"/>
      <c r="W842" s="47">
        <v>0.375</v>
      </c>
      <c r="X842" s="47">
        <v>0.25</v>
      </c>
      <c r="Y842" s="319">
        <v>8</v>
      </c>
      <c r="Z842" s="320"/>
      <c r="AA842" s="328">
        <f t="shared" si="135"/>
        <v>16</v>
      </c>
      <c r="AB842" s="298">
        <f t="shared" si="136"/>
        <v>0</v>
      </c>
      <c r="AC842" s="4"/>
      <c r="AD842" s="47"/>
      <c r="AE842" s="47"/>
      <c r="AF842" s="319"/>
      <c r="AG842" s="29">
        <f t="shared" si="137"/>
        <v>0</v>
      </c>
    </row>
    <row r="843" spans="1:49" ht="13.5" customHeight="1" outlineLevel="1">
      <c r="A843" s="180"/>
      <c r="B843" s="523" t="s">
        <v>519</v>
      </c>
      <c r="C843" s="47">
        <v>0.375</v>
      </c>
      <c r="D843" s="47">
        <v>0.25</v>
      </c>
      <c r="E843" s="319">
        <v>8</v>
      </c>
      <c r="F843" s="320"/>
      <c r="G843" s="4"/>
      <c r="H843" s="47">
        <v>0.375</v>
      </c>
      <c r="I843" s="47">
        <v>0.25</v>
      </c>
      <c r="J843" s="319">
        <v>8</v>
      </c>
      <c r="K843" s="320"/>
      <c r="L843" s="4"/>
      <c r="M843" s="47">
        <v>0</v>
      </c>
      <c r="N843" s="47">
        <v>0</v>
      </c>
      <c r="O843" s="319">
        <v>0</v>
      </c>
      <c r="P843" s="320"/>
      <c r="R843" s="47">
        <v>0.375</v>
      </c>
      <c r="S843" s="47">
        <v>0.25</v>
      </c>
      <c r="T843" s="319">
        <v>8</v>
      </c>
      <c r="U843" s="320"/>
      <c r="W843" s="47">
        <v>0</v>
      </c>
      <c r="X843" s="47">
        <v>0</v>
      </c>
      <c r="Y843" s="319">
        <v>0</v>
      </c>
      <c r="Z843" s="320"/>
      <c r="AA843" s="328">
        <f t="shared" si="135"/>
        <v>24</v>
      </c>
      <c r="AB843" s="298">
        <f t="shared" si="136"/>
        <v>0</v>
      </c>
      <c r="AC843" s="4"/>
      <c r="AD843" s="47"/>
      <c r="AE843" s="47"/>
      <c r="AF843" s="319"/>
      <c r="AG843" s="29">
        <f t="shared" si="137"/>
        <v>0</v>
      </c>
    </row>
    <row r="844" spans="1:49" ht="13.5" customHeight="1" outlineLevel="1">
      <c r="A844" s="180"/>
      <c r="B844" s="180" t="s">
        <v>520</v>
      </c>
      <c r="C844" s="47">
        <v>0</v>
      </c>
      <c r="D844" s="47"/>
      <c r="E844" s="319">
        <v>0</v>
      </c>
      <c r="F844" s="320"/>
      <c r="G844" s="4"/>
      <c r="H844" s="47">
        <v>0.375</v>
      </c>
      <c r="I844" s="47">
        <v>0.25</v>
      </c>
      <c r="J844" s="319">
        <v>8</v>
      </c>
      <c r="K844" s="320"/>
      <c r="L844" s="4"/>
      <c r="M844" s="47">
        <v>0</v>
      </c>
      <c r="N844" s="47">
        <v>0</v>
      </c>
      <c r="O844" s="319">
        <v>0</v>
      </c>
      <c r="P844" s="320"/>
      <c r="R844" s="47">
        <v>0.375</v>
      </c>
      <c r="S844" s="47">
        <v>0.41666666666666669</v>
      </c>
      <c r="T844" s="319">
        <v>1</v>
      </c>
      <c r="U844" s="320"/>
      <c r="W844" s="47">
        <v>0</v>
      </c>
      <c r="X844" s="47">
        <v>0</v>
      </c>
      <c r="Y844" s="319">
        <v>0</v>
      </c>
      <c r="Z844" s="320"/>
      <c r="AA844" s="328">
        <f t="shared" si="135"/>
        <v>9</v>
      </c>
      <c r="AB844" s="298">
        <f t="shared" si="136"/>
        <v>0</v>
      </c>
      <c r="AC844" s="4"/>
      <c r="AD844" s="47"/>
      <c r="AE844" s="47"/>
      <c r="AF844" s="319"/>
      <c r="AG844" s="29">
        <f t="shared" si="137"/>
        <v>0</v>
      </c>
    </row>
    <row r="845" spans="1:49" ht="13.5" customHeight="1" outlineLevel="1">
      <c r="A845" s="180"/>
      <c r="B845" s="180" t="s">
        <v>521</v>
      </c>
      <c r="C845" s="47">
        <v>0.375</v>
      </c>
      <c r="D845" s="47">
        <v>0.25</v>
      </c>
      <c r="E845" s="319">
        <v>8</v>
      </c>
      <c r="F845" s="320"/>
      <c r="G845" s="4"/>
      <c r="H845" s="47">
        <v>0.375</v>
      </c>
      <c r="I845" s="47">
        <v>0.25</v>
      </c>
      <c r="J845" s="319">
        <v>8</v>
      </c>
      <c r="K845" s="320"/>
      <c r="L845" s="4"/>
      <c r="M845" s="47">
        <v>0.375</v>
      </c>
      <c r="N845" s="47">
        <v>8.3333333333333329E-2</v>
      </c>
      <c r="O845" s="319">
        <v>5</v>
      </c>
      <c r="P845" s="320"/>
      <c r="R845" s="47">
        <v>0</v>
      </c>
      <c r="S845" s="47">
        <v>0</v>
      </c>
      <c r="T845" s="319">
        <v>0</v>
      </c>
      <c r="U845" s="320"/>
      <c r="W845" s="47">
        <v>0</v>
      </c>
      <c r="X845" s="47">
        <v>0</v>
      </c>
      <c r="Y845" s="319">
        <v>0</v>
      </c>
      <c r="Z845" s="320"/>
      <c r="AA845" s="328">
        <f t="shared" si="135"/>
        <v>21</v>
      </c>
      <c r="AB845" s="298">
        <f t="shared" si="136"/>
        <v>0</v>
      </c>
      <c r="AC845" s="4"/>
      <c r="AD845" s="47"/>
      <c r="AE845" s="47"/>
      <c r="AF845" s="319"/>
      <c r="AG845" s="29">
        <f t="shared" si="137"/>
        <v>0</v>
      </c>
    </row>
    <row r="846" spans="1:49" ht="13.5" customHeight="1" outlineLevel="1">
      <c r="A846" s="180"/>
      <c r="B846" s="585" t="s">
        <v>522</v>
      </c>
      <c r="C846" s="47">
        <v>0.375</v>
      </c>
      <c r="D846" s="565">
        <v>0.25</v>
      </c>
      <c r="E846" s="319">
        <v>8</v>
      </c>
      <c r="F846" s="320"/>
      <c r="G846" s="4"/>
      <c r="H846" s="47">
        <v>0</v>
      </c>
      <c r="I846" s="565">
        <v>0</v>
      </c>
      <c r="J846" s="319">
        <v>0</v>
      </c>
      <c r="K846" s="320"/>
      <c r="L846" s="4"/>
      <c r="M846" s="47">
        <v>0.375</v>
      </c>
      <c r="N846" s="47">
        <v>8.3333333333333329E-2</v>
      </c>
      <c r="O846" s="319">
        <v>5</v>
      </c>
      <c r="P846" s="320"/>
      <c r="R846" s="47">
        <v>0</v>
      </c>
      <c r="S846" s="565">
        <v>0</v>
      </c>
      <c r="T846" s="319">
        <v>0</v>
      </c>
      <c r="U846" s="320"/>
      <c r="W846" s="47">
        <v>0</v>
      </c>
      <c r="X846" s="565">
        <v>0</v>
      </c>
      <c r="Y846" s="319">
        <v>0</v>
      </c>
      <c r="Z846" s="320"/>
      <c r="AA846" s="328">
        <f t="shared" si="135"/>
        <v>13</v>
      </c>
      <c r="AB846" s="298">
        <f t="shared" si="136"/>
        <v>0</v>
      </c>
      <c r="AC846" s="4"/>
      <c r="AD846" s="47"/>
      <c r="AE846" s="47"/>
      <c r="AF846" s="319"/>
      <c r="AG846" s="29">
        <f t="shared" si="137"/>
        <v>0</v>
      </c>
    </row>
    <row r="847" spans="1:49" ht="13.5" customHeight="1" outlineLevel="1">
      <c r="A847" s="180"/>
      <c r="B847" s="437" t="s">
        <v>523</v>
      </c>
      <c r="C847" s="47">
        <v>0.375</v>
      </c>
      <c r="D847" s="565">
        <v>0.25</v>
      </c>
      <c r="E847" s="319">
        <v>8</v>
      </c>
      <c r="F847" s="320"/>
      <c r="G847" s="4"/>
      <c r="H847" s="47">
        <v>0</v>
      </c>
      <c r="I847" s="565">
        <v>0</v>
      </c>
      <c r="J847" s="319">
        <v>0</v>
      </c>
      <c r="K847" s="320"/>
      <c r="L847" s="4"/>
      <c r="M847" s="47">
        <v>0.375</v>
      </c>
      <c r="N847" s="47">
        <v>8.3333333333333329E-2</v>
      </c>
      <c r="O847" s="319">
        <v>5</v>
      </c>
      <c r="P847" s="320"/>
      <c r="R847" s="47">
        <v>0.375</v>
      </c>
      <c r="S847" s="565">
        <v>0.25</v>
      </c>
      <c r="T847" s="319">
        <v>8</v>
      </c>
      <c r="U847" s="320"/>
      <c r="W847" s="47">
        <v>0.375</v>
      </c>
      <c r="X847" s="565">
        <v>0.25</v>
      </c>
      <c r="Y847" s="319">
        <v>8</v>
      </c>
      <c r="Z847" s="320"/>
      <c r="AA847" s="328">
        <f t="shared" si="135"/>
        <v>29</v>
      </c>
      <c r="AB847" s="298">
        <f t="shared" si="136"/>
        <v>0</v>
      </c>
      <c r="AC847" s="4"/>
      <c r="AD847" s="47"/>
      <c r="AE847" s="47"/>
      <c r="AF847" s="319"/>
      <c r="AG847" s="29">
        <f t="shared" si="137"/>
        <v>0</v>
      </c>
    </row>
    <row r="848" spans="1:49" ht="13.5" customHeight="1" outlineLevel="1">
      <c r="A848" s="180"/>
      <c r="B848" s="437" t="s">
        <v>524</v>
      </c>
      <c r="C848" s="47">
        <v>0</v>
      </c>
      <c r="D848" s="565">
        <v>0</v>
      </c>
      <c r="E848" s="319">
        <v>0</v>
      </c>
      <c r="F848" s="320"/>
      <c r="G848" s="4"/>
      <c r="H848" s="47">
        <v>0</v>
      </c>
      <c r="I848" s="565">
        <v>0</v>
      </c>
      <c r="J848" s="319">
        <v>0</v>
      </c>
      <c r="K848" s="320"/>
      <c r="L848" s="4"/>
      <c r="M848" s="47">
        <v>0.375</v>
      </c>
      <c r="N848" s="47">
        <v>8.3333333333333329E-2</v>
      </c>
      <c r="O848" s="319">
        <v>5</v>
      </c>
      <c r="P848" s="320"/>
      <c r="R848" s="47">
        <v>0.375</v>
      </c>
      <c r="S848" s="565">
        <v>0.25</v>
      </c>
      <c r="T848" s="319">
        <v>8</v>
      </c>
      <c r="U848" s="320"/>
      <c r="W848" s="47">
        <v>0.375</v>
      </c>
      <c r="X848" s="565">
        <v>0.25</v>
      </c>
      <c r="Y848" s="319">
        <v>8</v>
      </c>
      <c r="Z848" s="320"/>
      <c r="AA848" s="328">
        <f t="shared" si="135"/>
        <v>21</v>
      </c>
      <c r="AB848" s="298">
        <f t="shared" si="136"/>
        <v>0</v>
      </c>
      <c r="AC848" s="4"/>
      <c r="AD848" s="47"/>
      <c r="AE848" s="47"/>
      <c r="AF848" s="319"/>
      <c r="AG848" s="29">
        <f t="shared" si="137"/>
        <v>0</v>
      </c>
    </row>
    <row r="849" spans="1:37" ht="13.5" customHeight="1" outlineLevel="1">
      <c r="A849" s="180"/>
      <c r="B849" s="437" t="s">
        <v>525</v>
      </c>
      <c r="C849" s="47">
        <v>0.375</v>
      </c>
      <c r="D849" s="565">
        <v>0.25</v>
      </c>
      <c r="E849" s="319">
        <v>8</v>
      </c>
      <c r="F849" s="320"/>
      <c r="G849" s="4"/>
      <c r="H849" s="47">
        <v>0.375</v>
      </c>
      <c r="I849" s="565">
        <v>0.25</v>
      </c>
      <c r="J849" s="319">
        <v>8</v>
      </c>
      <c r="K849" s="320"/>
      <c r="L849" s="4"/>
      <c r="M849" s="47">
        <v>0.375</v>
      </c>
      <c r="N849" s="47">
        <v>8.3333333333333329E-2</v>
      </c>
      <c r="O849" s="319">
        <v>5</v>
      </c>
      <c r="P849" s="320"/>
      <c r="R849" s="47">
        <v>0.375</v>
      </c>
      <c r="S849" s="565">
        <v>0.25</v>
      </c>
      <c r="T849" s="319">
        <v>8</v>
      </c>
      <c r="U849" s="320"/>
      <c r="W849" s="47">
        <v>0.375</v>
      </c>
      <c r="X849" s="565">
        <v>0.25</v>
      </c>
      <c r="Y849" s="319">
        <v>8</v>
      </c>
      <c r="Z849" s="320"/>
      <c r="AA849" s="328">
        <f t="shared" si="135"/>
        <v>37</v>
      </c>
      <c r="AB849" s="298">
        <f t="shared" si="136"/>
        <v>0</v>
      </c>
      <c r="AC849" s="4"/>
      <c r="AD849" s="47"/>
      <c r="AE849" s="47"/>
      <c r="AF849" s="319"/>
      <c r="AG849" s="29">
        <f t="shared" si="137"/>
        <v>0</v>
      </c>
    </row>
    <row r="850" spans="1:37" ht="13.5" customHeight="1" outlineLevel="1">
      <c r="A850" s="180"/>
      <c r="B850" s="437" t="s">
        <v>505</v>
      </c>
      <c r="C850" s="47">
        <v>0</v>
      </c>
      <c r="D850" s="565">
        <v>0</v>
      </c>
      <c r="E850" s="319">
        <v>0</v>
      </c>
      <c r="F850" s="320"/>
      <c r="G850" s="4"/>
      <c r="H850" s="47">
        <v>0</v>
      </c>
      <c r="I850" s="565">
        <v>0</v>
      </c>
      <c r="J850" s="319">
        <v>0</v>
      </c>
      <c r="K850" s="320"/>
      <c r="L850" s="4"/>
      <c r="M850" s="47">
        <v>0</v>
      </c>
      <c r="N850" s="565">
        <v>0</v>
      </c>
      <c r="O850" s="319">
        <v>0</v>
      </c>
      <c r="P850" s="320"/>
      <c r="R850" s="47">
        <v>0</v>
      </c>
      <c r="S850" s="565">
        <v>0</v>
      </c>
      <c r="T850" s="319">
        <v>0</v>
      </c>
      <c r="U850" s="320"/>
      <c r="W850" s="47">
        <v>0</v>
      </c>
      <c r="X850" s="565">
        <v>0</v>
      </c>
      <c r="Y850" s="319">
        <v>0</v>
      </c>
      <c r="Z850" s="320"/>
      <c r="AA850" s="328">
        <f t="shared" si="135"/>
        <v>0</v>
      </c>
      <c r="AB850" s="298">
        <f t="shared" si="136"/>
        <v>0</v>
      </c>
      <c r="AC850" s="4"/>
      <c r="AD850" s="47"/>
      <c r="AE850" s="47"/>
      <c r="AF850" s="319"/>
      <c r="AG850" s="29">
        <f t="shared" si="137"/>
        <v>0</v>
      </c>
    </row>
    <row r="851" spans="1:37" ht="13.5" customHeight="1" outlineLevel="1">
      <c r="A851" s="180"/>
      <c r="B851" s="437" t="s">
        <v>526</v>
      </c>
      <c r="C851" s="47">
        <v>0.375</v>
      </c>
      <c r="D851" s="565">
        <v>0.25</v>
      </c>
      <c r="E851" s="319">
        <v>8</v>
      </c>
      <c r="F851" s="320"/>
      <c r="G851" s="4"/>
      <c r="H851" s="47">
        <v>0.375</v>
      </c>
      <c r="I851" s="565">
        <v>0.25</v>
      </c>
      <c r="J851" s="319">
        <v>8</v>
      </c>
      <c r="K851" s="320"/>
      <c r="L851" s="4"/>
      <c r="M851" s="47">
        <v>0.375</v>
      </c>
      <c r="N851" s="47">
        <v>8.3333333333333329E-2</v>
      </c>
      <c r="O851" s="319">
        <v>5</v>
      </c>
      <c r="P851" s="320"/>
      <c r="R851" s="47">
        <v>0.375</v>
      </c>
      <c r="S851" s="565">
        <v>0.25</v>
      </c>
      <c r="T851" s="319">
        <v>8</v>
      </c>
      <c r="U851" s="320"/>
      <c r="W851" s="47">
        <v>0.375</v>
      </c>
      <c r="X851" s="565">
        <v>0.25</v>
      </c>
      <c r="Y851" s="319">
        <v>8</v>
      </c>
      <c r="Z851" s="320"/>
      <c r="AA851" s="328">
        <f t="shared" si="135"/>
        <v>37</v>
      </c>
      <c r="AB851" s="298">
        <f t="shared" si="136"/>
        <v>0</v>
      </c>
      <c r="AC851" s="4"/>
      <c r="AD851" s="47"/>
      <c r="AE851" s="47"/>
      <c r="AF851" s="319"/>
      <c r="AG851" s="29">
        <f t="shared" si="137"/>
        <v>0</v>
      </c>
    </row>
    <row r="852" spans="1:37" outlineLevel="1">
      <c r="A852" s="180"/>
      <c r="B852" s="502" t="s">
        <v>483</v>
      </c>
      <c r="C852" s="47"/>
      <c r="D852" s="47"/>
      <c r="E852" s="319">
        <v>0</v>
      </c>
      <c r="F852" s="320"/>
      <c r="G852" s="4"/>
      <c r="H852" s="47"/>
      <c r="I852" s="47"/>
      <c r="J852" s="319">
        <v>0</v>
      </c>
      <c r="K852" s="320"/>
      <c r="L852" s="4"/>
      <c r="M852" s="47"/>
      <c r="N852" s="47"/>
      <c r="O852" s="319">
        <v>0</v>
      </c>
      <c r="P852" s="320"/>
      <c r="R852" s="47"/>
      <c r="S852" s="47"/>
      <c r="T852" s="319">
        <v>8</v>
      </c>
      <c r="U852" s="320">
        <v>1.3</v>
      </c>
      <c r="W852" s="47"/>
      <c r="X852" s="47"/>
      <c r="Y852" s="319">
        <v>8</v>
      </c>
      <c r="Z852" s="320">
        <v>0.8</v>
      </c>
      <c r="AA852" s="328">
        <f t="shared" si="135"/>
        <v>16</v>
      </c>
      <c r="AB852" s="298">
        <f t="shared" si="136"/>
        <v>2.1</v>
      </c>
      <c r="AC852" s="4"/>
      <c r="AD852" s="47"/>
      <c r="AE852" s="47"/>
      <c r="AF852" s="319"/>
      <c r="AG852" s="29">
        <f t="shared" si="137"/>
        <v>0</v>
      </c>
    </row>
    <row r="853" spans="1:37" outlineLevel="1">
      <c r="A853" s="180"/>
      <c r="B853" s="502" t="s">
        <v>484</v>
      </c>
      <c r="C853" s="47"/>
      <c r="D853" s="47"/>
      <c r="E853" s="319">
        <v>0</v>
      </c>
      <c r="F853" s="320"/>
      <c r="G853" s="4"/>
      <c r="H853" s="47"/>
      <c r="I853" s="47"/>
      <c r="J853" s="319">
        <v>0</v>
      </c>
      <c r="K853" s="320"/>
      <c r="L853" s="4"/>
      <c r="M853" s="47"/>
      <c r="N853" s="47"/>
      <c r="O853" s="319">
        <v>0</v>
      </c>
      <c r="P853" s="320"/>
      <c r="R853" s="47"/>
      <c r="S853" s="47"/>
      <c r="T853" s="319">
        <v>8</v>
      </c>
      <c r="U853" s="320">
        <v>1.3</v>
      </c>
      <c r="W853" s="47"/>
      <c r="X853" s="47"/>
      <c r="Y853" s="319">
        <v>8</v>
      </c>
      <c r="Z853" s="320">
        <v>0.8</v>
      </c>
      <c r="AA853" s="328">
        <f t="shared" si="135"/>
        <v>16</v>
      </c>
      <c r="AB853" s="298">
        <f t="shared" si="136"/>
        <v>2.1</v>
      </c>
      <c r="AC853" s="4"/>
      <c r="AD853" s="47"/>
      <c r="AE853" s="47"/>
      <c r="AF853" s="319"/>
      <c r="AG853" s="29">
        <f t="shared" si="137"/>
        <v>0</v>
      </c>
    </row>
    <row r="854" spans="1:37" outlineLevel="1">
      <c r="A854" s="180"/>
      <c r="B854" s="502" t="s">
        <v>485</v>
      </c>
      <c r="C854" s="47"/>
      <c r="D854" s="47"/>
      <c r="E854" s="319">
        <v>0</v>
      </c>
      <c r="F854" s="320"/>
      <c r="G854" s="4"/>
      <c r="H854" s="47"/>
      <c r="I854" s="47"/>
      <c r="J854" s="319">
        <v>0</v>
      </c>
      <c r="K854" s="320"/>
      <c r="L854" s="4"/>
      <c r="M854" s="47"/>
      <c r="N854" s="47"/>
      <c r="O854" s="319">
        <v>0</v>
      </c>
      <c r="P854" s="320"/>
      <c r="R854" s="47"/>
      <c r="S854" s="47"/>
      <c r="T854" s="319">
        <v>8</v>
      </c>
      <c r="U854" s="320">
        <v>1.3</v>
      </c>
      <c r="W854" s="47"/>
      <c r="X854" s="47"/>
      <c r="Y854" s="319">
        <v>8</v>
      </c>
      <c r="Z854" s="320">
        <v>0.8</v>
      </c>
      <c r="AA854" s="328">
        <f t="shared" si="135"/>
        <v>16</v>
      </c>
      <c r="AB854" s="298">
        <f t="shared" si="136"/>
        <v>2.1</v>
      </c>
      <c r="AC854" s="4"/>
      <c r="AD854" s="47"/>
      <c r="AE854" s="47"/>
      <c r="AF854" s="319"/>
      <c r="AG854" s="29">
        <f t="shared" si="137"/>
        <v>0</v>
      </c>
    </row>
    <row r="855" spans="1:37" outlineLevel="1">
      <c r="A855" s="180"/>
      <c r="B855" s="502" t="s">
        <v>486</v>
      </c>
      <c r="C855" s="47"/>
      <c r="D855" s="47"/>
      <c r="E855" s="319"/>
      <c r="F855" s="320"/>
      <c r="G855" s="4"/>
      <c r="H855" s="47"/>
      <c r="I855" s="47"/>
      <c r="J855" s="319"/>
      <c r="K855" s="320"/>
      <c r="L855" s="4"/>
      <c r="M855" s="47"/>
      <c r="N855" s="47"/>
      <c r="O855" s="319"/>
      <c r="P855" s="320"/>
      <c r="R855" s="47"/>
      <c r="S855" s="47"/>
      <c r="T855" s="319">
        <v>4</v>
      </c>
      <c r="U855" s="320"/>
      <c r="W855" s="47"/>
      <c r="X855" s="47"/>
      <c r="Y855" s="319"/>
      <c r="Z855" s="320"/>
      <c r="AA855" s="328">
        <f t="shared" si="135"/>
        <v>4</v>
      </c>
      <c r="AB855" s="298">
        <f t="shared" si="136"/>
        <v>0</v>
      </c>
      <c r="AC855" s="4"/>
      <c r="AD855" s="47"/>
      <c r="AE855" s="47"/>
      <c r="AF855" s="319"/>
      <c r="AG855" s="29">
        <f t="shared" si="137"/>
        <v>0</v>
      </c>
    </row>
    <row r="856" spans="1:37" outlineLevel="1">
      <c r="A856" s="180"/>
      <c r="B856" s="63" t="s">
        <v>63</v>
      </c>
      <c r="C856" s="47" t="s">
        <v>137</v>
      </c>
      <c r="D856" s="47"/>
      <c r="E856" s="319">
        <v>0</v>
      </c>
      <c r="F856" s="320"/>
      <c r="G856" s="4"/>
      <c r="H856" s="47"/>
      <c r="I856" s="47"/>
      <c r="J856" s="319">
        <v>8</v>
      </c>
      <c r="K856" s="320">
        <v>0.5</v>
      </c>
      <c r="L856" s="4"/>
      <c r="M856" s="47"/>
      <c r="N856" s="47"/>
      <c r="O856" s="319">
        <v>8</v>
      </c>
      <c r="P856" s="320">
        <v>0.5</v>
      </c>
      <c r="R856" s="47"/>
      <c r="S856" s="47"/>
      <c r="T856" s="319">
        <v>7</v>
      </c>
      <c r="U856" s="320"/>
      <c r="W856" s="47"/>
      <c r="X856" s="47"/>
      <c r="Y856" s="319">
        <v>8</v>
      </c>
      <c r="Z856" s="320">
        <v>1</v>
      </c>
      <c r="AA856" s="328">
        <f t="shared" si="135"/>
        <v>31</v>
      </c>
      <c r="AB856" s="298">
        <f t="shared" si="136"/>
        <v>2</v>
      </c>
      <c r="AC856" s="4"/>
      <c r="AD856" s="47"/>
      <c r="AE856" s="47"/>
      <c r="AF856" s="319"/>
      <c r="AG856" s="29">
        <f t="shared" si="137"/>
        <v>0</v>
      </c>
    </row>
    <row r="857" spans="1:37" outlineLevel="1">
      <c r="A857" s="180"/>
      <c r="B857" s="63" t="s">
        <v>487</v>
      </c>
      <c r="C857" s="47"/>
      <c r="D857" s="47"/>
      <c r="E857" s="319"/>
      <c r="F857" s="320"/>
      <c r="G857" s="438"/>
      <c r="H857" s="47"/>
      <c r="I857" s="47"/>
      <c r="J857" s="319"/>
      <c r="K857" s="320"/>
      <c r="L857" s="438"/>
      <c r="M857" s="47"/>
      <c r="N857" s="47"/>
      <c r="O857" s="319"/>
      <c r="P857" s="320"/>
      <c r="Q857" s="438"/>
      <c r="R857" s="47"/>
      <c r="S857" s="47"/>
      <c r="T857" s="319"/>
      <c r="U857" s="320"/>
      <c r="V857" s="438"/>
      <c r="W857" s="47"/>
      <c r="X857" s="47"/>
      <c r="Y857" s="319"/>
      <c r="Z857" s="320"/>
      <c r="AA857" s="328">
        <f t="shared" si="135"/>
        <v>0</v>
      </c>
      <c r="AB857" s="298">
        <f t="shared" si="136"/>
        <v>0</v>
      </c>
      <c r="AC857" s="4"/>
      <c r="AD857" s="47"/>
      <c r="AE857" s="47"/>
      <c r="AF857" s="319"/>
      <c r="AG857" s="29">
        <f t="shared" si="137"/>
        <v>0</v>
      </c>
      <c r="AK857" s="407"/>
    </row>
    <row r="858" spans="1:37" outlineLevel="1">
      <c r="A858" s="180"/>
      <c r="B858" s="267" t="s">
        <v>358</v>
      </c>
      <c r="C858" s="47"/>
      <c r="D858" s="47"/>
      <c r="E858" s="319">
        <v>8</v>
      </c>
      <c r="F858" s="320"/>
      <c r="G858" s="438"/>
      <c r="H858" s="47"/>
      <c r="I858" s="47"/>
      <c r="J858" s="319">
        <v>8</v>
      </c>
      <c r="K858" s="320"/>
      <c r="L858" s="438"/>
      <c r="M858" s="47"/>
      <c r="N858" s="47"/>
      <c r="O858" s="319">
        <v>8</v>
      </c>
      <c r="P858" s="320"/>
      <c r="Q858" s="438"/>
      <c r="R858" s="47"/>
      <c r="S858" s="47"/>
      <c r="T858" s="319">
        <v>8</v>
      </c>
      <c r="U858" s="320"/>
      <c r="V858" s="438"/>
      <c r="W858" s="47"/>
      <c r="X858" s="47"/>
      <c r="Y858" s="319">
        <v>8</v>
      </c>
      <c r="Z858" s="320"/>
      <c r="AA858" s="328">
        <f t="shared" si="135"/>
        <v>40</v>
      </c>
      <c r="AB858" s="298">
        <f t="shared" si="136"/>
        <v>0</v>
      </c>
      <c r="AC858" s="4"/>
      <c r="AD858" s="47"/>
      <c r="AE858" s="47"/>
      <c r="AF858" s="319"/>
      <c r="AG858" s="29">
        <f t="shared" si="137"/>
        <v>0</v>
      </c>
      <c r="AK858" s="407"/>
    </row>
    <row r="859" spans="1:37" outlineLevel="1">
      <c r="A859" s="180"/>
      <c r="B859" s="267" t="s">
        <v>359</v>
      </c>
      <c r="C859" s="47"/>
      <c r="D859" s="47"/>
      <c r="E859" s="319"/>
      <c r="F859" s="320"/>
      <c r="G859" s="438"/>
      <c r="H859" s="47"/>
      <c r="I859" s="47"/>
      <c r="J859" s="319"/>
      <c r="K859" s="320"/>
      <c r="L859" s="438"/>
      <c r="M859" s="47"/>
      <c r="N859" s="47"/>
      <c r="O859" s="319"/>
      <c r="P859" s="320"/>
      <c r="Q859" s="438"/>
      <c r="R859" s="47"/>
      <c r="S859" s="47"/>
      <c r="T859" s="319"/>
      <c r="U859" s="320"/>
      <c r="V859" s="438"/>
      <c r="W859" s="47"/>
      <c r="X859" s="47"/>
      <c r="Y859" s="319"/>
      <c r="Z859" s="320"/>
      <c r="AA859" s="328">
        <f t="shared" si="135"/>
        <v>0</v>
      </c>
      <c r="AB859" s="298">
        <f t="shared" si="136"/>
        <v>0</v>
      </c>
      <c r="AC859" s="4"/>
      <c r="AD859" s="47"/>
      <c r="AE859" s="47"/>
      <c r="AF859" s="319"/>
      <c r="AG859" s="29">
        <f t="shared" si="137"/>
        <v>0</v>
      </c>
      <c r="AK859" s="407"/>
    </row>
    <row r="860" spans="1:37" outlineLevel="1">
      <c r="A860" s="180"/>
      <c r="B860" s="267" t="s">
        <v>411</v>
      </c>
      <c r="C860" s="47"/>
      <c r="D860" s="47"/>
      <c r="E860" s="319"/>
      <c r="F860" s="320"/>
      <c r="G860" s="438"/>
      <c r="H860" s="47"/>
      <c r="I860" s="47"/>
      <c r="J860" s="319"/>
      <c r="K860" s="320"/>
      <c r="L860" s="438"/>
      <c r="M860" s="47"/>
      <c r="N860" s="47"/>
      <c r="O860" s="319"/>
      <c r="P860" s="320"/>
      <c r="Q860" s="438"/>
      <c r="R860" s="47"/>
      <c r="S860" s="47"/>
      <c r="T860" s="319"/>
      <c r="U860" s="320"/>
      <c r="V860" s="438"/>
      <c r="W860" s="47"/>
      <c r="X860" s="47"/>
      <c r="Y860" s="319"/>
      <c r="Z860" s="320"/>
      <c r="AA860" s="328">
        <f t="shared" si="135"/>
        <v>0</v>
      </c>
      <c r="AB860" s="298">
        <f t="shared" si="136"/>
        <v>0</v>
      </c>
      <c r="AC860" s="4"/>
      <c r="AD860" s="47"/>
      <c r="AE860" s="47"/>
      <c r="AF860" s="319"/>
      <c r="AG860" s="29">
        <f t="shared" si="137"/>
        <v>0</v>
      </c>
      <c r="AK860" s="407"/>
    </row>
    <row r="861" spans="1:37" outlineLevel="1">
      <c r="A861" s="180"/>
      <c r="B861" s="267" t="s">
        <v>361</v>
      </c>
      <c r="C861" s="47"/>
      <c r="D861" s="47"/>
      <c r="E861" s="319"/>
      <c r="F861" s="320"/>
      <c r="G861" s="438"/>
      <c r="H861" s="47"/>
      <c r="I861" s="47"/>
      <c r="J861" s="319"/>
      <c r="K861" s="320"/>
      <c r="L861" s="438"/>
      <c r="M861" s="47"/>
      <c r="N861" s="47"/>
      <c r="O861" s="319"/>
      <c r="P861" s="320"/>
      <c r="Q861" s="438"/>
      <c r="R861" s="47"/>
      <c r="S861" s="47"/>
      <c r="T861" s="319"/>
      <c r="U861" s="320"/>
      <c r="V861" s="438"/>
      <c r="W861" s="47"/>
      <c r="X861" s="47"/>
      <c r="Y861" s="319"/>
      <c r="Z861" s="320"/>
      <c r="AA861" s="328">
        <f t="shared" si="135"/>
        <v>0</v>
      </c>
      <c r="AB861" s="298">
        <f t="shared" si="136"/>
        <v>0</v>
      </c>
      <c r="AC861" s="4"/>
      <c r="AD861" s="47"/>
      <c r="AE861" s="47"/>
      <c r="AF861" s="319"/>
      <c r="AG861" s="29">
        <f t="shared" si="137"/>
        <v>0</v>
      </c>
      <c r="AK861" s="407"/>
    </row>
    <row r="862" spans="1:37" outlineLevel="1">
      <c r="A862" s="180"/>
      <c r="B862" s="267" t="s">
        <v>362</v>
      </c>
      <c r="C862" s="47"/>
      <c r="D862" s="47"/>
      <c r="E862" s="319">
        <v>4</v>
      </c>
      <c r="F862" s="320"/>
      <c r="G862" s="438"/>
      <c r="H862" s="47"/>
      <c r="I862" s="47"/>
      <c r="J862" s="319">
        <v>4</v>
      </c>
      <c r="K862" s="320"/>
      <c r="L862" s="438"/>
      <c r="M862" s="47"/>
      <c r="N862" s="47"/>
      <c r="O862" s="319">
        <v>4</v>
      </c>
      <c r="P862" s="320"/>
      <c r="Q862" s="438"/>
      <c r="R862" s="47"/>
      <c r="S862" s="47"/>
      <c r="T862" s="319">
        <v>4</v>
      </c>
      <c r="U862" s="320"/>
      <c r="V862" s="438"/>
      <c r="W862" s="47"/>
      <c r="X862" s="47"/>
      <c r="Y862" s="319">
        <v>4</v>
      </c>
      <c r="Z862" s="320"/>
      <c r="AA862" s="328">
        <f t="shared" si="135"/>
        <v>20</v>
      </c>
      <c r="AB862" s="298">
        <f t="shared" si="136"/>
        <v>0</v>
      </c>
      <c r="AC862" s="4"/>
      <c r="AD862" s="47"/>
      <c r="AE862" s="47"/>
      <c r="AF862" s="319"/>
      <c r="AG862" s="29">
        <f t="shared" si="137"/>
        <v>0</v>
      </c>
      <c r="AK862" s="407"/>
    </row>
    <row r="863" spans="1:37" outlineLevel="1">
      <c r="A863" s="180"/>
      <c r="B863" s="437" t="s">
        <v>355</v>
      </c>
      <c r="C863" s="47"/>
      <c r="D863" s="47"/>
      <c r="E863" s="319"/>
      <c r="F863" s="320"/>
      <c r="G863" s="438"/>
      <c r="H863" s="47"/>
      <c r="I863" s="47"/>
      <c r="J863" s="319"/>
      <c r="K863" s="320"/>
      <c r="L863" s="438"/>
      <c r="M863" s="47"/>
      <c r="N863" s="47"/>
      <c r="O863" s="319"/>
      <c r="P863" s="320"/>
      <c r="Q863" s="438"/>
      <c r="R863" s="47"/>
      <c r="S863" s="47"/>
      <c r="T863" s="319">
        <v>7.7</v>
      </c>
      <c r="U863" s="320"/>
      <c r="V863" s="438"/>
      <c r="W863" s="47"/>
      <c r="X863" s="47"/>
      <c r="Y863" s="319">
        <v>7.7</v>
      </c>
      <c r="Z863" s="320"/>
      <c r="AA863" s="328">
        <f t="shared" si="135"/>
        <v>15.4</v>
      </c>
      <c r="AB863" s="298">
        <f t="shared" si="136"/>
        <v>0</v>
      </c>
      <c r="AC863" s="4"/>
      <c r="AD863" s="47"/>
      <c r="AE863" s="47"/>
      <c r="AF863" s="319"/>
      <c r="AG863" s="29">
        <f t="shared" si="137"/>
        <v>0</v>
      </c>
      <c r="AK863" s="407"/>
    </row>
    <row r="864" spans="1:37" outlineLevel="1">
      <c r="A864" s="180"/>
      <c r="B864" s="437" t="s">
        <v>356</v>
      </c>
      <c r="C864" s="47"/>
      <c r="D864" s="47"/>
      <c r="E864" s="319"/>
      <c r="F864" s="320"/>
      <c r="G864" s="438"/>
      <c r="H864" s="47"/>
      <c r="I864" s="47"/>
      <c r="J864" s="319"/>
      <c r="K864" s="320"/>
      <c r="L864" s="438"/>
      <c r="M864" s="47"/>
      <c r="N864" s="47"/>
      <c r="O864" s="319">
        <v>75.2</v>
      </c>
      <c r="P864" s="320"/>
      <c r="Q864" s="438"/>
      <c r="R864" s="47"/>
      <c r="S864" s="47"/>
      <c r="T864" s="319">
        <v>8.6</v>
      </c>
      <c r="U864" s="320"/>
      <c r="V864" s="438"/>
      <c r="W864" s="47"/>
      <c r="X864" s="47"/>
      <c r="Y864" s="319"/>
      <c r="Z864" s="320"/>
      <c r="AA864" s="328">
        <f t="shared" si="135"/>
        <v>83.8</v>
      </c>
      <c r="AB864" s="298">
        <f t="shared" si="136"/>
        <v>0</v>
      </c>
      <c r="AC864" s="4"/>
      <c r="AD864" s="47"/>
      <c r="AE864" s="47"/>
      <c r="AF864" s="319"/>
      <c r="AG864" s="29">
        <f t="shared" si="137"/>
        <v>0</v>
      </c>
      <c r="AK864" s="407"/>
    </row>
    <row r="865" spans="1:49" outlineLevel="1">
      <c r="A865" s="180"/>
      <c r="B865" s="64" t="s">
        <v>61</v>
      </c>
      <c r="C865" s="31"/>
      <c r="D865" s="31"/>
      <c r="E865" s="439">
        <f>SUM(E830:E864)</f>
        <v>92</v>
      </c>
      <c r="F865" s="320">
        <f>SUM(F830:F864)</f>
        <v>0</v>
      </c>
      <c r="G865" s="31"/>
      <c r="H865" s="31"/>
      <c r="I865" s="31"/>
      <c r="J865" s="439">
        <f>SUM(J830:J864)</f>
        <v>84</v>
      </c>
      <c r="K865" s="320">
        <f>SUM(K830:K864)</f>
        <v>0.5</v>
      </c>
      <c r="L865" s="31"/>
      <c r="M865" s="31"/>
      <c r="N865" s="31"/>
      <c r="O865" s="439">
        <f>SUM(O830:O864)</f>
        <v>146.69999999999999</v>
      </c>
      <c r="P865" s="320">
        <f>SUM(P830:P864)</f>
        <v>0.5</v>
      </c>
      <c r="Q865" s="31"/>
      <c r="R865" s="31"/>
      <c r="S865" s="31"/>
      <c r="T865" s="439">
        <f>SUM(T830:T864)</f>
        <v>113.8</v>
      </c>
      <c r="U865" s="320">
        <f>SUM(U830:U864)</f>
        <v>3.9000000000000004</v>
      </c>
      <c r="V865" s="31"/>
      <c r="W865" s="31"/>
      <c r="X865" s="31"/>
      <c r="Y865" s="439">
        <f>SUM(Y830:Y864)</f>
        <v>103.7</v>
      </c>
      <c r="Z865" s="320">
        <f>SUM(Z830:Z864)</f>
        <v>3.4000000000000004</v>
      </c>
      <c r="AA865" s="370">
        <f>SUM(AA830:AA864)</f>
        <v>540.19999999999993</v>
      </c>
      <c r="AB865" s="370">
        <f>SUM(AB830:AB864)</f>
        <v>8.3000000000000007</v>
      </c>
      <c r="AC865" s="4"/>
      <c r="AD865" s="64"/>
      <c r="AE865" s="64"/>
      <c r="AF865" s="370">
        <f>SUM(AF830:AF864)</f>
        <v>0</v>
      </c>
      <c r="AG865" s="370">
        <f>SUM(AG830:AG864)</f>
        <v>0</v>
      </c>
    </row>
    <row r="866" spans="1:49" outlineLevel="1">
      <c r="A866" s="180"/>
      <c r="B866" s="63" t="s">
        <v>64</v>
      </c>
      <c r="C866" s="47"/>
      <c r="D866" s="47"/>
      <c r="E866" s="319">
        <v>8.75</v>
      </c>
      <c r="F866" s="291"/>
      <c r="G866" s="60"/>
      <c r="H866" s="47"/>
      <c r="I866" s="47"/>
      <c r="J866" s="319">
        <v>9</v>
      </c>
      <c r="K866" s="291"/>
      <c r="L866" s="60"/>
      <c r="M866" s="47"/>
      <c r="N866" s="47"/>
      <c r="O866" s="319">
        <v>10</v>
      </c>
      <c r="P866" s="19"/>
      <c r="Q866" s="60"/>
      <c r="R866" s="47"/>
      <c r="S866" s="47"/>
      <c r="T866" s="319">
        <v>9.25</v>
      </c>
      <c r="U866" s="19"/>
      <c r="V866" s="60"/>
      <c r="W866" s="47"/>
      <c r="X866" s="47"/>
      <c r="Y866" s="319">
        <v>10.25</v>
      </c>
      <c r="Z866" s="19"/>
      <c r="AA866" s="28">
        <f>SUM(E866+J866+O866+T866+Y866)</f>
        <v>47.25</v>
      </c>
      <c r="AB866" s="296">
        <f>Z866+U866+P866+K866+F866</f>
        <v>0</v>
      </c>
      <c r="AC866" s="4"/>
      <c r="AD866" s="47" t="s">
        <v>29</v>
      </c>
      <c r="AE866" s="47" t="s">
        <v>29</v>
      </c>
      <c r="AF866" s="319">
        <v>0.5</v>
      </c>
      <c r="AG866" s="29">
        <f>AF866</f>
        <v>0.5</v>
      </c>
    </row>
    <row r="867" spans="1:49" outlineLevel="1">
      <c r="A867" s="180"/>
      <c r="B867" s="71" t="s">
        <v>66</v>
      </c>
      <c r="C867" s="371"/>
      <c r="D867" s="371"/>
      <c r="E867" s="71"/>
      <c r="F867" s="71"/>
      <c r="G867" s="71"/>
      <c r="H867" s="71"/>
      <c r="I867" s="71"/>
      <c r="J867" s="71"/>
      <c r="K867" s="71"/>
      <c r="L867" s="71"/>
      <c r="M867" s="71"/>
      <c r="N867" s="71"/>
      <c r="O867" s="71"/>
      <c r="P867" s="71"/>
      <c r="Q867" s="71"/>
      <c r="R867" s="71"/>
      <c r="S867" s="71"/>
      <c r="T867" s="71"/>
      <c r="U867" s="71"/>
      <c r="V867" s="71"/>
      <c r="W867" s="71"/>
      <c r="X867" s="71"/>
      <c r="Y867" s="71"/>
      <c r="Z867" s="71"/>
      <c r="AA867" s="370">
        <f>SUM(AA866:AA866)</f>
        <v>47.25</v>
      </c>
      <c r="AB867" s="370">
        <f>SUM(AB866:AB866)</f>
        <v>0</v>
      </c>
      <c r="AC867" s="4"/>
      <c r="AG867" s="370">
        <f>SUM(AG866:AG866)</f>
        <v>0.5</v>
      </c>
    </row>
    <row r="868" spans="1:49" outlineLevel="1">
      <c r="A868" s="180"/>
      <c r="B868" s="217" t="s">
        <v>67</v>
      </c>
      <c r="C868" s="207">
        <f>C869+C870</f>
        <v>28</v>
      </c>
      <c r="D868" s="207"/>
      <c r="E868" s="209"/>
      <c r="F868" s="209"/>
      <c r="G868" s="207"/>
      <c r="H868" s="209"/>
      <c r="I868" s="209"/>
      <c r="J868" s="209"/>
      <c r="K868" s="209"/>
      <c r="L868" s="207"/>
      <c r="M868" s="207"/>
      <c r="N868" s="207"/>
      <c r="O868" s="207"/>
      <c r="P868" s="209"/>
      <c r="Q868" s="207"/>
      <c r="R868" s="207"/>
      <c r="S868" s="207"/>
      <c r="T868" s="207"/>
      <c r="U868" s="209"/>
      <c r="V868" s="207"/>
      <c r="W868" s="207"/>
      <c r="X868" s="207"/>
      <c r="Y868" s="210"/>
      <c r="Z868" s="209"/>
      <c r="AA868" s="211"/>
      <c r="AB868" s="209"/>
      <c r="AC868" s="211"/>
      <c r="AD868" s="211"/>
      <c r="AE868" s="211"/>
      <c r="AF868" s="211"/>
      <c r="AG868" s="211"/>
    </row>
    <row r="869" spans="1:49" outlineLevel="1">
      <c r="A869" s="180"/>
      <c r="B869" s="238" t="s">
        <v>68</v>
      </c>
      <c r="C869" s="239"/>
      <c r="D869" s="207"/>
      <c r="E869" s="209"/>
      <c r="F869" s="209"/>
      <c r="G869" s="207"/>
      <c r="H869" s="209"/>
      <c r="I869" s="209"/>
      <c r="J869" s="209"/>
      <c r="K869" s="209"/>
      <c r="L869" s="207"/>
      <c r="M869" s="207"/>
      <c r="N869" s="207"/>
      <c r="O869" s="207"/>
      <c r="P869" s="209"/>
      <c r="Q869" s="207"/>
      <c r="R869" s="207"/>
      <c r="S869" s="207"/>
      <c r="T869" s="207"/>
      <c r="U869" s="209"/>
      <c r="V869" s="207"/>
      <c r="W869" s="207"/>
      <c r="X869" s="207"/>
      <c r="Y869" s="210"/>
      <c r="Z869" s="209"/>
      <c r="AA869" s="211"/>
      <c r="AB869" s="209"/>
      <c r="AC869" s="211"/>
      <c r="AD869" s="211"/>
      <c r="AE869" s="211"/>
      <c r="AF869" s="211"/>
      <c r="AG869" s="211"/>
    </row>
    <row r="870" spans="1:49" outlineLevel="1">
      <c r="A870" s="180"/>
      <c r="B870" s="238" t="s">
        <v>69</v>
      </c>
      <c r="C870" s="239">
        <f>9+8+11</f>
        <v>28</v>
      </c>
      <c r="D870" s="207"/>
      <c r="E870" s="209"/>
      <c r="F870" s="209"/>
      <c r="G870" s="207"/>
      <c r="H870" s="209"/>
      <c r="I870" s="209"/>
      <c r="J870" s="209"/>
      <c r="K870" s="209"/>
      <c r="L870" s="207"/>
      <c r="M870" s="207"/>
      <c r="N870" s="207"/>
      <c r="O870" s="207"/>
      <c r="P870" s="209"/>
      <c r="Q870" s="207"/>
      <c r="R870" s="207"/>
      <c r="S870" s="207"/>
      <c r="T870" s="207"/>
      <c r="U870" s="209"/>
      <c r="V870" s="207"/>
      <c r="W870" s="207"/>
      <c r="X870" s="207"/>
      <c r="Y870" s="210"/>
      <c r="Z870" s="209"/>
      <c r="AA870" s="211"/>
      <c r="AB870" s="209"/>
      <c r="AC870" s="211"/>
      <c r="AD870" s="211"/>
      <c r="AE870" s="211"/>
      <c r="AF870" s="211"/>
      <c r="AG870" s="211"/>
    </row>
    <row r="871" spans="1:49" outlineLevel="1">
      <c r="B871" s="180"/>
      <c r="E871" s="4"/>
      <c r="F871" s="4"/>
      <c r="G871" s="4"/>
      <c r="J871" s="4"/>
      <c r="K871" s="4"/>
      <c r="L871" s="4"/>
      <c r="O871" s="4"/>
      <c r="P871" s="4"/>
      <c r="T871" s="4"/>
      <c r="U871" s="4"/>
      <c r="Y871" s="4"/>
      <c r="Z871" s="4"/>
      <c r="AA871" s="4"/>
      <c r="AB871" s="4"/>
      <c r="AC871" s="4"/>
    </row>
    <row r="872" spans="1:49" outlineLevel="1">
      <c r="B872" s="180"/>
      <c r="E872" s="4"/>
      <c r="F872" s="4"/>
      <c r="G872" s="4"/>
      <c r="J872" s="4"/>
      <c r="K872" s="4"/>
      <c r="L872" s="4"/>
      <c r="O872" s="4"/>
      <c r="P872" s="4"/>
      <c r="T872" s="4"/>
      <c r="U872" s="4"/>
      <c r="Y872" s="4"/>
      <c r="Z872" s="4"/>
      <c r="AA872" s="4"/>
      <c r="AB872" s="4"/>
      <c r="AC872" s="4"/>
    </row>
    <row r="873" spans="1:49">
      <c r="A873" s="180"/>
      <c r="B873" s="229"/>
      <c r="C873" s="230"/>
      <c r="D873" s="230"/>
      <c r="E873" s="232"/>
      <c r="F873" s="232"/>
      <c r="G873" s="230"/>
      <c r="H873" s="232"/>
      <c r="I873" s="232"/>
      <c r="J873" s="232"/>
      <c r="K873" s="232"/>
      <c r="L873" s="230"/>
      <c r="M873" s="230"/>
      <c r="N873" s="230"/>
      <c r="O873" s="230"/>
      <c r="P873" s="232"/>
      <c r="Q873" s="230"/>
      <c r="R873" s="230"/>
      <c r="S873" s="230"/>
      <c r="T873" s="230"/>
      <c r="U873" s="232"/>
      <c r="V873" s="230"/>
      <c r="W873" s="230"/>
      <c r="X873" s="230"/>
      <c r="Y873" s="233"/>
      <c r="Z873" s="232"/>
      <c r="AA873" s="234"/>
      <c r="AB873" s="232"/>
      <c r="AC873" s="373"/>
      <c r="AD873" s="236"/>
      <c r="AE873" s="255"/>
      <c r="AF873" s="255"/>
      <c r="AG873" s="255"/>
      <c r="AH873" s="255"/>
      <c r="AJ873" s="255"/>
      <c r="AK873" s="255"/>
      <c r="AL873" s="255"/>
      <c r="AM873" s="255"/>
      <c r="AN873" s="255"/>
      <c r="AO873" s="255"/>
      <c r="AP873" s="255"/>
      <c r="AQ873" s="255"/>
      <c r="AR873" s="255"/>
      <c r="AS873" s="255"/>
      <c r="AT873" s="255"/>
      <c r="AU873" s="255"/>
      <c r="AV873" s="255"/>
      <c r="AW873" s="255"/>
    </row>
    <row r="874" spans="1:49">
      <c r="B874" s="180"/>
      <c r="E874" s="4"/>
      <c r="F874" s="4"/>
      <c r="G874" s="4"/>
      <c r="J874" s="4"/>
      <c r="K874" s="4"/>
      <c r="L874" s="4"/>
      <c r="O874" s="4"/>
      <c r="P874" s="4"/>
      <c r="T874" s="4"/>
      <c r="U874" s="4"/>
      <c r="Y874" s="4"/>
      <c r="Z874" s="4"/>
      <c r="AA874" s="4"/>
      <c r="AB874" s="4"/>
      <c r="AC874" s="4"/>
      <c r="AK874" s="180"/>
      <c r="AL874" s="180"/>
      <c r="AM874" s="180"/>
      <c r="AN874" s="180"/>
      <c r="AO874" s="180"/>
      <c r="AP874" s="180"/>
    </row>
    <row r="875" spans="1:49">
      <c r="A875" s="228"/>
      <c r="B875" s="1518" t="s">
        <v>18</v>
      </c>
      <c r="C875" s="1519">
        <v>45502</v>
      </c>
      <c r="D875" s="1519"/>
      <c r="E875" s="1519"/>
      <c r="F875" s="1519"/>
      <c r="G875" s="365"/>
      <c r="H875" s="1519">
        <v>45503</v>
      </c>
      <c r="I875" s="1519"/>
      <c r="J875" s="1519"/>
      <c r="K875" s="1519"/>
      <c r="L875" s="365">
        <v>45343</v>
      </c>
      <c r="M875" s="1519">
        <v>45504</v>
      </c>
      <c r="N875" s="1519"/>
      <c r="O875" s="1519"/>
      <c r="P875" s="1519"/>
      <c r="Q875" s="365"/>
      <c r="R875" s="1519">
        <v>45505</v>
      </c>
      <c r="S875" s="1519"/>
      <c r="T875" s="1519"/>
      <c r="U875" s="1519"/>
      <c r="V875" s="365"/>
      <c r="W875" s="1519">
        <v>45506</v>
      </c>
      <c r="X875" s="1519"/>
      <c r="Y875" s="1519"/>
      <c r="Z875" s="1519"/>
      <c r="AA875" s="1517" t="s">
        <v>19</v>
      </c>
      <c r="AB875" s="1517" t="s">
        <v>20</v>
      </c>
      <c r="AC875" s="4"/>
      <c r="AD875" s="1519">
        <v>45507</v>
      </c>
      <c r="AE875" s="1519"/>
      <c r="AF875" s="1519"/>
      <c r="AG875" s="1517" t="s">
        <v>21</v>
      </c>
      <c r="AI875" s="368"/>
      <c r="AK875" s="194" t="s">
        <v>84</v>
      </c>
      <c r="AL875" s="366"/>
      <c r="AM875" s="366"/>
      <c r="AN875" s="366"/>
      <c r="AO875" s="366"/>
      <c r="AP875" s="366"/>
    </row>
    <row r="876" spans="1:49">
      <c r="A876" s="180"/>
      <c r="B876" s="1518"/>
      <c r="C876" s="21" t="s">
        <v>23</v>
      </c>
      <c r="D876" s="21" t="s">
        <v>24</v>
      </c>
      <c r="E876" s="205" t="s">
        <v>25</v>
      </c>
      <c r="F876" s="18" t="s">
        <v>14</v>
      </c>
      <c r="G876" s="4"/>
      <c r="H876" s="21" t="s">
        <v>23</v>
      </c>
      <c r="I876" s="21" t="s">
        <v>24</v>
      </c>
      <c r="J876" s="18" t="s">
        <v>25</v>
      </c>
      <c r="K876" s="18" t="s">
        <v>14</v>
      </c>
      <c r="L876" s="4"/>
      <c r="M876" s="21" t="s">
        <v>23</v>
      </c>
      <c r="N876" s="21" t="s">
        <v>24</v>
      </c>
      <c r="O876" s="18" t="s">
        <v>25</v>
      </c>
      <c r="P876" s="18" t="s">
        <v>14</v>
      </c>
      <c r="R876" s="21" t="s">
        <v>23</v>
      </c>
      <c r="S876" s="21" t="s">
        <v>24</v>
      </c>
      <c r="T876" s="18" t="s">
        <v>25</v>
      </c>
      <c r="U876" s="18" t="s">
        <v>14</v>
      </c>
      <c r="W876" s="21" t="s">
        <v>23</v>
      </c>
      <c r="X876" s="21" t="s">
        <v>24</v>
      </c>
      <c r="Y876" s="18" t="s">
        <v>25</v>
      </c>
      <c r="Z876" s="18" t="s">
        <v>14</v>
      </c>
      <c r="AA876" s="1517"/>
      <c r="AB876" s="1517"/>
      <c r="AC876" s="4"/>
      <c r="AD876" s="21" t="s">
        <v>23</v>
      </c>
      <c r="AE876" s="21" t="s">
        <v>24</v>
      </c>
      <c r="AF876" s="18" t="s">
        <v>25</v>
      </c>
      <c r="AG876" s="1517"/>
      <c r="AI876" s="368"/>
      <c r="AJ876" s="367"/>
      <c r="AK876" s="188" t="s">
        <v>26</v>
      </c>
      <c r="AL876" s="196">
        <f>AA912</f>
        <v>720.6</v>
      </c>
      <c r="AM876" s="510">
        <v>38</v>
      </c>
      <c r="AN876" s="510">
        <f>AL876*AM876</f>
        <v>27382.799999999999</v>
      </c>
      <c r="AQ876" s="367"/>
      <c r="AR876" s="367"/>
      <c r="AS876" s="367"/>
      <c r="AT876" s="367"/>
      <c r="AU876" s="367"/>
      <c r="AV876" s="367"/>
      <c r="AW876" s="367"/>
    </row>
    <row r="877" spans="1:49" ht="13.5" customHeight="1">
      <c r="A877" s="180"/>
      <c r="B877" s="166" t="s">
        <v>506</v>
      </c>
      <c r="C877" s="565"/>
      <c r="D877" s="565"/>
      <c r="E877" s="319"/>
      <c r="F877" s="320"/>
      <c r="G877" s="4"/>
      <c r="H877" s="565"/>
      <c r="I877" s="565"/>
      <c r="J877" s="319"/>
      <c r="K877" s="320"/>
      <c r="L877" s="4"/>
      <c r="M877" s="565"/>
      <c r="N877" s="565"/>
      <c r="O877" s="319"/>
      <c r="P877" s="320"/>
      <c r="R877" s="565"/>
      <c r="S877" s="565"/>
      <c r="T877" s="319"/>
      <c r="U877" s="320"/>
      <c r="W877" s="565"/>
      <c r="X877" s="565"/>
      <c r="Y877" s="319"/>
      <c r="Z877" s="320"/>
      <c r="AA877" s="328">
        <f t="shared" ref="AA877:AA911" si="138">(E877+J877+O877+T877+Y877)</f>
        <v>0</v>
      </c>
      <c r="AB877" s="298">
        <f t="shared" ref="AB877:AB911" si="139">Z877+U877+P877+K877+F877</f>
        <v>0</v>
      </c>
      <c r="AC877" s="4"/>
      <c r="AD877" s="587"/>
      <c r="AE877" s="531"/>
      <c r="AF877" s="319"/>
      <c r="AG877" s="328">
        <f>AF877</f>
        <v>0</v>
      </c>
      <c r="AI877" s="368"/>
      <c r="AJ877" s="367"/>
      <c r="AK877" s="188" t="s">
        <v>30</v>
      </c>
      <c r="AL877" s="196">
        <f>AB912</f>
        <v>17.100000000000001</v>
      </c>
      <c r="AM877" s="511">
        <v>57</v>
      </c>
      <c r="AN877" s="510">
        <f>AL877*AM877</f>
        <v>974.7</v>
      </c>
      <c r="AQ877" s="367"/>
      <c r="AR877" s="367"/>
      <c r="AS877" s="367"/>
      <c r="AT877" s="367"/>
      <c r="AU877" s="367"/>
      <c r="AV877" s="367"/>
      <c r="AW877" s="367"/>
    </row>
    <row r="878" spans="1:49" ht="13.5" customHeight="1">
      <c r="A878" s="367"/>
      <c r="B878" s="611" t="s">
        <v>528</v>
      </c>
      <c r="C878" s="566"/>
      <c r="D878" s="565"/>
      <c r="E878" s="319"/>
      <c r="F878" s="320"/>
      <c r="G878" s="4"/>
      <c r="H878" s="566"/>
      <c r="I878" s="565"/>
      <c r="J878" s="319"/>
      <c r="K878" s="320"/>
      <c r="L878" s="4"/>
      <c r="M878" s="566"/>
      <c r="N878" s="565"/>
      <c r="O878" s="319"/>
      <c r="P878" s="320"/>
      <c r="R878" s="566"/>
      <c r="S878" s="565"/>
      <c r="T878" s="319"/>
      <c r="U878" s="320"/>
      <c r="W878" s="566"/>
      <c r="X878" s="565"/>
      <c r="Y878" s="319"/>
      <c r="Z878" s="320"/>
      <c r="AA878" s="328">
        <f t="shared" si="138"/>
        <v>0</v>
      </c>
      <c r="AB878" s="298">
        <f t="shared" si="139"/>
        <v>0</v>
      </c>
      <c r="AC878" s="4"/>
      <c r="AF878" s="319"/>
      <c r="AG878" s="328">
        <f>AF878</f>
        <v>0</v>
      </c>
      <c r="AH878" s="175"/>
      <c r="AI878" s="402"/>
      <c r="AJ878" s="367"/>
      <c r="AK878" s="188" t="s">
        <v>32</v>
      </c>
      <c r="AL878" s="196">
        <f>AG912</f>
        <v>8</v>
      </c>
      <c r="AM878" s="510">
        <v>57</v>
      </c>
      <c r="AN878" s="510">
        <f>AL878*AM878</f>
        <v>456</v>
      </c>
      <c r="AQ878" s="367"/>
      <c r="AR878" s="367"/>
      <c r="AS878" s="367"/>
      <c r="AT878" s="367"/>
      <c r="AU878" s="367"/>
      <c r="AV878" s="367"/>
      <c r="AW878" s="367"/>
    </row>
    <row r="879" spans="1:49" ht="13.5" customHeight="1">
      <c r="A879" s="367"/>
      <c r="B879" s="586" t="s">
        <v>508</v>
      </c>
      <c r="C879" s="566"/>
      <c r="D879" s="565"/>
      <c r="E879" s="319"/>
      <c r="F879" s="320"/>
      <c r="G879" s="4"/>
      <c r="H879" s="566"/>
      <c r="I879" s="565"/>
      <c r="J879" s="319"/>
      <c r="K879" s="320"/>
      <c r="L879" s="4"/>
      <c r="M879" s="566"/>
      <c r="N879" s="565"/>
      <c r="O879" s="319"/>
      <c r="P879" s="320"/>
      <c r="R879" s="566"/>
      <c r="S879" s="565"/>
      <c r="T879" s="319"/>
      <c r="U879" s="320"/>
      <c r="W879" s="566"/>
      <c r="X879" s="565"/>
      <c r="Y879" s="319"/>
      <c r="Z879" s="320"/>
      <c r="AA879" s="328">
        <f t="shared" si="138"/>
        <v>0</v>
      </c>
      <c r="AB879" s="298">
        <f t="shared" si="139"/>
        <v>0</v>
      </c>
      <c r="AC879" s="4"/>
      <c r="AD879" s="531"/>
      <c r="AE879" s="531"/>
      <c r="AF879" s="319"/>
      <c r="AG879" s="328"/>
      <c r="AH879" s="175"/>
      <c r="AI879" s="402"/>
      <c r="AJ879" s="367"/>
      <c r="AK879" s="188"/>
      <c r="AL879" s="196"/>
      <c r="AM879" s="510"/>
      <c r="AN879" s="510"/>
      <c r="AQ879" s="367"/>
      <c r="AR879" s="367"/>
      <c r="AS879" s="367"/>
      <c r="AT879" s="367"/>
      <c r="AU879" s="367"/>
      <c r="AV879" s="367"/>
      <c r="AW879" s="367"/>
    </row>
    <row r="880" spans="1:49" ht="13.5" customHeight="1">
      <c r="A880" s="367"/>
      <c r="B880" s="166" t="s">
        <v>510</v>
      </c>
      <c r="C880" s="565"/>
      <c r="D880" s="565"/>
      <c r="E880" s="319"/>
      <c r="F880" s="320"/>
      <c r="G880" s="4"/>
      <c r="H880" s="565"/>
      <c r="I880" s="565"/>
      <c r="J880" s="319"/>
      <c r="K880" s="320"/>
      <c r="L880" s="4"/>
      <c r="M880" s="565"/>
      <c r="N880" s="565"/>
      <c r="O880" s="319"/>
      <c r="P880" s="320"/>
      <c r="R880" s="565"/>
      <c r="S880" s="565"/>
      <c r="T880" s="319"/>
      <c r="U880" s="320"/>
      <c r="W880" s="565"/>
      <c r="X880" s="565"/>
      <c r="Y880" s="319"/>
      <c r="Z880" s="320"/>
      <c r="AA880" s="328">
        <f t="shared" si="138"/>
        <v>0</v>
      </c>
      <c r="AB880" s="298">
        <f t="shared" si="139"/>
        <v>0</v>
      </c>
      <c r="AC880" s="399"/>
      <c r="AD880" s="47"/>
      <c r="AE880" s="47"/>
      <c r="AF880" s="319"/>
      <c r="AG880" s="29">
        <f t="shared" ref="AG880:AG911" si="140">AF880</f>
        <v>0</v>
      </c>
      <c r="AH880" s="175"/>
      <c r="AJ880" s="401"/>
      <c r="AK880" s="403" t="s">
        <v>213</v>
      </c>
      <c r="AL880" s="404">
        <f>AA914</f>
        <v>40</v>
      </c>
      <c r="AM880" s="510">
        <v>50</v>
      </c>
      <c r="AN880" s="510">
        <f>AL880*AM880</f>
        <v>2000</v>
      </c>
      <c r="AO880" s="405"/>
      <c r="AP880" s="405"/>
      <c r="AQ880" s="401"/>
      <c r="AR880" s="401"/>
      <c r="AS880" s="401"/>
      <c r="AT880" s="401"/>
      <c r="AU880" s="401"/>
      <c r="AV880" s="401"/>
      <c r="AW880" s="401"/>
    </row>
    <row r="881" spans="1:49" ht="13.5" customHeight="1">
      <c r="A881" s="367"/>
      <c r="B881" s="166" t="s">
        <v>509</v>
      </c>
      <c r="C881" s="565"/>
      <c r="D881" s="565"/>
      <c r="E881" s="319"/>
      <c r="F881" s="320"/>
      <c r="G881" s="4"/>
      <c r="H881" s="565"/>
      <c r="I881" s="565"/>
      <c r="J881" s="319"/>
      <c r="K881" s="320"/>
      <c r="L881" s="4"/>
      <c r="M881" s="565"/>
      <c r="N881" s="565"/>
      <c r="O881" s="319"/>
      <c r="P881" s="320"/>
      <c r="R881" s="565"/>
      <c r="S881" s="565"/>
      <c r="T881" s="319"/>
      <c r="U881" s="320"/>
      <c r="W881" s="565"/>
      <c r="X881" s="565"/>
      <c r="Y881" s="319"/>
      <c r="Z881" s="320"/>
      <c r="AA881" s="328">
        <f t="shared" si="138"/>
        <v>0</v>
      </c>
      <c r="AB881" s="298">
        <f t="shared" si="139"/>
        <v>0</v>
      </c>
      <c r="AC881" s="399"/>
      <c r="AD881" s="47"/>
      <c r="AE881" s="47"/>
      <c r="AF881" s="319"/>
      <c r="AG881" s="29">
        <f t="shared" si="140"/>
        <v>0</v>
      </c>
      <c r="AH881" s="175"/>
      <c r="AJ881" s="401"/>
      <c r="AK881" s="188" t="s">
        <v>36</v>
      </c>
      <c r="AL881" s="196">
        <f>AB914</f>
        <v>3.5</v>
      </c>
      <c r="AM881" s="510">
        <v>75</v>
      </c>
      <c r="AN881" s="510">
        <f>AL881*AM881</f>
        <v>262.5</v>
      </c>
      <c r="AO881" s="405"/>
      <c r="AP881" s="405"/>
      <c r="AQ881" s="401"/>
      <c r="AR881" s="401"/>
      <c r="AS881" s="401"/>
      <c r="AT881" s="401"/>
      <c r="AU881" s="401"/>
      <c r="AV881" s="401"/>
      <c r="AW881" s="401"/>
    </row>
    <row r="882" spans="1:49" ht="13.5" customHeight="1">
      <c r="A882" s="367"/>
      <c r="B882" s="166" t="s">
        <v>511</v>
      </c>
      <c r="C882" s="565"/>
      <c r="D882" s="565"/>
      <c r="E882" s="319"/>
      <c r="F882" s="320"/>
      <c r="G882" s="4"/>
      <c r="H882" s="565"/>
      <c r="I882" s="565"/>
      <c r="J882" s="319"/>
      <c r="K882" s="320"/>
      <c r="L882" s="4"/>
      <c r="M882" s="565"/>
      <c r="N882" s="565"/>
      <c r="O882" s="319"/>
      <c r="P882" s="320"/>
      <c r="R882" s="565"/>
      <c r="S882" s="565"/>
      <c r="T882" s="319"/>
      <c r="U882" s="320"/>
      <c r="W882" s="565"/>
      <c r="X882" s="565"/>
      <c r="Y882" s="319"/>
      <c r="Z882" s="320"/>
      <c r="AA882" s="328">
        <f t="shared" si="138"/>
        <v>0</v>
      </c>
      <c r="AB882" s="298">
        <f t="shared" si="139"/>
        <v>0</v>
      </c>
      <c r="AC882" s="175"/>
      <c r="AD882" s="47"/>
      <c r="AE882" s="47"/>
      <c r="AF882" s="319"/>
      <c r="AG882" s="344">
        <f t="shared" si="140"/>
        <v>0</v>
      </c>
      <c r="AH882" s="175"/>
      <c r="AI882" s="368"/>
      <c r="AK882" s="188" t="s">
        <v>38</v>
      </c>
      <c r="AL882" s="196">
        <f>AG914</f>
        <v>1.5</v>
      </c>
      <c r="AM882" s="510">
        <v>75</v>
      </c>
      <c r="AN882" s="510">
        <f>AL882*AM882</f>
        <v>112.5</v>
      </c>
    </row>
    <row r="883" spans="1:49" ht="13.5" customHeight="1" thickBot="1">
      <c r="A883" s="401"/>
      <c r="B883" s="586" t="s">
        <v>512</v>
      </c>
      <c r="C883" s="565"/>
      <c r="D883" s="565"/>
      <c r="E883" s="319"/>
      <c r="F883" s="320"/>
      <c r="G883" s="4"/>
      <c r="H883" s="565"/>
      <c r="I883" s="565"/>
      <c r="J883" s="319"/>
      <c r="K883" s="320"/>
      <c r="L883" s="4"/>
      <c r="M883" s="565"/>
      <c r="N883" s="565"/>
      <c r="O883" s="319"/>
      <c r="P883" s="320"/>
      <c r="R883" s="565"/>
      <c r="S883" s="565"/>
      <c r="T883" s="319"/>
      <c r="U883" s="320"/>
      <c r="W883" s="565"/>
      <c r="X883" s="565"/>
      <c r="Y883" s="319"/>
      <c r="Z883" s="320"/>
      <c r="AA883" s="328">
        <f t="shared" si="138"/>
        <v>0</v>
      </c>
      <c r="AB883" s="298">
        <f t="shared" si="139"/>
        <v>0</v>
      </c>
      <c r="AC883" s="4"/>
      <c r="AD883" s="47"/>
      <c r="AE883" s="47"/>
      <c r="AF883" s="319"/>
      <c r="AG883" s="29">
        <f t="shared" si="140"/>
        <v>0</v>
      </c>
      <c r="AJ883" s="367"/>
      <c r="AK883" s="188" t="s">
        <v>41</v>
      </c>
      <c r="AL883" s="196">
        <f>C915</f>
        <v>72</v>
      </c>
      <c r="AM883" s="512">
        <v>45</v>
      </c>
      <c r="AN883" s="512">
        <f>AL883*AM883</f>
        <v>3240</v>
      </c>
      <c r="AQ883" s="367"/>
      <c r="AR883" s="367"/>
      <c r="AS883" s="367"/>
      <c r="AT883" s="367"/>
      <c r="AU883" s="367"/>
      <c r="AV883" s="367"/>
      <c r="AW883" s="367"/>
    </row>
    <row r="884" spans="1:49" ht="13.5" customHeight="1" thickTop="1">
      <c r="A884" s="367"/>
      <c r="B884" s="586" t="s">
        <v>513</v>
      </c>
      <c r="C884" s="565"/>
      <c r="D884" s="565"/>
      <c r="E884" s="319"/>
      <c r="F884" s="320"/>
      <c r="G884" s="4"/>
      <c r="H884" s="565"/>
      <c r="I884" s="565"/>
      <c r="J884" s="319"/>
      <c r="K884" s="320"/>
      <c r="L884" s="4"/>
      <c r="M884" s="565"/>
      <c r="N884" s="565"/>
      <c r="O884" s="319"/>
      <c r="P884" s="320"/>
      <c r="R884" s="565"/>
      <c r="S884" s="565"/>
      <c r="T884" s="319"/>
      <c r="U884" s="320"/>
      <c r="W884" s="565"/>
      <c r="X884" s="565"/>
      <c r="Y884" s="319"/>
      <c r="Z884" s="320"/>
      <c r="AA884" s="328">
        <f t="shared" si="138"/>
        <v>0</v>
      </c>
      <c r="AB884" s="298">
        <f t="shared" si="139"/>
        <v>0</v>
      </c>
      <c r="AC884" s="4"/>
      <c r="AD884" s="47"/>
      <c r="AE884" s="47"/>
      <c r="AF884" s="319"/>
      <c r="AG884" s="29">
        <f t="shared" si="140"/>
        <v>0</v>
      </c>
      <c r="AN884" s="510">
        <f>SUM(AN876:AN883)</f>
        <v>34428.5</v>
      </c>
    </row>
    <row r="885" spans="1:49" ht="13.5" customHeight="1">
      <c r="A885" s="180"/>
      <c r="B885" s="612" t="s">
        <v>529</v>
      </c>
      <c r="C885" s="565"/>
      <c r="D885" s="565"/>
      <c r="E885" s="319"/>
      <c r="F885" s="320"/>
      <c r="G885" s="4"/>
      <c r="H885" s="565"/>
      <c r="I885" s="565"/>
      <c r="J885" s="319"/>
      <c r="K885" s="320"/>
      <c r="L885" s="4"/>
      <c r="M885" s="565"/>
      <c r="N885" s="565"/>
      <c r="O885" s="319"/>
      <c r="P885" s="320"/>
      <c r="R885" s="565"/>
      <c r="S885" s="565"/>
      <c r="T885" s="319"/>
      <c r="U885" s="320"/>
      <c r="W885" s="565"/>
      <c r="X885" s="565"/>
      <c r="Y885" s="319"/>
      <c r="Z885" s="320"/>
      <c r="AA885" s="328">
        <f>(E885+J885+O885+T885+Y885)</f>
        <v>0</v>
      </c>
      <c r="AB885" s="298">
        <f>Z885+U885+P885+K885+F885</f>
        <v>0</v>
      </c>
      <c r="AC885" s="4"/>
      <c r="AD885" s="47"/>
      <c r="AE885" s="47"/>
      <c r="AF885" s="319"/>
      <c r="AG885" s="29">
        <f>AF885</f>
        <v>0</v>
      </c>
    </row>
    <row r="886" spans="1:49" ht="13.5" customHeight="1">
      <c r="A886" s="180"/>
      <c r="B886" s="523" t="s">
        <v>514</v>
      </c>
      <c r="C886" s="47"/>
      <c r="D886" s="47"/>
      <c r="E886" s="319">
        <v>0</v>
      </c>
      <c r="F886" s="320"/>
      <c r="G886" s="4"/>
      <c r="H886" s="47">
        <v>0.27083333333333331</v>
      </c>
      <c r="I886" s="47">
        <v>0.45833333333333331</v>
      </c>
      <c r="J886" s="319">
        <v>4.5</v>
      </c>
      <c r="K886" s="320"/>
      <c r="L886" s="4"/>
      <c r="M886" s="47">
        <v>6.25E-2</v>
      </c>
      <c r="N886" s="47">
        <v>0.1875</v>
      </c>
      <c r="O886" s="319">
        <v>3</v>
      </c>
      <c r="P886" s="320"/>
      <c r="R886" s="47"/>
      <c r="S886" s="47"/>
      <c r="T886" s="319"/>
      <c r="U886" s="320"/>
      <c r="W886" s="47"/>
      <c r="X886" s="47"/>
      <c r="Y886" s="319"/>
      <c r="Z886" s="320"/>
      <c r="AA886" s="328">
        <f t="shared" si="138"/>
        <v>7.5</v>
      </c>
      <c r="AB886" s="298">
        <f t="shared" si="139"/>
        <v>0</v>
      </c>
      <c r="AC886" s="4"/>
      <c r="AD886" s="47"/>
      <c r="AE886" s="47"/>
      <c r="AF886" s="319"/>
      <c r="AG886" s="29">
        <f t="shared" si="140"/>
        <v>0</v>
      </c>
    </row>
    <row r="887" spans="1:49" ht="13.5" customHeight="1">
      <c r="A887" s="180"/>
      <c r="B887" s="180" t="s">
        <v>515</v>
      </c>
      <c r="C887" s="47">
        <v>0.5</v>
      </c>
      <c r="D887" s="47">
        <v>0.16666666666666666</v>
      </c>
      <c r="E887" s="544">
        <v>4</v>
      </c>
      <c r="F887" s="320"/>
      <c r="G887" s="4"/>
      <c r="H887" s="47">
        <v>0.375</v>
      </c>
      <c r="I887" s="47">
        <v>0.25</v>
      </c>
      <c r="J887" s="319">
        <v>8</v>
      </c>
      <c r="K887" s="320"/>
      <c r="L887" s="4"/>
      <c r="M887" s="47">
        <v>0.375</v>
      </c>
      <c r="N887" s="47">
        <v>0.25</v>
      </c>
      <c r="O887" s="319">
        <v>8</v>
      </c>
      <c r="P887" s="320"/>
      <c r="R887" s="47">
        <v>0.375</v>
      </c>
      <c r="S887" s="47">
        <v>0.25</v>
      </c>
      <c r="T887" s="319">
        <v>8</v>
      </c>
      <c r="U887" s="320"/>
      <c r="W887" s="47">
        <v>0.375</v>
      </c>
      <c r="X887" s="47">
        <v>0.25</v>
      </c>
      <c r="Y887" s="319">
        <v>8</v>
      </c>
      <c r="Z887" s="320"/>
      <c r="AA887" s="328">
        <f t="shared" si="138"/>
        <v>36</v>
      </c>
      <c r="AB887" s="298">
        <f t="shared" si="139"/>
        <v>0</v>
      </c>
      <c r="AC887" s="4"/>
      <c r="AD887" s="47"/>
      <c r="AE887" s="47"/>
      <c r="AF887" s="319"/>
      <c r="AG887" s="29">
        <f t="shared" si="140"/>
        <v>0</v>
      </c>
    </row>
    <row r="888" spans="1:49" ht="13.5" customHeight="1">
      <c r="A888" s="180"/>
      <c r="B888" s="180" t="s">
        <v>516</v>
      </c>
      <c r="C888" s="47"/>
      <c r="D888" s="47"/>
      <c r="E888" s="319">
        <v>0</v>
      </c>
      <c r="F888" s="320"/>
      <c r="G888" s="4"/>
      <c r="H888" s="47">
        <v>0.41666666666666669</v>
      </c>
      <c r="I888" s="47">
        <v>0.25</v>
      </c>
      <c r="J888" s="319">
        <v>8</v>
      </c>
      <c r="K888" s="320"/>
      <c r="L888" s="4"/>
      <c r="M888" s="47">
        <v>0.38541666666666669</v>
      </c>
      <c r="N888" s="47">
        <v>0.25</v>
      </c>
      <c r="O888" s="319">
        <v>8</v>
      </c>
      <c r="P888" s="320"/>
      <c r="R888" s="47">
        <v>0.33333333333333331</v>
      </c>
      <c r="S888" s="47">
        <v>0.25</v>
      </c>
      <c r="T888" s="319">
        <v>8</v>
      </c>
      <c r="U888" s="320">
        <v>1</v>
      </c>
      <c r="W888" s="47">
        <v>4.1666666666666664E-2</v>
      </c>
      <c r="X888" s="47">
        <v>0.25</v>
      </c>
      <c r="Y888" s="319">
        <v>5</v>
      </c>
      <c r="Z888" s="320"/>
      <c r="AA888" s="328">
        <f t="shared" si="138"/>
        <v>29</v>
      </c>
      <c r="AB888" s="298">
        <f t="shared" si="139"/>
        <v>1</v>
      </c>
      <c r="AC888" s="4"/>
      <c r="AD888" s="47">
        <v>0.375</v>
      </c>
      <c r="AE888" s="47">
        <v>0.20833333333333334</v>
      </c>
      <c r="AF888" s="319">
        <v>8</v>
      </c>
      <c r="AG888" s="29">
        <v>8</v>
      </c>
    </row>
    <row r="889" spans="1:49" ht="13.5" customHeight="1">
      <c r="A889" s="180"/>
      <c r="B889" s="180" t="s">
        <v>517</v>
      </c>
      <c r="C889" s="47">
        <v>0.375</v>
      </c>
      <c r="D889" s="47">
        <v>4.1666666666666664E-2</v>
      </c>
      <c r="E889" s="319">
        <v>4</v>
      </c>
      <c r="F889" s="320"/>
      <c r="G889" s="4"/>
      <c r="H889" s="47">
        <v>0.375</v>
      </c>
      <c r="I889" s="47">
        <v>0.25</v>
      </c>
      <c r="J889" s="319">
        <v>8</v>
      </c>
      <c r="K889" s="320"/>
      <c r="L889" s="4"/>
      <c r="M889" s="47">
        <v>0.375</v>
      </c>
      <c r="N889" s="47">
        <v>0.25</v>
      </c>
      <c r="O889" s="319">
        <v>8</v>
      </c>
      <c r="P889" s="320"/>
      <c r="R889" s="47">
        <v>0.375</v>
      </c>
      <c r="S889" s="47">
        <v>0.25</v>
      </c>
      <c r="T889" s="319">
        <v>8</v>
      </c>
      <c r="U889" s="320"/>
      <c r="W889" s="47">
        <v>0.375</v>
      </c>
      <c r="X889" s="47">
        <v>0.25</v>
      </c>
      <c r="Y889" s="319">
        <v>8</v>
      </c>
      <c r="Z889" s="320"/>
      <c r="AA889" s="328">
        <f t="shared" si="138"/>
        <v>36</v>
      </c>
      <c r="AB889" s="298">
        <f t="shared" si="139"/>
        <v>0</v>
      </c>
      <c r="AC889" s="4"/>
      <c r="AD889" s="47"/>
      <c r="AE889" s="47"/>
      <c r="AF889" s="319"/>
      <c r="AG889" s="29">
        <f t="shared" si="140"/>
        <v>0</v>
      </c>
    </row>
    <row r="890" spans="1:49" ht="13.5" customHeight="1">
      <c r="A890" s="180"/>
      <c r="B890" s="523" t="s">
        <v>518</v>
      </c>
      <c r="C890" s="47">
        <v>0.375</v>
      </c>
      <c r="D890" s="327">
        <v>0.25</v>
      </c>
      <c r="E890" s="319">
        <v>8</v>
      </c>
      <c r="F890" s="320"/>
      <c r="G890" s="4"/>
      <c r="H890" s="47"/>
      <c r="I890" s="47"/>
      <c r="J890" s="319">
        <v>0</v>
      </c>
      <c r="K890" s="320"/>
      <c r="L890" s="4"/>
      <c r="M890" s="47">
        <v>0.39583333333333331</v>
      </c>
      <c r="N890" s="47">
        <v>0.25</v>
      </c>
      <c r="O890" s="319">
        <v>8</v>
      </c>
      <c r="P890" s="320"/>
      <c r="R890" s="474" t="s">
        <v>137</v>
      </c>
      <c r="S890" s="474" t="s">
        <v>137</v>
      </c>
      <c r="T890" s="319">
        <v>0</v>
      </c>
      <c r="U890" s="320"/>
      <c r="W890" s="47">
        <v>0.375</v>
      </c>
      <c r="X890" s="47">
        <v>0.25</v>
      </c>
      <c r="Y890" s="319">
        <v>8</v>
      </c>
      <c r="Z890" s="320"/>
      <c r="AA890" s="328">
        <f t="shared" si="138"/>
        <v>24</v>
      </c>
      <c r="AB890" s="298">
        <f t="shared" si="139"/>
        <v>0</v>
      </c>
      <c r="AC890" s="4"/>
      <c r="AD890" s="47"/>
      <c r="AE890" s="47"/>
      <c r="AF890" s="319"/>
      <c r="AG890" s="29">
        <f t="shared" si="140"/>
        <v>0</v>
      </c>
    </row>
    <row r="891" spans="1:49" ht="13.5" customHeight="1">
      <c r="A891" s="180"/>
      <c r="B891" s="523" t="s">
        <v>519</v>
      </c>
      <c r="C891" s="47">
        <v>0.39583333333333331</v>
      </c>
      <c r="D891" s="47">
        <v>8.3333333333333329E-2</v>
      </c>
      <c r="E891" s="319">
        <v>4.5</v>
      </c>
      <c r="F891" s="320"/>
      <c r="G891" s="4"/>
      <c r="H891" s="47" t="s">
        <v>530</v>
      </c>
      <c r="I891" s="47"/>
      <c r="J891" s="319">
        <v>1</v>
      </c>
      <c r="K891" s="320"/>
      <c r="L891" s="4"/>
      <c r="M891" s="47">
        <v>0.41666666666666669</v>
      </c>
      <c r="N891" s="47">
        <v>0.25</v>
      </c>
      <c r="O891" s="319">
        <v>8</v>
      </c>
      <c r="P891" s="320"/>
      <c r="R891" s="47">
        <v>0.375</v>
      </c>
      <c r="S891" s="47">
        <v>0.25</v>
      </c>
      <c r="T891" s="319">
        <v>8</v>
      </c>
      <c r="U891" s="320"/>
      <c r="W891" s="47">
        <v>0.375</v>
      </c>
      <c r="X891" s="47">
        <v>0.25</v>
      </c>
      <c r="Y891" s="319">
        <v>8</v>
      </c>
      <c r="Z891" s="320"/>
      <c r="AA891" s="328">
        <f t="shared" si="138"/>
        <v>29.5</v>
      </c>
      <c r="AB891" s="298">
        <f t="shared" si="139"/>
        <v>0</v>
      </c>
      <c r="AC891" s="4"/>
      <c r="AD891" s="47"/>
      <c r="AE891" s="47"/>
      <c r="AF891" s="319"/>
      <c r="AG891" s="29">
        <f t="shared" si="140"/>
        <v>0</v>
      </c>
    </row>
    <row r="892" spans="1:49" ht="13.5" customHeight="1">
      <c r="A892" s="180"/>
      <c r="B892" s="180" t="s">
        <v>520</v>
      </c>
      <c r="C892" s="47"/>
      <c r="D892" s="47"/>
      <c r="E892" s="319">
        <v>0</v>
      </c>
      <c r="F892" s="320"/>
      <c r="G892" s="4"/>
      <c r="H892" s="47">
        <v>0.375</v>
      </c>
      <c r="I892" s="47">
        <v>0.27083333333333331</v>
      </c>
      <c r="J892" s="319">
        <v>8</v>
      </c>
      <c r="K892" s="320">
        <v>0.5</v>
      </c>
      <c r="L892" s="4"/>
      <c r="M892" s="47">
        <v>0.375</v>
      </c>
      <c r="N892" s="47">
        <v>0.25</v>
      </c>
      <c r="O892" s="319">
        <v>8</v>
      </c>
      <c r="P892" s="320"/>
      <c r="R892" s="47">
        <v>0.375</v>
      </c>
      <c r="S892" s="47">
        <v>0.41666666666666669</v>
      </c>
      <c r="T892" s="319">
        <v>1</v>
      </c>
      <c r="U892" s="320"/>
      <c r="W892" s="47">
        <v>0.375</v>
      </c>
      <c r="X892" s="47">
        <v>0.25</v>
      </c>
      <c r="Y892" s="319">
        <v>8</v>
      </c>
      <c r="Z892" s="320"/>
      <c r="AA892" s="328">
        <f t="shared" si="138"/>
        <v>25</v>
      </c>
      <c r="AB892" s="298">
        <f t="shared" si="139"/>
        <v>0.5</v>
      </c>
      <c r="AC892" s="4"/>
      <c r="AD892" s="47"/>
      <c r="AE892" s="47"/>
      <c r="AF892" s="319"/>
      <c r="AG892" s="29">
        <f t="shared" si="140"/>
        <v>0</v>
      </c>
    </row>
    <row r="893" spans="1:49" ht="13.5" customHeight="1">
      <c r="A893" s="180"/>
      <c r="B893" s="585" t="s">
        <v>522</v>
      </c>
      <c r="C893" s="47">
        <v>0</v>
      </c>
      <c r="D893" s="565">
        <v>0</v>
      </c>
      <c r="E893" s="319">
        <v>0</v>
      </c>
      <c r="F893" s="320"/>
      <c r="G893" s="4"/>
      <c r="H893" s="47">
        <v>0</v>
      </c>
      <c r="I893" s="565"/>
      <c r="J893" s="319">
        <v>0</v>
      </c>
      <c r="K893" s="320"/>
      <c r="L893" s="4"/>
      <c r="M893" s="47">
        <v>0</v>
      </c>
      <c r="N893" s="565"/>
      <c r="O893" s="319">
        <v>0</v>
      </c>
      <c r="P893" s="320"/>
      <c r="R893" s="47"/>
      <c r="S893" s="565"/>
      <c r="T893" s="319">
        <v>0</v>
      </c>
      <c r="U893" s="320"/>
      <c r="W893" s="47">
        <v>0.4375</v>
      </c>
      <c r="X893" s="565">
        <v>0.25</v>
      </c>
      <c r="Y893" s="319">
        <v>7.5</v>
      </c>
      <c r="Z893" s="320"/>
      <c r="AA893" s="328">
        <f t="shared" si="138"/>
        <v>7.5</v>
      </c>
      <c r="AB893" s="298">
        <f t="shared" si="139"/>
        <v>0</v>
      </c>
      <c r="AC893" s="4"/>
      <c r="AD893" s="47"/>
      <c r="AE893" s="47"/>
      <c r="AF893" s="319"/>
      <c r="AG893" s="29">
        <f t="shared" si="140"/>
        <v>0</v>
      </c>
    </row>
    <row r="894" spans="1:49" ht="13.5" customHeight="1">
      <c r="A894" s="180"/>
      <c r="B894" s="437" t="s">
        <v>523</v>
      </c>
      <c r="C894" s="47">
        <v>0.375</v>
      </c>
      <c r="D894" s="565">
        <v>0.25</v>
      </c>
      <c r="E894" s="319">
        <v>8</v>
      </c>
      <c r="F894" s="320"/>
      <c r="G894" s="4"/>
      <c r="H894" s="47">
        <v>0.375</v>
      </c>
      <c r="I894" s="565">
        <v>0.25</v>
      </c>
      <c r="J894" s="319">
        <v>8</v>
      </c>
      <c r="K894" s="320"/>
      <c r="L894" s="4"/>
      <c r="M894" s="47">
        <v>0.375</v>
      </c>
      <c r="N894" s="565">
        <v>0.25</v>
      </c>
      <c r="O894" s="319">
        <v>8</v>
      </c>
      <c r="P894" s="320"/>
      <c r="R894" s="47">
        <v>0.375</v>
      </c>
      <c r="S894" s="565">
        <v>0.25</v>
      </c>
      <c r="T894" s="319">
        <v>8</v>
      </c>
      <c r="U894" s="320"/>
      <c r="W894" s="47">
        <v>0.375</v>
      </c>
      <c r="X894" s="565">
        <v>0.25</v>
      </c>
      <c r="Y894" s="319">
        <v>8</v>
      </c>
      <c r="Z894" s="320"/>
      <c r="AA894" s="328">
        <f t="shared" si="138"/>
        <v>40</v>
      </c>
      <c r="AB894" s="298">
        <f t="shared" si="139"/>
        <v>0</v>
      </c>
      <c r="AC894" s="4"/>
      <c r="AD894" s="47"/>
      <c r="AE894" s="47"/>
      <c r="AF894" s="319"/>
      <c r="AG894" s="29">
        <f t="shared" si="140"/>
        <v>0</v>
      </c>
    </row>
    <row r="895" spans="1:49" ht="13.5" customHeight="1">
      <c r="A895" s="180"/>
      <c r="B895" s="437" t="s">
        <v>524</v>
      </c>
      <c r="C895" s="47">
        <v>0.375</v>
      </c>
      <c r="D895" s="565">
        <v>0.25</v>
      </c>
      <c r="E895" s="319">
        <v>8</v>
      </c>
      <c r="F895" s="320"/>
      <c r="G895" s="4"/>
      <c r="H895" s="47">
        <v>0.375</v>
      </c>
      <c r="I895" s="565">
        <v>0.25</v>
      </c>
      <c r="J895" s="319">
        <v>8</v>
      </c>
      <c r="K895" s="320"/>
      <c r="L895" s="4"/>
      <c r="M895" s="47">
        <v>0.375</v>
      </c>
      <c r="N895" s="565">
        <v>0.25</v>
      </c>
      <c r="O895" s="319">
        <v>8</v>
      </c>
      <c r="P895" s="320"/>
      <c r="R895" s="47">
        <v>0.375</v>
      </c>
      <c r="S895" s="565">
        <v>0.25</v>
      </c>
      <c r="T895" s="319">
        <v>8</v>
      </c>
      <c r="U895" s="320"/>
      <c r="W895" s="47">
        <v>0.375</v>
      </c>
      <c r="X895" s="565">
        <v>0.25</v>
      </c>
      <c r="Y895" s="319">
        <v>8</v>
      </c>
      <c r="Z895" s="320"/>
      <c r="AA895" s="328">
        <f t="shared" si="138"/>
        <v>40</v>
      </c>
      <c r="AB895" s="298">
        <f t="shared" si="139"/>
        <v>0</v>
      </c>
      <c r="AC895" s="4"/>
      <c r="AD895" s="47"/>
      <c r="AE895" s="47"/>
      <c r="AF895" s="319"/>
      <c r="AG895" s="29">
        <f t="shared" si="140"/>
        <v>0</v>
      </c>
    </row>
    <row r="896" spans="1:49" ht="13.5" customHeight="1">
      <c r="A896" s="180"/>
      <c r="B896" s="437" t="s">
        <v>525</v>
      </c>
      <c r="C896" s="47">
        <v>0.375</v>
      </c>
      <c r="D896" s="565">
        <v>0.25</v>
      </c>
      <c r="E896" s="319">
        <v>8</v>
      </c>
      <c r="F896" s="320"/>
      <c r="G896" s="4"/>
      <c r="H896" s="47">
        <v>0.375</v>
      </c>
      <c r="I896" s="565">
        <v>0.25</v>
      </c>
      <c r="J896" s="319">
        <v>8</v>
      </c>
      <c r="K896" s="320"/>
      <c r="L896" s="4"/>
      <c r="M896" s="47">
        <v>0.375</v>
      </c>
      <c r="N896" s="565">
        <v>0.25</v>
      </c>
      <c r="O896" s="319">
        <v>8</v>
      </c>
      <c r="P896" s="320"/>
      <c r="R896" s="47">
        <v>0.375</v>
      </c>
      <c r="S896" s="565">
        <v>0.25</v>
      </c>
      <c r="T896" s="319">
        <v>8</v>
      </c>
      <c r="U896" s="320"/>
      <c r="W896" s="47">
        <v>0.375</v>
      </c>
      <c r="X896" s="565">
        <v>0.25</v>
      </c>
      <c r="Y896" s="319">
        <v>8</v>
      </c>
      <c r="Z896" s="320"/>
      <c r="AA896" s="328">
        <f t="shared" si="138"/>
        <v>40</v>
      </c>
      <c r="AB896" s="298">
        <f t="shared" si="139"/>
        <v>0</v>
      </c>
      <c r="AC896" s="4"/>
      <c r="AD896" s="47"/>
      <c r="AE896" s="47"/>
      <c r="AF896" s="319"/>
      <c r="AG896" s="29">
        <f t="shared" si="140"/>
        <v>0</v>
      </c>
    </row>
    <row r="897" spans="1:37" ht="13.5" customHeight="1">
      <c r="A897" s="180"/>
      <c r="B897" s="437" t="s">
        <v>505</v>
      </c>
      <c r="C897" s="47">
        <v>0.375</v>
      </c>
      <c r="D897" s="565">
        <v>0.25</v>
      </c>
      <c r="E897" s="319">
        <v>8</v>
      </c>
      <c r="F897" s="320"/>
      <c r="G897" s="4"/>
      <c r="H897" s="47">
        <v>0.375</v>
      </c>
      <c r="I897" s="565">
        <v>0.25</v>
      </c>
      <c r="J897" s="319">
        <v>8</v>
      </c>
      <c r="K897" s="320"/>
      <c r="L897" s="4"/>
      <c r="M897" s="47">
        <v>0.375</v>
      </c>
      <c r="N897" s="565">
        <v>0.25</v>
      </c>
      <c r="O897" s="319">
        <v>8</v>
      </c>
      <c r="P897" s="320"/>
      <c r="R897" s="47">
        <v>0</v>
      </c>
      <c r="S897" s="565">
        <v>0</v>
      </c>
      <c r="T897" s="319">
        <v>0</v>
      </c>
      <c r="U897" s="320"/>
      <c r="W897" s="47">
        <v>0</v>
      </c>
      <c r="X897" s="565">
        <v>0</v>
      </c>
      <c r="Y897" s="319">
        <v>0</v>
      </c>
      <c r="Z897" s="320"/>
      <c r="AA897" s="328">
        <f t="shared" si="138"/>
        <v>24</v>
      </c>
      <c r="AB897" s="298">
        <f t="shared" si="139"/>
        <v>0</v>
      </c>
      <c r="AC897" s="4"/>
      <c r="AD897" s="47"/>
      <c r="AE897" s="47"/>
      <c r="AF897" s="319"/>
      <c r="AG897" s="29">
        <f t="shared" si="140"/>
        <v>0</v>
      </c>
    </row>
    <row r="898" spans="1:37" ht="13.5" customHeight="1">
      <c r="A898" s="180"/>
      <c r="B898" s="437" t="s">
        <v>526</v>
      </c>
      <c r="C898" s="47">
        <v>0.375</v>
      </c>
      <c r="D898" s="565">
        <v>0.25</v>
      </c>
      <c r="E898" s="319">
        <v>8</v>
      </c>
      <c r="F898" s="320"/>
      <c r="G898" s="4"/>
      <c r="H898" s="47">
        <v>0.375</v>
      </c>
      <c r="I898" s="565">
        <v>0.25</v>
      </c>
      <c r="J898" s="319">
        <v>8</v>
      </c>
      <c r="K898" s="320"/>
      <c r="L898" s="4"/>
      <c r="M898" s="47">
        <v>0.375</v>
      </c>
      <c r="N898" s="565">
        <v>0.25</v>
      </c>
      <c r="O898" s="319">
        <v>8</v>
      </c>
      <c r="P898" s="320"/>
      <c r="R898" s="47">
        <v>0.375</v>
      </c>
      <c r="S898" s="565">
        <v>0.25</v>
      </c>
      <c r="T898" s="319">
        <v>8</v>
      </c>
      <c r="U898" s="320"/>
      <c r="W898" s="47">
        <v>0.375</v>
      </c>
      <c r="X898" s="565">
        <v>0.25</v>
      </c>
      <c r="Y898" s="319">
        <v>8</v>
      </c>
      <c r="Z898" s="320"/>
      <c r="AA898" s="328">
        <f t="shared" si="138"/>
        <v>40</v>
      </c>
      <c r="AB898" s="298">
        <f t="shared" si="139"/>
        <v>0</v>
      </c>
      <c r="AC898" s="4"/>
      <c r="AD898" s="47"/>
      <c r="AE898" s="47"/>
      <c r="AF898" s="319"/>
      <c r="AG898" s="29">
        <f t="shared" si="140"/>
        <v>0</v>
      </c>
    </row>
    <row r="899" spans="1:37">
      <c r="A899" s="180"/>
      <c r="B899" s="502" t="s">
        <v>483</v>
      </c>
      <c r="C899" s="47"/>
      <c r="D899" s="47"/>
      <c r="E899" s="319">
        <v>8</v>
      </c>
      <c r="F899" s="320">
        <v>1.5</v>
      </c>
      <c r="G899" s="4"/>
      <c r="H899" s="47"/>
      <c r="I899" s="47"/>
      <c r="J899" s="319">
        <v>8</v>
      </c>
      <c r="K899" s="320">
        <v>1</v>
      </c>
      <c r="L899" s="4"/>
      <c r="M899" s="47"/>
      <c r="N899" s="47"/>
      <c r="O899" s="319">
        <v>8</v>
      </c>
      <c r="P899" s="320">
        <v>0.5</v>
      </c>
      <c r="R899" s="47"/>
      <c r="S899" s="47"/>
      <c r="T899" s="319">
        <v>8</v>
      </c>
      <c r="U899" s="320">
        <v>1</v>
      </c>
      <c r="W899" s="47"/>
      <c r="X899" s="47"/>
      <c r="Y899" s="319">
        <v>8</v>
      </c>
      <c r="Z899" s="320">
        <v>0.7</v>
      </c>
      <c r="AA899" s="328">
        <f t="shared" si="138"/>
        <v>40</v>
      </c>
      <c r="AB899" s="298">
        <f t="shared" si="139"/>
        <v>4.7</v>
      </c>
      <c r="AC899" s="4"/>
      <c r="AD899" s="47"/>
      <c r="AE899" s="47"/>
      <c r="AF899" s="319"/>
      <c r="AG899" s="29">
        <f t="shared" si="140"/>
        <v>0</v>
      </c>
    </row>
    <row r="900" spans="1:37">
      <c r="A900" s="180"/>
      <c r="B900" s="502" t="s">
        <v>484</v>
      </c>
      <c r="C900" s="47"/>
      <c r="D900" s="47"/>
      <c r="E900" s="319">
        <v>8</v>
      </c>
      <c r="F900" s="320">
        <v>1.5</v>
      </c>
      <c r="G900" s="4"/>
      <c r="H900" s="47"/>
      <c r="I900" s="47"/>
      <c r="J900" s="319">
        <v>8</v>
      </c>
      <c r="K900" s="320">
        <v>1</v>
      </c>
      <c r="L900" s="4"/>
      <c r="M900" s="47"/>
      <c r="N900" s="47"/>
      <c r="O900" s="319">
        <v>8</v>
      </c>
      <c r="P900" s="320">
        <v>0.5</v>
      </c>
      <c r="R900" s="47"/>
      <c r="S900" s="47"/>
      <c r="T900" s="319">
        <v>8</v>
      </c>
      <c r="U900" s="320">
        <v>1</v>
      </c>
      <c r="W900" s="47"/>
      <c r="X900" s="47"/>
      <c r="Y900" s="319">
        <v>8</v>
      </c>
      <c r="Z900" s="320">
        <v>0.7</v>
      </c>
      <c r="AA900" s="328">
        <f t="shared" si="138"/>
        <v>40</v>
      </c>
      <c r="AB900" s="298">
        <f t="shared" si="139"/>
        <v>4.7</v>
      </c>
      <c r="AC900" s="4"/>
      <c r="AD900" s="47"/>
      <c r="AE900" s="47"/>
      <c r="AF900" s="319"/>
      <c r="AG900" s="29">
        <f t="shared" si="140"/>
        <v>0</v>
      </c>
    </row>
    <row r="901" spans="1:37">
      <c r="A901" s="180"/>
      <c r="B901" s="502" t="s">
        <v>485</v>
      </c>
      <c r="C901" s="47"/>
      <c r="D901" s="47"/>
      <c r="E901" s="319">
        <v>8</v>
      </c>
      <c r="F901" s="320">
        <v>1.5</v>
      </c>
      <c r="G901" s="4"/>
      <c r="H901" s="47"/>
      <c r="I901" s="47"/>
      <c r="J901" s="319">
        <v>8</v>
      </c>
      <c r="K901" s="320">
        <v>1</v>
      </c>
      <c r="L901" s="4"/>
      <c r="M901" s="47"/>
      <c r="N901" s="47"/>
      <c r="O901" s="319">
        <v>8</v>
      </c>
      <c r="P901" s="320">
        <v>0.5</v>
      </c>
      <c r="R901" s="47"/>
      <c r="S901" s="47"/>
      <c r="T901" s="319">
        <v>8</v>
      </c>
      <c r="U901" s="320">
        <v>1</v>
      </c>
      <c r="W901" s="47"/>
      <c r="X901" s="47"/>
      <c r="Y901" s="319">
        <v>8</v>
      </c>
      <c r="Z901" s="320">
        <v>0.7</v>
      </c>
      <c r="AA901" s="328">
        <f t="shared" si="138"/>
        <v>40</v>
      </c>
      <c r="AB901" s="298">
        <f t="shared" si="139"/>
        <v>4.7</v>
      </c>
      <c r="AC901" s="4"/>
      <c r="AD901" s="47"/>
      <c r="AE901" s="47"/>
      <c r="AF901" s="319"/>
      <c r="AG901" s="29">
        <f t="shared" si="140"/>
        <v>0</v>
      </c>
    </row>
    <row r="902" spans="1:37" ht="15.6" customHeight="1">
      <c r="A902" s="180"/>
      <c r="B902" s="502" t="s">
        <v>486</v>
      </c>
      <c r="C902" s="47"/>
      <c r="D902" s="47"/>
      <c r="E902" s="319"/>
      <c r="F902" s="320"/>
      <c r="G902" s="4"/>
      <c r="H902" s="47"/>
      <c r="I902" s="47"/>
      <c r="J902" s="319"/>
      <c r="K902" s="320"/>
      <c r="L902" s="4"/>
      <c r="M902" s="47"/>
      <c r="N902" s="47"/>
      <c r="O902" s="319"/>
      <c r="P902" s="320"/>
      <c r="R902" s="47"/>
      <c r="S902" s="47"/>
      <c r="T902" s="319"/>
      <c r="U902" s="320"/>
      <c r="W902" s="47"/>
      <c r="X902" s="47"/>
      <c r="Y902" s="319"/>
      <c r="Z902" s="320"/>
      <c r="AA902" s="328">
        <f t="shared" si="138"/>
        <v>0</v>
      </c>
      <c r="AB902" s="298">
        <f t="shared" si="139"/>
        <v>0</v>
      </c>
      <c r="AC902" s="4"/>
      <c r="AD902" s="47"/>
      <c r="AE902" s="47"/>
      <c r="AF902" s="319"/>
      <c r="AG902" s="29">
        <f t="shared" si="140"/>
        <v>0</v>
      </c>
    </row>
    <row r="903" spans="1:37">
      <c r="A903" s="180"/>
      <c r="B903" s="63" t="s">
        <v>63</v>
      </c>
      <c r="C903" s="47"/>
      <c r="D903" s="47"/>
      <c r="E903" s="319">
        <v>8</v>
      </c>
      <c r="F903" s="320">
        <v>0.5</v>
      </c>
      <c r="G903" s="4"/>
      <c r="H903" s="47"/>
      <c r="I903" s="47"/>
      <c r="J903" s="319">
        <v>8</v>
      </c>
      <c r="K903" s="320"/>
      <c r="L903" s="4"/>
      <c r="M903" s="47"/>
      <c r="N903" s="313"/>
      <c r="O903" s="319">
        <v>8</v>
      </c>
      <c r="P903" s="320"/>
      <c r="R903" s="47"/>
      <c r="S903" s="47"/>
      <c r="T903" s="319">
        <v>7</v>
      </c>
      <c r="U903" s="320">
        <v>0.5</v>
      </c>
      <c r="W903" s="47"/>
      <c r="X903" s="47"/>
      <c r="Y903" s="319">
        <v>7</v>
      </c>
      <c r="Z903" s="320">
        <v>0.5</v>
      </c>
      <c r="AA903" s="328">
        <f t="shared" si="138"/>
        <v>38</v>
      </c>
      <c r="AB903" s="298">
        <f t="shared" si="139"/>
        <v>1.5</v>
      </c>
      <c r="AC903" s="4"/>
      <c r="AD903" s="47"/>
      <c r="AE903" s="47"/>
      <c r="AF903" s="319"/>
      <c r="AG903" s="29">
        <f t="shared" si="140"/>
        <v>0</v>
      </c>
    </row>
    <row r="904" spans="1:37">
      <c r="A904" s="180"/>
      <c r="B904" s="63" t="s">
        <v>487</v>
      </c>
      <c r="C904" s="47"/>
      <c r="D904" s="47"/>
      <c r="E904" s="319"/>
      <c r="F904" s="320"/>
      <c r="G904" s="438"/>
      <c r="H904" s="47"/>
      <c r="I904" s="47"/>
      <c r="J904" s="319"/>
      <c r="K904" s="320"/>
      <c r="L904" s="438"/>
      <c r="M904" s="47"/>
      <c r="N904" s="47"/>
      <c r="O904" s="319"/>
      <c r="P904" s="320"/>
      <c r="Q904" s="438"/>
      <c r="R904" s="47"/>
      <c r="S904" s="47"/>
      <c r="T904" s="319"/>
      <c r="U904" s="320"/>
      <c r="V904" s="438"/>
      <c r="W904" s="47"/>
      <c r="X904" s="47"/>
      <c r="Y904" s="319"/>
      <c r="Z904" s="320"/>
      <c r="AA904" s="328">
        <f t="shared" si="138"/>
        <v>0</v>
      </c>
      <c r="AB904" s="298">
        <f t="shared" si="139"/>
        <v>0</v>
      </c>
      <c r="AC904" s="4"/>
      <c r="AD904" s="47"/>
      <c r="AE904" s="47"/>
      <c r="AF904" s="319"/>
      <c r="AG904" s="29">
        <f t="shared" si="140"/>
        <v>0</v>
      </c>
      <c r="AK904" s="407"/>
    </row>
    <row r="905" spans="1:37">
      <c r="A905" s="180"/>
      <c r="B905" s="267" t="s">
        <v>358</v>
      </c>
      <c r="C905" s="47"/>
      <c r="D905" s="47"/>
      <c r="E905" s="319">
        <v>6</v>
      </c>
      <c r="F905" s="320"/>
      <c r="G905" s="438"/>
      <c r="H905" s="47"/>
      <c r="I905" s="47"/>
      <c r="J905" s="319">
        <v>6</v>
      </c>
      <c r="K905" s="320"/>
      <c r="L905" s="438"/>
      <c r="M905" s="47"/>
      <c r="N905" s="47"/>
      <c r="O905" s="319">
        <v>6</v>
      </c>
      <c r="P905" s="320"/>
      <c r="Q905" s="438"/>
      <c r="R905" s="47"/>
      <c r="S905" s="47"/>
      <c r="T905" s="319">
        <v>6</v>
      </c>
      <c r="U905" s="320"/>
      <c r="V905" s="438"/>
      <c r="W905" s="47"/>
      <c r="X905" s="47"/>
      <c r="Y905" s="319">
        <v>6</v>
      </c>
      <c r="Z905" s="320"/>
      <c r="AA905" s="328">
        <f t="shared" si="138"/>
        <v>30</v>
      </c>
      <c r="AB905" s="298">
        <f t="shared" si="139"/>
        <v>0</v>
      </c>
      <c r="AC905" s="4"/>
      <c r="AD905" s="47"/>
      <c r="AE905" s="47"/>
      <c r="AF905" s="319"/>
      <c r="AG905" s="29">
        <f t="shared" si="140"/>
        <v>0</v>
      </c>
      <c r="AK905" s="407"/>
    </row>
    <row r="906" spans="1:37">
      <c r="A906" s="180"/>
      <c r="B906" s="267" t="s">
        <v>359</v>
      </c>
      <c r="C906" s="47"/>
      <c r="D906" s="47"/>
      <c r="E906" s="319"/>
      <c r="F906" s="320"/>
      <c r="G906" s="438"/>
      <c r="H906" s="47"/>
      <c r="I906" s="47"/>
      <c r="J906" s="319"/>
      <c r="K906" s="320"/>
      <c r="L906" s="438"/>
      <c r="M906" s="47"/>
      <c r="N906" s="47"/>
      <c r="O906" s="319"/>
      <c r="P906" s="320"/>
      <c r="Q906" s="438"/>
      <c r="R906" s="47"/>
      <c r="S906" s="47"/>
      <c r="T906" s="319"/>
      <c r="U906" s="320"/>
      <c r="V906" s="438"/>
      <c r="W906" s="47"/>
      <c r="X906" s="47"/>
      <c r="Y906" s="319"/>
      <c r="Z906" s="320"/>
      <c r="AA906" s="328">
        <f t="shared" si="138"/>
        <v>0</v>
      </c>
      <c r="AB906" s="298">
        <f t="shared" si="139"/>
        <v>0</v>
      </c>
      <c r="AC906" s="4"/>
      <c r="AD906" s="47"/>
      <c r="AE906" s="47"/>
      <c r="AF906" s="319"/>
      <c r="AG906" s="29">
        <f t="shared" si="140"/>
        <v>0</v>
      </c>
      <c r="AK906" s="407"/>
    </row>
    <row r="907" spans="1:37">
      <c r="A907" s="180"/>
      <c r="B907" s="267" t="s">
        <v>411</v>
      </c>
      <c r="C907" s="47"/>
      <c r="D907" s="47"/>
      <c r="E907" s="319"/>
      <c r="F907" s="320"/>
      <c r="G907" s="438"/>
      <c r="H907" s="47"/>
      <c r="I907" s="47"/>
      <c r="J907" s="319"/>
      <c r="K907" s="320"/>
      <c r="L907" s="438"/>
      <c r="M907" s="47"/>
      <c r="N907" s="47"/>
      <c r="O907" s="319"/>
      <c r="P907" s="320"/>
      <c r="Q907" s="438"/>
      <c r="R907" s="47"/>
      <c r="S907" s="47"/>
      <c r="T907" s="319"/>
      <c r="U907" s="320"/>
      <c r="V907" s="438"/>
      <c r="W907" s="47"/>
      <c r="X907" s="47"/>
      <c r="Y907" s="319"/>
      <c r="Z907" s="320"/>
      <c r="AA907" s="328">
        <f t="shared" si="138"/>
        <v>0</v>
      </c>
      <c r="AB907" s="298">
        <f t="shared" si="139"/>
        <v>0</v>
      </c>
      <c r="AC907" s="4"/>
      <c r="AD907" s="47"/>
      <c r="AE907" s="47"/>
      <c r="AF907" s="319"/>
      <c r="AG907" s="29">
        <f t="shared" si="140"/>
        <v>0</v>
      </c>
      <c r="AK907" s="407"/>
    </row>
    <row r="908" spans="1:37">
      <c r="A908" s="180"/>
      <c r="B908" s="267" t="s">
        <v>361</v>
      </c>
      <c r="C908" s="47"/>
      <c r="D908" s="47"/>
      <c r="E908" s="319"/>
      <c r="F908" s="320"/>
      <c r="G908" s="438"/>
      <c r="H908" s="47"/>
      <c r="I908" s="47"/>
      <c r="J908" s="319"/>
      <c r="K908" s="320"/>
      <c r="L908" s="438"/>
      <c r="M908" s="47"/>
      <c r="N908" s="47"/>
      <c r="O908" s="319"/>
      <c r="P908" s="320"/>
      <c r="Q908" s="438"/>
      <c r="R908" s="47"/>
      <c r="S908" s="47"/>
      <c r="T908" s="319"/>
      <c r="U908" s="320"/>
      <c r="V908" s="438"/>
      <c r="W908" s="47"/>
      <c r="X908" s="47"/>
      <c r="Y908" s="319"/>
      <c r="Z908" s="320"/>
      <c r="AA908" s="328">
        <f t="shared" si="138"/>
        <v>0</v>
      </c>
      <c r="AB908" s="298">
        <f t="shared" si="139"/>
        <v>0</v>
      </c>
      <c r="AC908" s="4"/>
      <c r="AD908" s="47"/>
      <c r="AE908" s="47"/>
      <c r="AF908" s="319"/>
      <c r="AG908" s="29">
        <f t="shared" si="140"/>
        <v>0</v>
      </c>
      <c r="AK908" s="407"/>
    </row>
    <row r="909" spans="1:37">
      <c r="A909" s="180"/>
      <c r="B909" s="267" t="s">
        <v>362</v>
      </c>
      <c r="C909" s="47"/>
      <c r="D909" s="47"/>
      <c r="E909" s="319">
        <v>4</v>
      </c>
      <c r="F909" s="320"/>
      <c r="G909" s="438"/>
      <c r="H909" s="47"/>
      <c r="I909" s="47"/>
      <c r="J909" s="319">
        <v>4</v>
      </c>
      <c r="K909" s="320"/>
      <c r="L909" s="438"/>
      <c r="M909" s="47"/>
      <c r="N909" s="47"/>
      <c r="O909" s="319"/>
      <c r="P909" s="320"/>
      <c r="Q909" s="438"/>
      <c r="R909" s="47"/>
      <c r="S909" s="47"/>
      <c r="T909" s="319"/>
      <c r="U909" s="320"/>
      <c r="V909" s="438"/>
      <c r="W909" s="47"/>
      <c r="X909" s="47"/>
      <c r="Y909" s="319"/>
      <c r="Z909" s="320"/>
      <c r="AA909" s="328">
        <f t="shared" si="138"/>
        <v>8</v>
      </c>
      <c r="AB909" s="298">
        <f t="shared" si="139"/>
        <v>0</v>
      </c>
      <c r="AC909" s="4"/>
      <c r="AD909" s="47"/>
      <c r="AE909" s="47"/>
      <c r="AF909" s="319"/>
      <c r="AG909" s="29">
        <f t="shared" si="140"/>
        <v>0</v>
      </c>
      <c r="AK909" s="407"/>
    </row>
    <row r="910" spans="1:37">
      <c r="A910" s="180"/>
      <c r="B910" s="437" t="s">
        <v>355</v>
      </c>
      <c r="C910" s="47"/>
      <c r="D910" s="47"/>
      <c r="E910" s="319">
        <v>7.7</v>
      </c>
      <c r="F910" s="320"/>
      <c r="G910" s="438"/>
      <c r="H910" s="47"/>
      <c r="I910" s="47"/>
      <c r="J910" s="319">
        <v>7.7</v>
      </c>
      <c r="K910" s="320"/>
      <c r="L910" s="438"/>
      <c r="M910" s="47"/>
      <c r="N910" s="47"/>
      <c r="O910" s="319">
        <v>7.7</v>
      </c>
      <c r="P910" s="320"/>
      <c r="Q910" s="438"/>
      <c r="R910" s="47"/>
      <c r="S910" s="47"/>
      <c r="T910" s="319">
        <v>7.7</v>
      </c>
      <c r="U910" s="320"/>
      <c r="V910" s="438"/>
      <c r="W910" s="47"/>
      <c r="X910" s="47"/>
      <c r="Y910" s="319">
        <v>7.7</v>
      </c>
      <c r="Z910" s="320"/>
      <c r="AA910" s="328">
        <f t="shared" si="138"/>
        <v>38.5</v>
      </c>
      <c r="AB910" s="298">
        <f t="shared" si="139"/>
        <v>0</v>
      </c>
      <c r="AC910" s="4"/>
      <c r="AD910" s="47"/>
      <c r="AE910" s="47"/>
      <c r="AF910" s="319"/>
      <c r="AG910" s="29">
        <f t="shared" si="140"/>
        <v>0</v>
      </c>
      <c r="AK910" s="407"/>
    </row>
    <row r="911" spans="1:37">
      <c r="A911" s="180"/>
      <c r="B911" s="437" t="s">
        <v>356</v>
      </c>
      <c r="C911" s="47"/>
      <c r="D911" s="47"/>
      <c r="E911" s="319">
        <v>24.6</v>
      </c>
      <c r="F911" s="320"/>
      <c r="G911" s="438"/>
      <c r="H911" s="47"/>
      <c r="I911" s="47"/>
      <c r="J911" s="319">
        <v>14.1</v>
      </c>
      <c r="K911" s="320"/>
      <c r="L911" s="438"/>
      <c r="M911" s="47"/>
      <c r="N911" s="47"/>
      <c r="O911" s="319">
        <v>22</v>
      </c>
      <c r="P911" s="320"/>
      <c r="Q911" s="438"/>
      <c r="R911" s="47"/>
      <c r="S911" s="47"/>
      <c r="T911" s="319">
        <v>28.5</v>
      </c>
      <c r="U911" s="320"/>
      <c r="V911" s="438"/>
      <c r="W911" s="47"/>
      <c r="X911" s="47"/>
      <c r="Y911" s="319">
        <v>18.399999999999999</v>
      </c>
      <c r="Z911" s="320"/>
      <c r="AA911" s="328">
        <f t="shared" si="138"/>
        <v>107.6</v>
      </c>
      <c r="AB911" s="298">
        <f t="shared" si="139"/>
        <v>0</v>
      </c>
      <c r="AC911" s="4"/>
      <c r="AD911" s="47"/>
      <c r="AE911" s="47"/>
      <c r="AF911" s="319"/>
      <c r="AG911" s="29">
        <f t="shared" si="140"/>
        <v>0</v>
      </c>
      <c r="AK911" s="407"/>
    </row>
    <row r="912" spans="1:37">
      <c r="A912" s="180"/>
      <c r="B912" s="64" t="s">
        <v>61</v>
      </c>
      <c r="C912" s="31"/>
      <c r="D912" s="468"/>
      <c r="E912" s="469">
        <f>SUM(E877:E911)</f>
        <v>134.80000000000001</v>
      </c>
      <c r="F912" s="467">
        <f>SUM(F877:F911)</f>
        <v>5</v>
      </c>
      <c r="G912" s="468"/>
      <c r="H912" s="468"/>
      <c r="I912" s="468"/>
      <c r="J912" s="469">
        <f>SUM(J877:J911)</f>
        <v>141.30000000000001</v>
      </c>
      <c r="K912" s="467">
        <f>SUM(K877:K911)</f>
        <v>3.5</v>
      </c>
      <c r="L912" s="31"/>
      <c r="M912" s="31"/>
      <c r="N912" s="31"/>
      <c r="O912" s="439">
        <f>SUM(O877:O911)</f>
        <v>158.69999999999999</v>
      </c>
      <c r="P912" s="320">
        <f>SUM(P877:P911)</f>
        <v>1.5</v>
      </c>
      <c r="Q912" s="31"/>
      <c r="R912" s="31"/>
      <c r="S912" s="31"/>
      <c r="T912" s="439">
        <f>SUM(T877:T911)</f>
        <v>138.19999999999999</v>
      </c>
      <c r="U912" s="320">
        <f>SUM(U877:U911)</f>
        <v>4.5</v>
      </c>
      <c r="V912" s="31"/>
      <c r="W912" s="31"/>
      <c r="X912" s="31"/>
      <c r="Y912" s="439">
        <f>SUM(Y877:Y911)</f>
        <v>147.6</v>
      </c>
      <c r="Z912" s="320">
        <f>SUM(Z877:Z911)</f>
        <v>2.5999999999999996</v>
      </c>
      <c r="AA912" s="370">
        <f>SUM(AA877:AA911)</f>
        <v>720.6</v>
      </c>
      <c r="AB912" s="370">
        <f>SUM(AB877:AB911)</f>
        <v>17.100000000000001</v>
      </c>
      <c r="AC912" s="4"/>
      <c r="AD912" s="64"/>
      <c r="AE912" s="64"/>
      <c r="AF912" s="370">
        <f>SUM(AF877:AF911)</f>
        <v>8</v>
      </c>
      <c r="AG912" s="370">
        <f>SUM(AG877:AG911)</f>
        <v>8</v>
      </c>
    </row>
    <row r="913" spans="1:49">
      <c r="A913" s="180"/>
      <c r="B913" s="63" t="s">
        <v>64</v>
      </c>
      <c r="C913" s="47"/>
      <c r="D913" s="474"/>
      <c r="E913" s="467">
        <v>8</v>
      </c>
      <c r="F913" s="467">
        <v>1.5</v>
      </c>
      <c r="G913" s="467"/>
      <c r="H913" s="474"/>
      <c r="I913" s="474"/>
      <c r="J913" s="467">
        <v>8</v>
      </c>
      <c r="K913" s="467">
        <v>1</v>
      </c>
      <c r="L913" s="60"/>
      <c r="M913" s="47"/>
      <c r="N913" s="47"/>
      <c r="O913" s="319">
        <v>8</v>
      </c>
      <c r="P913" s="19"/>
      <c r="Q913" s="60"/>
      <c r="R913" s="47"/>
      <c r="S913" s="47"/>
      <c r="T913" s="319">
        <v>8</v>
      </c>
      <c r="U913" s="19">
        <v>1</v>
      </c>
      <c r="V913" s="60"/>
      <c r="W913" s="47"/>
      <c r="X913" s="47"/>
      <c r="Y913" s="319">
        <v>8</v>
      </c>
      <c r="Z913" s="19"/>
      <c r="AA913" s="28">
        <f>SUM(E913+J913+O913+T913+Y913)</f>
        <v>40</v>
      </c>
      <c r="AB913" s="296">
        <f>Z913+U913+P913+K913+F913</f>
        <v>3.5</v>
      </c>
      <c r="AC913" s="4"/>
      <c r="AD913" s="47" t="s">
        <v>29</v>
      </c>
      <c r="AE913" s="47" t="s">
        <v>29</v>
      </c>
      <c r="AF913" s="319">
        <v>1.5</v>
      </c>
      <c r="AG913" s="29">
        <f>AF913</f>
        <v>1.5</v>
      </c>
    </row>
    <row r="914" spans="1:49">
      <c r="A914" s="180"/>
      <c r="B914" s="71" t="s">
        <v>66</v>
      </c>
      <c r="C914" s="371"/>
      <c r="D914" s="371"/>
      <c r="E914" s="71"/>
      <c r="F914" s="71"/>
      <c r="G914" s="71"/>
      <c r="H914" s="71"/>
      <c r="I914" s="71"/>
      <c r="J914" s="71"/>
      <c r="K914" s="71"/>
      <c r="L914" s="71"/>
      <c r="M914" s="71"/>
      <c r="N914" s="71"/>
      <c r="O914" s="71"/>
      <c r="P914" s="71"/>
      <c r="Q914" s="71"/>
      <c r="R914" s="71"/>
      <c r="S914" s="71"/>
      <c r="T914" s="71"/>
      <c r="U914" s="71"/>
      <c r="V914" s="71"/>
      <c r="W914" s="71"/>
      <c r="X914" s="71"/>
      <c r="Y914" s="71"/>
      <c r="Z914" s="71"/>
      <c r="AA914" s="370">
        <f>SUM(AA913:AA913)</f>
        <v>40</v>
      </c>
      <c r="AB914" s="370">
        <f>SUM(AB913:AB913)</f>
        <v>3.5</v>
      </c>
      <c r="AC914" s="4"/>
      <c r="AG914" s="370">
        <f>SUM(AG913:AG913)</f>
        <v>1.5</v>
      </c>
    </row>
    <row r="915" spans="1:49">
      <c r="A915" s="180"/>
      <c r="B915" s="217" t="s">
        <v>67</v>
      </c>
      <c r="C915" s="207">
        <f>C916+C917</f>
        <v>72</v>
      </c>
      <c r="D915" s="207"/>
      <c r="E915" s="209"/>
      <c r="F915" s="209"/>
      <c r="G915" s="207"/>
      <c r="H915" s="209"/>
      <c r="I915" s="209"/>
      <c r="J915" s="209"/>
      <c r="K915" s="209"/>
      <c r="L915" s="207"/>
      <c r="M915" s="207"/>
      <c r="N915" s="207"/>
      <c r="O915" s="207"/>
      <c r="P915" s="209"/>
      <c r="Q915" s="207"/>
      <c r="R915" s="207"/>
      <c r="S915" s="207"/>
      <c r="T915" s="207"/>
      <c r="U915" s="209"/>
      <c r="V915" s="207"/>
      <c r="W915" s="207"/>
      <c r="X915" s="207"/>
      <c r="Y915" s="210"/>
      <c r="Z915" s="209"/>
      <c r="AA915" s="211"/>
      <c r="AB915" s="209"/>
      <c r="AC915" s="211"/>
      <c r="AD915" s="211"/>
      <c r="AE915" s="211"/>
      <c r="AF915" s="211"/>
      <c r="AG915" s="211"/>
    </row>
    <row r="916" spans="1:49">
      <c r="A916" s="180"/>
      <c r="B916" s="238" t="s">
        <v>68</v>
      </c>
      <c r="C916" s="239"/>
      <c r="D916" s="207"/>
      <c r="E916" s="209"/>
      <c r="F916" s="209"/>
      <c r="G916" s="207"/>
      <c r="H916" s="209"/>
      <c r="I916" s="209"/>
      <c r="J916" s="209"/>
      <c r="K916" s="209"/>
      <c r="L916" s="207"/>
      <c r="M916" s="207"/>
      <c r="N916" s="207"/>
      <c r="O916" s="207"/>
      <c r="P916" s="209"/>
      <c r="Q916" s="207"/>
      <c r="R916" s="207"/>
      <c r="S916" s="207"/>
      <c r="T916" s="207"/>
      <c r="U916" s="209"/>
      <c r="V916" s="207"/>
      <c r="W916" s="207"/>
      <c r="X916" s="207"/>
      <c r="Y916" s="210"/>
      <c r="Z916" s="209"/>
      <c r="AA916" s="211"/>
      <c r="AB916" s="209"/>
      <c r="AC916" s="211"/>
      <c r="AD916" s="211"/>
      <c r="AE916" s="211"/>
      <c r="AF916" s="211"/>
      <c r="AG916" s="211"/>
    </row>
    <row r="917" spans="1:49">
      <c r="A917" s="180"/>
      <c r="B917" s="238" t="s">
        <v>69</v>
      </c>
      <c r="C917" s="239">
        <f>33+39</f>
        <v>72</v>
      </c>
      <c r="D917" s="207"/>
      <c r="E917" s="209"/>
      <c r="F917" s="209"/>
      <c r="G917" s="207"/>
      <c r="H917" s="209"/>
      <c r="I917" s="209"/>
      <c r="J917" s="209"/>
      <c r="K917" s="209"/>
      <c r="L917" s="207"/>
      <c r="M917" s="207"/>
      <c r="N917" s="207"/>
      <c r="O917" s="207"/>
      <c r="P917" s="209"/>
      <c r="Q917" s="207"/>
      <c r="R917" s="207"/>
      <c r="S917" s="207"/>
      <c r="T917" s="207"/>
      <c r="U917" s="209"/>
      <c r="V917" s="207"/>
      <c r="W917" s="207"/>
      <c r="X917" s="207"/>
      <c r="Y917" s="210"/>
      <c r="Z917" s="209"/>
      <c r="AA917" s="211"/>
      <c r="AB917" s="209"/>
      <c r="AC917" s="211"/>
      <c r="AD917" s="211"/>
      <c r="AE917" s="211"/>
      <c r="AF917" s="211"/>
      <c r="AG917" s="211"/>
    </row>
    <row r="918" spans="1:49">
      <c r="B918" s="180"/>
      <c r="E918" s="4"/>
      <c r="F918" s="4"/>
      <c r="G918" s="4"/>
      <c r="J918" s="4"/>
      <c r="K918" s="4"/>
      <c r="L918" s="4"/>
      <c r="O918" s="4"/>
      <c r="P918" s="4"/>
      <c r="T918" s="4"/>
      <c r="U918" s="4"/>
      <c r="Y918" s="4"/>
      <c r="Z918" s="4"/>
      <c r="AA918" s="4"/>
      <c r="AB918" s="4"/>
      <c r="AC918" s="4"/>
    </row>
    <row r="919" spans="1:49">
      <c r="A919" s="180"/>
      <c r="B919" s="229"/>
      <c r="C919" s="230"/>
      <c r="D919" s="230"/>
      <c r="E919" s="232"/>
      <c r="F919" s="232"/>
      <c r="G919" s="230"/>
      <c r="H919" s="232"/>
      <c r="I919" s="232"/>
      <c r="J919" s="232"/>
      <c r="K919" s="232"/>
      <c r="L919" s="230"/>
      <c r="M919" s="230"/>
      <c r="N919" s="230"/>
      <c r="O919" s="230"/>
      <c r="P919" s="232"/>
      <c r="Q919" s="230"/>
      <c r="R919" s="230"/>
      <c r="S919" s="230"/>
      <c r="T919" s="230"/>
      <c r="U919" s="232"/>
      <c r="V919" s="230"/>
      <c r="W919" s="230"/>
      <c r="X919" s="230"/>
      <c r="Y919" s="233"/>
      <c r="Z919" s="232"/>
      <c r="AA919" s="234"/>
      <c r="AB919" s="232"/>
      <c r="AC919" s="373"/>
      <c r="AD919" s="236"/>
      <c r="AE919" s="255"/>
      <c r="AF919" s="255"/>
      <c r="AG919" s="255"/>
      <c r="AH919" s="255"/>
      <c r="AJ919" s="255"/>
      <c r="AK919" s="255"/>
      <c r="AL919" s="255"/>
      <c r="AM919" s="255"/>
      <c r="AN919" s="255"/>
      <c r="AO919" s="255"/>
      <c r="AP919" s="255"/>
      <c r="AQ919" s="255"/>
      <c r="AR919" s="255"/>
      <c r="AS919" s="255"/>
      <c r="AT919" s="255"/>
      <c r="AU919" s="255"/>
      <c r="AV919" s="255"/>
      <c r="AW919" s="255"/>
    </row>
    <row r="920" spans="1:49">
      <c r="B920" s="180"/>
      <c r="E920" s="4"/>
      <c r="F920" s="4"/>
      <c r="G920" s="4"/>
      <c r="J920" s="4"/>
      <c r="K920" s="4"/>
      <c r="L920" s="4"/>
      <c r="O920" s="4"/>
      <c r="P920" s="4"/>
      <c r="T920" s="4"/>
      <c r="U920" s="4"/>
      <c r="Y920" s="4"/>
      <c r="Z920" s="4"/>
      <c r="AA920" s="4"/>
      <c r="AB920" s="4"/>
      <c r="AC920" s="4"/>
      <c r="AK920" s="180"/>
      <c r="AL920" s="180"/>
      <c r="AM920" s="180"/>
      <c r="AN920" s="180"/>
      <c r="AO920" s="180"/>
      <c r="AP920" s="180"/>
    </row>
    <row r="921" spans="1:49" ht="10.9" customHeight="1">
      <c r="A921" s="228"/>
      <c r="B921" s="1518" t="s">
        <v>18</v>
      </c>
      <c r="C921" s="1519">
        <v>45509</v>
      </c>
      <c r="D921" s="1519"/>
      <c r="E921" s="1519"/>
      <c r="F921" s="1519"/>
      <c r="G921" s="365"/>
      <c r="H921" s="1519">
        <v>45510</v>
      </c>
      <c r="I921" s="1519"/>
      <c r="J921" s="1519"/>
      <c r="K921" s="1519"/>
      <c r="L921" s="365">
        <v>45343</v>
      </c>
      <c r="M921" s="1519">
        <v>45511</v>
      </c>
      <c r="N921" s="1519"/>
      <c r="O921" s="1519"/>
      <c r="P921" s="1519"/>
      <c r="Q921" s="365"/>
      <c r="R921" s="1519">
        <v>45512</v>
      </c>
      <c r="S921" s="1519"/>
      <c r="T921" s="1519"/>
      <c r="U921" s="1519"/>
      <c r="V921" s="365"/>
      <c r="W921" s="1519">
        <v>45513</v>
      </c>
      <c r="X921" s="1519"/>
      <c r="Y921" s="1519"/>
      <c r="Z921" s="1519"/>
      <c r="AA921" s="1517" t="s">
        <v>19</v>
      </c>
      <c r="AB921" s="1517" t="s">
        <v>20</v>
      </c>
      <c r="AC921" s="4"/>
      <c r="AD921" s="1519"/>
      <c r="AE921" s="1519"/>
      <c r="AF921" s="1519"/>
      <c r="AG921" s="1517" t="s">
        <v>21</v>
      </c>
      <c r="AI921" s="368"/>
      <c r="AK921" s="194" t="s">
        <v>84</v>
      </c>
      <c r="AL921" s="366"/>
      <c r="AM921" s="366"/>
      <c r="AN921" s="366"/>
      <c r="AO921" s="366"/>
      <c r="AP921" s="366"/>
    </row>
    <row r="922" spans="1:49">
      <c r="A922" s="180"/>
      <c r="B922" s="1518"/>
      <c r="C922" s="21" t="s">
        <v>23</v>
      </c>
      <c r="D922" s="21" t="s">
        <v>24</v>
      </c>
      <c r="E922" s="205" t="s">
        <v>25</v>
      </c>
      <c r="F922" s="18" t="s">
        <v>14</v>
      </c>
      <c r="G922" s="4"/>
      <c r="H922" s="21" t="s">
        <v>23</v>
      </c>
      <c r="I922" s="21" t="s">
        <v>24</v>
      </c>
      <c r="J922" s="18" t="s">
        <v>25</v>
      </c>
      <c r="K922" s="18" t="s">
        <v>14</v>
      </c>
      <c r="L922" s="4"/>
      <c r="M922" s="21" t="s">
        <v>23</v>
      </c>
      <c r="N922" s="21" t="s">
        <v>24</v>
      </c>
      <c r="O922" s="18" t="s">
        <v>25</v>
      </c>
      <c r="P922" s="18" t="s">
        <v>14</v>
      </c>
      <c r="R922" s="21" t="s">
        <v>23</v>
      </c>
      <c r="S922" s="21" t="s">
        <v>24</v>
      </c>
      <c r="T922" s="18" t="s">
        <v>25</v>
      </c>
      <c r="U922" s="18" t="s">
        <v>14</v>
      </c>
      <c r="W922" s="21" t="s">
        <v>23</v>
      </c>
      <c r="X922" s="21" t="s">
        <v>24</v>
      </c>
      <c r="Y922" s="18" t="s">
        <v>25</v>
      </c>
      <c r="Z922" s="18" t="s">
        <v>14</v>
      </c>
      <c r="AA922" s="1517"/>
      <c r="AB922" s="1517"/>
      <c r="AC922" s="4"/>
      <c r="AD922" s="21" t="s">
        <v>23</v>
      </c>
      <c r="AE922" s="21" t="s">
        <v>24</v>
      </c>
      <c r="AF922" s="18" t="s">
        <v>25</v>
      </c>
      <c r="AG922" s="1517"/>
      <c r="AI922" s="368"/>
      <c r="AJ922" s="367"/>
      <c r="AK922" s="188" t="s">
        <v>26</v>
      </c>
      <c r="AL922" s="196">
        <f>AA959</f>
        <v>644.9</v>
      </c>
      <c r="AM922" s="510">
        <v>38</v>
      </c>
      <c r="AN922" s="510">
        <f>AL922*AM922</f>
        <v>24506.2</v>
      </c>
      <c r="AQ922" s="367"/>
      <c r="AR922" s="367"/>
      <c r="AS922" s="367"/>
      <c r="AT922" s="367"/>
      <c r="AU922" s="367"/>
      <c r="AV922" s="367"/>
      <c r="AW922" s="367"/>
    </row>
    <row r="923" spans="1:49">
      <c r="A923" s="180"/>
      <c r="B923" s="166" t="s">
        <v>506</v>
      </c>
      <c r="C923" s="566"/>
      <c r="D923" s="565"/>
      <c r="E923" s="319"/>
      <c r="F923" s="320"/>
      <c r="G923" s="4"/>
      <c r="H923" s="565"/>
      <c r="I923" s="565"/>
      <c r="J923" s="319"/>
      <c r="K923" s="320"/>
      <c r="L923" s="4"/>
      <c r="M923" s="565"/>
      <c r="N923" s="565"/>
      <c r="O923" s="319"/>
      <c r="P923" s="320"/>
      <c r="R923" s="565"/>
      <c r="S923" s="565"/>
      <c r="T923" s="319"/>
      <c r="U923" s="320"/>
      <c r="W923" s="565"/>
      <c r="X923" s="565"/>
      <c r="Y923" s="319"/>
      <c r="Z923" s="320"/>
      <c r="AA923" s="328">
        <f t="shared" ref="AA923:AA933" si="141">(E923+J923+O923+T923+Y923)</f>
        <v>0</v>
      </c>
      <c r="AB923" s="298">
        <f t="shared" ref="AB923:AB933" si="142">Z923+U923+P923+K923+F923</f>
        <v>0</v>
      </c>
      <c r="AC923" s="4"/>
      <c r="AD923" s="587"/>
      <c r="AE923" s="531"/>
      <c r="AF923" s="319"/>
      <c r="AG923" s="328">
        <f>AF923</f>
        <v>0</v>
      </c>
      <c r="AI923" s="368"/>
      <c r="AJ923" s="367"/>
      <c r="AK923" s="188" t="s">
        <v>30</v>
      </c>
      <c r="AL923" s="196">
        <f>AB959</f>
        <v>4.5</v>
      </c>
      <c r="AM923" s="511">
        <v>57</v>
      </c>
      <c r="AN923" s="510">
        <f>AL923*AM923</f>
        <v>256.5</v>
      </c>
      <c r="AQ923" s="367"/>
      <c r="AR923" s="367"/>
      <c r="AS923" s="367"/>
      <c r="AT923" s="367"/>
      <c r="AU923" s="367"/>
      <c r="AV923" s="367"/>
      <c r="AW923" s="367"/>
    </row>
    <row r="924" spans="1:49">
      <c r="A924" s="367"/>
      <c r="B924" s="611" t="s">
        <v>528</v>
      </c>
      <c r="C924" s="566"/>
      <c r="D924" s="565"/>
      <c r="E924" s="319"/>
      <c r="F924" s="320"/>
      <c r="G924" s="4"/>
      <c r="H924" s="566"/>
      <c r="I924" s="565"/>
      <c r="J924" s="319"/>
      <c r="K924" s="320"/>
      <c r="L924" s="4"/>
      <c r="M924" s="566"/>
      <c r="N924" s="565"/>
      <c r="O924" s="319"/>
      <c r="P924" s="320"/>
      <c r="R924" s="566"/>
      <c r="S924" s="565"/>
      <c r="T924" s="319"/>
      <c r="U924" s="320"/>
      <c r="W924" s="566"/>
      <c r="X924" s="565"/>
      <c r="Y924" s="319"/>
      <c r="Z924" s="320"/>
      <c r="AA924" s="328">
        <f t="shared" si="141"/>
        <v>0</v>
      </c>
      <c r="AB924" s="298">
        <f t="shared" si="142"/>
        <v>0</v>
      </c>
      <c r="AC924" s="4"/>
      <c r="AF924" s="319"/>
      <c r="AG924" s="328">
        <f>AF924</f>
        <v>0</v>
      </c>
      <c r="AH924" s="175"/>
      <c r="AI924" s="402"/>
      <c r="AJ924" s="367"/>
      <c r="AK924" s="188" t="s">
        <v>32</v>
      </c>
      <c r="AL924" s="196">
        <f>AG959</f>
        <v>0</v>
      </c>
      <c r="AM924" s="510">
        <v>57</v>
      </c>
      <c r="AN924" s="510">
        <f>AL924*AM924</f>
        <v>0</v>
      </c>
      <c r="AQ924" s="367"/>
      <c r="AR924" s="367"/>
      <c r="AS924" s="367"/>
      <c r="AT924" s="367"/>
      <c r="AU924" s="367"/>
      <c r="AV924" s="367"/>
      <c r="AW924" s="367"/>
    </row>
    <row r="925" spans="1:49">
      <c r="A925" s="367"/>
      <c r="B925" s="586" t="s">
        <v>508</v>
      </c>
      <c r="C925" s="566"/>
      <c r="D925" s="565"/>
      <c r="E925" s="319"/>
      <c r="F925" s="320"/>
      <c r="G925" s="4"/>
      <c r="H925" s="566"/>
      <c r="I925" s="565"/>
      <c r="J925" s="319"/>
      <c r="K925" s="320"/>
      <c r="L925" s="4"/>
      <c r="M925" s="566"/>
      <c r="N925" s="565"/>
      <c r="O925" s="319"/>
      <c r="P925" s="320"/>
      <c r="R925" s="566"/>
      <c r="S925" s="565"/>
      <c r="T925" s="319"/>
      <c r="U925" s="320"/>
      <c r="W925" s="566"/>
      <c r="X925" s="565"/>
      <c r="Y925" s="319"/>
      <c r="Z925" s="320"/>
      <c r="AA925" s="328">
        <f t="shared" si="141"/>
        <v>0</v>
      </c>
      <c r="AB925" s="298">
        <f t="shared" si="142"/>
        <v>0</v>
      </c>
      <c r="AC925" s="4"/>
      <c r="AD925" s="531"/>
      <c r="AE925" s="531"/>
      <c r="AF925" s="319"/>
      <c r="AG925" s="328"/>
      <c r="AH925" s="175"/>
      <c r="AI925" s="402"/>
      <c r="AJ925" s="367"/>
      <c r="AK925" s="188"/>
      <c r="AL925" s="196"/>
      <c r="AM925" s="510"/>
      <c r="AN925" s="510"/>
      <c r="AQ925" s="367"/>
      <c r="AR925" s="367"/>
      <c r="AS925" s="367"/>
      <c r="AT925" s="367"/>
      <c r="AU925" s="367"/>
      <c r="AV925" s="367"/>
      <c r="AW925" s="367"/>
    </row>
    <row r="926" spans="1:49">
      <c r="A926" s="367"/>
      <c r="B926" s="166" t="s">
        <v>510</v>
      </c>
      <c r="C926" s="565"/>
      <c r="D926" s="565"/>
      <c r="E926" s="319"/>
      <c r="F926" s="320"/>
      <c r="G926" s="4"/>
      <c r="H926" s="565"/>
      <c r="I926" s="565"/>
      <c r="J926" s="319"/>
      <c r="K926" s="320"/>
      <c r="L926" s="4"/>
      <c r="M926" s="565"/>
      <c r="N926" s="565"/>
      <c r="O926" s="319"/>
      <c r="P926" s="320"/>
      <c r="R926" s="565"/>
      <c r="S926" s="565"/>
      <c r="T926" s="319"/>
      <c r="U926" s="320"/>
      <c r="W926" s="565"/>
      <c r="X926" s="565"/>
      <c r="Y926" s="319"/>
      <c r="Z926" s="320"/>
      <c r="AA926" s="328">
        <f t="shared" si="141"/>
        <v>0</v>
      </c>
      <c r="AB926" s="298">
        <f t="shared" si="142"/>
        <v>0</v>
      </c>
      <c r="AC926" s="399"/>
      <c r="AD926" s="47"/>
      <c r="AE926" s="47"/>
      <c r="AF926" s="319"/>
      <c r="AG926" s="29">
        <f t="shared" ref="AG926:AG934" si="143">AF926</f>
        <v>0</v>
      </c>
      <c r="AH926" s="175"/>
      <c r="AJ926" s="401"/>
      <c r="AK926" s="403" t="s">
        <v>213</v>
      </c>
      <c r="AL926" s="404">
        <f>AA961</f>
        <v>40</v>
      </c>
      <c r="AM926" s="510">
        <v>50</v>
      </c>
      <c r="AN926" s="510">
        <f>AL926*AM926</f>
        <v>2000</v>
      </c>
      <c r="AO926" s="405"/>
      <c r="AP926" s="405"/>
      <c r="AQ926" s="401"/>
      <c r="AR926" s="401"/>
      <c r="AS926" s="401"/>
      <c r="AT926" s="401"/>
      <c r="AU926" s="401"/>
      <c r="AV926" s="401"/>
      <c r="AW926" s="401"/>
    </row>
    <row r="927" spans="1:49">
      <c r="A927" s="367"/>
      <c r="B927" s="166" t="s">
        <v>509</v>
      </c>
      <c r="C927" s="565"/>
      <c r="D927" s="565"/>
      <c r="E927" s="319"/>
      <c r="F927" s="320"/>
      <c r="G927" s="4"/>
      <c r="H927" s="565"/>
      <c r="I927" s="565"/>
      <c r="J927" s="319"/>
      <c r="K927" s="320"/>
      <c r="L927" s="4"/>
      <c r="M927" s="565"/>
      <c r="N927" s="565"/>
      <c r="O927" s="319"/>
      <c r="P927" s="320"/>
      <c r="R927" s="565"/>
      <c r="S927" s="565"/>
      <c r="T927" s="319"/>
      <c r="U927" s="320"/>
      <c r="W927" s="565"/>
      <c r="X927" s="565"/>
      <c r="Y927" s="319"/>
      <c r="Z927" s="320"/>
      <c r="AA927" s="328">
        <f t="shared" si="141"/>
        <v>0</v>
      </c>
      <c r="AB927" s="298">
        <f t="shared" si="142"/>
        <v>0</v>
      </c>
      <c r="AC927" s="399"/>
      <c r="AD927" s="47"/>
      <c r="AE927" s="47"/>
      <c r="AF927" s="319"/>
      <c r="AG927" s="29">
        <f t="shared" si="143"/>
        <v>0</v>
      </c>
      <c r="AH927" s="175"/>
      <c r="AJ927" s="401"/>
      <c r="AK927" s="188" t="s">
        <v>36</v>
      </c>
      <c r="AL927" s="196">
        <f>AB961</f>
        <v>1</v>
      </c>
      <c r="AM927" s="510">
        <v>75</v>
      </c>
      <c r="AN927" s="510">
        <f>AL927*AM927</f>
        <v>75</v>
      </c>
      <c r="AO927" s="405"/>
      <c r="AP927" s="405"/>
      <c r="AQ927" s="401"/>
      <c r="AR927" s="401"/>
      <c r="AS927" s="401"/>
      <c r="AT927" s="401"/>
      <c r="AU927" s="401"/>
      <c r="AV927" s="401"/>
      <c r="AW927" s="401"/>
    </row>
    <row r="928" spans="1:49">
      <c r="A928" s="367"/>
      <c r="B928" s="166" t="s">
        <v>511</v>
      </c>
      <c r="C928" s="565"/>
      <c r="D928" s="565"/>
      <c r="E928" s="319"/>
      <c r="F928" s="320"/>
      <c r="G928" s="4"/>
      <c r="H928" s="565"/>
      <c r="I928" s="565"/>
      <c r="J928" s="319"/>
      <c r="K928" s="320"/>
      <c r="L928" s="4"/>
      <c r="M928" s="565"/>
      <c r="N928" s="565"/>
      <c r="O928" s="319"/>
      <c r="P928" s="320"/>
      <c r="R928" s="565"/>
      <c r="S928" s="565"/>
      <c r="T928" s="319"/>
      <c r="U928" s="320"/>
      <c r="W928" s="565"/>
      <c r="X928" s="565"/>
      <c r="Y928" s="319"/>
      <c r="Z928" s="320"/>
      <c r="AA928" s="328">
        <f t="shared" si="141"/>
        <v>0</v>
      </c>
      <c r="AB928" s="298">
        <f t="shared" si="142"/>
        <v>0</v>
      </c>
      <c r="AC928" s="175"/>
      <c r="AD928" s="47"/>
      <c r="AE928" s="47"/>
      <c r="AF928" s="319"/>
      <c r="AG928" s="344">
        <f t="shared" si="143"/>
        <v>0</v>
      </c>
      <c r="AH928" s="175"/>
      <c r="AI928" s="368"/>
      <c r="AK928" s="188" t="s">
        <v>38</v>
      </c>
      <c r="AL928" s="196">
        <f>AG961</f>
        <v>0.75</v>
      </c>
      <c r="AM928" s="510">
        <v>75</v>
      </c>
      <c r="AN928" s="510">
        <f>AL928*AM928</f>
        <v>56.25</v>
      </c>
    </row>
    <row r="929" spans="1:49" ht="14.25" thickBot="1">
      <c r="A929" s="401"/>
      <c r="B929" s="586" t="s">
        <v>512</v>
      </c>
      <c r="C929" s="565"/>
      <c r="D929" s="565"/>
      <c r="E929" s="319"/>
      <c r="F929" s="320"/>
      <c r="G929" s="4"/>
      <c r="H929" s="565"/>
      <c r="I929" s="565"/>
      <c r="J929" s="319"/>
      <c r="K929" s="320"/>
      <c r="L929" s="4"/>
      <c r="M929" s="565"/>
      <c r="N929" s="565"/>
      <c r="O929" s="319"/>
      <c r="P929" s="320"/>
      <c r="R929" s="565"/>
      <c r="S929" s="565"/>
      <c r="T929" s="319"/>
      <c r="U929" s="320"/>
      <c r="W929" s="565"/>
      <c r="X929" s="565"/>
      <c r="Y929" s="319"/>
      <c r="Z929" s="320"/>
      <c r="AA929" s="328">
        <f t="shared" si="141"/>
        <v>0</v>
      </c>
      <c r="AB929" s="298">
        <f t="shared" si="142"/>
        <v>0</v>
      </c>
      <c r="AC929" s="4"/>
      <c r="AD929" s="47"/>
      <c r="AE929" s="47"/>
      <c r="AF929" s="319"/>
      <c r="AG929" s="29">
        <f t="shared" si="143"/>
        <v>0</v>
      </c>
      <c r="AJ929" s="367"/>
      <c r="AK929" s="188" t="s">
        <v>41</v>
      </c>
      <c r="AL929" s="196">
        <f>C962</f>
        <v>33</v>
      </c>
      <c r="AM929" s="512">
        <v>45</v>
      </c>
      <c r="AN929" s="512">
        <f>AL929*AM929</f>
        <v>1485</v>
      </c>
      <c r="AQ929" s="367"/>
      <c r="AR929" s="367"/>
      <c r="AS929" s="367"/>
      <c r="AT929" s="367"/>
      <c r="AU929" s="367"/>
      <c r="AV929" s="367"/>
      <c r="AW929" s="367"/>
    </row>
    <row r="930" spans="1:49" ht="12.75" customHeight="1" thickTop="1">
      <c r="A930" s="367"/>
      <c r="B930" s="586" t="s">
        <v>513</v>
      </c>
      <c r="C930" s="565"/>
      <c r="D930" s="565"/>
      <c r="E930" s="319"/>
      <c r="F930" s="320"/>
      <c r="G930" s="4"/>
      <c r="H930" s="565"/>
      <c r="I930" s="565"/>
      <c r="J930" s="319"/>
      <c r="K930" s="320"/>
      <c r="L930" s="4"/>
      <c r="M930" s="565"/>
      <c r="N930" s="565"/>
      <c r="O930" s="319"/>
      <c r="P930" s="320"/>
      <c r="R930" s="565"/>
      <c r="S930" s="565"/>
      <c r="T930" s="319"/>
      <c r="U930" s="320"/>
      <c r="W930" s="565"/>
      <c r="X930" s="565"/>
      <c r="Y930" s="319"/>
      <c r="Z930" s="320"/>
      <c r="AA930" s="328">
        <f t="shared" si="141"/>
        <v>0</v>
      </c>
      <c r="AB930" s="298">
        <f t="shared" si="142"/>
        <v>0</v>
      </c>
      <c r="AC930" s="4"/>
      <c r="AD930" s="47"/>
      <c r="AE930" s="47"/>
      <c r="AF930" s="319"/>
      <c r="AG930" s="29">
        <f t="shared" si="143"/>
        <v>0</v>
      </c>
      <c r="AN930" s="510">
        <f>SUM(AN922:AN929)</f>
        <v>28378.95</v>
      </c>
    </row>
    <row r="931" spans="1:49">
      <c r="A931" s="180"/>
      <c r="B931" s="612" t="s">
        <v>529</v>
      </c>
      <c r="C931" s="565"/>
      <c r="D931" s="565"/>
      <c r="E931" s="319"/>
      <c r="F931" s="320"/>
      <c r="G931" s="4"/>
      <c r="H931" s="565"/>
      <c r="I931" s="565"/>
      <c r="J931" s="319"/>
      <c r="K931" s="320"/>
      <c r="L931" s="4"/>
      <c r="M931" s="565"/>
      <c r="N931" s="565"/>
      <c r="O931" s="319"/>
      <c r="P931" s="320"/>
      <c r="R931" s="565"/>
      <c r="S931" s="565"/>
      <c r="T931" s="319"/>
      <c r="U931" s="320"/>
      <c r="W931" s="565"/>
      <c r="X931" s="565"/>
      <c r="Y931" s="319"/>
      <c r="Z931" s="320"/>
      <c r="AA931" s="328">
        <f t="shared" si="141"/>
        <v>0</v>
      </c>
      <c r="AB931" s="298">
        <f t="shared" si="142"/>
        <v>0</v>
      </c>
      <c r="AC931" s="4"/>
      <c r="AD931" s="47"/>
      <c r="AE931" s="47"/>
      <c r="AF931" s="319"/>
      <c r="AG931" s="29">
        <f t="shared" si="143"/>
        <v>0</v>
      </c>
    </row>
    <row r="932" spans="1:49">
      <c r="A932" s="180"/>
      <c r="B932" s="612" t="s">
        <v>280</v>
      </c>
      <c r="C932" s="565"/>
      <c r="D932" s="565"/>
      <c r="E932" s="319">
        <v>8</v>
      </c>
      <c r="F932" s="320"/>
      <c r="G932" s="4"/>
      <c r="H932" s="565"/>
      <c r="I932" s="565"/>
      <c r="J932" s="319">
        <v>8</v>
      </c>
      <c r="K932" s="320"/>
      <c r="L932" s="4"/>
      <c r="M932" s="565"/>
      <c r="N932" s="565"/>
      <c r="O932" s="319">
        <v>8</v>
      </c>
      <c r="P932" s="320"/>
      <c r="R932" s="565"/>
      <c r="S932" s="565"/>
      <c r="T932" s="319">
        <v>8</v>
      </c>
      <c r="U932" s="320"/>
      <c r="W932" s="565"/>
      <c r="X932" s="565"/>
      <c r="Y932" s="319">
        <v>8</v>
      </c>
      <c r="Z932" s="320"/>
      <c r="AA932" s="328">
        <f t="shared" si="141"/>
        <v>40</v>
      </c>
      <c r="AB932" s="298">
        <f t="shared" si="142"/>
        <v>0</v>
      </c>
      <c r="AC932" s="4"/>
      <c r="AD932" s="47"/>
      <c r="AE932" s="47"/>
      <c r="AF932" s="319"/>
      <c r="AG932" s="29">
        <f t="shared" si="143"/>
        <v>0</v>
      </c>
    </row>
    <row r="933" spans="1:49">
      <c r="A933" s="180"/>
      <c r="B933" s="612" t="s">
        <v>531</v>
      </c>
      <c r="C933" s="565"/>
      <c r="D933" s="565"/>
      <c r="E933" s="319">
        <v>8</v>
      </c>
      <c r="F933" s="320"/>
      <c r="G933" s="4"/>
      <c r="H933" s="565"/>
      <c r="I933" s="565"/>
      <c r="J933" s="319">
        <v>8</v>
      </c>
      <c r="K933" s="320"/>
      <c r="L933" s="4"/>
      <c r="M933" s="565"/>
      <c r="N933" s="565"/>
      <c r="O933" s="319">
        <v>8</v>
      </c>
      <c r="P933" s="320"/>
      <c r="R933" s="565"/>
      <c r="S933" s="565"/>
      <c r="T933" s="319">
        <v>8</v>
      </c>
      <c r="U933" s="320"/>
      <c r="W933" s="565"/>
      <c r="X933" s="565"/>
      <c r="Y933" s="319">
        <v>8</v>
      </c>
      <c r="Z933" s="320"/>
      <c r="AA933" s="328">
        <f t="shared" si="141"/>
        <v>40</v>
      </c>
      <c r="AB933" s="298">
        <f t="shared" si="142"/>
        <v>0</v>
      </c>
      <c r="AC933" s="4"/>
      <c r="AD933" s="47"/>
      <c r="AE933" s="47"/>
      <c r="AF933" s="319"/>
      <c r="AG933" s="29">
        <f t="shared" si="143"/>
        <v>0</v>
      </c>
    </row>
    <row r="934" spans="1:49">
      <c r="A934" s="180"/>
      <c r="B934" s="523" t="s">
        <v>514</v>
      </c>
      <c r="C934" s="47"/>
      <c r="D934" s="47"/>
      <c r="E934" s="319">
        <v>0</v>
      </c>
      <c r="F934" s="320"/>
      <c r="G934" s="4"/>
      <c r="H934" s="47">
        <v>0.375</v>
      </c>
      <c r="I934" s="47">
        <v>8.3333333333333329E-2</v>
      </c>
      <c r="J934" s="319">
        <v>5</v>
      </c>
      <c r="K934" s="320"/>
      <c r="L934" s="4"/>
      <c r="M934" s="47"/>
      <c r="N934" s="47"/>
      <c r="O934" s="319">
        <v>0</v>
      </c>
      <c r="P934" s="320"/>
      <c r="R934" s="47"/>
      <c r="S934" s="47"/>
      <c r="T934" s="319">
        <v>0</v>
      </c>
      <c r="U934" s="320"/>
      <c r="W934" s="47"/>
      <c r="X934" s="47"/>
      <c r="Y934" s="319">
        <v>0</v>
      </c>
      <c r="Z934" s="320"/>
      <c r="AA934" s="328">
        <f t="shared" ref="AA934:AA958" si="144">(E934+J934+O934+T934+Y934)</f>
        <v>5</v>
      </c>
      <c r="AB934" s="298">
        <f t="shared" ref="AB934:AB958" si="145">Z934+U934+P934+K934+F934</f>
        <v>0</v>
      </c>
      <c r="AC934" s="4"/>
      <c r="AD934" s="47"/>
      <c r="AE934" s="47"/>
      <c r="AF934" s="319"/>
      <c r="AG934" s="29">
        <f t="shared" si="143"/>
        <v>0</v>
      </c>
    </row>
    <row r="935" spans="1:49">
      <c r="A935" s="180"/>
      <c r="B935" s="180" t="s">
        <v>515</v>
      </c>
      <c r="C935" s="47">
        <v>0.375</v>
      </c>
      <c r="D935" s="47">
        <v>0.25</v>
      </c>
      <c r="E935" s="319">
        <v>8</v>
      </c>
      <c r="F935" s="320"/>
      <c r="G935" s="4"/>
      <c r="H935" s="47">
        <v>0.375</v>
      </c>
      <c r="I935" s="47">
        <v>8.3333333333333329E-2</v>
      </c>
      <c r="J935" s="319">
        <v>5</v>
      </c>
      <c r="K935" s="320"/>
      <c r="L935" s="4"/>
      <c r="M935" s="47">
        <v>0.375</v>
      </c>
      <c r="N935" s="47">
        <v>0.25</v>
      </c>
      <c r="O935" s="319">
        <v>8</v>
      </c>
      <c r="P935" s="320"/>
      <c r="R935" s="604">
        <v>0.375</v>
      </c>
      <c r="S935" s="604">
        <v>0.41666666666666669</v>
      </c>
      <c r="T935" s="319">
        <v>1</v>
      </c>
      <c r="U935" s="320"/>
      <c r="W935" s="47">
        <v>0.375</v>
      </c>
      <c r="X935" s="47">
        <v>0.16666666666666666</v>
      </c>
      <c r="Y935" s="319">
        <v>7</v>
      </c>
      <c r="Z935" s="320"/>
      <c r="AA935" s="328">
        <f t="shared" si="144"/>
        <v>29</v>
      </c>
      <c r="AB935" s="298">
        <f t="shared" si="145"/>
        <v>0</v>
      </c>
      <c r="AC935" s="4"/>
      <c r="AD935" s="47"/>
      <c r="AE935" s="47"/>
      <c r="AF935" s="319"/>
      <c r="AG935" s="29">
        <f>AF935</f>
        <v>0</v>
      </c>
    </row>
    <row r="936" spans="1:49">
      <c r="A936" s="180"/>
      <c r="B936" s="180" t="s">
        <v>516</v>
      </c>
      <c r="C936" s="47">
        <v>0.375</v>
      </c>
      <c r="D936" s="47">
        <v>0.25</v>
      </c>
      <c r="E936" s="319">
        <v>8</v>
      </c>
      <c r="F936" s="320"/>
      <c r="G936" s="4"/>
      <c r="H936" s="47">
        <v>0.375</v>
      </c>
      <c r="I936" s="47">
        <v>0.25</v>
      </c>
      <c r="J936" s="319">
        <v>8</v>
      </c>
      <c r="K936" s="320"/>
      <c r="L936" s="4"/>
      <c r="M936" s="47">
        <v>0.375</v>
      </c>
      <c r="N936" s="47">
        <v>0.25</v>
      </c>
      <c r="O936" s="319">
        <v>8</v>
      </c>
      <c r="P936" s="320"/>
      <c r="R936" s="615">
        <v>0.375</v>
      </c>
      <c r="S936" s="47">
        <v>0.20833333333333334</v>
      </c>
      <c r="T936" s="319">
        <v>8</v>
      </c>
      <c r="U936" s="320"/>
      <c r="W936" s="615">
        <v>0.375</v>
      </c>
      <c r="X936" s="47">
        <v>0.20833333333333334</v>
      </c>
      <c r="Y936" s="319">
        <v>8</v>
      </c>
      <c r="Z936" s="320"/>
      <c r="AA936" s="328">
        <f t="shared" si="144"/>
        <v>40</v>
      </c>
      <c r="AB936" s="298">
        <f t="shared" si="145"/>
        <v>0</v>
      </c>
      <c r="AC936" s="4"/>
      <c r="AD936" s="47"/>
      <c r="AE936" s="47"/>
      <c r="AF936" s="319"/>
      <c r="AG936" s="29">
        <v>0</v>
      </c>
    </row>
    <row r="937" spans="1:49">
      <c r="A937" s="180"/>
      <c r="B937" s="180" t="s">
        <v>517</v>
      </c>
      <c r="C937" s="47">
        <v>0.375</v>
      </c>
      <c r="D937" s="47">
        <v>0.25</v>
      </c>
      <c r="E937" s="319">
        <v>8</v>
      </c>
      <c r="F937" s="320"/>
      <c r="G937" s="4"/>
      <c r="H937" s="47">
        <v>0.375</v>
      </c>
      <c r="I937" s="47">
        <v>0.25</v>
      </c>
      <c r="J937" s="319">
        <v>8</v>
      </c>
      <c r="K937" s="320"/>
      <c r="L937" s="4"/>
      <c r="M937" s="47">
        <v>0.375</v>
      </c>
      <c r="N937" s="47">
        <v>0.25</v>
      </c>
      <c r="O937" s="319">
        <v>8</v>
      </c>
      <c r="P937" s="320"/>
      <c r="R937" s="604">
        <v>0.375</v>
      </c>
      <c r="S937" s="604">
        <v>0.41666666666666669</v>
      </c>
      <c r="T937" s="319">
        <v>1</v>
      </c>
      <c r="U937" s="320"/>
      <c r="W937" s="47">
        <v>0.375</v>
      </c>
      <c r="X937" s="47">
        <v>0.25</v>
      </c>
      <c r="Y937" s="319">
        <v>8</v>
      </c>
      <c r="Z937" s="320"/>
      <c r="AA937" s="328">
        <f t="shared" si="144"/>
        <v>33</v>
      </c>
      <c r="AB937" s="298">
        <f t="shared" si="145"/>
        <v>0</v>
      </c>
      <c r="AC937" s="4"/>
      <c r="AD937" s="47"/>
      <c r="AE937" s="47"/>
      <c r="AF937" s="319"/>
      <c r="AG937" s="29">
        <f t="shared" ref="AG937:AG958" si="146">AF937</f>
        <v>0</v>
      </c>
    </row>
    <row r="938" spans="1:49">
      <c r="A938" s="180"/>
      <c r="B938" s="523" t="s">
        <v>518</v>
      </c>
      <c r="C938" s="47">
        <v>0.39583333333333331</v>
      </c>
      <c r="D938" s="327">
        <v>0.25</v>
      </c>
      <c r="E938" s="319">
        <v>8</v>
      </c>
      <c r="F938" s="320"/>
      <c r="G938" s="4"/>
      <c r="H938" s="47">
        <v>0.375</v>
      </c>
      <c r="I938" s="47">
        <v>0.25</v>
      </c>
      <c r="J938" s="319">
        <v>8</v>
      </c>
      <c r="K938" s="320"/>
      <c r="L938" s="4"/>
      <c r="M938" s="47">
        <v>0</v>
      </c>
      <c r="N938" s="47">
        <v>0</v>
      </c>
      <c r="O938" s="319">
        <v>0</v>
      </c>
      <c r="P938" s="320"/>
      <c r="R938" s="614">
        <v>0.375</v>
      </c>
      <c r="S938" s="614">
        <v>0.47916666666666669</v>
      </c>
      <c r="T938" s="319">
        <v>2.5</v>
      </c>
      <c r="U938" s="320"/>
      <c r="W938" s="47">
        <v>0.375</v>
      </c>
      <c r="X938" s="47">
        <v>0.25</v>
      </c>
      <c r="Y938" s="319">
        <v>8</v>
      </c>
      <c r="Z938" s="320"/>
      <c r="AA938" s="328">
        <f t="shared" si="144"/>
        <v>26.5</v>
      </c>
      <c r="AB938" s="298">
        <f t="shared" si="145"/>
        <v>0</v>
      </c>
      <c r="AC938" s="4"/>
      <c r="AD938" s="47"/>
      <c r="AE938" s="47"/>
      <c r="AF938" s="319"/>
      <c r="AG938" s="29">
        <f t="shared" si="146"/>
        <v>0</v>
      </c>
    </row>
    <row r="939" spans="1:49">
      <c r="A939" s="180"/>
      <c r="B939" s="523" t="s">
        <v>519</v>
      </c>
      <c r="C939" s="47">
        <v>0.375</v>
      </c>
      <c r="D939" s="47">
        <v>0.25</v>
      </c>
      <c r="E939" s="319">
        <v>8</v>
      </c>
      <c r="F939" s="320"/>
      <c r="G939" s="4"/>
      <c r="H939" s="47">
        <v>0.375</v>
      </c>
      <c r="I939" s="47">
        <v>0.25</v>
      </c>
      <c r="J939" s="319">
        <v>8</v>
      </c>
      <c r="K939" s="320"/>
      <c r="L939" s="4"/>
      <c r="M939" s="47">
        <v>0.375</v>
      </c>
      <c r="N939" s="47">
        <v>0.25</v>
      </c>
      <c r="O939" s="319">
        <v>8</v>
      </c>
      <c r="P939" s="320"/>
      <c r="R939" s="604">
        <v>0.375</v>
      </c>
      <c r="S939" s="604">
        <v>4.1666666666666664E-2</v>
      </c>
      <c r="T939" s="319">
        <v>4</v>
      </c>
      <c r="U939" s="320"/>
      <c r="W939" s="47">
        <v>0.375</v>
      </c>
      <c r="X939" s="47">
        <v>0.25</v>
      </c>
      <c r="Y939" s="319">
        <v>8</v>
      </c>
      <c r="Z939" s="320"/>
      <c r="AA939" s="328">
        <f t="shared" si="144"/>
        <v>36</v>
      </c>
      <c r="AB939" s="298">
        <f t="shared" si="145"/>
        <v>0</v>
      </c>
      <c r="AC939" s="4"/>
      <c r="AD939" s="47"/>
      <c r="AE939" s="47"/>
      <c r="AF939" s="319"/>
      <c r="AG939" s="29">
        <f t="shared" si="146"/>
        <v>0</v>
      </c>
    </row>
    <row r="940" spans="1:49">
      <c r="A940" s="180"/>
      <c r="B940" s="180" t="s">
        <v>520</v>
      </c>
      <c r="C940" s="47">
        <v>0.375</v>
      </c>
      <c r="D940" s="47">
        <v>0.25</v>
      </c>
      <c r="E940" s="319">
        <v>8</v>
      </c>
      <c r="F940" s="320"/>
      <c r="G940" s="4"/>
      <c r="H940" s="47"/>
      <c r="I940" s="47"/>
      <c r="J940" s="319">
        <v>0</v>
      </c>
      <c r="K940" s="320"/>
      <c r="L940" s="4"/>
      <c r="M940" s="47">
        <v>0.375</v>
      </c>
      <c r="N940" s="47">
        <v>0.25</v>
      </c>
      <c r="O940" s="319">
        <v>8</v>
      </c>
      <c r="P940" s="320"/>
      <c r="R940" s="47"/>
      <c r="S940" s="47"/>
      <c r="T940" s="319">
        <v>0</v>
      </c>
      <c r="U940" s="320"/>
      <c r="W940" s="47">
        <v>0</v>
      </c>
      <c r="X940" s="47">
        <v>0</v>
      </c>
      <c r="Y940" s="319">
        <v>0</v>
      </c>
      <c r="Z940" s="320"/>
      <c r="AA940" s="328">
        <f t="shared" si="144"/>
        <v>16</v>
      </c>
      <c r="AB940" s="298">
        <f t="shared" si="145"/>
        <v>0</v>
      </c>
      <c r="AC940" s="4"/>
      <c r="AD940" s="47"/>
      <c r="AE940" s="47"/>
      <c r="AF940" s="319"/>
      <c r="AG940" s="29">
        <f t="shared" si="146"/>
        <v>0</v>
      </c>
    </row>
    <row r="941" spans="1:49">
      <c r="A941" s="180"/>
      <c r="B941" s="585" t="s">
        <v>522</v>
      </c>
      <c r="C941" s="47">
        <v>0.29166666666666669</v>
      </c>
      <c r="D941" s="565">
        <v>0.16666666666666666</v>
      </c>
      <c r="E941" s="319">
        <v>8</v>
      </c>
      <c r="F941" s="320"/>
      <c r="G941" s="4"/>
      <c r="H941" s="47"/>
      <c r="I941" s="565"/>
      <c r="J941" s="319">
        <v>0</v>
      </c>
      <c r="K941" s="320"/>
      <c r="L941" s="4"/>
      <c r="M941" s="47"/>
      <c r="N941" s="565"/>
      <c r="O941" s="319">
        <v>0</v>
      </c>
      <c r="P941" s="320"/>
      <c r="R941" s="604">
        <v>0.375</v>
      </c>
      <c r="S941" s="616">
        <v>0.41666666666666669</v>
      </c>
      <c r="T941" s="319">
        <v>1</v>
      </c>
      <c r="U941" s="320"/>
      <c r="W941" s="47"/>
      <c r="X941" s="565"/>
      <c r="Y941" s="319">
        <v>0</v>
      </c>
      <c r="Z941" s="320"/>
      <c r="AA941" s="328">
        <f t="shared" si="144"/>
        <v>9</v>
      </c>
      <c r="AB941" s="298">
        <f t="shared" si="145"/>
        <v>0</v>
      </c>
      <c r="AC941" s="4"/>
      <c r="AD941" s="47"/>
      <c r="AE941" s="47"/>
      <c r="AF941" s="319"/>
      <c r="AG941" s="29">
        <f t="shared" si="146"/>
        <v>0</v>
      </c>
    </row>
    <row r="942" spans="1:49">
      <c r="A942" s="180"/>
      <c r="B942" s="437" t="s">
        <v>523</v>
      </c>
      <c r="C942" s="47">
        <v>0.25</v>
      </c>
      <c r="D942" s="565">
        <v>0.16666666666666666</v>
      </c>
      <c r="E942" s="319">
        <v>8</v>
      </c>
      <c r="F942" s="320">
        <v>1</v>
      </c>
      <c r="G942" s="4"/>
      <c r="H942" s="47"/>
      <c r="I942" s="565"/>
      <c r="J942" s="319">
        <v>0</v>
      </c>
      <c r="K942" s="320"/>
      <c r="L942" s="4"/>
      <c r="M942" s="47"/>
      <c r="N942" s="565"/>
      <c r="O942" s="319">
        <v>0</v>
      </c>
      <c r="P942" s="320"/>
      <c r="R942" s="47"/>
      <c r="S942" s="565"/>
      <c r="T942" s="319">
        <v>0</v>
      </c>
      <c r="U942" s="320"/>
      <c r="W942" s="47"/>
      <c r="X942" s="565"/>
      <c r="Y942" s="319">
        <v>0</v>
      </c>
      <c r="Z942" s="320"/>
      <c r="AA942" s="328">
        <f t="shared" si="144"/>
        <v>8</v>
      </c>
      <c r="AB942" s="298">
        <f t="shared" si="145"/>
        <v>1</v>
      </c>
      <c r="AC942" s="4"/>
      <c r="AD942" s="47"/>
      <c r="AE942" s="47"/>
      <c r="AF942" s="319"/>
      <c r="AG942" s="29">
        <f t="shared" si="146"/>
        <v>0</v>
      </c>
    </row>
    <row r="943" spans="1:49">
      <c r="A943" s="180"/>
      <c r="B943" s="437" t="s">
        <v>524</v>
      </c>
      <c r="C943" s="47">
        <v>0.29166666666666669</v>
      </c>
      <c r="D943" s="565">
        <v>0.16666666666666666</v>
      </c>
      <c r="E943" s="319">
        <v>8</v>
      </c>
      <c r="F943" s="320"/>
      <c r="G943" s="4"/>
      <c r="H943" s="47"/>
      <c r="I943" s="565"/>
      <c r="J943" s="319">
        <v>0</v>
      </c>
      <c r="K943" s="320"/>
      <c r="L943" s="4"/>
      <c r="M943" s="47"/>
      <c r="N943" s="565"/>
      <c r="O943" s="319">
        <v>0</v>
      </c>
      <c r="P943" s="320"/>
      <c r="R943" s="47"/>
      <c r="S943" s="565"/>
      <c r="T943" s="319">
        <v>0</v>
      </c>
      <c r="U943" s="320"/>
      <c r="W943" s="47"/>
      <c r="X943" s="565"/>
      <c r="Y943" s="319">
        <v>0</v>
      </c>
      <c r="Z943" s="320"/>
      <c r="AA943" s="328">
        <f t="shared" si="144"/>
        <v>8</v>
      </c>
      <c r="AB943" s="298">
        <f t="shared" si="145"/>
        <v>0</v>
      </c>
      <c r="AC943" s="4"/>
      <c r="AD943" s="47"/>
      <c r="AE943" s="47"/>
      <c r="AF943" s="319"/>
      <c r="AG943" s="29">
        <f t="shared" si="146"/>
        <v>0</v>
      </c>
    </row>
    <row r="944" spans="1:49">
      <c r="A944" s="180"/>
      <c r="B944" s="437" t="s">
        <v>525</v>
      </c>
      <c r="C944" s="47">
        <v>0.25</v>
      </c>
      <c r="D944" s="565">
        <v>0.16666666666666666</v>
      </c>
      <c r="E944" s="319">
        <v>8</v>
      </c>
      <c r="F944" s="320">
        <v>1</v>
      </c>
      <c r="G944" s="4"/>
      <c r="H944" s="47"/>
      <c r="I944" s="565"/>
      <c r="J944" s="319">
        <v>0</v>
      </c>
      <c r="K944" s="320"/>
      <c r="L944" s="4"/>
      <c r="M944" s="47"/>
      <c r="N944" s="565"/>
      <c r="O944" s="319">
        <v>0</v>
      </c>
      <c r="P944" s="320"/>
      <c r="R944" s="604">
        <v>0.375</v>
      </c>
      <c r="S944" s="616">
        <v>0.41666666666666669</v>
      </c>
      <c r="T944" s="319">
        <v>1</v>
      </c>
      <c r="U944" s="320"/>
      <c r="W944" s="47"/>
      <c r="X944" s="565"/>
      <c r="Y944" s="319">
        <v>0</v>
      </c>
      <c r="Z944" s="320"/>
      <c r="AA944" s="328">
        <f t="shared" si="144"/>
        <v>9</v>
      </c>
      <c r="AB944" s="298">
        <f t="shared" si="145"/>
        <v>1</v>
      </c>
      <c r="AC944" s="4"/>
      <c r="AD944" s="47"/>
      <c r="AE944" s="47"/>
      <c r="AF944" s="319"/>
      <c r="AG944" s="29">
        <f t="shared" si="146"/>
        <v>0</v>
      </c>
    </row>
    <row r="945" spans="1:37">
      <c r="A945" s="180"/>
      <c r="B945" s="437" t="s">
        <v>505</v>
      </c>
      <c r="C945" s="47">
        <v>0.375</v>
      </c>
      <c r="D945" s="565">
        <v>0.16666666666666666</v>
      </c>
      <c r="E945" s="319">
        <v>7</v>
      </c>
      <c r="F945" s="320"/>
      <c r="G945" s="4"/>
      <c r="H945" s="47"/>
      <c r="I945" s="565"/>
      <c r="J945" s="319">
        <v>0</v>
      </c>
      <c r="K945" s="320"/>
      <c r="L945" s="4"/>
      <c r="M945" s="47"/>
      <c r="N945" s="565"/>
      <c r="O945" s="319">
        <v>0</v>
      </c>
      <c r="P945" s="320"/>
      <c r="R945" s="47"/>
      <c r="S945" s="565"/>
      <c r="T945" s="319">
        <v>0</v>
      </c>
      <c r="U945" s="320"/>
      <c r="W945" s="47"/>
      <c r="X945" s="565"/>
      <c r="Y945" s="319">
        <v>0</v>
      </c>
      <c r="Z945" s="320"/>
      <c r="AA945" s="328">
        <f t="shared" si="144"/>
        <v>7</v>
      </c>
      <c r="AB945" s="298">
        <f t="shared" si="145"/>
        <v>0</v>
      </c>
      <c r="AC945" s="4"/>
      <c r="AD945" s="47"/>
      <c r="AE945" s="47"/>
      <c r="AF945" s="319"/>
      <c r="AG945" s="29">
        <f t="shared" si="146"/>
        <v>0</v>
      </c>
    </row>
    <row r="946" spans="1:37">
      <c r="A946" s="180"/>
      <c r="B946" s="437" t="s">
        <v>526</v>
      </c>
      <c r="C946" s="47">
        <v>0.25</v>
      </c>
      <c r="D946" s="565">
        <v>0.16666666666666666</v>
      </c>
      <c r="E946" s="319">
        <v>8</v>
      </c>
      <c r="F946" s="320">
        <v>1</v>
      </c>
      <c r="G946" s="4"/>
      <c r="H946" s="47"/>
      <c r="I946" s="565"/>
      <c r="J946" s="319">
        <v>0</v>
      </c>
      <c r="K946" s="320"/>
      <c r="L946" s="4"/>
      <c r="M946" s="47">
        <v>0.375</v>
      </c>
      <c r="N946" s="565">
        <v>0.25</v>
      </c>
      <c r="O946" s="319">
        <v>8</v>
      </c>
      <c r="P946" s="320"/>
      <c r="R946" s="615">
        <v>0.375</v>
      </c>
      <c r="S946" s="617">
        <v>0.25</v>
      </c>
      <c r="T946" s="319">
        <v>8</v>
      </c>
      <c r="U946" s="320"/>
      <c r="W946" s="47"/>
      <c r="X946" s="565"/>
      <c r="Y946" s="319">
        <v>0</v>
      </c>
      <c r="Z946" s="320"/>
      <c r="AA946" s="328">
        <f t="shared" si="144"/>
        <v>24</v>
      </c>
      <c r="AB946" s="298">
        <f t="shared" si="145"/>
        <v>1</v>
      </c>
      <c r="AC946" s="4"/>
      <c r="AD946" s="47"/>
      <c r="AE946" s="47"/>
      <c r="AF946" s="319"/>
      <c r="AG946" s="29">
        <f t="shared" si="146"/>
        <v>0</v>
      </c>
    </row>
    <row r="947" spans="1:37">
      <c r="A947" s="180"/>
      <c r="B947" s="502" t="s">
        <v>483</v>
      </c>
      <c r="C947" s="47"/>
      <c r="D947" s="47"/>
      <c r="E947" s="319">
        <v>9.1</v>
      </c>
      <c r="F947" s="320"/>
      <c r="G947" s="4"/>
      <c r="H947" s="47"/>
      <c r="I947" s="47"/>
      <c r="J947" s="319">
        <v>9.1999999999999993</v>
      </c>
      <c r="K947" s="320"/>
      <c r="L947" s="4"/>
      <c r="M947" s="47"/>
      <c r="N947" s="47"/>
      <c r="O947" s="319">
        <v>7.7</v>
      </c>
      <c r="P947" s="320"/>
      <c r="R947" s="47"/>
      <c r="S947" s="47"/>
      <c r="T947" s="319">
        <v>0</v>
      </c>
      <c r="U947" s="320"/>
      <c r="W947" s="47"/>
      <c r="X947" s="47"/>
      <c r="Y947" s="319">
        <v>9.4</v>
      </c>
      <c r="Z947" s="320"/>
      <c r="AA947" s="328">
        <f t="shared" si="144"/>
        <v>35.4</v>
      </c>
      <c r="AB947" s="298">
        <f t="shared" si="145"/>
        <v>0</v>
      </c>
      <c r="AC947" s="4"/>
      <c r="AD947" s="47"/>
      <c r="AE947" s="47"/>
      <c r="AF947" s="319"/>
      <c r="AG947" s="29">
        <f t="shared" si="146"/>
        <v>0</v>
      </c>
    </row>
    <row r="948" spans="1:37">
      <c r="A948" s="180"/>
      <c r="B948" s="502" t="s">
        <v>484</v>
      </c>
      <c r="C948" s="47"/>
      <c r="D948" s="47"/>
      <c r="E948" s="319">
        <v>9.1</v>
      </c>
      <c r="F948" s="320"/>
      <c r="G948" s="4"/>
      <c r="H948" s="47"/>
      <c r="I948" s="47"/>
      <c r="J948" s="319">
        <v>9.1999999999999993</v>
      </c>
      <c r="K948" s="320"/>
      <c r="L948" s="4"/>
      <c r="M948" s="47"/>
      <c r="N948" s="47"/>
      <c r="O948" s="319">
        <v>7.7</v>
      </c>
      <c r="P948" s="320"/>
      <c r="R948" s="47"/>
      <c r="S948" s="47"/>
      <c r="T948" s="319">
        <v>0</v>
      </c>
      <c r="U948" s="320"/>
      <c r="W948" s="47"/>
      <c r="X948" s="47"/>
      <c r="Y948" s="319">
        <v>9.4</v>
      </c>
      <c r="Z948" s="320"/>
      <c r="AA948" s="328">
        <f t="shared" si="144"/>
        <v>35.4</v>
      </c>
      <c r="AB948" s="298">
        <f t="shared" si="145"/>
        <v>0</v>
      </c>
      <c r="AC948" s="4"/>
      <c r="AD948" s="47"/>
      <c r="AE948" s="47"/>
      <c r="AF948" s="319"/>
      <c r="AG948" s="29">
        <f t="shared" si="146"/>
        <v>0</v>
      </c>
    </row>
    <row r="949" spans="1:37">
      <c r="A949" s="180"/>
      <c r="B949" s="502" t="s">
        <v>485</v>
      </c>
      <c r="C949" s="47"/>
      <c r="D949" s="47"/>
      <c r="E949" s="319">
        <v>9.1</v>
      </c>
      <c r="F949" s="320"/>
      <c r="G949" s="4"/>
      <c r="H949" s="47"/>
      <c r="I949" s="47"/>
      <c r="J949" s="319">
        <v>9.1999999999999993</v>
      </c>
      <c r="K949" s="320"/>
      <c r="L949" s="4"/>
      <c r="M949" s="47"/>
      <c r="N949" s="47"/>
      <c r="O949" s="319">
        <v>7.7</v>
      </c>
      <c r="P949" s="320"/>
      <c r="R949" s="47"/>
      <c r="S949" s="47"/>
      <c r="T949" s="319">
        <v>0</v>
      </c>
      <c r="U949" s="320"/>
      <c r="W949" s="47"/>
      <c r="X949" s="47"/>
      <c r="Y949" s="319">
        <v>9.4</v>
      </c>
      <c r="Z949" s="320"/>
      <c r="AA949" s="328">
        <f t="shared" si="144"/>
        <v>35.4</v>
      </c>
      <c r="AB949" s="298">
        <f t="shared" si="145"/>
        <v>0</v>
      </c>
      <c r="AC949" s="4"/>
      <c r="AD949" s="47"/>
      <c r="AE949" s="47"/>
      <c r="AF949" s="319"/>
      <c r="AG949" s="29">
        <f t="shared" si="146"/>
        <v>0</v>
      </c>
    </row>
    <row r="950" spans="1:37">
      <c r="A950" s="180"/>
      <c r="B950" s="502" t="s">
        <v>486</v>
      </c>
      <c r="C950" s="47"/>
      <c r="D950" s="47"/>
      <c r="E950" s="319"/>
      <c r="F950" s="320"/>
      <c r="G950" s="4"/>
      <c r="H950" s="47"/>
      <c r="I950" s="47"/>
      <c r="J950" s="319"/>
      <c r="K950" s="320"/>
      <c r="L950" s="4"/>
      <c r="M950" s="47"/>
      <c r="N950" s="47"/>
      <c r="O950" s="319"/>
      <c r="P950" s="320"/>
      <c r="R950" s="47"/>
      <c r="S950" s="47"/>
      <c r="T950" s="319"/>
      <c r="U950" s="320"/>
      <c r="W950" s="47"/>
      <c r="X950" s="47"/>
      <c r="Y950" s="319"/>
      <c r="Z950" s="320"/>
      <c r="AA950" s="328">
        <f t="shared" si="144"/>
        <v>0</v>
      </c>
      <c r="AB950" s="298">
        <f t="shared" si="145"/>
        <v>0</v>
      </c>
      <c r="AC950" s="4"/>
      <c r="AD950" s="47"/>
      <c r="AE950" s="47"/>
      <c r="AF950" s="319"/>
      <c r="AG950" s="29">
        <f t="shared" si="146"/>
        <v>0</v>
      </c>
    </row>
    <row r="951" spans="1:37">
      <c r="A951" s="180"/>
      <c r="B951" s="63" t="s">
        <v>63</v>
      </c>
      <c r="C951" s="47"/>
      <c r="D951" s="47"/>
      <c r="E951" s="319">
        <v>8</v>
      </c>
      <c r="F951" s="320">
        <v>0.5</v>
      </c>
      <c r="G951" s="4"/>
      <c r="H951" s="47"/>
      <c r="I951" s="47"/>
      <c r="J951" s="319">
        <v>8</v>
      </c>
      <c r="K951" s="320">
        <v>0.5</v>
      </c>
      <c r="L951" s="4"/>
      <c r="M951" s="47"/>
      <c r="N951" s="313"/>
      <c r="O951" s="319">
        <v>8</v>
      </c>
      <c r="P951" s="320">
        <v>0.5</v>
      </c>
      <c r="R951" s="47"/>
      <c r="S951" s="47"/>
      <c r="T951" s="319">
        <v>8</v>
      </c>
      <c r="U951" s="320"/>
      <c r="W951" s="47"/>
      <c r="X951" s="47"/>
      <c r="Y951" s="319">
        <v>8</v>
      </c>
      <c r="Z951" s="320"/>
      <c r="AA951" s="328">
        <f t="shared" si="144"/>
        <v>40</v>
      </c>
      <c r="AB951" s="298">
        <f t="shared" si="145"/>
        <v>1.5</v>
      </c>
      <c r="AC951" s="4"/>
      <c r="AD951" s="47"/>
      <c r="AE951" s="47"/>
      <c r="AF951" s="319"/>
      <c r="AG951" s="29">
        <f t="shared" si="146"/>
        <v>0</v>
      </c>
    </row>
    <row r="952" spans="1:37">
      <c r="A952" s="180"/>
      <c r="B952" s="267" t="s">
        <v>358</v>
      </c>
      <c r="C952" s="47"/>
      <c r="D952" s="47"/>
      <c r="E952" s="319">
        <v>4</v>
      </c>
      <c r="F952" s="320"/>
      <c r="G952" s="438"/>
      <c r="H952" s="47"/>
      <c r="I952" s="47"/>
      <c r="J952" s="319">
        <v>4</v>
      </c>
      <c r="K952" s="320"/>
      <c r="L952" s="438"/>
      <c r="M952" s="47"/>
      <c r="N952" s="47"/>
      <c r="O952" s="319">
        <v>4</v>
      </c>
      <c r="P952" s="320"/>
      <c r="Q952" s="438"/>
      <c r="R952" s="47"/>
      <c r="S952" s="47"/>
      <c r="T952" s="319">
        <v>4</v>
      </c>
      <c r="U952" s="320"/>
      <c r="V952" s="438"/>
      <c r="W952" s="47"/>
      <c r="X952" s="47"/>
      <c r="Y952" s="319">
        <v>4</v>
      </c>
      <c r="Z952" s="320"/>
      <c r="AA952" s="328">
        <f t="shared" si="144"/>
        <v>20</v>
      </c>
      <c r="AB952" s="298">
        <f t="shared" si="145"/>
        <v>0</v>
      </c>
      <c r="AC952" s="4"/>
      <c r="AD952" s="47"/>
      <c r="AE952" s="47"/>
      <c r="AF952" s="319"/>
      <c r="AG952" s="29">
        <f t="shared" si="146"/>
        <v>0</v>
      </c>
      <c r="AK952" s="407"/>
    </row>
    <row r="953" spans="1:37">
      <c r="A953" s="180"/>
      <c r="B953" s="267" t="s">
        <v>532</v>
      </c>
      <c r="C953" s="47"/>
      <c r="D953" s="47"/>
      <c r="E953" s="319"/>
      <c r="F953" s="320"/>
      <c r="G953" s="438"/>
      <c r="H953" s="47"/>
      <c r="I953" s="47"/>
      <c r="J953" s="319"/>
      <c r="K953" s="320"/>
      <c r="L953" s="438"/>
      <c r="M953" s="47"/>
      <c r="N953" s="47"/>
      <c r="O953" s="319"/>
      <c r="P953" s="320"/>
      <c r="Q953" s="438"/>
      <c r="R953" s="47"/>
      <c r="S953" s="47"/>
      <c r="T953" s="319">
        <v>4</v>
      </c>
      <c r="U953" s="320"/>
      <c r="V953" s="438"/>
      <c r="W953" s="47"/>
      <c r="X953" s="47"/>
      <c r="Y953" s="319">
        <v>4</v>
      </c>
      <c r="Z953" s="320"/>
      <c r="AA953" s="328">
        <f t="shared" si="144"/>
        <v>8</v>
      </c>
      <c r="AB953" s="298">
        <f t="shared" si="145"/>
        <v>0</v>
      </c>
      <c r="AC953" s="4"/>
      <c r="AD953" s="47"/>
      <c r="AE953" s="47"/>
      <c r="AF953" s="319"/>
      <c r="AG953" s="29">
        <f t="shared" si="146"/>
        <v>0</v>
      </c>
      <c r="AK953" s="407"/>
    </row>
    <row r="954" spans="1:37">
      <c r="A954" s="180"/>
      <c r="B954" s="267" t="s">
        <v>411</v>
      </c>
      <c r="C954" s="47"/>
      <c r="D954" s="47"/>
      <c r="E954" s="319"/>
      <c r="F954" s="320"/>
      <c r="G954" s="438"/>
      <c r="H954" s="47"/>
      <c r="I954" s="47"/>
      <c r="J954" s="319"/>
      <c r="K954" s="320"/>
      <c r="L954" s="438"/>
      <c r="M954" s="47"/>
      <c r="N954" s="47"/>
      <c r="O954" s="319"/>
      <c r="P954" s="320"/>
      <c r="Q954" s="438"/>
      <c r="R954" s="47"/>
      <c r="S954" s="47"/>
      <c r="T954" s="319"/>
      <c r="U954" s="320"/>
      <c r="V954" s="438"/>
      <c r="W954" s="47"/>
      <c r="X954" s="47"/>
      <c r="Y954" s="319"/>
      <c r="Z954" s="320"/>
      <c r="AA954" s="328">
        <f t="shared" si="144"/>
        <v>0</v>
      </c>
      <c r="AB954" s="298">
        <f t="shared" si="145"/>
        <v>0</v>
      </c>
      <c r="AC954" s="4"/>
      <c r="AD954" s="47"/>
      <c r="AE954" s="47"/>
      <c r="AF954" s="319"/>
      <c r="AG954" s="29">
        <f t="shared" si="146"/>
        <v>0</v>
      </c>
      <c r="AK954" s="407"/>
    </row>
    <row r="955" spans="1:37">
      <c r="A955" s="180"/>
      <c r="B955" s="267" t="s">
        <v>361</v>
      </c>
      <c r="C955" s="47"/>
      <c r="D955" s="47"/>
      <c r="E955" s="319"/>
      <c r="F955" s="320"/>
      <c r="G955" s="438"/>
      <c r="H955" s="47"/>
      <c r="I955" s="47"/>
      <c r="J955" s="319"/>
      <c r="K955" s="320"/>
      <c r="L955" s="438"/>
      <c r="M955" s="47"/>
      <c r="N955" s="47"/>
      <c r="O955" s="319"/>
      <c r="P955" s="320"/>
      <c r="Q955" s="438"/>
      <c r="R955" s="47"/>
      <c r="S955" s="47"/>
      <c r="T955" s="319"/>
      <c r="U955" s="320"/>
      <c r="V955" s="438"/>
      <c r="W955" s="47"/>
      <c r="X955" s="47"/>
      <c r="Y955" s="319"/>
      <c r="Z955" s="320"/>
      <c r="AA955" s="328">
        <f t="shared" si="144"/>
        <v>0</v>
      </c>
      <c r="AB955" s="298">
        <f t="shared" si="145"/>
        <v>0</v>
      </c>
      <c r="AC955" s="4"/>
      <c r="AD955" s="47"/>
      <c r="AE955" s="47"/>
      <c r="AF955" s="319"/>
      <c r="AG955" s="29">
        <f t="shared" si="146"/>
        <v>0</v>
      </c>
      <c r="AK955" s="407"/>
    </row>
    <row r="956" spans="1:37">
      <c r="A956" s="180"/>
      <c r="B956" s="267" t="s">
        <v>362</v>
      </c>
      <c r="C956" s="47"/>
      <c r="D956" s="47"/>
      <c r="E956" s="319"/>
      <c r="F956" s="320"/>
      <c r="G956" s="438"/>
      <c r="H956" s="47"/>
      <c r="I956" s="47"/>
      <c r="J956" s="319"/>
      <c r="K956" s="320"/>
      <c r="L956" s="438"/>
      <c r="M956" s="47"/>
      <c r="N956" s="47"/>
      <c r="O956" s="319"/>
      <c r="P956" s="320"/>
      <c r="Q956" s="438"/>
      <c r="R956" s="47"/>
      <c r="S956" s="47"/>
      <c r="T956" s="319"/>
      <c r="U956" s="320"/>
      <c r="V956" s="438"/>
      <c r="W956" s="47"/>
      <c r="X956" s="47"/>
      <c r="Y956" s="319"/>
      <c r="Z956" s="320"/>
      <c r="AA956" s="328">
        <f t="shared" si="144"/>
        <v>0</v>
      </c>
      <c r="AB956" s="298">
        <f t="shared" si="145"/>
        <v>0</v>
      </c>
      <c r="AC956" s="4"/>
      <c r="AD956" s="47"/>
      <c r="AE956" s="47"/>
      <c r="AF956" s="319"/>
      <c r="AG956" s="29">
        <f t="shared" si="146"/>
        <v>0</v>
      </c>
      <c r="AK956" s="407"/>
    </row>
    <row r="957" spans="1:37">
      <c r="A957" s="180"/>
      <c r="B957" s="437" t="s">
        <v>355</v>
      </c>
      <c r="C957" s="47"/>
      <c r="D957" s="47"/>
      <c r="E957" s="319">
        <v>7.7</v>
      </c>
      <c r="F957" s="320"/>
      <c r="G957" s="438"/>
      <c r="H957" s="47"/>
      <c r="I957" s="47"/>
      <c r="J957" s="319">
        <v>7.7</v>
      </c>
      <c r="K957" s="320"/>
      <c r="L957" s="438"/>
      <c r="M957" s="47"/>
      <c r="N957" s="47"/>
      <c r="O957" s="319">
        <v>7.7</v>
      </c>
      <c r="P957" s="320"/>
      <c r="Q957" s="438"/>
      <c r="R957" s="47"/>
      <c r="S957" s="47"/>
      <c r="T957" s="319">
        <v>5.0999999999999996</v>
      </c>
      <c r="U957" s="320"/>
      <c r="V957" s="438"/>
      <c r="W957" s="47"/>
      <c r="X957" s="47"/>
      <c r="Y957" s="319">
        <v>12.8</v>
      </c>
      <c r="Z957" s="320"/>
      <c r="AA957" s="328">
        <f t="shared" si="144"/>
        <v>41</v>
      </c>
      <c r="AB957" s="298">
        <f t="shared" si="145"/>
        <v>0</v>
      </c>
      <c r="AC957" s="4"/>
      <c r="AD957" s="47"/>
      <c r="AE957" s="47"/>
      <c r="AF957" s="319"/>
      <c r="AG957" s="29">
        <f t="shared" si="146"/>
        <v>0</v>
      </c>
      <c r="AK957" s="407"/>
    </row>
    <row r="958" spans="1:37">
      <c r="A958" s="180"/>
      <c r="B958" s="437" t="s">
        <v>356</v>
      </c>
      <c r="C958" s="47"/>
      <c r="D958" s="47"/>
      <c r="E958" s="319">
        <v>14.1</v>
      </c>
      <c r="F958" s="320"/>
      <c r="G958" s="438"/>
      <c r="H958" s="47"/>
      <c r="I958" s="47"/>
      <c r="J958" s="319"/>
      <c r="K958" s="320"/>
      <c r="L958" s="438"/>
      <c r="M958" s="47"/>
      <c r="N958" s="47"/>
      <c r="O958" s="319">
        <v>18.399999999999999</v>
      </c>
      <c r="P958" s="320"/>
      <c r="Q958" s="438"/>
      <c r="R958" s="47"/>
      <c r="S958" s="47"/>
      <c r="T958" s="319">
        <v>66.7</v>
      </c>
      <c r="U958" s="320"/>
      <c r="V958" s="438"/>
      <c r="W958" s="47"/>
      <c r="X958" s="47"/>
      <c r="Y958" s="319"/>
      <c r="Z958" s="320"/>
      <c r="AA958" s="328">
        <f t="shared" si="144"/>
        <v>99.2</v>
      </c>
      <c r="AB958" s="298">
        <f t="shared" si="145"/>
        <v>0</v>
      </c>
      <c r="AC958" s="4"/>
      <c r="AD958" s="47"/>
      <c r="AE958" s="47"/>
      <c r="AF958" s="319"/>
      <c r="AG958" s="29">
        <f t="shared" si="146"/>
        <v>0</v>
      </c>
      <c r="AK958" s="407"/>
    </row>
    <row r="959" spans="1:37">
      <c r="A959" s="180"/>
      <c r="B959" s="64" t="s">
        <v>61</v>
      </c>
      <c r="C959" s="31"/>
      <c r="D959" s="31"/>
      <c r="E959" s="439">
        <f>SUM(E923:E958)</f>
        <v>172.09999999999997</v>
      </c>
      <c r="F959" s="320">
        <f>SUM(F923:F958)</f>
        <v>3.5</v>
      </c>
      <c r="G959" s="31"/>
      <c r="H959" s="31"/>
      <c r="I959" s="31"/>
      <c r="J959" s="439">
        <f>SUM(J923:J958)</f>
        <v>105.30000000000001</v>
      </c>
      <c r="K959" s="320">
        <f>SUM(K923:K958)</f>
        <v>0.5</v>
      </c>
      <c r="L959" s="31"/>
      <c r="M959" s="31"/>
      <c r="N959" s="31"/>
      <c r="O959" s="439">
        <f>SUM(O923:O958)</f>
        <v>125.20000000000002</v>
      </c>
      <c r="P959" s="320">
        <f>SUM(P923:P958)</f>
        <v>0.5</v>
      </c>
      <c r="Q959" s="31"/>
      <c r="R959" s="31"/>
      <c r="S959" s="31"/>
      <c r="T959" s="439">
        <f>SUM(T923:T958)</f>
        <v>130.30000000000001</v>
      </c>
      <c r="U959" s="320">
        <f>SUM(U923:U958)</f>
        <v>0</v>
      </c>
      <c r="V959" s="31"/>
      <c r="W959" s="31"/>
      <c r="X959" s="31"/>
      <c r="Y959" s="439">
        <f>SUM(Y923:Y958)</f>
        <v>112.00000000000001</v>
      </c>
      <c r="Z959" s="320">
        <f>SUM(Z923:Z958)</f>
        <v>0</v>
      </c>
      <c r="AA959" s="370">
        <f>SUM(AA923:AA958)</f>
        <v>644.9</v>
      </c>
      <c r="AB959" s="370">
        <f>SUM(AB923:AB958)</f>
        <v>4.5</v>
      </c>
      <c r="AC959" s="4"/>
      <c r="AD959" s="64"/>
      <c r="AE959" s="64"/>
      <c r="AF959" s="370">
        <f>SUM(AF923:AF958)</f>
        <v>0</v>
      </c>
      <c r="AG959" s="370">
        <f>SUM(AG923:AG958)</f>
        <v>0</v>
      </c>
    </row>
    <row r="960" spans="1:37">
      <c r="A960" s="180"/>
      <c r="B960" s="63" t="s">
        <v>64</v>
      </c>
      <c r="C960" s="47"/>
      <c r="D960" s="47"/>
      <c r="E960" s="319">
        <v>8</v>
      </c>
      <c r="F960" s="19"/>
      <c r="G960" s="613"/>
      <c r="H960" s="47"/>
      <c r="I960" s="47"/>
      <c r="J960" s="319">
        <v>8</v>
      </c>
      <c r="K960" s="19">
        <v>1</v>
      </c>
      <c r="L960" s="60"/>
      <c r="M960" s="47"/>
      <c r="N960" s="47"/>
      <c r="O960" s="319">
        <v>8</v>
      </c>
      <c r="P960" s="19"/>
      <c r="Q960" s="60"/>
      <c r="R960" s="47"/>
      <c r="S960" s="47"/>
      <c r="T960" s="319">
        <v>8</v>
      </c>
      <c r="U960" s="19"/>
      <c r="V960" s="60"/>
      <c r="W960" s="47"/>
      <c r="X960" s="47"/>
      <c r="Y960" s="319">
        <v>8</v>
      </c>
      <c r="Z960" s="19"/>
      <c r="AA960" s="28">
        <f>SUM(E960+J960+O960+T960+Y960)</f>
        <v>40</v>
      </c>
      <c r="AB960" s="296">
        <f>Z960+U960+P960+K960+F960</f>
        <v>1</v>
      </c>
      <c r="AC960" s="4"/>
      <c r="AD960" s="47" t="s">
        <v>29</v>
      </c>
      <c r="AE960" s="47" t="s">
        <v>29</v>
      </c>
      <c r="AF960" s="319">
        <v>0.75</v>
      </c>
      <c r="AG960" s="29">
        <f>AF960</f>
        <v>0.75</v>
      </c>
    </row>
    <row r="961" spans="1:49">
      <c r="A961" s="180"/>
      <c r="B961" s="71" t="s">
        <v>66</v>
      </c>
      <c r="C961" s="371"/>
      <c r="D961" s="371"/>
      <c r="E961" s="71"/>
      <c r="F961" s="71"/>
      <c r="G961" s="71"/>
      <c r="H961" s="71"/>
      <c r="I961" s="71"/>
      <c r="J961" s="71"/>
      <c r="K961" s="71"/>
      <c r="L961" s="71"/>
      <c r="M961" s="71"/>
      <c r="N961" s="71"/>
      <c r="O961" s="71"/>
      <c r="P961" s="71"/>
      <c r="Q961" s="71"/>
      <c r="R961" s="71"/>
      <c r="S961" s="71"/>
      <c r="T961" s="71"/>
      <c r="U961" s="71"/>
      <c r="V961" s="71"/>
      <c r="W961" s="71"/>
      <c r="X961" s="71"/>
      <c r="Y961" s="71"/>
      <c r="Z961" s="71"/>
      <c r="AA961" s="370">
        <f>SUM(AA960:AA960)</f>
        <v>40</v>
      </c>
      <c r="AB961" s="370">
        <f>SUM(AB960:AB960)</f>
        <v>1</v>
      </c>
      <c r="AC961" s="4"/>
      <c r="AG961" s="370">
        <f>SUM(AG960:AG960)</f>
        <v>0.75</v>
      </c>
    </row>
    <row r="962" spans="1:49">
      <c r="A962" s="180"/>
      <c r="B962" s="217" t="s">
        <v>67</v>
      </c>
      <c r="C962" s="207">
        <f>C963+C964</f>
        <v>33</v>
      </c>
      <c r="D962" s="207"/>
      <c r="E962" s="209"/>
      <c r="F962" s="209"/>
      <c r="G962" s="207"/>
      <c r="H962" s="209"/>
      <c r="I962" s="209"/>
      <c r="J962" s="209"/>
      <c r="K962" s="209"/>
      <c r="L962" s="207"/>
      <c r="M962" s="207"/>
      <c r="N962" s="207"/>
      <c r="O962" s="207"/>
      <c r="P962" s="209"/>
      <c r="Q962" s="207"/>
      <c r="R962" s="207"/>
      <c r="S962" s="207"/>
      <c r="T962" s="207"/>
      <c r="U962" s="209"/>
      <c r="V962" s="207"/>
      <c r="W962" s="207"/>
      <c r="X962" s="207"/>
      <c r="Y962" s="210"/>
      <c r="Z962" s="209"/>
      <c r="AA962" s="211"/>
      <c r="AB962" s="209"/>
      <c r="AC962" s="211"/>
      <c r="AD962" s="211"/>
      <c r="AE962" s="211"/>
      <c r="AF962" s="211"/>
      <c r="AG962" s="211"/>
    </row>
    <row r="963" spans="1:49">
      <c r="A963" s="180"/>
      <c r="B963" s="238" t="s">
        <v>68</v>
      </c>
      <c r="C963" s="239"/>
      <c r="D963" s="207"/>
      <c r="E963" s="209"/>
      <c r="F963" s="209"/>
      <c r="G963" s="207"/>
      <c r="H963" s="209"/>
      <c r="I963" s="209"/>
      <c r="J963" s="209"/>
      <c r="K963" s="209"/>
      <c r="L963" s="207"/>
      <c r="M963" s="207"/>
      <c r="N963" s="207"/>
      <c r="O963" s="207"/>
      <c r="P963" s="209"/>
      <c r="Q963" s="207"/>
      <c r="R963" s="207"/>
      <c r="S963" s="207"/>
      <c r="T963" s="207"/>
      <c r="U963" s="209"/>
      <c r="V963" s="207"/>
      <c r="W963" s="207"/>
      <c r="X963" s="207"/>
      <c r="Y963" s="210"/>
      <c r="Z963" s="209"/>
      <c r="AA963" s="211"/>
      <c r="AB963" s="209"/>
      <c r="AC963" s="211"/>
      <c r="AD963" s="211"/>
      <c r="AE963" s="211"/>
      <c r="AF963" s="211"/>
      <c r="AG963" s="211"/>
    </row>
    <row r="964" spans="1:49">
      <c r="A964" s="180"/>
      <c r="B964" s="238" t="s">
        <v>69</v>
      </c>
      <c r="C964" s="239">
        <f>7+7+8+5+6</f>
        <v>33</v>
      </c>
      <c r="D964" s="207"/>
      <c r="E964" s="209"/>
      <c r="F964" s="209"/>
      <c r="G964" s="207"/>
      <c r="H964" s="209"/>
      <c r="I964" s="209"/>
      <c r="J964" s="209"/>
      <c r="K964" s="209"/>
      <c r="L964" s="207"/>
      <c r="M964" s="207"/>
      <c r="N964" s="207"/>
      <c r="O964" s="207"/>
      <c r="P964" s="209"/>
      <c r="Q964" s="207"/>
      <c r="R964" s="207"/>
      <c r="S964" s="207"/>
      <c r="T964" s="207"/>
      <c r="U964" s="209"/>
      <c r="V964" s="207"/>
      <c r="W964" s="207"/>
      <c r="X964" s="207"/>
      <c r="Y964" s="210"/>
      <c r="Z964" s="209"/>
      <c r="AA964" s="211"/>
      <c r="AB964" s="209"/>
      <c r="AC964" s="211"/>
      <c r="AD964" s="211"/>
      <c r="AE964" s="211"/>
      <c r="AF964" s="211"/>
      <c r="AG964" s="211"/>
    </row>
    <row r="965" spans="1:49">
      <c r="B965" s="180"/>
      <c r="E965" s="4"/>
      <c r="F965" s="4"/>
      <c r="G965" s="4"/>
      <c r="J965" s="4"/>
      <c r="K965" s="4"/>
      <c r="L965" s="4"/>
      <c r="O965" s="4"/>
      <c r="P965" s="4"/>
      <c r="T965" s="4"/>
      <c r="U965" s="4"/>
      <c r="Y965" s="4"/>
      <c r="Z965" s="4"/>
      <c r="AA965" s="4"/>
      <c r="AB965" s="4"/>
      <c r="AC965" s="4"/>
    </row>
    <row r="966" spans="1:49">
      <c r="A966" s="180"/>
      <c r="B966" s="229"/>
      <c r="C966" s="230"/>
      <c r="D966" s="230"/>
      <c r="E966" s="232"/>
      <c r="F966" s="232"/>
      <c r="G966" s="230"/>
      <c r="H966" s="232"/>
      <c r="I966" s="232"/>
      <c r="J966" s="232"/>
      <c r="K966" s="232"/>
      <c r="L966" s="230"/>
      <c r="M966" s="230"/>
      <c r="N966" s="230"/>
      <c r="O966" s="230"/>
      <c r="P966" s="232"/>
      <c r="Q966" s="230"/>
      <c r="R966" s="230"/>
      <c r="S966" s="230"/>
      <c r="T966" s="230"/>
      <c r="U966" s="232"/>
      <c r="V966" s="230"/>
      <c r="W966" s="230"/>
      <c r="X966" s="230"/>
      <c r="Y966" s="233"/>
      <c r="Z966" s="232"/>
      <c r="AA966" s="234"/>
      <c r="AB966" s="232"/>
      <c r="AC966" s="373"/>
      <c r="AD966" s="236"/>
      <c r="AE966" s="255"/>
      <c r="AF966" s="255"/>
      <c r="AG966" s="255"/>
      <c r="AH966" s="255"/>
      <c r="AJ966" s="255"/>
      <c r="AK966" s="255"/>
      <c r="AL966" s="255"/>
      <c r="AM966" s="255"/>
      <c r="AN966" s="255"/>
      <c r="AO966" s="255"/>
      <c r="AP966" s="255"/>
      <c r="AQ966" s="255"/>
      <c r="AR966" s="255"/>
      <c r="AS966" s="255"/>
      <c r="AT966" s="255"/>
      <c r="AU966" s="255"/>
      <c r="AV966" s="255"/>
      <c r="AW966" s="255"/>
    </row>
    <row r="967" spans="1:49">
      <c r="B967" s="180"/>
      <c r="E967" s="4"/>
      <c r="F967" s="4"/>
      <c r="G967" s="4"/>
      <c r="J967" s="4"/>
      <c r="K967" s="4"/>
      <c r="L967" s="4"/>
      <c r="O967" s="4"/>
      <c r="P967" s="4"/>
      <c r="T967" s="4"/>
      <c r="U967" s="4"/>
      <c r="Y967" s="4"/>
      <c r="Z967" s="4"/>
      <c r="AA967" s="4"/>
      <c r="AB967" s="4"/>
      <c r="AC967" s="4"/>
      <c r="AK967" s="180"/>
      <c r="AL967" s="180"/>
      <c r="AM967" s="180"/>
      <c r="AN967" s="180"/>
      <c r="AO967" s="180"/>
      <c r="AP967" s="180"/>
    </row>
    <row r="968" spans="1:49">
      <c r="A968" s="228"/>
      <c r="B968" s="1518" t="s">
        <v>18</v>
      </c>
      <c r="C968" s="1519">
        <v>45516</v>
      </c>
      <c r="D968" s="1519"/>
      <c r="E968" s="1519"/>
      <c r="F968" s="1519"/>
      <c r="G968" s="365"/>
      <c r="H968" s="1519">
        <v>45517</v>
      </c>
      <c r="I968" s="1519"/>
      <c r="J968" s="1519"/>
      <c r="K968" s="1519"/>
      <c r="L968" s="365"/>
      <c r="M968" s="1519">
        <v>45518</v>
      </c>
      <c r="N968" s="1519"/>
      <c r="O968" s="1519"/>
      <c r="P968" s="1519"/>
      <c r="Q968" s="365"/>
      <c r="R968" s="1519">
        <v>45519</v>
      </c>
      <c r="S968" s="1519"/>
      <c r="T968" s="1519"/>
      <c r="U968" s="1519"/>
      <c r="V968" s="365"/>
      <c r="W968" s="1519">
        <v>45520</v>
      </c>
      <c r="X968" s="1519"/>
      <c r="Y968" s="1519"/>
      <c r="Z968" s="1519"/>
      <c r="AA968" s="1517" t="s">
        <v>19</v>
      </c>
      <c r="AB968" s="1517" t="s">
        <v>20</v>
      </c>
      <c r="AC968" s="4"/>
      <c r="AD968" s="1519"/>
      <c r="AE968" s="1519"/>
      <c r="AF968" s="1519"/>
      <c r="AG968" s="1517" t="s">
        <v>21</v>
      </c>
      <c r="AI968" s="368"/>
      <c r="AK968" s="194" t="s">
        <v>84</v>
      </c>
      <c r="AL968" s="366"/>
      <c r="AM968" s="366"/>
      <c r="AN968" s="366"/>
      <c r="AO968" s="366"/>
      <c r="AP968" s="366"/>
    </row>
    <row r="969" spans="1:49">
      <c r="A969" s="180"/>
      <c r="B969" s="1518"/>
      <c r="C969" s="21" t="s">
        <v>23</v>
      </c>
      <c r="D969" s="21" t="s">
        <v>24</v>
      </c>
      <c r="E969" s="205" t="s">
        <v>25</v>
      </c>
      <c r="F969" s="18" t="s">
        <v>14</v>
      </c>
      <c r="G969" s="4"/>
      <c r="H969" s="21" t="s">
        <v>23</v>
      </c>
      <c r="I969" s="21" t="s">
        <v>24</v>
      </c>
      <c r="J969" s="18" t="s">
        <v>25</v>
      </c>
      <c r="K969" s="18" t="s">
        <v>14</v>
      </c>
      <c r="L969" s="4"/>
      <c r="M969" s="21" t="s">
        <v>23</v>
      </c>
      <c r="N969" s="21" t="s">
        <v>24</v>
      </c>
      <c r="O969" s="18" t="s">
        <v>25</v>
      </c>
      <c r="P969" s="18" t="s">
        <v>14</v>
      </c>
      <c r="R969" s="21" t="s">
        <v>23</v>
      </c>
      <c r="S969" s="21" t="s">
        <v>24</v>
      </c>
      <c r="T969" s="18" t="s">
        <v>25</v>
      </c>
      <c r="U969" s="18" t="s">
        <v>14</v>
      </c>
      <c r="W969" s="21" t="s">
        <v>23</v>
      </c>
      <c r="X969" s="21" t="s">
        <v>24</v>
      </c>
      <c r="Y969" s="18" t="s">
        <v>25</v>
      </c>
      <c r="Z969" s="18" t="s">
        <v>14</v>
      </c>
      <c r="AA969" s="1517"/>
      <c r="AB969" s="1517"/>
      <c r="AC969" s="4"/>
      <c r="AD969" s="21" t="s">
        <v>23</v>
      </c>
      <c r="AE969" s="21" t="s">
        <v>24</v>
      </c>
      <c r="AF969" s="18" t="s">
        <v>25</v>
      </c>
      <c r="AG969" s="1517"/>
      <c r="AI969" s="368"/>
      <c r="AJ969" s="367"/>
      <c r="AK969" s="188" t="s">
        <v>26</v>
      </c>
      <c r="AL969" s="196">
        <f>AA1006</f>
        <v>314.90000000000003</v>
      </c>
      <c r="AM969" s="510">
        <v>38</v>
      </c>
      <c r="AN969" s="510">
        <f>AL969*AM969</f>
        <v>11966.2</v>
      </c>
      <c r="AQ969" s="367"/>
      <c r="AR969" s="367"/>
      <c r="AS969" s="367"/>
      <c r="AT969" s="367"/>
      <c r="AU969" s="367"/>
      <c r="AV969" s="367"/>
      <c r="AW969" s="367"/>
    </row>
    <row r="970" spans="1:49">
      <c r="A970" s="180"/>
      <c r="B970" s="166" t="s">
        <v>506</v>
      </c>
      <c r="C970" s="566"/>
      <c r="D970" s="565"/>
      <c r="E970" s="319"/>
      <c r="F970" s="320"/>
      <c r="G970" s="4"/>
      <c r="H970" s="565"/>
      <c r="I970" s="565"/>
      <c r="J970" s="319"/>
      <c r="K970" s="320"/>
      <c r="L970" s="4"/>
      <c r="M970" s="565"/>
      <c r="N970" s="565"/>
      <c r="O970" s="319"/>
      <c r="P970" s="320"/>
      <c r="R970" s="565"/>
      <c r="S970" s="565"/>
      <c r="T970" s="319"/>
      <c r="U970" s="320"/>
      <c r="W970" s="565"/>
      <c r="X970" s="565"/>
      <c r="Y970" s="319"/>
      <c r="Z970" s="320"/>
      <c r="AA970" s="328">
        <f t="shared" ref="AA970:AA1005" si="147">(E970+J970+O970+T970+Y970)</f>
        <v>0</v>
      </c>
      <c r="AB970" s="298">
        <f t="shared" ref="AB970:AB1005" si="148">Z970+U970+P970+K970+F970</f>
        <v>0</v>
      </c>
      <c r="AC970" s="4"/>
      <c r="AD970" s="587"/>
      <c r="AE970" s="531"/>
      <c r="AF970" s="319"/>
      <c r="AG970" s="328">
        <f>AF970</f>
        <v>0</v>
      </c>
      <c r="AI970" s="368"/>
      <c r="AJ970" s="367"/>
      <c r="AK970" s="188" t="s">
        <v>30</v>
      </c>
      <c r="AL970" s="196">
        <f>AB1006</f>
        <v>18.899999999999999</v>
      </c>
      <c r="AM970" s="511">
        <v>57</v>
      </c>
      <c r="AN970" s="510">
        <f>AL970*AM970</f>
        <v>1077.3</v>
      </c>
      <c r="AQ970" s="367"/>
      <c r="AR970" s="367"/>
      <c r="AS970" s="367"/>
      <c r="AT970" s="367"/>
      <c r="AU970" s="367"/>
      <c r="AV970" s="367"/>
      <c r="AW970" s="367"/>
    </row>
    <row r="971" spans="1:49">
      <c r="A971" s="367"/>
      <c r="B971" s="611" t="s">
        <v>528</v>
      </c>
      <c r="C971" s="566"/>
      <c r="D971" s="565"/>
      <c r="E971" s="319"/>
      <c r="F971" s="320"/>
      <c r="G971" s="4"/>
      <c r="H971" s="566"/>
      <c r="I971" s="565"/>
      <c r="J971" s="319"/>
      <c r="K971" s="320"/>
      <c r="L971" s="4"/>
      <c r="M971" s="566"/>
      <c r="N971" s="565"/>
      <c r="O971" s="319"/>
      <c r="P971" s="320"/>
      <c r="R971" s="566"/>
      <c r="S971" s="565"/>
      <c r="T971" s="319"/>
      <c r="U971" s="320"/>
      <c r="W971" s="566"/>
      <c r="X971" s="565"/>
      <c r="Y971" s="319"/>
      <c r="Z971" s="320"/>
      <c r="AA971" s="328">
        <f t="shared" si="147"/>
        <v>0</v>
      </c>
      <c r="AB971" s="298">
        <f t="shared" si="148"/>
        <v>0</v>
      </c>
      <c r="AC971" s="4"/>
      <c r="AF971" s="319"/>
      <c r="AG971" s="328">
        <f>AF971</f>
        <v>0</v>
      </c>
      <c r="AH971" s="175"/>
      <c r="AI971" s="402"/>
      <c r="AJ971" s="367"/>
      <c r="AK971" s="188" t="s">
        <v>32</v>
      </c>
      <c r="AL971" s="196">
        <f>AG1006</f>
        <v>8</v>
      </c>
      <c r="AM971" s="510">
        <v>57</v>
      </c>
      <c r="AN971" s="510">
        <f>AL971*AM971</f>
        <v>456</v>
      </c>
      <c r="AQ971" s="367"/>
      <c r="AR971" s="367"/>
      <c r="AS971" s="367"/>
      <c r="AT971" s="367"/>
      <c r="AU971" s="367"/>
      <c r="AV971" s="367"/>
      <c r="AW971" s="367"/>
    </row>
    <row r="972" spans="1:49">
      <c r="A972" s="367"/>
      <c r="B972" s="586" t="s">
        <v>508</v>
      </c>
      <c r="C972" s="566"/>
      <c r="D972" s="565"/>
      <c r="E972" s="319"/>
      <c r="F972" s="320"/>
      <c r="G972" s="4"/>
      <c r="H972" s="566"/>
      <c r="I972" s="565"/>
      <c r="J972" s="319"/>
      <c r="K972" s="320"/>
      <c r="L972" s="4"/>
      <c r="M972" s="566"/>
      <c r="N972" s="565"/>
      <c r="O972" s="319"/>
      <c r="P972" s="320"/>
      <c r="R972" s="566"/>
      <c r="S972" s="565"/>
      <c r="T972" s="319"/>
      <c r="U972" s="320"/>
      <c r="W972" s="566"/>
      <c r="X972" s="565"/>
      <c r="Y972" s="319"/>
      <c r="Z972" s="320"/>
      <c r="AA972" s="328">
        <f t="shared" si="147"/>
        <v>0</v>
      </c>
      <c r="AB972" s="298">
        <f t="shared" si="148"/>
        <v>0</v>
      </c>
      <c r="AC972" s="4"/>
      <c r="AD972" s="531"/>
      <c r="AE972" s="531"/>
      <c r="AF972" s="319"/>
      <c r="AG972" s="328"/>
      <c r="AH972" s="175"/>
      <c r="AI972" s="402"/>
      <c r="AJ972" s="367"/>
      <c r="AK972" s="188"/>
      <c r="AL972" s="196"/>
      <c r="AM972" s="510"/>
      <c r="AN972" s="510"/>
      <c r="AQ972" s="367"/>
      <c r="AR972" s="367"/>
      <c r="AS972" s="367"/>
      <c r="AT972" s="367"/>
      <c r="AU972" s="367"/>
      <c r="AV972" s="367"/>
      <c r="AW972" s="367"/>
    </row>
    <row r="973" spans="1:49">
      <c r="A973" s="367"/>
      <c r="B973" s="166" t="s">
        <v>510</v>
      </c>
      <c r="C973" s="565"/>
      <c r="D973" s="565"/>
      <c r="E973" s="319"/>
      <c r="F973" s="320"/>
      <c r="G973" s="4"/>
      <c r="H973" s="565"/>
      <c r="I973" s="565"/>
      <c r="J973" s="319"/>
      <c r="K973" s="320"/>
      <c r="L973" s="4"/>
      <c r="M973" s="565"/>
      <c r="N973" s="565"/>
      <c r="O973" s="319"/>
      <c r="P973" s="320"/>
      <c r="R973" s="565"/>
      <c r="S973" s="565"/>
      <c r="T973" s="319"/>
      <c r="U973" s="320"/>
      <c r="W973" s="565"/>
      <c r="X973" s="565"/>
      <c r="Y973" s="319"/>
      <c r="Z973" s="320"/>
      <c r="AA973" s="328">
        <f t="shared" si="147"/>
        <v>0</v>
      </c>
      <c r="AB973" s="298">
        <f t="shared" si="148"/>
        <v>0</v>
      </c>
      <c r="AC973" s="399"/>
      <c r="AD973" s="47"/>
      <c r="AE973" s="47"/>
      <c r="AF973" s="319"/>
      <c r="AG973" s="29">
        <f t="shared" ref="AG973:AG978" si="149">AF973</f>
        <v>0</v>
      </c>
      <c r="AH973" s="175"/>
      <c r="AJ973" s="401"/>
      <c r="AK973" s="403" t="s">
        <v>213</v>
      </c>
      <c r="AL973" s="404">
        <f>AA1008</f>
        <v>20</v>
      </c>
      <c r="AM973" s="510">
        <v>50</v>
      </c>
      <c r="AN973" s="510">
        <f>AL973*AM973</f>
        <v>1000</v>
      </c>
      <c r="AO973" s="405"/>
      <c r="AP973" s="405"/>
      <c r="AQ973" s="401"/>
      <c r="AR973" s="401"/>
      <c r="AS973" s="401"/>
      <c r="AT973" s="401"/>
      <c r="AU973" s="401"/>
      <c r="AV973" s="401"/>
      <c r="AW973" s="401"/>
    </row>
    <row r="974" spans="1:49">
      <c r="A974" s="367"/>
      <c r="B974" s="166" t="s">
        <v>509</v>
      </c>
      <c r="C974" s="565"/>
      <c r="D974" s="565"/>
      <c r="E974" s="319"/>
      <c r="F974" s="320"/>
      <c r="G974" s="4"/>
      <c r="H974" s="565"/>
      <c r="I974" s="565"/>
      <c r="J974" s="319"/>
      <c r="K974" s="320"/>
      <c r="L974" s="4"/>
      <c r="M974" s="565"/>
      <c r="N974" s="565"/>
      <c r="O974" s="319"/>
      <c r="P974" s="320"/>
      <c r="R974" s="565"/>
      <c r="S974" s="565"/>
      <c r="T974" s="319"/>
      <c r="U974" s="320"/>
      <c r="W974" s="565"/>
      <c r="X974" s="565"/>
      <c r="Y974" s="319"/>
      <c r="Z974" s="320"/>
      <c r="AA974" s="328">
        <f t="shared" si="147"/>
        <v>0</v>
      </c>
      <c r="AB974" s="298">
        <f t="shared" si="148"/>
        <v>0</v>
      </c>
      <c r="AC974" s="399"/>
      <c r="AD974" s="47"/>
      <c r="AE974" s="47"/>
      <c r="AF974" s="319"/>
      <c r="AG974" s="29">
        <f t="shared" si="149"/>
        <v>0</v>
      </c>
      <c r="AH974" s="175"/>
      <c r="AJ974" s="401"/>
      <c r="AK974" s="188" t="s">
        <v>36</v>
      </c>
      <c r="AL974" s="196">
        <f>AB1008</f>
        <v>0</v>
      </c>
      <c r="AM974" s="510">
        <v>75</v>
      </c>
      <c r="AN974" s="510">
        <f>AL974*AM974</f>
        <v>0</v>
      </c>
      <c r="AO974" s="405"/>
      <c r="AP974" s="405"/>
      <c r="AQ974" s="401"/>
      <c r="AR974" s="401"/>
      <c r="AS974" s="401"/>
      <c r="AT974" s="401"/>
      <c r="AU974" s="401"/>
      <c r="AV974" s="401"/>
      <c r="AW974" s="401"/>
    </row>
    <row r="975" spans="1:49">
      <c r="A975" s="367"/>
      <c r="B975" s="166" t="s">
        <v>511</v>
      </c>
      <c r="C975" s="565"/>
      <c r="D975" s="565"/>
      <c r="E975" s="319"/>
      <c r="F975" s="320"/>
      <c r="G975" s="4"/>
      <c r="H975" s="565"/>
      <c r="I975" s="565"/>
      <c r="J975" s="319"/>
      <c r="K975" s="320"/>
      <c r="L975" s="4"/>
      <c r="M975" s="565"/>
      <c r="N975" s="565"/>
      <c r="O975" s="319"/>
      <c r="P975" s="320"/>
      <c r="R975" s="565"/>
      <c r="S975" s="565"/>
      <c r="T975" s="319"/>
      <c r="U975" s="320"/>
      <c r="W975" s="565"/>
      <c r="X975" s="565"/>
      <c r="Y975" s="319"/>
      <c r="Z975" s="320"/>
      <c r="AA975" s="328">
        <f t="shared" si="147"/>
        <v>0</v>
      </c>
      <c r="AB975" s="298">
        <f t="shared" si="148"/>
        <v>0</v>
      </c>
      <c r="AC975" s="175"/>
      <c r="AD975" s="47"/>
      <c r="AE975" s="47"/>
      <c r="AF975" s="319"/>
      <c r="AG975" s="344">
        <f t="shared" si="149"/>
        <v>0</v>
      </c>
      <c r="AH975" s="175"/>
      <c r="AI975" s="368"/>
      <c r="AK975" s="188" t="s">
        <v>38</v>
      </c>
      <c r="AL975" s="196">
        <f>AG1008</f>
        <v>0</v>
      </c>
      <c r="AM975" s="510">
        <v>75</v>
      </c>
      <c r="AN975" s="510">
        <f>AL975*AM975</f>
        <v>0</v>
      </c>
    </row>
    <row r="976" spans="1:49" ht="14.25" thickBot="1">
      <c r="A976" s="401"/>
      <c r="B976" s="586" t="s">
        <v>512</v>
      </c>
      <c r="C976" s="565"/>
      <c r="D976" s="565"/>
      <c r="E976" s="319"/>
      <c r="F976" s="320"/>
      <c r="G976" s="4"/>
      <c r="H976" s="565"/>
      <c r="I976" s="565"/>
      <c r="J976" s="319"/>
      <c r="K976" s="320"/>
      <c r="L976" s="4"/>
      <c r="M976" s="565"/>
      <c r="N976" s="565"/>
      <c r="O976" s="319"/>
      <c r="P976" s="320"/>
      <c r="R976" s="565"/>
      <c r="S976" s="565"/>
      <c r="T976" s="319"/>
      <c r="U976" s="320"/>
      <c r="W976" s="565"/>
      <c r="X976" s="565"/>
      <c r="Y976" s="319"/>
      <c r="Z976" s="320"/>
      <c r="AA976" s="328">
        <f t="shared" si="147"/>
        <v>0</v>
      </c>
      <c r="AB976" s="298">
        <f t="shared" si="148"/>
        <v>0</v>
      </c>
      <c r="AC976" s="4"/>
      <c r="AD976" s="47"/>
      <c r="AE976" s="47"/>
      <c r="AF976" s="319"/>
      <c r="AG976" s="29">
        <f t="shared" si="149"/>
        <v>0</v>
      </c>
      <c r="AJ976" s="367"/>
      <c r="AK976" s="188" t="s">
        <v>41</v>
      </c>
      <c r="AL976" s="196">
        <f>C1009</f>
        <v>15</v>
      </c>
      <c r="AM976" s="512">
        <v>45</v>
      </c>
      <c r="AN976" s="512">
        <f>AL976*AM976</f>
        <v>675</v>
      </c>
      <c r="AQ976" s="367"/>
      <c r="AR976" s="367"/>
      <c r="AS976" s="367"/>
      <c r="AT976" s="367"/>
      <c r="AU976" s="367"/>
      <c r="AV976" s="367"/>
      <c r="AW976" s="367"/>
    </row>
    <row r="977" spans="1:40" ht="27.75" thickTop="1">
      <c r="A977" s="367"/>
      <c r="B977" s="586" t="s">
        <v>513</v>
      </c>
      <c r="C977" s="565"/>
      <c r="D977" s="565"/>
      <c r="E977" s="319"/>
      <c r="F977" s="320"/>
      <c r="G977" s="4"/>
      <c r="H977" s="565"/>
      <c r="I977" s="565"/>
      <c r="J977" s="319"/>
      <c r="K977" s="320"/>
      <c r="L977" s="4"/>
      <c r="M977" s="565"/>
      <c r="N977" s="565"/>
      <c r="O977" s="319"/>
      <c r="P977" s="320"/>
      <c r="R977" s="565"/>
      <c r="S977" s="565"/>
      <c r="T977" s="319"/>
      <c r="U977" s="320"/>
      <c r="W977" s="565"/>
      <c r="X977" s="565"/>
      <c r="Y977" s="319"/>
      <c r="Z977" s="320"/>
      <c r="AA977" s="328">
        <f t="shared" si="147"/>
        <v>0</v>
      </c>
      <c r="AB977" s="298">
        <f t="shared" si="148"/>
        <v>0</v>
      </c>
      <c r="AC977" s="4"/>
      <c r="AD977" s="47"/>
      <c r="AE977" s="47"/>
      <c r="AF977" s="319"/>
      <c r="AG977" s="29">
        <f t="shared" si="149"/>
        <v>0</v>
      </c>
      <c r="AN977" s="510">
        <f>SUM(AN969:AN976)</f>
        <v>15174.5</v>
      </c>
    </row>
    <row r="978" spans="1:40">
      <c r="A978" s="180"/>
      <c r="B978" s="612" t="s">
        <v>529</v>
      </c>
      <c r="C978" s="565"/>
      <c r="D978" s="565"/>
      <c r="E978" s="319"/>
      <c r="F978" s="320"/>
      <c r="G978" s="4"/>
      <c r="H978" s="565"/>
      <c r="I978" s="565"/>
      <c r="J978" s="319"/>
      <c r="K978" s="320"/>
      <c r="L978" s="4"/>
      <c r="M978" s="565"/>
      <c r="N978" s="565"/>
      <c r="O978" s="319"/>
      <c r="P978" s="320"/>
      <c r="R978" s="565"/>
      <c r="S978" s="565"/>
      <c r="T978" s="319"/>
      <c r="U978" s="320"/>
      <c r="W978" s="565"/>
      <c r="X978" s="565"/>
      <c r="Y978" s="319"/>
      <c r="Z978" s="320"/>
      <c r="AA978" s="328">
        <f t="shared" si="147"/>
        <v>0</v>
      </c>
      <c r="AB978" s="298">
        <f t="shared" si="148"/>
        <v>0</v>
      </c>
      <c r="AC978" s="4"/>
      <c r="AD978" s="47"/>
      <c r="AE978" s="47"/>
      <c r="AF978" s="319"/>
      <c r="AG978" s="29">
        <f t="shared" si="149"/>
        <v>0</v>
      </c>
    </row>
    <row r="979" spans="1:40">
      <c r="A979" s="180"/>
      <c r="B979" s="612" t="s">
        <v>280</v>
      </c>
      <c r="C979" s="565"/>
      <c r="D979" s="565"/>
      <c r="E979" s="319"/>
      <c r="F979" s="320"/>
      <c r="G979" s="4"/>
      <c r="H979" s="565"/>
      <c r="I979" s="565"/>
      <c r="J979" s="319"/>
      <c r="K979" s="320"/>
      <c r="L979" s="4"/>
      <c r="M979" s="565"/>
      <c r="N979" s="565"/>
      <c r="O979" s="319"/>
      <c r="P979" s="320"/>
      <c r="R979" s="565"/>
      <c r="S979" s="565"/>
      <c r="T979" s="319"/>
      <c r="U979" s="320"/>
      <c r="W979" s="565"/>
      <c r="X979" s="565"/>
      <c r="Y979" s="319"/>
      <c r="Z979" s="320"/>
      <c r="AA979" s="328">
        <f t="shared" si="147"/>
        <v>0</v>
      </c>
      <c r="AB979" s="298">
        <f t="shared" si="148"/>
        <v>0</v>
      </c>
      <c r="AC979" s="4"/>
      <c r="AD979" s="47"/>
      <c r="AE979" s="47"/>
      <c r="AF979" s="319"/>
      <c r="AG979" s="29"/>
    </row>
    <row r="980" spans="1:40">
      <c r="A980" s="180"/>
      <c r="B980" s="612" t="s">
        <v>531</v>
      </c>
      <c r="C980" s="565"/>
      <c r="D980" s="565"/>
      <c r="E980" s="319"/>
      <c r="F980" s="320"/>
      <c r="G980" s="4"/>
      <c r="H980" s="565"/>
      <c r="I980" s="565"/>
      <c r="J980" s="319"/>
      <c r="K980" s="320"/>
      <c r="L980" s="4"/>
      <c r="M980" s="565"/>
      <c r="N980" s="565"/>
      <c r="O980" s="319"/>
      <c r="P980" s="320"/>
      <c r="R980" s="565"/>
      <c r="S980" s="565"/>
      <c r="T980" s="319"/>
      <c r="U980" s="320"/>
      <c r="W980" s="565"/>
      <c r="X980" s="565"/>
      <c r="Y980" s="319"/>
      <c r="Z980" s="320"/>
      <c r="AA980" s="328">
        <f t="shared" si="147"/>
        <v>0</v>
      </c>
      <c r="AB980" s="298">
        <f t="shared" si="148"/>
        <v>0</v>
      </c>
      <c r="AC980" s="4"/>
      <c r="AD980" s="47"/>
      <c r="AE980" s="47"/>
      <c r="AF980" s="319"/>
      <c r="AG980" s="29"/>
    </row>
    <row r="981" spans="1:40">
      <c r="A981" s="180"/>
      <c r="B981" s="523" t="s">
        <v>514</v>
      </c>
      <c r="C981" s="16" t="s">
        <v>29</v>
      </c>
      <c r="D981" s="16" t="s">
        <v>29</v>
      </c>
      <c r="E981" s="319">
        <v>0</v>
      </c>
      <c r="F981" s="320"/>
      <c r="G981" s="4"/>
      <c r="H981" s="16" t="s">
        <v>29</v>
      </c>
      <c r="I981" s="16" t="s">
        <v>29</v>
      </c>
      <c r="J981" s="319">
        <v>0</v>
      </c>
      <c r="K981" s="320"/>
      <c r="L981" s="4"/>
      <c r="M981" s="16" t="s">
        <v>29</v>
      </c>
      <c r="N981" s="16" t="s">
        <v>29</v>
      </c>
      <c r="O981" s="319">
        <v>0</v>
      </c>
      <c r="P981" s="320"/>
      <c r="R981" s="16" t="s">
        <v>29</v>
      </c>
      <c r="S981" s="16" t="s">
        <v>29</v>
      </c>
      <c r="T981" s="319">
        <v>1</v>
      </c>
      <c r="U981" s="320"/>
      <c r="W981" s="16" t="s">
        <v>29</v>
      </c>
      <c r="X981" s="16" t="s">
        <v>29</v>
      </c>
      <c r="Y981" s="319">
        <v>0</v>
      </c>
      <c r="Z981" s="320"/>
      <c r="AA981" s="328">
        <f t="shared" si="147"/>
        <v>1</v>
      </c>
      <c r="AB981" s="298">
        <f t="shared" si="148"/>
        <v>0</v>
      </c>
      <c r="AC981" s="4"/>
      <c r="AD981" s="47"/>
      <c r="AE981" s="47"/>
      <c r="AF981" s="319"/>
      <c r="AG981" s="29">
        <f>AF981</f>
        <v>0</v>
      </c>
    </row>
    <row r="982" spans="1:40" ht="12.75" customHeight="1">
      <c r="A982" s="180"/>
      <c r="B982" s="180" t="s">
        <v>515</v>
      </c>
      <c r="C982" s="16" t="s">
        <v>29</v>
      </c>
      <c r="D982" s="16" t="s">
        <v>29</v>
      </c>
      <c r="E982" s="319">
        <v>8</v>
      </c>
      <c r="F982" s="320"/>
      <c r="G982" s="4"/>
      <c r="H982" s="16" t="s">
        <v>29</v>
      </c>
      <c r="I982" s="16" t="s">
        <v>29</v>
      </c>
      <c r="J982" s="319">
        <v>0</v>
      </c>
      <c r="K982" s="320"/>
      <c r="L982" s="4"/>
      <c r="M982" s="47"/>
      <c r="N982" s="47"/>
      <c r="O982" s="319">
        <v>8</v>
      </c>
      <c r="P982" s="320"/>
      <c r="R982" s="16" t="s">
        <v>29</v>
      </c>
      <c r="S982" s="16" t="s">
        <v>29</v>
      </c>
      <c r="T982" s="319">
        <v>1</v>
      </c>
      <c r="U982" s="320"/>
      <c r="W982" s="16" t="s">
        <v>29</v>
      </c>
      <c r="X982" s="16" t="s">
        <v>29</v>
      </c>
      <c r="Y982" s="319">
        <v>0</v>
      </c>
      <c r="Z982" s="320"/>
      <c r="AA982" s="328">
        <f t="shared" si="147"/>
        <v>17</v>
      </c>
      <c r="AB982" s="298">
        <f t="shared" si="148"/>
        <v>0</v>
      </c>
      <c r="AC982" s="4"/>
      <c r="AD982" s="47"/>
      <c r="AE982" s="47"/>
      <c r="AF982" s="319"/>
      <c r="AG982" s="29">
        <f>AF982</f>
        <v>0</v>
      </c>
    </row>
    <row r="983" spans="1:40">
      <c r="A983" s="180"/>
      <c r="B983" s="180" t="s">
        <v>516</v>
      </c>
      <c r="C983" s="16" t="s">
        <v>29</v>
      </c>
      <c r="D983" s="16" t="s">
        <v>29</v>
      </c>
      <c r="E983" s="319">
        <v>0</v>
      </c>
      <c r="F983" s="320"/>
      <c r="G983" s="4"/>
      <c r="H983" s="16" t="s">
        <v>29</v>
      </c>
      <c r="I983" s="16" t="s">
        <v>29</v>
      </c>
      <c r="J983" s="319">
        <v>0</v>
      </c>
      <c r="K983" s="320"/>
      <c r="L983" s="4"/>
      <c r="M983" s="47">
        <v>0.375</v>
      </c>
      <c r="N983" s="47">
        <v>0.25</v>
      </c>
      <c r="O983" s="319">
        <v>8</v>
      </c>
      <c r="P983" s="320"/>
      <c r="R983" s="16" t="s">
        <v>29</v>
      </c>
      <c r="S983" s="16" t="s">
        <v>29</v>
      </c>
      <c r="T983" s="319">
        <v>0</v>
      </c>
      <c r="U983" s="320"/>
      <c r="W983" s="16" t="s">
        <v>29</v>
      </c>
      <c r="X983" s="16" t="s">
        <v>29</v>
      </c>
      <c r="Y983" s="319">
        <v>0</v>
      </c>
      <c r="Z983" s="320"/>
      <c r="AA983" s="328">
        <f t="shared" si="147"/>
        <v>8</v>
      </c>
      <c r="AB983" s="298">
        <f t="shared" si="148"/>
        <v>0</v>
      </c>
      <c r="AC983" s="4"/>
      <c r="AD983" s="47"/>
      <c r="AE983" s="47"/>
      <c r="AF983" s="319"/>
      <c r="AG983" s="29">
        <v>8</v>
      </c>
    </row>
    <row r="984" spans="1:40">
      <c r="A984" s="180"/>
      <c r="B984" s="180" t="s">
        <v>517</v>
      </c>
      <c r="C984" s="16" t="s">
        <v>29</v>
      </c>
      <c r="D984" s="16" t="s">
        <v>29</v>
      </c>
      <c r="E984" s="319">
        <v>0</v>
      </c>
      <c r="F984" s="320"/>
      <c r="G984" s="4"/>
      <c r="H984" s="16" t="s">
        <v>29</v>
      </c>
      <c r="I984" s="16" t="s">
        <v>29</v>
      </c>
      <c r="J984" s="319">
        <v>0</v>
      </c>
      <c r="K984" s="320"/>
      <c r="L984" s="4"/>
      <c r="M984" s="47">
        <v>0.375</v>
      </c>
      <c r="N984" s="47">
        <v>0.25</v>
      </c>
      <c r="O984" s="319">
        <v>8</v>
      </c>
      <c r="P984" s="320"/>
      <c r="R984" s="16" t="s">
        <v>29</v>
      </c>
      <c r="S984" s="16" t="s">
        <v>29</v>
      </c>
      <c r="T984" s="319">
        <v>1</v>
      </c>
      <c r="U984" s="320"/>
      <c r="W984" s="16" t="s">
        <v>29</v>
      </c>
      <c r="X984" s="16" t="s">
        <v>29</v>
      </c>
      <c r="Y984" s="319">
        <v>0</v>
      </c>
      <c r="Z984" s="320"/>
      <c r="AA984" s="328">
        <f t="shared" si="147"/>
        <v>9</v>
      </c>
      <c r="AB984" s="298">
        <f t="shared" si="148"/>
        <v>0</v>
      </c>
      <c r="AC984" s="4"/>
      <c r="AD984" s="47"/>
      <c r="AE984" s="47"/>
      <c r="AF984" s="319"/>
      <c r="AG984" s="29">
        <f t="shared" ref="AG984:AG1005" si="150">AF984</f>
        <v>0</v>
      </c>
    </row>
    <row r="985" spans="1:40">
      <c r="A985" s="180"/>
      <c r="B985" s="523" t="s">
        <v>518</v>
      </c>
      <c r="C985" s="16" t="s">
        <v>29</v>
      </c>
      <c r="D985" s="16" t="s">
        <v>29</v>
      </c>
      <c r="E985" s="319">
        <v>0</v>
      </c>
      <c r="F985" s="320"/>
      <c r="G985" s="4"/>
      <c r="H985" s="16" t="s">
        <v>29</v>
      </c>
      <c r="I985" s="16" t="s">
        <v>29</v>
      </c>
      <c r="J985" s="319">
        <v>0</v>
      </c>
      <c r="K985" s="320"/>
      <c r="L985" s="4"/>
      <c r="M985" s="16" t="s">
        <v>29</v>
      </c>
      <c r="N985" s="16" t="s">
        <v>29</v>
      </c>
      <c r="O985" s="319">
        <v>0</v>
      </c>
      <c r="P985" s="320"/>
      <c r="R985" s="16" t="s">
        <v>29</v>
      </c>
      <c r="S985" s="16" t="s">
        <v>29</v>
      </c>
      <c r="T985" s="319">
        <v>1</v>
      </c>
      <c r="U985" s="320"/>
      <c r="W985" s="16" t="s">
        <v>29</v>
      </c>
      <c r="X985" s="16" t="s">
        <v>29</v>
      </c>
      <c r="Y985" s="319">
        <v>0</v>
      </c>
      <c r="Z985" s="320"/>
      <c r="AA985" s="328">
        <f t="shared" si="147"/>
        <v>1</v>
      </c>
      <c r="AB985" s="298">
        <f t="shared" si="148"/>
        <v>0</v>
      </c>
      <c r="AC985" s="4"/>
      <c r="AD985" s="47"/>
      <c r="AE985" s="47"/>
      <c r="AF985" s="319"/>
      <c r="AG985" s="29">
        <f t="shared" si="150"/>
        <v>0</v>
      </c>
    </row>
    <row r="986" spans="1:40">
      <c r="A986" s="180"/>
      <c r="B986" s="523" t="s">
        <v>519</v>
      </c>
      <c r="C986" s="47">
        <v>0.375</v>
      </c>
      <c r="D986" s="47">
        <v>0.25</v>
      </c>
      <c r="E986" s="319">
        <v>8</v>
      </c>
      <c r="F986" s="320"/>
      <c r="G986" s="4"/>
      <c r="H986" s="47">
        <v>0.375</v>
      </c>
      <c r="I986" s="47">
        <v>8.3333333333333329E-2</v>
      </c>
      <c r="J986" s="319">
        <v>4</v>
      </c>
      <c r="K986" s="320"/>
      <c r="L986" s="4"/>
      <c r="M986" s="47">
        <v>0.375</v>
      </c>
      <c r="N986" s="47">
        <v>0.25</v>
      </c>
      <c r="O986" s="319">
        <v>8</v>
      </c>
      <c r="P986" s="320"/>
      <c r="R986" s="47">
        <v>0.375</v>
      </c>
      <c r="S986" s="47">
        <v>0.25</v>
      </c>
      <c r="T986" s="319">
        <v>8</v>
      </c>
      <c r="U986" s="320"/>
      <c r="W986" s="47">
        <v>0.375</v>
      </c>
      <c r="X986" s="47">
        <v>0.25</v>
      </c>
      <c r="Y986" s="319">
        <v>8</v>
      </c>
      <c r="Z986" s="320"/>
      <c r="AA986" s="328">
        <f t="shared" si="147"/>
        <v>36</v>
      </c>
      <c r="AB986" s="298">
        <f t="shared" si="148"/>
        <v>0</v>
      </c>
      <c r="AC986" s="4"/>
      <c r="AD986" s="47"/>
      <c r="AE986" s="47"/>
      <c r="AF986" s="319"/>
      <c r="AG986" s="29">
        <f t="shared" si="150"/>
        <v>0</v>
      </c>
    </row>
    <row r="987" spans="1:40">
      <c r="A987" s="180"/>
      <c r="B987" s="180" t="s">
        <v>520</v>
      </c>
      <c r="C987" s="16" t="s">
        <v>29</v>
      </c>
      <c r="D987" s="16" t="s">
        <v>29</v>
      </c>
      <c r="E987" s="319">
        <v>0</v>
      </c>
      <c r="F987" s="320"/>
      <c r="G987" s="4"/>
      <c r="H987" s="16" t="s">
        <v>29</v>
      </c>
      <c r="I987" s="16" t="s">
        <v>29</v>
      </c>
      <c r="J987" s="319">
        <v>0</v>
      </c>
      <c r="K987" s="320"/>
      <c r="L987" s="4"/>
      <c r="M987" s="16" t="s">
        <v>29</v>
      </c>
      <c r="N987" s="16" t="s">
        <v>29</v>
      </c>
      <c r="O987" s="319">
        <v>0</v>
      </c>
      <c r="P987" s="320"/>
      <c r="R987" s="16" t="s">
        <v>29</v>
      </c>
      <c r="S987" s="16" t="s">
        <v>29</v>
      </c>
      <c r="T987" s="319">
        <v>1</v>
      </c>
      <c r="U987" s="320"/>
      <c r="W987" s="16" t="s">
        <v>29</v>
      </c>
      <c r="X987" s="16" t="s">
        <v>29</v>
      </c>
      <c r="Y987" s="319">
        <v>0</v>
      </c>
      <c r="Z987" s="320"/>
      <c r="AA987" s="328">
        <f t="shared" si="147"/>
        <v>1</v>
      </c>
      <c r="AB987" s="298">
        <f t="shared" si="148"/>
        <v>0</v>
      </c>
      <c r="AC987" s="4"/>
      <c r="AD987" s="47"/>
      <c r="AE987" s="47"/>
      <c r="AF987" s="319"/>
      <c r="AG987" s="29">
        <f t="shared" si="150"/>
        <v>0</v>
      </c>
    </row>
    <row r="988" spans="1:40">
      <c r="A988" s="180"/>
      <c r="B988" s="634" t="s">
        <v>394</v>
      </c>
      <c r="C988" s="327">
        <v>0.375</v>
      </c>
      <c r="D988" s="327">
        <v>0.25</v>
      </c>
      <c r="E988" s="319">
        <v>8</v>
      </c>
      <c r="F988" s="320"/>
      <c r="G988" s="4"/>
      <c r="H988" s="327"/>
      <c r="I988" s="327"/>
      <c r="J988" s="319">
        <v>0</v>
      </c>
      <c r="K988" s="320"/>
      <c r="L988" s="4"/>
      <c r="M988" s="16" t="s">
        <v>29</v>
      </c>
      <c r="N988" s="16" t="s">
        <v>29</v>
      </c>
      <c r="O988" s="319">
        <v>0</v>
      </c>
      <c r="P988" s="320"/>
      <c r="R988" s="16" t="s">
        <v>29</v>
      </c>
      <c r="S988" s="16" t="s">
        <v>29</v>
      </c>
      <c r="T988" s="319">
        <v>1</v>
      </c>
      <c r="U988" s="320"/>
      <c r="W988" s="16" t="s">
        <v>29</v>
      </c>
      <c r="X988" s="16" t="s">
        <v>29</v>
      </c>
      <c r="Y988" s="319">
        <v>0</v>
      </c>
      <c r="Z988" s="320"/>
      <c r="AA988" s="328">
        <f t="shared" si="147"/>
        <v>9</v>
      </c>
      <c r="AB988" s="298">
        <f t="shared" si="148"/>
        <v>0</v>
      </c>
      <c r="AC988" s="4"/>
      <c r="AD988" s="47"/>
      <c r="AE988" s="47"/>
      <c r="AF988" s="319"/>
      <c r="AG988" s="29">
        <f t="shared" si="150"/>
        <v>0</v>
      </c>
    </row>
    <row r="989" spans="1:40" ht="14.25" customHeight="1">
      <c r="A989" s="180"/>
      <c r="B989" s="585" t="s">
        <v>522</v>
      </c>
      <c r="C989" s="47"/>
      <c r="D989" s="565"/>
      <c r="E989" s="319"/>
      <c r="F989" s="320"/>
      <c r="G989" s="4"/>
      <c r="H989" s="47"/>
      <c r="I989" s="565"/>
      <c r="J989" s="319"/>
      <c r="K989" s="320"/>
      <c r="L989" s="4"/>
      <c r="M989" s="47"/>
      <c r="N989" s="565"/>
      <c r="O989" s="319"/>
      <c r="P989" s="320"/>
      <c r="R989" s="604"/>
      <c r="S989" s="616"/>
      <c r="T989" s="319"/>
      <c r="U989" s="320"/>
      <c r="W989" s="47"/>
      <c r="X989" s="565"/>
      <c r="Y989" s="319"/>
      <c r="Z989" s="320"/>
      <c r="AA989" s="328">
        <f t="shared" si="147"/>
        <v>0</v>
      </c>
      <c r="AB989" s="298">
        <f t="shared" si="148"/>
        <v>0</v>
      </c>
      <c r="AC989" s="4"/>
      <c r="AD989" s="47"/>
      <c r="AE989" s="47"/>
      <c r="AF989" s="319"/>
      <c r="AG989" s="29">
        <f t="shared" si="150"/>
        <v>0</v>
      </c>
    </row>
    <row r="990" spans="1:40">
      <c r="A990" s="180"/>
      <c r="B990" s="437" t="s">
        <v>523</v>
      </c>
      <c r="C990" s="47"/>
      <c r="D990" s="565"/>
      <c r="E990" s="319"/>
      <c r="F990" s="320"/>
      <c r="G990" s="4"/>
      <c r="H990" s="47"/>
      <c r="I990" s="565"/>
      <c r="J990" s="319"/>
      <c r="K990" s="320"/>
      <c r="L990" s="4"/>
      <c r="M990" s="47"/>
      <c r="N990" s="565"/>
      <c r="O990" s="319"/>
      <c r="P990" s="320"/>
      <c r="R990" s="47"/>
      <c r="S990" s="565"/>
      <c r="T990" s="319"/>
      <c r="U990" s="320"/>
      <c r="W990" s="47"/>
      <c r="X990" s="565"/>
      <c r="Y990" s="319"/>
      <c r="Z990" s="320"/>
      <c r="AA990" s="328">
        <f t="shared" si="147"/>
        <v>0</v>
      </c>
      <c r="AB990" s="298">
        <f t="shared" si="148"/>
        <v>0</v>
      </c>
      <c r="AC990" s="4"/>
      <c r="AD990" s="47"/>
      <c r="AE990" s="47"/>
      <c r="AF990" s="319"/>
      <c r="AG990" s="29">
        <f t="shared" si="150"/>
        <v>0</v>
      </c>
    </row>
    <row r="991" spans="1:40">
      <c r="A991" s="180"/>
      <c r="B991" s="437" t="s">
        <v>524</v>
      </c>
      <c r="C991" s="47"/>
      <c r="D991" s="565"/>
      <c r="E991" s="319"/>
      <c r="F991" s="320"/>
      <c r="G991" s="4"/>
      <c r="H991" s="47"/>
      <c r="I991" s="565"/>
      <c r="J991" s="319"/>
      <c r="K991" s="320"/>
      <c r="L991" s="4"/>
      <c r="M991" s="47"/>
      <c r="N991" s="565"/>
      <c r="O991" s="319"/>
      <c r="P991" s="320"/>
      <c r="R991" s="47"/>
      <c r="S991" s="565"/>
      <c r="T991" s="319"/>
      <c r="U991" s="320"/>
      <c r="W991" s="47"/>
      <c r="X991" s="565"/>
      <c r="Y991" s="319"/>
      <c r="Z991" s="320"/>
      <c r="AA991" s="328">
        <f t="shared" si="147"/>
        <v>0</v>
      </c>
      <c r="AB991" s="298">
        <f t="shared" si="148"/>
        <v>0</v>
      </c>
      <c r="AC991" s="4"/>
      <c r="AD991" s="47"/>
      <c r="AE991" s="47"/>
      <c r="AF991" s="319"/>
      <c r="AG991" s="29">
        <f t="shared" si="150"/>
        <v>0</v>
      </c>
    </row>
    <row r="992" spans="1:40">
      <c r="A992" s="180"/>
      <c r="B992" s="437" t="s">
        <v>525</v>
      </c>
      <c r="C992" s="47"/>
      <c r="D992" s="565"/>
      <c r="E992" s="319"/>
      <c r="F992" s="320"/>
      <c r="G992" s="4"/>
      <c r="H992" s="47"/>
      <c r="I992" s="565"/>
      <c r="J992" s="319"/>
      <c r="K992" s="320"/>
      <c r="L992" s="4"/>
      <c r="M992" s="47"/>
      <c r="N992" s="565"/>
      <c r="O992" s="319"/>
      <c r="P992" s="320"/>
      <c r="R992" s="16" t="s">
        <v>29</v>
      </c>
      <c r="S992" s="16" t="s">
        <v>29</v>
      </c>
      <c r="T992" s="319">
        <v>1</v>
      </c>
      <c r="U992" s="320"/>
      <c r="W992" s="47"/>
      <c r="X992" s="565"/>
      <c r="Y992" s="319"/>
      <c r="Z992" s="320"/>
      <c r="AA992" s="328">
        <f t="shared" si="147"/>
        <v>1</v>
      </c>
      <c r="AB992" s="298">
        <f t="shared" si="148"/>
        <v>0</v>
      </c>
      <c r="AC992" s="4"/>
      <c r="AD992" s="47"/>
      <c r="AE992" s="47"/>
      <c r="AF992" s="319"/>
      <c r="AG992" s="29">
        <f t="shared" si="150"/>
        <v>0</v>
      </c>
    </row>
    <row r="993" spans="1:37">
      <c r="A993" s="180"/>
      <c r="B993" s="437" t="s">
        <v>505</v>
      </c>
      <c r="C993" s="47"/>
      <c r="D993" s="565"/>
      <c r="E993" s="319"/>
      <c r="F993" s="320"/>
      <c r="G993" s="4"/>
      <c r="H993" s="47"/>
      <c r="I993" s="565"/>
      <c r="J993" s="319"/>
      <c r="K993" s="320"/>
      <c r="L993" s="4"/>
      <c r="M993" s="47"/>
      <c r="N993" s="565"/>
      <c r="O993" s="319"/>
      <c r="P993" s="320"/>
      <c r="R993" s="47"/>
      <c r="S993" s="565"/>
      <c r="T993" s="319"/>
      <c r="U993" s="320"/>
      <c r="W993" s="47"/>
      <c r="X993" s="565"/>
      <c r="Y993" s="319"/>
      <c r="Z993" s="320"/>
      <c r="AA993" s="328">
        <f t="shared" si="147"/>
        <v>0</v>
      </c>
      <c r="AB993" s="298">
        <f t="shared" si="148"/>
        <v>0</v>
      </c>
      <c r="AC993" s="4"/>
      <c r="AD993" s="47"/>
      <c r="AE993" s="47"/>
      <c r="AF993" s="319"/>
      <c r="AG993" s="29">
        <f t="shared" si="150"/>
        <v>0</v>
      </c>
    </row>
    <row r="994" spans="1:37">
      <c r="A994" s="180"/>
      <c r="B994" s="502" t="s">
        <v>483</v>
      </c>
      <c r="C994" s="47"/>
      <c r="D994" s="47"/>
      <c r="E994" s="319">
        <v>8</v>
      </c>
      <c r="F994" s="320">
        <v>0.3</v>
      </c>
      <c r="G994" s="4"/>
      <c r="H994" s="47"/>
      <c r="I994" s="47"/>
      <c r="J994" s="319">
        <v>8</v>
      </c>
      <c r="K994" s="320">
        <v>0.8</v>
      </c>
      <c r="L994" s="4"/>
      <c r="M994" s="47"/>
      <c r="N994" s="47"/>
      <c r="O994" s="319">
        <v>8</v>
      </c>
      <c r="P994" s="320">
        <v>1.8</v>
      </c>
      <c r="R994" s="47"/>
      <c r="S994" s="47"/>
      <c r="T994" s="319">
        <v>8</v>
      </c>
      <c r="U994" s="320">
        <v>2.4</v>
      </c>
      <c r="W994" s="47"/>
      <c r="X994" s="47"/>
      <c r="Y994" s="319">
        <v>8</v>
      </c>
      <c r="Z994" s="320">
        <v>1</v>
      </c>
      <c r="AA994" s="328">
        <f t="shared" si="147"/>
        <v>40</v>
      </c>
      <c r="AB994" s="298">
        <f t="shared" si="148"/>
        <v>6.3</v>
      </c>
      <c r="AC994" s="4"/>
      <c r="AD994" s="47"/>
      <c r="AE994" s="47"/>
      <c r="AF994" s="319"/>
      <c r="AG994" s="29">
        <f t="shared" si="150"/>
        <v>0</v>
      </c>
    </row>
    <row r="995" spans="1:37">
      <c r="A995" s="180"/>
      <c r="B995" s="502" t="s">
        <v>484</v>
      </c>
      <c r="C995" s="47"/>
      <c r="D995" s="47"/>
      <c r="E995" s="319">
        <v>8</v>
      </c>
      <c r="F995" s="320">
        <v>0.3</v>
      </c>
      <c r="G995" s="4"/>
      <c r="H995" s="47"/>
      <c r="I995" s="47"/>
      <c r="J995" s="319">
        <v>8</v>
      </c>
      <c r="K995" s="320">
        <v>0.8</v>
      </c>
      <c r="L995" s="4"/>
      <c r="M995" s="47"/>
      <c r="N995" s="47"/>
      <c r="O995" s="319">
        <v>8</v>
      </c>
      <c r="P995" s="320">
        <v>1.8</v>
      </c>
      <c r="R995" s="47"/>
      <c r="S995" s="47"/>
      <c r="T995" s="319">
        <v>8</v>
      </c>
      <c r="U995" s="320">
        <v>2.4</v>
      </c>
      <c r="W995" s="47"/>
      <c r="X995" s="47"/>
      <c r="Y995" s="319">
        <v>8</v>
      </c>
      <c r="Z995" s="320">
        <v>1</v>
      </c>
      <c r="AA995" s="328">
        <f t="shared" si="147"/>
        <v>40</v>
      </c>
      <c r="AB995" s="298">
        <f t="shared" si="148"/>
        <v>6.3</v>
      </c>
      <c r="AC995" s="4"/>
      <c r="AD995" s="47"/>
      <c r="AE995" s="47"/>
      <c r="AF995" s="319"/>
      <c r="AG995" s="29">
        <f t="shared" si="150"/>
        <v>0</v>
      </c>
    </row>
    <row r="996" spans="1:37">
      <c r="A996" s="180"/>
      <c r="B996" s="502" t="s">
        <v>485</v>
      </c>
      <c r="C996" s="47"/>
      <c r="D996" s="47"/>
      <c r="E996" s="319">
        <v>8</v>
      </c>
      <c r="F996" s="320">
        <v>0.3</v>
      </c>
      <c r="G996" s="4"/>
      <c r="H996" s="47"/>
      <c r="I996" s="47"/>
      <c r="J996" s="319">
        <v>8</v>
      </c>
      <c r="K996" s="320">
        <v>0.8</v>
      </c>
      <c r="L996" s="4"/>
      <c r="M996" s="47"/>
      <c r="N996" s="47"/>
      <c r="O996" s="319">
        <v>8</v>
      </c>
      <c r="P996" s="320">
        <v>1.8</v>
      </c>
      <c r="R996" s="47"/>
      <c r="S996" s="47"/>
      <c r="T996" s="319">
        <v>8</v>
      </c>
      <c r="U996" s="320">
        <v>2.4</v>
      </c>
      <c r="W996" s="47"/>
      <c r="X996" s="47"/>
      <c r="Y996" s="319">
        <v>8</v>
      </c>
      <c r="Z996" s="320">
        <v>1</v>
      </c>
      <c r="AA996" s="328">
        <f t="shared" si="147"/>
        <v>40</v>
      </c>
      <c r="AB996" s="298">
        <f t="shared" si="148"/>
        <v>6.3</v>
      </c>
      <c r="AC996" s="4"/>
      <c r="AD996" s="47"/>
      <c r="AE996" s="47"/>
      <c r="AF996" s="319"/>
      <c r="AG996" s="29">
        <f t="shared" si="150"/>
        <v>0</v>
      </c>
    </row>
    <row r="997" spans="1:37">
      <c r="A997" s="180"/>
      <c r="B997" s="502" t="s">
        <v>486</v>
      </c>
      <c r="C997" s="47"/>
      <c r="D997" s="47"/>
      <c r="E997" s="319"/>
      <c r="F997" s="320"/>
      <c r="G997" s="4"/>
      <c r="H997" s="47"/>
      <c r="I997" s="47"/>
      <c r="J997" s="319"/>
      <c r="K997" s="320"/>
      <c r="L997" s="4"/>
      <c r="M997" s="47"/>
      <c r="N997" s="47"/>
      <c r="O997" s="319"/>
      <c r="P997" s="320"/>
      <c r="R997" s="47"/>
      <c r="S997" s="47"/>
      <c r="T997" s="319"/>
      <c r="U997" s="320"/>
      <c r="W997" s="47"/>
      <c r="X997" s="47"/>
      <c r="Y997" s="319"/>
      <c r="Z997" s="320"/>
      <c r="AA997" s="328">
        <f t="shared" si="147"/>
        <v>0</v>
      </c>
      <c r="AB997" s="298">
        <f t="shared" si="148"/>
        <v>0</v>
      </c>
      <c r="AC997" s="4"/>
      <c r="AD997" s="47"/>
      <c r="AE997" s="47"/>
      <c r="AF997" s="319"/>
      <c r="AG997" s="29">
        <f t="shared" si="150"/>
        <v>0</v>
      </c>
    </row>
    <row r="998" spans="1:37">
      <c r="A998" s="180"/>
      <c r="B998" s="63" t="s">
        <v>63</v>
      </c>
      <c r="C998" s="47"/>
      <c r="D998" s="47"/>
      <c r="E998" s="319">
        <v>4</v>
      </c>
      <c r="F998" s="320"/>
      <c r="G998" s="4"/>
      <c r="H998" s="47"/>
      <c r="I998" s="47"/>
      <c r="J998" s="319">
        <v>4</v>
      </c>
      <c r="K998" s="320"/>
      <c r="L998" s="4"/>
      <c r="M998" s="47"/>
      <c r="N998" s="313"/>
      <c r="O998" s="319">
        <v>4</v>
      </c>
      <c r="P998" s="320"/>
      <c r="R998" s="47"/>
      <c r="S998" s="47"/>
      <c r="T998" s="319">
        <v>4</v>
      </c>
      <c r="U998" s="320"/>
      <c r="W998" s="47"/>
      <c r="X998" s="47"/>
      <c r="Y998" s="319">
        <v>4</v>
      </c>
      <c r="Z998" s="320"/>
      <c r="AA998" s="328">
        <f t="shared" si="147"/>
        <v>20</v>
      </c>
      <c r="AB998" s="298">
        <f t="shared" si="148"/>
        <v>0</v>
      </c>
      <c r="AC998" s="4"/>
      <c r="AD998" s="47"/>
      <c r="AE998" s="47"/>
      <c r="AF998" s="319"/>
      <c r="AG998" s="29">
        <f t="shared" si="150"/>
        <v>0</v>
      </c>
    </row>
    <row r="999" spans="1:37">
      <c r="A999" s="180"/>
      <c r="B999" s="267" t="s">
        <v>358</v>
      </c>
      <c r="C999" s="47"/>
      <c r="D999" s="47"/>
      <c r="E999" s="319">
        <v>4</v>
      </c>
      <c r="F999" s="320"/>
      <c r="G999" s="438"/>
      <c r="H999" s="47"/>
      <c r="I999" s="47"/>
      <c r="J999" s="319">
        <v>4</v>
      </c>
      <c r="K999" s="320"/>
      <c r="L999" s="438"/>
      <c r="M999" s="47"/>
      <c r="N999" s="47"/>
      <c r="O999" s="319">
        <v>4</v>
      </c>
      <c r="P999" s="320"/>
      <c r="Q999" s="438"/>
      <c r="R999" s="47"/>
      <c r="S999" s="47"/>
      <c r="T999" s="319">
        <v>6</v>
      </c>
      <c r="U999" s="320"/>
      <c r="V999" s="438"/>
      <c r="W999" s="47"/>
      <c r="X999" s="47"/>
      <c r="Y999" s="319">
        <v>4</v>
      </c>
      <c r="Z999" s="320"/>
      <c r="AA999" s="328">
        <f t="shared" si="147"/>
        <v>22</v>
      </c>
      <c r="AB999" s="298">
        <f t="shared" si="148"/>
        <v>0</v>
      </c>
      <c r="AC999" s="4"/>
      <c r="AD999" s="47"/>
      <c r="AE999" s="47"/>
      <c r="AF999" s="319"/>
      <c r="AG999" s="29">
        <f t="shared" si="150"/>
        <v>0</v>
      </c>
      <c r="AK999" s="407"/>
    </row>
    <row r="1000" spans="1:37">
      <c r="A1000" s="180"/>
      <c r="B1000" s="267" t="s">
        <v>532</v>
      </c>
      <c r="C1000" s="47"/>
      <c r="D1000" s="47"/>
      <c r="E1000" s="319">
        <v>4</v>
      </c>
      <c r="F1000" s="320"/>
      <c r="G1000" s="438"/>
      <c r="H1000" s="47"/>
      <c r="I1000" s="47"/>
      <c r="J1000" s="319"/>
      <c r="K1000" s="320"/>
      <c r="L1000" s="438"/>
      <c r="M1000" s="47"/>
      <c r="N1000" s="47"/>
      <c r="O1000" s="319"/>
      <c r="P1000" s="320"/>
      <c r="Q1000" s="438"/>
      <c r="R1000" s="47"/>
      <c r="S1000" s="47"/>
      <c r="T1000" s="319"/>
      <c r="U1000" s="320"/>
      <c r="V1000" s="438"/>
      <c r="W1000" s="47"/>
      <c r="X1000" s="47"/>
      <c r="Y1000" s="319"/>
      <c r="Z1000" s="320"/>
      <c r="AA1000" s="328">
        <f t="shared" si="147"/>
        <v>4</v>
      </c>
      <c r="AB1000" s="298">
        <f t="shared" si="148"/>
        <v>0</v>
      </c>
      <c r="AC1000" s="4"/>
      <c r="AD1000" s="47"/>
      <c r="AE1000" s="47"/>
      <c r="AF1000" s="319"/>
      <c r="AG1000" s="29">
        <f t="shared" si="150"/>
        <v>0</v>
      </c>
      <c r="AK1000" s="407"/>
    </row>
    <row r="1001" spans="1:37">
      <c r="A1001" s="180"/>
      <c r="B1001" s="267" t="s">
        <v>411</v>
      </c>
      <c r="C1001" s="47"/>
      <c r="D1001" s="47"/>
      <c r="E1001" s="319"/>
      <c r="F1001" s="320"/>
      <c r="G1001" s="438"/>
      <c r="H1001" s="47"/>
      <c r="I1001" s="47"/>
      <c r="J1001" s="319"/>
      <c r="K1001" s="320"/>
      <c r="L1001" s="438"/>
      <c r="M1001" s="47"/>
      <c r="N1001" s="47"/>
      <c r="O1001" s="319"/>
      <c r="P1001" s="320"/>
      <c r="Q1001" s="438"/>
      <c r="R1001" s="47"/>
      <c r="S1001" s="47"/>
      <c r="T1001" s="319"/>
      <c r="U1001" s="320"/>
      <c r="V1001" s="438"/>
      <c r="W1001" s="47"/>
      <c r="X1001" s="47"/>
      <c r="Y1001" s="319"/>
      <c r="Z1001" s="320"/>
      <c r="AA1001" s="328">
        <f t="shared" si="147"/>
        <v>0</v>
      </c>
      <c r="AB1001" s="298">
        <f t="shared" si="148"/>
        <v>0</v>
      </c>
      <c r="AC1001" s="4"/>
      <c r="AD1001" s="47"/>
      <c r="AE1001" s="47"/>
      <c r="AF1001" s="319"/>
      <c r="AG1001" s="29">
        <f t="shared" si="150"/>
        <v>0</v>
      </c>
      <c r="AK1001" s="407"/>
    </row>
    <row r="1002" spans="1:37">
      <c r="A1002" s="180"/>
      <c r="B1002" s="267" t="s">
        <v>361</v>
      </c>
      <c r="C1002" s="47"/>
      <c r="D1002" s="47"/>
      <c r="E1002" s="319"/>
      <c r="F1002" s="320"/>
      <c r="G1002" s="438"/>
      <c r="H1002" s="47"/>
      <c r="I1002" s="47"/>
      <c r="J1002" s="319"/>
      <c r="K1002" s="320"/>
      <c r="L1002" s="438"/>
      <c r="M1002" s="47"/>
      <c r="N1002" s="47"/>
      <c r="O1002" s="319"/>
      <c r="P1002" s="320"/>
      <c r="Q1002" s="438"/>
      <c r="R1002" s="47"/>
      <c r="S1002" s="47"/>
      <c r="T1002" s="319"/>
      <c r="U1002" s="320"/>
      <c r="V1002" s="438"/>
      <c r="W1002" s="47"/>
      <c r="X1002" s="47"/>
      <c r="Y1002" s="319"/>
      <c r="Z1002" s="320"/>
      <c r="AA1002" s="328">
        <f t="shared" si="147"/>
        <v>0</v>
      </c>
      <c r="AB1002" s="298">
        <f t="shared" si="148"/>
        <v>0</v>
      </c>
      <c r="AC1002" s="4"/>
      <c r="AD1002" s="47"/>
      <c r="AE1002" s="47"/>
      <c r="AF1002" s="319"/>
      <c r="AG1002" s="29">
        <f t="shared" si="150"/>
        <v>0</v>
      </c>
      <c r="AK1002" s="407"/>
    </row>
    <row r="1003" spans="1:37">
      <c r="A1003" s="180"/>
      <c r="B1003" s="267" t="s">
        <v>362</v>
      </c>
      <c r="C1003" s="47"/>
      <c r="D1003" s="47"/>
      <c r="E1003" s="319">
        <v>2</v>
      </c>
      <c r="F1003" s="320"/>
      <c r="G1003" s="438"/>
      <c r="H1003" s="47"/>
      <c r="I1003" s="47"/>
      <c r="J1003" s="319">
        <v>2</v>
      </c>
      <c r="K1003" s="320"/>
      <c r="L1003" s="438"/>
      <c r="M1003" s="47"/>
      <c r="N1003" s="47"/>
      <c r="O1003" s="319">
        <v>2</v>
      </c>
      <c r="P1003" s="320"/>
      <c r="Q1003" s="438"/>
      <c r="R1003" s="47"/>
      <c r="S1003" s="47"/>
      <c r="T1003" s="319">
        <v>2</v>
      </c>
      <c r="U1003" s="320"/>
      <c r="V1003" s="438"/>
      <c r="W1003" s="47"/>
      <c r="X1003" s="47"/>
      <c r="Y1003" s="319">
        <v>2</v>
      </c>
      <c r="Z1003" s="320"/>
      <c r="AA1003" s="328">
        <f t="shared" si="147"/>
        <v>10</v>
      </c>
      <c r="AB1003" s="298">
        <f t="shared" si="148"/>
        <v>0</v>
      </c>
      <c r="AC1003" s="4"/>
      <c r="AD1003" s="47"/>
      <c r="AE1003" s="47"/>
      <c r="AF1003" s="319"/>
      <c r="AG1003" s="29">
        <f t="shared" si="150"/>
        <v>0</v>
      </c>
      <c r="AK1003" s="407"/>
    </row>
    <row r="1004" spans="1:37">
      <c r="A1004" s="180"/>
      <c r="B1004" s="437" t="s">
        <v>355</v>
      </c>
      <c r="C1004" s="47"/>
      <c r="D1004" s="47"/>
      <c r="E1004" s="319">
        <v>12.8</v>
      </c>
      <c r="F1004" s="320"/>
      <c r="G1004" s="438"/>
      <c r="H1004" s="47"/>
      <c r="I1004" s="47"/>
      <c r="J1004" s="319">
        <v>7.7</v>
      </c>
      <c r="K1004" s="320"/>
      <c r="L1004" s="438"/>
      <c r="M1004" s="47"/>
      <c r="N1004" s="47"/>
      <c r="O1004" s="319">
        <v>7.7</v>
      </c>
      <c r="P1004" s="320"/>
      <c r="Q1004" s="438"/>
      <c r="R1004" s="47"/>
      <c r="S1004" s="47"/>
      <c r="T1004" s="319">
        <v>7.7</v>
      </c>
      <c r="U1004" s="320"/>
      <c r="V1004" s="438"/>
      <c r="W1004" s="47"/>
      <c r="X1004" s="47"/>
      <c r="Y1004" s="319">
        <v>7.7</v>
      </c>
      <c r="Z1004" s="320"/>
      <c r="AA1004" s="328">
        <f t="shared" si="147"/>
        <v>43.6</v>
      </c>
      <c r="AB1004" s="298">
        <f t="shared" si="148"/>
        <v>0</v>
      </c>
      <c r="AC1004" s="4"/>
      <c r="AD1004" s="47"/>
      <c r="AE1004" s="47"/>
      <c r="AF1004" s="319"/>
      <c r="AG1004" s="29">
        <f t="shared" si="150"/>
        <v>0</v>
      </c>
      <c r="AK1004" s="407"/>
    </row>
    <row r="1005" spans="1:37">
      <c r="A1005" s="180"/>
      <c r="B1005" s="437" t="s">
        <v>356</v>
      </c>
      <c r="C1005" s="47"/>
      <c r="D1005" s="47"/>
      <c r="E1005" s="319">
        <v>12.3</v>
      </c>
      <c r="F1005" s="320"/>
      <c r="G1005" s="438"/>
      <c r="H1005" s="47"/>
      <c r="I1005" s="47"/>
      <c r="J1005" s="319"/>
      <c r="K1005" s="320"/>
      <c r="L1005" s="438"/>
      <c r="M1005" s="47"/>
      <c r="N1005" s="47"/>
      <c r="O1005" s="319"/>
      <c r="P1005" s="320"/>
      <c r="Q1005" s="438"/>
      <c r="R1005" s="47"/>
      <c r="S1005" s="47"/>
      <c r="T1005" s="319"/>
      <c r="U1005" s="320"/>
      <c r="V1005" s="438"/>
      <c r="W1005" s="47"/>
      <c r="X1005" s="47"/>
      <c r="Y1005" s="319"/>
      <c r="Z1005" s="320"/>
      <c r="AA1005" s="328">
        <f t="shared" si="147"/>
        <v>12.3</v>
      </c>
      <c r="AB1005" s="298">
        <f t="shared" si="148"/>
        <v>0</v>
      </c>
      <c r="AC1005" s="4"/>
      <c r="AD1005" s="47"/>
      <c r="AE1005" s="47"/>
      <c r="AF1005" s="319"/>
      <c r="AG1005" s="29">
        <f t="shared" si="150"/>
        <v>0</v>
      </c>
      <c r="AK1005" s="407"/>
    </row>
    <row r="1006" spans="1:37">
      <c r="A1006" s="180"/>
      <c r="B1006" s="64" t="s">
        <v>61</v>
      </c>
      <c r="C1006" s="31"/>
      <c r="D1006" s="31"/>
      <c r="E1006" s="439">
        <f>SUM(E970:E1005)</f>
        <v>87.1</v>
      </c>
      <c r="F1006" s="320">
        <f>SUM(F970:F1005)</f>
        <v>0.89999999999999991</v>
      </c>
      <c r="G1006" s="31"/>
      <c r="H1006" s="31"/>
      <c r="I1006" s="31"/>
      <c r="J1006" s="439">
        <f>SUM(J970:J1005)</f>
        <v>45.7</v>
      </c>
      <c r="K1006" s="320">
        <f>SUM(K970:K1005)</f>
        <v>2.4000000000000004</v>
      </c>
      <c r="L1006" s="31"/>
      <c r="M1006" s="31"/>
      <c r="N1006" s="31"/>
      <c r="O1006" s="439">
        <f>SUM(O970:O1005)</f>
        <v>73.7</v>
      </c>
      <c r="P1006" s="320">
        <f>SUM(P970:P1005)</f>
        <v>5.4</v>
      </c>
      <c r="Q1006" s="31"/>
      <c r="R1006" s="31"/>
      <c r="S1006" s="31"/>
      <c r="T1006" s="439">
        <f>SUM(T970:T1005)</f>
        <v>58.7</v>
      </c>
      <c r="U1006" s="320">
        <f>SUM(U970:U1005)</f>
        <v>7.1999999999999993</v>
      </c>
      <c r="V1006" s="31"/>
      <c r="W1006" s="31"/>
      <c r="X1006" s="31"/>
      <c r="Y1006" s="439">
        <f>SUM(Y970:Y1005)</f>
        <v>49.7</v>
      </c>
      <c r="Z1006" s="320">
        <f>SUM(Z970:Z1005)</f>
        <v>3</v>
      </c>
      <c r="AA1006" s="370">
        <f>SUM(AA970:AA1005)</f>
        <v>314.90000000000003</v>
      </c>
      <c r="AB1006" s="370">
        <f>SUM(AB970:AB1005)</f>
        <v>18.899999999999999</v>
      </c>
      <c r="AC1006" s="4"/>
      <c r="AD1006" s="64"/>
      <c r="AE1006" s="64"/>
      <c r="AF1006" s="370">
        <f>SUM(AF970:AF1005)</f>
        <v>0</v>
      </c>
      <c r="AG1006" s="370">
        <f>SUM(AG970:AG1005)</f>
        <v>8</v>
      </c>
    </row>
    <row r="1007" spans="1:37">
      <c r="A1007" s="180"/>
      <c r="B1007" s="63" t="s">
        <v>64</v>
      </c>
      <c r="C1007" s="47"/>
      <c r="D1007" s="47"/>
      <c r="E1007" s="319">
        <v>4</v>
      </c>
      <c r="F1007" s="19"/>
      <c r="G1007" s="613"/>
      <c r="H1007" s="47"/>
      <c r="I1007" s="47"/>
      <c r="J1007" s="319">
        <v>4</v>
      </c>
      <c r="K1007" s="19"/>
      <c r="L1007" s="60"/>
      <c r="M1007" s="47"/>
      <c r="N1007" s="47"/>
      <c r="O1007" s="319">
        <v>4</v>
      </c>
      <c r="P1007" s="19"/>
      <c r="Q1007" s="60"/>
      <c r="R1007" s="47"/>
      <c r="S1007" s="47"/>
      <c r="T1007" s="319">
        <v>4</v>
      </c>
      <c r="U1007" s="19"/>
      <c r="V1007" s="60"/>
      <c r="W1007" s="47"/>
      <c r="X1007" s="47"/>
      <c r="Y1007" s="319">
        <v>4</v>
      </c>
      <c r="Z1007" s="19"/>
      <c r="AA1007" s="28">
        <f>SUM(E1007+J1007+O1007+T1007+Y1007)</f>
        <v>20</v>
      </c>
      <c r="AB1007" s="296">
        <f>Z1007+U1007+P1007+K1007+F1007</f>
        <v>0</v>
      </c>
      <c r="AC1007" s="4"/>
      <c r="AD1007" s="47" t="s">
        <v>29</v>
      </c>
      <c r="AE1007" s="47" t="s">
        <v>29</v>
      </c>
      <c r="AF1007" s="319"/>
      <c r="AG1007" s="29">
        <f>AF1007</f>
        <v>0</v>
      </c>
    </row>
    <row r="1008" spans="1:37">
      <c r="A1008" s="180"/>
      <c r="B1008" s="71" t="s">
        <v>66</v>
      </c>
      <c r="C1008" s="371"/>
      <c r="D1008" s="371"/>
      <c r="E1008" s="71"/>
      <c r="F1008" s="71"/>
      <c r="G1008" s="71"/>
      <c r="H1008" s="71"/>
      <c r="I1008" s="71"/>
      <c r="J1008" s="71"/>
      <c r="K1008" s="71"/>
      <c r="L1008" s="71"/>
      <c r="M1008" s="71"/>
      <c r="N1008" s="71"/>
      <c r="O1008" s="71"/>
      <c r="P1008" s="71"/>
      <c r="Q1008" s="71"/>
      <c r="R1008" s="71"/>
      <c r="S1008" s="71"/>
      <c r="T1008" s="71"/>
      <c r="U1008" s="71"/>
      <c r="V1008" s="71"/>
      <c r="W1008" s="71"/>
      <c r="X1008" s="71"/>
      <c r="Y1008" s="71"/>
      <c r="Z1008" s="71"/>
      <c r="AA1008" s="370">
        <f>SUM(AA1007:AA1007)</f>
        <v>20</v>
      </c>
      <c r="AB1008" s="370">
        <f>SUM(AB1007:AB1007)</f>
        <v>0</v>
      </c>
      <c r="AC1008" s="4"/>
      <c r="AG1008" s="370">
        <f>SUM(AG1007:AG1007)</f>
        <v>0</v>
      </c>
    </row>
    <row r="1009" spans="1:49">
      <c r="A1009" s="180"/>
      <c r="B1009" s="217" t="s">
        <v>67</v>
      </c>
      <c r="C1009" s="207">
        <f>C1010+C1011</f>
        <v>15</v>
      </c>
      <c r="D1009" s="207"/>
      <c r="E1009" s="209"/>
      <c r="F1009" s="209"/>
      <c r="G1009" s="207"/>
      <c r="H1009" s="209"/>
      <c r="I1009" s="209"/>
      <c r="J1009" s="209"/>
      <c r="K1009" s="209"/>
      <c r="L1009" s="207"/>
      <c r="M1009" s="207"/>
      <c r="N1009" s="207"/>
      <c r="O1009" s="207"/>
      <c r="P1009" s="209"/>
      <c r="Q1009" s="207"/>
      <c r="R1009" s="207"/>
      <c r="S1009" s="207"/>
      <c r="T1009" s="207"/>
      <c r="U1009" s="209"/>
      <c r="V1009" s="207"/>
      <c r="W1009" s="207"/>
      <c r="X1009" s="207"/>
      <c r="Y1009" s="210"/>
      <c r="Z1009" s="209"/>
      <c r="AA1009" s="211"/>
      <c r="AB1009" s="209"/>
      <c r="AC1009" s="211"/>
      <c r="AD1009" s="211"/>
      <c r="AE1009" s="211"/>
      <c r="AF1009" s="211"/>
      <c r="AG1009" s="211"/>
    </row>
    <row r="1010" spans="1:49">
      <c r="A1010" s="180"/>
      <c r="B1010" s="238" t="s">
        <v>68</v>
      </c>
      <c r="C1010" s="239"/>
      <c r="D1010" s="207"/>
      <c r="E1010" s="209"/>
      <c r="F1010" s="209"/>
      <c r="G1010" s="207"/>
      <c r="H1010" s="209"/>
      <c r="I1010" s="209"/>
      <c r="J1010" s="209"/>
      <c r="K1010" s="209"/>
      <c r="L1010" s="207"/>
      <c r="M1010" s="207"/>
      <c r="N1010" s="207"/>
      <c r="O1010" s="207"/>
      <c r="P1010" s="209"/>
      <c r="Q1010" s="207"/>
      <c r="R1010" s="207"/>
      <c r="S1010" s="207"/>
      <c r="T1010" s="207"/>
      <c r="U1010" s="209"/>
      <c r="V1010" s="207"/>
      <c r="W1010" s="207"/>
      <c r="X1010" s="207"/>
      <c r="Y1010" s="210"/>
      <c r="Z1010" s="209"/>
      <c r="AA1010" s="211"/>
      <c r="AB1010" s="209"/>
      <c r="AC1010" s="211"/>
      <c r="AD1010" s="211"/>
      <c r="AE1010" s="211"/>
      <c r="AF1010" s="211"/>
      <c r="AG1010" s="211"/>
    </row>
    <row r="1011" spans="1:49">
      <c r="A1011" s="180"/>
      <c r="B1011" s="238" t="s">
        <v>69</v>
      </c>
      <c r="C1011" s="239">
        <v>15</v>
      </c>
      <c r="D1011" s="207"/>
      <c r="E1011" s="209"/>
      <c r="F1011" s="209"/>
      <c r="G1011" s="207"/>
      <c r="H1011" s="209"/>
      <c r="I1011" s="209"/>
      <c r="J1011" s="209"/>
      <c r="K1011" s="209"/>
      <c r="L1011" s="207"/>
      <c r="M1011" s="207"/>
      <c r="N1011" s="207"/>
      <c r="O1011" s="207"/>
      <c r="P1011" s="209"/>
      <c r="Q1011" s="207"/>
      <c r="R1011" s="207"/>
      <c r="S1011" s="207"/>
      <c r="T1011" s="207"/>
      <c r="U1011" s="209"/>
      <c r="V1011" s="207"/>
      <c r="W1011" s="207"/>
      <c r="X1011" s="207"/>
      <c r="Y1011" s="210"/>
      <c r="Z1011" s="209"/>
      <c r="AA1011" s="211"/>
      <c r="AB1011" s="209"/>
      <c r="AC1011" s="211"/>
      <c r="AD1011" s="211"/>
      <c r="AE1011" s="211"/>
      <c r="AF1011" s="211"/>
      <c r="AG1011" s="211"/>
    </row>
    <row r="1012" spans="1:49">
      <c r="B1012" s="180"/>
      <c r="E1012" s="4"/>
      <c r="F1012" s="4"/>
      <c r="G1012" s="4"/>
      <c r="J1012" s="4"/>
      <c r="K1012" s="4"/>
      <c r="L1012" s="4"/>
      <c r="O1012" s="4"/>
      <c r="P1012" s="4"/>
      <c r="T1012" s="4"/>
      <c r="U1012" s="4"/>
      <c r="Y1012" s="4"/>
      <c r="Z1012" s="4"/>
      <c r="AA1012" s="4"/>
      <c r="AB1012" s="4"/>
      <c r="AC1012" s="4"/>
    </row>
    <row r="1013" spans="1:49">
      <c r="A1013" s="180"/>
      <c r="B1013" s="229"/>
      <c r="C1013" s="230"/>
      <c r="D1013" s="230"/>
      <c r="E1013" s="232"/>
      <c r="F1013" s="232"/>
      <c r="G1013" s="230"/>
      <c r="H1013" s="232"/>
      <c r="I1013" s="232"/>
      <c r="J1013" s="232"/>
      <c r="K1013" s="232"/>
      <c r="L1013" s="230"/>
      <c r="M1013" s="230"/>
      <c r="N1013" s="230"/>
      <c r="O1013" s="230"/>
      <c r="P1013" s="232"/>
      <c r="Q1013" s="230"/>
      <c r="R1013" s="230"/>
      <c r="S1013" s="230"/>
      <c r="T1013" s="230"/>
      <c r="U1013" s="232"/>
      <c r="V1013" s="230"/>
      <c r="W1013" s="230"/>
      <c r="X1013" s="230"/>
      <c r="Y1013" s="233"/>
      <c r="Z1013" s="232"/>
      <c r="AA1013" s="234"/>
      <c r="AB1013" s="232"/>
      <c r="AC1013" s="373"/>
      <c r="AD1013" s="236"/>
      <c r="AE1013" s="255"/>
      <c r="AF1013" s="255"/>
      <c r="AG1013" s="255"/>
      <c r="AH1013" s="255"/>
      <c r="AJ1013" s="255"/>
      <c r="AK1013" s="255"/>
      <c r="AL1013" s="255"/>
      <c r="AM1013" s="255"/>
      <c r="AN1013" s="255"/>
      <c r="AO1013" s="255"/>
      <c r="AP1013" s="255"/>
      <c r="AQ1013" s="255"/>
      <c r="AR1013" s="255"/>
      <c r="AS1013" s="255"/>
      <c r="AT1013" s="255"/>
      <c r="AU1013" s="255"/>
      <c r="AV1013" s="255"/>
      <c r="AW1013" s="255"/>
    </row>
    <row r="1014" spans="1:49">
      <c r="B1014" s="180"/>
      <c r="E1014" s="4"/>
      <c r="F1014" s="4"/>
      <c r="G1014" s="4"/>
      <c r="J1014" s="4"/>
      <c r="K1014" s="4"/>
      <c r="L1014" s="4"/>
      <c r="O1014" s="4"/>
      <c r="P1014" s="4"/>
      <c r="T1014" s="4"/>
      <c r="U1014" s="4"/>
      <c r="Y1014" s="4"/>
      <c r="Z1014" s="4"/>
      <c r="AA1014" s="4"/>
      <c r="AB1014" s="4"/>
      <c r="AC1014" s="4"/>
      <c r="AK1014" s="180"/>
      <c r="AL1014" s="180"/>
      <c r="AM1014" s="180"/>
      <c r="AN1014" s="180"/>
      <c r="AO1014" s="180"/>
      <c r="AP1014" s="180"/>
    </row>
    <row r="1015" spans="1:49">
      <c r="A1015" s="228"/>
      <c r="B1015" s="1518" t="s">
        <v>18</v>
      </c>
      <c r="C1015" s="1519">
        <v>45523</v>
      </c>
      <c r="D1015" s="1519"/>
      <c r="E1015" s="1519"/>
      <c r="F1015" s="1519"/>
      <c r="G1015" s="365"/>
      <c r="H1015" s="1519">
        <v>45524</v>
      </c>
      <c r="I1015" s="1519"/>
      <c r="J1015" s="1519"/>
      <c r="K1015" s="1519"/>
      <c r="L1015" s="365"/>
      <c r="M1015" s="1519">
        <v>45525</v>
      </c>
      <c r="N1015" s="1519"/>
      <c r="O1015" s="1519"/>
      <c r="P1015" s="1519"/>
      <c r="Q1015" s="365"/>
      <c r="R1015" s="1519">
        <v>45526</v>
      </c>
      <c r="S1015" s="1519"/>
      <c r="T1015" s="1519"/>
      <c r="U1015" s="1519"/>
      <c r="V1015" s="365"/>
      <c r="W1015" s="1519">
        <v>45527</v>
      </c>
      <c r="X1015" s="1519"/>
      <c r="Y1015" s="1519"/>
      <c r="Z1015" s="1519"/>
      <c r="AA1015" s="1517" t="s">
        <v>19</v>
      </c>
      <c r="AB1015" s="1517" t="s">
        <v>20</v>
      </c>
      <c r="AC1015" s="4"/>
      <c r="AD1015" s="1519">
        <v>45528</v>
      </c>
      <c r="AE1015" s="1519"/>
      <c r="AF1015" s="1519"/>
      <c r="AG1015" s="1517" t="s">
        <v>21</v>
      </c>
      <c r="AI1015" s="368"/>
      <c r="AK1015" s="194" t="s">
        <v>84</v>
      </c>
      <c r="AL1015" s="366"/>
      <c r="AM1015" s="366"/>
      <c r="AN1015" s="366"/>
      <c r="AO1015" s="366"/>
      <c r="AP1015" s="366"/>
    </row>
    <row r="1016" spans="1:49">
      <c r="A1016" s="180"/>
      <c r="B1016" s="1518"/>
      <c r="C1016" s="21" t="s">
        <v>23</v>
      </c>
      <c r="D1016" s="21" t="s">
        <v>24</v>
      </c>
      <c r="E1016" s="205" t="s">
        <v>25</v>
      </c>
      <c r="F1016" s="18" t="s">
        <v>14</v>
      </c>
      <c r="G1016" s="4"/>
      <c r="H1016" s="21" t="s">
        <v>23</v>
      </c>
      <c r="I1016" s="21" t="s">
        <v>24</v>
      </c>
      <c r="J1016" s="18" t="s">
        <v>25</v>
      </c>
      <c r="K1016" s="18" t="s">
        <v>14</v>
      </c>
      <c r="L1016" s="4"/>
      <c r="M1016" s="21" t="s">
        <v>23</v>
      </c>
      <c r="N1016" s="21" t="s">
        <v>24</v>
      </c>
      <c r="O1016" s="18" t="s">
        <v>25</v>
      </c>
      <c r="P1016" s="18" t="s">
        <v>14</v>
      </c>
      <c r="R1016" s="21" t="s">
        <v>23</v>
      </c>
      <c r="S1016" s="21" t="s">
        <v>24</v>
      </c>
      <c r="T1016" s="18" t="s">
        <v>25</v>
      </c>
      <c r="U1016" s="18" t="s">
        <v>14</v>
      </c>
      <c r="W1016" s="21" t="s">
        <v>23</v>
      </c>
      <c r="X1016" s="21" t="s">
        <v>24</v>
      </c>
      <c r="Y1016" s="18" t="s">
        <v>25</v>
      </c>
      <c r="Z1016" s="18" t="s">
        <v>14</v>
      </c>
      <c r="AA1016" s="1517"/>
      <c r="AB1016" s="1517"/>
      <c r="AC1016" s="4"/>
      <c r="AD1016" s="21" t="s">
        <v>23</v>
      </c>
      <c r="AE1016" s="21" t="s">
        <v>24</v>
      </c>
      <c r="AF1016" s="18" t="s">
        <v>25</v>
      </c>
      <c r="AG1016" s="1517"/>
      <c r="AI1016" s="368"/>
      <c r="AJ1016" s="367"/>
      <c r="AK1016" s="188" t="s">
        <v>26</v>
      </c>
      <c r="AL1016" s="196">
        <f>AA1055</f>
        <v>143.69999999999999</v>
      </c>
      <c r="AM1016" s="510">
        <v>38</v>
      </c>
      <c r="AN1016" s="510">
        <f>AL1016*AM1016</f>
        <v>5460.5999999999995</v>
      </c>
      <c r="AQ1016" s="367"/>
      <c r="AR1016" s="367"/>
      <c r="AS1016" s="367"/>
      <c r="AT1016" s="367"/>
      <c r="AU1016" s="367"/>
      <c r="AV1016" s="367"/>
      <c r="AW1016" s="367"/>
    </row>
    <row r="1017" spans="1:49">
      <c r="A1017" s="180"/>
      <c r="B1017" s="166" t="s">
        <v>506</v>
      </c>
      <c r="C1017" s="566"/>
      <c r="D1017" s="565"/>
      <c r="E1017" s="319"/>
      <c r="F1017" s="320"/>
      <c r="G1017" s="4"/>
      <c r="H1017" s="565"/>
      <c r="I1017" s="565"/>
      <c r="J1017" s="319"/>
      <c r="K1017" s="320"/>
      <c r="L1017" s="4"/>
      <c r="M1017" s="565"/>
      <c r="N1017" s="565"/>
      <c r="O1017" s="319"/>
      <c r="P1017" s="320"/>
      <c r="R1017" s="565"/>
      <c r="S1017" s="565"/>
      <c r="T1017" s="319"/>
      <c r="U1017" s="320"/>
      <c r="W1017" s="565"/>
      <c r="X1017" s="565"/>
      <c r="Y1017" s="319"/>
      <c r="Z1017" s="320"/>
      <c r="AA1017" s="328">
        <f t="shared" ref="AA1017:AA1054" si="151">(E1017+J1017+O1017+T1017+Y1017)</f>
        <v>0</v>
      </c>
      <c r="AB1017" s="298">
        <f t="shared" ref="AB1017:AB1054" si="152">Z1017+U1017+P1017+K1017+F1017</f>
        <v>0</v>
      </c>
      <c r="AC1017" s="4"/>
      <c r="AD1017" s="587"/>
      <c r="AE1017" s="531"/>
      <c r="AF1017" s="319"/>
      <c r="AG1017" s="328">
        <f>AF1017</f>
        <v>0</v>
      </c>
      <c r="AI1017" s="368"/>
      <c r="AJ1017" s="367"/>
      <c r="AK1017" s="188" t="s">
        <v>30</v>
      </c>
      <c r="AL1017" s="196">
        <f>AB1055</f>
        <v>0</v>
      </c>
      <c r="AM1017" s="511">
        <v>57</v>
      </c>
      <c r="AN1017" s="510">
        <f>AL1017*AM1017</f>
        <v>0</v>
      </c>
      <c r="AQ1017" s="367"/>
      <c r="AR1017" s="367"/>
      <c r="AS1017" s="367"/>
      <c r="AT1017" s="367"/>
      <c r="AU1017" s="367"/>
      <c r="AV1017" s="367"/>
      <c r="AW1017" s="367"/>
    </row>
    <row r="1018" spans="1:49">
      <c r="A1018" s="367"/>
      <c r="B1018" s="611" t="s">
        <v>528</v>
      </c>
      <c r="C1018" s="566"/>
      <c r="D1018" s="565"/>
      <c r="E1018" s="319"/>
      <c r="F1018" s="320"/>
      <c r="G1018" s="4"/>
      <c r="H1018" s="566"/>
      <c r="I1018" s="565"/>
      <c r="J1018" s="319"/>
      <c r="K1018" s="320"/>
      <c r="L1018" s="4"/>
      <c r="M1018" s="566"/>
      <c r="N1018" s="565"/>
      <c r="O1018" s="319"/>
      <c r="P1018" s="320"/>
      <c r="R1018" s="566"/>
      <c r="S1018" s="565"/>
      <c r="T1018" s="319"/>
      <c r="U1018" s="320"/>
      <c r="W1018" s="566"/>
      <c r="X1018" s="565"/>
      <c r="Y1018" s="319"/>
      <c r="Z1018" s="320"/>
      <c r="AA1018" s="328">
        <f t="shared" si="151"/>
        <v>0</v>
      </c>
      <c r="AB1018" s="298">
        <f t="shared" si="152"/>
        <v>0</v>
      </c>
      <c r="AC1018" s="4"/>
      <c r="AF1018" s="319"/>
      <c r="AG1018" s="328">
        <f>AF1018</f>
        <v>0</v>
      </c>
      <c r="AH1018" s="175"/>
      <c r="AI1018" s="402"/>
      <c r="AJ1018" s="367"/>
      <c r="AK1018" s="188" t="s">
        <v>32</v>
      </c>
      <c r="AL1018" s="196">
        <f>AG1055</f>
        <v>0</v>
      </c>
      <c r="AM1018" s="510">
        <v>57</v>
      </c>
      <c r="AN1018" s="510">
        <f>AL1018*AM1018</f>
        <v>0</v>
      </c>
      <c r="AQ1018" s="367"/>
      <c r="AR1018" s="367"/>
      <c r="AS1018" s="367"/>
      <c r="AT1018" s="367"/>
      <c r="AU1018" s="367"/>
      <c r="AV1018" s="367"/>
      <c r="AW1018" s="367"/>
    </row>
    <row r="1019" spans="1:49">
      <c r="A1019" s="367"/>
      <c r="B1019" s="586" t="s">
        <v>508</v>
      </c>
      <c r="C1019" s="566"/>
      <c r="D1019" s="565"/>
      <c r="E1019" s="319"/>
      <c r="F1019" s="320"/>
      <c r="G1019" s="4"/>
      <c r="H1019" s="566"/>
      <c r="I1019" s="565"/>
      <c r="J1019" s="319"/>
      <c r="K1019" s="320"/>
      <c r="L1019" s="4"/>
      <c r="M1019" s="566"/>
      <c r="N1019" s="565"/>
      <c r="O1019" s="319"/>
      <c r="P1019" s="320"/>
      <c r="R1019" s="566"/>
      <c r="S1019" s="565"/>
      <c r="T1019" s="319"/>
      <c r="U1019" s="320"/>
      <c r="W1019" s="566"/>
      <c r="X1019" s="565"/>
      <c r="Y1019" s="319"/>
      <c r="Z1019" s="320"/>
      <c r="AA1019" s="328">
        <f t="shared" si="151"/>
        <v>0</v>
      </c>
      <c r="AB1019" s="298">
        <f t="shared" si="152"/>
        <v>0</v>
      </c>
      <c r="AC1019" s="4"/>
      <c r="AD1019" s="531"/>
      <c r="AE1019" s="531"/>
      <c r="AF1019" s="319"/>
      <c r="AG1019" s="328"/>
      <c r="AH1019" s="175"/>
      <c r="AI1019" s="402"/>
      <c r="AJ1019" s="367"/>
      <c r="AK1019" s="188"/>
      <c r="AL1019" s="196"/>
      <c r="AM1019" s="510"/>
      <c r="AN1019" s="510"/>
      <c r="AQ1019" s="367"/>
      <c r="AR1019" s="367"/>
      <c r="AS1019" s="367"/>
      <c r="AT1019" s="367"/>
      <c r="AU1019" s="367"/>
      <c r="AV1019" s="367"/>
      <c r="AW1019" s="367"/>
    </row>
    <row r="1020" spans="1:49">
      <c r="A1020" s="367"/>
      <c r="B1020" s="166" t="s">
        <v>510</v>
      </c>
      <c r="C1020" s="565"/>
      <c r="D1020" s="565"/>
      <c r="E1020" s="319"/>
      <c r="F1020" s="320"/>
      <c r="G1020" s="4"/>
      <c r="H1020" s="565"/>
      <c r="I1020" s="565"/>
      <c r="J1020" s="319"/>
      <c r="K1020" s="320"/>
      <c r="L1020" s="4"/>
      <c r="M1020" s="565"/>
      <c r="N1020" s="565"/>
      <c r="O1020" s="319"/>
      <c r="P1020" s="320"/>
      <c r="R1020" s="565"/>
      <c r="S1020" s="565"/>
      <c r="T1020" s="319"/>
      <c r="U1020" s="320"/>
      <c r="W1020" s="565"/>
      <c r="X1020" s="565"/>
      <c r="Y1020" s="319"/>
      <c r="Z1020" s="320"/>
      <c r="AA1020" s="328">
        <f t="shared" si="151"/>
        <v>0</v>
      </c>
      <c r="AB1020" s="298">
        <f t="shared" si="152"/>
        <v>0</v>
      </c>
      <c r="AC1020" s="399"/>
      <c r="AD1020" s="47"/>
      <c r="AE1020" s="47"/>
      <c r="AF1020" s="319"/>
      <c r="AG1020" s="29">
        <f t="shared" ref="AG1020:AG1032" si="153">AF1020</f>
        <v>0</v>
      </c>
      <c r="AH1020" s="175"/>
      <c r="AJ1020" s="401"/>
      <c r="AK1020" s="403" t="s">
        <v>213</v>
      </c>
      <c r="AL1020" s="404">
        <f>AA1057</f>
        <v>20</v>
      </c>
      <c r="AM1020" s="510">
        <v>50</v>
      </c>
      <c r="AN1020" s="510">
        <f>AL1020*AM1020</f>
        <v>1000</v>
      </c>
      <c r="AO1020" s="405"/>
      <c r="AP1020" s="405"/>
      <c r="AQ1020" s="401"/>
      <c r="AR1020" s="401"/>
      <c r="AS1020" s="401"/>
      <c r="AT1020" s="401"/>
      <c r="AU1020" s="401"/>
      <c r="AV1020" s="401"/>
      <c r="AW1020" s="401"/>
    </row>
    <row r="1021" spans="1:49">
      <c r="A1021" s="367"/>
      <c r="B1021" s="166" t="s">
        <v>509</v>
      </c>
      <c r="C1021" s="565"/>
      <c r="D1021" s="565"/>
      <c r="E1021" s="319"/>
      <c r="F1021" s="320"/>
      <c r="G1021" s="4"/>
      <c r="H1021" s="565"/>
      <c r="I1021" s="565"/>
      <c r="J1021" s="319"/>
      <c r="K1021" s="320"/>
      <c r="L1021" s="4"/>
      <c r="M1021" s="565"/>
      <c r="N1021" s="565"/>
      <c r="O1021" s="319"/>
      <c r="P1021" s="320"/>
      <c r="R1021" s="565"/>
      <c r="S1021" s="565"/>
      <c r="T1021" s="319"/>
      <c r="U1021" s="320"/>
      <c r="W1021" s="565"/>
      <c r="X1021" s="565"/>
      <c r="Y1021" s="319"/>
      <c r="Z1021" s="320"/>
      <c r="AA1021" s="328">
        <f t="shared" si="151"/>
        <v>0</v>
      </c>
      <c r="AB1021" s="298">
        <f t="shared" si="152"/>
        <v>0</v>
      </c>
      <c r="AC1021" s="399"/>
      <c r="AD1021" s="47"/>
      <c r="AE1021" s="47"/>
      <c r="AF1021" s="319"/>
      <c r="AG1021" s="29">
        <f t="shared" si="153"/>
        <v>0</v>
      </c>
      <c r="AH1021" s="175"/>
      <c r="AJ1021" s="401"/>
      <c r="AK1021" s="188" t="s">
        <v>36</v>
      </c>
      <c r="AL1021" s="196">
        <f>AB1057</f>
        <v>0</v>
      </c>
      <c r="AM1021" s="510">
        <v>75</v>
      </c>
      <c r="AN1021" s="510">
        <f>AL1021*AM1021</f>
        <v>0</v>
      </c>
      <c r="AO1021" s="405"/>
      <c r="AP1021" s="405"/>
      <c r="AQ1021" s="401"/>
      <c r="AR1021" s="401"/>
      <c r="AS1021" s="401"/>
      <c r="AT1021" s="401"/>
      <c r="AU1021" s="401"/>
      <c r="AV1021" s="401"/>
      <c r="AW1021" s="401"/>
    </row>
    <row r="1022" spans="1:49">
      <c r="A1022" s="367"/>
      <c r="B1022" s="166" t="s">
        <v>511</v>
      </c>
      <c r="C1022" s="565"/>
      <c r="D1022" s="565"/>
      <c r="E1022" s="319"/>
      <c r="F1022" s="320"/>
      <c r="G1022" s="4"/>
      <c r="H1022" s="565"/>
      <c r="I1022" s="565"/>
      <c r="J1022" s="319"/>
      <c r="K1022" s="320"/>
      <c r="L1022" s="4"/>
      <c r="M1022" s="565"/>
      <c r="N1022" s="565"/>
      <c r="O1022" s="319"/>
      <c r="P1022" s="320"/>
      <c r="R1022" s="565"/>
      <c r="S1022" s="565"/>
      <c r="T1022" s="319"/>
      <c r="U1022" s="320"/>
      <c r="W1022" s="565"/>
      <c r="X1022" s="565"/>
      <c r="Y1022" s="319"/>
      <c r="Z1022" s="320"/>
      <c r="AA1022" s="328">
        <f t="shared" si="151"/>
        <v>0</v>
      </c>
      <c r="AB1022" s="298">
        <f t="shared" si="152"/>
        <v>0</v>
      </c>
      <c r="AC1022" s="175"/>
      <c r="AD1022" s="47"/>
      <c r="AE1022" s="47"/>
      <c r="AF1022" s="319"/>
      <c r="AG1022" s="344">
        <f t="shared" si="153"/>
        <v>0</v>
      </c>
      <c r="AH1022" s="175"/>
      <c r="AI1022" s="368"/>
      <c r="AK1022" s="188" t="s">
        <v>38</v>
      </c>
      <c r="AL1022" s="196">
        <f>AG1057</f>
        <v>0</v>
      </c>
      <c r="AM1022" s="510">
        <v>75</v>
      </c>
      <c r="AN1022" s="510">
        <f>AL1022*AM1022</f>
        <v>0</v>
      </c>
    </row>
    <row r="1023" spans="1:49" ht="14.25" thickBot="1">
      <c r="A1023" s="401"/>
      <c r="B1023" s="586" t="s">
        <v>512</v>
      </c>
      <c r="C1023" s="565"/>
      <c r="D1023" s="565"/>
      <c r="E1023" s="319"/>
      <c r="F1023" s="320"/>
      <c r="G1023" s="4"/>
      <c r="H1023" s="565"/>
      <c r="I1023" s="565"/>
      <c r="J1023" s="319"/>
      <c r="K1023" s="320"/>
      <c r="L1023" s="4"/>
      <c r="M1023" s="565"/>
      <c r="N1023" s="565"/>
      <c r="O1023" s="319"/>
      <c r="P1023" s="320"/>
      <c r="R1023" s="565"/>
      <c r="S1023" s="565"/>
      <c r="T1023" s="319"/>
      <c r="U1023" s="320"/>
      <c r="W1023" s="565"/>
      <c r="X1023" s="565"/>
      <c r="Y1023" s="319"/>
      <c r="Z1023" s="320"/>
      <c r="AA1023" s="328">
        <f t="shared" si="151"/>
        <v>0</v>
      </c>
      <c r="AB1023" s="298">
        <f t="shared" si="152"/>
        <v>0</v>
      </c>
      <c r="AC1023" s="4"/>
      <c r="AD1023" s="47"/>
      <c r="AE1023" s="47"/>
      <c r="AF1023" s="319"/>
      <c r="AG1023" s="29">
        <f t="shared" si="153"/>
        <v>0</v>
      </c>
      <c r="AJ1023" s="367"/>
      <c r="AK1023" s="188" t="s">
        <v>41</v>
      </c>
      <c r="AL1023" s="196">
        <f>C1058</f>
        <v>10</v>
      </c>
      <c r="AM1023" s="512">
        <v>45</v>
      </c>
      <c r="AN1023" s="512">
        <f>AL1023*AM1023</f>
        <v>450</v>
      </c>
      <c r="AQ1023" s="367"/>
      <c r="AR1023" s="367"/>
      <c r="AS1023" s="367"/>
      <c r="AT1023" s="367"/>
      <c r="AU1023" s="367"/>
      <c r="AV1023" s="367"/>
      <c r="AW1023" s="367"/>
    </row>
    <row r="1024" spans="1:49" ht="20.25" customHeight="1" thickTop="1">
      <c r="A1024" s="367"/>
      <c r="B1024" s="586" t="s">
        <v>513</v>
      </c>
      <c r="C1024" s="565"/>
      <c r="D1024" s="565"/>
      <c r="E1024" s="319"/>
      <c r="F1024" s="320"/>
      <c r="G1024" s="4"/>
      <c r="H1024" s="565"/>
      <c r="I1024" s="565"/>
      <c r="J1024" s="319"/>
      <c r="K1024" s="320"/>
      <c r="L1024" s="4"/>
      <c r="M1024" s="565"/>
      <c r="N1024" s="565"/>
      <c r="O1024" s="319"/>
      <c r="P1024" s="320"/>
      <c r="R1024" s="565"/>
      <c r="S1024" s="565"/>
      <c r="T1024" s="319"/>
      <c r="U1024" s="320"/>
      <c r="W1024" s="565"/>
      <c r="X1024" s="565"/>
      <c r="Y1024" s="319"/>
      <c r="Z1024" s="320"/>
      <c r="AA1024" s="328">
        <f t="shared" ref="AA1024:AA1032" si="154">(E1024+J1024+O1024+T1024+Y1024)</f>
        <v>0</v>
      </c>
      <c r="AB1024" s="298">
        <f t="shared" ref="AB1024:AB1032" si="155">Z1024+U1024+P1024+K1024+F1024</f>
        <v>0</v>
      </c>
      <c r="AC1024" s="4"/>
      <c r="AD1024" s="47"/>
      <c r="AE1024" s="47"/>
      <c r="AF1024" s="319"/>
      <c r="AG1024" s="29">
        <f t="shared" si="153"/>
        <v>0</v>
      </c>
      <c r="AN1024" s="510">
        <f>SUM(AN1016:AN1023)</f>
        <v>6910.5999999999995</v>
      </c>
    </row>
    <row r="1025" spans="1:33">
      <c r="A1025" s="180"/>
      <c r="B1025" s="612" t="s">
        <v>533</v>
      </c>
      <c r="C1025" s="565"/>
      <c r="D1025" s="565"/>
      <c r="E1025" s="319"/>
      <c r="F1025" s="320"/>
      <c r="G1025" s="4"/>
      <c r="H1025" s="565"/>
      <c r="I1025" s="565"/>
      <c r="J1025" s="319"/>
      <c r="K1025" s="320"/>
      <c r="L1025" s="4"/>
      <c r="M1025" s="565"/>
      <c r="N1025" s="565"/>
      <c r="O1025" s="319"/>
      <c r="P1025" s="320"/>
      <c r="R1025" s="565"/>
      <c r="S1025" s="565"/>
      <c r="T1025" s="319"/>
      <c r="U1025" s="320"/>
      <c r="W1025" s="565"/>
      <c r="X1025" s="565"/>
      <c r="Y1025" s="319"/>
      <c r="Z1025" s="320"/>
      <c r="AA1025" s="328">
        <f t="shared" si="154"/>
        <v>0</v>
      </c>
      <c r="AB1025" s="298">
        <f t="shared" si="155"/>
        <v>0</v>
      </c>
      <c r="AC1025" s="4"/>
      <c r="AD1025" s="47"/>
      <c r="AE1025" s="47"/>
      <c r="AF1025" s="319"/>
      <c r="AG1025" s="29">
        <f t="shared" si="153"/>
        <v>0</v>
      </c>
    </row>
    <row r="1026" spans="1:33">
      <c r="A1026" s="180"/>
      <c r="B1026" s="612" t="s">
        <v>534</v>
      </c>
      <c r="C1026" s="565"/>
      <c r="D1026" s="565"/>
      <c r="E1026" s="319">
        <v>1</v>
      </c>
      <c r="F1026" s="320"/>
      <c r="G1026" s="4"/>
      <c r="H1026" s="565"/>
      <c r="I1026" s="565"/>
      <c r="J1026" s="319">
        <v>8</v>
      </c>
      <c r="K1026" s="320"/>
      <c r="L1026" s="4"/>
      <c r="M1026" s="565"/>
      <c r="N1026" s="565"/>
      <c r="O1026" s="319"/>
      <c r="P1026" s="320"/>
      <c r="R1026" s="565"/>
      <c r="S1026" s="565"/>
      <c r="T1026" s="319"/>
      <c r="U1026" s="320"/>
      <c r="W1026" s="565"/>
      <c r="X1026" s="565"/>
      <c r="Y1026" s="319">
        <v>1</v>
      </c>
      <c r="Z1026" s="320"/>
      <c r="AA1026" s="328"/>
      <c r="AB1026" s="298"/>
      <c r="AC1026" s="4"/>
      <c r="AD1026" s="47"/>
      <c r="AE1026" s="47"/>
      <c r="AF1026" s="319"/>
      <c r="AG1026" s="29"/>
    </row>
    <row r="1027" spans="1:33" ht="14.25" customHeight="1">
      <c r="A1027" s="180"/>
      <c r="B1027" s="612" t="s">
        <v>280</v>
      </c>
      <c r="C1027" s="565"/>
      <c r="D1027" s="565"/>
      <c r="E1027" s="319"/>
      <c r="F1027" s="320"/>
      <c r="G1027" s="4"/>
      <c r="H1027" s="565"/>
      <c r="I1027" s="565"/>
      <c r="J1027" s="319"/>
      <c r="K1027" s="320"/>
      <c r="L1027" s="4"/>
      <c r="M1027" s="565"/>
      <c r="N1027" s="565"/>
      <c r="O1027" s="319"/>
      <c r="P1027" s="320"/>
      <c r="R1027" s="565"/>
      <c r="S1027" s="565"/>
      <c r="T1027" s="319"/>
      <c r="U1027" s="320"/>
      <c r="W1027" s="565"/>
      <c r="X1027" s="565"/>
      <c r="Y1027" s="319"/>
      <c r="Z1027" s="320"/>
      <c r="AA1027" s="328">
        <f t="shared" si="154"/>
        <v>0</v>
      </c>
      <c r="AB1027" s="298">
        <f t="shared" si="155"/>
        <v>0</v>
      </c>
      <c r="AC1027" s="4"/>
      <c r="AD1027" s="47"/>
      <c r="AE1027" s="47"/>
      <c r="AF1027" s="319"/>
      <c r="AG1027" s="29">
        <f t="shared" si="153"/>
        <v>0</v>
      </c>
    </row>
    <row r="1028" spans="1:33">
      <c r="A1028" s="180"/>
      <c r="B1028" s="612" t="s">
        <v>531</v>
      </c>
      <c r="C1028" s="565"/>
      <c r="D1028" s="565"/>
      <c r="E1028" s="319">
        <v>1</v>
      </c>
      <c r="F1028" s="320"/>
      <c r="G1028" s="4"/>
      <c r="H1028" s="565"/>
      <c r="I1028" s="565"/>
      <c r="J1028" s="319">
        <v>8</v>
      </c>
      <c r="K1028" s="320"/>
      <c r="L1028" s="4"/>
      <c r="M1028" s="565"/>
      <c r="N1028" s="565"/>
      <c r="O1028" s="319"/>
      <c r="P1028" s="320"/>
      <c r="R1028" s="565"/>
      <c r="S1028" s="565"/>
      <c r="T1028" s="319"/>
      <c r="U1028" s="320"/>
      <c r="W1028" s="565"/>
      <c r="X1028" s="565"/>
      <c r="Y1028" s="319">
        <v>1</v>
      </c>
      <c r="Z1028" s="320"/>
      <c r="AA1028" s="328">
        <f t="shared" si="154"/>
        <v>10</v>
      </c>
      <c r="AB1028" s="298">
        <f t="shared" si="155"/>
        <v>0</v>
      </c>
      <c r="AC1028" s="4"/>
      <c r="AD1028" s="47"/>
      <c r="AE1028" s="47"/>
      <c r="AF1028" s="319"/>
      <c r="AG1028" s="29">
        <f t="shared" si="153"/>
        <v>0</v>
      </c>
    </row>
    <row r="1029" spans="1:33">
      <c r="A1029" s="180"/>
      <c r="B1029" s="523" t="s">
        <v>514</v>
      </c>
      <c r="C1029" s="47">
        <v>0.33333333333333331</v>
      </c>
      <c r="D1029" s="47">
        <v>0.45833333333333331</v>
      </c>
      <c r="E1029" s="319">
        <v>3</v>
      </c>
      <c r="F1029" s="320"/>
      <c r="G1029" s="4"/>
      <c r="H1029" s="47"/>
      <c r="I1029" s="47"/>
      <c r="J1029" s="319">
        <v>0</v>
      </c>
      <c r="K1029" s="320"/>
      <c r="L1029" s="4"/>
      <c r="M1029" s="47"/>
      <c r="N1029" s="47"/>
      <c r="O1029" s="319">
        <v>0</v>
      </c>
      <c r="P1029" s="320"/>
      <c r="R1029" s="47"/>
      <c r="S1029" s="47"/>
      <c r="T1029" s="319">
        <v>1</v>
      </c>
      <c r="U1029" s="320"/>
      <c r="W1029" s="47"/>
      <c r="X1029" s="47"/>
      <c r="Y1029" s="319">
        <v>0</v>
      </c>
      <c r="Z1029" s="320"/>
      <c r="AA1029" s="328">
        <f t="shared" si="154"/>
        <v>4</v>
      </c>
      <c r="AB1029" s="298">
        <f t="shared" si="155"/>
        <v>0</v>
      </c>
      <c r="AC1029" s="4"/>
      <c r="AD1029" s="47"/>
      <c r="AE1029" s="47"/>
      <c r="AF1029" s="319"/>
      <c r="AG1029" s="29">
        <f t="shared" si="153"/>
        <v>0</v>
      </c>
    </row>
    <row r="1030" spans="1:33">
      <c r="A1030" s="180"/>
      <c r="B1030" s="180" t="s">
        <v>515</v>
      </c>
      <c r="C1030" s="47">
        <v>0.39583333333333331</v>
      </c>
      <c r="D1030" s="47">
        <v>0.25</v>
      </c>
      <c r="E1030" s="319">
        <v>8</v>
      </c>
      <c r="F1030" s="320"/>
      <c r="G1030" s="4"/>
      <c r="H1030" s="47"/>
      <c r="I1030" s="47"/>
      <c r="J1030" s="319">
        <v>0</v>
      </c>
      <c r="K1030" s="320"/>
      <c r="L1030" s="4"/>
      <c r="M1030" s="47">
        <v>0.5</v>
      </c>
      <c r="N1030" s="47">
        <v>0.25</v>
      </c>
      <c r="O1030" s="319">
        <v>6</v>
      </c>
      <c r="P1030" s="320"/>
      <c r="R1030" s="604">
        <v>0.41666666666666669</v>
      </c>
      <c r="S1030" s="604">
        <v>0.16666666666666666</v>
      </c>
      <c r="T1030" s="319">
        <v>6</v>
      </c>
      <c r="U1030" s="320"/>
      <c r="W1030" s="47">
        <v>0.375</v>
      </c>
      <c r="X1030" s="47">
        <v>0.25</v>
      </c>
      <c r="Y1030" s="319">
        <v>8</v>
      </c>
      <c r="Z1030" s="320"/>
      <c r="AA1030" s="328">
        <f t="shared" si="154"/>
        <v>28</v>
      </c>
      <c r="AB1030" s="298">
        <f t="shared" si="155"/>
        <v>0</v>
      </c>
      <c r="AC1030" s="4"/>
      <c r="AD1030" s="47"/>
      <c r="AE1030" s="47"/>
      <c r="AF1030" s="319"/>
      <c r="AG1030" s="29">
        <f t="shared" si="153"/>
        <v>0</v>
      </c>
    </row>
    <row r="1031" spans="1:33">
      <c r="A1031" s="180"/>
      <c r="B1031" s="180" t="s">
        <v>535</v>
      </c>
      <c r="C1031" s="47"/>
      <c r="D1031" s="47"/>
      <c r="E1031" s="319">
        <v>0</v>
      </c>
      <c r="F1031" s="320"/>
      <c r="G1031" s="4"/>
      <c r="H1031" s="47" t="s">
        <v>536</v>
      </c>
      <c r="I1031" s="47" t="s">
        <v>537</v>
      </c>
      <c r="J1031" s="319">
        <v>0</v>
      </c>
      <c r="K1031" s="320"/>
      <c r="L1031" s="4"/>
      <c r="M1031" s="47" t="s">
        <v>536</v>
      </c>
      <c r="N1031" s="47" t="s">
        <v>538</v>
      </c>
      <c r="O1031" s="319">
        <v>0</v>
      </c>
      <c r="P1031" s="320"/>
      <c r="R1031" s="604"/>
      <c r="S1031" s="604"/>
      <c r="T1031" s="319">
        <v>0</v>
      </c>
      <c r="U1031" s="320"/>
      <c r="W1031" s="47"/>
      <c r="X1031" s="47"/>
      <c r="Y1031" s="319">
        <v>0</v>
      </c>
      <c r="Z1031" s="320"/>
      <c r="AA1031" s="328">
        <f t="shared" si="154"/>
        <v>0</v>
      </c>
      <c r="AB1031" s="298">
        <f t="shared" si="155"/>
        <v>0</v>
      </c>
      <c r="AC1031" s="4"/>
      <c r="AD1031" s="47"/>
      <c r="AE1031" s="47"/>
      <c r="AF1031" s="319"/>
      <c r="AG1031" s="29">
        <f t="shared" si="153"/>
        <v>0</v>
      </c>
    </row>
    <row r="1032" spans="1:33" ht="12.75" customHeight="1">
      <c r="A1032" s="180"/>
      <c r="B1032" s="180" t="s">
        <v>516</v>
      </c>
      <c r="C1032" s="47"/>
      <c r="D1032" s="47"/>
      <c r="E1032" s="319">
        <v>0</v>
      </c>
      <c r="F1032" s="320"/>
      <c r="G1032" s="4"/>
      <c r="H1032" s="47"/>
      <c r="I1032" s="47"/>
      <c r="J1032" s="319">
        <v>0</v>
      </c>
      <c r="K1032" s="320"/>
      <c r="L1032" s="4"/>
      <c r="M1032" s="47"/>
      <c r="N1032" s="47"/>
      <c r="O1032" s="319">
        <v>0</v>
      </c>
      <c r="P1032" s="320"/>
      <c r="R1032" s="615"/>
      <c r="S1032" s="47"/>
      <c r="T1032" s="319">
        <v>1</v>
      </c>
      <c r="U1032" s="320"/>
      <c r="W1032" s="615"/>
      <c r="X1032" s="47"/>
      <c r="Y1032" s="319">
        <v>8</v>
      </c>
      <c r="Z1032" s="320"/>
      <c r="AA1032" s="328">
        <f t="shared" si="154"/>
        <v>9</v>
      </c>
      <c r="AB1032" s="298">
        <f t="shared" si="155"/>
        <v>0</v>
      </c>
      <c r="AC1032" s="4"/>
      <c r="AD1032" s="47"/>
      <c r="AE1032" s="47"/>
      <c r="AF1032" s="319"/>
      <c r="AG1032" s="29">
        <f t="shared" si="153"/>
        <v>0</v>
      </c>
    </row>
    <row r="1033" spans="1:33">
      <c r="A1033" s="180"/>
      <c r="B1033" s="180" t="s">
        <v>517</v>
      </c>
      <c r="C1033" s="47"/>
      <c r="D1033" s="47"/>
      <c r="E1033" s="319">
        <v>0</v>
      </c>
      <c r="F1033" s="320"/>
      <c r="G1033" s="4"/>
      <c r="H1033" s="47"/>
      <c r="I1033" s="47"/>
      <c r="J1033" s="319">
        <v>0</v>
      </c>
      <c r="K1033" s="320"/>
      <c r="L1033" s="4"/>
      <c r="M1033" s="47"/>
      <c r="N1033" s="47"/>
      <c r="O1033" s="319">
        <v>0</v>
      </c>
      <c r="P1033" s="320"/>
      <c r="R1033" s="604"/>
      <c r="S1033" s="604"/>
      <c r="T1033" s="319">
        <v>0</v>
      </c>
      <c r="U1033" s="320"/>
      <c r="W1033" s="47"/>
      <c r="X1033" s="47"/>
      <c r="Y1033" s="319">
        <v>8</v>
      </c>
      <c r="Z1033" s="320"/>
      <c r="AA1033" s="328">
        <f t="shared" si="151"/>
        <v>8</v>
      </c>
      <c r="AB1033" s="298">
        <f t="shared" si="152"/>
        <v>0</v>
      </c>
      <c r="AC1033" s="4"/>
      <c r="AD1033" s="47"/>
      <c r="AE1033" s="47"/>
      <c r="AF1033" s="319"/>
      <c r="AG1033" s="29">
        <f t="shared" ref="AG1033:AG1054" si="156">AF1033</f>
        <v>0</v>
      </c>
    </row>
    <row r="1034" spans="1:33">
      <c r="A1034" s="180"/>
      <c r="B1034" s="523" t="s">
        <v>518</v>
      </c>
      <c r="C1034" s="47"/>
      <c r="D1034" s="327"/>
      <c r="E1034" s="319">
        <v>0</v>
      </c>
      <c r="F1034" s="320"/>
      <c r="G1034" s="4"/>
      <c r="H1034" s="47"/>
      <c r="I1034" s="47"/>
      <c r="J1034" s="319">
        <v>0</v>
      </c>
      <c r="K1034" s="320"/>
      <c r="L1034" s="4"/>
      <c r="M1034" s="47"/>
      <c r="N1034" s="47"/>
      <c r="O1034" s="319">
        <v>0</v>
      </c>
      <c r="P1034" s="320"/>
      <c r="R1034" s="614"/>
      <c r="S1034" s="614"/>
      <c r="T1034" s="319">
        <v>1</v>
      </c>
      <c r="U1034" s="320"/>
      <c r="W1034" s="47"/>
      <c r="X1034" s="47"/>
      <c r="Y1034" s="319">
        <v>8</v>
      </c>
      <c r="Z1034" s="320"/>
      <c r="AA1034" s="328">
        <f t="shared" si="151"/>
        <v>9</v>
      </c>
      <c r="AB1034" s="298">
        <f t="shared" si="152"/>
        <v>0</v>
      </c>
      <c r="AC1034" s="4"/>
      <c r="AD1034" s="47"/>
      <c r="AE1034" s="47"/>
      <c r="AF1034" s="319"/>
      <c r="AG1034" s="29">
        <f t="shared" si="156"/>
        <v>0</v>
      </c>
    </row>
    <row r="1035" spans="1:33">
      <c r="A1035" s="180"/>
      <c r="B1035" s="523" t="s">
        <v>519</v>
      </c>
      <c r="C1035" s="47">
        <v>0.5</v>
      </c>
      <c r="D1035" s="47">
        <v>0.25</v>
      </c>
      <c r="E1035" s="319">
        <v>6</v>
      </c>
      <c r="F1035" s="320"/>
      <c r="G1035" s="4"/>
      <c r="H1035" s="47"/>
      <c r="I1035" s="47"/>
      <c r="J1035" s="319">
        <v>0</v>
      </c>
      <c r="K1035" s="320"/>
      <c r="L1035" s="4"/>
      <c r="M1035" s="47"/>
      <c r="N1035" s="47"/>
      <c r="O1035" s="319">
        <v>0</v>
      </c>
      <c r="P1035" s="320"/>
      <c r="R1035" s="604"/>
      <c r="S1035" s="604"/>
      <c r="T1035" s="319">
        <v>0</v>
      </c>
      <c r="U1035" s="320"/>
      <c r="W1035" s="47"/>
      <c r="X1035" s="47"/>
      <c r="Y1035" s="319">
        <v>8</v>
      </c>
      <c r="Z1035" s="320"/>
      <c r="AA1035" s="328">
        <f t="shared" si="151"/>
        <v>14</v>
      </c>
      <c r="AB1035" s="298">
        <f t="shared" si="152"/>
        <v>0</v>
      </c>
      <c r="AC1035" s="4"/>
      <c r="AD1035" s="47"/>
      <c r="AE1035" s="47"/>
      <c r="AF1035" s="319"/>
      <c r="AG1035" s="29">
        <f t="shared" si="156"/>
        <v>0</v>
      </c>
    </row>
    <row r="1036" spans="1:33">
      <c r="A1036" s="180"/>
      <c r="B1036" s="523" t="s">
        <v>394</v>
      </c>
      <c r="C1036" s="47">
        <v>0.375</v>
      </c>
      <c r="D1036" s="47">
        <v>0.25</v>
      </c>
      <c r="E1036" s="319">
        <v>8</v>
      </c>
      <c r="F1036" s="320"/>
      <c r="G1036" s="4"/>
      <c r="H1036" s="47"/>
      <c r="I1036" s="47"/>
      <c r="J1036" s="319">
        <v>0</v>
      </c>
      <c r="K1036" s="320"/>
      <c r="L1036" s="4"/>
      <c r="M1036" s="47"/>
      <c r="N1036" s="47"/>
      <c r="O1036" s="319">
        <v>0</v>
      </c>
      <c r="P1036" s="320"/>
      <c r="R1036" s="47"/>
      <c r="S1036" s="47"/>
      <c r="T1036" s="319">
        <v>1</v>
      </c>
      <c r="U1036" s="320"/>
      <c r="W1036" s="47"/>
      <c r="X1036" s="47"/>
      <c r="Y1036" s="319">
        <v>0</v>
      </c>
      <c r="Z1036" s="320"/>
      <c r="AA1036" s="328">
        <f>(E1036+J1036+O1036+T1036+Y1036)</f>
        <v>9</v>
      </c>
      <c r="AB1036" s="298">
        <f>Z1036+U1036+P1036+K1036+F1036</f>
        <v>0</v>
      </c>
      <c r="AC1036" s="4"/>
      <c r="AD1036" s="47"/>
      <c r="AE1036" s="47"/>
      <c r="AF1036" s="319"/>
      <c r="AG1036" s="29">
        <f>AF1036</f>
        <v>0</v>
      </c>
    </row>
    <row r="1037" spans="1:33" ht="12" customHeight="1">
      <c r="A1037" s="180"/>
      <c r="B1037" s="180" t="s">
        <v>520</v>
      </c>
      <c r="C1037" s="47"/>
      <c r="D1037" s="47"/>
      <c r="E1037" s="319"/>
      <c r="F1037" s="320"/>
      <c r="G1037" s="4"/>
      <c r="H1037" s="47"/>
      <c r="I1037" s="47"/>
      <c r="J1037" s="319">
        <v>0</v>
      </c>
      <c r="K1037" s="320"/>
      <c r="L1037" s="4"/>
      <c r="M1037" s="47"/>
      <c r="N1037" s="47"/>
      <c r="O1037" s="319">
        <v>0</v>
      </c>
      <c r="P1037" s="320"/>
      <c r="R1037" s="47"/>
      <c r="S1037" s="47"/>
      <c r="T1037" s="319">
        <v>1</v>
      </c>
      <c r="U1037" s="320"/>
      <c r="W1037" s="47"/>
      <c r="X1037" s="47"/>
      <c r="Y1037" s="319">
        <v>0</v>
      </c>
      <c r="Z1037" s="320"/>
      <c r="AA1037" s="328">
        <f t="shared" si="151"/>
        <v>1</v>
      </c>
      <c r="AB1037" s="298">
        <f t="shared" si="152"/>
        <v>0</v>
      </c>
      <c r="AC1037" s="4"/>
      <c r="AD1037" s="47"/>
      <c r="AE1037" s="47"/>
      <c r="AF1037" s="319"/>
      <c r="AG1037" s="29">
        <f t="shared" si="156"/>
        <v>0</v>
      </c>
    </row>
    <row r="1038" spans="1:33">
      <c r="A1038" s="180"/>
      <c r="B1038" s="585" t="s">
        <v>522</v>
      </c>
      <c r="C1038" s="47"/>
      <c r="D1038" s="565"/>
      <c r="E1038" s="319"/>
      <c r="F1038" s="320"/>
      <c r="G1038" s="4"/>
      <c r="H1038" s="47"/>
      <c r="I1038" s="565"/>
      <c r="J1038" s="319"/>
      <c r="K1038" s="320"/>
      <c r="L1038" s="4"/>
      <c r="M1038" s="47"/>
      <c r="N1038" s="565"/>
      <c r="O1038" s="319"/>
      <c r="P1038" s="320"/>
      <c r="R1038" s="604"/>
      <c r="S1038" s="616"/>
      <c r="T1038" s="319"/>
      <c r="U1038" s="320"/>
      <c r="W1038" s="47"/>
      <c r="X1038" s="565"/>
      <c r="Y1038" s="319"/>
      <c r="Z1038" s="320"/>
      <c r="AA1038" s="328">
        <f t="shared" si="151"/>
        <v>0</v>
      </c>
      <c r="AB1038" s="298">
        <f t="shared" si="152"/>
        <v>0</v>
      </c>
      <c r="AC1038" s="4"/>
      <c r="AD1038" s="47"/>
      <c r="AE1038" s="47"/>
      <c r="AF1038" s="319"/>
      <c r="AG1038" s="29">
        <f t="shared" si="156"/>
        <v>0</v>
      </c>
    </row>
    <row r="1039" spans="1:33">
      <c r="A1039" s="180"/>
      <c r="B1039" s="437" t="s">
        <v>523</v>
      </c>
      <c r="C1039" s="47"/>
      <c r="D1039" s="565"/>
      <c r="E1039" s="319"/>
      <c r="F1039" s="320"/>
      <c r="G1039" s="4"/>
      <c r="H1039" s="47"/>
      <c r="I1039" s="565"/>
      <c r="J1039" s="319"/>
      <c r="K1039" s="320"/>
      <c r="L1039" s="4"/>
      <c r="M1039" s="47"/>
      <c r="N1039" s="565"/>
      <c r="O1039" s="319"/>
      <c r="P1039" s="320"/>
      <c r="R1039" s="47"/>
      <c r="S1039" s="565"/>
      <c r="T1039" s="319">
        <v>1</v>
      </c>
      <c r="U1039" s="320"/>
      <c r="W1039" s="47"/>
      <c r="X1039" s="565"/>
      <c r="Y1039" s="319"/>
      <c r="Z1039" s="320"/>
      <c r="AA1039" s="328">
        <f t="shared" si="151"/>
        <v>1</v>
      </c>
      <c r="AB1039" s="298">
        <f t="shared" si="152"/>
        <v>0</v>
      </c>
      <c r="AC1039" s="4"/>
      <c r="AD1039" s="47"/>
      <c r="AE1039" s="47"/>
      <c r="AF1039" s="319"/>
      <c r="AG1039" s="29">
        <f t="shared" si="156"/>
        <v>0</v>
      </c>
    </row>
    <row r="1040" spans="1:33">
      <c r="A1040" s="180"/>
      <c r="B1040" s="437" t="s">
        <v>524</v>
      </c>
      <c r="C1040" s="47"/>
      <c r="D1040" s="565"/>
      <c r="E1040" s="319"/>
      <c r="F1040" s="320"/>
      <c r="G1040" s="4"/>
      <c r="H1040" s="47"/>
      <c r="I1040" s="565"/>
      <c r="J1040" s="319"/>
      <c r="K1040" s="320"/>
      <c r="L1040" s="4"/>
      <c r="M1040" s="47"/>
      <c r="N1040" s="565"/>
      <c r="O1040" s="319"/>
      <c r="P1040" s="320"/>
      <c r="R1040" s="47"/>
      <c r="S1040" s="565"/>
      <c r="T1040" s="319"/>
      <c r="U1040" s="320"/>
      <c r="W1040" s="47"/>
      <c r="X1040" s="565"/>
      <c r="Y1040" s="319"/>
      <c r="Z1040" s="320"/>
      <c r="AA1040" s="328">
        <f t="shared" si="151"/>
        <v>0</v>
      </c>
      <c r="AB1040" s="298">
        <f t="shared" si="152"/>
        <v>0</v>
      </c>
      <c r="AC1040" s="4"/>
      <c r="AD1040" s="47"/>
      <c r="AE1040" s="47"/>
      <c r="AF1040" s="319"/>
      <c r="AG1040" s="29">
        <f t="shared" si="156"/>
        <v>0</v>
      </c>
    </row>
    <row r="1041" spans="1:37">
      <c r="A1041" s="180"/>
      <c r="B1041" s="437" t="s">
        <v>525</v>
      </c>
      <c r="C1041" s="47"/>
      <c r="D1041" s="565"/>
      <c r="E1041" s="319"/>
      <c r="F1041" s="320"/>
      <c r="G1041" s="4"/>
      <c r="H1041" s="47"/>
      <c r="I1041" s="565"/>
      <c r="J1041" s="319"/>
      <c r="K1041" s="320"/>
      <c r="L1041" s="4"/>
      <c r="M1041" s="47"/>
      <c r="N1041" s="565"/>
      <c r="O1041" s="319"/>
      <c r="P1041" s="320"/>
      <c r="R1041" s="604"/>
      <c r="S1041" s="616"/>
      <c r="T1041" s="319">
        <v>1</v>
      </c>
      <c r="U1041" s="320"/>
      <c r="W1041" s="47"/>
      <c r="X1041" s="565"/>
      <c r="Y1041" s="319"/>
      <c r="Z1041" s="320"/>
      <c r="AA1041" s="328">
        <f t="shared" si="151"/>
        <v>1</v>
      </c>
      <c r="AB1041" s="298">
        <f t="shared" si="152"/>
        <v>0</v>
      </c>
      <c r="AC1041" s="4"/>
      <c r="AD1041" s="47"/>
      <c r="AE1041" s="47"/>
      <c r="AF1041" s="319"/>
      <c r="AG1041" s="29">
        <f t="shared" si="156"/>
        <v>0</v>
      </c>
    </row>
    <row r="1042" spans="1:37">
      <c r="A1042" s="180"/>
      <c r="B1042" s="437" t="s">
        <v>505</v>
      </c>
      <c r="C1042" s="47"/>
      <c r="D1042" s="565"/>
      <c r="E1042" s="319"/>
      <c r="F1042" s="320"/>
      <c r="G1042" s="4"/>
      <c r="H1042" s="47"/>
      <c r="I1042" s="565"/>
      <c r="J1042" s="319"/>
      <c r="K1042" s="320"/>
      <c r="L1042" s="4"/>
      <c r="M1042" s="47"/>
      <c r="N1042" s="565"/>
      <c r="O1042" s="319"/>
      <c r="P1042" s="320"/>
      <c r="R1042" s="47"/>
      <c r="S1042" s="565"/>
      <c r="T1042" s="319"/>
      <c r="U1042" s="320"/>
      <c r="W1042" s="47"/>
      <c r="X1042" s="565"/>
      <c r="Y1042" s="319"/>
      <c r="Z1042" s="320"/>
      <c r="AA1042" s="328">
        <f t="shared" si="151"/>
        <v>0</v>
      </c>
      <c r="AB1042" s="298">
        <f t="shared" si="152"/>
        <v>0</v>
      </c>
      <c r="AC1042" s="4"/>
      <c r="AD1042" s="47"/>
      <c r="AE1042" s="47"/>
      <c r="AF1042" s="319"/>
      <c r="AG1042" s="29">
        <f t="shared" si="156"/>
        <v>0</v>
      </c>
    </row>
    <row r="1043" spans="1:37">
      <c r="A1043" s="180"/>
      <c r="B1043" s="502" t="s">
        <v>483</v>
      </c>
      <c r="C1043" s="47"/>
      <c r="D1043" s="47"/>
      <c r="E1043" s="319"/>
      <c r="F1043" s="320"/>
      <c r="G1043" s="4"/>
      <c r="H1043" s="47"/>
      <c r="I1043" s="47"/>
      <c r="J1043" s="319"/>
      <c r="K1043" s="320"/>
      <c r="L1043" s="4"/>
      <c r="M1043" s="47"/>
      <c r="N1043" s="47"/>
      <c r="O1043" s="319"/>
      <c r="P1043" s="320"/>
      <c r="R1043" s="47"/>
      <c r="S1043" s="47"/>
      <c r="T1043" s="319"/>
      <c r="U1043" s="320"/>
      <c r="W1043" s="47"/>
      <c r="X1043" s="47"/>
      <c r="Y1043" s="319"/>
      <c r="Z1043" s="320"/>
      <c r="AA1043" s="328">
        <f t="shared" si="151"/>
        <v>0</v>
      </c>
      <c r="AB1043" s="298">
        <f t="shared" si="152"/>
        <v>0</v>
      </c>
      <c r="AC1043" s="4"/>
      <c r="AD1043" s="47"/>
      <c r="AE1043" s="47"/>
      <c r="AF1043" s="319"/>
      <c r="AG1043" s="29">
        <f t="shared" si="156"/>
        <v>0</v>
      </c>
    </row>
    <row r="1044" spans="1:37">
      <c r="A1044" s="180"/>
      <c r="B1044" s="502" t="s">
        <v>484</v>
      </c>
      <c r="C1044" s="47"/>
      <c r="D1044" s="47"/>
      <c r="E1044" s="319"/>
      <c r="F1044" s="320"/>
      <c r="G1044" s="4"/>
      <c r="H1044" s="47"/>
      <c r="I1044" s="47"/>
      <c r="J1044" s="319"/>
      <c r="K1044" s="320"/>
      <c r="L1044" s="4"/>
      <c r="M1044" s="47"/>
      <c r="N1044" s="47"/>
      <c r="O1044" s="319"/>
      <c r="P1044" s="320"/>
      <c r="R1044" s="47"/>
      <c r="S1044" s="47"/>
      <c r="T1044" s="319"/>
      <c r="U1044" s="320"/>
      <c r="W1044" s="47"/>
      <c r="X1044" s="47"/>
      <c r="Y1044" s="319"/>
      <c r="Z1044" s="320"/>
      <c r="AA1044" s="328">
        <f t="shared" si="151"/>
        <v>0</v>
      </c>
      <c r="AB1044" s="298">
        <f t="shared" si="152"/>
        <v>0</v>
      </c>
      <c r="AC1044" s="4"/>
      <c r="AD1044" s="47"/>
      <c r="AE1044" s="47"/>
      <c r="AF1044" s="319"/>
      <c r="AG1044" s="29">
        <f t="shared" si="156"/>
        <v>0</v>
      </c>
    </row>
    <row r="1045" spans="1:37">
      <c r="A1045" s="180"/>
      <c r="B1045" s="502" t="s">
        <v>485</v>
      </c>
      <c r="C1045" s="47"/>
      <c r="D1045" s="47"/>
      <c r="E1045" s="319"/>
      <c r="F1045" s="320"/>
      <c r="G1045" s="4"/>
      <c r="H1045" s="47"/>
      <c r="I1045" s="47"/>
      <c r="J1045" s="319"/>
      <c r="K1045" s="320"/>
      <c r="L1045" s="4"/>
      <c r="M1045" s="47"/>
      <c r="N1045" s="47"/>
      <c r="O1045" s="319"/>
      <c r="P1045" s="320"/>
      <c r="R1045" s="47"/>
      <c r="S1045" s="47"/>
      <c r="T1045" s="319"/>
      <c r="U1045" s="320"/>
      <c r="W1045" s="47"/>
      <c r="X1045" s="47"/>
      <c r="Y1045" s="319"/>
      <c r="Z1045" s="320"/>
      <c r="AA1045" s="328">
        <f t="shared" si="151"/>
        <v>0</v>
      </c>
      <c r="AB1045" s="298">
        <f t="shared" si="152"/>
        <v>0</v>
      </c>
      <c r="AC1045" s="4"/>
      <c r="AD1045" s="47"/>
      <c r="AE1045" s="47"/>
      <c r="AF1045" s="319"/>
      <c r="AG1045" s="29">
        <f t="shared" si="156"/>
        <v>0</v>
      </c>
    </row>
    <row r="1046" spans="1:37">
      <c r="A1046" s="180"/>
      <c r="B1046" s="502" t="s">
        <v>486</v>
      </c>
      <c r="C1046" s="47"/>
      <c r="D1046" s="47"/>
      <c r="E1046" s="319"/>
      <c r="F1046" s="320"/>
      <c r="G1046" s="4"/>
      <c r="H1046" s="47"/>
      <c r="I1046" s="47"/>
      <c r="J1046" s="319"/>
      <c r="K1046" s="320"/>
      <c r="L1046" s="4"/>
      <c r="M1046" s="47"/>
      <c r="N1046" s="47"/>
      <c r="O1046" s="319"/>
      <c r="P1046" s="320"/>
      <c r="R1046" s="47"/>
      <c r="S1046" s="47"/>
      <c r="T1046" s="319"/>
      <c r="U1046" s="320"/>
      <c r="W1046" s="47"/>
      <c r="X1046" s="47"/>
      <c r="Y1046" s="319"/>
      <c r="Z1046" s="320"/>
      <c r="AA1046" s="328">
        <f t="shared" si="151"/>
        <v>0</v>
      </c>
      <c r="AB1046" s="298">
        <f t="shared" si="152"/>
        <v>0</v>
      </c>
      <c r="AC1046" s="4"/>
      <c r="AD1046" s="47"/>
      <c r="AE1046" s="47"/>
      <c r="AF1046" s="319"/>
      <c r="AG1046" s="29">
        <f t="shared" si="156"/>
        <v>0</v>
      </c>
    </row>
    <row r="1047" spans="1:37">
      <c r="A1047" s="180"/>
      <c r="B1047" s="63" t="s">
        <v>63</v>
      </c>
      <c r="C1047" s="47"/>
      <c r="D1047" s="47"/>
      <c r="E1047" s="319">
        <v>4</v>
      </c>
      <c r="F1047" s="320"/>
      <c r="G1047" s="4"/>
      <c r="H1047" s="47"/>
      <c r="I1047" s="47"/>
      <c r="J1047" s="319">
        <v>4</v>
      </c>
      <c r="K1047" s="320"/>
      <c r="L1047" s="4"/>
      <c r="M1047" s="47"/>
      <c r="N1047" s="313"/>
      <c r="O1047" s="319">
        <v>4</v>
      </c>
      <c r="P1047" s="320"/>
      <c r="R1047" s="47"/>
      <c r="S1047" s="47"/>
      <c r="T1047" s="319">
        <v>4</v>
      </c>
      <c r="U1047" s="320"/>
      <c r="W1047" s="47"/>
      <c r="X1047" s="47"/>
      <c r="Y1047" s="319">
        <v>4</v>
      </c>
      <c r="Z1047" s="320"/>
      <c r="AA1047" s="328">
        <f t="shared" si="151"/>
        <v>20</v>
      </c>
      <c r="AB1047" s="298">
        <f t="shared" si="152"/>
        <v>0</v>
      </c>
      <c r="AC1047" s="4"/>
      <c r="AD1047" s="47"/>
      <c r="AE1047" s="47"/>
      <c r="AF1047" s="319"/>
      <c r="AG1047" s="29">
        <f t="shared" si="156"/>
        <v>0</v>
      </c>
    </row>
    <row r="1048" spans="1:37">
      <c r="A1048" s="180"/>
      <c r="B1048" s="267" t="s">
        <v>358</v>
      </c>
      <c r="C1048" s="47"/>
      <c r="D1048" s="47"/>
      <c r="E1048" s="319">
        <v>2</v>
      </c>
      <c r="F1048" s="320"/>
      <c r="G1048" s="438"/>
      <c r="H1048" s="47"/>
      <c r="I1048" s="47"/>
      <c r="J1048" s="319">
        <v>2</v>
      </c>
      <c r="K1048" s="320"/>
      <c r="L1048" s="438"/>
      <c r="M1048" s="47"/>
      <c r="N1048" s="47"/>
      <c r="O1048" s="319">
        <v>2</v>
      </c>
      <c r="P1048" s="320"/>
      <c r="Q1048" s="438"/>
      <c r="R1048" s="47"/>
      <c r="S1048" s="47"/>
      <c r="T1048" s="319">
        <v>2</v>
      </c>
      <c r="U1048" s="320"/>
      <c r="V1048" s="438"/>
      <c r="W1048" s="47"/>
      <c r="X1048" s="47"/>
      <c r="Y1048" s="319">
        <v>2</v>
      </c>
      <c r="Z1048" s="320"/>
      <c r="AA1048" s="328">
        <f t="shared" si="151"/>
        <v>10</v>
      </c>
      <c r="AB1048" s="298">
        <f t="shared" si="152"/>
        <v>0</v>
      </c>
      <c r="AC1048" s="4"/>
      <c r="AD1048" s="47"/>
      <c r="AE1048" s="47"/>
      <c r="AF1048" s="319"/>
      <c r="AG1048" s="29">
        <f t="shared" si="156"/>
        <v>0</v>
      </c>
      <c r="AK1048" s="407"/>
    </row>
    <row r="1049" spans="1:37">
      <c r="A1049" s="180"/>
      <c r="B1049" s="267" t="s">
        <v>532</v>
      </c>
      <c r="C1049" s="47"/>
      <c r="D1049" s="47"/>
      <c r="E1049" s="319"/>
      <c r="F1049" s="320"/>
      <c r="G1049" s="438"/>
      <c r="H1049" s="47"/>
      <c r="I1049" s="47"/>
      <c r="J1049" s="319"/>
      <c r="K1049" s="320"/>
      <c r="L1049" s="438"/>
      <c r="M1049" s="47"/>
      <c r="N1049" s="47"/>
      <c r="O1049" s="319"/>
      <c r="P1049" s="320"/>
      <c r="Q1049" s="438"/>
      <c r="R1049" s="47"/>
      <c r="S1049" s="47"/>
      <c r="T1049" s="319"/>
      <c r="U1049" s="320"/>
      <c r="V1049" s="438"/>
      <c r="W1049" s="47"/>
      <c r="X1049" s="47"/>
      <c r="Y1049" s="319"/>
      <c r="Z1049" s="320"/>
      <c r="AA1049" s="328">
        <f t="shared" si="151"/>
        <v>0</v>
      </c>
      <c r="AB1049" s="298">
        <f t="shared" si="152"/>
        <v>0</v>
      </c>
      <c r="AC1049" s="4"/>
      <c r="AD1049" s="47"/>
      <c r="AE1049" s="47"/>
      <c r="AF1049" s="319"/>
      <c r="AG1049" s="29">
        <f t="shared" si="156"/>
        <v>0</v>
      </c>
      <c r="AK1049" s="407"/>
    </row>
    <row r="1050" spans="1:37">
      <c r="A1050" s="180"/>
      <c r="B1050" s="267" t="s">
        <v>411</v>
      </c>
      <c r="C1050" s="47"/>
      <c r="D1050" s="47"/>
      <c r="E1050" s="319"/>
      <c r="F1050" s="320"/>
      <c r="G1050" s="438"/>
      <c r="H1050" s="47"/>
      <c r="I1050" s="47"/>
      <c r="J1050" s="319"/>
      <c r="K1050" s="320"/>
      <c r="L1050" s="438"/>
      <c r="M1050" s="47"/>
      <c r="N1050" s="47"/>
      <c r="O1050" s="319"/>
      <c r="P1050" s="320"/>
      <c r="Q1050" s="438"/>
      <c r="R1050" s="47"/>
      <c r="S1050" s="47"/>
      <c r="T1050" s="319"/>
      <c r="U1050" s="320"/>
      <c r="V1050" s="438"/>
      <c r="W1050" s="47"/>
      <c r="X1050" s="47"/>
      <c r="Y1050" s="319"/>
      <c r="Z1050" s="320"/>
      <c r="AA1050" s="328">
        <f t="shared" si="151"/>
        <v>0</v>
      </c>
      <c r="AB1050" s="298">
        <f t="shared" si="152"/>
        <v>0</v>
      </c>
      <c r="AC1050" s="4"/>
      <c r="AD1050" s="47"/>
      <c r="AE1050" s="47"/>
      <c r="AF1050" s="319"/>
      <c r="AG1050" s="29">
        <f t="shared" si="156"/>
        <v>0</v>
      </c>
      <c r="AK1050" s="407"/>
    </row>
    <row r="1051" spans="1:37">
      <c r="A1051" s="180"/>
      <c r="B1051" s="267" t="s">
        <v>361</v>
      </c>
      <c r="C1051" s="47"/>
      <c r="D1051" s="47"/>
      <c r="E1051" s="319"/>
      <c r="F1051" s="320"/>
      <c r="G1051" s="438"/>
      <c r="H1051" s="47"/>
      <c r="I1051" s="47"/>
      <c r="J1051" s="319"/>
      <c r="K1051" s="320"/>
      <c r="L1051" s="438"/>
      <c r="M1051" s="47"/>
      <c r="N1051" s="47"/>
      <c r="O1051" s="319"/>
      <c r="P1051" s="320"/>
      <c r="Q1051" s="438"/>
      <c r="R1051" s="47"/>
      <c r="S1051" s="47"/>
      <c r="T1051" s="319"/>
      <c r="U1051" s="320"/>
      <c r="V1051" s="438"/>
      <c r="W1051" s="47"/>
      <c r="X1051" s="47"/>
      <c r="Y1051" s="319"/>
      <c r="Z1051" s="320"/>
      <c r="AA1051" s="328">
        <f t="shared" si="151"/>
        <v>0</v>
      </c>
      <c r="AB1051" s="298">
        <f t="shared" si="152"/>
        <v>0</v>
      </c>
      <c r="AC1051" s="4"/>
      <c r="AD1051" s="47"/>
      <c r="AE1051" s="47"/>
      <c r="AF1051" s="319"/>
      <c r="AG1051" s="29">
        <f t="shared" si="156"/>
        <v>0</v>
      </c>
      <c r="AK1051" s="407"/>
    </row>
    <row r="1052" spans="1:37">
      <c r="A1052" s="180"/>
      <c r="B1052" s="267" t="s">
        <v>362</v>
      </c>
      <c r="C1052" s="47"/>
      <c r="D1052" s="47"/>
      <c r="E1052" s="319"/>
      <c r="F1052" s="320"/>
      <c r="G1052" s="438"/>
      <c r="H1052" s="47"/>
      <c r="I1052" s="47"/>
      <c r="J1052" s="319"/>
      <c r="K1052" s="320"/>
      <c r="L1052" s="438"/>
      <c r="M1052" s="47"/>
      <c r="N1052" s="47"/>
      <c r="O1052" s="319"/>
      <c r="P1052" s="320"/>
      <c r="Q1052" s="438"/>
      <c r="R1052" s="47"/>
      <c r="S1052" s="47"/>
      <c r="T1052" s="319"/>
      <c r="U1052" s="320"/>
      <c r="V1052" s="438"/>
      <c r="W1052" s="47"/>
      <c r="X1052" s="47"/>
      <c r="Y1052" s="319"/>
      <c r="Z1052" s="320"/>
      <c r="AA1052" s="328">
        <f t="shared" si="151"/>
        <v>0</v>
      </c>
      <c r="AB1052" s="298">
        <f t="shared" si="152"/>
        <v>0</v>
      </c>
      <c r="AC1052" s="4"/>
      <c r="AD1052" s="47"/>
      <c r="AE1052" s="47"/>
      <c r="AF1052" s="319"/>
      <c r="AG1052" s="29">
        <f t="shared" si="156"/>
        <v>0</v>
      </c>
      <c r="AK1052" s="407"/>
    </row>
    <row r="1053" spans="1:37">
      <c r="A1053" s="180"/>
      <c r="B1053" s="437" t="s">
        <v>355</v>
      </c>
      <c r="C1053" s="47"/>
      <c r="D1053" s="47"/>
      <c r="E1053" s="319"/>
      <c r="F1053" s="320"/>
      <c r="G1053" s="438"/>
      <c r="H1053" s="47"/>
      <c r="I1053" s="47"/>
      <c r="J1053" s="319"/>
      <c r="K1053" s="320"/>
      <c r="L1053" s="438"/>
      <c r="M1053" s="47"/>
      <c r="N1053" s="47"/>
      <c r="O1053" s="319"/>
      <c r="P1053" s="320"/>
      <c r="Q1053" s="438"/>
      <c r="R1053" s="47"/>
      <c r="S1053" s="47"/>
      <c r="T1053" s="319"/>
      <c r="U1053" s="320"/>
      <c r="V1053" s="438"/>
      <c r="W1053" s="47"/>
      <c r="X1053" s="47"/>
      <c r="Y1053" s="319"/>
      <c r="Z1053" s="320"/>
      <c r="AA1053" s="328">
        <f t="shared" si="151"/>
        <v>0</v>
      </c>
      <c r="AB1053" s="298">
        <f t="shared" si="152"/>
        <v>0</v>
      </c>
      <c r="AC1053" s="4"/>
      <c r="AD1053" s="47"/>
      <c r="AE1053" s="47"/>
      <c r="AF1053" s="319"/>
      <c r="AG1053" s="29">
        <f t="shared" si="156"/>
        <v>0</v>
      </c>
      <c r="AK1053" s="407"/>
    </row>
    <row r="1054" spans="1:37">
      <c r="A1054" s="180"/>
      <c r="B1054" s="437" t="s">
        <v>356</v>
      </c>
      <c r="C1054" s="47"/>
      <c r="D1054" s="47"/>
      <c r="E1054" s="319"/>
      <c r="F1054" s="320"/>
      <c r="G1054" s="438"/>
      <c r="H1054" s="47"/>
      <c r="I1054" s="47"/>
      <c r="J1054" s="319"/>
      <c r="K1054" s="320"/>
      <c r="L1054" s="438"/>
      <c r="M1054" s="47"/>
      <c r="N1054" s="47"/>
      <c r="O1054" s="319"/>
      <c r="P1054" s="320"/>
      <c r="Q1054" s="438"/>
      <c r="R1054" s="47"/>
      <c r="S1054" s="47"/>
      <c r="T1054" s="319">
        <v>19.7</v>
      </c>
      <c r="U1054" s="320"/>
      <c r="V1054" s="438"/>
      <c r="W1054" s="47"/>
      <c r="X1054" s="47"/>
      <c r="Y1054" s="319"/>
      <c r="Z1054" s="320"/>
      <c r="AA1054" s="328">
        <f t="shared" si="151"/>
        <v>19.7</v>
      </c>
      <c r="AB1054" s="298">
        <f t="shared" si="152"/>
        <v>0</v>
      </c>
      <c r="AC1054" s="4"/>
      <c r="AD1054" s="47"/>
      <c r="AE1054" s="47"/>
      <c r="AF1054" s="319"/>
      <c r="AG1054" s="29">
        <f t="shared" si="156"/>
        <v>0</v>
      </c>
      <c r="AK1054" s="407"/>
    </row>
    <row r="1055" spans="1:37">
      <c r="A1055" s="180"/>
      <c r="B1055" s="64" t="s">
        <v>61</v>
      </c>
      <c r="C1055" s="31"/>
      <c r="D1055" s="31"/>
      <c r="E1055" s="439">
        <f>SUM(E1017:E1054)</f>
        <v>33</v>
      </c>
      <c r="F1055" s="320">
        <f>SUM(F1017:F1054)</f>
        <v>0</v>
      </c>
      <c r="G1055" s="31"/>
      <c r="H1055" s="31"/>
      <c r="I1055" s="31"/>
      <c r="J1055" s="439">
        <f>SUM(J1017:J1054)</f>
        <v>22</v>
      </c>
      <c r="K1055" s="320">
        <f>SUM(K1017:K1054)</f>
        <v>0</v>
      </c>
      <c r="L1055" s="31"/>
      <c r="M1055" s="31"/>
      <c r="N1055" s="31"/>
      <c r="O1055" s="439">
        <f>SUM(O1017:O1054)</f>
        <v>12</v>
      </c>
      <c r="P1055" s="320">
        <f>SUM(P1017:P1054)</f>
        <v>0</v>
      </c>
      <c r="Q1055" s="31"/>
      <c r="R1055" s="31"/>
      <c r="S1055" s="31"/>
      <c r="T1055" s="439">
        <f>SUM(T1017:T1054)</f>
        <v>38.700000000000003</v>
      </c>
      <c r="U1055" s="320">
        <f>SUM(U1017:U1054)</f>
        <v>0</v>
      </c>
      <c r="V1055" s="31"/>
      <c r="W1055" s="31"/>
      <c r="X1055" s="31"/>
      <c r="Y1055" s="439">
        <f>SUM(Y1017:Y1054)</f>
        <v>48</v>
      </c>
      <c r="Z1055" s="320">
        <f>SUM(Z1017:Z1054)</f>
        <v>0</v>
      </c>
      <c r="AA1055" s="370">
        <f>SUM(AA1017:AA1054)</f>
        <v>143.69999999999999</v>
      </c>
      <c r="AB1055" s="370">
        <f>SUM(AB1017:AB1054)</f>
        <v>0</v>
      </c>
      <c r="AC1055" s="4"/>
      <c r="AD1055" s="64"/>
      <c r="AE1055" s="64"/>
      <c r="AF1055" s="370">
        <f>SUM(AF1017:AF1054)</f>
        <v>0</v>
      </c>
      <c r="AG1055" s="370">
        <f>SUM(AG1017:AG1054)</f>
        <v>0</v>
      </c>
    </row>
    <row r="1056" spans="1:37">
      <c r="A1056" s="180"/>
      <c r="B1056" s="63" t="s">
        <v>64</v>
      </c>
      <c r="C1056" s="47"/>
      <c r="D1056" s="47"/>
      <c r="E1056" s="319">
        <v>4</v>
      </c>
      <c r="F1056" s="19"/>
      <c r="G1056" s="613"/>
      <c r="H1056" s="47"/>
      <c r="I1056" s="47"/>
      <c r="J1056" s="319">
        <v>4</v>
      </c>
      <c r="K1056" s="19"/>
      <c r="L1056" s="60"/>
      <c r="M1056" s="47"/>
      <c r="N1056" s="47"/>
      <c r="O1056" s="319">
        <v>4</v>
      </c>
      <c r="P1056" s="19"/>
      <c r="Q1056" s="60"/>
      <c r="R1056" s="47"/>
      <c r="S1056" s="47"/>
      <c r="T1056" s="319">
        <v>4</v>
      </c>
      <c r="U1056" s="19"/>
      <c r="V1056" s="60"/>
      <c r="W1056" s="47"/>
      <c r="X1056" s="47"/>
      <c r="Y1056" s="319">
        <v>4</v>
      </c>
      <c r="Z1056" s="19"/>
      <c r="AA1056" s="28">
        <f>SUM(E1056+J1056+O1056+T1056+Y1056)</f>
        <v>20</v>
      </c>
      <c r="AB1056" s="296">
        <f>Z1056+U1056+P1056+K1056+F1056</f>
        <v>0</v>
      </c>
      <c r="AC1056" s="4"/>
      <c r="AD1056" s="47" t="s">
        <v>29</v>
      </c>
      <c r="AE1056" s="47" t="s">
        <v>29</v>
      </c>
      <c r="AF1056" s="319"/>
      <c r="AG1056" s="29">
        <f>AF1056</f>
        <v>0</v>
      </c>
    </row>
    <row r="1057" spans="1:49">
      <c r="A1057" s="180"/>
      <c r="B1057" s="71" t="s">
        <v>66</v>
      </c>
      <c r="C1057" s="371"/>
      <c r="D1057" s="371"/>
      <c r="E1057" s="71"/>
      <c r="F1057" s="71"/>
      <c r="G1057" s="71"/>
      <c r="H1057" s="71"/>
      <c r="I1057" s="71"/>
      <c r="J1057" s="71"/>
      <c r="K1057" s="71"/>
      <c r="L1057" s="71"/>
      <c r="M1057" s="71"/>
      <c r="N1057" s="71"/>
      <c r="O1057" s="71"/>
      <c r="P1057" s="71"/>
      <c r="Q1057" s="71"/>
      <c r="R1057" s="71"/>
      <c r="S1057" s="71"/>
      <c r="T1057" s="71"/>
      <c r="U1057" s="71"/>
      <c r="V1057" s="71"/>
      <c r="W1057" s="71"/>
      <c r="X1057" s="71"/>
      <c r="Y1057" s="71"/>
      <c r="Z1057" s="71"/>
      <c r="AA1057" s="370">
        <f>SUM(AA1056:AA1056)</f>
        <v>20</v>
      </c>
      <c r="AB1057" s="370">
        <f>SUM(AB1056:AB1056)</f>
        <v>0</v>
      </c>
      <c r="AC1057" s="4"/>
      <c r="AG1057" s="370">
        <f>SUM(AG1056:AG1056)</f>
        <v>0</v>
      </c>
    </row>
    <row r="1058" spans="1:49">
      <c r="A1058" s="180"/>
      <c r="B1058" s="217" t="s">
        <v>67</v>
      </c>
      <c r="C1058" s="207">
        <f>C1059+C1060</f>
        <v>10</v>
      </c>
      <c r="D1058" s="207"/>
      <c r="E1058" s="209"/>
      <c r="F1058" s="209"/>
      <c r="G1058" s="207"/>
      <c r="H1058" s="209"/>
      <c r="I1058" s="209"/>
      <c r="J1058" s="209"/>
      <c r="K1058" s="209"/>
      <c r="L1058" s="207"/>
      <c r="M1058" s="207"/>
      <c r="N1058" s="207"/>
      <c r="O1058" s="207"/>
      <c r="P1058" s="209"/>
      <c r="Q1058" s="207"/>
      <c r="R1058" s="207"/>
      <c r="S1058" s="207"/>
      <c r="T1058" s="207"/>
      <c r="U1058" s="209"/>
      <c r="V1058" s="207"/>
      <c r="W1058" s="207"/>
      <c r="X1058" s="207"/>
      <c r="Y1058" s="210"/>
      <c r="Z1058" s="209"/>
      <c r="AA1058" s="211"/>
      <c r="AB1058" s="209"/>
      <c r="AC1058" s="211"/>
      <c r="AD1058" s="211"/>
      <c r="AE1058" s="211"/>
      <c r="AF1058" s="211"/>
      <c r="AG1058" s="211"/>
    </row>
    <row r="1059" spans="1:49">
      <c r="A1059" s="180"/>
      <c r="B1059" s="238" t="s">
        <v>68</v>
      </c>
      <c r="C1059" s="239"/>
      <c r="D1059" s="207"/>
      <c r="E1059" s="209"/>
      <c r="F1059" s="209"/>
      <c r="G1059" s="207"/>
      <c r="H1059" s="209"/>
      <c r="I1059" s="209"/>
      <c r="J1059" s="209"/>
      <c r="K1059" s="209"/>
      <c r="L1059" s="207"/>
      <c r="M1059" s="207"/>
      <c r="N1059" s="207"/>
      <c r="O1059" s="207"/>
      <c r="P1059" s="209"/>
      <c r="Q1059" s="207"/>
      <c r="R1059" s="207"/>
      <c r="S1059" s="207"/>
      <c r="T1059" s="207"/>
      <c r="U1059" s="209"/>
      <c r="V1059" s="207"/>
      <c r="W1059" s="207"/>
      <c r="X1059" s="207"/>
      <c r="Y1059" s="210"/>
      <c r="Z1059" s="209"/>
      <c r="AA1059" s="211"/>
      <c r="AB1059" s="209"/>
      <c r="AC1059" s="211"/>
      <c r="AD1059" s="211"/>
      <c r="AE1059" s="211"/>
      <c r="AF1059" s="211"/>
      <c r="AG1059" s="211"/>
    </row>
    <row r="1060" spans="1:49">
      <c r="A1060" s="180"/>
      <c r="B1060" s="238" t="s">
        <v>69</v>
      </c>
      <c r="C1060" s="239">
        <v>10</v>
      </c>
      <c r="D1060" s="207"/>
      <c r="E1060" s="209"/>
      <c r="F1060" s="209"/>
      <c r="G1060" s="207"/>
      <c r="H1060" s="209"/>
      <c r="I1060" s="209"/>
      <c r="J1060" s="209"/>
      <c r="K1060" s="209"/>
      <c r="L1060" s="207"/>
      <c r="M1060" s="207"/>
      <c r="N1060" s="207"/>
      <c r="O1060" s="207"/>
      <c r="P1060" s="209"/>
      <c r="Q1060" s="207"/>
      <c r="R1060" s="207"/>
      <c r="S1060" s="207"/>
      <c r="T1060" s="207"/>
      <c r="U1060" s="209"/>
      <c r="V1060" s="207"/>
      <c r="W1060" s="207"/>
      <c r="X1060" s="207"/>
      <c r="Y1060" s="210"/>
      <c r="Z1060" s="209"/>
      <c r="AA1060" s="211"/>
      <c r="AB1060" s="209"/>
      <c r="AC1060" s="211"/>
      <c r="AD1060" s="211"/>
      <c r="AE1060" s="211"/>
      <c r="AF1060" s="211"/>
      <c r="AG1060" s="211"/>
    </row>
    <row r="1061" spans="1:49">
      <c r="B1061" s="180"/>
      <c r="E1061" s="4"/>
      <c r="F1061" s="4"/>
      <c r="G1061" s="4"/>
      <c r="J1061" s="4"/>
      <c r="K1061" s="4"/>
      <c r="L1061" s="4"/>
      <c r="O1061" s="4"/>
      <c r="P1061" s="4"/>
      <c r="T1061" s="4"/>
      <c r="U1061" s="4"/>
      <c r="Y1061" s="4"/>
      <c r="Z1061" s="4"/>
      <c r="AA1061" s="4"/>
      <c r="AB1061" s="4"/>
      <c r="AC1061" s="4"/>
    </row>
    <row r="1062" spans="1:49">
      <c r="A1062" s="180"/>
      <c r="B1062" s="229"/>
      <c r="C1062" s="230"/>
      <c r="D1062" s="230"/>
      <c r="E1062" s="232"/>
      <c r="F1062" s="232"/>
      <c r="G1062" s="230"/>
      <c r="H1062" s="232"/>
      <c r="I1062" s="232"/>
      <c r="J1062" s="232"/>
      <c r="K1062" s="232"/>
      <c r="L1062" s="230"/>
      <c r="M1062" s="230"/>
      <c r="N1062" s="230"/>
      <c r="O1062" s="230"/>
      <c r="P1062" s="232"/>
      <c r="Q1062" s="230"/>
      <c r="R1062" s="230"/>
      <c r="S1062" s="230"/>
      <c r="T1062" s="230"/>
      <c r="U1062" s="232"/>
      <c r="V1062" s="230"/>
      <c r="W1062" s="230"/>
      <c r="X1062" s="230"/>
      <c r="Y1062" s="233"/>
      <c r="Z1062" s="232"/>
      <c r="AA1062" s="234"/>
      <c r="AB1062" s="232"/>
      <c r="AC1062" s="373"/>
      <c r="AD1062" s="236"/>
      <c r="AE1062" s="255"/>
      <c r="AF1062" s="255"/>
      <c r="AG1062" s="255"/>
      <c r="AH1062" s="255"/>
      <c r="AJ1062" s="255"/>
      <c r="AK1062" s="255"/>
      <c r="AL1062" s="255"/>
      <c r="AM1062" s="255"/>
      <c r="AN1062" s="255"/>
      <c r="AO1062" s="255"/>
      <c r="AP1062" s="255"/>
      <c r="AQ1062" s="255"/>
      <c r="AR1062" s="255"/>
      <c r="AS1062" s="255"/>
      <c r="AT1062" s="255"/>
      <c r="AU1062" s="255"/>
      <c r="AV1062" s="255"/>
      <c r="AW1062" s="255"/>
    </row>
    <row r="1063" spans="1:49">
      <c r="B1063" s="180"/>
      <c r="E1063" s="4"/>
      <c r="F1063" s="4"/>
      <c r="G1063" s="4"/>
      <c r="J1063" s="4"/>
      <c r="K1063" s="4"/>
      <c r="L1063" s="4"/>
      <c r="O1063" s="4"/>
      <c r="P1063" s="4"/>
      <c r="T1063" s="4"/>
      <c r="U1063" s="4"/>
      <c r="Y1063" s="4"/>
      <c r="Z1063" s="4"/>
      <c r="AA1063" s="4"/>
      <c r="AB1063" s="4"/>
      <c r="AC1063" s="4"/>
      <c r="AK1063" s="180"/>
      <c r="AL1063" s="180"/>
      <c r="AM1063" s="180"/>
      <c r="AN1063" s="180"/>
      <c r="AO1063" s="180"/>
      <c r="AP1063" s="180"/>
    </row>
    <row r="1064" spans="1:49">
      <c r="A1064" s="228"/>
      <c r="B1064" s="1518" t="s">
        <v>18</v>
      </c>
      <c r="C1064" s="1519">
        <v>45530</v>
      </c>
      <c r="D1064" s="1519"/>
      <c r="E1064" s="1519"/>
      <c r="F1064" s="1519"/>
      <c r="G1064" s="365"/>
      <c r="H1064" s="1519">
        <v>45531</v>
      </c>
      <c r="I1064" s="1519"/>
      <c r="J1064" s="1519"/>
      <c r="K1064" s="1519"/>
      <c r="L1064" s="365"/>
      <c r="M1064" s="1519">
        <v>45532</v>
      </c>
      <c r="N1064" s="1519"/>
      <c r="O1064" s="1519"/>
      <c r="P1064" s="1519"/>
      <c r="Q1064" s="365"/>
      <c r="R1064" s="1519">
        <v>45533</v>
      </c>
      <c r="S1064" s="1519"/>
      <c r="T1064" s="1519"/>
      <c r="U1064" s="1519"/>
      <c r="V1064" s="365"/>
      <c r="W1064" s="1519">
        <v>45534</v>
      </c>
      <c r="X1064" s="1519"/>
      <c r="Y1064" s="1519"/>
      <c r="Z1064" s="1519"/>
      <c r="AA1064" s="1517" t="s">
        <v>19</v>
      </c>
      <c r="AB1064" s="1517" t="s">
        <v>20</v>
      </c>
      <c r="AC1064" s="4"/>
      <c r="AD1064" s="1519">
        <v>45535</v>
      </c>
      <c r="AE1064" s="1519"/>
      <c r="AF1064" s="1519"/>
      <c r="AG1064" s="1517" t="s">
        <v>21</v>
      </c>
      <c r="AI1064" s="368"/>
      <c r="AK1064" s="194" t="s">
        <v>84</v>
      </c>
      <c r="AL1064" s="366"/>
      <c r="AM1064" s="366"/>
      <c r="AN1064" s="366"/>
      <c r="AO1064" s="366"/>
      <c r="AP1064" s="366"/>
    </row>
    <row r="1065" spans="1:49">
      <c r="A1065" s="180"/>
      <c r="B1065" s="1518"/>
      <c r="C1065" s="21" t="s">
        <v>23</v>
      </c>
      <c r="D1065" s="21" t="s">
        <v>24</v>
      </c>
      <c r="E1065" s="205" t="s">
        <v>25</v>
      </c>
      <c r="F1065" s="18" t="s">
        <v>14</v>
      </c>
      <c r="G1065" s="4"/>
      <c r="H1065" s="21" t="s">
        <v>23</v>
      </c>
      <c r="I1065" s="21" t="s">
        <v>24</v>
      </c>
      <c r="J1065" s="18" t="s">
        <v>25</v>
      </c>
      <c r="K1065" s="18" t="s">
        <v>14</v>
      </c>
      <c r="L1065" s="4"/>
      <c r="M1065" s="21" t="s">
        <v>23</v>
      </c>
      <c r="N1065" s="21" t="s">
        <v>24</v>
      </c>
      <c r="O1065" s="18" t="s">
        <v>25</v>
      </c>
      <c r="P1065" s="18" t="s">
        <v>14</v>
      </c>
      <c r="R1065" s="21" t="s">
        <v>23</v>
      </c>
      <c r="S1065" s="21" t="s">
        <v>24</v>
      </c>
      <c r="T1065" s="18" t="s">
        <v>25</v>
      </c>
      <c r="U1065" s="18" t="s">
        <v>14</v>
      </c>
      <c r="W1065" s="21" t="s">
        <v>23</v>
      </c>
      <c r="X1065" s="21" t="s">
        <v>24</v>
      </c>
      <c r="Y1065" s="18" t="s">
        <v>25</v>
      </c>
      <c r="Z1065" s="18" t="s">
        <v>14</v>
      </c>
      <c r="AA1065" s="1517"/>
      <c r="AB1065" s="1517"/>
      <c r="AC1065" s="4"/>
      <c r="AD1065" s="21" t="s">
        <v>23</v>
      </c>
      <c r="AE1065" s="21" t="s">
        <v>24</v>
      </c>
      <c r="AF1065" s="18" t="s">
        <v>25</v>
      </c>
      <c r="AG1065" s="1517"/>
      <c r="AI1065" s="368"/>
      <c r="AJ1065" s="367"/>
      <c r="AK1065" s="188" t="s">
        <v>26</v>
      </c>
      <c r="AL1065" s="196" t="e">
        <f>AA1108</f>
        <v>#REF!</v>
      </c>
      <c r="AM1065" s="510">
        <v>38</v>
      </c>
      <c r="AN1065" s="510" t="e">
        <f>AL1065*AM1065</f>
        <v>#REF!</v>
      </c>
      <c r="AQ1065" s="367"/>
      <c r="AR1065" s="367"/>
      <c r="AS1065" s="367"/>
      <c r="AT1065" s="367"/>
      <c r="AU1065" s="367"/>
      <c r="AV1065" s="367"/>
      <c r="AW1065" s="367"/>
    </row>
    <row r="1066" spans="1:49">
      <c r="A1066" s="180"/>
      <c r="B1066" s="166" t="s">
        <v>506</v>
      </c>
      <c r="C1066" s="566"/>
      <c r="D1066" s="565"/>
      <c r="E1066" s="319"/>
      <c r="F1066" s="320"/>
      <c r="G1066" s="4"/>
      <c r="H1066" s="565"/>
      <c r="I1066" s="565"/>
      <c r="J1066" s="319"/>
      <c r="K1066" s="320"/>
      <c r="L1066" s="4"/>
      <c r="M1066" s="565"/>
      <c r="N1066" s="565"/>
      <c r="O1066" s="319"/>
      <c r="P1066" s="320"/>
      <c r="R1066" s="47" t="s">
        <v>539</v>
      </c>
      <c r="S1066" s="47" t="s">
        <v>540</v>
      </c>
      <c r="T1066" s="319"/>
      <c r="U1066" s="320"/>
      <c r="W1066" s="565"/>
      <c r="X1066" s="565"/>
      <c r="Y1066" s="319"/>
      <c r="Z1066" s="320"/>
      <c r="AA1066" s="328">
        <f t="shared" ref="AA1066:AA1084" si="157">(E1066+J1066+O1066+T1066+Y1066)</f>
        <v>0</v>
      </c>
      <c r="AB1066" s="298">
        <f t="shared" ref="AB1066:AB1084" si="158">Z1066+U1066+P1066+K1066+F1066</f>
        <v>0</v>
      </c>
      <c r="AC1066" s="4"/>
      <c r="AD1066" s="587"/>
      <c r="AE1066" s="531"/>
      <c r="AF1066" s="319"/>
      <c r="AG1066" s="328">
        <f>AF1066</f>
        <v>0</v>
      </c>
      <c r="AI1066" s="368"/>
      <c r="AJ1066" s="367"/>
      <c r="AK1066" s="188" t="s">
        <v>30</v>
      </c>
      <c r="AL1066" s="196">
        <f>AB1108</f>
        <v>0</v>
      </c>
      <c r="AM1066" s="511">
        <v>57</v>
      </c>
      <c r="AN1066" s="510">
        <f>AL1066*AM1066</f>
        <v>0</v>
      </c>
      <c r="AQ1066" s="367"/>
      <c r="AR1066" s="367"/>
      <c r="AS1066" s="367"/>
      <c r="AT1066" s="367"/>
      <c r="AU1066" s="367"/>
      <c r="AV1066" s="367"/>
      <c r="AW1066" s="367"/>
    </row>
    <row r="1067" spans="1:49">
      <c r="A1067" s="367"/>
      <c r="B1067" s="166" t="s">
        <v>528</v>
      </c>
      <c r="C1067" s="566"/>
      <c r="D1067" s="565"/>
      <c r="E1067" s="319"/>
      <c r="F1067" s="320"/>
      <c r="G1067" s="4"/>
      <c r="H1067" s="566"/>
      <c r="I1067" s="565"/>
      <c r="J1067" s="319"/>
      <c r="K1067" s="320"/>
      <c r="L1067" s="4"/>
      <c r="M1067" s="566"/>
      <c r="N1067" s="565"/>
      <c r="O1067" s="319"/>
      <c r="P1067" s="320"/>
      <c r="R1067" s="47" t="s">
        <v>541</v>
      </c>
      <c r="S1067" s="47" t="s">
        <v>542</v>
      </c>
      <c r="T1067" s="319"/>
      <c r="U1067" s="320"/>
      <c r="W1067" s="566"/>
      <c r="X1067" s="565"/>
      <c r="Y1067" s="319"/>
      <c r="Z1067" s="320"/>
      <c r="AA1067" s="328">
        <f t="shared" si="157"/>
        <v>0</v>
      </c>
      <c r="AB1067" s="298">
        <f t="shared" si="158"/>
        <v>0</v>
      </c>
      <c r="AC1067" s="4"/>
      <c r="AF1067" s="319"/>
      <c r="AG1067" s="328">
        <f>AF1067</f>
        <v>0</v>
      </c>
      <c r="AH1067" s="175"/>
      <c r="AI1067" s="402"/>
      <c r="AJ1067" s="367"/>
      <c r="AK1067" s="188" t="s">
        <v>32</v>
      </c>
      <c r="AL1067" s="196">
        <f>AG1108</f>
        <v>0</v>
      </c>
      <c r="AM1067" s="510">
        <v>57</v>
      </c>
      <c r="AN1067" s="510">
        <f>AL1067*AM1067</f>
        <v>0</v>
      </c>
      <c r="AQ1067" s="367"/>
      <c r="AR1067" s="367"/>
      <c r="AS1067" s="367"/>
      <c r="AT1067" s="367"/>
      <c r="AU1067" s="367"/>
      <c r="AV1067" s="367"/>
      <c r="AW1067" s="367"/>
    </row>
    <row r="1068" spans="1:49">
      <c r="A1068" s="367"/>
      <c r="B1068" s="586" t="s">
        <v>508</v>
      </c>
      <c r="C1068" s="566"/>
      <c r="D1068" s="565"/>
      <c r="E1068" s="319"/>
      <c r="F1068" s="320"/>
      <c r="G1068" s="4"/>
      <c r="H1068" s="566"/>
      <c r="I1068" s="565"/>
      <c r="J1068" s="319"/>
      <c r="K1068" s="320"/>
      <c r="L1068" s="4"/>
      <c r="M1068" s="566"/>
      <c r="N1068" s="565"/>
      <c r="O1068" s="319"/>
      <c r="P1068" s="320"/>
      <c r="R1068" s="47" t="s">
        <v>539</v>
      </c>
      <c r="S1068" s="47" t="s">
        <v>540</v>
      </c>
      <c r="T1068" s="319"/>
      <c r="U1068" s="320"/>
      <c r="W1068" s="566"/>
      <c r="X1068" s="565"/>
      <c r="Y1068" s="319"/>
      <c r="Z1068" s="320"/>
      <c r="AA1068" s="328">
        <f t="shared" si="157"/>
        <v>0</v>
      </c>
      <c r="AB1068" s="298">
        <f t="shared" si="158"/>
        <v>0</v>
      </c>
      <c r="AC1068" s="4"/>
      <c r="AD1068" s="531"/>
      <c r="AE1068" s="531"/>
      <c r="AF1068" s="319"/>
      <c r="AG1068" s="328"/>
      <c r="AH1068" s="175"/>
      <c r="AI1068" s="402"/>
      <c r="AJ1068" s="367"/>
      <c r="AK1068" s="188"/>
      <c r="AL1068" s="196"/>
      <c r="AM1068" s="510"/>
      <c r="AN1068" s="510"/>
      <c r="AQ1068" s="367"/>
      <c r="AR1068" s="367"/>
      <c r="AS1068" s="367"/>
      <c r="AT1068" s="367"/>
      <c r="AU1068" s="367"/>
      <c r="AV1068" s="367"/>
      <c r="AW1068" s="367"/>
    </row>
    <row r="1069" spans="1:49">
      <c r="A1069" s="367"/>
      <c r="B1069" s="166" t="s">
        <v>510</v>
      </c>
      <c r="C1069" s="565"/>
      <c r="D1069" s="565"/>
      <c r="E1069" s="319"/>
      <c r="F1069" s="320"/>
      <c r="G1069" s="4"/>
      <c r="H1069" s="565"/>
      <c r="I1069" s="565"/>
      <c r="J1069" s="319"/>
      <c r="K1069" s="320"/>
      <c r="L1069" s="4"/>
      <c r="M1069" s="565"/>
      <c r="N1069" s="565"/>
      <c r="O1069" s="319"/>
      <c r="P1069" s="320"/>
      <c r="R1069" s="47" t="s">
        <v>539</v>
      </c>
      <c r="S1069" s="47" t="s">
        <v>540</v>
      </c>
      <c r="T1069" s="319"/>
      <c r="U1069" s="320"/>
      <c r="W1069" s="565"/>
      <c r="X1069" s="565"/>
      <c r="Y1069" s="319"/>
      <c r="Z1069" s="320"/>
      <c r="AA1069" s="328">
        <f t="shared" si="157"/>
        <v>0</v>
      </c>
      <c r="AB1069" s="298">
        <f t="shared" si="158"/>
        <v>0</v>
      </c>
      <c r="AC1069" s="399"/>
      <c r="AD1069" s="47"/>
      <c r="AE1069" s="47"/>
      <c r="AF1069" s="319"/>
      <c r="AG1069" s="29">
        <f t="shared" ref="AG1069:AG1107" si="159">AF1069</f>
        <v>0</v>
      </c>
      <c r="AH1069" s="175"/>
      <c r="AJ1069" s="401"/>
      <c r="AK1069" s="403" t="s">
        <v>213</v>
      </c>
      <c r="AL1069" s="404">
        <f>AA1110</f>
        <v>16</v>
      </c>
      <c r="AM1069" s="510">
        <v>50</v>
      </c>
      <c r="AN1069" s="510">
        <f>AL1069*AM1069</f>
        <v>800</v>
      </c>
      <c r="AO1069" s="405"/>
      <c r="AP1069" s="405"/>
      <c r="AQ1069" s="401"/>
      <c r="AR1069" s="401"/>
      <c r="AS1069" s="401"/>
      <c r="AT1069" s="401"/>
      <c r="AU1069" s="401"/>
      <c r="AV1069" s="401"/>
      <c r="AW1069" s="401"/>
    </row>
    <row r="1070" spans="1:49">
      <c r="A1070" s="367"/>
      <c r="B1070" s="166" t="s">
        <v>509</v>
      </c>
      <c r="C1070" s="565"/>
      <c r="D1070" s="565"/>
      <c r="E1070" s="319"/>
      <c r="F1070" s="320"/>
      <c r="G1070" s="4"/>
      <c r="H1070" s="565"/>
      <c r="I1070" s="565"/>
      <c r="J1070" s="319"/>
      <c r="K1070" s="320"/>
      <c r="L1070" s="4"/>
      <c r="M1070" s="565"/>
      <c r="N1070" s="565"/>
      <c r="O1070" s="319"/>
      <c r="P1070" s="320"/>
      <c r="R1070" s="565"/>
      <c r="S1070" s="565"/>
      <c r="T1070" s="319"/>
      <c r="U1070" s="320"/>
      <c r="W1070" s="565"/>
      <c r="X1070" s="565"/>
      <c r="Y1070" s="319"/>
      <c r="Z1070" s="320"/>
      <c r="AA1070" s="328">
        <f t="shared" si="157"/>
        <v>0</v>
      </c>
      <c r="AB1070" s="298">
        <f t="shared" si="158"/>
        <v>0</v>
      </c>
      <c r="AC1070" s="399"/>
      <c r="AD1070" s="47"/>
      <c r="AE1070" s="47"/>
      <c r="AF1070" s="319"/>
      <c r="AG1070" s="29">
        <f t="shared" si="159"/>
        <v>0</v>
      </c>
      <c r="AH1070" s="175"/>
      <c r="AJ1070" s="401"/>
      <c r="AK1070" s="188" t="s">
        <v>36</v>
      </c>
      <c r="AL1070" s="196">
        <f>AB1110</f>
        <v>0</v>
      </c>
      <c r="AM1070" s="510">
        <v>75</v>
      </c>
      <c r="AN1070" s="510">
        <f>AL1070*AM1070</f>
        <v>0</v>
      </c>
      <c r="AO1070" s="405"/>
      <c r="AP1070" s="405"/>
      <c r="AQ1070" s="401"/>
      <c r="AR1070" s="401"/>
      <c r="AS1070" s="401"/>
      <c r="AT1070" s="401"/>
      <c r="AU1070" s="401"/>
      <c r="AV1070" s="401"/>
      <c r="AW1070" s="401"/>
    </row>
    <row r="1071" spans="1:49">
      <c r="A1071" s="367"/>
      <c r="B1071" s="166" t="s">
        <v>511</v>
      </c>
      <c r="C1071" s="565"/>
      <c r="D1071" s="565"/>
      <c r="E1071" s="319"/>
      <c r="F1071" s="320"/>
      <c r="G1071" s="4"/>
      <c r="H1071" s="565"/>
      <c r="I1071" s="565"/>
      <c r="J1071" s="319"/>
      <c r="K1071" s="320"/>
      <c r="L1071" s="4"/>
      <c r="M1071" s="565"/>
      <c r="N1071" s="565"/>
      <c r="O1071" s="319"/>
      <c r="P1071" s="320"/>
      <c r="R1071" s="565"/>
      <c r="S1071" s="565"/>
      <c r="T1071" s="319"/>
      <c r="U1071" s="320"/>
      <c r="W1071" s="565"/>
      <c r="X1071" s="565"/>
      <c r="Y1071" s="319"/>
      <c r="Z1071" s="320"/>
      <c r="AA1071" s="328">
        <f t="shared" si="157"/>
        <v>0</v>
      </c>
      <c r="AB1071" s="298">
        <f t="shared" si="158"/>
        <v>0</v>
      </c>
      <c r="AC1071" s="175"/>
      <c r="AD1071" s="47"/>
      <c r="AE1071" s="47"/>
      <c r="AF1071" s="319"/>
      <c r="AG1071" s="344">
        <f t="shared" si="159"/>
        <v>0</v>
      </c>
      <c r="AH1071" s="175"/>
      <c r="AI1071" s="368"/>
      <c r="AK1071" s="188" t="s">
        <v>38</v>
      </c>
      <c r="AL1071" s="196">
        <f>AG1110</f>
        <v>0</v>
      </c>
      <c r="AM1071" s="510">
        <v>75</v>
      </c>
      <c r="AN1071" s="510">
        <f>AL1071*AM1071</f>
        <v>0</v>
      </c>
    </row>
    <row r="1072" spans="1:49" ht="14.25" thickBot="1">
      <c r="A1072" s="401"/>
      <c r="B1072" s="586" t="s">
        <v>512</v>
      </c>
      <c r="C1072" s="565"/>
      <c r="D1072" s="565"/>
      <c r="E1072" s="319"/>
      <c r="F1072" s="320"/>
      <c r="G1072" s="4"/>
      <c r="H1072" s="565"/>
      <c r="I1072" s="565"/>
      <c r="J1072" s="319"/>
      <c r="K1072" s="320"/>
      <c r="L1072" s="4"/>
      <c r="M1072" s="565"/>
      <c r="N1072" s="565"/>
      <c r="O1072" s="319"/>
      <c r="P1072" s="320"/>
      <c r="R1072" s="565"/>
      <c r="S1072" s="565"/>
      <c r="T1072" s="319"/>
      <c r="U1072" s="320"/>
      <c r="W1072" s="565"/>
      <c r="X1072" s="565"/>
      <c r="Y1072" s="319"/>
      <c r="Z1072" s="320"/>
      <c r="AA1072" s="328">
        <f t="shared" si="157"/>
        <v>0</v>
      </c>
      <c r="AB1072" s="298">
        <f t="shared" si="158"/>
        <v>0</v>
      </c>
      <c r="AC1072" s="4"/>
      <c r="AD1072" s="47"/>
      <c r="AE1072" s="47"/>
      <c r="AF1072" s="319"/>
      <c r="AG1072" s="29">
        <f t="shared" si="159"/>
        <v>0</v>
      </c>
      <c r="AJ1072" s="367"/>
      <c r="AK1072" s="188" t="s">
        <v>41</v>
      </c>
      <c r="AL1072" s="196">
        <f>C1111</f>
        <v>0</v>
      </c>
      <c r="AM1072" s="512">
        <v>45</v>
      </c>
      <c r="AN1072" s="512">
        <f>AL1072*AM1072</f>
        <v>0</v>
      </c>
      <c r="AQ1072" s="367"/>
      <c r="AR1072" s="367"/>
      <c r="AS1072" s="367"/>
      <c r="AT1072" s="367"/>
      <c r="AU1072" s="367"/>
      <c r="AV1072" s="367"/>
      <c r="AW1072" s="367"/>
    </row>
    <row r="1073" spans="1:40" ht="20.25" customHeight="1" thickTop="1">
      <c r="A1073" s="367"/>
      <c r="B1073" s="586" t="s">
        <v>513</v>
      </c>
      <c r="C1073" s="565"/>
      <c r="D1073" s="565"/>
      <c r="E1073" s="319"/>
      <c r="F1073" s="320"/>
      <c r="G1073" s="4"/>
      <c r="H1073" s="565"/>
      <c r="I1073" s="565"/>
      <c r="J1073" s="319"/>
      <c r="K1073" s="320"/>
      <c r="L1073" s="4"/>
      <c r="M1073" s="565"/>
      <c r="N1073" s="565"/>
      <c r="O1073" s="319"/>
      <c r="P1073" s="320"/>
      <c r="R1073" s="565"/>
      <c r="S1073" s="565"/>
      <c r="T1073" s="319"/>
      <c r="U1073" s="320"/>
      <c r="W1073" s="565"/>
      <c r="X1073" s="565"/>
      <c r="Y1073" s="319"/>
      <c r="Z1073" s="320"/>
      <c r="AA1073" s="328">
        <f t="shared" si="157"/>
        <v>0</v>
      </c>
      <c r="AB1073" s="298">
        <f t="shared" si="158"/>
        <v>0</v>
      </c>
      <c r="AC1073" s="4"/>
      <c r="AD1073" s="47"/>
      <c r="AE1073" s="47"/>
      <c r="AF1073" s="319"/>
      <c r="AG1073" s="29">
        <f t="shared" si="159"/>
        <v>0</v>
      </c>
      <c r="AN1073" s="510" t="e">
        <f>SUM(AN1065:AN1072)</f>
        <v>#REF!</v>
      </c>
    </row>
    <row r="1074" spans="1:40">
      <c r="A1074" s="180"/>
      <c r="B1074" s="612" t="s">
        <v>529</v>
      </c>
      <c r="C1074" s="565"/>
      <c r="D1074" s="565"/>
      <c r="E1074" s="319"/>
      <c r="F1074" s="320"/>
      <c r="G1074" s="4"/>
      <c r="H1074" s="565"/>
      <c r="I1074" s="565"/>
      <c r="J1074" s="319"/>
      <c r="K1074" s="320"/>
      <c r="L1074" s="4"/>
      <c r="M1074" s="565"/>
      <c r="N1074" s="565"/>
      <c r="O1074" s="319"/>
      <c r="P1074" s="320"/>
      <c r="R1074" s="47" t="s">
        <v>539</v>
      </c>
      <c r="S1074" s="47" t="s">
        <v>540</v>
      </c>
      <c r="T1074" s="319"/>
      <c r="U1074" s="320"/>
      <c r="W1074" s="565"/>
      <c r="X1074" s="565"/>
      <c r="Y1074" s="319"/>
      <c r="Z1074" s="320"/>
      <c r="AA1074" s="328">
        <f t="shared" si="157"/>
        <v>0</v>
      </c>
      <c r="AB1074" s="298">
        <f t="shared" si="158"/>
        <v>0</v>
      </c>
      <c r="AC1074" s="4"/>
      <c r="AD1074" s="47"/>
      <c r="AE1074" s="47"/>
      <c r="AF1074" s="319"/>
      <c r="AG1074" s="29">
        <f t="shared" si="159"/>
        <v>0</v>
      </c>
    </row>
    <row r="1075" spans="1:40">
      <c r="A1075" s="180"/>
      <c r="B1075" s="612" t="s">
        <v>543</v>
      </c>
      <c r="C1075" s="565"/>
      <c r="D1075" s="565"/>
      <c r="E1075" s="319"/>
      <c r="F1075" s="320"/>
      <c r="G1075" s="4"/>
      <c r="H1075" s="565"/>
      <c r="I1075" s="565"/>
      <c r="J1075" s="319"/>
      <c r="K1075" s="320"/>
      <c r="L1075" s="4"/>
      <c r="M1075" s="565"/>
      <c r="N1075" s="565"/>
      <c r="O1075" s="319"/>
      <c r="P1075" s="320"/>
      <c r="R1075" s="47" t="s">
        <v>539</v>
      </c>
      <c r="S1075" s="47" t="s">
        <v>540</v>
      </c>
      <c r="T1075" s="319"/>
      <c r="U1075" s="320"/>
      <c r="W1075" s="565"/>
      <c r="X1075" s="565"/>
      <c r="Y1075" s="319"/>
      <c r="Z1075" s="320"/>
      <c r="AA1075" s="328">
        <f t="shared" ref="AA1075" si="160">(E1075+J1075+O1075+T1075+Y1075)</f>
        <v>0</v>
      </c>
      <c r="AB1075" s="298">
        <f t="shared" ref="AB1075" si="161">Z1075+U1075+P1075+K1075+F1075</f>
        <v>0</v>
      </c>
      <c r="AC1075" s="4"/>
      <c r="AD1075" s="47"/>
      <c r="AE1075" s="47"/>
      <c r="AF1075" s="319"/>
      <c r="AG1075" s="29">
        <f t="shared" ref="AG1075" si="162">AF1075</f>
        <v>0</v>
      </c>
    </row>
    <row r="1076" spans="1:40">
      <c r="A1076" s="180"/>
      <c r="B1076" s="612" t="s">
        <v>534</v>
      </c>
      <c r="C1076" s="565"/>
      <c r="D1076" s="565"/>
      <c r="E1076" s="319">
        <v>2</v>
      </c>
      <c r="F1076" s="320"/>
      <c r="G1076" s="4"/>
      <c r="H1076" s="565"/>
      <c r="I1076" s="565"/>
      <c r="J1076" s="319"/>
      <c r="K1076" s="320"/>
      <c r="L1076" s="4"/>
      <c r="M1076" s="565"/>
      <c r="N1076" s="565"/>
      <c r="O1076" s="319"/>
      <c r="P1076" s="320"/>
      <c r="R1076" s="565"/>
      <c r="S1076" s="565"/>
      <c r="T1076" s="319"/>
      <c r="U1076" s="320"/>
      <c r="W1076" s="565"/>
      <c r="X1076" s="565"/>
      <c r="Y1076" s="319"/>
      <c r="Z1076" s="320"/>
      <c r="AA1076" s="328">
        <f t="shared" si="157"/>
        <v>2</v>
      </c>
      <c r="AB1076" s="298">
        <f t="shared" si="158"/>
        <v>0</v>
      </c>
      <c r="AC1076" s="4"/>
      <c r="AD1076" s="47"/>
      <c r="AE1076" s="47"/>
      <c r="AF1076" s="319"/>
      <c r="AG1076" s="29">
        <f t="shared" si="159"/>
        <v>0</v>
      </c>
    </row>
    <row r="1077" spans="1:40">
      <c r="A1077" s="180"/>
      <c r="B1077" s="612" t="s">
        <v>531</v>
      </c>
      <c r="C1077" s="565"/>
      <c r="D1077" s="565"/>
      <c r="E1077" s="319">
        <v>2</v>
      </c>
      <c r="F1077" s="320"/>
      <c r="G1077" s="4"/>
      <c r="H1077" s="565"/>
      <c r="I1077" s="565"/>
      <c r="J1077" s="319"/>
      <c r="K1077" s="320"/>
      <c r="L1077" s="4"/>
      <c r="M1077" s="565"/>
      <c r="N1077" s="565"/>
      <c r="O1077" s="319"/>
      <c r="P1077" s="320"/>
      <c r="R1077" s="565"/>
      <c r="S1077" s="565"/>
      <c r="T1077" s="319"/>
      <c r="U1077" s="320"/>
      <c r="W1077" s="565"/>
      <c r="X1077" s="565"/>
      <c r="Y1077" s="319"/>
      <c r="Z1077" s="320"/>
      <c r="AA1077" s="328">
        <f t="shared" si="157"/>
        <v>2</v>
      </c>
      <c r="AB1077" s="298">
        <f t="shared" si="158"/>
        <v>0</v>
      </c>
      <c r="AC1077" s="4"/>
      <c r="AD1077" s="47"/>
      <c r="AE1077" s="47"/>
      <c r="AF1077" s="319"/>
      <c r="AG1077" s="29">
        <f t="shared" si="159"/>
        <v>0</v>
      </c>
    </row>
    <row r="1078" spans="1:40">
      <c r="A1078" s="180"/>
      <c r="B1078" s="523" t="s">
        <v>514</v>
      </c>
      <c r="C1078" s="47"/>
      <c r="D1078" s="47"/>
      <c r="E1078" s="319"/>
      <c r="F1078" s="320"/>
      <c r="G1078" s="4"/>
      <c r="H1078" s="47"/>
      <c r="I1078" s="47"/>
      <c r="J1078" s="319"/>
      <c r="K1078" s="320"/>
      <c r="L1078" s="4"/>
      <c r="M1078" s="47"/>
      <c r="N1078" s="47"/>
      <c r="O1078" s="319"/>
      <c r="P1078" s="320"/>
      <c r="R1078" s="47" t="s">
        <v>541</v>
      </c>
      <c r="S1078" s="47" t="s">
        <v>542</v>
      </c>
      <c r="T1078" s="319"/>
      <c r="U1078" s="320"/>
      <c r="W1078" s="47"/>
      <c r="X1078" s="47"/>
      <c r="Y1078" s="319"/>
      <c r="Z1078" s="320"/>
      <c r="AA1078" s="328">
        <f t="shared" si="157"/>
        <v>0</v>
      </c>
      <c r="AB1078" s="298">
        <f t="shared" si="158"/>
        <v>0</v>
      </c>
      <c r="AC1078" s="4"/>
      <c r="AD1078" s="47"/>
      <c r="AE1078" s="47"/>
      <c r="AF1078" s="319"/>
      <c r="AG1078" s="29">
        <f t="shared" si="159"/>
        <v>0</v>
      </c>
    </row>
    <row r="1079" spans="1:40" ht="12.75" customHeight="1">
      <c r="A1079" s="180"/>
      <c r="B1079" s="180" t="s">
        <v>515</v>
      </c>
      <c r="C1079" s="47"/>
      <c r="D1079" s="47"/>
      <c r="E1079" s="319">
        <v>0</v>
      </c>
      <c r="F1079" s="320"/>
      <c r="G1079" s="4"/>
      <c r="H1079" s="47" t="s">
        <v>544</v>
      </c>
      <c r="I1079" s="47"/>
      <c r="J1079" s="319">
        <v>4</v>
      </c>
      <c r="K1079" s="320"/>
      <c r="L1079" s="4"/>
      <c r="M1079" s="47">
        <v>0.375</v>
      </c>
      <c r="N1079" s="47">
        <v>0.25</v>
      </c>
      <c r="O1079" s="319">
        <v>8</v>
      </c>
      <c r="P1079" s="320"/>
      <c r="R1079" s="47" t="s">
        <v>541</v>
      </c>
      <c r="S1079" s="47" t="s">
        <v>542</v>
      </c>
      <c r="T1079" s="319"/>
      <c r="U1079" s="320"/>
      <c r="W1079" s="47"/>
      <c r="X1079" s="47"/>
      <c r="Y1079" s="319"/>
      <c r="Z1079" s="320"/>
      <c r="AA1079" s="328">
        <f>(E1079+J1079+O1079+T1079+Y1079)</f>
        <v>12</v>
      </c>
      <c r="AB1079" s="298">
        <f t="shared" si="158"/>
        <v>0</v>
      </c>
      <c r="AC1079" s="4"/>
      <c r="AD1079" s="47"/>
      <c r="AE1079" s="47"/>
      <c r="AF1079" s="319"/>
      <c r="AG1079" s="29">
        <f t="shared" si="159"/>
        <v>0</v>
      </c>
    </row>
    <row r="1080" spans="1:40">
      <c r="A1080" s="180"/>
      <c r="B1080" s="180" t="s">
        <v>268</v>
      </c>
      <c r="C1080" s="47"/>
      <c r="D1080" s="47"/>
      <c r="E1080" s="319"/>
      <c r="F1080" s="320"/>
      <c r="G1080" s="4"/>
      <c r="H1080" s="47"/>
      <c r="I1080" s="47"/>
      <c r="J1080" s="319"/>
      <c r="K1080" s="320"/>
      <c r="L1080" s="4"/>
      <c r="M1080" s="47"/>
      <c r="N1080" s="47"/>
      <c r="O1080" s="319"/>
      <c r="P1080" s="320"/>
      <c r="R1080" s="47" t="s">
        <v>541</v>
      </c>
      <c r="S1080" s="47" t="s">
        <v>542</v>
      </c>
      <c r="T1080" s="319"/>
      <c r="U1080" s="320"/>
      <c r="W1080" s="47"/>
      <c r="X1080" s="47"/>
      <c r="Y1080" s="319"/>
      <c r="Z1080" s="320"/>
      <c r="AA1080" s="328">
        <f t="shared" si="157"/>
        <v>0</v>
      </c>
      <c r="AB1080" s="298">
        <f t="shared" si="158"/>
        <v>0</v>
      </c>
      <c r="AC1080" s="4"/>
      <c r="AD1080" s="47"/>
      <c r="AE1080" s="47"/>
      <c r="AF1080" s="319"/>
      <c r="AG1080" s="29">
        <f t="shared" si="159"/>
        <v>0</v>
      </c>
    </row>
    <row r="1081" spans="1:40" ht="12.75" customHeight="1">
      <c r="A1081" s="180"/>
      <c r="B1081" s="180" t="s">
        <v>516</v>
      </c>
      <c r="C1081" s="47"/>
      <c r="D1081" s="47"/>
      <c r="E1081" s="319"/>
      <c r="F1081" s="320"/>
      <c r="G1081" s="4"/>
      <c r="H1081" s="47"/>
      <c r="I1081" s="47"/>
      <c r="J1081" s="319"/>
      <c r="K1081" s="320"/>
      <c r="L1081" s="4"/>
      <c r="M1081" s="47"/>
      <c r="N1081" s="47"/>
      <c r="O1081" s="319"/>
      <c r="P1081" s="320"/>
      <c r="R1081" s="47" t="s">
        <v>541</v>
      </c>
      <c r="S1081" s="47" t="s">
        <v>542</v>
      </c>
      <c r="T1081" s="319"/>
      <c r="U1081" s="320"/>
      <c r="W1081" s="615"/>
      <c r="X1081" s="47"/>
      <c r="Y1081" s="319"/>
      <c r="Z1081" s="320"/>
      <c r="AA1081" s="328">
        <f t="shared" si="157"/>
        <v>0</v>
      </c>
      <c r="AB1081" s="298">
        <f t="shared" si="158"/>
        <v>0</v>
      </c>
      <c r="AC1081" s="4"/>
      <c r="AD1081" s="47"/>
      <c r="AE1081" s="47"/>
      <c r="AF1081" s="319"/>
      <c r="AG1081" s="29">
        <f t="shared" si="159"/>
        <v>0</v>
      </c>
    </row>
    <row r="1082" spans="1:40">
      <c r="A1082" s="180"/>
      <c r="B1082" s="180" t="s">
        <v>517</v>
      </c>
      <c r="C1082" s="47"/>
      <c r="D1082" s="47"/>
      <c r="E1082" s="319"/>
      <c r="F1082" s="320"/>
      <c r="G1082" s="4"/>
      <c r="H1082" s="47"/>
      <c r="I1082" s="47"/>
      <c r="J1082" s="319"/>
      <c r="K1082" s="320"/>
      <c r="L1082" s="4"/>
      <c r="M1082" s="47"/>
      <c r="N1082" s="47"/>
      <c r="O1082" s="319"/>
      <c r="P1082" s="320"/>
      <c r="R1082" s="47" t="s">
        <v>541</v>
      </c>
      <c r="S1082" s="47" t="s">
        <v>542</v>
      </c>
      <c r="T1082" s="319"/>
      <c r="U1082" s="320"/>
      <c r="W1082" s="47"/>
      <c r="X1082" s="47"/>
      <c r="Y1082" s="319"/>
      <c r="Z1082" s="320"/>
      <c r="AA1082" s="328">
        <f t="shared" si="157"/>
        <v>0</v>
      </c>
      <c r="AB1082" s="298">
        <f t="shared" si="158"/>
        <v>0</v>
      </c>
      <c r="AC1082" s="4"/>
      <c r="AD1082" s="47"/>
      <c r="AE1082" s="47"/>
      <c r="AF1082" s="319"/>
      <c r="AG1082" s="29">
        <f t="shared" si="159"/>
        <v>0</v>
      </c>
    </row>
    <row r="1083" spans="1:40" ht="14.25" customHeight="1">
      <c r="A1083" s="180"/>
      <c r="B1083" s="523" t="s">
        <v>518</v>
      </c>
      <c r="C1083" s="47"/>
      <c r="D1083" s="327"/>
      <c r="E1083" s="319"/>
      <c r="F1083" s="320"/>
      <c r="G1083" s="4"/>
      <c r="H1083" s="47"/>
      <c r="I1083" s="47"/>
      <c r="J1083" s="319"/>
      <c r="K1083" s="320"/>
      <c r="L1083" s="4"/>
      <c r="M1083" s="47">
        <v>0.375</v>
      </c>
      <c r="N1083" s="47">
        <v>0.25</v>
      </c>
      <c r="O1083" s="319">
        <v>8</v>
      </c>
      <c r="P1083" s="320"/>
      <c r="R1083" s="47" t="s">
        <v>541</v>
      </c>
      <c r="S1083" s="47" t="s">
        <v>542</v>
      </c>
      <c r="T1083" s="319"/>
      <c r="U1083" s="320"/>
      <c r="W1083" s="47">
        <v>0.375</v>
      </c>
      <c r="X1083" s="47">
        <v>0.25</v>
      </c>
      <c r="Y1083" s="319">
        <v>8</v>
      </c>
      <c r="Z1083" s="320"/>
      <c r="AA1083" s="328">
        <f t="shared" si="157"/>
        <v>16</v>
      </c>
      <c r="AB1083" s="298">
        <f t="shared" si="158"/>
        <v>0</v>
      </c>
      <c r="AC1083" s="4"/>
      <c r="AD1083" s="47"/>
      <c r="AE1083" s="47"/>
      <c r="AF1083" s="319"/>
      <c r="AG1083" s="29">
        <f t="shared" si="159"/>
        <v>0</v>
      </c>
    </row>
    <row r="1084" spans="1:40">
      <c r="A1084" s="180"/>
      <c r="B1084" s="523" t="s">
        <v>519</v>
      </c>
      <c r="C1084" s="47"/>
      <c r="D1084" s="47"/>
      <c r="E1084" s="319"/>
      <c r="F1084" s="320"/>
      <c r="G1084" s="4"/>
      <c r="H1084" s="47"/>
      <c r="I1084" s="47"/>
      <c r="J1084" s="319"/>
      <c r="K1084" s="320"/>
      <c r="L1084" s="4"/>
      <c r="M1084" s="47"/>
      <c r="N1084" s="47"/>
      <c r="O1084" s="319"/>
      <c r="P1084" s="320"/>
      <c r="R1084" s="47" t="s">
        <v>539</v>
      </c>
      <c r="S1084" s="47" t="s">
        <v>540</v>
      </c>
      <c r="T1084" s="319"/>
      <c r="U1084" s="320"/>
      <c r="W1084" s="47"/>
      <c r="X1084" s="47"/>
      <c r="Y1084" s="319"/>
      <c r="Z1084" s="320"/>
      <c r="AA1084" s="328">
        <f t="shared" si="157"/>
        <v>0</v>
      </c>
      <c r="AB1084" s="298">
        <f t="shared" si="158"/>
        <v>0</v>
      </c>
      <c r="AC1084" s="4"/>
      <c r="AD1084" s="47"/>
      <c r="AE1084" s="47"/>
      <c r="AF1084" s="319"/>
      <c r="AG1084" s="29">
        <f t="shared" si="159"/>
        <v>0</v>
      </c>
    </row>
    <row r="1085" spans="1:40">
      <c r="A1085" s="180"/>
      <c r="B1085" s="523" t="s">
        <v>394</v>
      </c>
      <c r="C1085" s="47"/>
      <c r="D1085" s="47"/>
      <c r="E1085" s="319"/>
      <c r="F1085" s="320"/>
      <c r="G1085" s="4"/>
      <c r="H1085" s="47"/>
      <c r="I1085" s="47"/>
      <c r="J1085" s="319"/>
      <c r="K1085" s="320"/>
      <c r="L1085" s="4"/>
      <c r="M1085" s="47"/>
      <c r="N1085" s="47"/>
      <c r="O1085" s="319"/>
      <c r="P1085" s="320"/>
      <c r="R1085" s="47" t="s">
        <v>541</v>
      </c>
      <c r="S1085" s="47" t="s">
        <v>542</v>
      </c>
      <c r="T1085" s="319"/>
      <c r="U1085" s="320"/>
      <c r="W1085" s="47"/>
      <c r="X1085" s="47"/>
      <c r="Z1085" s="320"/>
      <c r="AA1085" s="328">
        <f>(E1085+J1085+O1085+T1085+Y1086)</f>
        <v>0</v>
      </c>
      <c r="AB1085" s="298">
        <f>Z1085+U1085+P1085+K1085+F1085</f>
        <v>0</v>
      </c>
      <c r="AC1085" s="4"/>
      <c r="AD1085" s="47"/>
      <c r="AE1085" s="47"/>
      <c r="AF1085" s="319"/>
      <c r="AG1085" s="29">
        <f>AF1085</f>
        <v>0</v>
      </c>
    </row>
    <row r="1086" spans="1:40">
      <c r="A1086" s="180"/>
      <c r="B1086" s="180" t="s">
        <v>520</v>
      </c>
      <c r="C1086" s="47"/>
      <c r="D1086" s="47"/>
      <c r="E1086" s="319"/>
      <c r="F1086" s="320"/>
      <c r="G1086" s="4"/>
      <c r="H1086" s="47"/>
      <c r="I1086" s="47"/>
      <c r="J1086" s="319"/>
      <c r="K1086" s="320"/>
      <c r="L1086" s="4"/>
      <c r="M1086" s="47"/>
      <c r="N1086" s="47"/>
      <c r="O1086" s="319"/>
      <c r="P1086" s="320"/>
      <c r="R1086" s="47" t="s">
        <v>539</v>
      </c>
      <c r="S1086" s="47" t="s">
        <v>540</v>
      </c>
      <c r="T1086" s="319"/>
      <c r="U1086" s="320"/>
      <c r="W1086" s="47"/>
      <c r="X1086" s="47"/>
      <c r="Y1086" s="319"/>
      <c r="Z1086" s="320"/>
      <c r="AA1086" s="328" t="e">
        <f>(E1086+J1086+O1086+T1086+#REF!)</f>
        <v>#REF!</v>
      </c>
      <c r="AB1086" s="298">
        <f t="shared" ref="AB1086:AB1107" si="163">Z1086+U1086+P1086+K1086+F1086</f>
        <v>0</v>
      </c>
      <c r="AC1086" s="4"/>
      <c r="AD1086" s="47"/>
      <c r="AE1086" s="47"/>
      <c r="AF1086" s="319"/>
      <c r="AG1086" s="29">
        <f t="shared" si="159"/>
        <v>0</v>
      </c>
    </row>
    <row r="1087" spans="1:40">
      <c r="A1087" s="180"/>
      <c r="B1087" s="585" t="s">
        <v>522</v>
      </c>
      <c r="C1087" s="47"/>
      <c r="D1087" s="565"/>
      <c r="E1087" s="319"/>
      <c r="F1087" s="320"/>
      <c r="G1087" s="4"/>
      <c r="H1087" s="47"/>
      <c r="I1087" s="565"/>
      <c r="J1087" s="319"/>
      <c r="K1087" s="320"/>
      <c r="L1087" s="4"/>
      <c r="M1087" s="47"/>
      <c r="N1087" s="565"/>
      <c r="O1087" s="319"/>
      <c r="P1087" s="320"/>
      <c r="R1087" s="47" t="s">
        <v>539</v>
      </c>
      <c r="S1087" s="47" t="s">
        <v>540</v>
      </c>
      <c r="T1087" s="319"/>
      <c r="U1087" s="320"/>
      <c r="W1087" s="47"/>
      <c r="X1087" s="565"/>
      <c r="Y1087" s="319"/>
      <c r="Z1087" s="320"/>
      <c r="AA1087" s="328">
        <f t="shared" ref="AA1087:AA1107" si="164">(E1087+J1087+O1087+T1087+Y1087)</f>
        <v>0</v>
      </c>
      <c r="AB1087" s="298">
        <f t="shared" si="163"/>
        <v>0</v>
      </c>
      <c r="AC1087" s="4"/>
      <c r="AD1087" s="47"/>
      <c r="AE1087" s="47"/>
      <c r="AF1087" s="319"/>
      <c r="AG1087" s="29">
        <f t="shared" si="159"/>
        <v>0</v>
      </c>
    </row>
    <row r="1088" spans="1:40">
      <c r="A1088" s="180"/>
      <c r="B1088" s="437" t="s">
        <v>523</v>
      </c>
      <c r="C1088" s="47"/>
      <c r="D1088" s="565"/>
      <c r="E1088" s="319"/>
      <c r="F1088" s="320"/>
      <c r="G1088" s="4"/>
      <c r="H1088" s="47"/>
      <c r="I1088" s="565"/>
      <c r="J1088" s="319"/>
      <c r="K1088" s="320"/>
      <c r="L1088" s="4"/>
      <c r="M1088" s="47"/>
      <c r="N1088" s="565"/>
      <c r="O1088" s="319"/>
      <c r="P1088" s="320"/>
      <c r="R1088" s="47" t="s">
        <v>539</v>
      </c>
      <c r="S1088" s="47" t="s">
        <v>540</v>
      </c>
      <c r="T1088" s="319"/>
      <c r="U1088" s="320"/>
      <c r="W1088" s="47"/>
      <c r="X1088" s="565"/>
      <c r="Y1088" s="319"/>
      <c r="Z1088" s="320"/>
      <c r="AA1088" s="328">
        <f t="shared" si="164"/>
        <v>0</v>
      </c>
      <c r="AB1088" s="298">
        <f t="shared" si="163"/>
        <v>0</v>
      </c>
      <c r="AC1088" s="4"/>
      <c r="AD1088" s="47"/>
      <c r="AE1088" s="47"/>
      <c r="AF1088" s="319"/>
      <c r="AG1088" s="29">
        <f t="shared" si="159"/>
        <v>0</v>
      </c>
    </row>
    <row r="1089" spans="1:37">
      <c r="A1089" s="180"/>
      <c r="B1089" s="437" t="s">
        <v>524</v>
      </c>
      <c r="C1089" s="47"/>
      <c r="D1089" s="565"/>
      <c r="E1089" s="319"/>
      <c r="F1089" s="320"/>
      <c r="G1089" s="4"/>
      <c r="H1089" s="47"/>
      <c r="I1089" s="565"/>
      <c r="J1089" s="319"/>
      <c r="K1089" s="320"/>
      <c r="L1089" s="4"/>
      <c r="M1089" s="47"/>
      <c r="N1089" s="565"/>
      <c r="O1089" s="319"/>
      <c r="P1089" s="320"/>
      <c r="R1089" s="47" t="s">
        <v>541</v>
      </c>
      <c r="S1089" s="47" t="s">
        <v>542</v>
      </c>
      <c r="T1089" s="319"/>
      <c r="U1089" s="320"/>
      <c r="W1089" s="47"/>
      <c r="X1089" s="565"/>
      <c r="Y1089" s="319"/>
      <c r="Z1089" s="320"/>
      <c r="AA1089" s="328">
        <f t="shared" si="164"/>
        <v>0</v>
      </c>
      <c r="AB1089" s="298">
        <f t="shared" si="163"/>
        <v>0</v>
      </c>
      <c r="AC1089" s="4"/>
      <c r="AD1089" s="47"/>
      <c r="AE1089" s="47"/>
      <c r="AF1089" s="319"/>
      <c r="AG1089" s="29">
        <f t="shared" si="159"/>
        <v>0</v>
      </c>
    </row>
    <row r="1090" spans="1:37">
      <c r="A1090" s="180"/>
      <c r="B1090" s="437" t="s">
        <v>525</v>
      </c>
      <c r="C1090" s="47"/>
      <c r="D1090" s="565"/>
      <c r="E1090" s="319"/>
      <c r="F1090" s="320"/>
      <c r="G1090" s="4"/>
      <c r="H1090" s="47"/>
      <c r="I1090" s="565"/>
      <c r="J1090" s="319"/>
      <c r="K1090" s="320"/>
      <c r="L1090" s="4"/>
      <c r="M1090" s="47"/>
      <c r="N1090" s="565"/>
      <c r="O1090" s="319"/>
      <c r="P1090" s="320"/>
      <c r="R1090" s="47" t="s">
        <v>541</v>
      </c>
      <c r="S1090" s="47" t="s">
        <v>540</v>
      </c>
      <c r="T1090" s="319"/>
      <c r="U1090" s="320"/>
      <c r="W1090" s="47"/>
      <c r="X1090" s="565"/>
      <c r="Y1090" s="319"/>
      <c r="Z1090" s="320"/>
      <c r="AA1090" s="328">
        <f t="shared" si="164"/>
        <v>0</v>
      </c>
      <c r="AB1090" s="298">
        <f t="shared" si="163"/>
        <v>0</v>
      </c>
      <c r="AC1090" s="4"/>
      <c r="AD1090" s="47"/>
      <c r="AE1090" s="47"/>
      <c r="AF1090" s="319"/>
      <c r="AG1090" s="29">
        <f t="shared" si="159"/>
        <v>0</v>
      </c>
    </row>
    <row r="1091" spans="1:37">
      <c r="A1091" s="180"/>
      <c r="B1091" s="437" t="s">
        <v>505</v>
      </c>
      <c r="C1091" s="47"/>
      <c r="D1091" s="565"/>
      <c r="E1091" s="319"/>
      <c r="F1091" s="320"/>
      <c r="G1091" s="4"/>
      <c r="H1091" s="47"/>
      <c r="I1091" s="565"/>
      <c r="J1091" s="319"/>
      <c r="K1091" s="320"/>
      <c r="L1091" s="4"/>
      <c r="M1091" s="47"/>
      <c r="N1091" s="565"/>
      <c r="O1091" s="319"/>
      <c r="P1091" s="320"/>
      <c r="R1091" s="47" t="s">
        <v>541</v>
      </c>
      <c r="S1091" s="47" t="s">
        <v>542</v>
      </c>
      <c r="T1091" s="319"/>
      <c r="U1091" s="320"/>
      <c r="W1091" s="47"/>
      <c r="X1091" s="565"/>
      <c r="Y1091" s="319"/>
      <c r="Z1091" s="320"/>
      <c r="AA1091" s="328">
        <f t="shared" si="164"/>
        <v>0</v>
      </c>
      <c r="AB1091" s="298">
        <f t="shared" si="163"/>
        <v>0</v>
      </c>
      <c r="AC1091" s="4"/>
      <c r="AD1091" s="47"/>
      <c r="AE1091" s="47"/>
      <c r="AF1091" s="319"/>
      <c r="AG1091" s="29">
        <f t="shared" si="159"/>
        <v>0</v>
      </c>
    </row>
    <row r="1092" spans="1:37">
      <c r="A1092" s="180"/>
      <c r="B1092" s="437" t="s">
        <v>545</v>
      </c>
      <c r="C1092" s="47"/>
      <c r="D1092" s="565"/>
      <c r="E1092" s="319"/>
      <c r="F1092" s="320"/>
      <c r="G1092" s="4"/>
      <c r="H1092" s="47"/>
      <c r="I1092" s="565"/>
      <c r="J1092" s="319"/>
      <c r="K1092" s="320"/>
      <c r="L1092" s="4"/>
      <c r="M1092" s="47"/>
      <c r="N1092" s="565"/>
      <c r="O1092" s="319"/>
      <c r="P1092" s="320"/>
      <c r="R1092" s="47" t="s">
        <v>541</v>
      </c>
      <c r="S1092" s="47" t="s">
        <v>542</v>
      </c>
      <c r="T1092" s="319"/>
      <c r="U1092" s="320"/>
      <c r="W1092" s="47"/>
      <c r="X1092" s="565"/>
      <c r="Y1092" s="319"/>
      <c r="Z1092" s="320"/>
      <c r="AA1092" s="328">
        <f t="shared" si="164"/>
        <v>0</v>
      </c>
      <c r="AB1092" s="298">
        <f t="shared" si="163"/>
        <v>0</v>
      </c>
      <c r="AC1092" s="4"/>
      <c r="AD1092" s="47"/>
      <c r="AE1092" s="47"/>
      <c r="AF1092" s="319"/>
      <c r="AG1092" s="29">
        <f t="shared" si="159"/>
        <v>0</v>
      </c>
    </row>
    <row r="1093" spans="1:37">
      <c r="A1093" s="180"/>
      <c r="B1093" s="437" t="s">
        <v>266</v>
      </c>
      <c r="C1093" s="47"/>
      <c r="D1093" s="565"/>
      <c r="E1093" s="319"/>
      <c r="F1093" s="320"/>
      <c r="G1093" s="4"/>
      <c r="H1093" s="47"/>
      <c r="I1093" s="565"/>
      <c r="J1093" s="319"/>
      <c r="K1093" s="320"/>
      <c r="L1093" s="4"/>
      <c r="M1093" s="47"/>
      <c r="N1093" s="565"/>
      <c r="O1093" s="319"/>
      <c r="P1093" s="320"/>
      <c r="R1093" s="47" t="s">
        <v>539</v>
      </c>
      <c r="S1093" s="47" t="s">
        <v>540</v>
      </c>
      <c r="T1093" s="319"/>
      <c r="U1093" s="320"/>
      <c r="W1093" s="47"/>
      <c r="X1093" s="565"/>
      <c r="Y1093" s="319"/>
      <c r="Z1093" s="320"/>
      <c r="AA1093" s="328">
        <f t="shared" ref="AA1093:AA1094" si="165">(E1093+J1093+O1093+T1093+Y1093)</f>
        <v>0</v>
      </c>
      <c r="AB1093" s="298">
        <f t="shared" ref="AB1093:AB1094" si="166">Z1093+U1093+P1093+K1093+F1093</f>
        <v>0</v>
      </c>
      <c r="AC1093" s="4"/>
      <c r="AD1093" s="47"/>
      <c r="AE1093" s="47"/>
      <c r="AF1093" s="319"/>
      <c r="AG1093" s="29">
        <f t="shared" ref="AG1093:AG1094" si="167">AF1093</f>
        <v>0</v>
      </c>
    </row>
    <row r="1094" spans="1:37">
      <c r="A1094" s="180"/>
      <c r="B1094" s="437" t="s">
        <v>275</v>
      </c>
      <c r="C1094" s="47"/>
      <c r="D1094" s="565"/>
      <c r="E1094" s="319"/>
      <c r="F1094" s="320"/>
      <c r="G1094" s="4"/>
      <c r="H1094" s="47"/>
      <c r="I1094" s="565"/>
      <c r="J1094" s="319"/>
      <c r="K1094" s="320"/>
      <c r="L1094" s="4"/>
      <c r="M1094" s="47"/>
      <c r="N1094" s="565"/>
      <c r="O1094" s="319"/>
      <c r="P1094" s="320"/>
      <c r="R1094" s="47" t="s">
        <v>539</v>
      </c>
      <c r="S1094" s="47" t="s">
        <v>540</v>
      </c>
      <c r="T1094" s="319"/>
      <c r="U1094" s="320"/>
      <c r="W1094" s="47"/>
      <c r="X1094" s="565"/>
      <c r="Y1094" s="319"/>
      <c r="Z1094" s="320"/>
      <c r="AA1094" s="328">
        <f t="shared" si="165"/>
        <v>0</v>
      </c>
      <c r="AB1094" s="298">
        <f t="shared" si="166"/>
        <v>0</v>
      </c>
      <c r="AC1094" s="4"/>
      <c r="AD1094" s="47"/>
      <c r="AE1094" s="47"/>
      <c r="AF1094" s="319"/>
      <c r="AG1094" s="29">
        <f t="shared" si="167"/>
        <v>0</v>
      </c>
    </row>
    <row r="1095" spans="1:37">
      <c r="A1095" s="180"/>
      <c r="B1095" s="437" t="s">
        <v>272</v>
      </c>
      <c r="C1095" s="47"/>
      <c r="D1095" s="565"/>
      <c r="E1095" s="319"/>
      <c r="F1095" s="320"/>
      <c r="G1095" s="4"/>
      <c r="H1095" s="47"/>
      <c r="I1095" s="565"/>
      <c r="J1095" s="319"/>
      <c r="K1095" s="320"/>
      <c r="L1095" s="4"/>
      <c r="M1095" s="47"/>
      <c r="N1095" s="565"/>
      <c r="O1095" s="319"/>
      <c r="P1095" s="320"/>
      <c r="R1095" s="47" t="s">
        <v>539</v>
      </c>
      <c r="S1095" s="47" t="s">
        <v>540</v>
      </c>
      <c r="T1095" s="319"/>
      <c r="U1095" s="320"/>
      <c r="W1095" s="47"/>
      <c r="X1095" s="565"/>
      <c r="Y1095" s="319"/>
      <c r="Z1095" s="320"/>
      <c r="AA1095" s="328">
        <f t="shared" ref="AA1095" si="168">(E1095+J1095+O1095+T1095+Y1095)</f>
        <v>0</v>
      </c>
      <c r="AB1095" s="298">
        <f t="shared" ref="AB1095" si="169">Z1095+U1095+P1095+K1095+F1095</f>
        <v>0</v>
      </c>
      <c r="AC1095" s="4"/>
      <c r="AD1095" s="47"/>
      <c r="AE1095" s="47"/>
      <c r="AF1095" s="319"/>
      <c r="AG1095" s="29">
        <f t="shared" ref="AG1095" si="170">AF1095</f>
        <v>0</v>
      </c>
    </row>
    <row r="1096" spans="1:37">
      <c r="A1096" s="180"/>
      <c r="B1096" s="502" t="s">
        <v>483</v>
      </c>
      <c r="C1096" s="47"/>
      <c r="D1096" s="47"/>
      <c r="E1096" s="319"/>
      <c r="F1096" s="320"/>
      <c r="G1096" s="4"/>
      <c r="H1096" s="47"/>
      <c r="I1096" s="47"/>
      <c r="J1096" s="319"/>
      <c r="K1096" s="320"/>
      <c r="L1096" s="4"/>
      <c r="M1096" s="47"/>
      <c r="N1096" s="47"/>
      <c r="O1096" s="319"/>
      <c r="P1096" s="320"/>
      <c r="R1096" s="47"/>
      <c r="S1096" s="47"/>
      <c r="T1096" s="319"/>
      <c r="U1096" s="320"/>
      <c r="W1096" s="47"/>
      <c r="X1096" s="47"/>
      <c r="Y1096" s="319"/>
      <c r="Z1096" s="320"/>
      <c r="AA1096" s="328">
        <f t="shared" si="164"/>
        <v>0</v>
      </c>
      <c r="AB1096" s="298">
        <f t="shared" si="163"/>
        <v>0</v>
      </c>
      <c r="AC1096" s="4"/>
      <c r="AD1096" s="47"/>
      <c r="AE1096" s="47"/>
      <c r="AF1096" s="319"/>
      <c r="AG1096" s="29">
        <f t="shared" si="159"/>
        <v>0</v>
      </c>
    </row>
    <row r="1097" spans="1:37">
      <c r="A1097" s="180"/>
      <c r="B1097" s="502" t="s">
        <v>484</v>
      </c>
      <c r="C1097" s="47"/>
      <c r="D1097" s="47"/>
      <c r="E1097" s="319"/>
      <c r="F1097" s="320"/>
      <c r="G1097" s="4"/>
      <c r="H1097" s="47"/>
      <c r="I1097" s="47"/>
      <c r="J1097" s="319"/>
      <c r="K1097" s="320"/>
      <c r="L1097" s="4"/>
      <c r="M1097" s="47"/>
      <c r="N1097" s="47"/>
      <c r="O1097" s="319"/>
      <c r="P1097" s="320"/>
      <c r="R1097" s="47"/>
      <c r="S1097" s="47"/>
      <c r="T1097" s="319"/>
      <c r="U1097" s="320"/>
      <c r="W1097" s="47"/>
      <c r="X1097" s="47"/>
      <c r="Y1097" s="319"/>
      <c r="Z1097" s="320"/>
      <c r="AA1097" s="328">
        <f t="shared" si="164"/>
        <v>0</v>
      </c>
      <c r="AB1097" s="298">
        <f t="shared" si="163"/>
        <v>0</v>
      </c>
      <c r="AC1097" s="4"/>
      <c r="AD1097" s="47"/>
      <c r="AE1097" s="47"/>
      <c r="AF1097" s="319"/>
      <c r="AG1097" s="29">
        <f t="shared" si="159"/>
        <v>0</v>
      </c>
    </row>
    <row r="1098" spans="1:37">
      <c r="A1098" s="180"/>
      <c r="B1098" s="502" t="s">
        <v>485</v>
      </c>
      <c r="C1098" s="47"/>
      <c r="D1098" s="47"/>
      <c r="E1098" s="319"/>
      <c r="F1098" s="320"/>
      <c r="G1098" s="4"/>
      <c r="H1098" s="47"/>
      <c r="I1098" s="47"/>
      <c r="J1098" s="319"/>
      <c r="K1098" s="320"/>
      <c r="L1098" s="4"/>
      <c r="M1098" s="47"/>
      <c r="N1098" s="47"/>
      <c r="O1098" s="319"/>
      <c r="P1098" s="320"/>
      <c r="R1098" s="47"/>
      <c r="S1098" s="47"/>
      <c r="T1098" s="319"/>
      <c r="U1098" s="320"/>
      <c r="W1098" s="47"/>
      <c r="X1098" s="47"/>
      <c r="Y1098" s="319"/>
      <c r="Z1098" s="320"/>
      <c r="AA1098" s="328">
        <f t="shared" si="164"/>
        <v>0</v>
      </c>
      <c r="AB1098" s="298">
        <f t="shared" si="163"/>
        <v>0</v>
      </c>
      <c r="AC1098" s="4"/>
      <c r="AD1098" s="47"/>
      <c r="AE1098" s="47"/>
      <c r="AF1098" s="319"/>
      <c r="AG1098" s="29">
        <f t="shared" si="159"/>
        <v>0</v>
      </c>
    </row>
    <row r="1099" spans="1:37">
      <c r="A1099" s="180"/>
      <c r="B1099" s="502" t="s">
        <v>486</v>
      </c>
      <c r="C1099" s="47"/>
      <c r="D1099" s="47"/>
      <c r="E1099" s="319"/>
      <c r="F1099" s="320"/>
      <c r="G1099" s="4"/>
      <c r="H1099" s="47"/>
      <c r="I1099" s="47"/>
      <c r="J1099" s="319"/>
      <c r="K1099" s="320"/>
      <c r="L1099" s="4"/>
      <c r="M1099" s="47"/>
      <c r="N1099" s="47"/>
      <c r="O1099" s="319"/>
      <c r="P1099" s="320"/>
      <c r="R1099" s="47"/>
      <c r="S1099" s="47"/>
      <c r="T1099" s="319"/>
      <c r="U1099" s="320"/>
      <c r="W1099" s="47"/>
      <c r="X1099" s="47"/>
      <c r="Y1099" s="319"/>
      <c r="Z1099" s="320"/>
      <c r="AA1099" s="328">
        <f t="shared" si="164"/>
        <v>0</v>
      </c>
      <c r="AB1099" s="298">
        <f t="shared" si="163"/>
        <v>0</v>
      </c>
      <c r="AC1099" s="4"/>
      <c r="AD1099" s="47"/>
      <c r="AE1099" s="47"/>
      <c r="AF1099" s="319"/>
      <c r="AG1099" s="29">
        <f t="shared" si="159"/>
        <v>0</v>
      </c>
    </row>
    <row r="1100" spans="1:37">
      <c r="A1100" s="180"/>
      <c r="B1100" s="63" t="s">
        <v>63</v>
      </c>
      <c r="C1100" s="47"/>
      <c r="D1100" s="47"/>
      <c r="E1100" s="319">
        <v>4</v>
      </c>
      <c r="F1100" s="320"/>
      <c r="G1100" s="4"/>
      <c r="H1100" s="47"/>
      <c r="I1100" s="47"/>
      <c r="J1100" s="319">
        <v>4</v>
      </c>
      <c r="K1100" s="320"/>
      <c r="L1100" s="4"/>
      <c r="M1100" s="47"/>
      <c r="N1100" s="313"/>
      <c r="O1100" s="319">
        <v>4</v>
      </c>
      <c r="P1100" s="320"/>
      <c r="R1100" s="47"/>
      <c r="S1100" s="47"/>
      <c r="T1100" s="319">
        <v>4</v>
      </c>
      <c r="U1100" s="320"/>
      <c r="W1100" s="47"/>
      <c r="X1100" s="47"/>
      <c r="Y1100" s="319">
        <v>0</v>
      </c>
      <c r="Z1100" s="320"/>
      <c r="AA1100" s="328">
        <f t="shared" si="164"/>
        <v>16</v>
      </c>
      <c r="AB1100" s="298">
        <f t="shared" si="163"/>
        <v>0</v>
      </c>
      <c r="AC1100" s="4"/>
      <c r="AD1100" s="47"/>
      <c r="AE1100" s="47"/>
      <c r="AF1100" s="319"/>
      <c r="AG1100" s="29">
        <f t="shared" si="159"/>
        <v>0</v>
      </c>
    </row>
    <row r="1101" spans="1:37">
      <c r="A1101" s="180"/>
      <c r="B1101" s="267" t="s">
        <v>358</v>
      </c>
      <c r="C1101" s="47"/>
      <c r="D1101" s="47"/>
      <c r="E1101" s="319"/>
      <c r="F1101" s="320"/>
      <c r="G1101" s="438"/>
      <c r="H1101" s="47"/>
      <c r="I1101" s="47"/>
      <c r="J1101" s="319"/>
      <c r="K1101" s="320"/>
      <c r="L1101" s="438"/>
      <c r="M1101" s="47"/>
      <c r="N1101" s="47"/>
      <c r="O1101" s="319"/>
      <c r="P1101" s="320"/>
      <c r="Q1101" s="438"/>
      <c r="R1101" s="47"/>
      <c r="S1101" s="47"/>
      <c r="T1101" s="319"/>
      <c r="U1101" s="320"/>
      <c r="V1101" s="438"/>
      <c r="W1101" s="47"/>
      <c r="X1101" s="47"/>
      <c r="Y1101" s="319"/>
      <c r="Z1101" s="320"/>
      <c r="AA1101" s="328">
        <f t="shared" si="164"/>
        <v>0</v>
      </c>
      <c r="AB1101" s="298">
        <f t="shared" si="163"/>
        <v>0</v>
      </c>
      <c r="AC1101" s="4"/>
      <c r="AD1101" s="47"/>
      <c r="AE1101" s="47"/>
      <c r="AF1101" s="319"/>
      <c r="AG1101" s="29">
        <f t="shared" si="159"/>
        <v>0</v>
      </c>
      <c r="AK1101" s="407"/>
    </row>
    <row r="1102" spans="1:37">
      <c r="A1102" s="180"/>
      <c r="B1102" s="267" t="s">
        <v>532</v>
      </c>
      <c r="C1102" s="47"/>
      <c r="D1102" s="47"/>
      <c r="E1102" s="319"/>
      <c r="F1102" s="320"/>
      <c r="G1102" s="438"/>
      <c r="H1102" s="47"/>
      <c r="I1102" s="47"/>
      <c r="J1102" s="319"/>
      <c r="K1102" s="320"/>
      <c r="L1102" s="438"/>
      <c r="M1102" s="47"/>
      <c r="N1102" s="47"/>
      <c r="O1102" s="319"/>
      <c r="P1102" s="320"/>
      <c r="Q1102" s="438"/>
      <c r="R1102" s="47"/>
      <c r="S1102" s="47"/>
      <c r="T1102" s="319"/>
      <c r="U1102" s="320"/>
      <c r="V1102" s="438"/>
      <c r="W1102" s="47"/>
      <c r="X1102" s="47"/>
      <c r="Y1102" s="319"/>
      <c r="Z1102" s="320"/>
      <c r="AA1102" s="328">
        <f t="shared" si="164"/>
        <v>0</v>
      </c>
      <c r="AB1102" s="298">
        <f t="shared" si="163"/>
        <v>0</v>
      </c>
      <c r="AC1102" s="4"/>
      <c r="AD1102" s="47"/>
      <c r="AE1102" s="47"/>
      <c r="AF1102" s="319"/>
      <c r="AG1102" s="29">
        <f t="shared" si="159"/>
        <v>0</v>
      </c>
      <c r="AK1102" s="407"/>
    </row>
    <row r="1103" spans="1:37">
      <c r="A1103" s="180"/>
      <c r="B1103" s="267" t="s">
        <v>411</v>
      </c>
      <c r="C1103" s="47"/>
      <c r="D1103" s="47"/>
      <c r="E1103" s="319"/>
      <c r="F1103" s="320"/>
      <c r="G1103" s="438"/>
      <c r="H1103" s="47"/>
      <c r="I1103" s="47"/>
      <c r="J1103" s="319"/>
      <c r="K1103" s="320"/>
      <c r="L1103" s="438"/>
      <c r="M1103" s="47"/>
      <c r="N1103" s="47"/>
      <c r="O1103" s="319"/>
      <c r="P1103" s="320"/>
      <c r="Q1103" s="438"/>
      <c r="R1103" s="47"/>
      <c r="S1103" s="47"/>
      <c r="T1103" s="319"/>
      <c r="U1103" s="320"/>
      <c r="V1103" s="438"/>
      <c r="W1103" s="47"/>
      <c r="X1103" s="47"/>
      <c r="Y1103" s="319"/>
      <c r="Z1103" s="320"/>
      <c r="AA1103" s="328">
        <f t="shared" si="164"/>
        <v>0</v>
      </c>
      <c r="AB1103" s="298">
        <f t="shared" si="163"/>
        <v>0</v>
      </c>
      <c r="AC1103" s="4"/>
      <c r="AD1103" s="47"/>
      <c r="AE1103" s="47"/>
      <c r="AF1103" s="319"/>
      <c r="AG1103" s="29">
        <f t="shared" si="159"/>
        <v>0</v>
      </c>
      <c r="AK1103" s="407"/>
    </row>
    <row r="1104" spans="1:37">
      <c r="A1104" s="180"/>
      <c r="B1104" s="267" t="s">
        <v>361</v>
      </c>
      <c r="C1104" s="47"/>
      <c r="D1104" s="47"/>
      <c r="E1104" s="319"/>
      <c r="F1104" s="320"/>
      <c r="G1104" s="438"/>
      <c r="H1104" s="47"/>
      <c r="I1104" s="47"/>
      <c r="J1104" s="319"/>
      <c r="K1104" s="320"/>
      <c r="L1104" s="438"/>
      <c r="M1104" s="47"/>
      <c r="N1104" s="47"/>
      <c r="O1104" s="319"/>
      <c r="P1104" s="320"/>
      <c r="Q1104" s="438"/>
      <c r="R1104" s="47"/>
      <c r="S1104" s="47"/>
      <c r="T1104" s="319"/>
      <c r="U1104" s="320"/>
      <c r="V1104" s="438"/>
      <c r="W1104" s="47"/>
      <c r="X1104" s="47"/>
      <c r="Y1104" s="319"/>
      <c r="Z1104" s="320"/>
      <c r="AA1104" s="328">
        <f t="shared" si="164"/>
        <v>0</v>
      </c>
      <c r="AB1104" s="298">
        <f t="shared" si="163"/>
        <v>0</v>
      </c>
      <c r="AC1104" s="4"/>
      <c r="AD1104" s="47"/>
      <c r="AE1104" s="47"/>
      <c r="AF1104" s="319"/>
      <c r="AG1104" s="29">
        <f t="shared" si="159"/>
        <v>0</v>
      </c>
      <c r="AK1104" s="407"/>
    </row>
    <row r="1105" spans="1:49">
      <c r="A1105" s="180"/>
      <c r="B1105" s="267" t="s">
        <v>362</v>
      </c>
      <c r="C1105" s="47"/>
      <c r="D1105" s="47"/>
      <c r="E1105" s="319"/>
      <c r="F1105" s="320"/>
      <c r="G1105" s="438"/>
      <c r="H1105" s="47"/>
      <c r="I1105" s="47"/>
      <c r="J1105" s="319"/>
      <c r="K1105" s="320"/>
      <c r="L1105" s="438"/>
      <c r="M1105" s="47"/>
      <c r="N1105" s="47"/>
      <c r="O1105" s="319"/>
      <c r="P1105" s="320"/>
      <c r="Q1105" s="438"/>
      <c r="R1105" s="47"/>
      <c r="S1105" s="47"/>
      <c r="T1105" s="319"/>
      <c r="U1105" s="320"/>
      <c r="V1105" s="438"/>
      <c r="W1105" s="47"/>
      <c r="X1105" s="47"/>
      <c r="Y1105" s="319"/>
      <c r="Z1105" s="320"/>
      <c r="AA1105" s="328">
        <f t="shared" si="164"/>
        <v>0</v>
      </c>
      <c r="AB1105" s="298">
        <f t="shared" si="163"/>
        <v>0</v>
      </c>
      <c r="AC1105" s="4"/>
      <c r="AD1105" s="47"/>
      <c r="AE1105" s="47"/>
      <c r="AF1105" s="319"/>
      <c r="AG1105" s="29">
        <f t="shared" si="159"/>
        <v>0</v>
      </c>
      <c r="AK1105" s="407"/>
    </row>
    <row r="1106" spans="1:49">
      <c r="A1106" s="180"/>
      <c r="B1106" s="437" t="s">
        <v>355</v>
      </c>
      <c r="C1106" s="47"/>
      <c r="D1106" s="47"/>
      <c r="E1106" s="319"/>
      <c r="F1106" s="320"/>
      <c r="G1106" s="438"/>
      <c r="H1106" s="47"/>
      <c r="I1106" s="47"/>
      <c r="J1106" s="319"/>
      <c r="K1106" s="320"/>
      <c r="L1106" s="438"/>
      <c r="M1106" s="47"/>
      <c r="N1106" s="47"/>
      <c r="O1106" s="319"/>
      <c r="P1106" s="320"/>
      <c r="Q1106" s="438"/>
      <c r="R1106" s="47"/>
      <c r="S1106" s="47"/>
      <c r="T1106" s="319"/>
      <c r="U1106" s="320"/>
      <c r="V1106" s="438"/>
      <c r="W1106" s="47"/>
      <c r="X1106" s="47"/>
      <c r="Y1106" s="319"/>
      <c r="Z1106" s="320"/>
      <c r="AA1106" s="328">
        <f t="shared" si="164"/>
        <v>0</v>
      </c>
      <c r="AB1106" s="298">
        <f t="shared" si="163"/>
        <v>0</v>
      </c>
      <c r="AC1106" s="4"/>
      <c r="AD1106" s="47"/>
      <c r="AE1106" s="47"/>
      <c r="AF1106" s="319"/>
      <c r="AG1106" s="29">
        <f t="shared" si="159"/>
        <v>0</v>
      </c>
      <c r="AK1106" s="407"/>
    </row>
    <row r="1107" spans="1:49">
      <c r="A1107" s="180"/>
      <c r="B1107" s="437" t="s">
        <v>356</v>
      </c>
      <c r="C1107" s="47"/>
      <c r="D1107" s="47"/>
      <c r="E1107" s="319"/>
      <c r="F1107" s="320"/>
      <c r="G1107" s="438"/>
      <c r="H1107" s="47"/>
      <c r="I1107" s="47"/>
      <c r="J1107" s="319"/>
      <c r="K1107" s="320"/>
      <c r="L1107" s="438"/>
      <c r="M1107" s="47"/>
      <c r="N1107" s="47"/>
      <c r="O1107" s="319"/>
      <c r="P1107" s="320"/>
      <c r="Q1107" s="438"/>
      <c r="R1107" s="47"/>
      <c r="S1107" s="47"/>
      <c r="T1107" s="319"/>
      <c r="U1107" s="320"/>
      <c r="V1107" s="438"/>
      <c r="W1107" s="47"/>
      <c r="X1107" s="47"/>
      <c r="Y1107" s="319"/>
      <c r="Z1107" s="320"/>
      <c r="AA1107" s="328">
        <f t="shared" si="164"/>
        <v>0</v>
      </c>
      <c r="AB1107" s="298">
        <f t="shared" si="163"/>
        <v>0</v>
      </c>
      <c r="AC1107" s="4"/>
      <c r="AD1107" s="47"/>
      <c r="AE1107" s="47"/>
      <c r="AF1107" s="319"/>
      <c r="AG1107" s="29">
        <f t="shared" si="159"/>
        <v>0</v>
      </c>
      <c r="AK1107" s="407"/>
    </row>
    <row r="1108" spans="1:49">
      <c r="A1108" s="180"/>
      <c r="B1108" s="64" t="s">
        <v>61</v>
      </c>
      <c r="C1108" s="31"/>
      <c r="D1108" s="31"/>
      <c r="E1108" s="439">
        <f>SUM(E1066:E1107)</f>
        <v>8</v>
      </c>
      <c r="F1108" s="320">
        <f>SUM(F1066:F1107)</f>
        <v>0</v>
      </c>
      <c r="G1108" s="31"/>
      <c r="H1108" s="31"/>
      <c r="I1108" s="31"/>
      <c r="J1108" s="439">
        <f>SUM(J1066:J1107)</f>
        <v>8</v>
      </c>
      <c r="K1108" s="320">
        <f>SUM(K1066:K1107)</f>
        <v>0</v>
      </c>
      <c r="L1108" s="31"/>
      <c r="M1108" s="31"/>
      <c r="N1108" s="31"/>
      <c r="O1108" s="439">
        <f>SUM(O1066:O1107)</f>
        <v>20</v>
      </c>
      <c r="P1108" s="320">
        <f>SUM(P1066:P1107)</f>
        <v>0</v>
      </c>
      <c r="Q1108" s="31"/>
      <c r="R1108" s="31"/>
      <c r="S1108" s="31"/>
      <c r="T1108" s="439">
        <f>SUM(T1066:T1107)</f>
        <v>4</v>
      </c>
      <c r="U1108" s="320">
        <f>SUM(U1066:U1107)</f>
        <v>0</v>
      </c>
      <c r="V1108" s="31"/>
      <c r="W1108" s="31"/>
      <c r="X1108" s="31"/>
      <c r="Y1108" s="439">
        <f>SUM(Y1066:Y1107)</f>
        <v>8</v>
      </c>
      <c r="Z1108" s="320">
        <f>SUM(Z1066:Z1107)</f>
        <v>0</v>
      </c>
      <c r="AA1108" s="370" t="e">
        <f>SUM(AA1066:AA1107)</f>
        <v>#REF!</v>
      </c>
      <c r="AB1108" s="370">
        <f>SUM(AB1066:AB1107)</f>
        <v>0</v>
      </c>
      <c r="AC1108" s="4"/>
      <c r="AD1108" s="64"/>
      <c r="AE1108" s="64"/>
      <c r="AF1108" s="370">
        <f>SUM(AF1066:AF1107)</f>
        <v>0</v>
      </c>
      <c r="AG1108" s="370">
        <f>SUM(AG1066:AG1107)</f>
        <v>0</v>
      </c>
    </row>
    <row r="1109" spans="1:49">
      <c r="A1109" s="180"/>
      <c r="B1109" s="63" t="s">
        <v>64</v>
      </c>
      <c r="C1109" s="47"/>
      <c r="D1109" s="47"/>
      <c r="E1109" s="319">
        <v>4</v>
      </c>
      <c r="F1109" s="19"/>
      <c r="G1109" s="613"/>
      <c r="H1109" s="47"/>
      <c r="I1109" s="47"/>
      <c r="J1109" s="319">
        <v>4</v>
      </c>
      <c r="K1109" s="19"/>
      <c r="L1109" s="60"/>
      <c r="M1109" s="47"/>
      <c r="N1109" s="47"/>
      <c r="O1109" s="319">
        <v>0</v>
      </c>
      <c r="P1109" s="19"/>
      <c r="Q1109" s="60"/>
      <c r="R1109" s="47"/>
      <c r="S1109" s="47"/>
      <c r="T1109" s="319">
        <v>4</v>
      </c>
      <c r="U1109" s="19"/>
      <c r="V1109" s="60"/>
      <c r="W1109" s="47"/>
      <c r="X1109" s="47"/>
      <c r="Y1109" s="319">
        <v>4</v>
      </c>
      <c r="Z1109" s="19"/>
      <c r="AA1109" s="28">
        <f>SUM(E1109+J1109+O1109+T1109+Y1109)</f>
        <v>16</v>
      </c>
      <c r="AB1109" s="296">
        <f>Z1109+U1109+P1109+K1109+F1109</f>
        <v>0</v>
      </c>
      <c r="AC1109" s="4"/>
      <c r="AD1109" s="47" t="s">
        <v>29</v>
      </c>
      <c r="AE1109" s="47" t="s">
        <v>29</v>
      </c>
      <c r="AF1109" s="319"/>
      <c r="AG1109" s="29">
        <f>AF1109</f>
        <v>0</v>
      </c>
    </row>
    <row r="1110" spans="1:49">
      <c r="A1110" s="180"/>
      <c r="B1110" s="71" t="s">
        <v>66</v>
      </c>
      <c r="C1110" s="371"/>
      <c r="D1110" s="371"/>
      <c r="E1110" s="71"/>
      <c r="F1110" s="71"/>
      <c r="G1110" s="71"/>
      <c r="H1110" s="71"/>
      <c r="I1110" s="71"/>
      <c r="J1110" s="71"/>
      <c r="K1110" s="71"/>
      <c r="L1110" s="71"/>
      <c r="M1110" s="71"/>
      <c r="N1110" s="71"/>
      <c r="O1110" s="71"/>
      <c r="P1110" s="71"/>
      <c r="Q1110" s="71"/>
      <c r="R1110" s="71"/>
      <c r="S1110" s="71"/>
      <c r="T1110" s="71"/>
      <c r="U1110" s="71"/>
      <c r="V1110" s="71"/>
      <c r="W1110" s="71"/>
      <c r="X1110" s="71"/>
      <c r="Y1110" s="71"/>
      <c r="Z1110" s="71"/>
      <c r="AA1110" s="370">
        <f>SUM(AA1109:AA1109)</f>
        <v>16</v>
      </c>
      <c r="AB1110" s="370">
        <f>SUM(AB1109:AB1109)</f>
        <v>0</v>
      </c>
      <c r="AC1110" s="4"/>
      <c r="AG1110" s="370">
        <f>SUM(AG1109:AG1109)</f>
        <v>0</v>
      </c>
    </row>
    <row r="1111" spans="1:49">
      <c r="A1111" s="180"/>
      <c r="B1111" s="217" t="s">
        <v>67</v>
      </c>
      <c r="C1111" s="207">
        <f>C1112+C1113</f>
        <v>0</v>
      </c>
      <c r="D1111" s="207"/>
      <c r="E1111" s="209"/>
      <c r="F1111" s="209"/>
      <c r="G1111" s="207"/>
      <c r="H1111" s="209"/>
      <c r="I1111" s="209"/>
      <c r="J1111" s="209"/>
      <c r="K1111" s="209"/>
      <c r="L1111" s="207"/>
      <c r="M1111" s="207"/>
      <c r="N1111" s="207"/>
      <c r="O1111" s="207"/>
      <c r="P1111" s="209"/>
      <c r="Q1111" s="207"/>
      <c r="R1111" s="207"/>
      <c r="S1111" s="207"/>
      <c r="T1111" s="207"/>
      <c r="U1111" s="209"/>
      <c r="V1111" s="207"/>
      <c r="W1111" s="207"/>
      <c r="X1111" s="207"/>
      <c r="Y1111" s="210"/>
      <c r="Z1111" s="209"/>
      <c r="AA1111" s="211"/>
      <c r="AB1111" s="209"/>
      <c r="AC1111" s="211"/>
      <c r="AD1111" s="211"/>
      <c r="AE1111" s="211"/>
      <c r="AF1111" s="211"/>
      <c r="AG1111" s="211"/>
    </row>
    <row r="1112" spans="1:49">
      <c r="A1112" s="180"/>
      <c r="B1112" s="238" t="s">
        <v>68</v>
      </c>
      <c r="C1112" s="239"/>
      <c r="D1112" s="207"/>
      <c r="E1112" s="209"/>
      <c r="F1112" s="209"/>
      <c r="G1112" s="207"/>
      <c r="H1112" s="209"/>
      <c r="I1112" s="209"/>
      <c r="J1112" s="209"/>
      <c r="K1112" s="209"/>
      <c r="L1112" s="207"/>
      <c r="M1112" s="207"/>
      <c r="N1112" s="207"/>
      <c r="O1112" s="207"/>
      <c r="P1112" s="209"/>
      <c r="Q1112" s="207"/>
      <c r="R1112" s="207"/>
      <c r="S1112" s="207"/>
      <c r="T1112" s="207"/>
      <c r="U1112" s="209"/>
      <c r="V1112" s="207"/>
      <c r="W1112" s="207"/>
      <c r="X1112" s="207"/>
      <c r="Y1112" s="210"/>
      <c r="Z1112" s="209"/>
      <c r="AA1112" s="211"/>
      <c r="AB1112" s="209"/>
      <c r="AC1112" s="211"/>
      <c r="AD1112" s="211"/>
      <c r="AE1112" s="211"/>
      <c r="AF1112" s="211"/>
      <c r="AG1112" s="211"/>
    </row>
    <row r="1113" spans="1:49">
      <c r="A1113" s="180"/>
      <c r="B1113" s="238" t="s">
        <v>69</v>
      </c>
      <c r="C1113" s="239"/>
      <c r="D1113" s="207"/>
      <c r="E1113" s="209"/>
      <c r="F1113" s="209"/>
      <c r="G1113" s="207"/>
      <c r="H1113" s="209"/>
      <c r="I1113" s="209"/>
      <c r="J1113" s="209"/>
      <c r="K1113" s="209"/>
      <c r="L1113" s="207"/>
      <c r="M1113" s="207"/>
      <c r="N1113" s="207"/>
      <c r="O1113" s="207"/>
      <c r="P1113" s="209"/>
      <c r="Q1113" s="207"/>
      <c r="R1113" s="207"/>
      <c r="S1113" s="207"/>
      <c r="T1113" s="207"/>
      <c r="U1113" s="209"/>
      <c r="V1113" s="207"/>
      <c r="W1113" s="207"/>
      <c r="X1113" s="207"/>
      <c r="Y1113" s="210"/>
      <c r="Z1113" s="209"/>
      <c r="AA1113" s="211"/>
      <c r="AB1113" s="209"/>
      <c r="AC1113" s="211"/>
      <c r="AD1113" s="211"/>
      <c r="AE1113" s="211"/>
      <c r="AF1113" s="211"/>
      <c r="AG1113" s="211"/>
    </row>
    <row r="1114" spans="1:49">
      <c r="B1114" s="180"/>
      <c r="E1114" s="4"/>
      <c r="F1114" s="4"/>
      <c r="G1114" s="4"/>
      <c r="J1114" s="4"/>
      <c r="K1114" s="4"/>
      <c r="L1114" s="4"/>
      <c r="O1114" s="4"/>
      <c r="P1114" s="4"/>
      <c r="T1114" s="4"/>
      <c r="U1114" s="4"/>
      <c r="Y1114" s="4"/>
      <c r="Z1114" s="4"/>
      <c r="AA1114" s="4"/>
      <c r="AB1114" s="4"/>
      <c r="AC1114" s="4"/>
    </row>
    <row r="1115" spans="1:49">
      <c r="A1115" s="180"/>
      <c r="B1115" s="229"/>
      <c r="C1115" s="230"/>
      <c r="D1115" s="230"/>
      <c r="E1115" s="232"/>
      <c r="F1115" s="232"/>
      <c r="G1115" s="230"/>
      <c r="H1115" s="232"/>
      <c r="I1115" s="232"/>
      <c r="J1115" s="232"/>
      <c r="K1115" s="232"/>
      <c r="L1115" s="230"/>
      <c r="M1115" s="230"/>
      <c r="N1115" s="230"/>
      <c r="O1115" s="230"/>
      <c r="P1115" s="232"/>
      <c r="Q1115" s="230"/>
      <c r="R1115" s="230"/>
      <c r="S1115" s="230"/>
      <c r="T1115" s="230"/>
      <c r="U1115" s="232"/>
      <c r="V1115" s="230"/>
      <c r="W1115" s="230"/>
      <c r="X1115" s="230"/>
      <c r="Y1115" s="233"/>
      <c r="Z1115" s="232"/>
      <c r="AA1115" s="234"/>
      <c r="AB1115" s="232"/>
      <c r="AC1115" s="373"/>
      <c r="AD1115" s="236"/>
      <c r="AE1115" s="255"/>
      <c r="AF1115" s="255"/>
      <c r="AG1115" s="255"/>
      <c r="AH1115" s="255"/>
      <c r="AJ1115" s="255"/>
      <c r="AK1115" s="255"/>
      <c r="AL1115" s="255"/>
      <c r="AM1115" s="255"/>
      <c r="AN1115" s="255"/>
      <c r="AO1115" s="255"/>
      <c r="AP1115" s="255"/>
      <c r="AQ1115" s="255"/>
      <c r="AR1115" s="255"/>
      <c r="AS1115" s="255"/>
      <c r="AT1115" s="255"/>
      <c r="AU1115" s="255"/>
      <c r="AV1115" s="255"/>
      <c r="AW1115" s="255"/>
    </row>
    <row r="1116" spans="1:49">
      <c r="B1116" s="180"/>
      <c r="E1116" s="4"/>
      <c r="F1116" s="4"/>
      <c r="G1116" s="4"/>
      <c r="J1116" s="4"/>
      <c r="K1116" s="4"/>
      <c r="L1116" s="4"/>
      <c r="O1116" s="4"/>
      <c r="P1116" s="4"/>
      <c r="T1116" s="4"/>
      <c r="U1116" s="4"/>
      <c r="Y1116" s="4"/>
      <c r="Z1116" s="4"/>
      <c r="AA1116" s="4"/>
      <c r="AB1116" s="4"/>
      <c r="AC1116" s="4"/>
      <c r="AK1116" s="180"/>
      <c r="AL1116" s="180"/>
      <c r="AM1116" s="180"/>
      <c r="AN1116" s="180"/>
      <c r="AO1116" s="180"/>
      <c r="AP1116" s="180"/>
    </row>
    <row r="1117" spans="1:49">
      <c r="A1117" s="228"/>
      <c r="B1117" s="1518" t="s">
        <v>18</v>
      </c>
      <c r="C1117" s="1519">
        <v>45537</v>
      </c>
      <c r="D1117" s="1519"/>
      <c r="E1117" s="1519"/>
      <c r="F1117" s="1519"/>
      <c r="G1117" s="365"/>
      <c r="H1117" s="1519">
        <v>45538</v>
      </c>
      <c r="I1117" s="1519"/>
      <c r="J1117" s="1519"/>
      <c r="K1117" s="1519"/>
      <c r="L1117" s="365"/>
      <c r="M1117" s="1519">
        <v>45539</v>
      </c>
      <c r="N1117" s="1519"/>
      <c r="O1117" s="1519"/>
      <c r="P1117" s="1519"/>
      <c r="Q1117" s="365"/>
      <c r="R1117" s="1519">
        <v>45540</v>
      </c>
      <c r="S1117" s="1519"/>
      <c r="T1117" s="1519"/>
      <c r="U1117" s="1519"/>
      <c r="V1117" s="365"/>
      <c r="W1117" s="1519">
        <v>45541</v>
      </c>
      <c r="X1117" s="1519"/>
      <c r="Y1117" s="1519"/>
      <c r="Z1117" s="1519"/>
      <c r="AA1117" s="1517" t="s">
        <v>19</v>
      </c>
      <c r="AB1117" s="1517" t="s">
        <v>20</v>
      </c>
      <c r="AC1117" s="4"/>
      <c r="AD1117" s="1519">
        <v>45542</v>
      </c>
      <c r="AE1117" s="1519"/>
      <c r="AF1117" s="1519"/>
      <c r="AG1117" s="1517" t="s">
        <v>21</v>
      </c>
      <c r="AI1117" s="368"/>
      <c r="AK1117" s="194" t="s">
        <v>84</v>
      </c>
      <c r="AL1117" s="366"/>
      <c r="AM1117" s="366"/>
      <c r="AN1117" s="366"/>
      <c r="AO1117" s="366"/>
      <c r="AP1117" s="366"/>
    </row>
    <row r="1118" spans="1:49">
      <c r="A1118" s="180"/>
      <c r="B1118" s="1518"/>
      <c r="C1118" s="21" t="s">
        <v>23</v>
      </c>
      <c r="D1118" s="21" t="s">
        <v>24</v>
      </c>
      <c r="E1118" s="205" t="s">
        <v>25</v>
      </c>
      <c r="F1118" s="18" t="s">
        <v>14</v>
      </c>
      <c r="G1118" s="4"/>
      <c r="H1118" s="21" t="s">
        <v>23</v>
      </c>
      <c r="I1118" s="21" t="s">
        <v>24</v>
      </c>
      <c r="J1118" s="18" t="s">
        <v>25</v>
      </c>
      <c r="K1118" s="18" t="s">
        <v>14</v>
      </c>
      <c r="L1118" s="4"/>
      <c r="M1118" s="21" t="s">
        <v>23</v>
      </c>
      <c r="N1118" s="21" t="s">
        <v>24</v>
      </c>
      <c r="O1118" s="18" t="s">
        <v>25</v>
      </c>
      <c r="P1118" s="18" t="s">
        <v>14</v>
      </c>
      <c r="R1118" s="21" t="s">
        <v>23</v>
      </c>
      <c r="S1118" s="21" t="s">
        <v>24</v>
      </c>
      <c r="T1118" s="18" t="s">
        <v>25</v>
      </c>
      <c r="U1118" s="18" t="s">
        <v>14</v>
      </c>
      <c r="W1118" s="21" t="s">
        <v>23</v>
      </c>
      <c r="X1118" s="21" t="s">
        <v>24</v>
      </c>
      <c r="Y1118" s="18" t="s">
        <v>25</v>
      </c>
      <c r="Z1118" s="18" t="s">
        <v>14</v>
      </c>
      <c r="AA1118" s="1517"/>
      <c r="AB1118" s="1517"/>
      <c r="AC1118" s="4"/>
      <c r="AD1118" s="21" t="s">
        <v>23</v>
      </c>
      <c r="AE1118" s="21" t="s">
        <v>24</v>
      </c>
      <c r="AF1118" s="18" t="s">
        <v>25</v>
      </c>
      <c r="AG1118" s="1517"/>
      <c r="AI1118" s="368"/>
      <c r="AJ1118" s="367"/>
      <c r="AK1118" s="188" t="s">
        <v>26</v>
      </c>
      <c r="AL1118" s="196">
        <f>AA1156</f>
        <v>57</v>
      </c>
      <c r="AM1118" s="510">
        <v>38</v>
      </c>
      <c r="AN1118" s="510">
        <f>AL1118*AM1118</f>
        <v>2166</v>
      </c>
      <c r="AQ1118" s="367"/>
      <c r="AR1118" s="367"/>
      <c r="AS1118" s="367"/>
      <c r="AT1118" s="367"/>
      <c r="AU1118" s="367"/>
      <c r="AV1118" s="367"/>
      <c r="AW1118" s="367"/>
    </row>
    <row r="1119" spans="1:49">
      <c r="A1119" s="180"/>
      <c r="B1119" s="166" t="s">
        <v>506</v>
      </c>
      <c r="C1119" s="1551" t="s">
        <v>546</v>
      </c>
      <c r="D1119" s="1551"/>
      <c r="E1119" s="319"/>
      <c r="F1119" s="320"/>
      <c r="G1119" s="4"/>
      <c r="H1119" s="565"/>
      <c r="I1119" s="565"/>
      <c r="J1119" s="319"/>
      <c r="K1119" s="320"/>
      <c r="L1119" s="4"/>
      <c r="M1119" s="565"/>
      <c r="N1119" s="565"/>
      <c r="O1119" s="319"/>
      <c r="P1119" s="320"/>
      <c r="R1119" s="565"/>
      <c r="S1119" s="565"/>
      <c r="T1119" s="319"/>
      <c r="U1119" s="320"/>
      <c r="W1119" s="565"/>
      <c r="X1119" s="565"/>
      <c r="Y1119" s="319"/>
      <c r="Z1119" s="320"/>
      <c r="AA1119" s="328">
        <f t="shared" ref="AA1119:AA1136" si="171">(E1119+J1119+O1119+T1119+Y1119)</f>
        <v>0</v>
      </c>
      <c r="AB1119" s="298">
        <f t="shared" ref="AB1119:AB1136" si="172">Z1119+U1119+P1119+K1119+F1119</f>
        <v>0</v>
      </c>
      <c r="AC1119" s="4"/>
      <c r="AD1119" s="587"/>
      <c r="AE1119" s="531"/>
      <c r="AF1119" s="319"/>
      <c r="AG1119" s="328">
        <f>AF1119</f>
        <v>0</v>
      </c>
      <c r="AI1119" s="368"/>
      <c r="AJ1119" s="367"/>
      <c r="AK1119" s="188" t="s">
        <v>30</v>
      </c>
      <c r="AL1119" s="196">
        <f>AB1156</f>
        <v>1</v>
      </c>
      <c r="AM1119" s="511">
        <v>57</v>
      </c>
      <c r="AN1119" s="510">
        <f>AL1119*AM1119</f>
        <v>57</v>
      </c>
      <c r="AQ1119" s="367"/>
      <c r="AR1119" s="367"/>
      <c r="AS1119" s="367"/>
      <c r="AT1119" s="367"/>
      <c r="AU1119" s="367"/>
      <c r="AV1119" s="367"/>
      <c r="AW1119" s="367"/>
    </row>
    <row r="1120" spans="1:49">
      <c r="A1120" s="367"/>
      <c r="B1120" s="611" t="s">
        <v>528</v>
      </c>
      <c r="C1120" s="1551"/>
      <c r="D1120" s="1551"/>
      <c r="E1120" s="319"/>
      <c r="F1120" s="320"/>
      <c r="G1120" s="4"/>
      <c r="H1120" s="566"/>
      <c r="I1120" s="565"/>
      <c r="J1120" s="319"/>
      <c r="K1120" s="320"/>
      <c r="L1120" s="4"/>
      <c r="M1120" s="566"/>
      <c r="N1120" s="565"/>
      <c r="O1120" s="319"/>
      <c r="P1120" s="320"/>
      <c r="R1120" s="566"/>
      <c r="S1120" s="565"/>
      <c r="T1120" s="319"/>
      <c r="U1120" s="320"/>
      <c r="W1120" s="566"/>
      <c r="X1120" s="565"/>
      <c r="Y1120" s="319"/>
      <c r="Z1120" s="320"/>
      <c r="AA1120" s="328">
        <f t="shared" si="171"/>
        <v>0</v>
      </c>
      <c r="AB1120" s="298">
        <f t="shared" si="172"/>
        <v>0</v>
      </c>
      <c r="AC1120" s="4"/>
      <c r="AF1120" s="319"/>
      <c r="AG1120" s="328">
        <f>AF1120</f>
        <v>0</v>
      </c>
      <c r="AH1120" s="175"/>
      <c r="AI1120" s="402"/>
      <c r="AJ1120" s="367"/>
      <c r="AK1120" s="188" t="s">
        <v>32</v>
      </c>
      <c r="AL1120" s="196">
        <f>AG1156</f>
        <v>0</v>
      </c>
      <c r="AM1120" s="510">
        <v>57</v>
      </c>
      <c r="AN1120" s="510">
        <f>AL1120*AM1120</f>
        <v>0</v>
      </c>
      <c r="AQ1120" s="367"/>
      <c r="AR1120" s="367"/>
      <c r="AS1120" s="367"/>
      <c r="AT1120" s="367"/>
      <c r="AU1120" s="367"/>
      <c r="AV1120" s="367"/>
      <c r="AW1120" s="367"/>
    </row>
    <row r="1121" spans="1:49">
      <c r="A1121" s="367"/>
      <c r="B1121" s="586" t="s">
        <v>508</v>
      </c>
      <c r="C1121" s="1551"/>
      <c r="D1121" s="1551"/>
      <c r="E1121" s="319"/>
      <c r="F1121" s="320"/>
      <c r="G1121" s="4"/>
      <c r="H1121" s="566"/>
      <c r="I1121" s="565"/>
      <c r="J1121" s="319"/>
      <c r="K1121" s="320"/>
      <c r="L1121" s="4"/>
      <c r="M1121" s="566"/>
      <c r="N1121" s="565"/>
      <c r="O1121" s="319"/>
      <c r="P1121" s="320"/>
      <c r="R1121" s="566"/>
      <c r="S1121" s="565"/>
      <c r="T1121" s="319"/>
      <c r="U1121" s="320"/>
      <c r="W1121" s="566"/>
      <c r="X1121" s="565"/>
      <c r="Y1121" s="319"/>
      <c r="Z1121" s="320"/>
      <c r="AA1121" s="328">
        <f t="shared" si="171"/>
        <v>0</v>
      </c>
      <c r="AB1121" s="298">
        <f t="shared" si="172"/>
        <v>0</v>
      </c>
      <c r="AC1121" s="4"/>
      <c r="AD1121" s="531"/>
      <c r="AE1121" s="531"/>
      <c r="AF1121" s="319"/>
      <c r="AG1121" s="328"/>
      <c r="AH1121" s="175"/>
      <c r="AI1121" s="402"/>
      <c r="AJ1121" s="367"/>
      <c r="AK1121" s="188"/>
      <c r="AL1121" s="196"/>
      <c r="AM1121" s="510"/>
      <c r="AN1121" s="510"/>
      <c r="AQ1121" s="367"/>
      <c r="AR1121" s="367"/>
      <c r="AS1121" s="367"/>
      <c r="AT1121" s="367"/>
      <c r="AU1121" s="367"/>
      <c r="AV1121" s="367"/>
      <c r="AW1121" s="367"/>
    </row>
    <row r="1122" spans="1:49">
      <c r="A1122" s="367"/>
      <c r="B1122" s="166" t="s">
        <v>510</v>
      </c>
      <c r="C1122" s="1551"/>
      <c r="D1122" s="1551"/>
      <c r="E1122" s="319"/>
      <c r="F1122" s="320"/>
      <c r="G1122" s="4"/>
      <c r="H1122" s="565"/>
      <c r="I1122" s="565"/>
      <c r="J1122" s="319"/>
      <c r="K1122" s="320"/>
      <c r="L1122" s="4"/>
      <c r="M1122" s="565"/>
      <c r="N1122" s="565"/>
      <c r="O1122" s="319"/>
      <c r="P1122" s="320"/>
      <c r="R1122" s="565"/>
      <c r="S1122" s="565"/>
      <c r="T1122" s="319"/>
      <c r="U1122" s="320"/>
      <c r="W1122" s="565"/>
      <c r="X1122" s="565"/>
      <c r="Y1122" s="319"/>
      <c r="Z1122" s="320"/>
      <c r="AA1122" s="328">
        <f t="shared" si="171"/>
        <v>0</v>
      </c>
      <c r="AB1122" s="298">
        <f t="shared" si="172"/>
        <v>0</v>
      </c>
      <c r="AC1122" s="399"/>
      <c r="AD1122" s="47"/>
      <c r="AE1122" s="47"/>
      <c r="AF1122" s="319"/>
      <c r="AG1122" s="29">
        <f t="shared" ref="AG1122:AG1155" si="173">AF1122</f>
        <v>0</v>
      </c>
      <c r="AH1122" s="175"/>
      <c r="AJ1122" s="401"/>
      <c r="AK1122" s="403" t="s">
        <v>213</v>
      </c>
      <c r="AL1122" s="404">
        <f>AA1158</f>
        <v>0</v>
      </c>
      <c r="AM1122" s="510">
        <v>50</v>
      </c>
      <c r="AN1122" s="510">
        <f>AL1122*AM1122</f>
        <v>0</v>
      </c>
      <c r="AO1122" s="405"/>
      <c r="AP1122" s="405"/>
      <c r="AQ1122" s="401"/>
      <c r="AR1122" s="401"/>
      <c r="AS1122" s="401"/>
      <c r="AT1122" s="401"/>
      <c r="AU1122" s="401"/>
      <c r="AV1122" s="401"/>
      <c r="AW1122" s="401"/>
    </row>
    <row r="1123" spans="1:49">
      <c r="A1123" s="367"/>
      <c r="B1123" s="166" t="s">
        <v>509</v>
      </c>
      <c r="C1123" s="1551"/>
      <c r="D1123" s="1551"/>
      <c r="E1123" s="319"/>
      <c r="F1123" s="320"/>
      <c r="G1123" s="4"/>
      <c r="H1123" s="565"/>
      <c r="I1123" s="565"/>
      <c r="J1123" s="319"/>
      <c r="K1123" s="320"/>
      <c r="L1123" s="4"/>
      <c r="M1123" s="565"/>
      <c r="N1123" s="565"/>
      <c r="O1123" s="319"/>
      <c r="P1123" s="320"/>
      <c r="R1123" s="565"/>
      <c r="S1123" s="565"/>
      <c r="T1123" s="319"/>
      <c r="U1123" s="320"/>
      <c r="W1123" s="565"/>
      <c r="X1123" s="565"/>
      <c r="Y1123" s="319"/>
      <c r="Z1123" s="320"/>
      <c r="AA1123" s="328">
        <f t="shared" si="171"/>
        <v>0</v>
      </c>
      <c r="AB1123" s="298">
        <f t="shared" si="172"/>
        <v>0</v>
      </c>
      <c r="AC1123" s="399"/>
      <c r="AD1123" s="47"/>
      <c r="AE1123" s="47"/>
      <c r="AF1123" s="319"/>
      <c r="AG1123" s="29">
        <f t="shared" si="173"/>
        <v>0</v>
      </c>
      <c r="AH1123" s="175"/>
      <c r="AJ1123" s="401"/>
      <c r="AK1123" s="188" t="s">
        <v>36</v>
      </c>
      <c r="AL1123" s="196">
        <f>AB1158</f>
        <v>0</v>
      </c>
      <c r="AM1123" s="510">
        <v>75</v>
      </c>
      <c r="AN1123" s="510">
        <f>AL1123*AM1123</f>
        <v>0</v>
      </c>
      <c r="AO1123" s="405"/>
      <c r="AP1123" s="405"/>
      <c r="AQ1123" s="401"/>
      <c r="AR1123" s="401"/>
      <c r="AS1123" s="401"/>
      <c r="AT1123" s="401"/>
      <c r="AU1123" s="401"/>
      <c r="AV1123" s="401"/>
      <c r="AW1123" s="401"/>
    </row>
    <row r="1124" spans="1:49">
      <c r="A1124" s="367"/>
      <c r="B1124" s="166" t="s">
        <v>511</v>
      </c>
      <c r="C1124" s="1551"/>
      <c r="D1124" s="1551"/>
      <c r="E1124" s="319"/>
      <c r="F1124" s="320"/>
      <c r="G1124" s="4"/>
      <c r="H1124" s="565"/>
      <c r="I1124" s="565"/>
      <c r="J1124" s="319"/>
      <c r="K1124" s="320"/>
      <c r="L1124" s="4"/>
      <c r="M1124" s="565"/>
      <c r="N1124" s="565"/>
      <c r="O1124" s="319"/>
      <c r="P1124" s="320"/>
      <c r="R1124" s="565"/>
      <c r="S1124" s="565"/>
      <c r="T1124" s="319"/>
      <c r="U1124" s="320"/>
      <c r="W1124" s="565"/>
      <c r="X1124" s="565"/>
      <c r="Y1124" s="319"/>
      <c r="Z1124" s="320"/>
      <c r="AA1124" s="328">
        <f t="shared" si="171"/>
        <v>0</v>
      </c>
      <c r="AB1124" s="298">
        <f t="shared" si="172"/>
        <v>0</v>
      </c>
      <c r="AC1124" s="175"/>
      <c r="AD1124" s="47"/>
      <c r="AE1124" s="47"/>
      <c r="AF1124" s="319"/>
      <c r="AG1124" s="344">
        <f t="shared" si="173"/>
        <v>0</v>
      </c>
      <c r="AH1124" s="175"/>
      <c r="AI1124" s="368"/>
      <c r="AK1124" s="188" t="s">
        <v>38</v>
      </c>
      <c r="AL1124" s="196">
        <f>AG1158</f>
        <v>0</v>
      </c>
      <c r="AM1124" s="510">
        <v>75</v>
      </c>
      <c r="AN1124" s="510">
        <f>AL1124*AM1124</f>
        <v>0</v>
      </c>
    </row>
    <row r="1125" spans="1:49" ht="14.25" thickBot="1">
      <c r="A1125" s="401"/>
      <c r="B1125" s="586" t="s">
        <v>512</v>
      </c>
      <c r="C1125" s="1551"/>
      <c r="D1125" s="1551"/>
      <c r="E1125" s="319"/>
      <c r="F1125" s="320"/>
      <c r="G1125" s="4"/>
      <c r="H1125" s="565"/>
      <c r="I1125" s="565"/>
      <c r="J1125" s="319"/>
      <c r="K1125" s="320"/>
      <c r="L1125" s="4"/>
      <c r="M1125" s="565"/>
      <c r="N1125" s="565"/>
      <c r="O1125" s="319"/>
      <c r="P1125" s="320"/>
      <c r="R1125" s="565"/>
      <c r="S1125" s="565"/>
      <c r="T1125" s="319"/>
      <c r="U1125" s="320"/>
      <c r="W1125" s="565"/>
      <c r="X1125" s="565"/>
      <c r="Y1125" s="319"/>
      <c r="Z1125" s="320"/>
      <c r="AA1125" s="328">
        <f t="shared" si="171"/>
        <v>0</v>
      </c>
      <c r="AB1125" s="298">
        <f t="shared" si="172"/>
        <v>0</v>
      </c>
      <c r="AC1125" s="4"/>
      <c r="AD1125" s="47"/>
      <c r="AE1125" s="47"/>
      <c r="AF1125" s="319"/>
      <c r="AG1125" s="29">
        <f t="shared" si="173"/>
        <v>0</v>
      </c>
      <c r="AJ1125" s="367"/>
      <c r="AK1125" s="188" t="s">
        <v>41</v>
      </c>
      <c r="AL1125" s="196">
        <f>C1159</f>
        <v>5</v>
      </c>
      <c r="AM1125" s="512">
        <v>45</v>
      </c>
      <c r="AN1125" s="512">
        <f>AL1125*AM1125</f>
        <v>225</v>
      </c>
      <c r="AQ1125" s="367"/>
      <c r="AR1125" s="367"/>
      <c r="AS1125" s="367"/>
      <c r="AT1125" s="367"/>
      <c r="AU1125" s="367"/>
      <c r="AV1125" s="367"/>
      <c r="AW1125" s="367"/>
    </row>
    <row r="1126" spans="1:49" ht="20.25" customHeight="1" thickTop="1">
      <c r="A1126" s="367"/>
      <c r="B1126" s="586" t="s">
        <v>513</v>
      </c>
      <c r="C1126" s="1551"/>
      <c r="D1126" s="1551"/>
      <c r="E1126" s="319"/>
      <c r="F1126" s="320"/>
      <c r="G1126" s="4"/>
      <c r="H1126" s="565"/>
      <c r="I1126" s="565"/>
      <c r="J1126" s="319"/>
      <c r="K1126" s="320"/>
      <c r="L1126" s="4"/>
      <c r="M1126" s="565"/>
      <c r="N1126" s="565"/>
      <c r="O1126" s="319"/>
      <c r="P1126" s="320"/>
      <c r="R1126" s="565"/>
      <c r="S1126" s="565"/>
      <c r="T1126" s="319"/>
      <c r="U1126" s="320"/>
      <c r="W1126" s="565"/>
      <c r="X1126" s="565"/>
      <c r="Y1126" s="319"/>
      <c r="Z1126" s="320"/>
      <c r="AA1126" s="328">
        <f t="shared" si="171"/>
        <v>0</v>
      </c>
      <c r="AB1126" s="298">
        <f t="shared" si="172"/>
        <v>0</v>
      </c>
      <c r="AC1126" s="4"/>
      <c r="AD1126" s="47"/>
      <c r="AE1126" s="47"/>
      <c r="AF1126" s="319"/>
      <c r="AG1126" s="29">
        <f t="shared" si="173"/>
        <v>0</v>
      </c>
      <c r="AN1126" s="510">
        <f>SUM(AN1118:AN1125)</f>
        <v>2448</v>
      </c>
    </row>
    <row r="1127" spans="1:49">
      <c r="A1127" s="180"/>
      <c r="B1127" s="612" t="s">
        <v>529</v>
      </c>
      <c r="C1127" s="1551"/>
      <c r="D1127" s="1551"/>
      <c r="E1127" s="319"/>
      <c r="F1127" s="320"/>
      <c r="G1127" s="4"/>
      <c r="H1127" s="565"/>
      <c r="I1127" s="565"/>
      <c r="J1127" s="319"/>
      <c r="K1127" s="320"/>
      <c r="L1127" s="4"/>
      <c r="M1127" s="565"/>
      <c r="N1127" s="565"/>
      <c r="O1127" s="319"/>
      <c r="P1127" s="320"/>
      <c r="R1127" s="565"/>
      <c r="S1127" s="565"/>
      <c r="T1127" s="319"/>
      <c r="U1127" s="320"/>
      <c r="W1127" s="565"/>
      <c r="X1127" s="565"/>
      <c r="Y1127" s="319"/>
      <c r="Z1127" s="320"/>
      <c r="AA1127" s="328">
        <f t="shared" si="171"/>
        <v>0</v>
      </c>
      <c r="AB1127" s="298">
        <f t="shared" si="172"/>
        <v>0</v>
      </c>
      <c r="AC1127" s="4"/>
      <c r="AD1127" s="47"/>
      <c r="AE1127" s="47"/>
      <c r="AF1127" s="319"/>
      <c r="AG1127" s="29">
        <f t="shared" si="173"/>
        <v>0</v>
      </c>
    </row>
    <row r="1128" spans="1:49">
      <c r="A1128" s="180"/>
      <c r="B1128" s="612" t="s">
        <v>547</v>
      </c>
      <c r="C1128" s="1551"/>
      <c r="D1128" s="1551"/>
      <c r="E1128" s="319"/>
      <c r="F1128" s="320"/>
      <c r="G1128" s="4"/>
      <c r="H1128" s="565"/>
      <c r="I1128" s="565"/>
      <c r="J1128" s="319"/>
      <c r="K1128" s="320"/>
      <c r="L1128" s="4"/>
      <c r="M1128" s="565"/>
      <c r="N1128" s="565"/>
      <c r="O1128" s="319"/>
      <c r="P1128" s="320"/>
      <c r="R1128" s="565"/>
      <c r="S1128" s="565"/>
      <c r="T1128" s="319"/>
      <c r="U1128" s="320"/>
      <c r="W1128" s="565"/>
      <c r="X1128" s="565"/>
      <c r="Y1128" s="319"/>
      <c r="Z1128" s="320"/>
      <c r="AA1128" s="328">
        <f t="shared" si="171"/>
        <v>0</v>
      </c>
      <c r="AB1128" s="298">
        <f t="shared" si="172"/>
        <v>0</v>
      </c>
      <c r="AC1128" s="4"/>
      <c r="AD1128" s="47"/>
      <c r="AE1128" s="47"/>
      <c r="AF1128" s="319"/>
      <c r="AG1128" s="29">
        <f t="shared" si="173"/>
        <v>0</v>
      </c>
    </row>
    <row r="1129" spans="1:49">
      <c r="A1129" s="180"/>
      <c r="B1129" s="612" t="s">
        <v>531</v>
      </c>
      <c r="C1129" s="1551"/>
      <c r="D1129" s="1551"/>
      <c r="E1129" s="319"/>
      <c r="F1129" s="320"/>
      <c r="G1129" s="4"/>
      <c r="H1129" s="565"/>
      <c r="I1129" s="565"/>
      <c r="J1129" s="319"/>
      <c r="K1129" s="320"/>
      <c r="L1129" s="4"/>
      <c r="M1129" s="565"/>
      <c r="N1129" s="565"/>
      <c r="O1129" s="319"/>
      <c r="P1129" s="320"/>
      <c r="R1129" s="565"/>
      <c r="S1129" s="565"/>
      <c r="T1129" s="319"/>
      <c r="U1129" s="320"/>
      <c r="W1129" s="565"/>
      <c r="X1129" s="565"/>
      <c r="Y1129" s="319">
        <v>8</v>
      </c>
      <c r="Z1129" s="320"/>
      <c r="AA1129" s="328">
        <f t="shared" si="171"/>
        <v>8</v>
      </c>
      <c r="AB1129" s="298">
        <f t="shared" si="172"/>
        <v>0</v>
      </c>
      <c r="AC1129" s="4"/>
      <c r="AD1129" s="47"/>
      <c r="AE1129" s="47"/>
      <c r="AF1129" s="319"/>
      <c r="AG1129" s="29">
        <f t="shared" si="173"/>
        <v>0</v>
      </c>
    </row>
    <row r="1130" spans="1:49">
      <c r="A1130" s="180"/>
      <c r="B1130" s="523" t="s">
        <v>514</v>
      </c>
      <c r="C1130" s="1551"/>
      <c r="D1130" s="1551"/>
      <c r="E1130" s="319"/>
      <c r="F1130" s="320"/>
      <c r="G1130" s="4"/>
      <c r="H1130" s="47"/>
      <c r="I1130" s="47"/>
      <c r="J1130" s="319"/>
      <c r="K1130" s="320"/>
      <c r="L1130" s="4"/>
      <c r="M1130" s="47"/>
      <c r="N1130" s="47"/>
      <c r="O1130" s="319"/>
      <c r="P1130" s="320"/>
      <c r="R1130" s="47"/>
      <c r="S1130" s="47"/>
      <c r="T1130" s="319"/>
      <c r="U1130" s="320"/>
      <c r="W1130" s="47"/>
      <c r="X1130" s="47"/>
      <c r="Y1130" s="319"/>
      <c r="Z1130" s="320"/>
      <c r="AA1130" s="328">
        <f t="shared" si="171"/>
        <v>0</v>
      </c>
      <c r="AB1130" s="298">
        <f t="shared" si="172"/>
        <v>0</v>
      </c>
      <c r="AC1130" s="4"/>
      <c r="AD1130" s="47"/>
      <c r="AE1130" s="47"/>
      <c r="AF1130" s="319"/>
      <c r="AG1130" s="29">
        <f t="shared" si="173"/>
        <v>0</v>
      </c>
    </row>
    <row r="1131" spans="1:49">
      <c r="A1131" s="180"/>
      <c r="B1131" s="180" t="s">
        <v>515</v>
      </c>
      <c r="C1131" s="1551"/>
      <c r="D1131" s="1551"/>
      <c r="E1131" s="319"/>
      <c r="F1131" s="320"/>
      <c r="G1131" s="4"/>
      <c r="H1131" s="47" t="s">
        <v>548</v>
      </c>
      <c r="I1131" s="47"/>
      <c r="J1131" s="319">
        <v>4</v>
      </c>
      <c r="K1131" s="320"/>
      <c r="L1131" s="4"/>
      <c r="M1131" s="47" t="s">
        <v>549</v>
      </c>
      <c r="N1131" s="47"/>
      <c r="O1131" s="319">
        <v>4</v>
      </c>
      <c r="P1131" s="320"/>
      <c r="R1131" s="604"/>
      <c r="S1131" s="604"/>
      <c r="T1131" s="319"/>
      <c r="U1131" s="320"/>
      <c r="W1131" s="47"/>
      <c r="X1131" s="47"/>
      <c r="Y1131" s="319"/>
      <c r="Z1131" s="320"/>
      <c r="AA1131" s="328">
        <f t="shared" si="171"/>
        <v>8</v>
      </c>
      <c r="AB1131" s="298">
        <f t="shared" si="172"/>
        <v>0</v>
      </c>
      <c r="AC1131" s="4"/>
      <c r="AD1131" s="47"/>
      <c r="AE1131" s="47"/>
      <c r="AF1131" s="319"/>
      <c r="AG1131" s="29">
        <f t="shared" si="173"/>
        <v>0</v>
      </c>
    </row>
    <row r="1132" spans="1:49">
      <c r="A1132" s="180"/>
      <c r="B1132" s="180" t="s">
        <v>268</v>
      </c>
      <c r="C1132" s="1551"/>
      <c r="D1132" s="1551"/>
      <c r="E1132" s="319"/>
      <c r="F1132" s="320"/>
      <c r="G1132" s="4"/>
      <c r="H1132" s="47"/>
      <c r="I1132" s="47"/>
      <c r="J1132" s="319"/>
      <c r="K1132" s="320"/>
      <c r="L1132" s="4"/>
      <c r="M1132" s="47"/>
      <c r="N1132" s="47"/>
      <c r="O1132" s="319"/>
      <c r="P1132" s="320"/>
      <c r="R1132" s="604"/>
      <c r="S1132" s="604"/>
      <c r="T1132" s="319"/>
      <c r="U1132" s="320"/>
      <c r="W1132" s="47" t="s">
        <v>550</v>
      </c>
      <c r="X1132" s="47"/>
      <c r="Y1132" s="319"/>
      <c r="Z1132" s="320"/>
      <c r="AA1132" s="328">
        <f t="shared" si="171"/>
        <v>0</v>
      </c>
      <c r="AB1132" s="298">
        <f t="shared" si="172"/>
        <v>0</v>
      </c>
      <c r="AC1132" s="4"/>
      <c r="AD1132" s="47"/>
      <c r="AE1132" s="47"/>
      <c r="AF1132" s="319"/>
      <c r="AG1132" s="29">
        <f t="shared" si="173"/>
        <v>0</v>
      </c>
    </row>
    <row r="1133" spans="1:49" ht="12.75" customHeight="1">
      <c r="A1133" s="180"/>
      <c r="B1133" s="180" t="s">
        <v>516</v>
      </c>
      <c r="C1133" s="1551"/>
      <c r="D1133" s="1551"/>
      <c r="E1133" s="319"/>
      <c r="F1133" s="320"/>
      <c r="G1133" s="4"/>
      <c r="H1133" s="47"/>
      <c r="I1133" s="47"/>
      <c r="J1133" s="319"/>
      <c r="K1133" s="320"/>
      <c r="L1133" s="4"/>
      <c r="M1133" s="47"/>
      <c r="N1133" s="47"/>
      <c r="O1133" s="319"/>
      <c r="P1133" s="320"/>
      <c r="R1133" s="615"/>
      <c r="S1133" s="47"/>
      <c r="T1133" s="319"/>
      <c r="U1133" s="320"/>
      <c r="W1133" s="615"/>
      <c r="X1133" s="47"/>
      <c r="Y1133" s="319"/>
      <c r="Z1133" s="320"/>
      <c r="AA1133" s="328">
        <f t="shared" si="171"/>
        <v>0</v>
      </c>
      <c r="AB1133" s="298">
        <f t="shared" si="172"/>
        <v>0</v>
      </c>
      <c r="AC1133" s="4"/>
      <c r="AD1133" s="47"/>
      <c r="AE1133" s="47"/>
      <c r="AF1133" s="319"/>
      <c r="AG1133" s="29">
        <f t="shared" si="173"/>
        <v>0</v>
      </c>
    </row>
    <row r="1134" spans="1:49">
      <c r="A1134" s="180"/>
      <c r="B1134" s="180" t="s">
        <v>517</v>
      </c>
      <c r="C1134" s="1551"/>
      <c r="D1134" s="1551"/>
      <c r="E1134" s="319"/>
      <c r="F1134" s="320"/>
      <c r="G1134" s="4"/>
      <c r="H1134" s="47"/>
      <c r="I1134" s="47"/>
      <c r="J1134" s="319"/>
      <c r="K1134" s="320"/>
      <c r="L1134" s="4"/>
      <c r="M1134" s="47"/>
      <c r="N1134" s="47"/>
      <c r="O1134" s="319"/>
      <c r="P1134" s="320"/>
      <c r="R1134" s="604"/>
      <c r="S1134" s="604"/>
      <c r="T1134" s="319"/>
      <c r="U1134" s="320"/>
      <c r="W1134" s="47"/>
      <c r="X1134" s="47"/>
      <c r="Y1134" s="319"/>
      <c r="Z1134" s="320"/>
      <c r="AA1134" s="328">
        <f t="shared" si="171"/>
        <v>0</v>
      </c>
      <c r="AB1134" s="298">
        <f t="shared" si="172"/>
        <v>0</v>
      </c>
      <c r="AC1134" s="4"/>
      <c r="AD1134" s="47"/>
      <c r="AE1134" s="47"/>
      <c r="AF1134" s="319"/>
      <c r="AG1134" s="29">
        <f t="shared" si="173"/>
        <v>0</v>
      </c>
    </row>
    <row r="1135" spans="1:49">
      <c r="A1135" s="180"/>
      <c r="B1135" s="523" t="s">
        <v>518</v>
      </c>
      <c r="C1135" s="1551"/>
      <c r="D1135" s="1551"/>
      <c r="E1135" s="319"/>
      <c r="F1135" s="320"/>
      <c r="G1135" s="4"/>
      <c r="H1135" s="47">
        <v>0.375</v>
      </c>
      <c r="I1135" s="47">
        <v>0.25</v>
      </c>
      <c r="J1135" s="319">
        <v>8</v>
      </c>
      <c r="K1135" s="320">
        <v>1</v>
      </c>
      <c r="L1135" s="4"/>
      <c r="M1135" s="47"/>
      <c r="N1135" s="47"/>
      <c r="O1135" s="319"/>
      <c r="P1135" s="320"/>
      <c r="R1135" s="614"/>
      <c r="S1135" s="614"/>
      <c r="T1135" s="319"/>
      <c r="U1135" s="320"/>
      <c r="W1135" s="47"/>
      <c r="X1135" s="47"/>
      <c r="Y1135" s="319"/>
      <c r="Z1135" s="320"/>
      <c r="AA1135" s="328">
        <f t="shared" si="171"/>
        <v>8</v>
      </c>
      <c r="AB1135" s="298">
        <f t="shared" si="172"/>
        <v>1</v>
      </c>
      <c r="AC1135" s="4"/>
      <c r="AD1135" s="47"/>
      <c r="AE1135" s="47"/>
      <c r="AF1135" s="319"/>
      <c r="AG1135" s="29">
        <f t="shared" si="173"/>
        <v>0</v>
      </c>
    </row>
    <row r="1136" spans="1:49" ht="14.25" customHeight="1">
      <c r="A1136" s="180"/>
      <c r="B1136" s="523" t="s">
        <v>519</v>
      </c>
      <c r="C1136" s="1551"/>
      <c r="D1136" s="1551"/>
      <c r="E1136" s="319"/>
      <c r="F1136" s="320"/>
      <c r="G1136" s="4"/>
      <c r="H1136" s="47"/>
      <c r="I1136" s="47"/>
      <c r="J1136" s="319"/>
      <c r="K1136" s="320"/>
      <c r="L1136" s="4"/>
      <c r="M1136" s="47"/>
      <c r="N1136" s="47"/>
      <c r="O1136" s="319"/>
      <c r="P1136" s="320"/>
      <c r="R1136" s="604"/>
      <c r="S1136" s="604"/>
      <c r="T1136" s="319"/>
      <c r="U1136" s="320"/>
      <c r="W1136" s="47"/>
      <c r="X1136" s="47"/>
      <c r="Y1136" s="319"/>
      <c r="Z1136" s="320"/>
      <c r="AA1136" s="328">
        <f t="shared" si="171"/>
        <v>0</v>
      </c>
      <c r="AB1136" s="298">
        <f t="shared" si="172"/>
        <v>0</v>
      </c>
      <c r="AC1136" s="4"/>
      <c r="AD1136" s="47"/>
      <c r="AE1136" s="47"/>
      <c r="AF1136" s="319"/>
      <c r="AG1136" s="29">
        <f t="shared" si="173"/>
        <v>0</v>
      </c>
    </row>
    <row r="1137" spans="1:37">
      <c r="A1137" s="180"/>
      <c r="B1137" s="523" t="s">
        <v>394</v>
      </c>
      <c r="C1137" s="1551"/>
      <c r="D1137" s="1551"/>
      <c r="E1137" s="319"/>
      <c r="F1137" s="320"/>
      <c r="G1137" s="4"/>
      <c r="H1137" s="47"/>
      <c r="I1137" s="47"/>
      <c r="J1137" s="319"/>
      <c r="K1137" s="320"/>
      <c r="L1137" s="4"/>
      <c r="M1137" s="47">
        <v>0.41666666666666669</v>
      </c>
      <c r="N1137" s="47">
        <v>0.125</v>
      </c>
      <c r="O1137" s="319">
        <v>5</v>
      </c>
      <c r="P1137" s="320"/>
      <c r="R1137" s="47"/>
      <c r="S1137" s="47"/>
      <c r="T1137" s="319"/>
      <c r="U1137" s="320"/>
      <c r="W1137" s="47" t="s">
        <v>551</v>
      </c>
      <c r="X1137" s="47"/>
      <c r="Y1137" s="319">
        <v>4</v>
      </c>
      <c r="Z1137" s="320"/>
      <c r="AA1137" s="328">
        <f>(E1137+J1137+O1137+T1137+Y1137)</f>
        <v>9</v>
      </c>
      <c r="AB1137" s="298">
        <f>Z1137+U1137+P1137+K1137+F1137</f>
        <v>0</v>
      </c>
      <c r="AC1137" s="4"/>
      <c r="AD1137" s="47"/>
      <c r="AE1137" s="47"/>
      <c r="AF1137" s="319"/>
      <c r="AG1137" s="29">
        <f>AF1137</f>
        <v>0</v>
      </c>
    </row>
    <row r="1138" spans="1:37">
      <c r="A1138" s="180"/>
      <c r="B1138" s="180" t="s">
        <v>520</v>
      </c>
      <c r="C1138" s="1551"/>
      <c r="D1138" s="1551"/>
      <c r="E1138" s="319"/>
      <c r="F1138" s="320"/>
      <c r="G1138" s="4"/>
      <c r="H1138" s="47"/>
      <c r="I1138" s="47"/>
      <c r="J1138" s="319"/>
      <c r="K1138" s="320"/>
      <c r="L1138" s="4"/>
      <c r="M1138" s="47"/>
      <c r="N1138" s="47"/>
      <c r="O1138" s="319"/>
      <c r="P1138" s="320"/>
      <c r="R1138" s="47"/>
      <c r="S1138" s="47"/>
      <c r="T1138" s="319"/>
      <c r="U1138" s="320"/>
      <c r="W1138" s="47"/>
      <c r="X1138" s="47"/>
      <c r="Y1138" s="319"/>
      <c r="Z1138" s="320"/>
      <c r="AA1138" s="328">
        <f t="shared" ref="AA1138:AA1155" si="174">(E1138+J1138+O1138+T1138+Y1138)</f>
        <v>0</v>
      </c>
      <c r="AB1138" s="298">
        <f t="shared" ref="AB1138:AB1155" si="175">Z1138+U1138+P1138+K1138+F1138</f>
        <v>0</v>
      </c>
      <c r="AC1138" s="4"/>
      <c r="AD1138" s="47"/>
      <c r="AE1138" s="47"/>
      <c r="AF1138" s="319"/>
      <c r="AG1138" s="29">
        <f t="shared" si="173"/>
        <v>0</v>
      </c>
    </row>
    <row r="1139" spans="1:37">
      <c r="A1139" s="180"/>
      <c r="B1139" s="585" t="s">
        <v>522</v>
      </c>
      <c r="C1139" s="1551"/>
      <c r="D1139" s="1551"/>
      <c r="E1139" s="319"/>
      <c r="F1139" s="320"/>
      <c r="G1139" s="4"/>
      <c r="H1139" s="47"/>
      <c r="I1139" s="565"/>
      <c r="J1139" s="319"/>
      <c r="K1139" s="320"/>
      <c r="L1139" s="4"/>
      <c r="M1139" s="47"/>
      <c r="N1139" s="565"/>
      <c r="O1139" s="319"/>
      <c r="P1139" s="320"/>
      <c r="R1139" s="604"/>
      <c r="S1139" s="616"/>
      <c r="T1139" s="319"/>
      <c r="U1139" s="320"/>
      <c r="W1139" s="47"/>
      <c r="X1139" s="565"/>
      <c r="Y1139" s="319"/>
      <c r="Z1139" s="320"/>
      <c r="AA1139" s="328">
        <f t="shared" si="174"/>
        <v>0</v>
      </c>
      <c r="AB1139" s="298">
        <f t="shared" si="175"/>
        <v>0</v>
      </c>
      <c r="AC1139" s="4"/>
      <c r="AD1139" s="47"/>
      <c r="AE1139" s="47"/>
      <c r="AF1139" s="319"/>
      <c r="AG1139" s="29">
        <f t="shared" si="173"/>
        <v>0</v>
      </c>
    </row>
    <row r="1140" spans="1:37">
      <c r="A1140" s="180"/>
      <c r="B1140" s="437" t="s">
        <v>523</v>
      </c>
      <c r="C1140" s="1551"/>
      <c r="D1140" s="1551"/>
      <c r="E1140" s="319"/>
      <c r="F1140" s="320"/>
      <c r="G1140" s="4"/>
      <c r="H1140" s="47"/>
      <c r="I1140" s="565"/>
      <c r="J1140" s="319"/>
      <c r="K1140" s="320"/>
      <c r="L1140" s="4"/>
      <c r="M1140" s="47"/>
      <c r="N1140" s="565"/>
      <c r="O1140" s="319"/>
      <c r="P1140" s="320"/>
      <c r="R1140" s="47"/>
      <c r="S1140" s="565"/>
      <c r="T1140" s="319"/>
      <c r="U1140" s="320"/>
      <c r="W1140" s="47"/>
      <c r="X1140" s="565"/>
      <c r="Y1140" s="319"/>
      <c r="Z1140" s="320"/>
      <c r="AA1140" s="328">
        <f t="shared" si="174"/>
        <v>0</v>
      </c>
      <c r="AB1140" s="298">
        <f t="shared" si="175"/>
        <v>0</v>
      </c>
      <c r="AC1140" s="4"/>
      <c r="AD1140" s="47"/>
      <c r="AE1140" s="47"/>
      <c r="AF1140" s="319"/>
      <c r="AG1140" s="29">
        <f t="shared" si="173"/>
        <v>0</v>
      </c>
    </row>
    <row r="1141" spans="1:37">
      <c r="A1141" s="180"/>
      <c r="B1141" s="437" t="s">
        <v>524</v>
      </c>
      <c r="C1141" s="1551"/>
      <c r="D1141" s="1551"/>
      <c r="E1141" s="319"/>
      <c r="F1141" s="320"/>
      <c r="G1141" s="4"/>
      <c r="H1141" s="47"/>
      <c r="I1141" s="565"/>
      <c r="J1141" s="319"/>
      <c r="K1141" s="320"/>
      <c r="L1141" s="4"/>
      <c r="M1141" s="47"/>
      <c r="N1141" s="565"/>
      <c r="O1141" s="319"/>
      <c r="P1141" s="320"/>
      <c r="R1141" s="47"/>
      <c r="S1141" s="565"/>
      <c r="T1141" s="319"/>
      <c r="U1141" s="320"/>
      <c r="W1141" s="47"/>
      <c r="X1141" s="565"/>
      <c r="Y1141" s="319"/>
      <c r="Z1141" s="320"/>
      <c r="AA1141" s="328">
        <f t="shared" si="174"/>
        <v>0</v>
      </c>
      <c r="AB1141" s="298">
        <f t="shared" si="175"/>
        <v>0</v>
      </c>
      <c r="AC1141" s="4"/>
      <c r="AD1141" s="47"/>
      <c r="AE1141" s="47"/>
      <c r="AF1141" s="319"/>
      <c r="AG1141" s="29">
        <f t="shared" si="173"/>
        <v>0</v>
      </c>
    </row>
    <row r="1142" spans="1:37">
      <c r="A1142" s="180"/>
      <c r="B1142" s="437" t="s">
        <v>525</v>
      </c>
      <c r="C1142" s="1551"/>
      <c r="D1142" s="1551"/>
      <c r="E1142" s="319"/>
      <c r="F1142" s="320"/>
      <c r="G1142" s="4"/>
      <c r="H1142" s="47"/>
      <c r="I1142" s="565"/>
      <c r="J1142" s="319"/>
      <c r="K1142" s="320"/>
      <c r="L1142" s="4"/>
      <c r="M1142" s="47"/>
      <c r="N1142" s="565"/>
      <c r="O1142" s="319"/>
      <c r="P1142" s="320"/>
      <c r="R1142" s="604"/>
      <c r="S1142" s="616"/>
      <c r="T1142" s="319"/>
      <c r="U1142" s="320"/>
      <c r="W1142" s="47"/>
      <c r="X1142" s="565"/>
      <c r="Y1142" s="319"/>
      <c r="Z1142" s="320"/>
      <c r="AA1142" s="328">
        <f t="shared" si="174"/>
        <v>0</v>
      </c>
      <c r="AB1142" s="298">
        <f t="shared" si="175"/>
        <v>0</v>
      </c>
      <c r="AC1142" s="4"/>
      <c r="AD1142" s="47"/>
      <c r="AE1142" s="47"/>
      <c r="AF1142" s="319"/>
      <c r="AG1142" s="29">
        <f t="shared" si="173"/>
        <v>0</v>
      </c>
    </row>
    <row r="1143" spans="1:37">
      <c r="A1143" s="180"/>
      <c r="B1143" s="437" t="s">
        <v>505</v>
      </c>
      <c r="C1143" s="1551"/>
      <c r="D1143" s="1551"/>
      <c r="E1143" s="319"/>
      <c r="F1143" s="320"/>
      <c r="G1143" s="4"/>
      <c r="H1143" s="47"/>
      <c r="I1143" s="565"/>
      <c r="J1143" s="319"/>
      <c r="K1143" s="320"/>
      <c r="L1143" s="4"/>
      <c r="M1143" s="47"/>
      <c r="N1143" s="565"/>
      <c r="O1143" s="319"/>
      <c r="P1143" s="320"/>
      <c r="R1143" s="47"/>
      <c r="S1143" s="565"/>
      <c r="T1143" s="319"/>
      <c r="U1143" s="320"/>
      <c r="W1143" s="47"/>
      <c r="X1143" s="565"/>
      <c r="Y1143" s="319"/>
      <c r="Z1143" s="320"/>
      <c r="AA1143" s="328">
        <f t="shared" si="174"/>
        <v>0</v>
      </c>
      <c r="AB1143" s="298">
        <f t="shared" si="175"/>
        <v>0</v>
      </c>
      <c r="AC1143" s="4"/>
      <c r="AD1143" s="47"/>
      <c r="AE1143" s="47"/>
      <c r="AF1143" s="319"/>
      <c r="AG1143" s="29">
        <f t="shared" si="173"/>
        <v>0</v>
      </c>
    </row>
    <row r="1144" spans="1:37">
      <c r="A1144" s="180"/>
      <c r="B1144" s="502" t="s">
        <v>483</v>
      </c>
      <c r="C1144" s="1551"/>
      <c r="D1144" s="1551"/>
      <c r="E1144" s="319"/>
      <c r="F1144" s="320"/>
      <c r="G1144" s="4"/>
      <c r="H1144" s="47"/>
      <c r="I1144" s="47"/>
      <c r="J1144" s="319"/>
      <c r="K1144" s="320"/>
      <c r="L1144" s="4"/>
      <c r="M1144" s="47"/>
      <c r="N1144" s="47"/>
      <c r="O1144" s="319"/>
      <c r="P1144" s="320"/>
      <c r="R1144" s="47"/>
      <c r="S1144" s="47"/>
      <c r="T1144" s="319"/>
      <c r="U1144" s="320"/>
      <c r="W1144" s="47"/>
      <c r="X1144" s="47"/>
      <c r="Y1144" s="319"/>
      <c r="Z1144" s="320"/>
      <c r="AA1144" s="328">
        <f t="shared" si="174"/>
        <v>0</v>
      </c>
      <c r="AB1144" s="298">
        <f t="shared" si="175"/>
        <v>0</v>
      </c>
      <c r="AC1144" s="4"/>
      <c r="AD1144" s="47"/>
      <c r="AE1144" s="47"/>
      <c r="AF1144" s="319"/>
      <c r="AG1144" s="29">
        <f t="shared" si="173"/>
        <v>0</v>
      </c>
    </row>
    <row r="1145" spans="1:37">
      <c r="A1145" s="180"/>
      <c r="B1145" s="502" t="s">
        <v>484</v>
      </c>
      <c r="C1145" s="1551"/>
      <c r="D1145" s="1551"/>
      <c r="E1145" s="319"/>
      <c r="F1145" s="320"/>
      <c r="G1145" s="4"/>
      <c r="H1145" s="47"/>
      <c r="I1145" s="47"/>
      <c r="J1145" s="319"/>
      <c r="K1145" s="320"/>
      <c r="L1145" s="4"/>
      <c r="M1145" s="47"/>
      <c r="N1145" s="47"/>
      <c r="O1145" s="319"/>
      <c r="P1145" s="320"/>
      <c r="R1145" s="47"/>
      <c r="S1145" s="47"/>
      <c r="T1145" s="319"/>
      <c r="U1145" s="320"/>
      <c r="W1145" s="47"/>
      <c r="X1145" s="47"/>
      <c r="Y1145" s="319"/>
      <c r="Z1145" s="320"/>
      <c r="AA1145" s="328">
        <f t="shared" si="174"/>
        <v>0</v>
      </c>
      <c r="AB1145" s="298">
        <f t="shared" si="175"/>
        <v>0</v>
      </c>
      <c r="AC1145" s="4"/>
      <c r="AD1145" s="47"/>
      <c r="AE1145" s="47"/>
      <c r="AF1145" s="319"/>
      <c r="AG1145" s="29">
        <f t="shared" si="173"/>
        <v>0</v>
      </c>
    </row>
    <row r="1146" spans="1:37">
      <c r="A1146" s="180"/>
      <c r="B1146" s="502" t="s">
        <v>485</v>
      </c>
      <c r="C1146" s="1551"/>
      <c r="D1146" s="1551"/>
      <c r="E1146" s="319"/>
      <c r="F1146" s="320"/>
      <c r="G1146" s="4"/>
      <c r="H1146" s="47"/>
      <c r="I1146" s="47"/>
      <c r="J1146" s="319"/>
      <c r="K1146" s="320"/>
      <c r="L1146" s="4"/>
      <c r="M1146" s="47"/>
      <c r="N1146" s="47"/>
      <c r="O1146" s="319"/>
      <c r="P1146" s="320"/>
      <c r="R1146" s="47"/>
      <c r="S1146" s="47"/>
      <c r="T1146" s="319"/>
      <c r="U1146" s="320"/>
      <c r="W1146" s="47"/>
      <c r="X1146" s="47"/>
      <c r="Y1146" s="319"/>
      <c r="Z1146" s="320"/>
      <c r="AA1146" s="328">
        <f t="shared" si="174"/>
        <v>0</v>
      </c>
      <c r="AB1146" s="298">
        <f t="shared" si="175"/>
        <v>0</v>
      </c>
      <c r="AC1146" s="4"/>
      <c r="AD1146" s="47"/>
      <c r="AE1146" s="47"/>
      <c r="AF1146" s="319"/>
      <c r="AG1146" s="29">
        <f t="shared" si="173"/>
        <v>0</v>
      </c>
    </row>
    <row r="1147" spans="1:37">
      <c r="A1147" s="180"/>
      <c r="B1147" s="502" t="s">
        <v>486</v>
      </c>
      <c r="C1147" s="1551"/>
      <c r="D1147" s="1551"/>
      <c r="E1147" s="319"/>
      <c r="F1147" s="320"/>
      <c r="G1147" s="4"/>
      <c r="H1147" s="47"/>
      <c r="I1147" s="47"/>
      <c r="J1147" s="319"/>
      <c r="K1147" s="320"/>
      <c r="L1147" s="4"/>
      <c r="M1147" s="47"/>
      <c r="N1147" s="47"/>
      <c r="O1147" s="319"/>
      <c r="P1147" s="320"/>
      <c r="R1147" s="47"/>
      <c r="S1147" s="47"/>
      <c r="T1147" s="319"/>
      <c r="U1147" s="320"/>
      <c r="W1147" s="47"/>
      <c r="X1147" s="47"/>
      <c r="Y1147" s="319"/>
      <c r="Z1147" s="320"/>
      <c r="AA1147" s="328">
        <f t="shared" si="174"/>
        <v>0</v>
      </c>
      <c r="AB1147" s="298">
        <f t="shared" si="175"/>
        <v>0</v>
      </c>
      <c r="AC1147" s="4"/>
      <c r="AD1147" s="47"/>
      <c r="AE1147" s="47"/>
      <c r="AF1147" s="319"/>
      <c r="AG1147" s="29">
        <f t="shared" si="173"/>
        <v>0</v>
      </c>
    </row>
    <row r="1148" spans="1:37">
      <c r="A1148" s="180"/>
      <c r="B1148" s="63" t="s">
        <v>63</v>
      </c>
      <c r="C1148" s="1551"/>
      <c r="D1148" s="1551"/>
      <c r="E1148" s="319"/>
      <c r="F1148" s="320"/>
      <c r="G1148" s="4"/>
      <c r="H1148" s="47"/>
      <c r="I1148" s="47"/>
      <c r="J1148" s="319">
        <v>4</v>
      </c>
      <c r="K1148" s="320"/>
      <c r="L1148" s="4"/>
      <c r="M1148" s="47"/>
      <c r="N1148" s="313"/>
      <c r="O1148" s="319">
        <v>4</v>
      </c>
      <c r="P1148" s="320"/>
      <c r="R1148" s="47"/>
      <c r="S1148" s="47"/>
      <c r="T1148" s="319">
        <v>4</v>
      </c>
      <c r="U1148" s="320"/>
      <c r="W1148" s="47"/>
      <c r="X1148" s="47"/>
      <c r="Y1148" s="319">
        <v>4</v>
      </c>
      <c r="Z1148" s="320"/>
      <c r="AA1148" s="328">
        <f t="shared" si="174"/>
        <v>16</v>
      </c>
      <c r="AB1148" s="298">
        <f t="shared" si="175"/>
        <v>0</v>
      </c>
      <c r="AC1148" s="4"/>
      <c r="AD1148" s="47"/>
      <c r="AE1148" s="47"/>
      <c r="AF1148" s="319"/>
      <c r="AG1148" s="29">
        <f t="shared" si="173"/>
        <v>0</v>
      </c>
    </row>
    <row r="1149" spans="1:37">
      <c r="A1149" s="180"/>
      <c r="B1149" s="267" t="s">
        <v>358</v>
      </c>
      <c r="C1149" s="1551"/>
      <c r="D1149" s="1551"/>
      <c r="E1149" s="319"/>
      <c r="F1149" s="320"/>
      <c r="G1149" s="438"/>
      <c r="H1149" s="47"/>
      <c r="I1149" s="47"/>
      <c r="J1149" s="319"/>
      <c r="K1149" s="320"/>
      <c r="L1149" s="438"/>
      <c r="M1149" s="47"/>
      <c r="N1149" s="47"/>
      <c r="O1149" s="319"/>
      <c r="P1149" s="320"/>
      <c r="Q1149" s="438"/>
      <c r="R1149" s="47"/>
      <c r="S1149" s="47"/>
      <c r="T1149" s="319"/>
      <c r="U1149" s="320"/>
      <c r="V1149" s="438"/>
      <c r="W1149" s="47"/>
      <c r="X1149" s="47"/>
      <c r="Y1149" s="319">
        <v>4</v>
      </c>
      <c r="Z1149" s="320"/>
      <c r="AA1149" s="328">
        <f t="shared" si="174"/>
        <v>4</v>
      </c>
      <c r="AB1149" s="298">
        <f t="shared" si="175"/>
        <v>0</v>
      </c>
      <c r="AC1149" s="4"/>
      <c r="AD1149" s="47"/>
      <c r="AE1149" s="47"/>
      <c r="AF1149" s="319"/>
      <c r="AG1149" s="29">
        <f t="shared" si="173"/>
        <v>0</v>
      </c>
      <c r="AK1149" s="407"/>
    </row>
    <row r="1150" spans="1:37">
      <c r="A1150" s="180"/>
      <c r="B1150" s="267" t="s">
        <v>532</v>
      </c>
      <c r="C1150" s="1551"/>
      <c r="D1150" s="1551"/>
      <c r="E1150" s="319"/>
      <c r="F1150" s="320"/>
      <c r="G1150" s="438"/>
      <c r="H1150" s="47"/>
      <c r="I1150" s="47"/>
      <c r="J1150" s="319"/>
      <c r="K1150" s="320"/>
      <c r="L1150" s="438"/>
      <c r="M1150" s="47"/>
      <c r="N1150" s="47"/>
      <c r="O1150" s="319"/>
      <c r="P1150" s="320"/>
      <c r="Q1150" s="438"/>
      <c r="R1150" s="47"/>
      <c r="S1150" s="47"/>
      <c r="T1150" s="319"/>
      <c r="U1150" s="320"/>
      <c r="V1150" s="438"/>
      <c r="W1150" s="47"/>
      <c r="X1150" s="47"/>
      <c r="Y1150" s="319"/>
      <c r="Z1150" s="320"/>
      <c r="AA1150" s="328">
        <f t="shared" si="174"/>
        <v>0</v>
      </c>
      <c r="AB1150" s="298">
        <f t="shared" si="175"/>
        <v>0</v>
      </c>
      <c r="AC1150" s="4"/>
      <c r="AD1150" s="47"/>
      <c r="AE1150" s="47"/>
      <c r="AF1150" s="319"/>
      <c r="AG1150" s="29">
        <f t="shared" si="173"/>
        <v>0</v>
      </c>
      <c r="AK1150" s="407"/>
    </row>
    <row r="1151" spans="1:37">
      <c r="A1151" s="180"/>
      <c r="B1151" s="267" t="s">
        <v>411</v>
      </c>
      <c r="C1151" s="1551"/>
      <c r="D1151" s="1551"/>
      <c r="E1151" s="319"/>
      <c r="F1151" s="320"/>
      <c r="G1151" s="438"/>
      <c r="H1151" s="47"/>
      <c r="I1151" s="47"/>
      <c r="J1151" s="319"/>
      <c r="K1151" s="320"/>
      <c r="L1151" s="438"/>
      <c r="M1151" s="47"/>
      <c r="N1151" s="47"/>
      <c r="O1151" s="319"/>
      <c r="P1151" s="320"/>
      <c r="Q1151" s="438"/>
      <c r="R1151" s="47"/>
      <c r="S1151" s="47"/>
      <c r="T1151" s="319"/>
      <c r="U1151" s="320"/>
      <c r="V1151" s="438"/>
      <c r="W1151" s="47"/>
      <c r="X1151" s="47"/>
      <c r="Y1151" s="319"/>
      <c r="Z1151" s="320"/>
      <c r="AA1151" s="328">
        <f t="shared" si="174"/>
        <v>0</v>
      </c>
      <c r="AB1151" s="298">
        <f t="shared" si="175"/>
        <v>0</v>
      </c>
      <c r="AC1151" s="4"/>
      <c r="AD1151" s="47"/>
      <c r="AE1151" s="47"/>
      <c r="AF1151" s="319"/>
      <c r="AG1151" s="29">
        <f t="shared" si="173"/>
        <v>0</v>
      </c>
      <c r="AK1151" s="407"/>
    </row>
    <row r="1152" spans="1:37">
      <c r="A1152" s="180"/>
      <c r="B1152" s="267" t="s">
        <v>361</v>
      </c>
      <c r="C1152" s="1551"/>
      <c r="D1152" s="1551"/>
      <c r="E1152" s="319"/>
      <c r="F1152" s="320"/>
      <c r="G1152" s="438"/>
      <c r="H1152" s="47"/>
      <c r="I1152" s="47"/>
      <c r="J1152" s="319"/>
      <c r="K1152" s="320"/>
      <c r="L1152" s="438"/>
      <c r="M1152" s="47"/>
      <c r="N1152" s="47"/>
      <c r="O1152" s="319"/>
      <c r="P1152" s="320"/>
      <c r="Q1152" s="438"/>
      <c r="R1152" s="47"/>
      <c r="S1152" s="47"/>
      <c r="T1152" s="319"/>
      <c r="U1152" s="320"/>
      <c r="V1152" s="438"/>
      <c r="W1152" s="47"/>
      <c r="X1152" s="47"/>
      <c r="Y1152" s="319"/>
      <c r="Z1152" s="320"/>
      <c r="AA1152" s="328">
        <f t="shared" si="174"/>
        <v>0</v>
      </c>
      <c r="AB1152" s="298">
        <f t="shared" si="175"/>
        <v>0</v>
      </c>
      <c r="AC1152" s="4"/>
      <c r="AD1152" s="47"/>
      <c r="AE1152" s="47"/>
      <c r="AF1152" s="319"/>
      <c r="AG1152" s="29">
        <f t="shared" si="173"/>
        <v>0</v>
      </c>
      <c r="AK1152" s="407"/>
    </row>
    <row r="1153" spans="1:37">
      <c r="A1153" s="180"/>
      <c r="B1153" s="267" t="s">
        <v>362</v>
      </c>
      <c r="C1153" s="1551"/>
      <c r="D1153" s="1551"/>
      <c r="E1153" s="319"/>
      <c r="F1153" s="320"/>
      <c r="G1153" s="438"/>
      <c r="H1153" s="47"/>
      <c r="I1153" s="47"/>
      <c r="J1153" s="319"/>
      <c r="K1153" s="320"/>
      <c r="L1153" s="438"/>
      <c r="M1153" s="47"/>
      <c r="N1153" s="47"/>
      <c r="O1153" s="319"/>
      <c r="P1153" s="320"/>
      <c r="Q1153" s="438"/>
      <c r="R1153" s="47"/>
      <c r="S1153" s="47"/>
      <c r="T1153" s="319"/>
      <c r="U1153" s="320"/>
      <c r="V1153" s="438"/>
      <c r="W1153" s="47"/>
      <c r="X1153" s="47"/>
      <c r="Y1153" s="319">
        <v>4</v>
      </c>
      <c r="Z1153" s="320"/>
      <c r="AA1153" s="328">
        <f t="shared" si="174"/>
        <v>4</v>
      </c>
      <c r="AB1153" s="298">
        <f t="shared" si="175"/>
        <v>0</v>
      </c>
      <c r="AC1153" s="4"/>
      <c r="AD1153" s="47"/>
      <c r="AE1153" s="47"/>
      <c r="AF1153" s="319"/>
      <c r="AG1153" s="29">
        <f t="shared" si="173"/>
        <v>0</v>
      </c>
      <c r="AK1153" s="407"/>
    </row>
    <row r="1154" spans="1:37">
      <c r="A1154" s="180"/>
      <c r="B1154" s="437" t="s">
        <v>355</v>
      </c>
      <c r="C1154" s="1551"/>
      <c r="D1154" s="1551"/>
      <c r="E1154" s="319"/>
      <c r="F1154" s="320"/>
      <c r="G1154" s="438"/>
      <c r="H1154" s="47"/>
      <c r="I1154" s="47"/>
      <c r="J1154" s="319"/>
      <c r="K1154" s="320"/>
      <c r="L1154" s="438"/>
      <c r="M1154" s="47"/>
      <c r="N1154" s="47"/>
      <c r="O1154" s="319"/>
      <c r="P1154" s="320"/>
      <c r="Q1154" s="438"/>
      <c r="R1154" s="47"/>
      <c r="S1154" s="47"/>
      <c r="T1154" s="319"/>
      <c r="U1154" s="320"/>
      <c r="V1154" s="438"/>
      <c r="W1154" s="47"/>
      <c r="X1154" s="47"/>
      <c r="Y1154" s="319"/>
      <c r="Z1154" s="320"/>
      <c r="AA1154" s="328">
        <f t="shared" si="174"/>
        <v>0</v>
      </c>
      <c r="AB1154" s="298">
        <f t="shared" si="175"/>
        <v>0</v>
      </c>
      <c r="AC1154" s="4"/>
      <c r="AD1154" s="47"/>
      <c r="AE1154" s="47"/>
      <c r="AF1154" s="319"/>
      <c r="AG1154" s="29">
        <f t="shared" si="173"/>
        <v>0</v>
      </c>
      <c r="AK1154" s="407"/>
    </row>
    <row r="1155" spans="1:37">
      <c r="A1155" s="180"/>
      <c r="B1155" s="437" t="s">
        <v>356</v>
      </c>
      <c r="C1155" s="1551"/>
      <c r="D1155" s="1551"/>
      <c r="E1155" s="319"/>
      <c r="F1155" s="320"/>
      <c r="G1155" s="438"/>
      <c r="H1155" s="47"/>
      <c r="I1155" s="47"/>
      <c r="J1155" s="319"/>
      <c r="K1155" s="320"/>
      <c r="L1155" s="438"/>
      <c r="M1155" s="47"/>
      <c r="N1155" s="47"/>
      <c r="O1155" s="319"/>
      <c r="P1155" s="320"/>
      <c r="Q1155" s="438"/>
      <c r="R1155" s="47"/>
      <c r="S1155" s="47"/>
      <c r="T1155" s="319"/>
      <c r="U1155" s="320"/>
      <c r="V1155" s="438"/>
      <c r="W1155" s="47"/>
      <c r="X1155" s="47"/>
      <c r="Y1155" s="319"/>
      <c r="Z1155" s="320"/>
      <c r="AA1155" s="328">
        <f t="shared" si="174"/>
        <v>0</v>
      </c>
      <c r="AB1155" s="298">
        <f t="shared" si="175"/>
        <v>0</v>
      </c>
      <c r="AC1155" s="4"/>
      <c r="AD1155" s="47"/>
      <c r="AE1155" s="47"/>
      <c r="AF1155" s="319"/>
      <c r="AG1155" s="29">
        <f t="shared" si="173"/>
        <v>0</v>
      </c>
      <c r="AK1155" s="407"/>
    </row>
    <row r="1156" spans="1:37">
      <c r="A1156" s="180"/>
      <c r="B1156" s="64" t="s">
        <v>61</v>
      </c>
      <c r="C1156" s="31"/>
      <c r="D1156" s="31"/>
      <c r="E1156" s="439">
        <f>SUM(E1119:E1155)</f>
        <v>0</v>
      </c>
      <c r="F1156" s="320">
        <f>SUM(F1119:F1155)</f>
        <v>0</v>
      </c>
      <c r="G1156" s="31"/>
      <c r="H1156" s="31"/>
      <c r="I1156" s="31"/>
      <c r="J1156" s="439">
        <f>SUM(J1119:J1155)</f>
        <v>16</v>
      </c>
      <c r="K1156" s="320">
        <f>SUM(K1119:K1155)</f>
        <v>1</v>
      </c>
      <c r="L1156" s="31"/>
      <c r="M1156" s="31"/>
      <c r="N1156" s="31"/>
      <c r="O1156" s="439">
        <f>SUM(O1119:O1155)</f>
        <v>13</v>
      </c>
      <c r="P1156" s="320">
        <f>SUM(P1119:P1155)</f>
        <v>0</v>
      </c>
      <c r="Q1156" s="31"/>
      <c r="R1156" s="31"/>
      <c r="S1156" s="31"/>
      <c r="T1156" s="439">
        <f>SUM(T1119:T1155)</f>
        <v>4</v>
      </c>
      <c r="U1156" s="320">
        <f>SUM(U1119:U1155)</f>
        <v>0</v>
      </c>
      <c r="V1156" s="31"/>
      <c r="W1156" s="31"/>
      <c r="X1156" s="31"/>
      <c r="Y1156" s="439">
        <f>SUM(Y1119:Y1155)</f>
        <v>24</v>
      </c>
      <c r="Z1156" s="320">
        <f>SUM(Z1119:Z1155)</f>
        <v>0</v>
      </c>
      <c r="AA1156" s="370">
        <f>SUM(AA1119:AA1155)</f>
        <v>57</v>
      </c>
      <c r="AB1156" s="370">
        <f>SUM(AB1119:AB1155)</f>
        <v>1</v>
      </c>
      <c r="AC1156" s="4"/>
      <c r="AD1156" s="64"/>
      <c r="AE1156" s="64"/>
      <c r="AF1156" s="370">
        <f>SUM(AF1119:AF1155)</f>
        <v>0</v>
      </c>
      <c r="AG1156" s="370">
        <f>SUM(AG1119:AG1155)</f>
        <v>0</v>
      </c>
    </row>
    <row r="1157" spans="1:37">
      <c r="A1157" s="180"/>
      <c r="B1157" s="63" t="s">
        <v>64</v>
      </c>
      <c r="C1157" s="47"/>
      <c r="D1157" s="47"/>
      <c r="E1157" s="319"/>
      <c r="F1157" s="19"/>
      <c r="G1157" s="613"/>
      <c r="H1157" s="47"/>
      <c r="I1157" s="47"/>
      <c r="J1157" s="319"/>
      <c r="K1157" s="19"/>
      <c r="L1157" s="60"/>
      <c r="M1157" s="47"/>
      <c r="N1157" s="47"/>
      <c r="O1157" s="319"/>
      <c r="P1157" s="19"/>
      <c r="Q1157" s="60"/>
      <c r="R1157" s="47"/>
      <c r="S1157" s="47"/>
      <c r="T1157" s="319"/>
      <c r="U1157" s="19"/>
      <c r="V1157" s="60"/>
      <c r="W1157" s="47"/>
      <c r="X1157" s="47"/>
      <c r="Y1157" s="319"/>
      <c r="Z1157" s="19"/>
      <c r="AA1157" s="28">
        <f>SUM(E1157+J1157+O1157+T1157+Y1157)</f>
        <v>0</v>
      </c>
      <c r="AB1157" s="296">
        <f>Z1157+U1157+P1157+K1157+F1157</f>
        <v>0</v>
      </c>
      <c r="AC1157" s="4"/>
      <c r="AD1157" s="47" t="s">
        <v>29</v>
      </c>
      <c r="AE1157" s="47" t="s">
        <v>29</v>
      </c>
      <c r="AF1157" s="319"/>
      <c r="AG1157" s="29">
        <f>AF1157</f>
        <v>0</v>
      </c>
    </row>
    <row r="1158" spans="1:37">
      <c r="A1158" s="180"/>
      <c r="B1158" s="71" t="s">
        <v>66</v>
      </c>
      <c r="C1158" s="371"/>
      <c r="D1158" s="371"/>
      <c r="E1158" s="71"/>
      <c r="F1158" s="71"/>
      <c r="G1158" s="71"/>
      <c r="H1158" s="71"/>
      <c r="I1158" s="71"/>
      <c r="J1158" s="71"/>
      <c r="K1158" s="71"/>
      <c r="L1158" s="71"/>
      <c r="M1158" s="71"/>
      <c r="N1158" s="71"/>
      <c r="O1158" s="71"/>
      <c r="P1158" s="71"/>
      <c r="Q1158" s="71"/>
      <c r="R1158" s="71"/>
      <c r="S1158" s="71"/>
      <c r="T1158" s="71"/>
      <c r="U1158" s="71"/>
      <c r="V1158" s="71"/>
      <c r="W1158" s="71"/>
      <c r="X1158" s="71"/>
      <c r="Y1158" s="71"/>
      <c r="Z1158" s="71"/>
      <c r="AA1158" s="370">
        <f>SUM(AA1157:AA1157)</f>
        <v>0</v>
      </c>
      <c r="AB1158" s="370">
        <f>SUM(AB1157:AB1157)</f>
        <v>0</v>
      </c>
      <c r="AC1158" s="4"/>
      <c r="AG1158" s="370">
        <f>SUM(AG1157:AG1157)</f>
        <v>0</v>
      </c>
    </row>
    <row r="1159" spans="1:37">
      <c r="A1159" s="180"/>
      <c r="B1159" s="217" t="s">
        <v>67</v>
      </c>
      <c r="C1159" s="207">
        <f>C1160+C1161</f>
        <v>5</v>
      </c>
      <c r="D1159" s="207"/>
      <c r="E1159" s="209"/>
      <c r="F1159" s="209"/>
      <c r="G1159" s="207"/>
      <c r="H1159" s="209"/>
      <c r="I1159" s="209"/>
      <c r="J1159" s="209"/>
      <c r="K1159" s="209"/>
      <c r="L1159" s="207"/>
      <c r="M1159" s="207"/>
      <c r="N1159" s="207"/>
      <c r="O1159" s="207"/>
      <c r="P1159" s="209"/>
      <c r="Q1159" s="207"/>
      <c r="R1159" s="207"/>
      <c r="S1159" s="207"/>
      <c r="T1159" s="207"/>
      <c r="U1159" s="209"/>
      <c r="V1159" s="207"/>
      <c r="W1159" s="207"/>
      <c r="X1159" s="207"/>
      <c r="Y1159" s="210"/>
      <c r="Z1159" s="209"/>
      <c r="AA1159" s="211"/>
      <c r="AB1159" s="209"/>
      <c r="AC1159" s="211"/>
      <c r="AD1159" s="211"/>
      <c r="AE1159" s="211"/>
      <c r="AF1159" s="211"/>
      <c r="AG1159" s="211"/>
    </row>
    <row r="1160" spans="1:37">
      <c r="A1160" s="180"/>
      <c r="B1160" s="238" t="s">
        <v>68</v>
      </c>
      <c r="C1160" s="239">
        <v>5</v>
      </c>
      <c r="D1160" s="207"/>
      <c r="E1160" s="209"/>
      <c r="F1160" s="209"/>
      <c r="G1160" s="207"/>
      <c r="H1160" s="209"/>
      <c r="I1160" s="209"/>
      <c r="J1160" s="209"/>
      <c r="K1160" s="209"/>
      <c r="L1160" s="207"/>
      <c r="M1160" s="207"/>
      <c r="N1160" s="207"/>
      <c r="O1160" s="207"/>
      <c r="P1160" s="209"/>
      <c r="Q1160" s="207"/>
      <c r="R1160" s="207"/>
      <c r="S1160" s="207"/>
      <c r="T1160" s="207"/>
      <c r="U1160" s="209"/>
      <c r="V1160" s="207"/>
      <c r="W1160" s="207"/>
      <c r="X1160" s="207"/>
      <c r="Y1160" s="210"/>
      <c r="Z1160" s="209"/>
      <c r="AA1160" s="211"/>
      <c r="AB1160" s="209"/>
      <c r="AC1160" s="211"/>
      <c r="AD1160" s="211"/>
      <c r="AE1160" s="211"/>
      <c r="AF1160" s="211"/>
      <c r="AG1160" s="211"/>
    </row>
    <row r="1161" spans="1:37">
      <c r="A1161" s="180"/>
      <c r="B1161" s="238" t="s">
        <v>69</v>
      </c>
      <c r="C1161" s="239"/>
      <c r="D1161" s="207"/>
      <c r="E1161" s="209"/>
      <c r="F1161" s="209"/>
      <c r="G1161" s="207"/>
      <c r="H1161" s="209"/>
      <c r="I1161" s="209"/>
      <c r="J1161" s="209"/>
      <c r="K1161" s="209"/>
      <c r="L1161" s="207"/>
      <c r="M1161" s="207"/>
      <c r="N1161" s="207"/>
      <c r="O1161" s="207"/>
      <c r="P1161" s="209"/>
      <c r="Q1161" s="207"/>
      <c r="R1161" s="207"/>
      <c r="S1161" s="207"/>
      <c r="T1161" s="207"/>
      <c r="U1161" s="209"/>
      <c r="V1161" s="207"/>
      <c r="W1161" s="207"/>
      <c r="X1161" s="207"/>
      <c r="Y1161" s="210"/>
      <c r="Z1161" s="209"/>
      <c r="AA1161" s="211"/>
      <c r="AB1161" s="209"/>
      <c r="AC1161" s="211"/>
      <c r="AD1161" s="211"/>
      <c r="AE1161" s="211"/>
      <c r="AF1161" s="211"/>
      <c r="AG1161" s="211"/>
    </row>
    <row r="1162" spans="1:37">
      <c r="B1162" s="180"/>
      <c r="E1162" s="4"/>
      <c r="F1162" s="4"/>
      <c r="G1162" s="4"/>
      <c r="J1162" s="4"/>
      <c r="K1162" s="4"/>
      <c r="L1162" s="4"/>
      <c r="O1162" s="4"/>
      <c r="P1162" s="4"/>
      <c r="T1162" s="4"/>
      <c r="U1162" s="4"/>
      <c r="Y1162" s="4"/>
      <c r="Z1162" s="4"/>
      <c r="AA1162" s="4"/>
      <c r="AB1162" s="4"/>
      <c r="AC1162" s="4"/>
    </row>
    <row r="1163" spans="1:37">
      <c r="B1163" s="180"/>
      <c r="E1163" s="4"/>
      <c r="F1163" s="4"/>
      <c r="G1163" s="4"/>
      <c r="J1163" s="4"/>
      <c r="K1163" s="4"/>
      <c r="L1163" s="4"/>
      <c r="O1163" s="4"/>
      <c r="P1163" s="4"/>
      <c r="T1163" s="4"/>
      <c r="U1163" s="4"/>
      <c r="Y1163" s="4"/>
      <c r="Z1163" s="4"/>
      <c r="AA1163" s="4"/>
      <c r="AB1163" s="4"/>
      <c r="AC1163" s="4"/>
    </row>
    <row r="1164" spans="1:37">
      <c r="B1164" s="180"/>
      <c r="E1164" s="4"/>
      <c r="F1164" s="4"/>
      <c r="G1164" s="4"/>
      <c r="J1164" s="4"/>
      <c r="K1164" s="4"/>
      <c r="L1164" s="4"/>
      <c r="O1164" s="4"/>
      <c r="P1164" s="4"/>
      <c r="T1164" s="4"/>
      <c r="U1164" s="4"/>
      <c r="Y1164" s="4"/>
      <c r="Z1164" s="4"/>
      <c r="AA1164" s="4"/>
      <c r="AB1164" s="4"/>
      <c r="AC1164" s="4"/>
    </row>
    <row r="1165" spans="1:37">
      <c r="B1165" s="180"/>
      <c r="E1165" s="4"/>
      <c r="F1165" s="4"/>
      <c r="G1165" s="4"/>
      <c r="J1165" s="4"/>
      <c r="K1165" s="4"/>
      <c r="L1165" s="4"/>
      <c r="O1165" s="4"/>
      <c r="P1165" s="4"/>
      <c r="T1165" s="4"/>
      <c r="U1165" s="4"/>
      <c r="Y1165" s="4"/>
      <c r="Z1165" s="4"/>
      <c r="AA1165" s="4"/>
      <c r="AB1165" s="4"/>
      <c r="AC1165" s="4"/>
    </row>
    <row r="1166" spans="1:37">
      <c r="B1166" s="180"/>
      <c r="E1166" s="4"/>
      <c r="F1166" s="4"/>
      <c r="G1166" s="4"/>
      <c r="J1166" s="4"/>
      <c r="K1166" s="4"/>
      <c r="L1166" s="4"/>
      <c r="O1166" s="4"/>
      <c r="P1166" s="4"/>
      <c r="T1166" s="4"/>
      <c r="U1166" s="4"/>
      <c r="Y1166" s="4"/>
      <c r="Z1166" s="4"/>
      <c r="AA1166" s="4"/>
      <c r="AB1166" s="4"/>
      <c r="AC1166" s="4"/>
    </row>
    <row r="1167" spans="1:37">
      <c r="B1167" s="180"/>
      <c r="E1167" s="4"/>
      <c r="F1167" s="4"/>
      <c r="G1167" s="4"/>
      <c r="J1167" s="4"/>
      <c r="K1167" s="4"/>
      <c r="L1167" s="4"/>
      <c r="O1167" s="4"/>
      <c r="P1167" s="4"/>
      <c r="T1167" s="4"/>
      <c r="U1167" s="4"/>
      <c r="Y1167" s="4"/>
      <c r="Z1167" s="4"/>
      <c r="AA1167" s="4"/>
      <c r="AB1167" s="4"/>
      <c r="AC1167" s="4"/>
    </row>
    <row r="1168" spans="1:37">
      <c r="B1168" s="180"/>
      <c r="E1168" s="4"/>
      <c r="F1168" s="4"/>
      <c r="G1168" s="4"/>
      <c r="J1168" s="4"/>
      <c r="K1168" s="4"/>
      <c r="L1168" s="4"/>
      <c r="O1168" s="4"/>
      <c r="P1168" s="4"/>
      <c r="T1168" s="4"/>
      <c r="U1168" s="4"/>
      <c r="Y1168" s="4"/>
      <c r="Z1168" s="4"/>
      <c r="AA1168" s="4"/>
      <c r="AB1168" s="4"/>
      <c r="AC1168" s="4"/>
    </row>
    <row r="1169" spans="2:29">
      <c r="B1169" s="180"/>
      <c r="E1169" s="4"/>
      <c r="F1169" s="4"/>
      <c r="G1169" s="4"/>
      <c r="J1169" s="4"/>
      <c r="K1169" s="4"/>
      <c r="L1169" s="4"/>
      <c r="O1169" s="4"/>
      <c r="P1169" s="4"/>
      <c r="T1169" s="4"/>
      <c r="U1169" s="4"/>
      <c r="Y1169" s="4"/>
      <c r="Z1169" s="4"/>
      <c r="AA1169" s="4"/>
      <c r="AB1169" s="4"/>
      <c r="AC1169" s="4"/>
    </row>
    <row r="1170" spans="2:29">
      <c r="B1170" s="180"/>
      <c r="E1170" s="4"/>
      <c r="F1170" s="4"/>
      <c r="G1170" s="4"/>
      <c r="J1170" s="4"/>
      <c r="K1170" s="4"/>
      <c r="L1170" s="4"/>
      <c r="O1170" s="4"/>
      <c r="P1170" s="4"/>
      <c r="T1170" s="4"/>
      <c r="U1170" s="4"/>
      <c r="Y1170" s="4"/>
      <c r="Z1170" s="4"/>
      <c r="AA1170" s="4"/>
      <c r="AB1170" s="4"/>
      <c r="AC1170" s="4"/>
    </row>
    <row r="1171" spans="2:29">
      <c r="B1171" s="180"/>
      <c r="E1171" s="4"/>
      <c r="F1171" s="4"/>
      <c r="G1171" s="4"/>
      <c r="J1171" s="4"/>
      <c r="K1171" s="4"/>
      <c r="L1171" s="4"/>
      <c r="O1171" s="4"/>
      <c r="P1171" s="4"/>
      <c r="T1171" s="4"/>
      <c r="U1171" s="4"/>
      <c r="Y1171" s="4"/>
      <c r="Z1171" s="4"/>
      <c r="AA1171" s="4"/>
      <c r="AB1171" s="4"/>
      <c r="AC1171" s="4"/>
    </row>
    <row r="1172" spans="2:29">
      <c r="B1172" s="180"/>
      <c r="E1172" s="4"/>
      <c r="F1172" s="4"/>
      <c r="G1172" s="4"/>
      <c r="J1172" s="4"/>
      <c r="K1172" s="4"/>
      <c r="L1172" s="4"/>
      <c r="O1172" s="4"/>
      <c r="P1172" s="4"/>
      <c r="T1172" s="4"/>
      <c r="U1172" s="4"/>
      <c r="Y1172" s="4"/>
      <c r="Z1172" s="4"/>
      <c r="AA1172" s="4"/>
      <c r="AB1172" s="4"/>
      <c r="AC1172" s="4"/>
    </row>
    <row r="1173" spans="2:29">
      <c r="B1173" s="180"/>
      <c r="E1173" s="4"/>
      <c r="F1173" s="4"/>
      <c r="G1173" s="4"/>
      <c r="J1173" s="4"/>
      <c r="K1173" s="4"/>
      <c r="L1173" s="4"/>
      <c r="O1173" s="4"/>
      <c r="P1173" s="4"/>
      <c r="T1173" s="4"/>
      <c r="U1173" s="4"/>
      <c r="Y1173" s="4"/>
      <c r="Z1173" s="4"/>
      <c r="AA1173" s="4"/>
      <c r="AB1173" s="4"/>
      <c r="AC1173" s="4"/>
    </row>
    <row r="1174" spans="2:29">
      <c r="B1174" s="180"/>
      <c r="E1174" s="4"/>
      <c r="F1174" s="4"/>
      <c r="G1174" s="4"/>
      <c r="J1174" s="4"/>
      <c r="K1174" s="4"/>
      <c r="L1174" s="4"/>
      <c r="O1174" s="4"/>
      <c r="P1174" s="4"/>
      <c r="T1174" s="4"/>
      <c r="U1174" s="4"/>
      <c r="Y1174" s="4"/>
      <c r="Z1174" s="4"/>
      <c r="AA1174" s="4"/>
      <c r="AB1174" s="4"/>
      <c r="AC1174" s="4"/>
    </row>
    <row r="1175" spans="2:29">
      <c r="B1175" s="180"/>
      <c r="E1175" s="4"/>
      <c r="F1175" s="4"/>
      <c r="G1175" s="4"/>
      <c r="J1175" s="4"/>
      <c r="K1175" s="4"/>
      <c r="L1175" s="4"/>
      <c r="O1175" s="4"/>
      <c r="P1175" s="4"/>
      <c r="T1175" s="4"/>
      <c r="U1175" s="4"/>
      <c r="Y1175" s="4"/>
      <c r="Z1175" s="4"/>
      <c r="AA1175" s="4"/>
      <c r="AB1175" s="4"/>
      <c r="AC1175" s="4"/>
    </row>
    <row r="1176" spans="2:29">
      <c r="B1176" s="180"/>
      <c r="E1176" s="4"/>
      <c r="F1176" s="4"/>
      <c r="G1176" s="4"/>
      <c r="J1176" s="4"/>
      <c r="K1176" s="4"/>
      <c r="L1176" s="4"/>
      <c r="O1176" s="4"/>
      <c r="P1176" s="4"/>
      <c r="T1176" s="4"/>
      <c r="U1176" s="4"/>
      <c r="Y1176" s="4"/>
      <c r="Z1176" s="4"/>
      <c r="AA1176" s="4"/>
      <c r="AB1176" s="4"/>
      <c r="AC1176" s="4"/>
    </row>
    <row r="1177" spans="2:29">
      <c r="B1177" s="180"/>
      <c r="E1177" s="4"/>
      <c r="F1177" s="4"/>
      <c r="G1177" s="4"/>
      <c r="J1177" s="4"/>
      <c r="K1177" s="4"/>
      <c r="L1177" s="4"/>
      <c r="O1177" s="4"/>
      <c r="P1177" s="4"/>
      <c r="T1177" s="4"/>
      <c r="U1177" s="4"/>
      <c r="Y1177" s="4"/>
      <c r="Z1177" s="4"/>
      <c r="AA1177" s="4"/>
      <c r="AB1177" s="4"/>
      <c r="AC1177" s="4"/>
    </row>
    <row r="1178" spans="2:29">
      <c r="B1178" s="180"/>
      <c r="E1178" s="4"/>
      <c r="F1178" s="4"/>
      <c r="G1178" s="4"/>
      <c r="J1178" s="4"/>
      <c r="K1178" s="4"/>
      <c r="L1178" s="4"/>
      <c r="O1178" s="4"/>
      <c r="P1178" s="4"/>
      <c r="T1178" s="4"/>
      <c r="U1178" s="4"/>
      <c r="Y1178" s="4"/>
      <c r="Z1178" s="4"/>
      <c r="AA1178" s="4"/>
      <c r="AB1178" s="4"/>
      <c r="AC1178" s="4"/>
    </row>
    <row r="1179" spans="2:29">
      <c r="B1179" s="180"/>
      <c r="E1179" s="4"/>
      <c r="F1179" s="4"/>
      <c r="G1179" s="4"/>
      <c r="J1179" s="4"/>
      <c r="K1179" s="4"/>
      <c r="L1179" s="4"/>
      <c r="O1179" s="4"/>
      <c r="P1179" s="4"/>
      <c r="T1179" s="4"/>
      <c r="U1179" s="4"/>
      <c r="Y1179" s="4"/>
      <c r="Z1179" s="4"/>
      <c r="AA1179" s="4"/>
      <c r="AB1179" s="4"/>
      <c r="AC1179" s="4"/>
    </row>
    <row r="1180" spans="2:29">
      <c r="B1180" s="180"/>
      <c r="E1180" s="4"/>
      <c r="F1180" s="4"/>
      <c r="G1180" s="4"/>
      <c r="J1180" s="4"/>
      <c r="K1180" s="4"/>
      <c r="L1180" s="4"/>
      <c r="O1180" s="4"/>
      <c r="P1180" s="4"/>
      <c r="T1180" s="4"/>
      <c r="U1180" s="4"/>
      <c r="Y1180" s="4"/>
      <c r="Z1180" s="4"/>
      <c r="AA1180" s="4"/>
      <c r="AB1180" s="4"/>
      <c r="AC1180" s="4"/>
    </row>
    <row r="1181" spans="2:29">
      <c r="B1181" s="180"/>
      <c r="E1181" s="4"/>
      <c r="F1181" s="4"/>
      <c r="G1181" s="4"/>
      <c r="J1181" s="4"/>
      <c r="K1181" s="4"/>
      <c r="L1181" s="4"/>
      <c r="O1181" s="4"/>
      <c r="P1181" s="4"/>
      <c r="T1181" s="4"/>
      <c r="U1181" s="4"/>
      <c r="Y1181" s="4"/>
      <c r="Z1181" s="4"/>
      <c r="AA1181" s="4"/>
      <c r="AB1181" s="4"/>
      <c r="AC1181" s="4"/>
    </row>
    <row r="1182" spans="2:29">
      <c r="B1182" s="180"/>
      <c r="E1182" s="4"/>
      <c r="F1182" s="4"/>
      <c r="G1182" s="4"/>
      <c r="J1182" s="4"/>
      <c r="K1182" s="4"/>
      <c r="L1182" s="4"/>
      <c r="O1182" s="4"/>
      <c r="P1182" s="4"/>
      <c r="T1182" s="4"/>
      <c r="U1182" s="4"/>
      <c r="Y1182" s="4"/>
      <c r="Z1182" s="4"/>
      <c r="AA1182" s="4"/>
      <c r="AB1182" s="4"/>
      <c r="AC1182" s="4"/>
    </row>
    <row r="1183" spans="2:29">
      <c r="B1183" s="180"/>
      <c r="E1183" s="4"/>
      <c r="F1183" s="4"/>
      <c r="G1183" s="4"/>
      <c r="J1183" s="4"/>
      <c r="K1183" s="4"/>
      <c r="L1183" s="4"/>
      <c r="O1183" s="4"/>
      <c r="P1183" s="4"/>
      <c r="T1183" s="4"/>
      <c r="U1183" s="4"/>
      <c r="Y1183" s="4"/>
      <c r="Z1183" s="4"/>
      <c r="AA1183" s="4"/>
      <c r="AB1183" s="4"/>
      <c r="AC1183" s="4"/>
    </row>
    <row r="1184" spans="2:29">
      <c r="B1184" s="180"/>
      <c r="E1184" s="4"/>
      <c r="F1184" s="4"/>
      <c r="G1184" s="4"/>
      <c r="J1184" s="4"/>
      <c r="K1184" s="4"/>
      <c r="L1184" s="4"/>
      <c r="O1184" s="4"/>
      <c r="P1184" s="4"/>
      <c r="T1184" s="4"/>
      <c r="U1184" s="4"/>
      <c r="Y1184" s="4"/>
      <c r="Z1184" s="4"/>
      <c r="AA1184" s="4"/>
      <c r="AB1184" s="4"/>
      <c r="AC1184" s="4"/>
    </row>
    <row r="1185" spans="2:29">
      <c r="B1185" s="180"/>
      <c r="E1185" s="4"/>
      <c r="F1185" s="4"/>
      <c r="G1185" s="4"/>
      <c r="J1185" s="4"/>
      <c r="K1185" s="4"/>
      <c r="L1185" s="4"/>
      <c r="O1185" s="4"/>
      <c r="P1185" s="4"/>
      <c r="T1185" s="4"/>
      <c r="U1185" s="4"/>
      <c r="Y1185" s="4"/>
      <c r="Z1185" s="4"/>
      <c r="AA1185" s="4"/>
      <c r="AB1185" s="4"/>
      <c r="AC1185" s="4"/>
    </row>
    <row r="1186" spans="2:29">
      <c r="B1186" s="180"/>
      <c r="E1186" s="4"/>
      <c r="F1186" s="4"/>
      <c r="G1186" s="4"/>
      <c r="J1186" s="4"/>
      <c r="K1186" s="4"/>
      <c r="L1186" s="4"/>
      <c r="O1186" s="4"/>
      <c r="P1186" s="4"/>
      <c r="T1186" s="4"/>
      <c r="U1186" s="4"/>
      <c r="Y1186" s="4"/>
      <c r="Z1186" s="4"/>
      <c r="AA1186" s="4"/>
      <c r="AB1186" s="4"/>
      <c r="AC1186" s="4"/>
    </row>
    <row r="1187" spans="2:29">
      <c r="B1187" s="180"/>
      <c r="E1187" s="4"/>
      <c r="F1187" s="4"/>
      <c r="G1187" s="4"/>
      <c r="J1187" s="4"/>
      <c r="K1187" s="4"/>
      <c r="L1187" s="4"/>
      <c r="O1187" s="4"/>
      <c r="P1187" s="4"/>
      <c r="T1187" s="4"/>
      <c r="U1187" s="4"/>
      <c r="Y1187" s="4"/>
      <c r="Z1187" s="4"/>
      <c r="AA1187" s="4"/>
      <c r="AB1187" s="4"/>
      <c r="AC1187" s="4"/>
    </row>
    <row r="1188" spans="2:29">
      <c r="B1188" s="180"/>
      <c r="E1188" s="4"/>
      <c r="F1188" s="4"/>
      <c r="G1188" s="4"/>
      <c r="J1188" s="4"/>
      <c r="K1188" s="4"/>
      <c r="L1188" s="4"/>
      <c r="O1188" s="4"/>
      <c r="P1188" s="4"/>
      <c r="T1188" s="4"/>
      <c r="U1188" s="4"/>
      <c r="Y1188" s="4"/>
      <c r="Z1188" s="4"/>
      <c r="AA1188" s="4"/>
      <c r="AB1188" s="4"/>
      <c r="AC1188" s="4"/>
    </row>
    <row r="1189" spans="2:29">
      <c r="B1189" s="180"/>
      <c r="E1189" s="4"/>
      <c r="F1189" s="4"/>
      <c r="G1189" s="4"/>
      <c r="J1189" s="4"/>
      <c r="K1189" s="4"/>
      <c r="L1189" s="4"/>
      <c r="O1189" s="4"/>
      <c r="P1189" s="4"/>
      <c r="T1189" s="4"/>
      <c r="U1189" s="4"/>
      <c r="Y1189" s="4"/>
      <c r="Z1189" s="4"/>
      <c r="AA1189" s="4"/>
      <c r="AB1189" s="4"/>
      <c r="AC1189" s="4"/>
    </row>
    <row r="1190" spans="2:29">
      <c r="B1190" s="180"/>
      <c r="E1190" s="4"/>
      <c r="F1190" s="4"/>
      <c r="G1190" s="4"/>
      <c r="J1190" s="4"/>
      <c r="K1190" s="4"/>
      <c r="L1190" s="4"/>
      <c r="O1190" s="4"/>
      <c r="P1190" s="4"/>
      <c r="T1190" s="4"/>
      <c r="U1190" s="4"/>
      <c r="Y1190" s="4"/>
      <c r="Z1190" s="4"/>
      <c r="AA1190" s="4"/>
      <c r="AB1190" s="4"/>
      <c r="AC1190" s="4"/>
    </row>
    <row r="1191" spans="2:29">
      <c r="B1191" s="180"/>
      <c r="E1191" s="4"/>
      <c r="F1191" s="4"/>
      <c r="G1191" s="4"/>
      <c r="J1191" s="4"/>
      <c r="K1191" s="4"/>
      <c r="L1191" s="4"/>
      <c r="O1191" s="4"/>
      <c r="P1191" s="4"/>
      <c r="T1191" s="4"/>
      <c r="U1191" s="4"/>
      <c r="Y1191" s="4"/>
      <c r="Z1191" s="4"/>
      <c r="AA1191" s="4"/>
      <c r="AB1191" s="4"/>
      <c r="AC1191" s="4"/>
    </row>
    <row r="1192" spans="2:29">
      <c r="B1192" s="180"/>
      <c r="E1192" s="4"/>
      <c r="F1192" s="4"/>
      <c r="G1192" s="4"/>
      <c r="J1192" s="4"/>
      <c r="K1192" s="4"/>
      <c r="L1192" s="4"/>
      <c r="O1192" s="4"/>
      <c r="P1192" s="4"/>
      <c r="T1192" s="4"/>
      <c r="U1192" s="4"/>
      <c r="Y1192" s="4"/>
      <c r="Z1192" s="4"/>
      <c r="AA1192" s="4"/>
      <c r="AB1192" s="4"/>
      <c r="AC1192" s="4"/>
    </row>
    <row r="1193" spans="2:29">
      <c r="B1193" s="180"/>
      <c r="E1193" s="4"/>
      <c r="F1193" s="4"/>
      <c r="G1193" s="4"/>
      <c r="J1193" s="4"/>
      <c r="K1193" s="4"/>
      <c r="L1193" s="4"/>
      <c r="O1193" s="4"/>
      <c r="P1193" s="4"/>
      <c r="T1193" s="4"/>
      <c r="U1193" s="4"/>
      <c r="Y1193" s="4"/>
      <c r="Z1193" s="4"/>
      <c r="AA1193" s="4"/>
      <c r="AB1193" s="4"/>
      <c r="AC1193" s="4"/>
    </row>
    <row r="1194" spans="2:29">
      <c r="B1194" s="180"/>
      <c r="E1194" s="4"/>
      <c r="F1194" s="4"/>
      <c r="G1194" s="4"/>
      <c r="J1194" s="4"/>
      <c r="K1194" s="4"/>
      <c r="L1194" s="4"/>
      <c r="O1194" s="4"/>
      <c r="P1194" s="4"/>
      <c r="T1194" s="4"/>
      <c r="U1194" s="4"/>
      <c r="Y1194" s="4"/>
      <c r="Z1194" s="4"/>
      <c r="AA1194" s="4"/>
      <c r="AB1194" s="4"/>
      <c r="AC1194" s="4"/>
    </row>
    <row r="1195" spans="2:29">
      <c r="B1195" s="180"/>
      <c r="E1195" s="4"/>
      <c r="F1195" s="4"/>
      <c r="G1195" s="4"/>
      <c r="J1195" s="4"/>
      <c r="K1195" s="4"/>
      <c r="L1195" s="4"/>
      <c r="O1195" s="4"/>
      <c r="P1195" s="4"/>
      <c r="T1195" s="4"/>
      <c r="U1195" s="4"/>
      <c r="Y1195" s="4"/>
      <c r="Z1195" s="4"/>
      <c r="AA1195" s="4"/>
      <c r="AB1195" s="4"/>
      <c r="AC1195" s="4"/>
    </row>
    <row r="1196" spans="2:29">
      <c r="B1196" s="180"/>
      <c r="E1196" s="4"/>
      <c r="F1196" s="4"/>
      <c r="G1196" s="4"/>
      <c r="J1196" s="4"/>
      <c r="K1196" s="4"/>
      <c r="L1196" s="4"/>
      <c r="O1196" s="4"/>
      <c r="P1196" s="4"/>
      <c r="T1196" s="4"/>
      <c r="U1196" s="4"/>
      <c r="Y1196" s="4"/>
      <c r="Z1196" s="4"/>
      <c r="AA1196" s="4"/>
      <c r="AB1196" s="4"/>
      <c r="AC1196" s="4"/>
    </row>
    <row r="1197" spans="2:29">
      <c r="B1197" s="180"/>
      <c r="E1197" s="4"/>
      <c r="F1197" s="4"/>
      <c r="G1197" s="4"/>
      <c r="J1197" s="4"/>
      <c r="K1197" s="4"/>
      <c r="L1197" s="4"/>
      <c r="O1197" s="4"/>
      <c r="P1197" s="4"/>
      <c r="T1197" s="4"/>
      <c r="U1197" s="4"/>
      <c r="Y1197" s="4"/>
      <c r="Z1197" s="4"/>
      <c r="AA1197" s="4"/>
      <c r="AB1197" s="4"/>
      <c r="AC1197" s="4"/>
    </row>
    <row r="1198" spans="2:29">
      <c r="B1198" s="180"/>
      <c r="E1198" s="4"/>
      <c r="F1198" s="4"/>
      <c r="G1198" s="4"/>
      <c r="J1198" s="4"/>
      <c r="K1198" s="4"/>
      <c r="L1198" s="4"/>
      <c r="O1198" s="4"/>
      <c r="P1198" s="4"/>
      <c r="T1198" s="4"/>
      <c r="U1198" s="4"/>
      <c r="Y1198" s="4"/>
      <c r="Z1198" s="4"/>
      <c r="AA1198" s="4"/>
      <c r="AB1198" s="4"/>
      <c r="AC1198" s="4"/>
    </row>
    <row r="1199" spans="2:29">
      <c r="B1199" s="180"/>
      <c r="E1199" s="4"/>
      <c r="F1199" s="4"/>
      <c r="G1199" s="4"/>
      <c r="J1199" s="4"/>
      <c r="K1199" s="4"/>
      <c r="L1199" s="4"/>
      <c r="O1199" s="4"/>
      <c r="P1199" s="4"/>
      <c r="T1199" s="4"/>
      <c r="U1199" s="4"/>
      <c r="Y1199" s="4"/>
      <c r="Z1199" s="4"/>
      <c r="AA1199" s="4"/>
      <c r="AB1199" s="4"/>
      <c r="AC1199" s="4"/>
    </row>
    <row r="1200" spans="2:29">
      <c r="B1200" s="180"/>
      <c r="E1200" s="4"/>
      <c r="F1200" s="4"/>
      <c r="G1200" s="4"/>
      <c r="J1200" s="4"/>
      <c r="K1200" s="4"/>
      <c r="L1200" s="4"/>
      <c r="O1200" s="4"/>
      <c r="P1200" s="4"/>
      <c r="T1200" s="4"/>
      <c r="U1200" s="4"/>
      <c r="Y1200" s="4"/>
      <c r="Z1200" s="4"/>
      <c r="AA1200" s="4"/>
      <c r="AB1200" s="4"/>
      <c r="AC1200" s="4"/>
    </row>
    <row r="1201" spans="2:29">
      <c r="B1201" s="180"/>
      <c r="E1201" s="4"/>
      <c r="F1201" s="4"/>
      <c r="G1201" s="4"/>
      <c r="J1201" s="4"/>
      <c r="K1201" s="4"/>
      <c r="L1201" s="4"/>
      <c r="O1201" s="4"/>
      <c r="P1201" s="4"/>
      <c r="T1201" s="4"/>
      <c r="U1201" s="4"/>
      <c r="Y1201" s="4"/>
      <c r="Z1201" s="4"/>
      <c r="AA1201" s="4"/>
      <c r="AB1201" s="4"/>
      <c r="AC1201" s="4"/>
    </row>
    <row r="1202" spans="2:29">
      <c r="B1202" s="180"/>
      <c r="E1202" s="4"/>
      <c r="F1202" s="4"/>
      <c r="G1202" s="4"/>
      <c r="J1202" s="4"/>
      <c r="K1202" s="4"/>
      <c r="L1202" s="4"/>
      <c r="O1202" s="4"/>
      <c r="P1202" s="4"/>
      <c r="T1202" s="4"/>
      <c r="U1202" s="4"/>
      <c r="Y1202" s="4"/>
      <c r="Z1202" s="4"/>
      <c r="AA1202" s="4"/>
      <c r="AB1202" s="4"/>
      <c r="AC1202" s="4"/>
    </row>
    <row r="1203" spans="2:29">
      <c r="B1203" s="180"/>
      <c r="E1203" s="4"/>
      <c r="F1203" s="4"/>
      <c r="G1203" s="4"/>
      <c r="J1203" s="4"/>
      <c r="K1203" s="4"/>
      <c r="L1203" s="4"/>
      <c r="O1203" s="4"/>
      <c r="P1203" s="4"/>
      <c r="T1203" s="4"/>
      <c r="U1203" s="4"/>
      <c r="Y1203" s="4"/>
      <c r="Z1203" s="4"/>
      <c r="AA1203" s="4"/>
      <c r="AB1203" s="4"/>
      <c r="AC1203" s="4"/>
    </row>
    <row r="1204" spans="2:29">
      <c r="B1204" s="180"/>
      <c r="E1204" s="4"/>
      <c r="F1204" s="4"/>
      <c r="G1204" s="4"/>
      <c r="J1204" s="4"/>
      <c r="K1204" s="4"/>
      <c r="L1204" s="4"/>
      <c r="O1204" s="4"/>
      <c r="P1204" s="4"/>
      <c r="T1204" s="4"/>
      <c r="U1204" s="4"/>
      <c r="Y1204" s="4"/>
      <c r="Z1204" s="4"/>
      <c r="AA1204" s="4"/>
      <c r="AB1204" s="4"/>
      <c r="AC1204" s="4"/>
    </row>
    <row r="1205" spans="2:29">
      <c r="B1205" s="180"/>
      <c r="E1205" s="4"/>
      <c r="F1205" s="4"/>
      <c r="G1205" s="4"/>
      <c r="J1205" s="4"/>
      <c r="K1205" s="4"/>
      <c r="L1205" s="4"/>
      <c r="O1205" s="4"/>
      <c r="P1205" s="4"/>
      <c r="T1205" s="4"/>
      <c r="U1205" s="4"/>
      <c r="Y1205" s="4"/>
      <c r="Z1205" s="4"/>
      <c r="AA1205" s="4"/>
      <c r="AB1205" s="4"/>
      <c r="AC1205" s="4"/>
    </row>
    <row r="1206" spans="2:29">
      <c r="B1206" s="180"/>
      <c r="E1206" s="4"/>
      <c r="F1206" s="4"/>
      <c r="G1206" s="4"/>
      <c r="J1206" s="4"/>
      <c r="K1206" s="4"/>
      <c r="L1206" s="4"/>
      <c r="O1206" s="4"/>
      <c r="P1206" s="4"/>
      <c r="T1206" s="4"/>
      <c r="U1206" s="4"/>
      <c r="Y1206" s="4"/>
      <c r="Z1206" s="4"/>
      <c r="AA1206" s="4"/>
      <c r="AB1206" s="4"/>
      <c r="AC1206" s="4"/>
    </row>
    <row r="1207" spans="2:29">
      <c r="B1207" s="180"/>
      <c r="E1207" s="4"/>
      <c r="F1207" s="4"/>
      <c r="G1207" s="4"/>
      <c r="J1207" s="4"/>
      <c r="K1207" s="4"/>
      <c r="L1207" s="4"/>
      <c r="O1207" s="4"/>
      <c r="P1207" s="4"/>
      <c r="T1207" s="4"/>
      <c r="U1207" s="4"/>
      <c r="Y1207" s="4"/>
      <c r="Z1207" s="4"/>
      <c r="AA1207" s="4"/>
      <c r="AB1207" s="4"/>
      <c r="AC1207" s="4"/>
    </row>
    <row r="1208" spans="2:29">
      <c r="B1208" s="180"/>
      <c r="E1208" s="4"/>
      <c r="F1208" s="4"/>
      <c r="G1208" s="4"/>
      <c r="J1208" s="4"/>
      <c r="K1208" s="4"/>
      <c r="L1208" s="4"/>
      <c r="O1208" s="4"/>
      <c r="P1208" s="4"/>
      <c r="T1208" s="4"/>
      <c r="U1208" s="4"/>
      <c r="Y1208" s="4"/>
      <c r="Z1208" s="4"/>
      <c r="AA1208" s="4"/>
      <c r="AB1208" s="4"/>
      <c r="AC1208" s="4"/>
    </row>
    <row r="1209" spans="2:29">
      <c r="B1209" s="180"/>
      <c r="E1209" s="4"/>
      <c r="F1209" s="4"/>
      <c r="G1209" s="4"/>
      <c r="J1209" s="4"/>
      <c r="K1209" s="4"/>
      <c r="L1209" s="4"/>
      <c r="O1209" s="4"/>
      <c r="P1209" s="4"/>
      <c r="T1209" s="4"/>
      <c r="U1209" s="4"/>
      <c r="Y1209" s="4"/>
      <c r="Z1209" s="4"/>
      <c r="AA1209" s="4"/>
      <c r="AB1209" s="4"/>
      <c r="AC1209" s="4"/>
    </row>
    <row r="1210" spans="2:29">
      <c r="B1210" s="180"/>
      <c r="E1210" s="4"/>
      <c r="F1210" s="4"/>
      <c r="G1210" s="4"/>
      <c r="J1210" s="4"/>
      <c r="K1210" s="4"/>
      <c r="L1210" s="4"/>
      <c r="O1210" s="4"/>
      <c r="P1210" s="4"/>
      <c r="T1210" s="4"/>
      <c r="U1210" s="4"/>
      <c r="Y1210" s="4"/>
      <c r="Z1210" s="4"/>
      <c r="AA1210" s="4"/>
      <c r="AB1210" s="4"/>
      <c r="AC1210" s="4"/>
    </row>
    <row r="1211" spans="2:29">
      <c r="B1211" s="180"/>
      <c r="E1211" s="4"/>
      <c r="F1211" s="4"/>
      <c r="G1211" s="4"/>
      <c r="J1211" s="4"/>
      <c r="K1211" s="4"/>
      <c r="L1211" s="4"/>
      <c r="O1211" s="4"/>
      <c r="P1211" s="4"/>
      <c r="T1211" s="4"/>
      <c r="U1211" s="4"/>
      <c r="Y1211" s="4"/>
      <c r="Z1211" s="4"/>
      <c r="AA1211" s="4"/>
      <c r="AB1211" s="4"/>
      <c r="AC1211" s="4"/>
    </row>
    <row r="1212" spans="2:29">
      <c r="B1212" s="180"/>
      <c r="E1212" s="4"/>
      <c r="F1212" s="4"/>
      <c r="G1212" s="4"/>
      <c r="J1212" s="4"/>
      <c r="K1212" s="4"/>
      <c r="L1212" s="4"/>
      <c r="O1212" s="4"/>
      <c r="P1212" s="4"/>
      <c r="T1212" s="4"/>
      <c r="U1212" s="4"/>
      <c r="Y1212" s="4"/>
      <c r="Z1212" s="4"/>
      <c r="AA1212" s="4"/>
      <c r="AB1212" s="4"/>
      <c r="AC1212" s="4"/>
    </row>
    <row r="1213" spans="2:29">
      <c r="B1213" s="180"/>
      <c r="E1213" s="4"/>
      <c r="F1213" s="4"/>
      <c r="G1213" s="4"/>
      <c r="J1213" s="4"/>
      <c r="K1213" s="4"/>
      <c r="L1213" s="4"/>
      <c r="O1213" s="4"/>
      <c r="P1213" s="4"/>
      <c r="T1213" s="4"/>
      <c r="U1213" s="4"/>
      <c r="Y1213" s="4"/>
      <c r="Z1213" s="4"/>
      <c r="AA1213" s="4"/>
      <c r="AB1213" s="4"/>
      <c r="AC1213" s="4"/>
    </row>
    <row r="1214" spans="2:29">
      <c r="B1214" s="180"/>
      <c r="E1214" s="4"/>
      <c r="F1214" s="4"/>
      <c r="G1214" s="4"/>
      <c r="J1214" s="4"/>
      <c r="K1214" s="4"/>
      <c r="L1214" s="4"/>
      <c r="O1214" s="4"/>
      <c r="P1214" s="4"/>
      <c r="T1214" s="4"/>
      <c r="U1214" s="4"/>
      <c r="Y1214" s="4"/>
      <c r="Z1214" s="4"/>
      <c r="AA1214" s="4"/>
      <c r="AB1214" s="4"/>
      <c r="AC1214" s="4"/>
    </row>
    <row r="1215" spans="2:29">
      <c r="B1215" s="180"/>
      <c r="E1215" s="4"/>
      <c r="F1215" s="4"/>
      <c r="G1215" s="4"/>
      <c r="J1215" s="4"/>
      <c r="K1215" s="4"/>
      <c r="L1215" s="4"/>
      <c r="O1215" s="4"/>
      <c r="P1215" s="4"/>
      <c r="T1215" s="4"/>
      <c r="U1215" s="4"/>
      <c r="Y1215" s="4"/>
      <c r="Z1215" s="4"/>
      <c r="AA1215" s="4"/>
      <c r="AB1215" s="4"/>
      <c r="AC1215" s="4"/>
    </row>
    <row r="1216" spans="2:29">
      <c r="B1216" s="180"/>
      <c r="E1216" s="4"/>
      <c r="F1216" s="4"/>
      <c r="G1216" s="4"/>
      <c r="J1216" s="4"/>
      <c r="K1216" s="4"/>
      <c r="L1216" s="4"/>
      <c r="O1216" s="4"/>
      <c r="P1216" s="4"/>
      <c r="T1216" s="4"/>
      <c r="U1216" s="4"/>
      <c r="Y1216" s="4"/>
      <c r="Z1216" s="4"/>
      <c r="AA1216" s="4"/>
      <c r="AB1216" s="4"/>
      <c r="AC1216" s="4"/>
    </row>
    <row r="1217" spans="2:29">
      <c r="B1217" s="180"/>
      <c r="E1217" s="4"/>
      <c r="F1217" s="4"/>
      <c r="G1217" s="4"/>
      <c r="J1217" s="4"/>
      <c r="K1217" s="4"/>
      <c r="L1217" s="4"/>
      <c r="O1217" s="4"/>
      <c r="P1217" s="4"/>
      <c r="T1217" s="4"/>
      <c r="U1217" s="4"/>
      <c r="Y1217" s="4"/>
      <c r="Z1217" s="4"/>
      <c r="AA1217" s="4"/>
      <c r="AB1217" s="4"/>
      <c r="AC1217" s="4"/>
    </row>
    <row r="1218" spans="2:29">
      <c r="B1218" s="180"/>
      <c r="E1218" s="4"/>
      <c r="F1218" s="4"/>
      <c r="G1218" s="4"/>
      <c r="J1218" s="4"/>
      <c r="K1218" s="4"/>
      <c r="L1218" s="4"/>
      <c r="O1218" s="4"/>
      <c r="P1218" s="4"/>
      <c r="T1218" s="4"/>
      <c r="U1218" s="4"/>
      <c r="Y1218" s="4"/>
      <c r="Z1218" s="4"/>
      <c r="AA1218" s="4"/>
      <c r="AB1218" s="4"/>
      <c r="AC1218" s="4"/>
    </row>
    <row r="1219" spans="2:29">
      <c r="B1219" s="180"/>
      <c r="E1219" s="4"/>
      <c r="F1219" s="4"/>
      <c r="G1219" s="4"/>
      <c r="J1219" s="4"/>
      <c r="K1219" s="4"/>
      <c r="L1219" s="4"/>
      <c r="O1219" s="4"/>
      <c r="P1219" s="4"/>
      <c r="T1219" s="4"/>
      <c r="U1219" s="4"/>
      <c r="Y1219" s="4"/>
      <c r="Z1219" s="4"/>
      <c r="AA1219" s="4"/>
      <c r="AB1219" s="4"/>
      <c r="AC1219" s="4"/>
    </row>
    <row r="1220" spans="2:29">
      <c r="B1220" s="180"/>
      <c r="E1220" s="4"/>
      <c r="F1220" s="4"/>
      <c r="G1220" s="4"/>
      <c r="J1220" s="4"/>
      <c r="K1220" s="4"/>
      <c r="L1220" s="4"/>
      <c r="O1220" s="4"/>
      <c r="P1220" s="4"/>
      <c r="T1220" s="4"/>
      <c r="U1220" s="4"/>
      <c r="Y1220" s="4"/>
      <c r="Z1220" s="4"/>
      <c r="AA1220" s="4"/>
      <c r="AB1220" s="4"/>
      <c r="AC1220" s="4"/>
    </row>
    <row r="1221" spans="2:29">
      <c r="B1221" s="180"/>
      <c r="E1221" s="4"/>
      <c r="F1221" s="4"/>
      <c r="G1221" s="4"/>
      <c r="J1221" s="4"/>
      <c r="K1221" s="4"/>
      <c r="L1221" s="4"/>
      <c r="O1221" s="4"/>
      <c r="P1221" s="4"/>
      <c r="T1221" s="4"/>
      <c r="U1221" s="4"/>
      <c r="Y1221" s="4"/>
      <c r="Z1221" s="4"/>
      <c r="AA1221" s="4"/>
      <c r="AB1221" s="4"/>
      <c r="AC1221" s="4"/>
    </row>
    <row r="1222" spans="2:29">
      <c r="B1222" s="180"/>
      <c r="E1222" s="4"/>
      <c r="F1222" s="4"/>
      <c r="G1222" s="4"/>
      <c r="J1222" s="4"/>
      <c r="K1222" s="4"/>
      <c r="L1222" s="4"/>
      <c r="O1222" s="4"/>
      <c r="P1222" s="4"/>
      <c r="T1222" s="4"/>
      <c r="U1222" s="4"/>
      <c r="Y1222" s="4"/>
      <c r="Z1222" s="4"/>
      <c r="AA1222" s="4"/>
      <c r="AB1222" s="4"/>
      <c r="AC1222" s="4"/>
    </row>
    <row r="1223" spans="2:29">
      <c r="B1223" s="180"/>
      <c r="E1223" s="4"/>
      <c r="F1223" s="4"/>
      <c r="G1223" s="4"/>
      <c r="J1223" s="4"/>
      <c r="K1223" s="4"/>
      <c r="L1223" s="4"/>
      <c r="O1223" s="4"/>
      <c r="P1223" s="4"/>
      <c r="T1223" s="4"/>
      <c r="U1223" s="4"/>
      <c r="Y1223" s="4"/>
      <c r="Z1223" s="4"/>
      <c r="AA1223" s="4"/>
      <c r="AB1223" s="4"/>
      <c r="AC1223" s="4"/>
    </row>
    <row r="1224" spans="2:29">
      <c r="B1224" s="180"/>
      <c r="E1224" s="4"/>
      <c r="F1224" s="4"/>
      <c r="G1224" s="4"/>
      <c r="J1224" s="4"/>
      <c r="K1224" s="4"/>
      <c r="L1224" s="4"/>
      <c r="O1224" s="4"/>
      <c r="P1224" s="4"/>
      <c r="T1224" s="4"/>
      <c r="U1224" s="4"/>
      <c r="Y1224" s="4"/>
      <c r="Z1224" s="4"/>
      <c r="AA1224" s="4"/>
      <c r="AB1224" s="4"/>
      <c r="AC1224" s="4"/>
    </row>
    <row r="1225" spans="2:29">
      <c r="B1225" s="180"/>
      <c r="E1225" s="4"/>
      <c r="F1225" s="4"/>
      <c r="G1225" s="4"/>
      <c r="J1225" s="4"/>
      <c r="K1225" s="4"/>
      <c r="L1225" s="4"/>
      <c r="O1225" s="4"/>
      <c r="P1225" s="4"/>
      <c r="T1225" s="4"/>
      <c r="U1225" s="4"/>
      <c r="Y1225" s="4"/>
      <c r="Z1225" s="4"/>
      <c r="AA1225" s="4"/>
      <c r="AB1225" s="4"/>
      <c r="AC1225" s="4"/>
    </row>
    <row r="1226" spans="2:29">
      <c r="B1226" s="180"/>
      <c r="E1226" s="4"/>
      <c r="F1226" s="4"/>
      <c r="G1226" s="4"/>
      <c r="J1226" s="4"/>
      <c r="K1226" s="4"/>
      <c r="L1226" s="4"/>
      <c r="O1226" s="4"/>
      <c r="P1226" s="4"/>
      <c r="T1226" s="4"/>
      <c r="U1226" s="4"/>
      <c r="Y1226" s="4"/>
      <c r="Z1226" s="4"/>
      <c r="AA1226" s="4"/>
      <c r="AB1226" s="4"/>
      <c r="AC1226" s="4"/>
    </row>
    <row r="1227" spans="2:29">
      <c r="B1227" s="180"/>
      <c r="E1227" s="4"/>
      <c r="F1227" s="4"/>
      <c r="G1227" s="4"/>
      <c r="J1227" s="4"/>
      <c r="K1227" s="4"/>
      <c r="L1227" s="4"/>
      <c r="O1227" s="4"/>
      <c r="P1227" s="4"/>
      <c r="T1227" s="4"/>
      <c r="U1227" s="4"/>
      <c r="Y1227" s="4"/>
      <c r="Z1227" s="4"/>
      <c r="AA1227" s="4"/>
      <c r="AB1227" s="4"/>
      <c r="AC1227" s="4"/>
    </row>
    <row r="1228" spans="2:29">
      <c r="B1228" s="180"/>
      <c r="E1228" s="4"/>
      <c r="F1228" s="4"/>
      <c r="G1228" s="4"/>
      <c r="J1228" s="4"/>
      <c r="K1228" s="4"/>
      <c r="L1228" s="4"/>
      <c r="O1228" s="4"/>
      <c r="P1228" s="4"/>
      <c r="T1228" s="4"/>
      <c r="U1228" s="4"/>
      <c r="Y1228" s="4"/>
      <c r="Z1228" s="4"/>
      <c r="AA1228" s="4"/>
      <c r="AB1228" s="4"/>
      <c r="AC1228" s="4"/>
    </row>
    <row r="1229" spans="2:29">
      <c r="B1229" s="180"/>
      <c r="E1229" s="4"/>
      <c r="F1229" s="4"/>
      <c r="G1229" s="4"/>
      <c r="J1229" s="4"/>
      <c r="K1229" s="4"/>
      <c r="L1229" s="4"/>
      <c r="O1229" s="4"/>
      <c r="P1229" s="4"/>
      <c r="T1229" s="4"/>
      <c r="U1229" s="4"/>
      <c r="Y1229" s="4"/>
      <c r="Z1229" s="4"/>
      <c r="AA1229" s="4"/>
      <c r="AB1229" s="4"/>
      <c r="AC1229" s="4"/>
    </row>
    <row r="1230" spans="2:29">
      <c r="B1230" s="180"/>
      <c r="E1230" s="4"/>
      <c r="F1230" s="4"/>
      <c r="G1230" s="4"/>
      <c r="J1230" s="4"/>
      <c r="K1230" s="4"/>
      <c r="L1230" s="4"/>
      <c r="O1230" s="4"/>
      <c r="P1230" s="4"/>
      <c r="T1230" s="4"/>
      <c r="U1230" s="4"/>
      <c r="Y1230" s="4"/>
      <c r="Z1230" s="4"/>
      <c r="AA1230" s="4"/>
      <c r="AB1230" s="4"/>
      <c r="AC1230" s="4"/>
    </row>
    <row r="1231" spans="2:29">
      <c r="B1231" s="180"/>
      <c r="E1231" s="4"/>
      <c r="F1231" s="4"/>
      <c r="G1231" s="4"/>
      <c r="J1231" s="4"/>
      <c r="K1231" s="4"/>
      <c r="L1231" s="4"/>
      <c r="O1231" s="4"/>
      <c r="P1231" s="4"/>
      <c r="T1231" s="4"/>
      <c r="U1231" s="4"/>
      <c r="Y1231" s="4"/>
      <c r="Z1231" s="4"/>
      <c r="AA1231" s="4"/>
      <c r="AB1231" s="4"/>
      <c r="AC1231" s="4"/>
    </row>
    <row r="1232" spans="2:29">
      <c r="B1232" s="180"/>
      <c r="E1232" s="4"/>
      <c r="F1232" s="4"/>
      <c r="G1232" s="4"/>
      <c r="J1232" s="4"/>
      <c r="K1232" s="4"/>
      <c r="L1232" s="4"/>
      <c r="O1232" s="4"/>
      <c r="P1232" s="4"/>
      <c r="T1232" s="4"/>
      <c r="U1232" s="4"/>
      <c r="Y1232" s="4"/>
      <c r="Z1232" s="4"/>
      <c r="AA1232" s="4"/>
      <c r="AB1232" s="4"/>
      <c r="AC1232" s="4"/>
    </row>
    <row r="1233" spans="2:29">
      <c r="B1233" s="180"/>
      <c r="E1233" s="4"/>
      <c r="F1233" s="4"/>
      <c r="G1233" s="4"/>
      <c r="J1233" s="4"/>
      <c r="K1233" s="4"/>
      <c r="L1233" s="4"/>
      <c r="O1233" s="4"/>
      <c r="P1233" s="4"/>
      <c r="T1233" s="4"/>
      <c r="U1233" s="4"/>
      <c r="Y1233" s="4"/>
      <c r="Z1233" s="4"/>
      <c r="AA1233" s="4"/>
      <c r="AB1233" s="4"/>
      <c r="AC1233" s="4"/>
    </row>
    <row r="1234" spans="2:29">
      <c r="B1234" s="180"/>
      <c r="E1234" s="4"/>
      <c r="F1234" s="4"/>
      <c r="G1234" s="4"/>
      <c r="J1234" s="4"/>
      <c r="K1234" s="4"/>
      <c r="L1234" s="4"/>
      <c r="O1234" s="4"/>
      <c r="P1234" s="4"/>
      <c r="T1234" s="4"/>
      <c r="U1234" s="4"/>
      <c r="Y1234" s="4"/>
      <c r="Z1234" s="4"/>
      <c r="AA1234" s="4"/>
      <c r="AB1234" s="4"/>
      <c r="AC1234" s="4"/>
    </row>
    <row r="1235" spans="2:29">
      <c r="B1235" s="180"/>
      <c r="E1235" s="4"/>
      <c r="F1235" s="4"/>
      <c r="G1235" s="4"/>
      <c r="J1235" s="4"/>
      <c r="K1235" s="4"/>
      <c r="L1235" s="4"/>
      <c r="O1235" s="4"/>
      <c r="P1235" s="4"/>
      <c r="T1235" s="4"/>
      <c r="U1235" s="4"/>
      <c r="Y1235" s="4"/>
      <c r="Z1235" s="4"/>
      <c r="AA1235" s="4"/>
      <c r="AB1235" s="4"/>
      <c r="AC1235" s="4"/>
    </row>
    <row r="1236" spans="2:29">
      <c r="B1236" s="180"/>
      <c r="E1236" s="4"/>
      <c r="F1236" s="4"/>
      <c r="G1236" s="4"/>
      <c r="J1236" s="4"/>
      <c r="K1236" s="4"/>
      <c r="L1236" s="4"/>
      <c r="O1236" s="4"/>
      <c r="P1236" s="4"/>
      <c r="T1236" s="4"/>
      <c r="U1236" s="4"/>
      <c r="Y1236" s="4"/>
      <c r="Z1236" s="4"/>
      <c r="AA1236" s="4"/>
      <c r="AB1236" s="4"/>
      <c r="AC1236" s="4"/>
    </row>
    <row r="1237" spans="2:29">
      <c r="B1237" s="180"/>
      <c r="E1237" s="4"/>
      <c r="F1237" s="4"/>
      <c r="G1237" s="4"/>
      <c r="J1237" s="4"/>
      <c r="K1237" s="4"/>
      <c r="L1237" s="4"/>
      <c r="O1237" s="4"/>
      <c r="P1237" s="4"/>
      <c r="T1237" s="4"/>
      <c r="U1237" s="4"/>
      <c r="Y1237" s="4"/>
      <c r="Z1237" s="4"/>
      <c r="AA1237" s="4"/>
      <c r="AB1237" s="4"/>
      <c r="AC1237" s="4"/>
    </row>
    <row r="1238" spans="2:29">
      <c r="B1238" s="180"/>
      <c r="E1238" s="4"/>
      <c r="F1238" s="4"/>
      <c r="G1238" s="4"/>
      <c r="J1238" s="4"/>
      <c r="K1238" s="4"/>
      <c r="L1238" s="4"/>
      <c r="O1238" s="4"/>
      <c r="P1238" s="4"/>
      <c r="T1238" s="4"/>
      <c r="U1238" s="4"/>
      <c r="Y1238" s="4"/>
      <c r="Z1238" s="4"/>
      <c r="AA1238" s="4"/>
      <c r="AB1238" s="4"/>
      <c r="AC1238" s="4"/>
    </row>
    <row r="1239" spans="2:29">
      <c r="B1239" s="180"/>
      <c r="E1239" s="4"/>
      <c r="F1239" s="4"/>
      <c r="G1239" s="4"/>
      <c r="J1239" s="4"/>
      <c r="K1239" s="4"/>
      <c r="L1239" s="4"/>
      <c r="O1239" s="4"/>
      <c r="P1239" s="4"/>
      <c r="T1239" s="4"/>
      <c r="U1239" s="4"/>
      <c r="Y1239" s="4"/>
      <c r="Z1239" s="4"/>
      <c r="AA1239" s="4"/>
      <c r="AB1239" s="4"/>
      <c r="AC1239" s="4"/>
    </row>
    <row r="1240" spans="2:29">
      <c r="B1240" s="180"/>
      <c r="E1240" s="4"/>
      <c r="F1240" s="4"/>
      <c r="G1240" s="4"/>
      <c r="J1240" s="4"/>
      <c r="K1240" s="4"/>
      <c r="L1240" s="4"/>
      <c r="O1240" s="4"/>
      <c r="P1240" s="4"/>
      <c r="T1240" s="4"/>
      <c r="U1240" s="4"/>
      <c r="Y1240" s="4"/>
      <c r="Z1240" s="4"/>
      <c r="AA1240" s="4"/>
      <c r="AB1240" s="4"/>
      <c r="AC1240" s="4"/>
    </row>
    <row r="1241" spans="2:29">
      <c r="B1241" s="180"/>
      <c r="E1241" s="4"/>
      <c r="F1241" s="4"/>
      <c r="G1241" s="4"/>
      <c r="J1241" s="4"/>
      <c r="K1241" s="4"/>
      <c r="L1241" s="4"/>
      <c r="O1241" s="4"/>
      <c r="P1241" s="4"/>
      <c r="T1241" s="4"/>
      <c r="U1241" s="4"/>
      <c r="Y1241" s="4"/>
      <c r="Z1241" s="4"/>
      <c r="AA1241" s="4"/>
      <c r="AB1241" s="4"/>
      <c r="AC1241" s="4"/>
    </row>
    <row r="1242" spans="2:29">
      <c r="B1242" s="180"/>
      <c r="E1242" s="4"/>
      <c r="F1242" s="4"/>
      <c r="G1242" s="4"/>
      <c r="J1242" s="4"/>
      <c r="K1242" s="4"/>
      <c r="L1242" s="4"/>
      <c r="O1242" s="4"/>
      <c r="P1242" s="4"/>
      <c r="T1242" s="4"/>
      <c r="U1242" s="4"/>
      <c r="Y1242" s="4"/>
      <c r="Z1242" s="4"/>
      <c r="AA1242" s="4"/>
      <c r="AB1242" s="4"/>
      <c r="AC1242" s="4"/>
    </row>
    <row r="1243" spans="2:29">
      <c r="B1243" s="180"/>
      <c r="E1243" s="4"/>
      <c r="F1243" s="4"/>
      <c r="G1243" s="4"/>
      <c r="J1243" s="4"/>
      <c r="K1243" s="4"/>
      <c r="L1243" s="4"/>
      <c r="O1243" s="4"/>
      <c r="P1243" s="4"/>
      <c r="T1243" s="4"/>
      <c r="U1243" s="4"/>
      <c r="Y1243" s="4"/>
      <c r="Z1243" s="4"/>
      <c r="AA1243" s="4"/>
      <c r="AB1243" s="4"/>
      <c r="AC1243" s="4"/>
    </row>
    <row r="1244" spans="2:29">
      <c r="B1244" s="180"/>
      <c r="E1244" s="4"/>
      <c r="F1244" s="4"/>
      <c r="G1244" s="4"/>
      <c r="J1244" s="4"/>
      <c r="K1244" s="4"/>
      <c r="L1244" s="4"/>
      <c r="O1244" s="4"/>
      <c r="P1244" s="4"/>
      <c r="T1244" s="4"/>
      <c r="U1244" s="4"/>
      <c r="Y1244" s="4"/>
      <c r="Z1244" s="4"/>
      <c r="AA1244" s="4"/>
      <c r="AB1244" s="4"/>
      <c r="AC1244" s="4"/>
    </row>
    <row r="1245" spans="2:29">
      <c r="B1245" s="180"/>
      <c r="E1245" s="4"/>
      <c r="F1245" s="4"/>
      <c r="G1245" s="4"/>
      <c r="J1245" s="4"/>
      <c r="K1245" s="4"/>
      <c r="L1245" s="4"/>
      <c r="O1245" s="4"/>
      <c r="P1245" s="4"/>
      <c r="T1245" s="4"/>
      <c r="U1245" s="4"/>
      <c r="Y1245" s="4"/>
      <c r="Z1245" s="4"/>
      <c r="AA1245" s="4"/>
      <c r="AB1245" s="4"/>
      <c r="AC1245" s="4"/>
    </row>
    <row r="1246" spans="2:29">
      <c r="B1246" s="180"/>
      <c r="E1246" s="4"/>
      <c r="F1246" s="4"/>
      <c r="G1246" s="4"/>
      <c r="J1246" s="4"/>
      <c r="K1246" s="4"/>
      <c r="L1246" s="4"/>
      <c r="O1246" s="4"/>
      <c r="P1246" s="4"/>
      <c r="T1246" s="4"/>
      <c r="U1246" s="4"/>
      <c r="Y1246" s="4"/>
      <c r="Z1246" s="4"/>
      <c r="AA1246" s="4"/>
      <c r="AB1246" s="4"/>
      <c r="AC1246" s="4"/>
    </row>
    <row r="1247" spans="2:29">
      <c r="B1247" s="180"/>
      <c r="E1247" s="4"/>
      <c r="F1247" s="4"/>
      <c r="G1247" s="4"/>
      <c r="J1247" s="4"/>
      <c r="K1247" s="4"/>
      <c r="L1247" s="4"/>
      <c r="O1247" s="4"/>
      <c r="P1247" s="4"/>
      <c r="T1247" s="4"/>
      <c r="U1247" s="4"/>
      <c r="Y1247" s="4"/>
      <c r="Z1247" s="4"/>
      <c r="AA1247" s="4"/>
      <c r="AB1247" s="4"/>
      <c r="AC1247" s="4"/>
    </row>
    <row r="1248" spans="2:29">
      <c r="B1248" s="180"/>
      <c r="E1248" s="4"/>
      <c r="F1248" s="4"/>
      <c r="G1248" s="4"/>
      <c r="J1248" s="4"/>
      <c r="K1248" s="4"/>
      <c r="L1248" s="4"/>
      <c r="O1248" s="4"/>
      <c r="P1248" s="4"/>
      <c r="T1248" s="4"/>
      <c r="U1248" s="4"/>
      <c r="Y1248" s="4"/>
      <c r="Z1248" s="4"/>
      <c r="AA1248" s="4"/>
      <c r="AB1248" s="4"/>
      <c r="AC1248" s="4"/>
    </row>
    <row r="1249" spans="2:29">
      <c r="B1249" s="180"/>
      <c r="E1249" s="4"/>
      <c r="F1249" s="4"/>
      <c r="G1249" s="4"/>
      <c r="J1249" s="4"/>
      <c r="K1249" s="4"/>
      <c r="L1249" s="4"/>
      <c r="O1249" s="4"/>
      <c r="P1249" s="4"/>
      <c r="T1249" s="4"/>
      <c r="U1249" s="4"/>
      <c r="Y1249" s="4"/>
      <c r="Z1249" s="4"/>
      <c r="AA1249" s="4"/>
      <c r="AB1249" s="4"/>
      <c r="AC1249" s="4"/>
    </row>
    <row r="1250" spans="2:29">
      <c r="B1250" s="180"/>
      <c r="E1250" s="4"/>
      <c r="F1250" s="4"/>
      <c r="G1250" s="4"/>
      <c r="J1250" s="4"/>
      <c r="K1250" s="4"/>
      <c r="L1250" s="4"/>
      <c r="O1250" s="4"/>
      <c r="P1250" s="4"/>
      <c r="T1250" s="4"/>
      <c r="U1250" s="4"/>
      <c r="Y1250" s="4"/>
      <c r="Z1250" s="4"/>
      <c r="AA1250" s="4"/>
      <c r="AB1250" s="4"/>
      <c r="AC1250" s="4"/>
    </row>
    <row r="1251" spans="2:29">
      <c r="B1251" s="180"/>
      <c r="E1251" s="4"/>
      <c r="F1251" s="4"/>
      <c r="G1251" s="4"/>
      <c r="J1251" s="4"/>
      <c r="K1251" s="4"/>
      <c r="L1251" s="4"/>
      <c r="O1251" s="4"/>
      <c r="P1251" s="4"/>
      <c r="T1251" s="4"/>
      <c r="U1251" s="4"/>
      <c r="Y1251" s="4"/>
      <c r="Z1251" s="4"/>
      <c r="AA1251" s="4"/>
      <c r="AB1251" s="4"/>
      <c r="AC1251" s="4"/>
    </row>
    <row r="1252" spans="2:29">
      <c r="B1252" s="180"/>
      <c r="E1252" s="4"/>
      <c r="F1252" s="4"/>
      <c r="G1252" s="4"/>
      <c r="J1252" s="4"/>
      <c r="K1252" s="4"/>
      <c r="L1252" s="4"/>
      <c r="O1252" s="4"/>
      <c r="P1252" s="4"/>
      <c r="T1252" s="4"/>
      <c r="U1252" s="4"/>
      <c r="Y1252" s="4"/>
      <c r="Z1252" s="4"/>
      <c r="AA1252" s="4"/>
      <c r="AB1252" s="4"/>
      <c r="AC1252" s="4"/>
    </row>
    <row r="1253" spans="2:29">
      <c r="B1253" s="180"/>
      <c r="E1253" s="4"/>
      <c r="F1253" s="4"/>
      <c r="G1253" s="4"/>
      <c r="J1253" s="4"/>
      <c r="K1253" s="4"/>
      <c r="L1253" s="4"/>
      <c r="O1253" s="4"/>
      <c r="P1253" s="4"/>
      <c r="T1253" s="4"/>
      <c r="U1253" s="4"/>
      <c r="Y1253" s="4"/>
      <c r="Z1253" s="4"/>
      <c r="AA1253" s="4"/>
      <c r="AB1253" s="4"/>
      <c r="AC1253" s="4"/>
    </row>
    <row r="1254" spans="2:29">
      <c r="B1254" s="180"/>
      <c r="E1254" s="4"/>
      <c r="F1254" s="4"/>
      <c r="G1254" s="4"/>
      <c r="J1254" s="4"/>
      <c r="K1254" s="4"/>
      <c r="L1254" s="4"/>
      <c r="O1254" s="4"/>
      <c r="P1254" s="4"/>
      <c r="T1254" s="4"/>
      <c r="U1254" s="4"/>
      <c r="Y1254" s="4"/>
      <c r="Z1254" s="4"/>
      <c r="AA1254" s="4"/>
      <c r="AB1254" s="4"/>
      <c r="AC1254" s="4"/>
    </row>
    <row r="1255" spans="2:29">
      <c r="B1255" s="180"/>
      <c r="E1255" s="4"/>
      <c r="F1255" s="4"/>
      <c r="G1255" s="4"/>
      <c r="J1255" s="4"/>
      <c r="K1255" s="4"/>
      <c r="L1255" s="4"/>
      <c r="O1255" s="4"/>
      <c r="P1255" s="4"/>
      <c r="T1255" s="4"/>
      <c r="U1255" s="4"/>
      <c r="Y1255" s="4"/>
      <c r="Z1255" s="4"/>
      <c r="AA1255" s="4"/>
      <c r="AB1255" s="4"/>
      <c r="AC1255" s="4"/>
    </row>
    <row r="1256" spans="2:29">
      <c r="B1256" s="180"/>
      <c r="E1256" s="4"/>
      <c r="F1256" s="4"/>
      <c r="G1256" s="4"/>
      <c r="J1256" s="4"/>
      <c r="K1256" s="4"/>
      <c r="L1256" s="4"/>
      <c r="O1256" s="4"/>
      <c r="P1256" s="4"/>
      <c r="T1256" s="4"/>
      <c r="U1256" s="4"/>
      <c r="Y1256" s="4"/>
      <c r="Z1256" s="4"/>
      <c r="AA1256" s="4"/>
      <c r="AB1256" s="4"/>
      <c r="AC1256" s="4"/>
    </row>
    <row r="1257" spans="2:29">
      <c r="B1257" s="180"/>
      <c r="E1257" s="4"/>
      <c r="F1257" s="4"/>
      <c r="G1257" s="4"/>
      <c r="J1257" s="4"/>
      <c r="K1257" s="4"/>
      <c r="L1257" s="4"/>
      <c r="O1257" s="4"/>
      <c r="P1257" s="4"/>
      <c r="T1257" s="4"/>
      <c r="U1257" s="4"/>
      <c r="Y1257" s="4"/>
      <c r="Z1257" s="4"/>
      <c r="AA1257" s="4"/>
      <c r="AB1257" s="4"/>
      <c r="AC1257" s="4"/>
    </row>
    <row r="1258" spans="2:29">
      <c r="B1258" s="180"/>
      <c r="E1258" s="4"/>
      <c r="F1258" s="4"/>
      <c r="G1258" s="4"/>
      <c r="J1258" s="4"/>
      <c r="K1258" s="4"/>
      <c r="L1258" s="4"/>
      <c r="O1258" s="4"/>
      <c r="P1258" s="4"/>
      <c r="T1258" s="4"/>
      <c r="U1258" s="4"/>
      <c r="Y1258" s="4"/>
      <c r="Z1258" s="4"/>
      <c r="AA1258" s="4"/>
      <c r="AB1258" s="4"/>
      <c r="AC1258" s="4"/>
    </row>
    <row r="1259" spans="2:29">
      <c r="B1259" s="180"/>
      <c r="E1259" s="4"/>
      <c r="F1259" s="4"/>
      <c r="G1259" s="4"/>
      <c r="J1259" s="4"/>
      <c r="K1259" s="4"/>
      <c r="L1259" s="4"/>
      <c r="O1259" s="4"/>
      <c r="P1259" s="4"/>
      <c r="T1259" s="4"/>
      <c r="U1259" s="4"/>
      <c r="Y1259" s="4"/>
      <c r="Z1259" s="4"/>
      <c r="AA1259" s="4"/>
      <c r="AB1259" s="4"/>
      <c r="AC1259" s="4"/>
    </row>
    <row r="1260" spans="2:29">
      <c r="B1260" s="180"/>
      <c r="E1260" s="4"/>
      <c r="F1260" s="4"/>
      <c r="G1260" s="4"/>
      <c r="J1260" s="4"/>
      <c r="K1260" s="4"/>
      <c r="L1260" s="4"/>
      <c r="O1260" s="4"/>
      <c r="P1260" s="4"/>
      <c r="T1260" s="4"/>
      <c r="U1260" s="4"/>
      <c r="Y1260" s="4"/>
      <c r="Z1260" s="4"/>
      <c r="AA1260" s="4"/>
      <c r="AB1260" s="4"/>
      <c r="AC1260" s="4"/>
    </row>
    <row r="1261" spans="2:29">
      <c r="B1261" s="180"/>
      <c r="E1261" s="4"/>
      <c r="F1261" s="4"/>
      <c r="G1261" s="4"/>
      <c r="J1261" s="4"/>
      <c r="K1261" s="4"/>
      <c r="L1261" s="4"/>
      <c r="O1261" s="4"/>
      <c r="P1261" s="4"/>
      <c r="T1261" s="4"/>
      <c r="U1261" s="4"/>
      <c r="Y1261" s="4"/>
      <c r="Z1261" s="4"/>
      <c r="AA1261" s="4"/>
      <c r="AB1261" s="4"/>
      <c r="AC1261" s="4"/>
    </row>
    <row r="1262" spans="2:29">
      <c r="B1262" s="180"/>
      <c r="E1262" s="4"/>
      <c r="F1262" s="4"/>
      <c r="G1262" s="4"/>
      <c r="J1262" s="4"/>
      <c r="K1262" s="4"/>
      <c r="L1262" s="4"/>
      <c r="O1262" s="4"/>
      <c r="P1262" s="4"/>
      <c r="T1262" s="4"/>
      <c r="U1262" s="4"/>
      <c r="Y1262" s="4"/>
      <c r="Z1262" s="4"/>
      <c r="AA1262" s="4"/>
      <c r="AB1262" s="4"/>
      <c r="AC1262" s="4"/>
    </row>
    <row r="1263" spans="2:29">
      <c r="B1263" s="180"/>
      <c r="E1263" s="4"/>
      <c r="F1263" s="4"/>
      <c r="G1263" s="4"/>
      <c r="J1263" s="4"/>
      <c r="K1263" s="4"/>
      <c r="L1263" s="4"/>
      <c r="O1263" s="4"/>
      <c r="P1263" s="4"/>
      <c r="T1263" s="4"/>
      <c r="U1263" s="4"/>
      <c r="Y1263" s="4"/>
      <c r="Z1263" s="4"/>
      <c r="AA1263" s="4"/>
      <c r="AB1263" s="4"/>
      <c r="AC1263" s="4"/>
    </row>
    <row r="1264" spans="2:29">
      <c r="B1264" s="180"/>
      <c r="E1264" s="4"/>
      <c r="F1264" s="4"/>
      <c r="G1264" s="4"/>
      <c r="J1264" s="4"/>
      <c r="K1264" s="4"/>
      <c r="L1264" s="4"/>
      <c r="O1264" s="4"/>
      <c r="P1264" s="4"/>
      <c r="T1264" s="4"/>
      <c r="U1264" s="4"/>
      <c r="Y1264" s="4"/>
      <c r="Z1264" s="4"/>
      <c r="AA1264" s="4"/>
      <c r="AB1264" s="4"/>
      <c r="AC1264" s="4"/>
    </row>
    <row r="1265" spans="2:29">
      <c r="B1265" s="180"/>
      <c r="E1265" s="4"/>
      <c r="F1265" s="4"/>
      <c r="G1265" s="4"/>
      <c r="J1265" s="4"/>
      <c r="K1265" s="4"/>
      <c r="L1265" s="4"/>
      <c r="O1265" s="4"/>
      <c r="P1265" s="4"/>
      <c r="T1265" s="4"/>
      <c r="U1265" s="4"/>
      <c r="Y1265" s="4"/>
      <c r="Z1265" s="4"/>
      <c r="AA1265" s="4"/>
      <c r="AB1265" s="4"/>
      <c r="AC1265" s="4"/>
    </row>
    <row r="1266" spans="2:29">
      <c r="B1266" s="180"/>
      <c r="E1266" s="4"/>
      <c r="F1266" s="4"/>
      <c r="G1266" s="4"/>
      <c r="J1266" s="4"/>
      <c r="K1266" s="4"/>
      <c r="L1266" s="4"/>
      <c r="O1266" s="4"/>
      <c r="P1266" s="4"/>
      <c r="T1266" s="4"/>
      <c r="U1266" s="4"/>
      <c r="Y1266" s="4"/>
      <c r="Z1266" s="4"/>
      <c r="AA1266" s="4"/>
      <c r="AB1266" s="4"/>
      <c r="AC1266" s="4"/>
    </row>
    <row r="1267" spans="2:29">
      <c r="B1267" s="180"/>
      <c r="E1267" s="4"/>
      <c r="F1267" s="4"/>
      <c r="G1267" s="4"/>
      <c r="J1267" s="4"/>
      <c r="K1267" s="4"/>
      <c r="L1267" s="4"/>
      <c r="O1267" s="4"/>
      <c r="P1267" s="4"/>
      <c r="T1267" s="4"/>
      <c r="U1267" s="4"/>
      <c r="Y1267" s="4"/>
      <c r="Z1267" s="4"/>
      <c r="AA1267" s="4"/>
      <c r="AB1267" s="4"/>
      <c r="AC1267" s="4"/>
    </row>
    <row r="1268" spans="2:29">
      <c r="B1268" s="180"/>
      <c r="E1268" s="4"/>
      <c r="F1268" s="4"/>
      <c r="G1268" s="4"/>
      <c r="J1268" s="4"/>
      <c r="K1268" s="4"/>
      <c r="L1268" s="4"/>
      <c r="O1268" s="4"/>
      <c r="P1268" s="4"/>
      <c r="T1268" s="4"/>
      <c r="U1268" s="4"/>
      <c r="Y1268" s="4"/>
      <c r="Z1268" s="4"/>
      <c r="AA1268" s="4"/>
      <c r="AB1268" s="4"/>
      <c r="AC1268" s="4"/>
    </row>
    <row r="1269" spans="2:29">
      <c r="B1269" s="180"/>
      <c r="E1269" s="4"/>
      <c r="F1269" s="4"/>
      <c r="G1269" s="4"/>
      <c r="J1269" s="4"/>
      <c r="K1269" s="4"/>
      <c r="L1269" s="4"/>
      <c r="O1269" s="4"/>
      <c r="P1269" s="4"/>
      <c r="T1269" s="4"/>
      <c r="U1269" s="4"/>
      <c r="Y1269" s="4"/>
      <c r="Z1269" s="4"/>
      <c r="AA1269" s="4"/>
      <c r="AB1269" s="4"/>
      <c r="AC1269" s="4"/>
    </row>
    <row r="1270" spans="2:29">
      <c r="B1270" s="180"/>
      <c r="E1270" s="4"/>
      <c r="F1270" s="4"/>
      <c r="G1270" s="4"/>
      <c r="J1270" s="4"/>
      <c r="K1270" s="4"/>
      <c r="L1270" s="4"/>
      <c r="O1270" s="4"/>
      <c r="P1270" s="4"/>
      <c r="T1270" s="4"/>
      <c r="U1270" s="4"/>
      <c r="Y1270" s="4"/>
      <c r="Z1270" s="4"/>
      <c r="AA1270" s="4"/>
      <c r="AB1270" s="4"/>
      <c r="AC1270" s="4"/>
    </row>
    <row r="1271" spans="2:29">
      <c r="B1271" s="180"/>
      <c r="E1271" s="4"/>
      <c r="F1271" s="4"/>
      <c r="G1271" s="4"/>
      <c r="J1271" s="4"/>
      <c r="K1271" s="4"/>
      <c r="L1271" s="4"/>
      <c r="O1271" s="4"/>
      <c r="P1271" s="4"/>
      <c r="T1271" s="4"/>
      <c r="U1271" s="4"/>
      <c r="Y1271" s="4"/>
      <c r="Z1271" s="4"/>
      <c r="AA1271" s="4"/>
      <c r="AB1271" s="4"/>
      <c r="AC1271" s="4"/>
    </row>
    <row r="1272" spans="2:29">
      <c r="B1272" s="180"/>
      <c r="E1272" s="4"/>
      <c r="F1272" s="4"/>
      <c r="G1272" s="4"/>
      <c r="J1272" s="4"/>
      <c r="K1272" s="4"/>
      <c r="L1272" s="4"/>
      <c r="O1272" s="4"/>
      <c r="P1272" s="4"/>
      <c r="T1272" s="4"/>
      <c r="U1272" s="4"/>
      <c r="Y1272" s="4"/>
      <c r="Z1272" s="4"/>
      <c r="AA1272" s="4"/>
      <c r="AB1272" s="4"/>
      <c r="AC1272" s="4"/>
    </row>
    <row r="1273" spans="2:29">
      <c r="B1273" s="180"/>
      <c r="E1273" s="4"/>
      <c r="F1273" s="4"/>
      <c r="G1273" s="4"/>
      <c r="J1273" s="4"/>
      <c r="K1273" s="4"/>
      <c r="L1273" s="4"/>
      <c r="O1273" s="4"/>
      <c r="P1273" s="4"/>
      <c r="T1273" s="4"/>
      <c r="U1273" s="4"/>
      <c r="Y1273" s="4"/>
      <c r="Z1273" s="4"/>
      <c r="AA1273" s="4"/>
      <c r="AB1273" s="4"/>
      <c r="AC1273" s="4"/>
    </row>
    <row r="1274" spans="2:29">
      <c r="B1274" s="180"/>
      <c r="E1274" s="4"/>
      <c r="F1274" s="4"/>
      <c r="G1274" s="4"/>
      <c r="J1274" s="4"/>
      <c r="K1274" s="4"/>
      <c r="L1274" s="4"/>
      <c r="O1274" s="4"/>
      <c r="P1274" s="4"/>
      <c r="T1274" s="4"/>
      <c r="U1274" s="4"/>
      <c r="Y1274" s="4"/>
      <c r="Z1274" s="4"/>
      <c r="AA1274" s="4"/>
      <c r="AB1274" s="4"/>
      <c r="AC1274" s="4"/>
    </row>
    <row r="1275" spans="2:29">
      <c r="B1275" s="180"/>
      <c r="E1275" s="4"/>
      <c r="F1275" s="4"/>
      <c r="G1275" s="4"/>
      <c r="J1275" s="4"/>
      <c r="K1275" s="4"/>
      <c r="L1275" s="4"/>
      <c r="O1275" s="4"/>
      <c r="P1275" s="4"/>
      <c r="T1275" s="4"/>
      <c r="U1275" s="4"/>
      <c r="Y1275" s="4"/>
      <c r="Z1275" s="4"/>
      <c r="AA1275" s="4"/>
      <c r="AB1275" s="4"/>
      <c r="AC1275" s="4"/>
    </row>
    <row r="1276" spans="2:29">
      <c r="B1276" s="180"/>
      <c r="E1276" s="4"/>
      <c r="F1276" s="4"/>
      <c r="G1276" s="4"/>
      <c r="J1276" s="4"/>
      <c r="K1276" s="4"/>
      <c r="L1276" s="4"/>
      <c r="O1276" s="4"/>
      <c r="P1276" s="4"/>
      <c r="T1276" s="4"/>
      <c r="U1276" s="4"/>
      <c r="Y1276" s="4"/>
      <c r="Z1276" s="4"/>
      <c r="AA1276" s="4"/>
      <c r="AB1276" s="4"/>
      <c r="AC1276" s="4"/>
    </row>
    <row r="1277" spans="2:29">
      <c r="B1277" s="180"/>
      <c r="E1277" s="4"/>
      <c r="F1277" s="4"/>
      <c r="G1277" s="4"/>
      <c r="J1277" s="4"/>
      <c r="K1277" s="4"/>
      <c r="L1277" s="4"/>
      <c r="O1277" s="4"/>
      <c r="P1277" s="4"/>
      <c r="T1277" s="4"/>
      <c r="U1277" s="4"/>
      <c r="Y1277" s="4"/>
      <c r="Z1277" s="4"/>
      <c r="AA1277" s="4"/>
      <c r="AB1277" s="4"/>
      <c r="AC1277" s="4"/>
    </row>
    <row r="1278" spans="2:29">
      <c r="B1278" s="180"/>
      <c r="E1278" s="4"/>
      <c r="F1278" s="4"/>
      <c r="G1278" s="4"/>
      <c r="J1278" s="4"/>
      <c r="K1278" s="4"/>
      <c r="L1278" s="4"/>
      <c r="O1278" s="4"/>
      <c r="P1278" s="4"/>
      <c r="T1278" s="4"/>
      <c r="U1278" s="4"/>
      <c r="Y1278" s="4"/>
      <c r="Z1278" s="4"/>
      <c r="AA1278" s="4"/>
      <c r="AB1278" s="4"/>
      <c r="AC1278" s="4"/>
    </row>
    <row r="1279" spans="2:29">
      <c r="B1279" s="180"/>
      <c r="E1279" s="4"/>
      <c r="F1279" s="4"/>
      <c r="G1279" s="4"/>
      <c r="J1279" s="4"/>
      <c r="K1279" s="4"/>
      <c r="L1279" s="4"/>
      <c r="O1279" s="4"/>
      <c r="P1279" s="4"/>
      <c r="T1279" s="4"/>
      <c r="U1279" s="4"/>
      <c r="Y1279" s="4"/>
      <c r="Z1279" s="4"/>
      <c r="AA1279" s="4"/>
      <c r="AB1279" s="4"/>
      <c r="AC1279" s="4"/>
    </row>
    <row r="1280" spans="2:29">
      <c r="B1280" s="180"/>
      <c r="E1280" s="4"/>
      <c r="F1280" s="4"/>
      <c r="G1280" s="4"/>
      <c r="J1280" s="4"/>
      <c r="K1280" s="4"/>
      <c r="L1280" s="4"/>
      <c r="O1280" s="4"/>
      <c r="P1280" s="4"/>
      <c r="T1280" s="4"/>
      <c r="U1280" s="4"/>
      <c r="Y1280" s="4"/>
      <c r="Z1280" s="4"/>
      <c r="AA1280" s="4"/>
      <c r="AB1280" s="4"/>
      <c r="AC1280" s="4"/>
    </row>
    <row r="1281" spans="2:29">
      <c r="B1281" s="180"/>
      <c r="E1281" s="4"/>
      <c r="F1281" s="4"/>
      <c r="G1281" s="4"/>
      <c r="J1281" s="4"/>
      <c r="K1281" s="4"/>
      <c r="L1281" s="4"/>
      <c r="O1281" s="4"/>
      <c r="P1281" s="4"/>
      <c r="T1281" s="4"/>
      <c r="U1281" s="4"/>
      <c r="Y1281" s="4"/>
      <c r="Z1281" s="4"/>
      <c r="AA1281" s="4"/>
      <c r="AB1281" s="4"/>
      <c r="AC1281" s="4"/>
    </row>
    <row r="1282" spans="2:29">
      <c r="B1282" s="180"/>
      <c r="E1282" s="4"/>
      <c r="F1282" s="4"/>
      <c r="G1282" s="4"/>
      <c r="J1282" s="4"/>
      <c r="K1282" s="4"/>
      <c r="L1282" s="4"/>
      <c r="O1282" s="4"/>
      <c r="P1282" s="4"/>
      <c r="T1282" s="4"/>
      <c r="U1282" s="4"/>
      <c r="Y1282" s="4"/>
      <c r="Z1282" s="4"/>
      <c r="AA1282" s="4"/>
      <c r="AB1282" s="4"/>
      <c r="AC1282" s="4"/>
    </row>
    <row r="1283" spans="2:29">
      <c r="B1283" s="180"/>
      <c r="E1283" s="4"/>
      <c r="F1283" s="4"/>
      <c r="G1283" s="4"/>
      <c r="J1283" s="4"/>
      <c r="K1283" s="4"/>
      <c r="L1283" s="4"/>
      <c r="O1283" s="4"/>
      <c r="P1283" s="4"/>
      <c r="T1283" s="4"/>
      <c r="U1283" s="4"/>
      <c r="Y1283" s="4"/>
      <c r="Z1283" s="4"/>
      <c r="AA1283" s="4"/>
      <c r="AB1283" s="4"/>
      <c r="AC1283" s="4"/>
    </row>
    <row r="1284" spans="2:29">
      <c r="B1284" s="180"/>
      <c r="E1284" s="4"/>
      <c r="F1284" s="4"/>
      <c r="G1284" s="4"/>
      <c r="J1284" s="4"/>
      <c r="K1284" s="4"/>
      <c r="L1284" s="4"/>
      <c r="O1284" s="4"/>
      <c r="P1284" s="4"/>
      <c r="T1284" s="4"/>
      <c r="U1284" s="4"/>
      <c r="Y1284" s="4"/>
      <c r="Z1284" s="4"/>
      <c r="AA1284" s="4"/>
      <c r="AB1284" s="4"/>
      <c r="AC1284" s="4"/>
    </row>
    <row r="1285" spans="2:29">
      <c r="B1285" s="180"/>
      <c r="E1285" s="4"/>
      <c r="F1285" s="4"/>
      <c r="G1285" s="4"/>
      <c r="J1285" s="4"/>
      <c r="K1285" s="4"/>
      <c r="L1285" s="4"/>
      <c r="O1285" s="4"/>
      <c r="P1285" s="4"/>
      <c r="T1285" s="4"/>
      <c r="U1285" s="4"/>
      <c r="Y1285" s="4"/>
      <c r="Z1285" s="4"/>
      <c r="AA1285" s="4"/>
      <c r="AB1285" s="4"/>
      <c r="AC1285" s="4"/>
    </row>
    <row r="1286" spans="2:29">
      <c r="B1286" s="180"/>
      <c r="E1286" s="4"/>
      <c r="F1286" s="4"/>
      <c r="G1286" s="4"/>
      <c r="J1286" s="4"/>
      <c r="K1286" s="4"/>
      <c r="L1286" s="4"/>
      <c r="O1286" s="4"/>
      <c r="P1286" s="4"/>
      <c r="T1286" s="4"/>
      <c r="U1286" s="4"/>
      <c r="Y1286" s="4"/>
      <c r="Z1286" s="4"/>
      <c r="AA1286" s="4"/>
      <c r="AB1286" s="4"/>
      <c r="AC1286" s="4"/>
    </row>
    <row r="1287" spans="2:29">
      <c r="B1287" s="180"/>
      <c r="E1287" s="4"/>
      <c r="F1287" s="4"/>
      <c r="G1287" s="4"/>
      <c r="J1287" s="4"/>
      <c r="K1287" s="4"/>
      <c r="L1287" s="4"/>
      <c r="O1287" s="4"/>
      <c r="P1287" s="4"/>
      <c r="T1287" s="4"/>
      <c r="U1287" s="4"/>
      <c r="Y1287" s="4"/>
      <c r="Z1287" s="4"/>
      <c r="AA1287" s="4"/>
      <c r="AB1287" s="4"/>
      <c r="AC1287" s="4"/>
    </row>
    <row r="1288" spans="2:29">
      <c r="B1288" s="180"/>
      <c r="E1288" s="4"/>
      <c r="F1288" s="4"/>
      <c r="G1288" s="4"/>
      <c r="J1288" s="4"/>
      <c r="K1288" s="4"/>
      <c r="L1288" s="4"/>
      <c r="O1288" s="4"/>
      <c r="P1288" s="4"/>
      <c r="T1288" s="4"/>
      <c r="U1288" s="4"/>
      <c r="Y1288" s="4"/>
      <c r="Z1288" s="4"/>
      <c r="AA1288" s="4"/>
      <c r="AB1288" s="4"/>
      <c r="AC1288" s="4"/>
    </row>
    <row r="1289" spans="2:29">
      <c r="B1289" s="180"/>
      <c r="E1289" s="4"/>
      <c r="F1289" s="4"/>
      <c r="G1289" s="4"/>
      <c r="J1289" s="4"/>
      <c r="K1289" s="4"/>
      <c r="L1289" s="4"/>
      <c r="O1289" s="4"/>
      <c r="P1289" s="4"/>
      <c r="T1289" s="4"/>
      <c r="U1289" s="4"/>
      <c r="Y1289" s="4"/>
      <c r="Z1289" s="4"/>
      <c r="AA1289" s="4"/>
      <c r="AB1289" s="4"/>
      <c r="AC1289" s="4"/>
    </row>
    <row r="1290" spans="2:29">
      <c r="B1290" s="180"/>
      <c r="E1290" s="4"/>
      <c r="F1290" s="4"/>
      <c r="G1290" s="4"/>
      <c r="J1290" s="4"/>
      <c r="K1290" s="4"/>
      <c r="L1290" s="4"/>
      <c r="O1290" s="4"/>
      <c r="P1290" s="4"/>
      <c r="T1290" s="4"/>
      <c r="U1290" s="4"/>
      <c r="Y1290" s="4"/>
      <c r="Z1290" s="4"/>
      <c r="AA1290" s="4"/>
      <c r="AB1290" s="4"/>
      <c r="AC1290" s="4"/>
    </row>
    <row r="1291" spans="2:29">
      <c r="B1291" s="180"/>
      <c r="E1291" s="4"/>
      <c r="F1291" s="4"/>
      <c r="G1291" s="4"/>
      <c r="J1291" s="4"/>
      <c r="K1291" s="4"/>
      <c r="L1291" s="4"/>
      <c r="O1291" s="4"/>
      <c r="P1291" s="4"/>
      <c r="T1291" s="4"/>
      <c r="U1291" s="4"/>
      <c r="Y1291" s="4"/>
      <c r="Z1291" s="4"/>
      <c r="AA1291" s="4"/>
      <c r="AB1291" s="4"/>
      <c r="AC1291" s="4"/>
    </row>
    <row r="1292" spans="2:29">
      <c r="B1292" s="180"/>
      <c r="E1292" s="4"/>
      <c r="F1292" s="4"/>
      <c r="G1292" s="4"/>
      <c r="J1292" s="4"/>
      <c r="K1292" s="4"/>
      <c r="L1292" s="4"/>
      <c r="O1292" s="4"/>
      <c r="P1292" s="4"/>
      <c r="T1292" s="4"/>
      <c r="U1292" s="4"/>
      <c r="Y1292" s="4"/>
      <c r="Z1292" s="4"/>
      <c r="AA1292" s="4"/>
      <c r="AB1292" s="4"/>
      <c r="AC1292" s="4"/>
    </row>
    <row r="1293" spans="2:29">
      <c r="B1293" s="180"/>
      <c r="E1293" s="4"/>
      <c r="F1293" s="4"/>
      <c r="G1293" s="4"/>
      <c r="J1293" s="4"/>
      <c r="K1293" s="4"/>
      <c r="L1293" s="4"/>
      <c r="O1293" s="4"/>
      <c r="P1293" s="4"/>
      <c r="T1293" s="4"/>
      <c r="U1293" s="4"/>
      <c r="Y1293" s="4"/>
      <c r="Z1293" s="4"/>
      <c r="AA1293" s="4"/>
      <c r="AB1293" s="4"/>
      <c r="AC1293" s="4"/>
    </row>
    <row r="1294" spans="2:29">
      <c r="B1294" s="180"/>
      <c r="E1294" s="4"/>
      <c r="F1294" s="4"/>
      <c r="G1294" s="4"/>
      <c r="J1294" s="4"/>
      <c r="K1294" s="4"/>
      <c r="L1294" s="4"/>
      <c r="O1294" s="4"/>
      <c r="P1294" s="4"/>
      <c r="T1294" s="4"/>
      <c r="U1294" s="4"/>
      <c r="Y1294" s="4"/>
      <c r="Z1294" s="4"/>
      <c r="AA1294" s="4"/>
      <c r="AB1294" s="4"/>
      <c r="AC1294" s="4"/>
    </row>
    <row r="1295" spans="2:29">
      <c r="B1295" s="180"/>
      <c r="E1295" s="4"/>
      <c r="F1295" s="4"/>
      <c r="G1295" s="4"/>
      <c r="J1295" s="4"/>
      <c r="K1295" s="4"/>
      <c r="L1295" s="4"/>
      <c r="O1295" s="4"/>
      <c r="P1295" s="4"/>
      <c r="T1295" s="4"/>
      <c r="U1295" s="4"/>
      <c r="Y1295" s="4"/>
      <c r="Z1295" s="4"/>
      <c r="AA1295" s="4"/>
      <c r="AB1295" s="4"/>
      <c r="AC1295" s="4"/>
    </row>
    <row r="1296" spans="2:29">
      <c r="B1296" s="180"/>
      <c r="E1296" s="4"/>
      <c r="F1296" s="4"/>
      <c r="G1296" s="4"/>
      <c r="J1296" s="4"/>
      <c r="K1296" s="4"/>
      <c r="L1296" s="4"/>
      <c r="O1296" s="4"/>
      <c r="P1296" s="4"/>
      <c r="T1296" s="4"/>
      <c r="U1296" s="4"/>
      <c r="Y1296" s="4"/>
      <c r="Z1296" s="4"/>
      <c r="AA1296" s="4"/>
      <c r="AB1296" s="4"/>
      <c r="AC1296" s="4"/>
    </row>
    <row r="1297" spans="2:29">
      <c r="B1297" s="180"/>
      <c r="E1297" s="4"/>
      <c r="F1297" s="4"/>
      <c r="G1297" s="4"/>
      <c r="J1297" s="4"/>
      <c r="K1297" s="4"/>
      <c r="L1297" s="4"/>
      <c r="O1297" s="4"/>
      <c r="P1297" s="4"/>
      <c r="T1297" s="4"/>
      <c r="U1297" s="4"/>
      <c r="Y1297" s="4"/>
      <c r="Z1297" s="4"/>
      <c r="AA1297" s="4"/>
      <c r="AB1297" s="4"/>
      <c r="AC1297" s="4"/>
    </row>
    <row r="1298" spans="2:29">
      <c r="B1298" s="180"/>
      <c r="E1298" s="4"/>
      <c r="F1298" s="4"/>
      <c r="G1298" s="4"/>
      <c r="J1298" s="4"/>
      <c r="K1298" s="4"/>
      <c r="L1298" s="4"/>
      <c r="O1298" s="4"/>
      <c r="P1298" s="4"/>
      <c r="T1298" s="4"/>
      <c r="U1298" s="4"/>
      <c r="Y1298" s="4"/>
      <c r="Z1298" s="4"/>
      <c r="AA1298" s="4"/>
      <c r="AB1298" s="4"/>
      <c r="AC1298" s="4"/>
    </row>
    <row r="1299" spans="2:29">
      <c r="B1299" s="180"/>
      <c r="E1299" s="4"/>
      <c r="F1299" s="4"/>
      <c r="G1299" s="4"/>
      <c r="J1299" s="4"/>
      <c r="K1299" s="4"/>
      <c r="L1299" s="4"/>
      <c r="O1299" s="4"/>
      <c r="P1299" s="4"/>
      <c r="T1299" s="4"/>
      <c r="U1299" s="4"/>
      <c r="Y1299" s="4"/>
      <c r="Z1299" s="4"/>
      <c r="AA1299" s="4"/>
      <c r="AB1299" s="4"/>
      <c r="AC1299" s="4"/>
    </row>
    <row r="1300" spans="2:29">
      <c r="B1300" s="180"/>
      <c r="E1300" s="4"/>
      <c r="F1300" s="4"/>
      <c r="G1300" s="4"/>
      <c r="J1300" s="4"/>
      <c r="K1300" s="4"/>
      <c r="L1300" s="4"/>
      <c r="O1300" s="4"/>
      <c r="P1300" s="4"/>
      <c r="T1300" s="4"/>
      <c r="U1300" s="4"/>
      <c r="Y1300" s="4"/>
      <c r="Z1300" s="4"/>
      <c r="AA1300" s="4"/>
      <c r="AB1300" s="4"/>
      <c r="AC1300" s="4"/>
    </row>
    <row r="1301" spans="2:29">
      <c r="B1301" s="180"/>
      <c r="E1301" s="4"/>
      <c r="F1301" s="4"/>
      <c r="G1301" s="4"/>
      <c r="J1301" s="4"/>
      <c r="K1301" s="4"/>
      <c r="L1301" s="4"/>
      <c r="O1301" s="4"/>
      <c r="P1301" s="4"/>
      <c r="T1301" s="4"/>
      <c r="U1301" s="4"/>
      <c r="Y1301" s="4"/>
      <c r="Z1301" s="4"/>
      <c r="AA1301" s="4"/>
      <c r="AB1301" s="4"/>
      <c r="AC1301" s="4"/>
    </row>
    <row r="1302" spans="2:29">
      <c r="B1302" s="180"/>
      <c r="E1302" s="4"/>
      <c r="F1302" s="4"/>
      <c r="G1302" s="4"/>
      <c r="J1302" s="4"/>
      <c r="K1302" s="4"/>
      <c r="L1302" s="4"/>
      <c r="O1302" s="4"/>
      <c r="P1302" s="4"/>
      <c r="T1302" s="4"/>
      <c r="U1302" s="4"/>
      <c r="Y1302" s="4"/>
      <c r="Z1302" s="4"/>
      <c r="AA1302" s="4"/>
      <c r="AB1302" s="4"/>
      <c r="AC1302" s="4"/>
    </row>
    <row r="1303" spans="2:29">
      <c r="B1303" s="180"/>
      <c r="E1303" s="4"/>
      <c r="F1303" s="4"/>
      <c r="G1303" s="4"/>
      <c r="J1303" s="4"/>
      <c r="K1303" s="4"/>
      <c r="L1303" s="4"/>
      <c r="O1303" s="4"/>
      <c r="P1303" s="4"/>
      <c r="T1303" s="4"/>
      <c r="U1303" s="4"/>
      <c r="Y1303" s="4"/>
      <c r="Z1303" s="4"/>
      <c r="AA1303" s="4"/>
      <c r="AB1303" s="4"/>
      <c r="AC1303" s="4"/>
    </row>
    <row r="1304" spans="2:29">
      <c r="B1304" s="180"/>
      <c r="E1304" s="4"/>
      <c r="F1304" s="4"/>
      <c r="G1304" s="4"/>
      <c r="J1304" s="4"/>
      <c r="K1304" s="4"/>
      <c r="L1304" s="4"/>
      <c r="O1304" s="4"/>
      <c r="P1304" s="4"/>
      <c r="T1304" s="4"/>
      <c r="U1304" s="4"/>
      <c r="Y1304" s="4"/>
      <c r="Z1304" s="4"/>
      <c r="AA1304" s="4"/>
      <c r="AB1304" s="4"/>
      <c r="AC1304" s="4"/>
    </row>
    <row r="1305" spans="2:29">
      <c r="B1305" s="180"/>
      <c r="E1305" s="4"/>
      <c r="F1305" s="4"/>
      <c r="G1305" s="4"/>
      <c r="J1305" s="4"/>
      <c r="K1305" s="4"/>
      <c r="L1305" s="4"/>
      <c r="O1305" s="4"/>
      <c r="P1305" s="4"/>
      <c r="T1305" s="4"/>
      <c r="U1305" s="4"/>
      <c r="Y1305" s="4"/>
      <c r="Z1305" s="4"/>
      <c r="AA1305" s="4"/>
      <c r="AB1305" s="4"/>
      <c r="AC1305" s="4"/>
    </row>
    <row r="1306" spans="2:29">
      <c r="B1306" s="180"/>
      <c r="E1306" s="4"/>
      <c r="F1306" s="4"/>
      <c r="G1306" s="4"/>
      <c r="J1306" s="4"/>
      <c r="K1306" s="4"/>
      <c r="L1306" s="4"/>
      <c r="O1306" s="4"/>
      <c r="P1306" s="4"/>
      <c r="T1306" s="4"/>
      <c r="U1306" s="4"/>
      <c r="Y1306" s="4"/>
      <c r="Z1306" s="4"/>
      <c r="AA1306" s="4"/>
      <c r="AB1306" s="4"/>
      <c r="AC1306" s="4"/>
    </row>
    <row r="1307" spans="2:29">
      <c r="B1307" s="180"/>
      <c r="E1307" s="4"/>
      <c r="F1307" s="4"/>
      <c r="G1307" s="4"/>
      <c r="J1307" s="4"/>
      <c r="K1307" s="4"/>
      <c r="L1307" s="4"/>
      <c r="O1307" s="4"/>
      <c r="P1307" s="4"/>
      <c r="T1307" s="4"/>
      <c r="U1307" s="4"/>
      <c r="Y1307" s="4"/>
      <c r="Z1307" s="4"/>
      <c r="AA1307" s="4"/>
      <c r="AB1307" s="4"/>
      <c r="AC1307" s="4"/>
    </row>
    <row r="1308" spans="2:29">
      <c r="B1308" s="180"/>
      <c r="E1308" s="4"/>
      <c r="F1308" s="4"/>
      <c r="G1308" s="4"/>
      <c r="J1308" s="4"/>
      <c r="K1308" s="4"/>
      <c r="L1308" s="4"/>
      <c r="O1308" s="4"/>
      <c r="P1308" s="4"/>
      <c r="T1308" s="4"/>
      <c r="U1308" s="4"/>
      <c r="Y1308" s="4"/>
      <c r="Z1308" s="4"/>
      <c r="AA1308" s="4"/>
      <c r="AB1308" s="4"/>
      <c r="AC1308" s="4"/>
    </row>
    <row r="1309" spans="2:29">
      <c r="B1309" s="180"/>
      <c r="E1309" s="4"/>
      <c r="F1309" s="4"/>
      <c r="G1309" s="4"/>
      <c r="J1309" s="4"/>
      <c r="K1309" s="4"/>
      <c r="L1309" s="4"/>
      <c r="O1309" s="4"/>
      <c r="P1309" s="4"/>
      <c r="T1309" s="4"/>
      <c r="U1309" s="4"/>
      <c r="Y1309" s="4"/>
      <c r="Z1309" s="4"/>
      <c r="AA1309" s="4"/>
      <c r="AB1309" s="4"/>
      <c r="AC1309" s="4"/>
    </row>
    <row r="1310" spans="2:29">
      <c r="B1310" s="180"/>
      <c r="E1310" s="4"/>
      <c r="F1310" s="4"/>
      <c r="G1310" s="4"/>
      <c r="J1310" s="4"/>
      <c r="K1310" s="4"/>
      <c r="L1310" s="4"/>
      <c r="O1310" s="4"/>
      <c r="P1310" s="4"/>
      <c r="T1310" s="4"/>
      <c r="U1310" s="4"/>
      <c r="Y1310" s="4"/>
      <c r="Z1310" s="4"/>
      <c r="AA1310" s="4"/>
      <c r="AB1310" s="4"/>
      <c r="AC1310" s="4"/>
    </row>
    <row r="1311" spans="2:29">
      <c r="B1311" s="180"/>
      <c r="E1311" s="4"/>
      <c r="F1311" s="4"/>
      <c r="G1311" s="4"/>
      <c r="J1311" s="4"/>
      <c r="K1311" s="4"/>
      <c r="L1311" s="4"/>
      <c r="O1311" s="4"/>
      <c r="P1311" s="4"/>
      <c r="T1311" s="4"/>
      <c r="U1311" s="4"/>
      <c r="Y1311" s="4"/>
      <c r="Z1311" s="4"/>
      <c r="AA1311" s="4"/>
      <c r="AB1311" s="4"/>
      <c r="AC1311" s="4"/>
    </row>
    <row r="1312" spans="2:29">
      <c r="B1312" s="180"/>
      <c r="E1312" s="4"/>
      <c r="F1312" s="4"/>
      <c r="G1312" s="4"/>
      <c r="J1312" s="4"/>
      <c r="K1312" s="4"/>
      <c r="L1312" s="4"/>
      <c r="O1312" s="4"/>
      <c r="P1312" s="4"/>
      <c r="T1312" s="4"/>
      <c r="U1312" s="4"/>
      <c r="Y1312" s="4"/>
      <c r="Z1312" s="4"/>
      <c r="AA1312" s="4"/>
      <c r="AB1312" s="4"/>
      <c r="AC1312" s="4"/>
    </row>
    <row r="1313" spans="2:29">
      <c r="B1313" s="180"/>
      <c r="E1313" s="4"/>
      <c r="F1313" s="4"/>
      <c r="G1313" s="4"/>
      <c r="J1313" s="4"/>
      <c r="K1313" s="4"/>
      <c r="L1313" s="4"/>
      <c r="O1313" s="4"/>
      <c r="P1313" s="4"/>
      <c r="T1313" s="4"/>
      <c r="U1313" s="4"/>
      <c r="Y1313" s="4"/>
      <c r="Z1313" s="4"/>
      <c r="AA1313" s="4"/>
      <c r="AB1313" s="4"/>
      <c r="AC1313" s="4"/>
    </row>
    <row r="1314" spans="2:29">
      <c r="B1314" s="180"/>
      <c r="E1314" s="4"/>
      <c r="F1314" s="4"/>
      <c r="G1314" s="4"/>
      <c r="J1314" s="4"/>
      <c r="K1314" s="4"/>
      <c r="L1314" s="4"/>
      <c r="O1314" s="4"/>
      <c r="P1314" s="4"/>
      <c r="T1314" s="4"/>
      <c r="U1314" s="4"/>
      <c r="Y1314" s="4"/>
      <c r="Z1314" s="4"/>
      <c r="AA1314" s="4"/>
      <c r="AB1314" s="4"/>
      <c r="AC1314" s="4"/>
    </row>
    <row r="1315" spans="2:29">
      <c r="B1315" s="180"/>
      <c r="E1315" s="4"/>
      <c r="F1315" s="4"/>
      <c r="G1315" s="4"/>
      <c r="J1315" s="4"/>
      <c r="K1315" s="4"/>
      <c r="L1315" s="4"/>
      <c r="O1315" s="4"/>
      <c r="P1315" s="4"/>
      <c r="T1315" s="4"/>
      <c r="U1315" s="4"/>
      <c r="Y1315" s="4"/>
      <c r="Z1315" s="4"/>
      <c r="AA1315" s="4"/>
      <c r="AB1315" s="4"/>
      <c r="AC1315" s="4"/>
    </row>
    <row r="1316" spans="2:29">
      <c r="B1316" s="180"/>
      <c r="E1316" s="4"/>
      <c r="F1316" s="4"/>
      <c r="G1316" s="4"/>
      <c r="J1316" s="4"/>
      <c r="K1316" s="4"/>
      <c r="L1316" s="4"/>
      <c r="O1316" s="4"/>
      <c r="P1316" s="4"/>
      <c r="T1316" s="4"/>
      <c r="U1316" s="4"/>
      <c r="Y1316" s="4"/>
      <c r="Z1316" s="4"/>
      <c r="AA1316" s="4"/>
      <c r="AB1316" s="4"/>
      <c r="AC1316" s="4"/>
    </row>
    <row r="1317" spans="2:29">
      <c r="B1317" s="180"/>
      <c r="E1317" s="4"/>
      <c r="F1317" s="4"/>
      <c r="G1317" s="4"/>
      <c r="J1317" s="4"/>
      <c r="K1317" s="4"/>
      <c r="L1317" s="4"/>
      <c r="O1317" s="4"/>
      <c r="P1317" s="4"/>
      <c r="T1317" s="4"/>
      <c r="U1317" s="4"/>
      <c r="Y1317" s="4"/>
      <c r="Z1317" s="4"/>
      <c r="AA1317" s="4"/>
      <c r="AB1317" s="4"/>
      <c r="AC1317" s="4"/>
    </row>
    <row r="1318" spans="2:29">
      <c r="B1318" s="180"/>
      <c r="E1318" s="4"/>
      <c r="F1318" s="4"/>
      <c r="G1318" s="4"/>
      <c r="J1318" s="4"/>
      <c r="K1318" s="4"/>
      <c r="L1318" s="4"/>
      <c r="O1318" s="4"/>
      <c r="P1318" s="4"/>
      <c r="T1318" s="4"/>
      <c r="U1318" s="4"/>
      <c r="Y1318" s="4"/>
      <c r="Z1318" s="4"/>
      <c r="AA1318" s="4"/>
      <c r="AB1318" s="4"/>
      <c r="AC1318" s="4"/>
    </row>
    <row r="1319" spans="2:29">
      <c r="B1319" s="180"/>
      <c r="E1319" s="4"/>
      <c r="F1319" s="4"/>
      <c r="G1319" s="4"/>
      <c r="J1319" s="4"/>
      <c r="K1319" s="4"/>
      <c r="L1319" s="4"/>
      <c r="O1319" s="4"/>
      <c r="P1319" s="4"/>
      <c r="T1319" s="4"/>
      <c r="U1319" s="4"/>
      <c r="Y1319" s="4"/>
      <c r="Z1319" s="4"/>
      <c r="AA1319" s="4"/>
      <c r="AB1319" s="4"/>
      <c r="AC1319" s="4"/>
    </row>
    <row r="1320" spans="2:29">
      <c r="B1320" s="180"/>
      <c r="E1320" s="4"/>
      <c r="F1320" s="4"/>
      <c r="G1320" s="4"/>
      <c r="J1320" s="4"/>
      <c r="K1320" s="4"/>
      <c r="L1320" s="4"/>
      <c r="O1320" s="4"/>
      <c r="P1320" s="4"/>
      <c r="T1320" s="4"/>
      <c r="U1320" s="4"/>
      <c r="Y1320" s="4"/>
      <c r="Z1320" s="4"/>
      <c r="AA1320" s="4"/>
      <c r="AB1320" s="4"/>
      <c r="AC1320" s="4"/>
    </row>
    <row r="1321" spans="2:29">
      <c r="B1321" s="180"/>
      <c r="E1321" s="4"/>
      <c r="F1321" s="4"/>
      <c r="G1321" s="4"/>
      <c r="J1321" s="4"/>
      <c r="K1321" s="4"/>
      <c r="L1321" s="4"/>
      <c r="O1321" s="4"/>
      <c r="P1321" s="4"/>
      <c r="T1321" s="4"/>
      <c r="U1321" s="4"/>
      <c r="Y1321" s="4"/>
      <c r="Z1321" s="4"/>
      <c r="AA1321" s="4"/>
      <c r="AB1321" s="4"/>
      <c r="AC1321" s="4"/>
    </row>
    <row r="1322" spans="2:29">
      <c r="B1322" s="180"/>
      <c r="E1322" s="4"/>
      <c r="F1322" s="4"/>
      <c r="G1322" s="4"/>
      <c r="J1322" s="4"/>
      <c r="K1322" s="4"/>
      <c r="L1322" s="4"/>
      <c r="O1322" s="4"/>
      <c r="P1322" s="4"/>
      <c r="T1322" s="4"/>
      <c r="U1322" s="4"/>
      <c r="Y1322" s="4"/>
      <c r="Z1322" s="4"/>
      <c r="AA1322" s="4"/>
      <c r="AB1322" s="4"/>
      <c r="AC1322" s="4"/>
    </row>
    <row r="1323" spans="2:29">
      <c r="B1323" s="180"/>
      <c r="E1323" s="4"/>
      <c r="F1323" s="4"/>
      <c r="G1323" s="4"/>
      <c r="J1323" s="4"/>
      <c r="K1323" s="4"/>
      <c r="L1323" s="4"/>
      <c r="O1323" s="4"/>
      <c r="P1323" s="4"/>
      <c r="T1323" s="4"/>
      <c r="U1323" s="4"/>
      <c r="Y1323" s="4"/>
      <c r="Z1323" s="4"/>
      <c r="AA1323" s="4"/>
      <c r="AB1323" s="4"/>
      <c r="AC1323" s="4"/>
    </row>
    <row r="1324" spans="2:29">
      <c r="B1324" s="180"/>
      <c r="E1324" s="4"/>
      <c r="F1324" s="4"/>
      <c r="G1324" s="4"/>
      <c r="J1324" s="4"/>
      <c r="K1324" s="4"/>
      <c r="L1324" s="4"/>
      <c r="O1324" s="4"/>
      <c r="P1324" s="4"/>
      <c r="T1324" s="4"/>
      <c r="U1324" s="4"/>
      <c r="Y1324" s="4"/>
      <c r="Z1324" s="4"/>
      <c r="AA1324" s="4"/>
      <c r="AB1324" s="4"/>
      <c r="AC1324" s="4"/>
    </row>
    <row r="1325" spans="2:29">
      <c r="B1325" s="180"/>
      <c r="E1325" s="4"/>
      <c r="F1325" s="4"/>
      <c r="G1325" s="4"/>
      <c r="J1325" s="4"/>
      <c r="K1325" s="4"/>
      <c r="L1325" s="4"/>
      <c r="O1325" s="4"/>
      <c r="P1325" s="4"/>
      <c r="T1325" s="4"/>
      <c r="U1325" s="4"/>
      <c r="Y1325" s="4"/>
      <c r="Z1325" s="4"/>
      <c r="AA1325" s="4"/>
      <c r="AB1325" s="4"/>
      <c r="AC1325" s="4"/>
    </row>
    <row r="1326" spans="2:29">
      <c r="B1326" s="180"/>
      <c r="E1326" s="4"/>
      <c r="F1326" s="4"/>
      <c r="G1326" s="4"/>
      <c r="J1326" s="4"/>
      <c r="K1326" s="4"/>
      <c r="L1326" s="4"/>
      <c r="O1326" s="4"/>
      <c r="P1326" s="4"/>
      <c r="T1326" s="4"/>
      <c r="U1326" s="4"/>
      <c r="Y1326" s="4"/>
      <c r="Z1326" s="4"/>
      <c r="AA1326" s="4"/>
      <c r="AB1326" s="4"/>
      <c r="AC1326" s="4"/>
    </row>
    <row r="1327" spans="2:29">
      <c r="B1327" s="180"/>
      <c r="E1327" s="4"/>
      <c r="F1327" s="4"/>
      <c r="G1327" s="4"/>
      <c r="J1327" s="4"/>
      <c r="K1327" s="4"/>
      <c r="L1327" s="4"/>
      <c r="O1327" s="4"/>
      <c r="P1327" s="4"/>
      <c r="T1327" s="4"/>
      <c r="U1327" s="4"/>
      <c r="Y1327" s="4"/>
      <c r="Z1327" s="4"/>
      <c r="AA1327" s="4"/>
      <c r="AB1327" s="4"/>
      <c r="AC1327" s="4"/>
    </row>
    <row r="1328" spans="2:29">
      <c r="B1328" s="180"/>
      <c r="E1328" s="4"/>
      <c r="F1328" s="4"/>
      <c r="G1328" s="4"/>
      <c r="J1328" s="4"/>
      <c r="K1328" s="4"/>
      <c r="L1328" s="4"/>
      <c r="O1328" s="4"/>
      <c r="P1328" s="4"/>
      <c r="T1328" s="4"/>
      <c r="U1328" s="4"/>
      <c r="Y1328" s="4"/>
      <c r="Z1328" s="4"/>
      <c r="AA1328" s="4"/>
      <c r="AB1328" s="4"/>
      <c r="AC1328" s="4"/>
    </row>
    <row r="1329" spans="2:29">
      <c r="B1329" s="180"/>
      <c r="E1329" s="4"/>
      <c r="F1329" s="4"/>
      <c r="G1329" s="4"/>
      <c r="J1329" s="4"/>
      <c r="K1329" s="4"/>
      <c r="L1329" s="4"/>
      <c r="O1329" s="4"/>
      <c r="P1329" s="4"/>
      <c r="T1329" s="4"/>
      <c r="U1329" s="4"/>
      <c r="Y1329" s="4"/>
      <c r="Z1329" s="4"/>
      <c r="AA1329" s="4"/>
      <c r="AB1329" s="4"/>
      <c r="AC1329" s="4"/>
    </row>
    <row r="1330" spans="2:29">
      <c r="B1330" s="180"/>
      <c r="E1330" s="4"/>
      <c r="F1330" s="4"/>
      <c r="G1330" s="4"/>
      <c r="J1330" s="4"/>
      <c r="K1330" s="4"/>
      <c r="L1330" s="4"/>
      <c r="O1330" s="4"/>
      <c r="P1330" s="4"/>
      <c r="T1330" s="4"/>
      <c r="U1330" s="4"/>
      <c r="Y1330" s="4"/>
      <c r="Z1330" s="4"/>
      <c r="AA1330" s="4"/>
      <c r="AB1330" s="4"/>
      <c r="AC1330" s="4"/>
    </row>
    <row r="1331" spans="2:29">
      <c r="B1331" s="180"/>
      <c r="E1331" s="4"/>
      <c r="F1331" s="4"/>
      <c r="G1331" s="4"/>
      <c r="J1331" s="4"/>
      <c r="K1331" s="4"/>
      <c r="L1331" s="4"/>
      <c r="O1331" s="4"/>
      <c r="P1331" s="4"/>
      <c r="T1331" s="4"/>
      <c r="U1331" s="4"/>
      <c r="Y1331" s="4"/>
      <c r="Z1331" s="4"/>
      <c r="AA1331" s="4"/>
      <c r="AB1331" s="4"/>
      <c r="AC1331" s="4"/>
    </row>
    <row r="1332" spans="2:29">
      <c r="B1332" s="180"/>
      <c r="E1332" s="4"/>
      <c r="F1332" s="4"/>
      <c r="G1332" s="4"/>
      <c r="J1332" s="4"/>
      <c r="K1332" s="4"/>
      <c r="L1332" s="4"/>
      <c r="O1332" s="4"/>
      <c r="P1332" s="4"/>
      <c r="T1332" s="4"/>
      <c r="U1332" s="4"/>
      <c r="Y1332" s="4"/>
      <c r="Z1332" s="4"/>
      <c r="AA1332" s="4"/>
      <c r="AB1332" s="4"/>
      <c r="AC1332" s="4"/>
    </row>
    <row r="1333" spans="2:29">
      <c r="B1333" s="180"/>
      <c r="E1333" s="4"/>
      <c r="F1333" s="4"/>
      <c r="G1333" s="4"/>
      <c r="J1333" s="4"/>
      <c r="K1333" s="4"/>
      <c r="L1333" s="4"/>
      <c r="O1333" s="4"/>
      <c r="P1333" s="4"/>
      <c r="T1333" s="4"/>
      <c r="U1333" s="4"/>
      <c r="Y1333" s="4"/>
      <c r="Z1333" s="4"/>
      <c r="AA1333" s="4"/>
      <c r="AB1333" s="4"/>
      <c r="AC1333" s="4"/>
    </row>
    <row r="1334" spans="2:29">
      <c r="B1334" s="180"/>
      <c r="E1334" s="4"/>
      <c r="F1334" s="4"/>
      <c r="G1334" s="4"/>
      <c r="J1334" s="4"/>
      <c r="K1334" s="4"/>
      <c r="L1334" s="4"/>
      <c r="O1334" s="4"/>
      <c r="P1334" s="4"/>
      <c r="T1334" s="4"/>
      <c r="U1334" s="4"/>
      <c r="Y1334" s="4"/>
      <c r="Z1334" s="4"/>
      <c r="AA1334" s="4"/>
      <c r="AB1334" s="4"/>
      <c r="AC1334" s="4"/>
    </row>
    <row r="1335" spans="2:29">
      <c r="B1335" s="180"/>
      <c r="E1335" s="4"/>
      <c r="F1335" s="4"/>
      <c r="G1335" s="4"/>
      <c r="J1335" s="4"/>
      <c r="K1335" s="4"/>
      <c r="L1335" s="4"/>
      <c r="O1335" s="4"/>
      <c r="P1335" s="4"/>
      <c r="T1335" s="4"/>
      <c r="U1335" s="4"/>
      <c r="Y1335" s="4"/>
      <c r="Z1335" s="4"/>
      <c r="AA1335" s="4"/>
      <c r="AB1335" s="4"/>
      <c r="AC1335" s="4"/>
    </row>
    <row r="1336" spans="2:29">
      <c r="B1336" s="180"/>
      <c r="E1336" s="4"/>
      <c r="F1336" s="4"/>
      <c r="G1336" s="4"/>
      <c r="J1336" s="4"/>
      <c r="K1336" s="4"/>
      <c r="L1336" s="4"/>
      <c r="O1336" s="4"/>
      <c r="P1336" s="4"/>
      <c r="T1336" s="4"/>
      <c r="U1336" s="4"/>
      <c r="Y1336" s="4"/>
      <c r="Z1336" s="4"/>
      <c r="AA1336" s="4"/>
      <c r="AB1336" s="4"/>
      <c r="AC1336" s="4"/>
    </row>
    <row r="1337" spans="2:29">
      <c r="B1337" s="180"/>
      <c r="E1337" s="4"/>
      <c r="F1337" s="4"/>
      <c r="G1337" s="4"/>
      <c r="J1337" s="4"/>
      <c r="K1337" s="4"/>
      <c r="L1337" s="4"/>
      <c r="O1337" s="4"/>
      <c r="P1337" s="4"/>
      <c r="T1337" s="4"/>
      <c r="U1337" s="4"/>
      <c r="Y1337" s="4"/>
      <c r="Z1337" s="4"/>
      <c r="AA1337" s="4"/>
      <c r="AB1337" s="4"/>
      <c r="AC1337" s="4"/>
    </row>
    <row r="1338" spans="2:29">
      <c r="B1338" s="180"/>
      <c r="E1338" s="4"/>
      <c r="F1338" s="4"/>
      <c r="G1338" s="4"/>
      <c r="J1338" s="4"/>
      <c r="K1338" s="4"/>
      <c r="L1338" s="4"/>
      <c r="O1338" s="4"/>
      <c r="P1338" s="4"/>
      <c r="T1338" s="4"/>
      <c r="U1338" s="4"/>
      <c r="Y1338" s="4"/>
      <c r="Z1338" s="4"/>
      <c r="AA1338" s="4"/>
      <c r="AB1338" s="4"/>
      <c r="AC1338" s="4"/>
    </row>
    <row r="1339" spans="2:29">
      <c r="B1339" s="180"/>
      <c r="E1339" s="4"/>
      <c r="F1339" s="4"/>
      <c r="G1339" s="4"/>
      <c r="J1339" s="4"/>
      <c r="K1339" s="4"/>
      <c r="L1339" s="4"/>
      <c r="O1339" s="4"/>
      <c r="P1339" s="4"/>
      <c r="T1339" s="4"/>
      <c r="U1339" s="4"/>
      <c r="Y1339" s="4"/>
      <c r="Z1339" s="4"/>
      <c r="AA1339" s="4"/>
      <c r="AB1339" s="4"/>
      <c r="AC1339" s="4"/>
    </row>
    <row r="1340" spans="2:29">
      <c r="B1340" s="180"/>
      <c r="E1340" s="4"/>
      <c r="F1340" s="4"/>
      <c r="G1340" s="4"/>
      <c r="J1340" s="4"/>
      <c r="K1340" s="4"/>
      <c r="L1340" s="4"/>
      <c r="O1340" s="4"/>
      <c r="P1340" s="4"/>
      <c r="T1340" s="4"/>
      <c r="U1340" s="4"/>
      <c r="Y1340" s="4"/>
      <c r="Z1340" s="4"/>
      <c r="AA1340" s="4"/>
      <c r="AB1340" s="4"/>
      <c r="AC1340" s="4"/>
    </row>
    <row r="1341" spans="2:29">
      <c r="B1341" s="180"/>
      <c r="E1341" s="4"/>
      <c r="F1341" s="4"/>
      <c r="G1341" s="4"/>
      <c r="J1341" s="4"/>
      <c r="K1341" s="4"/>
      <c r="L1341" s="4"/>
      <c r="O1341" s="4"/>
      <c r="P1341" s="4"/>
      <c r="T1341" s="4"/>
      <c r="U1341" s="4"/>
      <c r="Y1341" s="4"/>
      <c r="Z1341" s="4"/>
      <c r="AA1341" s="4"/>
      <c r="AB1341" s="4"/>
      <c r="AC1341" s="4"/>
    </row>
    <row r="1342" spans="2:29">
      <c r="B1342" s="180"/>
      <c r="E1342" s="4"/>
      <c r="F1342" s="4"/>
      <c r="G1342" s="4"/>
      <c r="J1342" s="4"/>
      <c r="K1342" s="4"/>
      <c r="L1342" s="4"/>
      <c r="O1342" s="4"/>
      <c r="P1342" s="4"/>
      <c r="T1342" s="4"/>
      <c r="U1342" s="4"/>
      <c r="Y1342" s="4"/>
      <c r="Z1342" s="4"/>
      <c r="AA1342" s="4"/>
      <c r="AB1342" s="4"/>
      <c r="AC1342" s="4"/>
    </row>
    <row r="1343" spans="2:29">
      <c r="B1343" s="180"/>
      <c r="E1343" s="4"/>
      <c r="F1343" s="4"/>
      <c r="G1343" s="4"/>
      <c r="J1343" s="4"/>
      <c r="K1343" s="4"/>
      <c r="L1343" s="4"/>
      <c r="O1343" s="4"/>
      <c r="P1343" s="4"/>
      <c r="T1343" s="4"/>
      <c r="U1343" s="4"/>
      <c r="Y1343" s="4"/>
      <c r="Z1343" s="4"/>
      <c r="AA1343" s="4"/>
      <c r="AB1343" s="4"/>
      <c r="AC1343" s="4"/>
    </row>
    <row r="1344" spans="2:29">
      <c r="B1344" s="180"/>
      <c r="E1344" s="4"/>
      <c r="F1344" s="4"/>
      <c r="G1344" s="4"/>
      <c r="J1344" s="4"/>
      <c r="K1344" s="4"/>
      <c r="L1344" s="4"/>
      <c r="O1344" s="4"/>
      <c r="P1344" s="4"/>
      <c r="T1344" s="4"/>
      <c r="U1344" s="4"/>
      <c r="Y1344" s="4"/>
      <c r="Z1344" s="4"/>
      <c r="AA1344" s="4"/>
      <c r="AB1344" s="4"/>
      <c r="AC1344" s="4"/>
    </row>
    <row r="1345" spans="2:29">
      <c r="B1345" s="180"/>
      <c r="E1345" s="4"/>
      <c r="F1345" s="4"/>
      <c r="G1345" s="4"/>
      <c r="J1345" s="4"/>
      <c r="K1345" s="4"/>
      <c r="L1345" s="4"/>
      <c r="O1345" s="4"/>
      <c r="P1345" s="4"/>
      <c r="T1345" s="4"/>
      <c r="U1345" s="4"/>
      <c r="Y1345" s="4"/>
      <c r="Z1345" s="4"/>
      <c r="AA1345" s="4"/>
      <c r="AB1345" s="4"/>
      <c r="AC1345" s="4"/>
    </row>
    <row r="1346" spans="2:29">
      <c r="B1346" s="180"/>
      <c r="E1346" s="4"/>
      <c r="F1346" s="4"/>
      <c r="G1346" s="4"/>
      <c r="J1346" s="4"/>
      <c r="K1346" s="4"/>
      <c r="L1346" s="4"/>
      <c r="O1346" s="4"/>
      <c r="P1346" s="4"/>
      <c r="T1346" s="4"/>
      <c r="U1346" s="4"/>
      <c r="Y1346" s="4"/>
      <c r="Z1346" s="4"/>
      <c r="AA1346" s="4"/>
      <c r="AB1346" s="4"/>
      <c r="AC1346" s="4"/>
    </row>
    <row r="1347" spans="2:29">
      <c r="B1347" s="180"/>
      <c r="E1347" s="4"/>
      <c r="F1347" s="4"/>
      <c r="G1347" s="4"/>
      <c r="J1347" s="4"/>
      <c r="K1347" s="4"/>
      <c r="L1347" s="4"/>
      <c r="O1347" s="4"/>
      <c r="P1347" s="4"/>
      <c r="T1347" s="4"/>
      <c r="U1347" s="4"/>
      <c r="Y1347" s="4"/>
      <c r="Z1347" s="4"/>
      <c r="AA1347" s="4"/>
      <c r="AB1347" s="4"/>
      <c r="AC1347" s="4"/>
    </row>
    <row r="1348" spans="2:29">
      <c r="B1348" s="180"/>
      <c r="E1348" s="4"/>
      <c r="F1348" s="4"/>
      <c r="G1348" s="4"/>
      <c r="J1348" s="4"/>
      <c r="K1348" s="4"/>
      <c r="L1348" s="4"/>
      <c r="O1348" s="4"/>
      <c r="P1348" s="4"/>
      <c r="T1348" s="4"/>
      <c r="U1348" s="4"/>
      <c r="Y1348" s="4"/>
      <c r="Z1348" s="4"/>
      <c r="AA1348" s="4"/>
      <c r="AB1348" s="4"/>
      <c r="AC1348" s="4"/>
    </row>
    <row r="1349" spans="2:29">
      <c r="B1349" s="180"/>
      <c r="E1349" s="4"/>
      <c r="F1349" s="4"/>
      <c r="G1349" s="4"/>
      <c r="J1349" s="4"/>
      <c r="K1349" s="4"/>
      <c r="L1349" s="4"/>
      <c r="O1349" s="4"/>
      <c r="P1349" s="4"/>
      <c r="T1349" s="4"/>
      <c r="U1349" s="4"/>
      <c r="Y1349" s="4"/>
      <c r="Z1349" s="4"/>
      <c r="AA1349" s="4"/>
      <c r="AB1349" s="4"/>
      <c r="AC1349" s="4"/>
    </row>
    <row r="1350" spans="2:29">
      <c r="B1350" s="180"/>
      <c r="E1350" s="4"/>
      <c r="F1350" s="4"/>
      <c r="G1350" s="4"/>
      <c r="J1350" s="4"/>
      <c r="K1350" s="4"/>
      <c r="L1350" s="4"/>
      <c r="O1350" s="4"/>
      <c r="P1350" s="4"/>
      <c r="T1350" s="4"/>
      <c r="U1350" s="4"/>
      <c r="Y1350" s="4"/>
      <c r="Z1350" s="4"/>
      <c r="AA1350" s="4"/>
      <c r="AB1350" s="4"/>
      <c r="AC1350" s="4"/>
    </row>
    <row r="1351" spans="2:29">
      <c r="B1351" s="180"/>
      <c r="E1351" s="4"/>
      <c r="F1351" s="4"/>
      <c r="G1351" s="4"/>
      <c r="J1351" s="4"/>
      <c r="K1351" s="4"/>
      <c r="L1351" s="4"/>
      <c r="O1351" s="4"/>
      <c r="P1351" s="4"/>
      <c r="T1351" s="4"/>
      <c r="U1351" s="4"/>
      <c r="Y1351" s="4"/>
      <c r="Z1351" s="4"/>
      <c r="AA1351" s="4"/>
      <c r="AB1351" s="4"/>
      <c r="AC1351" s="4"/>
    </row>
    <row r="1352" spans="2:29">
      <c r="B1352" s="180"/>
      <c r="E1352" s="4"/>
      <c r="F1352" s="4"/>
      <c r="G1352" s="4"/>
      <c r="J1352" s="4"/>
      <c r="K1352" s="4"/>
      <c r="L1352" s="4"/>
      <c r="O1352" s="4"/>
      <c r="P1352" s="4"/>
      <c r="T1352" s="4"/>
      <c r="U1352" s="4"/>
      <c r="Y1352" s="4"/>
      <c r="Z1352" s="4"/>
      <c r="AA1352" s="4"/>
      <c r="AB1352" s="4"/>
      <c r="AC1352" s="4"/>
    </row>
    <row r="1353" spans="2:29">
      <c r="B1353" s="180"/>
      <c r="E1353" s="4"/>
      <c r="F1353" s="4"/>
      <c r="G1353" s="4"/>
      <c r="J1353" s="4"/>
      <c r="K1353" s="4"/>
      <c r="L1353" s="4"/>
      <c r="O1353" s="4"/>
      <c r="P1353" s="4"/>
      <c r="T1353" s="4"/>
      <c r="U1353" s="4"/>
      <c r="Y1353" s="4"/>
      <c r="Z1353" s="4"/>
      <c r="AA1353" s="4"/>
      <c r="AB1353" s="4"/>
      <c r="AC1353" s="4"/>
    </row>
    <row r="1354" spans="2:29">
      <c r="B1354" s="180"/>
      <c r="E1354" s="4"/>
      <c r="F1354" s="4"/>
      <c r="G1354" s="4"/>
      <c r="J1354" s="4"/>
      <c r="K1354" s="4"/>
      <c r="L1354" s="4"/>
      <c r="O1354" s="4"/>
      <c r="P1354" s="4"/>
      <c r="T1354" s="4"/>
      <c r="U1354" s="4"/>
      <c r="Y1354" s="4"/>
      <c r="Z1354" s="4"/>
      <c r="AA1354" s="4"/>
      <c r="AB1354" s="4"/>
      <c r="AC1354" s="4"/>
    </row>
    <row r="1355" spans="2:29">
      <c r="B1355" s="180"/>
      <c r="E1355" s="4"/>
      <c r="F1355" s="4"/>
      <c r="G1355" s="4"/>
      <c r="J1355" s="4"/>
      <c r="K1355" s="4"/>
      <c r="L1355" s="4"/>
      <c r="O1355" s="4"/>
      <c r="P1355" s="4"/>
      <c r="T1355" s="4"/>
      <c r="U1355" s="4"/>
      <c r="Y1355" s="4"/>
      <c r="Z1355" s="4"/>
      <c r="AA1355" s="4"/>
      <c r="AB1355" s="4"/>
      <c r="AC1355" s="4"/>
    </row>
    <row r="1356" spans="2:29">
      <c r="B1356" s="180"/>
      <c r="E1356" s="4"/>
      <c r="F1356" s="4"/>
      <c r="G1356" s="4"/>
      <c r="J1356" s="4"/>
      <c r="K1356" s="4"/>
      <c r="L1356" s="4"/>
      <c r="O1356" s="4"/>
      <c r="P1356" s="4"/>
      <c r="T1356" s="4"/>
      <c r="U1356" s="4"/>
      <c r="Y1356" s="4"/>
      <c r="Z1356" s="4"/>
      <c r="AA1356" s="4"/>
      <c r="AB1356" s="4"/>
      <c r="AC1356" s="4"/>
    </row>
    <row r="1357" spans="2:29">
      <c r="B1357" s="180"/>
      <c r="E1357" s="4"/>
      <c r="F1357" s="4"/>
      <c r="G1357" s="4"/>
      <c r="J1357" s="4"/>
      <c r="K1357" s="4"/>
      <c r="L1357" s="4"/>
      <c r="O1357" s="4"/>
      <c r="P1357" s="4"/>
      <c r="T1357" s="4"/>
      <c r="U1357" s="4"/>
      <c r="Y1357" s="4"/>
      <c r="Z1357" s="4"/>
      <c r="AA1357" s="4"/>
      <c r="AB1357" s="4"/>
      <c r="AC1357" s="4"/>
    </row>
    <row r="1358" spans="2:29">
      <c r="B1358" s="180"/>
      <c r="E1358" s="4"/>
      <c r="F1358" s="4"/>
      <c r="G1358" s="4"/>
      <c r="J1358" s="4"/>
      <c r="K1358" s="4"/>
      <c r="L1358" s="4"/>
      <c r="O1358" s="4"/>
      <c r="P1358" s="4"/>
      <c r="T1358" s="4"/>
      <c r="U1358" s="4"/>
      <c r="Y1358" s="4"/>
      <c r="Z1358" s="4"/>
      <c r="AA1358" s="4"/>
      <c r="AB1358" s="4"/>
      <c r="AC1358" s="4"/>
    </row>
    <row r="1359" spans="2:29">
      <c r="B1359" s="180"/>
      <c r="E1359" s="4"/>
      <c r="F1359" s="4"/>
      <c r="G1359" s="4"/>
      <c r="J1359" s="4"/>
      <c r="K1359" s="4"/>
      <c r="L1359" s="4"/>
      <c r="O1359" s="4"/>
      <c r="P1359" s="4"/>
      <c r="T1359" s="4"/>
      <c r="U1359" s="4"/>
      <c r="Y1359" s="4"/>
      <c r="Z1359" s="4"/>
      <c r="AA1359" s="4"/>
      <c r="AB1359" s="4"/>
      <c r="AC1359" s="4"/>
    </row>
    <row r="1360" spans="2:29">
      <c r="B1360" s="180"/>
      <c r="E1360" s="4"/>
      <c r="F1360" s="4"/>
      <c r="G1360" s="4"/>
      <c r="J1360" s="4"/>
      <c r="K1360" s="4"/>
      <c r="L1360" s="4"/>
      <c r="O1360" s="4"/>
      <c r="P1360" s="4"/>
      <c r="T1360" s="4"/>
      <c r="U1360" s="4"/>
      <c r="Y1360" s="4"/>
      <c r="Z1360" s="4"/>
      <c r="AA1360" s="4"/>
      <c r="AB1360" s="4"/>
      <c r="AC1360" s="4"/>
    </row>
    <row r="1361" spans="2:29">
      <c r="B1361" s="180"/>
      <c r="E1361" s="4"/>
      <c r="F1361" s="4"/>
      <c r="G1361" s="4"/>
      <c r="J1361" s="4"/>
      <c r="K1361" s="4"/>
      <c r="L1361" s="4"/>
      <c r="O1361" s="4"/>
      <c r="P1361" s="4"/>
      <c r="T1361" s="4"/>
      <c r="U1361" s="4"/>
      <c r="Y1361" s="4"/>
      <c r="Z1361" s="4"/>
      <c r="AA1361" s="4"/>
      <c r="AB1361" s="4"/>
      <c r="AC1361" s="4"/>
    </row>
    <row r="1362" spans="2:29">
      <c r="B1362" s="180"/>
      <c r="E1362" s="4"/>
      <c r="F1362" s="4"/>
      <c r="G1362" s="4"/>
      <c r="J1362" s="4"/>
      <c r="K1362" s="4"/>
      <c r="L1362" s="4"/>
      <c r="O1362" s="4"/>
      <c r="P1362" s="4"/>
      <c r="T1362" s="4"/>
      <c r="U1362" s="4"/>
      <c r="Y1362" s="4"/>
      <c r="Z1362" s="4"/>
      <c r="AA1362" s="4"/>
      <c r="AB1362" s="4"/>
      <c r="AC1362" s="4"/>
    </row>
    <row r="1363" spans="2:29">
      <c r="B1363" s="180"/>
      <c r="E1363" s="4"/>
      <c r="F1363" s="4"/>
      <c r="G1363" s="4"/>
      <c r="J1363" s="4"/>
      <c r="K1363" s="4"/>
      <c r="L1363" s="4"/>
      <c r="O1363" s="4"/>
      <c r="P1363" s="4"/>
      <c r="T1363" s="4"/>
      <c r="U1363" s="4"/>
      <c r="Y1363" s="4"/>
      <c r="Z1363" s="4"/>
      <c r="AA1363" s="4"/>
      <c r="AB1363" s="4"/>
      <c r="AC1363" s="4"/>
    </row>
    <row r="1364" spans="2:29">
      <c r="B1364" s="180"/>
      <c r="E1364" s="4"/>
      <c r="F1364" s="4"/>
      <c r="G1364" s="4"/>
      <c r="J1364" s="4"/>
      <c r="K1364" s="4"/>
      <c r="L1364" s="4"/>
      <c r="O1364" s="4"/>
      <c r="P1364" s="4"/>
      <c r="T1364" s="4"/>
      <c r="U1364" s="4"/>
      <c r="Y1364" s="4"/>
      <c r="Z1364" s="4"/>
      <c r="AA1364" s="4"/>
      <c r="AB1364" s="4"/>
      <c r="AC1364" s="4"/>
    </row>
    <row r="1365" spans="2:29">
      <c r="B1365" s="180"/>
      <c r="E1365" s="4"/>
      <c r="F1365" s="4"/>
      <c r="G1365" s="4"/>
      <c r="J1365" s="4"/>
      <c r="K1365" s="4"/>
      <c r="L1365" s="4"/>
      <c r="O1365" s="4"/>
      <c r="P1365" s="4"/>
      <c r="T1365" s="4"/>
      <c r="U1365" s="4"/>
      <c r="Y1365" s="4"/>
      <c r="Z1365" s="4"/>
      <c r="AA1365" s="4"/>
      <c r="AB1365" s="4"/>
      <c r="AC1365" s="4"/>
    </row>
    <row r="1366" spans="2:29">
      <c r="B1366" s="180"/>
      <c r="E1366" s="4"/>
      <c r="F1366" s="4"/>
      <c r="G1366" s="4"/>
      <c r="J1366" s="4"/>
      <c r="K1366" s="4"/>
      <c r="L1366" s="4"/>
      <c r="O1366" s="4"/>
      <c r="P1366" s="4"/>
      <c r="T1366" s="4"/>
      <c r="U1366" s="4"/>
      <c r="Y1366" s="4"/>
      <c r="Z1366" s="4"/>
      <c r="AA1366" s="4"/>
      <c r="AB1366" s="4"/>
      <c r="AC1366" s="4"/>
    </row>
    <row r="1367" spans="2:29">
      <c r="B1367" s="180"/>
      <c r="E1367" s="4"/>
      <c r="F1367" s="4"/>
      <c r="G1367" s="4"/>
      <c r="J1367" s="4"/>
      <c r="K1367" s="4"/>
      <c r="L1367" s="4"/>
      <c r="O1367" s="4"/>
      <c r="P1367" s="4"/>
      <c r="T1367" s="4"/>
      <c r="U1367" s="4"/>
      <c r="Y1367" s="4"/>
      <c r="Z1367" s="4"/>
      <c r="AA1367" s="4"/>
      <c r="AB1367" s="4"/>
      <c r="AC1367" s="4"/>
    </row>
    <row r="1368" spans="2:29">
      <c r="B1368" s="180"/>
      <c r="E1368" s="4"/>
      <c r="F1368" s="4"/>
      <c r="G1368" s="4"/>
      <c r="J1368" s="4"/>
      <c r="K1368" s="4"/>
      <c r="L1368" s="4"/>
      <c r="O1368" s="4"/>
      <c r="P1368" s="4"/>
      <c r="T1368" s="4"/>
      <c r="U1368" s="4"/>
      <c r="Y1368" s="4"/>
      <c r="Z1368" s="4"/>
      <c r="AA1368" s="4"/>
      <c r="AB1368" s="4"/>
      <c r="AC1368" s="4"/>
    </row>
    <row r="1369" spans="2:29">
      <c r="B1369" s="180"/>
      <c r="E1369" s="4"/>
      <c r="F1369" s="4"/>
      <c r="G1369" s="4"/>
      <c r="J1369" s="4"/>
      <c r="K1369" s="4"/>
      <c r="L1369" s="4"/>
      <c r="O1369" s="4"/>
      <c r="P1369" s="4"/>
      <c r="T1369" s="4"/>
      <c r="U1369" s="4"/>
      <c r="Y1369" s="4"/>
      <c r="Z1369" s="4"/>
      <c r="AA1369" s="4"/>
      <c r="AB1369" s="4"/>
      <c r="AC1369" s="4"/>
    </row>
    <row r="1370" spans="2:29">
      <c r="B1370" s="180"/>
      <c r="E1370" s="4"/>
      <c r="F1370" s="4"/>
      <c r="G1370" s="4"/>
      <c r="J1370" s="4"/>
      <c r="K1370" s="4"/>
      <c r="L1370" s="4"/>
      <c r="O1370" s="4"/>
      <c r="P1370" s="4"/>
      <c r="T1370" s="4"/>
      <c r="U1370" s="4"/>
      <c r="Y1370" s="4"/>
      <c r="Z1370" s="4"/>
      <c r="AA1370" s="4"/>
      <c r="AB1370" s="4"/>
      <c r="AC1370" s="4"/>
    </row>
    <row r="1371" spans="2:29">
      <c r="B1371" s="180"/>
      <c r="E1371" s="4"/>
      <c r="F1371" s="4"/>
      <c r="G1371" s="4"/>
      <c r="J1371" s="4"/>
      <c r="K1371" s="4"/>
      <c r="L1371" s="4"/>
      <c r="O1371" s="4"/>
      <c r="P1371" s="4"/>
      <c r="T1371" s="4"/>
      <c r="U1371" s="4"/>
      <c r="Y1371" s="4"/>
      <c r="Z1371" s="4"/>
      <c r="AA1371" s="4"/>
      <c r="AB1371" s="4"/>
      <c r="AC1371" s="4"/>
    </row>
    <row r="1372" spans="2:29">
      <c r="B1372" s="180"/>
      <c r="E1372" s="4"/>
      <c r="F1372" s="4"/>
      <c r="G1372" s="4"/>
      <c r="J1372" s="4"/>
      <c r="K1372" s="4"/>
      <c r="L1372" s="4"/>
      <c r="O1372" s="4"/>
      <c r="P1372" s="4"/>
      <c r="T1372" s="4"/>
      <c r="U1372" s="4"/>
      <c r="Y1372" s="4"/>
      <c r="Z1372" s="4"/>
      <c r="AA1372" s="4"/>
      <c r="AB1372" s="4"/>
      <c r="AC1372" s="4"/>
    </row>
    <row r="1373" spans="2:29">
      <c r="B1373" s="180"/>
      <c r="E1373" s="4"/>
      <c r="F1373" s="4"/>
      <c r="G1373" s="4"/>
      <c r="J1373" s="4"/>
      <c r="K1373" s="4"/>
      <c r="L1373" s="4"/>
      <c r="O1373" s="4"/>
      <c r="P1373" s="4"/>
      <c r="T1373" s="4"/>
      <c r="U1373" s="4"/>
      <c r="Y1373" s="4"/>
      <c r="Z1373" s="4"/>
      <c r="AA1373" s="4"/>
      <c r="AB1373" s="4"/>
      <c r="AC1373" s="4"/>
    </row>
    <row r="1374" spans="2:29">
      <c r="B1374" s="180"/>
      <c r="E1374" s="4"/>
      <c r="F1374" s="4"/>
      <c r="G1374" s="4"/>
      <c r="J1374" s="4"/>
      <c r="K1374" s="4"/>
      <c r="L1374" s="4"/>
      <c r="O1374" s="4"/>
      <c r="P1374" s="4"/>
      <c r="T1374" s="4"/>
      <c r="U1374" s="4"/>
      <c r="Y1374" s="4"/>
      <c r="Z1374" s="4"/>
      <c r="AA1374" s="4"/>
      <c r="AB1374" s="4"/>
      <c r="AC1374" s="4"/>
    </row>
    <row r="1375" spans="2:29">
      <c r="B1375" s="180"/>
      <c r="E1375" s="4"/>
      <c r="F1375" s="4"/>
      <c r="G1375" s="4"/>
      <c r="J1375" s="4"/>
      <c r="K1375" s="4"/>
      <c r="L1375" s="4"/>
      <c r="O1375" s="4"/>
      <c r="P1375" s="4"/>
      <c r="T1375" s="4"/>
      <c r="U1375" s="4"/>
      <c r="Y1375" s="4"/>
      <c r="Z1375" s="4"/>
      <c r="AA1375" s="4"/>
      <c r="AB1375" s="4"/>
      <c r="AC1375" s="4"/>
    </row>
    <row r="1376" spans="2:29">
      <c r="B1376" s="180"/>
      <c r="E1376" s="4"/>
      <c r="F1376" s="4"/>
      <c r="G1376" s="4"/>
      <c r="J1376" s="4"/>
      <c r="K1376" s="4"/>
      <c r="L1376" s="4"/>
      <c r="O1376" s="4"/>
      <c r="P1376" s="4"/>
      <c r="T1376" s="4"/>
      <c r="U1376" s="4"/>
      <c r="Y1376" s="4"/>
      <c r="Z1376" s="4"/>
      <c r="AA1376" s="4"/>
      <c r="AB1376" s="4"/>
      <c r="AC1376" s="4"/>
    </row>
    <row r="1377" spans="2:29">
      <c r="B1377" s="180"/>
      <c r="E1377" s="4"/>
      <c r="F1377" s="4"/>
      <c r="G1377" s="4"/>
      <c r="J1377" s="4"/>
      <c r="K1377" s="4"/>
      <c r="L1377" s="4"/>
      <c r="O1377" s="4"/>
      <c r="P1377" s="4"/>
      <c r="T1377" s="4"/>
      <c r="U1377" s="4"/>
      <c r="Y1377" s="4"/>
      <c r="Z1377" s="4"/>
      <c r="AA1377" s="4"/>
      <c r="AB1377" s="4"/>
      <c r="AC1377" s="4"/>
    </row>
    <row r="1378" spans="2:29">
      <c r="B1378" s="180"/>
      <c r="E1378" s="4"/>
      <c r="F1378" s="4"/>
      <c r="G1378" s="4"/>
      <c r="J1378" s="4"/>
      <c r="K1378" s="4"/>
      <c r="L1378" s="4"/>
      <c r="O1378" s="4"/>
      <c r="P1378" s="4"/>
      <c r="T1378" s="4"/>
      <c r="U1378" s="4"/>
      <c r="Y1378" s="4"/>
      <c r="Z1378" s="4"/>
      <c r="AA1378" s="4"/>
      <c r="AB1378" s="4"/>
      <c r="AC1378" s="4"/>
    </row>
    <row r="1379" spans="2:29">
      <c r="B1379" s="180"/>
      <c r="E1379" s="4"/>
      <c r="F1379" s="4"/>
      <c r="G1379" s="4"/>
      <c r="J1379" s="4"/>
      <c r="K1379" s="4"/>
      <c r="L1379" s="4"/>
      <c r="O1379" s="4"/>
      <c r="P1379" s="4"/>
      <c r="T1379" s="4"/>
      <c r="U1379" s="4"/>
      <c r="Y1379" s="4"/>
      <c r="Z1379" s="4"/>
      <c r="AA1379" s="4"/>
      <c r="AB1379" s="4"/>
      <c r="AC1379" s="4"/>
    </row>
    <row r="1380" spans="2:29">
      <c r="B1380" s="180"/>
      <c r="E1380" s="4"/>
      <c r="F1380" s="4"/>
      <c r="G1380" s="4"/>
      <c r="J1380" s="4"/>
      <c r="K1380" s="4"/>
      <c r="L1380" s="4"/>
      <c r="O1380" s="4"/>
      <c r="P1380" s="4"/>
      <c r="T1380" s="4"/>
      <c r="U1380" s="4"/>
      <c r="Y1380" s="4"/>
      <c r="Z1380" s="4"/>
      <c r="AA1380" s="4"/>
      <c r="AB1380" s="4"/>
      <c r="AC1380" s="4"/>
    </row>
    <row r="1381" spans="2:29">
      <c r="B1381" s="180"/>
      <c r="E1381" s="4"/>
      <c r="F1381" s="4"/>
      <c r="G1381" s="4"/>
      <c r="J1381" s="4"/>
      <c r="K1381" s="4"/>
      <c r="L1381" s="4"/>
      <c r="O1381" s="4"/>
      <c r="P1381" s="4"/>
      <c r="T1381" s="4"/>
      <c r="U1381" s="4"/>
      <c r="Y1381" s="4"/>
      <c r="Z1381" s="4"/>
      <c r="AA1381" s="4"/>
      <c r="AB1381" s="4"/>
      <c r="AC1381" s="4"/>
    </row>
    <row r="1382" spans="2:29">
      <c r="B1382" s="180"/>
      <c r="E1382" s="4"/>
      <c r="F1382" s="4"/>
      <c r="G1382" s="4"/>
      <c r="J1382" s="4"/>
      <c r="K1382" s="4"/>
      <c r="L1382" s="4"/>
      <c r="O1382" s="4"/>
      <c r="P1382" s="4"/>
      <c r="T1382" s="4"/>
      <c r="U1382" s="4"/>
      <c r="Y1382" s="4"/>
      <c r="Z1382" s="4"/>
      <c r="AA1382" s="4"/>
      <c r="AB1382" s="4"/>
      <c r="AC1382" s="4"/>
    </row>
    <row r="1383" spans="2:29">
      <c r="B1383" s="180"/>
      <c r="E1383" s="4"/>
      <c r="F1383" s="4"/>
      <c r="G1383" s="4"/>
      <c r="J1383" s="4"/>
      <c r="K1383" s="4"/>
      <c r="L1383" s="4"/>
      <c r="O1383" s="4"/>
      <c r="P1383" s="4"/>
      <c r="T1383" s="4"/>
      <c r="U1383" s="4"/>
      <c r="Y1383" s="4"/>
      <c r="Z1383" s="4"/>
      <c r="AA1383" s="4"/>
      <c r="AB1383" s="4"/>
      <c r="AC1383" s="4"/>
    </row>
    <row r="1384" spans="2:29">
      <c r="B1384" s="180"/>
      <c r="E1384" s="4"/>
      <c r="F1384" s="4"/>
      <c r="G1384" s="4"/>
      <c r="J1384" s="4"/>
      <c r="K1384" s="4"/>
      <c r="L1384" s="4"/>
      <c r="O1384" s="4"/>
      <c r="P1384" s="4"/>
      <c r="T1384" s="4"/>
      <c r="U1384" s="4"/>
      <c r="Y1384" s="4"/>
      <c r="Z1384" s="4"/>
      <c r="AA1384" s="4"/>
      <c r="AB1384" s="4"/>
      <c r="AC1384" s="4"/>
    </row>
    <row r="1385" spans="2:29">
      <c r="B1385" s="180"/>
      <c r="E1385" s="4"/>
      <c r="F1385" s="4"/>
      <c r="G1385" s="4"/>
      <c r="J1385" s="4"/>
      <c r="K1385" s="4"/>
      <c r="L1385" s="4"/>
      <c r="O1385" s="4"/>
      <c r="P1385" s="4"/>
      <c r="T1385" s="4"/>
      <c r="U1385" s="4"/>
      <c r="Y1385" s="4"/>
      <c r="Z1385" s="4"/>
      <c r="AA1385" s="4"/>
      <c r="AB1385" s="4"/>
      <c r="AC1385" s="4"/>
    </row>
    <row r="1386" spans="2:29">
      <c r="B1386" s="180"/>
      <c r="E1386" s="4"/>
      <c r="F1386" s="4"/>
      <c r="G1386" s="4"/>
      <c r="J1386" s="4"/>
      <c r="K1386" s="4"/>
      <c r="L1386" s="4"/>
      <c r="O1386" s="4"/>
      <c r="P1386" s="4"/>
      <c r="T1386" s="4"/>
      <c r="U1386" s="4"/>
      <c r="Y1386" s="4"/>
      <c r="Z1386" s="4"/>
      <c r="AA1386" s="4"/>
      <c r="AB1386" s="4"/>
      <c r="AC1386" s="4"/>
    </row>
    <row r="1387" spans="2:29">
      <c r="B1387" s="180"/>
      <c r="E1387" s="4"/>
      <c r="F1387" s="4"/>
      <c r="G1387" s="4"/>
      <c r="J1387" s="4"/>
      <c r="K1387" s="4"/>
      <c r="L1387" s="4"/>
      <c r="O1387" s="4"/>
      <c r="P1387" s="4"/>
      <c r="T1387" s="4"/>
      <c r="U1387" s="4"/>
      <c r="Y1387" s="4"/>
      <c r="Z1387" s="4"/>
      <c r="AA1387" s="4"/>
      <c r="AB1387" s="4"/>
      <c r="AC1387" s="4"/>
    </row>
    <row r="1388" spans="2:29">
      <c r="B1388" s="180"/>
      <c r="E1388" s="4"/>
      <c r="F1388" s="4"/>
      <c r="G1388" s="4"/>
      <c r="J1388" s="4"/>
      <c r="K1388" s="4"/>
      <c r="L1388" s="4"/>
      <c r="O1388" s="4"/>
      <c r="P1388" s="4"/>
      <c r="T1388" s="4"/>
      <c r="U1388" s="4"/>
      <c r="Y1388" s="4"/>
      <c r="Z1388" s="4"/>
      <c r="AA1388" s="4"/>
      <c r="AB1388" s="4"/>
      <c r="AC1388" s="4"/>
    </row>
    <row r="1389" spans="2:29">
      <c r="B1389" s="180"/>
      <c r="E1389" s="4"/>
      <c r="F1389" s="4"/>
      <c r="G1389" s="4"/>
      <c r="J1389" s="4"/>
      <c r="K1389" s="4"/>
      <c r="L1389" s="4"/>
      <c r="O1389" s="4"/>
      <c r="P1389" s="4"/>
      <c r="T1389" s="4"/>
      <c r="U1389" s="4"/>
      <c r="Y1389" s="4"/>
      <c r="Z1389" s="4"/>
      <c r="AA1389" s="4"/>
      <c r="AB1389" s="4"/>
      <c r="AC1389" s="4"/>
    </row>
    <row r="1390" spans="2:29">
      <c r="B1390" s="180"/>
      <c r="E1390" s="4"/>
      <c r="F1390" s="4"/>
      <c r="G1390" s="4"/>
      <c r="J1390" s="4"/>
      <c r="K1390" s="4"/>
      <c r="L1390" s="4"/>
      <c r="O1390" s="4"/>
      <c r="P1390" s="4"/>
      <c r="T1390" s="4"/>
      <c r="U1390" s="4"/>
      <c r="Y1390" s="4"/>
      <c r="Z1390" s="4"/>
      <c r="AA1390" s="4"/>
      <c r="AB1390" s="4"/>
      <c r="AC1390" s="4"/>
    </row>
    <row r="1391" spans="2:29">
      <c r="B1391" s="180"/>
      <c r="E1391" s="4"/>
      <c r="F1391" s="4"/>
      <c r="G1391" s="4"/>
      <c r="J1391" s="4"/>
      <c r="K1391" s="4"/>
      <c r="L1391" s="4"/>
      <c r="O1391" s="4"/>
      <c r="P1391" s="4"/>
      <c r="T1391" s="4"/>
      <c r="U1391" s="4"/>
      <c r="Y1391" s="4"/>
      <c r="Z1391" s="4"/>
      <c r="AA1391" s="4"/>
      <c r="AB1391" s="4"/>
      <c r="AC1391" s="4"/>
    </row>
    <row r="1392" spans="2:29">
      <c r="B1392" s="180"/>
      <c r="E1392" s="4"/>
      <c r="F1392" s="4"/>
      <c r="G1392" s="4"/>
      <c r="J1392" s="4"/>
      <c r="K1392" s="4"/>
      <c r="L1392" s="4"/>
      <c r="O1392" s="4"/>
      <c r="P1392" s="4"/>
      <c r="T1392" s="4"/>
      <c r="U1392" s="4"/>
      <c r="Y1392" s="4"/>
      <c r="Z1392" s="4"/>
      <c r="AA1392" s="4"/>
      <c r="AB1392" s="4"/>
      <c r="AC1392" s="4"/>
    </row>
    <row r="1393" spans="2:29">
      <c r="B1393" s="180"/>
      <c r="E1393" s="4"/>
      <c r="F1393" s="4"/>
      <c r="G1393" s="4"/>
      <c r="J1393" s="4"/>
      <c r="K1393" s="4"/>
      <c r="L1393" s="4"/>
      <c r="O1393" s="4"/>
      <c r="P1393" s="4"/>
      <c r="T1393" s="4"/>
      <c r="U1393" s="4"/>
      <c r="Y1393" s="4"/>
      <c r="Z1393" s="4"/>
      <c r="AA1393" s="4"/>
      <c r="AB1393" s="4"/>
      <c r="AC1393" s="4"/>
    </row>
    <row r="1394" spans="2:29">
      <c r="B1394" s="180"/>
      <c r="E1394" s="4"/>
      <c r="F1394" s="4"/>
      <c r="G1394" s="4"/>
      <c r="J1394" s="4"/>
      <c r="K1394" s="4"/>
      <c r="L1394" s="4"/>
      <c r="O1394" s="4"/>
      <c r="P1394" s="4"/>
      <c r="T1394" s="4"/>
      <c r="U1394" s="4"/>
      <c r="Y1394" s="4"/>
      <c r="Z1394" s="4"/>
      <c r="AA1394" s="4"/>
      <c r="AB1394" s="4"/>
      <c r="AC1394" s="4"/>
    </row>
    <row r="1395" spans="2:29">
      <c r="B1395" s="180"/>
      <c r="E1395" s="4"/>
      <c r="F1395" s="4"/>
      <c r="G1395" s="4"/>
      <c r="J1395" s="4"/>
      <c r="K1395" s="4"/>
      <c r="L1395" s="4"/>
      <c r="O1395" s="4"/>
      <c r="P1395" s="4"/>
      <c r="T1395" s="4"/>
      <c r="U1395" s="4"/>
      <c r="Y1395" s="4"/>
      <c r="Z1395" s="4"/>
      <c r="AA1395" s="4"/>
      <c r="AB1395" s="4"/>
      <c r="AC1395" s="4"/>
    </row>
    <row r="1396" spans="2:29">
      <c r="B1396" s="180"/>
      <c r="E1396" s="4"/>
      <c r="F1396" s="4"/>
      <c r="G1396" s="4"/>
      <c r="J1396" s="4"/>
      <c r="K1396" s="4"/>
      <c r="L1396" s="4"/>
      <c r="O1396" s="4"/>
      <c r="P1396" s="4"/>
      <c r="T1396" s="4"/>
      <c r="U1396" s="4"/>
      <c r="Y1396" s="4"/>
      <c r="Z1396" s="4"/>
      <c r="AA1396" s="4"/>
      <c r="AB1396" s="4"/>
      <c r="AC1396" s="4"/>
    </row>
    <row r="1397" spans="2:29">
      <c r="B1397" s="180"/>
      <c r="E1397" s="4"/>
      <c r="F1397" s="4"/>
      <c r="G1397" s="4"/>
      <c r="J1397" s="4"/>
      <c r="K1397" s="4"/>
      <c r="L1397" s="4"/>
      <c r="O1397" s="4"/>
      <c r="P1397" s="4"/>
      <c r="T1397" s="4"/>
      <c r="U1397" s="4"/>
      <c r="Y1397" s="4"/>
      <c r="Z1397" s="4"/>
      <c r="AA1397" s="4"/>
      <c r="AB1397" s="4"/>
      <c r="AC1397" s="4"/>
    </row>
    <row r="1398" spans="2:29">
      <c r="B1398" s="180"/>
      <c r="E1398" s="4"/>
      <c r="F1398" s="4"/>
      <c r="G1398" s="4"/>
      <c r="J1398" s="4"/>
      <c r="K1398" s="4"/>
      <c r="L1398" s="4"/>
      <c r="O1398" s="4"/>
      <c r="P1398" s="4"/>
      <c r="T1398" s="4"/>
      <c r="U1398" s="4"/>
      <c r="Y1398" s="4"/>
      <c r="Z1398" s="4"/>
      <c r="AA1398" s="4"/>
      <c r="AB1398" s="4"/>
      <c r="AC1398" s="4"/>
    </row>
    <row r="1399" spans="2:29">
      <c r="B1399" s="180"/>
      <c r="E1399" s="4"/>
      <c r="F1399" s="4"/>
      <c r="G1399" s="4"/>
      <c r="J1399" s="4"/>
      <c r="K1399" s="4"/>
      <c r="L1399" s="4"/>
      <c r="O1399" s="4"/>
      <c r="P1399" s="4"/>
      <c r="T1399" s="4"/>
      <c r="U1399" s="4"/>
      <c r="Y1399" s="4"/>
      <c r="Z1399" s="4"/>
      <c r="AA1399" s="4"/>
      <c r="AB1399" s="4"/>
      <c r="AC1399" s="4"/>
    </row>
    <row r="1400" spans="2:29">
      <c r="B1400" s="180"/>
      <c r="E1400" s="4"/>
      <c r="F1400" s="4"/>
      <c r="G1400" s="4"/>
      <c r="J1400" s="4"/>
      <c r="K1400" s="4"/>
      <c r="L1400" s="4"/>
      <c r="O1400" s="4"/>
      <c r="P1400" s="4"/>
      <c r="T1400" s="4"/>
      <c r="U1400" s="4"/>
      <c r="Y1400" s="4"/>
      <c r="Z1400" s="4"/>
      <c r="AA1400" s="4"/>
      <c r="AB1400" s="4"/>
      <c r="AC1400" s="4"/>
    </row>
    <row r="1401" spans="2:29">
      <c r="B1401" s="180"/>
      <c r="E1401" s="4"/>
      <c r="F1401" s="4"/>
      <c r="G1401" s="4"/>
      <c r="J1401" s="4"/>
      <c r="K1401" s="4"/>
      <c r="L1401" s="4"/>
      <c r="O1401" s="4"/>
      <c r="P1401" s="4"/>
      <c r="T1401" s="4"/>
      <c r="U1401" s="4"/>
      <c r="Y1401" s="4"/>
      <c r="Z1401" s="4"/>
      <c r="AA1401" s="4"/>
      <c r="AB1401" s="4"/>
      <c r="AC1401" s="4"/>
    </row>
    <row r="1402" spans="2:29">
      <c r="B1402" s="180"/>
      <c r="E1402" s="4"/>
      <c r="F1402" s="4"/>
      <c r="G1402" s="4"/>
      <c r="J1402" s="4"/>
      <c r="K1402" s="4"/>
      <c r="L1402" s="4"/>
      <c r="O1402" s="4"/>
      <c r="P1402" s="4"/>
      <c r="T1402" s="4"/>
      <c r="U1402" s="4"/>
      <c r="Y1402" s="4"/>
      <c r="Z1402" s="4"/>
      <c r="AA1402" s="4"/>
      <c r="AB1402" s="4"/>
      <c r="AC1402" s="4"/>
    </row>
    <row r="1403" spans="2:29">
      <c r="B1403" s="180"/>
      <c r="E1403" s="4"/>
      <c r="F1403" s="4"/>
      <c r="G1403" s="4"/>
      <c r="J1403" s="4"/>
      <c r="K1403" s="4"/>
      <c r="L1403" s="4"/>
      <c r="O1403" s="4"/>
      <c r="P1403" s="4"/>
      <c r="T1403" s="4"/>
      <c r="U1403" s="4"/>
      <c r="Y1403" s="4"/>
      <c r="Z1403" s="4"/>
      <c r="AA1403" s="4"/>
      <c r="AB1403" s="4"/>
      <c r="AC1403" s="4"/>
    </row>
    <row r="1404" spans="2:29">
      <c r="B1404" s="180"/>
      <c r="E1404" s="4"/>
      <c r="F1404" s="4"/>
      <c r="G1404" s="4"/>
      <c r="J1404" s="4"/>
      <c r="K1404" s="4"/>
      <c r="L1404" s="4"/>
      <c r="O1404" s="4"/>
      <c r="P1404" s="4"/>
      <c r="T1404" s="4"/>
      <c r="U1404" s="4"/>
      <c r="Y1404" s="4"/>
      <c r="Z1404" s="4"/>
      <c r="AA1404" s="4"/>
      <c r="AB1404" s="4"/>
      <c r="AC1404" s="4"/>
    </row>
    <row r="1405" spans="2:29">
      <c r="B1405" s="180"/>
      <c r="E1405" s="4"/>
      <c r="F1405" s="4"/>
      <c r="G1405" s="4"/>
      <c r="J1405" s="4"/>
      <c r="K1405" s="4"/>
      <c r="L1405" s="4"/>
      <c r="O1405" s="4"/>
      <c r="P1405" s="4"/>
      <c r="T1405" s="4"/>
      <c r="U1405" s="4"/>
      <c r="Y1405" s="4"/>
      <c r="Z1405" s="4"/>
      <c r="AA1405" s="4"/>
      <c r="AB1405" s="4"/>
      <c r="AC1405" s="4"/>
    </row>
    <row r="1406" spans="2:29">
      <c r="B1406" s="180"/>
      <c r="E1406" s="4"/>
      <c r="F1406" s="4"/>
      <c r="G1406" s="4"/>
      <c r="J1406" s="4"/>
      <c r="K1406" s="4"/>
      <c r="L1406" s="4"/>
      <c r="O1406" s="4"/>
      <c r="P1406" s="4"/>
      <c r="T1406" s="4"/>
      <c r="U1406" s="4"/>
      <c r="Y1406" s="4"/>
      <c r="Z1406" s="4"/>
      <c r="AA1406" s="4"/>
      <c r="AB1406" s="4"/>
      <c r="AC1406" s="4"/>
    </row>
    <row r="1407" spans="2:29">
      <c r="B1407" s="180"/>
      <c r="E1407" s="4"/>
      <c r="F1407" s="4"/>
      <c r="G1407" s="4"/>
      <c r="J1407" s="4"/>
      <c r="K1407" s="4"/>
      <c r="L1407" s="4"/>
      <c r="O1407" s="4"/>
      <c r="P1407" s="4"/>
      <c r="T1407" s="4"/>
      <c r="U1407" s="4"/>
      <c r="Y1407" s="4"/>
      <c r="Z1407" s="4"/>
      <c r="AA1407" s="4"/>
      <c r="AB1407" s="4"/>
      <c r="AC1407" s="4"/>
    </row>
    <row r="1408" spans="2:29">
      <c r="B1408" s="180"/>
      <c r="E1408" s="4"/>
      <c r="F1408" s="4"/>
      <c r="G1408" s="4"/>
      <c r="J1408" s="4"/>
      <c r="K1408" s="4"/>
      <c r="L1408" s="4"/>
      <c r="O1408" s="4"/>
      <c r="P1408" s="4"/>
      <c r="T1408" s="4"/>
      <c r="U1408" s="4"/>
      <c r="Y1408" s="4"/>
      <c r="Z1408" s="4"/>
      <c r="AA1408" s="4"/>
      <c r="AB1408" s="4"/>
      <c r="AC1408" s="4"/>
    </row>
    <row r="1409" spans="2:29">
      <c r="B1409" s="180"/>
      <c r="E1409" s="4"/>
      <c r="F1409" s="4"/>
      <c r="G1409" s="4"/>
      <c r="J1409" s="4"/>
      <c r="K1409" s="4"/>
      <c r="L1409" s="4"/>
      <c r="O1409" s="4"/>
      <c r="P1409" s="4"/>
      <c r="T1409" s="4"/>
      <c r="U1409" s="4"/>
      <c r="Y1409" s="4"/>
      <c r="Z1409" s="4"/>
      <c r="AA1409" s="4"/>
      <c r="AB1409" s="4"/>
      <c r="AC1409" s="4"/>
    </row>
    <row r="1410" spans="2:29">
      <c r="B1410" s="180"/>
      <c r="E1410" s="4"/>
      <c r="F1410" s="4"/>
      <c r="G1410" s="4"/>
      <c r="J1410" s="4"/>
      <c r="K1410" s="4"/>
      <c r="L1410" s="4"/>
      <c r="O1410" s="4"/>
      <c r="P1410" s="4"/>
      <c r="T1410" s="4"/>
      <c r="U1410" s="4"/>
      <c r="Y1410" s="4"/>
      <c r="Z1410" s="4"/>
      <c r="AA1410" s="4"/>
      <c r="AB1410" s="4"/>
      <c r="AC1410" s="4"/>
    </row>
    <row r="1411" spans="2:29">
      <c r="B1411" s="180"/>
      <c r="E1411" s="4"/>
      <c r="F1411" s="4"/>
      <c r="G1411" s="4"/>
      <c r="J1411" s="4"/>
      <c r="K1411" s="4"/>
      <c r="L1411" s="4"/>
      <c r="O1411" s="4"/>
      <c r="P1411" s="4"/>
      <c r="T1411" s="4"/>
      <c r="U1411" s="4"/>
      <c r="Y1411" s="4"/>
      <c r="Z1411" s="4"/>
      <c r="AA1411" s="4"/>
      <c r="AB1411" s="4"/>
      <c r="AC1411" s="4"/>
    </row>
    <row r="1412" spans="2:29">
      <c r="B1412" s="180"/>
      <c r="E1412" s="4"/>
      <c r="F1412" s="4"/>
      <c r="G1412" s="4"/>
      <c r="J1412" s="4"/>
      <c r="K1412" s="4"/>
      <c r="L1412" s="4"/>
      <c r="O1412" s="4"/>
      <c r="P1412" s="4"/>
      <c r="T1412" s="4"/>
      <c r="U1412" s="4"/>
      <c r="Y1412" s="4"/>
      <c r="Z1412" s="4"/>
      <c r="AA1412" s="4"/>
      <c r="AB1412" s="4"/>
      <c r="AC1412" s="4"/>
    </row>
    <row r="1413" spans="2:29">
      <c r="B1413" s="180"/>
      <c r="E1413" s="4"/>
      <c r="F1413" s="4"/>
      <c r="G1413" s="4"/>
      <c r="J1413" s="4"/>
      <c r="K1413" s="4"/>
      <c r="L1413" s="4"/>
      <c r="O1413" s="4"/>
      <c r="P1413" s="4"/>
      <c r="T1413" s="4"/>
      <c r="U1413" s="4"/>
      <c r="Y1413" s="4"/>
      <c r="Z1413" s="4"/>
      <c r="AA1413" s="4"/>
      <c r="AB1413" s="4"/>
      <c r="AC1413" s="4"/>
    </row>
    <row r="1414" spans="2:29">
      <c r="B1414" s="180"/>
      <c r="E1414" s="4"/>
      <c r="F1414" s="4"/>
      <c r="G1414" s="4"/>
      <c r="J1414" s="4"/>
      <c r="K1414" s="4"/>
      <c r="L1414" s="4"/>
      <c r="O1414" s="4"/>
      <c r="P1414" s="4"/>
      <c r="T1414" s="4"/>
      <c r="U1414" s="4"/>
      <c r="Y1414" s="4"/>
      <c r="Z1414" s="4"/>
      <c r="AA1414" s="4"/>
      <c r="AB1414" s="4"/>
      <c r="AC1414" s="4"/>
    </row>
    <row r="1415" spans="2:29">
      <c r="B1415" s="180"/>
      <c r="E1415" s="4"/>
      <c r="F1415" s="4"/>
      <c r="G1415" s="4"/>
      <c r="J1415" s="4"/>
      <c r="K1415" s="4"/>
      <c r="L1415" s="4"/>
      <c r="O1415" s="4"/>
      <c r="P1415" s="4"/>
      <c r="T1415" s="4"/>
      <c r="U1415" s="4"/>
      <c r="Y1415" s="4"/>
      <c r="Z1415" s="4"/>
      <c r="AA1415" s="4"/>
      <c r="AB1415" s="4"/>
      <c r="AC1415" s="4"/>
    </row>
    <row r="1416" spans="2:29">
      <c r="B1416" s="180"/>
      <c r="E1416" s="4"/>
      <c r="F1416" s="4"/>
      <c r="G1416" s="4"/>
      <c r="J1416" s="4"/>
      <c r="K1416" s="4"/>
      <c r="L1416" s="4"/>
      <c r="O1416" s="4"/>
      <c r="P1416" s="4"/>
      <c r="T1416" s="4"/>
      <c r="U1416" s="4"/>
      <c r="Y1416" s="4"/>
      <c r="Z1416" s="4"/>
      <c r="AA1416" s="4"/>
      <c r="AB1416" s="4"/>
      <c r="AC1416" s="4"/>
    </row>
    <row r="1417" spans="2:29">
      <c r="B1417" s="180"/>
      <c r="E1417" s="4"/>
      <c r="F1417" s="4"/>
      <c r="G1417" s="4"/>
      <c r="J1417" s="4"/>
      <c r="K1417" s="4"/>
      <c r="L1417" s="4"/>
      <c r="O1417" s="4"/>
      <c r="P1417" s="4"/>
      <c r="T1417" s="4"/>
      <c r="U1417" s="4"/>
      <c r="Y1417" s="4"/>
      <c r="Z1417" s="4"/>
      <c r="AA1417" s="4"/>
      <c r="AB1417" s="4"/>
      <c r="AC1417" s="4"/>
    </row>
    <row r="1418" spans="2:29">
      <c r="B1418" s="180"/>
      <c r="E1418" s="4"/>
      <c r="F1418" s="4"/>
      <c r="G1418" s="4"/>
      <c r="J1418" s="4"/>
      <c r="K1418" s="4"/>
      <c r="L1418" s="4"/>
      <c r="O1418" s="4"/>
      <c r="P1418" s="4"/>
      <c r="T1418" s="4"/>
      <c r="U1418" s="4"/>
      <c r="Y1418" s="4"/>
      <c r="Z1418" s="4"/>
      <c r="AA1418" s="4"/>
      <c r="AB1418" s="4"/>
      <c r="AC1418" s="4"/>
    </row>
    <row r="1419" spans="2:29">
      <c r="B1419" s="180"/>
      <c r="E1419" s="4"/>
      <c r="F1419" s="4"/>
      <c r="G1419" s="4"/>
      <c r="J1419" s="4"/>
      <c r="K1419" s="4"/>
      <c r="L1419" s="4"/>
      <c r="O1419" s="4"/>
      <c r="P1419" s="4"/>
      <c r="T1419" s="4"/>
      <c r="U1419" s="4"/>
      <c r="Y1419" s="4"/>
      <c r="Z1419" s="4"/>
      <c r="AA1419" s="4"/>
      <c r="AB1419" s="4"/>
      <c r="AC1419" s="4"/>
    </row>
    <row r="1420" spans="2:29">
      <c r="B1420" s="180"/>
      <c r="E1420" s="4"/>
      <c r="F1420" s="4"/>
      <c r="G1420" s="4"/>
      <c r="J1420" s="4"/>
      <c r="K1420" s="4"/>
      <c r="L1420" s="4"/>
      <c r="O1420" s="4"/>
      <c r="P1420" s="4"/>
      <c r="T1420" s="4"/>
      <c r="U1420" s="4"/>
      <c r="Y1420" s="4"/>
      <c r="Z1420" s="4"/>
      <c r="AA1420" s="4"/>
      <c r="AB1420" s="4"/>
      <c r="AC1420" s="4"/>
    </row>
    <row r="1421" spans="2:29">
      <c r="B1421" s="180"/>
      <c r="E1421" s="4"/>
      <c r="F1421" s="4"/>
      <c r="G1421" s="4"/>
      <c r="J1421" s="4"/>
      <c r="K1421" s="4"/>
      <c r="L1421" s="4"/>
      <c r="O1421" s="4"/>
      <c r="P1421" s="4"/>
      <c r="T1421" s="4"/>
      <c r="U1421" s="4"/>
      <c r="Y1421" s="4"/>
      <c r="Z1421" s="4"/>
      <c r="AA1421" s="4"/>
      <c r="AB1421" s="4"/>
      <c r="AC1421" s="4"/>
    </row>
    <row r="1422" spans="2:29">
      <c r="B1422" s="180"/>
      <c r="E1422" s="4"/>
      <c r="F1422" s="4"/>
      <c r="G1422" s="4"/>
      <c r="J1422" s="4"/>
      <c r="K1422" s="4"/>
      <c r="L1422" s="4"/>
      <c r="O1422" s="4"/>
      <c r="P1422" s="4"/>
      <c r="T1422" s="4"/>
      <c r="U1422" s="4"/>
      <c r="Y1422" s="4"/>
      <c r="Z1422" s="4"/>
      <c r="AA1422" s="4"/>
      <c r="AB1422" s="4"/>
      <c r="AC1422" s="4"/>
    </row>
    <row r="1423" spans="2:29">
      <c r="B1423" s="180"/>
      <c r="E1423" s="4"/>
      <c r="F1423" s="4"/>
      <c r="G1423" s="4"/>
      <c r="J1423" s="4"/>
      <c r="K1423" s="4"/>
      <c r="L1423" s="4"/>
      <c r="O1423" s="4"/>
      <c r="P1423" s="4"/>
      <c r="T1423" s="4"/>
      <c r="U1423" s="4"/>
      <c r="Y1423" s="4"/>
      <c r="Z1423" s="4"/>
      <c r="AA1423" s="4"/>
      <c r="AB1423" s="4"/>
      <c r="AC1423" s="4"/>
    </row>
    <row r="1424" spans="2:29">
      <c r="B1424" s="180"/>
      <c r="E1424" s="4"/>
      <c r="F1424" s="4"/>
      <c r="G1424" s="4"/>
      <c r="J1424" s="4"/>
      <c r="K1424" s="4"/>
      <c r="L1424" s="4"/>
      <c r="O1424" s="4"/>
      <c r="P1424" s="4"/>
      <c r="T1424" s="4"/>
      <c r="U1424" s="4"/>
      <c r="Y1424" s="4"/>
      <c r="Z1424" s="4"/>
      <c r="AA1424" s="4"/>
      <c r="AB1424" s="4"/>
      <c r="AC1424" s="4"/>
    </row>
    <row r="1425" spans="2:29">
      <c r="B1425" s="180"/>
      <c r="E1425" s="4"/>
      <c r="F1425" s="4"/>
      <c r="G1425" s="4"/>
      <c r="J1425" s="4"/>
      <c r="K1425" s="4"/>
      <c r="L1425" s="4"/>
      <c r="O1425" s="4"/>
      <c r="P1425" s="4"/>
      <c r="T1425" s="4"/>
      <c r="U1425" s="4"/>
      <c r="Y1425" s="4"/>
      <c r="Z1425" s="4"/>
      <c r="AA1425" s="4"/>
      <c r="AB1425" s="4"/>
      <c r="AC1425" s="4"/>
    </row>
    <row r="1426" spans="2:29">
      <c r="B1426" s="180"/>
      <c r="E1426" s="4"/>
      <c r="F1426" s="4"/>
      <c r="G1426" s="4"/>
      <c r="J1426" s="4"/>
      <c r="K1426" s="4"/>
      <c r="L1426" s="4"/>
      <c r="O1426" s="4"/>
      <c r="P1426" s="4"/>
      <c r="T1426" s="4"/>
      <c r="U1426" s="4"/>
      <c r="Y1426" s="4"/>
      <c r="Z1426" s="4"/>
      <c r="AA1426" s="4"/>
      <c r="AB1426" s="4"/>
      <c r="AC1426" s="4"/>
    </row>
    <row r="1427" spans="2:29">
      <c r="B1427" s="180"/>
      <c r="E1427" s="4"/>
      <c r="F1427" s="4"/>
      <c r="G1427" s="4"/>
      <c r="J1427" s="4"/>
      <c r="K1427" s="4"/>
      <c r="L1427" s="4"/>
      <c r="O1427" s="4"/>
      <c r="P1427" s="4"/>
      <c r="T1427" s="4"/>
      <c r="U1427" s="4"/>
      <c r="Y1427" s="4"/>
      <c r="Z1427" s="4"/>
      <c r="AA1427" s="4"/>
      <c r="AB1427" s="4"/>
      <c r="AC1427" s="4"/>
    </row>
    <row r="1428" spans="2:29">
      <c r="B1428" s="180"/>
      <c r="E1428" s="4"/>
      <c r="F1428" s="4"/>
      <c r="G1428" s="4"/>
      <c r="J1428" s="4"/>
      <c r="K1428" s="4"/>
      <c r="L1428" s="4"/>
      <c r="O1428" s="4"/>
      <c r="P1428" s="4"/>
      <c r="T1428" s="4"/>
      <c r="U1428" s="4"/>
      <c r="Y1428" s="4"/>
      <c r="Z1428" s="4"/>
      <c r="AA1428" s="4"/>
      <c r="AB1428" s="4"/>
      <c r="AC1428" s="4"/>
    </row>
    <row r="1429" spans="2:29">
      <c r="B1429" s="180"/>
      <c r="E1429" s="4"/>
      <c r="F1429" s="4"/>
      <c r="G1429" s="4"/>
      <c r="J1429" s="4"/>
      <c r="K1429" s="4"/>
      <c r="L1429" s="4"/>
      <c r="O1429" s="4"/>
      <c r="P1429" s="4"/>
      <c r="T1429" s="4"/>
      <c r="U1429" s="4"/>
      <c r="Y1429" s="4"/>
      <c r="Z1429" s="4"/>
      <c r="AA1429" s="4"/>
      <c r="AB1429" s="4"/>
      <c r="AC1429" s="4"/>
    </row>
    <row r="1430" spans="2:29">
      <c r="B1430" s="180"/>
      <c r="E1430" s="4"/>
      <c r="F1430" s="4"/>
      <c r="G1430" s="4"/>
      <c r="J1430" s="4"/>
      <c r="K1430" s="4"/>
      <c r="L1430" s="4"/>
      <c r="O1430" s="4"/>
      <c r="P1430" s="4"/>
      <c r="T1430" s="4"/>
      <c r="U1430" s="4"/>
      <c r="Y1430" s="4"/>
      <c r="Z1430" s="4"/>
      <c r="AA1430" s="4"/>
      <c r="AB1430" s="4"/>
      <c r="AC1430" s="4"/>
    </row>
    <row r="1431" spans="2:29">
      <c r="B1431" s="180"/>
      <c r="E1431" s="4"/>
      <c r="F1431" s="4"/>
      <c r="G1431" s="4"/>
      <c r="J1431" s="4"/>
      <c r="K1431" s="4"/>
      <c r="L1431" s="4"/>
      <c r="O1431" s="4"/>
      <c r="P1431" s="4"/>
      <c r="T1431" s="4"/>
      <c r="U1431" s="4"/>
      <c r="Y1431" s="4"/>
      <c r="Z1431" s="4"/>
      <c r="AA1431" s="4"/>
      <c r="AB1431" s="4"/>
      <c r="AC1431" s="4"/>
    </row>
    <row r="1432" spans="2:29">
      <c r="B1432" s="180"/>
      <c r="E1432" s="4"/>
      <c r="F1432" s="4"/>
      <c r="G1432" s="4"/>
      <c r="J1432" s="4"/>
      <c r="K1432" s="4"/>
      <c r="L1432" s="4"/>
      <c r="O1432" s="4"/>
      <c r="P1432" s="4"/>
      <c r="T1432" s="4"/>
      <c r="U1432" s="4"/>
      <c r="Y1432" s="4"/>
      <c r="Z1432" s="4"/>
      <c r="AA1432" s="4"/>
      <c r="AB1432" s="4"/>
      <c r="AC1432" s="4"/>
    </row>
    <row r="1433" spans="2:29">
      <c r="B1433" s="180"/>
      <c r="E1433" s="4"/>
      <c r="F1433" s="4"/>
      <c r="G1433" s="4"/>
      <c r="J1433" s="4"/>
      <c r="K1433" s="4"/>
      <c r="L1433" s="4"/>
      <c r="O1433" s="4"/>
      <c r="P1433" s="4"/>
      <c r="T1433" s="4"/>
      <c r="U1433" s="4"/>
      <c r="Y1433" s="4"/>
      <c r="Z1433" s="4"/>
      <c r="AA1433" s="4"/>
      <c r="AB1433" s="4"/>
      <c r="AC1433" s="4"/>
    </row>
    <row r="1434" spans="2:29">
      <c r="B1434" s="180"/>
      <c r="E1434" s="4"/>
      <c r="F1434" s="4"/>
      <c r="G1434" s="4"/>
      <c r="J1434" s="4"/>
      <c r="K1434" s="4"/>
      <c r="L1434" s="4"/>
      <c r="O1434" s="4"/>
      <c r="P1434" s="4"/>
      <c r="T1434" s="4"/>
      <c r="U1434" s="4"/>
      <c r="Y1434" s="4"/>
      <c r="Z1434" s="4"/>
      <c r="AA1434" s="4"/>
      <c r="AB1434" s="4"/>
      <c r="AC1434" s="4"/>
    </row>
    <row r="1435" spans="2:29">
      <c r="B1435" s="180"/>
      <c r="E1435" s="4"/>
      <c r="F1435" s="4"/>
      <c r="G1435" s="4"/>
      <c r="J1435" s="4"/>
      <c r="K1435" s="4"/>
      <c r="L1435" s="4"/>
      <c r="O1435" s="4"/>
      <c r="P1435" s="4"/>
      <c r="T1435" s="4"/>
      <c r="U1435" s="4"/>
      <c r="Y1435" s="4"/>
      <c r="Z1435" s="4"/>
      <c r="AA1435" s="4"/>
      <c r="AB1435" s="4"/>
      <c r="AC1435" s="4"/>
    </row>
    <row r="1436" spans="2:29">
      <c r="B1436" s="180"/>
      <c r="E1436" s="4"/>
      <c r="F1436" s="4"/>
      <c r="G1436" s="4"/>
      <c r="J1436" s="4"/>
      <c r="K1436" s="4"/>
      <c r="L1436" s="4"/>
      <c r="O1436" s="4"/>
      <c r="P1436" s="4"/>
      <c r="T1436" s="4"/>
      <c r="U1436" s="4"/>
      <c r="Y1436" s="4"/>
      <c r="Z1436" s="4"/>
      <c r="AA1436" s="4"/>
      <c r="AB1436" s="4"/>
      <c r="AC1436" s="4"/>
    </row>
    <row r="1437" spans="2:29">
      <c r="B1437" s="180"/>
      <c r="E1437" s="4"/>
      <c r="F1437" s="4"/>
      <c r="G1437" s="4"/>
      <c r="J1437" s="4"/>
      <c r="K1437" s="4"/>
      <c r="L1437" s="4"/>
      <c r="O1437" s="4"/>
      <c r="P1437" s="4"/>
      <c r="T1437" s="4"/>
      <c r="U1437" s="4"/>
      <c r="Y1437" s="4"/>
      <c r="Z1437" s="4"/>
      <c r="AA1437" s="4"/>
      <c r="AB1437" s="4"/>
      <c r="AC1437" s="4"/>
    </row>
    <row r="1438" spans="2:29">
      <c r="B1438" s="180"/>
      <c r="E1438" s="4"/>
      <c r="F1438" s="4"/>
      <c r="G1438" s="4"/>
      <c r="J1438" s="4"/>
      <c r="K1438" s="4"/>
      <c r="L1438" s="4"/>
      <c r="O1438" s="4"/>
      <c r="P1438" s="4"/>
      <c r="T1438" s="4"/>
      <c r="U1438" s="4"/>
      <c r="Y1438" s="4"/>
      <c r="Z1438" s="4"/>
      <c r="AA1438" s="4"/>
      <c r="AB1438" s="4"/>
      <c r="AC1438" s="4"/>
    </row>
    <row r="1439" spans="2:29">
      <c r="B1439" s="180"/>
      <c r="E1439" s="4"/>
      <c r="F1439" s="4"/>
      <c r="G1439" s="4"/>
      <c r="J1439" s="4"/>
      <c r="K1439" s="4"/>
      <c r="L1439" s="4"/>
      <c r="O1439" s="4"/>
      <c r="P1439" s="4"/>
      <c r="T1439" s="4"/>
      <c r="U1439" s="4"/>
      <c r="Y1439" s="4"/>
      <c r="Z1439" s="4"/>
      <c r="AA1439" s="4"/>
      <c r="AB1439" s="4"/>
      <c r="AC1439" s="4"/>
    </row>
    <row r="1440" spans="2:29">
      <c r="B1440" s="180"/>
      <c r="E1440" s="4"/>
      <c r="F1440" s="4"/>
      <c r="G1440" s="4"/>
      <c r="J1440" s="4"/>
      <c r="K1440" s="4"/>
      <c r="L1440" s="4"/>
      <c r="O1440" s="4"/>
      <c r="P1440" s="4"/>
      <c r="T1440" s="4"/>
      <c r="U1440" s="4"/>
      <c r="Y1440" s="4"/>
      <c r="Z1440" s="4"/>
      <c r="AA1440" s="4"/>
      <c r="AB1440" s="4"/>
      <c r="AC1440" s="4"/>
    </row>
    <row r="1441" spans="2:29">
      <c r="B1441" s="180"/>
      <c r="E1441" s="4"/>
      <c r="F1441" s="4"/>
      <c r="G1441" s="4"/>
      <c r="J1441" s="4"/>
      <c r="K1441" s="4"/>
      <c r="L1441" s="4"/>
      <c r="O1441" s="4"/>
      <c r="P1441" s="4"/>
      <c r="T1441" s="4"/>
      <c r="U1441" s="4"/>
      <c r="Y1441" s="4"/>
      <c r="Z1441" s="4"/>
      <c r="AA1441" s="4"/>
      <c r="AB1441" s="4"/>
      <c r="AC1441" s="4"/>
    </row>
    <row r="1442" spans="2:29">
      <c r="B1442" s="180"/>
      <c r="E1442" s="4"/>
      <c r="F1442" s="4"/>
      <c r="G1442" s="4"/>
      <c r="J1442" s="4"/>
      <c r="K1442" s="4"/>
      <c r="L1442" s="4"/>
      <c r="O1442" s="4"/>
      <c r="P1442" s="4"/>
      <c r="T1442" s="4"/>
      <c r="U1442" s="4"/>
      <c r="Y1442" s="4"/>
      <c r="Z1442" s="4"/>
      <c r="AA1442" s="4"/>
      <c r="AB1442" s="4"/>
      <c r="AC1442" s="4"/>
    </row>
    <row r="1443" spans="2:29">
      <c r="B1443" s="180"/>
      <c r="E1443" s="4"/>
      <c r="F1443" s="4"/>
      <c r="G1443" s="4"/>
      <c r="J1443" s="4"/>
      <c r="K1443" s="4"/>
      <c r="L1443" s="4"/>
      <c r="O1443" s="4"/>
      <c r="P1443" s="4"/>
      <c r="T1443" s="4"/>
      <c r="U1443" s="4"/>
      <c r="Y1443" s="4"/>
      <c r="Z1443" s="4"/>
      <c r="AA1443" s="4"/>
      <c r="AB1443" s="4"/>
      <c r="AC1443" s="4"/>
    </row>
    <row r="1444" spans="2:29">
      <c r="B1444" s="180"/>
      <c r="E1444" s="4"/>
      <c r="F1444" s="4"/>
      <c r="G1444" s="4"/>
      <c r="J1444" s="4"/>
      <c r="K1444" s="4"/>
      <c r="L1444" s="4"/>
      <c r="O1444" s="4"/>
      <c r="P1444" s="4"/>
      <c r="T1444" s="4"/>
      <c r="U1444" s="4"/>
      <c r="Y1444" s="4"/>
      <c r="Z1444" s="4"/>
      <c r="AA1444" s="4"/>
      <c r="AB1444" s="4"/>
      <c r="AC1444" s="4"/>
    </row>
    <row r="1445" spans="2:29">
      <c r="B1445" s="180"/>
      <c r="E1445" s="4"/>
      <c r="F1445" s="4"/>
      <c r="G1445" s="4"/>
      <c r="J1445" s="4"/>
      <c r="K1445" s="4"/>
      <c r="L1445" s="4"/>
      <c r="O1445" s="4"/>
      <c r="P1445" s="4"/>
      <c r="T1445" s="4"/>
      <c r="U1445" s="4"/>
      <c r="Y1445" s="4"/>
      <c r="Z1445" s="4"/>
      <c r="AA1445" s="4"/>
      <c r="AB1445" s="4"/>
      <c r="AC1445" s="4"/>
    </row>
    <row r="1446" spans="2:29">
      <c r="B1446" s="180"/>
      <c r="E1446" s="4"/>
      <c r="F1446" s="4"/>
      <c r="G1446" s="4"/>
      <c r="J1446" s="4"/>
      <c r="K1446" s="4"/>
      <c r="L1446" s="4"/>
      <c r="O1446" s="4"/>
      <c r="P1446" s="4"/>
      <c r="T1446" s="4"/>
      <c r="U1446" s="4"/>
      <c r="Y1446" s="4"/>
      <c r="Z1446" s="4"/>
      <c r="AA1446" s="4"/>
      <c r="AB1446" s="4"/>
      <c r="AC1446" s="4"/>
    </row>
    <row r="1447" spans="2:29">
      <c r="B1447" s="180"/>
      <c r="E1447" s="4"/>
      <c r="F1447" s="4"/>
      <c r="G1447" s="4"/>
      <c r="J1447" s="4"/>
      <c r="K1447" s="4"/>
      <c r="L1447" s="4"/>
      <c r="O1447" s="4"/>
      <c r="P1447" s="4"/>
      <c r="T1447" s="4"/>
      <c r="U1447" s="4"/>
      <c r="Y1447" s="4"/>
      <c r="Z1447" s="4"/>
      <c r="AA1447" s="4"/>
      <c r="AB1447" s="4"/>
      <c r="AC1447" s="4"/>
    </row>
    <row r="1448" spans="2:29">
      <c r="B1448" s="180"/>
      <c r="E1448" s="4"/>
      <c r="F1448" s="4"/>
      <c r="G1448" s="4"/>
      <c r="J1448" s="4"/>
      <c r="K1448" s="4"/>
      <c r="L1448" s="4"/>
      <c r="O1448" s="4"/>
      <c r="P1448" s="4"/>
      <c r="T1448" s="4"/>
      <c r="U1448" s="4"/>
      <c r="Y1448" s="4"/>
      <c r="Z1448" s="4"/>
      <c r="AA1448" s="4"/>
      <c r="AB1448" s="4"/>
      <c r="AC1448" s="4"/>
    </row>
    <row r="1449" spans="2:29">
      <c r="B1449" s="180"/>
      <c r="E1449" s="4"/>
      <c r="F1449" s="4"/>
      <c r="G1449" s="4"/>
      <c r="J1449" s="4"/>
      <c r="K1449" s="4"/>
      <c r="L1449" s="4"/>
      <c r="O1449" s="4"/>
      <c r="P1449" s="4"/>
      <c r="T1449" s="4"/>
      <c r="U1449" s="4"/>
      <c r="Y1449" s="4"/>
      <c r="Z1449" s="4"/>
      <c r="AA1449" s="4"/>
      <c r="AB1449" s="4"/>
      <c r="AC1449" s="4"/>
    </row>
    <row r="1450" spans="2:29">
      <c r="B1450" s="180"/>
      <c r="E1450" s="4"/>
      <c r="F1450" s="4"/>
      <c r="G1450" s="4"/>
      <c r="J1450" s="4"/>
      <c r="K1450" s="4"/>
      <c r="L1450" s="4"/>
      <c r="O1450" s="4"/>
      <c r="P1450" s="4"/>
      <c r="T1450" s="4"/>
      <c r="U1450" s="4"/>
      <c r="Y1450" s="4"/>
      <c r="Z1450" s="4"/>
      <c r="AA1450" s="4"/>
      <c r="AB1450" s="4"/>
      <c r="AC1450" s="4"/>
    </row>
    <row r="1451" spans="2:29">
      <c r="B1451" s="180"/>
      <c r="E1451" s="4"/>
      <c r="F1451" s="4"/>
      <c r="G1451" s="4"/>
      <c r="J1451" s="4"/>
      <c r="K1451" s="4"/>
      <c r="L1451" s="4"/>
      <c r="O1451" s="4"/>
      <c r="P1451" s="4"/>
      <c r="T1451" s="4"/>
      <c r="U1451" s="4"/>
      <c r="Y1451" s="4"/>
      <c r="Z1451" s="4"/>
      <c r="AA1451" s="4"/>
      <c r="AB1451" s="4"/>
      <c r="AC1451" s="4"/>
    </row>
    <row r="1452" spans="2:29">
      <c r="B1452" s="180"/>
      <c r="E1452" s="4"/>
      <c r="F1452" s="4"/>
      <c r="G1452" s="4"/>
      <c r="J1452" s="4"/>
      <c r="K1452" s="4"/>
      <c r="L1452" s="4"/>
      <c r="O1452" s="4"/>
      <c r="P1452" s="4"/>
      <c r="T1452" s="4"/>
      <c r="U1452" s="4"/>
      <c r="Y1452" s="4"/>
      <c r="Z1452" s="4"/>
      <c r="AA1452" s="4"/>
      <c r="AB1452" s="4"/>
      <c r="AC1452" s="4"/>
    </row>
    <row r="1453" spans="2:29">
      <c r="B1453" s="180"/>
      <c r="E1453" s="4"/>
      <c r="F1453" s="4"/>
      <c r="G1453" s="4"/>
      <c r="J1453" s="4"/>
      <c r="K1453" s="4"/>
      <c r="L1453" s="4"/>
      <c r="O1453" s="4"/>
      <c r="P1453" s="4"/>
      <c r="T1453" s="4"/>
      <c r="U1453" s="4"/>
      <c r="Y1453" s="4"/>
      <c r="Z1453" s="4"/>
      <c r="AA1453" s="4"/>
      <c r="AB1453" s="4"/>
      <c r="AC1453" s="4"/>
    </row>
    <row r="1454" spans="2:29">
      <c r="B1454" s="180"/>
      <c r="E1454" s="4"/>
      <c r="F1454" s="4"/>
      <c r="G1454" s="4"/>
      <c r="J1454" s="4"/>
      <c r="K1454" s="4"/>
      <c r="L1454" s="4"/>
      <c r="O1454" s="4"/>
      <c r="P1454" s="4"/>
      <c r="T1454" s="4"/>
      <c r="U1454" s="4"/>
      <c r="Y1454" s="4"/>
      <c r="Z1454" s="4"/>
      <c r="AA1454" s="4"/>
      <c r="AB1454" s="4"/>
      <c r="AC1454" s="4"/>
    </row>
    <row r="1455" spans="2:29">
      <c r="B1455" s="180"/>
      <c r="E1455" s="4"/>
      <c r="F1455" s="4"/>
      <c r="G1455" s="4"/>
      <c r="J1455" s="4"/>
      <c r="K1455" s="4"/>
      <c r="L1455" s="4"/>
      <c r="O1455" s="4"/>
      <c r="P1455" s="4"/>
      <c r="T1455" s="4"/>
      <c r="U1455" s="4"/>
      <c r="Y1455" s="4"/>
      <c r="Z1455" s="4"/>
      <c r="AA1455" s="4"/>
      <c r="AB1455" s="4"/>
      <c r="AC1455" s="4"/>
    </row>
    <row r="1456" spans="2:29">
      <c r="B1456" s="180"/>
      <c r="E1456" s="4"/>
      <c r="F1456" s="4"/>
      <c r="G1456" s="4"/>
      <c r="J1456" s="4"/>
      <c r="K1456" s="4"/>
      <c r="L1456" s="4"/>
      <c r="O1456" s="4"/>
      <c r="P1456" s="4"/>
      <c r="T1456" s="4"/>
      <c r="U1456" s="4"/>
      <c r="Y1456" s="4"/>
      <c r="Z1456" s="4"/>
      <c r="AA1456" s="4"/>
      <c r="AB1456" s="4"/>
      <c r="AC1456" s="4"/>
    </row>
    <row r="1457" spans="2:29">
      <c r="B1457" s="180"/>
      <c r="E1457" s="4"/>
      <c r="F1457" s="4"/>
      <c r="G1457" s="4"/>
      <c r="J1457" s="4"/>
      <c r="K1457" s="4"/>
      <c r="L1457" s="4"/>
      <c r="O1457" s="4"/>
      <c r="P1457" s="4"/>
      <c r="T1457" s="4"/>
      <c r="U1457" s="4"/>
      <c r="Y1457" s="4"/>
      <c r="Z1457" s="4"/>
      <c r="AA1457" s="4"/>
      <c r="AB1457" s="4"/>
      <c r="AC1457" s="4"/>
    </row>
    <row r="1458" spans="2:29">
      <c r="B1458" s="180"/>
      <c r="E1458" s="4"/>
      <c r="F1458" s="4"/>
      <c r="G1458" s="4"/>
      <c r="J1458" s="4"/>
      <c r="K1458" s="4"/>
      <c r="L1458" s="4"/>
      <c r="O1458" s="4"/>
      <c r="P1458" s="4"/>
      <c r="T1458" s="4"/>
      <c r="U1458" s="4"/>
      <c r="Y1458" s="4"/>
      <c r="Z1458" s="4"/>
      <c r="AA1458" s="4"/>
      <c r="AB1458" s="4"/>
      <c r="AC1458" s="4"/>
    </row>
    <row r="1459" spans="2:29">
      <c r="B1459" s="180"/>
      <c r="E1459" s="4"/>
      <c r="F1459" s="4"/>
      <c r="G1459" s="4"/>
      <c r="J1459" s="4"/>
      <c r="K1459" s="4"/>
      <c r="L1459" s="4"/>
      <c r="O1459" s="4"/>
      <c r="P1459" s="4"/>
      <c r="T1459" s="4"/>
      <c r="U1459" s="4"/>
      <c r="Y1459" s="4"/>
      <c r="Z1459" s="4"/>
      <c r="AA1459" s="4"/>
      <c r="AB1459" s="4"/>
      <c r="AC1459" s="4"/>
    </row>
    <row r="1460" spans="2:29">
      <c r="B1460" s="180"/>
      <c r="E1460" s="4"/>
      <c r="F1460" s="4"/>
      <c r="G1460" s="4"/>
      <c r="J1460" s="4"/>
      <c r="K1460" s="4"/>
      <c r="L1460" s="4"/>
      <c r="O1460" s="4"/>
      <c r="P1460" s="4"/>
      <c r="T1460" s="4"/>
      <c r="U1460" s="4"/>
      <c r="Y1460" s="4"/>
      <c r="Z1460" s="4"/>
      <c r="AA1460" s="4"/>
      <c r="AB1460" s="4"/>
      <c r="AC1460" s="4"/>
    </row>
    <row r="1461" spans="2:29">
      <c r="B1461" s="180"/>
      <c r="E1461" s="4"/>
      <c r="F1461" s="4"/>
      <c r="G1461" s="4"/>
      <c r="J1461" s="4"/>
      <c r="K1461" s="4"/>
      <c r="L1461" s="4"/>
      <c r="O1461" s="4"/>
      <c r="P1461" s="4"/>
      <c r="T1461" s="4"/>
      <c r="U1461" s="4"/>
      <c r="Y1461" s="4"/>
      <c r="Z1461" s="4"/>
      <c r="AA1461" s="4"/>
      <c r="AB1461" s="4"/>
      <c r="AC1461" s="4"/>
    </row>
    <row r="1462" spans="2:29">
      <c r="B1462" s="180"/>
      <c r="E1462" s="4"/>
      <c r="F1462" s="4"/>
      <c r="G1462" s="4"/>
      <c r="J1462" s="4"/>
      <c r="K1462" s="4"/>
      <c r="L1462" s="4"/>
      <c r="O1462" s="4"/>
      <c r="P1462" s="4"/>
      <c r="T1462" s="4"/>
      <c r="U1462" s="4"/>
      <c r="Y1462" s="4"/>
      <c r="Z1462" s="4"/>
      <c r="AA1462" s="4"/>
      <c r="AB1462" s="4"/>
      <c r="AC1462" s="4"/>
    </row>
    <row r="1463" spans="2:29">
      <c r="B1463" s="180"/>
      <c r="E1463" s="4"/>
      <c r="F1463" s="4"/>
      <c r="G1463" s="4"/>
      <c r="J1463" s="4"/>
      <c r="K1463" s="4"/>
      <c r="L1463" s="4"/>
      <c r="O1463" s="4"/>
      <c r="P1463" s="4"/>
      <c r="T1463" s="4"/>
      <c r="U1463" s="4"/>
      <c r="Y1463" s="4"/>
      <c r="Z1463" s="4"/>
      <c r="AA1463" s="4"/>
      <c r="AB1463" s="4"/>
      <c r="AC1463" s="4"/>
    </row>
    <row r="1464" spans="2:29">
      <c r="B1464" s="180"/>
      <c r="E1464" s="4"/>
      <c r="F1464" s="4"/>
      <c r="G1464" s="4"/>
      <c r="J1464" s="4"/>
      <c r="K1464" s="4"/>
      <c r="L1464" s="4"/>
      <c r="O1464" s="4"/>
      <c r="P1464" s="4"/>
      <c r="T1464" s="4"/>
      <c r="U1464" s="4"/>
      <c r="Y1464" s="4"/>
      <c r="Z1464" s="4"/>
      <c r="AA1464" s="4"/>
      <c r="AB1464" s="4"/>
      <c r="AC1464" s="4"/>
    </row>
    <row r="1465" spans="2:29">
      <c r="B1465" s="180"/>
      <c r="E1465" s="4"/>
      <c r="F1465" s="4"/>
      <c r="G1465" s="4"/>
      <c r="J1465" s="4"/>
      <c r="K1465" s="4"/>
      <c r="L1465" s="4"/>
      <c r="O1465" s="4"/>
      <c r="P1465" s="4"/>
      <c r="T1465" s="4"/>
      <c r="U1465" s="4"/>
      <c r="Y1465" s="4"/>
      <c r="Z1465" s="4"/>
      <c r="AA1465" s="4"/>
      <c r="AB1465" s="4"/>
      <c r="AC1465" s="4"/>
    </row>
    <row r="1466" spans="2:29">
      <c r="B1466" s="180"/>
      <c r="E1466" s="4"/>
      <c r="F1466" s="4"/>
      <c r="G1466" s="4"/>
      <c r="J1466" s="4"/>
      <c r="K1466" s="4"/>
      <c r="L1466" s="4"/>
      <c r="O1466" s="4"/>
      <c r="P1466" s="4"/>
      <c r="T1466" s="4"/>
      <c r="U1466" s="4"/>
      <c r="Y1466" s="4"/>
      <c r="Z1466" s="4"/>
      <c r="AA1466" s="4"/>
      <c r="AB1466" s="4"/>
      <c r="AC1466" s="4"/>
    </row>
    <row r="1467" spans="2:29">
      <c r="B1467" s="180"/>
      <c r="E1467" s="4"/>
      <c r="F1467" s="4"/>
      <c r="G1467" s="4"/>
      <c r="J1467" s="4"/>
      <c r="K1467" s="4"/>
      <c r="L1467" s="4"/>
      <c r="O1467" s="4"/>
      <c r="P1467" s="4"/>
      <c r="T1467" s="4"/>
      <c r="U1467" s="4"/>
      <c r="Y1467" s="4"/>
      <c r="Z1467" s="4"/>
      <c r="AA1467" s="4"/>
      <c r="AB1467" s="4"/>
      <c r="AC1467" s="4"/>
    </row>
    <row r="1468" spans="2:29">
      <c r="B1468" s="180"/>
      <c r="E1468" s="4"/>
      <c r="F1468" s="4"/>
      <c r="G1468" s="4"/>
      <c r="J1468" s="4"/>
      <c r="K1468" s="4"/>
      <c r="L1468" s="4"/>
      <c r="O1468" s="4"/>
      <c r="P1468" s="4"/>
      <c r="T1468" s="4"/>
      <c r="U1468" s="4"/>
      <c r="Y1468" s="4"/>
      <c r="Z1468" s="4"/>
      <c r="AA1468" s="4"/>
      <c r="AB1468" s="4"/>
      <c r="AC1468" s="4"/>
    </row>
    <row r="1469" spans="2:29">
      <c r="B1469" s="180"/>
      <c r="E1469" s="4"/>
      <c r="F1469" s="4"/>
      <c r="G1469" s="4"/>
      <c r="J1469" s="4"/>
      <c r="K1469" s="4"/>
      <c r="L1469" s="4"/>
      <c r="O1469" s="4"/>
      <c r="P1469" s="4"/>
      <c r="T1469" s="4"/>
      <c r="U1469" s="4"/>
      <c r="Y1469" s="4"/>
      <c r="Z1469" s="4"/>
      <c r="AA1469" s="4"/>
      <c r="AB1469" s="4"/>
      <c r="AC1469" s="4"/>
    </row>
    <row r="1470" spans="2:29">
      <c r="B1470" s="180"/>
      <c r="E1470" s="4"/>
      <c r="F1470" s="4"/>
      <c r="G1470" s="4"/>
      <c r="J1470" s="4"/>
      <c r="K1470" s="4"/>
      <c r="L1470" s="4"/>
      <c r="O1470" s="4"/>
      <c r="P1470" s="4"/>
      <c r="T1470" s="4"/>
      <c r="U1470" s="4"/>
      <c r="Y1470" s="4"/>
      <c r="Z1470" s="4"/>
      <c r="AA1470" s="4"/>
      <c r="AB1470" s="4"/>
      <c r="AC1470" s="4"/>
    </row>
    <row r="1471" spans="2:29">
      <c r="B1471" s="180"/>
      <c r="E1471" s="4"/>
      <c r="F1471" s="4"/>
      <c r="G1471" s="4"/>
      <c r="J1471" s="4"/>
      <c r="K1471" s="4"/>
      <c r="L1471" s="4"/>
      <c r="O1471" s="4"/>
      <c r="P1471" s="4"/>
      <c r="T1471" s="4"/>
      <c r="U1471" s="4"/>
      <c r="Y1471" s="4"/>
      <c r="Z1471" s="4"/>
      <c r="AA1471" s="4"/>
      <c r="AB1471" s="4"/>
      <c r="AC1471" s="4"/>
    </row>
    <row r="1472" spans="2:29">
      <c r="B1472" s="180"/>
      <c r="E1472" s="4"/>
      <c r="F1472" s="4"/>
      <c r="G1472" s="4"/>
      <c r="J1472" s="4"/>
      <c r="K1472" s="4"/>
      <c r="L1472" s="4"/>
      <c r="O1472" s="4"/>
      <c r="P1472" s="4"/>
      <c r="T1472" s="4"/>
      <c r="U1472" s="4"/>
      <c r="Y1472" s="4"/>
      <c r="Z1472" s="4"/>
      <c r="AA1472" s="4"/>
      <c r="AB1472" s="4"/>
      <c r="AC1472" s="4"/>
    </row>
    <row r="1473" spans="2:29">
      <c r="B1473" s="180"/>
      <c r="E1473" s="4"/>
      <c r="F1473" s="4"/>
      <c r="G1473" s="4"/>
      <c r="J1473" s="4"/>
      <c r="K1473" s="4"/>
      <c r="L1473" s="4"/>
      <c r="O1473" s="4"/>
      <c r="P1473" s="4"/>
      <c r="T1473" s="4"/>
      <c r="U1473" s="4"/>
      <c r="Y1473" s="4"/>
      <c r="Z1473" s="4"/>
      <c r="AA1473" s="4"/>
      <c r="AB1473" s="4"/>
      <c r="AC1473" s="4"/>
    </row>
    <row r="1474" spans="2:29">
      <c r="B1474" s="180"/>
      <c r="E1474" s="4"/>
      <c r="F1474" s="4"/>
      <c r="G1474" s="4"/>
      <c r="J1474" s="4"/>
      <c r="K1474" s="4"/>
      <c r="L1474" s="4"/>
      <c r="O1474" s="4"/>
      <c r="P1474" s="4"/>
      <c r="T1474" s="4"/>
      <c r="U1474" s="4"/>
      <c r="Y1474" s="4"/>
      <c r="Z1474" s="4"/>
      <c r="AA1474" s="4"/>
      <c r="AB1474" s="4"/>
      <c r="AC1474" s="4"/>
    </row>
    <row r="1475" spans="2:29">
      <c r="B1475" s="180"/>
      <c r="E1475" s="4"/>
      <c r="F1475" s="4"/>
      <c r="G1475" s="4"/>
      <c r="J1475" s="4"/>
      <c r="K1475" s="4"/>
      <c r="L1475" s="4"/>
      <c r="O1475" s="4"/>
      <c r="P1475" s="4"/>
      <c r="T1475" s="4"/>
      <c r="U1475" s="4"/>
      <c r="Y1475" s="4"/>
      <c r="Z1475" s="4"/>
      <c r="AA1475" s="4"/>
      <c r="AB1475" s="4"/>
      <c r="AC1475" s="4"/>
    </row>
    <row r="1476" spans="2:29">
      <c r="B1476" s="180"/>
      <c r="E1476" s="4"/>
      <c r="F1476" s="4"/>
      <c r="G1476" s="4"/>
      <c r="J1476" s="4"/>
      <c r="K1476" s="4"/>
      <c r="L1476" s="4"/>
      <c r="O1476" s="4"/>
      <c r="P1476" s="4"/>
      <c r="T1476" s="4"/>
      <c r="U1476" s="4"/>
      <c r="Y1476" s="4"/>
      <c r="Z1476" s="4"/>
      <c r="AA1476" s="4"/>
      <c r="AB1476" s="4"/>
      <c r="AC1476" s="4"/>
    </row>
    <row r="1477" spans="2:29">
      <c r="B1477" s="180"/>
      <c r="E1477" s="4"/>
      <c r="F1477" s="4"/>
      <c r="G1477" s="4"/>
      <c r="J1477" s="4"/>
      <c r="K1477" s="4"/>
      <c r="L1477" s="4"/>
      <c r="O1477" s="4"/>
      <c r="P1477" s="4"/>
      <c r="T1477" s="4"/>
      <c r="U1477" s="4"/>
      <c r="Y1477" s="4"/>
      <c r="Z1477" s="4"/>
      <c r="AA1477" s="4"/>
      <c r="AB1477" s="4"/>
      <c r="AC1477" s="4"/>
    </row>
    <row r="1478" spans="2:29">
      <c r="B1478" s="180"/>
      <c r="E1478" s="4"/>
      <c r="F1478" s="4"/>
      <c r="G1478" s="4"/>
      <c r="J1478" s="4"/>
      <c r="K1478" s="4"/>
      <c r="L1478" s="4"/>
      <c r="O1478" s="4"/>
      <c r="P1478" s="4"/>
      <c r="T1478" s="4"/>
      <c r="U1478" s="4"/>
      <c r="Y1478" s="4"/>
      <c r="Z1478" s="4"/>
      <c r="AA1478" s="4"/>
      <c r="AB1478" s="4"/>
      <c r="AC1478" s="4"/>
    </row>
    <row r="1479" spans="2:29">
      <c r="B1479" s="180"/>
      <c r="E1479" s="4"/>
      <c r="F1479" s="4"/>
      <c r="G1479" s="4"/>
      <c r="J1479" s="4"/>
      <c r="K1479" s="4"/>
      <c r="L1479" s="4"/>
      <c r="O1479" s="4"/>
      <c r="P1479" s="4"/>
      <c r="T1479" s="4"/>
      <c r="U1479" s="4"/>
      <c r="Y1479" s="4"/>
      <c r="Z1479" s="4"/>
      <c r="AA1479" s="4"/>
      <c r="AB1479" s="4"/>
      <c r="AC1479" s="4"/>
    </row>
    <row r="1480" spans="2:29">
      <c r="B1480" s="180"/>
      <c r="E1480" s="4"/>
      <c r="F1480" s="4"/>
      <c r="G1480" s="4"/>
      <c r="J1480" s="4"/>
      <c r="K1480" s="4"/>
      <c r="L1480" s="4"/>
      <c r="O1480" s="4"/>
      <c r="P1480" s="4"/>
      <c r="T1480" s="4"/>
      <c r="U1480" s="4"/>
      <c r="Y1480" s="4"/>
      <c r="Z1480" s="4"/>
      <c r="AA1480" s="4"/>
      <c r="AB1480" s="4"/>
      <c r="AC1480" s="4"/>
    </row>
    <row r="1481" spans="2:29">
      <c r="B1481" s="180"/>
      <c r="E1481" s="4"/>
      <c r="F1481" s="4"/>
      <c r="G1481" s="4"/>
      <c r="J1481" s="4"/>
      <c r="K1481" s="4"/>
      <c r="L1481" s="4"/>
      <c r="O1481" s="4"/>
      <c r="P1481" s="4"/>
      <c r="T1481" s="4"/>
      <c r="U1481" s="4"/>
      <c r="Y1481" s="4"/>
      <c r="Z1481" s="4"/>
      <c r="AA1481" s="4"/>
      <c r="AB1481" s="4"/>
      <c r="AC1481" s="4"/>
    </row>
    <row r="1482" spans="2:29">
      <c r="B1482" s="180"/>
      <c r="E1482" s="4"/>
      <c r="F1482" s="4"/>
      <c r="G1482" s="4"/>
      <c r="J1482" s="4"/>
      <c r="K1482" s="4"/>
      <c r="L1482" s="4"/>
      <c r="O1482" s="4"/>
      <c r="P1482" s="4"/>
      <c r="T1482" s="4"/>
      <c r="U1482" s="4"/>
      <c r="Y1482" s="4"/>
      <c r="Z1482" s="4"/>
      <c r="AA1482" s="4"/>
      <c r="AB1482" s="4"/>
      <c r="AC1482" s="4"/>
    </row>
    <row r="1483" spans="2:29">
      <c r="B1483" s="180"/>
      <c r="E1483" s="4"/>
      <c r="F1483" s="4"/>
      <c r="G1483" s="4"/>
      <c r="J1483" s="4"/>
      <c r="K1483" s="4"/>
      <c r="L1483" s="4"/>
      <c r="O1483" s="4"/>
      <c r="P1483" s="4"/>
      <c r="T1483" s="4"/>
      <c r="U1483" s="4"/>
      <c r="Y1483" s="4"/>
      <c r="Z1483" s="4"/>
      <c r="AA1483" s="4"/>
      <c r="AB1483" s="4"/>
      <c r="AC1483" s="4"/>
    </row>
    <row r="1484" spans="2:29">
      <c r="B1484" s="180"/>
      <c r="E1484" s="4"/>
      <c r="F1484" s="4"/>
      <c r="G1484" s="4"/>
      <c r="J1484" s="4"/>
      <c r="K1484" s="4"/>
      <c r="L1484" s="4"/>
      <c r="O1484" s="4"/>
      <c r="P1484" s="4"/>
      <c r="T1484" s="4"/>
      <c r="U1484" s="4"/>
      <c r="Y1484" s="4"/>
      <c r="Z1484" s="4"/>
      <c r="AA1484" s="4"/>
      <c r="AB1484" s="4"/>
      <c r="AC1484" s="4"/>
    </row>
    <row r="1485" spans="2:29">
      <c r="B1485" s="180"/>
      <c r="E1485" s="4"/>
      <c r="F1485" s="4"/>
      <c r="G1485" s="4"/>
      <c r="J1485" s="4"/>
      <c r="K1485" s="4"/>
      <c r="L1485" s="4"/>
      <c r="O1485" s="4"/>
      <c r="P1485" s="4"/>
      <c r="T1485" s="4"/>
      <c r="U1485" s="4"/>
      <c r="Y1485" s="4"/>
      <c r="Z1485" s="4"/>
      <c r="AA1485" s="4"/>
      <c r="AB1485" s="4"/>
      <c r="AC1485" s="4"/>
    </row>
    <row r="1486" spans="2:29">
      <c r="B1486" s="180"/>
      <c r="E1486" s="4"/>
      <c r="F1486" s="4"/>
      <c r="G1486" s="4"/>
      <c r="J1486" s="4"/>
      <c r="K1486" s="4"/>
      <c r="L1486" s="4"/>
      <c r="O1486" s="4"/>
      <c r="P1486" s="4"/>
      <c r="T1486" s="4"/>
      <c r="U1486" s="4"/>
      <c r="Y1486" s="4"/>
      <c r="Z1486" s="4"/>
      <c r="AA1486" s="4"/>
      <c r="AB1486" s="4"/>
      <c r="AC1486" s="4"/>
    </row>
    <row r="1487" spans="2:29">
      <c r="B1487" s="180"/>
      <c r="E1487" s="4"/>
      <c r="F1487" s="4"/>
      <c r="G1487" s="4"/>
      <c r="J1487" s="4"/>
      <c r="K1487" s="4"/>
      <c r="L1487" s="4"/>
      <c r="O1487" s="4"/>
      <c r="P1487" s="4"/>
      <c r="T1487" s="4"/>
      <c r="U1487" s="4"/>
      <c r="Y1487" s="4"/>
      <c r="Z1487" s="4"/>
      <c r="AA1487" s="4"/>
      <c r="AB1487" s="4"/>
      <c r="AC1487" s="4"/>
    </row>
    <row r="1488" spans="2:29">
      <c r="B1488" s="180"/>
      <c r="E1488" s="4"/>
      <c r="F1488" s="4"/>
      <c r="G1488" s="4"/>
      <c r="J1488" s="4"/>
      <c r="K1488" s="4"/>
      <c r="L1488" s="4"/>
      <c r="O1488" s="4"/>
      <c r="P1488" s="4"/>
      <c r="T1488" s="4"/>
      <c r="U1488" s="4"/>
      <c r="Y1488" s="4"/>
      <c r="Z1488" s="4"/>
      <c r="AA1488" s="4"/>
      <c r="AB1488" s="4"/>
      <c r="AC1488" s="4"/>
    </row>
    <row r="1489" spans="2:29">
      <c r="B1489" s="180"/>
      <c r="E1489" s="4"/>
      <c r="F1489" s="4"/>
      <c r="G1489" s="4"/>
      <c r="J1489" s="4"/>
      <c r="K1489" s="4"/>
      <c r="L1489" s="4"/>
      <c r="O1489" s="4"/>
      <c r="P1489" s="4"/>
      <c r="T1489" s="4"/>
      <c r="U1489" s="4"/>
      <c r="Y1489" s="4"/>
      <c r="Z1489" s="4"/>
      <c r="AA1489" s="4"/>
      <c r="AB1489" s="4"/>
      <c r="AC1489" s="4"/>
    </row>
    <row r="1490" spans="2:29">
      <c r="B1490" s="180"/>
      <c r="E1490" s="4"/>
      <c r="F1490" s="4"/>
      <c r="G1490" s="4"/>
      <c r="J1490" s="4"/>
      <c r="K1490" s="4"/>
      <c r="L1490" s="4"/>
      <c r="O1490" s="4"/>
      <c r="P1490" s="4"/>
      <c r="T1490" s="4"/>
      <c r="U1490" s="4"/>
      <c r="Y1490" s="4"/>
      <c r="Z1490" s="4"/>
      <c r="AA1490" s="4"/>
      <c r="AB1490" s="4"/>
      <c r="AC1490" s="4"/>
    </row>
    <row r="1491" spans="2:29">
      <c r="B1491" s="180"/>
      <c r="E1491" s="4"/>
      <c r="F1491" s="4"/>
      <c r="G1491" s="4"/>
      <c r="J1491" s="4"/>
      <c r="K1491" s="4"/>
      <c r="L1491" s="4"/>
      <c r="O1491" s="4"/>
      <c r="P1491" s="4"/>
      <c r="T1491" s="4"/>
      <c r="U1491" s="4"/>
      <c r="Y1491" s="4"/>
      <c r="Z1491" s="4"/>
      <c r="AA1491" s="4"/>
      <c r="AB1491" s="4"/>
      <c r="AC1491" s="4"/>
    </row>
    <row r="1492" spans="2:29">
      <c r="B1492" s="180"/>
      <c r="E1492" s="4"/>
      <c r="F1492" s="4"/>
      <c r="G1492" s="4"/>
      <c r="J1492" s="4"/>
      <c r="K1492" s="4"/>
      <c r="L1492" s="4"/>
      <c r="O1492" s="4"/>
      <c r="P1492" s="4"/>
      <c r="T1492" s="4"/>
      <c r="U1492" s="4"/>
      <c r="Y1492" s="4"/>
      <c r="Z1492" s="4"/>
      <c r="AA1492" s="4"/>
      <c r="AB1492" s="4"/>
      <c r="AC1492" s="4"/>
    </row>
    <row r="1493" spans="2:29">
      <c r="B1493" s="180"/>
      <c r="E1493" s="4"/>
      <c r="F1493" s="4"/>
      <c r="G1493" s="4"/>
      <c r="J1493" s="4"/>
      <c r="K1493" s="4"/>
      <c r="L1493" s="4"/>
      <c r="O1493" s="4"/>
      <c r="P1493" s="4"/>
      <c r="T1493" s="4"/>
      <c r="U1493" s="4"/>
      <c r="Y1493" s="4"/>
      <c r="Z1493" s="4"/>
      <c r="AA1493" s="4"/>
      <c r="AB1493" s="4"/>
      <c r="AC1493" s="4"/>
    </row>
    <row r="1494" spans="2:29">
      <c r="B1494" s="180"/>
      <c r="E1494" s="4"/>
      <c r="F1494" s="4"/>
      <c r="G1494" s="4"/>
      <c r="J1494" s="4"/>
      <c r="K1494" s="4"/>
      <c r="L1494" s="4"/>
      <c r="O1494" s="4"/>
      <c r="P1494" s="4"/>
      <c r="T1494" s="4"/>
      <c r="U1494" s="4"/>
      <c r="Y1494" s="4"/>
      <c r="Z1494" s="4"/>
      <c r="AA1494" s="4"/>
      <c r="AB1494" s="4"/>
      <c r="AC1494" s="4"/>
    </row>
    <row r="1495" spans="2:29">
      <c r="B1495" s="180"/>
      <c r="E1495" s="4"/>
      <c r="F1495" s="4"/>
      <c r="G1495" s="4"/>
      <c r="J1495" s="4"/>
      <c r="K1495" s="4"/>
      <c r="L1495" s="4"/>
      <c r="O1495" s="4"/>
      <c r="P1495" s="4"/>
      <c r="T1495" s="4"/>
      <c r="U1495" s="4"/>
      <c r="Y1495" s="4"/>
      <c r="Z1495" s="4"/>
      <c r="AA1495" s="4"/>
      <c r="AB1495" s="4"/>
      <c r="AC1495" s="4"/>
    </row>
    <row r="1496" spans="2:29">
      <c r="B1496" s="180"/>
      <c r="E1496" s="4"/>
      <c r="F1496" s="4"/>
      <c r="G1496" s="4"/>
      <c r="J1496" s="4"/>
      <c r="K1496" s="4"/>
      <c r="L1496" s="4"/>
      <c r="O1496" s="4"/>
      <c r="P1496" s="4"/>
      <c r="T1496" s="4"/>
      <c r="U1496" s="4"/>
      <c r="Y1496" s="4"/>
      <c r="Z1496" s="4"/>
      <c r="AA1496" s="4"/>
      <c r="AB1496" s="4"/>
      <c r="AC1496" s="4"/>
    </row>
    <row r="1497" spans="2:29">
      <c r="B1497" s="180"/>
      <c r="E1497" s="4"/>
      <c r="F1497" s="4"/>
      <c r="G1497" s="4"/>
      <c r="J1497" s="4"/>
      <c r="K1497" s="4"/>
      <c r="L1497" s="4"/>
      <c r="O1497" s="4"/>
      <c r="P1497" s="4"/>
      <c r="T1497" s="4"/>
      <c r="U1497" s="4"/>
      <c r="Y1497" s="4"/>
      <c r="Z1497" s="4"/>
      <c r="AA1497" s="4"/>
      <c r="AB1497" s="4"/>
      <c r="AC1497" s="4"/>
    </row>
    <row r="1498" spans="2:29">
      <c r="B1498" s="180"/>
      <c r="E1498" s="4"/>
      <c r="F1498" s="4"/>
      <c r="G1498" s="4"/>
      <c r="J1498" s="4"/>
      <c r="K1498" s="4"/>
      <c r="L1498" s="4"/>
      <c r="O1498" s="4"/>
      <c r="P1498" s="4"/>
      <c r="T1498" s="4"/>
      <c r="U1498" s="4"/>
      <c r="Y1498" s="4"/>
      <c r="Z1498" s="4"/>
      <c r="AA1498" s="4"/>
      <c r="AB1498" s="4"/>
      <c r="AC1498" s="4"/>
    </row>
    <row r="1499" spans="2:29">
      <c r="B1499" s="180"/>
      <c r="E1499" s="4"/>
      <c r="F1499" s="4"/>
      <c r="G1499" s="4"/>
      <c r="J1499" s="4"/>
      <c r="K1499" s="4"/>
      <c r="L1499" s="4"/>
      <c r="O1499" s="4"/>
      <c r="P1499" s="4"/>
      <c r="T1499" s="4"/>
      <c r="U1499" s="4"/>
      <c r="Y1499" s="4"/>
      <c r="Z1499" s="4"/>
      <c r="AA1499" s="4"/>
      <c r="AB1499" s="4"/>
      <c r="AC1499" s="4"/>
    </row>
    <row r="1500" spans="2:29">
      <c r="B1500" s="180"/>
      <c r="E1500" s="4"/>
      <c r="F1500" s="4"/>
      <c r="G1500" s="4"/>
      <c r="J1500" s="4"/>
      <c r="K1500" s="4"/>
      <c r="L1500" s="4"/>
      <c r="O1500" s="4"/>
      <c r="P1500" s="4"/>
      <c r="T1500" s="4"/>
      <c r="U1500" s="4"/>
      <c r="Y1500" s="4"/>
      <c r="Z1500" s="4"/>
      <c r="AA1500" s="4"/>
      <c r="AB1500" s="4"/>
      <c r="AC1500" s="4"/>
    </row>
    <row r="1501" spans="2:29">
      <c r="B1501" s="180"/>
      <c r="E1501" s="4"/>
      <c r="F1501" s="4"/>
      <c r="G1501" s="4"/>
      <c r="J1501" s="4"/>
      <c r="K1501" s="4"/>
      <c r="L1501" s="4"/>
      <c r="O1501" s="4"/>
      <c r="P1501" s="4"/>
      <c r="T1501" s="4"/>
      <c r="U1501" s="4"/>
      <c r="Y1501" s="4"/>
      <c r="Z1501" s="4"/>
      <c r="AA1501" s="4"/>
      <c r="AB1501" s="4"/>
      <c r="AC1501" s="4"/>
    </row>
    <row r="1502" spans="2:29">
      <c r="B1502" s="180"/>
      <c r="E1502" s="4"/>
      <c r="F1502" s="4"/>
      <c r="G1502" s="4"/>
      <c r="J1502" s="4"/>
      <c r="K1502" s="4"/>
      <c r="L1502" s="4"/>
      <c r="O1502" s="4"/>
      <c r="P1502" s="4"/>
      <c r="T1502" s="4"/>
      <c r="U1502" s="4"/>
      <c r="Y1502" s="4"/>
      <c r="Z1502" s="4"/>
      <c r="AA1502" s="4"/>
      <c r="AB1502" s="4"/>
      <c r="AC1502" s="4"/>
    </row>
    <row r="1503" spans="2:29">
      <c r="B1503" s="180"/>
      <c r="E1503" s="4"/>
      <c r="F1503" s="4"/>
      <c r="G1503" s="4"/>
      <c r="J1503" s="4"/>
      <c r="K1503" s="4"/>
      <c r="L1503" s="4"/>
      <c r="O1503" s="4"/>
      <c r="P1503" s="4"/>
      <c r="T1503" s="4"/>
      <c r="U1503" s="4"/>
      <c r="Y1503" s="4"/>
      <c r="Z1503" s="4"/>
      <c r="AA1503" s="4"/>
      <c r="AB1503" s="4"/>
      <c r="AC1503" s="4"/>
    </row>
    <row r="1504" spans="2:29">
      <c r="B1504" s="180"/>
      <c r="E1504" s="4"/>
      <c r="F1504" s="4"/>
      <c r="G1504" s="4"/>
      <c r="J1504" s="4"/>
      <c r="K1504" s="4"/>
      <c r="L1504" s="4"/>
      <c r="O1504" s="4"/>
      <c r="P1504" s="4"/>
      <c r="T1504" s="4"/>
      <c r="U1504" s="4"/>
      <c r="Y1504" s="4"/>
      <c r="Z1504" s="4"/>
      <c r="AA1504" s="4"/>
      <c r="AB1504" s="4"/>
      <c r="AC1504" s="4"/>
    </row>
    <row r="1505" spans="2:29">
      <c r="B1505" s="180"/>
      <c r="E1505" s="4"/>
      <c r="F1505" s="4"/>
      <c r="G1505" s="4"/>
      <c r="J1505" s="4"/>
      <c r="K1505" s="4"/>
      <c r="L1505" s="4"/>
      <c r="O1505" s="4"/>
      <c r="P1505" s="4"/>
      <c r="T1505" s="4"/>
      <c r="U1505" s="4"/>
      <c r="Y1505" s="4"/>
      <c r="Z1505" s="4"/>
      <c r="AA1505" s="4"/>
      <c r="AB1505" s="4"/>
      <c r="AC1505" s="4"/>
    </row>
    <row r="1506" spans="2:29">
      <c r="B1506" s="180"/>
      <c r="E1506" s="4"/>
      <c r="F1506" s="4"/>
      <c r="G1506" s="4"/>
      <c r="J1506" s="4"/>
      <c r="K1506" s="4"/>
      <c r="L1506" s="4"/>
      <c r="O1506" s="4"/>
      <c r="P1506" s="4"/>
      <c r="T1506" s="4"/>
      <c r="U1506" s="4"/>
      <c r="Y1506" s="4"/>
      <c r="Z1506" s="4"/>
      <c r="AA1506" s="4"/>
      <c r="AB1506" s="4"/>
      <c r="AC1506" s="4"/>
    </row>
    <row r="1507" spans="2:29">
      <c r="B1507" s="180"/>
      <c r="E1507" s="4"/>
      <c r="F1507" s="4"/>
      <c r="G1507" s="4"/>
      <c r="J1507" s="4"/>
      <c r="K1507" s="4"/>
      <c r="L1507" s="4"/>
      <c r="O1507" s="4"/>
      <c r="P1507" s="4"/>
      <c r="T1507" s="4"/>
      <c r="U1507" s="4"/>
      <c r="Y1507" s="4"/>
      <c r="Z1507" s="4"/>
      <c r="AA1507" s="4"/>
      <c r="AB1507" s="4"/>
      <c r="AC1507" s="4"/>
    </row>
    <row r="1508" spans="2:29">
      <c r="B1508" s="180"/>
      <c r="E1508" s="4"/>
      <c r="F1508" s="4"/>
      <c r="G1508" s="4"/>
      <c r="J1508" s="4"/>
      <c r="K1508" s="4"/>
      <c r="L1508" s="4"/>
      <c r="O1508" s="4"/>
      <c r="P1508" s="4"/>
      <c r="T1508" s="4"/>
      <c r="U1508" s="4"/>
      <c r="Y1508" s="4"/>
      <c r="Z1508" s="4"/>
      <c r="AA1508" s="4"/>
      <c r="AB1508" s="4"/>
      <c r="AC1508" s="4"/>
    </row>
    <row r="1509" spans="2:29">
      <c r="B1509" s="180"/>
      <c r="E1509" s="4"/>
      <c r="F1509" s="4"/>
      <c r="G1509" s="4"/>
      <c r="J1509" s="4"/>
      <c r="K1509" s="4"/>
      <c r="L1509" s="4"/>
      <c r="O1509" s="4"/>
      <c r="P1509" s="4"/>
      <c r="T1509" s="4"/>
      <c r="U1509" s="4"/>
      <c r="Y1509" s="4"/>
      <c r="Z1509" s="4"/>
      <c r="AA1509" s="4"/>
      <c r="AB1509" s="4"/>
      <c r="AC1509" s="4"/>
    </row>
    <row r="1510" spans="2:29">
      <c r="B1510" s="180"/>
      <c r="E1510" s="4"/>
      <c r="F1510" s="4"/>
      <c r="G1510" s="4"/>
      <c r="J1510" s="4"/>
      <c r="K1510" s="4"/>
      <c r="L1510" s="4"/>
      <c r="O1510" s="4"/>
      <c r="P1510" s="4"/>
      <c r="T1510" s="4"/>
      <c r="U1510" s="4"/>
      <c r="Y1510" s="4"/>
      <c r="Z1510" s="4"/>
      <c r="AA1510" s="4"/>
      <c r="AB1510" s="4"/>
      <c r="AC1510" s="4"/>
    </row>
    <row r="1511" spans="2:29">
      <c r="B1511" s="180"/>
      <c r="E1511" s="4"/>
      <c r="F1511" s="4"/>
      <c r="G1511" s="4"/>
      <c r="J1511" s="4"/>
      <c r="K1511" s="4"/>
      <c r="L1511" s="4"/>
      <c r="O1511" s="4"/>
      <c r="P1511" s="4"/>
      <c r="T1511" s="4"/>
      <c r="U1511" s="4"/>
      <c r="Y1511" s="4"/>
      <c r="Z1511" s="4"/>
      <c r="AA1511" s="4"/>
      <c r="AB1511" s="4"/>
      <c r="AC1511" s="4"/>
    </row>
    <row r="1512" spans="2:29">
      <c r="B1512" s="180"/>
      <c r="E1512" s="4"/>
      <c r="F1512" s="4"/>
      <c r="G1512" s="4"/>
      <c r="J1512" s="4"/>
      <c r="K1512" s="4"/>
      <c r="L1512" s="4"/>
      <c r="O1512" s="4"/>
      <c r="P1512" s="4"/>
      <c r="T1512" s="4"/>
      <c r="U1512" s="4"/>
      <c r="Y1512" s="4"/>
      <c r="Z1512" s="4"/>
      <c r="AA1512" s="4"/>
      <c r="AB1512" s="4"/>
      <c r="AC1512" s="4"/>
    </row>
    <row r="1513" spans="2:29">
      <c r="B1513" s="180"/>
      <c r="E1513" s="4"/>
      <c r="F1513" s="4"/>
      <c r="G1513" s="4"/>
      <c r="J1513" s="4"/>
      <c r="K1513" s="4"/>
      <c r="L1513" s="4"/>
      <c r="O1513" s="4"/>
      <c r="P1513" s="4"/>
      <c r="T1513" s="4"/>
      <c r="U1513" s="4"/>
      <c r="Y1513" s="4"/>
      <c r="Z1513" s="4"/>
      <c r="AA1513" s="4"/>
      <c r="AB1513" s="4"/>
      <c r="AC1513" s="4"/>
    </row>
    <row r="1514" spans="2:29">
      <c r="B1514" s="180"/>
      <c r="E1514" s="4"/>
      <c r="F1514" s="4"/>
      <c r="G1514" s="4"/>
      <c r="J1514" s="4"/>
      <c r="K1514" s="4"/>
      <c r="L1514" s="4"/>
      <c r="O1514" s="4"/>
      <c r="P1514" s="4"/>
      <c r="T1514" s="4"/>
      <c r="U1514" s="4"/>
      <c r="Y1514" s="4"/>
      <c r="Z1514" s="4"/>
      <c r="AA1514" s="4"/>
      <c r="AB1514" s="4"/>
      <c r="AC1514" s="4"/>
    </row>
    <row r="1515" spans="2:29">
      <c r="B1515" s="180"/>
      <c r="E1515" s="4"/>
      <c r="F1515" s="4"/>
      <c r="G1515" s="4"/>
      <c r="J1515" s="4"/>
      <c r="K1515" s="4"/>
      <c r="L1515" s="4"/>
      <c r="O1515" s="4"/>
      <c r="P1515" s="4"/>
      <c r="T1515" s="4"/>
      <c r="U1515" s="4"/>
      <c r="Y1515" s="4"/>
      <c r="Z1515" s="4"/>
      <c r="AA1515" s="4"/>
      <c r="AB1515" s="4"/>
      <c r="AC1515" s="4"/>
    </row>
    <row r="1516" spans="2:29">
      <c r="B1516" s="180"/>
      <c r="E1516" s="4"/>
      <c r="F1516" s="4"/>
      <c r="G1516" s="4"/>
      <c r="J1516" s="4"/>
      <c r="K1516" s="4"/>
      <c r="L1516" s="4"/>
      <c r="O1516" s="4"/>
      <c r="P1516" s="4"/>
      <c r="T1516" s="4"/>
      <c r="U1516" s="4"/>
      <c r="Y1516" s="4"/>
      <c r="Z1516" s="4"/>
      <c r="AA1516" s="4"/>
      <c r="AB1516" s="4"/>
      <c r="AC1516" s="4"/>
    </row>
    <row r="1517" spans="2:29">
      <c r="B1517" s="180"/>
      <c r="E1517" s="4"/>
      <c r="F1517" s="4"/>
      <c r="G1517" s="4"/>
      <c r="J1517" s="4"/>
      <c r="K1517" s="4"/>
      <c r="L1517" s="4"/>
      <c r="O1517" s="4"/>
      <c r="P1517" s="4"/>
      <c r="T1517" s="4"/>
      <c r="U1517" s="4"/>
      <c r="Y1517" s="4"/>
      <c r="Z1517" s="4"/>
      <c r="AA1517" s="4"/>
      <c r="AB1517" s="4"/>
      <c r="AC1517" s="4"/>
    </row>
    <row r="1518" spans="2:29">
      <c r="B1518" s="180"/>
      <c r="E1518" s="4"/>
      <c r="F1518" s="4"/>
      <c r="G1518" s="4"/>
      <c r="J1518" s="4"/>
      <c r="K1518" s="4"/>
      <c r="L1518" s="4"/>
      <c r="O1518" s="4"/>
      <c r="P1518" s="4"/>
      <c r="T1518" s="4"/>
      <c r="U1518" s="4"/>
      <c r="Y1518" s="4"/>
      <c r="Z1518" s="4"/>
      <c r="AA1518" s="4"/>
      <c r="AB1518" s="4"/>
      <c r="AC1518" s="4"/>
    </row>
    <row r="1519" spans="2:29">
      <c r="B1519" s="180"/>
      <c r="E1519" s="4"/>
      <c r="F1519" s="4"/>
      <c r="G1519" s="4"/>
      <c r="J1519" s="4"/>
      <c r="K1519" s="4"/>
      <c r="L1519" s="4"/>
      <c r="O1519" s="4"/>
      <c r="P1519" s="4"/>
      <c r="T1519" s="4"/>
      <c r="U1519" s="4"/>
      <c r="Y1519" s="4"/>
      <c r="Z1519" s="4"/>
      <c r="AA1519" s="4"/>
      <c r="AB1519" s="4"/>
      <c r="AC1519" s="4"/>
    </row>
    <row r="1520" spans="2:29">
      <c r="B1520" s="180"/>
      <c r="E1520" s="4"/>
      <c r="F1520" s="4"/>
      <c r="G1520" s="4"/>
      <c r="J1520" s="4"/>
      <c r="K1520" s="4"/>
      <c r="L1520" s="4"/>
      <c r="O1520" s="4"/>
      <c r="P1520" s="4"/>
      <c r="T1520" s="4"/>
      <c r="U1520" s="4"/>
      <c r="Y1520" s="4"/>
      <c r="Z1520" s="4"/>
      <c r="AA1520" s="4"/>
      <c r="AB1520" s="4"/>
      <c r="AC1520" s="4"/>
    </row>
    <row r="1521" spans="2:29">
      <c r="B1521" s="180"/>
      <c r="E1521" s="4"/>
      <c r="F1521" s="4"/>
      <c r="G1521" s="4"/>
      <c r="J1521" s="4"/>
      <c r="K1521" s="4"/>
      <c r="L1521" s="4"/>
      <c r="O1521" s="4"/>
      <c r="P1521" s="4"/>
      <c r="T1521" s="4"/>
      <c r="U1521" s="4"/>
      <c r="Y1521" s="4"/>
      <c r="Z1521" s="4"/>
      <c r="AA1521" s="4"/>
      <c r="AB1521" s="4"/>
      <c r="AC1521" s="4"/>
    </row>
    <row r="1522" spans="2:29">
      <c r="B1522" s="180"/>
      <c r="E1522" s="4"/>
      <c r="F1522" s="4"/>
      <c r="G1522" s="4"/>
      <c r="J1522" s="4"/>
      <c r="K1522" s="4"/>
      <c r="L1522" s="4"/>
      <c r="O1522" s="4"/>
      <c r="P1522" s="4"/>
      <c r="T1522" s="4"/>
      <c r="U1522" s="4"/>
      <c r="Y1522" s="4"/>
      <c r="Z1522" s="4"/>
      <c r="AA1522" s="4"/>
      <c r="AB1522" s="4"/>
      <c r="AC1522" s="4"/>
    </row>
    <row r="1523" spans="2:29">
      <c r="B1523" s="180"/>
      <c r="E1523" s="4"/>
      <c r="F1523" s="4"/>
      <c r="G1523" s="4"/>
      <c r="J1523" s="4"/>
      <c r="K1523" s="4"/>
      <c r="L1523" s="4"/>
      <c r="O1523" s="4"/>
      <c r="P1523" s="4"/>
      <c r="T1523" s="4"/>
      <c r="U1523" s="4"/>
      <c r="Y1523" s="4"/>
      <c r="Z1523" s="4"/>
      <c r="AA1523" s="4"/>
      <c r="AB1523" s="4"/>
      <c r="AC1523" s="4"/>
    </row>
    <row r="1524" spans="2:29">
      <c r="B1524" s="180"/>
      <c r="E1524" s="4"/>
      <c r="F1524" s="4"/>
      <c r="G1524" s="4"/>
      <c r="J1524" s="4"/>
      <c r="K1524" s="4"/>
      <c r="L1524" s="4"/>
      <c r="O1524" s="4"/>
      <c r="P1524" s="4"/>
      <c r="T1524" s="4"/>
      <c r="U1524" s="4"/>
      <c r="Y1524" s="4"/>
      <c r="Z1524" s="4"/>
      <c r="AA1524" s="4"/>
      <c r="AB1524" s="4"/>
      <c r="AC1524" s="4"/>
    </row>
    <row r="1525" spans="2:29">
      <c r="B1525" s="180"/>
      <c r="E1525" s="4"/>
      <c r="F1525" s="4"/>
      <c r="G1525" s="4"/>
      <c r="J1525" s="4"/>
      <c r="K1525" s="4"/>
      <c r="L1525" s="4"/>
      <c r="O1525" s="4"/>
      <c r="P1525" s="4"/>
      <c r="T1525" s="4"/>
      <c r="U1525" s="4"/>
      <c r="Y1525" s="4"/>
      <c r="Z1525" s="4"/>
      <c r="AA1525" s="4"/>
      <c r="AB1525" s="4"/>
      <c r="AC1525" s="4"/>
    </row>
    <row r="1526" spans="2:29">
      <c r="B1526" s="180"/>
      <c r="E1526" s="4"/>
      <c r="F1526" s="4"/>
      <c r="G1526" s="4"/>
      <c r="J1526" s="4"/>
      <c r="K1526" s="4"/>
      <c r="L1526" s="4"/>
      <c r="O1526" s="4"/>
      <c r="P1526" s="4"/>
      <c r="T1526" s="4"/>
      <c r="U1526" s="4"/>
      <c r="Y1526" s="4"/>
      <c r="Z1526" s="4"/>
      <c r="AA1526" s="4"/>
      <c r="AB1526" s="4"/>
      <c r="AC1526" s="4"/>
    </row>
    <row r="1527" spans="2:29">
      <c r="B1527" s="180"/>
      <c r="E1527" s="4"/>
      <c r="F1527" s="4"/>
      <c r="G1527" s="4"/>
      <c r="J1527" s="4"/>
      <c r="K1527" s="4"/>
      <c r="L1527" s="4"/>
      <c r="O1527" s="4"/>
      <c r="P1527" s="4"/>
      <c r="T1527" s="4"/>
      <c r="U1527" s="4"/>
      <c r="Y1527" s="4"/>
      <c r="Z1527" s="4"/>
      <c r="AA1527" s="4"/>
      <c r="AB1527" s="4"/>
      <c r="AC1527" s="4"/>
    </row>
    <row r="1528" spans="2:29">
      <c r="B1528" s="180"/>
      <c r="E1528" s="4"/>
      <c r="F1528" s="4"/>
      <c r="G1528" s="4"/>
      <c r="J1528" s="4"/>
      <c r="K1528" s="4"/>
      <c r="L1528" s="4"/>
      <c r="O1528" s="4"/>
      <c r="P1528" s="4"/>
      <c r="T1528" s="4"/>
      <c r="U1528" s="4"/>
      <c r="Y1528" s="4"/>
      <c r="Z1528" s="4"/>
      <c r="AA1528" s="4"/>
      <c r="AB1528" s="4"/>
      <c r="AC1528" s="4"/>
    </row>
    <row r="1529" spans="2:29">
      <c r="B1529" s="180"/>
      <c r="E1529" s="4"/>
      <c r="F1529" s="4"/>
      <c r="G1529" s="4"/>
      <c r="J1529" s="4"/>
      <c r="K1529" s="4"/>
      <c r="L1529" s="4"/>
      <c r="O1529" s="4"/>
      <c r="P1529" s="4"/>
      <c r="T1529" s="4"/>
      <c r="U1529" s="4"/>
      <c r="Y1529" s="4"/>
      <c r="Z1529" s="4"/>
      <c r="AA1529" s="4"/>
      <c r="AB1529" s="4"/>
      <c r="AC1529" s="4"/>
    </row>
    <row r="1530" spans="2:29">
      <c r="B1530" s="180"/>
      <c r="E1530" s="4"/>
      <c r="F1530" s="4"/>
      <c r="G1530" s="4"/>
      <c r="J1530" s="4"/>
      <c r="K1530" s="4"/>
      <c r="L1530" s="4"/>
      <c r="O1530" s="4"/>
      <c r="P1530" s="4"/>
      <c r="T1530" s="4"/>
      <c r="U1530" s="4"/>
      <c r="Y1530" s="4"/>
      <c r="Z1530" s="4"/>
      <c r="AA1530" s="4"/>
      <c r="AB1530" s="4"/>
      <c r="AC1530" s="4"/>
    </row>
    <row r="1531" spans="2:29">
      <c r="B1531" s="180"/>
      <c r="E1531" s="4"/>
      <c r="F1531" s="4"/>
      <c r="G1531" s="4"/>
      <c r="J1531" s="4"/>
      <c r="K1531" s="4"/>
      <c r="L1531" s="4"/>
      <c r="O1531" s="4"/>
      <c r="P1531" s="4"/>
      <c r="T1531" s="4"/>
      <c r="U1531" s="4"/>
      <c r="Y1531" s="4"/>
      <c r="Z1531" s="4"/>
      <c r="AA1531" s="4"/>
      <c r="AB1531" s="4"/>
      <c r="AC1531" s="4"/>
    </row>
    <row r="1532" spans="2:29">
      <c r="B1532" s="180"/>
      <c r="E1532" s="4"/>
      <c r="F1532" s="4"/>
      <c r="G1532" s="4"/>
      <c r="J1532" s="4"/>
      <c r="K1532" s="4"/>
      <c r="L1532" s="4"/>
      <c r="O1532" s="4"/>
      <c r="P1532" s="4"/>
      <c r="T1532" s="4"/>
      <c r="U1532" s="4"/>
      <c r="Y1532" s="4"/>
      <c r="Z1532" s="4"/>
      <c r="AA1532" s="4"/>
      <c r="AB1532" s="4"/>
      <c r="AC1532" s="4"/>
    </row>
    <row r="1533" spans="2:29">
      <c r="B1533" s="180"/>
      <c r="E1533" s="4"/>
      <c r="F1533" s="4"/>
      <c r="G1533" s="4"/>
      <c r="J1533" s="4"/>
      <c r="K1533" s="4"/>
      <c r="L1533" s="4"/>
      <c r="O1533" s="4"/>
      <c r="P1533" s="4"/>
      <c r="T1533" s="4"/>
      <c r="U1533" s="4"/>
      <c r="Y1533" s="4"/>
      <c r="Z1533" s="4"/>
      <c r="AA1533" s="4"/>
      <c r="AB1533" s="4"/>
      <c r="AC1533" s="4"/>
    </row>
    <row r="1534" spans="2:29">
      <c r="B1534" s="180"/>
      <c r="E1534" s="4"/>
      <c r="F1534" s="4"/>
      <c r="G1534" s="4"/>
      <c r="J1534" s="4"/>
      <c r="K1534" s="4"/>
      <c r="L1534" s="4"/>
      <c r="O1534" s="4"/>
      <c r="P1534" s="4"/>
      <c r="T1534" s="4"/>
      <c r="U1534" s="4"/>
      <c r="Y1534" s="4"/>
      <c r="Z1534" s="4"/>
      <c r="AA1534" s="4"/>
      <c r="AB1534" s="4"/>
      <c r="AC1534" s="4"/>
    </row>
    <row r="1535" spans="2:29">
      <c r="B1535" s="180"/>
      <c r="E1535" s="4"/>
      <c r="F1535" s="4"/>
      <c r="G1535" s="4"/>
      <c r="J1535" s="4"/>
      <c r="K1535" s="4"/>
      <c r="L1535" s="4"/>
      <c r="O1535" s="4"/>
      <c r="P1535" s="4"/>
      <c r="T1535" s="4"/>
      <c r="U1535" s="4"/>
      <c r="Y1535" s="4"/>
      <c r="Z1535" s="4"/>
      <c r="AA1535" s="4"/>
      <c r="AB1535" s="4"/>
      <c r="AC1535" s="4"/>
    </row>
    <row r="1536" spans="2:29">
      <c r="B1536" s="180"/>
      <c r="E1536" s="4"/>
      <c r="F1536" s="4"/>
      <c r="G1536" s="4"/>
      <c r="J1536" s="4"/>
      <c r="K1536" s="4"/>
      <c r="L1536" s="4"/>
      <c r="O1536" s="4"/>
      <c r="P1536" s="4"/>
      <c r="T1536" s="4"/>
      <c r="U1536" s="4"/>
      <c r="Y1536" s="4"/>
      <c r="Z1536" s="4"/>
      <c r="AA1536" s="4"/>
      <c r="AB1536" s="4"/>
      <c r="AC1536" s="4"/>
    </row>
    <row r="1537" spans="2:29">
      <c r="B1537" s="180"/>
      <c r="E1537" s="4"/>
      <c r="F1537" s="4"/>
      <c r="G1537" s="4"/>
      <c r="J1537" s="4"/>
      <c r="K1537" s="4"/>
      <c r="L1537" s="4"/>
      <c r="O1537" s="4"/>
      <c r="P1537" s="4"/>
      <c r="T1537" s="4"/>
      <c r="U1537" s="4"/>
      <c r="Y1537" s="4"/>
      <c r="Z1537" s="4"/>
      <c r="AA1537" s="4"/>
      <c r="AB1537" s="4"/>
      <c r="AC1537" s="4"/>
    </row>
    <row r="1538" spans="2:29">
      <c r="B1538" s="180"/>
      <c r="E1538" s="4"/>
      <c r="F1538" s="4"/>
      <c r="G1538" s="4"/>
      <c r="J1538" s="4"/>
      <c r="K1538" s="4"/>
      <c r="L1538" s="4"/>
      <c r="O1538" s="4"/>
      <c r="P1538" s="4"/>
      <c r="T1538" s="4"/>
      <c r="U1538" s="4"/>
      <c r="Y1538" s="4"/>
      <c r="Z1538" s="4"/>
      <c r="AA1538" s="4"/>
      <c r="AB1538" s="4"/>
      <c r="AC1538" s="4"/>
    </row>
    <row r="1539" spans="2:29">
      <c r="B1539" s="180"/>
      <c r="E1539" s="4"/>
      <c r="F1539" s="4"/>
      <c r="G1539" s="4"/>
      <c r="J1539" s="4"/>
      <c r="K1539" s="4"/>
      <c r="L1539" s="4"/>
      <c r="O1539" s="4"/>
      <c r="P1539" s="4"/>
      <c r="T1539" s="4"/>
      <c r="U1539" s="4"/>
      <c r="Y1539" s="4"/>
      <c r="Z1539" s="4"/>
      <c r="AA1539" s="4"/>
      <c r="AB1539" s="4"/>
      <c r="AC1539" s="4"/>
    </row>
    <row r="1540" spans="2:29">
      <c r="B1540" s="180"/>
      <c r="E1540" s="4"/>
      <c r="F1540" s="4"/>
      <c r="G1540" s="4"/>
      <c r="J1540" s="4"/>
      <c r="K1540" s="4"/>
      <c r="L1540" s="4"/>
      <c r="O1540" s="4"/>
      <c r="P1540" s="4"/>
      <c r="T1540" s="4"/>
      <c r="U1540" s="4"/>
      <c r="Y1540" s="4"/>
      <c r="Z1540" s="4"/>
      <c r="AA1540" s="4"/>
      <c r="AB1540" s="4"/>
      <c r="AC1540" s="4"/>
    </row>
    <row r="1541" spans="2:29">
      <c r="B1541" s="180"/>
      <c r="E1541" s="4"/>
      <c r="F1541" s="4"/>
      <c r="G1541" s="4"/>
      <c r="J1541" s="4"/>
      <c r="K1541" s="4"/>
      <c r="L1541" s="4"/>
      <c r="O1541" s="4"/>
      <c r="P1541" s="4"/>
      <c r="T1541" s="4"/>
      <c r="U1541" s="4"/>
      <c r="Y1541" s="4"/>
      <c r="Z1541" s="4"/>
      <c r="AA1541" s="4"/>
      <c r="AB1541" s="4"/>
      <c r="AC1541" s="4"/>
    </row>
    <row r="1542" spans="2:29">
      <c r="B1542" s="180"/>
      <c r="E1542" s="4"/>
      <c r="F1542" s="4"/>
      <c r="G1542" s="4"/>
      <c r="J1542" s="4"/>
      <c r="K1542" s="4"/>
      <c r="L1542" s="4"/>
      <c r="O1542" s="4"/>
      <c r="P1542" s="4"/>
      <c r="T1542" s="4"/>
      <c r="U1542" s="4"/>
      <c r="Y1542" s="4"/>
      <c r="Z1542" s="4"/>
      <c r="AA1542" s="4"/>
      <c r="AB1542" s="4"/>
      <c r="AC1542" s="4"/>
    </row>
    <row r="1543" spans="2:29">
      <c r="B1543" s="180"/>
      <c r="E1543" s="4"/>
      <c r="F1543" s="4"/>
      <c r="G1543" s="4"/>
      <c r="J1543" s="4"/>
      <c r="K1543" s="4"/>
      <c r="L1543" s="4"/>
      <c r="O1543" s="4"/>
      <c r="P1543" s="4"/>
      <c r="T1543" s="4"/>
      <c r="U1543" s="4"/>
      <c r="Y1543" s="4"/>
      <c r="Z1543" s="4"/>
      <c r="AA1543" s="4"/>
      <c r="AB1543" s="4"/>
      <c r="AC1543" s="4"/>
    </row>
    <row r="1544" spans="2:29">
      <c r="B1544" s="180"/>
      <c r="E1544" s="4"/>
      <c r="F1544" s="4"/>
      <c r="G1544" s="4"/>
      <c r="J1544" s="4"/>
      <c r="K1544" s="4"/>
      <c r="L1544" s="4"/>
      <c r="O1544" s="4"/>
      <c r="P1544" s="4"/>
      <c r="T1544" s="4"/>
      <c r="U1544" s="4"/>
      <c r="Y1544" s="4"/>
      <c r="Z1544" s="4"/>
      <c r="AA1544" s="4"/>
      <c r="AB1544" s="4"/>
      <c r="AC1544" s="4"/>
    </row>
    <row r="1545" spans="2:29">
      <c r="B1545" s="180"/>
      <c r="E1545" s="4"/>
      <c r="F1545" s="4"/>
      <c r="G1545" s="4"/>
      <c r="J1545" s="4"/>
      <c r="K1545" s="4"/>
      <c r="L1545" s="4"/>
      <c r="O1545" s="4"/>
      <c r="P1545" s="4"/>
      <c r="T1545" s="4"/>
      <c r="U1545" s="4"/>
      <c r="Y1545" s="4"/>
      <c r="Z1545" s="4"/>
      <c r="AA1545" s="4"/>
      <c r="AB1545" s="4"/>
      <c r="AC1545" s="4"/>
    </row>
    <row r="1546" spans="2:29">
      <c r="B1546" s="180"/>
      <c r="E1546" s="4"/>
      <c r="F1546" s="4"/>
      <c r="G1546" s="4"/>
      <c r="J1546" s="4"/>
      <c r="K1546" s="4"/>
      <c r="L1546" s="4"/>
      <c r="O1546" s="4"/>
      <c r="P1546" s="4"/>
      <c r="T1546" s="4"/>
      <c r="U1546" s="4"/>
      <c r="Y1546" s="4"/>
      <c r="Z1546" s="4"/>
      <c r="AA1546" s="4"/>
      <c r="AB1546" s="4"/>
      <c r="AC1546" s="4"/>
    </row>
    <row r="1547" spans="2:29">
      <c r="B1547" s="180"/>
      <c r="E1547" s="4"/>
      <c r="F1547" s="4"/>
      <c r="G1547" s="4"/>
      <c r="J1547" s="4"/>
      <c r="K1547" s="4"/>
      <c r="L1547" s="4"/>
      <c r="O1547" s="4"/>
      <c r="P1547" s="4"/>
      <c r="T1547" s="4"/>
      <c r="U1547" s="4"/>
      <c r="Y1547" s="4"/>
      <c r="Z1547" s="4"/>
      <c r="AA1547" s="4"/>
      <c r="AB1547" s="4"/>
      <c r="AC1547" s="4"/>
    </row>
    <row r="1548" spans="2:29">
      <c r="B1548" s="180"/>
      <c r="E1548" s="4"/>
      <c r="F1548" s="4"/>
      <c r="G1548" s="4"/>
      <c r="J1548" s="4"/>
      <c r="K1548" s="4"/>
      <c r="L1548" s="4"/>
      <c r="O1548" s="4"/>
      <c r="P1548" s="4"/>
      <c r="T1548" s="4"/>
      <c r="U1548" s="4"/>
      <c r="Y1548" s="4"/>
      <c r="Z1548" s="4"/>
      <c r="AA1548" s="4"/>
      <c r="AB1548" s="4"/>
      <c r="AC1548" s="4"/>
    </row>
    <row r="1549" spans="2:29">
      <c r="B1549" s="180"/>
      <c r="E1549" s="4"/>
      <c r="F1549" s="4"/>
      <c r="G1549" s="4"/>
      <c r="J1549" s="4"/>
      <c r="K1549" s="4"/>
      <c r="L1549" s="4"/>
      <c r="O1549" s="4"/>
      <c r="P1549" s="4"/>
      <c r="T1549" s="4"/>
      <c r="U1549" s="4"/>
      <c r="Y1549" s="4"/>
      <c r="Z1549" s="4"/>
      <c r="AA1549" s="4"/>
      <c r="AB1549" s="4"/>
      <c r="AC1549" s="4"/>
    </row>
    <row r="1550" spans="2:29">
      <c r="B1550" s="180"/>
      <c r="E1550" s="4"/>
      <c r="F1550" s="4"/>
      <c r="G1550" s="4"/>
      <c r="J1550" s="4"/>
      <c r="K1550" s="4"/>
      <c r="L1550" s="4"/>
      <c r="O1550" s="4"/>
      <c r="P1550" s="4"/>
      <c r="T1550" s="4"/>
      <c r="U1550" s="4"/>
      <c r="Y1550" s="4"/>
      <c r="Z1550" s="4"/>
      <c r="AA1550" s="4"/>
      <c r="AB1550" s="4"/>
      <c r="AC1550" s="4"/>
    </row>
    <row r="1551" spans="2:29">
      <c r="B1551" s="180"/>
      <c r="E1551" s="4"/>
      <c r="F1551" s="4"/>
      <c r="G1551" s="4"/>
      <c r="J1551" s="4"/>
      <c r="K1551" s="4"/>
      <c r="L1551" s="4"/>
      <c r="O1551" s="4"/>
      <c r="P1551" s="4"/>
      <c r="T1551" s="4"/>
      <c r="U1551" s="4"/>
      <c r="Y1551" s="4"/>
      <c r="Z1551" s="4"/>
      <c r="AA1551" s="4"/>
      <c r="AB1551" s="4"/>
      <c r="AC1551" s="4"/>
    </row>
    <row r="1552" spans="2:29">
      <c r="B1552" s="180"/>
      <c r="E1552" s="4"/>
      <c r="F1552" s="4"/>
      <c r="G1552" s="4"/>
      <c r="J1552" s="4"/>
      <c r="K1552" s="4"/>
      <c r="L1552" s="4"/>
      <c r="O1552" s="4"/>
      <c r="P1552" s="4"/>
      <c r="T1552" s="4"/>
      <c r="U1552" s="4"/>
      <c r="Y1552" s="4"/>
      <c r="Z1552" s="4"/>
      <c r="AA1552" s="4"/>
      <c r="AB1552" s="4"/>
      <c r="AC1552" s="4"/>
    </row>
    <row r="1553" spans="2:29">
      <c r="B1553" s="180"/>
      <c r="E1553" s="4"/>
      <c r="F1553" s="4"/>
      <c r="G1553" s="4"/>
      <c r="J1553" s="4"/>
      <c r="K1553" s="4"/>
      <c r="L1553" s="4"/>
      <c r="O1553" s="4"/>
      <c r="P1553" s="4"/>
      <c r="T1553" s="4"/>
      <c r="U1553" s="4"/>
      <c r="Y1553" s="4"/>
      <c r="Z1553" s="4"/>
      <c r="AA1553" s="4"/>
      <c r="AB1553" s="4"/>
      <c r="AC1553" s="4"/>
    </row>
    <row r="1554" spans="2:29">
      <c r="B1554" s="180"/>
      <c r="E1554" s="4"/>
      <c r="F1554" s="4"/>
      <c r="G1554" s="4"/>
      <c r="J1554" s="4"/>
      <c r="K1554" s="4"/>
      <c r="L1554" s="4"/>
      <c r="O1554" s="4"/>
      <c r="P1554" s="4"/>
      <c r="T1554" s="4"/>
      <c r="U1554" s="4"/>
      <c r="Y1554" s="4"/>
      <c r="Z1554" s="4"/>
      <c r="AA1554" s="4"/>
      <c r="AB1554" s="4"/>
      <c r="AC1554" s="4"/>
    </row>
    <row r="1555" spans="2:29">
      <c r="B1555" s="180"/>
      <c r="E1555" s="4"/>
      <c r="F1555" s="4"/>
      <c r="G1555" s="4"/>
      <c r="J1555" s="4"/>
      <c r="K1555" s="4"/>
      <c r="L1555" s="4"/>
      <c r="O1555" s="4"/>
      <c r="P1555" s="4"/>
      <c r="T1555" s="4"/>
      <c r="U1555" s="4"/>
      <c r="Y1555" s="4"/>
      <c r="Z1555" s="4"/>
      <c r="AA1555" s="4"/>
      <c r="AB1555" s="4"/>
      <c r="AC1555" s="4"/>
    </row>
    <row r="1556" spans="2:29">
      <c r="B1556" s="180"/>
      <c r="E1556" s="4"/>
      <c r="F1556" s="4"/>
      <c r="G1556" s="4"/>
      <c r="J1556" s="4"/>
      <c r="K1556" s="4"/>
      <c r="L1556" s="4"/>
      <c r="O1556" s="4"/>
      <c r="P1556" s="4"/>
      <c r="T1556" s="4"/>
      <c r="U1556" s="4"/>
      <c r="Y1556" s="4"/>
      <c r="Z1556" s="4"/>
      <c r="AA1556" s="4"/>
      <c r="AB1556" s="4"/>
      <c r="AC1556" s="4"/>
    </row>
    <row r="1557" spans="2:29">
      <c r="B1557" s="180"/>
      <c r="E1557" s="4"/>
      <c r="F1557" s="4"/>
      <c r="G1557" s="4"/>
      <c r="J1557" s="4"/>
      <c r="K1557" s="4"/>
      <c r="L1557" s="4"/>
      <c r="O1557" s="4"/>
      <c r="P1557" s="4"/>
      <c r="T1557" s="4"/>
      <c r="U1557" s="4"/>
      <c r="Y1557" s="4"/>
      <c r="Z1557" s="4"/>
      <c r="AA1557" s="4"/>
      <c r="AB1557" s="4"/>
      <c r="AC1557" s="4"/>
    </row>
    <row r="1558" spans="2:29">
      <c r="B1558" s="180"/>
      <c r="E1558" s="4"/>
      <c r="F1558" s="4"/>
      <c r="G1558" s="4"/>
      <c r="J1558" s="4"/>
      <c r="K1558" s="4"/>
      <c r="L1558" s="4"/>
      <c r="O1558" s="4"/>
      <c r="P1558" s="4"/>
      <c r="T1558" s="4"/>
      <c r="U1558" s="4"/>
      <c r="Y1558" s="4"/>
      <c r="Z1558" s="4"/>
      <c r="AA1558" s="4"/>
      <c r="AB1558" s="4"/>
      <c r="AC1558" s="4"/>
    </row>
    <row r="1559" spans="2:29">
      <c r="B1559" s="180"/>
      <c r="E1559" s="4"/>
      <c r="F1559" s="4"/>
      <c r="G1559" s="4"/>
      <c r="J1559" s="4"/>
      <c r="K1559" s="4"/>
      <c r="L1559" s="4"/>
      <c r="O1559" s="4"/>
      <c r="P1559" s="4"/>
      <c r="T1559" s="4"/>
      <c r="U1559" s="4"/>
      <c r="Y1559" s="4"/>
      <c r="Z1559" s="4"/>
      <c r="AA1559" s="4"/>
      <c r="AB1559" s="4"/>
      <c r="AC1559" s="4"/>
    </row>
    <row r="1560" spans="2:29">
      <c r="B1560" s="180"/>
      <c r="E1560" s="4"/>
      <c r="F1560" s="4"/>
      <c r="G1560" s="4"/>
      <c r="J1560" s="4"/>
      <c r="K1560" s="4"/>
      <c r="L1560" s="4"/>
      <c r="O1560" s="4"/>
      <c r="P1560" s="4"/>
      <c r="T1560" s="4"/>
      <c r="U1560" s="4"/>
      <c r="Y1560" s="4"/>
      <c r="Z1560" s="4"/>
      <c r="AA1560" s="4"/>
      <c r="AB1560" s="4"/>
      <c r="AC1560" s="4"/>
    </row>
    <row r="1561" spans="2:29">
      <c r="B1561" s="180"/>
      <c r="E1561" s="4"/>
      <c r="F1561" s="4"/>
      <c r="G1561" s="4"/>
      <c r="J1561" s="4"/>
      <c r="K1561" s="4"/>
      <c r="L1561" s="4"/>
      <c r="O1561" s="4"/>
      <c r="P1561" s="4"/>
      <c r="T1561" s="4"/>
      <c r="U1561" s="4"/>
      <c r="Y1561" s="4"/>
      <c r="Z1561" s="4"/>
      <c r="AA1561" s="4"/>
      <c r="AB1561" s="4"/>
      <c r="AC1561" s="4"/>
    </row>
    <row r="1562" spans="2:29">
      <c r="B1562" s="180"/>
      <c r="E1562" s="4"/>
      <c r="F1562" s="4"/>
      <c r="G1562" s="4"/>
      <c r="J1562" s="4"/>
      <c r="K1562" s="4"/>
      <c r="L1562" s="4"/>
      <c r="O1562" s="4"/>
      <c r="P1562" s="4"/>
      <c r="T1562" s="4"/>
      <c r="U1562" s="4"/>
      <c r="Y1562" s="4"/>
      <c r="Z1562" s="4"/>
      <c r="AA1562" s="4"/>
      <c r="AB1562" s="4"/>
      <c r="AC1562" s="4"/>
    </row>
    <row r="1563" spans="2:29">
      <c r="B1563" s="180"/>
      <c r="E1563" s="4"/>
      <c r="F1563" s="4"/>
      <c r="G1563" s="4"/>
      <c r="J1563" s="4"/>
      <c r="K1563" s="4"/>
      <c r="L1563" s="4"/>
      <c r="O1563" s="4"/>
      <c r="P1563" s="4"/>
      <c r="T1563" s="4"/>
      <c r="U1563" s="4"/>
      <c r="Y1563" s="4"/>
      <c r="Z1563" s="4"/>
      <c r="AA1563" s="4"/>
      <c r="AB1563" s="4"/>
      <c r="AC1563" s="4"/>
    </row>
    <row r="1564" spans="2:29">
      <c r="B1564" s="180"/>
      <c r="E1564" s="4"/>
      <c r="F1564" s="4"/>
      <c r="G1564" s="4"/>
      <c r="J1564" s="4"/>
      <c r="K1564" s="4"/>
      <c r="L1564" s="4"/>
      <c r="O1564" s="4"/>
      <c r="P1564" s="4"/>
      <c r="T1564" s="4"/>
      <c r="U1564" s="4"/>
      <c r="Y1564" s="4"/>
      <c r="Z1564" s="4"/>
      <c r="AA1564" s="4"/>
      <c r="AB1564" s="4"/>
      <c r="AC1564" s="4"/>
    </row>
    <row r="1565" spans="2:29">
      <c r="B1565" s="180"/>
      <c r="E1565" s="4"/>
      <c r="F1565" s="4"/>
      <c r="G1565" s="4"/>
      <c r="J1565" s="4"/>
      <c r="K1565" s="4"/>
      <c r="L1565" s="4"/>
      <c r="O1565" s="4"/>
      <c r="P1565" s="4"/>
      <c r="T1565" s="4"/>
      <c r="U1565" s="4"/>
      <c r="Y1565" s="4"/>
      <c r="Z1565" s="4"/>
      <c r="AA1565" s="4"/>
      <c r="AB1565" s="4"/>
      <c r="AC1565" s="4"/>
    </row>
    <row r="1566" spans="2:29">
      <c r="B1566" s="180"/>
      <c r="E1566" s="4"/>
      <c r="F1566" s="4"/>
      <c r="G1566" s="4"/>
      <c r="J1566" s="4"/>
      <c r="K1566" s="4"/>
      <c r="L1566" s="4"/>
      <c r="O1566" s="4"/>
      <c r="P1566" s="4"/>
      <c r="T1566" s="4"/>
      <c r="U1566" s="4"/>
      <c r="Y1566" s="4"/>
      <c r="Z1566" s="4"/>
      <c r="AA1566" s="4"/>
      <c r="AB1566" s="4"/>
      <c r="AC1566" s="4"/>
    </row>
    <row r="1567" spans="2:29">
      <c r="B1567" s="180"/>
      <c r="E1567" s="4"/>
      <c r="F1567" s="4"/>
      <c r="G1567" s="4"/>
      <c r="J1567" s="4"/>
      <c r="K1567" s="4"/>
      <c r="L1567" s="4"/>
      <c r="O1567" s="4"/>
      <c r="P1567" s="4"/>
      <c r="T1567" s="4"/>
      <c r="U1567" s="4"/>
      <c r="Y1567" s="4"/>
      <c r="Z1567" s="4"/>
      <c r="AA1567" s="4"/>
      <c r="AB1567" s="4"/>
      <c r="AC1567" s="4"/>
    </row>
    <row r="1568" spans="2:29">
      <c r="B1568" s="180"/>
      <c r="E1568" s="4"/>
      <c r="F1568" s="4"/>
      <c r="G1568" s="4"/>
      <c r="J1568" s="4"/>
      <c r="K1568" s="4"/>
      <c r="L1568" s="4"/>
      <c r="O1568" s="4"/>
      <c r="P1568" s="4"/>
      <c r="T1568" s="4"/>
      <c r="U1568" s="4"/>
      <c r="Y1568" s="4"/>
      <c r="Z1568" s="4"/>
      <c r="AA1568" s="4"/>
      <c r="AB1568" s="4"/>
      <c r="AC1568" s="4"/>
    </row>
    <row r="1569" spans="2:29">
      <c r="B1569" s="180"/>
      <c r="E1569" s="4"/>
      <c r="F1569" s="4"/>
      <c r="G1569" s="4"/>
      <c r="J1569" s="4"/>
      <c r="K1569" s="4"/>
      <c r="L1569" s="4"/>
      <c r="O1569" s="4"/>
      <c r="P1569" s="4"/>
      <c r="T1569" s="4"/>
      <c r="U1569" s="4"/>
      <c r="Y1569" s="4"/>
      <c r="Z1569" s="4"/>
      <c r="AA1569" s="4"/>
      <c r="AB1569" s="4"/>
      <c r="AC1569" s="4"/>
    </row>
    <row r="1570" spans="2:29">
      <c r="B1570" s="180"/>
      <c r="E1570" s="4"/>
      <c r="F1570" s="4"/>
      <c r="G1570" s="4"/>
      <c r="J1570" s="4"/>
      <c r="K1570" s="4"/>
      <c r="L1570" s="4"/>
      <c r="O1570" s="4"/>
      <c r="P1570" s="4"/>
      <c r="T1570" s="4"/>
      <c r="U1570" s="4"/>
      <c r="Y1570" s="4"/>
      <c r="Z1570" s="4"/>
      <c r="AA1570" s="4"/>
      <c r="AB1570" s="4"/>
      <c r="AC1570" s="4"/>
    </row>
    <row r="1571" spans="2:29">
      <c r="B1571" s="180"/>
      <c r="E1571" s="4"/>
      <c r="F1571" s="4"/>
      <c r="G1571" s="4"/>
      <c r="J1571" s="4"/>
      <c r="K1571" s="4"/>
      <c r="L1571" s="4"/>
      <c r="O1571" s="4"/>
      <c r="P1571" s="4"/>
      <c r="T1571" s="4"/>
      <c r="U1571" s="4"/>
      <c r="Y1571" s="4"/>
      <c r="Z1571" s="4"/>
      <c r="AA1571" s="4"/>
      <c r="AB1571" s="4"/>
      <c r="AC1571" s="4"/>
    </row>
    <row r="1572" spans="2:29">
      <c r="B1572" s="180"/>
      <c r="E1572" s="4"/>
      <c r="F1572" s="4"/>
      <c r="G1572" s="4"/>
      <c r="J1572" s="4"/>
      <c r="K1572" s="4"/>
      <c r="L1572" s="4"/>
      <c r="O1572" s="4"/>
      <c r="P1572" s="4"/>
      <c r="T1572" s="4"/>
      <c r="U1572" s="4"/>
      <c r="Y1572" s="4"/>
      <c r="Z1572" s="4"/>
      <c r="AA1572" s="4"/>
      <c r="AB1572" s="4"/>
      <c r="AC1572" s="4"/>
    </row>
    <row r="1573" spans="2:29">
      <c r="B1573" s="180"/>
      <c r="E1573" s="4"/>
      <c r="F1573" s="4"/>
      <c r="G1573" s="4"/>
      <c r="J1573" s="4"/>
      <c r="K1573" s="4"/>
      <c r="L1573" s="4"/>
      <c r="O1573" s="4"/>
      <c r="P1573" s="4"/>
      <c r="T1573" s="4"/>
      <c r="U1573" s="4"/>
      <c r="Y1573" s="4"/>
      <c r="Z1573" s="4"/>
      <c r="AA1573" s="4"/>
      <c r="AB1573" s="4"/>
      <c r="AC1573" s="4"/>
    </row>
    <row r="1574" spans="2:29">
      <c r="B1574" s="180"/>
      <c r="E1574" s="4"/>
      <c r="F1574" s="4"/>
      <c r="G1574" s="4"/>
      <c r="J1574" s="4"/>
      <c r="K1574" s="4"/>
      <c r="L1574" s="4"/>
      <c r="O1574" s="4"/>
      <c r="P1574" s="4"/>
      <c r="T1574" s="4"/>
      <c r="U1574" s="4"/>
      <c r="Y1574" s="4"/>
      <c r="Z1574" s="4"/>
      <c r="AA1574" s="4"/>
      <c r="AB1574" s="4"/>
      <c r="AC1574" s="4"/>
    </row>
    <row r="1575" spans="2:29">
      <c r="B1575" s="180"/>
      <c r="E1575" s="4"/>
      <c r="F1575" s="4"/>
      <c r="G1575" s="4"/>
      <c r="J1575" s="4"/>
      <c r="K1575" s="4"/>
      <c r="L1575" s="4"/>
      <c r="O1575" s="4"/>
      <c r="P1575" s="4"/>
      <c r="T1575" s="4"/>
      <c r="U1575" s="4"/>
      <c r="Y1575" s="4"/>
      <c r="Z1575" s="4"/>
      <c r="AA1575" s="4"/>
      <c r="AB1575" s="4"/>
      <c r="AC1575" s="4"/>
    </row>
    <row r="1576" spans="2:29">
      <c r="B1576" s="180"/>
      <c r="E1576" s="4"/>
      <c r="F1576" s="4"/>
      <c r="G1576" s="4"/>
      <c r="J1576" s="4"/>
      <c r="K1576" s="4"/>
      <c r="L1576" s="4"/>
      <c r="O1576" s="4"/>
      <c r="P1576" s="4"/>
      <c r="T1576" s="4"/>
      <c r="U1576" s="4"/>
      <c r="Y1576" s="4"/>
      <c r="Z1576" s="4"/>
      <c r="AA1576" s="4"/>
      <c r="AB1576" s="4"/>
      <c r="AC1576" s="4"/>
    </row>
    <row r="1577" spans="2:29">
      <c r="B1577" s="180"/>
      <c r="E1577" s="4"/>
      <c r="F1577" s="4"/>
      <c r="G1577" s="4"/>
      <c r="J1577" s="4"/>
      <c r="K1577" s="4"/>
      <c r="L1577" s="4"/>
      <c r="O1577" s="4"/>
      <c r="P1577" s="4"/>
      <c r="T1577" s="4"/>
      <c r="U1577" s="4"/>
      <c r="Y1577" s="4"/>
      <c r="Z1577" s="4"/>
      <c r="AA1577" s="4"/>
      <c r="AB1577" s="4"/>
      <c r="AC1577" s="4"/>
    </row>
    <row r="1578" spans="2:29">
      <c r="B1578" s="180"/>
      <c r="E1578" s="4"/>
      <c r="F1578" s="4"/>
      <c r="G1578" s="4"/>
      <c r="J1578" s="4"/>
      <c r="K1578" s="4"/>
      <c r="L1578" s="4"/>
      <c r="O1578" s="4"/>
      <c r="P1578" s="4"/>
      <c r="T1578" s="4"/>
      <c r="U1578" s="4"/>
      <c r="Y1578" s="4"/>
      <c r="Z1578" s="4"/>
      <c r="AA1578" s="4"/>
      <c r="AB1578" s="4"/>
      <c r="AC1578" s="4"/>
    </row>
    <row r="1579" spans="2:29">
      <c r="B1579" s="180"/>
      <c r="E1579" s="4"/>
      <c r="F1579" s="4"/>
      <c r="G1579" s="4"/>
      <c r="J1579" s="4"/>
      <c r="K1579" s="4"/>
      <c r="L1579" s="4"/>
      <c r="O1579" s="4"/>
      <c r="P1579" s="4"/>
      <c r="T1579" s="4"/>
      <c r="U1579" s="4"/>
      <c r="Y1579" s="4"/>
      <c r="Z1579" s="4"/>
      <c r="AA1579" s="4"/>
      <c r="AB1579" s="4"/>
      <c r="AC1579" s="4"/>
    </row>
    <row r="1580" spans="2:29">
      <c r="B1580" s="180"/>
      <c r="E1580" s="4"/>
      <c r="F1580" s="4"/>
      <c r="G1580" s="4"/>
      <c r="J1580" s="4"/>
      <c r="K1580" s="4"/>
      <c r="L1580" s="4"/>
      <c r="O1580" s="4"/>
      <c r="P1580" s="4"/>
      <c r="T1580" s="4"/>
      <c r="U1580" s="4"/>
      <c r="Y1580" s="4"/>
      <c r="Z1580" s="4"/>
      <c r="AA1580" s="4"/>
      <c r="AB1580" s="4"/>
      <c r="AC1580" s="4"/>
    </row>
    <row r="1581" spans="2:29">
      <c r="B1581" s="180"/>
      <c r="E1581" s="4"/>
      <c r="F1581" s="4"/>
      <c r="G1581" s="4"/>
      <c r="J1581" s="4"/>
      <c r="K1581" s="4"/>
      <c r="L1581" s="4"/>
      <c r="O1581" s="4"/>
      <c r="P1581" s="4"/>
      <c r="T1581" s="4"/>
      <c r="U1581" s="4"/>
      <c r="Y1581" s="4"/>
      <c r="Z1581" s="4"/>
      <c r="AA1581" s="4"/>
      <c r="AB1581" s="4"/>
      <c r="AC1581" s="4"/>
    </row>
    <row r="1582" spans="2:29">
      <c r="B1582" s="180"/>
      <c r="E1582" s="4"/>
      <c r="F1582" s="4"/>
      <c r="G1582" s="4"/>
      <c r="J1582" s="4"/>
      <c r="K1582" s="4"/>
      <c r="L1582" s="4"/>
      <c r="O1582" s="4"/>
      <c r="P1582" s="4"/>
      <c r="T1582" s="4"/>
      <c r="U1582" s="4"/>
      <c r="Y1582" s="4"/>
      <c r="Z1582" s="4"/>
      <c r="AA1582" s="4"/>
      <c r="AB1582" s="4"/>
      <c r="AC1582" s="4"/>
    </row>
    <row r="1583" spans="2:29">
      <c r="B1583" s="180"/>
      <c r="E1583" s="4"/>
      <c r="F1583" s="4"/>
      <c r="G1583" s="4"/>
      <c r="J1583" s="4"/>
      <c r="K1583" s="4"/>
      <c r="L1583" s="4"/>
      <c r="O1583" s="4"/>
      <c r="P1583" s="4"/>
      <c r="T1583" s="4"/>
      <c r="U1583" s="4"/>
      <c r="Y1583" s="4"/>
      <c r="Z1583" s="4"/>
      <c r="AA1583" s="4"/>
      <c r="AB1583" s="4"/>
      <c r="AC1583" s="4"/>
    </row>
    <row r="1584" spans="2:29">
      <c r="B1584" s="180"/>
      <c r="E1584" s="4"/>
      <c r="F1584" s="4"/>
      <c r="G1584" s="4"/>
      <c r="J1584" s="4"/>
      <c r="K1584" s="4"/>
      <c r="L1584" s="4"/>
      <c r="O1584" s="4"/>
      <c r="P1584" s="4"/>
      <c r="T1584" s="4"/>
      <c r="U1584" s="4"/>
      <c r="Y1584" s="4"/>
      <c r="Z1584" s="4"/>
      <c r="AA1584" s="4"/>
      <c r="AB1584" s="4"/>
      <c r="AC1584" s="4"/>
    </row>
    <row r="1585" spans="2:29">
      <c r="B1585" s="180"/>
      <c r="E1585" s="4"/>
      <c r="F1585" s="4"/>
      <c r="G1585" s="4"/>
      <c r="J1585" s="4"/>
      <c r="K1585" s="4"/>
      <c r="L1585" s="4"/>
      <c r="O1585" s="4"/>
      <c r="P1585" s="4"/>
      <c r="T1585" s="4"/>
      <c r="U1585" s="4"/>
      <c r="Y1585" s="4"/>
      <c r="Z1585" s="4"/>
      <c r="AA1585" s="4"/>
      <c r="AB1585" s="4"/>
      <c r="AC1585" s="4"/>
    </row>
    <row r="1586" spans="2:29">
      <c r="B1586" s="180"/>
      <c r="E1586" s="4"/>
      <c r="F1586" s="4"/>
      <c r="G1586" s="4"/>
      <c r="J1586" s="4"/>
      <c r="K1586" s="4"/>
      <c r="L1586" s="4"/>
      <c r="O1586" s="4"/>
      <c r="P1586" s="4"/>
      <c r="T1586" s="4"/>
      <c r="U1586" s="4"/>
      <c r="Y1586" s="4"/>
      <c r="Z1586" s="4"/>
      <c r="AA1586" s="4"/>
      <c r="AB1586" s="4"/>
      <c r="AC1586" s="4"/>
    </row>
    <row r="1587" spans="2:29">
      <c r="B1587" s="180"/>
      <c r="E1587" s="4"/>
      <c r="F1587" s="4"/>
      <c r="G1587" s="4"/>
      <c r="J1587" s="4"/>
      <c r="K1587" s="4"/>
      <c r="L1587" s="4"/>
      <c r="O1587" s="4"/>
      <c r="P1587" s="4"/>
      <c r="T1587" s="4"/>
      <c r="U1587" s="4"/>
      <c r="Y1587" s="4"/>
      <c r="Z1587" s="4"/>
      <c r="AA1587" s="4"/>
      <c r="AB1587" s="4"/>
      <c r="AC1587" s="4"/>
    </row>
    <row r="1588" spans="2:29">
      <c r="B1588" s="180"/>
      <c r="E1588" s="4"/>
      <c r="F1588" s="4"/>
      <c r="G1588" s="4"/>
      <c r="J1588" s="4"/>
      <c r="K1588" s="4"/>
      <c r="L1588" s="4"/>
      <c r="O1588" s="4"/>
      <c r="P1588" s="4"/>
      <c r="T1588" s="4"/>
      <c r="U1588" s="4"/>
      <c r="Y1588" s="4"/>
      <c r="Z1588" s="4"/>
      <c r="AA1588" s="4"/>
      <c r="AB1588" s="4"/>
      <c r="AC1588" s="4"/>
    </row>
    <row r="1589" spans="2:29">
      <c r="B1589" s="180"/>
      <c r="E1589" s="4"/>
      <c r="F1589" s="4"/>
      <c r="G1589" s="4"/>
      <c r="J1589" s="4"/>
      <c r="K1589" s="4"/>
      <c r="L1589" s="4"/>
      <c r="O1589" s="4"/>
      <c r="P1589" s="4"/>
      <c r="T1589" s="4"/>
      <c r="U1589" s="4"/>
      <c r="Y1589" s="4"/>
      <c r="Z1589" s="4"/>
      <c r="AA1589" s="4"/>
      <c r="AB1589" s="4"/>
      <c r="AC1589" s="4"/>
    </row>
    <row r="1590" spans="2:29">
      <c r="B1590" s="180"/>
      <c r="E1590" s="4"/>
      <c r="F1590" s="4"/>
      <c r="G1590" s="4"/>
      <c r="J1590" s="4"/>
      <c r="K1590" s="4"/>
      <c r="L1590" s="4"/>
      <c r="O1590" s="4"/>
      <c r="P1590" s="4"/>
      <c r="T1590" s="4"/>
      <c r="U1590" s="4"/>
      <c r="Y1590" s="4"/>
      <c r="Z1590" s="4"/>
      <c r="AA1590" s="4"/>
      <c r="AB1590" s="4"/>
      <c r="AC1590" s="4"/>
    </row>
    <row r="1591" spans="2:29">
      <c r="B1591" s="180"/>
      <c r="E1591" s="4"/>
      <c r="F1591" s="4"/>
      <c r="G1591" s="4"/>
      <c r="J1591" s="4"/>
      <c r="K1591" s="4"/>
      <c r="L1591" s="4"/>
      <c r="O1591" s="4"/>
      <c r="P1591" s="4"/>
      <c r="T1591" s="4"/>
      <c r="U1591" s="4"/>
      <c r="Y1591" s="4"/>
      <c r="Z1591" s="4"/>
      <c r="AA1591" s="4"/>
      <c r="AB1591" s="4"/>
      <c r="AC1591" s="4"/>
    </row>
    <row r="1592" spans="2:29">
      <c r="B1592" s="180"/>
      <c r="E1592" s="4"/>
      <c r="F1592" s="4"/>
      <c r="G1592" s="4"/>
      <c r="J1592" s="4"/>
      <c r="K1592" s="4"/>
      <c r="L1592" s="4"/>
      <c r="O1592" s="4"/>
      <c r="P1592" s="4"/>
      <c r="T1592" s="4"/>
      <c r="U1592" s="4"/>
      <c r="Y1592" s="4"/>
      <c r="Z1592" s="4"/>
      <c r="AA1592" s="4"/>
      <c r="AB1592" s="4"/>
      <c r="AC1592" s="4"/>
    </row>
    <row r="1593" spans="2:29">
      <c r="B1593" s="180"/>
      <c r="E1593" s="4"/>
      <c r="F1593" s="4"/>
      <c r="G1593" s="4"/>
      <c r="J1593" s="4"/>
      <c r="K1593" s="4"/>
      <c r="L1593" s="4"/>
      <c r="O1593" s="4"/>
      <c r="P1593" s="4"/>
      <c r="T1593" s="4"/>
      <c r="U1593" s="4"/>
      <c r="Y1593" s="4"/>
      <c r="Z1593" s="4"/>
      <c r="AA1593" s="4"/>
      <c r="AB1593" s="4"/>
      <c r="AC1593" s="4"/>
    </row>
    <row r="1594" spans="2:29">
      <c r="B1594" s="180"/>
      <c r="E1594" s="4"/>
      <c r="F1594" s="4"/>
      <c r="G1594" s="4"/>
      <c r="J1594" s="4"/>
      <c r="K1594" s="4"/>
      <c r="L1594" s="4"/>
      <c r="O1594" s="4"/>
      <c r="P1594" s="4"/>
      <c r="T1594" s="4"/>
      <c r="U1594" s="4"/>
      <c r="Y1594" s="4"/>
      <c r="Z1594" s="4"/>
      <c r="AA1594" s="4"/>
      <c r="AB1594" s="4"/>
      <c r="AC1594" s="4"/>
    </row>
    <row r="1595" spans="2:29">
      <c r="B1595" s="180"/>
      <c r="E1595" s="4"/>
      <c r="F1595" s="4"/>
      <c r="G1595" s="4"/>
      <c r="J1595" s="4"/>
      <c r="K1595" s="4"/>
      <c r="L1595" s="4"/>
      <c r="O1595" s="4"/>
      <c r="P1595" s="4"/>
      <c r="T1595" s="4"/>
      <c r="U1595" s="4"/>
      <c r="Y1595" s="4"/>
      <c r="Z1595" s="4"/>
      <c r="AA1595" s="4"/>
      <c r="AB1595" s="4"/>
      <c r="AC1595" s="4"/>
    </row>
    <row r="1596" spans="2:29">
      <c r="B1596" s="180"/>
      <c r="E1596" s="4"/>
      <c r="F1596" s="4"/>
      <c r="G1596" s="4"/>
      <c r="J1596" s="4"/>
      <c r="K1596" s="4"/>
      <c r="L1596" s="4"/>
      <c r="O1596" s="4"/>
      <c r="P1596" s="4"/>
      <c r="T1596" s="4"/>
      <c r="U1596" s="4"/>
      <c r="Y1596" s="4"/>
      <c r="Z1596" s="4"/>
      <c r="AA1596" s="4"/>
      <c r="AB1596" s="4"/>
      <c r="AC1596" s="4"/>
    </row>
    <row r="1597" spans="2:29">
      <c r="B1597" s="180"/>
      <c r="E1597" s="4"/>
      <c r="F1597" s="4"/>
      <c r="G1597" s="4"/>
      <c r="J1597" s="4"/>
      <c r="K1597" s="4"/>
      <c r="L1597" s="4"/>
      <c r="O1597" s="4"/>
      <c r="P1597" s="4"/>
      <c r="T1597" s="4"/>
      <c r="U1597" s="4"/>
      <c r="Y1597" s="4"/>
      <c r="Z1597" s="4"/>
      <c r="AA1597" s="4"/>
      <c r="AB1597" s="4"/>
      <c r="AC1597" s="4"/>
    </row>
    <row r="1598" spans="2:29">
      <c r="B1598" s="180"/>
      <c r="E1598" s="4"/>
      <c r="F1598" s="4"/>
      <c r="G1598" s="4"/>
      <c r="J1598" s="4"/>
      <c r="K1598" s="4"/>
      <c r="L1598" s="4"/>
      <c r="O1598" s="4"/>
      <c r="P1598" s="4"/>
      <c r="T1598" s="4"/>
      <c r="U1598" s="4"/>
      <c r="Y1598" s="4"/>
      <c r="Z1598" s="4"/>
      <c r="AA1598" s="4"/>
      <c r="AB1598" s="4"/>
      <c r="AC1598" s="4"/>
    </row>
    <row r="1599" spans="2:29">
      <c r="B1599" s="180"/>
      <c r="E1599" s="4"/>
      <c r="F1599" s="4"/>
      <c r="G1599" s="4"/>
      <c r="J1599" s="4"/>
      <c r="K1599" s="4"/>
      <c r="L1599" s="4"/>
      <c r="O1599" s="4"/>
      <c r="P1599" s="4"/>
      <c r="T1599" s="4"/>
      <c r="U1599" s="4"/>
      <c r="Y1599" s="4"/>
      <c r="Z1599" s="4"/>
      <c r="AA1599" s="4"/>
      <c r="AB1599" s="4"/>
      <c r="AC1599" s="4"/>
    </row>
    <row r="1600" spans="2:29">
      <c r="B1600" s="180"/>
      <c r="E1600" s="4"/>
      <c r="F1600" s="4"/>
      <c r="G1600" s="4"/>
      <c r="J1600" s="4"/>
      <c r="K1600" s="4"/>
      <c r="L1600" s="4"/>
      <c r="O1600" s="4"/>
      <c r="P1600" s="4"/>
      <c r="T1600" s="4"/>
      <c r="U1600" s="4"/>
      <c r="Y1600" s="4"/>
      <c r="Z1600" s="4"/>
      <c r="AA1600" s="4"/>
      <c r="AB1600" s="4"/>
      <c r="AC1600" s="4"/>
    </row>
    <row r="1601" spans="2:29">
      <c r="B1601" s="180"/>
      <c r="E1601" s="4"/>
      <c r="F1601" s="4"/>
      <c r="G1601" s="4"/>
      <c r="J1601" s="4"/>
      <c r="K1601" s="4"/>
      <c r="L1601" s="4"/>
      <c r="O1601" s="4"/>
      <c r="P1601" s="4"/>
      <c r="T1601" s="4"/>
      <c r="U1601" s="4"/>
      <c r="Y1601" s="4"/>
      <c r="Z1601" s="4"/>
      <c r="AA1601" s="4"/>
      <c r="AB1601" s="4"/>
      <c r="AC1601" s="4"/>
    </row>
    <row r="1602" spans="2:29">
      <c r="B1602" s="180"/>
      <c r="E1602" s="4"/>
      <c r="F1602" s="4"/>
      <c r="G1602" s="4"/>
      <c r="J1602" s="4"/>
      <c r="K1602" s="4"/>
      <c r="L1602" s="4"/>
      <c r="O1602" s="4"/>
      <c r="P1602" s="4"/>
      <c r="T1602" s="4"/>
      <c r="U1602" s="4"/>
      <c r="Y1602" s="4"/>
      <c r="Z1602" s="4"/>
      <c r="AA1602" s="4"/>
      <c r="AB1602" s="4"/>
      <c r="AC1602" s="4"/>
    </row>
    <row r="1603" spans="2:29">
      <c r="B1603" s="180"/>
      <c r="E1603" s="4"/>
      <c r="F1603" s="4"/>
      <c r="G1603" s="4"/>
      <c r="J1603" s="4"/>
      <c r="K1603" s="4"/>
      <c r="L1603" s="4"/>
      <c r="O1603" s="4"/>
      <c r="P1603" s="4"/>
      <c r="T1603" s="4"/>
      <c r="U1603" s="4"/>
      <c r="Y1603" s="4"/>
      <c r="Z1603" s="4"/>
      <c r="AA1603" s="4"/>
      <c r="AB1603" s="4"/>
      <c r="AC1603" s="4"/>
    </row>
    <row r="1604" spans="2:29">
      <c r="B1604" s="180"/>
      <c r="E1604" s="4"/>
      <c r="F1604" s="4"/>
      <c r="G1604" s="4"/>
      <c r="J1604" s="4"/>
      <c r="K1604" s="4"/>
      <c r="L1604" s="4"/>
      <c r="O1604" s="4"/>
      <c r="P1604" s="4"/>
      <c r="T1604" s="4"/>
      <c r="U1604" s="4"/>
      <c r="Y1604" s="4"/>
      <c r="Z1604" s="4"/>
      <c r="AA1604" s="4"/>
      <c r="AB1604" s="4"/>
      <c r="AC1604" s="4"/>
    </row>
    <row r="1605" spans="2:29">
      <c r="B1605" s="180"/>
      <c r="E1605" s="4"/>
      <c r="F1605" s="4"/>
      <c r="G1605" s="4"/>
      <c r="J1605" s="4"/>
      <c r="K1605" s="4"/>
      <c r="L1605" s="4"/>
      <c r="O1605" s="4"/>
      <c r="P1605" s="4"/>
      <c r="T1605" s="4"/>
      <c r="U1605" s="4"/>
      <c r="Y1605" s="4"/>
      <c r="Z1605" s="4"/>
      <c r="AA1605" s="4"/>
      <c r="AB1605" s="4"/>
      <c r="AC1605" s="4"/>
    </row>
    <row r="1606" spans="2:29">
      <c r="B1606" s="180"/>
      <c r="E1606" s="4"/>
      <c r="F1606" s="4"/>
      <c r="G1606" s="4"/>
      <c r="J1606" s="4"/>
      <c r="K1606" s="4"/>
      <c r="L1606" s="4"/>
      <c r="O1606" s="4"/>
      <c r="P1606" s="4"/>
      <c r="T1606" s="4"/>
      <c r="U1606" s="4"/>
      <c r="Y1606" s="4"/>
      <c r="Z1606" s="4"/>
      <c r="AA1606" s="4"/>
      <c r="AB1606" s="4"/>
      <c r="AC1606" s="4"/>
    </row>
    <row r="1607" spans="2:29">
      <c r="B1607" s="180"/>
      <c r="E1607" s="4"/>
      <c r="F1607" s="4"/>
      <c r="G1607" s="4"/>
      <c r="J1607" s="4"/>
      <c r="K1607" s="4"/>
      <c r="L1607" s="4"/>
      <c r="O1607" s="4"/>
      <c r="P1607" s="4"/>
      <c r="T1607" s="4"/>
      <c r="U1607" s="4"/>
      <c r="Y1607" s="4"/>
      <c r="Z1607" s="4"/>
      <c r="AA1607" s="4"/>
      <c r="AB1607" s="4"/>
      <c r="AC1607" s="4"/>
    </row>
    <row r="1608" spans="2:29">
      <c r="B1608" s="180"/>
      <c r="E1608" s="4"/>
      <c r="F1608" s="4"/>
      <c r="G1608" s="4"/>
      <c r="J1608" s="4"/>
      <c r="K1608" s="4"/>
      <c r="L1608" s="4"/>
      <c r="O1608" s="4"/>
      <c r="P1608" s="4"/>
      <c r="T1608" s="4"/>
      <c r="U1608" s="4"/>
      <c r="Y1608" s="4"/>
      <c r="Z1608" s="4"/>
      <c r="AA1608" s="4"/>
      <c r="AB1608" s="4"/>
      <c r="AC1608" s="4"/>
    </row>
    <row r="1609" spans="2:29">
      <c r="B1609" s="180"/>
      <c r="E1609" s="4"/>
      <c r="F1609" s="4"/>
      <c r="G1609" s="4"/>
      <c r="J1609" s="4"/>
      <c r="K1609" s="4"/>
      <c r="L1609" s="4"/>
      <c r="O1609" s="4"/>
      <c r="P1609" s="4"/>
      <c r="T1609" s="4"/>
      <c r="U1609" s="4"/>
      <c r="Y1609" s="4"/>
      <c r="Z1609" s="4"/>
      <c r="AA1609" s="4"/>
      <c r="AB1609" s="4"/>
      <c r="AC1609" s="4"/>
    </row>
    <row r="1610" spans="2:29">
      <c r="B1610" s="180"/>
      <c r="E1610" s="4"/>
      <c r="F1610" s="4"/>
      <c r="G1610" s="4"/>
      <c r="J1610" s="4"/>
      <c r="K1610" s="4"/>
      <c r="L1610" s="4"/>
      <c r="O1610" s="4"/>
      <c r="P1610" s="4"/>
      <c r="T1610" s="4"/>
      <c r="U1610" s="4"/>
      <c r="Y1610" s="4"/>
      <c r="Z1610" s="4"/>
      <c r="AA1610" s="4"/>
      <c r="AB1610" s="4"/>
      <c r="AC1610" s="4"/>
    </row>
    <row r="1611" spans="2:29">
      <c r="B1611" s="180"/>
      <c r="E1611" s="4"/>
      <c r="F1611" s="4"/>
      <c r="G1611" s="4"/>
      <c r="J1611" s="4"/>
      <c r="K1611" s="4"/>
      <c r="L1611" s="4"/>
      <c r="O1611" s="4"/>
      <c r="P1611" s="4"/>
      <c r="T1611" s="4"/>
      <c r="U1611" s="4"/>
      <c r="Y1611" s="4"/>
      <c r="Z1611" s="4"/>
      <c r="AA1611" s="4"/>
      <c r="AB1611" s="4"/>
      <c r="AC1611" s="4"/>
    </row>
    <row r="1612" spans="2:29">
      <c r="B1612" s="180"/>
      <c r="E1612" s="4"/>
      <c r="F1612" s="4"/>
      <c r="G1612" s="4"/>
      <c r="J1612" s="4"/>
      <c r="K1612" s="4"/>
      <c r="L1612" s="4"/>
      <c r="O1612" s="4"/>
      <c r="P1612" s="4"/>
      <c r="T1612" s="4"/>
      <c r="U1612" s="4"/>
      <c r="Y1612" s="4"/>
      <c r="Z1612" s="4"/>
      <c r="AA1612" s="4"/>
      <c r="AB1612" s="4"/>
      <c r="AC1612" s="4"/>
    </row>
    <row r="1613" spans="2:29">
      <c r="B1613" s="180"/>
      <c r="E1613" s="4"/>
      <c r="F1613" s="4"/>
      <c r="G1613" s="4"/>
      <c r="J1613" s="4"/>
      <c r="K1613" s="4"/>
      <c r="L1613" s="4"/>
      <c r="O1613" s="4"/>
      <c r="P1613" s="4"/>
      <c r="T1613" s="4"/>
      <c r="U1613" s="4"/>
      <c r="Y1613" s="4"/>
      <c r="Z1613" s="4"/>
      <c r="AA1613" s="4"/>
      <c r="AB1613" s="4"/>
      <c r="AC1613" s="4"/>
    </row>
    <row r="1614" spans="2:29">
      <c r="B1614" s="180"/>
      <c r="E1614" s="4"/>
      <c r="F1614" s="4"/>
      <c r="G1614" s="4"/>
      <c r="J1614" s="4"/>
      <c r="K1614" s="4"/>
      <c r="L1614" s="4"/>
      <c r="O1614" s="4"/>
      <c r="P1614" s="4"/>
      <c r="T1614" s="4"/>
      <c r="U1614" s="4"/>
      <c r="Y1614" s="4"/>
      <c r="Z1614" s="4"/>
      <c r="AA1614" s="4"/>
      <c r="AB1614" s="4"/>
      <c r="AC1614" s="4"/>
    </row>
    <row r="1615" spans="2:29">
      <c r="B1615" s="180"/>
      <c r="E1615" s="4"/>
      <c r="F1615" s="4"/>
      <c r="G1615" s="4"/>
      <c r="J1615" s="4"/>
      <c r="K1615" s="4"/>
      <c r="L1615" s="4"/>
      <c r="O1615" s="4"/>
      <c r="P1615" s="4"/>
      <c r="T1615" s="4"/>
      <c r="U1615" s="4"/>
      <c r="Y1615" s="4"/>
      <c r="Z1615" s="4"/>
      <c r="AA1615" s="4"/>
      <c r="AB1615" s="4"/>
      <c r="AC1615" s="4"/>
    </row>
    <row r="1616" spans="2:29">
      <c r="B1616" s="180"/>
      <c r="E1616" s="4"/>
      <c r="F1616" s="4"/>
      <c r="G1616" s="4"/>
      <c r="J1616" s="4"/>
      <c r="K1616" s="4"/>
      <c r="L1616" s="4"/>
      <c r="O1616" s="4"/>
      <c r="P1616" s="4"/>
      <c r="T1616" s="4"/>
      <c r="U1616" s="4"/>
      <c r="Y1616" s="4"/>
      <c r="Z1616" s="4"/>
      <c r="AA1616" s="4"/>
      <c r="AB1616" s="4"/>
      <c r="AC1616" s="4"/>
    </row>
    <row r="1617" spans="2:29">
      <c r="B1617" s="180"/>
      <c r="E1617" s="4"/>
      <c r="F1617" s="4"/>
      <c r="G1617" s="4"/>
      <c r="J1617" s="4"/>
      <c r="K1617" s="4"/>
      <c r="L1617" s="4"/>
      <c r="O1617" s="4"/>
      <c r="P1617" s="4"/>
      <c r="T1617" s="4"/>
      <c r="U1617" s="4"/>
      <c r="Y1617" s="4"/>
      <c r="Z1617" s="4"/>
      <c r="AA1617" s="4"/>
      <c r="AB1617" s="4"/>
      <c r="AC1617" s="4"/>
    </row>
    <row r="1618" spans="2:29">
      <c r="B1618" s="180"/>
      <c r="E1618" s="4"/>
      <c r="F1618" s="4"/>
      <c r="G1618" s="4"/>
      <c r="J1618" s="4"/>
      <c r="K1618" s="4"/>
      <c r="L1618" s="4"/>
      <c r="O1618" s="4"/>
      <c r="P1618" s="4"/>
      <c r="T1618" s="4"/>
      <c r="U1618" s="4"/>
      <c r="Y1618" s="4"/>
      <c r="Z1618" s="4"/>
      <c r="AA1618" s="4"/>
      <c r="AB1618" s="4"/>
      <c r="AC1618" s="4"/>
    </row>
    <row r="1619" spans="2:29">
      <c r="B1619" s="180"/>
      <c r="E1619" s="4"/>
      <c r="F1619" s="4"/>
      <c r="G1619" s="4"/>
      <c r="J1619" s="4"/>
      <c r="K1619" s="4"/>
      <c r="L1619" s="4"/>
      <c r="O1619" s="4"/>
      <c r="P1619" s="4"/>
      <c r="T1619" s="4"/>
      <c r="U1619" s="4"/>
      <c r="Y1619" s="4"/>
      <c r="Z1619" s="4"/>
      <c r="AA1619" s="4"/>
      <c r="AB1619" s="4"/>
      <c r="AC1619" s="4"/>
    </row>
    <row r="1620" spans="2:29">
      <c r="B1620" s="180"/>
      <c r="E1620" s="4"/>
      <c r="F1620" s="4"/>
      <c r="G1620" s="4"/>
      <c r="J1620" s="4"/>
      <c r="K1620" s="4"/>
      <c r="L1620" s="4"/>
      <c r="O1620" s="4"/>
      <c r="P1620" s="4"/>
      <c r="T1620" s="4"/>
      <c r="U1620" s="4"/>
      <c r="Y1620" s="4"/>
      <c r="Z1620" s="4"/>
      <c r="AA1620" s="4"/>
      <c r="AB1620" s="4"/>
      <c r="AC1620" s="4"/>
    </row>
    <row r="1621" spans="2:29">
      <c r="B1621" s="180"/>
      <c r="E1621" s="4"/>
      <c r="F1621" s="4"/>
      <c r="G1621" s="4"/>
      <c r="J1621" s="4"/>
      <c r="K1621" s="4"/>
      <c r="L1621" s="4"/>
      <c r="O1621" s="4"/>
      <c r="P1621" s="4"/>
      <c r="T1621" s="4"/>
      <c r="U1621" s="4"/>
      <c r="Y1621" s="4"/>
      <c r="Z1621" s="4"/>
      <c r="AA1621" s="4"/>
      <c r="AB1621" s="4"/>
      <c r="AC1621" s="4"/>
    </row>
    <row r="1622" spans="2:29">
      <c r="B1622" s="180"/>
      <c r="E1622" s="4"/>
      <c r="F1622" s="4"/>
      <c r="G1622" s="4"/>
      <c r="J1622" s="4"/>
      <c r="K1622" s="4"/>
      <c r="L1622" s="4"/>
      <c r="O1622" s="4"/>
      <c r="P1622" s="4"/>
      <c r="T1622" s="4"/>
      <c r="U1622" s="4"/>
      <c r="Y1622" s="4"/>
      <c r="Z1622" s="4"/>
      <c r="AA1622" s="4"/>
      <c r="AB1622" s="4"/>
      <c r="AC1622" s="4"/>
    </row>
    <row r="1623" spans="2:29">
      <c r="B1623" s="180"/>
      <c r="E1623" s="4"/>
      <c r="F1623" s="4"/>
      <c r="G1623" s="4"/>
      <c r="J1623" s="4"/>
      <c r="K1623" s="4"/>
      <c r="L1623" s="4"/>
      <c r="O1623" s="4"/>
      <c r="P1623" s="4"/>
      <c r="T1623" s="4"/>
      <c r="U1623" s="4"/>
      <c r="Y1623" s="4"/>
      <c r="Z1623" s="4"/>
      <c r="AA1623" s="4"/>
      <c r="AB1623" s="4"/>
      <c r="AC1623" s="4"/>
    </row>
    <row r="1624" spans="2:29">
      <c r="B1624" s="180"/>
      <c r="E1624" s="4"/>
      <c r="F1624" s="4"/>
      <c r="G1624" s="4"/>
      <c r="J1624" s="4"/>
      <c r="K1624" s="4"/>
      <c r="L1624" s="4"/>
      <c r="O1624" s="4"/>
      <c r="P1624" s="4"/>
      <c r="T1624" s="4"/>
      <c r="U1624" s="4"/>
      <c r="Y1624" s="4"/>
      <c r="Z1624" s="4"/>
      <c r="AA1624" s="4"/>
      <c r="AB1624" s="4"/>
      <c r="AC1624" s="4"/>
    </row>
    <row r="1625" spans="2:29">
      <c r="B1625" s="180"/>
      <c r="E1625" s="4"/>
      <c r="F1625" s="4"/>
      <c r="G1625" s="4"/>
      <c r="J1625" s="4"/>
      <c r="K1625" s="4"/>
      <c r="L1625" s="4"/>
      <c r="O1625" s="4"/>
      <c r="P1625" s="4"/>
      <c r="T1625" s="4"/>
      <c r="U1625" s="4"/>
      <c r="Y1625" s="4"/>
      <c r="Z1625" s="4"/>
      <c r="AA1625" s="4"/>
      <c r="AB1625" s="4"/>
      <c r="AC1625" s="4"/>
    </row>
    <row r="1626" spans="2:29">
      <c r="B1626" s="180"/>
      <c r="E1626" s="4"/>
      <c r="F1626" s="4"/>
      <c r="G1626" s="4"/>
      <c r="J1626" s="4"/>
      <c r="K1626" s="4"/>
      <c r="L1626" s="4"/>
      <c r="O1626" s="4"/>
      <c r="P1626" s="4"/>
      <c r="T1626" s="4"/>
      <c r="U1626" s="4"/>
      <c r="Y1626" s="4"/>
      <c r="Z1626" s="4"/>
      <c r="AA1626" s="4"/>
      <c r="AB1626" s="4"/>
      <c r="AC1626" s="4"/>
    </row>
    <row r="1627" spans="2:29">
      <c r="B1627" s="180"/>
      <c r="E1627" s="4"/>
      <c r="F1627" s="4"/>
      <c r="G1627" s="4"/>
      <c r="J1627" s="4"/>
      <c r="K1627" s="4"/>
      <c r="L1627" s="4"/>
      <c r="O1627" s="4"/>
      <c r="P1627" s="4"/>
      <c r="T1627" s="4"/>
      <c r="U1627" s="4"/>
      <c r="Y1627" s="4"/>
      <c r="Z1627" s="4"/>
      <c r="AA1627" s="4"/>
      <c r="AB1627" s="4"/>
      <c r="AC1627" s="4"/>
    </row>
    <row r="1628" spans="2:29">
      <c r="B1628" s="180"/>
      <c r="E1628" s="4"/>
      <c r="F1628" s="4"/>
      <c r="G1628" s="4"/>
      <c r="J1628" s="4"/>
      <c r="K1628" s="4"/>
      <c r="L1628" s="4"/>
      <c r="O1628" s="4"/>
      <c r="P1628" s="4"/>
      <c r="T1628" s="4"/>
      <c r="U1628" s="4"/>
      <c r="Y1628" s="4"/>
      <c r="Z1628" s="4"/>
      <c r="AA1628" s="4"/>
      <c r="AB1628" s="4"/>
      <c r="AC1628" s="4"/>
    </row>
    <row r="1629" spans="2:29">
      <c r="B1629" s="180"/>
      <c r="E1629" s="4"/>
      <c r="F1629" s="4"/>
      <c r="G1629" s="4"/>
      <c r="J1629" s="4"/>
      <c r="K1629" s="4"/>
      <c r="L1629" s="4"/>
      <c r="O1629" s="4"/>
      <c r="P1629" s="4"/>
      <c r="T1629" s="4"/>
      <c r="U1629" s="4"/>
      <c r="Y1629" s="4"/>
      <c r="Z1629" s="4"/>
      <c r="AA1629" s="4"/>
      <c r="AB1629" s="4"/>
      <c r="AC1629" s="4"/>
    </row>
    <row r="1630" spans="2:29">
      <c r="B1630" s="180"/>
      <c r="E1630" s="4"/>
      <c r="F1630" s="4"/>
      <c r="G1630" s="4"/>
      <c r="J1630" s="4"/>
      <c r="K1630" s="4"/>
      <c r="L1630" s="4"/>
      <c r="O1630" s="4"/>
      <c r="P1630" s="4"/>
      <c r="T1630" s="4"/>
      <c r="U1630" s="4"/>
      <c r="Y1630" s="4"/>
      <c r="Z1630" s="4"/>
      <c r="AA1630" s="4"/>
      <c r="AB1630" s="4"/>
      <c r="AC1630" s="4"/>
    </row>
    <row r="1631" spans="2:29">
      <c r="B1631" s="180"/>
      <c r="E1631" s="4"/>
      <c r="F1631" s="4"/>
      <c r="G1631" s="4"/>
      <c r="J1631" s="4"/>
      <c r="K1631" s="4"/>
      <c r="L1631" s="4"/>
      <c r="O1631" s="4"/>
      <c r="P1631" s="4"/>
      <c r="T1631" s="4"/>
      <c r="U1631" s="4"/>
      <c r="Y1631" s="4"/>
      <c r="Z1631" s="4"/>
      <c r="AA1631" s="4"/>
      <c r="AB1631" s="4"/>
      <c r="AC1631" s="4"/>
    </row>
    <row r="1632" spans="2:29">
      <c r="B1632" s="180"/>
      <c r="E1632" s="4"/>
      <c r="F1632" s="4"/>
      <c r="G1632" s="4"/>
      <c r="J1632" s="4"/>
      <c r="K1632" s="4"/>
      <c r="L1632" s="4"/>
      <c r="O1632" s="4"/>
      <c r="P1632" s="4"/>
      <c r="T1632" s="4"/>
      <c r="U1632" s="4"/>
      <c r="Y1632" s="4"/>
      <c r="Z1632" s="4"/>
      <c r="AA1632" s="4"/>
      <c r="AB1632" s="4"/>
      <c r="AC1632" s="4"/>
    </row>
    <row r="1633" spans="2:29">
      <c r="B1633" s="180"/>
      <c r="E1633" s="4"/>
      <c r="F1633" s="4"/>
      <c r="G1633" s="4"/>
      <c r="J1633" s="4"/>
      <c r="K1633" s="4"/>
      <c r="L1633" s="4"/>
      <c r="O1633" s="4"/>
      <c r="P1633" s="4"/>
      <c r="T1633" s="4"/>
      <c r="U1633" s="4"/>
      <c r="Y1633" s="4"/>
      <c r="Z1633" s="4"/>
      <c r="AA1633" s="4"/>
      <c r="AB1633" s="4"/>
      <c r="AC1633" s="4"/>
    </row>
    <row r="1634" spans="2:29">
      <c r="B1634" s="180"/>
      <c r="E1634" s="4"/>
      <c r="F1634" s="4"/>
      <c r="G1634" s="4"/>
      <c r="J1634" s="4"/>
      <c r="K1634" s="4"/>
      <c r="L1634" s="4"/>
      <c r="O1634" s="4"/>
      <c r="P1634" s="4"/>
      <c r="T1634" s="4"/>
      <c r="U1634" s="4"/>
      <c r="Y1634" s="4"/>
      <c r="Z1634" s="4"/>
      <c r="AA1634" s="4"/>
      <c r="AB1634" s="4"/>
      <c r="AC1634" s="4"/>
    </row>
    <row r="1635" spans="2:29">
      <c r="B1635" s="180"/>
      <c r="E1635" s="4"/>
      <c r="F1635" s="4"/>
      <c r="G1635" s="4"/>
      <c r="J1635" s="4"/>
      <c r="K1635" s="4"/>
      <c r="L1635" s="4"/>
      <c r="O1635" s="4"/>
      <c r="P1635" s="4"/>
      <c r="T1635" s="4"/>
      <c r="U1635" s="4"/>
      <c r="Y1635" s="4"/>
      <c r="Z1635" s="4"/>
      <c r="AA1635" s="4"/>
      <c r="AB1635" s="4"/>
      <c r="AC1635" s="4"/>
    </row>
    <row r="1636" spans="2:29">
      <c r="B1636" s="180"/>
      <c r="E1636" s="4"/>
      <c r="F1636" s="4"/>
      <c r="G1636" s="4"/>
      <c r="J1636" s="4"/>
      <c r="K1636" s="4"/>
      <c r="L1636" s="4"/>
      <c r="O1636" s="4"/>
      <c r="P1636" s="4"/>
      <c r="T1636" s="4"/>
      <c r="U1636" s="4"/>
      <c r="Y1636" s="4"/>
      <c r="Z1636" s="4"/>
      <c r="AA1636" s="4"/>
      <c r="AB1636" s="4"/>
      <c r="AC1636" s="4"/>
    </row>
    <row r="1637" spans="2:29">
      <c r="B1637" s="180"/>
      <c r="E1637" s="4"/>
      <c r="F1637" s="4"/>
      <c r="G1637" s="4"/>
      <c r="J1637" s="4"/>
      <c r="K1637" s="4"/>
      <c r="L1637" s="4"/>
      <c r="O1637" s="4"/>
      <c r="P1637" s="4"/>
      <c r="T1637" s="4"/>
      <c r="U1637" s="4"/>
      <c r="Y1637" s="4"/>
      <c r="Z1637" s="4"/>
      <c r="AA1637" s="4"/>
      <c r="AB1637" s="4"/>
      <c r="AC1637" s="4"/>
    </row>
    <row r="1638" spans="2:29">
      <c r="B1638" s="180"/>
      <c r="E1638" s="4"/>
      <c r="F1638" s="4"/>
      <c r="G1638" s="4"/>
      <c r="J1638" s="4"/>
      <c r="K1638" s="4"/>
      <c r="L1638" s="4"/>
      <c r="O1638" s="4"/>
      <c r="P1638" s="4"/>
      <c r="T1638" s="4"/>
      <c r="U1638" s="4"/>
      <c r="Y1638" s="4"/>
      <c r="Z1638" s="4"/>
      <c r="AA1638" s="4"/>
      <c r="AB1638" s="4"/>
      <c r="AC1638" s="4"/>
    </row>
    <row r="1639" spans="2:29">
      <c r="B1639" s="180"/>
      <c r="E1639" s="4"/>
      <c r="F1639" s="4"/>
      <c r="G1639" s="4"/>
      <c r="J1639" s="4"/>
      <c r="K1639" s="4"/>
      <c r="L1639" s="4"/>
      <c r="O1639" s="4"/>
      <c r="P1639" s="4"/>
      <c r="T1639" s="4"/>
      <c r="U1639" s="4"/>
      <c r="Y1639" s="4"/>
      <c r="Z1639" s="4"/>
      <c r="AA1639" s="4"/>
      <c r="AB1639" s="4"/>
      <c r="AC1639" s="4"/>
    </row>
    <row r="1640" spans="2:29">
      <c r="B1640" s="180"/>
      <c r="E1640" s="4"/>
      <c r="F1640" s="4"/>
      <c r="G1640" s="4"/>
      <c r="J1640" s="4"/>
      <c r="K1640" s="4"/>
      <c r="L1640" s="4"/>
      <c r="O1640" s="4"/>
      <c r="P1640" s="4"/>
      <c r="T1640" s="4"/>
      <c r="U1640" s="4"/>
      <c r="Y1640" s="4"/>
      <c r="Z1640" s="4"/>
      <c r="AA1640" s="4"/>
      <c r="AB1640" s="4"/>
      <c r="AC1640" s="4"/>
    </row>
    <row r="1641" spans="2:29">
      <c r="B1641" s="180"/>
      <c r="E1641" s="4"/>
      <c r="F1641" s="4"/>
      <c r="G1641" s="4"/>
      <c r="J1641" s="4"/>
      <c r="K1641" s="4"/>
      <c r="L1641" s="4"/>
      <c r="O1641" s="4"/>
      <c r="P1641" s="4"/>
      <c r="T1641" s="4"/>
      <c r="U1641" s="4"/>
      <c r="Y1641" s="4"/>
      <c r="Z1641" s="4"/>
      <c r="AA1641" s="4"/>
      <c r="AB1641" s="4"/>
      <c r="AC1641" s="4"/>
    </row>
    <row r="1642" spans="2:29">
      <c r="B1642" s="180"/>
      <c r="E1642" s="4"/>
      <c r="F1642" s="4"/>
      <c r="G1642" s="4"/>
      <c r="J1642" s="4"/>
      <c r="K1642" s="4"/>
      <c r="L1642" s="4"/>
      <c r="O1642" s="4"/>
      <c r="P1642" s="4"/>
      <c r="T1642" s="4"/>
      <c r="U1642" s="4"/>
      <c r="Y1642" s="4"/>
      <c r="Z1642" s="4"/>
      <c r="AA1642" s="4"/>
      <c r="AB1642" s="4"/>
      <c r="AC1642" s="4"/>
    </row>
    <row r="1643" spans="2:29">
      <c r="B1643" s="180"/>
      <c r="E1643" s="4"/>
      <c r="F1643" s="4"/>
      <c r="G1643" s="4"/>
      <c r="J1643" s="4"/>
      <c r="K1643" s="4"/>
      <c r="L1643" s="4"/>
      <c r="O1643" s="4"/>
      <c r="P1643" s="4"/>
      <c r="T1643" s="4"/>
      <c r="U1643" s="4"/>
      <c r="Y1643" s="4"/>
      <c r="Z1643" s="4"/>
      <c r="AA1643" s="4"/>
      <c r="AB1643" s="4"/>
      <c r="AC1643" s="4"/>
    </row>
    <row r="1644" spans="2:29">
      <c r="B1644" s="180"/>
      <c r="E1644" s="4"/>
      <c r="F1644" s="4"/>
      <c r="G1644" s="4"/>
      <c r="J1644" s="4"/>
      <c r="K1644" s="4"/>
      <c r="L1644" s="4"/>
      <c r="O1644" s="4"/>
      <c r="P1644" s="4"/>
      <c r="T1644" s="4"/>
      <c r="U1644" s="4"/>
      <c r="Y1644" s="4"/>
      <c r="Z1644" s="4"/>
      <c r="AA1644" s="4"/>
      <c r="AB1644" s="4"/>
      <c r="AC1644" s="4"/>
    </row>
    <row r="1645" spans="2:29">
      <c r="B1645" s="180"/>
      <c r="E1645" s="4"/>
      <c r="F1645" s="4"/>
      <c r="G1645" s="4"/>
      <c r="J1645" s="4"/>
      <c r="K1645" s="4"/>
      <c r="L1645" s="4"/>
      <c r="O1645" s="4"/>
      <c r="P1645" s="4"/>
      <c r="T1645" s="4"/>
      <c r="U1645" s="4"/>
      <c r="Y1645" s="4"/>
      <c r="Z1645" s="4"/>
      <c r="AA1645" s="4"/>
      <c r="AB1645" s="4"/>
      <c r="AC1645" s="4"/>
    </row>
    <row r="1646" spans="2:29">
      <c r="B1646" s="180"/>
      <c r="E1646" s="4"/>
      <c r="F1646" s="4"/>
      <c r="G1646" s="4"/>
      <c r="J1646" s="4"/>
      <c r="K1646" s="4"/>
      <c r="L1646" s="4"/>
      <c r="O1646" s="4"/>
      <c r="P1646" s="4"/>
      <c r="T1646" s="4"/>
      <c r="U1646" s="4"/>
      <c r="Y1646" s="4"/>
      <c r="Z1646" s="4"/>
      <c r="AA1646" s="4"/>
      <c r="AB1646" s="4"/>
      <c r="AC1646" s="4"/>
    </row>
    <row r="1647" spans="2:29">
      <c r="B1647" s="180"/>
      <c r="E1647" s="4"/>
      <c r="F1647" s="4"/>
      <c r="G1647" s="4"/>
      <c r="J1647" s="4"/>
      <c r="K1647" s="4"/>
      <c r="L1647" s="4"/>
      <c r="O1647" s="4"/>
      <c r="P1647" s="4"/>
      <c r="T1647" s="4"/>
      <c r="U1647" s="4"/>
      <c r="Y1647" s="4"/>
      <c r="Z1647" s="4"/>
      <c r="AA1647" s="4"/>
      <c r="AB1647" s="4"/>
      <c r="AC1647" s="4"/>
    </row>
    <row r="1648" spans="2:29">
      <c r="B1648" s="180"/>
      <c r="E1648" s="4"/>
      <c r="F1648" s="4"/>
      <c r="G1648" s="4"/>
      <c r="J1648" s="4"/>
      <c r="K1648" s="4"/>
      <c r="L1648" s="4"/>
      <c r="O1648" s="4"/>
      <c r="P1648" s="4"/>
      <c r="T1648" s="4"/>
      <c r="U1648" s="4"/>
      <c r="Y1648" s="4"/>
      <c r="Z1648" s="4"/>
      <c r="AA1648" s="4"/>
      <c r="AB1648" s="4"/>
      <c r="AC1648" s="4"/>
    </row>
    <row r="1649" spans="2:29">
      <c r="B1649" s="180"/>
      <c r="E1649" s="4"/>
      <c r="F1649" s="4"/>
      <c r="G1649" s="4"/>
      <c r="J1649" s="4"/>
      <c r="K1649" s="4"/>
      <c r="L1649" s="4"/>
      <c r="O1649" s="4"/>
      <c r="P1649" s="4"/>
      <c r="T1649" s="4"/>
      <c r="U1649" s="4"/>
      <c r="Y1649" s="4"/>
      <c r="Z1649" s="4"/>
      <c r="AA1649" s="4"/>
      <c r="AB1649" s="4"/>
      <c r="AC1649" s="4"/>
    </row>
    <row r="1650" spans="2:29">
      <c r="B1650" s="180"/>
      <c r="E1650" s="4"/>
      <c r="F1650" s="4"/>
      <c r="G1650" s="4"/>
      <c r="J1650" s="4"/>
      <c r="K1650" s="4"/>
      <c r="L1650" s="4"/>
      <c r="O1650" s="4"/>
      <c r="P1650" s="4"/>
      <c r="T1650" s="4"/>
      <c r="U1650" s="4"/>
      <c r="Y1650" s="4"/>
      <c r="Z1650" s="4"/>
      <c r="AA1650" s="4"/>
      <c r="AB1650" s="4"/>
      <c r="AC1650" s="4"/>
    </row>
    <row r="1651" spans="2:29">
      <c r="B1651" s="180"/>
      <c r="E1651" s="4"/>
      <c r="F1651" s="4"/>
      <c r="G1651" s="4"/>
      <c r="J1651" s="4"/>
      <c r="K1651" s="4"/>
      <c r="L1651" s="4"/>
      <c r="O1651" s="4"/>
      <c r="P1651" s="4"/>
      <c r="T1651" s="4"/>
      <c r="U1651" s="4"/>
      <c r="Y1651" s="4"/>
      <c r="Z1651" s="4"/>
      <c r="AA1651" s="4"/>
      <c r="AB1651" s="4"/>
      <c r="AC1651" s="4"/>
    </row>
    <row r="1652" spans="2:29">
      <c r="B1652" s="180"/>
      <c r="E1652" s="4"/>
      <c r="F1652" s="4"/>
      <c r="G1652" s="4"/>
      <c r="J1652" s="4"/>
      <c r="K1652" s="4"/>
      <c r="L1652" s="4"/>
      <c r="O1652" s="4"/>
      <c r="P1652" s="4"/>
      <c r="T1652" s="4"/>
      <c r="U1652" s="4"/>
      <c r="Y1652" s="4"/>
      <c r="Z1652" s="4"/>
      <c r="AA1652" s="4"/>
      <c r="AB1652" s="4"/>
      <c r="AC1652" s="4"/>
    </row>
    <row r="1653" spans="2:29">
      <c r="B1653" s="180"/>
      <c r="E1653" s="4"/>
      <c r="F1653" s="4"/>
      <c r="G1653" s="4"/>
      <c r="J1653" s="4"/>
      <c r="K1653" s="4"/>
      <c r="L1653" s="4"/>
      <c r="O1653" s="4"/>
      <c r="P1653" s="4"/>
      <c r="T1653" s="4"/>
      <c r="U1653" s="4"/>
      <c r="Y1653" s="4"/>
      <c r="Z1653" s="4"/>
      <c r="AA1653" s="4"/>
      <c r="AB1653" s="4"/>
      <c r="AC1653" s="4"/>
    </row>
    <row r="1654" spans="2:29">
      <c r="B1654" s="180"/>
      <c r="E1654" s="4"/>
      <c r="F1654" s="4"/>
      <c r="G1654" s="4"/>
      <c r="J1654" s="4"/>
      <c r="K1654" s="4"/>
      <c r="L1654" s="4"/>
      <c r="O1654" s="4"/>
      <c r="P1654" s="4"/>
      <c r="T1654" s="4"/>
      <c r="U1654" s="4"/>
      <c r="Y1654" s="4"/>
      <c r="Z1654" s="4"/>
      <c r="AA1654" s="4"/>
      <c r="AB1654" s="4"/>
      <c r="AC1654" s="4"/>
    </row>
    <row r="1655" spans="2:29">
      <c r="B1655" s="180"/>
      <c r="E1655" s="4"/>
      <c r="F1655" s="4"/>
      <c r="G1655" s="4"/>
      <c r="J1655" s="4"/>
      <c r="K1655" s="4"/>
      <c r="L1655" s="4"/>
      <c r="O1655" s="4"/>
      <c r="P1655" s="4"/>
      <c r="T1655" s="4"/>
      <c r="U1655" s="4"/>
      <c r="Y1655" s="4"/>
      <c r="Z1655" s="4"/>
      <c r="AA1655" s="4"/>
      <c r="AB1655" s="4"/>
      <c r="AC1655" s="4"/>
    </row>
    <row r="1656" spans="2:29">
      <c r="B1656" s="180"/>
      <c r="E1656" s="4"/>
      <c r="F1656" s="4"/>
      <c r="G1656" s="4"/>
      <c r="J1656" s="4"/>
      <c r="K1656" s="4"/>
      <c r="L1656" s="4"/>
      <c r="O1656" s="4"/>
      <c r="P1656" s="4"/>
      <c r="T1656" s="4"/>
      <c r="U1656" s="4"/>
      <c r="Y1656" s="4"/>
      <c r="Z1656" s="4"/>
      <c r="AA1656" s="4"/>
      <c r="AB1656" s="4"/>
      <c r="AC1656" s="4"/>
    </row>
    <row r="1657" spans="2:29">
      <c r="B1657" s="180"/>
      <c r="E1657" s="4"/>
      <c r="F1657" s="4"/>
      <c r="G1657" s="4"/>
      <c r="J1657" s="4"/>
      <c r="K1657" s="4"/>
      <c r="L1657" s="4"/>
      <c r="O1657" s="4"/>
      <c r="P1657" s="4"/>
      <c r="T1657" s="4"/>
      <c r="U1657" s="4"/>
      <c r="Y1657" s="4"/>
      <c r="Z1657" s="4"/>
      <c r="AA1657" s="4"/>
      <c r="AB1657" s="4"/>
      <c r="AC1657" s="4"/>
    </row>
    <row r="1658" spans="2:29">
      <c r="B1658" s="180"/>
      <c r="E1658" s="4"/>
      <c r="F1658" s="4"/>
      <c r="G1658" s="4"/>
      <c r="J1658" s="4"/>
      <c r="K1658" s="4"/>
      <c r="L1658" s="4"/>
      <c r="O1658" s="4"/>
      <c r="P1658" s="4"/>
      <c r="T1658" s="4"/>
      <c r="U1658" s="4"/>
      <c r="Y1658" s="4"/>
      <c r="Z1658" s="4"/>
      <c r="AA1658" s="4"/>
      <c r="AB1658" s="4"/>
      <c r="AC1658" s="4"/>
    </row>
    <row r="1659" spans="2:29">
      <c r="B1659" s="180"/>
      <c r="E1659" s="4"/>
      <c r="F1659" s="4"/>
      <c r="G1659" s="4"/>
      <c r="J1659" s="4"/>
      <c r="K1659" s="4"/>
      <c r="L1659" s="4"/>
      <c r="O1659" s="4"/>
      <c r="P1659" s="4"/>
      <c r="T1659" s="4"/>
      <c r="U1659" s="4"/>
      <c r="Y1659" s="4"/>
      <c r="Z1659" s="4"/>
      <c r="AA1659" s="4"/>
      <c r="AB1659" s="4"/>
      <c r="AC1659" s="4"/>
    </row>
    <row r="1660" spans="2:29">
      <c r="B1660" s="180"/>
      <c r="E1660" s="4"/>
      <c r="F1660" s="4"/>
      <c r="G1660" s="4"/>
      <c r="J1660" s="4"/>
      <c r="K1660" s="4"/>
      <c r="L1660" s="4"/>
      <c r="O1660" s="4"/>
      <c r="P1660" s="4"/>
      <c r="T1660" s="4"/>
      <c r="U1660" s="4"/>
      <c r="Y1660" s="4"/>
      <c r="Z1660" s="4"/>
      <c r="AA1660" s="4"/>
      <c r="AB1660" s="4"/>
      <c r="AC1660" s="4"/>
    </row>
    <row r="1661" spans="2:29">
      <c r="B1661" s="180"/>
      <c r="E1661" s="4"/>
      <c r="F1661" s="4"/>
      <c r="G1661" s="4"/>
      <c r="J1661" s="4"/>
      <c r="K1661" s="4"/>
      <c r="L1661" s="4"/>
      <c r="O1661" s="4"/>
      <c r="P1661" s="4"/>
      <c r="T1661" s="4"/>
      <c r="U1661" s="4"/>
      <c r="Y1661" s="4"/>
      <c r="Z1661" s="4"/>
      <c r="AA1661" s="4"/>
      <c r="AB1661" s="4"/>
      <c r="AC1661" s="4"/>
    </row>
    <row r="1662" spans="2:29">
      <c r="B1662" s="180"/>
      <c r="E1662" s="4"/>
      <c r="F1662" s="4"/>
      <c r="G1662" s="4"/>
      <c r="J1662" s="4"/>
      <c r="K1662" s="4"/>
      <c r="L1662" s="4"/>
      <c r="O1662" s="4"/>
      <c r="P1662" s="4"/>
      <c r="T1662" s="4"/>
      <c r="U1662" s="4"/>
      <c r="Y1662" s="4"/>
      <c r="Z1662" s="4"/>
      <c r="AA1662" s="4"/>
      <c r="AB1662" s="4"/>
      <c r="AC1662" s="4"/>
    </row>
    <row r="1663" spans="2:29">
      <c r="B1663" s="180"/>
      <c r="E1663" s="4"/>
      <c r="F1663" s="4"/>
      <c r="G1663" s="4"/>
      <c r="J1663" s="4"/>
      <c r="K1663" s="4"/>
      <c r="L1663" s="4"/>
      <c r="O1663" s="4"/>
      <c r="P1663" s="4"/>
      <c r="T1663" s="4"/>
      <c r="U1663" s="4"/>
      <c r="Y1663" s="4"/>
      <c r="Z1663" s="4"/>
      <c r="AA1663" s="4"/>
      <c r="AB1663" s="4"/>
      <c r="AC1663" s="4"/>
    </row>
    <row r="1664" spans="2:29">
      <c r="B1664" s="180"/>
      <c r="E1664" s="4"/>
      <c r="F1664" s="4"/>
      <c r="G1664" s="4"/>
      <c r="J1664" s="4"/>
      <c r="K1664" s="4"/>
      <c r="L1664" s="4"/>
      <c r="O1664" s="4"/>
      <c r="P1664" s="4"/>
      <c r="T1664" s="4"/>
      <c r="U1664" s="4"/>
      <c r="Y1664" s="4"/>
      <c r="Z1664" s="4"/>
      <c r="AA1664" s="4"/>
      <c r="AB1664" s="4"/>
      <c r="AC1664" s="4"/>
    </row>
    <row r="1665" spans="2:29">
      <c r="B1665" s="180"/>
      <c r="E1665" s="4"/>
      <c r="F1665" s="4"/>
      <c r="G1665" s="4"/>
      <c r="J1665" s="4"/>
      <c r="K1665" s="4"/>
      <c r="L1665" s="4"/>
      <c r="O1665" s="4"/>
      <c r="P1665" s="4"/>
      <c r="T1665" s="4"/>
      <c r="U1665" s="4"/>
      <c r="Y1665" s="4"/>
      <c r="Z1665" s="4"/>
      <c r="AA1665" s="4"/>
      <c r="AB1665" s="4"/>
      <c r="AC1665" s="4"/>
    </row>
    <row r="1666" spans="2:29">
      <c r="B1666" s="180"/>
      <c r="E1666" s="4"/>
      <c r="F1666" s="4"/>
      <c r="G1666" s="4"/>
      <c r="J1666" s="4"/>
      <c r="K1666" s="4"/>
      <c r="L1666" s="4"/>
      <c r="O1666" s="4"/>
      <c r="P1666" s="4"/>
      <c r="T1666" s="4"/>
      <c r="U1666" s="4"/>
      <c r="Y1666" s="4"/>
      <c r="Z1666" s="4"/>
      <c r="AA1666" s="4"/>
      <c r="AB1666" s="4"/>
      <c r="AC1666" s="4"/>
    </row>
    <row r="1667" spans="2:29">
      <c r="B1667" s="180"/>
      <c r="E1667" s="4"/>
      <c r="F1667" s="4"/>
      <c r="G1667" s="4"/>
      <c r="J1667" s="4"/>
      <c r="K1667" s="4"/>
      <c r="L1667" s="4"/>
      <c r="O1667" s="4"/>
      <c r="P1667" s="4"/>
      <c r="T1667" s="4"/>
      <c r="U1667" s="4"/>
      <c r="Y1667" s="4"/>
      <c r="Z1667" s="4"/>
      <c r="AA1667" s="4"/>
      <c r="AB1667" s="4"/>
      <c r="AC1667" s="4"/>
    </row>
    <row r="1668" spans="2:29">
      <c r="B1668" s="180"/>
      <c r="E1668" s="4"/>
      <c r="F1668" s="4"/>
      <c r="G1668" s="4"/>
      <c r="J1668" s="4"/>
      <c r="K1668" s="4"/>
      <c r="L1668" s="4"/>
      <c r="O1668" s="4"/>
      <c r="P1668" s="4"/>
      <c r="T1668" s="4"/>
      <c r="U1668" s="4"/>
      <c r="Y1668" s="4"/>
      <c r="Z1668" s="4"/>
      <c r="AA1668" s="4"/>
      <c r="AB1668" s="4"/>
      <c r="AC1668" s="4"/>
    </row>
    <row r="1669" spans="2:29">
      <c r="B1669" s="180"/>
      <c r="E1669" s="4"/>
      <c r="F1669" s="4"/>
      <c r="G1669" s="4"/>
      <c r="J1669" s="4"/>
      <c r="K1669" s="4"/>
      <c r="L1669" s="4"/>
      <c r="O1669" s="4"/>
      <c r="P1669" s="4"/>
      <c r="T1669" s="4"/>
      <c r="U1669" s="4"/>
      <c r="Y1669" s="4"/>
      <c r="Z1669" s="4"/>
      <c r="AA1669" s="4"/>
      <c r="AB1669" s="4"/>
      <c r="AC1669" s="4"/>
    </row>
    <row r="1670" spans="2:29">
      <c r="B1670" s="180"/>
      <c r="E1670" s="4"/>
      <c r="F1670" s="4"/>
      <c r="G1670" s="4"/>
      <c r="J1670" s="4"/>
      <c r="K1670" s="4"/>
      <c r="L1670" s="4"/>
      <c r="O1670" s="4"/>
      <c r="P1670" s="4"/>
      <c r="T1670" s="4"/>
      <c r="U1670" s="4"/>
      <c r="Y1670" s="4"/>
      <c r="Z1670" s="4"/>
      <c r="AA1670" s="4"/>
      <c r="AB1670" s="4"/>
      <c r="AC1670" s="4"/>
    </row>
    <row r="1671" spans="2:29">
      <c r="B1671" s="180"/>
      <c r="E1671" s="4"/>
      <c r="F1671" s="4"/>
      <c r="G1671" s="4"/>
      <c r="J1671" s="4"/>
      <c r="K1671" s="4"/>
      <c r="L1671" s="4"/>
      <c r="O1671" s="4"/>
      <c r="P1671" s="4"/>
      <c r="T1671" s="4"/>
      <c r="U1671" s="4"/>
      <c r="Y1671" s="4"/>
      <c r="Z1671" s="4"/>
      <c r="AA1671" s="4"/>
      <c r="AB1671" s="4"/>
      <c r="AC1671" s="4"/>
    </row>
    <row r="1672" spans="2:29">
      <c r="B1672" s="180"/>
      <c r="E1672" s="4"/>
      <c r="F1672" s="4"/>
      <c r="G1672" s="4"/>
      <c r="J1672" s="4"/>
      <c r="K1672" s="4"/>
      <c r="L1672" s="4"/>
      <c r="O1672" s="4"/>
      <c r="P1672" s="4"/>
      <c r="T1672" s="4"/>
      <c r="U1672" s="4"/>
      <c r="Y1672" s="4"/>
      <c r="Z1672" s="4"/>
      <c r="AA1672" s="4"/>
      <c r="AB1672" s="4"/>
      <c r="AC1672" s="4"/>
    </row>
    <row r="1673" spans="2:29">
      <c r="B1673" s="180"/>
      <c r="E1673" s="4"/>
      <c r="F1673" s="4"/>
      <c r="G1673" s="4"/>
      <c r="J1673" s="4"/>
      <c r="K1673" s="4"/>
      <c r="L1673" s="4"/>
      <c r="O1673" s="4"/>
      <c r="P1673" s="4"/>
      <c r="T1673" s="4"/>
      <c r="U1673" s="4"/>
      <c r="Y1673" s="4"/>
      <c r="Z1673" s="4"/>
      <c r="AA1673" s="4"/>
      <c r="AB1673" s="4"/>
      <c r="AC1673" s="4"/>
    </row>
    <row r="1674" spans="2:29">
      <c r="B1674" s="180"/>
      <c r="E1674" s="4"/>
      <c r="F1674" s="4"/>
      <c r="G1674" s="4"/>
      <c r="J1674" s="4"/>
      <c r="K1674" s="4"/>
      <c r="L1674" s="4"/>
      <c r="O1674" s="4"/>
      <c r="P1674" s="4"/>
      <c r="T1674" s="4"/>
      <c r="U1674" s="4"/>
      <c r="Y1674" s="4"/>
      <c r="Z1674" s="4"/>
      <c r="AA1674" s="4"/>
      <c r="AB1674" s="4"/>
      <c r="AC1674" s="4"/>
    </row>
    <row r="1675" spans="2:29">
      <c r="B1675" s="180"/>
      <c r="E1675" s="4"/>
      <c r="F1675" s="4"/>
      <c r="G1675" s="4"/>
      <c r="J1675" s="4"/>
      <c r="K1675" s="4"/>
      <c r="L1675" s="4"/>
      <c r="O1675" s="4"/>
      <c r="P1675" s="4"/>
      <c r="T1675" s="4"/>
      <c r="U1675" s="4"/>
      <c r="Y1675" s="4"/>
      <c r="Z1675" s="4"/>
      <c r="AA1675" s="4"/>
      <c r="AB1675" s="4"/>
      <c r="AC1675" s="4"/>
    </row>
    <row r="1676" spans="2:29">
      <c r="B1676" s="180"/>
      <c r="E1676" s="4"/>
      <c r="F1676" s="4"/>
      <c r="G1676" s="4"/>
      <c r="J1676" s="4"/>
      <c r="K1676" s="4"/>
      <c r="L1676" s="4"/>
      <c r="O1676" s="4"/>
      <c r="P1676" s="4"/>
      <c r="T1676" s="4"/>
      <c r="U1676" s="4"/>
      <c r="Y1676" s="4"/>
      <c r="Z1676" s="4"/>
      <c r="AA1676" s="4"/>
      <c r="AB1676" s="4"/>
      <c r="AC1676" s="4"/>
    </row>
    <row r="1677" spans="2:29">
      <c r="B1677" s="180"/>
      <c r="E1677" s="4"/>
      <c r="F1677" s="4"/>
      <c r="G1677" s="4"/>
      <c r="J1677" s="4"/>
      <c r="K1677" s="4"/>
      <c r="L1677" s="4"/>
      <c r="O1677" s="4"/>
      <c r="P1677" s="4"/>
      <c r="T1677" s="4"/>
      <c r="U1677" s="4"/>
      <c r="Y1677" s="4"/>
      <c r="Z1677" s="4"/>
      <c r="AA1677" s="4"/>
      <c r="AB1677" s="4"/>
      <c r="AC1677" s="4"/>
    </row>
    <row r="1678" spans="2:29">
      <c r="B1678" s="180"/>
      <c r="E1678" s="4"/>
      <c r="F1678" s="4"/>
      <c r="G1678" s="4"/>
      <c r="J1678" s="4"/>
      <c r="K1678" s="4"/>
      <c r="L1678" s="4"/>
      <c r="O1678" s="4"/>
      <c r="P1678" s="4"/>
      <c r="T1678" s="4"/>
      <c r="U1678" s="4"/>
      <c r="Y1678" s="4"/>
      <c r="Z1678" s="4"/>
      <c r="AA1678" s="4"/>
      <c r="AB1678" s="4"/>
      <c r="AC1678" s="4"/>
    </row>
    <row r="1679" spans="2:29">
      <c r="B1679" s="180"/>
      <c r="E1679" s="4"/>
      <c r="F1679" s="4"/>
      <c r="G1679" s="4"/>
      <c r="J1679" s="4"/>
      <c r="K1679" s="4"/>
      <c r="L1679" s="4"/>
      <c r="O1679" s="4"/>
      <c r="P1679" s="4"/>
      <c r="T1679" s="4"/>
      <c r="U1679" s="4"/>
      <c r="Y1679" s="4"/>
      <c r="Z1679" s="4"/>
      <c r="AA1679" s="4"/>
      <c r="AB1679" s="4"/>
      <c r="AC1679" s="4"/>
    </row>
    <row r="1680" spans="2:29">
      <c r="B1680" s="180"/>
      <c r="E1680" s="4"/>
      <c r="F1680" s="4"/>
      <c r="G1680" s="4"/>
      <c r="J1680" s="4"/>
      <c r="K1680" s="4"/>
      <c r="L1680" s="4"/>
      <c r="O1680" s="4"/>
      <c r="P1680" s="4"/>
      <c r="T1680" s="4"/>
      <c r="U1680" s="4"/>
      <c r="Y1680" s="4"/>
      <c r="Z1680" s="4"/>
      <c r="AA1680" s="4"/>
      <c r="AB1680" s="4"/>
      <c r="AC1680" s="4"/>
    </row>
    <row r="1681" spans="2:29">
      <c r="B1681" s="180"/>
      <c r="E1681" s="4"/>
      <c r="F1681" s="4"/>
      <c r="G1681" s="4"/>
      <c r="J1681" s="4"/>
      <c r="K1681" s="4"/>
      <c r="L1681" s="4"/>
      <c r="O1681" s="4"/>
      <c r="P1681" s="4"/>
      <c r="T1681" s="4"/>
      <c r="U1681" s="4"/>
      <c r="Y1681" s="4"/>
      <c r="Z1681" s="4"/>
      <c r="AA1681" s="4"/>
      <c r="AB1681" s="4"/>
      <c r="AC1681" s="4"/>
    </row>
    <row r="1682" spans="2:29">
      <c r="B1682" s="180"/>
      <c r="E1682" s="4"/>
      <c r="F1682" s="4"/>
      <c r="G1682" s="4"/>
      <c r="J1682" s="4"/>
      <c r="K1682" s="4"/>
      <c r="L1682" s="4"/>
      <c r="O1682" s="4"/>
      <c r="P1682" s="4"/>
      <c r="T1682" s="4"/>
      <c r="U1682" s="4"/>
      <c r="Y1682" s="4"/>
      <c r="Z1682" s="4"/>
      <c r="AA1682" s="4"/>
      <c r="AB1682" s="4"/>
      <c r="AC1682" s="4"/>
    </row>
    <row r="1683" spans="2:29">
      <c r="B1683" s="180"/>
      <c r="E1683" s="4"/>
      <c r="F1683" s="4"/>
      <c r="G1683" s="4"/>
      <c r="J1683" s="4"/>
      <c r="K1683" s="4"/>
      <c r="L1683" s="4"/>
      <c r="O1683" s="4"/>
      <c r="P1683" s="4"/>
      <c r="T1683" s="4"/>
      <c r="U1683" s="4"/>
      <c r="Y1683" s="4"/>
      <c r="Z1683" s="4"/>
      <c r="AA1683" s="4"/>
      <c r="AB1683" s="4"/>
      <c r="AC1683" s="4"/>
    </row>
    <row r="1684" spans="2:29">
      <c r="B1684" s="180"/>
      <c r="E1684" s="4"/>
      <c r="F1684" s="4"/>
      <c r="G1684" s="4"/>
      <c r="J1684" s="4"/>
      <c r="K1684" s="4"/>
      <c r="L1684" s="4"/>
      <c r="O1684" s="4"/>
      <c r="P1684" s="4"/>
      <c r="T1684" s="4"/>
      <c r="U1684" s="4"/>
      <c r="Y1684" s="4"/>
      <c r="Z1684" s="4"/>
      <c r="AA1684" s="4"/>
      <c r="AB1684" s="4"/>
      <c r="AC1684" s="4"/>
    </row>
    <row r="1685" spans="2:29">
      <c r="B1685" s="180"/>
      <c r="E1685" s="4"/>
      <c r="F1685" s="4"/>
      <c r="G1685" s="4"/>
      <c r="J1685" s="4"/>
      <c r="K1685" s="4"/>
      <c r="L1685" s="4"/>
      <c r="O1685" s="4"/>
      <c r="P1685" s="4"/>
      <c r="T1685" s="4"/>
      <c r="U1685" s="4"/>
      <c r="Y1685" s="4"/>
      <c r="Z1685" s="4"/>
      <c r="AA1685" s="4"/>
      <c r="AB1685" s="4"/>
      <c r="AC1685" s="4"/>
    </row>
    <row r="1686" spans="2:29">
      <c r="B1686" s="180"/>
      <c r="E1686" s="4"/>
      <c r="F1686" s="4"/>
      <c r="G1686" s="4"/>
      <c r="J1686" s="4"/>
      <c r="K1686" s="4"/>
      <c r="L1686" s="4"/>
      <c r="O1686" s="4"/>
      <c r="P1686" s="4"/>
      <c r="T1686" s="4"/>
      <c r="U1686" s="4"/>
      <c r="Y1686" s="4"/>
      <c r="Z1686" s="4"/>
      <c r="AA1686" s="4"/>
      <c r="AB1686" s="4"/>
      <c r="AC1686" s="4"/>
    </row>
    <row r="1687" spans="2:29">
      <c r="B1687" s="180"/>
      <c r="E1687" s="4"/>
      <c r="F1687" s="4"/>
      <c r="G1687" s="4"/>
      <c r="J1687" s="4"/>
      <c r="K1687" s="4"/>
      <c r="L1687" s="4"/>
      <c r="O1687" s="4"/>
      <c r="P1687" s="4"/>
      <c r="T1687" s="4"/>
      <c r="U1687" s="4"/>
      <c r="Y1687" s="4"/>
      <c r="Z1687" s="4"/>
      <c r="AA1687" s="4"/>
      <c r="AB1687" s="4"/>
      <c r="AC1687" s="4"/>
    </row>
    <row r="1688" spans="2:29">
      <c r="B1688" s="180"/>
      <c r="E1688" s="4"/>
      <c r="F1688" s="4"/>
      <c r="G1688" s="4"/>
      <c r="J1688" s="4"/>
      <c r="K1688" s="4"/>
      <c r="L1688" s="4"/>
      <c r="O1688" s="4"/>
      <c r="P1688" s="4"/>
      <c r="T1688" s="4"/>
      <c r="U1688" s="4"/>
      <c r="Y1688" s="4"/>
      <c r="Z1688" s="4"/>
      <c r="AA1688" s="4"/>
      <c r="AB1688" s="4"/>
      <c r="AC1688" s="4"/>
    </row>
    <row r="1689" spans="2:29">
      <c r="B1689" s="180"/>
      <c r="E1689" s="4"/>
      <c r="F1689" s="4"/>
      <c r="G1689" s="4"/>
      <c r="J1689" s="4"/>
      <c r="K1689" s="4"/>
      <c r="L1689" s="4"/>
      <c r="O1689" s="4"/>
      <c r="P1689" s="4"/>
      <c r="T1689" s="4"/>
      <c r="U1689" s="4"/>
      <c r="Y1689" s="4"/>
      <c r="Z1689" s="4"/>
      <c r="AA1689" s="4"/>
      <c r="AB1689" s="4"/>
      <c r="AC1689" s="4"/>
    </row>
    <row r="1690" spans="2:29">
      <c r="B1690" s="180"/>
      <c r="E1690" s="4"/>
      <c r="F1690" s="4"/>
      <c r="G1690" s="4"/>
      <c r="J1690" s="4"/>
      <c r="K1690" s="4"/>
      <c r="L1690" s="4"/>
      <c r="O1690" s="4"/>
      <c r="P1690" s="4"/>
      <c r="T1690" s="4"/>
      <c r="U1690" s="4"/>
      <c r="Y1690" s="4"/>
      <c r="Z1690" s="4"/>
      <c r="AA1690" s="4"/>
      <c r="AB1690" s="4"/>
      <c r="AC1690" s="4"/>
    </row>
    <row r="1691" spans="2:29">
      <c r="B1691" s="180"/>
      <c r="E1691" s="4"/>
      <c r="F1691" s="4"/>
      <c r="G1691" s="4"/>
      <c r="J1691" s="4"/>
      <c r="K1691" s="4"/>
      <c r="L1691" s="4"/>
      <c r="O1691" s="4"/>
      <c r="P1691" s="4"/>
      <c r="T1691" s="4"/>
      <c r="U1691" s="4"/>
      <c r="Y1691" s="4"/>
      <c r="Z1691" s="4"/>
      <c r="AA1691" s="4"/>
      <c r="AB1691" s="4"/>
      <c r="AC1691" s="4"/>
    </row>
    <row r="1692" spans="2:29">
      <c r="B1692" s="180"/>
      <c r="E1692" s="4"/>
      <c r="F1692" s="4"/>
      <c r="G1692" s="4"/>
      <c r="J1692" s="4"/>
      <c r="K1692" s="4"/>
      <c r="L1692" s="4"/>
      <c r="O1692" s="4"/>
      <c r="P1692" s="4"/>
      <c r="T1692" s="4"/>
      <c r="U1692" s="4"/>
      <c r="Y1692" s="4"/>
      <c r="Z1692" s="4"/>
      <c r="AA1692" s="4"/>
      <c r="AB1692" s="4"/>
      <c r="AC1692" s="4"/>
    </row>
    <row r="1693" spans="2:29">
      <c r="B1693" s="180"/>
      <c r="E1693" s="4"/>
      <c r="F1693" s="4"/>
      <c r="G1693" s="4"/>
      <c r="J1693" s="4"/>
      <c r="K1693" s="4"/>
      <c r="L1693" s="4"/>
      <c r="O1693" s="4"/>
      <c r="P1693" s="4"/>
      <c r="T1693" s="4"/>
      <c r="U1693" s="4"/>
      <c r="Y1693" s="4"/>
      <c r="Z1693" s="4"/>
      <c r="AA1693" s="4"/>
      <c r="AB1693" s="4"/>
      <c r="AC1693" s="4"/>
    </row>
    <row r="1694" spans="2:29">
      <c r="B1694" s="180"/>
      <c r="E1694" s="4"/>
      <c r="F1694" s="4"/>
      <c r="G1694" s="4"/>
      <c r="J1694" s="4"/>
      <c r="K1694" s="4"/>
      <c r="L1694" s="4"/>
      <c r="O1694" s="4"/>
      <c r="P1694" s="4"/>
      <c r="T1694" s="4"/>
      <c r="U1694" s="4"/>
      <c r="Y1694" s="4"/>
      <c r="Z1694" s="4"/>
      <c r="AA1694" s="4"/>
      <c r="AB1694" s="4"/>
      <c r="AC1694" s="4"/>
    </row>
    <row r="1695" spans="2:29">
      <c r="B1695" s="180"/>
      <c r="E1695" s="4"/>
      <c r="F1695" s="4"/>
      <c r="G1695" s="4"/>
      <c r="J1695" s="4"/>
      <c r="K1695" s="4"/>
      <c r="L1695" s="4"/>
      <c r="O1695" s="4"/>
      <c r="P1695" s="4"/>
      <c r="T1695" s="4"/>
      <c r="U1695" s="4"/>
      <c r="Y1695" s="4"/>
      <c r="Z1695" s="4"/>
      <c r="AA1695" s="4"/>
      <c r="AB1695" s="4"/>
      <c r="AC1695" s="4"/>
    </row>
    <row r="1696" spans="2:29">
      <c r="B1696" s="180"/>
      <c r="E1696" s="4"/>
      <c r="F1696" s="4"/>
      <c r="G1696" s="4"/>
      <c r="J1696" s="4"/>
      <c r="K1696" s="4"/>
      <c r="L1696" s="4"/>
      <c r="O1696" s="4"/>
      <c r="P1696" s="4"/>
      <c r="T1696" s="4"/>
      <c r="U1696" s="4"/>
      <c r="Y1696" s="4"/>
      <c r="Z1696" s="4"/>
      <c r="AA1696" s="4"/>
      <c r="AB1696" s="4"/>
      <c r="AC1696" s="4"/>
    </row>
    <row r="1697" spans="2:29">
      <c r="B1697" s="180"/>
      <c r="E1697" s="4"/>
      <c r="F1697" s="4"/>
      <c r="G1697" s="4"/>
      <c r="J1697" s="4"/>
      <c r="K1697" s="4"/>
      <c r="L1697" s="4"/>
      <c r="O1697" s="4"/>
      <c r="P1697" s="4"/>
      <c r="T1697" s="4"/>
      <c r="U1697" s="4"/>
      <c r="Y1697" s="4"/>
      <c r="Z1697" s="4"/>
      <c r="AA1697" s="4"/>
      <c r="AB1697" s="4"/>
      <c r="AC1697" s="4"/>
    </row>
    <row r="1698" spans="2:29">
      <c r="B1698" s="180"/>
      <c r="E1698" s="4"/>
      <c r="F1698" s="4"/>
      <c r="G1698" s="4"/>
      <c r="J1698" s="4"/>
      <c r="K1698" s="4"/>
      <c r="L1698" s="4"/>
      <c r="O1698" s="4"/>
      <c r="P1698" s="4"/>
      <c r="T1698" s="4"/>
      <c r="U1698" s="4"/>
      <c r="Y1698" s="4"/>
      <c r="Z1698" s="4"/>
      <c r="AA1698" s="4"/>
      <c r="AB1698" s="4"/>
      <c r="AC1698" s="4"/>
    </row>
    <row r="1699" spans="2:29">
      <c r="B1699" s="180"/>
      <c r="E1699" s="4"/>
      <c r="F1699" s="4"/>
      <c r="G1699" s="4"/>
      <c r="J1699" s="4"/>
      <c r="K1699" s="4"/>
      <c r="L1699" s="4"/>
      <c r="O1699" s="4"/>
      <c r="P1699" s="4"/>
      <c r="T1699" s="4"/>
      <c r="U1699" s="4"/>
      <c r="Y1699" s="4"/>
      <c r="Z1699" s="4"/>
      <c r="AA1699" s="4"/>
      <c r="AB1699" s="4"/>
      <c r="AC1699" s="4"/>
    </row>
    <row r="1700" spans="2:29">
      <c r="B1700" s="180"/>
      <c r="E1700" s="4"/>
      <c r="F1700" s="4"/>
      <c r="G1700" s="4"/>
      <c r="J1700" s="4"/>
      <c r="K1700" s="4"/>
      <c r="L1700" s="4"/>
      <c r="O1700" s="4"/>
      <c r="P1700" s="4"/>
      <c r="T1700" s="4"/>
      <c r="U1700" s="4"/>
      <c r="Y1700" s="4"/>
      <c r="Z1700" s="4"/>
      <c r="AA1700" s="4"/>
      <c r="AB1700" s="4"/>
      <c r="AC1700" s="4"/>
    </row>
    <row r="1701" spans="2:29">
      <c r="B1701" s="180"/>
      <c r="E1701" s="4"/>
      <c r="F1701" s="4"/>
      <c r="G1701" s="4"/>
      <c r="J1701" s="4"/>
      <c r="K1701" s="4"/>
      <c r="L1701" s="4"/>
      <c r="O1701" s="4"/>
      <c r="P1701" s="4"/>
      <c r="T1701" s="4"/>
      <c r="U1701" s="4"/>
      <c r="Y1701" s="4"/>
      <c r="Z1701" s="4"/>
      <c r="AA1701" s="4"/>
      <c r="AB1701" s="4"/>
      <c r="AC1701" s="4"/>
    </row>
    <row r="1702" spans="2:29">
      <c r="B1702" s="180"/>
      <c r="E1702" s="4"/>
      <c r="F1702" s="4"/>
      <c r="G1702" s="4"/>
      <c r="J1702" s="4"/>
      <c r="K1702" s="4"/>
      <c r="L1702" s="4"/>
      <c r="O1702" s="4"/>
      <c r="P1702" s="4"/>
      <c r="T1702" s="4"/>
      <c r="U1702" s="4"/>
      <c r="Y1702" s="4"/>
      <c r="Z1702" s="4"/>
      <c r="AA1702" s="4"/>
      <c r="AB1702" s="4"/>
      <c r="AC1702" s="4"/>
    </row>
    <row r="1703" spans="2:29">
      <c r="B1703" s="180"/>
      <c r="E1703" s="4"/>
      <c r="F1703" s="4"/>
      <c r="G1703" s="4"/>
      <c r="J1703" s="4"/>
      <c r="K1703" s="4"/>
      <c r="L1703" s="4"/>
      <c r="O1703" s="4"/>
      <c r="P1703" s="4"/>
      <c r="T1703" s="4"/>
      <c r="U1703" s="4"/>
      <c r="Y1703" s="4"/>
      <c r="Z1703" s="4"/>
      <c r="AA1703" s="4"/>
      <c r="AB1703" s="4"/>
      <c r="AC1703" s="4"/>
    </row>
    <row r="1704" spans="2:29">
      <c r="B1704" s="180"/>
      <c r="E1704" s="4"/>
      <c r="F1704" s="4"/>
      <c r="G1704" s="4"/>
      <c r="J1704" s="4"/>
      <c r="K1704" s="4"/>
      <c r="L1704" s="4"/>
      <c r="O1704" s="4"/>
      <c r="P1704" s="4"/>
      <c r="T1704" s="4"/>
      <c r="U1704" s="4"/>
      <c r="Y1704" s="4"/>
      <c r="Z1704" s="4"/>
      <c r="AA1704" s="4"/>
      <c r="AB1704" s="4"/>
      <c r="AC1704" s="4"/>
    </row>
    <row r="1705" spans="2:29">
      <c r="B1705" s="180"/>
      <c r="E1705" s="4"/>
      <c r="F1705" s="4"/>
      <c r="G1705" s="4"/>
      <c r="J1705" s="4"/>
      <c r="K1705" s="4"/>
      <c r="L1705" s="4"/>
      <c r="O1705" s="4"/>
      <c r="P1705" s="4"/>
      <c r="T1705" s="4"/>
      <c r="U1705" s="4"/>
      <c r="Y1705" s="4"/>
      <c r="Z1705" s="4"/>
      <c r="AA1705" s="4"/>
      <c r="AB1705" s="4"/>
      <c r="AC1705" s="4"/>
    </row>
    <row r="1706" spans="2:29">
      <c r="B1706" s="180"/>
      <c r="E1706" s="4"/>
      <c r="F1706" s="4"/>
      <c r="G1706" s="4"/>
      <c r="J1706" s="4"/>
      <c r="K1706" s="4"/>
      <c r="L1706" s="4"/>
      <c r="O1706" s="4"/>
      <c r="P1706" s="4"/>
      <c r="T1706" s="4"/>
      <c r="U1706" s="4"/>
      <c r="Y1706" s="4"/>
      <c r="Z1706" s="4"/>
      <c r="AA1706" s="4"/>
      <c r="AB1706" s="4"/>
      <c r="AC1706" s="4"/>
    </row>
    <row r="1707" spans="2:29">
      <c r="B1707" s="180"/>
      <c r="E1707" s="4"/>
      <c r="F1707" s="4"/>
      <c r="G1707" s="4"/>
      <c r="J1707" s="4"/>
      <c r="K1707" s="4"/>
      <c r="L1707" s="4"/>
      <c r="O1707" s="4"/>
      <c r="P1707" s="4"/>
      <c r="T1707" s="4"/>
      <c r="U1707" s="4"/>
      <c r="Y1707" s="4"/>
      <c r="Z1707" s="4"/>
      <c r="AA1707" s="4"/>
      <c r="AB1707" s="4"/>
      <c r="AC1707" s="4"/>
    </row>
    <row r="1708" spans="2:29">
      <c r="B1708" s="180"/>
      <c r="E1708" s="4"/>
      <c r="F1708" s="4"/>
      <c r="G1708" s="4"/>
      <c r="J1708" s="4"/>
      <c r="K1708" s="4"/>
      <c r="L1708" s="4"/>
      <c r="O1708" s="4"/>
      <c r="P1708" s="4"/>
      <c r="T1708" s="4"/>
      <c r="U1708" s="4"/>
      <c r="Y1708" s="4"/>
      <c r="Z1708" s="4"/>
      <c r="AA1708" s="4"/>
      <c r="AB1708" s="4"/>
      <c r="AC1708" s="4"/>
    </row>
    <row r="1709" spans="2:29">
      <c r="B1709" s="180"/>
      <c r="E1709" s="4"/>
      <c r="F1709" s="4"/>
      <c r="G1709" s="4"/>
      <c r="J1709" s="4"/>
      <c r="K1709" s="4"/>
      <c r="L1709" s="4"/>
      <c r="O1709" s="4"/>
      <c r="P1709" s="4"/>
      <c r="T1709" s="4"/>
      <c r="U1709" s="4"/>
      <c r="Y1709" s="4"/>
      <c r="Z1709" s="4"/>
      <c r="AA1709" s="4"/>
      <c r="AB1709" s="4"/>
      <c r="AC1709" s="4"/>
    </row>
    <row r="1710" spans="2:29">
      <c r="B1710" s="180"/>
      <c r="E1710" s="4"/>
      <c r="F1710" s="4"/>
      <c r="G1710" s="4"/>
      <c r="J1710" s="4"/>
      <c r="K1710" s="4"/>
      <c r="L1710" s="4"/>
      <c r="O1710" s="4"/>
      <c r="P1710" s="4"/>
      <c r="T1710" s="4"/>
      <c r="U1710" s="4"/>
      <c r="Y1710" s="4"/>
      <c r="Z1710" s="4"/>
      <c r="AA1710" s="4"/>
      <c r="AB1710" s="4"/>
      <c r="AC1710" s="4"/>
    </row>
    <row r="1711" spans="2:29">
      <c r="B1711" s="180"/>
      <c r="E1711" s="4"/>
      <c r="F1711" s="4"/>
      <c r="G1711" s="4"/>
      <c r="J1711" s="4"/>
      <c r="K1711" s="4"/>
      <c r="L1711" s="4"/>
      <c r="O1711" s="4"/>
      <c r="P1711" s="4"/>
      <c r="T1711" s="4"/>
      <c r="U1711" s="4"/>
      <c r="Y1711" s="4"/>
      <c r="Z1711" s="4"/>
      <c r="AA1711" s="4"/>
      <c r="AB1711" s="4"/>
      <c r="AC1711" s="4"/>
    </row>
    <row r="1712" spans="2:29">
      <c r="B1712" s="180"/>
      <c r="E1712" s="4"/>
      <c r="F1712" s="4"/>
      <c r="G1712" s="4"/>
      <c r="J1712" s="4"/>
      <c r="K1712" s="4"/>
      <c r="L1712" s="4"/>
      <c r="O1712" s="4"/>
      <c r="P1712" s="4"/>
      <c r="T1712" s="4"/>
      <c r="U1712" s="4"/>
      <c r="Y1712" s="4"/>
      <c r="Z1712" s="4"/>
      <c r="AA1712" s="4"/>
      <c r="AB1712" s="4"/>
      <c r="AC1712" s="4"/>
    </row>
    <row r="1713" spans="2:29">
      <c r="B1713" s="180"/>
      <c r="E1713" s="4"/>
      <c r="F1713" s="4"/>
      <c r="G1713" s="4"/>
      <c r="J1713" s="4"/>
      <c r="K1713" s="4"/>
      <c r="L1713" s="4"/>
      <c r="O1713" s="4"/>
      <c r="P1713" s="4"/>
      <c r="T1713" s="4"/>
      <c r="U1713" s="4"/>
      <c r="Y1713" s="4"/>
      <c r="Z1713" s="4"/>
      <c r="AA1713" s="4"/>
      <c r="AB1713" s="4"/>
      <c r="AC1713" s="4"/>
    </row>
    <row r="1714" spans="2:29">
      <c r="B1714" s="180"/>
      <c r="E1714" s="4"/>
      <c r="F1714" s="4"/>
      <c r="G1714" s="4"/>
      <c r="J1714" s="4"/>
      <c r="K1714" s="4"/>
      <c r="L1714" s="4"/>
      <c r="O1714" s="4"/>
      <c r="P1714" s="4"/>
      <c r="T1714" s="4"/>
      <c r="U1714" s="4"/>
      <c r="Y1714" s="4"/>
      <c r="Z1714" s="4"/>
      <c r="AA1714" s="4"/>
      <c r="AB1714" s="4"/>
      <c r="AC1714" s="4"/>
    </row>
    <row r="1715" spans="2:29">
      <c r="B1715" s="180"/>
      <c r="E1715" s="4"/>
      <c r="F1715" s="4"/>
      <c r="G1715" s="4"/>
      <c r="J1715" s="4"/>
      <c r="K1715" s="4"/>
      <c r="L1715" s="4"/>
      <c r="O1715" s="4"/>
      <c r="P1715" s="4"/>
      <c r="T1715" s="4"/>
      <c r="U1715" s="4"/>
      <c r="Y1715" s="4"/>
      <c r="Z1715" s="4"/>
      <c r="AA1715" s="4"/>
      <c r="AB1715" s="4"/>
      <c r="AC1715" s="4"/>
    </row>
    <row r="1716" spans="2:29">
      <c r="B1716" s="180"/>
      <c r="E1716" s="4"/>
      <c r="F1716" s="4"/>
      <c r="G1716" s="4"/>
      <c r="J1716" s="4"/>
      <c r="K1716" s="4"/>
      <c r="L1716" s="4"/>
      <c r="O1716" s="4"/>
      <c r="P1716" s="4"/>
      <c r="T1716" s="4"/>
      <c r="U1716" s="4"/>
      <c r="Y1716" s="4"/>
      <c r="Z1716" s="4"/>
      <c r="AA1716" s="4"/>
      <c r="AB1716" s="4"/>
      <c r="AC1716" s="4"/>
    </row>
    <row r="1717" spans="2:29">
      <c r="B1717" s="180"/>
      <c r="E1717" s="4"/>
      <c r="F1717" s="4"/>
      <c r="G1717" s="4"/>
      <c r="J1717" s="4"/>
      <c r="K1717" s="4"/>
      <c r="L1717" s="4"/>
      <c r="O1717" s="4"/>
      <c r="P1717" s="4"/>
      <c r="T1717" s="4"/>
      <c r="U1717" s="4"/>
      <c r="Y1717" s="4"/>
      <c r="Z1717" s="4"/>
      <c r="AA1717" s="4"/>
      <c r="AB1717" s="4"/>
      <c r="AC1717" s="4"/>
    </row>
    <row r="1718" spans="2:29">
      <c r="B1718" s="180"/>
      <c r="E1718" s="4"/>
      <c r="F1718" s="4"/>
      <c r="G1718" s="4"/>
      <c r="J1718" s="4"/>
      <c r="K1718" s="4"/>
      <c r="L1718" s="4"/>
      <c r="O1718" s="4"/>
      <c r="P1718" s="4"/>
      <c r="T1718" s="4"/>
      <c r="U1718" s="4"/>
      <c r="Y1718" s="4"/>
      <c r="Z1718" s="4"/>
      <c r="AA1718" s="4"/>
      <c r="AB1718" s="4"/>
      <c r="AC1718" s="4"/>
    </row>
    <row r="1719" spans="2:29">
      <c r="B1719" s="180"/>
      <c r="E1719" s="4"/>
      <c r="F1719" s="4"/>
      <c r="G1719" s="4"/>
      <c r="J1719" s="4"/>
      <c r="K1719" s="4"/>
      <c r="L1719" s="4"/>
      <c r="O1719" s="4"/>
      <c r="P1719" s="4"/>
      <c r="T1719" s="4"/>
      <c r="U1719" s="4"/>
      <c r="Y1719" s="4"/>
      <c r="Z1719" s="4"/>
      <c r="AA1719" s="4"/>
      <c r="AB1719" s="4"/>
      <c r="AC1719" s="4"/>
    </row>
    <row r="1720" spans="2:29">
      <c r="B1720" s="180"/>
      <c r="E1720" s="4"/>
      <c r="F1720" s="4"/>
      <c r="G1720" s="4"/>
      <c r="J1720" s="4"/>
      <c r="K1720" s="4"/>
      <c r="L1720" s="4"/>
      <c r="O1720" s="4"/>
      <c r="P1720" s="4"/>
      <c r="T1720" s="4"/>
      <c r="U1720" s="4"/>
      <c r="Y1720" s="4"/>
      <c r="Z1720" s="4"/>
      <c r="AA1720" s="4"/>
      <c r="AB1720" s="4"/>
      <c r="AC1720" s="4"/>
    </row>
    <row r="1721" spans="2:29">
      <c r="B1721" s="180"/>
      <c r="E1721" s="4"/>
      <c r="F1721" s="4"/>
      <c r="G1721" s="4"/>
      <c r="J1721" s="4"/>
      <c r="K1721" s="4"/>
      <c r="L1721" s="4"/>
      <c r="O1721" s="4"/>
      <c r="P1721" s="4"/>
      <c r="T1721" s="4"/>
      <c r="U1721" s="4"/>
      <c r="Y1721" s="4"/>
      <c r="Z1721" s="4"/>
      <c r="AA1721" s="4"/>
      <c r="AB1721" s="4"/>
      <c r="AC1721" s="4"/>
    </row>
    <row r="1722" spans="2:29">
      <c r="B1722" s="180"/>
      <c r="E1722" s="4"/>
      <c r="F1722" s="4"/>
      <c r="G1722" s="4"/>
      <c r="J1722" s="4"/>
      <c r="K1722" s="4"/>
      <c r="L1722" s="4"/>
      <c r="O1722" s="4"/>
      <c r="P1722" s="4"/>
      <c r="T1722" s="4"/>
      <c r="U1722" s="4"/>
      <c r="Y1722" s="4"/>
      <c r="Z1722" s="4"/>
      <c r="AA1722" s="4"/>
      <c r="AB1722" s="4"/>
      <c r="AC1722" s="4"/>
    </row>
    <row r="1723" spans="2:29">
      <c r="B1723" s="180"/>
      <c r="E1723" s="4"/>
      <c r="F1723" s="4"/>
      <c r="G1723" s="4"/>
      <c r="J1723" s="4"/>
      <c r="K1723" s="4"/>
      <c r="L1723" s="4"/>
      <c r="O1723" s="4"/>
      <c r="P1723" s="4"/>
      <c r="T1723" s="4"/>
      <c r="U1723" s="4"/>
      <c r="Y1723" s="4"/>
      <c r="Z1723" s="4"/>
      <c r="AA1723" s="4"/>
      <c r="AB1723" s="4"/>
      <c r="AC1723" s="4"/>
    </row>
    <row r="1724" spans="2:29">
      <c r="B1724" s="180"/>
      <c r="E1724" s="4"/>
      <c r="F1724" s="4"/>
      <c r="G1724" s="4"/>
      <c r="J1724" s="4"/>
      <c r="K1724" s="4"/>
      <c r="L1724" s="4"/>
      <c r="O1724" s="4"/>
      <c r="P1724" s="4"/>
      <c r="T1724" s="4"/>
      <c r="U1724" s="4"/>
      <c r="Y1724" s="4"/>
      <c r="Z1724" s="4"/>
      <c r="AA1724" s="4"/>
      <c r="AB1724" s="4"/>
      <c r="AC1724" s="4"/>
    </row>
    <row r="1725" spans="2:29">
      <c r="B1725" s="180"/>
      <c r="E1725" s="4"/>
      <c r="F1725" s="4"/>
      <c r="G1725" s="4"/>
      <c r="J1725" s="4"/>
      <c r="K1725" s="4"/>
      <c r="L1725" s="4"/>
      <c r="O1725" s="4"/>
      <c r="P1725" s="4"/>
      <c r="T1725" s="4"/>
      <c r="U1725" s="4"/>
      <c r="Y1725" s="4"/>
      <c r="Z1725" s="4"/>
      <c r="AA1725" s="4"/>
      <c r="AB1725" s="4"/>
      <c r="AC1725" s="4"/>
    </row>
    <row r="1726" spans="2:29">
      <c r="B1726" s="180"/>
      <c r="E1726" s="4"/>
      <c r="F1726" s="4"/>
      <c r="G1726" s="4"/>
      <c r="J1726" s="4"/>
      <c r="K1726" s="4"/>
      <c r="L1726" s="4"/>
      <c r="O1726" s="4"/>
      <c r="P1726" s="4"/>
      <c r="T1726" s="4"/>
      <c r="U1726" s="4"/>
      <c r="Y1726" s="4"/>
      <c r="Z1726" s="4"/>
      <c r="AA1726" s="4"/>
      <c r="AB1726" s="4"/>
      <c r="AC1726" s="4"/>
    </row>
    <row r="1727" spans="2:29">
      <c r="B1727" s="180"/>
      <c r="E1727" s="4"/>
      <c r="F1727" s="4"/>
      <c r="G1727" s="4"/>
      <c r="J1727" s="4"/>
      <c r="K1727" s="4"/>
      <c r="L1727" s="4"/>
      <c r="O1727" s="4"/>
      <c r="P1727" s="4"/>
      <c r="T1727" s="4"/>
      <c r="U1727" s="4"/>
      <c r="Y1727" s="4"/>
      <c r="Z1727" s="4"/>
      <c r="AA1727" s="4"/>
      <c r="AB1727" s="4"/>
      <c r="AC1727" s="4"/>
    </row>
    <row r="1728" spans="2:29">
      <c r="B1728" s="180"/>
      <c r="E1728" s="4"/>
      <c r="F1728" s="4"/>
      <c r="G1728" s="4"/>
      <c r="J1728" s="4"/>
      <c r="K1728" s="4"/>
      <c r="L1728" s="4"/>
      <c r="O1728" s="4"/>
      <c r="P1728" s="4"/>
      <c r="T1728" s="4"/>
      <c r="U1728" s="4"/>
      <c r="Y1728" s="4"/>
      <c r="Z1728" s="4"/>
      <c r="AA1728" s="4"/>
      <c r="AB1728" s="4"/>
      <c r="AC1728" s="4"/>
    </row>
    <row r="1729" spans="2:29">
      <c r="B1729" s="180"/>
      <c r="E1729" s="4"/>
      <c r="F1729" s="4"/>
      <c r="G1729" s="4"/>
      <c r="J1729" s="4"/>
      <c r="K1729" s="4"/>
      <c r="L1729" s="4"/>
      <c r="O1729" s="4"/>
      <c r="P1729" s="4"/>
      <c r="T1729" s="4"/>
      <c r="U1729" s="4"/>
      <c r="Y1729" s="4"/>
      <c r="Z1729" s="4"/>
      <c r="AA1729" s="4"/>
      <c r="AB1729" s="4"/>
      <c r="AC1729" s="4"/>
    </row>
    <row r="1730" spans="2:29">
      <c r="B1730" s="180"/>
      <c r="E1730" s="4"/>
      <c r="F1730" s="4"/>
      <c r="G1730" s="4"/>
      <c r="J1730" s="4"/>
      <c r="K1730" s="4"/>
      <c r="L1730" s="4"/>
      <c r="O1730" s="4"/>
      <c r="P1730" s="4"/>
      <c r="T1730" s="4"/>
      <c r="U1730" s="4"/>
      <c r="Y1730" s="4"/>
      <c r="Z1730" s="4"/>
      <c r="AA1730" s="4"/>
      <c r="AB1730" s="4"/>
      <c r="AC1730" s="4"/>
    </row>
    <row r="1731" spans="2:29">
      <c r="B1731" s="180"/>
      <c r="E1731" s="4"/>
      <c r="F1731" s="4"/>
      <c r="G1731" s="4"/>
      <c r="J1731" s="4"/>
      <c r="K1731" s="4"/>
      <c r="L1731" s="4"/>
      <c r="O1731" s="4"/>
      <c r="P1731" s="4"/>
      <c r="T1731" s="4"/>
      <c r="U1731" s="4"/>
      <c r="Y1731" s="4"/>
      <c r="Z1731" s="4"/>
      <c r="AA1731" s="4"/>
      <c r="AB1731" s="4"/>
      <c r="AC1731" s="4"/>
    </row>
    <row r="1732" spans="2:29">
      <c r="B1732" s="180"/>
      <c r="E1732" s="4"/>
      <c r="F1732" s="4"/>
      <c r="G1732" s="4"/>
      <c r="J1732" s="4"/>
      <c r="K1732" s="4"/>
      <c r="L1732" s="4"/>
      <c r="O1732" s="4"/>
      <c r="P1732" s="4"/>
      <c r="T1732" s="4"/>
      <c r="U1732" s="4"/>
      <c r="Y1732" s="4"/>
      <c r="Z1732" s="4"/>
      <c r="AA1732" s="4"/>
      <c r="AB1732" s="4"/>
      <c r="AC1732" s="4"/>
    </row>
    <row r="1733" spans="2:29">
      <c r="B1733" s="180"/>
      <c r="E1733" s="4"/>
      <c r="F1733" s="4"/>
      <c r="G1733" s="4"/>
      <c r="J1733" s="4"/>
      <c r="K1733" s="4"/>
      <c r="L1733" s="4"/>
      <c r="O1733" s="4"/>
      <c r="P1733" s="4"/>
      <c r="T1733" s="4"/>
      <c r="U1733" s="4"/>
      <c r="Y1733" s="4"/>
      <c r="Z1733" s="4"/>
      <c r="AA1733" s="4"/>
      <c r="AB1733" s="4"/>
      <c r="AC1733" s="4"/>
    </row>
    <row r="1734" spans="2:29">
      <c r="B1734" s="180"/>
      <c r="E1734" s="4"/>
      <c r="F1734" s="4"/>
      <c r="G1734" s="4"/>
      <c r="J1734" s="4"/>
      <c r="K1734" s="4"/>
      <c r="L1734" s="4"/>
      <c r="O1734" s="4"/>
      <c r="P1734" s="4"/>
      <c r="T1734" s="4"/>
      <c r="U1734" s="4"/>
      <c r="Y1734" s="4"/>
      <c r="Z1734" s="4"/>
      <c r="AA1734" s="4"/>
      <c r="AB1734" s="4"/>
      <c r="AC1734" s="4"/>
    </row>
    <row r="1735" spans="2:29">
      <c r="B1735" s="180"/>
      <c r="E1735" s="4"/>
      <c r="F1735" s="4"/>
      <c r="G1735" s="4"/>
      <c r="J1735" s="4"/>
      <c r="K1735" s="4"/>
      <c r="L1735" s="4"/>
      <c r="O1735" s="4"/>
      <c r="P1735" s="4"/>
      <c r="T1735" s="4"/>
      <c r="U1735" s="4"/>
      <c r="Y1735" s="4"/>
      <c r="Z1735" s="4"/>
      <c r="AA1735" s="4"/>
      <c r="AB1735" s="4"/>
      <c r="AC1735" s="4"/>
    </row>
    <row r="1736" spans="2:29">
      <c r="B1736" s="180"/>
      <c r="E1736" s="4"/>
      <c r="F1736" s="4"/>
      <c r="G1736" s="4"/>
      <c r="J1736" s="4"/>
      <c r="K1736" s="4"/>
      <c r="L1736" s="4"/>
      <c r="O1736" s="4"/>
      <c r="P1736" s="4"/>
      <c r="T1736" s="4"/>
      <c r="U1736" s="4"/>
      <c r="Y1736" s="4"/>
      <c r="Z1736" s="4"/>
      <c r="AA1736" s="4"/>
      <c r="AB1736" s="4"/>
      <c r="AC1736" s="4"/>
    </row>
    <row r="1737" spans="2:29">
      <c r="B1737" s="180"/>
      <c r="E1737" s="4"/>
      <c r="F1737" s="4"/>
      <c r="G1737" s="4"/>
      <c r="J1737" s="4"/>
      <c r="K1737" s="4"/>
      <c r="L1737" s="4"/>
      <c r="O1737" s="4"/>
      <c r="P1737" s="4"/>
      <c r="T1737" s="4"/>
      <c r="U1737" s="4"/>
      <c r="Y1737" s="4"/>
      <c r="Z1737" s="4"/>
      <c r="AA1737" s="4"/>
      <c r="AB1737" s="4"/>
      <c r="AC1737" s="4"/>
    </row>
    <row r="1738" spans="2:29">
      <c r="B1738" s="180"/>
      <c r="E1738" s="4"/>
      <c r="F1738" s="4"/>
      <c r="G1738" s="4"/>
      <c r="J1738" s="4"/>
      <c r="K1738" s="4"/>
      <c r="L1738" s="4"/>
      <c r="O1738" s="4"/>
      <c r="P1738" s="4"/>
      <c r="T1738" s="4"/>
      <c r="U1738" s="4"/>
      <c r="Y1738" s="4"/>
      <c r="Z1738" s="4"/>
      <c r="AA1738" s="4"/>
      <c r="AB1738" s="4"/>
      <c r="AC1738" s="4"/>
    </row>
    <row r="1739" spans="2:29">
      <c r="B1739" s="180"/>
      <c r="E1739" s="4"/>
      <c r="F1739" s="4"/>
      <c r="G1739" s="4"/>
      <c r="J1739" s="4"/>
      <c r="K1739" s="4"/>
      <c r="L1739" s="4"/>
      <c r="O1739" s="4"/>
      <c r="P1739" s="4"/>
      <c r="T1739" s="4"/>
      <c r="U1739" s="4"/>
      <c r="Y1739" s="4"/>
      <c r="Z1739" s="4"/>
      <c r="AA1739" s="4"/>
      <c r="AB1739" s="4"/>
      <c r="AC1739" s="4"/>
    </row>
    <row r="1740" spans="2:29">
      <c r="B1740" s="180"/>
      <c r="E1740" s="4"/>
      <c r="F1740" s="4"/>
      <c r="G1740" s="4"/>
      <c r="J1740" s="4"/>
      <c r="K1740" s="4"/>
      <c r="L1740" s="4"/>
      <c r="O1740" s="4"/>
      <c r="P1740" s="4"/>
      <c r="T1740" s="4"/>
      <c r="U1740" s="4"/>
      <c r="Y1740" s="4"/>
      <c r="Z1740" s="4"/>
      <c r="AA1740" s="4"/>
      <c r="AB1740" s="4"/>
      <c r="AC1740" s="4"/>
    </row>
    <row r="1741" spans="2:29">
      <c r="B1741" s="180"/>
      <c r="E1741" s="4"/>
      <c r="F1741" s="4"/>
      <c r="G1741" s="4"/>
      <c r="J1741" s="4"/>
      <c r="K1741" s="4"/>
      <c r="L1741" s="4"/>
      <c r="O1741" s="4"/>
      <c r="P1741" s="4"/>
      <c r="T1741" s="4"/>
      <c r="U1741" s="4"/>
      <c r="Y1741" s="4"/>
      <c r="Z1741" s="4"/>
      <c r="AA1741" s="4"/>
      <c r="AB1741" s="4"/>
      <c r="AC1741" s="4"/>
    </row>
    <row r="1742" spans="2:29">
      <c r="B1742" s="180"/>
      <c r="E1742" s="4"/>
      <c r="F1742" s="4"/>
      <c r="G1742" s="4"/>
      <c r="J1742" s="4"/>
      <c r="K1742" s="4"/>
      <c r="L1742" s="4"/>
      <c r="O1742" s="4"/>
      <c r="P1742" s="4"/>
      <c r="T1742" s="4"/>
      <c r="U1742" s="4"/>
      <c r="Y1742" s="4"/>
      <c r="Z1742" s="4"/>
      <c r="AA1742" s="4"/>
      <c r="AB1742" s="4"/>
      <c r="AC1742" s="4"/>
    </row>
    <row r="1743" spans="2:29">
      <c r="B1743" s="180"/>
      <c r="E1743" s="4"/>
      <c r="F1743" s="4"/>
      <c r="G1743" s="4"/>
      <c r="J1743" s="4"/>
      <c r="K1743" s="4"/>
      <c r="L1743" s="4"/>
      <c r="O1743" s="4"/>
      <c r="P1743" s="4"/>
      <c r="T1743" s="4"/>
      <c r="U1743" s="4"/>
      <c r="Y1743" s="4"/>
      <c r="Z1743" s="4"/>
      <c r="AA1743" s="4"/>
      <c r="AB1743" s="4"/>
      <c r="AC1743" s="4"/>
    </row>
    <row r="1744" spans="2:29">
      <c r="B1744" s="180"/>
      <c r="E1744" s="4"/>
      <c r="F1744" s="4"/>
      <c r="G1744" s="4"/>
      <c r="J1744" s="4"/>
      <c r="K1744" s="4"/>
      <c r="L1744" s="4"/>
      <c r="O1744" s="4"/>
      <c r="P1744" s="4"/>
      <c r="T1744" s="4"/>
      <c r="U1744" s="4"/>
      <c r="Y1744" s="4"/>
      <c r="Z1744" s="4"/>
      <c r="AA1744" s="4"/>
      <c r="AB1744" s="4"/>
      <c r="AC1744" s="4"/>
    </row>
    <row r="1745" spans="2:29">
      <c r="B1745" s="180"/>
      <c r="E1745" s="4"/>
      <c r="F1745" s="4"/>
      <c r="G1745" s="4"/>
      <c r="J1745" s="4"/>
      <c r="K1745" s="4"/>
      <c r="L1745" s="4"/>
      <c r="O1745" s="4"/>
      <c r="P1745" s="4"/>
      <c r="T1745" s="4"/>
      <c r="U1745" s="4"/>
      <c r="Y1745" s="4"/>
      <c r="Z1745" s="4"/>
      <c r="AA1745" s="4"/>
      <c r="AB1745" s="4"/>
      <c r="AC1745" s="4"/>
    </row>
    <row r="1746" spans="2:29">
      <c r="B1746" s="180"/>
      <c r="E1746" s="4"/>
      <c r="F1746" s="4"/>
      <c r="G1746" s="4"/>
      <c r="J1746" s="4"/>
      <c r="K1746" s="4"/>
      <c r="L1746" s="4"/>
      <c r="O1746" s="4"/>
      <c r="P1746" s="4"/>
      <c r="T1746" s="4"/>
      <c r="U1746" s="4"/>
      <c r="Y1746" s="4"/>
      <c r="Z1746" s="4"/>
      <c r="AA1746" s="4"/>
      <c r="AB1746" s="4"/>
      <c r="AC1746" s="4"/>
    </row>
    <row r="1747" spans="2:29">
      <c r="B1747" s="180"/>
      <c r="E1747" s="4"/>
      <c r="F1747" s="4"/>
      <c r="G1747" s="4"/>
      <c r="J1747" s="4"/>
      <c r="K1747" s="4"/>
      <c r="L1747" s="4"/>
      <c r="O1747" s="4"/>
      <c r="P1747" s="4"/>
      <c r="T1747" s="4"/>
      <c r="U1747" s="4"/>
      <c r="Y1747" s="4"/>
      <c r="Z1747" s="4"/>
      <c r="AA1747" s="4"/>
      <c r="AB1747" s="4"/>
      <c r="AC1747" s="4"/>
    </row>
    <row r="1748" spans="2:29">
      <c r="B1748" s="180"/>
      <c r="E1748" s="4"/>
      <c r="F1748" s="4"/>
      <c r="G1748" s="4"/>
      <c r="J1748" s="4"/>
      <c r="K1748" s="4"/>
      <c r="L1748" s="4"/>
      <c r="O1748" s="4"/>
      <c r="P1748" s="4"/>
      <c r="T1748" s="4"/>
      <c r="U1748" s="4"/>
      <c r="Y1748" s="4"/>
      <c r="Z1748" s="4"/>
      <c r="AA1748" s="4"/>
      <c r="AB1748" s="4"/>
      <c r="AC1748" s="4"/>
    </row>
    <row r="1749" spans="2:29">
      <c r="B1749" s="180"/>
      <c r="E1749" s="4"/>
      <c r="F1749" s="4"/>
      <c r="G1749" s="4"/>
      <c r="J1749" s="4"/>
      <c r="K1749" s="4"/>
      <c r="L1749" s="4"/>
      <c r="O1749" s="4"/>
      <c r="P1749" s="4"/>
      <c r="T1749" s="4"/>
      <c r="U1749" s="4"/>
      <c r="Y1749" s="4"/>
      <c r="Z1749" s="4"/>
      <c r="AA1749" s="4"/>
      <c r="AB1749" s="4"/>
      <c r="AC1749" s="4"/>
    </row>
    <row r="1750" spans="2:29">
      <c r="B1750" s="180"/>
      <c r="E1750" s="4"/>
      <c r="F1750" s="4"/>
      <c r="G1750" s="4"/>
      <c r="J1750" s="4"/>
      <c r="K1750" s="4"/>
      <c r="L1750" s="4"/>
      <c r="O1750" s="4"/>
      <c r="P1750" s="4"/>
      <c r="T1750" s="4"/>
      <c r="U1750" s="4"/>
      <c r="Y1750" s="4"/>
      <c r="Z1750" s="4"/>
      <c r="AA1750" s="4"/>
      <c r="AB1750" s="4"/>
      <c r="AC1750" s="4"/>
    </row>
    <row r="1751" spans="2:29">
      <c r="B1751" s="180"/>
      <c r="E1751" s="4"/>
      <c r="F1751" s="4"/>
      <c r="G1751" s="4"/>
      <c r="J1751" s="4"/>
      <c r="K1751" s="4"/>
      <c r="L1751" s="4"/>
      <c r="O1751" s="4"/>
      <c r="P1751" s="4"/>
      <c r="T1751" s="4"/>
      <c r="U1751" s="4"/>
      <c r="Y1751" s="4"/>
      <c r="Z1751" s="4"/>
      <c r="AA1751" s="4"/>
      <c r="AB1751" s="4"/>
      <c r="AC1751" s="4"/>
    </row>
    <row r="1752" spans="2:29">
      <c r="B1752" s="180"/>
      <c r="E1752" s="4"/>
      <c r="F1752" s="4"/>
      <c r="G1752" s="4"/>
      <c r="J1752" s="4"/>
      <c r="K1752" s="4"/>
      <c r="L1752" s="4"/>
      <c r="O1752" s="4"/>
      <c r="P1752" s="4"/>
      <c r="T1752" s="4"/>
      <c r="U1752" s="4"/>
      <c r="Y1752" s="4"/>
      <c r="Z1752" s="4"/>
      <c r="AA1752" s="4"/>
      <c r="AB1752" s="4"/>
      <c r="AC1752" s="4"/>
    </row>
    <row r="1753" spans="2:29">
      <c r="B1753" s="180"/>
      <c r="E1753" s="4"/>
      <c r="F1753" s="4"/>
      <c r="G1753" s="4"/>
      <c r="J1753" s="4"/>
      <c r="K1753" s="4"/>
      <c r="L1753" s="4"/>
      <c r="O1753" s="4"/>
      <c r="P1753" s="4"/>
      <c r="T1753" s="4"/>
      <c r="U1753" s="4"/>
      <c r="Y1753" s="4"/>
      <c r="Z1753" s="4"/>
      <c r="AA1753" s="4"/>
      <c r="AB1753" s="4"/>
      <c r="AC1753" s="4"/>
    </row>
    <row r="1754" spans="2:29">
      <c r="B1754" s="180"/>
      <c r="E1754" s="4"/>
      <c r="F1754" s="4"/>
      <c r="G1754" s="4"/>
      <c r="J1754" s="4"/>
      <c r="K1754" s="4"/>
      <c r="L1754" s="4"/>
      <c r="O1754" s="4"/>
      <c r="P1754" s="4"/>
      <c r="T1754" s="4"/>
      <c r="U1754" s="4"/>
      <c r="Y1754" s="4"/>
      <c r="Z1754" s="4"/>
      <c r="AA1754" s="4"/>
      <c r="AB1754" s="4"/>
      <c r="AC1754" s="4"/>
    </row>
    <row r="1755" spans="2:29">
      <c r="B1755" s="180"/>
      <c r="E1755" s="4"/>
      <c r="F1755" s="4"/>
      <c r="G1755" s="4"/>
      <c r="J1755" s="4"/>
      <c r="K1755" s="4"/>
      <c r="L1755" s="4"/>
      <c r="O1755" s="4"/>
      <c r="P1755" s="4"/>
      <c r="T1755" s="4"/>
      <c r="U1755" s="4"/>
      <c r="Y1755" s="4"/>
      <c r="Z1755" s="4"/>
      <c r="AA1755" s="4"/>
      <c r="AB1755" s="4"/>
      <c r="AC1755" s="4"/>
    </row>
    <row r="1756" spans="2:29">
      <c r="B1756" s="180"/>
      <c r="E1756" s="4"/>
      <c r="F1756" s="4"/>
      <c r="G1756" s="4"/>
      <c r="J1756" s="4"/>
      <c r="K1756" s="4"/>
      <c r="L1756" s="4"/>
      <c r="O1756" s="4"/>
      <c r="P1756" s="4"/>
      <c r="T1756" s="4"/>
      <c r="U1756" s="4"/>
      <c r="Y1756" s="4"/>
      <c r="Z1756" s="4"/>
      <c r="AA1756" s="4"/>
      <c r="AB1756" s="4"/>
      <c r="AC1756" s="4"/>
    </row>
    <row r="1757" spans="2:29">
      <c r="B1757" s="180"/>
      <c r="E1757" s="4"/>
      <c r="F1757" s="4"/>
      <c r="G1757" s="4"/>
      <c r="J1757" s="4"/>
      <c r="K1757" s="4"/>
      <c r="L1757" s="4"/>
      <c r="O1757" s="4"/>
      <c r="P1757" s="4"/>
      <c r="T1757" s="4"/>
      <c r="U1757" s="4"/>
      <c r="Y1757" s="4"/>
      <c r="Z1757" s="4"/>
      <c r="AA1757" s="4"/>
      <c r="AB1757" s="4"/>
      <c r="AC1757" s="4"/>
    </row>
    <row r="1758" spans="2:29">
      <c r="B1758" s="180"/>
      <c r="E1758" s="4"/>
      <c r="F1758" s="4"/>
      <c r="G1758" s="4"/>
      <c r="J1758" s="4"/>
      <c r="K1758" s="4"/>
      <c r="L1758" s="4"/>
      <c r="O1758" s="4"/>
      <c r="P1758" s="4"/>
      <c r="T1758" s="4"/>
      <c r="U1758" s="4"/>
      <c r="Y1758" s="4"/>
      <c r="Z1758" s="4"/>
      <c r="AA1758" s="4"/>
      <c r="AB1758" s="4"/>
      <c r="AC1758" s="4"/>
    </row>
    <row r="1759" spans="2:29">
      <c r="B1759" s="180"/>
      <c r="E1759" s="4"/>
      <c r="F1759" s="4"/>
      <c r="G1759" s="4"/>
      <c r="J1759" s="4"/>
      <c r="K1759" s="4"/>
      <c r="L1759" s="4"/>
      <c r="O1759" s="4"/>
      <c r="P1759" s="4"/>
      <c r="T1759" s="4"/>
      <c r="U1759" s="4"/>
      <c r="Y1759" s="4"/>
      <c r="Z1759" s="4"/>
      <c r="AA1759" s="4"/>
      <c r="AB1759" s="4"/>
      <c r="AC1759" s="4"/>
    </row>
    <row r="1760" spans="2:29">
      <c r="B1760" s="180"/>
      <c r="E1760" s="4"/>
      <c r="F1760" s="4"/>
      <c r="G1760" s="4"/>
      <c r="J1760" s="4"/>
      <c r="K1760" s="4"/>
      <c r="L1760" s="4"/>
      <c r="O1760" s="4"/>
      <c r="P1760" s="4"/>
      <c r="T1760" s="4"/>
      <c r="U1760" s="4"/>
      <c r="Y1760" s="4"/>
      <c r="Z1760" s="4"/>
      <c r="AA1760" s="4"/>
      <c r="AB1760" s="4"/>
      <c r="AC1760" s="4"/>
    </row>
    <row r="1761" spans="2:29">
      <c r="B1761" s="180"/>
      <c r="E1761" s="4"/>
      <c r="F1761" s="4"/>
      <c r="G1761" s="4"/>
      <c r="J1761" s="4"/>
      <c r="K1761" s="4"/>
      <c r="L1761" s="4"/>
      <c r="O1761" s="4"/>
      <c r="P1761" s="4"/>
      <c r="T1761" s="4"/>
      <c r="U1761" s="4"/>
      <c r="Y1761" s="4"/>
      <c r="Z1761" s="4"/>
      <c r="AA1761" s="4"/>
      <c r="AB1761" s="4"/>
      <c r="AC1761" s="4"/>
    </row>
    <row r="1762" spans="2:29">
      <c r="B1762" s="180"/>
      <c r="E1762" s="4"/>
      <c r="F1762" s="4"/>
      <c r="G1762" s="4"/>
      <c r="J1762" s="4"/>
      <c r="K1762" s="4"/>
      <c r="L1762" s="4"/>
      <c r="O1762" s="4"/>
      <c r="P1762" s="4"/>
      <c r="T1762" s="4"/>
      <c r="U1762" s="4"/>
      <c r="Y1762" s="4"/>
      <c r="Z1762" s="4"/>
      <c r="AA1762" s="4"/>
      <c r="AB1762" s="4"/>
      <c r="AC1762" s="4"/>
    </row>
    <row r="1763" spans="2:29">
      <c r="B1763" s="180"/>
      <c r="E1763" s="4"/>
      <c r="F1763" s="4"/>
      <c r="G1763" s="4"/>
      <c r="J1763" s="4"/>
      <c r="K1763" s="4"/>
      <c r="L1763" s="4"/>
      <c r="O1763" s="4"/>
      <c r="P1763" s="4"/>
      <c r="T1763" s="4"/>
      <c r="U1763" s="4"/>
      <c r="Y1763" s="4"/>
      <c r="Z1763" s="4"/>
      <c r="AA1763" s="4"/>
      <c r="AB1763" s="4"/>
      <c r="AC1763" s="4"/>
    </row>
    <row r="1764" spans="2:29">
      <c r="B1764" s="180"/>
      <c r="E1764" s="4"/>
      <c r="F1764" s="4"/>
      <c r="G1764" s="4"/>
      <c r="J1764" s="4"/>
      <c r="K1764" s="4"/>
      <c r="L1764" s="4"/>
      <c r="O1764" s="4"/>
      <c r="P1764" s="4"/>
      <c r="T1764" s="4"/>
      <c r="U1764" s="4"/>
      <c r="Y1764" s="4"/>
      <c r="Z1764" s="4"/>
      <c r="AA1764" s="4"/>
      <c r="AB1764" s="4"/>
      <c r="AC1764" s="4"/>
    </row>
    <row r="1765" spans="2:29">
      <c r="B1765" s="180"/>
      <c r="E1765" s="4"/>
      <c r="F1765" s="4"/>
      <c r="G1765" s="4"/>
      <c r="J1765" s="4"/>
      <c r="K1765" s="4"/>
      <c r="L1765" s="4"/>
      <c r="O1765" s="4"/>
      <c r="P1765" s="4"/>
      <c r="T1765" s="4"/>
      <c r="U1765" s="4"/>
      <c r="Y1765" s="4"/>
      <c r="Z1765" s="4"/>
      <c r="AA1765" s="4"/>
      <c r="AB1765" s="4"/>
      <c r="AC1765" s="4"/>
    </row>
    <row r="1766" spans="2:29">
      <c r="B1766" s="180"/>
      <c r="E1766" s="4"/>
      <c r="F1766" s="4"/>
      <c r="G1766" s="4"/>
      <c r="J1766" s="4"/>
      <c r="K1766" s="4"/>
      <c r="L1766" s="4"/>
      <c r="O1766" s="4"/>
      <c r="P1766" s="4"/>
      <c r="T1766" s="4"/>
      <c r="U1766" s="4"/>
      <c r="Y1766" s="4"/>
      <c r="Z1766" s="4"/>
      <c r="AA1766" s="4"/>
      <c r="AB1766" s="4"/>
      <c r="AC1766" s="4"/>
    </row>
    <row r="1767" spans="2:29">
      <c r="B1767" s="180"/>
      <c r="E1767" s="4"/>
      <c r="F1767" s="4"/>
      <c r="G1767" s="4"/>
      <c r="J1767" s="4"/>
      <c r="K1767" s="4"/>
      <c r="L1767" s="4"/>
      <c r="O1767" s="4"/>
      <c r="P1767" s="4"/>
      <c r="T1767" s="4"/>
      <c r="U1767" s="4"/>
      <c r="Y1767" s="4"/>
      <c r="Z1767" s="4"/>
      <c r="AA1767" s="4"/>
      <c r="AB1767" s="4"/>
      <c r="AC1767" s="4"/>
    </row>
    <row r="1768" spans="2:29">
      <c r="B1768" s="180"/>
      <c r="E1768" s="4"/>
      <c r="F1768" s="4"/>
      <c r="G1768" s="4"/>
      <c r="J1768" s="4"/>
      <c r="K1768" s="4"/>
      <c r="L1768" s="4"/>
      <c r="O1768" s="4"/>
      <c r="P1768" s="4"/>
      <c r="T1768" s="4"/>
      <c r="U1768" s="4"/>
      <c r="Y1768" s="4"/>
      <c r="Z1768" s="4"/>
      <c r="AA1768" s="4"/>
      <c r="AB1768" s="4"/>
      <c r="AC1768" s="4"/>
    </row>
    <row r="1769" spans="2:29">
      <c r="B1769" s="180"/>
      <c r="E1769" s="4"/>
      <c r="F1769" s="4"/>
      <c r="G1769" s="4"/>
      <c r="J1769" s="4"/>
      <c r="K1769" s="4"/>
      <c r="L1769" s="4"/>
      <c r="O1769" s="4"/>
      <c r="P1769" s="4"/>
      <c r="T1769" s="4"/>
      <c r="U1769" s="4"/>
      <c r="Y1769" s="4"/>
      <c r="Z1769" s="4"/>
      <c r="AA1769" s="4"/>
      <c r="AB1769" s="4"/>
      <c r="AC1769" s="4"/>
    </row>
    <row r="1770" spans="2:29">
      <c r="B1770" s="180"/>
      <c r="E1770" s="4"/>
      <c r="F1770" s="4"/>
      <c r="G1770" s="4"/>
      <c r="J1770" s="4"/>
      <c r="K1770" s="4"/>
      <c r="L1770" s="4"/>
      <c r="O1770" s="4"/>
      <c r="P1770" s="4"/>
      <c r="T1770" s="4"/>
      <c r="U1770" s="4"/>
      <c r="Y1770" s="4"/>
      <c r="Z1770" s="4"/>
      <c r="AA1770" s="4"/>
      <c r="AB1770" s="4"/>
      <c r="AC1770" s="4"/>
    </row>
    <row r="1771" spans="2:29">
      <c r="B1771" s="180"/>
      <c r="E1771" s="4"/>
      <c r="F1771" s="4"/>
      <c r="G1771" s="4"/>
      <c r="J1771" s="4"/>
      <c r="K1771" s="4"/>
      <c r="L1771" s="4"/>
      <c r="O1771" s="4"/>
      <c r="P1771" s="4"/>
      <c r="T1771" s="4"/>
      <c r="U1771" s="4"/>
      <c r="Y1771" s="4"/>
      <c r="Z1771" s="4"/>
      <c r="AA1771" s="4"/>
      <c r="AB1771" s="4"/>
      <c r="AC1771" s="4"/>
    </row>
    <row r="1772" spans="2:29">
      <c r="B1772" s="180"/>
      <c r="E1772" s="4"/>
      <c r="F1772" s="4"/>
      <c r="G1772" s="4"/>
      <c r="J1772" s="4"/>
      <c r="K1772" s="4"/>
      <c r="L1772" s="4"/>
      <c r="O1772" s="4"/>
      <c r="P1772" s="4"/>
      <c r="T1772" s="4"/>
      <c r="U1772" s="4"/>
      <c r="Y1772" s="4"/>
      <c r="Z1772" s="4"/>
      <c r="AA1772" s="4"/>
      <c r="AB1772" s="4"/>
      <c r="AC1772" s="4"/>
    </row>
    <row r="1773" spans="2:29">
      <c r="B1773" s="180"/>
      <c r="E1773" s="4"/>
      <c r="F1773" s="4"/>
      <c r="G1773" s="4"/>
      <c r="J1773" s="4"/>
      <c r="K1773" s="4"/>
      <c r="L1773" s="4"/>
      <c r="O1773" s="4"/>
      <c r="P1773" s="4"/>
      <c r="T1773" s="4"/>
      <c r="U1773" s="4"/>
      <c r="Y1773" s="4"/>
      <c r="Z1773" s="4"/>
      <c r="AA1773" s="4"/>
      <c r="AB1773" s="4"/>
      <c r="AC1773" s="4"/>
    </row>
    <row r="1774" spans="2:29">
      <c r="B1774" s="180"/>
      <c r="E1774" s="4"/>
      <c r="F1774" s="4"/>
      <c r="G1774" s="4"/>
      <c r="J1774" s="4"/>
      <c r="K1774" s="4"/>
      <c r="L1774" s="4"/>
      <c r="O1774" s="4"/>
      <c r="P1774" s="4"/>
      <c r="T1774" s="4"/>
      <c r="U1774" s="4"/>
      <c r="Y1774" s="4"/>
      <c r="Z1774" s="4"/>
      <c r="AA1774" s="4"/>
      <c r="AB1774" s="4"/>
      <c r="AC1774" s="4"/>
    </row>
    <row r="1775" spans="2:29">
      <c r="B1775" s="180"/>
      <c r="E1775" s="4"/>
      <c r="F1775" s="4"/>
      <c r="G1775" s="4"/>
      <c r="J1775" s="4"/>
      <c r="K1775" s="4"/>
      <c r="L1775" s="4"/>
      <c r="O1775" s="4"/>
      <c r="P1775" s="4"/>
      <c r="T1775" s="4"/>
      <c r="U1775" s="4"/>
      <c r="Y1775" s="4"/>
      <c r="Z1775" s="4"/>
      <c r="AA1775" s="4"/>
      <c r="AB1775" s="4"/>
      <c r="AC1775" s="4"/>
    </row>
    <row r="1776" spans="2:29">
      <c r="B1776" s="180"/>
      <c r="E1776" s="4"/>
      <c r="F1776" s="4"/>
      <c r="G1776" s="4"/>
      <c r="J1776" s="4"/>
      <c r="K1776" s="4"/>
      <c r="L1776" s="4"/>
      <c r="O1776" s="4"/>
      <c r="P1776" s="4"/>
      <c r="T1776" s="4"/>
      <c r="U1776" s="4"/>
      <c r="Y1776" s="4"/>
      <c r="Z1776" s="4"/>
      <c r="AA1776" s="4"/>
      <c r="AB1776" s="4"/>
      <c r="AC1776" s="4"/>
    </row>
    <row r="1777" spans="2:29">
      <c r="B1777" s="180"/>
      <c r="E1777" s="4"/>
      <c r="F1777" s="4"/>
      <c r="G1777" s="4"/>
      <c r="J1777" s="4"/>
      <c r="K1777" s="4"/>
      <c r="L1777" s="4"/>
      <c r="O1777" s="4"/>
      <c r="P1777" s="4"/>
      <c r="T1777" s="4"/>
      <c r="U1777" s="4"/>
      <c r="Y1777" s="4"/>
      <c r="Z1777" s="4"/>
      <c r="AA1777" s="4"/>
      <c r="AB1777" s="4"/>
      <c r="AC1777" s="4"/>
    </row>
    <row r="1778" spans="2:29">
      <c r="B1778" s="180"/>
      <c r="E1778" s="4"/>
      <c r="F1778" s="4"/>
      <c r="G1778" s="4"/>
      <c r="J1778" s="4"/>
      <c r="K1778" s="4"/>
      <c r="L1778" s="4"/>
      <c r="O1778" s="4"/>
      <c r="P1778" s="4"/>
      <c r="T1778" s="4"/>
      <c r="U1778" s="4"/>
      <c r="Y1778" s="4"/>
      <c r="Z1778" s="4"/>
      <c r="AA1778" s="4"/>
      <c r="AB1778" s="4"/>
      <c r="AC1778" s="4"/>
    </row>
    <row r="1779" spans="2:29">
      <c r="B1779" s="180"/>
      <c r="E1779" s="4"/>
      <c r="F1779" s="4"/>
      <c r="G1779" s="4"/>
      <c r="J1779" s="4"/>
      <c r="K1779" s="4"/>
      <c r="L1779" s="4"/>
      <c r="O1779" s="4"/>
      <c r="P1779" s="4"/>
      <c r="T1779" s="4"/>
      <c r="U1779" s="4"/>
      <c r="Y1779" s="4"/>
      <c r="Z1779" s="4"/>
      <c r="AA1779" s="4"/>
      <c r="AB1779" s="4"/>
      <c r="AC1779" s="4"/>
    </row>
    <row r="1780" spans="2:29">
      <c r="B1780" s="180"/>
      <c r="E1780" s="4"/>
      <c r="F1780" s="4"/>
      <c r="G1780" s="4"/>
      <c r="J1780" s="4"/>
      <c r="K1780" s="4"/>
      <c r="L1780" s="4"/>
      <c r="O1780" s="4"/>
      <c r="P1780" s="4"/>
      <c r="T1780" s="4"/>
      <c r="U1780" s="4"/>
      <c r="Y1780" s="4"/>
      <c r="Z1780" s="4"/>
      <c r="AA1780" s="4"/>
      <c r="AB1780" s="4"/>
      <c r="AC1780" s="4"/>
    </row>
    <row r="1781" spans="2:29">
      <c r="B1781" s="180"/>
      <c r="E1781" s="4"/>
      <c r="F1781" s="4"/>
      <c r="G1781" s="4"/>
      <c r="J1781" s="4"/>
      <c r="K1781" s="4"/>
      <c r="L1781" s="4"/>
      <c r="O1781" s="4"/>
      <c r="P1781" s="4"/>
      <c r="T1781" s="4"/>
      <c r="U1781" s="4"/>
      <c r="Y1781" s="4"/>
      <c r="Z1781" s="4"/>
      <c r="AA1781" s="4"/>
      <c r="AB1781" s="4"/>
      <c r="AC1781" s="4"/>
    </row>
    <row r="1782" spans="2:29">
      <c r="B1782" s="180"/>
      <c r="E1782" s="4"/>
      <c r="F1782" s="4"/>
      <c r="G1782" s="4"/>
      <c r="J1782" s="4"/>
      <c r="K1782" s="4"/>
      <c r="L1782" s="4"/>
      <c r="O1782" s="4"/>
      <c r="P1782" s="4"/>
      <c r="T1782" s="4"/>
      <c r="U1782" s="4"/>
      <c r="Y1782" s="4"/>
      <c r="Z1782" s="4"/>
      <c r="AA1782" s="4"/>
      <c r="AB1782" s="4"/>
      <c r="AC1782" s="4"/>
    </row>
    <row r="1783" spans="2:29">
      <c r="B1783" s="180"/>
      <c r="E1783" s="4"/>
      <c r="F1783" s="4"/>
      <c r="G1783" s="4"/>
      <c r="J1783" s="4"/>
      <c r="K1783" s="4"/>
      <c r="L1783" s="4"/>
      <c r="O1783" s="4"/>
      <c r="P1783" s="4"/>
      <c r="T1783" s="4"/>
      <c r="U1783" s="4"/>
      <c r="Y1783" s="4"/>
      <c r="Z1783" s="4"/>
      <c r="AA1783" s="4"/>
      <c r="AB1783" s="4"/>
      <c r="AC1783" s="4"/>
    </row>
    <row r="1784" spans="2:29">
      <c r="B1784" s="180"/>
      <c r="E1784" s="4"/>
      <c r="F1784" s="4"/>
      <c r="G1784" s="4"/>
      <c r="J1784" s="4"/>
      <c r="K1784" s="4"/>
      <c r="L1784" s="4"/>
      <c r="O1784" s="4"/>
      <c r="P1784" s="4"/>
      <c r="T1784" s="4"/>
      <c r="U1784" s="4"/>
      <c r="Y1784" s="4"/>
      <c r="Z1784" s="4"/>
      <c r="AA1784" s="4"/>
      <c r="AB1784" s="4"/>
      <c r="AC1784" s="4"/>
    </row>
    <row r="1785" spans="2:29">
      <c r="B1785" s="180"/>
      <c r="E1785" s="4"/>
      <c r="F1785" s="4"/>
      <c r="G1785" s="4"/>
      <c r="J1785" s="4"/>
      <c r="K1785" s="4"/>
      <c r="L1785" s="4"/>
      <c r="O1785" s="4"/>
      <c r="P1785" s="4"/>
      <c r="T1785" s="4"/>
      <c r="U1785" s="4"/>
      <c r="Y1785" s="4"/>
      <c r="Z1785" s="4"/>
      <c r="AA1785" s="4"/>
      <c r="AB1785" s="4"/>
      <c r="AC1785" s="4"/>
    </row>
    <row r="1786" spans="2:29">
      <c r="B1786" s="180"/>
      <c r="E1786" s="4"/>
      <c r="F1786" s="4"/>
      <c r="G1786" s="4"/>
      <c r="J1786" s="4"/>
      <c r="K1786" s="4"/>
      <c r="L1786" s="4"/>
      <c r="O1786" s="4"/>
      <c r="P1786" s="4"/>
      <c r="T1786" s="4"/>
      <c r="U1786" s="4"/>
      <c r="Y1786" s="4"/>
      <c r="Z1786" s="4"/>
      <c r="AA1786" s="4"/>
      <c r="AB1786" s="4"/>
      <c r="AC1786" s="4"/>
    </row>
    <row r="1787" spans="2:29">
      <c r="B1787" s="180"/>
      <c r="E1787" s="4"/>
      <c r="F1787" s="4"/>
      <c r="G1787" s="4"/>
      <c r="J1787" s="4"/>
      <c r="K1787" s="4"/>
      <c r="L1787" s="4"/>
      <c r="O1787" s="4"/>
      <c r="P1787" s="4"/>
      <c r="T1787" s="4"/>
      <c r="U1787" s="4"/>
      <c r="Y1787" s="4"/>
      <c r="Z1787" s="4"/>
      <c r="AA1787" s="4"/>
      <c r="AB1787" s="4"/>
      <c r="AC1787" s="4"/>
    </row>
    <row r="1788" spans="2:29">
      <c r="B1788" s="180"/>
      <c r="E1788" s="4"/>
      <c r="F1788" s="4"/>
      <c r="G1788" s="4"/>
      <c r="J1788" s="4"/>
      <c r="K1788" s="4"/>
      <c r="L1788" s="4"/>
      <c r="O1788" s="4"/>
      <c r="P1788" s="4"/>
      <c r="T1788" s="4"/>
      <c r="U1788" s="4"/>
      <c r="Y1788" s="4"/>
      <c r="Z1788" s="4"/>
      <c r="AA1788" s="4"/>
      <c r="AB1788" s="4"/>
      <c r="AC1788" s="4"/>
    </row>
    <row r="1789" spans="2:29">
      <c r="B1789" s="180"/>
      <c r="E1789" s="4"/>
      <c r="F1789" s="4"/>
      <c r="G1789" s="4"/>
      <c r="J1789" s="4"/>
      <c r="K1789" s="4"/>
      <c r="L1789" s="4"/>
      <c r="O1789" s="4"/>
      <c r="P1789" s="4"/>
      <c r="T1789" s="4"/>
      <c r="U1789" s="4"/>
      <c r="Y1789" s="4"/>
      <c r="Z1789" s="4"/>
      <c r="AA1789" s="4"/>
      <c r="AB1789" s="4"/>
      <c r="AC1789" s="4"/>
    </row>
    <row r="1790" spans="2:29">
      <c r="B1790" s="180"/>
      <c r="E1790" s="4"/>
      <c r="F1790" s="4"/>
      <c r="G1790" s="4"/>
      <c r="J1790" s="4"/>
      <c r="K1790" s="4"/>
      <c r="L1790" s="4"/>
      <c r="O1790" s="4"/>
      <c r="P1790" s="4"/>
      <c r="T1790" s="4"/>
      <c r="U1790" s="4"/>
      <c r="Y1790" s="4"/>
      <c r="Z1790" s="4"/>
      <c r="AA1790" s="4"/>
      <c r="AB1790" s="4"/>
      <c r="AC1790" s="4"/>
    </row>
    <row r="1791" spans="2:29">
      <c r="B1791" s="180"/>
      <c r="E1791" s="4"/>
      <c r="F1791" s="4"/>
      <c r="G1791" s="4"/>
      <c r="J1791" s="4"/>
      <c r="K1791" s="4"/>
      <c r="L1791" s="4"/>
      <c r="O1791" s="4"/>
      <c r="P1791" s="4"/>
      <c r="T1791" s="4"/>
      <c r="U1791" s="4"/>
      <c r="Y1791" s="4"/>
      <c r="Z1791" s="4"/>
      <c r="AA1791" s="4"/>
      <c r="AB1791" s="4"/>
      <c r="AC1791" s="4"/>
    </row>
    <row r="1792" spans="2:29">
      <c r="B1792" s="180"/>
      <c r="E1792" s="4"/>
      <c r="F1792" s="4"/>
      <c r="G1792" s="4"/>
      <c r="J1792" s="4"/>
      <c r="K1792" s="4"/>
      <c r="L1792" s="4"/>
      <c r="O1792" s="4"/>
      <c r="P1792" s="4"/>
      <c r="T1792" s="4"/>
      <c r="U1792" s="4"/>
      <c r="Y1792" s="4"/>
      <c r="Z1792" s="4"/>
      <c r="AA1792" s="4"/>
      <c r="AB1792" s="4"/>
      <c r="AC1792" s="4"/>
    </row>
    <row r="1793" spans="2:29">
      <c r="B1793" s="180"/>
      <c r="E1793" s="4"/>
      <c r="F1793" s="4"/>
      <c r="G1793" s="4"/>
      <c r="J1793" s="4"/>
      <c r="K1793" s="4"/>
      <c r="L1793" s="4"/>
      <c r="O1793" s="4"/>
      <c r="P1793" s="4"/>
      <c r="T1793" s="4"/>
      <c r="U1793" s="4"/>
      <c r="Y1793" s="4"/>
      <c r="Z1793" s="4"/>
      <c r="AA1793" s="4"/>
      <c r="AB1793" s="4"/>
      <c r="AC1793" s="4"/>
    </row>
    <row r="1794" spans="2:29">
      <c r="B1794" s="180"/>
      <c r="E1794" s="4"/>
      <c r="F1794" s="4"/>
      <c r="G1794" s="4"/>
      <c r="J1794" s="4"/>
      <c r="K1794" s="4"/>
      <c r="L1794" s="4"/>
      <c r="O1794" s="4"/>
      <c r="P1794" s="4"/>
      <c r="T1794" s="4"/>
      <c r="U1794" s="4"/>
      <c r="Y1794" s="4"/>
      <c r="Z1794" s="4"/>
      <c r="AA1794" s="4"/>
      <c r="AB1794" s="4"/>
      <c r="AC1794" s="4"/>
    </row>
    <row r="1795" spans="2:29">
      <c r="B1795" s="180"/>
      <c r="E1795" s="4"/>
      <c r="F1795" s="4"/>
      <c r="G1795" s="4"/>
      <c r="J1795" s="4"/>
      <c r="K1795" s="4"/>
      <c r="L1795" s="4"/>
      <c r="O1795" s="4"/>
      <c r="P1795" s="4"/>
      <c r="T1795" s="4"/>
      <c r="U1795" s="4"/>
      <c r="Y1795" s="4"/>
      <c r="Z1795" s="4"/>
      <c r="AA1795" s="4"/>
      <c r="AB1795" s="4"/>
      <c r="AC1795" s="4"/>
    </row>
    <row r="1796" spans="2:29">
      <c r="B1796" s="180"/>
      <c r="E1796" s="4"/>
      <c r="F1796" s="4"/>
      <c r="G1796" s="4"/>
      <c r="J1796" s="4"/>
      <c r="K1796" s="4"/>
      <c r="L1796" s="4"/>
      <c r="O1796" s="4"/>
      <c r="P1796" s="4"/>
      <c r="T1796" s="4"/>
      <c r="U1796" s="4"/>
      <c r="Y1796" s="4"/>
      <c r="Z1796" s="4"/>
      <c r="AA1796" s="4"/>
      <c r="AB1796" s="4"/>
      <c r="AC1796" s="4"/>
    </row>
    <row r="1797" spans="2:29">
      <c r="B1797" s="180"/>
      <c r="E1797" s="4"/>
      <c r="F1797" s="4"/>
      <c r="G1797" s="4"/>
      <c r="J1797" s="4"/>
      <c r="K1797" s="4"/>
      <c r="L1797" s="4"/>
      <c r="O1797" s="4"/>
      <c r="P1797" s="4"/>
      <c r="T1797" s="4"/>
      <c r="U1797" s="4"/>
      <c r="Y1797" s="4"/>
      <c r="Z1797" s="4"/>
      <c r="AA1797" s="4"/>
      <c r="AB1797" s="4"/>
      <c r="AC1797" s="4"/>
    </row>
    <row r="1798" spans="2:29">
      <c r="B1798" s="180"/>
      <c r="E1798" s="4"/>
      <c r="F1798" s="4"/>
      <c r="G1798" s="4"/>
      <c r="J1798" s="4"/>
      <c r="K1798" s="4"/>
      <c r="L1798" s="4"/>
      <c r="O1798" s="4"/>
      <c r="P1798" s="4"/>
      <c r="T1798" s="4"/>
      <c r="U1798" s="4"/>
      <c r="Y1798" s="4"/>
      <c r="Z1798" s="4"/>
      <c r="AA1798" s="4"/>
      <c r="AB1798" s="4"/>
      <c r="AC1798" s="4"/>
    </row>
    <row r="1799" spans="2:29">
      <c r="B1799" s="180"/>
      <c r="E1799" s="4"/>
      <c r="F1799" s="4"/>
      <c r="G1799" s="4"/>
      <c r="J1799" s="4"/>
      <c r="K1799" s="4"/>
      <c r="L1799" s="4"/>
      <c r="O1799" s="4"/>
      <c r="P1799" s="4"/>
      <c r="T1799" s="4"/>
      <c r="U1799" s="4"/>
      <c r="Y1799" s="4"/>
      <c r="Z1799" s="4"/>
      <c r="AA1799" s="4"/>
      <c r="AB1799" s="4"/>
      <c r="AC1799" s="4"/>
    </row>
    <row r="1800" spans="2:29">
      <c r="B1800" s="180"/>
      <c r="E1800" s="4"/>
      <c r="F1800" s="4"/>
      <c r="G1800" s="4"/>
      <c r="J1800" s="4"/>
      <c r="K1800" s="4"/>
      <c r="L1800" s="4"/>
      <c r="O1800" s="4"/>
      <c r="P1800" s="4"/>
      <c r="T1800" s="4"/>
      <c r="U1800" s="4"/>
      <c r="Y1800" s="4"/>
      <c r="Z1800" s="4"/>
      <c r="AA1800" s="4"/>
      <c r="AB1800" s="4"/>
      <c r="AC1800" s="4"/>
    </row>
    <row r="1801" spans="2:29">
      <c r="B1801" s="180"/>
      <c r="E1801" s="4"/>
      <c r="F1801" s="4"/>
      <c r="G1801" s="4"/>
      <c r="J1801" s="4"/>
      <c r="K1801" s="4"/>
      <c r="L1801" s="4"/>
      <c r="O1801" s="4"/>
      <c r="P1801" s="4"/>
      <c r="T1801" s="4"/>
      <c r="U1801" s="4"/>
      <c r="Y1801" s="4"/>
      <c r="Z1801" s="4"/>
      <c r="AA1801" s="4"/>
      <c r="AB1801" s="4"/>
      <c r="AC1801" s="4"/>
    </row>
    <row r="1802" spans="2:29">
      <c r="B1802" s="180"/>
      <c r="E1802" s="4"/>
      <c r="F1802" s="4"/>
      <c r="G1802" s="4"/>
      <c r="J1802" s="4"/>
      <c r="K1802" s="4"/>
      <c r="L1802" s="4"/>
      <c r="O1802" s="4"/>
      <c r="P1802" s="4"/>
      <c r="T1802" s="4"/>
      <c r="U1802" s="4"/>
      <c r="Y1802" s="4"/>
      <c r="Z1802" s="4"/>
      <c r="AA1802" s="4"/>
      <c r="AB1802" s="4"/>
      <c r="AC1802" s="4"/>
    </row>
    <row r="1803" spans="2:29">
      <c r="B1803" s="180"/>
      <c r="E1803" s="4"/>
      <c r="F1803" s="4"/>
      <c r="G1803" s="4"/>
      <c r="J1803" s="4"/>
      <c r="K1803" s="4"/>
      <c r="L1803" s="4"/>
      <c r="O1803" s="4"/>
      <c r="P1803" s="4"/>
      <c r="T1803" s="4"/>
      <c r="U1803" s="4"/>
      <c r="Y1803" s="4"/>
      <c r="Z1803" s="4"/>
      <c r="AA1803" s="4"/>
      <c r="AB1803" s="4"/>
      <c r="AC1803" s="4"/>
    </row>
    <row r="1804" spans="2:29">
      <c r="B1804" s="180"/>
      <c r="E1804" s="4"/>
      <c r="F1804" s="4"/>
      <c r="G1804" s="4"/>
      <c r="J1804" s="4"/>
      <c r="K1804" s="4"/>
      <c r="L1804" s="4"/>
      <c r="O1804" s="4"/>
      <c r="P1804" s="4"/>
      <c r="T1804" s="4"/>
      <c r="U1804" s="4"/>
      <c r="Y1804" s="4"/>
      <c r="Z1804" s="4"/>
      <c r="AA1804" s="4"/>
      <c r="AB1804" s="4"/>
      <c r="AC1804" s="4"/>
    </row>
    <row r="1805" spans="2:29">
      <c r="B1805" s="180"/>
      <c r="E1805" s="4"/>
      <c r="F1805" s="4"/>
      <c r="G1805" s="4"/>
      <c r="J1805" s="4"/>
      <c r="K1805" s="4"/>
      <c r="L1805" s="4"/>
      <c r="O1805" s="4"/>
      <c r="P1805" s="4"/>
      <c r="T1805" s="4"/>
      <c r="U1805" s="4"/>
      <c r="Y1805" s="4"/>
      <c r="Z1805" s="4"/>
      <c r="AA1805" s="4"/>
      <c r="AB1805" s="4"/>
      <c r="AC1805" s="4"/>
    </row>
    <row r="1806" spans="2:29">
      <c r="B1806" s="180"/>
      <c r="E1806" s="4"/>
      <c r="F1806" s="4"/>
      <c r="G1806" s="4"/>
      <c r="J1806" s="4"/>
      <c r="K1806" s="4"/>
      <c r="L1806" s="4"/>
      <c r="O1806" s="4"/>
      <c r="P1806" s="4"/>
      <c r="T1806" s="4"/>
      <c r="U1806" s="4"/>
      <c r="Y1806" s="4"/>
      <c r="Z1806" s="4"/>
      <c r="AA1806" s="4"/>
      <c r="AB1806" s="4"/>
      <c r="AC1806" s="4"/>
    </row>
    <row r="1807" spans="2:29">
      <c r="B1807" s="180"/>
      <c r="E1807" s="4"/>
      <c r="F1807" s="4"/>
      <c r="G1807" s="4"/>
      <c r="J1807" s="4"/>
      <c r="K1807" s="4"/>
      <c r="L1807" s="4"/>
      <c r="O1807" s="4"/>
      <c r="P1807" s="4"/>
      <c r="T1807" s="4"/>
      <c r="U1807" s="4"/>
      <c r="Y1807" s="4"/>
      <c r="Z1807" s="4"/>
      <c r="AA1807" s="4"/>
      <c r="AB1807" s="4"/>
      <c r="AC1807" s="4"/>
    </row>
    <row r="1808" spans="2:29">
      <c r="B1808" s="180"/>
      <c r="E1808" s="4"/>
      <c r="F1808" s="4"/>
      <c r="G1808" s="4"/>
      <c r="J1808" s="4"/>
      <c r="K1808" s="4"/>
      <c r="L1808" s="4"/>
      <c r="O1808" s="4"/>
      <c r="P1808" s="4"/>
      <c r="T1808" s="4"/>
      <c r="U1808" s="4"/>
      <c r="Y1808" s="4"/>
      <c r="Z1808" s="4"/>
      <c r="AA1808" s="4"/>
      <c r="AB1808" s="4"/>
      <c r="AC1808" s="4"/>
    </row>
    <row r="1809" spans="2:29">
      <c r="B1809" s="180"/>
      <c r="E1809" s="4"/>
      <c r="F1809" s="4"/>
      <c r="G1809" s="4"/>
      <c r="J1809" s="4"/>
      <c r="K1809" s="4"/>
      <c r="L1809" s="4"/>
      <c r="O1809" s="4"/>
      <c r="P1809" s="4"/>
      <c r="T1809" s="4"/>
      <c r="U1809" s="4"/>
      <c r="Y1809" s="4"/>
      <c r="Z1809" s="4"/>
      <c r="AA1809" s="4"/>
      <c r="AB1809" s="4"/>
      <c r="AC1809" s="4"/>
    </row>
    <row r="1810" spans="2:29">
      <c r="B1810" s="180"/>
      <c r="E1810" s="4"/>
      <c r="F1810" s="4"/>
      <c r="G1810" s="4"/>
      <c r="J1810" s="4"/>
      <c r="K1810" s="4"/>
      <c r="L1810" s="4"/>
      <c r="O1810" s="4"/>
      <c r="P1810" s="4"/>
      <c r="T1810" s="4"/>
      <c r="U1810" s="4"/>
      <c r="Y1810" s="4"/>
      <c r="Z1810" s="4"/>
      <c r="AA1810" s="4"/>
      <c r="AB1810" s="4"/>
      <c r="AC1810" s="4"/>
    </row>
    <row r="1811" spans="2:29">
      <c r="B1811" s="180"/>
      <c r="E1811" s="4"/>
      <c r="F1811" s="4"/>
      <c r="G1811" s="4"/>
      <c r="J1811" s="4"/>
      <c r="K1811" s="4"/>
      <c r="L1811" s="4"/>
      <c r="O1811" s="4"/>
      <c r="P1811" s="4"/>
      <c r="T1811" s="4"/>
      <c r="U1811" s="4"/>
      <c r="Y1811" s="4"/>
      <c r="Z1811" s="4"/>
      <c r="AA1811" s="4"/>
      <c r="AB1811" s="4"/>
      <c r="AC1811" s="4"/>
    </row>
    <row r="1812" spans="2:29">
      <c r="B1812" s="180"/>
      <c r="E1812" s="4"/>
      <c r="F1812" s="4"/>
      <c r="G1812" s="4"/>
      <c r="J1812" s="4"/>
      <c r="K1812" s="4"/>
      <c r="L1812" s="4"/>
      <c r="O1812" s="4"/>
      <c r="P1812" s="4"/>
      <c r="T1812" s="4"/>
      <c r="U1812" s="4"/>
      <c r="Y1812" s="4"/>
      <c r="Z1812" s="4"/>
      <c r="AA1812" s="4"/>
      <c r="AB1812" s="4"/>
      <c r="AC1812" s="4"/>
    </row>
    <row r="1813" spans="2:29">
      <c r="B1813" s="180"/>
      <c r="E1813" s="4"/>
      <c r="F1813" s="4"/>
      <c r="G1813" s="4"/>
      <c r="J1813" s="4"/>
      <c r="K1813" s="4"/>
      <c r="L1813" s="4"/>
      <c r="O1813" s="4"/>
      <c r="P1813" s="4"/>
      <c r="T1813" s="4"/>
      <c r="U1813" s="4"/>
      <c r="Y1813" s="4"/>
      <c r="Z1813" s="4"/>
      <c r="AA1813" s="4"/>
      <c r="AB1813" s="4"/>
      <c r="AC1813" s="4"/>
    </row>
    <row r="1814" spans="2:29">
      <c r="B1814" s="180"/>
      <c r="E1814" s="4"/>
      <c r="F1814" s="4"/>
      <c r="G1814" s="4"/>
      <c r="J1814" s="4"/>
      <c r="K1814" s="4"/>
      <c r="L1814" s="4"/>
      <c r="O1814" s="4"/>
      <c r="P1814" s="4"/>
      <c r="T1814" s="4"/>
      <c r="U1814" s="4"/>
      <c r="Y1814" s="4"/>
      <c r="Z1814" s="4"/>
      <c r="AA1814" s="4"/>
      <c r="AB1814" s="4"/>
      <c r="AC1814" s="4"/>
    </row>
    <row r="1815" spans="2:29">
      <c r="B1815" s="180"/>
      <c r="E1815" s="4"/>
      <c r="F1815" s="4"/>
      <c r="G1815" s="4"/>
      <c r="J1815" s="4"/>
      <c r="K1815" s="4"/>
      <c r="L1815" s="4"/>
      <c r="O1815" s="4"/>
      <c r="P1815" s="4"/>
      <c r="T1815" s="4"/>
      <c r="U1815" s="4"/>
      <c r="Y1815" s="4"/>
      <c r="Z1815" s="4"/>
      <c r="AA1815" s="4"/>
      <c r="AB1815" s="4"/>
      <c r="AC1815" s="4"/>
    </row>
    <row r="1816" spans="2:29">
      <c r="B1816" s="180"/>
      <c r="E1816" s="4"/>
      <c r="F1816" s="4"/>
      <c r="G1816" s="4"/>
      <c r="J1816" s="4"/>
      <c r="K1816" s="4"/>
      <c r="L1816" s="4"/>
      <c r="O1816" s="4"/>
      <c r="P1816" s="4"/>
      <c r="T1816" s="4"/>
      <c r="U1816" s="4"/>
      <c r="Y1816" s="4"/>
      <c r="Z1816" s="4"/>
      <c r="AA1816" s="4"/>
      <c r="AB1816" s="4"/>
      <c r="AC1816" s="4"/>
    </row>
    <row r="1817" spans="2:29">
      <c r="B1817" s="180"/>
      <c r="E1817" s="4"/>
      <c r="F1817" s="4"/>
      <c r="G1817" s="4"/>
      <c r="J1817" s="4"/>
      <c r="K1817" s="4"/>
      <c r="L1817" s="4"/>
      <c r="O1817" s="4"/>
      <c r="P1817" s="4"/>
      <c r="T1817" s="4"/>
      <c r="U1817" s="4"/>
      <c r="Y1817" s="4"/>
      <c r="Z1817" s="4"/>
      <c r="AA1817" s="4"/>
      <c r="AB1817" s="4"/>
      <c r="AC1817" s="4"/>
    </row>
    <row r="1818" spans="2:29">
      <c r="B1818" s="180"/>
      <c r="E1818" s="4"/>
      <c r="F1818" s="4"/>
      <c r="G1818" s="4"/>
      <c r="J1818" s="4"/>
      <c r="K1818" s="4"/>
      <c r="L1818" s="4"/>
      <c r="O1818" s="4"/>
      <c r="P1818" s="4"/>
      <c r="T1818" s="4"/>
      <c r="U1818" s="4"/>
      <c r="Y1818" s="4"/>
      <c r="Z1818" s="4"/>
      <c r="AA1818" s="4"/>
      <c r="AB1818" s="4"/>
      <c r="AC1818" s="4"/>
    </row>
    <row r="1819" spans="2:29">
      <c r="B1819" s="180"/>
      <c r="E1819" s="4"/>
      <c r="F1819" s="4"/>
      <c r="G1819" s="4"/>
      <c r="J1819" s="4"/>
      <c r="K1819" s="4"/>
      <c r="L1819" s="4"/>
      <c r="O1819" s="4"/>
      <c r="P1819" s="4"/>
      <c r="T1819" s="4"/>
      <c r="U1819" s="4"/>
      <c r="Y1819" s="4"/>
      <c r="Z1819" s="4"/>
      <c r="AA1819" s="4"/>
      <c r="AB1819" s="4"/>
      <c r="AC1819" s="4"/>
    </row>
    <row r="1820" spans="2:29">
      <c r="B1820" s="180"/>
      <c r="E1820" s="4"/>
      <c r="F1820" s="4"/>
      <c r="G1820" s="4"/>
      <c r="J1820" s="4"/>
      <c r="K1820" s="4"/>
      <c r="L1820" s="4"/>
      <c r="O1820" s="4"/>
      <c r="P1820" s="4"/>
      <c r="T1820" s="4"/>
      <c r="U1820" s="4"/>
      <c r="Y1820" s="4"/>
      <c r="Z1820" s="4"/>
      <c r="AA1820" s="4"/>
      <c r="AB1820" s="4"/>
      <c r="AC1820" s="4"/>
    </row>
    <row r="1821" spans="2:29">
      <c r="B1821" s="180"/>
      <c r="E1821" s="4"/>
      <c r="F1821" s="4"/>
      <c r="G1821" s="4"/>
      <c r="J1821" s="4"/>
      <c r="K1821" s="4"/>
      <c r="L1821" s="4"/>
      <c r="O1821" s="4"/>
      <c r="P1821" s="4"/>
      <c r="T1821" s="4"/>
      <c r="U1821" s="4"/>
      <c r="Y1821" s="4"/>
      <c r="Z1821" s="4"/>
      <c r="AA1821" s="4"/>
      <c r="AB1821" s="4"/>
      <c r="AC1821" s="4"/>
    </row>
    <row r="1822" spans="2:29">
      <c r="B1822" s="180"/>
      <c r="E1822" s="4"/>
      <c r="F1822" s="4"/>
      <c r="G1822" s="4"/>
      <c r="J1822" s="4"/>
      <c r="K1822" s="4"/>
      <c r="L1822" s="4"/>
      <c r="O1822" s="4"/>
      <c r="P1822" s="4"/>
      <c r="T1822" s="4"/>
      <c r="U1822" s="4"/>
      <c r="Y1822" s="4"/>
      <c r="Z1822" s="4"/>
      <c r="AA1822" s="4"/>
      <c r="AB1822" s="4"/>
      <c r="AC1822" s="4"/>
    </row>
    <row r="1823" spans="2:29">
      <c r="B1823" s="180"/>
      <c r="E1823" s="4"/>
      <c r="F1823" s="4"/>
      <c r="G1823" s="4"/>
      <c r="J1823" s="4"/>
      <c r="K1823" s="4"/>
      <c r="L1823" s="4"/>
      <c r="O1823" s="4"/>
      <c r="P1823" s="4"/>
      <c r="T1823" s="4"/>
      <c r="U1823" s="4"/>
      <c r="Y1823" s="4"/>
      <c r="Z1823" s="4"/>
      <c r="AA1823" s="4"/>
      <c r="AB1823" s="4"/>
      <c r="AC1823" s="4"/>
    </row>
    <row r="1824" spans="2:29">
      <c r="B1824" s="180"/>
      <c r="E1824" s="4"/>
      <c r="F1824" s="4"/>
      <c r="G1824" s="4"/>
      <c r="J1824" s="4"/>
      <c r="K1824" s="4"/>
      <c r="L1824" s="4"/>
      <c r="O1824" s="4"/>
      <c r="P1824" s="4"/>
      <c r="T1824" s="4"/>
      <c r="U1824" s="4"/>
      <c r="Y1824" s="4"/>
      <c r="Z1824" s="4"/>
      <c r="AA1824" s="4"/>
      <c r="AB1824" s="4"/>
      <c r="AC1824" s="4"/>
    </row>
    <row r="1825" spans="2:29">
      <c r="B1825" s="180"/>
      <c r="E1825" s="4"/>
      <c r="F1825" s="4"/>
      <c r="G1825" s="4"/>
      <c r="J1825" s="4"/>
      <c r="K1825" s="4"/>
      <c r="L1825" s="4"/>
      <c r="O1825" s="4"/>
      <c r="P1825" s="4"/>
      <c r="T1825" s="4"/>
      <c r="U1825" s="4"/>
      <c r="Y1825" s="4"/>
      <c r="Z1825" s="4"/>
      <c r="AA1825" s="4"/>
      <c r="AB1825" s="4"/>
      <c r="AC1825" s="4"/>
    </row>
    <row r="1826" spans="2:29">
      <c r="B1826" s="180"/>
      <c r="E1826" s="4"/>
      <c r="F1826" s="4"/>
      <c r="G1826" s="4"/>
      <c r="J1826" s="4"/>
      <c r="K1826" s="4"/>
      <c r="L1826" s="4"/>
      <c r="O1826" s="4"/>
      <c r="P1826" s="4"/>
      <c r="T1826" s="4"/>
      <c r="U1826" s="4"/>
      <c r="Y1826" s="4"/>
      <c r="Z1826" s="4"/>
      <c r="AA1826" s="4"/>
      <c r="AB1826" s="4"/>
      <c r="AC1826" s="4"/>
    </row>
    <row r="1827" spans="2:29">
      <c r="B1827" s="180"/>
      <c r="E1827" s="4"/>
      <c r="F1827" s="4"/>
      <c r="G1827" s="4"/>
      <c r="J1827" s="4"/>
      <c r="K1827" s="4"/>
      <c r="L1827" s="4"/>
      <c r="O1827" s="4"/>
      <c r="P1827" s="4"/>
      <c r="T1827" s="4"/>
      <c r="U1827" s="4"/>
      <c r="Y1827" s="4"/>
      <c r="Z1827" s="4"/>
      <c r="AA1827" s="4"/>
      <c r="AB1827" s="4"/>
      <c r="AC1827" s="4"/>
    </row>
    <row r="1828" spans="2:29">
      <c r="B1828" s="180"/>
      <c r="E1828" s="4"/>
      <c r="F1828" s="4"/>
      <c r="G1828" s="4"/>
      <c r="J1828" s="4"/>
      <c r="K1828" s="4"/>
      <c r="L1828" s="4"/>
      <c r="O1828" s="4"/>
      <c r="P1828" s="4"/>
      <c r="T1828" s="4"/>
      <c r="U1828" s="4"/>
      <c r="Y1828" s="4"/>
      <c r="Z1828" s="4"/>
      <c r="AA1828" s="4"/>
      <c r="AB1828" s="4"/>
      <c r="AC1828" s="4"/>
    </row>
    <row r="1829" spans="2:29">
      <c r="B1829" s="180"/>
      <c r="E1829" s="4"/>
      <c r="F1829" s="4"/>
      <c r="G1829" s="4"/>
      <c r="J1829" s="4"/>
      <c r="K1829" s="4"/>
      <c r="L1829" s="4"/>
      <c r="O1829" s="4"/>
      <c r="P1829" s="4"/>
      <c r="T1829" s="4"/>
      <c r="U1829" s="4"/>
      <c r="Y1829" s="4"/>
      <c r="Z1829" s="4"/>
      <c r="AA1829" s="4"/>
      <c r="AB1829" s="4"/>
      <c r="AC1829" s="4"/>
    </row>
    <row r="1830" spans="2:29">
      <c r="B1830" s="180"/>
      <c r="E1830" s="4"/>
      <c r="F1830" s="4"/>
      <c r="G1830" s="4"/>
      <c r="J1830" s="4"/>
      <c r="K1830" s="4"/>
      <c r="L1830" s="4"/>
      <c r="O1830" s="4"/>
      <c r="P1830" s="4"/>
      <c r="T1830" s="4"/>
      <c r="U1830" s="4"/>
      <c r="Y1830" s="4"/>
      <c r="Z1830" s="4"/>
      <c r="AA1830" s="4"/>
      <c r="AB1830" s="4"/>
      <c r="AC1830" s="4"/>
    </row>
    <row r="1831" spans="2:29">
      <c r="B1831" s="180"/>
      <c r="E1831" s="4"/>
      <c r="F1831" s="4"/>
      <c r="G1831" s="4"/>
      <c r="J1831" s="4"/>
      <c r="K1831" s="4"/>
      <c r="L1831" s="4"/>
      <c r="O1831" s="4"/>
      <c r="P1831" s="4"/>
      <c r="T1831" s="4"/>
      <c r="U1831" s="4"/>
      <c r="Y1831" s="4"/>
      <c r="Z1831" s="4"/>
      <c r="AA1831" s="4"/>
      <c r="AB1831" s="4"/>
      <c r="AC1831" s="4"/>
    </row>
    <row r="1832" spans="2:29">
      <c r="B1832" s="180"/>
      <c r="E1832" s="4"/>
      <c r="F1832" s="4"/>
      <c r="G1832" s="4"/>
      <c r="J1832" s="4"/>
      <c r="K1832" s="4"/>
      <c r="L1832" s="4"/>
      <c r="O1832" s="4"/>
      <c r="P1832" s="4"/>
      <c r="T1832" s="4"/>
      <c r="U1832" s="4"/>
      <c r="Y1832" s="4"/>
      <c r="Z1832" s="4"/>
      <c r="AA1832" s="4"/>
      <c r="AB1832" s="4"/>
      <c r="AC1832" s="4"/>
    </row>
    <row r="1833" spans="2:29">
      <c r="B1833" s="180"/>
      <c r="E1833" s="4"/>
      <c r="F1833" s="4"/>
      <c r="G1833" s="4"/>
      <c r="J1833" s="4"/>
      <c r="K1833" s="4"/>
      <c r="L1833" s="4"/>
      <c r="O1833" s="4"/>
      <c r="P1833" s="4"/>
      <c r="T1833" s="4"/>
      <c r="U1833" s="4"/>
      <c r="Y1833" s="4"/>
      <c r="Z1833" s="4"/>
      <c r="AA1833" s="4"/>
      <c r="AB1833" s="4"/>
      <c r="AC1833" s="4"/>
    </row>
    <row r="1834" spans="2:29">
      <c r="B1834" s="180"/>
      <c r="E1834" s="4"/>
      <c r="F1834" s="4"/>
      <c r="G1834" s="4"/>
      <c r="J1834" s="4"/>
      <c r="K1834" s="4"/>
      <c r="L1834" s="4"/>
      <c r="O1834" s="4"/>
      <c r="P1834" s="4"/>
      <c r="T1834" s="4"/>
      <c r="U1834" s="4"/>
      <c r="Y1834" s="4"/>
      <c r="Z1834" s="4"/>
      <c r="AA1834" s="4"/>
      <c r="AB1834" s="4"/>
      <c r="AC1834" s="4"/>
    </row>
    <row r="1835" spans="2:29">
      <c r="B1835" s="180"/>
      <c r="E1835" s="4"/>
      <c r="F1835" s="4"/>
      <c r="G1835" s="4"/>
      <c r="J1835" s="4"/>
      <c r="K1835" s="4"/>
      <c r="L1835" s="4"/>
      <c r="O1835" s="4"/>
      <c r="P1835" s="4"/>
      <c r="T1835" s="4"/>
      <c r="U1835" s="4"/>
      <c r="Y1835" s="4"/>
      <c r="Z1835" s="4"/>
      <c r="AA1835" s="4"/>
      <c r="AB1835" s="4"/>
      <c r="AC1835" s="4"/>
    </row>
  </sheetData>
  <sortState xmlns:xlrd2="http://schemas.microsoft.com/office/spreadsheetml/2017/richdata2" ref="B642:B663">
    <sortCondition ref="B642:B663"/>
  </sortState>
  <mergeCells count="263">
    <mergeCell ref="C1119:D1155"/>
    <mergeCell ref="AG968:AG969"/>
    <mergeCell ref="B1015:B1016"/>
    <mergeCell ref="C1015:F1015"/>
    <mergeCell ref="H1015:K1015"/>
    <mergeCell ref="M1015:P1015"/>
    <mergeCell ref="R1015:U1015"/>
    <mergeCell ref="W1015:Z1015"/>
    <mergeCell ref="AA1015:AA1016"/>
    <mergeCell ref="AB1015:AB1016"/>
    <mergeCell ref="AD1015:AF1015"/>
    <mergeCell ref="AG1015:AG1016"/>
    <mergeCell ref="B968:B969"/>
    <mergeCell ref="C968:F968"/>
    <mergeCell ref="H968:K968"/>
    <mergeCell ref="M968:P968"/>
    <mergeCell ref="R968:U968"/>
    <mergeCell ref="W968:Z968"/>
    <mergeCell ref="AA968:AA969"/>
    <mergeCell ref="AB968:AB969"/>
    <mergeCell ref="AD968:AF968"/>
    <mergeCell ref="AG1064:AG1065"/>
    <mergeCell ref="B1117:B1118"/>
    <mergeCell ref="C1117:F1117"/>
    <mergeCell ref="AG921:AG922"/>
    <mergeCell ref="B921:B922"/>
    <mergeCell ref="C921:F921"/>
    <mergeCell ref="H921:K921"/>
    <mergeCell ref="M921:P921"/>
    <mergeCell ref="R921:U921"/>
    <mergeCell ref="W921:Z921"/>
    <mergeCell ref="AA921:AA922"/>
    <mergeCell ref="AB921:AB922"/>
    <mergeCell ref="AD921:AF921"/>
    <mergeCell ref="AG875:AG876"/>
    <mergeCell ref="B875:B876"/>
    <mergeCell ref="C875:F875"/>
    <mergeCell ref="H875:K875"/>
    <mergeCell ref="M875:P875"/>
    <mergeCell ref="R875:U875"/>
    <mergeCell ref="W875:Z875"/>
    <mergeCell ref="AA875:AA876"/>
    <mergeCell ref="AB875:AB876"/>
    <mergeCell ref="AD875:AF875"/>
    <mergeCell ref="AG781:AG782"/>
    <mergeCell ref="B828:B829"/>
    <mergeCell ref="C828:F828"/>
    <mergeCell ref="H828:K828"/>
    <mergeCell ref="M828:P828"/>
    <mergeCell ref="R828:U828"/>
    <mergeCell ref="W828:Z828"/>
    <mergeCell ref="AA828:AA829"/>
    <mergeCell ref="AB828:AB829"/>
    <mergeCell ref="AD828:AF828"/>
    <mergeCell ref="AG828:AG829"/>
    <mergeCell ref="B781:B782"/>
    <mergeCell ref="C781:F781"/>
    <mergeCell ref="H781:K781"/>
    <mergeCell ref="M781:P781"/>
    <mergeCell ref="R781:U781"/>
    <mergeCell ref="W781:Z781"/>
    <mergeCell ref="AA781:AA782"/>
    <mergeCell ref="AB781:AB782"/>
    <mergeCell ref="AD781:AF781"/>
    <mergeCell ref="AG75:AG76"/>
    <mergeCell ref="S1:AG1"/>
    <mergeCell ref="AK1:AP1"/>
    <mergeCell ref="AK2:AP2"/>
    <mergeCell ref="AG14:AG15"/>
    <mergeCell ref="B14:B15"/>
    <mergeCell ref="C14:F14"/>
    <mergeCell ref="H14:K14"/>
    <mergeCell ref="M14:P14"/>
    <mergeCell ref="R14:U14"/>
    <mergeCell ref="W14:Z14"/>
    <mergeCell ref="AA14:AA15"/>
    <mergeCell ref="AB14:AB15"/>
    <mergeCell ref="AD14:AF14"/>
    <mergeCell ref="B75:B76"/>
    <mergeCell ref="C75:F75"/>
    <mergeCell ref="H75:K75"/>
    <mergeCell ref="M75:P75"/>
    <mergeCell ref="R75:U75"/>
    <mergeCell ref="W75:Z75"/>
    <mergeCell ref="AA75:AA76"/>
    <mergeCell ref="AB75:AB76"/>
    <mergeCell ref="AD75:AF75"/>
    <mergeCell ref="AA40:AA41"/>
    <mergeCell ref="AB40:AB41"/>
    <mergeCell ref="AD40:AF40"/>
    <mergeCell ref="AG40:AG41"/>
    <mergeCell ref="B40:B41"/>
    <mergeCell ref="C40:F40"/>
    <mergeCell ref="H40:K40"/>
    <mergeCell ref="M40:P40"/>
    <mergeCell ref="R40:U40"/>
    <mergeCell ref="W40:Z40"/>
    <mergeCell ref="W109:Z109"/>
    <mergeCell ref="AA109:AA110"/>
    <mergeCell ref="AB109:AB110"/>
    <mergeCell ref="AD109:AF109"/>
    <mergeCell ref="AG109:AG110"/>
    <mergeCell ref="B109:B110"/>
    <mergeCell ref="C109:F109"/>
    <mergeCell ref="H109:K109"/>
    <mergeCell ref="M109:P109"/>
    <mergeCell ref="R109:U109"/>
    <mergeCell ref="W152:Z152"/>
    <mergeCell ref="AA152:AA153"/>
    <mergeCell ref="AB152:AB153"/>
    <mergeCell ref="AD152:AF152"/>
    <mergeCell ref="AG152:AG153"/>
    <mergeCell ref="B152:B153"/>
    <mergeCell ref="C152:F152"/>
    <mergeCell ref="H152:K152"/>
    <mergeCell ref="M152:P152"/>
    <mergeCell ref="R152:U152"/>
    <mergeCell ref="W194:Z194"/>
    <mergeCell ref="AA194:AA195"/>
    <mergeCell ref="AB194:AB195"/>
    <mergeCell ref="AD194:AF194"/>
    <mergeCell ref="AG194:AG195"/>
    <mergeCell ref="B194:B195"/>
    <mergeCell ref="C194:F194"/>
    <mergeCell ref="H194:K194"/>
    <mergeCell ref="M194:P194"/>
    <mergeCell ref="R194:U194"/>
    <mergeCell ref="W253:Z253"/>
    <mergeCell ref="AA253:AA254"/>
    <mergeCell ref="AB253:AB254"/>
    <mergeCell ref="AD253:AF253"/>
    <mergeCell ref="AG253:AG254"/>
    <mergeCell ref="B253:B254"/>
    <mergeCell ref="C253:F253"/>
    <mergeCell ref="H253:K253"/>
    <mergeCell ref="M253:P253"/>
    <mergeCell ref="R253:U253"/>
    <mergeCell ref="W302:Z302"/>
    <mergeCell ref="AA302:AA303"/>
    <mergeCell ref="AB302:AB303"/>
    <mergeCell ref="AD302:AF302"/>
    <mergeCell ref="AG302:AG303"/>
    <mergeCell ref="B302:B303"/>
    <mergeCell ref="C302:F302"/>
    <mergeCell ref="H302:K302"/>
    <mergeCell ref="M302:P302"/>
    <mergeCell ref="R302:U302"/>
    <mergeCell ref="W352:Z352"/>
    <mergeCell ref="AA352:AA353"/>
    <mergeCell ref="AB352:AB353"/>
    <mergeCell ref="AD352:AF352"/>
    <mergeCell ref="AG352:AG353"/>
    <mergeCell ref="B352:B353"/>
    <mergeCell ref="C352:F352"/>
    <mergeCell ref="H352:K352"/>
    <mergeCell ref="M352:P352"/>
    <mergeCell ref="R352:U352"/>
    <mergeCell ref="W401:Z401"/>
    <mergeCell ref="AA401:AA402"/>
    <mergeCell ref="AB401:AB402"/>
    <mergeCell ref="AD401:AF401"/>
    <mergeCell ref="AG401:AG402"/>
    <mergeCell ref="B401:B402"/>
    <mergeCell ref="C401:F401"/>
    <mergeCell ref="H401:K401"/>
    <mergeCell ref="M401:P401"/>
    <mergeCell ref="R401:U401"/>
    <mergeCell ref="AG450:AG451"/>
    <mergeCell ref="B499:B500"/>
    <mergeCell ref="C499:F499"/>
    <mergeCell ref="H499:K499"/>
    <mergeCell ref="M499:P499"/>
    <mergeCell ref="R499:U499"/>
    <mergeCell ref="W499:Z499"/>
    <mergeCell ref="AA499:AA500"/>
    <mergeCell ref="AB499:AB500"/>
    <mergeCell ref="AD499:AF499"/>
    <mergeCell ref="AG499:AG500"/>
    <mergeCell ref="B450:B451"/>
    <mergeCell ref="C450:F450"/>
    <mergeCell ref="H450:K450"/>
    <mergeCell ref="M450:P450"/>
    <mergeCell ref="R450:U450"/>
    <mergeCell ref="W450:Z450"/>
    <mergeCell ref="AA450:AA451"/>
    <mergeCell ref="AB450:AB451"/>
    <mergeCell ref="AD450:AF450"/>
    <mergeCell ref="AG544:AG545"/>
    <mergeCell ref="C452:E489"/>
    <mergeCell ref="B544:B545"/>
    <mergeCell ref="C544:F544"/>
    <mergeCell ref="H544:K544"/>
    <mergeCell ref="M544:P544"/>
    <mergeCell ref="R544:U544"/>
    <mergeCell ref="W544:Z544"/>
    <mergeCell ref="AA544:AA545"/>
    <mergeCell ref="AB544:AB545"/>
    <mergeCell ref="AD544:AF544"/>
    <mergeCell ref="W501:X501"/>
    <mergeCell ref="W528:X528"/>
    <mergeCell ref="AG592:AG593"/>
    <mergeCell ref="B592:B593"/>
    <mergeCell ref="C592:F592"/>
    <mergeCell ref="H592:K592"/>
    <mergeCell ref="M592:P592"/>
    <mergeCell ref="R592:U592"/>
    <mergeCell ref="W592:Z592"/>
    <mergeCell ref="AA592:AA593"/>
    <mergeCell ref="AB592:AB593"/>
    <mergeCell ref="AD592:AF592"/>
    <mergeCell ref="AD687:AF687"/>
    <mergeCell ref="R622:S622"/>
    <mergeCell ref="AG640:AG641"/>
    <mergeCell ref="B640:B641"/>
    <mergeCell ref="C640:F640"/>
    <mergeCell ref="H640:K640"/>
    <mergeCell ref="M640:P640"/>
    <mergeCell ref="R640:U640"/>
    <mergeCell ref="W640:Z640"/>
    <mergeCell ref="AA640:AA641"/>
    <mergeCell ref="AB640:AB641"/>
    <mergeCell ref="AD640:AF640"/>
    <mergeCell ref="C719:D719"/>
    <mergeCell ref="H719:I719"/>
    <mergeCell ref="M719:N719"/>
    <mergeCell ref="W719:X719"/>
    <mergeCell ref="AG687:AG688"/>
    <mergeCell ref="B735:B736"/>
    <mergeCell ref="C735:F735"/>
    <mergeCell ref="H735:K735"/>
    <mergeCell ref="M735:P735"/>
    <mergeCell ref="R735:U735"/>
    <mergeCell ref="W735:Z735"/>
    <mergeCell ref="AA735:AA736"/>
    <mergeCell ref="AB735:AB736"/>
    <mergeCell ref="AD735:AF735"/>
    <mergeCell ref="AG735:AG736"/>
    <mergeCell ref="R689:S725"/>
    <mergeCell ref="B687:B688"/>
    <mergeCell ref="C687:F687"/>
    <mergeCell ref="H687:K687"/>
    <mergeCell ref="M687:P687"/>
    <mergeCell ref="R687:U687"/>
    <mergeCell ref="W687:Z687"/>
    <mergeCell ref="AA687:AA688"/>
    <mergeCell ref="AB687:AB688"/>
    <mergeCell ref="H1117:K1117"/>
    <mergeCell ref="M1117:P1117"/>
    <mergeCell ref="R1117:U1117"/>
    <mergeCell ref="W1117:Z1117"/>
    <mergeCell ref="AA1117:AA1118"/>
    <mergeCell ref="AB1117:AB1118"/>
    <mergeCell ref="AD1117:AF1117"/>
    <mergeCell ref="AG1117:AG1118"/>
    <mergeCell ref="B1064:B1065"/>
    <mergeCell ref="C1064:F1064"/>
    <mergeCell ref="H1064:K1064"/>
    <mergeCell ref="M1064:P1064"/>
    <mergeCell ref="R1064:U1064"/>
    <mergeCell ref="W1064:Z1064"/>
    <mergeCell ref="AA1064:AA1065"/>
    <mergeCell ref="AB1064:AB1065"/>
    <mergeCell ref="AD1064:AF1064"/>
  </mergeCells>
  <phoneticPr fontId="9" type="noConversion"/>
  <conditionalFormatting sqref="AE2:AE3">
    <cfRule type="cellIs" dxfId="16" priority="1" operator="lessThan">
      <formula>0</formula>
    </cfRule>
  </conditionalFormatting>
  <pageMargins left="0.7" right="0.7" top="0.75" bottom="0.75" header="0.3" footer="0.3"/>
  <pageSetup orientation="portrait"/>
  <ignoredErrors>
    <ignoredError sqref="Z31:AB31 AL44 AB66 Z100:AB100 AG100 AB144:AE144 AG66 AL79 AB94 AC143:AE143 AG144" formula="1"/>
    <ignoredError sqref="C55:V55 C58:Q58 C56:Q56 U56:V56 C57:Q57 U57:V57 C62:G63 C59:Q59 U59:V59 C60:Q60 U60:V60 U58:V58 C93:D93 C94:D94 C95:E96 H95:J96 V62:Y63 H62:U63 H61:U61 H64:U64 R59:S60 C61:D61 M93:O96 R93:Y94 S91 U95:V95 R96:X96 R95:T95 W95:X95" numberStoredAsText="1"/>
  </ignoredErrors>
  <drawing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0"/>
  <dimension ref="A1:AR75"/>
  <sheetViews>
    <sheetView topLeftCell="A62" workbookViewId="0">
      <selection activeCell="D80" sqref="D80"/>
    </sheetView>
  </sheetViews>
  <sheetFormatPr defaultRowHeight="13.5"/>
  <cols>
    <col min="1" max="1" width="24.85546875" customWidth="1"/>
    <col min="6" max="6" width="4.140625" customWidth="1"/>
    <col min="11" max="11" width="3.7109375" customWidth="1"/>
    <col min="16" max="16" width="2.85546875" customWidth="1"/>
    <col min="21" max="21" width="3.42578125" customWidth="1"/>
    <col min="28" max="28" width="3.42578125" customWidth="1"/>
  </cols>
  <sheetData>
    <row r="1" spans="1:44" s="313" customFormat="1">
      <c r="A1" s="1518" t="s">
        <v>18</v>
      </c>
      <c r="B1" s="1519">
        <v>45460</v>
      </c>
      <c r="C1" s="1519"/>
      <c r="D1" s="1519"/>
      <c r="E1" s="1519"/>
      <c r="F1" s="365"/>
      <c r="G1" s="1519">
        <v>45461</v>
      </c>
      <c r="H1" s="1519"/>
      <c r="I1" s="1519"/>
      <c r="J1" s="1519"/>
      <c r="K1" s="365">
        <v>45343</v>
      </c>
      <c r="L1" s="1519">
        <v>45462</v>
      </c>
      <c r="M1" s="1519"/>
      <c r="N1" s="1519"/>
      <c r="O1" s="1519"/>
      <c r="P1" s="365"/>
      <c r="Q1" s="1519">
        <v>45463</v>
      </c>
      <c r="R1" s="1519"/>
      <c r="S1" s="1519"/>
      <c r="T1" s="1519"/>
      <c r="U1" s="365"/>
      <c r="V1" s="1519">
        <v>45464</v>
      </c>
      <c r="W1" s="1519"/>
      <c r="X1" s="1519"/>
      <c r="Y1" s="1519"/>
      <c r="Z1" s="1517" t="s">
        <v>19</v>
      </c>
      <c r="AA1" s="1517" t="s">
        <v>20</v>
      </c>
      <c r="AB1" s="4"/>
      <c r="AC1" s="1519">
        <v>45465</v>
      </c>
      <c r="AD1" s="1519"/>
      <c r="AE1" s="1519"/>
      <c r="AF1" s="1517" t="s">
        <v>21</v>
      </c>
    </row>
    <row r="2" spans="1:44" s="313" customFormat="1">
      <c r="A2" s="1518"/>
      <c r="B2" s="21" t="s">
        <v>23</v>
      </c>
      <c r="C2" s="21" t="s">
        <v>24</v>
      </c>
      <c r="D2" s="205" t="s">
        <v>25</v>
      </c>
      <c r="E2" s="18" t="s">
        <v>14</v>
      </c>
      <c r="F2" s="4"/>
      <c r="G2" s="21" t="s">
        <v>23</v>
      </c>
      <c r="H2" s="21" t="s">
        <v>24</v>
      </c>
      <c r="I2" s="18" t="s">
        <v>25</v>
      </c>
      <c r="J2" s="18" t="s">
        <v>14</v>
      </c>
      <c r="K2" s="4"/>
      <c r="L2" s="21" t="s">
        <v>23</v>
      </c>
      <c r="M2" s="21" t="s">
        <v>24</v>
      </c>
      <c r="N2" s="18" t="s">
        <v>25</v>
      </c>
      <c r="O2" s="18" t="s">
        <v>14</v>
      </c>
      <c r="P2" s="4"/>
      <c r="Q2" s="484" t="s">
        <v>23</v>
      </c>
      <c r="R2" s="21" t="s">
        <v>24</v>
      </c>
      <c r="S2" s="18" t="s">
        <v>25</v>
      </c>
      <c r="T2" s="18" t="s">
        <v>14</v>
      </c>
      <c r="U2" s="4"/>
      <c r="V2" s="484" t="s">
        <v>23</v>
      </c>
      <c r="W2" s="21" t="s">
        <v>24</v>
      </c>
      <c r="X2" s="18" t="s">
        <v>25</v>
      </c>
      <c r="Y2" s="18" t="s">
        <v>14</v>
      </c>
      <c r="Z2" s="1517"/>
      <c r="AA2" s="1517"/>
      <c r="AB2" s="4"/>
      <c r="AC2" s="21" t="s">
        <v>23</v>
      </c>
      <c r="AD2" s="21" t="s">
        <v>24</v>
      </c>
      <c r="AE2" s="18" t="s">
        <v>25</v>
      </c>
      <c r="AF2" s="1517"/>
    </row>
    <row r="3" spans="1:44" s="313" customFormat="1">
      <c r="A3" s="367" t="s">
        <v>552</v>
      </c>
      <c r="B3" s="457"/>
      <c r="C3" s="47"/>
      <c r="D3" s="319">
        <v>0</v>
      </c>
      <c r="E3" s="319"/>
      <c r="F3" s="320"/>
      <c r="G3" s="4"/>
      <c r="H3" s="319"/>
      <c r="I3" s="319">
        <v>8</v>
      </c>
      <c r="J3" s="319"/>
      <c r="K3" s="320"/>
      <c r="L3" s="4"/>
      <c r="M3" s="47"/>
      <c r="N3" s="319">
        <v>0</v>
      </c>
      <c r="O3" s="319"/>
      <c r="P3" s="320"/>
      <c r="Q3" s="4"/>
      <c r="R3" s="47"/>
      <c r="S3" s="319">
        <v>8</v>
      </c>
      <c r="T3" s="319"/>
      <c r="U3" s="320"/>
      <c r="V3" s="4"/>
      <c r="W3" s="47"/>
      <c r="X3" s="441" t="s">
        <v>153</v>
      </c>
      <c r="Y3" s="319"/>
      <c r="Z3" s="582">
        <f t="shared" ref="Z3:Z8" si="0">D3+I3+N3+S3+X3</f>
        <v>24</v>
      </c>
      <c r="AA3" s="328"/>
      <c r="AB3" s="298"/>
      <c r="AC3" s="399"/>
      <c r="AD3" s="47"/>
      <c r="AE3" s="47"/>
      <c r="AF3" s="564"/>
      <c r="AG3" s="196"/>
      <c r="AH3" s="510"/>
      <c r="AI3" s="510"/>
      <c r="AJ3" s="405"/>
      <c r="AK3" s="405"/>
      <c r="AL3" s="401"/>
      <c r="AM3" s="401"/>
      <c r="AN3" s="401"/>
      <c r="AO3" s="401"/>
      <c r="AP3" s="401"/>
      <c r="AQ3" s="401"/>
      <c r="AR3" s="401"/>
    </row>
    <row r="4" spans="1:44" s="313" customFormat="1">
      <c r="A4" s="584" t="s">
        <v>441</v>
      </c>
      <c r="B4" s="457"/>
      <c r="C4" s="47"/>
      <c r="D4" s="319">
        <v>0</v>
      </c>
      <c r="E4" s="319"/>
      <c r="F4" s="320"/>
      <c r="G4" s="4"/>
      <c r="H4" s="319"/>
      <c r="I4" s="319">
        <v>8</v>
      </c>
      <c r="J4" s="319"/>
      <c r="K4" s="320"/>
      <c r="L4" s="4"/>
      <c r="M4" s="47"/>
      <c r="N4" s="319">
        <v>0</v>
      </c>
      <c r="O4" s="319"/>
      <c r="P4" s="320"/>
      <c r="Q4" s="4"/>
      <c r="R4" s="47"/>
      <c r="S4" s="319">
        <v>2</v>
      </c>
      <c r="T4" s="319"/>
      <c r="U4" s="320"/>
      <c r="V4" s="4"/>
      <c r="W4" s="47"/>
      <c r="X4" s="319">
        <v>0</v>
      </c>
      <c r="Y4" s="319"/>
      <c r="Z4" s="582">
        <f t="shared" si="0"/>
        <v>10</v>
      </c>
      <c r="AA4" s="328"/>
      <c r="AB4" s="298"/>
      <c r="AC4" s="399"/>
      <c r="AD4" s="47"/>
      <c r="AE4" s="47"/>
      <c r="AF4" s="298"/>
      <c r="AG4" s="196"/>
      <c r="AH4" s="510"/>
      <c r="AI4" s="510"/>
      <c r="AJ4" s="405"/>
      <c r="AK4" s="405"/>
      <c r="AL4" s="401"/>
      <c r="AM4" s="401"/>
      <c r="AN4" s="401"/>
      <c r="AO4" s="401"/>
      <c r="AP4" s="401"/>
      <c r="AQ4" s="401"/>
      <c r="AR4" s="401"/>
    </row>
    <row r="5" spans="1:44" s="313" customFormat="1">
      <c r="A5" s="367" t="s">
        <v>444</v>
      </c>
      <c r="B5" s="457"/>
      <c r="C5" s="47"/>
      <c r="D5" s="319">
        <v>0</v>
      </c>
      <c r="E5" s="319"/>
      <c r="F5" s="320"/>
      <c r="G5" s="4"/>
      <c r="H5" s="319"/>
      <c r="I5" s="319">
        <v>8</v>
      </c>
      <c r="J5" s="319"/>
      <c r="K5" s="320"/>
      <c r="L5" s="4"/>
      <c r="M5" s="47"/>
      <c r="N5" s="319">
        <v>0</v>
      </c>
      <c r="O5" s="319"/>
      <c r="P5" s="320"/>
      <c r="Q5" s="4"/>
      <c r="R5" s="47"/>
      <c r="S5" s="441" t="s">
        <v>153</v>
      </c>
      <c r="T5" s="319"/>
      <c r="U5" s="320"/>
      <c r="V5" s="4"/>
      <c r="W5" s="47"/>
      <c r="X5" s="441" t="s">
        <v>153</v>
      </c>
      <c r="Y5" s="319"/>
      <c r="Z5" s="582">
        <f t="shared" si="0"/>
        <v>24</v>
      </c>
      <c r="AA5" s="328"/>
      <c r="AB5" s="298"/>
      <c r="AC5" s="399"/>
      <c r="AD5" s="47"/>
      <c r="AE5" s="47"/>
      <c r="AF5" s="298"/>
      <c r="AG5" s="196"/>
      <c r="AH5" s="510"/>
      <c r="AI5" s="510"/>
      <c r="AJ5" s="405"/>
      <c r="AK5" s="405"/>
      <c r="AL5" s="401"/>
      <c r="AM5" s="401"/>
      <c r="AN5" s="401"/>
      <c r="AO5" s="401"/>
      <c r="AP5" s="401"/>
      <c r="AQ5" s="401"/>
      <c r="AR5" s="401"/>
    </row>
    <row r="6" spans="1:44" s="313" customFormat="1">
      <c r="A6" s="367" t="s">
        <v>450</v>
      </c>
      <c r="B6" s="457"/>
      <c r="C6" s="47"/>
      <c r="D6" s="319">
        <v>0</v>
      </c>
      <c r="E6" s="319"/>
      <c r="F6" s="320"/>
      <c r="G6" s="4"/>
      <c r="H6" s="319"/>
      <c r="I6" s="319">
        <v>8</v>
      </c>
      <c r="J6" s="319"/>
      <c r="K6" s="320"/>
      <c r="L6" s="4"/>
      <c r="M6" s="47"/>
      <c r="N6" s="319">
        <v>0</v>
      </c>
      <c r="O6" s="319"/>
      <c r="P6" s="320"/>
      <c r="Q6" s="4"/>
      <c r="R6" s="47"/>
      <c r="S6" s="319" t="s">
        <v>153</v>
      </c>
      <c r="T6" s="319"/>
      <c r="U6" s="320"/>
      <c r="V6" s="4"/>
      <c r="W6" s="47"/>
      <c r="X6" s="441" t="s">
        <v>154</v>
      </c>
      <c r="Y6" s="319"/>
      <c r="Z6" s="582">
        <f t="shared" si="0"/>
        <v>16</v>
      </c>
      <c r="AA6" s="328"/>
      <c r="AB6" s="298"/>
      <c r="AC6" s="399"/>
      <c r="AD6" s="47"/>
      <c r="AE6" s="47"/>
      <c r="AF6" s="298"/>
      <c r="AG6" s="196"/>
      <c r="AH6" s="510"/>
      <c r="AI6" s="510"/>
      <c r="AJ6" s="405"/>
      <c r="AK6" s="405"/>
      <c r="AL6" s="401"/>
      <c r="AM6" s="401"/>
      <c r="AN6" s="401"/>
      <c r="AO6" s="401"/>
      <c r="AP6" s="401"/>
      <c r="AQ6" s="401"/>
      <c r="AR6" s="401"/>
    </row>
    <row r="7" spans="1:44" s="313" customFormat="1">
      <c r="A7" s="367" t="s">
        <v>553</v>
      </c>
      <c r="B7" s="457"/>
      <c r="C7" s="47"/>
      <c r="D7" s="319">
        <v>0</v>
      </c>
      <c r="E7" s="319"/>
      <c r="F7" s="320"/>
      <c r="G7" s="4"/>
      <c r="H7" s="319"/>
      <c r="I7" s="319">
        <v>0</v>
      </c>
      <c r="J7" s="319"/>
      <c r="K7" s="320"/>
      <c r="L7" s="4"/>
      <c r="M7" s="47"/>
      <c r="N7" s="319">
        <v>0</v>
      </c>
      <c r="O7" s="319"/>
      <c r="P7" s="320"/>
      <c r="Q7" s="4"/>
      <c r="R7" s="47"/>
      <c r="S7" s="319">
        <v>0</v>
      </c>
      <c r="T7" s="319"/>
      <c r="U7" s="320"/>
      <c r="V7" s="4"/>
      <c r="W7" s="47"/>
      <c r="X7" s="319">
        <v>0</v>
      </c>
      <c r="Y7" s="319"/>
      <c r="Z7" s="582">
        <f t="shared" si="0"/>
        <v>0</v>
      </c>
      <c r="AA7" s="328"/>
      <c r="AB7" s="298"/>
      <c r="AC7" s="399"/>
      <c r="AD7" s="47"/>
      <c r="AE7" s="47"/>
      <c r="AF7" s="298"/>
      <c r="AG7" s="196"/>
      <c r="AH7" s="510"/>
      <c r="AI7" s="510"/>
      <c r="AJ7" s="405"/>
      <c r="AK7" s="405"/>
      <c r="AL7" s="401"/>
      <c r="AM7" s="401"/>
      <c r="AN7" s="401"/>
      <c r="AO7" s="401"/>
      <c r="AP7" s="401"/>
      <c r="AQ7" s="401"/>
      <c r="AR7" s="401"/>
    </row>
    <row r="8" spans="1:44" s="313" customFormat="1">
      <c r="A8" s="367" t="s">
        <v>482</v>
      </c>
      <c r="B8" s="457"/>
      <c r="C8" s="47"/>
      <c r="D8" s="319">
        <v>7.5</v>
      </c>
      <c r="E8" s="319"/>
      <c r="F8" s="320"/>
      <c r="G8" s="4"/>
      <c r="H8" s="319"/>
      <c r="I8" s="319">
        <v>7.5</v>
      </c>
      <c r="J8" s="319"/>
      <c r="K8" s="320"/>
      <c r="L8" s="4"/>
      <c r="M8" s="47"/>
      <c r="N8" s="319">
        <v>0</v>
      </c>
      <c r="O8" s="319"/>
      <c r="P8" s="320"/>
      <c r="Q8" s="4"/>
      <c r="R8" s="47"/>
      <c r="S8" s="319">
        <v>7.5</v>
      </c>
      <c r="T8" s="319"/>
      <c r="U8" s="320"/>
      <c r="V8" s="4"/>
      <c r="W8" s="47"/>
      <c r="X8" s="319">
        <v>8</v>
      </c>
      <c r="Y8" s="319"/>
      <c r="Z8" s="582">
        <f t="shared" si="0"/>
        <v>30.5</v>
      </c>
      <c r="AA8" s="328"/>
      <c r="AB8" s="298"/>
      <c r="AC8" s="399"/>
      <c r="AD8" s="47"/>
      <c r="AE8" s="47"/>
      <c r="AF8" s="298"/>
      <c r="AG8" s="196"/>
      <c r="AH8" s="510"/>
      <c r="AI8" s="510"/>
      <c r="AJ8" s="405"/>
      <c r="AK8" s="405"/>
      <c r="AL8" s="401"/>
      <c r="AM8" s="401"/>
      <c r="AN8" s="401"/>
      <c r="AO8" s="401"/>
      <c r="AP8" s="401"/>
      <c r="AQ8" s="401"/>
      <c r="AR8" s="401"/>
    </row>
    <row r="10" spans="1:44" s="313" customFormat="1">
      <c r="A10" s="1518" t="s">
        <v>18</v>
      </c>
      <c r="B10" s="1519">
        <v>45467</v>
      </c>
      <c r="C10" s="1519"/>
      <c r="D10" s="1519"/>
      <c r="E10" s="1519"/>
      <c r="F10" s="365"/>
      <c r="G10" s="1519">
        <v>45468</v>
      </c>
      <c r="H10" s="1519"/>
      <c r="I10" s="1519"/>
      <c r="J10" s="1519"/>
      <c r="K10" s="365">
        <v>45343</v>
      </c>
      <c r="L10" s="1519">
        <v>45469</v>
      </c>
      <c r="M10" s="1519"/>
      <c r="N10" s="1519"/>
      <c r="O10" s="1519"/>
      <c r="P10" s="365"/>
      <c r="Q10" s="1519">
        <v>45470</v>
      </c>
      <c r="R10" s="1519"/>
      <c r="S10" s="1519"/>
      <c r="T10" s="1519"/>
      <c r="U10" s="365"/>
      <c r="V10" s="1519">
        <v>45471</v>
      </c>
      <c r="W10" s="1519"/>
      <c r="X10" s="1519"/>
      <c r="Y10" s="1519"/>
      <c r="Z10" s="1517" t="s">
        <v>19</v>
      </c>
      <c r="AA10" s="1517" t="s">
        <v>20</v>
      </c>
      <c r="AB10" s="4"/>
      <c r="AC10" s="1519">
        <v>45472</v>
      </c>
      <c r="AD10" s="1519"/>
      <c r="AE10" s="1519"/>
      <c r="AF10" s="1517" t="s">
        <v>21</v>
      </c>
    </row>
    <row r="11" spans="1:44" s="313" customFormat="1">
      <c r="A11" s="1518"/>
      <c r="B11" s="21" t="s">
        <v>23</v>
      </c>
      <c r="C11" s="21" t="s">
        <v>24</v>
      </c>
      <c r="D11" s="205" t="s">
        <v>25</v>
      </c>
      <c r="E11" s="18" t="s">
        <v>14</v>
      </c>
      <c r="F11" s="4"/>
      <c r="G11" s="21" t="s">
        <v>23</v>
      </c>
      <c r="H11" s="21" t="s">
        <v>24</v>
      </c>
      <c r="I11" s="18" t="s">
        <v>25</v>
      </c>
      <c r="J11" s="18" t="s">
        <v>14</v>
      </c>
      <c r="K11" s="4"/>
      <c r="L11" s="21" t="s">
        <v>23</v>
      </c>
      <c r="M11" s="21" t="s">
        <v>24</v>
      </c>
      <c r="N11" s="18" t="s">
        <v>25</v>
      </c>
      <c r="O11" s="18" t="s">
        <v>14</v>
      </c>
      <c r="P11" s="4"/>
      <c r="Q11" s="484" t="s">
        <v>23</v>
      </c>
      <c r="R11" s="21" t="s">
        <v>24</v>
      </c>
      <c r="S11" s="18" t="s">
        <v>25</v>
      </c>
      <c r="T11" s="18" t="s">
        <v>14</v>
      </c>
      <c r="U11" s="4"/>
      <c r="V11" s="484" t="s">
        <v>23</v>
      </c>
      <c r="W11" s="21" t="s">
        <v>24</v>
      </c>
      <c r="X11" s="18" t="s">
        <v>25</v>
      </c>
      <c r="Y11" s="18" t="s">
        <v>14</v>
      </c>
      <c r="Z11" s="1517"/>
      <c r="AA11" s="1517"/>
      <c r="AB11" s="4"/>
      <c r="AC11" s="21" t="s">
        <v>23</v>
      </c>
      <c r="AD11" s="21" t="s">
        <v>24</v>
      </c>
      <c r="AE11" s="18" t="s">
        <v>25</v>
      </c>
      <c r="AF11" s="1517"/>
    </row>
    <row r="12" spans="1:44" s="313" customFormat="1">
      <c r="A12" s="367" t="s">
        <v>554</v>
      </c>
      <c r="B12" s="457"/>
      <c r="C12" s="47"/>
      <c r="D12" s="319">
        <v>8</v>
      </c>
      <c r="E12" s="319"/>
      <c r="F12" s="320"/>
      <c r="G12" s="4"/>
      <c r="H12" s="47"/>
      <c r="I12" s="319">
        <v>8</v>
      </c>
      <c r="J12" s="319"/>
      <c r="K12" s="320"/>
      <c r="L12" s="4"/>
      <c r="M12" s="47"/>
      <c r="N12" s="319">
        <v>8</v>
      </c>
      <c r="O12" s="319"/>
      <c r="P12" s="320"/>
      <c r="Q12" s="4"/>
      <c r="R12" s="47"/>
      <c r="S12" s="319">
        <v>8</v>
      </c>
      <c r="T12" s="319"/>
      <c r="U12" s="320"/>
      <c r="V12" s="4"/>
      <c r="W12" s="47"/>
      <c r="X12" s="319">
        <v>0</v>
      </c>
      <c r="Y12" s="319"/>
      <c r="Z12" s="582">
        <f t="shared" ref="Z12:Z18" si="1">D12+I12+N12+S12+X12</f>
        <v>32</v>
      </c>
      <c r="AA12" s="328"/>
      <c r="AB12" s="298"/>
      <c r="AC12" s="399"/>
      <c r="AD12" s="47"/>
      <c r="AE12" s="47"/>
      <c r="AF12" s="319"/>
      <c r="AG12" s="196"/>
      <c r="AH12" s="510"/>
      <c r="AI12" s="510"/>
      <c r="AJ12" s="405"/>
      <c r="AK12" s="405"/>
      <c r="AL12" s="401"/>
      <c r="AM12" s="401"/>
      <c r="AN12" s="401"/>
      <c r="AO12" s="401"/>
      <c r="AP12" s="401"/>
      <c r="AQ12" s="401"/>
      <c r="AR12" s="401"/>
    </row>
    <row r="13" spans="1:44" s="313" customFormat="1">
      <c r="A13" s="584" t="s">
        <v>441</v>
      </c>
      <c r="B13" s="457"/>
      <c r="C13" s="47"/>
      <c r="D13" s="319">
        <v>0</v>
      </c>
      <c r="E13" s="319"/>
      <c r="F13" s="320"/>
      <c r="G13" s="4"/>
      <c r="H13" s="47"/>
      <c r="I13" s="319">
        <v>0</v>
      </c>
      <c r="J13" s="319"/>
      <c r="K13" s="320"/>
      <c r="L13" s="4"/>
      <c r="M13" s="47"/>
      <c r="N13" s="319">
        <v>0</v>
      </c>
      <c r="O13" s="319"/>
      <c r="P13" s="320"/>
      <c r="Q13" s="4"/>
      <c r="R13" s="47"/>
      <c r="S13" s="319">
        <v>0</v>
      </c>
      <c r="T13" s="319"/>
      <c r="U13" s="320"/>
      <c r="V13" s="4"/>
      <c r="W13" s="47"/>
      <c r="X13" s="319">
        <v>0</v>
      </c>
      <c r="Y13" s="319"/>
      <c r="Z13" s="582">
        <f t="shared" si="1"/>
        <v>0</v>
      </c>
      <c r="AA13" s="328"/>
      <c r="AB13" s="298"/>
      <c r="AC13" s="399"/>
      <c r="AD13" s="47"/>
      <c r="AE13" s="47"/>
      <c r="AF13" s="319"/>
      <c r="AG13" s="196"/>
      <c r="AH13" s="510"/>
      <c r="AI13" s="510"/>
      <c r="AJ13" s="405"/>
      <c r="AK13" s="405"/>
      <c r="AL13" s="401"/>
      <c r="AM13" s="401"/>
      <c r="AN13" s="401"/>
      <c r="AO13" s="401"/>
      <c r="AP13" s="401"/>
      <c r="AQ13" s="401"/>
      <c r="AR13" s="401"/>
    </row>
    <row r="14" spans="1:44" s="313" customFormat="1">
      <c r="A14" s="367" t="s">
        <v>444</v>
      </c>
      <c r="B14" s="457"/>
      <c r="C14" s="47"/>
      <c r="D14" s="319">
        <v>8</v>
      </c>
      <c r="E14" s="319"/>
      <c r="F14" s="320"/>
      <c r="G14" s="4"/>
      <c r="H14" s="47"/>
      <c r="I14" s="319">
        <v>8</v>
      </c>
      <c r="J14" s="319"/>
      <c r="K14" s="320"/>
      <c r="L14" s="4"/>
      <c r="M14" s="47"/>
      <c r="N14" s="319">
        <v>8</v>
      </c>
      <c r="O14" s="319"/>
      <c r="P14" s="320"/>
      <c r="Q14" s="4"/>
      <c r="R14" s="47"/>
      <c r="S14" s="319">
        <v>8</v>
      </c>
      <c r="T14" s="319"/>
      <c r="U14" s="320"/>
      <c r="V14" s="4"/>
      <c r="W14" s="47"/>
      <c r="X14" s="319">
        <v>8</v>
      </c>
      <c r="Y14" s="319"/>
      <c r="Z14" s="582">
        <f t="shared" si="1"/>
        <v>40</v>
      </c>
      <c r="AA14" s="328"/>
      <c r="AB14" s="298"/>
      <c r="AC14" s="399"/>
      <c r="AD14" s="47"/>
      <c r="AE14" s="47"/>
      <c r="AF14" s="319"/>
      <c r="AG14" s="196"/>
      <c r="AH14" s="510"/>
      <c r="AI14" s="510"/>
      <c r="AJ14" s="405"/>
      <c r="AK14" s="405"/>
      <c r="AL14" s="401"/>
      <c r="AM14" s="401"/>
      <c r="AN14" s="401"/>
      <c r="AO14" s="401"/>
      <c r="AP14" s="401"/>
      <c r="AQ14" s="401"/>
      <c r="AR14" s="401"/>
    </row>
    <row r="15" spans="1:44" s="313" customFormat="1">
      <c r="A15" s="367" t="s">
        <v>450</v>
      </c>
      <c r="B15" s="457"/>
      <c r="C15" s="47"/>
      <c r="D15" s="319">
        <v>8</v>
      </c>
      <c r="E15" s="319"/>
      <c r="F15" s="320"/>
      <c r="G15" s="4"/>
      <c r="H15" s="47"/>
      <c r="I15" s="319">
        <v>0</v>
      </c>
      <c r="J15" s="319"/>
      <c r="K15" s="320"/>
      <c r="L15" s="4"/>
      <c r="M15" s="47"/>
      <c r="N15" s="319">
        <v>0</v>
      </c>
      <c r="O15" s="319"/>
      <c r="P15" s="320"/>
      <c r="Q15" s="4"/>
      <c r="R15" s="47"/>
      <c r="S15" s="319">
        <v>0</v>
      </c>
      <c r="T15" s="319"/>
      <c r="U15" s="320"/>
      <c r="V15" s="4"/>
      <c r="W15" s="47"/>
      <c r="X15" s="441" t="s">
        <v>153</v>
      </c>
      <c r="Y15" s="319"/>
      <c r="Z15" s="582">
        <f t="shared" si="1"/>
        <v>16</v>
      </c>
      <c r="AA15" s="328"/>
      <c r="AB15" s="298"/>
      <c r="AC15" s="399"/>
      <c r="AD15" s="47"/>
      <c r="AE15" s="47"/>
      <c r="AF15" s="319"/>
      <c r="AG15" s="196"/>
      <c r="AH15" s="510"/>
      <c r="AI15" s="510"/>
      <c r="AJ15" s="405"/>
      <c r="AK15" s="405"/>
      <c r="AL15" s="401"/>
      <c r="AM15" s="401"/>
      <c r="AN15" s="401"/>
      <c r="AO15" s="401"/>
      <c r="AP15" s="401"/>
      <c r="AQ15" s="401"/>
      <c r="AR15" s="401"/>
    </row>
    <row r="16" spans="1:44" s="313" customFormat="1">
      <c r="A16" s="367" t="s">
        <v>479</v>
      </c>
      <c r="B16" s="457"/>
      <c r="C16" s="47"/>
      <c r="D16" s="319">
        <v>0</v>
      </c>
      <c r="E16" s="319"/>
      <c r="F16" s="320"/>
      <c r="G16" s="4"/>
      <c r="H16" s="47"/>
      <c r="I16" s="319">
        <v>0</v>
      </c>
      <c r="J16" s="319"/>
      <c r="K16" s="320"/>
      <c r="L16" s="4"/>
      <c r="M16" s="47"/>
      <c r="N16" s="319">
        <v>0</v>
      </c>
      <c r="O16" s="319"/>
      <c r="P16" s="320"/>
      <c r="Q16" s="4"/>
      <c r="R16" s="47"/>
      <c r="S16" s="319">
        <v>0</v>
      </c>
      <c r="T16" s="319"/>
      <c r="U16" s="320"/>
      <c r="V16" s="4"/>
      <c r="W16" s="47"/>
      <c r="X16" s="319">
        <v>0</v>
      </c>
      <c r="Y16" s="319"/>
      <c r="Z16" s="582">
        <f t="shared" si="1"/>
        <v>0</v>
      </c>
      <c r="AA16" s="328"/>
      <c r="AB16" s="298"/>
      <c r="AC16" s="399"/>
      <c r="AD16" s="47"/>
      <c r="AE16" s="47"/>
      <c r="AF16" s="319"/>
      <c r="AG16" s="196"/>
      <c r="AH16" s="510"/>
      <c r="AI16" s="510"/>
      <c r="AJ16" s="405"/>
      <c r="AK16" s="405"/>
      <c r="AL16" s="401"/>
      <c r="AM16" s="401"/>
      <c r="AN16" s="401"/>
      <c r="AO16" s="401"/>
      <c r="AP16" s="401"/>
      <c r="AQ16" s="401"/>
      <c r="AR16" s="401"/>
    </row>
    <row r="17" spans="1:44" s="313" customFormat="1">
      <c r="A17" s="367" t="s">
        <v>482</v>
      </c>
      <c r="B17" s="457"/>
      <c r="C17" s="47"/>
      <c r="D17" s="319">
        <v>0</v>
      </c>
      <c r="E17" s="319"/>
      <c r="F17" s="320"/>
      <c r="G17" s="4"/>
      <c r="H17" s="47"/>
      <c r="I17" s="319">
        <v>7</v>
      </c>
      <c r="J17" s="319"/>
      <c r="K17" s="320"/>
      <c r="L17" s="4"/>
      <c r="M17" s="47"/>
      <c r="N17" s="319">
        <v>7</v>
      </c>
      <c r="O17" s="319"/>
      <c r="P17" s="320"/>
      <c r="Q17" s="4"/>
      <c r="R17" s="47"/>
      <c r="S17" s="319">
        <v>7</v>
      </c>
      <c r="T17" s="319"/>
      <c r="U17" s="320"/>
      <c r="V17" s="4"/>
      <c r="W17" s="47"/>
      <c r="X17" s="319">
        <v>7.5</v>
      </c>
      <c r="Y17" s="319"/>
      <c r="Z17" s="582">
        <f t="shared" si="1"/>
        <v>28.5</v>
      </c>
      <c r="AA17" s="328"/>
      <c r="AB17" s="298"/>
      <c r="AC17" s="399"/>
      <c r="AD17" s="47"/>
      <c r="AE17" s="47"/>
      <c r="AF17" s="319"/>
      <c r="AG17" s="196"/>
      <c r="AH17" s="510"/>
      <c r="AI17" s="510"/>
      <c r="AJ17" s="405"/>
      <c r="AK17" s="405"/>
      <c r="AL17" s="401"/>
      <c r="AM17" s="401"/>
      <c r="AN17" s="401"/>
      <c r="AO17" s="401"/>
      <c r="AP17" s="401"/>
      <c r="AQ17" s="401"/>
      <c r="AR17" s="401"/>
    </row>
    <row r="18" spans="1:44" ht="14.25">
      <c r="A18" s="367" t="s">
        <v>555</v>
      </c>
      <c r="D18" s="319">
        <v>8</v>
      </c>
      <c r="I18" s="319">
        <v>8</v>
      </c>
      <c r="N18" s="319">
        <v>8</v>
      </c>
      <c r="S18" s="319">
        <v>8</v>
      </c>
      <c r="X18" s="319">
        <v>8</v>
      </c>
      <c r="Z18" s="582">
        <f t="shared" si="1"/>
        <v>40</v>
      </c>
    </row>
    <row r="19" spans="1:44" s="313" customFormat="1">
      <c r="A19" s="1518" t="s">
        <v>18</v>
      </c>
      <c r="B19" s="1519">
        <v>45474</v>
      </c>
      <c r="C19" s="1519"/>
      <c r="D19" s="1519"/>
      <c r="E19" s="1519"/>
      <c r="F19" s="365"/>
      <c r="G19" s="1519">
        <v>45475</v>
      </c>
      <c r="H19" s="1519"/>
      <c r="I19" s="1519"/>
      <c r="J19" s="1519"/>
      <c r="K19" s="365">
        <v>45343</v>
      </c>
      <c r="L19" s="1519">
        <v>45476</v>
      </c>
      <c r="M19" s="1519"/>
      <c r="N19" s="1519"/>
      <c r="O19" s="1519"/>
      <c r="P19" s="365"/>
      <c r="Q19" s="1519">
        <v>45477</v>
      </c>
      <c r="R19" s="1519"/>
      <c r="S19" s="1519"/>
      <c r="T19" s="1519"/>
      <c r="U19" s="365"/>
      <c r="V19" s="1519">
        <v>45478</v>
      </c>
      <c r="W19" s="1519"/>
      <c r="X19" s="1519"/>
      <c r="Y19" s="1519"/>
      <c r="Z19" s="1517" t="s">
        <v>19</v>
      </c>
      <c r="AA19" s="1517" t="s">
        <v>20</v>
      </c>
      <c r="AB19" s="4"/>
      <c r="AC19" s="1519">
        <v>45479</v>
      </c>
      <c r="AD19" s="1519"/>
      <c r="AE19" s="1519"/>
      <c r="AF19" s="1517" t="s">
        <v>21</v>
      </c>
    </row>
    <row r="20" spans="1:44" s="313" customFormat="1">
      <c r="A20" s="1518"/>
      <c r="B20" s="21" t="s">
        <v>23</v>
      </c>
      <c r="C20" s="21" t="s">
        <v>24</v>
      </c>
      <c r="D20" s="205" t="s">
        <v>25</v>
      </c>
      <c r="E20" s="18" t="s">
        <v>14</v>
      </c>
      <c r="F20" s="4"/>
      <c r="G20" s="21" t="s">
        <v>23</v>
      </c>
      <c r="H20" s="21" t="s">
        <v>24</v>
      </c>
      <c r="I20" s="18" t="s">
        <v>25</v>
      </c>
      <c r="J20" s="18" t="s">
        <v>14</v>
      </c>
      <c r="K20" s="4"/>
      <c r="L20" s="21" t="s">
        <v>23</v>
      </c>
      <c r="M20" s="21" t="s">
        <v>24</v>
      </c>
      <c r="N20" s="18" t="s">
        <v>25</v>
      </c>
      <c r="O20" s="18" t="s">
        <v>14</v>
      </c>
      <c r="P20" s="4"/>
      <c r="Q20" s="484" t="s">
        <v>23</v>
      </c>
      <c r="R20" s="21" t="s">
        <v>24</v>
      </c>
      <c r="S20" s="18" t="s">
        <v>25</v>
      </c>
      <c r="T20" s="18" t="s">
        <v>14</v>
      </c>
      <c r="U20" s="4"/>
      <c r="V20" s="484" t="s">
        <v>23</v>
      </c>
      <c r="W20" s="21" t="s">
        <v>24</v>
      </c>
      <c r="X20" s="18" t="s">
        <v>25</v>
      </c>
      <c r="Y20" s="18" t="s">
        <v>14</v>
      </c>
      <c r="Z20" s="1517"/>
      <c r="AA20" s="1517"/>
      <c r="AB20" s="4"/>
      <c r="AC20" s="21" t="s">
        <v>23</v>
      </c>
      <c r="AD20" s="21" t="s">
        <v>24</v>
      </c>
      <c r="AE20" s="18" t="s">
        <v>25</v>
      </c>
      <c r="AF20" s="1517"/>
    </row>
    <row r="21" spans="1:44" s="313" customFormat="1">
      <c r="A21" s="367" t="s">
        <v>441</v>
      </c>
      <c r="B21" s="457"/>
      <c r="C21" s="47"/>
      <c r="D21" s="319">
        <v>0</v>
      </c>
      <c r="E21" s="319"/>
      <c r="F21" s="320"/>
      <c r="G21" s="4"/>
      <c r="H21" s="47"/>
      <c r="I21" s="319">
        <v>0</v>
      </c>
      <c r="J21" s="319"/>
      <c r="K21" s="320"/>
      <c r="L21" s="4"/>
      <c r="M21" s="47"/>
      <c r="N21" s="319">
        <v>0</v>
      </c>
      <c r="O21" s="319"/>
      <c r="P21" s="320"/>
      <c r="Q21" s="4"/>
      <c r="R21" s="47"/>
      <c r="S21" s="319">
        <v>0</v>
      </c>
      <c r="T21" s="319"/>
      <c r="U21" s="320"/>
      <c r="V21" s="4"/>
      <c r="W21" s="47"/>
      <c r="X21" s="319">
        <v>0</v>
      </c>
      <c r="Y21" s="319"/>
      <c r="Z21" s="582">
        <f t="shared" ref="Z21:Z26" si="2">D21+I21+N21+S21+X21</f>
        <v>0</v>
      </c>
      <c r="AA21" s="328"/>
      <c r="AB21" s="298"/>
      <c r="AC21" s="399"/>
      <c r="AD21" s="47"/>
      <c r="AE21" s="47"/>
      <c r="AF21" s="319"/>
      <c r="AG21" s="196"/>
      <c r="AH21" s="510"/>
      <c r="AI21" s="510"/>
      <c r="AJ21" s="405"/>
      <c r="AK21" s="405"/>
      <c r="AL21" s="401"/>
      <c r="AM21" s="401"/>
      <c r="AN21" s="401"/>
      <c r="AO21" s="401"/>
      <c r="AP21" s="401"/>
      <c r="AQ21" s="401"/>
      <c r="AR21" s="401"/>
    </row>
    <row r="22" spans="1:44" s="313" customFormat="1">
      <c r="A22" s="367" t="s">
        <v>556</v>
      </c>
      <c r="B22" s="457"/>
      <c r="C22" s="47"/>
      <c r="D22" s="319">
        <v>8</v>
      </c>
      <c r="E22" s="319"/>
      <c r="F22" s="320"/>
      <c r="G22" s="4"/>
      <c r="H22" s="47"/>
      <c r="I22" s="319">
        <v>8</v>
      </c>
      <c r="J22" s="319"/>
      <c r="K22" s="320"/>
      <c r="L22" s="4"/>
      <c r="M22" s="47"/>
      <c r="N22" s="319">
        <v>8</v>
      </c>
      <c r="O22" s="319"/>
      <c r="P22" s="320"/>
      <c r="Q22" s="4"/>
      <c r="R22" s="47"/>
      <c r="S22" s="319">
        <v>0</v>
      </c>
      <c r="T22" s="319"/>
      <c r="U22" s="320"/>
      <c r="V22" s="4"/>
      <c r="W22" s="47"/>
      <c r="X22" s="319">
        <v>8</v>
      </c>
      <c r="Y22" s="319"/>
      <c r="Z22" s="582">
        <f t="shared" si="2"/>
        <v>32</v>
      </c>
      <c r="AA22" s="328"/>
      <c r="AB22" s="298"/>
      <c r="AC22" s="399"/>
      <c r="AD22" s="47"/>
      <c r="AE22" s="47"/>
      <c r="AF22" s="319"/>
      <c r="AG22" s="196"/>
      <c r="AH22" s="510"/>
      <c r="AI22" s="510"/>
      <c r="AJ22" s="405"/>
      <c r="AK22" s="405"/>
      <c r="AL22" s="401"/>
      <c r="AM22" s="401"/>
      <c r="AN22" s="401"/>
      <c r="AO22" s="401"/>
      <c r="AP22" s="401"/>
      <c r="AQ22" s="401"/>
      <c r="AR22" s="401"/>
    </row>
    <row r="23" spans="1:44" s="313" customFormat="1">
      <c r="A23" s="367" t="s">
        <v>557</v>
      </c>
      <c r="B23" s="457"/>
      <c r="C23" s="47"/>
      <c r="D23" s="319">
        <v>8</v>
      </c>
      <c r="E23" s="319"/>
      <c r="F23" s="320"/>
      <c r="G23" s="4"/>
      <c r="H23" s="47"/>
      <c r="I23" s="319">
        <v>8</v>
      </c>
      <c r="J23" s="319"/>
      <c r="K23" s="320"/>
      <c r="L23" s="4"/>
      <c r="M23" s="47"/>
      <c r="N23" s="319">
        <v>0</v>
      </c>
      <c r="O23" s="319"/>
      <c r="P23" s="320"/>
      <c r="Q23" s="4"/>
      <c r="R23" s="47"/>
      <c r="S23" s="319">
        <v>0</v>
      </c>
      <c r="T23" s="319"/>
      <c r="U23" s="320"/>
      <c r="V23" s="4"/>
      <c r="W23" s="47"/>
      <c r="X23" s="441" t="s">
        <v>154</v>
      </c>
      <c r="Y23" s="319"/>
      <c r="Z23" s="582">
        <f t="shared" si="2"/>
        <v>16</v>
      </c>
      <c r="AA23" s="328"/>
      <c r="AB23" s="298"/>
      <c r="AC23" s="399"/>
      <c r="AD23" s="47"/>
      <c r="AE23" s="47"/>
      <c r="AF23" s="319"/>
      <c r="AG23" s="196"/>
      <c r="AH23" s="510"/>
      <c r="AI23" s="510"/>
      <c r="AJ23" s="405"/>
      <c r="AK23" s="405"/>
      <c r="AL23" s="401"/>
      <c r="AM23" s="401"/>
      <c r="AN23" s="401"/>
      <c r="AO23" s="401"/>
      <c r="AP23" s="401"/>
      <c r="AQ23" s="401"/>
      <c r="AR23" s="401"/>
    </row>
    <row r="24" spans="1:44" s="313" customFormat="1">
      <c r="A24" s="367" t="s">
        <v>558</v>
      </c>
      <c r="B24" s="457"/>
      <c r="C24" s="47"/>
      <c r="D24" s="319">
        <v>0</v>
      </c>
      <c r="E24" s="319"/>
      <c r="F24" s="320"/>
      <c r="G24" s="4"/>
      <c r="H24" s="47"/>
      <c r="I24" s="319">
        <v>0</v>
      </c>
      <c r="J24" s="319"/>
      <c r="K24" s="320"/>
      <c r="L24" s="4"/>
      <c r="M24" s="47"/>
      <c r="N24" s="319">
        <v>0</v>
      </c>
      <c r="O24" s="319"/>
      <c r="P24" s="320"/>
      <c r="Q24" s="4"/>
      <c r="R24" s="47"/>
      <c r="S24" s="319">
        <v>0</v>
      </c>
      <c r="T24" s="319"/>
      <c r="U24" s="320"/>
      <c r="V24" s="4"/>
      <c r="W24" s="47"/>
      <c r="X24" s="319">
        <v>0</v>
      </c>
      <c r="Y24" s="319"/>
      <c r="Z24" s="582">
        <f t="shared" si="2"/>
        <v>0</v>
      </c>
      <c r="AA24" s="328"/>
      <c r="AB24" s="298"/>
      <c r="AC24" s="399"/>
      <c r="AD24" s="47"/>
      <c r="AE24" s="47"/>
      <c r="AF24" s="319"/>
      <c r="AG24" s="196"/>
      <c r="AH24" s="510"/>
      <c r="AI24" s="510"/>
      <c r="AJ24" s="405"/>
      <c r="AK24" s="405"/>
      <c r="AL24" s="401"/>
      <c r="AM24" s="401"/>
      <c r="AN24" s="401"/>
      <c r="AO24" s="401"/>
      <c r="AP24" s="401"/>
      <c r="AQ24" s="401"/>
      <c r="AR24" s="401"/>
    </row>
    <row r="25" spans="1:44" s="313" customFormat="1">
      <c r="A25" s="367" t="s">
        <v>482</v>
      </c>
      <c r="B25" s="457"/>
      <c r="C25" s="47"/>
      <c r="D25" s="319">
        <v>8</v>
      </c>
      <c r="E25" s="319"/>
      <c r="F25" s="320"/>
      <c r="G25" s="4"/>
      <c r="H25" s="47"/>
      <c r="I25" s="319">
        <v>8</v>
      </c>
      <c r="J25" s="319"/>
      <c r="K25" s="320"/>
      <c r="L25" s="4"/>
      <c r="M25" s="47"/>
      <c r="N25" s="319">
        <v>8</v>
      </c>
      <c r="O25" s="319"/>
      <c r="P25" s="320"/>
      <c r="Q25" s="4"/>
      <c r="R25" s="47"/>
      <c r="S25" s="319"/>
      <c r="T25" s="319"/>
      <c r="U25" s="320"/>
      <c r="V25" s="4"/>
      <c r="W25" s="47"/>
      <c r="X25" s="319">
        <v>8</v>
      </c>
      <c r="Y25" s="319"/>
      <c r="Z25" s="582">
        <f t="shared" si="2"/>
        <v>32</v>
      </c>
      <c r="AA25" s="328"/>
      <c r="AB25" s="298"/>
      <c r="AC25" s="399"/>
      <c r="AD25" s="47"/>
      <c r="AE25" s="47"/>
      <c r="AF25" s="319"/>
      <c r="AG25" s="196"/>
      <c r="AH25" s="510"/>
      <c r="AI25" s="510"/>
      <c r="AJ25" s="405"/>
      <c r="AK25" s="405"/>
      <c r="AL25" s="401"/>
      <c r="AM25" s="401"/>
      <c r="AN25" s="401"/>
      <c r="AO25" s="401"/>
      <c r="AP25" s="401"/>
      <c r="AQ25" s="401"/>
      <c r="AR25" s="401"/>
    </row>
    <row r="26" spans="1:44" ht="14.25">
      <c r="A26" s="367" t="s">
        <v>555</v>
      </c>
      <c r="D26" s="319">
        <v>8</v>
      </c>
      <c r="I26" s="319">
        <v>8</v>
      </c>
      <c r="N26" s="319">
        <v>8</v>
      </c>
      <c r="S26" s="319">
        <v>8</v>
      </c>
      <c r="X26" s="319">
        <v>8</v>
      </c>
      <c r="Z26" s="582">
        <f t="shared" si="2"/>
        <v>40</v>
      </c>
    </row>
    <row r="28" spans="1:44" s="313" customFormat="1">
      <c r="A28" s="1518" t="s">
        <v>18</v>
      </c>
      <c r="B28" s="1519">
        <v>45481</v>
      </c>
      <c r="C28" s="1519"/>
      <c r="D28" s="1519"/>
      <c r="E28" s="1519"/>
      <c r="F28" s="365"/>
      <c r="G28" s="1519">
        <v>45482</v>
      </c>
      <c r="H28" s="1519"/>
      <c r="I28" s="1519"/>
      <c r="J28" s="1519"/>
      <c r="K28" s="365">
        <v>45343</v>
      </c>
      <c r="L28" s="1519">
        <v>45483</v>
      </c>
      <c r="M28" s="1519"/>
      <c r="N28" s="1519"/>
      <c r="O28" s="1519"/>
      <c r="P28" s="365"/>
      <c r="Q28" s="1519">
        <v>45484</v>
      </c>
      <c r="R28" s="1519"/>
      <c r="S28" s="1519"/>
      <c r="T28" s="1519"/>
      <c r="U28" s="365"/>
      <c r="V28" s="1519">
        <v>45485</v>
      </c>
      <c r="W28" s="1519"/>
      <c r="X28" s="1519"/>
      <c r="Y28" s="1519"/>
      <c r="Z28" s="1517" t="s">
        <v>19</v>
      </c>
      <c r="AA28" s="1517" t="s">
        <v>20</v>
      </c>
      <c r="AB28" s="4"/>
      <c r="AC28" s="1519">
        <v>45486</v>
      </c>
      <c r="AD28" s="1519"/>
      <c r="AE28" s="1519"/>
      <c r="AF28" s="1517" t="s">
        <v>21</v>
      </c>
    </row>
    <row r="29" spans="1:44" s="313" customFormat="1">
      <c r="A29" s="1518"/>
      <c r="B29" s="21" t="s">
        <v>23</v>
      </c>
      <c r="C29" s="21" t="s">
        <v>24</v>
      </c>
      <c r="D29" s="205" t="s">
        <v>25</v>
      </c>
      <c r="E29" s="18" t="s">
        <v>14</v>
      </c>
      <c r="F29" s="4"/>
      <c r="G29" s="21" t="s">
        <v>23</v>
      </c>
      <c r="H29" s="21" t="s">
        <v>24</v>
      </c>
      <c r="I29" s="18" t="s">
        <v>25</v>
      </c>
      <c r="J29" s="18" t="s">
        <v>14</v>
      </c>
      <c r="K29" s="4"/>
      <c r="L29" s="21" t="s">
        <v>23</v>
      </c>
      <c r="M29" s="21" t="s">
        <v>24</v>
      </c>
      <c r="N29" s="18" t="s">
        <v>25</v>
      </c>
      <c r="O29" s="18" t="s">
        <v>14</v>
      </c>
      <c r="P29" s="4"/>
      <c r="Q29" s="484" t="s">
        <v>23</v>
      </c>
      <c r="R29" s="21" t="s">
        <v>24</v>
      </c>
      <c r="S29" s="18" t="s">
        <v>25</v>
      </c>
      <c r="T29" s="18" t="s">
        <v>14</v>
      </c>
      <c r="U29" s="4"/>
      <c r="V29" s="484" t="s">
        <v>23</v>
      </c>
      <c r="W29" s="21" t="s">
        <v>24</v>
      </c>
      <c r="X29" s="18" t="s">
        <v>25</v>
      </c>
      <c r="Y29" s="18" t="s">
        <v>14</v>
      </c>
      <c r="Z29" s="1517"/>
      <c r="AA29" s="1517"/>
      <c r="AB29" s="4"/>
      <c r="AC29" s="21" t="s">
        <v>23</v>
      </c>
      <c r="AD29" s="21" t="s">
        <v>24</v>
      </c>
      <c r="AE29" s="18" t="s">
        <v>25</v>
      </c>
      <c r="AF29" s="1517"/>
    </row>
    <row r="30" spans="1:44" s="313" customFormat="1">
      <c r="A30" s="367" t="s">
        <v>441</v>
      </c>
      <c r="B30" s="457"/>
      <c r="C30" s="47"/>
      <c r="D30" s="319">
        <v>0</v>
      </c>
      <c r="E30" s="319"/>
      <c r="F30" s="320"/>
      <c r="G30" s="4"/>
      <c r="H30" s="47"/>
      <c r="I30" s="319">
        <v>0</v>
      </c>
      <c r="J30" s="319"/>
      <c r="K30" s="320"/>
      <c r="L30" s="4"/>
      <c r="M30" s="47"/>
      <c r="N30" s="319">
        <v>0</v>
      </c>
      <c r="O30" s="319"/>
      <c r="P30" s="320"/>
      <c r="Q30" s="4"/>
      <c r="R30" s="47"/>
      <c r="S30" s="319">
        <v>0</v>
      </c>
      <c r="T30" s="319"/>
      <c r="U30" s="320"/>
      <c r="V30" s="4"/>
      <c r="W30" s="47"/>
      <c r="X30" s="319">
        <v>0</v>
      </c>
      <c r="Y30" s="319"/>
      <c r="Z30" s="582">
        <f>D30+I30+N30+S30+X30</f>
        <v>0</v>
      </c>
      <c r="AA30" s="328"/>
      <c r="AB30" s="298"/>
      <c r="AC30" s="399"/>
      <c r="AD30" s="47"/>
      <c r="AE30" s="47"/>
      <c r="AF30" s="319"/>
      <c r="AG30" s="196"/>
      <c r="AH30" s="510"/>
      <c r="AI30" s="510"/>
      <c r="AJ30" s="405"/>
      <c r="AK30" s="405"/>
      <c r="AL30" s="401"/>
      <c r="AM30" s="401"/>
      <c r="AN30" s="401"/>
      <c r="AO30" s="401"/>
      <c r="AP30" s="401"/>
      <c r="AQ30" s="401"/>
      <c r="AR30" s="401"/>
    </row>
    <row r="31" spans="1:44" s="313" customFormat="1">
      <c r="A31" s="367" t="s">
        <v>556</v>
      </c>
      <c r="B31" s="457"/>
      <c r="C31" s="47"/>
      <c r="D31" s="319">
        <v>8</v>
      </c>
      <c r="E31" s="319"/>
      <c r="F31" s="320"/>
      <c r="G31" s="4"/>
      <c r="H31" s="47"/>
      <c r="I31" s="319">
        <v>0</v>
      </c>
      <c r="J31" s="319"/>
      <c r="K31" s="320"/>
      <c r="L31" s="4"/>
      <c r="M31" s="47"/>
      <c r="N31" s="319">
        <v>8</v>
      </c>
      <c r="O31" s="319"/>
      <c r="P31" s="320"/>
      <c r="Q31" s="4"/>
      <c r="R31" s="47"/>
      <c r="S31" s="319">
        <v>8</v>
      </c>
      <c r="T31" s="319"/>
      <c r="U31" s="320"/>
      <c r="V31" s="4"/>
      <c r="W31" s="47"/>
      <c r="X31" s="319">
        <v>8</v>
      </c>
      <c r="Y31" s="319"/>
      <c r="Z31" s="582">
        <f>D31+I31+N31+S31+X31</f>
        <v>32</v>
      </c>
      <c r="AA31" s="328"/>
      <c r="AB31" s="298"/>
      <c r="AC31" s="399"/>
      <c r="AD31" s="47"/>
      <c r="AE31" s="47"/>
      <c r="AF31" s="319"/>
      <c r="AG31" s="196"/>
      <c r="AH31" s="510"/>
      <c r="AI31" s="510"/>
      <c r="AJ31" s="405"/>
      <c r="AK31" s="405"/>
      <c r="AL31" s="401"/>
      <c r="AM31" s="401"/>
      <c r="AN31" s="401"/>
      <c r="AO31" s="401"/>
      <c r="AP31" s="401"/>
      <c r="AQ31" s="401"/>
      <c r="AR31" s="401"/>
    </row>
    <row r="32" spans="1:44" s="313" customFormat="1">
      <c r="A32" s="367" t="s">
        <v>559</v>
      </c>
      <c r="B32" s="457"/>
      <c r="C32" s="47"/>
      <c r="D32" s="319">
        <v>0</v>
      </c>
      <c r="E32" s="319"/>
      <c r="F32" s="320"/>
      <c r="G32" s="4"/>
      <c r="H32" s="47"/>
      <c r="I32" s="319">
        <v>0</v>
      </c>
      <c r="J32" s="319"/>
      <c r="K32" s="320"/>
      <c r="L32" s="4"/>
      <c r="M32" s="47"/>
      <c r="N32" s="319">
        <v>0</v>
      </c>
      <c r="O32" s="319"/>
      <c r="P32" s="320"/>
      <c r="Q32" s="4"/>
      <c r="R32" s="47"/>
      <c r="S32" s="319">
        <v>0</v>
      </c>
      <c r="T32" s="319"/>
      <c r="U32" s="320"/>
      <c r="V32" s="4"/>
      <c r="W32" s="47"/>
      <c r="X32" s="319">
        <v>0</v>
      </c>
      <c r="Y32" s="319"/>
      <c r="Z32" s="582" t="s">
        <v>154</v>
      </c>
      <c r="AA32" s="328"/>
      <c r="AB32" s="298"/>
      <c r="AC32" s="399"/>
      <c r="AD32" s="47"/>
      <c r="AE32" s="47"/>
      <c r="AF32" s="319"/>
      <c r="AG32" s="196"/>
      <c r="AH32" s="510"/>
      <c r="AI32" s="510"/>
      <c r="AJ32" s="405"/>
      <c r="AK32" s="405"/>
      <c r="AL32" s="401"/>
      <c r="AM32" s="401"/>
      <c r="AN32" s="401"/>
      <c r="AO32" s="401"/>
      <c r="AP32" s="401"/>
      <c r="AQ32" s="401"/>
      <c r="AR32" s="401"/>
    </row>
    <row r="33" spans="1:44" s="313" customFormat="1">
      <c r="A33" s="367" t="s">
        <v>558</v>
      </c>
      <c r="B33" s="457"/>
      <c r="C33" s="47"/>
      <c r="D33" s="319">
        <v>0</v>
      </c>
      <c r="E33" s="319"/>
      <c r="F33" s="320"/>
      <c r="G33" s="4"/>
      <c r="H33" s="47"/>
      <c r="I33" s="319">
        <v>0</v>
      </c>
      <c r="J33" s="319"/>
      <c r="K33" s="320"/>
      <c r="L33" s="4"/>
      <c r="M33" s="47"/>
      <c r="N33" s="319">
        <v>0</v>
      </c>
      <c r="O33" s="319"/>
      <c r="P33" s="320"/>
      <c r="Q33" s="4"/>
      <c r="R33" s="47"/>
      <c r="S33" s="319">
        <v>0</v>
      </c>
      <c r="T33" s="319"/>
      <c r="U33" s="320"/>
      <c r="V33" s="4"/>
      <c r="W33" s="47"/>
      <c r="X33" s="319">
        <v>0</v>
      </c>
      <c r="Y33" s="319"/>
      <c r="Z33" s="582">
        <f>D33+I33+N33+S33+X33</f>
        <v>0</v>
      </c>
      <c r="AA33" s="328"/>
      <c r="AB33" s="298"/>
      <c r="AC33" s="399"/>
      <c r="AD33" s="47"/>
      <c r="AE33" s="47"/>
      <c r="AF33" s="319"/>
      <c r="AG33" s="196"/>
      <c r="AH33" s="510"/>
      <c r="AI33" s="510"/>
      <c r="AJ33" s="405"/>
      <c r="AK33" s="405"/>
      <c r="AL33" s="401"/>
      <c r="AM33" s="401"/>
      <c r="AN33" s="401"/>
      <c r="AO33" s="401"/>
      <c r="AP33" s="401"/>
      <c r="AQ33" s="401"/>
      <c r="AR33" s="401"/>
    </row>
    <row r="34" spans="1:44" s="313" customFormat="1">
      <c r="A34" s="367" t="s">
        <v>482</v>
      </c>
      <c r="B34" s="457"/>
      <c r="C34" s="47"/>
      <c r="D34" s="319">
        <v>8</v>
      </c>
      <c r="E34" s="319"/>
      <c r="F34" s="320"/>
      <c r="G34" s="4"/>
      <c r="H34" s="47"/>
      <c r="I34" s="319">
        <v>8</v>
      </c>
      <c r="J34" s="319"/>
      <c r="K34" s="320"/>
      <c r="L34" s="4"/>
      <c r="M34" s="47"/>
      <c r="N34" s="319">
        <v>8</v>
      </c>
      <c r="O34" s="319"/>
      <c r="P34" s="320"/>
      <c r="Q34" s="4"/>
      <c r="R34" s="47"/>
      <c r="S34" s="319">
        <v>8</v>
      </c>
      <c r="T34" s="319"/>
      <c r="U34" s="320"/>
      <c r="V34" s="4"/>
      <c r="W34" s="47"/>
      <c r="X34" s="319">
        <v>8</v>
      </c>
      <c r="Y34" s="319"/>
      <c r="Z34" s="582">
        <f>D34+I34+N34+S34+X34</f>
        <v>40</v>
      </c>
      <c r="AA34" s="328"/>
      <c r="AB34" s="298"/>
      <c r="AC34" s="399"/>
      <c r="AD34" s="47"/>
      <c r="AE34" s="47"/>
      <c r="AF34" s="319"/>
      <c r="AG34" s="196"/>
      <c r="AH34" s="510"/>
      <c r="AI34" s="510"/>
      <c r="AJ34" s="405"/>
      <c r="AK34" s="405"/>
      <c r="AL34" s="401"/>
      <c r="AM34" s="401"/>
      <c r="AN34" s="401"/>
      <c r="AO34" s="401"/>
      <c r="AP34" s="401"/>
      <c r="AQ34" s="401"/>
      <c r="AR34" s="401"/>
    </row>
    <row r="35" spans="1:44" ht="14.25">
      <c r="A35" s="367" t="s">
        <v>560</v>
      </c>
      <c r="D35" s="319">
        <v>0</v>
      </c>
      <c r="I35" s="319">
        <v>0</v>
      </c>
      <c r="N35" s="319">
        <v>0</v>
      </c>
      <c r="S35" s="319">
        <v>0</v>
      </c>
      <c r="X35" s="319">
        <v>0</v>
      </c>
      <c r="Z35" s="582" t="s">
        <v>154</v>
      </c>
      <c r="AA35" s="328"/>
      <c r="AB35" s="298"/>
    </row>
    <row r="37" spans="1:44" s="313" customFormat="1">
      <c r="A37" s="1518" t="s">
        <v>18</v>
      </c>
      <c r="B37" s="1519">
        <v>45488</v>
      </c>
      <c r="C37" s="1519"/>
      <c r="D37" s="1519"/>
      <c r="E37" s="1519"/>
      <c r="F37" s="365"/>
      <c r="G37" s="1519">
        <v>45489</v>
      </c>
      <c r="H37" s="1519"/>
      <c r="I37" s="1519"/>
      <c r="J37" s="1519"/>
      <c r="K37" s="365">
        <v>45343</v>
      </c>
      <c r="L37" s="1519">
        <v>45490</v>
      </c>
      <c r="M37" s="1519"/>
      <c r="N37" s="1519"/>
      <c r="O37" s="1519"/>
      <c r="P37" s="365"/>
      <c r="Q37" s="1519">
        <v>45491</v>
      </c>
      <c r="R37" s="1519"/>
      <c r="S37" s="1519"/>
      <c r="T37" s="1519"/>
      <c r="U37" s="365"/>
      <c r="V37" s="1519">
        <v>45492</v>
      </c>
      <c r="W37" s="1519"/>
      <c r="X37" s="1519"/>
      <c r="Y37" s="1519"/>
      <c r="Z37" s="1517" t="s">
        <v>19</v>
      </c>
      <c r="AA37" s="1517" t="s">
        <v>20</v>
      </c>
      <c r="AB37" s="4"/>
      <c r="AC37" s="1519">
        <v>45494</v>
      </c>
      <c r="AD37" s="1519"/>
      <c r="AE37" s="1519"/>
      <c r="AF37" s="1517" t="s">
        <v>21</v>
      </c>
    </row>
    <row r="38" spans="1:44" s="313" customFormat="1">
      <c r="A38" s="1518"/>
      <c r="B38" s="21" t="s">
        <v>23</v>
      </c>
      <c r="C38" s="21" t="s">
        <v>24</v>
      </c>
      <c r="D38" s="205" t="s">
        <v>25</v>
      </c>
      <c r="E38" s="18" t="s">
        <v>14</v>
      </c>
      <c r="F38" s="4"/>
      <c r="G38" s="21" t="s">
        <v>23</v>
      </c>
      <c r="H38" s="21" t="s">
        <v>24</v>
      </c>
      <c r="I38" s="18" t="s">
        <v>25</v>
      </c>
      <c r="J38" s="18" t="s">
        <v>14</v>
      </c>
      <c r="K38" s="4"/>
      <c r="L38" s="21" t="s">
        <v>23</v>
      </c>
      <c r="M38" s="21" t="s">
        <v>24</v>
      </c>
      <c r="N38" s="18" t="s">
        <v>25</v>
      </c>
      <c r="O38" s="18" t="s">
        <v>14</v>
      </c>
      <c r="P38" s="4"/>
      <c r="Q38" s="484" t="s">
        <v>23</v>
      </c>
      <c r="R38" s="21" t="s">
        <v>24</v>
      </c>
      <c r="S38" s="18" t="s">
        <v>25</v>
      </c>
      <c r="T38" s="18" t="s">
        <v>14</v>
      </c>
      <c r="U38" s="4"/>
      <c r="V38" s="484" t="s">
        <v>23</v>
      </c>
      <c r="W38" s="21" t="s">
        <v>24</v>
      </c>
      <c r="X38" s="18" t="s">
        <v>25</v>
      </c>
      <c r="Y38" s="18" t="s">
        <v>14</v>
      </c>
      <c r="Z38" s="1517"/>
      <c r="AA38" s="1517"/>
      <c r="AB38" s="4"/>
      <c r="AC38" s="21" t="s">
        <v>23</v>
      </c>
      <c r="AD38" s="21" t="s">
        <v>24</v>
      </c>
      <c r="AE38" s="18" t="s">
        <v>25</v>
      </c>
      <c r="AF38" s="1517"/>
    </row>
    <row r="39" spans="1:44" ht="14.25">
      <c r="A39" s="367" t="s">
        <v>441</v>
      </c>
      <c r="D39" s="319">
        <v>0</v>
      </c>
      <c r="I39" s="319">
        <v>0</v>
      </c>
      <c r="N39" s="319">
        <v>0</v>
      </c>
      <c r="S39" s="319">
        <v>0</v>
      </c>
      <c r="X39" s="319">
        <v>0</v>
      </c>
      <c r="Z39" s="582">
        <f>D39+I39+N39+S39+X39</f>
        <v>0</v>
      </c>
    </row>
    <row r="40" spans="1:44" ht="14.25">
      <c r="A40" s="367" t="s">
        <v>556</v>
      </c>
      <c r="D40" s="319">
        <v>0</v>
      </c>
      <c r="I40" s="319">
        <v>0</v>
      </c>
      <c r="N40" s="319">
        <v>8</v>
      </c>
      <c r="S40" s="319">
        <v>8</v>
      </c>
      <c r="X40" s="319">
        <v>8</v>
      </c>
      <c r="Z40" s="582">
        <f>D40+I40+N40+S40+X40</f>
        <v>24</v>
      </c>
    </row>
    <row r="41" spans="1:44" ht="14.25">
      <c r="A41" s="367" t="s">
        <v>482</v>
      </c>
      <c r="D41" s="319">
        <v>0</v>
      </c>
      <c r="I41" s="319">
        <v>7.5</v>
      </c>
      <c r="N41" s="319">
        <v>7.5</v>
      </c>
      <c r="S41" s="319">
        <v>7.5</v>
      </c>
      <c r="X41" s="319">
        <v>7.5</v>
      </c>
      <c r="Z41" s="582">
        <f>D41+I41+N41+S41+X41</f>
        <v>30</v>
      </c>
    </row>
    <row r="42" spans="1:44" ht="14.25">
      <c r="A42" s="367" t="s">
        <v>561</v>
      </c>
      <c r="D42" s="319">
        <v>8.5</v>
      </c>
      <c r="I42" s="319">
        <v>8.5</v>
      </c>
      <c r="N42" s="319">
        <v>8.5</v>
      </c>
      <c r="S42" s="319">
        <v>8.5</v>
      </c>
      <c r="X42" s="319">
        <v>8.5</v>
      </c>
      <c r="Z42" s="582">
        <f>D42+I42+N42+S42+X42</f>
        <v>42.5</v>
      </c>
      <c r="AE42" s="319">
        <v>6</v>
      </c>
      <c r="AF42" s="319">
        <v>6</v>
      </c>
    </row>
    <row r="44" spans="1:44" s="313" customFormat="1">
      <c r="A44" s="1518" t="s">
        <v>18</v>
      </c>
      <c r="B44" s="1519">
        <v>45495</v>
      </c>
      <c r="C44" s="1519"/>
      <c r="D44" s="1519"/>
      <c r="E44" s="1519"/>
      <c r="F44" s="365"/>
      <c r="G44" s="1519">
        <v>45496</v>
      </c>
      <c r="H44" s="1519"/>
      <c r="I44" s="1519"/>
      <c r="J44" s="1519"/>
      <c r="K44" s="365">
        <v>45343</v>
      </c>
      <c r="L44" s="1519">
        <v>45497</v>
      </c>
      <c r="M44" s="1519"/>
      <c r="N44" s="1519"/>
      <c r="O44" s="1519"/>
      <c r="P44" s="365"/>
      <c r="Q44" s="1519">
        <v>45498</v>
      </c>
      <c r="R44" s="1519"/>
      <c r="S44" s="1519"/>
      <c r="T44" s="1519"/>
      <c r="U44" s="365"/>
      <c r="V44" s="1519">
        <v>45499</v>
      </c>
      <c r="W44" s="1519"/>
      <c r="X44" s="1519"/>
      <c r="Y44" s="1519"/>
      <c r="Z44" s="1517" t="s">
        <v>19</v>
      </c>
      <c r="AA44" s="1517" t="s">
        <v>20</v>
      </c>
      <c r="AB44" s="4"/>
      <c r="AC44" s="1519">
        <v>45500</v>
      </c>
      <c r="AD44" s="1519"/>
      <c r="AE44" s="1519"/>
      <c r="AF44" s="1517" t="s">
        <v>21</v>
      </c>
    </row>
    <row r="45" spans="1:44" s="313" customFormat="1">
      <c r="A45" s="1518"/>
      <c r="B45" s="21" t="s">
        <v>23</v>
      </c>
      <c r="C45" s="21" t="s">
        <v>24</v>
      </c>
      <c r="D45" s="205" t="s">
        <v>25</v>
      </c>
      <c r="E45" s="18" t="s">
        <v>14</v>
      </c>
      <c r="F45" s="4"/>
      <c r="G45" s="21" t="s">
        <v>23</v>
      </c>
      <c r="H45" s="21" t="s">
        <v>24</v>
      </c>
      <c r="I45" s="18" t="s">
        <v>25</v>
      </c>
      <c r="J45" s="18" t="s">
        <v>14</v>
      </c>
      <c r="K45" s="4"/>
      <c r="L45" s="21" t="s">
        <v>23</v>
      </c>
      <c r="M45" s="21" t="s">
        <v>24</v>
      </c>
      <c r="N45" s="18" t="s">
        <v>25</v>
      </c>
      <c r="O45" s="18" t="s">
        <v>14</v>
      </c>
      <c r="P45" s="4"/>
      <c r="Q45" s="484" t="s">
        <v>23</v>
      </c>
      <c r="R45" s="21" t="s">
        <v>24</v>
      </c>
      <c r="S45" s="18" t="s">
        <v>25</v>
      </c>
      <c r="T45" s="18" t="s">
        <v>14</v>
      </c>
      <c r="U45" s="4"/>
      <c r="V45" s="484" t="s">
        <v>23</v>
      </c>
      <c r="W45" s="21" t="s">
        <v>24</v>
      </c>
      <c r="X45" s="18" t="s">
        <v>25</v>
      </c>
      <c r="Y45" s="18" t="s">
        <v>14</v>
      </c>
      <c r="Z45" s="1517"/>
      <c r="AA45" s="1517"/>
      <c r="AB45" s="4"/>
      <c r="AC45" s="21" t="s">
        <v>23</v>
      </c>
      <c r="AD45" s="21" t="s">
        <v>24</v>
      </c>
      <c r="AE45" s="18" t="s">
        <v>25</v>
      </c>
      <c r="AF45" s="1517"/>
    </row>
    <row r="46" spans="1:44" ht="14.25">
      <c r="A46" s="367" t="s">
        <v>441</v>
      </c>
      <c r="D46" s="319">
        <v>0</v>
      </c>
      <c r="I46" s="319">
        <v>0</v>
      </c>
      <c r="N46" s="319">
        <v>0</v>
      </c>
      <c r="S46" s="319">
        <v>0</v>
      </c>
      <c r="X46" s="319">
        <v>0</v>
      </c>
      <c r="Z46" s="582">
        <f>D46+I46+N46+S46+X46</f>
        <v>0</v>
      </c>
    </row>
    <row r="47" spans="1:44" ht="14.25">
      <c r="A47" s="367" t="s">
        <v>556</v>
      </c>
      <c r="D47" s="319">
        <v>0</v>
      </c>
      <c r="I47" s="319">
        <v>0</v>
      </c>
      <c r="N47" s="319">
        <v>8</v>
      </c>
      <c r="S47" s="319">
        <v>6.5</v>
      </c>
      <c r="X47" s="319">
        <v>8</v>
      </c>
      <c r="Z47" s="582">
        <f>D47+I47+N47+S47+X47</f>
        <v>22.5</v>
      </c>
    </row>
    <row r="48" spans="1:44" ht="14.25">
      <c r="A48" s="367" t="s">
        <v>482</v>
      </c>
      <c r="D48" s="319">
        <v>7.5</v>
      </c>
      <c r="I48" s="319">
        <v>7.5</v>
      </c>
      <c r="N48" s="319">
        <v>0</v>
      </c>
      <c r="S48" s="319">
        <v>7.5</v>
      </c>
      <c r="X48" s="319">
        <v>7.5</v>
      </c>
      <c r="Z48" s="582">
        <f>D48+I48+N48+S48+X48</f>
        <v>30</v>
      </c>
    </row>
    <row r="49" spans="1:32" ht="14.25">
      <c r="A49" s="367" t="s">
        <v>561</v>
      </c>
      <c r="D49" s="319">
        <v>8.5</v>
      </c>
      <c r="I49" s="319">
        <v>8.5</v>
      </c>
      <c r="N49" s="319">
        <v>9</v>
      </c>
      <c r="S49" s="319">
        <v>8.5</v>
      </c>
      <c r="X49" s="319">
        <v>9</v>
      </c>
      <c r="Z49" s="582">
        <f>D49+I49+N49+S49+X49</f>
        <v>43.5</v>
      </c>
    </row>
    <row r="51" spans="1:32" s="313" customFormat="1">
      <c r="A51" s="1518" t="s">
        <v>18</v>
      </c>
      <c r="B51" s="1519">
        <v>45502</v>
      </c>
      <c r="C51" s="1519"/>
      <c r="D51" s="1519"/>
      <c r="E51" s="1519"/>
      <c r="F51" s="365"/>
      <c r="G51" s="1519">
        <v>45503</v>
      </c>
      <c r="H51" s="1519"/>
      <c r="I51" s="1519"/>
      <c r="J51" s="1519"/>
      <c r="K51" s="365">
        <v>45343</v>
      </c>
      <c r="L51" s="1519">
        <v>45504</v>
      </c>
      <c r="M51" s="1519"/>
      <c r="N51" s="1519"/>
      <c r="O51" s="1519"/>
      <c r="P51" s="365"/>
      <c r="Q51" s="1519">
        <v>45505</v>
      </c>
      <c r="R51" s="1519"/>
      <c r="S51" s="1519"/>
      <c r="T51" s="1519"/>
      <c r="U51" s="365"/>
      <c r="V51" s="1519">
        <v>45506</v>
      </c>
      <c r="W51" s="1519"/>
      <c r="X51" s="1519"/>
      <c r="Y51" s="1519"/>
      <c r="Z51" s="1517" t="s">
        <v>19</v>
      </c>
      <c r="AA51" s="1517" t="s">
        <v>20</v>
      </c>
      <c r="AB51" s="4"/>
      <c r="AC51" s="1519">
        <v>45507</v>
      </c>
      <c r="AD51" s="1519"/>
      <c r="AE51" s="1519"/>
      <c r="AF51" s="1517" t="s">
        <v>21</v>
      </c>
    </row>
    <row r="52" spans="1:32" s="313" customFormat="1">
      <c r="A52" s="1518"/>
      <c r="B52" s="21" t="s">
        <v>23</v>
      </c>
      <c r="C52" s="21" t="s">
        <v>24</v>
      </c>
      <c r="D52" s="205" t="s">
        <v>25</v>
      </c>
      <c r="E52" s="18" t="s">
        <v>14</v>
      </c>
      <c r="F52" s="4"/>
      <c r="G52" s="21" t="s">
        <v>23</v>
      </c>
      <c r="H52" s="21" t="s">
        <v>24</v>
      </c>
      <c r="I52" s="18" t="s">
        <v>25</v>
      </c>
      <c r="J52" s="18" t="s">
        <v>14</v>
      </c>
      <c r="K52" s="4"/>
      <c r="L52" s="21" t="s">
        <v>23</v>
      </c>
      <c r="M52" s="21" t="s">
        <v>24</v>
      </c>
      <c r="N52" s="18" t="s">
        <v>25</v>
      </c>
      <c r="O52" s="18" t="s">
        <v>14</v>
      </c>
      <c r="P52" s="4"/>
      <c r="Q52" s="484" t="s">
        <v>23</v>
      </c>
      <c r="R52" s="21" t="s">
        <v>24</v>
      </c>
      <c r="S52" s="18" t="s">
        <v>25</v>
      </c>
      <c r="T52" s="18" t="s">
        <v>14</v>
      </c>
      <c r="U52" s="4"/>
      <c r="V52" s="484" t="s">
        <v>23</v>
      </c>
      <c r="W52" s="21" t="s">
        <v>24</v>
      </c>
      <c r="X52" s="18" t="s">
        <v>25</v>
      </c>
      <c r="Y52" s="18" t="s">
        <v>14</v>
      </c>
      <c r="Z52" s="1517"/>
      <c r="AA52" s="1517"/>
      <c r="AB52" s="4"/>
      <c r="AC52" s="21" t="s">
        <v>23</v>
      </c>
      <c r="AD52" s="21" t="s">
        <v>24</v>
      </c>
      <c r="AE52" s="18" t="s">
        <v>25</v>
      </c>
      <c r="AF52" s="1517"/>
    </row>
    <row r="53" spans="1:32" ht="14.25">
      <c r="A53" s="367" t="s">
        <v>441</v>
      </c>
      <c r="D53" s="319">
        <v>0</v>
      </c>
      <c r="I53" s="319">
        <v>0</v>
      </c>
      <c r="N53" s="319">
        <v>0</v>
      </c>
      <c r="S53" s="319">
        <v>0</v>
      </c>
      <c r="X53" s="319">
        <v>0</v>
      </c>
      <c r="Z53" s="582">
        <f>D53+I53+N53+S53+X53</f>
        <v>0</v>
      </c>
    </row>
    <row r="54" spans="1:32" ht="14.25">
      <c r="A54" s="367" t="s">
        <v>562</v>
      </c>
      <c r="D54" s="319">
        <v>0</v>
      </c>
      <c r="I54" s="319">
        <v>0</v>
      </c>
      <c r="N54" s="319">
        <v>0</v>
      </c>
      <c r="S54" s="319">
        <v>0</v>
      </c>
      <c r="X54" s="319">
        <v>0</v>
      </c>
      <c r="Z54" s="582">
        <f>D54+I54+N54+S54+X54</f>
        <v>0</v>
      </c>
    </row>
    <row r="55" spans="1:32" ht="14.25">
      <c r="A55" s="367" t="s">
        <v>482</v>
      </c>
      <c r="D55" s="319">
        <v>7.5</v>
      </c>
      <c r="I55" s="319">
        <v>7.5</v>
      </c>
      <c r="N55" s="319">
        <v>0</v>
      </c>
      <c r="S55" s="319">
        <v>0</v>
      </c>
      <c r="X55" s="319">
        <v>0</v>
      </c>
      <c r="Z55" s="582">
        <f>D55+I55+N55+S55+X55</f>
        <v>15</v>
      </c>
    </row>
    <row r="56" spans="1:32" ht="14.25">
      <c r="A56" s="367" t="s">
        <v>563</v>
      </c>
      <c r="D56" s="319">
        <v>8</v>
      </c>
      <c r="I56" s="319">
        <v>8.5</v>
      </c>
      <c r="N56" s="319">
        <v>8.5</v>
      </c>
      <c r="S56" s="319">
        <v>8</v>
      </c>
      <c r="X56" s="319">
        <v>11</v>
      </c>
      <c r="Z56" s="582">
        <f>D56+I56+N56+S56+X56</f>
        <v>44</v>
      </c>
    </row>
    <row r="59" spans="1:32" s="313" customFormat="1">
      <c r="A59" s="1518" t="s">
        <v>18</v>
      </c>
      <c r="B59" s="1519">
        <v>45509</v>
      </c>
      <c r="C59" s="1519"/>
      <c r="D59" s="1519"/>
      <c r="E59" s="1519"/>
      <c r="F59" s="365"/>
      <c r="G59" s="1519">
        <v>45510</v>
      </c>
      <c r="H59" s="1519"/>
      <c r="I59" s="1519"/>
      <c r="J59" s="1519"/>
      <c r="K59" s="365">
        <v>45343</v>
      </c>
      <c r="L59" s="1519">
        <v>45511</v>
      </c>
      <c r="M59" s="1519"/>
      <c r="N59" s="1519"/>
      <c r="O59" s="1519"/>
      <c r="P59" s="365"/>
      <c r="Q59" s="1519">
        <v>45512</v>
      </c>
      <c r="R59" s="1519"/>
      <c r="S59" s="1519"/>
      <c r="T59" s="1519"/>
      <c r="U59" s="365"/>
      <c r="V59" s="1519">
        <v>45513</v>
      </c>
      <c r="W59" s="1519"/>
      <c r="X59" s="1519"/>
      <c r="Y59" s="1519"/>
      <c r="Z59" s="1517" t="s">
        <v>19</v>
      </c>
      <c r="AA59" s="1517" t="s">
        <v>20</v>
      </c>
      <c r="AB59" s="4"/>
      <c r="AC59" s="1519">
        <v>45514</v>
      </c>
      <c r="AD59" s="1519"/>
      <c r="AE59" s="1519"/>
      <c r="AF59" s="1517" t="s">
        <v>21</v>
      </c>
    </row>
    <row r="60" spans="1:32" s="313" customFormat="1">
      <c r="A60" s="1518"/>
      <c r="B60" s="21" t="s">
        <v>23</v>
      </c>
      <c r="C60" s="21" t="s">
        <v>24</v>
      </c>
      <c r="D60" s="205" t="s">
        <v>25</v>
      </c>
      <c r="E60" s="18" t="s">
        <v>14</v>
      </c>
      <c r="F60" s="4"/>
      <c r="G60" s="21" t="s">
        <v>23</v>
      </c>
      <c r="H60" s="21" t="s">
        <v>24</v>
      </c>
      <c r="I60" s="18" t="s">
        <v>25</v>
      </c>
      <c r="J60" s="18" t="s">
        <v>14</v>
      </c>
      <c r="K60" s="4"/>
      <c r="L60" s="21" t="s">
        <v>23</v>
      </c>
      <c r="M60" s="21" t="s">
        <v>24</v>
      </c>
      <c r="N60" s="18" t="s">
        <v>25</v>
      </c>
      <c r="O60" s="18" t="s">
        <v>14</v>
      </c>
      <c r="P60" s="4"/>
      <c r="Q60" s="484" t="s">
        <v>23</v>
      </c>
      <c r="R60" s="21" t="s">
        <v>24</v>
      </c>
      <c r="S60" s="18" t="s">
        <v>25</v>
      </c>
      <c r="T60" s="18" t="s">
        <v>14</v>
      </c>
      <c r="U60" s="4"/>
      <c r="V60" s="484" t="s">
        <v>23</v>
      </c>
      <c r="W60" s="21" t="s">
        <v>24</v>
      </c>
      <c r="X60" s="18" t="s">
        <v>25</v>
      </c>
      <c r="Y60" s="18" t="s">
        <v>14</v>
      </c>
      <c r="Z60" s="1517"/>
      <c r="AA60" s="1517"/>
      <c r="AB60" s="4"/>
      <c r="AC60" s="21" t="s">
        <v>23</v>
      </c>
      <c r="AD60" s="21" t="s">
        <v>24</v>
      </c>
      <c r="AE60" s="18" t="s">
        <v>25</v>
      </c>
      <c r="AF60" s="1517"/>
    </row>
    <row r="61" spans="1:32" ht="14.25">
      <c r="A61" s="367" t="s">
        <v>441</v>
      </c>
      <c r="D61" s="319">
        <v>0</v>
      </c>
      <c r="I61" s="319">
        <v>0</v>
      </c>
      <c r="N61" s="319">
        <v>0</v>
      </c>
      <c r="S61" s="319">
        <v>0</v>
      </c>
      <c r="X61" s="319">
        <v>0</v>
      </c>
      <c r="Z61" s="582">
        <f>D61+I61+N61+S61+X61</f>
        <v>0</v>
      </c>
    </row>
    <row r="62" spans="1:32" ht="14.25">
      <c r="A62" s="367" t="s">
        <v>482</v>
      </c>
      <c r="D62" s="319">
        <v>0</v>
      </c>
      <c r="I62" s="319">
        <v>0</v>
      </c>
      <c r="N62" s="319">
        <v>0</v>
      </c>
      <c r="S62" s="319">
        <v>0</v>
      </c>
      <c r="X62" s="319">
        <v>0</v>
      </c>
      <c r="Z62" s="582">
        <f>D62+I62+N62+S62+X62</f>
        <v>0</v>
      </c>
    </row>
    <row r="63" spans="1:32" ht="14.25">
      <c r="A63" s="367" t="s">
        <v>563</v>
      </c>
      <c r="D63" s="319">
        <v>8.5</v>
      </c>
      <c r="I63" s="319">
        <v>9</v>
      </c>
      <c r="N63" s="319">
        <v>10</v>
      </c>
      <c r="S63" s="319">
        <v>10</v>
      </c>
      <c r="X63" s="319">
        <v>10</v>
      </c>
      <c r="Z63" s="582">
        <f>D63+I63+N63+S63+X63</f>
        <v>47.5</v>
      </c>
    </row>
    <row r="65" spans="1:32" s="313" customFormat="1">
      <c r="A65" s="1518" t="s">
        <v>18</v>
      </c>
      <c r="B65" s="1519">
        <v>45516</v>
      </c>
      <c r="C65" s="1519"/>
      <c r="D65" s="1519"/>
      <c r="E65" s="1519"/>
      <c r="F65" s="365"/>
      <c r="G65" s="1519">
        <v>45517</v>
      </c>
      <c r="H65" s="1519"/>
      <c r="I65" s="1519"/>
      <c r="J65" s="1519"/>
      <c r="K65" s="365">
        <v>45343</v>
      </c>
      <c r="L65" s="1519">
        <v>45518</v>
      </c>
      <c r="M65" s="1519"/>
      <c r="N65" s="1519"/>
      <c r="O65" s="1519"/>
      <c r="P65" s="365"/>
      <c r="Q65" s="1519">
        <v>45519</v>
      </c>
      <c r="R65" s="1519"/>
      <c r="S65" s="1519"/>
      <c r="T65" s="1519"/>
      <c r="U65" s="365"/>
      <c r="V65" s="1519">
        <v>45520</v>
      </c>
      <c r="W65" s="1519"/>
      <c r="X65" s="1519"/>
      <c r="Y65" s="1519"/>
      <c r="Z65" s="1517" t="s">
        <v>19</v>
      </c>
      <c r="AA65" s="1517" t="s">
        <v>20</v>
      </c>
      <c r="AB65" s="4"/>
      <c r="AC65" s="1519">
        <v>45521</v>
      </c>
      <c r="AD65" s="1519"/>
      <c r="AE65" s="1519"/>
      <c r="AF65" s="1517" t="s">
        <v>21</v>
      </c>
    </row>
    <row r="66" spans="1:32" s="313" customFormat="1">
      <c r="A66" s="1518"/>
      <c r="B66" s="21" t="s">
        <v>23</v>
      </c>
      <c r="C66" s="21" t="s">
        <v>24</v>
      </c>
      <c r="D66" s="205" t="s">
        <v>25</v>
      </c>
      <c r="E66" s="18" t="s">
        <v>14</v>
      </c>
      <c r="F66" s="4"/>
      <c r="G66" s="21" t="s">
        <v>23</v>
      </c>
      <c r="H66" s="21" t="s">
        <v>24</v>
      </c>
      <c r="I66" s="18" t="s">
        <v>25</v>
      </c>
      <c r="J66" s="18" t="s">
        <v>14</v>
      </c>
      <c r="K66" s="4"/>
      <c r="L66" s="21" t="s">
        <v>23</v>
      </c>
      <c r="M66" s="21" t="s">
        <v>24</v>
      </c>
      <c r="N66" s="18" t="s">
        <v>25</v>
      </c>
      <c r="O66" s="18" t="s">
        <v>14</v>
      </c>
      <c r="P66" s="4"/>
      <c r="Q66" s="484" t="s">
        <v>23</v>
      </c>
      <c r="R66" s="21" t="s">
        <v>24</v>
      </c>
      <c r="S66" s="18" t="s">
        <v>25</v>
      </c>
      <c r="T66" s="18" t="s">
        <v>14</v>
      </c>
      <c r="U66" s="4"/>
      <c r="V66" s="484" t="s">
        <v>23</v>
      </c>
      <c r="W66" s="21" t="s">
        <v>24</v>
      </c>
      <c r="X66" s="18" t="s">
        <v>25</v>
      </c>
      <c r="Y66" s="18" t="s">
        <v>14</v>
      </c>
      <c r="Z66" s="1517"/>
      <c r="AA66" s="1517"/>
      <c r="AB66" s="4"/>
      <c r="AC66" s="21" t="s">
        <v>23</v>
      </c>
      <c r="AD66" s="21" t="s">
        <v>24</v>
      </c>
      <c r="AE66" s="18" t="s">
        <v>25</v>
      </c>
      <c r="AF66" s="1517"/>
    </row>
    <row r="67" spans="1:32" ht="14.25">
      <c r="A67" s="367" t="s">
        <v>441</v>
      </c>
      <c r="D67" s="319">
        <v>0</v>
      </c>
      <c r="I67" s="319">
        <v>0</v>
      </c>
      <c r="N67" s="319">
        <v>0</v>
      </c>
      <c r="S67" s="319">
        <v>0</v>
      </c>
      <c r="X67" s="319">
        <v>0</v>
      </c>
      <c r="Z67" s="582">
        <f>D67+I67+N67+S67+X67</f>
        <v>0</v>
      </c>
    </row>
    <row r="68" spans="1:32" ht="14.25">
      <c r="A68" s="367" t="s">
        <v>482</v>
      </c>
      <c r="D68" s="319">
        <v>0</v>
      </c>
      <c r="I68" s="319">
        <v>0</v>
      </c>
      <c r="N68" s="319">
        <v>0</v>
      </c>
      <c r="S68" s="319">
        <v>0</v>
      </c>
      <c r="X68" s="319">
        <v>0</v>
      </c>
      <c r="Z68" s="582">
        <f>D68+I68+N68+S68+X68</f>
        <v>0</v>
      </c>
    </row>
    <row r="69" spans="1:32" ht="14.25">
      <c r="A69" s="367" t="s">
        <v>563</v>
      </c>
      <c r="D69" s="319">
        <v>8</v>
      </c>
      <c r="I69" s="319">
        <v>11</v>
      </c>
      <c r="N69" s="319">
        <v>13</v>
      </c>
      <c r="S69" s="319">
        <v>13</v>
      </c>
      <c r="X69" s="319">
        <v>11</v>
      </c>
      <c r="Z69" s="582">
        <f>D69+I69+N69+S69+X69</f>
        <v>56</v>
      </c>
    </row>
    <row r="71" spans="1:32" s="313" customFormat="1">
      <c r="A71" s="1518" t="s">
        <v>18</v>
      </c>
      <c r="B71" s="1519">
        <v>45523</v>
      </c>
      <c r="C71" s="1519"/>
      <c r="D71" s="1519"/>
      <c r="E71" s="1519"/>
      <c r="F71" s="365"/>
      <c r="G71" s="1519">
        <v>45524</v>
      </c>
      <c r="H71" s="1519"/>
      <c r="I71" s="1519"/>
      <c r="J71" s="1519"/>
      <c r="K71" s="365">
        <v>45343</v>
      </c>
      <c r="L71" s="1519">
        <v>45525</v>
      </c>
      <c r="M71" s="1519"/>
      <c r="N71" s="1519"/>
      <c r="O71" s="1519"/>
      <c r="P71" s="365"/>
      <c r="Q71" s="1519">
        <v>45526</v>
      </c>
      <c r="R71" s="1519"/>
      <c r="S71" s="1519"/>
      <c r="T71" s="1519"/>
      <c r="U71" s="365"/>
      <c r="V71" s="1519">
        <v>45527</v>
      </c>
      <c r="W71" s="1519"/>
      <c r="X71" s="1519"/>
      <c r="Y71" s="1519"/>
      <c r="Z71" s="1517" t="s">
        <v>19</v>
      </c>
      <c r="AA71" s="1517" t="s">
        <v>20</v>
      </c>
      <c r="AB71" s="4"/>
      <c r="AC71" s="1519">
        <v>45528</v>
      </c>
      <c r="AD71" s="1519"/>
      <c r="AE71" s="1519"/>
      <c r="AF71" s="1517" t="s">
        <v>21</v>
      </c>
    </row>
    <row r="72" spans="1:32" s="313" customFormat="1">
      <c r="A72" s="1518"/>
      <c r="B72" s="21" t="s">
        <v>23</v>
      </c>
      <c r="C72" s="21" t="s">
        <v>24</v>
      </c>
      <c r="D72" s="205" t="s">
        <v>25</v>
      </c>
      <c r="E72" s="18" t="s">
        <v>14</v>
      </c>
      <c r="F72" s="4"/>
      <c r="G72" s="21" t="s">
        <v>23</v>
      </c>
      <c r="H72" s="21" t="s">
        <v>24</v>
      </c>
      <c r="I72" s="18" t="s">
        <v>25</v>
      </c>
      <c r="J72" s="18" t="s">
        <v>14</v>
      </c>
      <c r="K72" s="4"/>
      <c r="L72" s="21" t="s">
        <v>23</v>
      </c>
      <c r="M72" s="21" t="s">
        <v>24</v>
      </c>
      <c r="N72" s="18" t="s">
        <v>25</v>
      </c>
      <c r="O72" s="18" t="s">
        <v>14</v>
      </c>
      <c r="P72" s="4"/>
      <c r="Q72" s="484" t="s">
        <v>23</v>
      </c>
      <c r="R72" s="21" t="s">
        <v>24</v>
      </c>
      <c r="S72" s="18" t="s">
        <v>25</v>
      </c>
      <c r="T72" s="18" t="s">
        <v>14</v>
      </c>
      <c r="U72" s="4"/>
      <c r="V72" s="484" t="s">
        <v>23</v>
      </c>
      <c r="W72" s="21" t="s">
        <v>24</v>
      </c>
      <c r="X72" s="18" t="s">
        <v>25</v>
      </c>
      <c r="Y72" s="18" t="s">
        <v>14</v>
      </c>
      <c r="Z72" s="1517"/>
      <c r="AA72" s="1517"/>
      <c r="AB72" s="4"/>
      <c r="AC72" s="21" t="s">
        <v>23</v>
      </c>
      <c r="AD72" s="21" t="s">
        <v>24</v>
      </c>
      <c r="AE72" s="18" t="s">
        <v>25</v>
      </c>
      <c r="AF72" s="1517"/>
    </row>
    <row r="73" spans="1:32" ht="14.25">
      <c r="A73" s="367" t="s">
        <v>441</v>
      </c>
      <c r="D73" s="319">
        <v>0</v>
      </c>
      <c r="I73" s="319">
        <v>0</v>
      </c>
      <c r="N73" s="319">
        <v>0</v>
      </c>
      <c r="S73" s="319">
        <v>0</v>
      </c>
      <c r="X73" s="319">
        <v>0</v>
      </c>
      <c r="Z73" s="582">
        <f>D73+I73+N73+S73+X73</f>
        <v>0</v>
      </c>
    </row>
    <row r="74" spans="1:32" ht="14.25">
      <c r="A74" s="367" t="s">
        <v>482</v>
      </c>
      <c r="D74" s="319">
        <v>0</v>
      </c>
      <c r="I74" s="319">
        <v>0</v>
      </c>
      <c r="N74" s="319">
        <v>0</v>
      </c>
      <c r="S74" s="319">
        <v>0</v>
      </c>
      <c r="X74" s="319">
        <v>0</v>
      </c>
      <c r="Z74" s="582">
        <f>D74+I74+N74+S74+X74</f>
        <v>0</v>
      </c>
    </row>
    <row r="75" spans="1:32" ht="14.25">
      <c r="A75" s="367" t="s">
        <v>563</v>
      </c>
      <c r="D75" s="319">
        <v>8</v>
      </c>
      <c r="I75" s="319">
        <v>8</v>
      </c>
      <c r="N75" s="319">
        <v>8</v>
      </c>
      <c r="S75" s="319">
        <v>8</v>
      </c>
      <c r="X75" s="319">
        <v>8</v>
      </c>
      <c r="Z75" s="582">
        <f>D75+I75+N75+S75+X75</f>
        <v>40</v>
      </c>
    </row>
  </sheetData>
  <mergeCells count="100">
    <mergeCell ref="V59:Y59"/>
    <mergeCell ref="Z59:Z60"/>
    <mergeCell ref="AA59:AA60"/>
    <mergeCell ref="AC59:AE59"/>
    <mergeCell ref="AF59:AF60"/>
    <mergeCell ref="A59:A60"/>
    <mergeCell ref="B59:E59"/>
    <mergeCell ref="G59:J59"/>
    <mergeCell ref="L59:O59"/>
    <mergeCell ref="Q59:T59"/>
    <mergeCell ref="V51:Y51"/>
    <mergeCell ref="Z51:Z52"/>
    <mergeCell ref="AA51:AA52"/>
    <mergeCell ref="AC51:AE51"/>
    <mergeCell ref="AF51:AF52"/>
    <mergeCell ref="A51:A52"/>
    <mergeCell ref="B51:E51"/>
    <mergeCell ref="G51:J51"/>
    <mergeCell ref="L51:O51"/>
    <mergeCell ref="Q51:T51"/>
    <mergeCell ref="V44:Y44"/>
    <mergeCell ref="Z44:Z45"/>
    <mergeCell ref="AA44:AA45"/>
    <mergeCell ref="AC44:AE44"/>
    <mergeCell ref="AF44:AF45"/>
    <mergeCell ref="A44:A45"/>
    <mergeCell ref="B44:E44"/>
    <mergeCell ref="G44:J44"/>
    <mergeCell ref="L44:O44"/>
    <mergeCell ref="Q44:T44"/>
    <mergeCell ref="V37:Y37"/>
    <mergeCell ref="Z37:Z38"/>
    <mergeCell ref="AA37:AA38"/>
    <mergeCell ref="AC37:AE37"/>
    <mergeCell ref="AF37:AF38"/>
    <mergeCell ref="A37:A38"/>
    <mergeCell ref="B37:E37"/>
    <mergeCell ref="G37:J37"/>
    <mergeCell ref="L37:O37"/>
    <mergeCell ref="Q37:T37"/>
    <mergeCell ref="Z10:Z11"/>
    <mergeCell ref="AC10:AE10"/>
    <mergeCell ref="AF10:AF11"/>
    <mergeCell ref="AA10:AA11"/>
    <mergeCell ref="A10:A11"/>
    <mergeCell ref="B10:E10"/>
    <mergeCell ref="G10:J10"/>
    <mergeCell ref="L10:O10"/>
    <mergeCell ref="Q10:T10"/>
    <mergeCell ref="V10:Y10"/>
    <mergeCell ref="Z1:Z2"/>
    <mergeCell ref="AA1:AA2"/>
    <mergeCell ref="AC1:AE1"/>
    <mergeCell ref="AF1:AF2"/>
    <mergeCell ref="A1:A2"/>
    <mergeCell ref="B1:E1"/>
    <mergeCell ref="G1:J1"/>
    <mergeCell ref="L1:O1"/>
    <mergeCell ref="Q1:T1"/>
    <mergeCell ref="V1:Y1"/>
    <mergeCell ref="A19:A20"/>
    <mergeCell ref="B19:E19"/>
    <mergeCell ref="G19:J19"/>
    <mergeCell ref="L19:O19"/>
    <mergeCell ref="Q19:T19"/>
    <mergeCell ref="V19:Y19"/>
    <mergeCell ref="Z19:Z20"/>
    <mergeCell ref="AA19:AA20"/>
    <mergeCell ref="AC19:AE19"/>
    <mergeCell ref="AF19:AF20"/>
    <mergeCell ref="A28:A29"/>
    <mergeCell ref="B28:E28"/>
    <mergeCell ref="G28:J28"/>
    <mergeCell ref="L28:O28"/>
    <mergeCell ref="Q28:T28"/>
    <mergeCell ref="V28:Y28"/>
    <mergeCell ref="Z28:Z29"/>
    <mergeCell ref="AA28:AA29"/>
    <mergeCell ref="AC28:AE28"/>
    <mergeCell ref="AF28:AF29"/>
    <mergeCell ref="A65:A66"/>
    <mergeCell ref="B65:E65"/>
    <mergeCell ref="G65:J65"/>
    <mergeCell ref="L65:O65"/>
    <mergeCell ref="Q65:T65"/>
    <mergeCell ref="V65:Y65"/>
    <mergeCell ref="Z65:Z66"/>
    <mergeCell ref="AA65:AA66"/>
    <mergeCell ref="AC65:AE65"/>
    <mergeCell ref="AF65:AF66"/>
    <mergeCell ref="A71:A72"/>
    <mergeCell ref="B71:E71"/>
    <mergeCell ref="G71:J71"/>
    <mergeCell ref="L71:O71"/>
    <mergeCell ref="Q71:T71"/>
    <mergeCell ref="V71:Y71"/>
    <mergeCell ref="Z71:Z72"/>
    <mergeCell ref="AA71:AA72"/>
    <mergeCell ref="AC71:AE71"/>
    <mergeCell ref="AF71:AF72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1"/>
  <dimension ref="A1:BC543"/>
  <sheetViews>
    <sheetView zoomScaleNormal="100" workbookViewId="0">
      <pane xSplit="3" ySplit="2" topLeftCell="D507" activePane="bottomRight" state="frozen"/>
      <selection pane="bottomRight"/>
      <selection pane="bottomLeft"/>
      <selection pane="topRight"/>
    </sheetView>
  </sheetViews>
  <sheetFormatPr defaultRowHeight="13.5"/>
  <cols>
    <col min="1" max="1" width="12.5703125" hidden="1" customWidth="1"/>
    <col min="2" max="2" width="25.42578125" customWidth="1"/>
    <col min="3" max="3" width="26.7109375" customWidth="1"/>
    <col min="4" max="5" width="8.5703125" style="1"/>
    <col min="6" max="6" width="9" style="89" customWidth="1"/>
    <col min="7" max="7" width="1" style="2" customWidth="1"/>
    <col min="8" max="9" width="8.5703125" style="1"/>
    <col min="10" max="10" width="9" style="2" customWidth="1"/>
    <col min="11" max="11" width="1" style="2" customWidth="1"/>
    <col min="12" max="13" width="8.5703125" style="1"/>
    <col min="14" max="14" width="9" style="2" customWidth="1"/>
    <col min="15" max="15" width="1" style="3" customWidth="1"/>
    <col min="16" max="17" width="8.5703125" style="1"/>
    <col min="18" max="18" width="9" style="2" customWidth="1"/>
    <col min="19" max="19" width="1" style="3" customWidth="1"/>
    <col min="20" max="21" width="8.5703125" style="1"/>
    <col min="22" max="22" width="9" style="2" customWidth="1"/>
    <col min="23" max="23" width="1" style="2" customWidth="1"/>
    <col min="24" max="25" width="8.5703125" style="1"/>
    <col min="26" max="26" width="9" style="2" customWidth="1"/>
    <col min="27" max="27" width="1" style="3" customWidth="1"/>
    <col min="28" max="29" width="8.5703125" style="1"/>
    <col min="30" max="30" width="9" style="2" customWidth="1"/>
    <col min="31" max="31" width="1" style="3" customWidth="1"/>
    <col min="32" max="32" width="9" style="2" customWidth="1"/>
    <col min="33" max="33" width="1" style="2" customWidth="1"/>
    <col min="34" max="55" width="8.5703125" style="1"/>
  </cols>
  <sheetData>
    <row r="1" spans="1:33" s="1" customFormat="1" ht="55.5" customHeight="1">
      <c r="F1" s="84"/>
      <c r="G1" s="3"/>
      <c r="J1" s="3"/>
      <c r="K1" s="3"/>
      <c r="N1" s="3"/>
      <c r="O1" s="3"/>
      <c r="Q1" s="1529" t="s">
        <v>183</v>
      </c>
      <c r="R1" s="1529"/>
      <c r="S1" s="1529"/>
      <c r="T1" s="1529"/>
      <c r="U1" s="1529"/>
      <c r="V1" s="1529"/>
      <c r="W1" s="1529"/>
      <c r="X1" s="1529"/>
      <c r="Y1" s="1529"/>
      <c r="Z1" s="1529"/>
      <c r="AA1" s="1529"/>
      <c r="AB1" s="1529"/>
      <c r="AC1" s="1529"/>
      <c r="AD1" s="1529"/>
      <c r="AE1" s="1529"/>
      <c r="AF1" s="1529"/>
      <c r="AG1" s="1529"/>
    </row>
    <row r="2" spans="1:33" s="1" customFormat="1" ht="21.75" customHeight="1">
      <c r="E2" s="1" t="s">
        <v>564</v>
      </c>
      <c r="F2" s="84"/>
      <c r="G2" s="3"/>
      <c r="I2" s="1" t="s">
        <v>565</v>
      </c>
      <c r="J2" s="3"/>
      <c r="K2" s="3"/>
      <c r="M2" s="1" t="s">
        <v>566</v>
      </c>
      <c r="N2" s="3"/>
      <c r="O2" s="3"/>
      <c r="Q2" s="1" t="s">
        <v>567</v>
      </c>
      <c r="R2" s="100"/>
      <c r="S2" s="100"/>
      <c r="T2" s="100"/>
      <c r="U2" s="1" t="s">
        <v>568</v>
      </c>
      <c r="V2" s="100"/>
      <c r="W2" s="100"/>
      <c r="X2" s="100"/>
      <c r="Y2" s="1" t="s">
        <v>569</v>
      </c>
      <c r="Z2" s="100"/>
      <c r="AA2" s="100"/>
      <c r="AB2" s="100"/>
      <c r="AC2" s="1" t="s">
        <v>570</v>
      </c>
      <c r="AD2" s="100"/>
      <c r="AE2" s="100"/>
      <c r="AF2" s="100"/>
      <c r="AG2" s="100"/>
    </row>
    <row r="3" spans="1:33" ht="13.5" customHeight="1">
      <c r="A3" s="1528" t="s">
        <v>119</v>
      </c>
      <c r="B3" s="1518" t="s">
        <v>18</v>
      </c>
      <c r="C3" s="1552" t="s">
        <v>571</v>
      </c>
      <c r="D3" s="1524">
        <v>45047</v>
      </c>
      <c r="E3" s="1524"/>
      <c r="F3" s="1524"/>
      <c r="G3" s="22"/>
      <c r="H3" s="1524">
        <f>D3+1</f>
        <v>45048</v>
      </c>
      <c r="I3" s="1524"/>
      <c r="J3" s="1524"/>
      <c r="K3" s="22"/>
      <c r="L3" s="1524">
        <f>H3+1</f>
        <v>45049</v>
      </c>
      <c r="M3" s="1524"/>
      <c r="N3" s="1524"/>
      <c r="P3" s="1524">
        <f>L3+1</f>
        <v>45050</v>
      </c>
      <c r="Q3" s="1524"/>
      <c r="R3" s="1524"/>
      <c r="T3" s="1524">
        <f>P3+1</f>
        <v>45051</v>
      </c>
      <c r="U3" s="1524"/>
      <c r="V3" s="1524"/>
      <c r="W3" s="22"/>
      <c r="X3" s="1524">
        <f>T3+1</f>
        <v>45052</v>
      </c>
      <c r="Y3" s="1524"/>
      <c r="Z3" s="1524"/>
      <c r="AB3" s="1524">
        <f>X3+1</f>
        <v>45053</v>
      </c>
      <c r="AC3" s="1524"/>
      <c r="AD3" s="1524"/>
      <c r="AF3" s="1517" t="s">
        <v>19</v>
      </c>
      <c r="AG3" s="22"/>
    </row>
    <row r="4" spans="1:33">
      <c r="A4" s="1528"/>
      <c r="B4" s="1518"/>
      <c r="C4" s="1552"/>
      <c r="D4" s="21" t="s">
        <v>23</v>
      </c>
      <c r="E4" s="21" t="s">
        <v>24</v>
      </c>
      <c r="F4" s="62" t="s">
        <v>25</v>
      </c>
      <c r="G4" s="23"/>
      <c r="H4" s="21" t="s">
        <v>23</v>
      </c>
      <c r="I4" s="21" t="s">
        <v>24</v>
      </c>
      <c r="J4" s="18" t="s">
        <v>25</v>
      </c>
      <c r="K4" s="23"/>
      <c r="L4" s="21" t="s">
        <v>23</v>
      </c>
      <c r="M4" s="21" t="s">
        <v>24</v>
      </c>
      <c r="N4" s="18" t="s">
        <v>25</v>
      </c>
      <c r="P4" s="21" t="s">
        <v>23</v>
      </c>
      <c r="Q4" s="21" t="s">
        <v>24</v>
      </c>
      <c r="R4" s="18" t="s">
        <v>25</v>
      </c>
      <c r="T4" s="21" t="s">
        <v>23</v>
      </c>
      <c r="U4" s="21" t="s">
        <v>24</v>
      </c>
      <c r="V4" s="18" t="s">
        <v>25</v>
      </c>
      <c r="W4" s="23"/>
      <c r="X4" s="21" t="s">
        <v>23</v>
      </c>
      <c r="Y4" s="21" t="s">
        <v>24</v>
      </c>
      <c r="Z4" s="18" t="s">
        <v>25</v>
      </c>
      <c r="AB4" s="21" t="s">
        <v>23</v>
      </c>
      <c r="AC4" s="21" t="s">
        <v>24</v>
      </c>
      <c r="AD4" s="18" t="s">
        <v>25</v>
      </c>
      <c r="AF4" s="1517"/>
      <c r="AG4" s="23"/>
    </row>
    <row r="5" spans="1:33" ht="13.5" customHeight="1">
      <c r="A5" s="8" t="s">
        <v>123</v>
      </c>
      <c r="B5" s="13" t="s">
        <v>572</v>
      </c>
      <c r="C5" s="13" t="s">
        <v>573</v>
      </c>
      <c r="D5" s="48">
        <v>0.375</v>
      </c>
      <c r="E5" s="48">
        <v>0.58333333333333337</v>
      </c>
      <c r="F5" s="85">
        <f>(E5-D5)*24</f>
        <v>5.0000000000000009</v>
      </c>
      <c r="G5" s="24"/>
      <c r="H5" s="48"/>
      <c r="I5" s="48"/>
      <c r="J5" s="49">
        <f>(I5-H5)*24</f>
        <v>0</v>
      </c>
      <c r="K5" s="24"/>
      <c r="L5" s="48"/>
      <c r="M5" s="48"/>
      <c r="N5" s="49">
        <f>(M5-L5)*24</f>
        <v>0</v>
      </c>
      <c r="P5" s="48"/>
      <c r="Q5" s="48"/>
      <c r="R5" s="49">
        <f>(Q5-P5)*24</f>
        <v>0</v>
      </c>
      <c r="T5" s="48"/>
      <c r="U5" s="48"/>
      <c r="V5" s="49">
        <f>(U5-T5)*24</f>
        <v>0</v>
      </c>
      <c r="W5" s="24"/>
      <c r="X5" s="48"/>
      <c r="Y5" s="48"/>
      <c r="Z5" s="49">
        <f>(Y5-X5)*24</f>
        <v>0</v>
      </c>
      <c r="AB5" s="48"/>
      <c r="AC5" s="48"/>
      <c r="AD5" s="49">
        <f>(AC5-AB5)*24</f>
        <v>0</v>
      </c>
      <c r="AF5" s="29">
        <f>(J5+F5)+(N5+R5)+(V5+Z5)+AD5</f>
        <v>5.0000000000000009</v>
      </c>
      <c r="AG5" s="24"/>
    </row>
    <row r="6" spans="1:33" ht="14.25">
      <c r="A6" s="8" t="s">
        <v>123</v>
      </c>
      <c r="B6" s="13" t="s">
        <v>572</v>
      </c>
      <c r="C6" s="13" t="s">
        <v>574</v>
      </c>
      <c r="D6" s="48"/>
      <c r="E6" s="48"/>
      <c r="F6" s="85">
        <f t="shared" ref="F6:F9" si="0">(E6-D6)*24</f>
        <v>0</v>
      </c>
      <c r="G6" s="25"/>
      <c r="H6" s="48">
        <v>0.29166666666666669</v>
      </c>
      <c r="I6" s="48">
        <v>0.66666666666666663</v>
      </c>
      <c r="J6" s="49">
        <f t="shared" ref="J6:J9" si="1">(I6-H6)*24</f>
        <v>8.9999999999999982</v>
      </c>
      <c r="K6" s="25"/>
      <c r="L6" s="48">
        <v>0.29166666666666669</v>
      </c>
      <c r="M6" s="48">
        <v>0.66666666666666663</v>
      </c>
      <c r="N6" s="50">
        <f t="shared" ref="N6:N9" si="2">(M6-L6)*24</f>
        <v>8.9999999999999982</v>
      </c>
      <c r="P6" s="48">
        <v>0.29166666666666669</v>
      </c>
      <c r="Q6" s="48">
        <v>0.45833333333333331</v>
      </c>
      <c r="R6" s="50">
        <f t="shared" ref="R6:R9" si="3">(Q6-P6)*24</f>
        <v>3.9999999999999991</v>
      </c>
      <c r="T6" s="48"/>
      <c r="U6" s="48"/>
      <c r="V6" s="50">
        <f t="shared" ref="V6:V9" si="4">(U6-T6)*24</f>
        <v>0</v>
      </c>
      <c r="W6" s="25"/>
      <c r="X6" s="48"/>
      <c r="Y6" s="48"/>
      <c r="Z6" s="50">
        <f t="shared" ref="Z6:Z9" si="5">(Y6-X6)*24</f>
        <v>0</v>
      </c>
      <c r="AB6" s="48"/>
      <c r="AC6" s="48"/>
      <c r="AD6" s="50">
        <f t="shared" ref="AD6:AD9" si="6">(AC6-AB6)*24</f>
        <v>0</v>
      </c>
      <c r="AF6" s="29">
        <f t="shared" ref="AF6:AF9" si="7">(J6+F6)+(N6+R6)+(V6+Z6)+AD6</f>
        <v>21.999999999999993</v>
      </c>
      <c r="AG6" s="25"/>
    </row>
    <row r="7" spans="1:33" s="1" customFormat="1" ht="27">
      <c r="A7" s="8" t="s">
        <v>123</v>
      </c>
      <c r="B7" s="13" t="s">
        <v>54</v>
      </c>
      <c r="C7" s="13" t="s">
        <v>575</v>
      </c>
      <c r="D7" s="48"/>
      <c r="E7" s="48"/>
      <c r="F7" s="85">
        <f t="shared" si="0"/>
        <v>0</v>
      </c>
      <c r="G7" s="25"/>
      <c r="H7" s="48"/>
      <c r="I7" s="48"/>
      <c r="J7" s="49">
        <f t="shared" si="1"/>
        <v>0</v>
      </c>
      <c r="K7" s="25"/>
      <c r="L7" s="48">
        <v>0.375</v>
      </c>
      <c r="M7" s="48">
        <v>0.70833333333333337</v>
      </c>
      <c r="N7" s="50">
        <f t="shared" si="2"/>
        <v>8</v>
      </c>
      <c r="O7" s="3"/>
      <c r="P7" s="48">
        <v>0.375</v>
      </c>
      <c r="Q7" s="48">
        <v>0.70833333333333337</v>
      </c>
      <c r="R7" s="50">
        <f t="shared" si="3"/>
        <v>8</v>
      </c>
      <c r="S7" s="3"/>
      <c r="T7" s="48">
        <v>0.375</v>
      </c>
      <c r="U7" s="48">
        <v>0.70833333333333337</v>
      </c>
      <c r="V7" s="50">
        <f t="shared" si="4"/>
        <v>8</v>
      </c>
      <c r="W7" s="25"/>
      <c r="X7" s="48"/>
      <c r="Y7" s="48"/>
      <c r="Z7" s="50">
        <f t="shared" si="5"/>
        <v>0</v>
      </c>
      <c r="AA7" s="3"/>
      <c r="AB7" s="48"/>
      <c r="AC7" s="48"/>
      <c r="AD7" s="50">
        <f t="shared" si="6"/>
        <v>0</v>
      </c>
      <c r="AE7" s="3"/>
      <c r="AF7" s="29">
        <f t="shared" si="7"/>
        <v>24</v>
      </c>
      <c r="AG7" s="25"/>
    </row>
    <row r="8" spans="1:33" s="1" customFormat="1" ht="28.5" customHeight="1">
      <c r="A8" s="8"/>
      <c r="B8" s="13" t="s">
        <v>576</v>
      </c>
      <c r="C8" s="13" t="s">
        <v>575</v>
      </c>
      <c r="D8" s="48"/>
      <c r="E8" s="48"/>
      <c r="F8" s="85">
        <f t="shared" si="0"/>
        <v>0</v>
      </c>
      <c r="G8" s="25"/>
      <c r="H8" s="48"/>
      <c r="I8" s="48"/>
      <c r="J8" s="49">
        <f t="shared" si="1"/>
        <v>0</v>
      </c>
      <c r="K8" s="25"/>
      <c r="L8" s="48">
        <v>0.375</v>
      </c>
      <c r="M8" s="48">
        <v>0.70833333333333337</v>
      </c>
      <c r="N8" s="50">
        <f t="shared" si="2"/>
        <v>8</v>
      </c>
      <c r="O8" s="3"/>
      <c r="P8" s="48">
        <v>0.375</v>
      </c>
      <c r="Q8" s="48">
        <v>0.70833333333333337</v>
      </c>
      <c r="R8" s="50">
        <f t="shared" si="3"/>
        <v>8</v>
      </c>
      <c r="S8" s="3"/>
      <c r="T8" s="48">
        <v>0.375</v>
      </c>
      <c r="U8" s="48">
        <v>0.70833333333333337</v>
      </c>
      <c r="V8" s="50">
        <f t="shared" si="4"/>
        <v>8</v>
      </c>
      <c r="W8" s="25"/>
      <c r="X8" s="48"/>
      <c r="Y8" s="48"/>
      <c r="Z8" s="50">
        <f t="shared" si="5"/>
        <v>0</v>
      </c>
      <c r="AA8" s="3"/>
      <c r="AB8" s="48"/>
      <c r="AC8" s="48"/>
      <c r="AD8" s="50">
        <f t="shared" si="6"/>
        <v>0</v>
      </c>
      <c r="AE8" s="3"/>
      <c r="AF8" s="29">
        <f t="shared" si="7"/>
        <v>24</v>
      </c>
      <c r="AG8" s="25"/>
    </row>
    <row r="9" spans="1:33" s="1" customFormat="1" ht="25.5" customHeight="1">
      <c r="A9" s="8" t="s">
        <v>123</v>
      </c>
      <c r="B9" s="13" t="s">
        <v>37</v>
      </c>
      <c r="C9" s="13" t="s">
        <v>575</v>
      </c>
      <c r="D9" s="48"/>
      <c r="E9" s="48"/>
      <c r="F9" s="85">
        <f t="shared" si="0"/>
        <v>0</v>
      </c>
      <c r="G9" s="25"/>
      <c r="H9" s="48"/>
      <c r="I9" s="48"/>
      <c r="J9" s="49">
        <f t="shared" si="1"/>
        <v>0</v>
      </c>
      <c r="K9" s="25"/>
      <c r="L9" s="48">
        <v>0.375</v>
      </c>
      <c r="M9" s="48">
        <v>0.70833333333333337</v>
      </c>
      <c r="N9" s="50">
        <f t="shared" si="2"/>
        <v>8</v>
      </c>
      <c r="O9" s="3"/>
      <c r="P9" s="48">
        <v>0.375</v>
      </c>
      <c r="Q9" s="48">
        <v>0.70833333333333337</v>
      </c>
      <c r="R9" s="50">
        <f t="shared" si="3"/>
        <v>8</v>
      </c>
      <c r="S9" s="3"/>
      <c r="T9" s="48">
        <v>0.375</v>
      </c>
      <c r="U9" s="48">
        <v>0.70833333333333337</v>
      </c>
      <c r="V9" s="50">
        <f t="shared" si="4"/>
        <v>8</v>
      </c>
      <c r="W9" s="25"/>
      <c r="X9" s="48"/>
      <c r="Y9" s="48"/>
      <c r="Z9" s="50">
        <f t="shared" si="5"/>
        <v>0</v>
      </c>
      <c r="AA9" s="3"/>
      <c r="AB9" s="48"/>
      <c r="AC9" s="48"/>
      <c r="AD9" s="50">
        <f t="shared" si="6"/>
        <v>0</v>
      </c>
      <c r="AE9" s="3"/>
      <c r="AF9" s="29">
        <f t="shared" si="7"/>
        <v>24</v>
      </c>
      <c r="AG9" s="25"/>
    </row>
    <row r="10" spans="1:33" s="1" customFormat="1" ht="13.5" customHeight="1">
      <c r="A10" s="8"/>
      <c r="B10" s="63" t="s">
        <v>61</v>
      </c>
      <c r="C10" s="63"/>
      <c r="D10" s="63"/>
      <c r="E10" s="63"/>
      <c r="F10" s="86">
        <f>SUM(F5:F9)</f>
        <v>5.0000000000000009</v>
      </c>
      <c r="G10" s="63"/>
      <c r="H10" s="63"/>
      <c r="I10" s="63"/>
      <c r="J10" s="86">
        <f>SUM(J5:J9)</f>
        <v>8.9999999999999982</v>
      </c>
      <c r="K10" s="63"/>
      <c r="L10" s="63"/>
      <c r="M10" s="63"/>
      <c r="N10" s="86">
        <f>SUM(N5:N9)</f>
        <v>33</v>
      </c>
      <c r="O10" s="63"/>
      <c r="P10" s="63"/>
      <c r="Q10" s="63"/>
      <c r="R10" s="86">
        <f>SUM(R5:R9)</f>
        <v>28</v>
      </c>
      <c r="S10" s="63"/>
      <c r="T10" s="63"/>
      <c r="U10" s="63"/>
      <c r="V10" s="86">
        <f>SUM(V5:V9)</f>
        <v>24</v>
      </c>
      <c r="W10" s="63"/>
      <c r="X10" s="63"/>
      <c r="Y10" s="63"/>
      <c r="Z10" s="86">
        <f>SUM(Z5:Z9)</f>
        <v>0</v>
      </c>
      <c r="AA10" s="63"/>
      <c r="AB10" s="63"/>
      <c r="AC10" s="63"/>
      <c r="AD10" s="82">
        <f>SUM(AD5:AD9)</f>
        <v>0</v>
      </c>
      <c r="AE10" s="46"/>
      <c r="AF10" s="30">
        <f>SUM(AF5:AF9)</f>
        <v>99</v>
      </c>
      <c r="AG10" s="25"/>
    </row>
    <row r="11" spans="1:33" s="1" customFormat="1" ht="13.5" customHeight="1">
      <c r="A11" s="8"/>
      <c r="B11" s="31" t="s">
        <v>577</v>
      </c>
      <c r="C11" s="31"/>
      <c r="D11" s="83"/>
      <c r="E11" s="83"/>
      <c r="F11" s="90">
        <v>2</v>
      </c>
      <c r="G11" s="83"/>
      <c r="H11" s="83"/>
      <c r="I11" s="83"/>
      <c r="J11" s="90">
        <v>3</v>
      </c>
      <c r="K11" s="83"/>
      <c r="L11" s="83"/>
      <c r="M11" s="83"/>
      <c r="N11" s="90">
        <v>8</v>
      </c>
      <c r="O11" s="83"/>
      <c r="P11" s="83"/>
      <c r="Q11" s="83"/>
      <c r="R11" s="90">
        <v>8</v>
      </c>
      <c r="S11" s="83"/>
      <c r="T11" s="83"/>
      <c r="U11" s="83"/>
      <c r="V11" s="90">
        <v>8</v>
      </c>
      <c r="W11" s="83"/>
      <c r="X11" s="83"/>
      <c r="Y11" s="83"/>
      <c r="Z11" s="87"/>
      <c r="AA11" s="83"/>
      <c r="AB11" s="83"/>
      <c r="AC11" s="83"/>
      <c r="AD11" s="83"/>
      <c r="AE11" s="45"/>
      <c r="AF11" s="28">
        <f>SUM(F11:AE11)</f>
        <v>29</v>
      </c>
      <c r="AG11" s="25"/>
    </row>
    <row r="12" spans="1:33" s="1" customFormat="1" ht="13.5" customHeight="1">
      <c r="A12" s="8"/>
      <c r="B12" s="31" t="s">
        <v>578</v>
      </c>
      <c r="C12" s="31"/>
      <c r="D12" s="83"/>
      <c r="E12" s="83"/>
      <c r="F12" s="90"/>
      <c r="G12" s="83"/>
      <c r="H12" s="83"/>
      <c r="I12" s="83"/>
      <c r="J12" s="90"/>
      <c r="K12" s="83"/>
      <c r="L12" s="83"/>
      <c r="M12" s="83"/>
      <c r="N12" s="90"/>
      <c r="O12" s="83"/>
      <c r="P12" s="83"/>
      <c r="Q12" s="83"/>
      <c r="R12" s="90"/>
      <c r="S12" s="83"/>
      <c r="T12" s="83"/>
      <c r="U12" s="83"/>
      <c r="V12" s="90"/>
      <c r="W12" s="83"/>
      <c r="X12" s="83"/>
      <c r="Y12" s="83"/>
      <c r="Z12" s="87"/>
      <c r="AA12" s="83"/>
      <c r="AB12" s="83"/>
      <c r="AC12" s="83"/>
      <c r="AD12" s="83"/>
      <c r="AE12" s="45"/>
      <c r="AF12" s="28">
        <f>SUM(E12:AD12)</f>
        <v>0</v>
      </c>
      <c r="AG12" s="25"/>
    </row>
    <row r="13" spans="1:33" s="1" customFormat="1" ht="13.5" customHeight="1" thickBot="1">
      <c r="A13" s="8"/>
      <c r="B13" s="74" t="s">
        <v>579</v>
      </c>
      <c r="C13" s="74"/>
      <c r="D13" s="92"/>
      <c r="E13" s="92"/>
      <c r="F13" s="96"/>
      <c r="G13" s="92"/>
      <c r="H13" s="92"/>
      <c r="I13" s="92"/>
      <c r="J13" s="93"/>
      <c r="K13" s="92"/>
      <c r="L13" s="92"/>
      <c r="M13" s="92"/>
      <c r="N13" s="93"/>
      <c r="O13" s="92"/>
      <c r="P13" s="92"/>
      <c r="Q13" s="92"/>
      <c r="R13" s="93"/>
      <c r="S13" s="92"/>
      <c r="T13" s="92"/>
      <c r="U13" s="92"/>
      <c r="V13" s="93"/>
      <c r="W13" s="94"/>
      <c r="X13" s="94"/>
      <c r="Y13" s="94"/>
      <c r="Z13" s="93"/>
      <c r="AA13" s="94"/>
      <c r="AB13" s="94"/>
      <c r="AC13" s="94"/>
      <c r="AD13" s="94"/>
      <c r="AE13" s="94"/>
      <c r="AF13" s="80">
        <f>SUM(D13:AD13)</f>
        <v>0</v>
      </c>
      <c r="AG13" s="25"/>
    </row>
    <row r="14" spans="1:33" s="1" customFormat="1" ht="13.5" customHeight="1" thickTop="1">
      <c r="A14" s="11"/>
      <c r="B14" s="71" t="s">
        <v>66</v>
      </c>
      <c r="C14" s="3"/>
      <c r="D14" s="3"/>
      <c r="E14" s="3"/>
      <c r="F14" s="88">
        <f>SUM(F11:F13)</f>
        <v>2</v>
      </c>
      <c r="G14" s="3"/>
      <c r="H14" s="3"/>
      <c r="I14" s="3"/>
      <c r="J14" s="88">
        <f>SUM(J11:J13)</f>
        <v>3</v>
      </c>
      <c r="K14" s="3"/>
      <c r="L14" s="3"/>
      <c r="M14" s="3"/>
      <c r="N14" s="88">
        <f>SUM(N11:N13)</f>
        <v>8</v>
      </c>
      <c r="O14" s="3"/>
      <c r="P14" s="3"/>
      <c r="Q14" s="3"/>
      <c r="R14" s="88">
        <f>SUM(R11:R13)</f>
        <v>8</v>
      </c>
      <c r="S14" s="3"/>
      <c r="T14" s="3"/>
      <c r="U14" s="3"/>
      <c r="V14" s="88">
        <f>SUM(V11:V13)</f>
        <v>8</v>
      </c>
      <c r="W14" s="3"/>
      <c r="X14" s="3"/>
      <c r="Y14" s="3"/>
      <c r="Z14" s="88">
        <f>SUM(Z11:Z13)</f>
        <v>0</v>
      </c>
      <c r="AA14" s="3"/>
      <c r="AB14" s="3"/>
      <c r="AC14" s="3"/>
      <c r="AD14" s="67">
        <f>SUM(AD11:AD13)</f>
        <v>0</v>
      </c>
      <c r="AE14" s="3"/>
      <c r="AF14" s="98">
        <f>SUM(F14:AD14)</f>
        <v>29</v>
      </c>
      <c r="AG14" s="3"/>
    </row>
    <row r="15" spans="1:33" s="3" customFormat="1">
      <c r="B15" s="1518" t="s">
        <v>18</v>
      </c>
      <c r="C15" s="1552" t="s">
        <v>571</v>
      </c>
      <c r="D15" s="1524">
        <v>45054</v>
      </c>
      <c r="E15" s="1524"/>
      <c r="F15" s="1524"/>
      <c r="G15" s="22"/>
      <c r="H15" s="1524">
        <f>D15+1</f>
        <v>45055</v>
      </c>
      <c r="I15" s="1524"/>
      <c r="J15" s="1524"/>
      <c r="K15" s="22"/>
      <c r="L15" s="1524">
        <f>H15+1</f>
        <v>45056</v>
      </c>
      <c r="M15" s="1524"/>
      <c r="N15" s="1524"/>
      <c r="P15" s="1524">
        <f>L15+1</f>
        <v>45057</v>
      </c>
      <c r="Q15" s="1524"/>
      <c r="R15" s="1524"/>
      <c r="T15" s="1524">
        <f>P15+1</f>
        <v>45058</v>
      </c>
      <c r="U15" s="1524"/>
      <c r="V15" s="1524"/>
      <c r="W15" s="22"/>
      <c r="X15" s="1524">
        <f>T15+1</f>
        <v>45059</v>
      </c>
      <c r="Y15" s="1524"/>
      <c r="Z15" s="1524"/>
      <c r="AB15" s="1524">
        <f>X15+1</f>
        <v>45060</v>
      </c>
      <c r="AC15" s="1524"/>
      <c r="AD15" s="1524"/>
      <c r="AE15" s="22"/>
      <c r="AF15" s="1517" t="s">
        <v>19</v>
      </c>
    </row>
    <row r="16" spans="1:33" s="3" customFormat="1" ht="14.25">
      <c r="B16" s="1518"/>
      <c r="C16" s="1552"/>
      <c r="D16" s="21" t="s">
        <v>23</v>
      </c>
      <c r="E16" s="21" t="s">
        <v>24</v>
      </c>
      <c r="F16" s="62" t="s">
        <v>25</v>
      </c>
      <c r="G16" s="23"/>
      <c r="H16" s="21" t="s">
        <v>23</v>
      </c>
      <c r="I16" s="21" t="s">
        <v>24</v>
      </c>
      <c r="J16" s="18" t="s">
        <v>25</v>
      </c>
      <c r="K16" s="23"/>
      <c r="L16" s="21" t="s">
        <v>23</v>
      </c>
      <c r="M16" s="21" t="s">
        <v>24</v>
      </c>
      <c r="N16" s="18" t="s">
        <v>25</v>
      </c>
      <c r="O16" s="23"/>
      <c r="P16" s="21" t="s">
        <v>23</v>
      </c>
      <c r="Q16" s="21" t="s">
        <v>24</v>
      </c>
      <c r="R16" s="18" t="s">
        <v>25</v>
      </c>
      <c r="S16" s="23"/>
      <c r="T16" s="21" t="s">
        <v>23</v>
      </c>
      <c r="U16" s="21" t="s">
        <v>24</v>
      </c>
      <c r="V16" s="18" t="s">
        <v>25</v>
      </c>
      <c r="W16" s="23"/>
      <c r="X16" s="21" t="s">
        <v>23</v>
      </c>
      <c r="Y16" s="21" t="s">
        <v>24</v>
      </c>
      <c r="Z16" s="18" t="s">
        <v>25</v>
      </c>
      <c r="AA16" s="23"/>
      <c r="AB16" s="21" t="s">
        <v>23</v>
      </c>
      <c r="AC16" s="21" t="s">
        <v>24</v>
      </c>
      <c r="AD16" s="18" t="s">
        <v>25</v>
      </c>
      <c r="AE16" s="23"/>
      <c r="AF16" s="1523"/>
      <c r="AG16" s="5"/>
    </row>
    <row r="17" spans="1:33" s="3" customFormat="1" ht="27">
      <c r="B17" s="13" t="s">
        <v>580</v>
      </c>
      <c r="C17" s="13" t="s">
        <v>581</v>
      </c>
      <c r="D17" s="48"/>
      <c r="E17" s="48"/>
      <c r="F17" s="85">
        <f>(E17-D17)*24</f>
        <v>0</v>
      </c>
      <c r="G17" s="24"/>
      <c r="H17" s="48"/>
      <c r="I17" s="48"/>
      <c r="J17" s="49">
        <f>(I17-H17)*24</f>
        <v>0</v>
      </c>
      <c r="K17" s="24"/>
      <c r="L17" s="48">
        <v>0.375</v>
      </c>
      <c r="M17" s="48">
        <v>0.5625</v>
      </c>
      <c r="N17" s="49">
        <f>(M17-L17)*24</f>
        <v>4.5</v>
      </c>
      <c r="O17" s="24"/>
      <c r="P17" s="48"/>
      <c r="Q17" s="48"/>
      <c r="R17" s="49">
        <f>(Q17-P17)*24</f>
        <v>0</v>
      </c>
      <c r="S17" s="24"/>
      <c r="T17" s="48"/>
      <c r="U17" s="48"/>
      <c r="V17" s="49">
        <f>(U17-T17)*24</f>
        <v>0</v>
      </c>
      <c r="W17" s="24"/>
      <c r="X17" s="48"/>
      <c r="Y17" s="48"/>
      <c r="Z17" s="49">
        <f>(Y17-X17)*24</f>
        <v>0</v>
      </c>
      <c r="AA17" s="24"/>
      <c r="AB17" s="48"/>
      <c r="AC17" s="48"/>
      <c r="AD17" s="49">
        <f>(AC17-AB17)*24</f>
        <v>0</v>
      </c>
      <c r="AE17" s="24"/>
      <c r="AF17" s="29">
        <f>J17+F17+N17+R17+V17+Z17+AD17</f>
        <v>4.5</v>
      </c>
      <c r="AG17" s="5"/>
    </row>
    <row r="18" spans="1:33" s="3" customFormat="1" ht="27">
      <c r="B18" s="13" t="s">
        <v>572</v>
      </c>
      <c r="C18" s="13" t="s">
        <v>581</v>
      </c>
      <c r="D18" s="48"/>
      <c r="E18" s="48"/>
      <c r="F18" s="85">
        <f t="shared" ref="F18:F20" si="8">(E18-D18)*24</f>
        <v>0</v>
      </c>
      <c r="G18" s="25"/>
      <c r="H18" s="48"/>
      <c r="I18" s="48"/>
      <c r="J18" s="49">
        <f t="shared" ref="J18:J20" si="9">(I18-H18)*24</f>
        <v>0</v>
      </c>
      <c r="K18" s="25"/>
      <c r="L18" s="48">
        <v>0.375</v>
      </c>
      <c r="M18" s="48">
        <v>0.5625</v>
      </c>
      <c r="N18" s="49">
        <f t="shared" ref="N18:N20" si="10">(M18-L18)*24</f>
        <v>4.5</v>
      </c>
      <c r="O18" s="25"/>
      <c r="P18" s="48"/>
      <c r="Q18" s="48"/>
      <c r="R18" s="49">
        <f t="shared" ref="R18:R20" si="11">(Q18-P18)*24</f>
        <v>0</v>
      </c>
      <c r="S18" s="25"/>
      <c r="T18" s="48"/>
      <c r="U18" s="48"/>
      <c r="V18" s="49">
        <f t="shared" ref="V18:V20" si="12">(U18-T18)*24</f>
        <v>0</v>
      </c>
      <c r="W18" s="25"/>
      <c r="X18" s="48"/>
      <c r="Y18" s="48"/>
      <c r="Z18" s="49">
        <f t="shared" ref="Z18:Z20" si="13">(Y18-X18)*24</f>
        <v>0</v>
      </c>
      <c r="AA18" s="25"/>
      <c r="AB18" s="48"/>
      <c r="AC18" s="48"/>
      <c r="AD18" s="49">
        <f t="shared" ref="AD18:AD20" si="14">(AC18-AB18)*24</f>
        <v>0</v>
      </c>
      <c r="AE18" s="25"/>
      <c r="AF18" s="29">
        <f t="shared" ref="AF18:AF20" si="15">J18+F18+N18+R18+V18+Z18+AD18</f>
        <v>4.5</v>
      </c>
    </row>
    <row r="19" spans="1:33" s="3" customFormat="1" ht="27">
      <c r="B19" s="13" t="s">
        <v>54</v>
      </c>
      <c r="C19" s="13" t="s">
        <v>575</v>
      </c>
      <c r="D19" s="48"/>
      <c r="E19" s="48"/>
      <c r="F19" s="85">
        <f t="shared" si="8"/>
        <v>0</v>
      </c>
      <c r="G19" s="25"/>
      <c r="H19" s="48"/>
      <c r="I19" s="48"/>
      <c r="J19" s="49">
        <f t="shared" si="9"/>
        <v>0</v>
      </c>
      <c r="K19" s="25"/>
      <c r="L19" s="48"/>
      <c r="M19" s="48"/>
      <c r="N19" s="49">
        <f t="shared" si="10"/>
        <v>0</v>
      </c>
      <c r="O19" s="25"/>
      <c r="P19" s="48">
        <v>0.375</v>
      </c>
      <c r="Q19" s="48">
        <v>0.70833333333333337</v>
      </c>
      <c r="R19" s="49">
        <f t="shared" si="11"/>
        <v>8</v>
      </c>
      <c r="S19" s="25"/>
      <c r="T19" s="48"/>
      <c r="U19" s="48"/>
      <c r="V19" s="49">
        <f t="shared" si="12"/>
        <v>0</v>
      </c>
      <c r="W19" s="25"/>
      <c r="X19" s="48"/>
      <c r="Y19" s="48"/>
      <c r="Z19" s="49">
        <f t="shared" si="13"/>
        <v>0</v>
      </c>
      <c r="AA19" s="25"/>
      <c r="AB19" s="48"/>
      <c r="AC19" s="48"/>
      <c r="AD19" s="49">
        <f t="shared" si="14"/>
        <v>0</v>
      </c>
      <c r="AE19" s="25"/>
      <c r="AF19" s="29">
        <f t="shared" si="15"/>
        <v>8</v>
      </c>
    </row>
    <row r="20" spans="1:33" s="3" customFormat="1" ht="27">
      <c r="B20" s="13" t="s">
        <v>572</v>
      </c>
      <c r="C20" s="13" t="s">
        <v>575</v>
      </c>
      <c r="D20" s="48"/>
      <c r="E20" s="48"/>
      <c r="F20" s="85">
        <f t="shared" si="8"/>
        <v>0</v>
      </c>
      <c r="G20" s="25"/>
      <c r="H20" s="48"/>
      <c r="I20" s="48"/>
      <c r="J20" s="49">
        <f t="shared" si="9"/>
        <v>0</v>
      </c>
      <c r="K20" s="25"/>
      <c r="L20" s="48"/>
      <c r="M20" s="48"/>
      <c r="N20" s="49">
        <f t="shared" si="10"/>
        <v>0</v>
      </c>
      <c r="O20" s="25"/>
      <c r="P20" s="48">
        <v>0.375</v>
      </c>
      <c r="Q20" s="48">
        <v>0.70833333333333337</v>
      </c>
      <c r="R20" s="49">
        <f t="shared" si="11"/>
        <v>8</v>
      </c>
      <c r="S20" s="25"/>
      <c r="T20" s="48"/>
      <c r="U20" s="48"/>
      <c r="V20" s="49">
        <f t="shared" si="12"/>
        <v>0</v>
      </c>
      <c r="W20" s="25"/>
      <c r="X20" s="48"/>
      <c r="Y20" s="48"/>
      <c r="Z20" s="49">
        <f t="shared" si="13"/>
        <v>0</v>
      </c>
      <c r="AA20" s="25"/>
      <c r="AB20" s="48"/>
      <c r="AC20" s="48"/>
      <c r="AD20" s="49">
        <f t="shared" si="14"/>
        <v>0</v>
      </c>
      <c r="AE20" s="25"/>
      <c r="AF20" s="29">
        <f t="shared" si="15"/>
        <v>8</v>
      </c>
    </row>
    <row r="21" spans="1:33" s="1" customFormat="1" ht="13.5" customHeight="1">
      <c r="A21" s="8"/>
      <c r="B21" s="63" t="s">
        <v>61</v>
      </c>
      <c r="C21" s="63"/>
      <c r="D21" s="63"/>
      <c r="E21" s="63"/>
      <c r="F21" s="86">
        <f>SUM(F16:F20)</f>
        <v>0</v>
      </c>
      <c r="G21" s="63"/>
      <c r="H21" s="63"/>
      <c r="I21" s="63"/>
      <c r="J21" s="86">
        <f>SUM(J16:J20)</f>
        <v>0</v>
      </c>
      <c r="K21" s="63"/>
      <c r="L21" s="63"/>
      <c r="M21" s="63"/>
      <c r="N21" s="86">
        <f>SUM(N16:N20)</f>
        <v>9</v>
      </c>
      <c r="O21" s="63"/>
      <c r="P21" s="63"/>
      <c r="Q21" s="63"/>
      <c r="R21" s="86">
        <f>SUM(R16:R20)</f>
        <v>16</v>
      </c>
      <c r="S21" s="63"/>
      <c r="T21" s="63"/>
      <c r="U21" s="63"/>
      <c r="V21" s="86">
        <f>SUM(V16:V20)</f>
        <v>0</v>
      </c>
      <c r="W21" s="63"/>
      <c r="X21" s="63"/>
      <c r="Y21" s="63"/>
      <c r="Z21" s="86">
        <f>SUM(Z16:Z20)</f>
        <v>0</v>
      </c>
      <c r="AA21" s="63"/>
      <c r="AB21" s="63"/>
      <c r="AC21" s="63"/>
      <c r="AD21" s="82">
        <f>SUM(AD16:AD20)</f>
        <v>0</v>
      </c>
      <c r="AE21" s="46"/>
      <c r="AF21" s="30">
        <f>SUM(AF17:AF20)</f>
        <v>25</v>
      </c>
      <c r="AG21" s="25"/>
    </row>
    <row r="22" spans="1:33" s="1" customFormat="1" ht="13.5" customHeight="1">
      <c r="A22" s="8"/>
      <c r="B22" s="31" t="s">
        <v>577</v>
      </c>
      <c r="C22" s="31"/>
      <c r="D22" s="83"/>
      <c r="E22" s="91"/>
      <c r="F22" s="90"/>
      <c r="G22" s="91"/>
      <c r="H22" s="91"/>
      <c r="I22" s="91"/>
      <c r="J22" s="90"/>
      <c r="K22" s="91"/>
      <c r="L22" s="91"/>
      <c r="M22" s="91"/>
      <c r="N22" s="90">
        <v>3</v>
      </c>
      <c r="O22" s="91"/>
      <c r="P22" s="91"/>
      <c r="Q22" s="91"/>
      <c r="R22" s="90">
        <v>6</v>
      </c>
      <c r="S22" s="91"/>
      <c r="T22" s="91"/>
      <c r="U22" s="91"/>
      <c r="V22" s="90"/>
      <c r="W22" s="91"/>
      <c r="X22" s="91"/>
      <c r="Y22" s="91"/>
      <c r="Z22" s="90"/>
      <c r="AA22" s="91"/>
      <c r="AB22" s="91"/>
      <c r="AC22" s="91"/>
      <c r="AD22" s="91"/>
      <c r="AE22" s="45"/>
      <c r="AF22" s="28">
        <f>SUM(C22:AE22)</f>
        <v>9</v>
      </c>
      <c r="AG22" s="25"/>
    </row>
    <row r="23" spans="1:33" s="1" customFormat="1" ht="13.5" customHeight="1">
      <c r="A23" s="8"/>
      <c r="B23" s="31" t="s">
        <v>578</v>
      </c>
      <c r="C23" s="31"/>
      <c r="D23" s="83"/>
      <c r="E23" s="91"/>
      <c r="F23" s="90"/>
      <c r="G23" s="91"/>
      <c r="H23" s="91"/>
      <c r="I23" s="91"/>
      <c r="J23" s="90"/>
      <c r="K23" s="91"/>
      <c r="L23" s="91"/>
      <c r="M23" s="91"/>
      <c r="N23" s="90"/>
      <c r="O23" s="91"/>
      <c r="P23" s="91"/>
      <c r="Q23" s="91"/>
      <c r="R23" s="90"/>
      <c r="S23" s="91"/>
      <c r="T23" s="91"/>
      <c r="U23" s="91"/>
      <c r="V23" s="90"/>
      <c r="W23" s="91"/>
      <c r="X23" s="91"/>
      <c r="Y23" s="91"/>
      <c r="Z23" s="90"/>
      <c r="AA23" s="91"/>
      <c r="AB23" s="91"/>
      <c r="AC23" s="91"/>
      <c r="AD23" s="91"/>
      <c r="AE23" s="45"/>
      <c r="AF23" s="28">
        <f>SUM(E23:AD23)</f>
        <v>0</v>
      </c>
      <c r="AG23" s="25"/>
    </row>
    <row r="24" spans="1:33" s="1" customFormat="1" ht="13.5" customHeight="1" thickBot="1">
      <c r="A24" s="8"/>
      <c r="B24" s="74" t="s">
        <v>579</v>
      </c>
      <c r="C24" s="74"/>
      <c r="D24" s="95"/>
      <c r="E24" s="95"/>
      <c r="F24" s="96"/>
      <c r="G24" s="95"/>
      <c r="H24" s="95"/>
      <c r="I24" s="95"/>
      <c r="J24" s="96"/>
      <c r="K24" s="95"/>
      <c r="L24" s="95"/>
      <c r="M24" s="95"/>
      <c r="N24" s="96"/>
      <c r="O24" s="95"/>
      <c r="P24" s="95"/>
      <c r="Q24" s="95"/>
      <c r="R24" s="96"/>
      <c r="S24" s="95"/>
      <c r="T24" s="95"/>
      <c r="U24" s="95"/>
      <c r="V24" s="96"/>
      <c r="W24" s="97"/>
      <c r="X24" s="97"/>
      <c r="Y24" s="97"/>
      <c r="Z24" s="96"/>
      <c r="AA24" s="97"/>
      <c r="AB24" s="97"/>
      <c r="AC24" s="97"/>
      <c r="AD24" s="97"/>
      <c r="AE24" s="94"/>
      <c r="AF24" s="80">
        <f>SUM(D24:AD24)</f>
        <v>0</v>
      </c>
      <c r="AG24" s="25"/>
    </row>
    <row r="25" spans="1:33" s="1" customFormat="1" ht="14.25" thickTop="1">
      <c r="B25" s="71" t="s">
        <v>66</v>
      </c>
      <c r="C25" s="3"/>
      <c r="D25" s="3"/>
      <c r="E25" s="3"/>
      <c r="F25" s="88">
        <f>SUM(F22:F24)</f>
        <v>0</v>
      </c>
      <c r="G25" s="3"/>
      <c r="H25" s="3"/>
      <c r="I25" s="3"/>
      <c r="J25" s="88">
        <f>SUM(J22:J24)</f>
        <v>0</v>
      </c>
      <c r="K25" s="3"/>
      <c r="L25" s="3"/>
      <c r="M25" s="3"/>
      <c r="N25" s="88">
        <f>SUM(N22:N24)</f>
        <v>3</v>
      </c>
      <c r="O25" s="3"/>
      <c r="P25" s="3"/>
      <c r="Q25" s="3"/>
      <c r="R25" s="88">
        <f>SUM(R22:R24)</f>
        <v>6</v>
      </c>
      <c r="S25" s="3"/>
      <c r="T25" s="3"/>
      <c r="U25" s="3"/>
      <c r="V25" s="88">
        <f>SUM(V22:V24)</f>
        <v>0</v>
      </c>
      <c r="W25" s="3"/>
      <c r="X25" s="3"/>
      <c r="Y25" s="3"/>
      <c r="Z25" s="88">
        <f>SUM(Z22:Z24)</f>
        <v>0</v>
      </c>
      <c r="AA25" s="3"/>
      <c r="AB25" s="3"/>
      <c r="AC25" s="3"/>
      <c r="AD25" s="67">
        <f>SUM(AD22:AD24)</f>
        <v>0</v>
      </c>
      <c r="AE25" s="3"/>
      <c r="AF25" s="98">
        <f>SUM(F25:AD25)</f>
        <v>9</v>
      </c>
      <c r="AG25" s="3"/>
    </row>
    <row r="26" spans="1:33" s="3" customFormat="1">
      <c r="B26" s="1518" t="s">
        <v>18</v>
      </c>
      <c r="C26" s="1552" t="s">
        <v>571</v>
      </c>
      <c r="D26" s="1524">
        <v>45061</v>
      </c>
      <c r="E26" s="1524"/>
      <c r="F26" s="1524"/>
      <c r="G26" s="22"/>
      <c r="H26" s="1524">
        <f>D26+1</f>
        <v>45062</v>
      </c>
      <c r="I26" s="1524"/>
      <c r="J26" s="1524"/>
      <c r="K26" s="22"/>
      <c r="L26" s="1524">
        <f>H26+1</f>
        <v>45063</v>
      </c>
      <c r="M26" s="1524"/>
      <c r="N26" s="1524"/>
      <c r="P26" s="1524">
        <f>L26+1</f>
        <v>45064</v>
      </c>
      <c r="Q26" s="1524"/>
      <c r="R26" s="1524"/>
      <c r="T26" s="1524">
        <f>P26+1</f>
        <v>45065</v>
      </c>
      <c r="U26" s="1524"/>
      <c r="V26" s="1524"/>
      <c r="W26" s="22"/>
      <c r="X26" s="1524">
        <f>T26+1</f>
        <v>45066</v>
      </c>
      <c r="Y26" s="1524"/>
      <c r="Z26" s="1524"/>
      <c r="AB26" s="1524">
        <f>X26+1</f>
        <v>45067</v>
      </c>
      <c r="AC26" s="1524"/>
      <c r="AD26" s="1524"/>
      <c r="AE26" s="22"/>
      <c r="AF26" s="1517" t="s">
        <v>19</v>
      </c>
    </row>
    <row r="27" spans="1:33" s="3" customFormat="1" ht="14.25">
      <c r="B27" s="1518"/>
      <c r="C27" s="1552"/>
      <c r="D27" s="21" t="s">
        <v>23</v>
      </c>
      <c r="E27" s="21" t="s">
        <v>24</v>
      </c>
      <c r="F27" s="62" t="s">
        <v>25</v>
      </c>
      <c r="G27" s="23"/>
      <c r="H27" s="21" t="s">
        <v>23</v>
      </c>
      <c r="I27" s="21" t="s">
        <v>24</v>
      </c>
      <c r="J27" s="18" t="s">
        <v>25</v>
      </c>
      <c r="K27" s="23"/>
      <c r="L27" s="21" t="s">
        <v>23</v>
      </c>
      <c r="M27" s="21" t="s">
        <v>24</v>
      </c>
      <c r="N27" s="18" t="s">
        <v>25</v>
      </c>
      <c r="O27" s="23"/>
      <c r="P27" s="21" t="s">
        <v>23</v>
      </c>
      <c r="Q27" s="21" t="s">
        <v>24</v>
      </c>
      <c r="R27" s="18" t="s">
        <v>25</v>
      </c>
      <c r="S27" s="23"/>
      <c r="T27" s="21" t="s">
        <v>23</v>
      </c>
      <c r="U27" s="21" t="s">
        <v>24</v>
      </c>
      <c r="V27" s="18" t="s">
        <v>25</v>
      </c>
      <c r="W27" s="23"/>
      <c r="X27" s="21" t="s">
        <v>23</v>
      </c>
      <c r="Y27" s="21" t="s">
        <v>24</v>
      </c>
      <c r="Z27" s="18" t="s">
        <v>25</v>
      </c>
      <c r="AA27" s="23"/>
      <c r="AB27" s="21" t="s">
        <v>23</v>
      </c>
      <c r="AC27" s="21" t="s">
        <v>24</v>
      </c>
      <c r="AD27" s="18" t="s">
        <v>25</v>
      </c>
      <c r="AE27" s="23"/>
      <c r="AF27" s="1523"/>
      <c r="AG27" s="5"/>
    </row>
    <row r="28" spans="1:33" s="3" customFormat="1" ht="27">
      <c r="B28" s="13" t="s">
        <v>582</v>
      </c>
      <c r="C28" s="13" t="s">
        <v>583</v>
      </c>
      <c r="D28" s="48">
        <v>0.375</v>
      </c>
      <c r="E28" s="48">
        <v>0.70833333333333337</v>
      </c>
      <c r="F28" s="85">
        <f>(E28-D28)*24</f>
        <v>8</v>
      </c>
      <c r="G28" s="24"/>
      <c r="H28" s="48">
        <v>0.375</v>
      </c>
      <c r="I28" s="48">
        <v>0.70833333333333337</v>
      </c>
      <c r="J28" s="49">
        <f>(I28-H28)*24</f>
        <v>8</v>
      </c>
      <c r="K28" s="24"/>
      <c r="L28" s="48">
        <v>0.375</v>
      </c>
      <c r="M28" s="48">
        <v>0.70833333333333337</v>
      </c>
      <c r="N28" s="49">
        <f>(M28-L28)*24</f>
        <v>8</v>
      </c>
      <c r="O28" s="24"/>
      <c r="P28" s="48">
        <v>0.375</v>
      </c>
      <c r="Q28" s="48">
        <v>0.70833333333333337</v>
      </c>
      <c r="R28" s="49">
        <f>(Q28-P28)*24</f>
        <v>8</v>
      </c>
      <c r="S28" s="24"/>
      <c r="T28" s="48">
        <v>0.375</v>
      </c>
      <c r="U28" s="48">
        <v>0.70833333333333337</v>
      </c>
      <c r="V28" s="49">
        <f>(U28-T28)*24</f>
        <v>8</v>
      </c>
      <c r="W28" s="24"/>
      <c r="X28" s="48"/>
      <c r="Y28" s="48"/>
      <c r="Z28" s="49">
        <f>(Y28-X28)*24</f>
        <v>0</v>
      </c>
      <c r="AA28" s="24"/>
      <c r="AB28" s="48"/>
      <c r="AC28" s="48"/>
      <c r="AD28" s="49">
        <f>(AC28-AB28)*24</f>
        <v>0</v>
      </c>
      <c r="AE28" s="24"/>
      <c r="AF28" s="29">
        <f>J28+F28+N28+R28+V28+Z28+AD28</f>
        <v>40</v>
      </c>
      <c r="AG28" s="5"/>
    </row>
    <row r="29" spans="1:33" s="3" customFormat="1" ht="27">
      <c r="B29" s="13" t="s">
        <v>37</v>
      </c>
      <c r="C29" s="13" t="s">
        <v>583</v>
      </c>
      <c r="D29" s="48">
        <v>0.375</v>
      </c>
      <c r="E29" s="48">
        <v>0.70833333333333337</v>
      </c>
      <c r="F29" s="85">
        <f t="shared" ref="F29:F33" si="16">(E29-D29)*24</f>
        <v>8</v>
      </c>
      <c r="G29" s="24"/>
      <c r="H29" s="48">
        <v>0.375</v>
      </c>
      <c r="I29" s="48">
        <v>0.70833333333333337</v>
      </c>
      <c r="J29" s="49">
        <f t="shared" ref="J29:J33" si="17">(I29-H29)*24</f>
        <v>8</v>
      </c>
      <c r="K29" s="24"/>
      <c r="L29" s="48">
        <v>0.375</v>
      </c>
      <c r="M29" s="48">
        <v>0.70833333333333337</v>
      </c>
      <c r="N29" s="49">
        <f t="shared" ref="N29:N33" si="18">(M29-L29)*24</f>
        <v>8</v>
      </c>
      <c r="O29" s="24"/>
      <c r="P29" s="48">
        <v>0.375</v>
      </c>
      <c r="Q29" s="48">
        <v>0.70833333333333337</v>
      </c>
      <c r="R29" s="49">
        <f t="shared" ref="R29:R33" si="19">(Q29-P29)*24</f>
        <v>8</v>
      </c>
      <c r="S29" s="24"/>
      <c r="T29" s="48">
        <v>0.375</v>
      </c>
      <c r="U29" s="48">
        <v>0.70833333333333337</v>
      </c>
      <c r="V29" s="49">
        <f t="shared" ref="V29:V33" si="20">(U29-T29)*24</f>
        <v>8</v>
      </c>
      <c r="W29" s="24"/>
      <c r="X29" s="48"/>
      <c r="Y29" s="48"/>
      <c r="Z29" s="49">
        <f t="shared" ref="Z29:Z33" si="21">(Y29-X29)*24</f>
        <v>0</v>
      </c>
      <c r="AA29" s="24"/>
      <c r="AB29" s="48"/>
      <c r="AC29" s="48"/>
      <c r="AD29" s="49">
        <f t="shared" ref="AD29:AD33" si="22">(AC29-AB29)*24</f>
        <v>0</v>
      </c>
      <c r="AE29" s="24"/>
      <c r="AF29" s="29">
        <f t="shared" ref="AF29:AF31" si="23">J29+F29+N29+R29+V29+Z29+AD29</f>
        <v>40</v>
      </c>
      <c r="AG29" s="5"/>
    </row>
    <row r="30" spans="1:33" s="3" customFormat="1" ht="27">
      <c r="B30" s="13" t="s">
        <v>576</v>
      </c>
      <c r="C30" s="13" t="s">
        <v>583</v>
      </c>
      <c r="D30" s="48">
        <v>0.375</v>
      </c>
      <c r="E30" s="48">
        <v>0.70833333333333337</v>
      </c>
      <c r="F30" s="85">
        <f t="shared" si="16"/>
        <v>8</v>
      </c>
      <c r="G30" s="24"/>
      <c r="H30" s="48">
        <v>0.375</v>
      </c>
      <c r="I30" s="48">
        <v>0.70833333333333337</v>
      </c>
      <c r="J30" s="49">
        <f t="shared" si="17"/>
        <v>8</v>
      </c>
      <c r="K30" s="24"/>
      <c r="L30" s="48">
        <v>0.375</v>
      </c>
      <c r="M30" s="48">
        <v>0.70833333333333337</v>
      </c>
      <c r="N30" s="49">
        <f t="shared" si="18"/>
        <v>8</v>
      </c>
      <c r="O30" s="24"/>
      <c r="P30" s="48">
        <v>0.375</v>
      </c>
      <c r="Q30" s="48">
        <v>0.70833333333333337</v>
      </c>
      <c r="R30" s="49">
        <f t="shared" si="19"/>
        <v>8</v>
      </c>
      <c r="S30" s="24"/>
      <c r="T30" s="48">
        <v>0.375</v>
      </c>
      <c r="U30" s="48">
        <v>0.70833333333333337</v>
      </c>
      <c r="V30" s="49">
        <f t="shared" si="20"/>
        <v>8</v>
      </c>
      <c r="W30" s="24"/>
      <c r="X30" s="48"/>
      <c r="Y30" s="48"/>
      <c r="Z30" s="49">
        <f t="shared" si="21"/>
        <v>0</v>
      </c>
      <c r="AA30" s="24"/>
      <c r="AB30" s="48"/>
      <c r="AC30" s="48"/>
      <c r="AD30" s="49">
        <f t="shared" si="22"/>
        <v>0</v>
      </c>
      <c r="AE30" s="24"/>
      <c r="AF30" s="29">
        <f t="shared" si="23"/>
        <v>40</v>
      </c>
      <c r="AG30" s="5"/>
    </row>
    <row r="31" spans="1:33" s="3" customFormat="1" ht="14.25">
      <c r="B31" s="13" t="s">
        <v>572</v>
      </c>
      <c r="C31" s="13" t="s">
        <v>584</v>
      </c>
      <c r="D31" s="48"/>
      <c r="E31" s="48"/>
      <c r="F31" s="85">
        <f t="shared" si="16"/>
        <v>0</v>
      </c>
      <c r="G31" s="25"/>
      <c r="H31" s="48">
        <v>0.375</v>
      </c>
      <c r="I31" s="48">
        <v>0.54166666666666663</v>
      </c>
      <c r="J31" s="49">
        <f t="shared" si="17"/>
        <v>3.9999999999999991</v>
      </c>
      <c r="K31" s="25"/>
      <c r="L31" s="48"/>
      <c r="M31" s="48"/>
      <c r="N31" s="49">
        <f t="shared" si="18"/>
        <v>0</v>
      </c>
      <c r="O31" s="25"/>
      <c r="P31" s="48"/>
      <c r="Q31" s="48"/>
      <c r="R31" s="49">
        <f t="shared" si="19"/>
        <v>0</v>
      </c>
      <c r="S31" s="25"/>
      <c r="T31" s="48"/>
      <c r="U31" s="48"/>
      <c r="V31" s="49">
        <f t="shared" si="20"/>
        <v>0</v>
      </c>
      <c r="W31" s="25"/>
      <c r="X31" s="48"/>
      <c r="Y31" s="48"/>
      <c r="Z31" s="49">
        <f t="shared" si="21"/>
        <v>0</v>
      </c>
      <c r="AA31" s="25"/>
      <c r="AB31" s="48"/>
      <c r="AC31" s="48"/>
      <c r="AD31" s="49">
        <f t="shared" si="22"/>
        <v>0</v>
      </c>
      <c r="AE31" s="25"/>
      <c r="AF31" s="29">
        <f t="shared" si="23"/>
        <v>3.9999999999999991</v>
      </c>
    </row>
    <row r="32" spans="1:33" s="3" customFormat="1" ht="27">
      <c r="B32" s="13" t="s">
        <v>572</v>
      </c>
      <c r="C32" s="13" t="s">
        <v>585</v>
      </c>
      <c r="D32" s="48"/>
      <c r="E32" s="48"/>
      <c r="F32" s="85">
        <f t="shared" si="16"/>
        <v>0</v>
      </c>
      <c r="G32" s="25"/>
      <c r="H32" s="48"/>
      <c r="I32" s="48"/>
      <c r="J32" s="49">
        <f t="shared" si="17"/>
        <v>0</v>
      </c>
      <c r="K32" s="25"/>
      <c r="L32" s="48">
        <v>0.41666666666666669</v>
      </c>
      <c r="M32" s="48">
        <v>0.6875</v>
      </c>
      <c r="N32" s="49">
        <f t="shared" si="18"/>
        <v>6.5</v>
      </c>
      <c r="O32" s="25"/>
      <c r="P32" s="48"/>
      <c r="Q32" s="48"/>
      <c r="R32" s="49">
        <f t="shared" si="19"/>
        <v>0</v>
      </c>
      <c r="S32" s="25"/>
      <c r="T32" s="48"/>
      <c r="U32" s="48"/>
      <c r="V32" s="49">
        <f t="shared" si="20"/>
        <v>0</v>
      </c>
      <c r="W32" s="25"/>
      <c r="X32" s="48"/>
      <c r="Y32" s="48"/>
      <c r="Z32" s="49">
        <f t="shared" si="21"/>
        <v>0</v>
      </c>
      <c r="AA32" s="25"/>
      <c r="AB32" s="48"/>
      <c r="AC32" s="48"/>
      <c r="AD32" s="49">
        <f t="shared" si="22"/>
        <v>0</v>
      </c>
      <c r="AE32" s="25"/>
      <c r="AF32" s="29">
        <f t="shared" ref="AF32:AF33" si="24">J32+F32+N32+R32+V32+Z32+AD32</f>
        <v>6.5</v>
      </c>
    </row>
    <row r="33" spans="1:33" s="3" customFormat="1" ht="14.25">
      <c r="B33" s="13" t="s">
        <v>572</v>
      </c>
      <c r="C33" s="13" t="s">
        <v>586</v>
      </c>
      <c r="D33" s="48"/>
      <c r="E33" s="48"/>
      <c r="F33" s="85">
        <f t="shared" si="16"/>
        <v>0</v>
      </c>
      <c r="G33" s="25"/>
      <c r="H33" s="48"/>
      <c r="I33" s="48"/>
      <c r="J33" s="49">
        <f t="shared" si="17"/>
        <v>0</v>
      </c>
      <c r="K33" s="25"/>
      <c r="L33" s="48"/>
      <c r="M33" s="48"/>
      <c r="N33" s="49">
        <f t="shared" si="18"/>
        <v>0</v>
      </c>
      <c r="O33" s="25"/>
      <c r="P33" s="48"/>
      <c r="Q33" s="48"/>
      <c r="R33" s="49">
        <f t="shared" si="19"/>
        <v>0</v>
      </c>
      <c r="S33" s="25"/>
      <c r="T33" s="48">
        <v>0.66666666666666663</v>
      </c>
      <c r="U33" s="48">
        <v>0.70833333333333337</v>
      </c>
      <c r="V33" s="49">
        <f t="shared" si="20"/>
        <v>1.0000000000000018</v>
      </c>
      <c r="W33" s="25"/>
      <c r="X33" s="48"/>
      <c r="Y33" s="48"/>
      <c r="Z33" s="49">
        <f t="shared" si="21"/>
        <v>0</v>
      </c>
      <c r="AA33" s="25"/>
      <c r="AB33" s="48">
        <v>0.66666666666666663</v>
      </c>
      <c r="AC33" s="48">
        <v>0.70833333333333337</v>
      </c>
      <c r="AD33" s="49">
        <f t="shared" si="22"/>
        <v>1.0000000000000018</v>
      </c>
      <c r="AE33" s="25"/>
      <c r="AF33" s="29">
        <f t="shared" si="24"/>
        <v>2.0000000000000036</v>
      </c>
    </row>
    <row r="34" spans="1:33" s="1" customFormat="1" ht="13.5" customHeight="1">
      <c r="A34" s="8"/>
      <c r="B34" s="63" t="s">
        <v>61</v>
      </c>
      <c r="C34" s="63"/>
      <c r="D34" s="63"/>
      <c r="E34" s="63"/>
      <c r="F34" s="86">
        <f>SUM(F28:F33)</f>
        <v>24</v>
      </c>
      <c r="G34" s="63"/>
      <c r="H34" s="63"/>
      <c r="I34" s="63"/>
      <c r="J34" s="86">
        <f>SUM(J28:J33)</f>
        <v>28</v>
      </c>
      <c r="K34" s="63"/>
      <c r="L34" s="63"/>
      <c r="M34" s="63"/>
      <c r="N34" s="86">
        <f>SUM(N28:N33)</f>
        <v>30.5</v>
      </c>
      <c r="O34" s="63"/>
      <c r="P34" s="63"/>
      <c r="Q34" s="63"/>
      <c r="R34" s="86">
        <f>SUM(R28:R33)</f>
        <v>24</v>
      </c>
      <c r="S34" s="63"/>
      <c r="T34" s="63"/>
      <c r="U34" s="63"/>
      <c r="V34" s="86">
        <f>SUM(V28:V33)</f>
        <v>25</v>
      </c>
      <c r="W34" s="63"/>
      <c r="X34" s="63"/>
      <c r="Y34" s="63"/>
      <c r="Z34" s="86">
        <f>SUM(Z28:Z33)</f>
        <v>0</v>
      </c>
      <c r="AA34" s="63"/>
      <c r="AB34" s="63"/>
      <c r="AC34" s="63"/>
      <c r="AD34" s="86">
        <f>SUM(AD28:AD33)</f>
        <v>1.0000000000000018</v>
      </c>
      <c r="AE34" s="46"/>
      <c r="AF34" s="30">
        <f>SUM(AF28:AF33)</f>
        <v>132.5</v>
      </c>
      <c r="AG34" s="25"/>
    </row>
    <row r="35" spans="1:33" s="1" customFormat="1" ht="13.5" customHeight="1">
      <c r="A35" s="8"/>
      <c r="B35" s="31" t="s">
        <v>577</v>
      </c>
      <c r="C35" s="31"/>
      <c r="D35" s="83"/>
      <c r="E35" s="83"/>
      <c r="F35" s="87">
        <v>8</v>
      </c>
      <c r="G35" s="83"/>
      <c r="H35" s="83"/>
      <c r="I35" s="83"/>
      <c r="J35" s="87">
        <v>8</v>
      </c>
      <c r="K35" s="83"/>
      <c r="L35" s="83"/>
      <c r="M35" s="83"/>
      <c r="N35" s="87">
        <v>8</v>
      </c>
      <c r="O35" s="83"/>
      <c r="P35" s="83"/>
      <c r="Q35" s="83"/>
      <c r="R35" s="87">
        <v>8</v>
      </c>
      <c r="S35" s="83"/>
      <c r="T35" s="83"/>
      <c r="U35" s="83"/>
      <c r="V35" s="87">
        <v>8</v>
      </c>
      <c r="W35" s="83"/>
      <c r="X35" s="83"/>
      <c r="Y35" s="83"/>
      <c r="Z35" s="87"/>
      <c r="AA35" s="83"/>
      <c r="AB35" s="83"/>
      <c r="AC35" s="83"/>
      <c r="AD35" s="83">
        <v>1</v>
      </c>
      <c r="AE35" s="45"/>
      <c r="AF35" s="28">
        <f>SUM(C35:AE35)</f>
        <v>41</v>
      </c>
      <c r="AG35" s="25"/>
    </row>
    <row r="36" spans="1:33" s="1" customFormat="1" ht="13.5" customHeight="1">
      <c r="A36" s="8"/>
      <c r="B36" s="31" t="s">
        <v>578</v>
      </c>
      <c r="C36" s="31"/>
      <c r="D36" s="83"/>
      <c r="E36" s="83"/>
      <c r="F36" s="87"/>
      <c r="G36" s="83"/>
      <c r="H36" s="83"/>
      <c r="I36" s="83"/>
      <c r="J36" s="87"/>
      <c r="K36" s="83"/>
      <c r="L36" s="83"/>
      <c r="M36" s="83"/>
      <c r="N36" s="87"/>
      <c r="O36" s="83"/>
      <c r="P36" s="83"/>
      <c r="Q36" s="83"/>
      <c r="R36" s="87"/>
      <c r="S36" s="83"/>
      <c r="T36" s="83"/>
      <c r="U36" s="83"/>
      <c r="V36" s="87"/>
      <c r="W36" s="83"/>
      <c r="X36" s="83"/>
      <c r="Y36" s="83"/>
      <c r="Z36" s="87"/>
      <c r="AA36" s="83"/>
      <c r="AB36" s="83"/>
      <c r="AC36" s="83"/>
      <c r="AD36" s="83"/>
      <c r="AE36" s="45"/>
      <c r="AF36" s="28">
        <f>SUM(D36:AD36)</f>
        <v>0</v>
      </c>
      <c r="AG36" s="25"/>
    </row>
    <row r="37" spans="1:33" s="1" customFormat="1" ht="13.5" customHeight="1" thickBot="1">
      <c r="A37" s="8"/>
      <c r="B37" s="74" t="s">
        <v>579</v>
      </c>
      <c r="C37" s="74"/>
      <c r="D37" s="92"/>
      <c r="E37" s="92"/>
      <c r="F37" s="93"/>
      <c r="G37" s="92"/>
      <c r="H37" s="92"/>
      <c r="I37" s="92"/>
      <c r="J37" s="93"/>
      <c r="K37" s="92"/>
      <c r="L37" s="92"/>
      <c r="M37" s="92"/>
      <c r="N37" s="93"/>
      <c r="O37" s="92"/>
      <c r="P37" s="92"/>
      <c r="Q37" s="92"/>
      <c r="R37" s="93"/>
      <c r="S37" s="92"/>
      <c r="T37" s="92"/>
      <c r="U37" s="92"/>
      <c r="V37" s="93"/>
      <c r="W37" s="94"/>
      <c r="X37" s="94"/>
      <c r="Y37" s="94"/>
      <c r="Z37" s="93"/>
      <c r="AA37" s="94"/>
      <c r="AB37" s="94"/>
      <c r="AC37" s="94"/>
      <c r="AD37" s="94"/>
      <c r="AE37" s="94"/>
      <c r="AF37" s="80">
        <f>SUM(D37:AD37)</f>
        <v>0</v>
      </c>
      <c r="AG37" s="25"/>
    </row>
    <row r="38" spans="1:33" s="1" customFormat="1" ht="14.25" thickTop="1">
      <c r="B38" s="71" t="s">
        <v>66</v>
      </c>
      <c r="C38" s="3"/>
      <c r="D38" s="3"/>
      <c r="E38" s="3"/>
      <c r="F38" s="88">
        <f>SUM(F35:F37)</f>
        <v>8</v>
      </c>
      <c r="G38" s="3"/>
      <c r="H38" s="3"/>
      <c r="I38" s="3"/>
      <c r="J38" s="88">
        <f>SUM(J35:J37)</f>
        <v>8</v>
      </c>
      <c r="K38" s="3"/>
      <c r="L38" s="3"/>
      <c r="M38" s="3"/>
      <c r="N38" s="88">
        <f>SUM(N35:N37)</f>
        <v>8</v>
      </c>
      <c r="O38" s="3"/>
      <c r="P38" s="3"/>
      <c r="Q38" s="3"/>
      <c r="R38" s="88">
        <f>SUM(R35:R37)</f>
        <v>8</v>
      </c>
      <c r="S38" s="3"/>
      <c r="T38" s="3"/>
      <c r="U38" s="3"/>
      <c r="V38" s="88">
        <f>SUM(V35:V37)</f>
        <v>8</v>
      </c>
      <c r="W38" s="3"/>
      <c r="X38" s="3"/>
      <c r="Y38" s="3"/>
      <c r="Z38" s="88">
        <f>SUM(Z35:Z37)</f>
        <v>0</v>
      </c>
      <c r="AA38" s="3"/>
      <c r="AB38" s="3"/>
      <c r="AC38" s="3"/>
      <c r="AD38" s="67">
        <f>SUM(AD35:AD37)</f>
        <v>1</v>
      </c>
      <c r="AE38" s="3"/>
      <c r="AF38" s="98">
        <f>SUM(F38:AD38)</f>
        <v>41</v>
      </c>
      <c r="AG38" s="3"/>
    </row>
    <row r="39" spans="1:33" s="3" customFormat="1">
      <c r="B39" s="1518" t="s">
        <v>18</v>
      </c>
      <c r="C39" s="1552" t="s">
        <v>571</v>
      </c>
      <c r="D39" s="1524">
        <v>45068</v>
      </c>
      <c r="E39" s="1524"/>
      <c r="F39" s="1524"/>
      <c r="G39" s="22"/>
      <c r="H39" s="1524">
        <f>D39+1</f>
        <v>45069</v>
      </c>
      <c r="I39" s="1524"/>
      <c r="J39" s="1524"/>
      <c r="K39" s="22"/>
      <c r="L39" s="1524">
        <f>H39+1</f>
        <v>45070</v>
      </c>
      <c r="M39" s="1524"/>
      <c r="N39" s="1524"/>
      <c r="P39" s="1524">
        <f>L39+1</f>
        <v>45071</v>
      </c>
      <c r="Q39" s="1524"/>
      <c r="R39" s="1524"/>
      <c r="T39" s="1524">
        <f>P39+1</f>
        <v>45072</v>
      </c>
      <c r="U39" s="1524"/>
      <c r="V39" s="1524"/>
      <c r="W39" s="22"/>
      <c r="X39" s="1524">
        <f>T39+1</f>
        <v>45073</v>
      </c>
      <c r="Y39" s="1524"/>
      <c r="Z39" s="1524"/>
      <c r="AB39" s="1524">
        <f>X39+1</f>
        <v>45074</v>
      </c>
      <c r="AC39" s="1524"/>
      <c r="AD39" s="1524"/>
      <c r="AE39" s="22"/>
      <c r="AF39" s="1517" t="s">
        <v>19</v>
      </c>
    </row>
    <row r="40" spans="1:33" s="3" customFormat="1" ht="14.25">
      <c r="B40" s="1518"/>
      <c r="C40" s="1552"/>
      <c r="D40" s="21" t="s">
        <v>23</v>
      </c>
      <c r="E40" s="21" t="s">
        <v>24</v>
      </c>
      <c r="F40" s="62" t="s">
        <v>25</v>
      </c>
      <c r="G40" s="23"/>
      <c r="H40" s="21" t="s">
        <v>23</v>
      </c>
      <c r="I40" s="21" t="s">
        <v>24</v>
      </c>
      <c r="J40" s="18" t="s">
        <v>25</v>
      </c>
      <c r="K40" s="23"/>
      <c r="L40" s="21" t="s">
        <v>23</v>
      </c>
      <c r="M40" s="21" t="s">
        <v>24</v>
      </c>
      <c r="N40" s="18" t="s">
        <v>25</v>
      </c>
      <c r="O40" s="23"/>
      <c r="P40" s="21" t="s">
        <v>23</v>
      </c>
      <c r="Q40" s="21" t="s">
        <v>24</v>
      </c>
      <c r="R40" s="18" t="s">
        <v>25</v>
      </c>
      <c r="S40" s="23"/>
      <c r="T40" s="21" t="s">
        <v>23</v>
      </c>
      <c r="U40" s="21" t="s">
        <v>24</v>
      </c>
      <c r="V40" s="18" t="s">
        <v>25</v>
      </c>
      <c r="W40" s="23"/>
      <c r="X40" s="21" t="s">
        <v>23</v>
      </c>
      <c r="Y40" s="21" t="s">
        <v>24</v>
      </c>
      <c r="Z40" s="18" t="s">
        <v>25</v>
      </c>
      <c r="AA40" s="23"/>
      <c r="AB40" s="21" t="s">
        <v>23</v>
      </c>
      <c r="AC40" s="21" t="s">
        <v>24</v>
      </c>
      <c r="AD40" s="18" t="s">
        <v>25</v>
      </c>
      <c r="AE40" s="23"/>
      <c r="AF40" s="1523"/>
      <c r="AG40" s="5"/>
    </row>
    <row r="41" spans="1:33" s="3" customFormat="1" ht="27">
      <c r="B41" s="13" t="s">
        <v>572</v>
      </c>
      <c r="C41" s="13" t="s">
        <v>587</v>
      </c>
      <c r="D41" s="48">
        <v>0.35416666666666669</v>
      </c>
      <c r="E41" s="48">
        <v>0.41666666666666669</v>
      </c>
      <c r="F41" s="85">
        <f t="shared" ref="F41:F44" si="25">(E41-D41)*24</f>
        <v>1.5</v>
      </c>
      <c r="G41" s="24"/>
      <c r="H41" s="48"/>
      <c r="I41" s="48"/>
      <c r="J41" s="49">
        <f t="shared" ref="J41:J44" si="26">(I41-H41)*24</f>
        <v>0</v>
      </c>
      <c r="K41" s="24"/>
      <c r="L41" s="48"/>
      <c r="M41" s="48"/>
      <c r="N41" s="49">
        <f t="shared" ref="N41:N44" si="27">(M41-L41)*24</f>
        <v>0</v>
      </c>
      <c r="O41" s="24"/>
      <c r="P41" s="48"/>
      <c r="Q41" s="48"/>
      <c r="R41" s="49">
        <f t="shared" ref="R41:R44" si="28">(Q41-P41)*24</f>
        <v>0</v>
      </c>
      <c r="S41" s="24"/>
      <c r="T41" s="48"/>
      <c r="U41" s="48"/>
      <c r="V41" s="49">
        <f t="shared" ref="V41:V44" si="29">(U41-T41)*24</f>
        <v>0</v>
      </c>
      <c r="W41" s="24"/>
      <c r="X41" s="48"/>
      <c r="Y41" s="48"/>
      <c r="Z41" s="49">
        <f t="shared" ref="Z41:Z44" si="30">(Y41-X41)*24</f>
        <v>0</v>
      </c>
      <c r="AA41" s="24"/>
      <c r="AB41" s="48"/>
      <c r="AC41" s="48"/>
      <c r="AD41" s="49">
        <f t="shared" ref="AD41:AD44" si="31">(AC41-AB41)*24</f>
        <v>0</v>
      </c>
      <c r="AE41" s="24"/>
      <c r="AF41" s="29">
        <f>J41+F41+N41+R41+V41+Z41+AD41</f>
        <v>1.5</v>
      </c>
      <c r="AG41" s="5"/>
    </row>
    <row r="42" spans="1:33" s="3" customFormat="1" ht="14.25">
      <c r="B42" s="13" t="s">
        <v>54</v>
      </c>
      <c r="C42" s="13" t="s">
        <v>588</v>
      </c>
      <c r="D42" s="48"/>
      <c r="E42" s="48"/>
      <c r="F42" s="85">
        <f t="shared" si="25"/>
        <v>0</v>
      </c>
      <c r="G42" s="25"/>
      <c r="H42" s="48">
        <v>0.375</v>
      </c>
      <c r="I42" s="48">
        <v>0.70833333333333337</v>
      </c>
      <c r="J42" s="49">
        <f t="shared" si="26"/>
        <v>8</v>
      </c>
      <c r="K42" s="25"/>
      <c r="L42" s="48"/>
      <c r="M42" s="48"/>
      <c r="N42" s="49">
        <f t="shared" si="27"/>
        <v>0</v>
      </c>
      <c r="O42" s="25"/>
      <c r="P42" s="48"/>
      <c r="Q42" s="48"/>
      <c r="R42" s="49">
        <f t="shared" si="28"/>
        <v>0</v>
      </c>
      <c r="S42" s="25"/>
      <c r="T42" s="48"/>
      <c r="U42" s="48"/>
      <c r="V42" s="49">
        <f t="shared" si="29"/>
        <v>0</v>
      </c>
      <c r="W42" s="25"/>
      <c r="X42" s="48"/>
      <c r="Y42" s="48"/>
      <c r="Z42" s="49">
        <f t="shared" si="30"/>
        <v>0</v>
      </c>
      <c r="AA42" s="25"/>
      <c r="AB42" s="48"/>
      <c r="AC42" s="48"/>
      <c r="AD42" s="49">
        <f t="shared" si="31"/>
        <v>0</v>
      </c>
      <c r="AE42" s="25"/>
      <c r="AF42" s="29">
        <f t="shared" ref="AF42:AF44" si="32">J42+F42+N42+R42+V42+Z42+AD42</f>
        <v>8</v>
      </c>
    </row>
    <row r="43" spans="1:33" s="3" customFormat="1" ht="14.25">
      <c r="B43" s="13" t="s">
        <v>572</v>
      </c>
      <c r="C43" s="13" t="s">
        <v>588</v>
      </c>
      <c r="D43" s="48"/>
      <c r="E43" s="48"/>
      <c r="F43" s="85">
        <f t="shared" si="25"/>
        <v>0</v>
      </c>
      <c r="G43" s="25"/>
      <c r="H43" s="48">
        <v>0.375</v>
      </c>
      <c r="I43" s="48">
        <v>0.70833333333333337</v>
      </c>
      <c r="J43" s="49">
        <f t="shared" si="26"/>
        <v>8</v>
      </c>
      <c r="K43" s="25"/>
      <c r="L43" s="48"/>
      <c r="M43" s="48"/>
      <c r="N43" s="49">
        <f t="shared" si="27"/>
        <v>0</v>
      </c>
      <c r="O43" s="25"/>
      <c r="P43" s="48"/>
      <c r="Q43" s="48"/>
      <c r="R43" s="49">
        <f t="shared" si="28"/>
        <v>0</v>
      </c>
      <c r="S43" s="25"/>
      <c r="T43" s="48"/>
      <c r="U43" s="48"/>
      <c r="V43" s="49">
        <f t="shared" si="29"/>
        <v>0</v>
      </c>
      <c r="W43" s="25"/>
      <c r="X43" s="48"/>
      <c r="Y43" s="48"/>
      <c r="Z43" s="49">
        <f t="shared" si="30"/>
        <v>0</v>
      </c>
      <c r="AA43" s="25"/>
      <c r="AB43" s="48"/>
      <c r="AC43" s="48"/>
      <c r="AD43" s="49">
        <f t="shared" si="31"/>
        <v>0</v>
      </c>
      <c r="AE43" s="25"/>
      <c r="AF43" s="29">
        <f t="shared" si="32"/>
        <v>8</v>
      </c>
    </row>
    <row r="44" spans="1:33" s="3" customFormat="1" ht="27">
      <c r="B44" s="13" t="s">
        <v>54</v>
      </c>
      <c r="C44" s="13" t="s">
        <v>589</v>
      </c>
      <c r="D44" s="48"/>
      <c r="E44" s="48"/>
      <c r="F44" s="85">
        <f t="shared" si="25"/>
        <v>0</v>
      </c>
      <c r="G44" s="25"/>
      <c r="H44" s="48"/>
      <c r="I44" s="48"/>
      <c r="J44" s="49">
        <f t="shared" si="26"/>
        <v>0</v>
      </c>
      <c r="K44" s="25"/>
      <c r="L44" s="48"/>
      <c r="M44" s="48"/>
      <c r="N44" s="49">
        <f t="shared" si="27"/>
        <v>0</v>
      </c>
      <c r="O44" s="25"/>
      <c r="P44" s="48"/>
      <c r="Q44" s="48"/>
      <c r="R44" s="49">
        <f t="shared" si="28"/>
        <v>0</v>
      </c>
      <c r="S44" s="25"/>
      <c r="T44" s="48">
        <v>0.375</v>
      </c>
      <c r="U44" s="48">
        <v>0.66666666666666663</v>
      </c>
      <c r="V44" s="49">
        <f t="shared" si="29"/>
        <v>6.9999999999999991</v>
      </c>
      <c r="W44" s="25"/>
      <c r="X44" s="48"/>
      <c r="Y44" s="48"/>
      <c r="Z44" s="49">
        <f t="shared" si="30"/>
        <v>0</v>
      </c>
      <c r="AA44" s="25"/>
      <c r="AB44" s="48"/>
      <c r="AC44" s="48"/>
      <c r="AD44" s="49">
        <f t="shared" si="31"/>
        <v>0</v>
      </c>
      <c r="AE44" s="25"/>
      <c r="AF44" s="29">
        <f t="shared" si="32"/>
        <v>6.9999999999999991</v>
      </c>
    </row>
    <row r="45" spans="1:33" s="1" customFormat="1" ht="13.5" customHeight="1">
      <c r="A45" s="8"/>
      <c r="B45" s="63" t="s">
        <v>61</v>
      </c>
      <c r="C45" s="63"/>
      <c r="D45" s="63"/>
      <c r="E45" s="63"/>
      <c r="F45" s="86">
        <f>SUM(F40:F44)</f>
        <v>1.5</v>
      </c>
      <c r="G45" s="63"/>
      <c r="H45" s="63"/>
      <c r="I45" s="63"/>
      <c r="J45" s="86">
        <f>SUM(J40:J44)</f>
        <v>16</v>
      </c>
      <c r="K45" s="63"/>
      <c r="L45" s="63"/>
      <c r="M45" s="63"/>
      <c r="N45" s="86">
        <f>SUM(N40:N44)</f>
        <v>0</v>
      </c>
      <c r="O45" s="63"/>
      <c r="P45" s="63"/>
      <c r="Q45" s="63"/>
      <c r="R45" s="86">
        <f>SUM(R40:R44)</f>
        <v>0</v>
      </c>
      <c r="S45" s="63"/>
      <c r="T45" s="63"/>
      <c r="U45" s="63"/>
      <c r="V45" s="86">
        <f>SUM(V40:V44)</f>
        <v>6.9999999999999991</v>
      </c>
      <c r="W45" s="63"/>
      <c r="X45" s="63"/>
      <c r="Y45" s="63"/>
      <c r="Z45" s="86">
        <f>SUM(Z40:Z44)</f>
        <v>0</v>
      </c>
      <c r="AA45" s="63"/>
      <c r="AB45" s="63"/>
      <c r="AC45" s="63"/>
      <c r="AD45" s="82">
        <f>SUM(AD40:AD44)</f>
        <v>0</v>
      </c>
      <c r="AE45" s="46"/>
      <c r="AF45" s="30">
        <f>SUM(AF41:AF44)</f>
        <v>24.5</v>
      </c>
      <c r="AG45" s="25"/>
    </row>
    <row r="46" spans="1:33" s="1" customFormat="1" ht="13.5" customHeight="1">
      <c r="A46" s="8"/>
      <c r="B46" s="31" t="s">
        <v>577</v>
      </c>
      <c r="C46" s="31"/>
      <c r="D46" s="91"/>
      <c r="E46" s="83"/>
      <c r="F46" s="87">
        <v>1</v>
      </c>
      <c r="G46" s="83"/>
      <c r="H46" s="83"/>
      <c r="I46" s="83"/>
      <c r="J46" s="87">
        <v>6</v>
      </c>
      <c r="K46" s="83"/>
      <c r="L46" s="83"/>
      <c r="M46" s="83"/>
      <c r="N46" s="87"/>
      <c r="O46" s="83"/>
      <c r="P46" s="83"/>
      <c r="Q46" s="83"/>
      <c r="R46" s="87"/>
      <c r="S46" s="83"/>
      <c r="T46" s="83"/>
      <c r="U46" s="83"/>
      <c r="V46" s="87">
        <v>3</v>
      </c>
      <c r="W46" s="83"/>
      <c r="X46" s="83"/>
      <c r="Y46" s="83"/>
      <c r="Z46" s="87"/>
      <c r="AA46" s="83"/>
      <c r="AB46" s="83"/>
      <c r="AC46" s="83"/>
      <c r="AD46" s="83"/>
      <c r="AE46" s="45"/>
      <c r="AF46" s="28">
        <f>SUM(C46:AE46)</f>
        <v>10</v>
      </c>
      <c r="AG46" s="25"/>
    </row>
    <row r="47" spans="1:33" s="1" customFormat="1" ht="13.5" customHeight="1">
      <c r="A47" s="8"/>
      <c r="B47" s="31" t="s">
        <v>578</v>
      </c>
      <c r="C47" s="31"/>
      <c r="D47" s="91"/>
      <c r="E47" s="83"/>
      <c r="F47" s="87"/>
      <c r="G47" s="83"/>
      <c r="H47" s="83"/>
      <c r="I47" s="83"/>
      <c r="J47" s="87"/>
      <c r="K47" s="83"/>
      <c r="L47" s="83"/>
      <c r="M47" s="83"/>
      <c r="N47" s="87"/>
      <c r="O47" s="83"/>
      <c r="P47" s="83"/>
      <c r="Q47" s="83"/>
      <c r="R47" s="87"/>
      <c r="S47" s="83"/>
      <c r="T47" s="83"/>
      <c r="U47" s="83"/>
      <c r="V47" s="87"/>
      <c r="W47" s="83"/>
      <c r="X47" s="83"/>
      <c r="Y47" s="83"/>
      <c r="Z47" s="87"/>
      <c r="AA47" s="83"/>
      <c r="AB47" s="83"/>
      <c r="AC47" s="83"/>
      <c r="AD47" s="83"/>
      <c r="AE47" s="45"/>
      <c r="AF47" s="28">
        <f>SUM(D47:AD47)</f>
        <v>0</v>
      </c>
      <c r="AG47" s="25"/>
    </row>
    <row r="48" spans="1:33" s="1" customFormat="1" ht="13.5" customHeight="1" thickBot="1">
      <c r="A48" s="8"/>
      <c r="B48" s="74" t="s">
        <v>579</v>
      </c>
      <c r="C48" s="74"/>
      <c r="D48" s="92"/>
      <c r="E48" s="92"/>
      <c r="F48" s="93"/>
      <c r="G48" s="92"/>
      <c r="H48" s="92"/>
      <c r="I48" s="92"/>
      <c r="J48" s="93"/>
      <c r="K48" s="92"/>
      <c r="L48" s="92"/>
      <c r="M48" s="92"/>
      <c r="N48" s="93"/>
      <c r="O48" s="92"/>
      <c r="P48" s="92"/>
      <c r="Q48" s="92"/>
      <c r="R48" s="93"/>
      <c r="S48" s="92"/>
      <c r="T48" s="92"/>
      <c r="U48" s="92"/>
      <c r="V48" s="93"/>
      <c r="W48" s="94"/>
      <c r="X48" s="94"/>
      <c r="Y48" s="94"/>
      <c r="Z48" s="93"/>
      <c r="AA48" s="94"/>
      <c r="AB48" s="94"/>
      <c r="AC48" s="94"/>
      <c r="AD48" s="94"/>
      <c r="AE48" s="94"/>
      <c r="AF48" s="80">
        <f>SUM(D48:AD48)</f>
        <v>0</v>
      </c>
      <c r="AG48" s="25"/>
    </row>
    <row r="49" spans="1:33" s="1" customFormat="1" ht="14.25" thickTop="1">
      <c r="B49" s="71" t="s">
        <v>66</v>
      </c>
      <c r="C49" s="3"/>
      <c r="D49" s="3"/>
      <c r="E49" s="3"/>
      <c r="F49" s="88">
        <f>SUM(F46:F48)</f>
        <v>1</v>
      </c>
      <c r="G49" s="3"/>
      <c r="H49" s="3"/>
      <c r="I49" s="3"/>
      <c r="J49" s="88">
        <f>SUM(J46:J48)</f>
        <v>6</v>
      </c>
      <c r="K49" s="3"/>
      <c r="L49" s="3"/>
      <c r="M49" s="3"/>
      <c r="N49" s="88">
        <f>SUM(N46:N48)</f>
        <v>0</v>
      </c>
      <c r="O49" s="3"/>
      <c r="P49" s="3"/>
      <c r="Q49" s="3"/>
      <c r="R49" s="88">
        <f>SUM(R46:R48)</f>
        <v>0</v>
      </c>
      <c r="S49" s="3"/>
      <c r="T49" s="3"/>
      <c r="U49" s="3"/>
      <c r="V49" s="88">
        <f>SUM(V46:V48)</f>
        <v>3</v>
      </c>
      <c r="W49" s="3"/>
      <c r="X49" s="3"/>
      <c r="Y49" s="3"/>
      <c r="Z49" s="88">
        <f>SUM(Z46:Z48)</f>
        <v>0</v>
      </c>
      <c r="AA49" s="3"/>
      <c r="AB49" s="3"/>
      <c r="AC49" s="3"/>
      <c r="AD49" s="67">
        <f>SUM(AD46:AD48)</f>
        <v>0</v>
      </c>
      <c r="AE49" s="3"/>
      <c r="AF49" s="71">
        <f>SUM(F49:AD49)</f>
        <v>10</v>
      </c>
      <c r="AG49" s="3"/>
    </row>
    <row r="50" spans="1:33" s="3" customFormat="1" ht="13.35" customHeight="1">
      <c r="B50" s="1518" t="s">
        <v>18</v>
      </c>
      <c r="C50" s="1552" t="s">
        <v>571</v>
      </c>
      <c r="D50" s="1524">
        <v>45075</v>
      </c>
      <c r="E50" s="1524"/>
      <c r="F50" s="1524"/>
      <c r="G50" s="22"/>
      <c r="H50" s="1524">
        <f>D50+1</f>
        <v>45076</v>
      </c>
      <c r="I50" s="1524"/>
      <c r="J50" s="1524"/>
      <c r="K50" s="22"/>
      <c r="L50" s="1524">
        <f>H50+1</f>
        <v>45077</v>
      </c>
      <c r="M50" s="1524"/>
      <c r="N50" s="1524"/>
      <c r="P50" s="1524">
        <f>L50+1</f>
        <v>45078</v>
      </c>
      <c r="Q50" s="1524"/>
      <c r="R50" s="1524"/>
      <c r="T50" s="1524">
        <f>P50+1</f>
        <v>45079</v>
      </c>
      <c r="U50" s="1524"/>
      <c r="V50" s="1524"/>
      <c r="W50" s="22"/>
      <c r="X50" s="1524">
        <f>T50+1</f>
        <v>45080</v>
      </c>
      <c r="Y50" s="1524"/>
      <c r="Z50" s="1524"/>
      <c r="AB50" s="1524">
        <f>X50+1</f>
        <v>45081</v>
      </c>
      <c r="AC50" s="1524"/>
      <c r="AD50" s="1524"/>
      <c r="AE50" s="22"/>
      <c r="AF50" s="1517" t="s">
        <v>19</v>
      </c>
    </row>
    <row r="51" spans="1:33" s="3" customFormat="1" ht="14.25">
      <c r="B51" s="1518"/>
      <c r="C51" s="1552"/>
      <c r="D51" s="21" t="s">
        <v>23</v>
      </c>
      <c r="E51" s="21" t="s">
        <v>24</v>
      </c>
      <c r="F51" s="62" t="s">
        <v>25</v>
      </c>
      <c r="G51" s="23"/>
      <c r="H51" s="21" t="s">
        <v>23</v>
      </c>
      <c r="I51" s="21" t="s">
        <v>24</v>
      </c>
      <c r="J51" s="18" t="s">
        <v>25</v>
      </c>
      <c r="K51" s="23"/>
      <c r="L51" s="21" t="s">
        <v>23</v>
      </c>
      <c r="M51" s="21" t="s">
        <v>24</v>
      </c>
      <c r="N51" s="18" t="s">
        <v>25</v>
      </c>
      <c r="O51" s="23"/>
      <c r="P51" s="21" t="s">
        <v>23</v>
      </c>
      <c r="Q51" s="21" t="s">
        <v>24</v>
      </c>
      <c r="R51" s="18" t="s">
        <v>25</v>
      </c>
      <c r="S51" s="23"/>
      <c r="T51" s="21" t="s">
        <v>23</v>
      </c>
      <c r="U51" s="21" t="s">
        <v>24</v>
      </c>
      <c r="V51" s="18" t="s">
        <v>25</v>
      </c>
      <c r="W51" s="23"/>
      <c r="X51" s="21" t="s">
        <v>23</v>
      </c>
      <c r="Y51" s="21" t="s">
        <v>24</v>
      </c>
      <c r="Z51" s="18" t="s">
        <v>25</v>
      </c>
      <c r="AA51" s="23"/>
      <c r="AB51" s="21" t="s">
        <v>23</v>
      </c>
      <c r="AC51" s="21" t="s">
        <v>24</v>
      </c>
      <c r="AD51" s="18" t="s">
        <v>25</v>
      </c>
      <c r="AE51" s="23"/>
      <c r="AF51" s="1517"/>
      <c r="AG51" s="5"/>
    </row>
    <row r="52" spans="1:33" s="3" customFormat="1" ht="27">
      <c r="B52" s="13" t="s">
        <v>572</v>
      </c>
      <c r="C52" s="13" t="s">
        <v>590</v>
      </c>
      <c r="D52" s="48"/>
      <c r="E52" s="48"/>
      <c r="F52" s="85">
        <f>(E52-D52)*24</f>
        <v>0</v>
      </c>
      <c r="G52" s="24"/>
      <c r="H52" s="48">
        <v>0.52083333333333337</v>
      </c>
      <c r="I52" s="48">
        <v>0.625</v>
      </c>
      <c r="J52" s="49">
        <f>(I52-H52)*24</f>
        <v>2.4999999999999991</v>
      </c>
      <c r="K52" s="24"/>
      <c r="L52" s="48"/>
      <c r="M52" s="48"/>
      <c r="N52" s="49">
        <f>(M52-L52)*24</f>
        <v>0</v>
      </c>
      <c r="O52" s="24"/>
      <c r="P52" s="48"/>
      <c r="Q52" s="48"/>
      <c r="R52" s="49">
        <f>(Q52-P52)*24</f>
        <v>0</v>
      </c>
      <c r="S52" s="24"/>
      <c r="T52" s="48"/>
      <c r="U52" s="48"/>
      <c r="V52" s="49">
        <f>(U52-T52)*24</f>
        <v>0</v>
      </c>
      <c r="W52" s="24"/>
      <c r="X52" s="48"/>
      <c r="Y52" s="48"/>
      <c r="Z52" s="49">
        <f>(Y52-X52)*24</f>
        <v>0</v>
      </c>
      <c r="AA52" s="24"/>
      <c r="AB52" s="48"/>
      <c r="AC52" s="48"/>
      <c r="AD52" s="49">
        <f>(AC52-AB52)*24</f>
        <v>0</v>
      </c>
      <c r="AE52" s="24"/>
      <c r="AF52" s="29">
        <f>J52+F52+N52+R52+V52+Z52+AD52</f>
        <v>2.4999999999999991</v>
      </c>
      <c r="AG52" s="5"/>
    </row>
    <row r="53" spans="1:33" s="3" customFormat="1" ht="27">
      <c r="B53" s="13" t="s">
        <v>572</v>
      </c>
      <c r="C53" s="13" t="s">
        <v>575</v>
      </c>
      <c r="D53" s="48"/>
      <c r="E53" s="48"/>
      <c r="F53" s="85">
        <f t="shared" ref="F53:F55" si="33">(E53-D53)*24</f>
        <v>0</v>
      </c>
      <c r="G53" s="24"/>
      <c r="H53" s="48"/>
      <c r="I53" s="48"/>
      <c r="J53" s="49">
        <f t="shared" ref="J53:J55" si="34">(I53-H53)*24</f>
        <v>0</v>
      </c>
      <c r="K53" s="24"/>
      <c r="L53" s="48"/>
      <c r="M53" s="48"/>
      <c r="N53" s="49">
        <f t="shared" ref="N53:N55" si="35">(M53-L53)*24</f>
        <v>0</v>
      </c>
      <c r="O53" s="24"/>
      <c r="P53" s="48">
        <v>0.375</v>
      </c>
      <c r="Q53" s="48">
        <v>0.70833333333333337</v>
      </c>
      <c r="R53" s="49">
        <f t="shared" ref="R53:R55" si="36">(Q53-P53)*24</f>
        <v>8</v>
      </c>
      <c r="S53" s="24"/>
      <c r="T53" s="48"/>
      <c r="U53" s="48"/>
      <c r="V53" s="49">
        <f t="shared" ref="V53:V55" si="37">(U53-T53)*24</f>
        <v>0</v>
      </c>
      <c r="W53" s="24"/>
      <c r="X53" s="48"/>
      <c r="Y53" s="48"/>
      <c r="Z53" s="49">
        <f t="shared" ref="Z53:Z55" si="38">(Y53-X53)*24</f>
        <v>0</v>
      </c>
      <c r="AA53" s="24"/>
      <c r="AB53" s="48"/>
      <c r="AC53" s="48"/>
      <c r="AD53" s="49">
        <f t="shared" ref="AD53:AD55" si="39">(AC53-AB53)*24</f>
        <v>0</v>
      </c>
      <c r="AE53" s="24"/>
      <c r="AF53" s="29">
        <f t="shared" ref="AF53:AF55" si="40">J53+F53+N53+R53+V53+Z53+AD53</f>
        <v>8</v>
      </c>
      <c r="AG53" s="5"/>
    </row>
    <row r="54" spans="1:33" s="3" customFormat="1" ht="27">
      <c r="B54" s="13" t="s">
        <v>572</v>
      </c>
      <c r="C54" s="13" t="s">
        <v>591</v>
      </c>
      <c r="D54" s="48"/>
      <c r="E54" s="48"/>
      <c r="F54" s="85">
        <f t="shared" si="33"/>
        <v>0</v>
      </c>
      <c r="G54" s="24"/>
      <c r="H54" s="48"/>
      <c r="I54" s="48"/>
      <c r="J54" s="49">
        <f t="shared" si="34"/>
        <v>0</v>
      </c>
      <c r="K54" s="24"/>
      <c r="L54" s="48"/>
      <c r="M54" s="48"/>
      <c r="N54" s="49">
        <f t="shared" si="35"/>
        <v>0</v>
      </c>
      <c r="O54" s="24"/>
      <c r="P54" s="48"/>
      <c r="Q54" s="48"/>
      <c r="R54" s="49">
        <f t="shared" si="36"/>
        <v>0</v>
      </c>
      <c r="S54" s="24"/>
      <c r="T54" s="48">
        <v>0.64583333333333337</v>
      </c>
      <c r="U54" s="51">
        <v>0.75</v>
      </c>
      <c r="V54" s="49">
        <f t="shared" si="37"/>
        <v>2.4999999999999991</v>
      </c>
      <c r="W54" s="24"/>
      <c r="X54" s="48"/>
      <c r="Y54" s="48"/>
      <c r="Z54" s="49">
        <f t="shared" si="38"/>
        <v>0</v>
      </c>
      <c r="AA54" s="24"/>
      <c r="AB54" s="48">
        <v>0.625</v>
      </c>
      <c r="AC54" s="48">
        <v>0.75</v>
      </c>
      <c r="AD54" s="49">
        <f t="shared" si="39"/>
        <v>3</v>
      </c>
      <c r="AE54" s="24"/>
      <c r="AF54" s="29">
        <f t="shared" si="40"/>
        <v>5.4999999999999991</v>
      </c>
      <c r="AG54" s="5"/>
    </row>
    <row r="55" spans="1:33" s="3" customFormat="1" ht="27">
      <c r="B55" s="13" t="s">
        <v>576</v>
      </c>
      <c r="C55" s="13" t="s">
        <v>591</v>
      </c>
      <c r="D55" s="48"/>
      <c r="E55" s="48"/>
      <c r="F55" s="85">
        <f t="shared" si="33"/>
        <v>0</v>
      </c>
      <c r="G55" s="25"/>
      <c r="H55" s="48"/>
      <c r="I55" s="48"/>
      <c r="J55" s="49">
        <f t="shared" si="34"/>
        <v>0</v>
      </c>
      <c r="K55" s="25"/>
      <c r="L55" s="48"/>
      <c r="M55" s="48"/>
      <c r="N55" s="49">
        <f t="shared" si="35"/>
        <v>0</v>
      </c>
      <c r="O55" s="25"/>
      <c r="P55" s="48"/>
      <c r="Q55" s="48"/>
      <c r="R55" s="49">
        <f t="shared" si="36"/>
        <v>0</v>
      </c>
      <c r="S55" s="25"/>
      <c r="T55" s="48">
        <v>0.65625</v>
      </c>
      <c r="U55" s="51">
        <v>0.75</v>
      </c>
      <c r="V55" s="49">
        <f t="shared" si="37"/>
        <v>2.25</v>
      </c>
      <c r="W55" s="25"/>
      <c r="X55" s="48"/>
      <c r="Y55" s="48"/>
      <c r="Z55" s="49">
        <f t="shared" si="38"/>
        <v>0</v>
      </c>
      <c r="AA55" s="25"/>
      <c r="AB55" s="48">
        <v>0.625</v>
      </c>
      <c r="AC55" s="48">
        <v>0.75</v>
      </c>
      <c r="AD55" s="49">
        <f t="shared" si="39"/>
        <v>3</v>
      </c>
      <c r="AE55" s="25"/>
      <c r="AF55" s="29">
        <f t="shared" si="40"/>
        <v>5.25</v>
      </c>
    </row>
    <row r="56" spans="1:33" s="1" customFormat="1" ht="13.5" customHeight="1">
      <c r="A56" s="8"/>
      <c r="B56" s="63" t="s">
        <v>61</v>
      </c>
      <c r="C56" s="63"/>
      <c r="D56" s="63"/>
      <c r="E56" s="63"/>
      <c r="F56" s="86">
        <f>SUM(F51:F55)</f>
        <v>0</v>
      </c>
      <c r="G56" s="63"/>
      <c r="H56" s="63"/>
      <c r="I56" s="63"/>
      <c r="J56" s="86">
        <f>SUM(J51:J55)</f>
        <v>2.4999999999999991</v>
      </c>
      <c r="K56" s="63"/>
      <c r="L56" s="63"/>
      <c r="M56" s="63"/>
      <c r="N56" s="86">
        <f>SUM(N51:N55)</f>
        <v>0</v>
      </c>
      <c r="O56" s="63"/>
      <c r="P56" s="63"/>
      <c r="Q56" s="63"/>
      <c r="R56" s="86">
        <f>SUM(R51:R55)</f>
        <v>8</v>
      </c>
      <c r="S56" s="63"/>
      <c r="T56" s="63"/>
      <c r="U56" s="63"/>
      <c r="V56" s="86">
        <f>SUM(V51:V55)</f>
        <v>4.7499999999999991</v>
      </c>
      <c r="W56" s="63"/>
      <c r="X56" s="63"/>
      <c r="Y56" s="63"/>
      <c r="Z56" s="86">
        <f>SUM(Z51:Z55)</f>
        <v>0</v>
      </c>
      <c r="AA56" s="63"/>
      <c r="AB56" s="63"/>
      <c r="AC56" s="63"/>
      <c r="AD56" s="82">
        <f>SUM(AD51:AD55)</f>
        <v>6</v>
      </c>
      <c r="AE56" s="46"/>
      <c r="AF56" s="30">
        <f>SUM(AF52:AF55)</f>
        <v>21.25</v>
      </c>
      <c r="AG56" s="25"/>
    </row>
    <row r="57" spans="1:33" s="1" customFormat="1" ht="13.5" customHeight="1">
      <c r="A57" s="8"/>
      <c r="B57" s="31" t="s">
        <v>577</v>
      </c>
      <c r="C57" s="31"/>
      <c r="D57" s="91"/>
      <c r="E57" s="83"/>
      <c r="F57" s="87"/>
      <c r="G57" s="83"/>
      <c r="H57" s="83"/>
      <c r="I57" s="83"/>
      <c r="J57" s="90">
        <v>2</v>
      </c>
      <c r="K57" s="83"/>
      <c r="L57" s="83"/>
      <c r="M57" s="83"/>
      <c r="N57" s="87"/>
      <c r="O57" s="83"/>
      <c r="P57" s="83"/>
      <c r="Q57" s="83"/>
      <c r="R57" s="90">
        <v>2</v>
      </c>
      <c r="S57" s="83"/>
      <c r="T57" s="83"/>
      <c r="U57" s="83"/>
      <c r="V57" s="90">
        <v>2</v>
      </c>
      <c r="W57" s="83"/>
      <c r="X57" s="83"/>
      <c r="Y57" s="83"/>
      <c r="Z57" s="87"/>
      <c r="AA57" s="83"/>
      <c r="AB57" s="83"/>
      <c r="AC57" s="83"/>
      <c r="AD57" s="83">
        <v>2</v>
      </c>
      <c r="AE57" s="45"/>
      <c r="AF57" s="28">
        <f>SUM(C57:AE57)</f>
        <v>8</v>
      </c>
      <c r="AG57" s="25"/>
    </row>
    <row r="58" spans="1:33" s="1" customFormat="1" ht="13.5" customHeight="1">
      <c r="A58" s="8"/>
      <c r="B58" s="31" t="s">
        <v>578</v>
      </c>
      <c r="C58" s="31"/>
      <c r="D58" s="91"/>
      <c r="E58" s="83"/>
      <c r="F58" s="87"/>
      <c r="G58" s="83"/>
      <c r="H58" s="83"/>
      <c r="I58" s="83"/>
      <c r="J58" s="87"/>
      <c r="K58" s="83"/>
      <c r="L58" s="83"/>
      <c r="M58" s="83"/>
      <c r="N58" s="87"/>
      <c r="O58" s="83"/>
      <c r="P58" s="83"/>
      <c r="Q58" s="83"/>
      <c r="R58" s="87"/>
      <c r="S58" s="83"/>
      <c r="T58" s="83"/>
      <c r="U58" s="83"/>
      <c r="V58" s="87"/>
      <c r="W58" s="83"/>
      <c r="X58" s="83"/>
      <c r="Y58" s="83"/>
      <c r="Z58" s="87"/>
      <c r="AA58" s="83"/>
      <c r="AB58" s="83"/>
      <c r="AC58" s="83"/>
      <c r="AD58" s="83"/>
      <c r="AE58" s="45"/>
      <c r="AF58" s="28">
        <f>SUM(D58:AD58)</f>
        <v>0</v>
      </c>
      <c r="AG58" s="25"/>
    </row>
    <row r="59" spans="1:33" s="1" customFormat="1" ht="13.5" customHeight="1" thickBot="1">
      <c r="A59" s="8"/>
      <c r="B59" s="74" t="s">
        <v>579</v>
      </c>
      <c r="C59" s="74"/>
      <c r="D59" s="92"/>
      <c r="E59" s="92"/>
      <c r="F59" s="93"/>
      <c r="G59" s="92"/>
      <c r="H59" s="92"/>
      <c r="I59" s="92"/>
      <c r="J59" s="93"/>
      <c r="K59" s="92"/>
      <c r="L59" s="92"/>
      <c r="M59" s="92"/>
      <c r="N59" s="93"/>
      <c r="O59" s="92"/>
      <c r="P59" s="92"/>
      <c r="Q59" s="92"/>
      <c r="R59" s="93"/>
      <c r="S59" s="92"/>
      <c r="T59" s="92"/>
      <c r="U59" s="92"/>
      <c r="V59" s="93"/>
      <c r="W59" s="94"/>
      <c r="X59" s="94"/>
      <c r="Y59" s="94"/>
      <c r="Z59" s="93"/>
      <c r="AA59" s="94"/>
      <c r="AB59" s="94"/>
      <c r="AC59" s="94"/>
      <c r="AD59" s="94"/>
      <c r="AE59" s="94"/>
      <c r="AF59" s="80">
        <f>SUM(D59:AD59)</f>
        <v>0</v>
      </c>
      <c r="AG59" s="25"/>
    </row>
    <row r="60" spans="1:33" s="1" customFormat="1" ht="14.25" thickTop="1">
      <c r="B60" s="71" t="s">
        <v>66</v>
      </c>
      <c r="C60" s="3"/>
      <c r="D60" s="3"/>
      <c r="E60" s="3"/>
      <c r="F60" s="88">
        <f>SUM(F57:F59)</f>
        <v>0</v>
      </c>
      <c r="G60" s="3"/>
      <c r="H60" s="3"/>
      <c r="I60" s="3"/>
      <c r="J60" s="88">
        <f>SUM(J57:J59)</f>
        <v>2</v>
      </c>
      <c r="K60" s="3"/>
      <c r="L60" s="3"/>
      <c r="M60" s="3"/>
      <c r="N60" s="88">
        <f>SUM(N57:N59)</f>
        <v>0</v>
      </c>
      <c r="O60" s="3"/>
      <c r="P60" s="3"/>
      <c r="Q60" s="3"/>
      <c r="R60" s="88">
        <f>SUM(R57:R59)</f>
        <v>2</v>
      </c>
      <c r="S60" s="3"/>
      <c r="T60" s="3"/>
      <c r="U60" s="3"/>
      <c r="V60" s="88">
        <f>SUM(V57:V59)</f>
        <v>2</v>
      </c>
      <c r="W60" s="3"/>
      <c r="X60" s="3"/>
      <c r="Y60" s="3"/>
      <c r="Z60" s="88">
        <f>SUM(Z57:Z59)</f>
        <v>0</v>
      </c>
      <c r="AA60" s="3"/>
      <c r="AB60" s="3"/>
      <c r="AC60" s="3"/>
      <c r="AD60" s="67">
        <f>SUM(AD57:AD59)</f>
        <v>2</v>
      </c>
      <c r="AE60" s="3"/>
      <c r="AF60" s="71">
        <f>SUM(F60:AD60)</f>
        <v>8</v>
      </c>
      <c r="AG60" s="3"/>
    </row>
    <row r="61" spans="1:33" s="1" customFormat="1">
      <c r="B61" s="1518" t="s">
        <v>18</v>
      </c>
      <c r="C61" s="1552" t="s">
        <v>571</v>
      </c>
      <c r="D61" s="1524">
        <v>45075</v>
      </c>
      <c r="E61" s="1524"/>
      <c r="F61" s="1524"/>
      <c r="G61" s="22"/>
      <c r="H61" s="1524">
        <f>D61+1</f>
        <v>45076</v>
      </c>
      <c r="I61" s="1524"/>
      <c r="J61" s="1524"/>
      <c r="K61" s="22"/>
      <c r="L61" s="1524">
        <f>H61+1</f>
        <v>45077</v>
      </c>
      <c r="M61" s="1524"/>
      <c r="N61" s="1524"/>
      <c r="O61" s="3"/>
      <c r="P61" s="1524">
        <f>L61+1</f>
        <v>45078</v>
      </c>
      <c r="Q61" s="1524"/>
      <c r="R61" s="1524"/>
      <c r="S61" s="3"/>
      <c r="T61" s="1524">
        <f>P61+1</f>
        <v>45079</v>
      </c>
      <c r="U61" s="1524"/>
      <c r="V61" s="1524"/>
      <c r="W61" s="22"/>
      <c r="X61" s="1524">
        <f>T61+1</f>
        <v>45080</v>
      </c>
      <c r="Y61" s="1524"/>
      <c r="Z61" s="1524"/>
      <c r="AA61" s="3"/>
      <c r="AB61" s="1524">
        <f>X61+1</f>
        <v>45081</v>
      </c>
      <c r="AC61" s="1524"/>
      <c r="AD61" s="1524"/>
      <c r="AE61" s="22"/>
      <c r="AF61" s="1517" t="s">
        <v>19</v>
      </c>
      <c r="AG61" s="3"/>
    </row>
    <row r="62" spans="1:33" s="1" customFormat="1">
      <c r="B62" s="1518"/>
      <c r="C62" s="1552"/>
      <c r="D62" s="21" t="s">
        <v>23</v>
      </c>
      <c r="E62" s="21" t="s">
        <v>24</v>
      </c>
      <c r="F62" s="62" t="s">
        <v>25</v>
      </c>
      <c r="G62" s="23"/>
      <c r="H62" s="21" t="s">
        <v>23</v>
      </c>
      <c r="I62" s="21" t="s">
        <v>24</v>
      </c>
      <c r="J62" s="18" t="s">
        <v>25</v>
      </c>
      <c r="K62" s="23"/>
      <c r="L62" s="21" t="s">
        <v>23</v>
      </c>
      <c r="M62" s="21" t="s">
        <v>24</v>
      </c>
      <c r="N62" s="18" t="s">
        <v>25</v>
      </c>
      <c r="O62" s="23"/>
      <c r="P62" s="21" t="s">
        <v>23</v>
      </c>
      <c r="Q62" s="21" t="s">
        <v>24</v>
      </c>
      <c r="R62" s="18" t="s">
        <v>25</v>
      </c>
      <c r="S62" s="23"/>
      <c r="T62" s="21" t="s">
        <v>23</v>
      </c>
      <c r="U62" s="21" t="s">
        <v>24</v>
      </c>
      <c r="V62" s="18" t="s">
        <v>25</v>
      </c>
      <c r="W62" s="23"/>
      <c r="X62" s="21" t="s">
        <v>23</v>
      </c>
      <c r="Y62" s="21" t="s">
        <v>24</v>
      </c>
      <c r="Z62" s="18" t="s">
        <v>25</v>
      </c>
      <c r="AA62" s="23"/>
      <c r="AB62" s="21" t="s">
        <v>23</v>
      </c>
      <c r="AC62" s="21" t="s">
        <v>24</v>
      </c>
      <c r="AD62" s="18" t="s">
        <v>25</v>
      </c>
      <c r="AE62" s="23"/>
      <c r="AF62" s="1517"/>
      <c r="AG62" s="3"/>
    </row>
    <row r="63" spans="1:33" s="1" customFormat="1" ht="27">
      <c r="B63" s="13" t="s">
        <v>572</v>
      </c>
      <c r="C63" s="13" t="s">
        <v>590</v>
      </c>
      <c r="D63" s="48"/>
      <c r="E63" s="48"/>
      <c r="F63" s="85">
        <f>(E63-D63)*24</f>
        <v>0</v>
      </c>
      <c r="G63" s="24"/>
      <c r="H63" s="48">
        <v>0.52083333333333337</v>
      </c>
      <c r="I63" s="48">
        <v>0.625</v>
      </c>
      <c r="J63" s="49">
        <f>(I63-H63)*24</f>
        <v>2.4999999999999991</v>
      </c>
      <c r="K63" s="24"/>
      <c r="L63" s="48"/>
      <c r="M63" s="48"/>
      <c r="N63" s="49">
        <f>(M63-L63)*24</f>
        <v>0</v>
      </c>
      <c r="O63" s="24"/>
      <c r="P63" s="48"/>
      <c r="Q63" s="48"/>
      <c r="R63" s="49">
        <f>(Q63-P63)*24</f>
        <v>0</v>
      </c>
      <c r="S63" s="24"/>
      <c r="T63" s="48"/>
      <c r="U63" s="48"/>
      <c r="V63" s="49">
        <f>(U63-T63)*24</f>
        <v>0</v>
      </c>
      <c r="W63" s="24"/>
      <c r="X63" s="48"/>
      <c r="Y63" s="48"/>
      <c r="Z63" s="49">
        <f>(Y63-X63)*24</f>
        <v>0</v>
      </c>
      <c r="AA63" s="24"/>
      <c r="AB63" s="48"/>
      <c r="AC63" s="48"/>
      <c r="AD63" s="49">
        <f>(AC63-AB63)*24</f>
        <v>0</v>
      </c>
      <c r="AE63" s="24"/>
      <c r="AF63" s="29">
        <f>J63+F63+N63+R63+V63+Z63+AD63</f>
        <v>2.4999999999999991</v>
      </c>
      <c r="AG63" s="3"/>
    </row>
    <row r="64" spans="1:33" s="1" customFormat="1" ht="27">
      <c r="B64" s="13" t="s">
        <v>572</v>
      </c>
      <c r="C64" s="13" t="s">
        <v>575</v>
      </c>
      <c r="D64" s="48"/>
      <c r="E64" s="48"/>
      <c r="F64" s="85">
        <f t="shared" ref="F64:F66" si="41">(E64-D64)*24</f>
        <v>0</v>
      </c>
      <c r="G64" s="24"/>
      <c r="H64" s="48"/>
      <c r="I64" s="48"/>
      <c r="J64" s="49">
        <f t="shared" ref="J64:J66" si="42">(I64-H64)*24</f>
        <v>0</v>
      </c>
      <c r="K64" s="24"/>
      <c r="L64" s="48"/>
      <c r="M64" s="48"/>
      <c r="N64" s="49">
        <f t="shared" ref="N64:N66" si="43">(M64-L64)*24</f>
        <v>0</v>
      </c>
      <c r="O64" s="24"/>
      <c r="P64" s="48">
        <v>0.375</v>
      </c>
      <c r="Q64" s="48">
        <v>0.70833333333333337</v>
      </c>
      <c r="R64" s="49">
        <f t="shared" ref="R64:R66" si="44">(Q64-P64)*24</f>
        <v>8</v>
      </c>
      <c r="S64" s="24"/>
      <c r="T64" s="48"/>
      <c r="U64" s="48"/>
      <c r="V64" s="49">
        <f t="shared" ref="V64:V66" si="45">(U64-T64)*24</f>
        <v>0</v>
      </c>
      <c r="W64" s="24"/>
      <c r="X64" s="48"/>
      <c r="Y64" s="48"/>
      <c r="Z64" s="49">
        <f t="shared" ref="Z64:Z66" si="46">(Y64-X64)*24</f>
        <v>0</v>
      </c>
      <c r="AA64" s="24"/>
      <c r="AB64" s="48"/>
      <c r="AC64" s="48"/>
      <c r="AD64" s="49">
        <f t="shared" ref="AD64:AD66" si="47">(AC64-AB64)*24</f>
        <v>0</v>
      </c>
      <c r="AE64" s="24"/>
      <c r="AF64" s="29">
        <f t="shared" ref="AF64:AF66" si="48">J64+F64+N64+R64+V64+Z64+AD64</f>
        <v>8</v>
      </c>
      <c r="AG64" s="3"/>
    </row>
    <row r="65" spans="2:33" s="1" customFormat="1" ht="27">
      <c r="B65" s="13" t="s">
        <v>572</v>
      </c>
      <c r="C65" s="13" t="s">
        <v>591</v>
      </c>
      <c r="D65" s="48"/>
      <c r="E65" s="48"/>
      <c r="F65" s="85">
        <f t="shared" si="41"/>
        <v>0</v>
      </c>
      <c r="G65" s="24"/>
      <c r="H65" s="48"/>
      <c r="I65" s="48"/>
      <c r="J65" s="49">
        <f t="shared" si="42"/>
        <v>0</v>
      </c>
      <c r="K65" s="24"/>
      <c r="L65" s="48"/>
      <c r="M65" s="48"/>
      <c r="N65" s="49">
        <f t="shared" si="43"/>
        <v>0</v>
      </c>
      <c r="O65" s="24"/>
      <c r="P65" s="48"/>
      <c r="Q65" s="48"/>
      <c r="R65" s="49">
        <f t="shared" si="44"/>
        <v>0</v>
      </c>
      <c r="S65" s="24"/>
      <c r="T65" s="48">
        <v>0.64583333333333337</v>
      </c>
      <c r="U65" s="51">
        <v>0.75</v>
      </c>
      <c r="V65" s="49">
        <f t="shared" si="45"/>
        <v>2.4999999999999991</v>
      </c>
      <c r="W65" s="24"/>
      <c r="X65" s="48"/>
      <c r="Y65" s="48"/>
      <c r="Z65" s="49">
        <f t="shared" si="46"/>
        <v>0</v>
      </c>
      <c r="AA65" s="24"/>
      <c r="AB65" s="48">
        <v>0.625</v>
      </c>
      <c r="AC65" s="48">
        <v>0.75</v>
      </c>
      <c r="AD65" s="49">
        <f t="shared" si="47"/>
        <v>3</v>
      </c>
      <c r="AE65" s="24"/>
      <c r="AF65" s="29">
        <f t="shared" si="48"/>
        <v>5.4999999999999991</v>
      </c>
      <c r="AG65" s="3"/>
    </row>
    <row r="66" spans="2:33" s="1" customFormat="1" ht="27">
      <c r="B66" s="13" t="s">
        <v>576</v>
      </c>
      <c r="C66" s="13" t="s">
        <v>591</v>
      </c>
      <c r="D66" s="48"/>
      <c r="E66" s="48"/>
      <c r="F66" s="85">
        <f t="shared" si="41"/>
        <v>0</v>
      </c>
      <c r="G66" s="25"/>
      <c r="H66" s="48"/>
      <c r="I66" s="48"/>
      <c r="J66" s="49">
        <f t="shared" si="42"/>
        <v>0</v>
      </c>
      <c r="K66" s="25"/>
      <c r="L66" s="48"/>
      <c r="M66" s="48"/>
      <c r="N66" s="49">
        <f t="shared" si="43"/>
        <v>0</v>
      </c>
      <c r="O66" s="25"/>
      <c r="P66" s="48"/>
      <c r="Q66" s="48"/>
      <c r="R66" s="49">
        <f t="shared" si="44"/>
        <v>0</v>
      </c>
      <c r="S66" s="25"/>
      <c r="T66" s="48">
        <v>0.65625</v>
      </c>
      <c r="U66" s="51">
        <v>0.75</v>
      </c>
      <c r="V66" s="49">
        <f t="shared" si="45"/>
        <v>2.25</v>
      </c>
      <c r="W66" s="25"/>
      <c r="X66" s="48"/>
      <c r="Y66" s="48"/>
      <c r="Z66" s="49">
        <f t="shared" si="46"/>
        <v>0</v>
      </c>
      <c r="AA66" s="25"/>
      <c r="AB66" s="48">
        <v>0.625</v>
      </c>
      <c r="AC66" s="48">
        <v>0.75</v>
      </c>
      <c r="AD66" s="49">
        <f t="shared" si="47"/>
        <v>3</v>
      </c>
      <c r="AE66" s="25"/>
      <c r="AF66" s="29">
        <f t="shared" si="48"/>
        <v>5.25</v>
      </c>
      <c r="AG66" s="3"/>
    </row>
    <row r="67" spans="2:33" s="1" customFormat="1">
      <c r="B67" s="63" t="s">
        <v>61</v>
      </c>
      <c r="C67" s="63"/>
      <c r="D67" s="63"/>
      <c r="E67" s="63"/>
      <c r="F67" s="86">
        <f>SUM(F63:F66)</f>
        <v>0</v>
      </c>
      <c r="G67" s="63"/>
      <c r="H67" s="63"/>
      <c r="I67" s="63"/>
      <c r="J67" s="86">
        <f>SUM(J63:J66)</f>
        <v>2.4999999999999991</v>
      </c>
      <c r="K67" s="63"/>
      <c r="L67" s="63"/>
      <c r="M67" s="63"/>
      <c r="N67" s="86">
        <f>SUM(N63:N66)</f>
        <v>0</v>
      </c>
      <c r="O67" s="63"/>
      <c r="P67" s="63"/>
      <c r="Q67" s="63"/>
      <c r="R67" s="86">
        <f>SUM(R63:R66)</f>
        <v>8</v>
      </c>
      <c r="S67" s="63"/>
      <c r="T67" s="63"/>
      <c r="U67" s="63"/>
      <c r="V67" s="86">
        <f>SUM(V63:V66)</f>
        <v>4.7499999999999991</v>
      </c>
      <c r="W67" s="63"/>
      <c r="X67" s="63"/>
      <c r="Y67" s="63"/>
      <c r="Z67" s="86">
        <f>SUM(Z63:Z66)</f>
        <v>0</v>
      </c>
      <c r="AA67" s="63"/>
      <c r="AB67" s="63"/>
      <c r="AC67" s="63"/>
      <c r="AD67" s="86">
        <f>SUM(AD63:AD66)</f>
        <v>6</v>
      </c>
      <c r="AE67" s="46"/>
      <c r="AF67" s="30">
        <f>SUM(AF63:AF66)</f>
        <v>21.25</v>
      </c>
      <c r="AG67" s="3"/>
    </row>
    <row r="68" spans="2:33" s="1" customFormat="1">
      <c r="B68" s="31" t="s">
        <v>577</v>
      </c>
      <c r="C68" s="31"/>
      <c r="D68" s="91"/>
      <c r="E68" s="83"/>
      <c r="F68" s="87"/>
      <c r="G68" s="83"/>
      <c r="H68" s="83"/>
      <c r="I68" s="83"/>
      <c r="J68" s="90">
        <v>2</v>
      </c>
      <c r="K68" s="83"/>
      <c r="L68" s="83"/>
      <c r="M68" s="83"/>
      <c r="N68" s="87"/>
      <c r="O68" s="83"/>
      <c r="P68" s="83"/>
      <c r="Q68" s="83"/>
      <c r="R68" s="90">
        <v>2</v>
      </c>
      <c r="S68" s="83"/>
      <c r="T68" s="83"/>
      <c r="U68" s="83"/>
      <c r="V68" s="90">
        <v>2</v>
      </c>
      <c r="W68" s="83"/>
      <c r="X68" s="83"/>
      <c r="Y68" s="83"/>
      <c r="Z68" s="87"/>
      <c r="AA68" s="83"/>
      <c r="AB68" s="83"/>
      <c r="AC68" s="83"/>
      <c r="AD68" s="91">
        <v>2</v>
      </c>
      <c r="AE68" s="45"/>
      <c r="AF68" s="28">
        <f>SUM(C68:AE68)</f>
        <v>8</v>
      </c>
      <c r="AG68" s="3"/>
    </row>
    <row r="69" spans="2:33" s="1" customFormat="1">
      <c r="B69" s="31" t="s">
        <v>578</v>
      </c>
      <c r="C69" s="31"/>
      <c r="D69" s="91"/>
      <c r="E69" s="83"/>
      <c r="F69" s="87"/>
      <c r="G69" s="83"/>
      <c r="H69" s="83"/>
      <c r="I69" s="83"/>
      <c r="J69" s="87"/>
      <c r="K69" s="83"/>
      <c r="L69" s="83"/>
      <c r="M69" s="83"/>
      <c r="N69" s="87"/>
      <c r="O69" s="83"/>
      <c r="P69" s="83"/>
      <c r="Q69" s="83"/>
      <c r="R69" s="87"/>
      <c r="S69" s="83"/>
      <c r="T69" s="83"/>
      <c r="U69" s="83"/>
      <c r="V69" s="87"/>
      <c r="W69" s="83"/>
      <c r="X69" s="83"/>
      <c r="Y69" s="83"/>
      <c r="Z69" s="87"/>
      <c r="AA69" s="83"/>
      <c r="AB69" s="83"/>
      <c r="AC69" s="83"/>
      <c r="AD69" s="83"/>
      <c r="AE69" s="45"/>
      <c r="AF69" s="28">
        <f>SUM(D69:AD69)</f>
        <v>0</v>
      </c>
      <c r="AG69" s="3"/>
    </row>
    <row r="70" spans="2:33" s="1" customFormat="1" ht="14.25" thickBot="1">
      <c r="B70" s="74" t="s">
        <v>579</v>
      </c>
      <c r="C70" s="74"/>
      <c r="D70" s="92"/>
      <c r="E70" s="92"/>
      <c r="F70" s="93"/>
      <c r="G70" s="92"/>
      <c r="H70" s="92"/>
      <c r="I70" s="92"/>
      <c r="J70" s="93"/>
      <c r="K70" s="92"/>
      <c r="L70" s="92"/>
      <c r="M70" s="92"/>
      <c r="N70" s="93"/>
      <c r="O70" s="92"/>
      <c r="P70" s="92"/>
      <c r="Q70" s="92"/>
      <c r="R70" s="93"/>
      <c r="S70" s="92"/>
      <c r="T70" s="92"/>
      <c r="U70" s="92"/>
      <c r="V70" s="93"/>
      <c r="W70" s="94"/>
      <c r="X70" s="94"/>
      <c r="Y70" s="94"/>
      <c r="Z70" s="93"/>
      <c r="AA70" s="94"/>
      <c r="AB70" s="94"/>
      <c r="AC70" s="94"/>
      <c r="AD70" s="94"/>
      <c r="AE70" s="94"/>
      <c r="AF70" s="80">
        <f>SUM(D70:AD70)</f>
        <v>0</v>
      </c>
      <c r="AG70" s="3"/>
    </row>
    <row r="71" spans="2:33" s="1" customFormat="1" ht="14.25" thickTop="1">
      <c r="B71" s="71" t="s">
        <v>66</v>
      </c>
      <c r="C71" s="3"/>
      <c r="D71" s="3"/>
      <c r="E71" s="3"/>
      <c r="F71" s="88">
        <f>SUM(F68:F70)</f>
        <v>0</v>
      </c>
      <c r="G71" s="3"/>
      <c r="H71" s="3"/>
      <c r="I71" s="3"/>
      <c r="J71" s="88">
        <f>SUM(J68:J70)</f>
        <v>2</v>
      </c>
      <c r="K71" s="3"/>
      <c r="L71" s="3"/>
      <c r="M71" s="3"/>
      <c r="N71" s="88">
        <f>SUM(N68:N70)</f>
        <v>0</v>
      </c>
      <c r="O71" s="3"/>
      <c r="P71" s="3"/>
      <c r="Q71" s="3"/>
      <c r="R71" s="88">
        <f>SUM(R68:R70)</f>
        <v>2</v>
      </c>
      <c r="S71" s="3"/>
      <c r="T71" s="3"/>
      <c r="U71" s="3"/>
      <c r="V71" s="88">
        <f>SUM(V68:V70)</f>
        <v>2</v>
      </c>
      <c r="W71" s="3"/>
      <c r="X71" s="3"/>
      <c r="Y71" s="3"/>
      <c r="Z71" s="88">
        <f>SUM(Z68:Z70)</f>
        <v>0</v>
      </c>
      <c r="AA71" s="3"/>
      <c r="AB71" s="3"/>
      <c r="AC71" s="3"/>
      <c r="AD71" s="67">
        <f>SUM(AD68:AD70)</f>
        <v>2</v>
      </c>
      <c r="AE71" s="3"/>
      <c r="AF71" s="71">
        <f>SUM(F71:AD71)</f>
        <v>8</v>
      </c>
      <c r="AG71" s="3"/>
    </row>
    <row r="72" spans="2:33" s="1" customFormat="1">
      <c r="B72" s="1518" t="s">
        <v>18</v>
      </c>
      <c r="C72" s="1552" t="s">
        <v>571</v>
      </c>
      <c r="D72" s="1524">
        <v>45082</v>
      </c>
      <c r="E72" s="1524"/>
      <c r="F72" s="1524"/>
      <c r="G72" s="22"/>
      <c r="H72" s="1524">
        <f>D72+1</f>
        <v>45083</v>
      </c>
      <c r="I72" s="1524"/>
      <c r="J72" s="1524"/>
      <c r="K72" s="22"/>
      <c r="L72" s="1524">
        <f>H72+1</f>
        <v>45084</v>
      </c>
      <c r="M72" s="1524"/>
      <c r="N72" s="1524"/>
      <c r="O72" s="3"/>
      <c r="P72" s="1524">
        <f>L72+1</f>
        <v>45085</v>
      </c>
      <c r="Q72" s="1524"/>
      <c r="R72" s="1524"/>
      <c r="S72" s="3"/>
      <c r="T72" s="1524">
        <f>P72+1</f>
        <v>45086</v>
      </c>
      <c r="U72" s="1524"/>
      <c r="V72" s="1524"/>
      <c r="W72" s="22"/>
      <c r="X72" s="1524">
        <f>T72+1</f>
        <v>45087</v>
      </c>
      <c r="Y72" s="1524"/>
      <c r="Z72" s="1524"/>
      <c r="AA72" s="3"/>
      <c r="AB72" s="1524">
        <f>X72+1</f>
        <v>45088</v>
      </c>
      <c r="AC72" s="1524"/>
      <c r="AD72" s="1524"/>
      <c r="AE72" s="22"/>
      <c r="AF72" s="1517" t="s">
        <v>19</v>
      </c>
      <c r="AG72" s="3"/>
    </row>
    <row r="73" spans="2:33" s="1" customFormat="1">
      <c r="B73" s="1518"/>
      <c r="C73" s="1552"/>
      <c r="D73" s="21" t="s">
        <v>23</v>
      </c>
      <c r="E73" s="21" t="s">
        <v>24</v>
      </c>
      <c r="F73" s="62" t="s">
        <v>25</v>
      </c>
      <c r="G73" s="23"/>
      <c r="H73" s="21" t="s">
        <v>23</v>
      </c>
      <c r="I73" s="21" t="s">
        <v>24</v>
      </c>
      <c r="J73" s="18" t="s">
        <v>25</v>
      </c>
      <c r="K73" s="23"/>
      <c r="L73" s="21" t="s">
        <v>23</v>
      </c>
      <c r="M73" s="21" t="s">
        <v>24</v>
      </c>
      <c r="N73" s="18" t="s">
        <v>25</v>
      </c>
      <c r="O73" s="23"/>
      <c r="P73" s="21" t="s">
        <v>23</v>
      </c>
      <c r="Q73" s="21" t="s">
        <v>24</v>
      </c>
      <c r="R73" s="18" t="s">
        <v>25</v>
      </c>
      <c r="S73" s="23"/>
      <c r="T73" s="21" t="s">
        <v>23</v>
      </c>
      <c r="U73" s="21" t="s">
        <v>24</v>
      </c>
      <c r="V73" s="18" t="s">
        <v>25</v>
      </c>
      <c r="W73" s="23"/>
      <c r="X73" s="21" t="s">
        <v>23</v>
      </c>
      <c r="Y73" s="21" t="s">
        <v>24</v>
      </c>
      <c r="Z73" s="18" t="s">
        <v>25</v>
      </c>
      <c r="AA73" s="23"/>
      <c r="AB73" s="21" t="s">
        <v>23</v>
      </c>
      <c r="AC73" s="21" t="s">
        <v>24</v>
      </c>
      <c r="AD73" s="18" t="s">
        <v>25</v>
      </c>
      <c r="AE73" s="23"/>
      <c r="AF73" s="1517"/>
      <c r="AG73" s="3"/>
    </row>
    <row r="74" spans="2:33" s="1" customFormat="1" ht="14.25">
      <c r="B74" s="13" t="s">
        <v>572</v>
      </c>
      <c r="C74" s="13" t="s">
        <v>592</v>
      </c>
      <c r="D74" s="48">
        <v>0.29166666666666669</v>
      </c>
      <c r="E74" s="48">
        <v>0.66666666666666663</v>
      </c>
      <c r="F74" s="85">
        <f>(E74-D74)*24</f>
        <v>8.9999999999999982</v>
      </c>
      <c r="G74" s="24"/>
      <c r="H74" s="48"/>
      <c r="I74" s="48"/>
      <c r="J74" s="49">
        <f>(I74-H74)*24</f>
        <v>0</v>
      </c>
      <c r="K74" s="24"/>
      <c r="L74" s="48"/>
      <c r="M74" s="48"/>
      <c r="N74" s="49">
        <f>(M74-L74)*24</f>
        <v>0</v>
      </c>
      <c r="O74" s="24"/>
      <c r="P74" s="48"/>
      <c r="Q74" s="48"/>
      <c r="R74" s="49">
        <f>(Q74-P74)*24</f>
        <v>0</v>
      </c>
      <c r="S74" s="24"/>
      <c r="T74" s="48"/>
      <c r="U74" s="48"/>
      <c r="V74" s="49">
        <f>(U74-T74)*24</f>
        <v>0</v>
      </c>
      <c r="W74" s="24"/>
      <c r="X74" s="48"/>
      <c r="Y74" s="48"/>
      <c r="Z74" s="49">
        <f>(Y74-X74)*24</f>
        <v>0</v>
      </c>
      <c r="AA74" s="24"/>
      <c r="AB74" s="48"/>
      <c r="AC74" s="48"/>
      <c r="AD74" s="49">
        <f>(AC74-AB74)*24</f>
        <v>0</v>
      </c>
      <c r="AE74" s="24"/>
      <c r="AF74" s="29">
        <f>J74+F74+N74+R74+V74+Z74+AD74</f>
        <v>8.9999999999999982</v>
      </c>
      <c r="AG74" s="3"/>
    </row>
    <row r="75" spans="2:33" s="1" customFormat="1" ht="14.25">
      <c r="B75" s="13" t="s">
        <v>580</v>
      </c>
      <c r="C75" s="13" t="s">
        <v>592</v>
      </c>
      <c r="D75" s="48">
        <v>0.29166666666666669</v>
      </c>
      <c r="E75" s="48">
        <v>0.66666666666666663</v>
      </c>
      <c r="F75" s="85">
        <f t="shared" ref="F75:F79" si="49">(E75-D75)*24</f>
        <v>8.9999999999999982</v>
      </c>
      <c r="G75" s="24"/>
      <c r="H75" s="48"/>
      <c r="I75" s="48"/>
      <c r="J75" s="49">
        <f t="shared" ref="J75:J79" si="50">(I75-H75)*24</f>
        <v>0</v>
      </c>
      <c r="K75" s="24"/>
      <c r="L75" s="48"/>
      <c r="M75" s="48"/>
      <c r="N75" s="49">
        <f t="shared" ref="N75:N79" si="51">(M75-L75)*24</f>
        <v>0</v>
      </c>
      <c r="O75" s="24"/>
      <c r="P75" s="48"/>
      <c r="Q75" s="48"/>
      <c r="R75" s="49">
        <f t="shared" ref="R75:R79" si="52">(Q75-P75)*24</f>
        <v>0</v>
      </c>
      <c r="S75" s="24"/>
      <c r="T75" s="48"/>
      <c r="U75" s="48"/>
      <c r="V75" s="49">
        <f t="shared" ref="V75:V79" si="53">(U75-T75)*24</f>
        <v>0</v>
      </c>
      <c r="W75" s="24"/>
      <c r="X75" s="48"/>
      <c r="Y75" s="48"/>
      <c r="Z75" s="49">
        <f t="shared" ref="Z75:Z79" si="54">(Y75-X75)*24</f>
        <v>0</v>
      </c>
      <c r="AA75" s="24"/>
      <c r="AB75" s="48"/>
      <c r="AC75" s="48"/>
      <c r="AD75" s="49">
        <f t="shared" ref="AD75:AD79" si="55">(AC75-AB75)*24</f>
        <v>0</v>
      </c>
      <c r="AE75" s="24"/>
      <c r="AF75" s="29">
        <f t="shared" ref="AF75:AF79" si="56">J75+F75+N75+R75+V75+Z75+AD75</f>
        <v>8.9999999999999982</v>
      </c>
      <c r="AG75" s="3"/>
    </row>
    <row r="76" spans="2:33" s="1" customFormat="1" ht="27">
      <c r="B76" s="13" t="s">
        <v>576</v>
      </c>
      <c r="C76" s="13" t="s">
        <v>591</v>
      </c>
      <c r="D76" s="48">
        <v>0.39583333333333331</v>
      </c>
      <c r="E76" s="48">
        <v>0.47916666666666669</v>
      </c>
      <c r="F76" s="85">
        <f t="shared" si="49"/>
        <v>2.0000000000000009</v>
      </c>
      <c r="G76" s="24"/>
      <c r="H76" s="48"/>
      <c r="I76" s="48"/>
      <c r="J76" s="49">
        <f t="shared" si="50"/>
        <v>0</v>
      </c>
      <c r="K76" s="24"/>
      <c r="L76" s="48"/>
      <c r="M76" s="48"/>
      <c r="N76" s="49">
        <f t="shared" si="51"/>
        <v>0</v>
      </c>
      <c r="O76" s="24"/>
      <c r="P76" s="48"/>
      <c r="Q76" s="48"/>
      <c r="R76" s="49">
        <f t="shared" si="52"/>
        <v>0</v>
      </c>
      <c r="S76" s="24"/>
      <c r="T76" s="48">
        <v>0.64583333333333337</v>
      </c>
      <c r="U76" s="51">
        <v>0.75</v>
      </c>
      <c r="V76" s="49">
        <f t="shared" si="53"/>
        <v>2.4999999999999991</v>
      </c>
      <c r="W76" s="24"/>
      <c r="X76" s="48"/>
      <c r="Y76" s="48"/>
      <c r="Z76" s="49">
        <f t="shared" si="54"/>
        <v>0</v>
      </c>
      <c r="AA76" s="24"/>
      <c r="AB76" s="48">
        <v>0.64583333333333337</v>
      </c>
      <c r="AC76" s="51">
        <v>0.75</v>
      </c>
      <c r="AD76" s="49">
        <f t="shared" si="55"/>
        <v>2.4999999999999991</v>
      </c>
      <c r="AE76" s="24"/>
      <c r="AF76" s="29">
        <f t="shared" si="56"/>
        <v>6.9999999999999991</v>
      </c>
      <c r="AG76" s="3"/>
    </row>
    <row r="77" spans="2:33" s="1" customFormat="1" ht="27">
      <c r="B77" s="13" t="s">
        <v>572</v>
      </c>
      <c r="C77" s="13" t="s">
        <v>591</v>
      </c>
      <c r="D77" s="48"/>
      <c r="E77" s="48"/>
      <c r="F77" s="85">
        <f t="shared" ref="F77" si="57">(E77-D77)*24</f>
        <v>0</v>
      </c>
      <c r="G77" s="24"/>
      <c r="H77" s="48"/>
      <c r="I77" s="48"/>
      <c r="J77" s="49">
        <f t="shared" ref="J77" si="58">(I77-H77)*24</f>
        <v>0</v>
      </c>
      <c r="K77" s="24"/>
      <c r="L77" s="48"/>
      <c r="M77" s="48"/>
      <c r="N77" s="49">
        <f t="shared" ref="N77" si="59">(M77-L77)*24</f>
        <v>0</v>
      </c>
      <c r="O77" s="24"/>
      <c r="P77" s="48"/>
      <c r="Q77" s="48"/>
      <c r="R77" s="49">
        <f t="shared" ref="R77" si="60">(Q77-P77)*24</f>
        <v>0</v>
      </c>
      <c r="S77" s="24"/>
      <c r="T77" s="48">
        <v>0.64583333333333337</v>
      </c>
      <c r="U77" s="51">
        <v>0.75</v>
      </c>
      <c r="V77" s="49">
        <f t="shared" ref="V77" si="61">(U77-T77)*24</f>
        <v>2.4999999999999991</v>
      </c>
      <c r="W77" s="24"/>
      <c r="X77" s="48"/>
      <c r="Y77" s="48"/>
      <c r="Z77" s="49">
        <f t="shared" ref="Z77" si="62">(Y77-X77)*24</f>
        <v>0</v>
      </c>
      <c r="AA77" s="24"/>
      <c r="AB77" s="48">
        <v>0.64583333333333337</v>
      </c>
      <c r="AC77" s="51">
        <v>0.75</v>
      </c>
      <c r="AD77" s="49">
        <f t="shared" ref="AD77" si="63">(AC77-AB77)*24</f>
        <v>2.4999999999999991</v>
      </c>
      <c r="AE77" s="24"/>
      <c r="AF77" s="29">
        <f t="shared" ref="AF77" si="64">J77+F77+N77+R77+V77+Z77+AD77</f>
        <v>4.9999999999999982</v>
      </c>
      <c r="AG77" s="3"/>
    </row>
    <row r="78" spans="2:33" s="1" customFormat="1" ht="27">
      <c r="B78" s="13" t="s">
        <v>54</v>
      </c>
      <c r="C78" s="13" t="s">
        <v>593</v>
      </c>
      <c r="D78" s="48">
        <v>0.375</v>
      </c>
      <c r="E78" s="48">
        <v>0.70833333333333337</v>
      </c>
      <c r="F78" s="85">
        <f t="shared" si="49"/>
        <v>8</v>
      </c>
      <c r="G78" s="24"/>
      <c r="H78" s="48">
        <v>0.375</v>
      </c>
      <c r="I78" s="48">
        <v>0.70833333333333337</v>
      </c>
      <c r="J78" s="49">
        <f t="shared" si="50"/>
        <v>8</v>
      </c>
      <c r="K78" s="24"/>
      <c r="L78" s="48"/>
      <c r="M78" s="48"/>
      <c r="N78" s="49">
        <f t="shared" si="51"/>
        <v>0</v>
      </c>
      <c r="O78" s="24"/>
      <c r="P78" s="48"/>
      <c r="Q78" s="48"/>
      <c r="R78" s="49">
        <f t="shared" si="52"/>
        <v>0</v>
      </c>
      <c r="S78" s="24"/>
      <c r="T78" s="48"/>
      <c r="U78" s="51"/>
      <c r="V78" s="49">
        <f t="shared" si="53"/>
        <v>0</v>
      </c>
      <c r="W78" s="24"/>
      <c r="X78" s="48"/>
      <c r="Y78" s="48"/>
      <c r="Z78" s="49">
        <f t="shared" si="54"/>
        <v>0</v>
      </c>
      <c r="AA78" s="24"/>
      <c r="AB78" s="48"/>
      <c r="AC78" s="48"/>
      <c r="AD78" s="49">
        <f t="shared" si="55"/>
        <v>0</v>
      </c>
      <c r="AE78" s="24"/>
      <c r="AF78" s="29">
        <f t="shared" si="56"/>
        <v>16</v>
      </c>
      <c r="AG78" s="3"/>
    </row>
    <row r="79" spans="2:33" s="1" customFormat="1" ht="27">
      <c r="B79" s="13" t="s">
        <v>572</v>
      </c>
      <c r="C79" s="13" t="s">
        <v>594</v>
      </c>
      <c r="D79" s="48"/>
      <c r="E79" s="48"/>
      <c r="F79" s="85">
        <f t="shared" si="49"/>
        <v>0</v>
      </c>
      <c r="G79" s="25"/>
      <c r="H79" s="48">
        <v>0.375</v>
      </c>
      <c r="I79" s="48">
        <v>0.54166666666666663</v>
      </c>
      <c r="J79" s="49">
        <f t="shared" si="50"/>
        <v>3.9999999999999991</v>
      </c>
      <c r="K79" s="25"/>
      <c r="L79" s="48"/>
      <c r="M79" s="48"/>
      <c r="N79" s="49">
        <f t="shared" si="51"/>
        <v>0</v>
      </c>
      <c r="O79" s="25"/>
      <c r="P79" s="48"/>
      <c r="Q79" s="48"/>
      <c r="R79" s="49">
        <f t="shared" si="52"/>
        <v>0</v>
      </c>
      <c r="S79" s="25"/>
      <c r="T79" s="48"/>
      <c r="U79" s="51"/>
      <c r="V79" s="49">
        <f t="shared" si="53"/>
        <v>0</v>
      </c>
      <c r="W79" s="25"/>
      <c r="X79" s="48"/>
      <c r="Y79" s="48"/>
      <c r="Z79" s="49">
        <f t="shared" si="54"/>
        <v>0</v>
      </c>
      <c r="AA79" s="25"/>
      <c r="AB79" s="48"/>
      <c r="AC79" s="48"/>
      <c r="AD79" s="49">
        <f t="shared" si="55"/>
        <v>0</v>
      </c>
      <c r="AE79" s="25"/>
      <c r="AF79" s="29">
        <f t="shared" si="56"/>
        <v>3.9999999999999991</v>
      </c>
      <c r="AG79" s="3"/>
    </row>
    <row r="80" spans="2:33" s="1" customFormat="1">
      <c r="B80" s="63" t="s">
        <v>61</v>
      </c>
      <c r="C80" s="63"/>
      <c r="D80" s="63"/>
      <c r="E80" s="63"/>
      <c r="F80" s="86">
        <f>SUM(F74:F79)</f>
        <v>27.999999999999996</v>
      </c>
      <c r="G80" s="99"/>
      <c r="H80" s="99"/>
      <c r="I80" s="99"/>
      <c r="J80" s="86">
        <f>SUM(J74:J79)</f>
        <v>12</v>
      </c>
      <c r="K80" s="99"/>
      <c r="L80" s="99"/>
      <c r="M80" s="99"/>
      <c r="N80" s="86">
        <f>SUM(N74:N79)</f>
        <v>0</v>
      </c>
      <c r="O80" s="99"/>
      <c r="P80" s="99"/>
      <c r="Q80" s="99"/>
      <c r="R80" s="86">
        <f>SUM(R74:R79)</f>
        <v>0</v>
      </c>
      <c r="S80" s="99"/>
      <c r="T80" s="99"/>
      <c r="U80" s="99"/>
      <c r="V80" s="86">
        <f>SUM(V74:V79)</f>
        <v>4.9999999999999982</v>
      </c>
      <c r="W80" s="99"/>
      <c r="X80" s="99"/>
      <c r="Y80" s="99"/>
      <c r="Z80" s="86">
        <f>SUM(Z74:Z79)</f>
        <v>0</v>
      </c>
      <c r="AA80" s="99"/>
      <c r="AB80" s="99"/>
      <c r="AC80" s="99"/>
      <c r="AD80" s="86">
        <f>SUM(AD74:AD79)</f>
        <v>4.9999999999999982</v>
      </c>
      <c r="AE80" s="46"/>
      <c r="AF80" s="30">
        <f>SUM(AF74:AF79)</f>
        <v>49.999999999999993</v>
      </c>
      <c r="AG80" s="3"/>
    </row>
    <row r="81" spans="2:33" s="1" customFormat="1">
      <c r="B81" s="31" t="s">
        <v>577</v>
      </c>
      <c r="C81" s="31"/>
      <c r="D81" s="91"/>
      <c r="E81" s="83"/>
      <c r="F81" s="90">
        <v>5</v>
      </c>
      <c r="G81" s="83"/>
      <c r="H81" s="83"/>
      <c r="I81" s="83"/>
      <c r="J81" s="90">
        <v>5</v>
      </c>
      <c r="K81" s="83"/>
      <c r="L81" s="83"/>
      <c r="M81" s="83"/>
      <c r="N81" s="87">
        <v>0</v>
      </c>
      <c r="O81" s="83"/>
      <c r="P81" s="83"/>
      <c r="Q81" s="83"/>
      <c r="R81" s="87"/>
      <c r="S81" s="83"/>
      <c r="T81" s="83"/>
      <c r="U81" s="83"/>
      <c r="V81" s="90">
        <v>3</v>
      </c>
      <c r="W81" s="83"/>
      <c r="X81" s="83"/>
      <c r="Y81" s="83"/>
      <c r="Z81" s="87">
        <v>0</v>
      </c>
      <c r="AA81" s="83"/>
      <c r="AB81" s="83"/>
      <c r="AC81" s="83"/>
      <c r="AD81" s="91">
        <v>3</v>
      </c>
      <c r="AE81" s="45"/>
      <c r="AF81" s="28">
        <f>SUM(D81:AE81)</f>
        <v>16</v>
      </c>
      <c r="AG81" s="3"/>
    </row>
    <row r="82" spans="2:33" s="1" customFormat="1">
      <c r="B82" s="31" t="s">
        <v>578</v>
      </c>
      <c r="C82" s="31"/>
      <c r="D82" s="91"/>
      <c r="E82" s="83"/>
      <c r="F82" s="87"/>
      <c r="G82" s="83"/>
      <c r="H82" s="83"/>
      <c r="I82" s="83"/>
      <c r="J82" s="87"/>
      <c r="K82" s="83"/>
      <c r="L82" s="83"/>
      <c r="M82" s="83"/>
      <c r="N82" s="87"/>
      <c r="O82" s="83"/>
      <c r="P82" s="83"/>
      <c r="Q82" s="83"/>
      <c r="R82" s="87"/>
      <c r="S82" s="83"/>
      <c r="T82" s="83"/>
      <c r="U82" s="83"/>
      <c r="V82" s="87"/>
      <c r="W82" s="83"/>
      <c r="X82" s="83"/>
      <c r="Y82" s="83"/>
      <c r="Z82" s="87"/>
      <c r="AA82" s="83"/>
      <c r="AB82" s="83"/>
      <c r="AC82" s="83"/>
      <c r="AD82" s="83"/>
      <c r="AE82" s="45"/>
      <c r="AF82" s="28">
        <f>SUM(D82:AD82)</f>
        <v>0</v>
      </c>
      <c r="AG82" s="3"/>
    </row>
    <row r="83" spans="2:33" s="1" customFormat="1" ht="14.25" thickBot="1">
      <c r="B83" s="74" t="s">
        <v>579</v>
      </c>
      <c r="C83" s="74"/>
      <c r="D83" s="92"/>
      <c r="E83" s="92"/>
      <c r="F83" s="93"/>
      <c r="G83" s="92"/>
      <c r="H83" s="92"/>
      <c r="I83" s="92"/>
      <c r="J83" s="93"/>
      <c r="K83" s="92"/>
      <c r="L83" s="92"/>
      <c r="M83" s="92"/>
      <c r="N83" s="93"/>
      <c r="O83" s="92"/>
      <c r="P83" s="92"/>
      <c r="Q83" s="92"/>
      <c r="R83" s="93"/>
      <c r="S83" s="92"/>
      <c r="T83" s="92"/>
      <c r="U83" s="92"/>
      <c r="V83" s="93"/>
      <c r="W83" s="94"/>
      <c r="X83" s="94"/>
      <c r="Y83" s="94"/>
      <c r="Z83" s="93"/>
      <c r="AA83" s="94"/>
      <c r="AB83" s="94"/>
      <c r="AC83" s="94"/>
      <c r="AD83" s="94"/>
      <c r="AE83" s="94"/>
      <c r="AF83" s="80">
        <f>SUM(D83:AD83)</f>
        <v>0</v>
      </c>
      <c r="AG83" s="3"/>
    </row>
    <row r="84" spans="2:33" s="1" customFormat="1" ht="14.25" thickTop="1">
      <c r="B84" s="71" t="s">
        <v>66</v>
      </c>
      <c r="C84" s="3"/>
      <c r="D84" s="3"/>
      <c r="E84" s="3"/>
      <c r="F84" s="88">
        <f>SUM(F81:F83)</f>
        <v>5</v>
      </c>
      <c r="G84" s="3"/>
      <c r="H84" s="3"/>
      <c r="I84" s="3"/>
      <c r="J84" s="88">
        <f>SUM(J81:J83)</f>
        <v>5</v>
      </c>
      <c r="K84" s="3"/>
      <c r="L84" s="3"/>
      <c r="M84" s="3"/>
      <c r="N84" s="88">
        <f>SUM(N81:N83)</f>
        <v>0</v>
      </c>
      <c r="O84" s="3"/>
      <c r="P84" s="3"/>
      <c r="Q84" s="3"/>
      <c r="R84" s="88">
        <f>SUM(R81:R83)</f>
        <v>0</v>
      </c>
      <c r="S84" s="3"/>
      <c r="T84" s="3"/>
      <c r="U84" s="3"/>
      <c r="V84" s="88">
        <f>SUM(V81:V83)</f>
        <v>3</v>
      </c>
      <c r="W84" s="3"/>
      <c r="X84" s="3"/>
      <c r="Y84" s="3"/>
      <c r="Z84" s="88">
        <f>SUM(Z81:Z83)</f>
        <v>0</v>
      </c>
      <c r="AA84" s="3"/>
      <c r="AB84" s="3"/>
      <c r="AC84" s="3"/>
      <c r="AD84" s="67">
        <f>SUM(AD81:AD83)</f>
        <v>3</v>
      </c>
      <c r="AE84" s="3"/>
      <c r="AF84" s="71">
        <f>SUM(F84:AD84)</f>
        <v>16</v>
      </c>
      <c r="AG84" s="3"/>
    </row>
    <row r="85" spans="2:33" s="1" customFormat="1">
      <c r="B85" s="1518" t="s">
        <v>18</v>
      </c>
      <c r="C85" s="1552" t="s">
        <v>571</v>
      </c>
      <c r="D85" s="1524">
        <v>45089</v>
      </c>
      <c r="E85" s="1524"/>
      <c r="F85" s="1524"/>
      <c r="G85" s="22"/>
      <c r="H85" s="1524">
        <f>D85+1</f>
        <v>45090</v>
      </c>
      <c r="I85" s="1524"/>
      <c r="J85" s="1524"/>
      <c r="K85" s="22"/>
      <c r="L85" s="1524">
        <f>H85+1</f>
        <v>45091</v>
      </c>
      <c r="M85" s="1524"/>
      <c r="N85" s="1524"/>
      <c r="O85" s="3"/>
      <c r="P85" s="1524">
        <f>L85+1</f>
        <v>45092</v>
      </c>
      <c r="Q85" s="1524"/>
      <c r="R85" s="1524"/>
      <c r="S85" s="3"/>
      <c r="T85" s="1524">
        <f>P85+1</f>
        <v>45093</v>
      </c>
      <c r="U85" s="1524"/>
      <c r="V85" s="1524"/>
      <c r="W85" s="22"/>
      <c r="X85" s="1524">
        <f>T85+1</f>
        <v>45094</v>
      </c>
      <c r="Y85" s="1524"/>
      <c r="Z85" s="1524"/>
      <c r="AA85" s="3"/>
      <c r="AB85" s="1524">
        <f>X85+1</f>
        <v>45095</v>
      </c>
      <c r="AC85" s="1524"/>
      <c r="AD85" s="1524"/>
      <c r="AE85" s="22"/>
      <c r="AF85" s="1517" t="s">
        <v>19</v>
      </c>
      <c r="AG85" s="3"/>
    </row>
    <row r="86" spans="2:33" s="1" customFormat="1">
      <c r="B86" s="1518"/>
      <c r="C86" s="1552"/>
      <c r="D86" s="21" t="s">
        <v>23</v>
      </c>
      <c r="E86" s="21" t="s">
        <v>24</v>
      </c>
      <c r="F86" s="62" t="s">
        <v>25</v>
      </c>
      <c r="G86" s="23"/>
      <c r="H86" s="21" t="s">
        <v>23</v>
      </c>
      <c r="I86" s="21" t="s">
        <v>24</v>
      </c>
      <c r="J86" s="18" t="s">
        <v>25</v>
      </c>
      <c r="K86" s="23"/>
      <c r="L86" s="21" t="s">
        <v>23</v>
      </c>
      <c r="M86" s="21" t="s">
        <v>24</v>
      </c>
      <c r="N86" s="18" t="s">
        <v>25</v>
      </c>
      <c r="O86" s="23"/>
      <c r="P86" s="21" t="s">
        <v>23</v>
      </c>
      <c r="Q86" s="21" t="s">
        <v>24</v>
      </c>
      <c r="R86" s="18" t="s">
        <v>25</v>
      </c>
      <c r="S86" s="23"/>
      <c r="T86" s="21" t="s">
        <v>23</v>
      </c>
      <c r="U86" s="21" t="s">
        <v>24</v>
      </c>
      <c r="V86" s="18" t="s">
        <v>25</v>
      </c>
      <c r="W86" s="23"/>
      <c r="X86" s="21" t="s">
        <v>23</v>
      </c>
      <c r="Y86" s="21" t="s">
        <v>24</v>
      </c>
      <c r="Z86" s="18" t="s">
        <v>25</v>
      </c>
      <c r="AA86" s="23"/>
      <c r="AB86" s="21" t="s">
        <v>23</v>
      </c>
      <c r="AC86" s="21" t="s">
        <v>24</v>
      </c>
      <c r="AD86" s="18" t="s">
        <v>25</v>
      </c>
      <c r="AE86" s="23"/>
      <c r="AF86" s="1517"/>
      <c r="AG86" s="3"/>
    </row>
    <row r="87" spans="2:33" s="1" customFormat="1" ht="27">
      <c r="B87" s="13" t="s">
        <v>576</v>
      </c>
      <c r="C87" s="13" t="s">
        <v>591</v>
      </c>
      <c r="D87" s="48">
        <v>0.375</v>
      </c>
      <c r="E87" s="48">
        <v>0.47916666666666669</v>
      </c>
      <c r="F87" s="85">
        <f>(E87-D87)*24</f>
        <v>2.5000000000000004</v>
      </c>
      <c r="G87" s="24"/>
      <c r="H87" s="48"/>
      <c r="I87" s="48"/>
      <c r="J87" s="49">
        <f>(I87-H87)*24</f>
        <v>0</v>
      </c>
      <c r="K87" s="24"/>
      <c r="L87" s="48"/>
      <c r="M87" s="48"/>
      <c r="N87" s="49">
        <f>(M87-L87)*24</f>
        <v>0</v>
      </c>
      <c r="O87" s="24"/>
      <c r="P87" s="48"/>
      <c r="Q87" s="48"/>
      <c r="R87" s="49">
        <f>(Q87-P87)*24</f>
        <v>0</v>
      </c>
      <c r="S87" s="24"/>
      <c r="T87" s="48"/>
      <c r="U87" s="48"/>
      <c r="V87" s="49">
        <f>(U87-T87)*24</f>
        <v>0</v>
      </c>
      <c r="W87" s="24"/>
      <c r="X87" s="48"/>
      <c r="Y87" s="48"/>
      <c r="Z87" s="49">
        <f>(Y87-X87)*24</f>
        <v>0</v>
      </c>
      <c r="AA87" s="24"/>
      <c r="AB87" s="48"/>
      <c r="AC87" s="48"/>
      <c r="AD87" s="49">
        <f>(AC87-AB87)*24</f>
        <v>0</v>
      </c>
      <c r="AE87" s="24"/>
      <c r="AF87" s="29">
        <f>J87+F87+N87+R87+V87+Z87+AD87</f>
        <v>2.5000000000000004</v>
      </c>
      <c r="AG87" s="3"/>
    </row>
    <row r="88" spans="2:33" s="1" customFormat="1" ht="27">
      <c r="B88" s="13" t="s">
        <v>572</v>
      </c>
      <c r="C88" s="13" t="s">
        <v>595</v>
      </c>
      <c r="D88" s="48">
        <v>0.375</v>
      </c>
      <c r="E88" s="48">
        <v>0.58333333333333337</v>
      </c>
      <c r="F88" s="85">
        <f t="shared" ref="F88:F96" si="65">(E88-D88)*24</f>
        <v>5.0000000000000009</v>
      </c>
      <c r="G88" s="24"/>
      <c r="H88" s="48"/>
      <c r="I88" s="48"/>
      <c r="J88" s="49">
        <f t="shared" ref="J88:J96" si="66">(I88-H88)*24</f>
        <v>0</v>
      </c>
      <c r="K88" s="24"/>
      <c r="L88" s="48"/>
      <c r="M88" s="48"/>
      <c r="N88" s="49">
        <f t="shared" ref="N88:N96" si="67">(M88-L88)*24</f>
        <v>0</v>
      </c>
      <c r="O88" s="24"/>
      <c r="P88" s="48"/>
      <c r="Q88" s="48"/>
      <c r="R88" s="49">
        <f t="shared" ref="R88:R96" si="68">(Q88-P88)*24</f>
        <v>0</v>
      </c>
      <c r="S88" s="24"/>
      <c r="T88" s="48"/>
      <c r="U88" s="48"/>
      <c r="V88" s="49">
        <f t="shared" ref="V88:V96" si="69">(U88-T88)*24</f>
        <v>0</v>
      </c>
      <c r="W88" s="24"/>
      <c r="X88" s="48"/>
      <c r="Y88" s="48"/>
      <c r="Z88" s="49">
        <f t="shared" ref="Z88:Z96" si="70">(Y88-X88)*24</f>
        <v>0</v>
      </c>
      <c r="AA88" s="24"/>
      <c r="AB88" s="48"/>
      <c r="AC88" s="48"/>
      <c r="AD88" s="49">
        <f t="shared" ref="AD88:AD96" si="71">(AC88-AB88)*24</f>
        <v>0</v>
      </c>
      <c r="AE88" s="24"/>
      <c r="AF88" s="29">
        <f t="shared" ref="AF88:AF93" si="72">J88+F88+N88+R88+V88+Z88+AD88</f>
        <v>5.0000000000000009</v>
      </c>
      <c r="AG88" s="3"/>
    </row>
    <row r="89" spans="2:33" s="1" customFormat="1" ht="27">
      <c r="B89" s="13" t="s">
        <v>54</v>
      </c>
      <c r="C89" s="13" t="s">
        <v>596</v>
      </c>
      <c r="D89" s="48"/>
      <c r="E89" s="48"/>
      <c r="F89" s="85">
        <f t="shared" si="65"/>
        <v>0</v>
      </c>
      <c r="G89" s="24"/>
      <c r="H89" s="48">
        <v>0.3888888888888889</v>
      </c>
      <c r="I89" s="48">
        <v>0.70833333333333337</v>
      </c>
      <c r="J89" s="49">
        <f t="shared" si="66"/>
        <v>7.6666666666666679</v>
      </c>
      <c r="K89" s="24"/>
      <c r="L89" s="48">
        <v>0.375</v>
      </c>
      <c r="M89" s="48">
        <v>0.6875</v>
      </c>
      <c r="N89" s="49">
        <f t="shared" si="67"/>
        <v>7.5</v>
      </c>
      <c r="O89" s="24"/>
      <c r="P89" s="48"/>
      <c r="Q89" s="48"/>
      <c r="R89" s="49">
        <f t="shared" si="68"/>
        <v>0</v>
      </c>
      <c r="S89" s="24"/>
      <c r="T89" s="48"/>
      <c r="U89" s="51"/>
      <c r="V89" s="49">
        <f t="shared" si="69"/>
        <v>0</v>
      </c>
      <c r="W89" s="24"/>
      <c r="X89" s="48"/>
      <c r="Y89" s="48"/>
      <c r="Z89" s="49">
        <f t="shared" si="70"/>
        <v>0</v>
      </c>
      <c r="AA89" s="24"/>
      <c r="AB89" s="48"/>
      <c r="AC89" s="48"/>
      <c r="AD89" s="49">
        <f t="shared" si="71"/>
        <v>0</v>
      </c>
      <c r="AE89" s="24"/>
      <c r="AF89" s="29">
        <f t="shared" si="72"/>
        <v>15.166666666666668</v>
      </c>
      <c r="AG89" s="3"/>
    </row>
    <row r="90" spans="2:33" s="1" customFormat="1" ht="27">
      <c r="B90" s="13" t="s">
        <v>572</v>
      </c>
      <c r="C90" s="13" t="s">
        <v>596</v>
      </c>
      <c r="D90" s="48"/>
      <c r="E90" s="48"/>
      <c r="F90" s="85">
        <f t="shared" si="65"/>
        <v>0</v>
      </c>
      <c r="G90" s="24"/>
      <c r="H90" s="48"/>
      <c r="I90" s="48"/>
      <c r="J90" s="49">
        <f t="shared" si="66"/>
        <v>0</v>
      </c>
      <c r="K90" s="24"/>
      <c r="L90" s="48">
        <v>0.45833333333333331</v>
      </c>
      <c r="M90" s="48">
        <v>0.6875</v>
      </c>
      <c r="N90" s="49">
        <f t="shared" si="67"/>
        <v>5.5</v>
      </c>
      <c r="O90" s="24"/>
      <c r="P90" s="48"/>
      <c r="Q90" s="48"/>
      <c r="R90" s="49">
        <f t="shared" si="68"/>
        <v>0</v>
      </c>
      <c r="S90" s="24"/>
      <c r="T90" s="48"/>
      <c r="U90" s="51"/>
      <c r="V90" s="49">
        <f t="shared" si="69"/>
        <v>0</v>
      </c>
      <c r="W90" s="24"/>
      <c r="X90" s="48"/>
      <c r="Y90" s="48"/>
      <c r="Z90" s="49">
        <f t="shared" si="70"/>
        <v>0</v>
      </c>
      <c r="AA90" s="24"/>
      <c r="AB90" s="48"/>
      <c r="AC90" s="48"/>
      <c r="AD90" s="49">
        <f t="shared" si="71"/>
        <v>0</v>
      </c>
      <c r="AE90" s="24"/>
      <c r="AF90" s="29">
        <f t="shared" si="72"/>
        <v>5.5</v>
      </c>
      <c r="AG90" s="3"/>
    </row>
    <row r="91" spans="2:33" s="1" customFormat="1" ht="27">
      <c r="B91" s="13" t="s">
        <v>31</v>
      </c>
      <c r="C91" s="13" t="s">
        <v>596</v>
      </c>
      <c r="D91" s="48"/>
      <c r="E91" s="48"/>
      <c r="F91" s="85">
        <f>(E91-D91)*24</f>
        <v>0</v>
      </c>
      <c r="G91" s="24"/>
      <c r="H91" s="48"/>
      <c r="I91" s="48"/>
      <c r="J91" s="49">
        <f>(I91-H91)*24</f>
        <v>0</v>
      </c>
      <c r="K91" s="24"/>
      <c r="L91" s="48">
        <v>0.375</v>
      </c>
      <c r="M91" s="48">
        <v>0.54166666666666663</v>
      </c>
      <c r="N91" s="49">
        <f>(M91-L91)*24</f>
        <v>3.9999999999999991</v>
      </c>
      <c r="O91" s="24"/>
      <c r="P91" s="48"/>
      <c r="Q91" s="48"/>
      <c r="R91" s="49">
        <f>(Q91-P91)*24</f>
        <v>0</v>
      </c>
      <c r="S91" s="24"/>
      <c r="T91" s="48"/>
      <c r="U91" s="51"/>
      <c r="V91" s="49">
        <f>(U91-T91)*24</f>
        <v>0</v>
      </c>
      <c r="W91" s="24"/>
      <c r="X91" s="48"/>
      <c r="Y91" s="48"/>
      <c r="Z91" s="49">
        <f>(Y91-X91)*24</f>
        <v>0</v>
      </c>
      <c r="AA91" s="24"/>
      <c r="AB91" s="48"/>
      <c r="AC91" s="48"/>
      <c r="AD91" s="49">
        <f>(AC91-AB91)*24</f>
        <v>0</v>
      </c>
      <c r="AE91" s="24"/>
      <c r="AF91" s="29">
        <f>J91+F91+N91+R91+V91+Z91+AD91</f>
        <v>3.9999999999999991</v>
      </c>
      <c r="AG91" s="3"/>
    </row>
    <row r="92" spans="2:33" s="1" customFormat="1" ht="27">
      <c r="B92" s="13" t="s">
        <v>572</v>
      </c>
      <c r="C92" s="13" t="s">
        <v>597</v>
      </c>
      <c r="D92" s="48"/>
      <c r="E92" s="48"/>
      <c r="F92" s="85">
        <f>(E92-D92)*24</f>
        <v>0</v>
      </c>
      <c r="G92" s="24"/>
      <c r="H92" s="48"/>
      <c r="I92" s="48"/>
      <c r="J92" s="49">
        <f>(I92-H92)*24</f>
        <v>0</v>
      </c>
      <c r="K92" s="24"/>
      <c r="L92" s="48">
        <v>0.375</v>
      </c>
      <c r="M92" s="48">
        <v>0.4375</v>
      </c>
      <c r="N92" s="49">
        <f>(M92-L92)*24</f>
        <v>1.5</v>
      </c>
      <c r="O92" s="24"/>
      <c r="P92" s="48"/>
      <c r="Q92" s="48"/>
      <c r="R92" s="49">
        <f>(Q92-P92)*24</f>
        <v>0</v>
      </c>
      <c r="S92" s="24"/>
      <c r="T92" s="48"/>
      <c r="U92" s="51"/>
      <c r="V92" s="49">
        <f>(U92-T92)*24</f>
        <v>0</v>
      </c>
      <c r="W92" s="24"/>
      <c r="X92" s="48"/>
      <c r="Y92" s="48"/>
      <c r="Z92" s="49">
        <f>(Y92-X92)*24</f>
        <v>0</v>
      </c>
      <c r="AA92" s="24"/>
      <c r="AB92" s="48"/>
      <c r="AC92" s="48"/>
      <c r="AD92" s="49">
        <f>(AC92-AB92)*24</f>
        <v>0</v>
      </c>
      <c r="AE92" s="24"/>
      <c r="AF92" s="29">
        <f>J92+F92+N92+R92+V92+Z92+AD92</f>
        <v>1.5</v>
      </c>
      <c r="AG92" s="3"/>
    </row>
    <row r="93" spans="2:33" s="1" customFormat="1" ht="14.25">
      <c r="B93" s="13" t="s">
        <v>572</v>
      </c>
      <c r="C93" s="13" t="s">
        <v>598</v>
      </c>
      <c r="D93" s="48"/>
      <c r="E93" s="48"/>
      <c r="F93" s="85">
        <f t="shared" si="65"/>
        <v>0</v>
      </c>
      <c r="G93" s="24"/>
      <c r="H93" s="48"/>
      <c r="I93" s="48"/>
      <c r="J93" s="49">
        <f t="shared" si="66"/>
        <v>0</v>
      </c>
      <c r="K93" s="24"/>
      <c r="L93" s="48"/>
      <c r="M93" s="48"/>
      <c r="N93" s="49">
        <f t="shared" si="67"/>
        <v>0</v>
      </c>
      <c r="O93" s="24"/>
      <c r="P93" s="48">
        <v>0.41666666666666669</v>
      </c>
      <c r="Q93" s="48">
        <v>0.4375</v>
      </c>
      <c r="R93" s="49">
        <f t="shared" si="68"/>
        <v>0.49999999999999956</v>
      </c>
      <c r="S93" s="24"/>
      <c r="T93" s="48">
        <v>0.70833333333333337</v>
      </c>
      <c r="U93" s="51">
        <v>0.91666666666666663</v>
      </c>
      <c r="V93" s="49">
        <f t="shared" si="69"/>
        <v>4.9999999999999982</v>
      </c>
      <c r="W93" s="24"/>
      <c r="X93" s="48"/>
      <c r="Y93" s="48"/>
      <c r="Z93" s="49">
        <f t="shared" si="70"/>
        <v>0</v>
      </c>
      <c r="AA93" s="24"/>
      <c r="AB93" s="48">
        <v>0.54166666666666663</v>
      </c>
      <c r="AC93" s="48">
        <v>0.97916666666666663</v>
      </c>
      <c r="AD93" s="49">
        <f t="shared" si="71"/>
        <v>10.5</v>
      </c>
      <c r="AE93" s="24"/>
      <c r="AF93" s="29">
        <f t="shared" si="72"/>
        <v>15.999999999999998</v>
      </c>
      <c r="AG93" s="3"/>
    </row>
    <row r="94" spans="2:33" s="1" customFormat="1" ht="14.25">
      <c r="B94" s="13" t="s">
        <v>576</v>
      </c>
      <c r="C94" s="13" t="s">
        <v>598</v>
      </c>
      <c r="D94" s="48"/>
      <c r="E94" s="48"/>
      <c r="F94" s="85">
        <f t="shared" si="65"/>
        <v>0</v>
      </c>
      <c r="G94" s="25"/>
      <c r="H94" s="48"/>
      <c r="I94" s="48"/>
      <c r="J94" s="49">
        <f t="shared" si="66"/>
        <v>0</v>
      </c>
      <c r="K94" s="25"/>
      <c r="L94" s="48"/>
      <c r="M94" s="48"/>
      <c r="N94" s="49">
        <f t="shared" si="67"/>
        <v>0</v>
      </c>
      <c r="O94" s="25"/>
      <c r="P94" s="48"/>
      <c r="Q94" s="48"/>
      <c r="R94" s="49">
        <f t="shared" si="68"/>
        <v>0</v>
      </c>
      <c r="S94" s="25"/>
      <c r="T94" s="48">
        <v>0.70833333333333337</v>
      </c>
      <c r="U94" s="51">
        <v>0.91666666666666663</v>
      </c>
      <c r="V94" s="49">
        <f t="shared" si="69"/>
        <v>4.9999999999999982</v>
      </c>
      <c r="W94" s="25"/>
      <c r="X94" s="48"/>
      <c r="Y94" s="48"/>
      <c r="Z94" s="49">
        <f t="shared" si="70"/>
        <v>0</v>
      </c>
      <c r="AA94" s="25"/>
      <c r="AB94" s="48">
        <v>0.54166666666666663</v>
      </c>
      <c r="AC94" s="48">
        <v>0.97916666666666663</v>
      </c>
      <c r="AD94" s="49">
        <f t="shared" si="71"/>
        <v>10.5</v>
      </c>
      <c r="AE94" s="25"/>
      <c r="AF94" s="29">
        <f>J94+F94+N94+R94+V94+Z94+AD94</f>
        <v>15.499999999999998</v>
      </c>
      <c r="AG94" s="3"/>
    </row>
    <row r="95" spans="2:33" s="1" customFormat="1" ht="27">
      <c r="B95" s="13" t="s">
        <v>572</v>
      </c>
      <c r="C95" s="13" t="s">
        <v>599</v>
      </c>
      <c r="D95" s="48"/>
      <c r="E95" s="48"/>
      <c r="F95" s="85">
        <f t="shared" si="65"/>
        <v>0</v>
      </c>
      <c r="G95" s="24"/>
      <c r="H95" s="48"/>
      <c r="I95" s="48"/>
      <c r="J95" s="49">
        <f t="shared" si="66"/>
        <v>0</v>
      </c>
      <c r="K95" s="24"/>
      <c r="L95" s="48"/>
      <c r="M95" s="48"/>
      <c r="N95" s="49">
        <f t="shared" si="67"/>
        <v>0</v>
      </c>
      <c r="O95" s="24"/>
      <c r="P95" s="48"/>
      <c r="Q95" s="48"/>
      <c r="R95" s="49">
        <f t="shared" si="68"/>
        <v>0</v>
      </c>
      <c r="S95" s="24"/>
      <c r="T95" s="48">
        <v>0.45833333333333331</v>
      </c>
      <c r="U95" s="51">
        <v>0.64583333333333337</v>
      </c>
      <c r="V95" s="49">
        <f t="shared" si="69"/>
        <v>4.5000000000000018</v>
      </c>
      <c r="W95" s="24"/>
      <c r="X95" s="48"/>
      <c r="Y95" s="48"/>
      <c r="Z95" s="49">
        <f t="shared" si="70"/>
        <v>0</v>
      </c>
      <c r="AA95" s="24"/>
      <c r="AB95" s="48"/>
      <c r="AC95" s="48"/>
      <c r="AD95" s="49">
        <f t="shared" si="71"/>
        <v>0</v>
      </c>
      <c r="AE95" s="24"/>
      <c r="AF95" s="29">
        <f t="shared" ref="AF95:AF96" si="73">J95+F95+N95+R95+V95+Z95+AD95</f>
        <v>4.5000000000000018</v>
      </c>
      <c r="AG95" s="3"/>
    </row>
    <row r="96" spans="2:33" s="1" customFormat="1" ht="27">
      <c r="B96" s="13" t="s">
        <v>600</v>
      </c>
      <c r="C96" s="13" t="s">
        <v>599</v>
      </c>
      <c r="D96" s="48"/>
      <c r="E96" s="48"/>
      <c r="F96" s="85">
        <f t="shared" si="65"/>
        <v>0</v>
      </c>
      <c r="G96" s="24"/>
      <c r="H96" s="48"/>
      <c r="I96" s="48"/>
      <c r="J96" s="49">
        <f t="shared" si="66"/>
        <v>0</v>
      </c>
      <c r="K96" s="24"/>
      <c r="L96" s="48"/>
      <c r="M96" s="48"/>
      <c r="N96" s="49">
        <f t="shared" si="67"/>
        <v>0</v>
      </c>
      <c r="O96" s="24"/>
      <c r="P96" s="48"/>
      <c r="Q96" s="48"/>
      <c r="R96" s="49">
        <f t="shared" si="68"/>
        <v>0</v>
      </c>
      <c r="S96" s="24"/>
      <c r="T96" s="48">
        <v>0.45833333333333331</v>
      </c>
      <c r="U96" s="51">
        <v>0.64583333333333337</v>
      </c>
      <c r="V96" s="49">
        <f t="shared" si="69"/>
        <v>4.5000000000000018</v>
      </c>
      <c r="W96" s="24"/>
      <c r="X96" s="48"/>
      <c r="Y96" s="48"/>
      <c r="Z96" s="49">
        <f t="shared" si="70"/>
        <v>0</v>
      </c>
      <c r="AA96" s="24"/>
      <c r="AB96" s="48"/>
      <c r="AC96" s="48"/>
      <c r="AD96" s="49">
        <f t="shared" si="71"/>
        <v>0</v>
      </c>
      <c r="AE96" s="24"/>
      <c r="AF96" s="29">
        <f t="shared" si="73"/>
        <v>4.5000000000000018</v>
      </c>
      <c r="AG96" s="3"/>
    </row>
    <row r="97" spans="2:33" s="1" customFormat="1">
      <c r="B97" s="63" t="s">
        <v>61</v>
      </c>
      <c r="C97" s="63"/>
      <c r="D97" s="63"/>
      <c r="E97" s="63"/>
      <c r="F97" s="86">
        <f>SUM(F87:F96)</f>
        <v>7.5000000000000018</v>
      </c>
      <c r="G97" s="63"/>
      <c r="H97" s="63"/>
      <c r="I97" s="63"/>
      <c r="J97" s="86">
        <f>SUM(J87:J96)</f>
        <v>7.6666666666666679</v>
      </c>
      <c r="K97" s="63"/>
      <c r="L97" s="63"/>
      <c r="M97" s="63"/>
      <c r="N97" s="86">
        <f>SUM(N87:N96)</f>
        <v>18.5</v>
      </c>
      <c r="O97" s="63"/>
      <c r="P97" s="63"/>
      <c r="Q97" s="63"/>
      <c r="R97" s="86">
        <f>SUM(R87:R96)</f>
        <v>0.49999999999999956</v>
      </c>
      <c r="S97" s="63"/>
      <c r="T97" s="63"/>
      <c r="U97" s="63"/>
      <c r="V97" s="86">
        <f>SUM(V87:V96)</f>
        <v>19</v>
      </c>
      <c r="W97" s="63"/>
      <c r="X97" s="63"/>
      <c r="Y97" s="63"/>
      <c r="Z97" s="86">
        <f>SUM(Z87:Z96)</f>
        <v>0</v>
      </c>
      <c r="AA97" s="63"/>
      <c r="AB97" s="63"/>
      <c r="AC97" s="63"/>
      <c r="AD97" s="82">
        <f>SUM(AD87:AD96)</f>
        <v>21</v>
      </c>
      <c r="AE97" s="46"/>
      <c r="AF97" s="30">
        <f>SUM(AF87:AF96)</f>
        <v>74.166666666666671</v>
      </c>
      <c r="AG97" s="3"/>
    </row>
    <row r="98" spans="2:33" s="1" customFormat="1">
      <c r="B98" s="31" t="s">
        <v>577</v>
      </c>
      <c r="C98" s="31"/>
      <c r="D98" s="91"/>
      <c r="E98" s="83"/>
      <c r="F98" s="87">
        <v>5</v>
      </c>
      <c r="G98" s="83"/>
      <c r="H98" s="83"/>
      <c r="I98" s="83"/>
      <c r="J98" s="87">
        <v>5</v>
      </c>
      <c r="K98" s="83"/>
      <c r="L98" s="83"/>
      <c r="M98" s="83"/>
      <c r="N98" s="90">
        <v>6</v>
      </c>
      <c r="O98" s="83"/>
      <c r="P98" s="83"/>
      <c r="Q98" s="83"/>
      <c r="R98" s="90">
        <v>1</v>
      </c>
      <c r="S98" s="83"/>
      <c r="T98" s="83"/>
      <c r="U98" s="83"/>
      <c r="V98" s="90">
        <v>6</v>
      </c>
      <c r="W98" s="83"/>
      <c r="X98" s="83"/>
      <c r="Y98" s="83"/>
      <c r="Z98" s="87">
        <v>0</v>
      </c>
      <c r="AA98" s="83"/>
      <c r="AB98" s="83"/>
      <c r="AC98" s="83"/>
      <c r="AD98" s="91">
        <v>4</v>
      </c>
      <c r="AE98" s="45"/>
      <c r="AF98" s="28">
        <f>SUM(D98:AD98)</f>
        <v>27</v>
      </c>
      <c r="AG98" s="3"/>
    </row>
    <row r="99" spans="2:33" s="1" customFormat="1">
      <c r="B99" s="31" t="s">
        <v>578</v>
      </c>
      <c r="C99" s="31"/>
      <c r="D99" s="91"/>
      <c r="E99" s="83"/>
      <c r="F99" s="87"/>
      <c r="G99" s="83"/>
      <c r="H99" s="83"/>
      <c r="I99" s="83"/>
      <c r="J99" s="87"/>
      <c r="K99" s="83"/>
      <c r="L99" s="83"/>
      <c r="M99" s="83"/>
      <c r="N99" s="87"/>
      <c r="O99" s="83"/>
      <c r="P99" s="83"/>
      <c r="Q99" s="83"/>
      <c r="R99" s="87"/>
      <c r="S99" s="83"/>
      <c r="T99" s="83"/>
      <c r="U99" s="83"/>
      <c r="V99" s="87"/>
      <c r="W99" s="83"/>
      <c r="X99" s="83"/>
      <c r="Y99" s="83"/>
      <c r="Z99" s="87"/>
      <c r="AA99" s="83"/>
      <c r="AB99" s="83"/>
      <c r="AC99" s="83"/>
      <c r="AD99" s="83"/>
      <c r="AE99" s="45"/>
      <c r="AF99" s="28">
        <f>SUM(D99:AD99)</f>
        <v>0</v>
      </c>
      <c r="AG99" s="3"/>
    </row>
    <row r="100" spans="2:33" s="1" customFormat="1" ht="14.25" thickBot="1">
      <c r="B100" s="74" t="s">
        <v>579</v>
      </c>
      <c r="C100" s="74"/>
      <c r="D100" s="92"/>
      <c r="E100" s="92"/>
      <c r="F100" s="93"/>
      <c r="G100" s="92"/>
      <c r="H100" s="92"/>
      <c r="I100" s="92"/>
      <c r="J100" s="93"/>
      <c r="K100" s="92"/>
      <c r="L100" s="92"/>
      <c r="M100" s="92"/>
      <c r="N100" s="93"/>
      <c r="O100" s="92"/>
      <c r="P100" s="92"/>
      <c r="Q100" s="92"/>
      <c r="R100" s="93"/>
      <c r="S100" s="92"/>
      <c r="T100" s="92"/>
      <c r="U100" s="92"/>
      <c r="V100" s="93"/>
      <c r="W100" s="94"/>
      <c r="X100" s="94"/>
      <c r="Y100" s="94"/>
      <c r="Z100" s="93"/>
      <c r="AA100" s="94"/>
      <c r="AB100" s="94"/>
      <c r="AC100" s="94"/>
      <c r="AD100" s="94"/>
      <c r="AE100" s="94"/>
      <c r="AF100" s="80">
        <f>SUM(D100:AD100)</f>
        <v>0</v>
      </c>
      <c r="AG100" s="3"/>
    </row>
    <row r="101" spans="2:33" s="1" customFormat="1" ht="14.25" thickTop="1">
      <c r="B101" s="71" t="s">
        <v>66</v>
      </c>
      <c r="C101" s="3"/>
      <c r="D101" s="3"/>
      <c r="E101" s="3"/>
      <c r="F101" s="88">
        <f>SUM(F98:F100)</f>
        <v>5</v>
      </c>
      <c r="G101" s="3"/>
      <c r="H101" s="3"/>
      <c r="I101" s="3"/>
      <c r="J101" s="88">
        <f>SUM(J98:J100)</f>
        <v>5</v>
      </c>
      <c r="K101" s="3"/>
      <c r="L101" s="3"/>
      <c r="M101" s="3"/>
      <c r="N101" s="88">
        <f>SUM(N98:N100)</f>
        <v>6</v>
      </c>
      <c r="O101" s="3"/>
      <c r="P101" s="3"/>
      <c r="Q101" s="3"/>
      <c r="R101" s="88">
        <f>SUM(R98:R100)</f>
        <v>1</v>
      </c>
      <c r="S101" s="3"/>
      <c r="T101" s="3"/>
      <c r="U101" s="3"/>
      <c r="V101" s="88">
        <f>SUM(V98:V100)</f>
        <v>6</v>
      </c>
      <c r="W101" s="3"/>
      <c r="X101" s="3"/>
      <c r="Y101" s="3"/>
      <c r="Z101" s="88">
        <f>SUM(Z98:Z100)</f>
        <v>0</v>
      </c>
      <c r="AA101" s="3"/>
      <c r="AB101" s="3"/>
      <c r="AC101" s="3"/>
      <c r="AD101" s="67">
        <f>SUM(AD98:AD100)</f>
        <v>4</v>
      </c>
      <c r="AE101" s="3"/>
      <c r="AF101" s="71">
        <f>SUM(F101:AD101)</f>
        <v>27</v>
      </c>
      <c r="AG101" s="3"/>
    </row>
    <row r="102" spans="2:33" s="1" customFormat="1">
      <c r="B102" s="1518" t="s">
        <v>18</v>
      </c>
      <c r="C102" s="1552" t="s">
        <v>571</v>
      </c>
      <c r="D102" s="1524">
        <v>45096</v>
      </c>
      <c r="E102" s="1524"/>
      <c r="F102" s="1524"/>
      <c r="G102" s="22"/>
      <c r="H102" s="1524">
        <f>D102+1</f>
        <v>45097</v>
      </c>
      <c r="I102" s="1524"/>
      <c r="J102" s="1524"/>
      <c r="K102" s="22"/>
      <c r="L102" s="1524">
        <f>H102+1</f>
        <v>45098</v>
      </c>
      <c r="M102" s="1524"/>
      <c r="N102" s="1524"/>
      <c r="O102" s="3"/>
      <c r="P102" s="1524">
        <f>L102+1</f>
        <v>45099</v>
      </c>
      <c r="Q102" s="1524"/>
      <c r="R102" s="1524"/>
      <c r="S102" s="3"/>
      <c r="T102" s="1524">
        <f>P102+1</f>
        <v>45100</v>
      </c>
      <c r="U102" s="1524"/>
      <c r="V102" s="1524"/>
      <c r="W102" s="22"/>
      <c r="X102" s="1524">
        <f>T102+1</f>
        <v>45101</v>
      </c>
      <c r="Y102" s="1524"/>
      <c r="Z102" s="1524"/>
      <c r="AA102" s="3"/>
      <c r="AB102" s="1524">
        <f>X102+1</f>
        <v>45102</v>
      </c>
      <c r="AC102" s="1524"/>
      <c r="AD102" s="1524"/>
      <c r="AE102" s="22"/>
      <c r="AF102" s="1517" t="s">
        <v>19</v>
      </c>
      <c r="AG102" s="3"/>
    </row>
    <row r="103" spans="2:33" s="1" customFormat="1">
      <c r="B103" s="1518"/>
      <c r="C103" s="1552"/>
      <c r="D103" s="21" t="s">
        <v>23</v>
      </c>
      <c r="E103" s="21" t="s">
        <v>24</v>
      </c>
      <c r="F103" s="62" t="s">
        <v>25</v>
      </c>
      <c r="G103" s="23"/>
      <c r="H103" s="21" t="s">
        <v>23</v>
      </c>
      <c r="I103" s="21" t="s">
        <v>24</v>
      </c>
      <c r="J103" s="18" t="s">
        <v>25</v>
      </c>
      <c r="K103" s="23"/>
      <c r="L103" s="21" t="s">
        <v>23</v>
      </c>
      <c r="M103" s="21" t="s">
        <v>24</v>
      </c>
      <c r="N103" s="18" t="s">
        <v>25</v>
      </c>
      <c r="O103" s="23"/>
      <c r="P103" s="21" t="s">
        <v>23</v>
      </c>
      <c r="Q103" s="21" t="s">
        <v>24</v>
      </c>
      <c r="R103" s="18" t="s">
        <v>25</v>
      </c>
      <c r="S103" s="23"/>
      <c r="T103" s="21" t="s">
        <v>23</v>
      </c>
      <c r="U103" s="21" t="s">
        <v>24</v>
      </c>
      <c r="V103" s="18" t="s">
        <v>25</v>
      </c>
      <c r="W103" s="23"/>
      <c r="X103" s="21" t="s">
        <v>23</v>
      </c>
      <c r="Y103" s="21" t="s">
        <v>24</v>
      </c>
      <c r="Z103" s="18" t="s">
        <v>25</v>
      </c>
      <c r="AA103" s="23"/>
      <c r="AB103" s="21" t="s">
        <v>23</v>
      </c>
      <c r="AC103" s="21" t="s">
        <v>24</v>
      </c>
      <c r="AD103" s="18" t="s">
        <v>25</v>
      </c>
      <c r="AE103" s="23"/>
      <c r="AF103" s="1517"/>
      <c r="AG103" s="3"/>
    </row>
    <row r="104" spans="2:33" s="1" customFormat="1" ht="27">
      <c r="B104" s="13" t="s">
        <v>572</v>
      </c>
      <c r="C104" s="13" t="s">
        <v>601</v>
      </c>
      <c r="D104" s="48">
        <v>0.5</v>
      </c>
      <c r="E104" s="48">
        <v>0.70833333333333337</v>
      </c>
      <c r="F104" s="85">
        <f>(E104-D104)*24</f>
        <v>5.0000000000000009</v>
      </c>
      <c r="G104" s="24"/>
      <c r="H104" s="48"/>
      <c r="I104" s="48"/>
      <c r="J104" s="85">
        <f>(I104-H104)*24</f>
        <v>0</v>
      </c>
      <c r="K104" s="24"/>
      <c r="L104" s="48"/>
      <c r="M104" s="48"/>
      <c r="N104" s="85">
        <f>(M104-L104)*24</f>
        <v>0</v>
      </c>
      <c r="O104" s="24"/>
      <c r="P104" s="48"/>
      <c r="Q104" s="48"/>
      <c r="R104" s="85">
        <f>(Q104-P104)*24</f>
        <v>0</v>
      </c>
      <c r="S104" s="24"/>
      <c r="T104" s="48"/>
      <c r="U104" s="48"/>
      <c r="V104" s="85">
        <f>(U104-T104)*24</f>
        <v>0</v>
      </c>
      <c r="W104" s="24"/>
      <c r="X104" s="48"/>
      <c r="Y104" s="48"/>
      <c r="Z104" s="85">
        <f>(Y104-X104)*24</f>
        <v>0</v>
      </c>
      <c r="AA104" s="24"/>
      <c r="AB104" s="48"/>
      <c r="AC104" s="48"/>
      <c r="AD104" s="49">
        <f>(AC104-AB104)*24</f>
        <v>0</v>
      </c>
      <c r="AE104" s="24"/>
      <c r="AF104" s="29">
        <f>J104+F104+N104+R104+V104+Z104+AD104</f>
        <v>5.0000000000000009</v>
      </c>
      <c r="AG104" s="3"/>
    </row>
    <row r="105" spans="2:33" s="1" customFormat="1" ht="27">
      <c r="B105" s="13" t="s">
        <v>576</v>
      </c>
      <c r="C105" s="13" t="s">
        <v>601</v>
      </c>
      <c r="D105" s="48">
        <v>0.5625</v>
      </c>
      <c r="E105" s="48">
        <v>0.70833333333333337</v>
      </c>
      <c r="F105" s="85">
        <f t="shared" ref="F105:F113" si="74">(E105-D105)*24</f>
        <v>3.5000000000000009</v>
      </c>
      <c r="G105" s="24"/>
      <c r="H105" s="48"/>
      <c r="I105" s="48"/>
      <c r="J105" s="85">
        <f t="shared" ref="J105:J113" si="75">(I105-H105)*24</f>
        <v>0</v>
      </c>
      <c r="K105" s="24"/>
      <c r="L105" s="48"/>
      <c r="M105" s="48"/>
      <c r="N105" s="85">
        <f t="shared" ref="N105:N113" si="76">(M105-L105)*24</f>
        <v>0</v>
      </c>
      <c r="O105" s="24"/>
      <c r="P105" s="48"/>
      <c r="Q105" s="48"/>
      <c r="R105" s="85">
        <f t="shared" ref="R105:R113" si="77">(Q105-P105)*24</f>
        <v>0</v>
      </c>
      <c r="S105" s="24"/>
      <c r="T105" s="48"/>
      <c r="U105" s="48"/>
      <c r="V105" s="85">
        <f t="shared" ref="V105:V113" si="78">(U105-T105)*24</f>
        <v>0</v>
      </c>
      <c r="W105" s="24"/>
      <c r="X105" s="48"/>
      <c r="Y105" s="48"/>
      <c r="Z105" s="85">
        <f t="shared" ref="Z105:Z113" si="79">(Y105-X105)*24</f>
        <v>0</v>
      </c>
      <c r="AA105" s="24"/>
      <c r="AB105" s="48"/>
      <c r="AC105" s="48"/>
      <c r="AD105" s="85">
        <f t="shared" ref="AD105:AD113" si="80">(AC105-AB105)*24</f>
        <v>0</v>
      </c>
      <c r="AE105" s="24"/>
      <c r="AF105" s="29">
        <f t="shared" ref="AF105:AF113" si="81">J105+F105+N105+R105+V105+Z105+AD105</f>
        <v>3.5000000000000009</v>
      </c>
      <c r="AG105" s="3"/>
    </row>
    <row r="106" spans="2:33" s="1" customFormat="1" ht="27">
      <c r="B106" s="13" t="s">
        <v>147</v>
      </c>
      <c r="C106" s="13" t="s">
        <v>601</v>
      </c>
      <c r="D106" s="48">
        <v>0.54166666666666696</v>
      </c>
      <c r="E106" s="48">
        <v>0.70833333333333337</v>
      </c>
      <c r="F106" s="85">
        <f t="shared" si="74"/>
        <v>3.9999999999999938</v>
      </c>
      <c r="G106" s="24"/>
      <c r="H106" s="48"/>
      <c r="I106" s="48"/>
      <c r="J106" s="85">
        <f t="shared" si="75"/>
        <v>0</v>
      </c>
      <c r="K106" s="24"/>
      <c r="L106" s="48"/>
      <c r="M106" s="48"/>
      <c r="N106" s="85">
        <f t="shared" si="76"/>
        <v>0</v>
      </c>
      <c r="O106" s="24"/>
      <c r="P106" s="48"/>
      <c r="Q106" s="48"/>
      <c r="R106" s="85">
        <f t="shared" si="77"/>
        <v>0</v>
      </c>
      <c r="S106" s="24"/>
      <c r="T106" s="48"/>
      <c r="U106" s="51"/>
      <c r="V106" s="85">
        <f t="shared" si="78"/>
        <v>0</v>
      </c>
      <c r="W106" s="24"/>
      <c r="X106" s="48"/>
      <c r="Y106" s="48"/>
      <c r="Z106" s="85">
        <f t="shared" si="79"/>
        <v>0</v>
      </c>
      <c r="AA106" s="24"/>
      <c r="AB106" s="48"/>
      <c r="AC106" s="48"/>
      <c r="AD106" s="85">
        <f t="shared" si="80"/>
        <v>0</v>
      </c>
      <c r="AE106" s="24"/>
      <c r="AF106" s="29">
        <f t="shared" si="81"/>
        <v>3.9999999999999938</v>
      </c>
      <c r="AG106" s="3"/>
    </row>
    <row r="107" spans="2:33" s="1" customFormat="1" ht="27">
      <c r="B107" s="13" t="s">
        <v>31</v>
      </c>
      <c r="C107" s="13" t="s">
        <v>601</v>
      </c>
      <c r="D107" s="48">
        <v>0.54166666666666696</v>
      </c>
      <c r="E107" s="48">
        <v>0.70833333333333337</v>
      </c>
      <c r="F107" s="85">
        <f t="shared" si="74"/>
        <v>3.9999999999999938</v>
      </c>
      <c r="G107" s="24"/>
      <c r="H107" s="48"/>
      <c r="I107" s="48"/>
      <c r="J107" s="85">
        <f t="shared" si="75"/>
        <v>0</v>
      </c>
      <c r="K107" s="24"/>
      <c r="L107" s="48"/>
      <c r="M107" s="48"/>
      <c r="N107" s="85">
        <f t="shared" si="76"/>
        <v>0</v>
      </c>
      <c r="O107" s="24"/>
      <c r="P107" s="48"/>
      <c r="Q107" s="48"/>
      <c r="R107" s="85">
        <f t="shared" si="77"/>
        <v>0</v>
      </c>
      <c r="S107" s="24"/>
      <c r="T107" s="48"/>
      <c r="U107" s="51"/>
      <c r="V107" s="85">
        <f t="shared" si="78"/>
        <v>0</v>
      </c>
      <c r="W107" s="24"/>
      <c r="X107" s="48"/>
      <c r="Y107" s="48"/>
      <c r="Z107" s="85">
        <f t="shared" si="79"/>
        <v>0</v>
      </c>
      <c r="AA107" s="24"/>
      <c r="AB107" s="48"/>
      <c r="AC107" s="48"/>
      <c r="AD107" s="85">
        <f t="shared" si="80"/>
        <v>0</v>
      </c>
      <c r="AE107" s="24"/>
      <c r="AF107" s="29">
        <f t="shared" si="81"/>
        <v>3.9999999999999938</v>
      </c>
      <c r="AG107" s="3"/>
    </row>
    <row r="108" spans="2:33" s="1" customFormat="1" ht="14.25">
      <c r="B108" s="13" t="s">
        <v>576</v>
      </c>
      <c r="C108" s="13" t="s">
        <v>598</v>
      </c>
      <c r="D108" s="48">
        <v>0.41666666666666669</v>
      </c>
      <c r="E108" s="48">
        <v>0.52083333333333337</v>
      </c>
      <c r="F108" s="85">
        <f t="shared" si="74"/>
        <v>2.5000000000000004</v>
      </c>
      <c r="G108" s="24"/>
      <c r="H108" s="48"/>
      <c r="I108" s="48"/>
      <c r="J108" s="85">
        <f t="shared" si="75"/>
        <v>0</v>
      </c>
      <c r="K108" s="24"/>
      <c r="L108" s="48"/>
      <c r="M108" s="48"/>
      <c r="N108" s="85">
        <f t="shared" si="76"/>
        <v>0</v>
      </c>
      <c r="O108" s="24"/>
      <c r="P108" s="48"/>
      <c r="Q108" s="48"/>
      <c r="R108" s="85">
        <f t="shared" si="77"/>
        <v>0</v>
      </c>
      <c r="S108" s="24"/>
      <c r="T108" s="48"/>
      <c r="U108" s="51"/>
      <c r="V108" s="85">
        <f t="shared" si="78"/>
        <v>0</v>
      </c>
      <c r="W108" s="24"/>
      <c r="X108" s="48"/>
      <c r="Y108" s="48"/>
      <c r="Z108" s="85">
        <f t="shared" si="79"/>
        <v>0</v>
      </c>
      <c r="AA108" s="24"/>
      <c r="AB108" s="48"/>
      <c r="AC108" s="48"/>
      <c r="AD108" s="85">
        <f t="shared" si="80"/>
        <v>0</v>
      </c>
      <c r="AE108" s="24"/>
      <c r="AF108" s="29">
        <f t="shared" si="81"/>
        <v>2.5000000000000004</v>
      </c>
      <c r="AG108" s="3"/>
    </row>
    <row r="109" spans="2:33" s="1" customFormat="1" ht="27">
      <c r="B109" s="13" t="s">
        <v>54</v>
      </c>
      <c r="C109" s="13" t="s">
        <v>602</v>
      </c>
      <c r="D109" s="48"/>
      <c r="E109" s="48"/>
      <c r="F109" s="85">
        <f t="shared" si="74"/>
        <v>0</v>
      </c>
      <c r="G109" s="24"/>
      <c r="H109" s="48">
        <v>0.375</v>
      </c>
      <c r="I109" s="48">
        <v>0.70833333333333337</v>
      </c>
      <c r="J109" s="85">
        <f t="shared" si="75"/>
        <v>8</v>
      </c>
      <c r="K109" s="24"/>
      <c r="L109" s="48">
        <v>0.375</v>
      </c>
      <c r="M109" s="48">
        <v>0.70833333333333337</v>
      </c>
      <c r="N109" s="85">
        <f t="shared" si="76"/>
        <v>8</v>
      </c>
      <c r="O109" s="24"/>
      <c r="P109" s="48"/>
      <c r="Q109" s="48"/>
      <c r="R109" s="85">
        <f t="shared" si="77"/>
        <v>0</v>
      </c>
      <c r="S109" s="24"/>
      <c r="T109" s="48"/>
      <c r="U109" s="51"/>
      <c r="V109" s="85">
        <f t="shared" si="78"/>
        <v>0</v>
      </c>
      <c r="W109" s="24"/>
      <c r="X109" s="48"/>
      <c r="Y109" s="48"/>
      <c r="Z109" s="85">
        <f t="shared" si="79"/>
        <v>0</v>
      </c>
      <c r="AA109" s="24"/>
      <c r="AB109" s="48"/>
      <c r="AC109" s="48"/>
      <c r="AD109" s="85">
        <f t="shared" si="80"/>
        <v>0</v>
      </c>
      <c r="AE109" s="24"/>
      <c r="AF109" s="29">
        <f t="shared" si="81"/>
        <v>16</v>
      </c>
      <c r="AG109" s="3"/>
    </row>
    <row r="110" spans="2:33" s="1" customFormat="1" ht="27">
      <c r="B110" s="13" t="s">
        <v>603</v>
      </c>
      <c r="C110" s="13" t="s">
        <v>602</v>
      </c>
      <c r="D110" s="48"/>
      <c r="E110" s="48"/>
      <c r="F110" s="85">
        <f t="shared" si="74"/>
        <v>0</v>
      </c>
      <c r="G110" s="24"/>
      <c r="H110" s="48">
        <v>0.375</v>
      </c>
      <c r="I110" s="48">
        <v>0.70833333333333337</v>
      </c>
      <c r="J110" s="85">
        <f t="shared" si="75"/>
        <v>8</v>
      </c>
      <c r="K110" s="24"/>
      <c r="L110" s="48"/>
      <c r="M110" s="48"/>
      <c r="N110" s="85">
        <f t="shared" si="76"/>
        <v>0</v>
      </c>
      <c r="O110" s="24"/>
      <c r="P110" s="48"/>
      <c r="Q110" s="48"/>
      <c r="R110" s="85">
        <f t="shared" si="77"/>
        <v>0</v>
      </c>
      <c r="S110" s="24"/>
      <c r="T110" s="48"/>
      <c r="U110" s="51"/>
      <c r="V110" s="85">
        <f t="shared" si="78"/>
        <v>0</v>
      </c>
      <c r="W110" s="24"/>
      <c r="X110" s="48"/>
      <c r="Y110" s="48"/>
      <c r="Z110" s="85">
        <f t="shared" si="79"/>
        <v>0</v>
      </c>
      <c r="AA110" s="24"/>
      <c r="AB110" s="48"/>
      <c r="AC110" s="48"/>
      <c r="AD110" s="85">
        <f t="shared" si="80"/>
        <v>0</v>
      </c>
      <c r="AE110" s="24"/>
      <c r="AF110" s="29">
        <f t="shared" si="81"/>
        <v>8</v>
      </c>
      <c r="AG110" s="3"/>
    </row>
    <row r="111" spans="2:33" s="1" customFormat="1" ht="27">
      <c r="B111" s="13" t="s">
        <v>572</v>
      </c>
      <c r="C111" s="13" t="s">
        <v>599</v>
      </c>
      <c r="D111" s="48"/>
      <c r="E111" s="48"/>
      <c r="F111" s="85">
        <f t="shared" si="74"/>
        <v>0</v>
      </c>
      <c r="G111" s="24"/>
      <c r="H111" s="48">
        <v>0.41666666666666669</v>
      </c>
      <c r="I111" s="48">
        <v>0.64583333333333337</v>
      </c>
      <c r="J111" s="85">
        <f t="shared" si="75"/>
        <v>5.5</v>
      </c>
      <c r="K111" s="24"/>
      <c r="L111" s="48"/>
      <c r="M111" s="48"/>
      <c r="N111" s="85">
        <f t="shared" si="76"/>
        <v>0</v>
      </c>
      <c r="O111" s="24"/>
      <c r="P111" s="48"/>
      <c r="Q111" s="48"/>
      <c r="R111" s="85">
        <f t="shared" si="77"/>
        <v>0</v>
      </c>
      <c r="S111" s="24"/>
      <c r="T111" s="48"/>
      <c r="U111" s="51"/>
      <c r="V111" s="85">
        <f t="shared" si="78"/>
        <v>0</v>
      </c>
      <c r="W111" s="24"/>
      <c r="X111" s="48"/>
      <c r="Y111" s="48"/>
      <c r="Z111" s="85">
        <f t="shared" si="79"/>
        <v>0</v>
      </c>
      <c r="AA111" s="24"/>
      <c r="AB111" s="48"/>
      <c r="AC111" s="48"/>
      <c r="AD111" s="85">
        <f t="shared" si="80"/>
        <v>0</v>
      </c>
      <c r="AE111" s="24"/>
      <c r="AF111" s="29">
        <f t="shared" si="81"/>
        <v>5.5</v>
      </c>
      <c r="AG111" s="3"/>
    </row>
    <row r="112" spans="2:33" s="1" customFormat="1" ht="27">
      <c r="B112" s="13" t="s">
        <v>600</v>
      </c>
      <c r="C112" s="13" t="s">
        <v>599</v>
      </c>
      <c r="D112" s="48"/>
      <c r="E112" s="48"/>
      <c r="F112" s="85">
        <f t="shared" si="74"/>
        <v>0</v>
      </c>
      <c r="G112" s="25"/>
      <c r="H112" s="48">
        <v>0.41666666666666669</v>
      </c>
      <c r="I112" s="48">
        <v>0.64583333333333337</v>
      </c>
      <c r="J112" s="85">
        <f t="shared" si="75"/>
        <v>5.5</v>
      </c>
      <c r="K112" s="25"/>
      <c r="L112" s="48"/>
      <c r="M112" s="48"/>
      <c r="N112" s="85">
        <f t="shared" si="76"/>
        <v>0</v>
      </c>
      <c r="O112" s="25"/>
      <c r="P112" s="48"/>
      <c r="Q112" s="48"/>
      <c r="R112" s="85">
        <f t="shared" si="77"/>
        <v>0</v>
      </c>
      <c r="S112" s="25"/>
      <c r="T112" s="48"/>
      <c r="U112" s="51"/>
      <c r="V112" s="85">
        <f t="shared" si="78"/>
        <v>0</v>
      </c>
      <c r="W112" s="25"/>
      <c r="X112" s="48"/>
      <c r="Y112" s="48"/>
      <c r="Z112" s="85">
        <f t="shared" si="79"/>
        <v>0</v>
      </c>
      <c r="AA112" s="25"/>
      <c r="AB112" s="48"/>
      <c r="AC112" s="48"/>
      <c r="AD112" s="85">
        <f t="shared" si="80"/>
        <v>0</v>
      </c>
      <c r="AE112" s="25"/>
      <c r="AF112" s="29">
        <f t="shared" si="81"/>
        <v>5.5</v>
      </c>
      <c r="AG112" s="3"/>
    </row>
    <row r="113" spans="2:33" s="1" customFormat="1" ht="14.25">
      <c r="B113" s="13" t="s">
        <v>54</v>
      </c>
      <c r="C113" s="13" t="s">
        <v>604</v>
      </c>
      <c r="D113" s="48"/>
      <c r="E113" s="48"/>
      <c r="F113" s="85">
        <f t="shared" si="74"/>
        <v>0</v>
      </c>
      <c r="G113" s="25"/>
      <c r="H113" s="48"/>
      <c r="I113" s="48"/>
      <c r="J113" s="85">
        <f t="shared" si="75"/>
        <v>0</v>
      </c>
      <c r="K113" s="25"/>
      <c r="L113" s="48"/>
      <c r="M113" s="48"/>
      <c r="N113" s="85">
        <f t="shared" si="76"/>
        <v>0</v>
      </c>
      <c r="O113" s="25"/>
      <c r="P113" s="48">
        <v>0.375</v>
      </c>
      <c r="Q113" s="48">
        <v>0.58333333333333337</v>
      </c>
      <c r="R113" s="85">
        <f t="shared" si="77"/>
        <v>5.0000000000000009</v>
      </c>
      <c r="S113" s="25"/>
      <c r="T113" s="48"/>
      <c r="U113" s="51"/>
      <c r="V113" s="85">
        <f t="shared" si="78"/>
        <v>0</v>
      </c>
      <c r="W113" s="25"/>
      <c r="X113" s="48"/>
      <c r="Y113" s="48"/>
      <c r="Z113" s="85">
        <f t="shared" si="79"/>
        <v>0</v>
      </c>
      <c r="AA113" s="25"/>
      <c r="AB113" s="48"/>
      <c r="AC113" s="48"/>
      <c r="AD113" s="85">
        <f t="shared" si="80"/>
        <v>0</v>
      </c>
      <c r="AE113" s="25"/>
      <c r="AF113" s="29">
        <f t="shared" si="81"/>
        <v>5.0000000000000009</v>
      </c>
      <c r="AG113" s="3"/>
    </row>
    <row r="114" spans="2:33" s="1" customFormat="1">
      <c r="B114" s="63" t="s">
        <v>61</v>
      </c>
      <c r="C114" s="63"/>
      <c r="D114" s="63"/>
      <c r="E114" s="63"/>
      <c r="F114" s="86">
        <f>SUM(F103:F112)</f>
        <v>18.999999999999989</v>
      </c>
      <c r="G114" s="63"/>
      <c r="H114" s="63"/>
      <c r="I114" s="63"/>
      <c r="J114" s="86">
        <f>SUM(J103:J112)</f>
        <v>27</v>
      </c>
      <c r="K114" s="63"/>
      <c r="L114" s="63"/>
      <c r="M114" s="63"/>
      <c r="N114" s="86">
        <f>SUM(N103:N112)</f>
        <v>8</v>
      </c>
      <c r="O114" s="63"/>
      <c r="P114" s="63"/>
      <c r="Q114" s="63"/>
      <c r="R114" s="86">
        <f>SUM(R104:R113)</f>
        <v>5.0000000000000009</v>
      </c>
      <c r="S114" s="63"/>
      <c r="T114" s="63"/>
      <c r="U114" s="63"/>
      <c r="V114" s="86">
        <f>SUM(V103:V112)</f>
        <v>0</v>
      </c>
      <c r="W114" s="63"/>
      <c r="X114" s="63"/>
      <c r="Y114" s="63"/>
      <c r="Z114" s="86">
        <f>SUM(Z103:Z112)</f>
        <v>0</v>
      </c>
      <c r="AA114" s="63"/>
      <c r="AB114" s="63"/>
      <c r="AC114" s="63"/>
      <c r="AD114" s="82">
        <f>SUM(AD103:AD112)</f>
        <v>0</v>
      </c>
      <c r="AE114" s="46"/>
      <c r="AF114" s="30">
        <f>SUM(AF104:AF112)</f>
        <v>53.999999999999986</v>
      </c>
      <c r="AG114" s="3"/>
    </row>
    <row r="115" spans="2:33" s="1" customFormat="1">
      <c r="B115" s="31" t="s">
        <v>577</v>
      </c>
      <c r="C115" s="31"/>
      <c r="D115" s="91"/>
      <c r="E115" s="83"/>
      <c r="F115" s="87">
        <v>8</v>
      </c>
      <c r="G115" s="83"/>
      <c r="H115" s="83"/>
      <c r="I115" s="83"/>
      <c r="J115" s="87">
        <v>8</v>
      </c>
      <c r="K115" s="83"/>
      <c r="L115" s="83"/>
      <c r="M115" s="83"/>
      <c r="N115" s="87">
        <v>4</v>
      </c>
      <c r="O115" s="83"/>
      <c r="P115" s="83"/>
      <c r="Q115" s="83"/>
      <c r="R115" s="87">
        <v>2</v>
      </c>
      <c r="S115" s="83"/>
      <c r="T115" s="83"/>
      <c r="U115" s="83"/>
      <c r="V115" s="87">
        <v>8</v>
      </c>
      <c r="W115" s="83"/>
      <c r="X115" s="83"/>
      <c r="Y115" s="83"/>
      <c r="Z115" s="87"/>
      <c r="AA115" s="83"/>
      <c r="AB115" s="83"/>
      <c r="AC115" s="83"/>
      <c r="AD115" s="83"/>
      <c r="AE115" s="45"/>
      <c r="AF115" s="28">
        <f>SUM(D115:AD115)</f>
        <v>30</v>
      </c>
      <c r="AG115" s="3"/>
    </row>
    <row r="116" spans="2:33" s="1" customFormat="1">
      <c r="B116" s="31" t="s">
        <v>578</v>
      </c>
      <c r="C116" s="31"/>
      <c r="D116" s="91"/>
      <c r="E116" s="83"/>
      <c r="F116" s="87"/>
      <c r="G116" s="83"/>
      <c r="H116" s="83"/>
      <c r="I116" s="83"/>
      <c r="J116" s="87"/>
      <c r="K116" s="83"/>
      <c r="L116" s="83"/>
      <c r="M116" s="83"/>
      <c r="N116" s="87"/>
      <c r="O116" s="83"/>
      <c r="P116" s="83"/>
      <c r="Q116" s="83"/>
      <c r="R116" s="87"/>
      <c r="S116" s="83"/>
      <c r="T116" s="83"/>
      <c r="U116" s="83"/>
      <c r="V116" s="87"/>
      <c r="W116" s="83"/>
      <c r="X116" s="83"/>
      <c r="Y116" s="83"/>
      <c r="Z116" s="87"/>
      <c r="AA116" s="83"/>
      <c r="AB116" s="83"/>
      <c r="AC116" s="83"/>
      <c r="AD116" s="83"/>
      <c r="AE116" s="45"/>
      <c r="AF116" s="28">
        <f>SUM(D116:AD116)</f>
        <v>0</v>
      </c>
      <c r="AG116" s="3"/>
    </row>
    <row r="117" spans="2:33" s="1" customFormat="1" ht="14.25" thickBot="1">
      <c r="B117" s="74" t="s">
        <v>579</v>
      </c>
      <c r="C117" s="74"/>
      <c r="D117" s="92"/>
      <c r="E117" s="92"/>
      <c r="F117" s="93"/>
      <c r="G117" s="92"/>
      <c r="H117" s="92"/>
      <c r="I117" s="92"/>
      <c r="J117" s="93"/>
      <c r="K117" s="92"/>
      <c r="L117" s="92"/>
      <c r="M117" s="92"/>
      <c r="N117" s="93"/>
      <c r="O117" s="92"/>
      <c r="P117" s="92"/>
      <c r="Q117" s="92"/>
      <c r="R117" s="93"/>
      <c r="S117" s="92"/>
      <c r="T117" s="92"/>
      <c r="U117" s="92"/>
      <c r="V117" s="93"/>
      <c r="W117" s="94"/>
      <c r="X117" s="94"/>
      <c r="Y117" s="94"/>
      <c r="Z117" s="93"/>
      <c r="AA117" s="94"/>
      <c r="AB117" s="94"/>
      <c r="AC117" s="94"/>
      <c r="AD117" s="94"/>
      <c r="AE117" s="94"/>
      <c r="AF117" s="80">
        <f>SUM(D117:AD117)</f>
        <v>0</v>
      </c>
      <c r="AG117" s="3"/>
    </row>
    <row r="118" spans="2:33" s="1" customFormat="1" ht="14.25" thickTop="1">
      <c r="B118" s="71" t="s">
        <v>66</v>
      </c>
      <c r="C118" s="3"/>
      <c r="D118" s="3"/>
      <c r="E118" s="3"/>
      <c r="F118" s="88">
        <f>SUM(F115:F117)</f>
        <v>8</v>
      </c>
      <c r="G118" s="3"/>
      <c r="H118" s="3"/>
      <c r="I118" s="3"/>
      <c r="J118" s="88">
        <f>SUM(J115:J117)</f>
        <v>8</v>
      </c>
      <c r="K118" s="3"/>
      <c r="L118" s="3"/>
      <c r="M118" s="3"/>
      <c r="N118" s="88">
        <f>SUM(N115:N117)</f>
        <v>4</v>
      </c>
      <c r="O118" s="3"/>
      <c r="P118" s="3"/>
      <c r="Q118" s="3"/>
      <c r="R118" s="88">
        <f>SUM(R115:R117)</f>
        <v>2</v>
      </c>
      <c r="S118" s="3"/>
      <c r="T118" s="3"/>
      <c r="U118" s="3"/>
      <c r="V118" s="88">
        <f>SUM(V115:V117)</f>
        <v>8</v>
      </c>
      <c r="W118" s="3"/>
      <c r="X118" s="3"/>
      <c r="Y118" s="3"/>
      <c r="Z118" s="88">
        <f>SUM(Z115:Z117)</f>
        <v>0</v>
      </c>
      <c r="AA118" s="3"/>
      <c r="AB118" s="3"/>
      <c r="AC118" s="3"/>
      <c r="AD118" s="67">
        <f>SUM(AD115:AD117)</f>
        <v>0</v>
      </c>
      <c r="AE118" s="3"/>
      <c r="AF118" s="71">
        <f>SUM(F118:AD118)</f>
        <v>30</v>
      </c>
      <c r="AG118" s="2"/>
    </row>
    <row r="119" spans="2:33" s="1" customFormat="1">
      <c r="B119" s="1518" t="s">
        <v>18</v>
      </c>
      <c r="C119" s="1552" t="s">
        <v>571</v>
      </c>
      <c r="D119" s="1524">
        <v>45103</v>
      </c>
      <c r="E119" s="1524"/>
      <c r="F119" s="1524"/>
      <c r="G119" s="22"/>
      <c r="H119" s="1524">
        <f>D119+1</f>
        <v>45104</v>
      </c>
      <c r="I119" s="1524"/>
      <c r="J119" s="1524"/>
      <c r="K119" s="22"/>
      <c r="L119" s="1524">
        <f>H119+1</f>
        <v>45105</v>
      </c>
      <c r="M119" s="1524"/>
      <c r="N119" s="1524"/>
      <c r="O119" s="3"/>
      <c r="P119" s="1524">
        <f>L119+1</f>
        <v>45106</v>
      </c>
      <c r="Q119" s="1524"/>
      <c r="R119" s="1524"/>
      <c r="S119" s="3"/>
      <c r="T119" s="1524">
        <f>P119+1</f>
        <v>45107</v>
      </c>
      <c r="U119" s="1524"/>
      <c r="V119" s="1524"/>
      <c r="W119" s="22"/>
      <c r="X119" s="1524">
        <f>T119+1</f>
        <v>45108</v>
      </c>
      <c r="Y119" s="1524"/>
      <c r="Z119" s="1524"/>
      <c r="AA119" s="3"/>
      <c r="AB119" s="1524">
        <f>X119+1</f>
        <v>45109</v>
      </c>
      <c r="AC119" s="1524"/>
      <c r="AD119" s="1524"/>
      <c r="AE119" s="22"/>
      <c r="AF119" s="1517" t="s">
        <v>19</v>
      </c>
      <c r="AG119" s="2"/>
    </row>
    <row r="120" spans="2:33" s="1" customFormat="1">
      <c r="B120" s="1518"/>
      <c r="C120" s="1552"/>
      <c r="D120" s="21" t="s">
        <v>23</v>
      </c>
      <c r="E120" s="21" t="s">
        <v>24</v>
      </c>
      <c r="F120" s="62" t="s">
        <v>25</v>
      </c>
      <c r="G120" s="23"/>
      <c r="H120" s="21" t="s">
        <v>23</v>
      </c>
      <c r="I120" s="21" t="s">
        <v>24</v>
      </c>
      <c r="J120" s="18" t="s">
        <v>25</v>
      </c>
      <c r="K120" s="23"/>
      <c r="L120" s="21" t="s">
        <v>23</v>
      </c>
      <c r="M120" s="21" t="s">
        <v>24</v>
      </c>
      <c r="N120" s="18" t="s">
        <v>25</v>
      </c>
      <c r="O120" s="23"/>
      <c r="P120" s="21" t="s">
        <v>23</v>
      </c>
      <c r="Q120" s="21" t="s">
        <v>24</v>
      </c>
      <c r="R120" s="18" t="s">
        <v>25</v>
      </c>
      <c r="S120" s="23"/>
      <c r="T120" s="21" t="s">
        <v>23</v>
      </c>
      <c r="U120" s="21" t="s">
        <v>24</v>
      </c>
      <c r="V120" s="18" t="s">
        <v>25</v>
      </c>
      <c r="W120" s="23"/>
      <c r="X120" s="21" t="s">
        <v>23</v>
      </c>
      <c r="Y120" s="21" t="s">
        <v>24</v>
      </c>
      <c r="Z120" s="18" t="s">
        <v>25</v>
      </c>
      <c r="AA120" s="23"/>
      <c r="AB120" s="21" t="s">
        <v>23</v>
      </c>
      <c r="AC120" s="21" t="s">
        <v>24</v>
      </c>
      <c r="AD120" s="18" t="s">
        <v>25</v>
      </c>
      <c r="AE120" s="23"/>
      <c r="AF120" s="1517"/>
      <c r="AG120" s="2"/>
    </row>
    <row r="121" spans="2:33" ht="27">
      <c r="B121" s="13" t="s">
        <v>572</v>
      </c>
      <c r="C121" s="13" t="s">
        <v>605</v>
      </c>
      <c r="D121" s="48"/>
      <c r="E121" s="48"/>
      <c r="F121" s="85">
        <f>(E121-D121)*24</f>
        <v>0</v>
      </c>
      <c r="G121" s="24"/>
      <c r="H121" s="48">
        <v>0.5</v>
      </c>
      <c r="I121" s="48">
        <v>0.66666666666666663</v>
      </c>
      <c r="J121" s="49">
        <f>(I121-H121)*24</f>
        <v>3.9999999999999991</v>
      </c>
      <c r="K121" s="24"/>
      <c r="L121" s="48"/>
      <c r="M121" s="48"/>
      <c r="N121" s="49">
        <f>(M121-L121)*24</f>
        <v>0</v>
      </c>
      <c r="O121" s="24"/>
      <c r="P121" s="48"/>
      <c r="Q121" s="48"/>
      <c r="R121" s="49">
        <f>(Q121-P121)*24</f>
        <v>0</v>
      </c>
      <c r="S121" s="24"/>
      <c r="T121" s="48"/>
      <c r="U121" s="48"/>
      <c r="V121" s="49">
        <f>(U121-T121)*24</f>
        <v>0</v>
      </c>
      <c r="W121" s="24"/>
      <c r="X121" s="48"/>
      <c r="Y121" s="48"/>
      <c r="Z121" s="49">
        <f>(Y121-X121)*24</f>
        <v>0</v>
      </c>
      <c r="AA121" s="24"/>
      <c r="AB121" s="48"/>
      <c r="AC121" s="48"/>
      <c r="AD121" s="49">
        <f>(AC121-AB121)*24</f>
        <v>0</v>
      </c>
      <c r="AE121" s="24"/>
      <c r="AF121" s="29">
        <f>J121+F121+N121+R121+V121+Z121+AD121</f>
        <v>3.9999999999999991</v>
      </c>
    </row>
    <row r="122" spans="2:33" ht="27">
      <c r="B122" s="13" t="s">
        <v>572</v>
      </c>
      <c r="C122" s="13" t="s">
        <v>606</v>
      </c>
      <c r="D122" s="48"/>
      <c r="E122" s="48"/>
      <c r="F122" s="85">
        <f t="shared" ref="F122:F132" si="82">(E122-D122)*24</f>
        <v>0</v>
      </c>
      <c r="G122" s="24"/>
      <c r="H122" s="48"/>
      <c r="I122" s="48"/>
      <c r="J122" s="49">
        <f t="shared" ref="J122:J132" si="83">(I122-H122)*24</f>
        <v>0</v>
      </c>
      <c r="K122" s="24"/>
      <c r="L122" s="48">
        <v>0.25</v>
      </c>
      <c r="M122" s="48">
        <v>0.35416666666666669</v>
      </c>
      <c r="N122" s="49">
        <f t="shared" ref="N122:N132" si="84">(M122-L122)*24</f>
        <v>2.5000000000000004</v>
      </c>
      <c r="O122" s="24"/>
      <c r="P122" s="48"/>
      <c r="Q122" s="48"/>
      <c r="R122" s="49">
        <f t="shared" ref="R122:R132" si="85">(Q122-P122)*24</f>
        <v>0</v>
      </c>
      <c r="S122" s="24"/>
      <c r="T122" s="48"/>
      <c r="U122" s="48"/>
      <c r="V122" s="49">
        <f t="shared" ref="V122:V132" si="86">(U122-T122)*24</f>
        <v>0</v>
      </c>
      <c r="W122" s="24"/>
      <c r="X122" s="48"/>
      <c r="Y122" s="48"/>
      <c r="Z122" s="49">
        <f t="shared" ref="Z122:Z132" si="87">(Y122-X122)*24</f>
        <v>0</v>
      </c>
      <c r="AA122" s="24"/>
      <c r="AB122" s="48"/>
      <c r="AC122" s="48"/>
      <c r="AD122" s="49">
        <f t="shared" ref="AD122:AD132" si="88">(AC122-AB122)*24</f>
        <v>0</v>
      </c>
      <c r="AE122" s="24"/>
      <c r="AF122" s="29">
        <f t="shared" ref="AF122:AF132" si="89">J122+F122+N122+R122+V122+Z122+AD122</f>
        <v>2.5000000000000004</v>
      </c>
    </row>
    <row r="123" spans="2:33" ht="14.25">
      <c r="B123" s="13" t="s">
        <v>54</v>
      </c>
      <c r="C123" s="13" t="s">
        <v>607</v>
      </c>
      <c r="D123" s="48"/>
      <c r="E123" s="48"/>
      <c r="F123" s="85">
        <f t="shared" si="82"/>
        <v>0</v>
      </c>
      <c r="G123" s="24"/>
      <c r="H123" s="48"/>
      <c r="I123" s="48"/>
      <c r="J123" s="49">
        <f t="shared" si="83"/>
        <v>0</v>
      </c>
      <c r="K123" s="24"/>
      <c r="L123" s="48"/>
      <c r="M123" s="48"/>
      <c r="N123" s="49">
        <f t="shared" si="84"/>
        <v>0</v>
      </c>
      <c r="O123" s="24"/>
      <c r="P123" s="48">
        <v>0.41666666666666669</v>
      </c>
      <c r="Q123" s="48">
        <v>0.72916666666666663</v>
      </c>
      <c r="R123" s="49">
        <f t="shared" si="85"/>
        <v>7.4999999999999982</v>
      </c>
      <c r="S123" s="24"/>
      <c r="T123" s="48">
        <v>0.41666666666666669</v>
      </c>
      <c r="U123" s="48">
        <v>0.72916666666666663</v>
      </c>
      <c r="V123" s="49">
        <f t="shared" si="86"/>
        <v>7.4999999999999982</v>
      </c>
      <c r="W123" s="24"/>
      <c r="X123" s="48"/>
      <c r="Y123" s="48"/>
      <c r="Z123" s="49">
        <f t="shared" si="87"/>
        <v>0</v>
      </c>
      <c r="AA123" s="24"/>
      <c r="AB123" s="48"/>
      <c r="AC123" s="48"/>
      <c r="AD123" s="49">
        <f t="shared" si="88"/>
        <v>0</v>
      </c>
      <c r="AE123" s="24"/>
      <c r="AF123" s="29">
        <f t="shared" si="89"/>
        <v>14.999999999999996</v>
      </c>
    </row>
    <row r="124" spans="2:33" ht="14.25">
      <c r="B124" s="13" t="s">
        <v>42</v>
      </c>
      <c r="C124" s="13" t="s">
        <v>607</v>
      </c>
      <c r="D124" s="48"/>
      <c r="E124" s="48"/>
      <c r="F124" s="85">
        <f t="shared" si="82"/>
        <v>0</v>
      </c>
      <c r="G124" s="24"/>
      <c r="H124" s="48"/>
      <c r="I124" s="48"/>
      <c r="J124" s="49">
        <f t="shared" si="83"/>
        <v>0</v>
      </c>
      <c r="K124" s="24"/>
      <c r="L124" s="48"/>
      <c r="M124" s="48"/>
      <c r="N124" s="49">
        <f t="shared" si="84"/>
        <v>0</v>
      </c>
      <c r="O124" s="24"/>
      <c r="P124" s="48">
        <v>0.41666666666666669</v>
      </c>
      <c r="Q124" s="48">
        <v>0.72916666666666663</v>
      </c>
      <c r="R124" s="49">
        <f t="shared" ref="R124:R127" si="90">(Q124-P124)*24</f>
        <v>7.4999999999999982</v>
      </c>
      <c r="S124" s="24"/>
      <c r="T124" s="48">
        <v>0.41666666666666669</v>
      </c>
      <c r="U124" s="48">
        <v>0.72916666666666663</v>
      </c>
      <c r="V124" s="49">
        <f t="shared" si="86"/>
        <v>7.4999999999999982</v>
      </c>
      <c r="W124" s="24"/>
      <c r="X124" s="48"/>
      <c r="Y124" s="48"/>
      <c r="Z124" s="49">
        <f t="shared" si="87"/>
        <v>0</v>
      </c>
      <c r="AA124" s="24"/>
      <c r="AB124" s="48"/>
      <c r="AC124" s="48"/>
      <c r="AD124" s="49">
        <f t="shared" si="88"/>
        <v>0</v>
      </c>
      <c r="AE124" s="24"/>
      <c r="AF124" s="29">
        <f t="shared" si="89"/>
        <v>14.999999999999996</v>
      </c>
    </row>
    <row r="125" spans="2:33" ht="14.25">
      <c r="B125" s="13" t="s">
        <v>147</v>
      </c>
      <c r="C125" s="13" t="s">
        <v>607</v>
      </c>
      <c r="D125" s="48"/>
      <c r="E125" s="48"/>
      <c r="F125" s="85">
        <f t="shared" si="82"/>
        <v>0</v>
      </c>
      <c r="G125" s="24"/>
      <c r="H125" s="48"/>
      <c r="I125" s="48"/>
      <c r="J125" s="49">
        <f t="shared" si="83"/>
        <v>0</v>
      </c>
      <c r="K125" s="24"/>
      <c r="L125" s="48"/>
      <c r="M125" s="48"/>
      <c r="N125" s="49">
        <f t="shared" si="84"/>
        <v>0</v>
      </c>
      <c r="O125" s="24"/>
      <c r="P125" s="48">
        <v>0.41666666666666669</v>
      </c>
      <c r="Q125" s="48">
        <v>0.72916666666666663</v>
      </c>
      <c r="R125" s="49">
        <f t="shared" si="90"/>
        <v>7.4999999999999982</v>
      </c>
      <c r="S125" s="24"/>
      <c r="T125" s="48">
        <v>0.41666666666666669</v>
      </c>
      <c r="U125" s="48">
        <v>0.72916666666666663</v>
      </c>
      <c r="V125" s="49">
        <f t="shared" si="86"/>
        <v>7.4999999999999982</v>
      </c>
      <c r="W125" s="24"/>
      <c r="X125" s="48"/>
      <c r="Y125" s="48"/>
      <c r="Z125" s="49">
        <f t="shared" si="87"/>
        <v>0</v>
      </c>
      <c r="AA125" s="24"/>
      <c r="AB125" s="48"/>
      <c r="AC125" s="48"/>
      <c r="AD125" s="49">
        <f t="shared" si="88"/>
        <v>0</v>
      </c>
      <c r="AE125" s="24"/>
      <c r="AF125" s="29">
        <f t="shared" si="89"/>
        <v>14.999999999999996</v>
      </c>
    </row>
    <row r="126" spans="2:33" ht="14.25">
      <c r="B126" s="13" t="s">
        <v>608</v>
      </c>
      <c r="C126" s="13" t="s">
        <v>607</v>
      </c>
      <c r="D126" s="48"/>
      <c r="E126" s="48"/>
      <c r="F126" s="85">
        <f t="shared" si="82"/>
        <v>0</v>
      </c>
      <c r="G126" s="24"/>
      <c r="H126" s="48"/>
      <c r="I126" s="48"/>
      <c r="J126" s="49">
        <f t="shared" si="83"/>
        <v>0</v>
      </c>
      <c r="K126" s="24"/>
      <c r="L126" s="48"/>
      <c r="M126" s="48"/>
      <c r="N126" s="49">
        <f t="shared" si="84"/>
        <v>0</v>
      </c>
      <c r="O126" s="24"/>
      <c r="P126" s="48"/>
      <c r="Q126" s="48"/>
      <c r="R126" s="49">
        <f t="shared" si="90"/>
        <v>0</v>
      </c>
      <c r="S126" s="24"/>
      <c r="T126" s="48">
        <v>0.41666666666666669</v>
      </c>
      <c r="U126" s="48">
        <v>0.72916666666666663</v>
      </c>
      <c r="V126" s="49">
        <f t="shared" si="86"/>
        <v>7.4999999999999982</v>
      </c>
      <c r="W126" s="24"/>
      <c r="X126" s="48"/>
      <c r="Y126" s="48"/>
      <c r="Z126" s="49">
        <f t="shared" si="87"/>
        <v>0</v>
      </c>
      <c r="AA126" s="24"/>
      <c r="AB126" s="48"/>
      <c r="AC126" s="48"/>
      <c r="AD126" s="49">
        <f t="shared" si="88"/>
        <v>0</v>
      </c>
      <c r="AE126" s="24"/>
      <c r="AF126" s="29">
        <f t="shared" si="89"/>
        <v>7.4999999999999982</v>
      </c>
    </row>
    <row r="127" spans="2:33" ht="14.25">
      <c r="B127" s="13" t="s">
        <v>53</v>
      </c>
      <c r="C127" s="13" t="s">
        <v>607</v>
      </c>
      <c r="D127" s="48"/>
      <c r="E127" s="48"/>
      <c r="F127" s="85">
        <f t="shared" si="82"/>
        <v>0</v>
      </c>
      <c r="G127" s="24"/>
      <c r="H127" s="48"/>
      <c r="I127" s="48"/>
      <c r="J127" s="49">
        <f t="shared" si="83"/>
        <v>0</v>
      </c>
      <c r="K127" s="24"/>
      <c r="L127" s="48"/>
      <c r="M127" s="48"/>
      <c r="N127" s="49">
        <f t="shared" si="84"/>
        <v>0</v>
      </c>
      <c r="O127" s="24"/>
      <c r="P127" s="48"/>
      <c r="Q127" s="48"/>
      <c r="R127" s="49">
        <f t="shared" si="90"/>
        <v>0</v>
      </c>
      <c r="S127" s="24"/>
      <c r="T127" s="48">
        <v>0.41666666666666669</v>
      </c>
      <c r="U127" s="48">
        <v>0.72916666666666663</v>
      </c>
      <c r="V127" s="49">
        <f t="shared" si="86"/>
        <v>7.4999999999999982</v>
      </c>
      <c r="W127" s="24"/>
      <c r="X127" s="48"/>
      <c r="Y127" s="48"/>
      <c r="Z127" s="49">
        <f t="shared" si="87"/>
        <v>0</v>
      </c>
      <c r="AA127" s="24"/>
      <c r="AB127" s="48"/>
      <c r="AC127" s="48"/>
      <c r="AD127" s="49">
        <f t="shared" si="88"/>
        <v>0</v>
      </c>
      <c r="AE127" s="24"/>
      <c r="AF127" s="29">
        <f t="shared" si="89"/>
        <v>7.4999999999999982</v>
      </c>
    </row>
    <row r="128" spans="2:33" ht="27">
      <c r="B128" s="13" t="s">
        <v>572</v>
      </c>
      <c r="C128" s="13" t="s">
        <v>609</v>
      </c>
      <c r="D128" s="48"/>
      <c r="E128" s="48"/>
      <c r="F128" s="85">
        <f t="shared" si="82"/>
        <v>0</v>
      </c>
      <c r="G128" s="25"/>
      <c r="H128" s="48"/>
      <c r="J128" s="49">
        <f t="shared" ref="J128" si="91">(I128-H128)*24</f>
        <v>0</v>
      </c>
      <c r="K128" s="25"/>
      <c r="L128" s="48"/>
      <c r="M128" s="48"/>
      <c r="N128" s="49">
        <f t="shared" si="84"/>
        <v>0</v>
      </c>
      <c r="O128" s="25"/>
      <c r="P128" s="48">
        <v>0.625</v>
      </c>
      <c r="Q128" s="48">
        <v>0.64583333333333337</v>
      </c>
      <c r="R128" s="49">
        <f t="shared" si="85"/>
        <v>0.50000000000000089</v>
      </c>
      <c r="S128" s="25"/>
      <c r="T128" s="48"/>
      <c r="U128" s="51"/>
      <c r="V128" s="49">
        <f t="shared" si="86"/>
        <v>0</v>
      </c>
      <c r="W128" s="25"/>
      <c r="X128" s="48"/>
      <c r="Y128" s="48"/>
      <c r="Z128" s="49">
        <f t="shared" si="87"/>
        <v>0</v>
      </c>
      <c r="AA128" s="25"/>
      <c r="AB128" s="48"/>
      <c r="AC128" s="48"/>
      <c r="AD128" s="49">
        <f t="shared" si="88"/>
        <v>0</v>
      </c>
      <c r="AE128" s="25"/>
      <c r="AF128" s="29">
        <f t="shared" si="89"/>
        <v>0.50000000000000089</v>
      </c>
    </row>
    <row r="129" spans="2:32" ht="27">
      <c r="B129" s="13" t="s">
        <v>572</v>
      </c>
      <c r="C129" s="13" t="s">
        <v>610</v>
      </c>
      <c r="D129" s="48"/>
      <c r="E129" s="48"/>
      <c r="F129" s="85">
        <f t="shared" ref="F129" si="92">(E129-D129)*24</f>
        <v>0</v>
      </c>
      <c r="G129" s="25"/>
      <c r="H129" s="48"/>
      <c r="J129" s="49">
        <f t="shared" si="83"/>
        <v>0</v>
      </c>
      <c r="K129" s="25"/>
      <c r="L129" s="48"/>
      <c r="M129" s="48"/>
      <c r="N129" s="49">
        <f t="shared" ref="N129" si="93">(M129-L129)*24</f>
        <v>0</v>
      </c>
      <c r="O129" s="25"/>
      <c r="P129" s="48"/>
      <c r="Q129" s="48"/>
      <c r="R129" s="49">
        <f t="shared" ref="R129" si="94">(Q129-P129)*24</f>
        <v>0</v>
      </c>
      <c r="S129" s="25"/>
      <c r="T129" s="48">
        <v>0.5625</v>
      </c>
      <c r="U129" s="51">
        <v>0.875</v>
      </c>
      <c r="V129" s="49">
        <f t="shared" ref="V129" si="95">(U129-T129)*24</f>
        <v>7.5</v>
      </c>
      <c r="W129" s="25"/>
      <c r="X129" s="48">
        <v>0.33333333333333331</v>
      </c>
      <c r="Y129" s="48">
        <v>0.75</v>
      </c>
      <c r="Z129" s="49">
        <f t="shared" ref="Z129" si="96">(Y129-X129)*24</f>
        <v>10</v>
      </c>
      <c r="AA129" s="25"/>
      <c r="AB129" s="48"/>
      <c r="AC129" s="48"/>
      <c r="AD129" s="49">
        <f t="shared" ref="AD129" si="97">(AC129-AB129)*24</f>
        <v>0</v>
      </c>
      <c r="AE129" s="25"/>
      <c r="AF129" s="29">
        <f t="shared" ref="AF129" si="98">J129+F129+N129+R129+V129+Z129+AD129</f>
        <v>17.5</v>
      </c>
    </row>
    <row r="130" spans="2:32" ht="27">
      <c r="B130" s="13" t="s">
        <v>576</v>
      </c>
      <c r="C130" s="13" t="s">
        <v>610</v>
      </c>
      <c r="D130" s="48"/>
      <c r="E130" s="48"/>
      <c r="F130" s="85">
        <f t="shared" ref="F130:F131" si="99">(E130-D130)*24</f>
        <v>0</v>
      </c>
      <c r="G130" s="25"/>
      <c r="H130" s="48"/>
      <c r="I130" s="48"/>
      <c r="J130" s="49">
        <f t="shared" ref="J130:J131" si="100">(I130-H130)*24</f>
        <v>0</v>
      </c>
      <c r="K130" s="25"/>
      <c r="L130" s="48"/>
      <c r="M130" s="48"/>
      <c r="N130" s="49">
        <f t="shared" ref="N130:N131" si="101">(M130-L130)*24</f>
        <v>0</v>
      </c>
      <c r="O130" s="25"/>
      <c r="P130" s="48"/>
      <c r="Q130" s="48"/>
      <c r="R130" s="49">
        <f t="shared" ref="R130:R131" si="102">(Q130-P130)*24</f>
        <v>0</v>
      </c>
      <c r="S130" s="25"/>
      <c r="T130" s="48">
        <v>0.625</v>
      </c>
      <c r="U130" s="51">
        <v>0.875</v>
      </c>
      <c r="V130" s="49">
        <f t="shared" ref="V130:V131" si="103">(U130-T130)*24</f>
        <v>6</v>
      </c>
      <c r="W130" s="25"/>
      <c r="X130" s="48">
        <v>0.33333333333333331</v>
      </c>
      <c r="Y130" s="48">
        <v>0.75</v>
      </c>
      <c r="Z130" s="49">
        <f t="shared" ref="Z130:Z131" si="104">(Y130-X130)*24</f>
        <v>10</v>
      </c>
      <c r="AA130" s="25"/>
      <c r="AB130" s="48"/>
      <c r="AC130" s="48"/>
      <c r="AD130" s="49">
        <f t="shared" ref="AD130:AD131" si="105">(AC130-AB130)*24</f>
        <v>0</v>
      </c>
      <c r="AE130" s="25"/>
      <c r="AF130" s="29">
        <f t="shared" ref="AF130:AF131" si="106">J130+F130+N130+R130+V130+Z130+AD130</f>
        <v>16</v>
      </c>
    </row>
    <row r="131" spans="2:32" ht="27">
      <c r="B131" s="13" t="s">
        <v>582</v>
      </c>
      <c r="C131" s="13" t="s">
        <v>610</v>
      </c>
      <c r="D131" s="48"/>
      <c r="E131" s="48"/>
      <c r="F131" s="85">
        <f t="shared" si="99"/>
        <v>0</v>
      </c>
      <c r="G131" s="25"/>
      <c r="H131" s="48"/>
      <c r="I131" s="48"/>
      <c r="J131" s="49">
        <f t="shared" si="100"/>
        <v>0</v>
      </c>
      <c r="K131" s="25"/>
      <c r="L131" s="48"/>
      <c r="M131" s="48"/>
      <c r="N131" s="49">
        <f t="shared" si="101"/>
        <v>0</v>
      </c>
      <c r="O131" s="25"/>
      <c r="P131" s="48"/>
      <c r="Q131" s="48"/>
      <c r="R131" s="49">
        <f t="shared" si="102"/>
        <v>0</v>
      </c>
      <c r="S131" s="25"/>
      <c r="T131" s="48"/>
      <c r="U131" s="51"/>
      <c r="V131" s="49">
        <f t="shared" si="103"/>
        <v>0</v>
      </c>
      <c r="W131" s="25"/>
      <c r="X131" s="48">
        <v>0.33333333333333331</v>
      </c>
      <c r="Y131" s="48">
        <v>0.75</v>
      </c>
      <c r="Z131" s="49">
        <f t="shared" si="104"/>
        <v>10</v>
      </c>
      <c r="AA131" s="25"/>
      <c r="AB131" s="48"/>
      <c r="AC131" s="48"/>
      <c r="AD131" s="49">
        <f t="shared" si="105"/>
        <v>0</v>
      </c>
      <c r="AE131" s="25"/>
      <c r="AF131" s="29">
        <f t="shared" si="106"/>
        <v>10</v>
      </c>
    </row>
    <row r="132" spans="2:32" ht="27">
      <c r="B132" s="13" t="s">
        <v>169</v>
      </c>
      <c r="C132" s="13" t="s">
        <v>611</v>
      </c>
      <c r="D132" s="48"/>
      <c r="E132" s="48"/>
      <c r="F132" s="85">
        <f t="shared" si="82"/>
        <v>0</v>
      </c>
      <c r="G132" s="25"/>
      <c r="H132" s="48"/>
      <c r="I132" s="48"/>
      <c r="J132" s="49">
        <f t="shared" si="83"/>
        <v>0</v>
      </c>
      <c r="K132" s="25"/>
      <c r="L132" s="48"/>
      <c r="M132" s="48"/>
      <c r="N132" s="49">
        <f t="shared" si="84"/>
        <v>0</v>
      </c>
      <c r="O132" s="25"/>
      <c r="P132" s="48"/>
      <c r="Q132" s="48"/>
      <c r="R132" s="49">
        <f t="shared" si="85"/>
        <v>0</v>
      </c>
      <c r="S132" s="25"/>
      <c r="T132" s="48">
        <v>0.45833333333333331</v>
      </c>
      <c r="U132" s="51">
        <v>0.625</v>
      </c>
      <c r="V132" s="49">
        <f t="shared" si="86"/>
        <v>4</v>
      </c>
      <c r="W132" s="25"/>
      <c r="X132" s="48"/>
      <c r="Y132" s="48"/>
      <c r="Z132" s="49">
        <f t="shared" si="87"/>
        <v>0</v>
      </c>
      <c r="AA132" s="25"/>
      <c r="AB132" s="48"/>
      <c r="AC132" s="48"/>
      <c r="AD132" s="49">
        <f t="shared" si="88"/>
        <v>0</v>
      </c>
      <c r="AE132" s="25"/>
      <c r="AF132" s="29">
        <f t="shared" si="89"/>
        <v>4</v>
      </c>
    </row>
    <row r="133" spans="2:32">
      <c r="B133" s="63" t="s">
        <v>61</v>
      </c>
      <c r="C133" s="63"/>
      <c r="D133" s="63"/>
      <c r="E133" s="63"/>
      <c r="F133" s="86">
        <f>SUM(F120:F132)</f>
        <v>0</v>
      </c>
      <c r="G133" s="63"/>
      <c r="H133" s="63"/>
      <c r="I133" s="63"/>
      <c r="J133" s="86">
        <f>SUM(J120:J132)</f>
        <v>3.9999999999999991</v>
      </c>
      <c r="K133" s="63"/>
      <c r="L133" s="63"/>
      <c r="M133" s="63"/>
      <c r="N133" s="86">
        <f>SUM(N120:N132)</f>
        <v>2.5000000000000004</v>
      </c>
      <c r="O133" s="63"/>
      <c r="P133" s="63"/>
      <c r="Q133" s="63"/>
      <c r="R133" s="86">
        <f>SUM(R120:R132)</f>
        <v>22.999999999999993</v>
      </c>
      <c r="S133" s="63"/>
      <c r="T133" s="63"/>
      <c r="U133" s="63"/>
      <c r="V133" s="86">
        <f>SUM(V120:V132)</f>
        <v>54.999999999999993</v>
      </c>
      <c r="W133" s="63"/>
      <c r="X133" s="63"/>
      <c r="Y133" s="63"/>
      <c r="Z133" s="86">
        <f>SUM(Z120:Z132)</f>
        <v>30</v>
      </c>
      <c r="AA133" s="63"/>
      <c r="AB133" s="63"/>
      <c r="AC133" s="63"/>
      <c r="AD133" s="82">
        <f>SUM(AD120:AD132)</f>
        <v>0</v>
      </c>
      <c r="AE133" s="46"/>
      <c r="AF133" s="30">
        <f>SUM(AF121:AF132)</f>
        <v>114.49999999999999</v>
      </c>
    </row>
    <row r="134" spans="2:32">
      <c r="B134" s="31" t="s">
        <v>577</v>
      </c>
      <c r="C134" s="31"/>
      <c r="D134" s="91"/>
      <c r="E134" s="83"/>
      <c r="F134" s="87">
        <v>8</v>
      </c>
      <c r="G134" s="83"/>
      <c r="H134" s="83"/>
      <c r="I134" s="83"/>
      <c r="J134" s="87">
        <v>8</v>
      </c>
      <c r="K134" s="83"/>
      <c r="L134" s="83"/>
      <c r="M134" s="83"/>
      <c r="N134" s="87">
        <v>8</v>
      </c>
      <c r="O134" s="83"/>
      <c r="P134" s="83"/>
      <c r="Q134" s="83"/>
      <c r="R134" s="87">
        <v>8</v>
      </c>
      <c r="S134" s="83"/>
      <c r="T134" s="83"/>
      <c r="U134" s="83"/>
      <c r="V134" s="87">
        <v>8</v>
      </c>
      <c r="W134" s="83"/>
      <c r="X134" s="83"/>
      <c r="Y134" s="83"/>
      <c r="Z134" s="87">
        <v>8</v>
      </c>
      <c r="AA134" s="83"/>
      <c r="AB134" s="83"/>
      <c r="AC134" s="83"/>
      <c r="AD134" s="83"/>
      <c r="AE134" s="45"/>
      <c r="AF134" s="28"/>
    </row>
    <row r="135" spans="2:32">
      <c r="B135" s="31" t="s">
        <v>578</v>
      </c>
      <c r="C135" s="31"/>
      <c r="D135" s="91"/>
      <c r="E135" s="83"/>
      <c r="F135" s="87"/>
      <c r="G135" s="83"/>
      <c r="H135" s="83"/>
      <c r="I135" s="83"/>
      <c r="J135" s="87"/>
      <c r="K135" s="83"/>
      <c r="L135" s="83"/>
      <c r="M135" s="83"/>
      <c r="N135" s="87"/>
      <c r="O135" s="83"/>
      <c r="P135" s="83"/>
      <c r="Q135" s="83"/>
      <c r="R135" s="87"/>
      <c r="S135" s="83"/>
      <c r="T135" s="83"/>
      <c r="U135" s="83"/>
      <c r="V135" s="87"/>
      <c r="W135" s="83"/>
      <c r="X135" s="83"/>
      <c r="Y135" s="83"/>
      <c r="Z135" s="87"/>
      <c r="AA135" s="83"/>
      <c r="AB135" s="83"/>
      <c r="AC135" s="83"/>
      <c r="AD135" s="83"/>
      <c r="AE135" s="45"/>
      <c r="AF135" s="28">
        <f>SUM(D135:AD135)</f>
        <v>0</v>
      </c>
    </row>
    <row r="136" spans="2:32" ht="14.25" thickBot="1">
      <c r="B136" s="74" t="s">
        <v>579</v>
      </c>
      <c r="C136" s="74"/>
      <c r="D136" s="92"/>
      <c r="E136" s="92"/>
      <c r="F136" s="93"/>
      <c r="G136" s="92"/>
      <c r="H136" s="92"/>
      <c r="I136" s="92"/>
      <c r="J136" s="93"/>
      <c r="K136" s="92"/>
      <c r="L136" s="92"/>
      <c r="M136" s="92"/>
      <c r="N136" s="93"/>
      <c r="O136" s="92"/>
      <c r="P136" s="92"/>
      <c r="Q136" s="92"/>
      <c r="R136" s="93">
        <v>4</v>
      </c>
      <c r="S136" s="92"/>
      <c r="T136" s="92"/>
      <c r="U136" s="92"/>
      <c r="V136" s="93"/>
      <c r="W136" s="94"/>
      <c r="X136" s="94"/>
      <c r="Y136" s="94"/>
      <c r="Z136" s="93"/>
      <c r="AA136" s="94"/>
      <c r="AB136" s="94"/>
      <c r="AC136" s="94"/>
      <c r="AD136" s="94"/>
      <c r="AE136" s="94"/>
      <c r="AF136" s="80">
        <f>SUM(D136:AD136)</f>
        <v>4</v>
      </c>
    </row>
    <row r="137" spans="2:32" ht="14.25" thickTop="1">
      <c r="B137" s="71" t="s">
        <v>66</v>
      </c>
      <c r="C137" s="3"/>
      <c r="D137" s="3"/>
      <c r="E137" s="3"/>
      <c r="F137" s="88">
        <f>SUM(F134:F136)</f>
        <v>8</v>
      </c>
      <c r="G137" s="3"/>
      <c r="H137" s="3"/>
      <c r="I137" s="3"/>
      <c r="J137" s="88">
        <f>SUM(J134:J136)</f>
        <v>8</v>
      </c>
      <c r="K137" s="3"/>
      <c r="L137" s="3"/>
      <c r="M137" s="3"/>
      <c r="N137" s="88">
        <f>SUM(N134:N136)</f>
        <v>8</v>
      </c>
      <c r="P137" s="3"/>
      <c r="Q137" s="3"/>
      <c r="R137" s="88">
        <f>SUM(R134:R136)</f>
        <v>12</v>
      </c>
      <c r="T137" s="3"/>
      <c r="U137" s="3"/>
      <c r="V137" s="88">
        <f>SUM(V134:V136)</f>
        <v>8</v>
      </c>
      <c r="W137" s="3"/>
      <c r="X137" s="3"/>
      <c r="Y137" s="3"/>
      <c r="Z137" s="88">
        <f>SUM(Z134:Z136)</f>
        <v>8</v>
      </c>
      <c r="AB137" s="3"/>
      <c r="AC137" s="3"/>
      <c r="AD137" s="67">
        <f>SUM(AD134:AD136)</f>
        <v>0</v>
      </c>
      <c r="AF137" s="71">
        <f>SUM(F137:AD137)</f>
        <v>52</v>
      </c>
    </row>
    <row r="139" spans="2:32">
      <c r="B139" s="1518" t="s">
        <v>18</v>
      </c>
      <c r="C139" s="1552" t="s">
        <v>571</v>
      </c>
      <c r="D139" s="1524">
        <v>45110</v>
      </c>
      <c r="E139" s="1524"/>
      <c r="F139" s="1524"/>
      <c r="G139" s="22"/>
      <c r="H139" s="1524">
        <f>D139+1</f>
        <v>45111</v>
      </c>
      <c r="I139" s="1524"/>
      <c r="J139" s="1524"/>
      <c r="K139" s="22"/>
      <c r="L139" s="1524">
        <f>H139+1</f>
        <v>45112</v>
      </c>
      <c r="M139" s="1524"/>
      <c r="N139" s="1524"/>
      <c r="P139" s="1524">
        <f>L139+1</f>
        <v>45113</v>
      </c>
      <c r="Q139" s="1524"/>
      <c r="R139" s="1524"/>
      <c r="T139" s="1524">
        <f>P139+1</f>
        <v>45114</v>
      </c>
      <c r="U139" s="1524"/>
      <c r="V139" s="1524"/>
      <c r="W139" s="22"/>
      <c r="X139" s="1524">
        <f>T139+1</f>
        <v>45115</v>
      </c>
      <c r="Y139" s="1524"/>
      <c r="Z139" s="1524"/>
      <c r="AB139" s="1524">
        <f>X139+1</f>
        <v>45116</v>
      </c>
      <c r="AC139" s="1524"/>
      <c r="AD139" s="1524"/>
      <c r="AE139" s="22"/>
      <c r="AF139" s="1517" t="s">
        <v>19</v>
      </c>
    </row>
    <row r="140" spans="2:32">
      <c r="B140" s="1518"/>
      <c r="C140" s="1552"/>
      <c r="D140" s="21" t="s">
        <v>23</v>
      </c>
      <c r="E140" s="21" t="s">
        <v>24</v>
      </c>
      <c r="F140" s="62" t="s">
        <v>25</v>
      </c>
      <c r="G140" s="23"/>
      <c r="H140" s="21" t="s">
        <v>23</v>
      </c>
      <c r="I140" s="21" t="s">
        <v>24</v>
      </c>
      <c r="J140" s="18" t="s">
        <v>25</v>
      </c>
      <c r="K140" s="23"/>
      <c r="L140" s="21" t="s">
        <v>23</v>
      </c>
      <c r="M140" s="21" t="s">
        <v>24</v>
      </c>
      <c r="N140" s="18" t="s">
        <v>25</v>
      </c>
      <c r="O140" s="23"/>
      <c r="P140" s="21" t="s">
        <v>23</v>
      </c>
      <c r="Q140" s="21" t="s">
        <v>24</v>
      </c>
      <c r="R140" s="18" t="s">
        <v>25</v>
      </c>
      <c r="S140" s="23"/>
      <c r="T140" s="21" t="s">
        <v>23</v>
      </c>
      <c r="U140" s="21" t="s">
        <v>24</v>
      </c>
      <c r="V140" s="18" t="s">
        <v>25</v>
      </c>
      <c r="W140" s="23"/>
      <c r="X140" s="21" t="s">
        <v>23</v>
      </c>
      <c r="Y140" s="21" t="s">
        <v>24</v>
      </c>
      <c r="Z140" s="18" t="s">
        <v>25</v>
      </c>
      <c r="AA140" s="23"/>
      <c r="AB140" s="21" t="s">
        <v>23</v>
      </c>
      <c r="AC140" s="21" t="s">
        <v>24</v>
      </c>
      <c r="AD140" s="18" t="s">
        <v>25</v>
      </c>
      <c r="AE140" s="23"/>
      <c r="AF140" s="1517"/>
    </row>
    <row r="141" spans="2:32" ht="27">
      <c r="B141" s="13" t="s">
        <v>54</v>
      </c>
      <c r="C141" s="13" t="s">
        <v>612</v>
      </c>
      <c r="D141" s="48">
        <v>0.375</v>
      </c>
      <c r="E141" s="48">
        <v>0.70833333333333337</v>
      </c>
      <c r="F141" s="85">
        <f>(E141-D141)*24</f>
        <v>8</v>
      </c>
      <c r="G141" s="24"/>
      <c r="H141" s="48"/>
      <c r="I141" s="48"/>
      <c r="J141" s="49">
        <f>(I141-H141)*24</f>
        <v>0</v>
      </c>
      <c r="K141" s="24"/>
      <c r="L141" s="48"/>
      <c r="M141" s="48"/>
      <c r="N141" s="49">
        <f>(M141-L141)*24</f>
        <v>0</v>
      </c>
      <c r="O141" s="24"/>
      <c r="P141" s="48"/>
      <c r="Q141" s="48"/>
      <c r="R141" s="49">
        <f>(Q141-P141)*24</f>
        <v>0</v>
      </c>
      <c r="S141" s="24"/>
      <c r="T141" s="48"/>
      <c r="U141" s="48"/>
      <c r="V141" s="49">
        <f>(U141-T141)*24</f>
        <v>0</v>
      </c>
      <c r="W141" s="24"/>
      <c r="X141" s="48"/>
      <c r="Y141" s="48"/>
      <c r="Z141" s="49">
        <f>(Y141-X141)*24</f>
        <v>0</v>
      </c>
      <c r="AA141" s="24"/>
      <c r="AB141" s="48"/>
      <c r="AC141" s="48"/>
      <c r="AD141" s="49">
        <f>(AC141-AB141)*24</f>
        <v>0</v>
      </c>
      <c r="AE141" s="24"/>
      <c r="AF141" s="29">
        <f>J141+F141+N141+R141+V141+Z141+AD141</f>
        <v>8</v>
      </c>
    </row>
    <row r="142" spans="2:32" ht="27">
      <c r="B142" s="13" t="s">
        <v>572</v>
      </c>
      <c r="C142" s="13" t="s">
        <v>610</v>
      </c>
      <c r="D142" s="48"/>
      <c r="E142" s="48"/>
      <c r="F142" s="85">
        <f t="shared" ref="F142:F152" si="107">(E142-D142)*24</f>
        <v>0</v>
      </c>
      <c r="G142" s="24"/>
      <c r="H142" s="48"/>
      <c r="I142" s="48"/>
      <c r="J142" s="49">
        <f t="shared" ref="J142:J152" si="108">(I142-H142)*24</f>
        <v>0</v>
      </c>
      <c r="K142" s="24"/>
      <c r="L142" s="48"/>
      <c r="M142" s="48"/>
      <c r="N142" s="49">
        <f t="shared" ref="N142:N152" si="109">(M142-L142)*24</f>
        <v>0</v>
      </c>
      <c r="O142" s="24"/>
      <c r="P142" s="48">
        <v>0.33333333333333331</v>
      </c>
      <c r="Q142" s="48">
        <v>0.625</v>
      </c>
      <c r="R142" s="49">
        <f t="shared" ref="R142:R152" si="110">(Q142-P142)*24</f>
        <v>7</v>
      </c>
      <c r="S142" s="24"/>
      <c r="T142" s="48"/>
      <c r="U142" s="48"/>
      <c r="V142" s="49">
        <f t="shared" ref="V142:V152" si="111">(U142-T142)*24</f>
        <v>0</v>
      </c>
      <c r="W142" s="24"/>
      <c r="X142" s="48"/>
      <c r="Y142" s="48"/>
      <c r="Z142" s="49">
        <f t="shared" ref="Z142:Z147" si="112">(Y142-X142)*24</f>
        <v>0</v>
      </c>
      <c r="AA142" s="24"/>
      <c r="AB142" s="48"/>
      <c r="AC142" s="48"/>
      <c r="AD142" s="49">
        <f t="shared" ref="AD142:AD147" si="113">(AC142-AB142)*24</f>
        <v>0</v>
      </c>
      <c r="AE142" s="24"/>
      <c r="AF142" s="29">
        <f t="shared" ref="AF142:AF147" si="114">J142+F142+N142+R142+V142+Z142+AD142</f>
        <v>7</v>
      </c>
    </row>
    <row r="143" spans="2:32" ht="14.25">
      <c r="B143" s="13" t="s">
        <v>54</v>
      </c>
      <c r="C143" s="13" t="s">
        <v>613</v>
      </c>
      <c r="D143" s="48"/>
      <c r="E143" s="48"/>
      <c r="F143" s="85">
        <f t="shared" si="107"/>
        <v>0</v>
      </c>
      <c r="G143" s="24"/>
      <c r="H143" s="48"/>
      <c r="I143" s="48"/>
      <c r="J143" s="49">
        <f t="shared" si="108"/>
        <v>0</v>
      </c>
      <c r="K143" s="24"/>
      <c r="L143" s="48">
        <v>0.375</v>
      </c>
      <c r="M143" s="48">
        <v>0.70833333333333337</v>
      </c>
      <c r="N143" s="49">
        <f t="shared" si="109"/>
        <v>8</v>
      </c>
      <c r="O143" s="24"/>
      <c r="P143" s="48">
        <v>0.375</v>
      </c>
      <c r="Q143" s="48">
        <v>0.72916666666666663</v>
      </c>
      <c r="R143" s="49">
        <f t="shared" si="110"/>
        <v>8.5</v>
      </c>
      <c r="S143" s="24"/>
      <c r="T143" s="48"/>
      <c r="U143" s="48"/>
      <c r="V143" s="49">
        <f t="shared" si="111"/>
        <v>0</v>
      </c>
      <c r="W143" s="24"/>
      <c r="X143" s="48"/>
      <c r="Y143" s="48"/>
      <c r="Z143" s="49">
        <f t="shared" si="112"/>
        <v>0</v>
      </c>
      <c r="AA143" s="24"/>
      <c r="AB143" s="48"/>
      <c r="AC143" s="48"/>
      <c r="AD143" s="49">
        <f t="shared" si="113"/>
        <v>0</v>
      </c>
      <c r="AE143" s="24"/>
      <c r="AF143" s="29">
        <f t="shared" si="114"/>
        <v>16.5</v>
      </c>
    </row>
    <row r="144" spans="2:32" ht="14.25">
      <c r="B144" s="13" t="s">
        <v>614</v>
      </c>
      <c r="C144" s="13" t="s">
        <v>613</v>
      </c>
      <c r="D144" s="48"/>
      <c r="E144" s="48"/>
      <c r="F144" s="85">
        <f t="shared" si="107"/>
        <v>0</v>
      </c>
      <c r="G144" s="24"/>
      <c r="H144" s="48"/>
      <c r="I144" s="48"/>
      <c r="J144" s="49">
        <f t="shared" si="108"/>
        <v>0</v>
      </c>
      <c r="K144" s="24"/>
      <c r="L144" s="48">
        <v>0.375</v>
      </c>
      <c r="M144" s="48">
        <v>0.70833333333333337</v>
      </c>
      <c r="N144" s="49">
        <f t="shared" si="109"/>
        <v>8</v>
      </c>
      <c r="O144" s="24"/>
      <c r="P144" s="48">
        <v>0.375</v>
      </c>
      <c r="Q144" s="48">
        <v>0.72916666666666663</v>
      </c>
      <c r="R144" s="49">
        <f t="shared" si="110"/>
        <v>8.5</v>
      </c>
      <c r="S144" s="24"/>
      <c r="T144" s="48"/>
      <c r="U144" s="48"/>
      <c r="V144" s="49">
        <f t="shared" si="111"/>
        <v>0</v>
      </c>
      <c r="W144" s="24"/>
      <c r="X144" s="48"/>
      <c r="Y144" s="48"/>
      <c r="Z144" s="49">
        <f t="shared" si="112"/>
        <v>0</v>
      </c>
      <c r="AA144" s="24"/>
      <c r="AB144" s="48"/>
      <c r="AC144" s="48"/>
      <c r="AD144" s="49">
        <f t="shared" si="113"/>
        <v>0</v>
      </c>
      <c r="AE144" s="24"/>
      <c r="AF144" s="29">
        <f t="shared" si="114"/>
        <v>16.5</v>
      </c>
    </row>
    <row r="145" spans="2:32" ht="14.25">
      <c r="B145" s="13" t="s">
        <v>615</v>
      </c>
      <c r="C145" s="13" t="s">
        <v>613</v>
      </c>
      <c r="D145" s="48"/>
      <c r="E145" s="48"/>
      <c r="F145" s="85">
        <f t="shared" si="107"/>
        <v>0</v>
      </c>
      <c r="G145" s="24"/>
      <c r="H145" s="48"/>
      <c r="I145" s="48"/>
      <c r="J145" s="49">
        <f t="shared" si="108"/>
        <v>0</v>
      </c>
      <c r="K145" s="24"/>
      <c r="L145" s="48">
        <v>0.375</v>
      </c>
      <c r="M145" s="48">
        <v>0.70833333333333337</v>
      </c>
      <c r="N145" s="49">
        <f t="shared" si="109"/>
        <v>8</v>
      </c>
      <c r="O145" s="24"/>
      <c r="P145" s="48">
        <v>0.375</v>
      </c>
      <c r="Q145" s="48">
        <v>0.72916666666666663</v>
      </c>
      <c r="R145" s="49">
        <f t="shared" si="110"/>
        <v>8.5</v>
      </c>
      <c r="S145" s="24"/>
      <c r="T145" s="48"/>
      <c r="U145" s="48"/>
      <c r="V145" s="49">
        <f t="shared" si="111"/>
        <v>0</v>
      </c>
      <c r="W145" s="24"/>
      <c r="X145" s="48"/>
      <c r="Y145" s="48"/>
      <c r="Z145" s="49">
        <f t="shared" si="112"/>
        <v>0</v>
      </c>
      <c r="AA145" s="24"/>
      <c r="AB145" s="48"/>
      <c r="AC145" s="48"/>
      <c r="AD145" s="49">
        <f t="shared" si="113"/>
        <v>0</v>
      </c>
      <c r="AE145" s="24"/>
      <c r="AF145" s="29">
        <f t="shared" si="114"/>
        <v>16.5</v>
      </c>
    </row>
    <row r="146" spans="2:32" ht="14.25">
      <c r="B146" s="13"/>
      <c r="C146" s="13"/>
      <c r="D146" s="48"/>
      <c r="E146" s="48"/>
      <c r="F146" s="85">
        <f t="shared" si="107"/>
        <v>0</v>
      </c>
      <c r="G146" s="24"/>
      <c r="H146" s="48"/>
      <c r="I146" s="48"/>
      <c r="J146" s="49">
        <f t="shared" si="108"/>
        <v>0</v>
      </c>
      <c r="K146" s="24"/>
      <c r="L146" s="48"/>
      <c r="M146" s="48"/>
      <c r="N146" s="49">
        <f t="shared" si="109"/>
        <v>0</v>
      </c>
      <c r="O146" s="24"/>
      <c r="P146" s="48"/>
      <c r="Q146" s="48"/>
      <c r="R146" s="49">
        <f t="shared" si="110"/>
        <v>0</v>
      </c>
      <c r="S146" s="24"/>
      <c r="T146" s="48"/>
      <c r="U146" s="48"/>
      <c r="V146" s="49">
        <f t="shared" si="111"/>
        <v>0</v>
      </c>
      <c r="W146" s="24"/>
      <c r="X146" s="48"/>
      <c r="Y146" s="48"/>
      <c r="Z146" s="49">
        <f t="shared" si="112"/>
        <v>0</v>
      </c>
      <c r="AA146" s="24"/>
      <c r="AB146" s="48"/>
      <c r="AC146" s="48"/>
      <c r="AD146" s="49">
        <f t="shared" si="113"/>
        <v>0</v>
      </c>
      <c r="AE146" s="24"/>
      <c r="AF146" s="29">
        <f t="shared" si="114"/>
        <v>0</v>
      </c>
    </row>
    <row r="147" spans="2:32" ht="40.5">
      <c r="B147" s="13" t="s">
        <v>53</v>
      </c>
      <c r="C147" s="13" t="s">
        <v>616</v>
      </c>
      <c r="D147" s="48"/>
      <c r="E147" s="48"/>
      <c r="F147" s="85">
        <f t="shared" si="107"/>
        <v>0</v>
      </c>
      <c r="G147" s="24"/>
      <c r="H147" s="48"/>
      <c r="I147" s="48"/>
      <c r="J147" s="49">
        <f t="shared" si="108"/>
        <v>0</v>
      </c>
      <c r="K147" s="24"/>
      <c r="L147" s="48"/>
      <c r="M147" s="48"/>
      <c r="N147" s="49">
        <f t="shared" si="109"/>
        <v>0</v>
      </c>
      <c r="O147" s="24"/>
      <c r="P147" s="48">
        <v>0.33333333333333331</v>
      </c>
      <c r="Q147" s="48">
        <v>0.66666666666666663</v>
      </c>
      <c r="R147" s="49">
        <f t="shared" si="110"/>
        <v>8</v>
      </c>
      <c r="S147" s="24"/>
      <c r="T147" s="48">
        <v>0.33333333333333331</v>
      </c>
      <c r="U147" s="48">
        <v>0.70833333333333337</v>
      </c>
      <c r="V147" s="49">
        <f t="shared" si="111"/>
        <v>9.0000000000000018</v>
      </c>
      <c r="W147" s="24"/>
      <c r="X147" s="48"/>
      <c r="Y147" s="48"/>
      <c r="Z147" s="49">
        <f t="shared" si="112"/>
        <v>0</v>
      </c>
      <c r="AA147" s="24"/>
      <c r="AB147" s="48"/>
      <c r="AC147" s="48"/>
      <c r="AD147" s="49">
        <f t="shared" si="113"/>
        <v>0</v>
      </c>
      <c r="AE147" s="24"/>
      <c r="AF147" s="29">
        <f t="shared" si="114"/>
        <v>17</v>
      </c>
    </row>
    <row r="148" spans="2:32" ht="47.25" customHeight="1">
      <c r="B148" s="13" t="s">
        <v>572</v>
      </c>
      <c r="C148" s="13" t="s">
        <v>616</v>
      </c>
      <c r="D148" s="48"/>
      <c r="E148" s="48"/>
      <c r="F148" s="85">
        <f t="shared" si="107"/>
        <v>0</v>
      </c>
      <c r="G148" s="25"/>
      <c r="H148" s="48"/>
      <c r="J148" s="49">
        <f t="shared" si="108"/>
        <v>0</v>
      </c>
      <c r="K148" s="25"/>
      <c r="L148" s="48">
        <v>0.33333333333333331</v>
      </c>
      <c r="M148" s="48">
        <v>0.66666666666666663</v>
      </c>
      <c r="N148" s="49">
        <f t="shared" si="109"/>
        <v>8</v>
      </c>
      <c r="O148" s="25"/>
      <c r="P148" s="48"/>
      <c r="Q148" s="48"/>
      <c r="R148" s="49">
        <f t="shared" si="110"/>
        <v>0</v>
      </c>
      <c r="S148" s="25"/>
      <c r="T148" s="48"/>
      <c r="U148" s="51"/>
      <c r="V148" s="49">
        <f t="shared" si="111"/>
        <v>0</v>
      </c>
      <c r="W148" s="25"/>
      <c r="X148" s="48"/>
      <c r="Y148" s="48"/>
      <c r="Z148" s="49">
        <f t="shared" ref="Z148:Z153" si="115">(Y148-X148)*24</f>
        <v>0</v>
      </c>
      <c r="AA148" s="25"/>
      <c r="AB148" s="48"/>
      <c r="AC148" s="48"/>
      <c r="AD148" s="49">
        <f t="shared" ref="AD148:AD153" si="116">(AC148-AB148)*24</f>
        <v>0</v>
      </c>
      <c r="AE148" s="25"/>
      <c r="AF148" s="29">
        <f t="shared" ref="AF148:AF153" si="117">J148+F148+N148+R148+V148+Z148+AD148</f>
        <v>8</v>
      </c>
    </row>
    <row r="149" spans="2:32" ht="42" customHeight="1">
      <c r="B149" s="13" t="s">
        <v>169</v>
      </c>
      <c r="C149" s="13" t="s">
        <v>616</v>
      </c>
      <c r="D149" s="48"/>
      <c r="E149" s="48"/>
      <c r="F149" s="85">
        <f t="shared" si="107"/>
        <v>0</v>
      </c>
      <c r="G149" s="25"/>
      <c r="H149" s="48"/>
      <c r="J149" s="49">
        <f t="shared" si="108"/>
        <v>0</v>
      </c>
      <c r="K149" s="25"/>
      <c r="L149" s="48">
        <v>0.33333333333333331</v>
      </c>
      <c r="M149" s="48">
        <v>0.66666666666666663</v>
      </c>
      <c r="N149" s="49">
        <f t="shared" si="109"/>
        <v>8</v>
      </c>
      <c r="O149" s="25"/>
      <c r="P149" s="48">
        <v>0.33333333333333331</v>
      </c>
      <c r="Q149" s="48">
        <v>0.75</v>
      </c>
      <c r="R149" s="49">
        <f t="shared" si="110"/>
        <v>10</v>
      </c>
      <c r="S149" s="25"/>
      <c r="T149" s="48"/>
      <c r="U149" s="51"/>
      <c r="V149" s="49">
        <f t="shared" si="111"/>
        <v>0</v>
      </c>
      <c r="W149" s="25"/>
      <c r="X149" s="48"/>
      <c r="Y149" s="48"/>
      <c r="Z149" s="49">
        <f t="shared" si="115"/>
        <v>0</v>
      </c>
      <c r="AA149" s="25"/>
      <c r="AB149" s="48"/>
      <c r="AC149" s="48"/>
      <c r="AD149" s="49">
        <f t="shared" si="116"/>
        <v>0</v>
      </c>
      <c r="AE149" s="25"/>
      <c r="AF149" s="29">
        <f t="shared" si="117"/>
        <v>18</v>
      </c>
    </row>
    <row r="150" spans="2:32" ht="39" customHeight="1">
      <c r="B150" s="13" t="s">
        <v>576</v>
      </c>
      <c r="C150" s="13" t="s">
        <v>616</v>
      </c>
      <c r="D150" s="48"/>
      <c r="E150" s="48"/>
      <c r="F150" s="85">
        <f t="shared" si="107"/>
        <v>0</v>
      </c>
      <c r="G150" s="25"/>
      <c r="H150" s="48"/>
      <c r="I150" s="48"/>
      <c r="J150" s="49">
        <f t="shared" si="108"/>
        <v>0</v>
      </c>
      <c r="K150" s="25"/>
      <c r="L150" s="48"/>
      <c r="M150" s="48"/>
      <c r="N150" s="49">
        <f t="shared" si="109"/>
        <v>0</v>
      </c>
      <c r="O150" s="25"/>
      <c r="P150" s="48">
        <v>0.5</v>
      </c>
      <c r="Q150" s="48">
        <v>0.75</v>
      </c>
      <c r="R150" s="49">
        <f t="shared" si="110"/>
        <v>6</v>
      </c>
      <c r="S150" s="25"/>
      <c r="T150" s="48"/>
      <c r="U150" s="51"/>
      <c r="V150" s="49">
        <f t="shared" si="111"/>
        <v>0</v>
      </c>
      <c r="W150" s="25"/>
      <c r="X150" s="48"/>
      <c r="Y150" s="48"/>
      <c r="Z150" s="49">
        <f t="shared" si="115"/>
        <v>0</v>
      </c>
      <c r="AA150" s="25"/>
      <c r="AB150" s="48"/>
      <c r="AC150" s="48"/>
      <c r="AD150" s="49">
        <f t="shared" si="116"/>
        <v>0</v>
      </c>
      <c r="AE150" s="25"/>
      <c r="AF150" s="29">
        <f t="shared" si="117"/>
        <v>6</v>
      </c>
    </row>
    <row r="151" spans="2:32" ht="46.5" customHeight="1">
      <c r="B151" s="13" t="s">
        <v>54</v>
      </c>
      <c r="C151" s="13" t="s">
        <v>616</v>
      </c>
      <c r="D151" s="48"/>
      <c r="E151" s="48"/>
      <c r="F151" s="85">
        <f t="shared" si="107"/>
        <v>0</v>
      </c>
      <c r="G151" s="25"/>
      <c r="H151" s="48"/>
      <c r="I151" s="48"/>
      <c r="J151" s="49">
        <f t="shared" si="108"/>
        <v>0</v>
      </c>
      <c r="K151" s="25"/>
      <c r="L151" s="48"/>
      <c r="M151" s="48"/>
      <c r="N151" s="49">
        <f t="shared" si="109"/>
        <v>0</v>
      </c>
      <c r="O151" s="25"/>
      <c r="P151" s="48"/>
      <c r="Q151" s="48"/>
      <c r="R151" s="49">
        <f t="shared" si="110"/>
        <v>0</v>
      </c>
      <c r="S151" s="25"/>
      <c r="T151" s="48">
        <v>0.375</v>
      </c>
      <c r="U151" s="51">
        <v>0.70833333333333337</v>
      </c>
      <c r="V151" s="49">
        <f t="shared" si="111"/>
        <v>8</v>
      </c>
      <c r="W151" s="25"/>
      <c r="X151" s="48"/>
      <c r="Y151" s="48"/>
      <c r="Z151" s="49">
        <f t="shared" si="115"/>
        <v>0</v>
      </c>
      <c r="AA151" s="25"/>
      <c r="AB151" s="48"/>
      <c r="AC151" s="48"/>
      <c r="AD151" s="49">
        <f t="shared" si="116"/>
        <v>0</v>
      </c>
      <c r="AE151" s="25"/>
      <c r="AF151" s="29">
        <f t="shared" si="117"/>
        <v>8</v>
      </c>
    </row>
    <row r="152" spans="2:32" ht="14.25">
      <c r="B152" s="13" t="s">
        <v>576</v>
      </c>
      <c r="C152" s="13" t="s">
        <v>617</v>
      </c>
      <c r="D152" s="48">
        <v>0.39583333333333331</v>
      </c>
      <c r="E152" s="48">
        <v>0.5</v>
      </c>
      <c r="F152" s="85">
        <f t="shared" si="107"/>
        <v>2.5000000000000004</v>
      </c>
      <c r="G152" s="25"/>
      <c r="H152" s="48"/>
      <c r="I152" s="48"/>
      <c r="J152" s="49">
        <f t="shared" si="108"/>
        <v>0</v>
      </c>
      <c r="K152" s="25"/>
      <c r="L152" s="48"/>
      <c r="M152" s="48"/>
      <c r="N152" s="49">
        <f t="shared" si="109"/>
        <v>0</v>
      </c>
      <c r="O152" s="25"/>
      <c r="P152" s="48"/>
      <c r="Q152" s="48"/>
      <c r="R152" s="49">
        <f t="shared" si="110"/>
        <v>0</v>
      </c>
      <c r="S152" s="25"/>
      <c r="T152" s="48"/>
      <c r="U152" s="51"/>
      <c r="V152" s="49">
        <f t="shared" si="111"/>
        <v>0</v>
      </c>
      <c r="W152" s="25"/>
      <c r="X152" s="48"/>
      <c r="Y152" s="48"/>
      <c r="Z152" s="49">
        <f t="shared" si="115"/>
        <v>0</v>
      </c>
      <c r="AA152" s="25"/>
      <c r="AB152" s="48"/>
      <c r="AC152" s="48"/>
      <c r="AD152" s="49">
        <f t="shared" si="116"/>
        <v>0</v>
      </c>
      <c r="AE152" s="25"/>
      <c r="AF152" s="29">
        <f t="shared" si="117"/>
        <v>2.5000000000000004</v>
      </c>
    </row>
    <row r="153" spans="2:32" ht="27">
      <c r="B153" s="13" t="s">
        <v>572</v>
      </c>
      <c r="C153" s="13" t="s">
        <v>618</v>
      </c>
      <c r="D153" s="48"/>
      <c r="E153" s="48"/>
      <c r="F153" s="85">
        <f t="shared" ref="F153" si="118">(E153-D153)*24</f>
        <v>0</v>
      </c>
      <c r="G153" s="24"/>
      <c r="H153" s="48"/>
      <c r="I153" s="48"/>
      <c r="J153" s="49">
        <f t="shared" ref="J153" si="119">(I153-H153)*24</f>
        <v>0</v>
      </c>
      <c r="K153" s="24"/>
      <c r="L153" s="48"/>
      <c r="M153" s="48"/>
      <c r="N153" s="49">
        <f t="shared" ref="N153" si="120">(M153-L153)*24</f>
        <v>0</v>
      </c>
      <c r="O153" s="24"/>
      <c r="P153" s="48"/>
      <c r="Q153" s="48"/>
      <c r="R153" s="49">
        <f t="shared" ref="R153" si="121">(Q153-P153)*24</f>
        <v>0</v>
      </c>
      <c r="S153" s="24"/>
      <c r="T153" s="48">
        <v>0.375</v>
      </c>
      <c r="U153" s="48">
        <v>0.60416666666666663</v>
      </c>
      <c r="V153" s="49">
        <f t="shared" ref="V153" si="122">(U153-T153)*24</f>
        <v>5.4999999999999991</v>
      </c>
      <c r="W153" s="24"/>
      <c r="X153" s="48"/>
      <c r="Y153" s="48"/>
      <c r="Z153" s="49">
        <f t="shared" si="115"/>
        <v>0</v>
      </c>
      <c r="AA153" s="24"/>
      <c r="AB153" s="48"/>
      <c r="AC153" s="48"/>
      <c r="AD153" s="49">
        <f t="shared" si="116"/>
        <v>0</v>
      </c>
      <c r="AE153" s="24"/>
      <c r="AF153" s="29">
        <f t="shared" si="117"/>
        <v>5.4999999999999991</v>
      </c>
    </row>
    <row r="154" spans="2:32">
      <c r="B154" s="63" t="s">
        <v>61</v>
      </c>
      <c r="C154" s="63"/>
      <c r="D154" s="63"/>
      <c r="E154" s="63"/>
      <c r="F154" s="86">
        <f>SUM(F140:F152)</f>
        <v>10.5</v>
      </c>
      <c r="G154" s="63"/>
      <c r="H154" s="63"/>
      <c r="I154" s="63"/>
      <c r="J154" s="86">
        <f>SUM(J140:J152)</f>
        <v>0</v>
      </c>
      <c r="K154" s="63"/>
      <c r="L154" s="63"/>
      <c r="M154" s="63"/>
      <c r="N154" s="86">
        <f>SUM(N140:N152)</f>
        <v>40</v>
      </c>
      <c r="O154" s="63"/>
      <c r="P154" s="63"/>
      <c r="Q154" s="63"/>
      <c r="R154" s="86">
        <f>SUM(R140:R152)</f>
        <v>56.5</v>
      </c>
      <c r="S154" s="63"/>
      <c r="T154" s="63"/>
      <c r="U154" s="63"/>
      <c r="V154" s="86">
        <f>SUM(V140:V152)</f>
        <v>17</v>
      </c>
      <c r="W154" s="63"/>
      <c r="X154" s="63"/>
      <c r="Y154" s="63"/>
      <c r="Z154" s="86">
        <f>SUM(Z140:Z152)</f>
        <v>0</v>
      </c>
      <c r="AA154" s="63"/>
      <c r="AB154" s="63"/>
      <c r="AC154" s="63"/>
      <c r="AD154" s="82">
        <f>SUM(AD140:AD152)</f>
        <v>0</v>
      </c>
      <c r="AE154" s="46"/>
      <c r="AF154" s="30">
        <f>SUM(AF141:AF152)</f>
        <v>124</v>
      </c>
    </row>
    <row r="155" spans="2:32">
      <c r="B155" s="31" t="s">
        <v>577</v>
      </c>
      <c r="C155" s="31"/>
      <c r="D155" s="91"/>
      <c r="E155" s="83"/>
      <c r="F155" s="87"/>
      <c r="G155" s="83"/>
      <c r="H155" s="83"/>
      <c r="I155" s="83"/>
      <c r="J155" s="87"/>
      <c r="K155" s="83"/>
      <c r="L155" s="83"/>
      <c r="M155" s="83"/>
      <c r="N155" s="87">
        <v>8</v>
      </c>
      <c r="O155" s="83"/>
      <c r="P155" s="83"/>
      <c r="Q155" s="83"/>
      <c r="R155" s="87">
        <v>8</v>
      </c>
      <c r="S155" s="83"/>
      <c r="T155" s="83"/>
      <c r="U155" s="83"/>
      <c r="V155" s="87">
        <v>8</v>
      </c>
      <c r="W155" s="83"/>
      <c r="X155" s="83"/>
      <c r="Y155" s="83"/>
      <c r="Z155" s="87"/>
      <c r="AA155" s="83"/>
      <c r="AB155" s="83"/>
      <c r="AC155" s="83"/>
      <c r="AD155" s="83"/>
      <c r="AE155" s="45"/>
      <c r="AF155" s="28">
        <f>SUM(D155:AD155)</f>
        <v>24</v>
      </c>
    </row>
    <row r="156" spans="2:32">
      <c r="B156" s="31" t="s">
        <v>578</v>
      </c>
      <c r="C156" s="31"/>
      <c r="D156" s="91"/>
      <c r="E156" s="83"/>
      <c r="F156" s="87">
        <v>4</v>
      </c>
      <c r="G156" s="83"/>
      <c r="H156" s="83"/>
      <c r="I156" s="83"/>
      <c r="J156" s="87"/>
      <c r="K156" s="83"/>
      <c r="L156" s="83"/>
      <c r="M156" s="83"/>
      <c r="N156" s="87">
        <v>2</v>
      </c>
      <c r="O156" s="83"/>
      <c r="P156" s="83"/>
      <c r="Q156" s="83"/>
      <c r="R156" s="87">
        <v>2</v>
      </c>
      <c r="S156" s="83"/>
      <c r="T156" s="83"/>
      <c r="U156" s="83"/>
      <c r="V156" s="87">
        <v>2</v>
      </c>
      <c r="W156" s="83"/>
      <c r="X156" s="83"/>
      <c r="Y156" s="83"/>
      <c r="Z156" s="87"/>
      <c r="AA156" s="83"/>
      <c r="AB156" s="83"/>
      <c r="AC156" s="83"/>
      <c r="AD156" s="83"/>
      <c r="AE156" s="45"/>
      <c r="AF156" s="28">
        <f>SUM(D156:AD156)</f>
        <v>10</v>
      </c>
    </row>
    <row r="157" spans="2:32">
      <c r="B157" s="74" t="s">
        <v>579</v>
      </c>
      <c r="C157" s="74"/>
      <c r="D157" s="92"/>
      <c r="E157" s="92"/>
      <c r="F157" s="93"/>
      <c r="G157" s="92"/>
      <c r="H157" s="92"/>
      <c r="I157" s="92"/>
      <c r="J157" s="93"/>
      <c r="K157" s="92"/>
      <c r="L157" s="92"/>
      <c r="M157" s="92"/>
      <c r="N157" s="93"/>
      <c r="O157" s="92"/>
      <c r="P157" s="92"/>
      <c r="Q157" s="92"/>
      <c r="R157" s="93"/>
      <c r="S157" s="92"/>
      <c r="T157" s="92"/>
      <c r="U157" s="92"/>
      <c r="V157" s="93"/>
      <c r="W157" s="94"/>
      <c r="X157" s="94"/>
      <c r="Y157" s="94"/>
      <c r="Z157" s="93"/>
      <c r="AA157" s="94"/>
      <c r="AB157" s="94"/>
      <c r="AC157" s="94"/>
      <c r="AD157" s="94"/>
      <c r="AE157" s="94"/>
      <c r="AF157" s="80">
        <f>SUM(D157:AD157)</f>
        <v>0</v>
      </c>
    </row>
    <row r="158" spans="2:32" ht="14.25" thickTop="1">
      <c r="B158" s="71" t="s">
        <v>66</v>
      </c>
      <c r="C158" s="3"/>
      <c r="D158" s="3"/>
      <c r="E158" s="3"/>
      <c r="F158" s="88">
        <f>SUM(F155:F157)</f>
        <v>4</v>
      </c>
      <c r="G158" s="3"/>
      <c r="H158" s="3"/>
      <c r="I158" s="3"/>
      <c r="J158" s="88">
        <f>SUM(J155:J157)</f>
        <v>0</v>
      </c>
      <c r="K158" s="3"/>
      <c r="L158" s="3"/>
      <c r="M158" s="3"/>
      <c r="N158" s="88">
        <f>SUM(N155:N157)</f>
        <v>10</v>
      </c>
      <c r="P158" s="3"/>
      <c r="Q158" s="3"/>
      <c r="R158" s="88">
        <f>SUM(R155:R157)</f>
        <v>10</v>
      </c>
      <c r="T158" s="3"/>
      <c r="U158" s="3"/>
      <c r="V158" s="88">
        <f>SUM(V155:V157)</f>
        <v>10</v>
      </c>
      <c r="W158" s="3"/>
      <c r="X158" s="3"/>
      <c r="Y158" s="3"/>
      <c r="Z158" s="88">
        <f>SUM(Z155:Z157)</f>
        <v>0</v>
      </c>
      <c r="AB158" s="3"/>
      <c r="AC158" s="3"/>
      <c r="AD158" s="67">
        <f>SUM(AD155:AD157)</f>
        <v>0</v>
      </c>
      <c r="AF158" s="71">
        <f>SUM(F158:AD158)</f>
        <v>34</v>
      </c>
    </row>
    <row r="159" spans="2:32">
      <c r="B159" s="1518" t="s">
        <v>18</v>
      </c>
      <c r="C159" s="1552" t="s">
        <v>571</v>
      </c>
      <c r="D159" s="1524">
        <v>45117</v>
      </c>
      <c r="E159" s="1524"/>
      <c r="F159" s="1524"/>
      <c r="G159" s="22"/>
      <c r="H159" s="1524">
        <f>D159+1</f>
        <v>45118</v>
      </c>
      <c r="I159" s="1524"/>
      <c r="J159" s="1524"/>
      <c r="K159" s="22"/>
      <c r="L159" s="1524">
        <f>H159+1</f>
        <v>45119</v>
      </c>
      <c r="M159" s="1524"/>
      <c r="N159" s="1524"/>
      <c r="P159" s="1524">
        <f>L159+1</f>
        <v>45120</v>
      </c>
      <c r="Q159" s="1524"/>
      <c r="R159" s="1524"/>
      <c r="T159" s="1524">
        <f>P159+1</f>
        <v>45121</v>
      </c>
      <c r="U159" s="1524"/>
      <c r="V159" s="1524"/>
      <c r="W159" s="22"/>
      <c r="X159" s="1524">
        <f>T159+1</f>
        <v>45122</v>
      </c>
      <c r="Y159" s="1524"/>
      <c r="Z159" s="1524"/>
      <c r="AB159" s="1524">
        <f>X159+1</f>
        <v>45123</v>
      </c>
      <c r="AC159" s="1524"/>
      <c r="AD159" s="1524"/>
      <c r="AE159" s="22"/>
      <c r="AF159" s="1517" t="s">
        <v>19</v>
      </c>
    </row>
    <row r="160" spans="2:32">
      <c r="B160" s="1518"/>
      <c r="C160" s="1552"/>
      <c r="D160" s="21" t="s">
        <v>23</v>
      </c>
      <c r="E160" s="21" t="s">
        <v>24</v>
      </c>
      <c r="F160" s="62" t="s">
        <v>25</v>
      </c>
      <c r="G160" s="23"/>
      <c r="H160" s="21" t="s">
        <v>23</v>
      </c>
      <c r="I160" s="21" t="s">
        <v>24</v>
      </c>
      <c r="J160" s="18" t="s">
        <v>25</v>
      </c>
      <c r="K160" s="23"/>
      <c r="L160" s="21" t="s">
        <v>23</v>
      </c>
      <c r="M160" s="21" t="s">
        <v>24</v>
      </c>
      <c r="N160" s="18" t="s">
        <v>25</v>
      </c>
      <c r="O160" s="23"/>
      <c r="P160" s="21" t="s">
        <v>23</v>
      </c>
      <c r="Q160" s="21" t="s">
        <v>24</v>
      </c>
      <c r="R160" s="18" t="s">
        <v>25</v>
      </c>
      <c r="S160" s="23"/>
      <c r="T160" s="21" t="s">
        <v>23</v>
      </c>
      <c r="U160" s="21" t="s">
        <v>24</v>
      </c>
      <c r="V160" s="18" t="s">
        <v>25</v>
      </c>
      <c r="W160" s="23"/>
      <c r="X160" s="21" t="s">
        <v>23</v>
      </c>
      <c r="Y160" s="21" t="s">
        <v>24</v>
      </c>
      <c r="Z160" s="18" t="s">
        <v>25</v>
      </c>
      <c r="AA160" s="23"/>
      <c r="AB160" s="21" t="s">
        <v>23</v>
      </c>
      <c r="AC160" s="21" t="s">
        <v>24</v>
      </c>
      <c r="AD160" s="18" t="s">
        <v>25</v>
      </c>
      <c r="AE160" s="23"/>
      <c r="AF160" s="1517"/>
    </row>
    <row r="161" spans="2:32" ht="27">
      <c r="B161" s="13" t="s">
        <v>572</v>
      </c>
      <c r="C161" s="13" t="s">
        <v>619</v>
      </c>
      <c r="D161" s="48"/>
      <c r="E161" s="48"/>
      <c r="F161" s="85">
        <f>(E161-D161)*24</f>
        <v>0</v>
      </c>
      <c r="G161" s="24"/>
      <c r="H161" s="48"/>
      <c r="I161" s="48"/>
      <c r="J161" s="49">
        <f>(I161-H161)*24</f>
        <v>0</v>
      </c>
      <c r="K161" s="24"/>
      <c r="L161" s="48"/>
      <c r="M161" s="48"/>
      <c r="N161" s="49">
        <f>(M161-L161)*24</f>
        <v>0</v>
      </c>
      <c r="O161" s="24"/>
      <c r="P161" s="51">
        <v>0.625</v>
      </c>
      <c r="Q161" s="48">
        <v>0.72916666666666663</v>
      </c>
      <c r="R161" s="49">
        <f>(Q161-P161)*24</f>
        <v>2.4999999999999991</v>
      </c>
      <c r="S161" s="24"/>
      <c r="T161" s="48"/>
      <c r="U161" s="48"/>
      <c r="V161" s="49">
        <f>(U161-T161)*24</f>
        <v>0</v>
      </c>
      <c r="W161" s="24"/>
      <c r="X161" s="48"/>
      <c r="Y161" s="48"/>
      <c r="Z161" s="49">
        <f>(Y161-X161)*24</f>
        <v>0</v>
      </c>
      <c r="AA161" s="24"/>
      <c r="AB161" s="48"/>
      <c r="AC161" s="48"/>
      <c r="AD161" s="49">
        <f>(AC161-AB161)*24</f>
        <v>0</v>
      </c>
      <c r="AE161" s="24"/>
      <c r="AF161" s="29">
        <f>J161+F161+N161+R161+V161+Z161+AD161</f>
        <v>2.4999999999999991</v>
      </c>
    </row>
    <row r="162" spans="2:32" ht="27">
      <c r="B162" s="13" t="s">
        <v>572</v>
      </c>
      <c r="C162" s="13" t="s">
        <v>599</v>
      </c>
      <c r="D162" s="48">
        <v>0.375</v>
      </c>
      <c r="E162" s="48">
        <v>0.70833333333333337</v>
      </c>
      <c r="F162" s="85">
        <f t="shared" ref="F162:F167" si="123">(E162-D162)*24</f>
        <v>8</v>
      </c>
      <c r="G162" s="24"/>
      <c r="H162" s="48"/>
      <c r="I162" s="48"/>
      <c r="J162" s="49">
        <f t="shared" ref="J162:J167" si="124">(I162-H162)*24</f>
        <v>0</v>
      </c>
      <c r="K162" s="24"/>
      <c r="L162" s="48"/>
      <c r="M162" s="48"/>
      <c r="N162" s="49">
        <f t="shared" ref="N162:N167" si="125">(M162-L162)*24</f>
        <v>0</v>
      </c>
      <c r="O162" s="24"/>
      <c r="P162" s="48"/>
      <c r="Q162" s="48"/>
      <c r="R162" s="49">
        <f t="shared" ref="R162:R167" si="126">(Q162-P162)*24</f>
        <v>0</v>
      </c>
      <c r="S162" s="24"/>
      <c r="T162" s="48"/>
      <c r="U162" s="48"/>
      <c r="V162" s="49">
        <f t="shared" ref="V162:V167" si="127">(U162-T162)*24</f>
        <v>0</v>
      </c>
      <c r="W162" s="24"/>
      <c r="X162" s="48"/>
      <c r="Y162" s="48"/>
      <c r="Z162" s="49">
        <f t="shared" ref="Z162:Z167" si="128">(Y162-X162)*24</f>
        <v>0</v>
      </c>
      <c r="AA162" s="24"/>
      <c r="AB162" s="48"/>
      <c r="AC162" s="48"/>
      <c r="AD162" s="49">
        <f t="shared" ref="AD162:AD167" si="129">(AC162-AB162)*24</f>
        <v>0</v>
      </c>
      <c r="AE162" s="24"/>
      <c r="AF162" s="29">
        <f t="shared" ref="AF162:AF167" si="130">J162+F162+N162+R162+V162+Z162+AD162</f>
        <v>8</v>
      </c>
    </row>
    <row r="163" spans="2:32" ht="14.25">
      <c r="B163" s="13"/>
      <c r="C163" s="13"/>
      <c r="D163" s="48"/>
      <c r="E163" s="48"/>
      <c r="F163" s="85">
        <f t="shared" si="123"/>
        <v>0</v>
      </c>
      <c r="G163" s="24"/>
      <c r="H163" s="48"/>
      <c r="I163" s="48"/>
      <c r="J163" s="49">
        <f t="shared" si="124"/>
        <v>0</v>
      </c>
      <c r="K163" s="24"/>
      <c r="L163" s="48"/>
      <c r="M163" s="48"/>
      <c r="N163" s="49">
        <f t="shared" si="125"/>
        <v>0</v>
      </c>
      <c r="O163" s="24"/>
      <c r="P163" s="48"/>
      <c r="Q163" s="48"/>
      <c r="R163" s="49">
        <f t="shared" si="126"/>
        <v>0</v>
      </c>
      <c r="S163" s="24"/>
      <c r="T163" s="48"/>
      <c r="U163" s="48"/>
      <c r="V163" s="49">
        <f t="shared" si="127"/>
        <v>0</v>
      </c>
      <c r="W163" s="24"/>
      <c r="X163" s="48"/>
      <c r="Y163" s="48"/>
      <c r="Z163" s="49">
        <f t="shared" si="128"/>
        <v>0</v>
      </c>
      <c r="AA163" s="24"/>
      <c r="AB163" s="48"/>
      <c r="AC163" s="48"/>
      <c r="AD163" s="49">
        <f t="shared" si="129"/>
        <v>0</v>
      </c>
      <c r="AE163" s="24"/>
      <c r="AF163" s="29">
        <f t="shared" si="130"/>
        <v>0</v>
      </c>
    </row>
    <row r="164" spans="2:32" ht="14.25">
      <c r="B164" s="13"/>
      <c r="C164" s="13"/>
      <c r="D164" s="48"/>
      <c r="E164" s="48"/>
      <c r="F164" s="85">
        <f t="shared" si="123"/>
        <v>0</v>
      </c>
      <c r="G164" s="24"/>
      <c r="H164" s="48"/>
      <c r="I164" s="48"/>
      <c r="J164" s="49">
        <f t="shared" si="124"/>
        <v>0</v>
      </c>
      <c r="K164" s="24"/>
      <c r="L164" s="48"/>
      <c r="M164" s="48"/>
      <c r="N164" s="49">
        <f t="shared" si="125"/>
        <v>0</v>
      </c>
      <c r="O164" s="24"/>
      <c r="P164" s="48"/>
      <c r="Q164" s="48"/>
      <c r="R164" s="49">
        <f t="shared" si="126"/>
        <v>0</v>
      </c>
      <c r="S164" s="24"/>
      <c r="T164" s="48"/>
      <c r="U164" s="48"/>
      <c r="V164" s="49">
        <f t="shared" si="127"/>
        <v>0</v>
      </c>
      <c r="W164" s="24"/>
      <c r="X164" s="48"/>
      <c r="Y164" s="48"/>
      <c r="Z164" s="49">
        <f t="shared" si="128"/>
        <v>0</v>
      </c>
      <c r="AA164" s="24"/>
      <c r="AB164" s="48"/>
      <c r="AC164" s="48"/>
      <c r="AD164" s="49">
        <f t="shared" si="129"/>
        <v>0</v>
      </c>
      <c r="AE164" s="24"/>
      <c r="AF164" s="29">
        <f t="shared" si="130"/>
        <v>0</v>
      </c>
    </row>
    <row r="165" spans="2:32" ht="14.25">
      <c r="B165" s="13"/>
      <c r="C165" s="13"/>
      <c r="D165" s="48"/>
      <c r="E165" s="48"/>
      <c r="F165" s="85">
        <f t="shared" si="123"/>
        <v>0</v>
      </c>
      <c r="G165" s="24"/>
      <c r="H165" s="48"/>
      <c r="I165" s="48"/>
      <c r="J165" s="49">
        <f t="shared" si="124"/>
        <v>0</v>
      </c>
      <c r="K165" s="24"/>
      <c r="L165" s="48"/>
      <c r="M165" s="48"/>
      <c r="N165" s="49">
        <f t="shared" si="125"/>
        <v>0</v>
      </c>
      <c r="O165" s="24"/>
      <c r="P165" s="48"/>
      <c r="Q165" s="48"/>
      <c r="R165" s="49">
        <f t="shared" si="126"/>
        <v>0</v>
      </c>
      <c r="S165" s="24"/>
      <c r="T165" s="48"/>
      <c r="U165" s="48"/>
      <c r="V165" s="49">
        <f t="shared" si="127"/>
        <v>0</v>
      </c>
      <c r="W165" s="24"/>
      <c r="X165" s="48"/>
      <c r="Y165" s="48"/>
      <c r="Z165" s="49">
        <f t="shared" si="128"/>
        <v>0</v>
      </c>
      <c r="AA165" s="24"/>
      <c r="AB165" s="48"/>
      <c r="AC165" s="48"/>
      <c r="AD165" s="49">
        <f t="shared" si="129"/>
        <v>0</v>
      </c>
      <c r="AE165" s="24"/>
      <c r="AF165" s="29">
        <f t="shared" si="130"/>
        <v>0</v>
      </c>
    </row>
    <row r="166" spans="2:32" ht="14.25">
      <c r="B166" s="13"/>
      <c r="C166" s="13"/>
      <c r="D166" s="48"/>
      <c r="E166" s="48"/>
      <c r="F166" s="85">
        <f t="shared" si="123"/>
        <v>0</v>
      </c>
      <c r="G166" s="24"/>
      <c r="H166" s="48"/>
      <c r="I166" s="48"/>
      <c r="J166" s="49">
        <f t="shared" si="124"/>
        <v>0</v>
      </c>
      <c r="K166" s="24"/>
      <c r="L166" s="48"/>
      <c r="M166" s="48"/>
      <c r="N166" s="49">
        <f t="shared" si="125"/>
        <v>0</v>
      </c>
      <c r="O166" s="24"/>
      <c r="P166" s="48"/>
      <c r="Q166" s="48"/>
      <c r="R166" s="49">
        <f t="shared" si="126"/>
        <v>0</v>
      </c>
      <c r="S166" s="24"/>
      <c r="T166" s="48"/>
      <c r="U166" s="48"/>
      <c r="V166" s="49">
        <f t="shared" si="127"/>
        <v>0</v>
      </c>
      <c r="W166" s="24"/>
      <c r="X166" s="48"/>
      <c r="Y166" s="48"/>
      <c r="Z166" s="49">
        <f t="shared" si="128"/>
        <v>0</v>
      </c>
      <c r="AA166" s="24"/>
      <c r="AB166" s="48"/>
      <c r="AC166" s="48"/>
      <c r="AD166" s="49">
        <f t="shared" si="129"/>
        <v>0</v>
      </c>
      <c r="AE166" s="24"/>
      <c r="AF166" s="29">
        <f t="shared" si="130"/>
        <v>0</v>
      </c>
    </row>
    <row r="167" spans="2:32" ht="14.25">
      <c r="B167" s="13"/>
      <c r="C167" s="13"/>
      <c r="D167" s="48"/>
      <c r="E167" s="48"/>
      <c r="F167" s="85">
        <f t="shared" si="123"/>
        <v>0</v>
      </c>
      <c r="G167" s="24"/>
      <c r="H167" s="48"/>
      <c r="I167" s="48"/>
      <c r="J167" s="49">
        <f t="shared" si="124"/>
        <v>0</v>
      </c>
      <c r="K167" s="24"/>
      <c r="L167" s="48"/>
      <c r="M167" s="48"/>
      <c r="N167" s="49">
        <f t="shared" si="125"/>
        <v>0</v>
      </c>
      <c r="O167" s="24"/>
      <c r="P167" s="48"/>
      <c r="Q167" s="48"/>
      <c r="R167" s="49">
        <f t="shared" si="126"/>
        <v>0</v>
      </c>
      <c r="S167" s="24"/>
      <c r="T167" s="48"/>
      <c r="U167" s="48"/>
      <c r="V167" s="49">
        <f t="shared" si="127"/>
        <v>0</v>
      </c>
      <c r="W167" s="24"/>
      <c r="X167" s="48"/>
      <c r="Y167" s="48"/>
      <c r="Z167" s="49">
        <f t="shared" si="128"/>
        <v>0</v>
      </c>
      <c r="AA167" s="24"/>
      <c r="AB167" s="48"/>
      <c r="AC167" s="48"/>
      <c r="AD167" s="49">
        <f t="shared" si="129"/>
        <v>0</v>
      </c>
      <c r="AE167" s="24"/>
      <c r="AF167" s="29">
        <f t="shared" si="130"/>
        <v>0</v>
      </c>
    </row>
    <row r="168" spans="2:32">
      <c r="B168" s="63" t="s">
        <v>61</v>
      </c>
      <c r="C168" s="63"/>
      <c r="D168" s="63"/>
      <c r="E168" s="63"/>
      <c r="F168" s="86">
        <f>SUM(F160:F167)</f>
        <v>8</v>
      </c>
      <c r="G168" s="63"/>
      <c r="H168" s="63"/>
      <c r="I168" s="63"/>
      <c r="J168" s="86">
        <f>SUM(J160:J167)</f>
        <v>0</v>
      </c>
      <c r="K168" s="63"/>
      <c r="L168" s="63"/>
      <c r="M168" s="63"/>
      <c r="N168" s="86">
        <f>SUM(N160:N167)</f>
        <v>0</v>
      </c>
      <c r="O168" s="63"/>
      <c r="P168" s="63"/>
      <c r="Q168" s="63"/>
      <c r="R168" s="86">
        <f>SUM(R160:R167)</f>
        <v>2.4999999999999991</v>
      </c>
      <c r="S168" s="63"/>
      <c r="T168" s="63"/>
      <c r="U168" s="63"/>
      <c r="V168" s="86">
        <f>SUM(V160:V167)</f>
        <v>0</v>
      </c>
      <c r="W168" s="63"/>
      <c r="X168" s="63"/>
      <c r="Y168" s="63"/>
      <c r="Z168" s="86">
        <f>SUM(Z160:Z167)</f>
        <v>0</v>
      </c>
      <c r="AA168" s="63"/>
      <c r="AB168" s="63"/>
      <c r="AC168" s="63"/>
      <c r="AD168" s="82">
        <f>SUM(AD160:AD167)</f>
        <v>0</v>
      </c>
      <c r="AE168" s="46"/>
      <c r="AF168" s="30">
        <f>SUM(AF161:AF167)</f>
        <v>10.5</v>
      </c>
    </row>
    <row r="169" spans="2:32">
      <c r="B169" s="31" t="s">
        <v>577</v>
      </c>
      <c r="C169" s="31"/>
      <c r="D169" s="91"/>
      <c r="E169" s="83"/>
      <c r="F169" s="87"/>
      <c r="G169" s="83"/>
      <c r="H169" s="83"/>
      <c r="I169" s="83"/>
      <c r="J169" s="87"/>
      <c r="K169" s="83"/>
      <c r="L169" s="83"/>
      <c r="M169" s="83"/>
      <c r="N169" s="87"/>
      <c r="O169" s="83"/>
      <c r="P169" s="83"/>
      <c r="Q169" s="83"/>
      <c r="R169" s="87">
        <v>4</v>
      </c>
      <c r="S169" s="83"/>
      <c r="T169" s="83"/>
      <c r="U169" s="83"/>
      <c r="V169" s="87"/>
      <c r="W169" s="83"/>
      <c r="X169" s="83"/>
      <c r="Y169" s="83"/>
      <c r="Z169" s="87"/>
      <c r="AA169" s="83"/>
      <c r="AB169" s="83"/>
      <c r="AC169" s="83"/>
      <c r="AD169" s="83"/>
      <c r="AE169" s="45"/>
      <c r="AF169" s="28"/>
    </row>
    <row r="170" spans="2:32">
      <c r="B170" s="31" t="s">
        <v>578</v>
      </c>
      <c r="C170" s="31"/>
      <c r="D170" s="91"/>
      <c r="E170" s="83"/>
      <c r="F170" s="87"/>
      <c r="G170" s="83"/>
      <c r="H170" s="83"/>
      <c r="I170" s="83"/>
      <c r="J170" s="87"/>
      <c r="K170" s="83"/>
      <c r="L170" s="83"/>
      <c r="M170" s="83"/>
      <c r="N170" s="87"/>
      <c r="O170" s="83"/>
      <c r="P170" s="83"/>
      <c r="Q170" s="83"/>
      <c r="R170" s="87">
        <v>2</v>
      </c>
      <c r="S170" s="83"/>
      <c r="T170" s="83"/>
      <c r="U170" s="83"/>
      <c r="V170" s="87"/>
      <c r="W170" s="83"/>
      <c r="X170" s="83"/>
      <c r="Y170" s="83"/>
      <c r="Z170" s="87"/>
      <c r="AA170" s="83"/>
      <c r="AB170" s="83"/>
      <c r="AC170" s="83"/>
      <c r="AD170" s="83"/>
      <c r="AE170" s="45"/>
      <c r="AF170" s="28">
        <f>SUM(D170:AD170)</f>
        <v>2</v>
      </c>
    </row>
    <row r="171" spans="2:32" ht="14.25" thickBot="1">
      <c r="B171" s="74" t="s">
        <v>579</v>
      </c>
      <c r="C171" s="74"/>
      <c r="D171" s="92"/>
      <c r="E171" s="92"/>
      <c r="F171" s="93"/>
      <c r="G171" s="92"/>
      <c r="H171" s="92"/>
      <c r="I171" s="92"/>
      <c r="J171" s="93"/>
      <c r="K171" s="92"/>
      <c r="L171" s="92"/>
      <c r="M171" s="92"/>
      <c r="N171" s="93"/>
      <c r="O171" s="92"/>
      <c r="P171" s="92"/>
      <c r="Q171" s="92"/>
      <c r="R171" s="93"/>
      <c r="S171" s="92"/>
      <c r="T171" s="92"/>
      <c r="U171" s="92"/>
      <c r="V171" s="93"/>
      <c r="W171" s="94"/>
      <c r="X171" s="94"/>
      <c r="Y171" s="94"/>
      <c r="Z171" s="93"/>
      <c r="AA171" s="94"/>
      <c r="AB171" s="94"/>
      <c r="AC171" s="94"/>
      <c r="AD171" s="94"/>
      <c r="AE171" s="94"/>
      <c r="AF171" s="80">
        <f>SUM(D171:AD171)</f>
        <v>0</v>
      </c>
    </row>
    <row r="172" spans="2:32" ht="14.25" thickTop="1">
      <c r="B172" s="71" t="s">
        <v>66</v>
      </c>
      <c r="C172" s="3"/>
      <c r="D172" s="3"/>
      <c r="E172" s="3"/>
      <c r="F172" s="88">
        <f>SUM(F169:F171)</f>
        <v>0</v>
      </c>
      <c r="G172" s="3"/>
      <c r="H172" s="3"/>
      <c r="I172" s="3"/>
      <c r="J172" s="88">
        <f>SUM(J169:J171)</f>
        <v>0</v>
      </c>
      <c r="K172" s="3"/>
      <c r="L172" s="3"/>
      <c r="M172" s="3"/>
      <c r="N172" s="88">
        <f>SUM(N169:N171)</f>
        <v>0</v>
      </c>
      <c r="P172" s="3"/>
      <c r="Q172" s="3"/>
      <c r="R172" s="88">
        <f>SUM(R169:R171)</f>
        <v>6</v>
      </c>
      <c r="T172" s="3"/>
      <c r="U172" s="3"/>
      <c r="V172" s="88">
        <f>SUM(V169:V171)</f>
        <v>0</v>
      </c>
      <c r="W172" s="3"/>
      <c r="X172" s="3"/>
      <c r="Y172" s="3"/>
      <c r="Z172" s="88">
        <f>SUM(Z169:Z171)</f>
        <v>0</v>
      </c>
      <c r="AB172" s="3"/>
      <c r="AC172" s="3"/>
      <c r="AD172" s="67">
        <f>SUM(AD169:AD171)</f>
        <v>0</v>
      </c>
      <c r="AF172" s="71">
        <f>SUM(F172:AD172)</f>
        <v>6</v>
      </c>
    </row>
    <row r="173" spans="2:32">
      <c r="B173" s="1518" t="s">
        <v>18</v>
      </c>
      <c r="C173" s="1552" t="s">
        <v>571</v>
      </c>
      <c r="D173" s="1524">
        <v>45124</v>
      </c>
      <c r="E173" s="1524"/>
      <c r="F173" s="1524"/>
      <c r="G173" s="22"/>
      <c r="H173" s="1524">
        <f>D173+1</f>
        <v>45125</v>
      </c>
      <c r="I173" s="1524"/>
      <c r="J173" s="1524"/>
      <c r="K173" s="22"/>
      <c r="L173" s="1524">
        <f>H173+1</f>
        <v>45126</v>
      </c>
      <c r="M173" s="1524"/>
      <c r="N173" s="1524"/>
      <c r="P173" s="1524">
        <f>L173+1</f>
        <v>45127</v>
      </c>
      <c r="Q173" s="1524"/>
      <c r="R173" s="1524"/>
      <c r="T173" s="1524">
        <f>P173+1</f>
        <v>45128</v>
      </c>
      <c r="U173" s="1524"/>
      <c r="V173" s="1524"/>
      <c r="W173" s="22"/>
      <c r="X173" s="1524">
        <f>T173+1</f>
        <v>45129</v>
      </c>
      <c r="Y173" s="1524"/>
      <c r="Z173" s="1524"/>
      <c r="AB173" s="1524">
        <f>X173+1</f>
        <v>45130</v>
      </c>
      <c r="AC173" s="1524"/>
      <c r="AD173" s="1524"/>
      <c r="AE173" s="22"/>
      <c r="AF173" s="1517" t="s">
        <v>19</v>
      </c>
    </row>
    <row r="174" spans="2:32">
      <c r="B174" s="1518"/>
      <c r="C174" s="1552"/>
      <c r="D174" s="21" t="s">
        <v>23</v>
      </c>
      <c r="E174" s="21" t="s">
        <v>24</v>
      </c>
      <c r="F174" s="62" t="s">
        <v>25</v>
      </c>
      <c r="G174" s="23"/>
      <c r="H174" s="21" t="s">
        <v>23</v>
      </c>
      <c r="I174" s="21" t="s">
        <v>24</v>
      </c>
      <c r="J174" s="18" t="s">
        <v>25</v>
      </c>
      <c r="K174" s="23"/>
      <c r="L174" s="21" t="s">
        <v>23</v>
      </c>
      <c r="M174" s="21" t="s">
        <v>24</v>
      </c>
      <c r="N174" s="18" t="s">
        <v>25</v>
      </c>
      <c r="O174" s="23"/>
      <c r="P174" s="21" t="s">
        <v>23</v>
      </c>
      <c r="Q174" s="21" t="s">
        <v>24</v>
      </c>
      <c r="R174" s="18" t="s">
        <v>25</v>
      </c>
      <c r="S174" s="23"/>
      <c r="T174" s="21" t="s">
        <v>23</v>
      </c>
      <c r="U174" s="21" t="s">
        <v>24</v>
      </c>
      <c r="V174" s="18" t="s">
        <v>25</v>
      </c>
      <c r="W174" s="23"/>
      <c r="X174" s="21" t="s">
        <v>23</v>
      </c>
      <c r="Y174" s="21" t="s">
        <v>24</v>
      </c>
      <c r="Z174" s="18" t="s">
        <v>25</v>
      </c>
      <c r="AA174" s="23"/>
      <c r="AB174" s="21" t="s">
        <v>23</v>
      </c>
      <c r="AC174" s="21" t="s">
        <v>24</v>
      </c>
      <c r="AD174" s="18" t="s">
        <v>25</v>
      </c>
      <c r="AE174" s="23"/>
      <c r="AF174" s="1517"/>
    </row>
    <row r="175" spans="2:32" ht="27">
      <c r="B175" s="13" t="s">
        <v>572</v>
      </c>
      <c r="C175" s="13" t="s">
        <v>620</v>
      </c>
      <c r="F175" s="85">
        <f>(E175-D175)*24</f>
        <v>0</v>
      </c>
      <c r="G175" s="24"/>
      <c r="H175" s="51">
        <v>0.375</v>
      </c>
      <c r="I175" s="51">
        <v>0.66666666666666663</v>
      </c>
      <c r="J175" s="49">
        <f>(I175-H175)*24</f>
        <v>6.9999999999999991</v>
      </c>
      <c r="K175" s="24"/>
      <c r="L175" s="51">
        <v>0.33333333333333331</v>
      </c>
      <c r="M175" s="51">
        <v>0.5</v>
      </c>
      <c r="N175" s="49">
        <f>(M175-L175)*24</f>
        <v>4</v>
      </c>
      <c r="O175" s="24"/>
      <c r="P175" s="48"/>
      <c r="Q175" s="48"/>
      <c r="R175" s="49">
        <f>(Q175-P175)*24</f>
        <v>0</v>
      </c>
      <c r="S175" s="24"/>
      <c r="T175" s="48"/>
      <c r="U175" s="48"/>
      <c r="V175" s="49">
        <f>(U175-T175)*24</f>
        <v>0</v>
      </c>
      <c r="W175" s="24"/>
      <c r="X175" s="48"/>
      <c r="Y175" s="48"/>
      <c r="Z175" s="49">
        <f>(Y175-X175)*24</f>
        <v>0</v>
      </c>
      <c r="AA175" s="24"/>
      <c r="AB175" s="48"/>
      <c r="AC175" s="48"/>
      <c r="AD175" s="49">
        <f>(AC175-AB175)*24</f>
        <v>0</v>
      </c>
      <c r="AE175" s="24"/>
      <c r="AF175" s="29">
        <f>J175+F175+N175+R175+V175+Z175+AD175</f>
        <v>11</v>
      </c>
    </row>
    <row r="176" spans="2:32" ht="27">
      <c r="B176" s="13" t="s">
        <v>576</v>
      </c>
      <c r="C176" s="13" t="s">
        <v>620</v>
      </c>
      <c r="F176" s="85">
        <f>(E176-D176)*24</f>
        <v>0</v>
      </c>
      <c r="G176" s="24"/>
      <c r="H176" s="51">
        <v>0.375</v>
      </c>
      <c r="I176" s="51">
        <v>0.66666666666666663</v>
      </c>
      <c r="J176" s="49">
        <f>(I176-H176)*24</f>
        <v>6.9999999999999991</v>
      </c>
      <c r="K176" s="24"/>
      <c r="L176" s="51">
        <v>0.375</v>
      </c>
      <c r="M176" s="51">
        <v>0.5</v>
      </c>
      <c r="N176" s="49">
        <f t="shared" ref="N176:N178" si="131">(M176-L176)*24</f>
        <v>3</v>
      </c>
      <c r="O176" s="24"/>
      <c r="P176" s="48"/>
      <c r="Q176" s="48"/>
      <c r="R176" s="49">
        <f t="shared" ref="R176:R178" si="132">(Q176-P176)*24</f>
        <v>0</v>
      </c>
      <c r="S176" s="24"/>
      <c r="T176" s="48"/>
      <c r="U176" s="48"/>
      <c r="V176" s="49">
        <f t="shared" ref="V176:V178" si="133">(U176-T176)*24</f>
        <v>0</v>
      </c>
      <c r="W176" s="24"/>
      <c r="X176" s="48"/>
      <c r="Y176" s="48"/>
      <c r="Z176" s="49">
        <f t="shared" ref="Z176:Z178" si="134">(Y176-X176)*24</f>
        <v>0</v>
      </c>
      <c r="AA176" s="24"/>
      <c r="AB176" s="48"/>
      <c r="AC176" s="48"/>
      <c r="AD176" s="49">
        <f t="shared" ref="AD176:AD178" si="135">(AC176-AB176)*24</f>
        <v>0</v>
      </c>
      <c r="AE176" s="24"/>
      <c r="AF176" s="29">
        <f t="shared" ref="AF176:AF178" si="136">J176+F176+N176+R176+V176+Z176+AD176</f>
        <v>10</v>
      </c>
    </row>
    <row r="177" spans="2:32" ht="27">
      <c r="B177" s="13" t="s">
        <v>572</v>
      </c>
      <c r="C177" s="13" t="s">
        <v>621</v>
      </c>
      <c r="D177" s="48"/>
      <c r="E177" s="48"/>
      <c r="F177" s="85">
        <f t="shared" ref="F177:F178" si="137">(E177-D177)*24</f>
        <v>0</v>
      </c>
      <c r="G177" s="24"/>
      <c r="H177" s="48"/>
      <c r="I177" s="48"/>
      <c r="J177" s="49">
        <f t="shared" ref="J177:J178" si="138">(I177-H177)*24</f>
        <v>0</v>
      </c>
      <c r="K177" s="24"/>
      <c r="L177" s="48"/>
      <c r="M177" s="48"/>
      <c r="N177" s="49">
        <f t="shared" si="131"/>
        <v>0</v>
      </c>
      <c r="O177" s="24"/>
      <c r="P177" s="48"/>
      <c r="Q177" s="48"/>
      <c r="R177" s="49">
        <f t="shared" si="132"/>
        <v>0</v>
      </c>
      <c r="S177" s="24"/>
      <c r="T177" s="51">
        <v>0.375</v>
      </c>
      <c r="U177" s="51">
        <v>0.53125</v>
      </c>
      <c r="V177" s="49">
        <f t="shared" si="133"/>
        <v>3.75</v>
      </c>
      <c r="W177" s="24"/>
      <c r="X177" s="48"/>
      <c r="Y177" s="48"/>
      <c r="Z177" s="49">
        <f t="shared" si="134"/>
        <v>0</v>
      </c>
      <c r="AA177" s="24"/>
      <c r="AB177" s="48"/>
      <c r="AC177" s="48"/>
      <c r="AD177" s="49">
        <f t="shared" si="135"/>
        <v>0</v>
      </c>
      <c r="AE177" s="24"/>
      <c r="AF177" s="29">
        <f t="shared" si="136"/>
        <v>3.75</v>
      </c>
    </row>
    <row r="178" spans="2:32" ht="27">
      <c r="B178" s="13" t="s">
        <v>572</v>
      </c>
      <c r="C178" s="13" t="s">
        <v>599</v>
      </c>
      <c r="D178" s="48"/>
      <c r="E178" s="48"/>
      <c r="F178" s="85">
        <f t="shared" si="137"/>
        <v>0</v>
      </c>
      <c r="G178" s="24"/>
      <c r="H178" s="48"/>
      <c r="I178" s="48"/>
      <c r="J178" s="49">
        <f t="shared" si="138"/>
        <v>0</v>
      </c>
      <c r="K178" s="24"/>
      <c r="L178" s="48"/>
      <c r="M178" s="48"/>
      <c r="N178" s="49">
        <f t="shared" si="131"/>
        <v>0</v>
      </c>
      <c r="O178" s="24"/>
      <c r="P178" s="48"/>
      <c r="Q178" s="48"/>
      <c r="R178" s="49">
        <f t="shared" si="132"/>
        <v>0</v>
      </c>
      <c r="S178" s="24"/>
      <c r="T178" s="48">
        <v>0.70833333333333337</v>
      </c>
      <c r="U178" s="48">
        <v>0.97916666666666663</v>
      </c>
      <c r="V178" s="49">
        <f t="shared" si="133"/>
        <v>6.4999999999999982</v>
      </c>
      <c r="W178" s="24"/>
      <c r="X178" s="48"/>
      <c r="Y178" s="48"/>
      <c r="Z178" s="49">
        <f t="shared" si="134"/>
        <v>0</v>
      </c>
      <c r="AA178" s="24"/>
      <c r="AB178" s="48"/>
      <c r="AC178" s="48"/>
      <c r="AD178" s="49">
        <f t="shared" si="135"/>
        <v>0</v>
      </c>
      <c r="AE178" s="24"/>
      <c r="AF178" s="29">
        <f t="shared" si="136"/>
        <v>6.4999999999999982</v>
      </c>
    </row>
    <row r="179" spans="2:32">
      <c r="B179" s="63" t="s">
        <v>61</v>
      </c>
      <c r="C179" s="63"/>
      <c r="D179" s="63"/>
      <c r="E179" s="63"/>
      <c r="F179" s="86">
        <f>SUM(F174:F178)</f>
        <v>0</v>
      </c>
      <c r="G179" s="63"/>
      <c r="H179" s="63"/>
      <c r="I179" s="63"/>
      <c r="J179" s="86">
        <f>SUM(J174:J178)</f>
        <v>13.999999999999998</v>
      </c>
      <c r="K179" s="63"/>
      <c r="L179" s="63"/>
      <c r="M179" s="63"/>
      <c r="N179" s="86">
        <f>SUM(N174:N178)</f>
        <v>7</v>
      </c>
      <c r="O179" s="63"/>
      <c r="P179" s="63"/>
      <c r="Q179" s="63"/>
      <c r="R179" s="86">
        <f>SUM(R174:R178)</f>
        <v>0</v>
      </c>
      <c r="S179" s="63"/>
      <c r="T179" s="63"/>
      <c r="U179" s="63"/>
      <c r="V179" s="86">
        <f>SUM(V174:V178)</f>
        <v>10.249999999999998</v>
      </c>
      <c r="W179" s="63"/>
      <c r="X179" s="63"/>
      <c r="Y179" s="63"/>
      <c r="Z179" s="86">
        <f>SUM(Z174:Z178)</f>
        <v>0</v>
      </c>
      <c r="AA179" s="63"/>
      <c r="AB179" s="63"/>
      <c r="AC179" s="63"/>
      <c r="AD179" s="82">
        <f>SUM(AD174:AD178)</f>
        <v>0</v>
      </c>
      <c r="AE179" s="46"/>
      <c r="AF179" s="30">
        <f>SUM(AF175:AF178)</f>
        <v>31.25</v>
      </c>
    </row>
    <row r="180" spans="2:32">
      <c r="B180" s="31" t="s">
        <v>577</v>
      </c>
      <c r="C180" s="31"/>
      <c r="D180" s="91"/>
      <c r="E180" s="83"/>
      <c r="F180" s="87"/>
      <c r="G180" s="83"/>
      <c r="H180" s="83"/>
      <c r="I180" s="83"/>
      <c r="J180" s="87"/>
      <c r="K180" s="83"/>
      <c r="L180" s="83"/>
      <c r="M180" s="83"/>
      <c r="N180" s="87"/>
      <c r="O180" s="83"/>
      <c r="P180" s="83"/>
      <c r="Q180" s="83"/>
      <c r="R180" s="87"/>
      <c r="S180" s="83"/>
      <c r="T180" s="83"/>
      <c r="U180" s="83"/>
      <c r="V180" s="87"/>
      <c r="W180" s="83"/>
      <c r="X180" s="83"/>
      <c r="Y180" s="83"/>
      <c r="Z180" s="87"/>
      <c r="AA180" s="83"/>
      <c r="AB180" s="83"/>
      <c r="AC180" s="83"/>
      <c r="AD180" s="83"/>
      <c r="AE180" s="45"/>
      <c r="AF180" s="28"/>
    </row>
    <row r="181" spans="2:32">
      <c r="B181" s="31" t="s">
        <v>578</v>
      </c>
      <c r="C181" s="31"/>
      <c r="D181" s="91"/>
      <c r="E181" s="83"/>
      <c r="F181" s="87"/>
      <c r="G181" s="83"/>
      <c r="H181" s="83"/>
      <c r="I181" s="83"/>
      <c r="J181" s="87"/>
      <c r="K181" s="83"/>
      <c r="L181" s="83"/>
      <c r="M181" s="83"/>
      <c r="N181" s="87"/>
      <c r="O181" s="83"/>
      <c r="P181" s="83"/>
      <c r="Q181" s="83"/>
      <c r="R181" s="87"/>
      <c r="S181" s="83"/>
      <c r="T181" s="83"/>
      <c r="U181" s="83"/>
      <c r="V181" s="87"/>
      <c r="W181" s="83"/>
      <c r="X181" s="83"/>
      <c r="Y181" s="83"/>
      <c r="Z181" s="87"/>
      <c r="AA181" s="83"/>
      <c r="AB181" s="83"/>
      <c r="AC181" s="83"/>
      <c r="AD181" s="83"/>
      <c r="AE181" s="45"/>
      <c r="AF181" s="28">
        <f>SUM(D181:AD181)</f>
        <v>0</v>
      </c>
    </row>
    <row r="182" spans="2:32" ht="14.25" thickBot="1">
      <c r="B182" s="74" t="s">
        <v>579</v>
      </c>
      <c r="C182" s="74"/>
      <c r="D182" s="92"/>
      <c r="E182" s="92"/>
      <c r="F182" s="93"/>
      <c r="G182" s="92"/>
      <c r="H182" s="92"/>
      <c r="I182" s="92"/>
      <c r="J182" s="93"/>
      <c r="K182" s="92"/>
      <c r="L182" s="92"/>
      <c r="M182" s="92"/>
      <c r="N182" s="93"/>
      <c r="O182" s="92"/>
      <c r="P182" s="92"/>
      <c r="Q182" s="92"/>
      <c r="R182" s="93"/>
      <c r="S182" s="92"/>
      <c r="T182" s="92"/>
      <c r="U182" s="92"/>
      <c r="V182" s="93"/>
      <c r="W182" s="94"/>
      <c r="X182" s="94"/>
      <c r="Y182" s="94"/>
      <c r="Z182" s="93"/>
      <c r="AA182" s="94"/>
      <c r="AB182" s="94"/>
      <c r="AC182" s="94"/>
      <c r="AD182" s="94"/>
      <c r="AE182" s="94"/>
      <c r="AF182" s="80">
        <f>SUM(D182:AD182)</f>
        <v>0</v>
      </c>
    </row>
    <row r="183" spans="2:32" ht="14.25" thickTop="1">
      <c r="B183" s="71" t="s">
        <v>66</v>
      </c>
      <c r="C183" s="3"/>
      <c r="D183" s="3"/>
      <c r="E183" s="3"/>
      <c r="F183" s="88">
        <f>SUM(F180:F182)</f>
        <v>0</v>
      </c>
      <c r="G183" s="3"/>
      <c r="H183" s="3"/>
      <c r="I183" s="3"/>
      <c r="J183" s="88">
        <f>SUM(J180:J182)</f>
        <v>0</v>
      </c>
      <c r="K183" s="3"/>
      <c r="L183" s="3"/>
      <c r="M183" s="3"/>
      <c r="N183" s="88">
        <f>SUM(N180:N182)</f>
        <v>0</v>
      </c>
      <c r="P183" s="3"/>
      <c r="Q183" s="3"/>
      <c r="R183" s="88">
        <f>SUM(R180:R182)</f>
        <v>0</v>
      </c>
      <c r="T183" s="3"/>
      <c r="U183" s="3"/>
      <c r="V183" s="88">
        <f>SUM(V180:V182)</f>
        <v>0</v>
      </c>
      <c r="W183" s="3"/>
      <c r="X183" s="3"/>
      <c r="Y183" s="3"/>
      <c r="Z183" s="88">
        <f>SUM(Z180:Z182)</f>
        <v>0</v>
      </c>
      <c r="AB183" s="3"/>
      <c r="AC183" s="3"/>
      <c r="AD183" s="67">
        <f>SUM(AD180:AD182)</f>
        <v>0</v>
      </c>
      <c r="AF183" s="71">
        <f>SUM(F183:AD183)</f>
        <v>0</v>
      </c>
    </row>
    <row r="184" spans="2:32">
      <c r="B184" s="1518" t="s">
        <v>18</v>
      </c>
      <c r="C184" s="1552" t="s">
        <v>571</v>
      </c>
      <c r="D184" s="1524">
        <v>45131</v>
      </c>
      <c r="E184" s="1524"/>
      <c r="F184" s="1524"/>
      <c r="G184" s="22"/>
      <c r="H184" s="1524">
        <f>D184+1</f>
        <v>45132</v>
      </c>
      <c r="I184" s="1524"/>
      <c r="J184" s="1524"/>
      <c r="K184" s="22"/>
      <c r="L184" s="1524">
        <f>H184+1</f>
        <v>45133</v>
      </c>
      <c r="M184" s="1524"/>
      <c r="N184" s="1524"/>
      <c r="P184" s="1524">
        <f>L184+1</f>
        <v>45134</v>
      </c>
      <c r="Q184" s="1524"/>
      <c r="R184" s="1524"/>
      <c r="T184" s="1524">
        <f>P184+1</f>
        <v>45135</v>
      </c>
      <c r="U184" s="1524"/>
      <c r="V184" s="1524"/>
      <c r="W184" s="22"/>
      <c r="X184" s="1524">
        <f>T184+1</f>
        <v>45136</v>
      </c>
      <c r="Y184" s="1524"/>
      <c r="Z184" s="1524"/>
      <c r="AB184" s="1524">
        <f>X184+1</f>
        <v>45137</v>
      </c>
      <c r="AC184" s="1524"/>
      <c r="AD184" s="1524"/>
      <c r="AE184" s="22"/>
      <c r="AF184" s="1517" t="s">
        <v>19</v>
      </c>
    </row>
    <row r="185" spans="2:32">
      <c r="B185" s="1518"/>
      <c r="C185" s="1552"/>
      <c r="D185" s="21" t="s">
        <v>23</v>
      </c>
      <c r="E185" s="21" t="s">
        <v>24</v>
      </c>
      <c r="F185" s="62" t="s">
        <v>25</v>
      </c>
      <c r="G185" s="23"/>
      <c r="H185" s="21" t="s">
        <v>23</v>
      </c>
      <c r="I185" s="21" t="s">
        <v>24</v>
      </c>
      <c r="J185" s="18" t="s">
        <v>25</v>
      </c>
      <c r="K185" s="23"/>
      <c r="L185" s="21" t="s">
        <v>23</v>
      </c>
      <c r="M185" s="21" t="s">
        <v>24</v>
      </c>
      <c r="N185" s="18" t="s">
        <v>25</v>
      </c>
      <c r="O185" s="23"/>
      <c r="P185" s="21" t="s">
        <v>23</v>
      </c>
      <c r="Q185" s="21" t="s">
        <v>24</v>
      </c>
      <c r="R185" s="18" t="s">
        <v>25</v>
      </c>
      <c r="S185" s="23"/>
      <c r="T185" s="21" t="s">
        <v>23</v>
      </c>
      <c r="U185" s="21" t="s">
        <v>24</v>
      </c>
      <c r="V185" s="18" t="s">
        <v>25</v>
      </c>
      <c r="W185" s="23"/>
      <c r="X185" s="21" t="s">
        <v>23</v>
      </c>
      <c r="Y185" s="21" t="s">
        <v>24</v>
      </c>
      <c r="Z185" s="18" t="s">
        <v>25</v>
      </c>
      <c r="AA185" s="23"/>
      <c r="AB185" s="21" t="s">
        <v>23</v>
      </c>
      <c r="AC185" s="21" t="s">
        <v>24</v>
      </c>
      <c r="AD185" s="18" t="s">
        <v>25</v>
      </c>
      <c r="AE185" s="23"/>
      <c r="AF185" s="1517"/>
    </row>
    <row r="186" spans="2:32" ht="27">
      <c r="B186" s="13" t="s">
        <v>54</v>
      </c>
      <c r="C186" s="13" t="s">
        <v>622</v>
      </c>
      <c r="D186" s="51">
        <v>0.375</v>
      </c>
      <c r="E186" s="51">
        <v>0.72916666666666663</v>
      </c>
      <c r="F186" s="85">
        <f>(E186-D186)*24</f>
        <v>8.5</v>
      </c>
      <c r="G186" s="24"/>
      <c r="H186" s="51">
        <v>0.35416666666666669</v>
      </c>
      <c r="I186" s="51">
        <v>0.70833333333333337</v>
      </c>
      <c r="J186" s="49">
        <f>(I186-H186)*24</f>
        <v>8.5</v>
      </c>
      <c r="K186" s="24"/>
      <c r="L186" s="48"/>
      <c r="M186" s="48"/>
      <c r="N186" s="49">
        <f>(M186-L186)*24</f>
        <v>0</v>
      </c>
      <c r="O186" s="24"/>
      <c r="P186" s="48"/>
      <c r="Q186" s="48"/>
      <c r="R186" s="49">
        <f>(Q186-P186)*24</f>
        <v>0</v>
      </c>
      <c r="S186" s="24"/>
      <c r="T186" s="48"/>
      <c r="U186" s="48"/>
      <c r="V186" s="49">
        <f>(U186-T186)*24</f>
        <v>0</v>
      </c>
      <c r="W186" s="24"/>
      <c r="X186" s="48"/>
      <c r="Y186" s="48"/>
      <c r="Z186" s="49">
        <f>(Y186-X186)*24</f>
        <v>0</v>
      </c>
      <c r="AA186" s="24"/>
      <c r="AB186" s="48"/>
      <c r="AC186" s="48"/>
      <c r="AD186" s="49">
        <f>(AC186-AB186)*24</f>
        <v>0</v>
      </c>
      <c r="AE186" s="24"/>
      <c r="AF186" s="29">
        <f>J186+F186+N186+R186+V186+Z186+AD186</f>
        <v>17</v>
      </c>
    </row>
    <row r="187" spans="2:32" ht="27">
      <c r="B187" s="13" t="s">
        <v>576</v>
      </c>
      <c r="C187" s="13" t="s">
        <v>622</v>
      </c>
      <c r="D187" s="51">
        <v>0.41666666666666669</v>
      </c>
      <c r="E187" s="51">
        <v>0.72916666666666663</v>
      </c>
      <c r="F187" s="85">
        <f t="shared" ref="F187:F193" si="139">(E187-D187)*24</f>
        <v>7.4999999999999982</v>
      </c>
      <c r="G187" s="24"/>
      <c r="H187" s="51">
        <v>0.375</v>
      </c>
      <c r="I187" s="51">
        <v>0.75</v>
      </c>
      <c r="J187" s="49">
        <f>(I187-H187)*24</f>
        <v>9</v>
      </c>
      <c r="K187" s="24"/>
      <c r="L187" s="48"/>
      <c r="M187" s="48"/>
      <c r="N187" s="49">
        <f t="shared" ref="N187:N193" si="140">(M187-L187)*24</f>
        <v>0</v>
      </c>
      <c r="O187" s="24"/>
      <c r="P187" s="48"/>
      <c r="Q187" s="48"/>
      <c r="R187" s="49">
        <f t="shared" ref="R187:R193" si="141">(Q187-P187)*24</f>
        <v>0</v>
      </c>
      <c r="S187" s="24"/>
      <c r="T187" s="48"/>
      <c r="U187" s="48"/>
      <c r="V187" s="49">
        <f t="shared" ref="V187:V193" si="142">(U187-T187)*24</f>
        <v>0</v>
      </c>
      <c r="W187" s="24"/>
      <c r="X187" s="48"/>
      <c r="Y187" s="48"/>
      <c r="Z187" s="49">
        <f t="shared" ref="Z187:Z193" si="143">(Y187-X187)*24</f>
        <v>0</v>
      </c>
      <c r="AA187" s="24"/>
      <c r="AB187" s="48"/>
      <c r="AC187" s="48"/>
      <c r="AD187" s="49">
        <f t="shared" ref="AD187:AD193" si="144">(AC187-AB187)*24</f>
        <v>0</v>
      </c>
      <c r="AE187" s="24"/>
      <c r="AF187" s="29">
        <f t="shared" ref="AF187:AF193" si="145">J187+F187+N187+R187+V187+Z187+AD187</f>
        <v>16.5</v>
      </c>
    </row>
    <row r="188" spans="2:32" ht="27">
      <c r="B188" s="13" t="s">
        <v>623</v>
      </c>
      <c r="C188" s="13" t="s">
        <v>624</v>
      </c>
      <c r="D188" s="51">
        <v>0.375</v>
      </c>
      <c r="E188" s="48">
        <v>0.5625</v>
      </c>
      <c r="F188" s="85">
        <f t="shared" si="139"/>
        <v>4.5</v>
      </c>
      <c r="G188" s="24"/>
      <c r="H188" s="48"/>
      <c r="I188" s="48"/>
      <c r="J188" s="49">
        <f t="shared" ref="J188:J193" si="146">(I188-H188)*24</f>
        <v>0</v>
      </c>
      <c r="K188" s="24"/>
      <c r="L188" s="48"/>
      <c r="M188" s="48"/>
      <c r="N188" s="49">
        <f t="shared" si="140"/>
        <v>0</v>
      </c>
      <c r="O188" s="24"/>
      <c r="P188" s="48"/>
      <c r="Q188" s="48"/>
      <c r="R188" s="49">
        <f t="shared" si="141"/>
        <v>0</v>
      </c>
      <c r="S188" s="24"/>
      <c r="T188" s="48"/>
      <c r="U188" s="48"/>
      <c r="V188" s="49">
        <f t="shared" si="142"/>
        <v>0</v>
      </c>
      <c r="W188" s="24"/>
      <c r="X188" s="48"/>
      <c r="Y188" s="48"/>
      <c r="Z188" s="49">
        <f t="shared" si="143"/>
        <v>0</v>
      </c>
      <c r="AA188" s="24"/>
      <c r="AB188" s="48"/>
      <c r="AC188" s="48"/>
      <c r="AD188" s="49">
        <f t="shared" si="144"/>
        <v>0</v>
      </c>
      <c r="AE188" s="24"/>
      <c r="AF188" s="29">
        <f t="shared" si="145"/>
        <v>4.5</v>
      </c>
    </row>
    <row r="189" spans="2:32" ht="27">
      <c r="B189" s="13" t="s">
        <v>572</v>
      </c>
      <c r="C189" s="13" t="s">
        <v>625</v>
      </c>
      <c r="D189" s="51">
        <v>0.375</v>
      </c>
      <c r="E189" s="51">
        <v>0.70833333333333337</v>
      </c>
      <c r="F189" s="85">
        <f t="shared" si="139"/>
        <v>8</v>
      </c>
      <c r="G189" s="24"/>
      <c r="H189" s="51">
        <v>0.375</v>
      </c>
      <c r="I189" s="48">
        <v>0.70833333333333337</v>
      </c>
      <c r="J189" s="49">
        <f t="shared" si="146"/>
        <v>8</v>
      </c>
      <c r="K189" s="24"/>
      <c r="L189" s="51"/>
      <c r="M189" s="48"/>
      <c r="N189" s="49">
        <f t="shared" si="140"/>
        <v>0</v>
      </c>
      <c r="O189" s="24"/>
      <c r="P189" s="48"/>
      <c r="Q189" s="48"/>
      <c r="R189" s="49">
        <f t="shared" si="141"/>
        <v>0</v>
      </c>
      <c r="S189" s="24"/>
      <c r="T189" s="48"/>
      <c r="U189" s="48"/>
      <c r="V189" s="49">
        <f t="shared" si="142"/>
        <v>0</v>
      </c>
      <c r="W189" s="24"/>
      <c r="X189" s="48"/>
      <c r="Y189" s="48"/>
      <c r="Z189" s="49">
        <f t="shared" si="143"/>
        <v>0</v>
      </c>
      <c r="AA189" s="24"/>
      <c r="AB189" s="48"/>
      <c r="AC189" s="48"/>
      <c r="AD189" s="49">
        <f t="shared" si="144"/>
        <v>0</v>
      </c>
      <c r="AE189" s="24"/>
      <c r="AF189" s="29">
        <f t="shared" si="145"/>
        <v>16</v>
      </c>
    </row>
    <row r="190" spans="2:32" ht="14.25">
      <c r="B190" s="13" t="s">
        <v>54</v>
      </c>
      <c r="C190" s="13" t="s">
        <v>626</v>
      </c>
      <c r="D190" s="48"/>
      <c r="E190" s="48"/>
      <c r="F190" s="85">
        <f t="shared" si="139"/>
        <v>0</v>
      </c>
      <c r="G190" s="24"/>
      <c r="H190" s="48"/>
      <c r="I190" s="48"/>
      <c r="J190" s="49">
        <f t="shared" si="146"/>
        <v>0</v>
      </c>
      <c r="K190" s="24"/>
      <c r="L190" s="51">
        <v>0.39583333333333331</v>
      </c>
      <c r="M190" s="51">
        <v>0.72916666666666663</v>
      </c>
      <c r="N190" s="49">
        <f t="shared" si="140"/>
        <v>8</v>
      </c>
      <c r="O190" s="24"/>
      <c r="P190" s="48"/>
      <c r="Q190" s="48"/>
      <c r="R190" s="49">
        <f t="shared" si="141"/>
        <v>0</v>
      </c>
      <c r="S190" s="24"/>
      <c r="T190" s="48"/>
      <c r="U190" s="48"/>
      <c r="V190" s="49">
        <f t="shared" si="142"/>
        <v>0</v>
      </c>
      <c r="W190" s="24"/>
      <c r="X190" s="48"/>
      <c r="Y190" s="48"/>
      <c r="Z190" s="49">
        <f t="shared" si="143"/>
        <v>0</v>
      </c>
      <c r="AA190" s="24"/>
      <c r="AB190" s="48"/>
      <c r="AC190" s="48"/>
      <c r="AD190" s="49">
        <f t="shared" si="144"/>
        <v>0</v>
      </c>
      <c r="AE190" s="24"/>
      <c r="AF190" s="29">
        <f t="shared" si="145"/>
        <v>8</v>
      </c>
    </row>
    <row r="191" spans="2:32" ht="14.25">
      <c r="B191" s="13" t="s">
        <v>51</v>
      </c>
      <c r="C191" s="13" t="s">
        <v>626</v>
      </c>
      <c r="D191" s="48"/>
      <c r="E191" s="48"/>
      <c r="F191" s="85">
        <f t="shared" si="139"/>
        <v>0</v>
      </c>
      <c r="G191" s="24"/>
      <c r="H191" s="48"/>
      <c r="I191" s="48"/>
      <c r="J191" s="49">
        <f t="shared" si="146"/>
        <v>0</v>
      </c>
      <c r="K191" s="24"/>
      <c r="L191" s="51">
        <v>0.375</v>
      </c>
      <c r="M191" s="51">
        <v>0.72916666666666663</v>
      </c>
      <c r="N191" s="49">
        <f t="shared" si="140"/>
        <v>8.5</v>
      </c>
      <c r="O191" s="24"/>
      <c r="P191" s="48"/>
      <c r="Q191" s="48"/>
      <c r="R191" s="49">
        <f t="shared" si="141"/>
        <v>0</v>
      </c>
      <c r="S191" s="24"/>
      <c r="T191" s="48"/>
      <c r="U191" s="48"/>
      <c r="V191" s="49">
        <f t="shared" si="142"/>
        <v>0</v>
      </c>
      <c r="W191" s="24"/>
      <c r="X191" s="48"/>
      <c r="Y191" s="48"/>
      <c r="Z191" s="49">
        <f t="shared" si="143"/>
        <v>0</v>
      </c>
      <c r="AA191" s="24"/>
      <c r="AB191" s="48"/>
      <c r="AC191" s="48"/>
      <c r="AD191" s="49">
        <f t="shared" si="144"/>
        <v>0</v>
      </c>
      <c r="AE191" s="24"/>
      <c r="AF191" s="29">
        <f t="shared" si="145"/>
        <v>8.5</v>
      </c>
    </row>
    <row r="192" spans="2:32" ht="27">
      <c r="B192" s="13" t="s">
        <v>576</v>
      </c>
      <c r="C192" s="13" t="s">
        <v>627</v>
      </c>
      <c r="D192" s="48"/>
      <c r="E192" s="48"/>
      <c r="F192" s="85">
        <f t="shared" si="139"/>
        <v>0</v>
      </c>
      <c r="G192" s="24"/>
      <c r="H192" s="48"/>
      <c r="I192" s="48"/>
      <c r="J192" s="49">
        <f t="shared" si="146"/>
        <v>0</v>
      </c>
      <c r="K192" s="24"/>
      <c r="L192" s="48">
        <v>0.625</v>
      </c>
      <c r="M192" s="48">
        <v>0.75</v>
      </c>
      <c r="N192" s="49">
        <f t="shared" si="140"/>
        <v>3</v>
      </c>
      <c r="O192" s="24"/>
      <c r="P192" s="51">
        <v>0.375</v>
      </c>
      <c r="Q192" s="48">
        <v>0.70833333333333337</v>
      </c>
      <c r="R192" s="49">
        <f t="shared" si="141"/>
        <v>8</v>
      </c>
      <c r="S192" s="24"/>
      <c r="T192" s="48"/>
      <c r="U192" s="48"/>
      <c r="V192" s="49">
        <f t="shared" si="142"/>
        <v>0</v>
      </c>
      <c r="W192" s="24"/>
      <c r="X192" s="48"/>
      <c r="Y192" s="48"/>
      <c r="Z192" s="49">
        <f t="shared" si="143"/>
        <v>0</v>
      </c>
      <c r="AA192" s="24"/>
      <c r="AB192" s="48"/>
      <c r="AC192" s="48"/>
      <c r="AD192" s="49">
        <f t="shared" si="144"/>
        <v>0</v>
      </c>
      <c r="AE192" s="24"/>
      <c r="AF192" s="29">
        <f t="shared" si="145"/>
        <v>11</v>
      </c>
    </row>
    <row r="193" spans="2:32" ht="27">
      <c r="B193" s="13" t="s">
        <v>572</v>
      </c>
      <c r="C193" s="13" t="s">
        <v>627</v>
      </c>
      <c r="D193" s="48"/>
      <c r="E193" s="48"/>
      <c r="F193" s="85">
        <f t="shared" si="139"/>
        <v>0</v>
      </c>
      <c r="G193" s="24"/>
      <c r="H193" s="48"/>
      <c r="I193" s="48"/>
      <c r="J193" s="49">
        <f t="shared" si="146"/>
        <v>0</v>
      </c>
      <c r="K193" s="24"/>
      <c r="L193" s="48">
        <v>0.625</v>
      </c>
      <c r="M193" s="48">
        <v>0.75</v>
      </c>
      <c r="N193" s="49">
        <f t="shared" si="140"/>
        <v>3</v>
      </c>
      <c r="O193" s="24"/>
      <c r="P193" s="51">
        <v>0.375</v>
      </c>
      <c r="Q193" s="48">
        <v>0.70833333333333337</v>
      </c>
      <c r="R193" s="49">
        <f t="shared" si="141"/>
        <v>8</v>
      </c>
      <c r="S193" s="24"/>
      <c r="T193" s="51"/>
      <c r="U193" s="48"/>
      <c r="V193" s="49">
        <f t="shared" si="142"/>
        <v>0</v>
      </c>
      <c r="W193" s="24"/>
      <c r="X193" s="48"/>
      <c r="Y193" s="48"/>
      <c r="Z193" s="49">
        <f t="shared" si="143"/>
        <v>0</v>
      </c>
      <c r="AA193" s="24"/>
      <c r="AB193" s="48"/>
      <c r="AC193" s="48"/>
      <c r="AD193" s="49">
        <f t="shared" si="144"/>
        <v>0</v>
      </c>
      <c r="AE193" s="24"/>
      <c r="AF193" s="29">
        <f t="shared" si="145"/>
        <v>11</v>
      </c>
    </row>
    <row r="194" spans="2:32" ht="27">
      <c r="B194" s="13" t="s">
        <v>572</v>
      </c>
      <c r="C194" s="13" t="s">
        <v>599</v>
      </c>
      <c r="D194" s="48"/>
      <c r="E194" s="48"/>
      <c r="F194" s="85"/>
      <c r="G194" s="24"/>
      <c r="H194" s="48"/>
      <c r="I194" s="48"/>
      <c r="J194" s="49"/>
      <c r="K194" s="24"/>
      <c r="L194" s="48"/>
      <c r="M194" s="48"/>
      <c r="N194" s="49"/>
      <c r="O194" s="24"/>
      <c r="P194" s="51"/>
      <c r="Q194" s="48"/>
      <c r="R194" s="49"/>
      <c r="S194" s="24"/>
      <c r="T194" s="51">
        <v>0.60416666666666663</v>
      </c>
      <c r="U194" s="51">
        <v>1</v>
      </c>
      <c r="V194" s="49">
        <f>(U194-T194)*24</f>
        <v>9.5</v>
      </c>
      <c r="W194" s="24"/>
      <c r="X194" s="51">
        <v>0.35416666666666669</v>
      </c>
      <c r="Y194" s="51">
        <v>0.77083333333333337</v>
      </c>
      <c r="Z194" s="49">
        <f>(Y194-X194)*24</f>
        <v>10</v>
      </c>
      <c r="AA194" s="24"/>
      <c r="AB194" s="48"/>
      <c r="AC194" s="48"/>
      <c r="AD194" s="49"/>
      <c r="AE194" s="24"/>
      <c r="AF194" s="29">
        <f>J194+F194+N194+R194+V194+Z194+AD194</f>
        <v>19.5</v>
      </c>
    </row>
    <row r="195" spans="2:32" ht="27">
      <c r="B195" s="13" t="s">
        <v>582</v>
      </c>
      <c r="C195" s="13" t="s">
        <v>599</v>
      </c>
      <c r="D195" s="48"/>
      <c r="E195" s="48"/>
      <c r="F195" s="85"/>
      <c r="G195" s="24"/>
      <c r="H195" s="48"/>
      <c r="I195" s="48"/>
      <c r="J195" s="49"/>
      <c r="K195" s="24"/>
      <c r="L195" s="48"/>
      <c r="M195" s="48"/>
      <c r="N195" s="49"/>
      <c r="O195" s="24"/>
      <c r="P195" s="51"/>
      <c r="Q195" s="48"/>
      <c r="R195" s="49"/>
      <c r="S195" s="24"/>
      <c r="T195" s="51">
        <v>0.60416666666666663</v>
      </c>
      <c r="U195" s="51">
        <v>1</v>
      </c>
      <c r="V195" s="49">
        <f>(U195-T195)*24</f>
        <v>9.5</v>
      </c>
      <c r="W195" s="24"/>
      <c r="X195" s="51">
        <v>0.35416666666666669</v>
      </c>
      <c r="Y195" s="51">
        <v>0.77083333333333337</v>
      </c>
      <c r="Z195" s="49">
        <f>(Y195-X195)*24</f>
        <v>10</v>
      </c>
      <c r="AA195" s="24"/>
      <c r="AB195" s="48"/>
      <c r="AC195" s="48"/>
      <c r="AD195" s="49"/>
      <c r="AE195" s="24"/>
      <c r="AF195" s="29">
        <f>J195+F195+N195+R195+V195+Z195+AD195</f>
        <v>19.5</v>
      </c>
    </row>
    <row r="196" spans="2:32" ht="27">
      <c r="B196" s="13" t="s">
        <v>54</v>
      </c>
      <c r="C196" s="13" t="s">
        <v>599</v>
      </c>
      <c r="D196" s="48"/>
      <c r="E196" s="48"/>
      <c r="F196" s="85"/>
      <c r="G196" s="24"/>
      <c r="H196" s="48"/>
      <c r="I196" s="48"/>
      <c r="J196" s="49"/>
      <c r="K196" s="24"/>
      <c r="L196" s="48"/>
      <c r="M196" s="48"/>
      <c r="N196" s="49"/>
      <c r="O196" s="24"/>
      <c r="P196" s="51"/>
      <c r="Q196" s="48"/>
      <c r="R196" s="49"/>
      <c r="S196" s="24"/>
      <c r="T196" s="51">
        <v>0.625</v>
      </c>
      <c r="U196" s="51">
        <v>1</v>
      </c>
      <c r="V196" s="49">
        <f>(U196-T196)*24</f>
        <v>9</v>
      </c>
      <c r="W196" s="24"/>
      <c r="X196" s="51">
        <v>0.375</v>
      </c>
      <c r="Y196" s="51">
        <v>0.77083333333333337</v>
      </c>
      <c r="Z196" s="49">
        <f>(Y196-X196)*24</f>
        <v>9.5</v>
      </c>
      <c r="AA196" s="24"/>
      <c r="AB196" s="48"/>
      <c r="AC196" s="48"/>
      <c r="AD196" s="49"/>
      <c r="AE196" s="24"/>
      <c r="AF196" s="29">
        <f>J196+F196+N196+R196+V196+Z196+AD196</f>
        <v>18.5</v>
      </c>
    </row>
    <row r="197" spans="2:32">
      <c r="B197" s="63" t="s">
        <v>61</v>
      </c>
      <c r="C197" s="63"/>
      <c r="D197" s="63"/>
      <c r="E197" s="63"/>
      <c r="F197" s="86">
        <f>SUM(F185:F193)</f>
        <v>28.5</v>
      </c>
      <c r="G197" s="63"/>
      <c r="H197" s="63"/>
      <c r="I197" s="63"/>
      <c r="J197" s="86">
        <f>SUM(J185:J193)</f>
        <v>25.5</v>
      </c>
      <c r="K197" s="63"/>
      <c r="L197" s="63"/>
      <c r="M197" s="63"/>
      <c r="N197" s="86">
        <f>SUM(N185:N193)</f>
        <v>22.5</v>
      </c>
      <c r="O197" s="63"/>
      <c r="P197" s="63"/>
      <c r="Q197" s="63"/>
      <c r="R197" s="86">
        <f>SUM(R185:R193)</f>
        <v>16</v>
      </c>
      <c r="S197" s="63"/>
      <c r="T197" s="63"/>
      <c r="U197" s="63"/>
      <c r="V197" s="86">
        <f>SUM(V185:V193)</f>
        <v>0</v>
      </c>
      <c r="W197" s="63"/>
      <c r="X197" s="63"/>
      <c r="Y197" s="63"/>
      <c r="Z197" s="86">
        <f>SUM(Z185:Z193)</f>
        <v>0</v>
      </c>
      <c r="AA197" s="63"/>
      <c r="AB197" s="63"/>
      <c r="AC197" s="63"/>
      <c r="AD197" s="82">
        <f>SUM(AD185:AD193)</f>
        <v>0</v>
      </c>
      <c r="AE197" s="46"/>
      <c r="AF197" s="30">
        <f>SUM(AF186:AF193)</f>
        <v>92.5</v>
      </c>
    </row>
    <row r="198" spans="2:32">
      <c r="B198" s="31" t="s">
        <v>577</v>
      </c>
      <c r="C198" s="31"/>
      <c r="D198" s="91"/>
      <c r="E198" s="83"/>
      <c r="F198" s="87"/>
      <c r="G198" s="83"/>
      <c r="H198" s="83"/>
      <c r="I198" s="83"/>
      <c r="J198" s="87"/>
      <c r="K198" s="83"/>
      <c r="L198" s="83"/>
      <c r="M198" s="83"/>
      <c r="N198" s="87"/>
      <c r="O198" s="83"/>
      <c r="P198" s="83"/>
      <c r="Q198" s="83"/>
      <c r="R198" s="87"/>
      <c r="S198" s="83"/>
      <c r="T198" s="83"/>
      <c r="U198" s="83"/>
      <c r="V198" s="87"/>
      <c r="W198" s="83"/>
      <c r="X198" s="83"/>
      <c r="Y198" s="83"/>
      <c r="Z198" s="87"/>
      <c r="AA198" s="83"/>
      <c r="AB198" s="83"/>
      <c r="AC198" s="83"/>
      <c r="AD198" s="83"/>
      <c r="AE198" s="45"/>
      <c r="AF198" s="28"/>
    </row>
    <row r="199" spans="2:32">
      <c r="B199" s="31" t="s">
        <v>578</v>
      </c>
      <c r="C199" s="31"/>
      <c r="D199" s="91"/>
      <c r="E199" s="83"/>
      <c r="F199" s="87"/>
      <c r="G199" s="83"/>
      <c r="H199" s="83"/>
      <c r="I199" s="83"/>
      <c r="J199" s="87"/>
      <c r="K199" s="83"/>
      <c r="L199" s="83"/>
      <c r="M199" s="83"/>
      <c r="N199" s="87"/>
      <c r="O199" s="83"/>
      <c r="P199" s="83"/>
      <c r="Q199" s="83"/>
      <c r="R199" s="87"/>
      <c r="S199" s="83"/>
      <c r="T199" s="83"/>
      <c r="U199" s="83"/>
      <c r="V199" s="87"/>
      <c r="W199" s="83"/>
      <c r="X199" s="83"/>
      <c r="Y199" s="83"/>
      <c r="Z199" s="87"/>
      <c r="AA199" s="83"/>
      <c r="AB199" s="83"/>
      <c r="AC199" s="83"/>
      <c r="AD199" s="83"/>
      <c r="AE199" s="45"/>
      <c r="AF199" s="28">
        <f>SUM(D199:AD199)</f>
        <v>0</v>
      </c>
    </row>
    <row r="200" spans="2:32" ht="14.25" thickBot="1">
      <c r="B200" s="74" t="s">
        <v>579</v>
      </c>
      <c r="C200" s="74"/>
      <c r="D200" s="92"/>
      <c r="E200" s="92"/>
      <c r="F200" s="93"/>
      <c r="G200" s="92"/>
      <c r="H200" s="92"/>
      <c r="I200" s="92"/>
      <c r="J200" s="93"/>
      <c r="K200" s="92"/>
      <c r="L200" s="92"/>
      <c r="M200" s="92"/>
      <c r="N200" s="93"/>
      <c r="O200" s="92"/>
      <c r="P200" s="92"/>
      <c r="Q200" s="92"/>
      <c r="R200" s="93"/>
      <c r="S200" s="92"/>
      <c r="T200" s="92"/>
      <c r="U200" s="92"/>
      <c r="V200" s="93"/>
      <c r="W200" s="94"/>
      <c r="X200" s="94"/>
      <c r="Y200" s="94"/>
      <c r="Z200" s="93"/>
      <c r="AA200" s="94"/>
      <c r="AB200" s="94"/>
      <c r="AC200" s="94"/>
      <c r="AD200" s="94"/>
      <c r="AE200" s="94"/>
      <c r="AF200" s="80">
        <f>SUM(D200:AD200)</f>
        <v>0</v>
      </c>
    </row>
    <row r="201" spans="2:32" ht="14.25" thickTop="1">
      <c r="B201" s="71" t="s">
        <v>66</v>
      </c>
      <c r="C201" s="3"/>
      <c r="D201" s="3"/>
      <c r="E201" s="3"/>
      <c r="F201" s="88">
        <f>SUM(F198:F200)</f>
        <v>0</v>
      </c>
      <c r="G201" s="3"/>
      <c r="H201" s="3"/>
      <c r="I201" s="3"/>
      <c r="J201" s="88">
        <f>SUM(J198:J200)</f>
        <v>0</v>
      </c>
      <c r="K201" s="3"/>
      <c r="L201" s="3"/>
      <c r="M201" s="3"/>
      <c r="N201" s="88">
        <f>SUM(N198:N200)</f>
        <v>0</v>
      </c>
      <c r="P201" s="3"/>
      <c r="Q201" s="3"/>
      <c r="R201" s="88">
        <f>SUM(R198:R200)</f>
        <v>0</v>
      </c>
      <c r="T201" s="3"/>
      <c r="U201" s="3"/>
      <c r="V201" s="88">
        <f>SUM(V198:V200)</f>
        <v>0</v>
      </c>
      <c r="W201" s="3"/>
      <c r="X201" s="3"/>
      <c r="Y201" s="3"/>
      <c r="Z201" s="88">
        <f>SUM(Z198:Z200)</f>
        <v>0</v>
      </c>
      <c r="AB201" s="3"/>
      <c r="AC201" s="3"/>
      <c r="AD201" s="67">
        <f>SUM(AD198:AD200)</f>
        <v>0</v>
      </c>
      <c r="AF201" s="71">
        <f>SUM(F201:AD201)</f>
        <v>0</v>
      </c>
    </row>
    <row r="202" spans="2:32">
      <c r="B202" s="1518" t="s">
        <v>18</v>
      </c>
      <c r="C202" s="1552" t="s">
        <v>571</v>
      </c>
      <c r="D202" s="1524">
        <v>45138</v>
      </c>
      <c r="E202" s="1524"/>
      <c r="F202" s="1524"/>
      <c r="G202" s="22"/>
      <c r="H202" s="1524">
        <f>D202+1</f>
        <v>45139</v>
      </c>
      <c r="I202" s="1524"/>
      <c r="J202" s="1524"/>
      <c r="K202" s="22"/>
      <c r="L202" s="1524">
        <f>H202+1</f>
        <v>45140</v>
      </c>
      <c r="M202" s="1524"/>
      <c r="N202" s="1524"/>
      <c r="P202" s="1524">
        <f>L202+1</f>
        <v>45141</v>
      </c>
      <c r="Q202" s="1524"/>
      <c r="R202" s="1524"/>
      <c r="T202" s="1524">
        <f>P202+1</f>
        <v>45142</v>
      </c>
      <c r="U202" s="1524"/>
      <c r="V202" s="1524"/>
      <c r="W202" s="22"/>
      <c r="X202" s="1524">
        <f>T202+1</f>
        <v>45143</v>
      </c>
      <c r="Y202" s="1524"/>
      <c r="Z202" s="1524"/>
      <c r="AB202" s="1524">
        <f>X202+1</f>
        <v>45144</v>
      </c>
      <c r="AC202" s="1524"/>
      <c r="AD202" s="1524"/>
      <c r="AE202" s="22"/>
      <c r="AF202" s="1517" t="s">
        <v>19</v>
      </c>
    </row>
    <row r="203" spans="2:32">
      <c r="B203" s="1518"/>
      <c r="C203" s="1552"/>
      <c r="D203" s="21" t="s">
        <v>23</v>
      </c>
      <c r="E203" s="21" t="s">
        <v>24</v>
      </c>
      <c r="F203" s="62" t="s">
        <v>25</v>
      </c>
      <c r="G203" s="23"/>
      <c r="H203" s="21" t="s">
        <v>23</v>
      </c>
      <c r="I203" s="21" t="s">
        <v>24</v>
      </c>
      <c r="J203" s="18" t="s">
        <v>25</v>
      </c>
      <c r="K203" s="23"/>
      <c r="L203" s="21" t="s">
        <v>23</v>
      </c>
      <c r="M203" s="21" t="s">
        <v>24</v>
      </c>
      <c r="N203" s="18" t="s">
        <v>25</v>
      </c>
      <c r="O203" s="23"/>
      <c r="P203" s="21" t="s">
        <v>23</v>
      </c>
      <c r="Q203" s="21" t="s">
        <v>24</v>
      </c>
      <c r="R203" s="18" t="s">
        <v>25</v>
      </c>
      <c r="S203" s="23"/>
      <c r="T203" s="21" t="s">
        <v>23</v>
      </c>
      <c r="U203" s="21" t="s">
        <v>24</v>
      </c>
      <c r="V203" s="18" t="s">
        <v>25</v>
      </c>
      <c r="W203" s="23"/>
      <c r="X203" s="21" t="s">
        <v>23</v>
      </c>
      <c r="Y203" s="21" t="s">
        <v>24</v>
      </c>
      <c r="Z203" s="18" t="s">
        <v>25</v>
      </c>
      <c r="AA203" s="23"/>
      <c r="AB203" s="21" t="s">
        <v>23</v>
      </c>
      <c r="AC203" s="21" t="s">
        <v>24</v>
      </c>
      <c r="AD203" s="18" t="s">
        <v>25</v>
      </c>
      <c r="AE203" s="23"/>
      <c r="AF203" s="1517"/>
    </row>
    <row r="204" spans="2:32" ht="27">
      <c r="B204" s="13" t="s">
        <v>54</v>
      </c>
      <c r="C204" s="13" t="s">
        <v>628</v>
      </c>
      <c r="D204" s="51">
        <v>0.375</v>
      </c>
      <c r="E204" s="51">
        <v>0.70833333333333337</v>
      </c>
      <c r="F204" s="85">
        <f>(E204-D204)*24</f>
        <v>8</v>
      </c>
      <c r="G204" s="24"/>
      <c r="H204" s="51"/>
      <c r="I204" s="51"/>
      <c r="J204" s="49">
        <f>(I204-H204)*24</f>
        <v>0</v>
      </c>
      <c r="K204" s="24"/>
      <c r="L204" s="48"/>
      <c r="M204" s="48"/>
      <c r="N204" s="49">
        <f>(M204-L204)*24</f>
        <v>0</v>
      </c>
      <c r="O204" s="24"/>
      <c r="P204" s="48"/>
      <c r="Q204" s="48"/>
      <c r="R204" s="49">
        <f>(Q204-P204)*24</f>
        <v>0</v>
      </c>
      <c r="S204" s="24"/>
      <c r="T204" s="48"/>
      <c r="U204" s="48"/>
      <c r="V204" s="49">
        <f>(U204-T204)*24</f>
        <v>0</v>
      </c>
      <c r="W204" s="24"/>
      <c r="X204" s="48"/>
      <c r="Y204" s="48"/>
      <c r="Z204" s="49">
        <f>(Y204-X204)*24</f>
        <v>0</v>
      </c>
      <c r="AA204" s="24"/>
      <c r="AB204" s="48"/>
      <c r="AC204" s="48"/>
      <c r="AD204" s="49">
        <f>(AC204-AB204)*24</f>
        <v>0</v>
      </c>
      <c r="AE204" s="24"/>
      <c r="AF204" s="29">
        <f>J204+F204+N204+R204+V204+Z204+AD204</f>
        <v>8</v>
      </c>
    </row>
    <row r="205" spans="2:32" ht="27">
      <c r="B205" s="13" t="s">
        <v>576</v>
      </c>
      <c r="C205" s="13" t="s">
        <v>629</v>
      </c>
      <c r="D205" s="51">
        <v>0.375</v>
      </c>
      <c r="E205" s="51">
        <v>0.5</v>
      </c>
      <c r="F205" s="85">
        <f t="shared" ref="F205:F212" si="147">(E205-D205)*24</f>
        <v>3</v>
      </c>
      <c r="G205" s="24"/>
      <c r="H205" s="51"/>
      <c r="I205" s="51"/>
      <c r="J205" s="49">
        <f>(I205-H205)*24</f>
        <v>0</v>
      </c>
      <c r="K205" s="24"/>
      <c r="L205" s="48"/>
      <c r="M205" s="48"/>
      <c r="N205" s="49">
        <f t="shared" ref="N205:N212" si="148">(M205-L205)*24</f>
        <v>0</v>
      </c>
      <c r="O205" s="24"/>
      <c r="P205" s="48"/>
      <c r="Q205" s="48"/>
      <c r="R205" s="49">
        <f t="shared" ref="R205:R212" si="149">(Q205-P205)*24</f>
        <v>0</v>
      </c>
      <c r="S205" s="24"/>
      <c r="T205" s="48"/>
      <c r="U205" s="48"/>
      <c r="V205" s="49">
        <f t="shared" ref="V205:V212" si="150">(U205-T205)*24</f>
        <v>0</v>
      </c>
      <c r="W205" s="24"/>
      <c r="X205" s="48"/>
      <c r="Y205" s="48"/>
      <c r="Z205" s="49">
        <f t="shared" ref="Z205:Z212" si="151">(Y205-X205)*24</f>
        <v>0</v>
      </c>
      <c r="AA205" s="24"/>
      <c r="AB205" s="48"/>
      <c r="AC205" s="48"/>
      <c r="AD205" s="49">
        <f t="shared" ref="AD205:AD212" si="152">(AC205-AB205)*24</f>
        <v>0</v>
      </c>
      <c r="AE205" s="24"/>
      <c r="AF205" s="29">
        <f t="shared" ref="AF205:AF212" si="153">J205+F205+N205+R205+V205+Z205+AD205</f>
        <v>3</v>
      </c>
    </row>
    <row r="206" spans="2:32" ht="40.5">
      <c r="B206" s="13" t="s">
        <v>572</v>
      </c>
      <c r="C206" s="309" t="s">
        <v>630</v>
      </c>
      <c r="D206" s="51">
        <v>0.35416666666666669</v>
      </c>
      <c r="E206" s="48">
        <v>0.70833333333333337</v>
      </c>
      <c r="F206" s="85">
        <f t="shared" si="147"/>
        <v>8.5</v>
      </c>
      <c r="G206" s="24"/>
      <c r="H206" s="48"/>
      <c r="I206" s="48"/>
      <c r="J206" s="49">
        <f t="shared" ref="J206:J212" si="154">(I206-H206)*24</f>
        <v>0</v>
      </c>
      <c r="K206" s="24"/>
      <c r="L206" s="48"/>
      <c r="M206" s="48"/>
      <c r="N206" s="49">
        <f t="shared" si="148"/>
        <v>0</v>
      </c>
      <c r="O206" s="24"/>
      <c r="P206" s="48"/>
      <c r="Q206" s="48"/>
      <c r="R206" s="49">
        <f t="shared" si="149"/>
        <v>0</v>
      </c>
      <c r="S206" s="24"/>
      <c r="T206" s="48"/>
      <c r="U206" s="48"/>
      <c r="V206" s="49">
        <f t="shared" si="150"/>
        <v>0</v>
      </c>
      <c r="W206" s="24"/>
      <c r="X206" s="48"/>
      <c r="Y206" s="48"/>
      <c r="Z206" s="49">
        <f t="shared" si="151"/>
        <v>0</v>
      </c>
      <c r="AA206" s="24"/>
      <c r="AB206" s="48"/>
      <c r="AC206" s="48"/>
      <c r="AD206" s="49">
        <f t="shared" si="152"/>
        <v>0</v>
      </c>
      <c r="AE206" s="24"/>
      <c r="AF206" s="29">
        <f t="shared" si="153"/>
        <v>8.5</v>
      </c>
    </row>
    <row r="207" spans="2:32" ht="40.5">
      <c r="B207" s="13" t="s">
        <v>582</v>
      </c>
      <c r="C207" s="309" t="s">
        <v>630</v>
      </c>
      <c r="D207" s="51">
        <v>0.35416666666666669</v>
      </c>
      <c r="E207" s="51">
        <v>0.70833333333333337</v>
      </c>
      <c r="F207" s="85">
        <f t="shared" si="147"/>
        <v>8.5</v>
      </c>
      <c r="G207" s="24"/>
      <c r="H207" s="51"/>
      <c r="I207" s="48"/>
      <c r="J207" s="49">
        <f t="shared" si="154"/>
        <v>0</v>
      </c>
      <c r="K207" s="24"/>
      <c r="L207" s="51"/>
      <c r="M207" s="48"/>
      <c r="N207" s="49">
        <f t="shared" si="148"/>
        <v>0</v>
      </c>
      <c r="O207" s="24"/>
      <c r="P207" s="48"/>
      <c r="Q207" s="48"/>
      <c r="R207" s="49">
        <f t="shared" si="149"/>
        <v>0</v>
      </c>
      <c r="S207" s="24"/>
      <c r="T207" s="48"/>
      <c r="U207" s="48"/>
      <c r="V207" s="49">
        <f t="shared" si="150"/>
        <v>0</v>
      </c>
      <c r="W207" s="24"/>
      <c r="X207" s="48"/>
      <c r="Y207" s="48"/>
      <c r="Z207" s="49">
        <f t="shared" si="151"/>
        <v>0</v>
      </c>
      <c r="AA207" s="24"/>
      <c r="AB207" s="48"/>
      <c r="AC207" s="48"/>
      <c r="AD207" s="49">
        <f t="shared" si="152"/>
        <v>0</v>
      </c>
      <c r="AE207" s="24"/>
      <c r="AF207" s="29">
        <f t="shared" si="153"/>
        <v>8.5</v>
      </c>
    </row>
    <row r="208" spans="2:32" ht="14.25">
      <c r="B208" s="13" t="s">
        <v>54</v>
      </c>
      <c r="C208" s="13" t="s">
        <v>631</v>
      </c>
      <c r="D208" s="48"/>
      <c r="E208" s="48"/>
      <c r="F208" s="85">
        <f t="shared" si="147"/>
        <v>0</v>
      </c>
      <c r="G208" s="24"/>
      <c r="H208" s="48">
        <v>0.375</v>
      </c>
      <c r="I208" s="48">
        <v>0.70833333333333337</v>
      </c>
      <c r="J208" s="49">
        <f t="shared" si="154"/>
        <v>8</v>
      </c>
      <c r="K208" s="24"/>
      <c r="L208" s="51">
        <v>0.375</v>
      </c>
      <c r="M208" s="48">
        <v>0.70833333333333337</v>
      </c>
      <c r="N208" s="49">
        <f t="shared" si="148"/>
        <v>8</v>
      </c>
      <c r="O208" s="24"/>
      <c r="P208" s="48"/>
      <c r="Q208" s="48"/>
      <c r="R208" s="49">
        <f t="shared" si="149"/>
        <v>0</v>
      </c>
      <c r="S208" s="24"/>
      <c r="T208" s="48"/>
      <c r="U208" s="48"/>
      <c r="V208" s="49">
        <f t="shared" si="150"/>
        <v>0</v>
      </c>
      <c r="W208" s="24"/>
      <c r="X208" s="48"/>
      <c r="Y208" s="48"/>
      <c r="Z208" s="49">
        <f t="shared" si="151"/>
        <v>0</v>
      </c>
      <c r="AA208" s="24"/>
      <c r="AB208" s="48"/>
      <c r="AC208" s="48"/>
      <c r="AD208" s="49">
        <f t="shared" si="152"/>
        <v>0</v>
      </c>
      <c r="AE208" s="24"/>
      <c r="AF208" s="29">
        <f t="shared" si="153"/>
        <v>16</v>
      </c>
    </row>
    <row r="209" spans="2:32" ht="14.25">
      <c r="B209" s="13" t="s">
        <v>51</v>
      </c>
      <c r="C209" s="13" t="s">
        <v>631</v>
      </c>
      <c r="D209" s="48"/>
      <c r="E209" s="48"/>
      <c r="F209" s="85">
        <f t="shared" si="147"/>
        <v>0</v>
      </c>
      <c r="G209" s="24"/>
      <c r="H209" s="48">
        <v>0.375</v>
      </c>
      <c r="I209" s="48">
        <v>0.70833333333333337</v>
      </c>
      <c r="J209" s="49">
        <f t="shared" si="154"/>
        <v>8</v>
      </c>
      <c r="K209" s="24"/>
      <c r="L209" s="51">
        <v>0.375</v>
      </c>
      <c r="M209" s="48">
        <v>0.70833333333333337</v>
      </c>
      <c r="N209" s="49">
        <f t="shared" si="148"/>
        <v>8</v>
      </c>
      <c r="O209" s="24"/>
      <c r="P209" s="48"/>
      <c r="Q209" s="48"/>
      <c r="R209" s="49">
        <f t="shared" si="149"/>
        <v>0</v>
      </c>
      <c r="S209" s="24"/>
      <c r="T209" s="48"/>
      <c r="U209" s="48"/>
      <c r="V209" s="49">
        <f t="shared" si="150"/>
        <v>0</v>
      </c>
      <c r="W209" s="24"/>
      <c r="X209" s="48"/>
      <c r="Y209" s="48"/>
      <c r="Z209" s="49">
        <f t="shared" si="151"/>
        <v>0</v>
      </c>
      <c r="AA209" s="24"/>
      <c r="AB209" s="48"/>
      <c r="AC209" s="48"/>
      <c r="AD209" s="49">
        <f t="shared" si="152"/>
        <v>0</v>
      </c>
      <c r="AE209" s="24"/>
      <c r="AF209" s="29">
        <f t="shared" si="153"/>
        <v>16</v>
      </c>
    </row>
    <row r="210" spans="2:32" ht="27">
      <c r="B210" s="13" t="s">
        <v>582</v>
      </c>
      <c r="C210" s="13" t="s">
        <v>632</v>
      </c>
      <c r="D210" s="48"/>
      <c r="E210" s="48"/>
      <c r="F210" s="85">
        <f t="shared" si="147"/>
        <v>0</v>
      </c>
      <c r="G210" s="24"/>
      <c r="H210" s="48"/>
      <c r="I210" s="48"/>
      <c r="J210" s="49">
        <f t="shared" si="154"/>
        <v>0</v>
      </c>
      <c r="K210" s="24"/>
      <c r="L210" s="51">
        <v>0.75</v>
      </c>
      <c r="M210" s="48">
        <v>1</v>
      </c>
      <c r="N210" s="49">
        <f t="shared" si="148"/>
        <v>6</v>
      </c>
      <c r="O210" s="24"/>
      <c r="P210" s="48"/>
      <c r="Q210" s="48"/>
      <c r="R210" s="49">
        <f t="shared" si="149"/>
        <v>0</v>
      </c>
      <c r="S210" s="24"/>
      <c r="T210" s="48"/>
      <c r="U210" s="48"/>
      <c r="V210" s="49">
        <f t="shared" si="150"/>
        <v>0</v>
      </c>
      <c r="W210" s="24"/>
      <c r="X210" s="48"/>
      <c r="Y210" s="48"/>
      <c r="Z210" s="49">
        <f t="shared" si="151"/>
        <v>0</v>
      </c>
      <c r="AA210" s="24"/>
      <c r="AB210" s="48"/>
      <c r="AC210" s="48"/>
      <c r="AD210" s="49">
        <f t="shared" si="152"/>
        <v>0</v>
      </c>
      <c r="AE210" s="24"/>
      <c r="AF210" s="29">
        <f t="shared" si="153"/>
        <v>6</v>
      </c>
    </row>
    <row r="211" spans="2:32" ht="27">
      <c r="B211" s="13" t="s">
        <v>572</v>
      </c>
      <c r="C211" s="13" t="s">
        <v>632</v>
      </c>
      <c r="D211" s="48"/>
      <c r="E211" s="48"/>
      <c r="F211" s="85">
        <f t="shared" si="147"/>
        <v>0</v>
      </c>
      <c r="G211" s="24"/>
      <c r="H211" s="48"/>
      <c r="I211" s="48"/>
      <c r="J211" s="49">
        <f t="shared" si="154"/>
        <v>0</v>
      </c>
      <c r="K211" s="24"/>
      <c r="L211" s="51">
        <v>0.72916666666666663</v>
      </c>
      <c r="M211" s="48">
        <v>1</v>
      </c>
      <c r="N211" s="49">
        <f t="shared" si="148"/>
        <v>6.5000000000000009</v>
      </c>
      <c r="O211" s="24"/>
      <c r="P211" s="48"/>
      <c r="Q211" s="48"/>
      <c r="R211" s="49">
        <f t="shared" si="149"/>
        <v>0</v>
      </c>
      <c r="S211" s="24"/>
      <c r="T211" s="48"/>
      <c r="U211" s="48"/>
      <c r="V211" s="49">
        <f t="shared" si="150"/>
        <v>0</v>
      </c>
      <c r="W211" s="24"/>
      <c r="X211" s="48"/>
      <c r="Y211" s="48"/>
      <c r="Z211" s="49">
        <f t="shared" si="151"/>
        <v>0</v>
      </c>
      <c r="AA211" s="24"/>
      <c r="AB211" s="48"/>
      <c r="AC211" s="48"/>
      <c r="AD211" s="49">
        <f t="shared" si="152"/>
        <v>0</v>
      </c>
      <c r="AE211" s="24"/>
      <c r="AF211" s="29">
        <f t="shared" si="153"/>
        <v>6.5000000000000009</v>
      </c>
    </row>
    <row r="212" spans="2:32" ht="27">
      <c r="B212" s="13" t="s">
        <v>54</v>
      </c>
      <c r="C212" s="13" t="s">
        <v>633</v>
      </c>
      <c r="D212" s="48"/>
      <c r="E212" s="48"/>
      <c r="F212" s="85">
        <f t="shared" si="147"/>
        <v>0</v>
      </c>
      <c r="G212" s="24"/>
      <c r="H212" s="48"/>
      <c r="I212" s="48"/>
      <c r="J212" s="49">
        <f t="shared" si="154"/>
        <v>0</v>
      </c>
      <c r="K212" s="24"/>
      <c r="L212" s="48"/>
      <c r="M212" s="48"/>
      <c r="N212" s="49">
        <f t="shared" si="148"/>
        <v>0</v>
      </c>
      <c r="O212" s="24"/>
      <c r="P212" s="48"/>
      <c r="Q212" s="48"/>
      <c r="R212" s="49">
        <f t="shared" si="149"/>
        <v>0</v>
      </c>
      <c r="S212" s="24"/>
      <c r="T212" s="51">
        <v>0.375</v>
      </c>
      <c r="U212" s="51">
        <v>0.58333333333333337</v>
      </c>
      <c r="V212" s="49">
        <f t="shared" si="150"/>
        <v>5.0000000000000009</v>
      </c>
      <c r="W212" s="24"/>
      <c r="X212" s="48"/>
      <c r="Y212" s="48"/>
      <c r="Z212" s="49">
        <f t="shared" si="151"/>
        <v>0</v>
      </c>
      <c r="AA212" s="24"/>
      <c r="AB212" s="48"/>
      <c r="AC212" s="48"/>
      <c r="AD212" s="49">
        <f t="shared" si="152"/>
        <v>0</v>
      </c>
      <c r="AE212" s="24"/>
      <c r="AF212" s="29">
        <f t="shared" si="153"/>
        <v>5.0000000000000009</v>
      </c>
    </row>
    <row r="213" spans="2:32" ht="27">
      <c r="B213" s="13" t="s">
        <v>576</v>
      </c>
      <c r="C213" s="13" t="s">
        <v>634</v>
      </c>
      <c r="D213" s="48"/>
      <c r="E213" s="48"/>
      <c r="F213" s="85">
        <f t="shared" ref="F213" si="155">(E213-D213)*24</f>
        <v>0</v>
      </c>
      <c r="G213" s="24"/>
      <c r="H213" s="48"/>
      <c r="I213" s="48"/>
      <c r="J213" s="49">
        <f t="shared" ref="J213" si="156">(I213-H213)*24</f>
        <v>0</v>
      </c>
      <c r="K213" s="24"/>
      <c r="L213" s="48"/>
      <c r="M213" s="48"/>
      <c r="N213" s="49">
        <f t="shared" ref="N213" si="157">(M213-L213)*24</f>
        <v>0</v>
      </c>
      <c r="O213" s="24"/>
      <c r="P213" s="48"/>
      <c r="Q213" s="48"/>
      <c r="R213" s="49">
        <f t="shared" ref="R213" si="158">(Q213-P213)*24</f>
        <v>0</v>
      </c>
      <c r="S213" s="24"/>
      <c r="T213" s="51">
        <v>0.40277777777777773</v>
      </c>
      <c r="U213" s="51">
        <v>0.58333333333333337</v>
      </c>
      <c r="V213" s="49">
        <f t="shared" ref="V213" si="159">(U213-T213)*24</f>
        <v>4.3333333333333357</v>
      </c>
      <c r="W213" s="24"/>
      <c r="X213" s="48"/>
      <c r="Y213" s="48"/>
      <c r="Z213" s="49">
        <f t="shared" ref="Z213" si="160">(Y213-X213)*24</f>
        <v>0</v>
      </c>
      <c r="AA213" s="24"/>
      <c r="AB213" s="48"/>
      <c r="AC213" s="48"/>
      <c r="AD213" s="49">
        <f t="shared" ref="AD213" si="161">(AC213-AB213)*24</f>
        <v>0</v>
      </c>
      <c r="AE213" s="24"/>
      <c r="AF213" s="29">
        <f t="shared" ref="AF213" si="162">J213+F213+N213+R213+V213+Z213+AD213</f>
        <v>4.3333333333333357</v>
      </c>
    </row>
    <row r="214" spans="2:32">
      <c r="B214" s="63" t="s">
        <v>61</v>
      </c>
      <c r="C214" s="63"/>
      <c r="D214" s="63"/>
      <c r="E214" s="63"/>
      <c r="F214" s="86">
        <f>SUM(F203:F213)</f>
        <v>28</v>
      </c>
      <c r="G214" s="63"/>
      <c r="H214" s="63"/>
      <c r="I214" s="63"/>
      <c r="J214" s="86">
        <f>SUM(J203:J213)</f>
        <v>16</v>
      </c>
      <c r="K214" s="63"/>
      <c r="L214" s="63"/>
      <c r="M214" s="63"/>
      <c r="N214" s="86">
        <f>SUM(N203:N213)</f>
        <v>28.5</v>
      </c>
      <c r="O214" s="63"/>
      <c r="P214" s="63"/>
      <c r="Q214" s="63"/>
      <c r="R214" s="86">
        <f>SUM(R203:R213)</f>
        <v>0</v>
      </c>
      <c r="S214" s="63"/>
      <c r="T214" s="63"/>
      <c r="U214" s="63"/>
      <c r="V214" s="86">
        <f>SUM(V203:V213)</f>
        <v>9.3333333333333357</v>
      </c>
      <c r="W214" s="63"/>
      <c r="X214" s="63"/>
      <c r="Y214" s="63"/>
      <c r="Z214" s="86">
        <f>SUM(Z203:Z213)</f>
        <v>0</v>
      </c>
      <c r="AA214" s="63"/>
      <c r="AB214" s="63"/>
      <c r="AC214" s="63"/>
      <c r="AD214" s="82">
        <f>SUM(AD203:AD213)</f>
        <v>0</v>
      </c>
      <c r="AE214" s="46"/>
      <c r="AF214" s="30">
        <f>SUM(AF204:AF213)</f>
        <v>81.833333333333343</v>
      </c>
    </row>
    <row r="215" spans="2:32">
      <c r="B215" s="31" t="s">
        <v>577</v>
      </c>
      <c r="C215" s="31"/>
      <c r="D215" s="91"/>
      <c r="E215" s="83"/>
      <c r="F215" s="87"/>
      <c r="G215" s="83"/>
      <c r="H215" s="83"/>
      <c r="I215" s="83"/>
      <c r="J215" s="87"/>
      <c r="K215" s="83"/>
      <c r="L215" s="83"/>
      <c r="M215" s="83"/>
      <c r="N215" s="87"/>
      <c r="O215" s="83"/>
      <c r="P215" s="83"/>
      <c r="Q215" s="83"/>
      <c r="R215" s="87"/>
      <c r="S215" s="83"/>
      <c r="T215" s="83"/>
      <c r="U215" s="83"/>
      <c r="V215" s="87"/>
      <c r="W215" s="83"/>
      <c r="X215" s="83"/>
      <c r="Y215" s="83"/>
      <c r="Z215" s="87"/>
      <c r="AA215" s="83"/>
      <c r="AB215" s="83"/>
      <c r="AC215" s="83"/>
      <c r="AD215" s="83"/>
      <c r="AE215" s="45"/>
      <c r="AF215" s="28"/>
    </row>
    <row r="216" spans="2:32">
      <c r="B216" s="31" t="s">
        <v>578</v>
      </c>
      <c r="C216" s="31"/>
      <c r="D216" s="91"/>
      <c r="E216" s="83"/>
      <c r="F216" s="87"/>
      <c r="G216" s="83"/>
      <c r="H216" s="83"/>
      <c r="I216" s="83"/>
      <c r="J216" s="87"/>
      <c r="K216" s="83"/>
      <c r="L216" s="83"/>
      <c r="M216" s="83"/>
      <c r="N216" s="87"/>
      <c r="O216" s="83"/>
      <c r="P216" s="83"/>
      <c r="Q216" s="83"/>
      <c r="R216" s="87"/>
      <c r="S216" s="83"/>
      <c r="T216" s="83"/>
      <c r="U216" s="83"/>
      <c r="V216" s="87"/>
      <c r="W216" s="83"/>
      <c r="X216" s="83"/>
      <c r="Y216" s="83"/>
      <c r="Z216" s="87"/>
      <c r="AA216" s="83"/>
      <c r="AB216" s="83"/>
      <c r="AC216" s="83"/>
      <c r="AD216" s="83"/>
      <c r="AE216" s="45"/>
      <c r="AF216" s="28">
        <f>SUM(D216:AD216)</f>
        <v>0</v>
      </c>
    </row>
    <row r="217" spans="2:32" ht="14.25" thickBot="1">
      <c r="B217" s="74" t="s">
        <v>579</v>
      </c>
      <c r="C217" s="74"/>
      <c r="D217" s="92"/>
      <c r="E217" s="92"/>
      <c r="F217" s="93"/>
      <c r="G217" s="92"/>
      <c r="H217" s="92"/>
      <c r="I217" s="92"/>
      <c r="J217" s="93"/>
      <c r="K217" s="92"/>
      <c r="L217" s="92"/>
      <c r="M217" s="92"/>
      <c r="N217" s="93"/>
      <c r="O217" s="92"/>
      <c r="P217" s="92"/>
      <c r="Q217" s="92"/>
      <c r="R217" s="93"/>
      <c r="S217" s="92"/>
      <c r="T217" s="92"/>
      <c r="U217" s="92"/>
      <c r="V217" s="93"/>
      <c r="W217" s="94"/>
      <c r="X217" s="94"/>
      <c r="Y217" s="94"/>
      <c r="Z217" s="93"/>
      <c r="AA217" s="94"/>
      <c r="AB217" s="94"/>
      <c r="AC217" s="94"/>
      <c r="AD217" s="94"/>
      <c r="AE217" s="94"/>
      <c r="AF217" s="80">
        <f>SUM(D217:AD217)</f>
        <v>0</v>
      </c>
    </row>
    <row r="218" spans="2:32" ht="14.25" thickTop="1">
      <c r="B218" s="71" t="s">
        <v>66</v>
      </c>
      <c r="C218" s="3"/>
      <c r="D218" s="3"/>
      <c r="E218" s="3"/>
      <c r="F218" s="88">
        <f>SUM(F215:F217)</f>
        <v>0</v>
      </c>
      <c r="G218" s="3"/>
      <c r="H218" s="3"/>
      <c r="I218" s="3"/>
      <c r="J218" s="88">
        <f>SUM(J215:J217)</f>
        <v>0</v>
      </c>
      <c r="K218" s="3"/>
      <c r="L218" s="3"/>
      <c r="M218" s="3"/>
      <c r="N218" s="88">
        <f>SUM(N215:N217)</f>
        <v>0</v>
      </c>
      <c r="P218" s="3"/>
      <c r="Q218" s="3"/>
      <c r="R218" s="88">
        <f>SUM(R215:R217)</f>
        <v>0</v>
      </c>
      <c r="T218" s="3"/>
      <c r="U218" s="3"/>
      <c r="V218" s="88">
        <f>SUM(V215:V217)</f>
        <v>0</v>
      </c>
      <c r="W218" s="3"/>
      <c r="X218" s="3"/>
      <c r="Y218" s="3"/>
      <c r="Z218" s="88">
        <f>SUM(Z215:Z217)</f>
        <v>0</v>
      </c>
      <c r="AB218" s="3"/>
      <c r="AC218" s="3"/>
      <c r="AD218" s="67">
        <f>SUM(AD215:AD217)</f>
        <v>0</v>
      </c>
      <c r="AF218" s="71">
        <f>SUM(F218:AD218)</f>
        <v>0</v>
      </c>
    </row>
    <row r="219" spans="2:32">
      <c r="B219" s="1518" t="s">
        <v>18</v>
      </c>
      <c r="C219" s="1552" t="s">
        <v>571</v>
      </c>
      <c r="D219" s="1524">
        <v>45145</v>
      </c>
      <c r="E219" s="1524"/>
      <c r="F219" s="1524"/>
      <c r="G219" s="22"/>
      <c r="H219" s="1524">
        <f>D219+1</f>
        <v>45146</v>
      </c>
      <c r="I219" s="1524"/>
      <c r="J219" s="1524"/>
      <c r="K219" s="22"/>
      <c r="L219" s="1524">
        <f>H219+1</f>
        <v>45147</v>
      </c>
      <c r="M219" s="1524"/>
      <c r="N219" s="1524"/>
      <c r="P219" s="1524">
        <f>L219+1</f>
        <v>45148</v>
      </c>
      <c r="Q219" s="1524"/>
      <c r="R219" s="1524"/>
      <c r="T219" s="1524">
        <f>P219+1</f>
        <v>45149</v>
      </c>
      <c r="U219" s="1524"/>
      <c r="V219" s="1524"/>
      <c r="W219" s="22"/>
      <c r="X219" s="1524">
        <f>T219+1</f>
        <v>45150</v>
      </c>
      <c r="Y219" s="1524"/>
      <c r="Z219" s="1524"/>
      <c r="AB219" s="1524">
        <f>X219+1</f>
        <v>45151</v>
      </c>
      <c r="AC219" s="1524"/>
      <c r="AD219" s="1524"/>
      <c r="AE219" s="22"/>
      <c r="AF219" s="1517" t="s">
        <v>19</v>
      </c>
    </row>
    <row r="220" spans="2:32" ht="13.35" customHeight="1">
      <c r="B220" s="1518"/>
      <c r="C220" s="1552"/>
      <c r="D220" s="21" t="s">
        <v>23</v>
      </c>
      <c r="E220" s="21" t="s">
        <v>24</v>
      </c>
      <c r="F220" s="62" t="s">
        <v>25</v>
      </c>
      <c r="G220" s="23"/>
      <c r="H220" s="21" t="s">
        <v>23</v>
      </c>
      <c r="I220" s="21" t="s">
        <v>24</v>
      </c>
      <c r="J220" s="18" t="s">
        <v>25</v>
      </c>
      <c r="K220" s="23"/>
      <c r="L220" s="21" t="s">
        <v>23</v>
      </c>
      <c r="M220" s="21" t="s">
        <v>24</v>
      </c>
      <c r="N220" s="18" t="s">
        <v>25</v>
      </c>
      <c r="O220" s="23"/>
      <c r="P220" s="21" t="s">
        <v>23</v>
      </c>
      <c r="Q220" s="21" t="s">
        <v>24</v>
      </c>
      <c r="R220" s="18" t="s">
        <v>25</v>
      </c>
      <c r="S220" s="23"/>
      <c r="T220" s="21" t="s">
        <v>23</v>
      </c>
      <c r="U220" s="21" t="s">
        <v>24</v>
      </c>
      <c r="V220" s="18" t="s">
        <v>25</v>
      </c>
      <c r="W220" s="23"/>
      <c r="X220" s="21" t="s">
        <v>23</v>
      </c>
      <c r="Y220" s="21" t="s">
        <v>24</v>
      </c>
      <c r="Z220" s="18" t="s">
        <v>25</v>
      </c>
      <c r="AA220" s="23"/>
      <c r="AB220" s="21" t="s">
        <v>23</v>
      </c>
      <c r="AC220" s="21" t="s">
        <v>24</v>
      </c>
      <c r="AD220" s="18" t="s">
        <v>25</v>
      </c>
      <c r="AE220" s="23"/>
      <c r="AF220" s="1517"/>
    </row>
    <row r="221" spans="2:32" ht="27">
      <c r="B221" s="313" t="s">
        <v>572</v>
      </c>
      <c r="C221" s="309" t="s">
        <v>635</v>
      </c>
      <c r="D221" s="51">
        <v>0.375</v>
      </c>
      <c r="E221" s="51">
        <v>0.70833333333333337</v>
      </c>
      <c r="F221" s="85">
        <f>(E221-D221)*24</f>
        <v>8</v>
      </c>
      <c r="G221" s="24"/>
      <c r="H221" s="51"/>
      <c r="I221" s="51"/>
      <c r="J221" s="49">
        <f>(I221-H221)*24</f>
        <v>0</v>
      </c>
      <c r="K221" s="24"/>
      <c r="L221" s="48"/>
      <c r="M221" s="48"/>
      <c r="N221" s="49">
        <f>(M221-L221)*24</f>
        <v>0</v>
      </c>
      <c r="O221" s="24"/>
      <c r="P221" s="48"/>
      <c r="Q221" s="48"/>
      <c r="R221" s="49">
        <f>(Q221-P221)*24</f>
        <v>0</v>
      </c>
      <c r="S221" s="24"/>
      <c r="T221" s="48"/>
      <c r="U221" s="48"/>
      <c r="V221" s="49">
        <f>(U221-T221)*24</f>
        <v>0</v>
      </c>
      <c r="W221" s="24"/>
      <c r="X221" s="48"/>
      <c r="Y221" s="48"/>
      <c r="Z221" s="49">
        <f>(Y221-X221)*24</f>
        <v>0</v>
      </c>
      <c r="AA221" s="24"/>
      <c r="AB221" s="48"/>
      <c r="AC221" s="48"/>
      <c r="AD221" s="49">
        <f>(AC221-AB221)*24</f>
        <v>0</v>
      </c>
      <c r="AE221" s="24"/>
      <c r="AF221" s="29">
        <f>J221+F221+N221+R221+V221+Z221+AD221</f>
        <v>8</v>
      </c>
    </row>
    <row r="222" spans="2:32" ht="27">
      <c r="B222" s="313" t="s">
        <v>582</v>
      </c>
      <c r="C222" s="309" t="s">
        <v>635</v>
      </c>
      <c r="D222" s="51">
        <v>0.375</v>
      </c>
      <c r="E222" s="51">
        <v>0.70833333333333337</v>
      </c>
      <c r="F222" s="85">
        <f t="shared" ref="F222:F228" si="163">(E222-D222)*24</f>
        <v>8</v>
      </c>
      <c r="G222" s="24"/>
      <c r="H222" s="51"/>
      <c r="I222" s="51"/>
      <c r="J222" s="49">
        <f>(I222-H222)*24</f>
        <v>0</v>
      </c>
      <c r="K222" s="24"/>
      <c r="L222" s="48"/>
      <c r="M222" s="48"/>
      <c r="N222" s="49">
        <f t="shared" ref="N222:N228" si="164">(M222-L222)*24</f>
        <v>0</v>
      </c>
      <c r="O222" s="24"/>
      <c r="P222" s="48"/>
      <c r="Q222" s="48"/>
      <c r="R222" s="49">
        <f t="shared" ref="R222:R228" si="165">(Q222-P222)*24</f>
        <v>0</v>
      </c>
      <c r="S222" s="24"/>
      <c r="T222" s="48"/>
      <c r="U222" s="48"/>
      <c r="V222" s="49">
        <f t="shared" ref="V222:V227" si="166">(U222-T222)*24</f>
        <v>0</v>
      </c>
      <c r="W222" s="24"/>
      <c r="X222" s="48"/>
      <c r="Y222" s="48"/>
      <c r="Z222" s="49">
        <f t="shared" ref="Z222:Z228" si="167">(Y222-X222)*24</f>
        <v>0</v>
      </c>
      <c r="AA222" s="24"/>
      <c r="AB222" s="48"/>
      <c r="AC222" s="48"/>
      <c r="AD222" s="49">
        <f t="shared" ref="AD222:AD228" si="168">(AC222-AB222)*24</f>
        <v>0</v>
      </c>
      <c r="AE222" s="24"/>
      <c r="AF222" s="29">
        <f t="shared" ref="AF222:AF228" si="169">J222+F222+N222+R222+V222+Z222+AD222</f>
        <v>8</v>
      </c>
    </row>
    <row r="223" spans="2:32" ht="14.25">
      <c r="B223" s="313" t="s">
        <v>54</v>
      </c>
      <c r="C223" s="313" t="s">
        <v>636</v>
      </c>
      <c r="D223" s="51">
        <v>0.375</v>
      </c>
      <c r="E223" s="51">
        <v>0.75</v>
      </c>
      <c r="F223" s="85">
        <f t="shared" si="163"/>
        <v>9</v>
      </c>
      <c r="G223" s="24"/>
      <c r="H223" s="48"/>
      <c r="I223" s="48"/>
      <c r="J223" s="49">
        <f t="shared" ref="J223:J228" si="170">(I223-H223)*24</f>
        <v>0</v>
      </c>
      <c r="K223" s="24"/>
      <c r="L223" s="48"/>
      <c r="M223" s="48"/>
      <c r="N223" s="49">
        <f t="shared" si="164"/>
        <v>0</v>
      </c>
      <c r="O223" s="24"/>
      <c r="P223" s="48"/>
      <c r="Q223" s="48"/>
      <c r="R223" s="49">
        <f t="shared" si="165"/>
        <v>0</v>
      </c>
      <c r="S223" s="24"/>
      <c r="T223" s="48"/>
      <c r="U223" s="48"/>
      <c r="V223" s="49">
        <f t="shared" si="166"/>
        <v>0</v>
      </c>
      <c r="W223" s="24"/>
      <c r="X223" s="48"/>
      <c r="Y223" s="48"/>
      <c r="Z223" s="49">
        <f t="shared" si="167"/>
        <v>0</v>
      </c>
      <c r="AA223" s="24"/>
      <c r="AB223" s="48"/>
      <c r="AC223" s="48"/>
      <c r="AD223" s="49">
        <f t="shared" si="168"/>
        <v>0</v>
      </c>
      <c r="AE223" s="24"/>
      <c r="AF223" s="29">
        <f t="shared" si="169"/>
        <v>9</v>
      </c>
    </row>
    <row r="224" spans="2:32" ht="14.25">
      <c r="B224" s="13" t="s">
        <v>637</v>
      </c>
      <c r="C224" s="13" t="s">
        <v>636</v>
      </c>
      <c r="D224" s="51">
        <v>0.39583333333333331</v>
      </c>
      <c r="E224" s="51">
        <v>0.75</v>
      </c>
      <c r="F224" s="85">
        <f t="shared" si="163"/>
        <v>8.5</v>
      </c>
      <c r="G224" s="24"/>
      <c r="H224" s="51"/>
      <c r="I224" s="48"/>
      <c r="J224" s="49">
        <f t="shared" si="170"/>
        <v>0</v>
      </c>
      <c r="K224" s="24"/>
      <c r="L224" s="51"/>
      <c r="M224" s="48"/>
      <c r="N224" s="49">
        <f t="shared" si="164"/>
        <v>0</v>
      </c>
      <c r="O224" s="24"/>
      <c r="P224" s="48"/>
      <c r="Q224" s="48"/>
      <c r="R224" s="49">
        <f t="shared" si="165"/>
        <v>0</v>
      </c>
      <c r="S224" s="24"/>
      <c r="T224" s="48"/>
      <c r="U224" s="48"/>
      <c r="V224" s="49">
        <f t="shared" si="166"/>
        <v>0</v>
      </c>
      <c r="W224" s="24"/>
      <c r="X224" s="48"/>
      <c r="Y224" s="48"/>
      <c r="Z224" s="49">
        <f t="shared" si="167"/>
        <v>0</v>
      </c>
      <c r="AA224" s="24"/>
      <c r="AB224" s="48"/>
      <c r="AC224" s="48"/>
      <c r="AD224" s="49">
        <f t="shared" si="168"/>
        <v>0</v>
      </c>
      <c r="AE224" s="24"/>
      <c r="AF224" s="29">
        <f t="shared" si="169"/>
        <v>8.5</v>
      </c>
    </row>
    <row r="225" spans="1:32" ht="27">
      <c r="B225" s="313" t="s">
        <v>572</v>
      </c>
      <c r="C225" s="13" t="s">
        <v>638</v>
      </c>
      <c r="D225" s="48"/>
      <c r="E225" s="48"/>
      <c r="F225" s="85">
        <f t="shared" si="163"/>
        <v>0</v>
      </c>
      <c r="G225" s="24"/>
      <c r="H225" s="51">
        <v>0.35416666666666669</v>
      </c>
      <c r="I225" s="51">
        <v>0.75</v>
      </c>
      <c r="J225" s="49">
        <f t="shared" si="170"/>
        <v>9.5</v>
      </c>
      <c r="K225" s="24"/>
      <c r="L225" s="51">
        <v>0.35069444444444442</v>
      </c>
      <c r="M225" s="48">
        <v>0.77083333333333337</v>
      </c>
      <c r="N225" s="49">
        <f t="shared" si="164"/>
        <v>10.083333333333336</v>
      </c>
      <c r="O225" s="24"/>
      <c r="P225" s="48"/>
      <c r="Q225" s="48"/>
      <c r="R225" s="49">
        <f t="shared" si="165"/>
        <v>0</v>
      </c>
      <c r="S225" s="24"/>
      <c r="T225" s="48"/>
      <c r="U225" s="48"/>
      <c r="V225" s="49">
        <f t="shared" si="166"/>
        <v>0</v>
      </c>
      <c r="W225" s="24"/>
      <c r="X225" s="48"/>
      <c r="Y225" s="48"/>
      <c r="Z225" s="49">
        <f t="shared" si="167"/>
        <v>0</v>
      </c>
      <c r="AA225" s="24"/>
      <c r="AB225" s="48"/>
      <c r="AC225" s="48"/>
      <c r="AD225" s="49">
        <f t="shared" si="168"/>
        <v>0</v>
      </c>
      <c r="AE225" s="24"/>
      <c r="AF225" s="29">
        <f t="shared" si="169"/>
        <v>19.583333333333336</v>
      </c>
    </row>
    <row r="226" spans="1:32" ht="27">
      <c r="B226" s="13" t="s">
        <v>637</v>
      </c>
      <c r="C226" s="13" t="s">
        <v>638</v>
      </c>
      <c r="D226" s="48"/>
      <c r="E226" s="48"/>
      <c r="F226" s="85">
        <f t="shared" si="163"/>
        <v>0</v>
      </c>
      <c r="G226" s="24"/>
      <c r="H226" s="51">
        <v>0.38541666666666669</v>
      </c>
      <c r="I226" s="51">
        <v>0.75</v>
      </c>
      <c r="J226" s="49">
        <f t="shared" si="170"/>
        <v>8.75</v>
      </c>
      <c r="K226" s="24"/>
      <c r="L226" s="51">
        <v>0.35069444444444442</v>
      </c>
      <c r="M226" s="48">
        <v>0.77083333333333337</v>
      </c>
      <c r="N226" s="49">
        <f t="shared" si="164"/>
        <v>10.083333333333336</v>
      </c>
      <c r="O226" s="24"/>
      <c r="P226" s="48"/>
      <c r="Q226" s="48"/>
      <c r="R226" s="49">
        <f t="shared" si="165"/>
        <v>0</v>
      </c>
      <c r="S226" s="24"/>
      <c r="T226" s="48"/>
      <c r="U226" s="48"/>
      <c r="V226" s="49">
        <f t="shared" si="166"/>
        <v>0</v>
      </c>
      <c r="W226" s="24"/>
      <c r="X226" s="48"/>
      <c r="Y226" s="48"/>
      <c r="Z226" s="49">
        <f t="shared" si="167"/>
        <v>0</v>
      </c>
      <c r="AA226" s="24"/>
      <c r="AB226" s="48"/>
      <c r="AC226" s="48"/>
      <c r="AD226" s="49">
        <f t="shared" si="168"/>
        <v>0</v>
      </c>
      <c r="AE226" s="24"/>
      <c r="AF226" s="29">
        <f t="shared" si="169"/>
        <v>18.833333333333336</v>
      </c>
    </row>
    <row r="227" spans="1:32" ht="27">
      <c r="B227" s="13" t="s">
        <v>576</v>
      </c>
      <c r="C227" s="13" t="s">
        <v>638</v>
      </c>
      <c r="D227" s="48"/>
      <c r="E227" s="48"/>
      <c r="F227" s="85">
        <f t="shared" si="163"/>
        <v>0</v>
      </c>
      <c r="G227" s="24"/>
      <c r="H227" s="51">
        <v>0.39583333333333331</v>
      </c>
      <c r="I227" s="51">
        <v>0.75</v>
      </c>
      <c r="J227" s="49">
        <f t="shared" si="170"/>
        <v>8.5</v>
      </c>
      <c r="K227" s="24"/>
      <c r="L227" s="51">
        <v>0.35069444444444442</v>
      </c>
      <c r="M227" s="48">
        <v>0.77083333333333337</v>
      </c>
      <c r="N227" s="49">
        <f t="shared" si="164"/>
        <v>10.083333333333336</v>
      </c>
      <c r="O227" s="24"/>
      <c r="P227" s="48"/>
      <c r="Q227" s="48"/>
      <c r="R227" s="49">
        <f t="shared" si="165"/>
        <v>0</v>
      </c>
      <c r="S227" s="24"/>
      <c r="T227" s="48"/>
      <c r="U227" s="48"/>
      <c r="V227" s="49">
        <f t="shared" si="166"/>
        <v>0</v>
      </c>
      <c r="W227" s="24"/>
      <c r="X227" s="48"/>
      <c r="Y227" s="48"/>
      <c r="Z227" s="49">
        <f t="shared" si="167"/>
        <v>0</v>
      </c>
      <c r="AA227" s="24"/>
      <c r="AB227" s="48"/>
      <c r="AC227" s="48"/>
      <c r="AD227" s="49">
        <f t="shared" si="168"/>
        <v>0</v>
      </c>
      <c r="AE227" s="24"/>
      <c r="AF227" s="29">
        <f t="shared" si="169"/>
        <v>18.583333333333336</v>
      </c>
    </row>
    <row r="228" spans="1:32" ht="27">
      <c r="B228" s="313" t="s">
        <v>54</v>
      </c>
      <c r="C228" s="13" t="s">
        <v>639</v>
      </c>
      <c r="D228" s="48"/>
      <c r="E228" s="48"/>
      <c r="F228" s="85">
        <f t="shared" si="163"/>
        <v>0</v>
      </c>
      <c r="G228" s="24"/>
      <c r="H228" s="48"/>
      <c r="I228" s="48"/>
      <c r="J228" s="49">
        <f t="shared" si="170"/>
        <v>0</v>
      </c>
      <c r="K228" s="24"/>
      <c r="L228" s="48"/>
      <c r="M228" s="48"/>
      <c r="N228" s="49">
        <f t="shared" si="164"/>
        <v>0</v>
      </c>
      <c r="O228" s="24"/>
      <c r="P228" s="48"/>
      <c r="Q228" s="48"/>
      <c r="R228" s="49">
        <f t="shared" si="165"/>
        <v>0</v>
      </c>
      <c r="S228" s="24"/>
      <c r="T228" s="48">
        <v>0.375</v>
      </c>
      <c r="U228" s="51">
        <v>0.70833333333333337</v>
      </c>
      <c r="V228" s="49">
        <f>(U228-T228)*24</f>
        <v>8</v>
      </c>
      <c r="W228" s="24"/>
      <c r="X228" s="48"/>
      <c r="Y228" s="48"/>
      <c r="Z228" s="49">
        <f t="shared" si="167"/>
        <v>0</v>
      </c>
      <c r="AA228" s="24"/>
      <c r="AB228" s="48"/>
      <c r="AC228" s="48"/>
      <c r="AD228" s="49">
        <f t="shared" si="168"/>
        <v>0</v>
      </c>
      <c r="AE228" s="24"/>
      <c r="AF228" s="29">
        <f t="shared" si="169"/>
        <v>8</v>
      </c>
    </row>
    <row r="229" spans="1:32" ht="14.25">
      <c r="D229" s="48"/>
      <c r="E229" s="48"/>
      <c r="F229" s="85"/>
      <c r="G229" s="24"/>
      <c r="H229" s="48"/>
      <c r="I229" s="48"/>
      <c r="J229" s="49"/>
      <c r="K229" s="24"/>
      <c r="L229" s="48"/>
      <c r="M229" s="48"/>
      <c r="N229" s="49"/>
      <c r="O229" s="24"/>
      <c r="P229" s="48"/>
      <c r="Q229" s="48"/>
      <c r="R229" s="49"/>
      <c r="S229" s="24"/>
      <c r="T229" s="48"/>
      <c r="U229" s="48"/>
      <c r="V229" s="49"/>
      <c r="W229" s="24"/>
      <c r="X229" s="48"/>
      <c r="Y229" s="48"/>
      <c r="Z229" s="49"/>
      <c r="AA229" s="24"/>
      <c r="AB229" s="48"/>
      <c r="AC229" s="48"/>
      <c r="AD229" s="49"/>
      <c r="AE229" s="24"/>
      <c r="AF229" s="29"/>
    </row>
    <row r="230" spans="1:32">
      <c r="B230" s="63" t="s">
        <v>61</v>
      </c>
      <c r="C230" s="63"/>
      <c r="D230" s="63"/>
      <c r="E230" s="63"/>
      <c r="F230" s="86">
        <f>SUM(F220:F228)</f>
        <v>33.5</v>
      </c>
      <c r="G230" s="63"/>
      <c r="H230" s="63"/>
      <c r="I230" s="63"/>
      <c r="J230" s="86">
        <f>SUM(J220:J228)</f>
        <v>26.75</v>
      </c>
      <c r="K230" s="63"/>
      <c r="L230" s="63"/>
      <c r="M230" s="63"/>
      <c r="N230" s="86">
        <f>SUM(N220:N228)</f>
        <v>30.250000000000007</v>
      </c>
      <c r="O230" s="63"/>
      <c r="P230" s="63"/>
      <c r="Q230" s="63"/>
      <c r="R230" s="86">
        <f>SUM(R220:R228)</f>
        <v>0</v>
      </c>
      <c r="S230" s="63"/>
      <c r="T230" s="63"/>
      <c r="U230" s="63"/>
      <c r="V230" s="86">
        <f>SUM(V220:V228)</f>
        <v>8</v>
      </c>
      <c r="W230" s="63"/>
      <c r="X230" s="63"/>
      <c r="Y230" s="63"/>
      <c r="Z230" s="86">
        <f>SUM(Z220:Z228)</f>
        <v>0</v>
      </c>
      <c r="AA230" s="63"/>
      <c r="AB230" s="63"/>
      <c r="AC230" s="63"/>
      <c r="AD230" s="82">
        <f>SUM(AD220:AD228)</f>
        <v>0</v>
      </c>
      <c r="AE230" s="46"/>
      <c r="AF230" s="30">
        <f>SUM(AF221:AF228)</f>
        <v>98.5</v>
      </c>
    </row>
    <row r="231" spans="1:32">
      <c r="B231" s="31" t="s">
        <v>577</v>
      </c>
      <c r="C231" s="31"/>
      <c r="D231" s="91"/>
      <c r="E231" s="83"/>
      <c r="F231" s="87"/>
      <c r="G231" s="83"/>
      <c r="H231" s="83"/>
      <c r="I231" s="83"/>
      <c r="J231" s="87"/>
      <c r="K231" s="83"/>
      <c r="L231" s="83"/>
      <c r="M231" s="83"/>
      <c r="N231" s="87"/>
      <c r="O231" s="83"/>
      <c r="P231" s="83"/>
      <c r="Q231" s="83"/>
      <c r="R231" s="87"/>
      <c r="S231" s="83"/>
      <c r="T231" s="83"/>
      <c r="U231" s="83"/>
      <c r="V231" s="87"/>
      <c r="W231" s="83"/>
      <c r="X231" s="83"/>
      <c r="Y231" s="83"/>
      <c r="Z231" s="87"/>
      <c r="AA231" s="83"/>
      <c r="AB231" s="83"/>
      <c r="AC231" s="83"/>
      <c r="AD231" s="83"/>
      <c r="AE231" s="45"/>
      <c r="AF231" s="28"/>
    </row>
    <row r="232" spans="1:32">
      <c r="B232" s="31" t="s">
        <v>578</v>
      </c>
      <c r="C232" s="31"/>
      <c r="D232" s="91"/>
      <c r="E232" s="83"/>
      <c r="F232" s="87"/>
      <c r="G232" s="83"/>
      <c r="H232" s="83"/>
      <c r="I232" s="83"/>
      <c r="J232" s="87"/>
      <c r="K232" s="83"/>
      <c r="L232" s="83"/>
      <c r="M232" s="83"/>
      <c r="N232" s="87"/>
      <c r="O232" s="83"/>
      <c r="P232" s="83"/>
      <c r="Q232" s="83"/>
      <c r="R232" s="87"/>
      <c r="S232" s="83"/>
      <c r="T232" s="83"/>
      <c r="U232" s="83"/>
      <c r="V232" s="87"/>
      <c r="W232" s="83"/>
      <c r="X232" s="83"/>
      <c r="Y232" s="83"/>
      <c r="Z232" s="87"/>
      <c r="AA232" s="83"/>
      <c r="AB232" s="83"/>
      <c r="AC232" s="83"/>
      <c r="AD232" s="83"/>
      <c r="AE232" s="45"/>
      <c r="AF232" s="28">
        <f>SUM(D232:AD232)</f>
        <v>0</v>
      </c>
    </row>
    <row r="233" spans="1:32" ht="14.25" thickBot="1">
      <c r="B233" s="74" t="s">
        <v>579</v>
      </c>
      <c r="C233" s="74"/>
      <c r="D233" s="92"/>
      <c r="E233" s="92"/>
      <c r="F233" s="93"/>
      <c r="G233" s="92"/>
      <c r="H233" s="92"/>
      <c r="I233" s="92"/>
      <c r="J233" s="93"/>
      <c r="K233" s="92"/>
      <c r="L233" s="92"/>
      <c r="M233" s="92"/>
      <c r="N233" s="93"/>
      <c r="O233" s="92"/>
      <c r="P233" s="92"/>
      <c r="Q233" s="92"/>
      <c r="R233" s="93"/>
      <c r="S233" s="92"/>
      <c r="T233" s="92"/>
      <c r="U233" s="92"/>
      <c r="V233" s="93"/>
      <c r="W233" s="94"/>
      <c r="X233" s="94"/>
      <c r="Y233" s="94"/>
      <c r="Z233" s="93"/>
      <c r="AA233" s="94"/>
      <c r="AB233" s="94"/>
      <c r="AC233" s="94"/>
      <c r="AD233" s="94"/>
      <c r="AE233" s="94"/>
      <c r="AF233" s="80">
        <f>SUM(D233:AD233)</f>
        <v>0</v>
      </c>
    </row>
    <row r="234" spans="1:32" ht="14.25" thickTop="1">
      <c r="B234" s="71" t="s">
        <v>66</v>
      </c>
      <c r="C234" s="3"/>
      <c r="D234" s="3"/>
      <c r="E234" s="3"/>
      <c r="F234" s="88">
        <f>SUM(F231:F233)</f>
        <v>0</v>
      </c>
      <c r="G234" s="3"/>
      <c r="H234" s="3"/>
      <c r="I234" s="3"/>
      <c r="J234" s="88">
        <f>SUM(J231:J233)</f>
        <v>0</v>
      </c>
      <c r="K234" s="3"/>
      <c r="L234" s="3"/>
      <c r="M234" s="3"/>
      <c r="N234" s="88">
        <f>SUM(N231:N233)</f>
        <v>0</v>
      </c>
      <c r="P234" s="3"/>
      <c r="Q234" s="3"/>
      <c r="R234" s="88">
        <f>SUM(R231:R233)</f>
        <v>0</v>
      </c>
      <c r="T234" s="3"/>
      <c r="U234" s="3"/>
      <c r="V234" s="88">
        <f>SUM(V231:V233)</f>
        <v>0</v>
      </c>
      <c r="W234" s="3"/>
      <c r="X234" s="3"/>
      <c r="Y234" s="3"/>
      <c r="Z234" s="88">
        <f>SUM(Z231:Z233)</f>
        <v>0</v>
      </c>
      <c r="AB234" s="3"/>
      <c r="AC234" s="3"/>
      <c r="AD234" s="67">
        <f>SUM(AD231:AD233)</f>
        <v>0</v>
      </c>
      <c r="AF234" s="71">
        <f>SUM(F234:AD234)</f>
        <v>0</v>
      </c>
    </row>
    <row r="235" spans="1:32">
      <c r="B235" s="1518" t="s">
        <v>18</v>
      </c>
      <c r="C235" s="1552" t="s">
        <v>571</v>
      </c>
      <c r="D235" s="1524">
        <v>45152</v>
      </c>
      <c r="E235" s="1524"/>
      <c r="F235" s="1524"/>
      <c r="G235" s="22"/>
      <c r="H235" s="1524">
        <f>D235+1</f>
        <v>45153</v>
      </c>
      <c r="I235" s="1524"/>
      <c r="J235" s="1524"/>
      <c r="K235" s="22"/>
      <c r="L235" s="1524">
        <f>H235+1</f>
        <v>45154</v>
      </c>
      <c r="M235" s="1524"/>
      <c r="N235" s="1524"/>
      <c r="P235" s="1524">
        <f>L235+1</f>
        <v>45155</v>
      </c>
      <c r="Q235" s="1524"/>
      <c r="R235" s="1524"/>
      <c r="T235" s="1524">
        <f>P235+1</f>
        <v>45156</v>
      </c>
      <c r="U235" s="1524"/>
      <c r="V235" s="1524"/>
      <c r="W235" s="22"/>
      <c r="X235" s="1524">
        <f>T235+1</f>
        <v>45157</v>
      </c>
      <c r="Y235" s="1524"/>
      <c r="Z235" s="1524"/>
      <c r="AB235" s="1524">
        <f>X235+1</f>
        <v>45158</v>
      </c>
      <c r="AC235" s="1524"/>
      <c r="AD235" s="1524"/>
      <c r="AE235" s="22"/>
      <c r="AF235" s="1517" t="s">
        <v>19</v>
      </c>
    </row>
    <row r="236" spans="1:32" ht="13.35" customHeight="1">
      <c r="A236" s="1518" t="s">
        <v>18</v>
      </c>
      <c r="B236" s="1518"/>
      <c r="C236" s="1552"/>
      <c r="D236" s="21" t="s">
        <v>23</v>
      </c>
      <c r="E236" s="21" t="s">
        <v>24</v>
      </c>
      <c r="F236" s="62" t="s">
        <v>25</v>
      </c>
      <c r="G236" s="23"/>
      <c r="H236" s="21" t="s">
        <v>23</v>
      </c>
      <c r="I236" s="21" t="s">
        <v>24</v>
      </c>
      <c r="J236" s="18" t="s">
        <v>25</v>
      </c>
      <c r="K236" s="23"/>
      <c r="L236" s="21" t="s">
        <v>23</v>
      </c>
      <c r="M236" s="21" t="s">
        <v>24</v>
      </c>
      <c r="N236" s="18" t="s">
        <v>25</v>
      </c>
      <c r="O236" s="23"/>
      <c r="P236" s="21" t="s">
        <v>23</v>
      </c>
      <c r="Q236" s="21" t="s">
        <v>24</v>
      </c>
      <c r="R236" s="18" t="s">
        <v>25</v>
      </c>
      <c r="S236" s="23"/>
      <c r="T236" s="21" t="s">
        <v>23</v>
      </c>
      <c r="U236" s="21" t="s">
        <v>24</v>
      </c>
      <c r="V236" s="18" t="s">
        <v>25</v>
      </c>
      <c r="W236" s="23"/>
      <c r="X236" s="21" t="s">
        <v>23</v>
      </c>
      <c r="Y236" s="21" t="s">
        <v>24</v>
      </c>
      <c r="Z236" s="18" t="s">
        <v>25</v>
      </c>
      <c r="AA236" s="23"/>
      <c r="AB236" s="21" t="s">
        <v>23</v>
      </c>
      <c r="AC236" s="21" t="s">
        <v>24</v>
      </c>
      <c r="AD236" s="18" t="s">
        <v>25</v>
      </c>
      <c r="AE236" s="23"/>
      <c r="AF236" s="1517"/>
    </row>
    <row r="237" spans="1:32" ht="14.25">
      <c r="A237" s="1518"/>
      <c r="B237" s="13" t="s">
        <v>623</v>
      </c>
      <c r="C237" s="13" t="s">
        <v>640</v>
      </c>
      <c r="D237" s="51">
        <v>0.375</v>
      </c>
      <c r="E237" s="51">
        <v>0.66666666666666663</v>
      </c>
      <c r="F237" s="85">
        <f>(E237-D237)*24</f>
        <v>6.9999999999999991</v>
      </c>
      <c r="G237" s="24"/>
      <c r="H237" s="51"/>
      <c r="I237" s="51"/>
      <c r="J237" s="49">
        <f>(I237-H237)*24</f>
        <v>0</v>
      </c>
      <c r="K237" s="24"/>
      <c r="L237" s="48"/>
      <c r="M237" s="48"/>
      <c r="N237" s="49">
        <f>(M237-L237)*24</f>
        <v>0</v>
      </c>
      <c r="O237" s="24"/>
      <c r="P237" s="48"/>
      <c r="Q237" s="48"/>
      <c r="R237" s="49">
        <f>(Q237-P237)*24</f>
        <v>0</v>
      </c>
      <c r="S237" s="24"/>
      <c r="T237" s="48"/>
      <c r="U237" s="48"/>
      <c r="V237" s="49">
        <f>(U237-T237)*24</f>
        <v>0</v>
      </c>
      <c r="W237" s="24"/>
      <c r="X237" s="48"/>
      <c r="Y237" s="48"/>
      <c r="Z237" s="49">
        <f>(Y237-X237)*24</f>
        <v>0</v>
      </c>
      <c r="AA237" s="24"/>
      <c r="AB237" s="48"/>
      <c r="AC237" s="48"/>
      <c r="AD237" s="49">
        <f>(AC237-AB237)*24</f>
        <v>0</v>
      </c>
      <c r="AE237" s="24"/>
      <c r="AF237" s="29">
        <f>J237+F237+N237+R237+V237+Z237+AD237</f>
        <v>6.9999999999999991</v>
      </c>
    </row>
    <row r="238" spans="1:32" ht="14.25">
      <c r="A238" s="13"/>
      <c r="B238" s="313" t="s">
        <v>572</v>
      </c>
      <c r="C238" s="13" t="s">
        <v>641</v>
      </c>
      <c r="D238" s="51"/>
      <c r="E238" s="51"/>
      <c r="F238" s="85">
        <f t="shared" ref="F238:F240" si="171">(E238-D238)*24</f>
        <v>0</v>
      </c>
      <c r="G238" s="24"/>
      <c r="H238" s="51"/>
      <c r="I238" s="51"/>
      <c r="J238" s="49">
        <f>(I238-H238)*24</f>
        <v>0</v>
      </c>
      <c r="K238" s="24"/>
      <c r="L238" s="51">
        <v>0.4375</v>
      </c>
      <c r="M238" s="51">
        <v>0.58333333333333337</v>
      </c>
      <c r="N238" s="49">
        <f t="shared" ref="N238:N240" si="172">(M238-L238)*24</f>
        <v>3.5000000000000009</v>
      </c>
      <c r="O238" s="24"/>
      <c r="P238" s="48"/>
      <c r="Q238" s="48"/>
      <c r="R238" s="49">
        <f t="shared" ref="R238:R240" si="173">(Q238-P238)*24</f>
        <v>0</v>
      </c>
      <c r="S238" s="24"/>
      <c r="T238" s="48"/>
      <c r="U238" s="48"/>
      <c r="V238" s="49">
        <f t="shared" ref="V238:V240" si="174">(U238-T238)*24</f>
        <v>0</v>
      </c>
      <c r="W238" s="24"/>
      <c r="X238" s="48"/>
      <c r="Y238" s="48"/>
      <c r="Z238" s="49">
        <f t="shared" ref="Z238:Z240" si="175">(Y238-X238)*24</f>
        <v>0</v>
      </c>
      <c r="AA238" s="24"/>
      <c r="AB238" s="48"/>
      <c r="AC238" s="48"/>
      <c r="AD238" s="49">
        <f t="shared" ref="AD238:AD240" si="176">(AC238-AB238)*24</f>
        <v>0</v>
      </c>
      <c r="AE238" s="24"/>
      <c r="AF238" s="29">
        <f t="shared" ref="AF238:AF240" si="177">J238+F238+N238+R238+V238+Z238+AD238</f>
        <v>3.5000000000000009</v>
      </c>
    </row>
    <row r="239" spans="1:32" ht="40.5">
      <c r="A239" s="13"/>
      <c r="B239" s="313" t="s">
        <v>572</v>
      </c>
      <c r="C239" s="13" t="s">
        <v>642</v>
      </c>
      <c r="D239" s="51"/>
      <c r="E239" s="48"/>
      <c r="F239" s="85">
        <f t="shared" si="171"/>
        <v>0</v>
      </c>
      <c r="G239" s="24"/>
      <c r="H239" s="48"/>
      <c r="I239" s="48"/>
      <c r="J239" s="49">
        <f t="shared" ref="J239:J240" si="178">(I239-H239)*24</f>
        <v>0</v>
      </c>
      <c r="K239" s="24"/>
      <c r="L239" s="48"/>
      <c r="M239" s="48"/>
      <c r="N239" s="49">
        <f t="shared" si="172"/>
        <v>0</v>
      </c>
      <c r="O239" s="24"/>
      <c r="P239" s="51">
        <v>0.35416666666666669</v>
      </c>
      <c r="Q239" s="51">
        <v>0.75</v>
      </c>
      <c r="R239" s="49">
        <f t="shared" si="173"/>
        <v>9.5</v>
      </c>
      <c r="S239" s="24"/>
      <c r="T239" s="48"/>
      <c r="U239" s="48"/>
      <c r="V239" s="49">
        <f t="shared" si="174"/>
        <v>0</v>
      </c>
      <c r="W239" s="24"/>
      <c r="X239" s="48"/>
      <c r="Y239" s="48"/>
      <c r="Z239" s="49">
        <f t="shared" si="175"/>
        <v>0</v>
      </c>
      <c r="AA239" s="24"/>
      <c r="AB239" s="48"/>
      <c r="AC239" s="48"/>
      <c r="AD239" s="49">
        <f t="shared" si="176"/>
        <v>0</v>
      </c>
      <c r="AE239" s="24"/>
      <c r="AF239" s="29">
        <f t="shared" si="177"/>
        <v>9.5</v>
      </c>
    </row>
    <row r="240" spans="1:32" ht="40.5">
      <c r="A240" s="13"/>
      <c r="B240" s="13" t="s">
        <v>637</v>
      </c>
      <c r="C240" s="13" t="s">
        <v>642</v>
      </c>
      <c r="D240" s="51"/>
      <c r="E240" s="51"/>
      <c r="F240" s="85">
        <f t="shared" si="171"/>
        <v>0</v>
      </c>
      <c r="G240" s="24"/>
      <c r="H240" s="51"/>
      <c r="I240" s="48"/>
      <c r="J240" s="49">
        <f t="shared" si="178"/>
        <v>0</v>
      </c>
      <c r="K240" s="24"/>
      <c r="L240" s="51"/>
      <c r="M240" s="48"/>
      <c r="N240" s="49">
        <f t="shared" si="172"/>
        <v>0</v>
      </c>
      <c r="O240" s="24"/>
      <c r="P240" s="51">
        <v>0.39583333333333331</v>
      </c>
      <c r="Q240" s="51">
        <v>0.75</v>
      </c>
      <c r="R240" s="49">
        <f t="shared" si="173"/>
        <v>8.5</v>
      </c>
      <c r="S240" s="24"/>
      <c r="T240" s="48"/>
      <c r="U240" s="48"/>
      <c r="V240" s="49">
        <f t="shared" si="174"/>
        <v>0</v>
      </c>
      <c r="W240" s="24"/>
      <c r="X240" s="48"/>
      <c r="Y240" s="48"/>
      <c r="Z240" s="49">
        <f t="shared" si="175"/>
        <v>0</v>
      </c>
      <c r="AA240" s="24"/>
      <c r="AB240" s="48"/>
      <c r="AC240" s="48"/>
      <c r="AD240" s="49">
        <f t="shared" si="176"/>
        <v>0</v>
      </c>
      <c r="AE240" s="24"/>
      <c r="AF240" s="29">
        <f t="shared" si="177"/>
        <v>8.5</v>
      </c>
    </row>
    <row r="241" spans="1:32">
      <c r="A241" s="13"/>
      <c r="B241" s="63" t="s">
        <v>61</v>
      </c>
      <c r="C241" s="63"/>
      <c r="D241" s="63"/>
      <c r="E241" s="63"/>
      <c r="F241" s="86">
        <f>SUM(F236:F240)</f>
        <v>6.9999999999999991</v>
      </c>
      <c r="G241" s="63"/>
      <c r="H241" s="63"/>
      <c r="I241" s="63"/>
      <c r="J241" s="86">
        <f>SUM(J236:J240)</f>
        <v>0</v>
      </c>
      <c r="K241" s="63"/>
      <c r="L241" s="63"/>
      <c r="M241" s="63"/>
      <c r="N241" s="86">
        <f>SUM(N236:N240)</f>
        <v>3.5000000000000009</v>
      </c>
      <c r="O241" s="63"/>
      <c r="P241" s="63"/>
      <c r="Q241" s="63"/>
      <c r="R241" s="86">
        <f>SUM(R236:R240)</f>
        <v>18</v>
      </c>
      <c r="S241" s="63"/>
      <c r="T241" s="63"/>
      <c r="U241" s="63"/>
      <c r="V241" s="86">
        <f>SUM(V236:V240)</f>
        <v>0</v>
      </c>
      <c r="W241" s="63"/>
      <c r="X241" s="63"/>
      <c r="Y241" s="63"/>
      <c r="Z241" s="86">
        <f>SUM(Z236:Z240)</f>
        <v>0</v>
      </c>
      <c r="AA241" s="63"/>
      <c r="AB241" s="63"/>
      <c r="AC241" s="63"/>
      <c r="AD241" s="82">
        <f>SUM(AD236:AD240)</f>
        <v>0</v>
      </c>
      <c r="AE241" s="46"/>
      <c r="AF241" s="30">
        <f>SUM(AF237:AF240)</f>
        <v>28.5</v>
      </c>
    </row>
    <row r="242" spans="1:32">
      <c r="A242" s="63" t="s">
        <v>61</v>
      </c>
      <c r="B242" s="31" t="s">
        <v>577</v>
      </c>
      <c r="C242" s="31"/>
      <c r="D242" s="91"/>
      <c r="E242" s="83"/>
      <c r="F242" s="87"/>
      <c r="G242" s="83"/>
      <c r="H242" s="83"/>
      <c r="I242" s="83"/>
      <c r="J242" s="87"/>
      <c r="K242" s="83"/>
      <c r="L242" s="83"/>
      <c r="M242" s="83"/>
      <c r="N242" s="87"/>
      <c r="O242" s="83"/>
      <c r="P242" s="83"/>
      <c r="Q242" s="83"/>
      <c r="R242" s="87"/>
      <c r="S242" s="83"/>
      <c r="T242" s="83"/>
      <c r="U242" s="83"/>
      <c r="V242" s="87"/>
      <c r="W242" s="83"/>
      <c r="X242" s="83"/>
      <c r="Y242" s="83"/>
      <c r="Z242" s="87"/>
      <c r="AA242" s="83"/>
      <c r="AB242" s="83"/>
      <c r="AC242" s="83"/>
      <c r="AD242" s="83"/>
      <c r="AE242" s="45"/>
      <c r="AF242" s="28"/>
    </row>
    <row r="243" spans="1:32">
      <c r="A243" s="31" t="s">
        <v>577</v>
      </c>
      <c r="B243" s="31" t="s">
        <v>578</v>
      </c>
      <c r="C243" s="31"/>
      <c r="D243" s="91"/>
      <c r="E243" s="83"/>
      <c r="F243" s="87"/>
      <c r="G243" s="83"/>
      <c r="H243" s="83"/>
      <c r="I243" s="83"/>
      <c r="J243" s="87"/>
      <c r="K243" s="83"/>
      <c r="L243" s="83"/>
      <c r="M243" s="83"/>
      <c r="N243" s="87"/>
      <c r="O243" s="83"/>
      <c r="P243" s="83"/>
      <c r="Q243" s="83"/>
      <c r="R243" s="87"/>
      <c r="S243" s="83"/>
      <c r="T243" s="83"/>
      <c r="U243" s="83"/>
      <c r="V243" s="87"/>
      <c r="W243" s="83"/>
      <c r="X243" s="83"/>
      <c r="Y243" s="83"/>
      <c r="Z243" s="87"/>
      <c r="AA243" s="83"/>
      <c r="AB243" s="83"/>
      <c r="AC243" s="83"/>
      <c r="AD243" s="83"/>
      <c r="AE243" s="45"/>
      <c r="AF243" s="28">
        <f>SUM(D243:AD243)</f>
        <v>0</v>
      </c>
    </row>
    <row r="244" spans="1:32" ht="26.25" thickBot="1">
      <c r="A244" s="31" t="s">
        <v>578</v>
      </c>
      <c r="B244" s="74" t="s">
        <v>579</v>
      </c>
      <c r="C244" s="74"/>
      <c r="D244" s="92"/>
      <c r="E244" s="92"/>
      <c r="F244" s="93"/>
      <c r="G244" s="92"/>
      <c r="H244" s="92"/>
      <c r="I244" s="92"/>
      <c r="J244" s="93"/>
      <c r="K244" s="92"/>
      <c r="L244" s="92"/>
      <c r="M244" s="92"/>
      <c r="N244" s="93"/>
      <c r="O244" s="92"/>
      <c r="P244" s="92"/>
      <c r="Q244" s="92"/>
      <c r="R244" s="93"/>
      <c r="S244" s="92"/>
      <c r="T244" s="92"/>
      <c r="U244" s="92"/>
      <c r="V244" s="93"/>
      <c r="W244" s="94"/>
      <c r="X244" s="94"/>
      <c r="Y244" s="94"/>
      <c r="Z244" s="93"/>
      <c r="AA244" s="94"/>
      <c r="AB244" s="94"/>
      <c r="AC244" s="94"/>
      <c r="AD244" s="94"/>
      <c r="AE244" s="94"/>
      <c r="AF244" s="80">
        <f>SUM(D244:AD244)</f>
        <v>0</v>
      </c>
    </row>
    <row r="245" spans="1:32" ht="15" thickTop="1" thickBot="1">
      <c r="A245" s="74" t="s">
        <v>579</v>
      </c>
      <c r="B245" s="71" t="s">
        <v>66</v>
      </c>
      <c r="C245" s="3"/>
      <c r="D245" s="3"/>
      <c r="E245" s="3"/>
      <c r="F245" s="88">
        <f>SUM(F242:F244)</f>
        <v>0</v>
      </c>
      <c r="G245" s="3"/>
      <c r="H245" s="3"/>
      <c r="I245" s="3"/>
      <c r="J245" s="88">
        <f>SUM(J242:J244)</f>
        <v>0</v>
      </c>
      <c r="K245" s="3"/>
      <c r="L245" s="3"/>
      <c r="M245" s="3"/>
      <c r="N245" s="88">
        <f>SUM(N242:N244)</f>
        <v>0</v>
      </c>
      <c r="P245" s="3"/>
      <c r="Q245" s="3"/>
      <c r="R245" s="88">
        <f>SUM(R242:R244)</f>
        <v>0</v>
      </c>
      <c r="T245" s="3"/>
      <c r="U245" s="3"/>
      <c r="V245" s="88">
        <f>SUM(V242:V244)</f>
        <v>0</v>
      </c>
      <c r="W245" s="3"/>
      <c r="X245" s="3"/>
      <c r="Y245" s="3"/>
      <c r="Z245" s="88">
        <f>SUM(Z242:Z244)</f>
        <v>0</v>
      </c>
      <c r="AB245" s="3"/>
      <c r="AC245" s="3"/>
      <c r="AD245" s="67">
        <f>SUM(AD242:AD244)</f>
        <v>0</v>
      </c>
      <c r="AF245" s="71">
        <f>SUM(F245:AD245)</f>
        <v>0</v>
      </c>
    </row>
    <row r="246" spans="1:32" ht="14.25" thickTop="1">
      <c r="A246" s="71" t="s">
        <v>66</v>
      </c>
      <c r="B246" s="1518" t="s">
        <v>18</v>
      </c>
      <c r="C246" s="1552" t="s">
        <v>571</v>
      </c>
      <c r="D246" s="1524">
        <v>45159</v>
      </c>
      <c r="E246" s="1524"/>
      <c r="F246" s="1524"/>
      <c r="G246" s="22"/>
      <c r="H246" s="1524">
        <f>D246+1</f>
        <v>45160</v>
      </c>
      <c r="I246" s="1524"/>
      <c r="J246" s="1524"/>
      <c r="K246" s="22"/>
      <c r="L246" s="1524">
        <f>H246+1</f>
        <v>45161</v>
      </c>
      <c r="M246" s="1524"/>
      <c r="N246" s="1524"/>
      <c r="P246" s="1524">
        <f>L246+1</f>
        <v>45162</v>
      </c>
      <c r="Q246" s="1524"/>
      <c r="R246" s="1524"/>
      <c r="T246" s="1524">
        <f>P246+1</f>
        <v>45163</v>
      </c>
      <c r="U246" s="1524"/>
      <c r="V246" s="1524"/>
      <c r="W246" s="22"/>
      <c r="X246" s="1524">
        <f>T246+1</f>
        <v>45164</v>
      </c>
      <c r="Y246" s="1524"/>
      <c r="Z246" s="1524"/>
      <c r="AB246" s="1524">
        <f>X246+1</f>
        <v>45165</v>
      </c>
      <c r="AC246" s="1524"/>
      <c r="AD246" s="1524"/>
      <c r="AE246" s="22"/>
      <c r="AF246" s="1517" t="s">
        <v>19</v>
      </c>
    </row>
    <row r="247" spans="1:32" ht="13.35" customHeight="1">
      <c r="B247" s="1518"/>
      <c r="C247" s="1552"/>
      <c r="D247" s="21" t="s">
        <v>23</v>
      </c>
      <c r="E247" s="21" t="s">
        <v>24</v>
      </c>
      <c r="F247" s="62" t="s">
        <v>25</v>
      </c>
      <c r="G247" s="23"/>
      <c r="H247" s="21" t="s">
        <v>23</v>
      </c>
      <c r="I247" s="21" t="s">
        <v>24</v>
      </c>
      <c r="J247" s="18" t="s">
        <v>25</v>
      </c>
      <c r="K247" s="23"/>
      <c r="L247" s="21" t="s">
        <v>23</v>
      </c>
      <c r="M247" s="21" t="s">
        <v>24</v>
      </c>
      <c r="N247" s="18" t="s">
        <v>25</v>
      </c>
      <c r="O247" s="23"/>
      <c r="P247" s="21" t="s">
        <v>23</v>
      </c>
      <c r="Q247" s="21" t="s">
        <v>24</v>
      </c>
      <c r="R247" s="18" t="s">
        <v>25</v>
      </c>
      <c r="S247" s="23"/>
      <c r="T247" s="21" t="s">
        <v>23</v>
      </c>
      <c r="U247" s="21" t="s">
        <v>24</v>
      </c>
      <c r="V247" s="18" t="s">
        <v>25</v>
      </c>
      <c r="W247" s="23"/>
      <c r="X247" s="21" t="s">
        <v>23</v>
      </c>
      <c r="Y247" s="21" t="s">
        <v>24</v>
      </c>
      <c r="Z247" s="18" t="s">
        <v>25</v>
      </c>
      <c r="AA247" s="23"/>
      <c r="AB247" s="21" t="s">
        <v>23</v>
      </c>
      <c r="AC247" s="21" t="s">
        <v>24</v>
      </c>
      <c r="AD247" s="18" t="s">
        <v>25</v>
      </c>
      <c r="AE247" s="23"/>
      <c r="AF247" s="1517"/>
    </row>
    <row r="248" spans="1:32" ht="27">
      <c r="B248" s="313" t="s">
        <v>572</v>
      </c>
      <c r="C248" s="13" t="s">
        <v>643</v>
      </c>
      <c r="D248" s="51">
        <v>0.35416666666666669</v>
      </c>
      <c r="E248" s="51">
        <v>0.6875</v>
      </c>
      <c r="F248" s="85">
        <f>(E248-D248)*24</f>
        <v>8</v>
      </c>
      <c r="G248" s="24"/>
      <c r="H248" s="51">
        <v>0.33333333333333331</v>
      </c>
      <c r="I248" s="51">
        <v>0.72916666666666663</v>
      </c>
      <c r="J248" s="49">
        <f>(I248-H248)*24</f>
        <v>9.5</v>
      </c>
      <c r="K248" s="24"/>
      <c r="L248" s="51">
        <v>0.35416666666666669</v>
      </c>
      <c r="M248" s="51">
        <v>0.70833333333333337</v>
      </c>
      <c r="N248" s="49">
        <f>(M248-L248)*24</f>
        <v>8.5</v>
      </c>
      <c r="O248" s="24"/>
      <c r="P248" s="51">
        <v>0.35416666666666669</v>
      </c>
      <c r="Q248" s="51">
        <v>0.72916666666666663</v>
      </c>
      <c r="R248" s="49">
        <f>(Q248-P248)*24</f>
        <v>8.9999999999999982</v>
      </c>
      <c r="S248" s="24"/>
      <c r="T248" s="48"/>
      <c r="U248" s="48"/>
      <c r="V248" s="49">
        <f>(U248-T248)*24</f>
        <v>0</v>
      </c>
      <c r="W248" s="24"/>
      <c r="X248" s="48"/>
      <c r="Y248" s="48"/>
      <c r="Z248" s="49">
        <f>(Y248-X248)*24</f>
        <v>0</v>
      </c>
      <c r="AA248" s="24"/>
      <c r="AB248" s="48"/>
      <c r="AC248" s="48"/>
      <c r="AD248" s="49">
        <f>(AC248-AB248)*24</f>
        <v>0</v>
      </c>
      <c r="AE248" s="24"/>
      <c r="AF248" s="29">
        <f>J248+F248+N248+R248+V248+Z248+AD248</f>
        <v>35</v>
      </c>
    </row>
    <row r="249" spans="1:32" ht="27">
      <c r="B249" s="13" t="s">
        <v>576</v>
      </c>
      <c r="C249" s="13" t="s">
        <v>643</v>
      </c>
      <c r="D249" s="51">
        <v>0.375</v>
      </c>
      <c r="E249" s="51">
        <v>0.6875</v>
      </c>
      <c r="F249" s="85">
        <f t="shared" ref="F249:F252" si="179">(E249-D249)*24</f>
        <v>7.5</v>
      </c>
      <c r="G249" s="24"/>
      <c r="H249" s="51">
        <v>0.33333333333333331</v>
      </c>
      <c r="I249" s="51">
        <v>0.72916666666666663</v>
      </c>
      <c r="J249" s="49">
        <f>(I249-H249)*24</f>
        <v>9.5</v>
      </c>
      <c r="K249" s="24"/>
      <c r="L249" s="51">
        <v>0.35416666666666669</v>
      </c>
      <c r="M249" s="51">
        <v>0.70833333333333337</v>
      </c>
      <c r="N249" s="49">
        <f t="shared" ref="N249:N252" si="180">(M249-L249)*24</f>
        <v>8.5</v>
      </c>
      <c r="O249" s="24"/>
      <c r="P249" s="48"/>
      <c r="Q249" s="48"/>
      <c r="R249" s="49">
        <f t="shared" ref="R249:R252" si="181">(Q249-P249)*24</f>
        <v>0</v>
      </c>
      <c r="S249" s="24"/>
      <c r="T249" s="48"/>
      <c r="U249" s="48"/>
      <c r="V249" s="49">
        <f t="shared" ref="V249:V252" si="182">(U249-T249)*24</f>
        <v>0</v>
      </c>
      <c r="W249" s="24"/>
      <c r="X249" s="48"/>
      <c r="Y249" s="48"/>
      <c r="Z249" s="49">
        <f t="shared" ref="Z249:Z252" si="183">(Y249-X249)*24</f>
        <v>0</v>
      </c>
      <c r="AA249" s="24"/>
      <c r="AB249" s="48"/>
      <c r="AC249" s="48"/>
      <c r="AD249" s="49">
        <f t="shared" ref="AD249:AD252" si="184">(AC249-AB249)*24</f>
        <v>0</v>
      </c>
      <c r="AE249" s="24"/>
      <c r="AF249" s="29">
        <f t="shared" ref="AF249:AF252" si="185">J249+F249+N249+R249+V249+Z249+AD249</f>
        <v>25.5</v>
      </c>
    </row>
    <row r="250" spans="1:32" ht="27">
      <c r="B250" s="13" t="s">
        <v>637</v>
      </c>
      <c r="C250" s="13" t="s">
        <v>643</v>
      </c>
      <c r="D250" s="51">
        <v>0.375</v>
      </c>
      <c r="E250" s="51">
        <v>0.6875</v>
      </c>
      <c r="F250" s="85">
        <f t="shared" si="179"/>
        <v>7.5</v>
      </c>
      <c r="G250" s="24"/>
      <c r="H250" s="51">
        <v>0.5</v>
      </c>
      <c r="I250" s="51">
        <v>0.72916666666666663</v>
      </c>
      <c r="J250" s="49">
        <f t="shared" ref="J250:J252" si="186">(I250-H250)*24</f>
        <v>5.4999999999999991</v>
      </c>
      <c r="K250" s="24"/>
      <c r="L250" s="51">
        <v>0.45833333333333331</v>
      </c>
      <c r="M250" s="51">
        <v>0.625</v>
      </c>
      <c r="N250" s="49">
        <f t="shared" si="180"/>
        <v>4</v>
      </c>
      <c r="O250" s="24"/>
      <c r="P250" s="51">
        <v>0.38541666666666669</v>
      </c>
      <c r="Q250" s="51">
        <v>0.72916666666666663</v>
      </c>
      <c r="R250" s="49">
        <f t="shared" si="181"/>
        <v>8.2499999999999982</v>
      </c>
      <c r="S250" s="24"/>
      <c r="T250" s="48"/>
      <c r="U250" s="48"/>
      <c r="V250" s="49">
        <f t="shared" si="182"/>
        <v>0</v>
      </c>
      <c r="W250" s="24"/>
      <c r="X250" s="48"/>
      <c r="Y250" s="48"/>
      <c r="Z250" s="49">
        <f t="shared" si="183"/>
        <v>0</v>
      </c>
      <c r="AA250" s="24"/>
      <c r="AB250" s="48"/>
      <c r="AC250" s="48"/>
      <c r="AD250" s="49">
        <f t="shared" si="184"/>
        <v>0</v>
      </c>
      <c r="AE250" s="24"/>
      <c r="AF250" s="29">
        <f t="shared" si="185"/>
        <v>25.25</v>
      </c>
    </row>
    <row r="251" spans="1:32" ht="27">
      <c r="B251" s="313" t="s">
        <v>54</v>
      </c>
      <c r="C251" s="13" t="s">
        <v>644</v>
      </c>
      <c r="D251" s="51"/>
      <c r="E251" s="51"/>
      <c r="F251" s="85">
        <f t="shared" si="179"/>
        <v>0</v>
      </c>
      <c r="G251" s="24"/>
      <c r="H251" s="51">
        <v>0.375</v>
      </c>
      <c r="I251" s="51">
        <v>0.72916666666666663</v>
      </c>
      <c r="J251" s="49">
        <f t="shared" si="186"/>
        <v>8.5</v>
      </c>
      <c r="K251" s="24"/>
      <c r="L251" s="51"/>
      <c r="M251" s="48"/>
      <c r="N251" s="49">
        <f t="shared" si="180"/>
        <v>0</v>
      </c>
      <c r="O251" s="24"/>
      <c r="P251" s="48"/>
      <c r="Q251" s="48"/>
      <c r="R251" s="49">
        <f t="shared" si="181"/>
        <v>0</v>
      </c>
      <c r="S251" s="24"/>
      <c r="T251" s="48"/>
      <c r="U251" s="48"/>
      <c r="V251" s="49">
        <f t="shared" si="182"/>
        <v>0</v>
      </c>
      <c r="W251" s="24"/>
      <c r="X251" s="48"/>
      <c r="Y251" s="48"/>
      <c r="Z251" s="49">
        <f t="shared" si="183"/>
        <v>0</v>
      </c>
      <c r="AA251" s="24"/>
      <c r="AB251" s="48"/>
      <c r="AC251" s="48"/>
      <c r="AD251" s="49">
        <f t="shared" si="184"/>
        <v>0</v>
      </c>
      <c r="AE251" s="24"/>
      <c r="AF251" s="29">
        <f t="shared" si="185"/>
        <v>8.5</v>
      </c>
    </row>
    <row r="252" spans="1:32" ht="40.5">
      <c r="B252" s="313" t="s">
        <v>54</v>
      </c>
      <c r="C252" s="13" t="s">
        <v>642</v>
      </c>
      <c r="D252" s="48"/>
      <c r="E252" s="48"/>
      <c r="F252" s="85">
        <f t="shared" si="179"/>
        <v>0</v>
      </c>
      <c r="G252" s="24"/>
      <c r="H252" s="48"/>
      <c r="I252" s="48"/>
      <c r="J252" s="49">
        <f t="shared" si="186"/>
        <v>0</v>
      </c>
      <c r="K252" s="24"/>
      <c r="L252" s="51"/>
      <c r="M252" s="48"/>
      <c r="N252" s="49">
        <f t="shared" si="180"/>
        <v>0</v>
      </c>
      <c r="O252" s="24"/>
      <c r="P252" s="51">
        <v>0.38541666666666669</v>
      </c>
      <c r="Q252" s="51">
        <v>0.70833333333333337</v>
      </c>
      <c r="R252" s="49">
        <f t="shared" si="181"/>
        <v>7.75</v>
      </c>
      <c r="S252" s="24"/>
      <c r="T252" s="48"/>
      <c r="U252" s="48"/>
      <c r="V252" s="49">
        <f t="shared" si="182"/>
        <v>0</v>
      </c>
      <c r="W252" s="24"/>
      <c r="X252" s="48"/>
      <c r="Y252" s="48"/>
      <c r="Z252" s="49">
        <f t="shared" si="183"/>
        <v>0</v>
      </c>
      <c r="AA252" s="24"/>
      <c r="AB252" s="48"/>
      <c r="AC252" s="48"/>
      <c r="AD252" s="49">
        <f t="shared" si="184"/>
        <v>0</v>
      </c>
      <c r="AE252" s="24"/>
      <c r="AF252" s="29">
        <f t="shared" si="185"/>
        <v>7.75</v>
      </c>
    </row>
    <row r="253" spans="1:32" ht="27">
      <c r="B253" s="313" t="s">
        <v>54</v>
      </c>
      <c r="C253" s="13" t="s">
        <v>645</v>
      </c>
      <c r="D253" s="48"/>
      <c r="E253" s="48"/>
      <c r="F253" s="85">
        <f t="shared" ref="F253" si="187">(E253-D253)*24</f>
        <v>0</v>
      </c>
      <c r="G253" s="24"/>
      <c r="H253" s="48"/>
      <c r="I253" s="48"/>
      <c r="J253" s="49">
        <f t="shared" ref="J253" si="188">(I253-H253)*24</f>
        <v>0</v>
      </c>
      <c r="K253" s="24"/>
      <c r="L253" s="51">
        <v>0.375</v>
      </c>
      <c r="M253" s="48">
        <v>0.45833333333333331</v>
      </c>
      <c r="N253" s="49">
        <f t="shared" ref="N253" si="189">(M253-L253)*24</f>
        <v>1.9999999999999996</v>
      </c>
      <c r="O253" s="24"/>
      <c r="P253" s="51"/>
      <c r="Q253" s="51"/>
      <c r="R253" s="49">
        <f t="shared" ref="R253" si="190">(Q253-P253)*24</f>
        <v>0</v>
      </c>
      <c r="S253" s="24"/>
      <c r="T253" s="48"/>
      <c r="U253" s="48"/>
      <c r="V253" s="49">
        <f t="shared" ref="V253" si="191">(U253-T253)*24</f>
        <v>0</v>
      </c>
      <c r="W253" s="24"/>
      <c r="X253" s="48"/>
      <c r="Y253" s="48"/>
      <c r="Z253" s="49">
        <f t="shared" ref="Z253" si="192">(Y253-X253)*24</f>
        <v>0</v>
      </c>
      <c r="AA253" s="24"/>
      <c r="AB253" s="48"/>
      <c r="AC253" s="48"/>
      <c r="AD253" s="49">
        <f t="shared" ref="AD253" si="193">(AC253-AB253)*24</f>
        <v>0</v>
      </c>
      <c r="AE253" s="24"/>
      <c r="AF253" s="29">
        <f t="shared" ref="AF253" si="194">J253+F253+N253+R253+V253+Z253+AD253</f>
        <v>1.9999999999999996</v>
      </c>
    </row>
    <row r="254" spans="1:32">
      <c r="B254" s="63" t="s">
        <v>61</v>
      </c>
      <c r="C254" s="63"/>
      <c r="D254" s="63"/>
      <c r="E254" s="63"/>
      <c r="F254" s="86">
        <f>SUM(F247:F252)</f>
        <v>23</v>
      </c>
      <c r="G254" s="63"/>
      <c r="H254" s="63"/>
      <c r="I254" s="63"/>
      <c r="J254" s="86">
        <f>SUM(J247:J252)</f>
        <v>33</v>
      </c>
      <c r="K254" s="63"/>
      <c r="L254" s="63"/>
      <c r="M254" s="63"/>
      <c r="N254" s="86">
        <f>SUM(N247:N252)</f>
        <v>21</v>
      </c>
      <c r="O254" s="63"/>
      <c r="P254" s="63"/>
      <c r="Q254" s="63"/>
      <c r="R254" s="86">
        <f>SUM(R247:R252)</f>
        <v>24.999999999999996</v>
      </c>
      <c r="S254" s="63"/>
      <c r="T254" s="63"/>
      <c r="U254" s="63"/>
      <c r="V254" s="86">
        <f>SUM(V247:V252)</f>
        <v>0</v>
      </c>
      <c r="W254" s="63"/>
      <c r="X254" s="63"/>
      <c r="Y254" s="63"/>
      <c r="Z254" s="86">
        <f>SUM(Z247:Z252)</f>
        <v>0</v>
      </c>
      <c r="AA254" s="63"/>
      <c r="AB254" s="63"/>
      <c r="AC254" s="63"/>
      <c r="AD254" s="82">
        <f>SUM(AD247:AD252)</f>
        <v>0</v>
      </c>
      <c r="AE254" s="46"/>
      <c r="AF254" s="30">
        <f>SUM(AF248:AF252)</f>
        <v>102</v>
      </c>
    </row>
    <row r="255" spans="1:32">
      <c r="B255" s="31" t="s">
        <v>577</v>
      </c>
      <c r="C255" s="31"/>
      <c r="D255" s="91"/>
      <c r="E255" s="83"/>
      <c r="F255" s="87"/>
      <c r="G255" s="83"/>
      <c r="H255" s="83"/>
      <c r="I255" s="83"/>
      <c r="J255" s="87"/>
      <c r="K255" s="83"/>
      <c r="L255" s="83"/>
      <c r="M255" s="83"/>
      <c r="N255" s="87"/>
      <c r="O255" s="83"/>
      <c r="P255" s="83"/>
      <c r="Q255" s="83"/>
      <c r="R255" s="87"/>
      <c r="S255" s="83"/>
      <c r="T255" s="83"/>
      <c r="U255" s="83"/>
      <c r="V255" s="87"/>
      <c r="W255" s="83"/>
      <c r="X255" s="83"/>
      <c r="Y255" s="83"/>
      <c r="Z255" s="87"/>
      <c r="AA255" s="83"/>
      <c r="AB255" s="83"/>
      <c r="AC255" s="83"/>
      <c r="AD255" s="83"/>
      <c r="AE255" s="45"/>
      <c r="AF255" s="28"/>
    </row>
    <row r="256" spans="1:32">
      <c r="B256" s="31" t="s">
        <v>578</v>
      </c>
      <c r="C256" s="31"/>
      <c r="D256" s="91"/>
      <c r="E256" s="83"/>
      <c r="F256" s="87"/>
      <c r="G256" s="83"/>
      <c r="H256" s="83"/>
      <c r="I256" s="83"/>
      <c r="J256" s="87"/>
      <c r="K256" s="83"/>
      <c r="L256" s="83"/>
      <c r="M256" s="83"/>
      <c r="N256" s="87"/>
      <c r="O256" s="83"/>
      <c r="P256" s="83"/>
      <c r="Q256" s="83"/>
      <c r="R256" s="87"/>
      <c r="S256" s="83"/>
      <c r="T256" s="83"/>
      <c r="U256" s="83"/>
      <c r="V256" s="87"/>
      <c r="W256" s="83"/>
      <c r="X256" s="83"/>
      <c r="Y256" s="83"/>
      <c r="Z256" s="87"/>
      <c r="AA256" s="83"/>
      <c r="AB256" s="83"/>
      <c r="AC256" s="83"/>
      <c r="AD256" s="83"/>
      <c r="AE256" s="45"/>
      <c r="AF256" s="28">
        <f>SUM(D256:AD256)</f>
        <v>0</v>
      </c>
    </row>
    <row r="257" spans="2:32" ht="14.25" thickBot="1">
      <c r="B257" s="74" t="s">
        <v>579</v>
      </c>
      <c r="C257" s="74"/>
      <c r="D257" s="92"/>
      <c r="E257" s="92"/>
      <c r="F257" s="93"/>
      <c r="G257" s="92"/>
      <c r="H257" s="92"/>
      <c r="I257" s="92"/>
      <c r="J257" s="93"/>
      <c r="K257" s="92"/>
      <c r="L257" s="92"/>
      <c r="M257" s="92"/>
      <c r="N257" s="93"/>
      <c r="O257" s="92"/>
      <c r="P257" s="92"/>
      <c r="Q257" s="92"/>
      <c r="R257" s="93"/>
      <c r="S257" s="92"/>
      <c r="T257" s="92"/>
      <c r="U257" s="92"/>
      <c r="V257" s="93"/>
      <c r="W257" s="94"/>
      <c r="X257" s="94"/>
      <c r="Y257" s="94"/>
      <c r="Z257" s="93"/>
      <c r="AA257" s="94"/>
      <c r="AB257" s="94"/>
      <c r="AC257" s="94"/>
      <c r="AD257" s="94"/>
      <c r="AE257" s="94"/>
      <c r="AF257" s="80">
        <f>SUM(D257:AD257)</f>
        <v>0</v>
      </c>
    </row>
    <row r="258" spans="2:32" ht="14.25" thickTop="1">
      <c r="B258" s="71" t="s">
        <v>66</v>
      </c>
      <c r="C258" s="3"/>
      <c r="D258" s="3"/>
      <c r="E258" s="3"/>
      <c r="F258" s="88">
        <f>SUM(F255:F257)</f>
        <v>0</v>
      </c>
      <c r="G258" s="3"/>
      <c r="H258" s="3"/>
      <c r="I258" s="3"/>
      <c r="J258" s="88">
        <f>SUM(J255:J257)</f>
        <v>0</v>
      </c>
      <c r="K258" s="3"/>
      <c r="L258" s="3"/>
      <c r="M258" s="3"/>
      <c r="N258" s="88">
        <f>SUM(N255:N257)</f>
        <v>0</v>
      </c>
      <c r="P258" s="3"/>
      <c r="Q258" s="3"/>
      <c r="R258" s="88">
        <f>SUM(R255:R257)</f>
        <v>0</v>
      </c>
      <c r="T258" s="3"/>
      <c r="U258" s="3"/>
      <c r="V258" s="88">
        <f>SUM(V255:V257)</f>
        <v>0</v>
      </c>
      <c r="W258" s="3"/>
      <c r="X258" s="3"/>
      <c r="Y258" s="3"/>
      <c r="Z258" s="88">
        <f>SUM(Z255:Z257)</f>
        <v>0</v>
      </c>
      <c r="AB258" s="3"/>
      <c r="AC258" s="3"/>
      <c r="AD258" s="67">
        <f>SUM(AD255:AD257)</f>
        <v>0</v>
      </c>
      <c r="AF258" s="71">
        <f>SUM(F258:AD258)</f>
        <v>0</v>
      </c>
    </row>
    <row r="259" spans="2:32">
      <c r="B259" s="1518" t="s">
        <v>18</v>
      </c>
      <c r="C259" s="1552" t="s">
        <v>571</v>
      </c>
      <c r="D259" s="1524">
        <v>45166</v>
      </c>
      <c r="E259" s="1524"/>
      <c r="F259" s="1524"/>
      <c r="G259" s="22"/>
      <c r="H259" s="1524">
        <f>D259+1</f>
        <v>45167</v>
      </c>
      <c r="I259" s="1524"/>
      <c r="J259" s="1524"/>
      <c r="K259" s="22"/>
      <c r="L259" s="1524">
        <f>H259+1</f>
        <v>45168</v>
      </c>
      <c r="M259" s="1524"/>
      <c r="N259" s="1524"/>
      <c r="P259" s="1524">
        <f>L259+1</f>
        <v>45169</v>
      </c>
      <c r="Q259" s="1524"/>
      <c r="R259" s="1524"/>
      <c r="T259" s="1524">
        <f>P259+1</f>
        <v>45170</v>
      </c>
      <c r="U259" s="1524"/>
      <c r="V259" s="1524"/>
      <c r="W259" s="22"/>
      <c r="X259" s="1524">
        <f>T259+1</f>
        <v>45171</v>
      </c>
      <c r="Y259" s="1524"/>
      <c r="Z259" s="1524"/>
      <c r="AB259" s="1524">
        <f>X259+1</f>
        <v>45172</v>
      </c>
      <c r="AC259" s="1524"/>
      <c r="AD259" s="1524"/>
      <c r="AE259" s="22"/>
      <c r="AF259" s="1517" t="s">
        <v>19</v>
      </c>
    </row>
    <row r="260" spans="2:32">
      <c r="B260" s="1518"/>
      <c r="C260" s="1552"/>
      <c r="D260" s="21" t="s">
        <v>23</v>
      </c>
      <c r="E260" s="21" t="s">
        <v>24</v>
      </c>
      <c r="F260" s="62" t="s">
        <v>25</v>
      </c>
      <c r="G260" s="23"/>
      <c r="H260" s="21" t="s">
        <v>23</v>
      </c>
      <c r="I260" s="21" t="s">
        <v>24</v>
      </c>
      <c r="J260" s="18" t="s">
        <v>25</v>
      </c>
      <c r="K260" s="23"/>
      <c r="L260" s="21" t="s">
        <v>23</v>
      </c>
      <c r="M260" s="21" t="s">
        <v>24</v>
      </c>
      <c r="N260" s="18" t="s">
        <v>25</v>
      </c>
      <c r="O260" s="23"/>
      <c r="P260" s="21" t="s">
        <v>23</v>
      </c>
      <c r="Q260" s="21" t="s">
        <v>24</v>
      </c>
      <c r="R260" s="18" t="s">
        <v>25</v>
      </c>
      <c r="S260" s="23"/>
      <c r="T260" s="21" t="s">
        <v>23</v>
      </c>
      <c r="U260" s="21" t="s">
        <v>24</v>
      </c>
      <c r="V260" s="18" t="s">
        <v>25</v>
      </c>
      <c r="W260" s="23"/>
      <c r="X260" s="21" t="s">
        <v>23</v>
      </c>
      <c r="Y260" s="21" t="s">
        <v>24</v>
      </c>
      <c r="Z260" s="18" t="s">
        <v>25</v>
      </c>
      <c r="AA260" s="23"/>
      <c r="AB260" s="21" t="s">
        <v>23</v>
      </c>
      <c r="AC260" s="21" t="s">
        <v>24</v>
      </c>
      <c r="AD260" s="18" t="s">
        <v>25</v>
      </c>
      <c r="AE260" s="23"/>
      <c r="AF260" s="1517"/>
    </row>
    <row r="261" spans="2:32" ht="27">
      <c r="B261" s="313" t="s">
        <v>572</v>
      </c>
      <c r="C261" s="339" t="s">
        <v>646</v>
      </c>
      <c r="D261" s="51">
        <v>0.42708333333333331</v>
      </c>
      <c r="E261" s="51">
        <v>0.70833333333333337</v>
      </c>
      <c r="F261" s="85">
        <f>(E261-D261)*24</f>
        <v>6.7500000000000018</v>
      </c>
      <c r="G261" s="24"/>
      <c r="H261" s="51"/>
      <c r="I261" s="51"/>
      <c r="J261" s="49">
        <f>(I261-H261)*24</f>
        <v>0</v>
      </c>
      <c r="K261" s="24"/>
      <c r="L261" s="51"/>
      <c r="M261" s="51"/>
      <c r="N261" s="49">
        <f>(M261-L261)*24</f>
        <v>0</v>
      </c>
      <c r="O261" s="24"/>
      <c r="P261" s="51"/>
      <c r="Q261" s="48"/>
      <c r="R261" s="49">
        <f>(Q261-P261)*24</f>
        <v>0</v>
      </c>
      <c r="S261" s="24"/>
      <c r="T261" s="48"/>
      <c r="U261" s="48"/>
      <c r="V261" s="49">
        <f>(U261-T261)*24</f>
        <v>0</v>
      </c>
      <c r="W261" s="24"/>
      <c r="X261" s="48"/>
      <c r="Y261" s="48"/>
      <c r="Z261" s="49">
        <f>(Y261-X261)*24</f>
        <v>0</v>
      </c>
      <c r="AA261" s="24"/>
      <c r="AB261" s="48"/>
      <c r="AC261" s="48"/>
      <c r="AD261" s="49">
        <f>(AC261-AB261)*24</f>
        <v>0</v>
      </c>
      <c r="AE261" s="24"/>
      <c r="AF261" s="29">
        <f>J261+F261+N261+R261+V261+Z261+AD261</f>
        <v>6.7500000000000018</v>
      </c>
    </row>
    <row r="262" spans="2:32" ht="27">
      <c r="B262" s="13" t="s">
        <v>637</v>
      </c>
      <c r="C262" s="339" t="s">
        <v>647</v>
      </c>
      <c r="D262" s="51">
        <v>0.38194444444444442</v>
      </c>
      <c r="E262" s="51">
        <v>0.70833333333333337</v>
      </c>
      <c r="F262" s="85">
        <f>(E262-D262)*24</f>
        <v>7.8333333333333348</v>
      </c>
      <c r="G262" s="24"/>
      <c r="H262" s="51">
        <v>0.375</v>
      </c>
      <c r="I262" s="51">
        <v>0.44791666666666669</v>
      </c>
      <c r="J262" s="49">
        <f>(I262-H262)*24</f>
        <v>1.7500000000000004</v>
      </c>
      <c r="K262" s="24"/>
      <c r="L262" s="51"/>
      <c r="M262" s="51"/>
      <c r="N262" s="49">
        <f t="shared" ref="N262:N268" si="195">(M262-L262)*24</f>
        <v>0</v>
      </c>
      <c r="O262" s="24"/>
      <c r="P262" s="48"/>
      <c r="Q262" s="48"/>
      <c r="R262" s="49">
        <f t="shared" ref="R262:R268" si="196">(Q262-P262)*24</f>
        <v>0</v>
      </c>
      <c r="S262" s="24"/>
      <c r="T262" s="48"/>
      <c r="U262" s="48"/>
      <c r="V262" s="49">
        <f t="shared" ref="V262:V268" si="197">(U262-T262)*24</f>
        <v>0</v>
      </c>
      <c r="W262" s="24"/>
      <c r="X262" s="48"/>
      <c r="Y262" s="48"/>
      <c r="Z262" s="49">
        <f t="shared" ref="Z262:Z268" si="198">(Y262-X262)*24</f>
        <v>0</v>
      </c>
      <c r="AA262" s="24"/>
      <c r="AB262" s="48"/>
      <c r="AC262" s="48"/>
      <c r="AD262" s="49">
        <f t="shared" ref="AD262:AD268" si="199">(AC262-AB262)*24</f>
        <v>0</v>
      </c>
      <c r="AE262" s="24"/>
      <c r="AF262" s="29">
        <f t="shared" ref="AF262:AF267" si="200">J262+F262+N262+R262+V262+Z262+AD262</f>
        <v>9.5833333333333357</v>
      </c>
    </row>
    <row r="263" spans="2:32" ht="27">
      <c r="B263" s="313" t="s">
        <v>54</v>
      </c>
      <c r="C263" s="339" t="s">
        <v>648</v>
      </c>
      <c r="D263" s="51">
        <v>0.38541666666666669</v>
      </c>
      <c r="E263" s="51">
        <v>0.70833333333333337</v>
      </c>
      <c r="F263" s="85">
        <f t="shared" ref="F263:F268" si="201">(E263-D263)*24</f>
        <v>7.75</v>
      </c>
      <c r="G263" s="24"/>
      <c r="H263" s="51"/>
      <c r="I263" s="51"/>
      <c r="J263" s="49">
        <f t="shared" ref="J263:J268" si="202">(I263-H263)*24</f>
        <v>0</v>
      </c>
      <c r="K263" s="24"/>
      <c r="L263" s="51"/>
      <c r="M263" s="51"/>
      <c r="N263" s="49">
        <f t="shared" si="195"/>
        <v>0</v>
      </c>
      <c r="O263" s="24"/>
      <c r="P263" s="51"/>
      <c r="Q263" s="48"/>
      <c r="R263" s="49">
        <f t="shared" si="196"/>
        <v>0</v>
      </c>
      <c r="S263" s="24"/>
      <c r="T263" s="48"/>
      <c r="U263" s="48"/>
      <c r="V263" s="49">
        <f t="shared" si="197"/>
        <v>0</v>
      </c>
      <c r="W263" s="24"/>
      <c r="X263" s="48"/>
      <c r="Y263" s="48"/>
      <c r="Z263" s="49">
        <f t="shared" si="198"/>
        <v>0</v>
      </c>
      <c r="AA263" s="24"/>
      <c r="AB263" s="48"/>
      <c r="AC263" s="48"/>
      <c r="AD263" s="49">
        <f t="shared" si="199"/>
        <v>0</v>
      </c>
      <c r="AE263" s="24"/>
      <c r="AF263" s="29">
        <f t="shared" si="200"/>
        <v>7.75</v>
      </c>
    </row>
    <row r="264" spans="2:32" ht="27">
      <c r="B264" s="313" t="s">
        <v>54</v>
      </c>
      <c r="C264" s="339" t="s">
        <v>649</v>
      </c>
      <c r="D264" s="51"/>
      <c r="E264" s="51"/>
      <c r="F264" s="85">
        <f t="shared" si="201"/>
        <v>0</v>
      </c>
      <c r="G264" s="24"/>
      <c r="H264" s="51"/>
      <c r="I264" s="51"/>
      <c r="J264" s="49">
        <f t="shared" si="202"/>
        <v>0</v>
      </c>
      <c r="K264" s="24"/>
      <c r="L264" s="51"/>
      <c r="M264" s="48"/>
      <c r="N264" s="49">
        <f t="shared" si="195"/>
        <v>0</v>
      </c>
      <c r="O264" s="24"/>
      <c r="P264" s="51">
        <v>0.375</v>
      </c>
      <c r="Q264" s="51">
        <v>0.70833333333333337</v>
      </c>
      <c r="R264" s="49">
        <f t="shared" si="196"/>
        <v>8</v>
      </c>
      <c r="S264" s="24"/>
      <c r="T264" s="51">
        <v>0.375</v>
      </c>
      <c r="U264" s="51">
        <v>0.70833333333333337</v>
      </c>
      <c r="V264" s="49">
        <f t="shared" si="197"/>
        <v>8</v>
      </c>
      <c r="W264" s="24"/>
      <c r="X264" s="48"/>
      <c r="Y264" s="48"/>
      <c r="Z264" s="49">
        <f t="shared" si="198"/>
        <v>0</v>
      </c>
      <c r="AA264" s="24"/>
      <c r="AB264" s="48"/>
      <c r="AC264" s="48"/>
      <c r="AD264" s="49">
        <f t="shared" si="199"/>
        <v>0</v>
      </c>
      <c r="AE264" s="24"/>
      <c r="AF264" s="29">
        <f t="shared" si="200"/>
        <v>16</v>
      </c>
    </row>
    <row r="265" spans="2:32" ht="27">
      <c r="B265" s="13" t="s">
        <v>637</v>
      </c>
      <c r="C265" s="339" t="s">
        <v>649</v>
      </c>
      <c r="D265" s="48"/>
      <c r="E265" s="48"/>
      <c r="F265" s="85">
        <f t="shared" si="201"/>
        <v>0</v>
      </c>
      <c r="G265" s="24"/>
      <c r="H265" s="48"/>
      <c r="I265" s="48"/>
      <c r="J265" s="49">
        <f t="shared" si="202"/>
        <v>0</v>
      </c>
      <c r="K265" s="24"/>
      <c r="L265" s="51"/>
      <c r="M265" s="48"/>
      <c r="N265" s="49">
        <f t="shared" si="195"/>
        <v>0</v>
      </c>
      <c r="O265" s="24"/>
      <c r="P265" s="51">
        <v>0.58333333333333337</v>
      </c>
      <c r="Q265" s="51">
        <v>0.70833333333333337</v>
      </c>
      <c r="R265" s="49">
        <f t="shared" si="196"/>
        <v>3</v>
      </c>
      <c r="S265" s="24"/>
      <c r="T265" s="51">
        <v>0.41666666666666669</v>
      </c>
      <c r="U265" s="51">
        <v>0.70833333333333337</v>
      </c>
      <c r="V265" s="49">
        <f t="shared" si="197"/>
        <v>7</v>
      </c>
      <c r="W265" s="24"/>
      <c r="X265" s="48"/>
      <c r="Y265" s="48"/>
      <c r="Z265" s="49">
        <f t="shared" si="198"/>
        <v>0</v>
      </c>
      <c r="AA265" s="24"/>
      <c r="AB265" s="48"/>
      <c r="AC265" s="48"/>
      <c r="AD265" s="49">
        <f t="shared" si="199"/>
        <v>0</v>
      </c>
      <c r="AE265" s="24"/>
      <c r="AF265" s="29">
        <f t="shared" si="200"/>
        <v>10</v>
      </c>
    </row>
    <row r="266" spans="2:32" ht="14.25">
      <c r="C266" s="340"/>
      <c r="D266" s="48"/>
      <c r="E266" s="48"/>
      <c r="F266" s="85">
        <f t="shared" si="201"/>
        <v>0</v>
      </c>
      <c r="G266" s="24"/>
      <c r="H266" s="48"/>
      <c r="I266" s="48"/>
      <c r="J266" s="49">
        <f t="shared" si="202"/>
        <v>0</v>
      </c>
      <c r="K266" s="24"/>
      <c r="L266" s="51"/>
      <c r="M266" s="48"/>
      <c r="N266" s="49">
        <f t="shared" si="195"/>
        <v>0</v>
      </c>
      <c r="O266" s="24"/>
      <c r="P266" s="48"/>
      <c r="Q266" s="48"/>
      <c r="R266" s="49">
        <f t="shared" si="196"/>
        <v>0</v>
      </c>
      <c r="S266" s="24"/>
      <c r="T266" s="48"/>
      <c r="U266" s="48"/>
      <c r="V266" s="49">
        <f t="shared" si="197"/>
        <v>0</v>
      </c>
      <c r="W266" s="24"/>
      <c r="X266" s="48"/>
      <c r="Y266" s="48"/>
      <c r="Z266" s="49">
        <f t="shared" si="198"/>
        <v>0</v>
      </c>
      <c r="AA266" s="24"/>
      <c r="AB266" s="48"/>
      <c r="AC266" s="48"/>
      <c r="AD266" s="49">
        <f t="shared" si="199"/>
        <v>0</v>
      </c>
      <c r="AE266" s="24"/>
      <c r="AF266" s="29">
        <f t="shared" si="200"/>
        <v>0</v>
      </c>
    </row>
    <row r="267" spans="2:32" ht="14.25">
      <c r="C267" s="340"/>
      <c r="D267" s="48"/>
      <c r="E267" s="48"/>
      <c r="F267" s="85">
        <f t="shared" si="201"/>
        <v>0</v>
      </c>
      <c r="G267" s="24"/>
      <c r="H267" s="48"/>
      <c r="I267" s="48"/>
      <c r="J267" s="49">
        <f t="shared" si="202"/>
        <v>0</v>
      </c>
      <c r="K267" s="24"/>
      <c r="L267" s="48"/>
      <c r="M267" s="48"/>
      <c r="N267" s="49">
        <f t="shared" si="195"/>
        <v>0</v>
      </c>
      <c r="O267" s="24"/>
      <c r="P267" s="48"/>
      <c r="Q267" s="48"/>
      <c r="R267" s="49">
        <f t="shared" si="196"/>
        <v>0</v>
      </c>
      <c r="S267" s="24"/>
      <c r="T267" s="48"/>
      <c r="U267" s="48"/>
      <c r="V267" s="49">
        <f t="shared" si="197"/>
        <v>0</v>
      </c>
      <c r="W267" s="24"/>
      <c r="X267" s="48"/>
      <c r="Y267" s="48"/>
      <c r="Z267" s="49">
        <f t="shared" si="198"/>
        <v>0</v>
      </c>
      <c r="AA267" s="24"/>
      <c r="AB267" s="48"/>
      <c r="AC267" s="48"/>
      <c r="AD267" s="49">
        <f t="shared" si="199"/>
        <v>0</v>
      </c>
      <c r="AE267" s="24"/>
      <c r="AF267" s="29">
        <f t="shared" si="200"/>
        <v>0</v>
      </c>
    </row>
    <row r="268" spans="2:32" ht="14.25">
      <c r="B268" s="63" t="s">
        <v>61</v>
      </c>
      <c r="C268" s="63"/>
      <c r="D268" s="356"/>
      <c r="E268" s="356"/>
      <c r="F268" s="357">
        <f t="shared" si="201"/>
        <v>0</v>
      </c>
      <c r="G268" s="291"/>
      <c r="H268" s="356"/>
      <c r="I268" s="356"/>
      <c r="J268" s="358">
        <f t="shared" si="202"/>
        <v>0</v>
      </c>
      <c r="K268" s="291"/>
      <c r="L268" s="356"/>
      <c r="M268" s="356"/>
      <c r="N268" s="358">
        <f t="shared" si="195"/>
        <v>0</v>
      </c>
      <c r="O268" s="291"/>
      <c r="P268" s="356"/>
      <c r="Q268" s="356"/>
      <c r="R268" s="358">
        <f t="shared" si="196"/>
        <v>0</v>
      </c>
      <c r="S268" s="291"/>
      <c r="T268" s="356"/>
      <c r="U268" s="356"/>
      <c r="V268" s="358">
        <f t="shared" si="197"/>
        <v>0</v>
      </c>
      <c r="W268" s="291"/>
      <c r="X268" s="356"/>
      <c r="Y268" s="356"/>
      <c r="Z268" s="358">
        <f t="shared" si="198"/>
        <v>0</v>
      </c>
      <c r="AA268" s="291"/>
      <c r="AB268" s="356"/>
      <c r="AC268" s="356"/>
      <c r="AD268" s="358">
        <f t="shared" si="199"/>
        <v>0</v>
      </c>
      <c r="AE268" s="24"/>
      <c r="AF268" s="30">
        <f>SUM(AF260:AF267)</f>
        <v>50.083333333333336</v>
      </c>
    </row>
    <row r="269" spans="2:32">
      <c r="B269" s="31" t="s">
        <v>577</v>
      </c>
      <c r="C269" s="31"/>
      <c r="D269" s="91"/>
      <c r="E269" s="83"/>
      <c r="F269" s="87"/>
      <c r="G269" s="83"/>
      <c r="H269" s="83"/>
      <c r="I269" s="83"/>
      <c r="J269" s="87"/>
      <c r="K269" s="83"/>
      <c r="L269" s="83"/>
      <c r="M269" s="83"/>
      <c r="N269" s="87"/>
      <c r="O269" s="83"/>
      <c r="P269" s="83"/>
      <c r="Q269" s="83"/>
      <c r="R269" s="87"/>
      <c r="S269" s="83"/>
      <c r="T269" s="83"/>
      <c r="U269" s="83"/>
      <c r="V269" s="87"/>
      <c r="W269" s="83"/>
      <c r="X269" s="83"/>
      <c r="Y269" s="83"/>
      <c r="Z269" s="87"/>
      <c r="AA269" s="83"/>
      <c r="AB269" s="83"/>
      <c r="AC269" s="83"/>
      <c r="AD269" s="83"/>
      <c r="AE269" s="45"/>
      <c r="AF269" s="28"/>
    </row>
    <row r="270" spans="2:32">
      <c r="B270" s="31" t="s">
        <v>578</v>
      </c>
      <c r="C270" s="31"/>
      <c r="D270" s="91"/>
      <c r="E270" s="83"/>
      <c r="F270" s="87"/>
      <c r="G270" s="83"/>
      <c r="H270" s="83"/>
      <c r="I270" s="83"/>
      <c r="J270" s="87"/>
      <c r="K270" s="83"/>
      <c r="L270" s="83"/>
      <c r="M270" s="83"/>
      <c r="N270" s="87"/>
      <c r="O270" s="83"/>
      <c r="P270" s="83"/>
      <c r="Q270" s="83"/>
      <c r="R270" s="87"/>
      <c r="S270" s="83"/>
      <c r="T270" s="83"/>
      <c r="U270" s="83"/>
      <c r="V270" s="87"/>
      <c r="W270" s="83"/>
      <c r="X270" s="83"/>
      <c r="Y270" s="83"/>
      <c r="Z270" s="87"/>
      <c r="AA270" s="83"/>
      <c r="AB270" s="83"/>
      <c r="AC270" s="83"/>
      <c r="AD270" s="83"/>
      <c r="AE270" s="45"/>
      <c r="AF270" s="28">
        <f>SUM(D270:AD270)</f>
        <v>0</v>
      </c>
    </row>
    <row r="271" spans="2:32" ht="14.25" thickBot="1">
      <c r="B271" s="74" t="s">
        <v>579</v>
      </c>
      <c r="C271" s="74"/>
      <c r="D271" s="92"/>
      <c r="E271" s="92"/>
      <c r="F271" s="93"/>
      <c r="G271" s="92"/>
      <c r="H271" s="92"/>
      <c r="I271" s="92"/>
      <c r="J271" s="93"/>
      <c r="K271" s="92"/>
      <c r="L271" s="92"/>
      <c r="M271" s="92"/>
      <c r="N271" s="93"/>
      <c r="O271" s="92"/>
      <c r="P271" s="92"/>
      <c r="Q271" s="92"/>
      <c r="R271" s="93"/>
      <c r="S271" s="92"/>
      <c r="T271" s="92"/>
      <c r="U271" s="92"/>
      <c r="V271" s="93"/>
      <c r="W271" s="94"/>
      <c r="X271" s="94"/>
      <c r="Y271" s="94"/>
      <c r="Z271" s="93"/>
      <c r="AA271" s="94"/>
      <c r="AB271" s="94"/>
      <c r="AC271" s="94"/>
      <c r="AD271" s="94"/>
      <c r="AE271" s="94"/>
      <c r="AF271" s="80">
        <f>SUM(D271:AD271)</f>
        <v>0</v>
      </c>
    </row>
    <row r="272" spans="2:32" ht="13.5" customHeight="1" thickTop="1">
      <c r="B272" s="1518" t="s">
        <v>18</v>
      </c>
      <c r="C272" s="1552" t="s">
        <v>571</v>
      </c>
      <c r="D272" s="1524">
        <v>45173</v>
      </c>
      <c r="E272" s="1524"/>
      <c r="F272" s="1524"/>
      <c r="G272" s="22"/>
      <c r="H272" s="1524">
        <f>D272+1</f>
        <v>45174</v>
      </c>
      <c r="I272" s="1524"/>
      <c r="J272" s="1524"/>
      <c r="K272" s="22"/>
      <c r="L272" s="1524">
        <f>H272+1</f>
        <v>45175</v>
      </c>
      <c r="M272" s="1524"/>
      <c r="N272" s="1524"/>
      <c r="P272" s="1524">
        <f>L272+1</f>
        <v>45176</v>
      </c>
      <c r="Q272" s="1524"/>
      <c r="R272" s="1524"/>
      <c r="T272" s="1524">
        <f>P272+1</f>
        <v>45177</v>
      </c>
      <c r="U272" s="1524"/>
      <c r="V272" s="1524"/>
      <c r="W272" s="22"/>
      <c r="X272" s="1524">
        <f>T272+1</f>
        <v>45178</v>
      </c>
      <c r="Y272" s="1524"/>
      <c r="Z272" s="1524"/>
      <c r="AB272" s="1524">
        <f>X272+1</f>
        <v>45179</v>
      </c>
      <c r="AC272" s="1524"/>
      <c r="AD272" s="1524"/>
      <c r="AE272" s="22"/>
      <c r="AF272" s="1517" t="s">
        <v>19</v>
      </c>
    </row>
    <row r="273" spans="2:32" ht="13.5" customHeight="1">
      <c r="B273" s="1518"/>
      <c r="C273" s="1552"/>
      <c r="D273" s="21" t="s">
        <v>23</v>
      </c>
      <c r="E273" s="21" t="s">
        <v>24</v>
      </c>
      <c r="F273" s="62" t="s">
        <v>25</v>
      </c>
      <c r="G273" s="23"/>
      <c r="H273" s="21" t="s">
        <v>23</v>
      </c>
      <c r="I273" s="21" t="s">
        <v>24</v>
      </c>
      <c r="J273" s="18" t="s">
        <v>25</v>
      </c>
      <c r="K273" s="23"/>
      <c r="L273" s="21" t="s">
        <v>23</v>
      </c>
      <c r="M273" s="21" t="s">
        <v>24</v>
      </c>
      <c r="N273" s="18" t="s">
        <v>25</v>
      </c>
      <c r="O273" s="23"/>
      <c r="P273" s="21" t="s">
        <v>23</v>
      </c>
      <c r="Q273" s="21" t="s">
        <v>24</v>
      </c>
      <c r="R273" s="18" t="s">
        <v>25</v>
      </c>
      <c r="S273" s="23"/>
      <c r="T273" s="21" t="s">
        <v>23</v>
      </c>
      <c r="U273" s="21" t="s">
        <v>24</v>
      </c>
      <c r="V273" s="18" t="s">
        <v>25</v>
      </c>
      <c r="W273" s="23"/>
      <c r="X273" s="21" t="s">
        <v>23</v>
      </c>
      <c r="Y273" s="21" t="s">
        <v>24</v>
      </c>
      <c r="Z273" s="18" t="s">
        <v>25</v>
      </c>
      <c r="AA273" s="23"/>
      <c r="AB273" s="21" t="s">
        <v>23</v>
      </c>
      <c r="AC273" s="21" t="s">
        <v>24</v>
      </c>
      <c r="AD273" s="18" t="s">
        <v>25</v>
      </c>
      <c r="AE273" s="23"/>
      <c r="AF273" s="1517"/>
    </row>
    <row r="274" spans="2:32" ht="27">
      <c r="B274" s="313" t="s">
        <v>572</v>
      </c>
      <c r="C274" s="339" t="s">
        <v>650</v>
      </c>
      <c r="D274" s="51">
        <v>0.35416666666666669</v>
      </c>
      <c r="E274" s="51">
        <v>0.8125</v>
      </c>
      <c r="F274" s="85">
        <f t="shared" ref="F274:F281" si="203">(E274-D274)*24</f>
        <v>11</v>
      </c>
      <c r="G274" s="24"/>
      <c r="H274" s="51"/>
      <c r="I274" s="51"/>
      <c r="J274" s="49">
        <f t="shared" ref="J274:J281" si="204">(I274-H274)*24</f>
        <v>0</v>
      </c>
      <c r="K274" s="24"/>
      <c r="L274" s="51"/>
      <c r="M274" s="51"/>
      <c r="N274" s="49">
        <f t="shared" ref="N274:N281" si="205">(M274-L274)*24</f>
        <v>0</v>
      </c>
      <c r="O274" s="24"/>
      <c r="P274" s="51"/>
      <c r="Q274" s="51"/>
      <c r="R274" s="49">
        <f t="shared" ref="R274:R281" si="206">(Q274-P274)*24</f>
        <v>0</v>
      </c>
      <c r="S274" s="24"/>
      <c r="T274" s="51"/>
      <c r="U274" s="51"/>
      <c r="V274" s="49">
        <f t="shared" ref="V274:V281" si="207">(U274-T274)*24</f>
        <v>0</v>
      </c>
      <c r="W274" s="24"/>
      <c r="X274" s="51"/>
      <c r="Y274" s="51"/>
      <c r="Z274" s="49">
        <f t="shared" ref="Z274:Z281" si="208">(Y274-X274)*24</f>
        <v>0</v>
      </c>
      <c r="AA274" s="24"/>
      <c r="AB274" s="51"/>
      <c r="AC274" s="51"/>
      <c r="AD274" s="49">
        <f t="shared" ref="AD274:AD281" si="209">(AC274-AB274)*24</f>
        <v>0</v>
      </c>
      <c r="AE274" s="24"/>
      <c r="AF274" s="29">
        <f t="shared" ref="AF274:AF280" si="210">J274+F274+N274+R274+V274+Z274+AD274</f>
        <v>11</v>
      </c>
    </row>
    <row r="275" spans="2:32" ht="27">
      <c r="B275" s="313" t="s">
        <v>572</v>
      </c>
      <c r="C275" s="339" t="s">
        <v>651</v>
      </c>
      <c r="D275" s="51"/>
      <c r="E275" s="51"/>
      <c r="F275" s="85">
        <f t="shared" si="203"/>
        <v>0</v>
      </c>
      <c r="G275" s="24"/>
      <c r="H275" s="51"/>
      <c r="I275" s="51"/>
      <c r="J275" s="49">
        <f t="shared" si="204"/>
        <v>0</v>
      </c>
      <c r="K275" s="24"/>
      <c r="L275" s="51"/>
      <c r="M275" s="51"/>
      <c r="N275" s="49">
        <f t="shared" si="205"/>
        <v>0</v>
      </c>
      <c r="O275" s="24"/>
      <c r="P275" s="51"/>
      <c r="Q275" s="51"/>
      <c r="R275" s="49">
        <f t="shared" si="206"/>
        <v>0</v>
      </c>
      <c r="S275" s="24"/>
      <c r="T275" s="51"/>
      <c r="U275" s="51"/>
      <c r="V275" s="49">
        <f t="shared" si="207"/>
        <v>0</v>
      </c>
      <c r="W275" s="24"/>
      <c r="X275" s="51">
        <v>0.35416666666666669</v>
      </c>
      <c r="Y275" s="51">
        <v>0.79166666666666663</v>
      </c>
      <c r="Z275" s="49">
        <f t="shared" si="208"/>
        <v>10.499999999999998</v>
      </c>
      <c r="AA275" s="24"/>
      <c r="AB275" s="51"/>
      <c r="AC275" s="51"/>
      <c r="AD275" s="49">
        <f t="shared" si="209"/>
        <v>0</v>
      </c>
      <c r="AE275" s="24"/>
      <c r="AF275" s="29">
        <f t="shared" si="210"/>
        <v>10.499999999999998</v>
      </c>
    </row>
    <row r="276" spans="2:32" ht="27">
      <c r="B276" s="313" t="s">
        <v>582</v>
      </c>
      <c r="C276" s="339" t="s">
        <v>651</v>
      </c>
      <c r="D276" s="51"/>
      <c r="E276" s="51"/>
      <c r="F276" s="85">
        <f t="shared" si="203"/>
        <v>0</v>
      </c>
      <c r="G276" s="24"/>
      <c r="H276" s="51"/>
      <c r="I276" s="51"/>
      <c r="J276" s="49">
        <f t="shared" si="204"/>
        <v>0</v>
      </c>
      <c r="K276" s="24"/>
      <c r="L276" s="51"/>
      <c r="M276" s="51"/>
      <c r="N276" s="49">
        <f t="shared" si="205"/>
        <v>0</v>
      </c>
      <c r="O276" s="24"/>
      <c r="P276" s="51"/>
      <c r="Q276" s="51"/>
      <c r="R276" s="49">
        <f t="shared" si="206"/>
        <v>0</v>
      </c>
      <c r="S276" s="24"/>
      <c r="T276" s="51"/>
      <c r="U276" s="51"/>
      <c r="V276" s="49">
        <f t="shared" si="207"/>
        <v>0</v>
      </c>
      <c r="W276" s="24"/>
      <c r="X276" s="51">
        <v>0.35416666666666669</v>
      </c>
      <c r="Y276" s="51">
        <v>0.79166666666666663</v>
      </c>
      <c r="Z276" s="49">
        <f t="shared" si="208"/>
        <v>10.499999999999998</v>
      </c>
      <c r="AA276" s="24"/>
      <c r="AB276" s="51"/>
      <c r="AC276" s="51"/>
      <c r="AD276" s="49">
        <f t="shared" si="209"/>
        <v>0</v>
      </c>
      <c r="AE276" s="24"/>
      <c r="AF276" s="29">
        <f t="shared" si="210"/>
        <v>10.499999999999998</v>
      </c>
    </row>
    <row r="277" spans="2:32" ht="27">
      <c r="B277" s="13" t="s">
        <v>576</v>
      </c>
      <c r="C277" s="339" t="s">
        <v>651</v>
      </c>
      <c r="D277" s="51"/>
      <c r="E277" s="51"/>
      <c r="F277" s="85">
        <f t="shared" si="203"/>
        <v>0</v>
      </c>
      <c r="G277" s="24"/>
      <c r="H277" s="51"/>
      <c r="I277" s="51"/>
      <c r="J277" s="49">
        <f t="shared" si="204"/>
        <v>0</v>
      </c>
      <c r="K277" s="24"/>
      <c r="L277" s="51"/>
      <c r="M277" s="51"/>
      <c r="N277" s="49">
        <f t="shared" si="205"/>
        <v>0</v>
      </c>
      <c r="O277" s="24"/>
      <c r="P277" s="51"/>
      <c r="Q277" s="51"/>
      <c r="R277" s="49">
        <f t="shared" si="206"/>
        <v>0</v>
      </c>
      <c r="S277" s="24"/>
      <c r="T277" s="51"/>
      <c r="U277" s="51"/>
      <c r="V277" s="49">
        <f t="shared" si="207"/>
        <v>0</v>
      </c>
      <c r="W277" s="24"/>
      <c r="X277" s="51">
        <v>0.35416666666666669</v>
      </c>
      <c r="Y277" s="51">
        <v>0.79166666666666663</v>
      </c>
      <c r="Z277" s="49">
        <f t="shared" si="208"/>
        <v>10.499999999999998</v>
      </c>
      <c r="AA277" s="24"/>
      <c r="AB277" s="51"/>
      <c r="AC277" s="51"/>
      <c r="AD277" s="49">
        <f t="shared" si="209"/>
        <v>0</v>
      </c>
      <c r="AE277" s="24"/>
      <c r="AF277" s="29">
        <f t="shared" si="210"/>
        <v>10.499999999999998</v>
      </c>
    </row>
    <row r="278" spans="2:32" ht="14.25">
      <c r="B278" s="313"/>
      <c r="C278" s="339"/>
      <c r="D278" s="51"/>
      <c r="E278" s="51"/>
      <c r="F278" s="85">
        <f t="shared" si="203"/>
        <v>0</v>
      </c>
      <c r="G278" s="24"/>
      <c r="H278" s="51"/>
      <c r="I278" s="51"/>
      <c r="J278" s="49">
        <f t="shared" si="204"/>
        <v>0</v>
      </c>
      <c r="K278" s="24"/>
      <c r="L278" s="51"/>
      <c r="M278" s="51"/>
      <c r="N278" s="49">
        <f t="shared" si="205"/>
        <v>0</v>
      </c>
      <c r="O278" s="24"/>
      <c r="P278" s="51"/>
      <c r="Q278" s="51"/>
      <c r="R278" s="49">
        <f t="shared" si="206"/>
        <v>0</v>
      </c>
      <c r="S278" s="24"/>
      <c r="T278" s="51"/>
      <c r="U278" s="51"/>
      <c r="V278" s="49">
        <f t="shared" si="207"/>
        <v>0</v>
      </c>
      <c r="W278" s="24"/>
      <c r="X278" s="51"/>
      <c r="Y278" s="51"/>
      <c r="Z278" s="49">
        <f t="shared" si="208"/>
        <v>0</v>
      </c>
      <c r="AA278" s="24"/>
      <c r="AB278" s="51"/>
      <c r="AC278" s="51"/>
      <c r="AD278" s="49">
        <f t="shared" si="209"/>
        <v>0</v>
      </c>
      <c r="AE278" s="24"/>
      <c r="AF278" s="29">
        <f t="shared" si="210"/>
        <v>0</v>
      </c>
    </row>
    <row r="279" spans="2:32" ht="14.25">
      <c r="C279" s="340"/>
      <c r="D279" s="51"/>
      <c r="E279" s="51"/>
      <c r="F279" s="85">
        <f t="shared" si="203"/>
        <v>0</v>
      </c>
      <c r="G279" s="24"/>
      <c r="H279" s="51"/>
      <c r="I279" s="51"/>
      <c r="J279" s="49">
        <f t="shared" si="204"/>
        <v>0</v>
      </c>
      <c r="K279" s="24"/>
      <c r="L279" s="51"/>
      <c r="M279" s="51"/>
      <c r="N279" s="49">
        <f t="shared" si="205"/>
        <v>0</v>
      </c>
      <c r="O279" s="24"/>
      <c r="P279" s="51"/>
      <c r="Q279" s="51"/>
      <c r="R279" s="49">
        <f t="shared" si="206"/>
        <v>0</v>
      </c>
      <c r="S279" s="24"/>
      <c r="T279" s="51"/>
      <c r="U279" s="51"/>
      <c r="V279" s="49">
        <f t="shared" si="207"/>
        <v>0</v>
      </c>
      <c r="W279" s="24"/>
      <c r="X279" s="51"/>
      <c r="Y279" s="51"/>
      <c r="Z279" s="49">
        <f t="shared" si="208"/>
        <v>0</v>
      </c>
      <c r="AA279" s="24"/>
      <c r="AB279" s="51"/>
      <c r="AC279" s="51"/>
      <c r="AD279" s="49">
        <f t="shared" si="209"/>
        <v>0</v>
      </c>
      <c r="AE279" s="24"/>
      <c r="AF279" s="29">
        <f t="shared" si="210"/>
        <v>0</v>
      </c>
    </row>
    <row r="280" spans="2:32" ht="14.25">
      <c r="C280" s="340"/>
      <c r="D280" s="51"/>
      <c r="E280" s="51"/>
      <c r="F280" s="85">
        <f t="shared" si="203"/>
        <v>0</v>
      </c>
      <c r="G280" s="24"/>
      <c r="H280" s="51"/>
      <c r="I280" s="51"/>
      <c r="J280" s="49">
        <f t="shared" si="204"/>
        <v>0</v>
      </c>
      <c r="K280" s="24"/>
      <c r="L280" s="51"/>
      <c r="M280" s="51"/>
      <c r="N280" s="49">
        <f t="shared" si="205"/>
        <v>0</v>
      </c>
      <c r="O280" s="24"/>
      <c r="P280" s="51"/>
      <c r="Q280" s="51"/>
      <c r="R280" s="49">
        <f t="shared" si="206"/>
        <v>0</v>
      </c>
      <c r="S280" s="24"/>
      <c r="T280" s="51"/>
      <c r="U280" s="51"/>
      <c r="V280" s="49">
        <f t="shared" si="207"/>
        <v>0</v>
      </c>
      <c r="W280" s="24"/>
      <c r="X280" s="51"/>
      <c r="Y280" s="51"/>
      <c r="Z280" s="49">
        <f t="shared" si="208"/>
        <v>0</v>
      </c>
      <c r="AA280" s="24"/>
      <c r="AB280" s="51"/>
      <c r="AC280" s="51"/>
      <c r="AD280" s="49">
        <f t="shared" si="209"/>
        <v>0</v>
      </c>
      <c r="AE280" s="24"/>
      <c r="AF280" s="29">
        <f t="shared" si="210"/>
        <v>0</v>
      </c>
    </row>
    <row r="281" spans="2:32" ht="14.25">
      <c r="B281" s="63" t="s">
        <v>61</v>
      </c>
      <c r="C281" s="63"/>
      <c r="D281" s="359"/>
      <c r="E281" s="359"/>
      <c r="F281" s="357">
        <f t="shared" si="203"/>
        <v>0</v>
      </c>
      <c r="G281" s="291"/>
      <c r="H281" s="359"/>
      <c r="I281" s="359"/>
      <c r="J281" s="358">
        <f t="shared" si="204"/>
        <v>0</v>
      </c>
      <c r="K281" s="291"/>
      <c r="L281" s="359"/>
      <c r="M281" s="359"/>
      <c r="N281" s="358">
        <f t="shared" si="205"/>
        <v>0</v>
      </c>
      <c r="O281" s="291"/>
      <c r="P281" s="359"/>
      <c r="Q281" s="359"/>
      <c r="R281" s="358">
        <f t="shared" si="206"/>
        <v>0</v>
      </c>
      <c r="S281" s="291"/>
      <c r="T281" s="359"/>
      <c r="U281" s="359"/>
      <c r="V281" s="358">
        <f t="shared" si="207"/>
        <v>0</v>
      </c>
      <c r="W281" s="291"/>
      <c r="X281" s="359"/>
      <c r="Y281" s="359"/>
      <c r="Z281" s="358">
        <f t="shared" si="208"/>
        <v>0</v>
      </c>
      <c r="AA281" s="291"/>
      <c r="AB281" s="359"/>
      <c r="AC281" s="359"/>
      <c r="AD281" s="358">
        <f t="shared" si="209"/>
        <v>0</v>
      </c>
      <c r="AE281" s="24"/>
      <c r="AF281" s="30">
        <f>SUM(AF273:AF280)</f>
        <v>42.5</v>
      </c>
    </row>
    <row r="282" spans="2:32">
      <c r="B282" s="31" t="s">
        <v>577</v>
      </c>
      <c r="C282" s="31"/>
      <c r="D282" s="91"/>
      <c r="E282" s="91"/>
      <c r="F282" s="90"/>
      <c r="G282" s="91"/>
      <c r="H282" s="91"/>
      <c r="I282" s="91"/>
      <c r="J282" s="90"/>
      <c r="K282" s="91"/>
      <c r="L282" s="91"/>
      <c r="M282" s="91"/>
      <c r="N282" s="90"/>
      <c r="O282" s="91"/>
      <c r="P282" s="91"/>
      <c r="Q282" s="91"/>
      <c r="R282" s="90"/>
      <c r="S282" s="91"/>
      <c r="T282" s="91"/>
      <c r="U282" s="91"/>
      <c r="V282" s="90"/>
      <c r="W282" s="91"/>
      <c r="X282" s="91"/>
      <c r="Y282" s="91"/>
      <c r="Z282" s="90"/>
      <c r="AA282" s="91"/>
      <c r="AB282" s="91"/>
      <c r="AC282" s="91"/>
      <c r="AD282" s="91"/>
      <c r="AE282" s="352"/>
      <c r="AF282" s="28"/>
    </row>
    <row r="283" spans="2:32">
      <c r="B283" s="31" t="s">
        <v>578</v>
      </c>
      <c r="C283" s="31"/>
      <c r="D283" s="91"/>
      <c r="E283" s="91"/>
      <c r="F283" s="90"/>
      <c r="G283" s="91"/>
      <c r="H283" s="91"/>
      <c r="I283" s="91"/>
      <c r="J283" s="90"/>
      <c r="K283" s="91"/>
      <c r="L283" s="91"/>
      <c r="M283" s="91"/>
      <c r="N283" s="90"/>
      <c r="O283" s="91"/>
      <c r="P283" s="91"/>
      <c r="Q283" s="91"/>
      <c r="R283" s="90"/>
      <c r="S283" s="91"/>
      <c r="T283" s="91"/>
      <c r="U283" s="91"/>
      <c r="V283" s="90"/>
      <c r="W283" s="91"/>
      <c r="X283" s="91"/>
      <c r="Y283" s="91"/>
      <c r="Z283" s="90"/>
      <c r="AA283" s="91"/>
      <c r="AB283" s="91"/>
      <c r="AC283" s="91"/>
      <c r="AD283" s="91"/>
      <c r="AE283" s="352"/>
      <c r="AF283" s="28">
        <f>SUM(D283:AD283)</f>
        <v>0</v>
      </c>
    </row>
    <row r="284" spans="2:32" ht="14.25" thickBot="1">
      <c r="B284" s="74" t="s">
        <v>579</v>
      </c>
      <c r="C284" s="74"/>
      <c r="D284" s="95"/>
      <c r="E284" s="95"/>
      <c r="F284" s="96"/>
      <c r="G284" s="95"/>
      <c r="H284" s="95"/>
      <c r="I284" s="95"/>
      <c r="J284" s="96"/>
      <c r="K284" s="95"/>
      <c r="L284" s="95"/>
      <c r="M284" s="95"/>
      <c r="N284" s="96"/>
      <c r="O284" s="95"/>
      <c r="P284" s="95"/>
      <c r="Q284" s="95"/>
      <c r="R284" s="96"/>
      <c r="S284" s="95"/>
      <c r="T284" s="95"/>
      <c r="U284" s="95"/>
      <c r="V284" s="96"/>
      <c r="W284" s="97"/>
      <c r="X284" s="97"/>
      <c r="Y284" s="97"/>
      <c r="Z284" s="96"/>
      <c r="AA284" s="97"/>
      <c r="AB284" s="97"/>
      <c r="AC284" s="97"/>
      <c r="AD284" s="97"/>
      <c r="AE284" s="97"/>
      <c r="AF284" s="80">
        <f>SUM(D284:AD284)</f>
        <v>0</v>
      </c>
    </row>
    <row r="285" spans="2:32" ht="13.5" customHeight="1" thickTop="1">
      <c r="B285" s="1518" t="s">
        <v>18</v>
      </c>
      <c r="C285" s="1552" t="s">
        <v>571</v>
      </c>
      <c r="D285" s="1524">
        <v>45180</v>
      </c>
      <c r="E285" s="1524"/>
      <c r="F285" s="1524"/>
      <c r="G285" s="22"/>
      <c r="H285" s="1524">
        <f>D285+1</f>
        <v>45181</v>
      </c>
      <c r="I285" s="1524"/>
      <c r="J285" s="1524"/>
      <c r="K285" s="22"/>
      <c r="L285" s="1524">
        <f>H285+1</f>
        <v>45182</v>
      </c>
      <c r="M285" s="1524"/>
      <c r="N285" s="1524"/>
      <c r="P285" s="1524">
        <f>L285+1</f>
        <v>45183</v>
      </c>
      <c r="Q285" s="1524"/>
      <c r="R285" s="1524"/>
      <c r="T285" s="1524">
        <f>P285+1</f>
        <v>45184</v>
      </c>
      <c r="U285" s="1524"/>
      <c r="V285" s="1524"/>
      <c r="W285" s="22"/>
      <c r="X285" s="1524">
        <f>T285+1</f>
        <v>45185</v>
      </c>
      <c r="Y285" s="1524"/>
      <c r="Z285" s="1524"/>
      <c r="AB285" s="1524">
        <f>X285+1</f>
        <v>45186</v>
      </c>
      <c r="AC285" s="1524"/>
      <c r="AD285" s="1524"/>
      <c r="AE285" s="22"/>
      <c r="AF285" s="1517" t="s">
        <v>19</v>
      </c>
    </row>
    <row r="286" spans="2:32" ht="13.5" customHeight="1">
      <c r="B286" s="1518"/>
      <c r="C286" s="1552"/>
      <c r="D286" s="21" t="s">
        <v>23</v>
      </c>
      <c r="E286" s="21" t="s">
        <v>24</v>
      </c>
      <c r="F286" s="62" t="s">
        <v>25</v>
      </c>
      <c r="G286" s="23"/>
      <c r="H286" s="21" t="s">
        <v>23</v>
      </c>
      <c r="I286" s="21" t="s">
        <v>24</v>
      </c>
      <c r="J286" s="18" t="s">
        <v>25</v>
      </c>
      <c r="K286" s="23"/>
      <c r="L286" s="21" t="s">
        <v>23</v>
      </c>
      <c r="M286" s="21" t="s">
        <v>24</v>
      </c>
      <c r="N286" s="18" t="s">
        <v>25</v>
      </c>
      <c r="O286" s="23"/>
      <c r="P286" s="21" t="s">
        <v>23</v>
      </c>
      <c r="Q286" s="21" t="s">
        <v>24</v>
      </c>
      <c r="R286" s="18" t="s">
        <v>25</v>
      </c>
      <c r="S286" s="23"/>
      <c r="T286" s="21" t="s">
        <v>23</v>
      </c>
      <c r="U286" s="21" t="s">
        <v>24</v>
      </c>
      <c r="V286" s="18" t="s">
        <v>25</v>
      </c>
      <c r="W286" s="23"/>
      <c r="X286" s="21" t="s">
        <v>23</v>
      </c>
      <c r="Y286" s="21" t="s">
        <v>24</v>
      </c>
      <c r="Z286" s="18" t="s">
        <v>25</v>
      </c>
      <c r="AA286" s="23"/>
      <c r="AB286" s="21" t="s">
        <v>23</v>
      </c>
      <c r="AC286" s="21" t="s">
        <v>24</v>
      </c>
      <c r="AD286" s="18" t="s">
        <v>25</v>
      </c>
      <c r="AE286" s="23"/>
      <c r="AF286" s="1517"/>
    </row>
    <row r="287" spans="2:32" ht="27">
      <c r="B287" s="313" t="s">
        <v>129</v>
      </c>
      <c r="C287" s="339" t="s">
        <v>652</v>
      </c>
      <c r="D287" s="51">
        <v>0.375</v>
      </c>
      <c r="E287" s="51">
        <v>0.66666666666666663</v>
      </c>
      <c r="F287" s="85">
        <f t="shared" ref="F287:F299" si="211">(E287-D287)*24</f>
        <v>6.9999999999999991</v>
      </c>
      <c r="G287" s="24"/>
      <c r="H287" s="51">
        <v>0.375</v>
      </c>
      <c r="I287" s="51">
        <v>0.66666666666666663</v>
      </c>
      <c r="J287" s="49">
        <f t="shared" ref="J287:J293" si="212">(I287-H287)*24</f>
        <v>6.9999999999999991</v>
      </c>
      <c r="K287" s="24"/>
      <c r="L287" s="51">
        <v>0.375</v>
      </c>
      <c r="M287" s="51">
        <v>0.66666666666666663</v>
      </c>
      <c r="N287" s="49">
        <f t="shared" ref="N287:N299" si="213">(M287-L287)*24</f>
        <v>6.9999999999999991</v>
      </c>
      <c r="O287" s="24"/>
      <c r="P287" s="51">
        <v>0.375</v>
      </c>
      <c r="Q287" s="51">
        <v>0.66666666666666663</v>
      </c>
      <c r="R287" s="49">
        <f t="shared" ref="R287:R299" si="214">(Q287-P287)*24</f>
        <v>6.9999999999999991</v>
      </c>
      <c r="S287" s="24"/>
      <c r="T287" s="51"/>
      <c r="U287" s="51"/>
      <c r="V287" s="49">
        <f t="shared" ref="V287:V299" si="215">(U287-T287)*24</f>
        <v>0</v>
      </c>
      <c r="W287" s="24"/>
      <c r="X287" s="51"/>
      <c r="Y287" s="51"/>
      <c r="Z287" s="49">
        <f t="shared" ref="Z287:Z299" si="216">(Y287-X287)*24</f>
        <v>0</v>
      </c>
      <c r="AA287" s="24"/>
      <c r="AB287" s="51"/>
      <c r="AC287" s="51"/>
      <c r="AD287" s="49">
        <f t="shared" ref="AD287:AD299" si="217">(AC287-AB287)*24</f>
        <v>0</v>
      </c>
      <c r="AE287" s="24"/>
      <c r="AF287" s="29">
        <f t="shared" ref="AF287:AF293" si="218">J287+F287+N287+R287+V287+Z287+AD287</f>
        <v>27.999999999999996</v>
      </c>
    </row>
    <row r="288" spans="2:32" ht="27">
      <c r="B288" s="13" t="s">
        <v>653</v>
      </c>
      <c r="C288" s="339" t="s">
        <v>652</v>
      </c>
      <c r="D288" s="51">
        <v>0.39583333333333331</v>
      </c>
      <c r="E288" s="51">
        <v>0.66666666666666663</v>
      </c>
      <c r="F288" s="85">
        <f t="shared" si="211"/>
        <v>6.5</v>
      </c>
      <c r="G288" s="24"/>
      <c r="H288" s="51">
        <v>0.40625</v>
      </c>
      <c r="I288" s="51">
        <v>0.6875</v>
      </c>
      <c r="J288" s="49">
        <f t="shared" si="212"/>
        <v>6.75</v>
      </c>
      <c r="K288" s="24"/>
      <c r="L288" s="51">
        <v>0.40972222222222227</v>
      </c>
      <c r="M288" s="51">
        <v>0.66666666666666663</v>
      </c>
      <c r="N288" s="49">
        <f t="shared" si="213"/>
        <v>6.1666666666666643</v>
      </c>
      <c r="O288" s="24"/>
      <c r="P288" s="51">
        <v>0.375</v>
      </c>
      <c r="Q288" s="51">
        <v>0.66666666666666663</v>
      </c>
      <c r="R288" s="49">
        <f t="shared" si="214"/>
        <v>6.9999999999999991</v>
      </c>
      <c r="S288" s="24"/>
      <c r="T288" s="51"/>
      <c r="U288" s="51"/>
      <c r="V288" s="49">
        <f t="shared" si="215"/>
        <v>0</v>
      </c>
      <c r="W288" s="24"/>
      <c r="X288" s="51"/>
      <c r="Y288" s="51"/>
      <c r="Z288" s="49">
        <f t="shared" si="216"/>
        <v>0</v>
      </c>
      <c r="AA288" s="24"/>
      <c r="AB288" s="51"/>
      <c r="AC288" s="51"/>
      <c r="AD288" s="49">
        <f t="shared" si="217"/>
        <v>0</v>
      </c>
      <c r="AE288" s="24"/>
      <c r="AF288" s="29">
        <f t="shared" si="218"/>
        <v>26.416666666666664</v>
      </c>
    </row>
    <row r="289" spans="2:32" ht="27">
      <c r="B289" s="313" t="s">
        <v>58</v>
      </c>
      <c r="C289" s="339" t="s">
        <v>652</v>
      </c>
      <c r="D289" s="51">
        <v>0.375</v>
      </c>
      <c r="E289" s="51">
        <v>0.66666666666666663</v>
      </c>
      <c r="F289" s="85">
        <f t="shared" si="211"/>
        <v>6.9999999999999991</v>
      </c>
      <c r="G289" s="24"/>
      <c r="H289" s="51">
        <v>0.375</v>
      </c>
      <c r="I289" s="51">
        <v>0.66666666666666663</v>
      </c>
      <c r="J289" s="49">
        <f t="shared" si="212"/>
        <v>6.9999999999999991</v>
      </c>
      <c r="K289" s="24"/>
      <c r="L289" s="51">
        <v>0.375</v>
      </c>
      <c r="M289" s="51">
        <v>0.66666666666666663</v>
      </c>
      <c r="N289" s="49">
        <f t="shared" si="213"/>
        <v>6.9999999999999991</v>
      </c>
      <c r="O289" s="24"/>
      <c r="P289" s="51">
        <v>0.375</v>
      </c>
      <c r="Q289" s="51">
        <v>0.66666666666666663</v>
      </c>
      <c r="R289" s="49">
        <f t="shared" si="214"/>
        <v>6.9999999999999991</v>
      </c>
      <c r="S289" s="24"/>
      <c r="T289" s="51"/>
      <c r="U289" s="51"/>
      <c r="V289" s="49">
        <f t="shared" si="215"/>
        <v>0</v>
      </c>
      <c r="W289" s="24"/>
      <c r="X289" s="51"/>
      <c r="Y289" s="51"/>
      <c r="Z289" s="49">
        <f t="shared" si="216"/>
        <v>0</v>
      </c>
      <c r="AA289" s="24"/>
      <c r="AB289" s="51"/>
      <c r="AC289" s="51"/>
      <c r="AD289" s="49">
        <f t="shared" si="217"/>
        <v>0</v>
      </c>
      <c r="AE289" s="24"/>
      <c r="AF289" s="29">
        <f t="shared" si="218"/>
        <v>27.999999999999996</v>
      </c>
    </row>
    <row r="290" spans="2:32" ht="27">
      <c r="B290" s="313" t="s">
        <v>603</v>
      </c>
      <c r="C290" s="339" t="s">
        <v>654</v>
      </c>
      <c r="D290" s="51">
        <v>0.3888888888888889</v>
      </c>
      <c r="E290" s="51">
        <v>0.72013888888888899</v>
      </c>
      <c r="F290" s="85">
        <f t="shared" si="211"/>
        <v>7.9500000000000028</v>
      </c>
      <c r="G290" s="24"/>
      <c r="H290" s="51">
        <v>0.375</v>
      </c>
      <c r="I290" s="51">
        <v>0.66666666666666663</v>
      </c>
      <c r="J290" s="49">
        <f t="shared" si="212"/>
        <v>6.9999999999999991</v>
      </c>
      <c r="K290" s="24"/>
      <c r="L290" s="51">
        <v>0.375</v>
      </c>
      <c r="M290" s="51">
        <v>0.66666666666666663</v>
      </c>
      <c r="N290" s="49">
        <f t="shared" si="213"/>
        <v>6.9999999999999991</v>
      </c>
      <c r="O290" s="24"/>
      <c r="P290" s="51">
        <v>0.375</v>
      </c>
      <c r="Q290" s="51">
        <v>0.66666666666666663</v>
      </c>
      <c r="R290" s="49">
        <f t="shared" si="214"/>
        <v>6.9999999999999991</v>
      </c>
      <c r="S290" s="24"/>
      <c r="T290" s="51"/>
      <c r="U290" s="51"/>
      <c r="V290" s="49">
        <f t="shared" si="215"/>
        <v>0</v>
      </c>
      <c r="W290" s="24"/>
      <c r="X290" s="51"/>
      <c r="Y290" s="51"/>
      <c r="Z290" s="49">
        <f t="shared" si="216"/>
        <v>0</v>
      </c>
      <c r="AA290" s="24"/>
      <c r="AB290" s="51"/>
      <c r="AC290" s="51"/>
      <c r="AD290" s="49">
        <f t="shared" si="217"/>
        <v>0</v>
      </c>
      <c r="AE290" s="24"/>
      <c r="AF290" s="29">
        <f t="shared" si="218"/>
        <v>28.950000000000003</v>
      </c>
    </row>
    <row r="291" spans="2:32" ht="27">
      <c r="B291" s="313" t="s">
        <v>572</v>
      </c>
      <c r="C291" s="339" t="s">
        <v>655</v>
      </c>
      <c r="D291" s="51">
        <v>0.35416666666666669</v>
      </c>
      <c r="E291" s="51">
        <v>0.75</v>
      </c>
      <c r="F291" s="85">
        <f t="shared" si="211"/>
        <v>9.5</v>
      </c>
      <c r="G291" s="24"/>
      <c r="H291" s="51"/>
      <c r="I291" s="51"/>
      <c r="J291" s="49">
        <f t="shared" si="212"/>
        <v>0</v>
      </c>
      <c r="K291" s="24"/>
      <c r="L291" s="51"/>
      <c r="M291" s="51"/>
      <c r="N291" s="49">
        <f t="shared" si="213"/>
        <v>0</v>
      </c>
      <c r="O291" s="24"/>
      <c r="P291" s="51">
        <v>0.33333333333333331</v>
      </c>
      <c r="Q291" s="51">
        <v>0.72916666666666663</v>
      </c>
      <c r="R291" s="49">
        <f t="shared" si="214"/>
        <v>9.5</v>
      </c>
      <c r="S291" s="24"/>
      <c r="T291" s="51"/>
      <c r="U291" s="51"/>
      <c r="V291" s="49">
        <f t="shared" si="215"/>
        <v>0</v>
      </c>
      <c r="W291" s="24"/>
      <c r="X291" s="51"/>
      <c r="Y291" s="51"/>
      <c r="Z291" s="49">
        <f t="shared" si="216"/>
        <v>0</v>
      </c>
      <c r="AA291" s="24"/>
      <c r="AB291" s="51"/>
      <c r="AC291" s="51"/>
      <c r="AD291" s="49">
        <f t="shared" si="217"/>
        <v>0</v>
      </c>
      <c r="AE291" s="24"/>
      <c r="AF291" s="29">
        <f t="shared" si="218"/>
        <v>19</v>
      </c>
    </row>
    <row r="292" spans="2:32" ht="30.75" customHeight="1">
      <c r="B292" s="313" t="s">
        <v>54</v>
      </c>
      <c r="C292" s="339" t="s">
        <v>656</v>
      </c>
      <c r="D292" s="51">
        <v>0.375</v>
      </c>
      <c r="E292" s="51">
        <v>0.70833333333333337</v>
      </c>
      <c r="F292" s="85">
        <f t="shared" si="211"/>
        <v>8</v>
      </c>
      <c r="G292" s="24"/>
      <c r="H292" s="51"/>
      <c r="I292" s="51"/>
      <c r="J292" s="49">
        <f t="shared" si="212"/>
        <v>0</v>
      </c>
      <c r="K292" s="24"/>
      <c r="L292" s="51"/>
      <c r="M292" s="51"/>
      <c r="N292" s="49">
        <f t="shared" si="213"/>
        <v>0</v>
      </c>
      <c r="O292" s="24"/>
      <c r="P292" s="51"/>
      <c r="Q292" s="51"/>
      <c r="R292" s="49">
        <f t="shared" si="214"/>
        <v>0</v>
      </c>
      <c r="S292" s="24"/>
      <c r="T292" s="51"/>
      <c r="U292" s="51"/>
      <c r="V292" s="49">
        <f t="shared" si="215"/>
        <v>0</v>
      </c>
      <c r="W292" s="24"/>
      <c r="X292" s="51"/>
      <c r="Y292" s="51"/>
      <c r="Z292" s="49">
        <f t="shared" si="216"/>
        <v>0</v>
      </c>
      <c r="AA292" s="24"/>
      <c r="AB292" s="51"/>
      <c r="AC292" s="51"/>
      <c r="AD292" s="49">
        <f t="shared" si="217"/>
        <v>0</v>
      </c>
      <c r="AE292" s="24"/>
      <c r="AF292" s="29">
        <f t="shared" si="218"/>
        <v>8</v>
      </c>
    </row>
    <row r="293" spans="2:32" ht="27">
      <c r="B293" s="13" t="s">
        <v>637</v>
      </c>
      <c r="C293" s="339" t="s">
        <v>657</v>
      </c>
      <c r="D293" s="51">
        <v>0.58333333333333337</v>
      </c>
      <c r="E293" s="51">
        <v>0.64583333333333337</v>
      </c>
      <c r="F293" s="85">
        <f t="shared" si="211"/>
        <v>1.5</v>
      </c>
      <c r="G293" s="24"/>
      <c r="H293" s="51"/>
      <c r="I293" s="51"/>
      <c r="J293" s="49">
        <f t="shared" si="212"/>
        <v>0</v>
      </c>
      <c r="K293" s="24"/>
      <c r="L293" s="51"/>
      <c r="M293" s="51"/>
      <c r="N293" s="49">
        <f t="shared" si="213"/>
        <v>0</v>
      </c>
      <c r="O293" s="24"/>
      <c r="P293" s="51"/>
      <c r="Q293" s="51"/>
      <c r="R293" s="49">
        <f t="shared" si="214"/>
        <v>0</v>
      </c>
      <c r="S293" s="24"/>
      <c r="T293" s="51"/>
      <c r="U293" s="51"/>
      <c r="V293" s="49">
        <f t="shared" si="215"/>
        <v>0</v>
      </c>
      <c r="W293" s="24"/>
      <c r="X293" s="51"/>
      <c r="Y293" s="51"/>
      <c r="Z293" s="49">
        <f t="shared" si="216"/>
        <v>0</v>
      </c>
      <c r="AA293" s="24"/>
      <c r="AB293" s="51"/>
      <c r="AC293" s="51"/>
      <c r="AD293" s="49">
        <f t="shared" si="217"/>
        <v>0</v>
      </c>
      <c r="AE293" s="24"/>
      <c r="AF293" s="29">
        <f t="shared" si="218"/>
        <v>1.5</v>
      </c>
    </row>
    <row r="294" spans="2:32" ht="27">
      <c r="B294" s="13" t="s">
        <v>637</v>
      </c>
      <c r="C294" s="339" t="s">
        <v>658</v>
      </c>
      <c r="D294" s="51"/>
      <c r="E294" s="51"/>
      <c r="F294" s="85">
        <f>(E294-D294)*24</f>
        <v>0</v>
      </c>
      <c r="G294" s="24"/>
      <c r="H294" s="51">
        <v>0.58333333333333337</v>
      </c>
      <c r="I294" s="51">
        <v>0.72916666666666663</v>
      </c>
      <c r="J294" s="49">
        <f t="shared" ref="J294:J299" si="219">(I294-H294)*24</f>
        <v>3.4999999999999982</v>
      </c>
      <c r="K294" s="24"/>
      <c r="L294" s="51">
        <v>0.35069444444444442</v>
      </c>
      <c r="M294" s="51">
        <v>0.68055555555555547</v>
      </c>
      <c r="N294" s="49">
        <f>(M294-L294)*24</f>
        <v>7.9166666666666652</v>
      </c>
      <c r="O294" s="24"/>
      <c r="P294" s="51"/>
      <c r="Q294" s="51"/>
      <c r="R294" s="49">
        <f t="shared" ref="R294:R298" si="220">(Q294-P294)*24</f>
        <v>0</v>
      </c>
      <c r="S294" s="24"/>
      <c r="T294" s="51"/>
      <c r="U294" s="51"/>
      <c r="V294" s="49">
        <f>(U294-T294)*24</f>
        <v>0</v>
      </c>
      <c r="W294" s="24"/>
      <c r="X294" s="51"/>
      <c r="Y294" s="51"/>
      <c r="Z294" s="49">
        <f>(Y294-X294)*24</f>
        <v>0</v>
      </c>
      <c r="AA294" s="24"/>
      <c r="AB294" s="51"/>
      <c r="AC294" s="51"/>
      <c r="AD294" s="49">
        <f>(AC294-AB294)*24</f>
        <v>0</v>
      </c>
      <c r="AE294" s="24"/>
      <c r="AF294" s="29">
        <f t="shared" ref="AF294:AF298" si="221">J294+F294+N294+R294+V294+Z294+AD294</f>
        <v>11.416666666666664</v>
      </c>
    </row>
    <row r="295" spans="2:32" ht="27">
      <c r="B295" s="313" t="s">
        <v>572</v>
      </c>
      <c r="C295" s="339" t="s">
        <v>646</v>
      </c>
      <c r="F295" s="85">
        <f>(I295-H295)*24</f>
        <v>8.5</v>
      </c>
      <c r="G295" s="24"/>
      <c r="H295" s="51">
        <v>0.375</v>
      </c>
      <c r="I295" s="51">
        <v>0.72916666666666663</v>
      </c>
      <c r="J295" s="49">
        <f>(I295-H295)*24</f>
        <v>8.5</v>
      </c>
      <c r="K295" s="24"/>
      <c r="L295" s="51">
        <v>0.3611111111111111</v>
      </c>
      <c r="M295" s="51">
        <v>0.75</v>
      </c>
      <c r="N295" s="49">
        <f>(M295-L295)*24</f>
        <v>9.3333333333333339</v>
      </c>
      <c r="O295" s="24"/>
      <c r="P295" s="51"/>
      <c r="Q295" s="51"/>
      <c r="R295" s="49">
        <f t="shared" si="220"/>
        <v>0</v>
      </c>
      <c r="S295" s="24"/>
      <c r="T295" s="51"/>
      <c r="U295" s="51"/>
      <c r="V295" s="49">
        <f>(U295-T295)*24</f>
        <v>0</v>
      </c>
      <c r="W295" s="24"/>
      <c r="X295" s="51"/>
      <c r="Y295" s="51"/>
      <c r="Z295" s="49">
        <f>(Y295-X295)*24</f>
        <v>0</v>
      </c>
      <c r="AA295" s="24"/>
      <c r="AB295" s="51"/>
      <c r="AC295" s="51"/>
      <c r="AD295" s="49">
        <f>(AC295-AB295)*24</f>
        <v>0</v>
      </c>
      <c r="AE295" s="24"/>
      <c r="AF295" s="29">
        <f t="shared" si="221"/>
        <v>26.333333333333336</v>
      </c>
    </row>
    <row r="296" spans="2:32" ht="27">
      <c r="B296" s="313" t="s">
        <v>54</v>
      </c>
      <c r="C296" s="339" t="s">
        <v>646</v>
      </c>
      <c r="F296" s="85">
        <f>(I296-H296)*24</f>
        <v>8.5</v>
      </c>
      <c r="G296" s="24"/>
      <c r="H296" s="51">
        <v>0.375</v>
      </c>
      <c r="I296" s="51">
        <v>0.72916666666666663</v>
      </c>
      <c r="J296" s="49">
        <f>(I296-H296)*24</f>
        <v>8.5</v>
      </c>
      <c r="K296" s="24"/>
      <c r="L296" s="51">
        <v>0.38194444444444442</v>
      </c>
      <c r="M296" s="51">
        <v>0.75</v>
      </c>
      <c r="N296" s="49">
        <f>(M296-L296)*24</f>
        <v>8.8333333333333339</v>
      </c>
      <c r="O296" s="24"/>
      <c r="P296" s="51"/>
      <c r="Q296" s="51"/>
      <c r="R296" s="49">
        <f t="shared" si="220"/>
        <v>0</v>
      </c>
      <c r="S296" s="24"/>
      <c r="T296" s="51"/>
      <c r="U296" s="51"/>
      <c r="V296" s="49">
        <f>(U296-T296)*24</f>
        <v>0</v>
      </c>
      <c r="W296" s="24"/>
      <c r="X296" s="51"/>
      <c r="Y296" s="51"/>
      <c r="Z296" s="49">
        <f>(Y296-X296)*24</f>
        <v>0</v>
      </c>
      <c r="AA296" s="24"/>
      <c r="AB296" s="51"/>
      <c r="AC296" s="51"/>
      <c r="AD296" s="49">
        <f>(AC296-AB296)*24</f>
        <v>0</v>
      </c>
      <c r="AE296" s="24"/>
      <c r="AF296" s="29">
        <f t="shared" si="221"/>
        <v>25.833333333333336</v>
      </c>
    </row>
    <row r="297" spans="2:32" ht="14.25">
      <c r="B297" s="13" t="s">
        <v>637</v>
      </c>
      <c r="C297" s="339" t="s">
        <v>659</v>
      </c>
      <c r="D297" s="51"/>
      <c r="E297" s="51"/>
      <c r="F297" s="85">
        <f>(E297-D297)*24</f>
        <v>0</v>
      </c>
      <c r="G297" s="24"/>
      <c r="H297" s="51"/>
      <c r="I297" s="51"/>
      <c r="J297" s="49">
        <f t="shared" si="219"/>
        <v>0</v>
      </c>
      <c r="K297" s="24"/>
      <c r="L297" s="51"/>
      <c r="M297" s="51"/>
      <c r="N297" s="49">
        <f>(M297-L297)*24</f>
        <v>0</v>
      </c>
      <c r="O297" s="24"/>
      <c r="P297" s="51">
        <v>0.4375</v>
      </c>
      <c r="Q297" s="51">
        <v>0.71875</v>
      </c>
      <c r="R297" s="49">
        <f t="shared" si="220"/>
        <v>6.75</v>
      </c>
      <c r="S297" s="24"/>
      <c r="T297" s="51"/>
      <c r="U297" s="51"/>
      <c r="V297" s="49">
        <f>(U297-T297)*24</f>
        <v>0</v>
      </c>
      <c r="W297" s="24"/>
      <c r="X297" s="51"/>
      <c r="Y297" s="51"/>
      <c r="Z297" s="49">
        <f>(Y297-X297)*24</f>
        <v>0</v>
      </c>
      <c r="AA297" s="24"/>
      <c r="AB297" s="51"/>
      <c r="AC297" s="51"/>
      <c r="AD297" s="49">
        <f>(AC297-AB297)*24</f>
        <v>0</v>
      </c>
      <c r="AE297" s="24"/>
      <c r="AF297" s="29">
        <f t="shared" si="221"/>
        <v>6.75</v>
      </c>
    </row>
    <row r="298" spans="2:32" ht="27">
      <c r="B298" s="313" t="s">
        <v>54</v>
      </c>
      <c r="C298" s="339" t="s">
        <v>660</v>
      </c>
      <c r="D298" s="51"/>
      <c r="E298" s="51"/>
      <c r="F298" s="85"/>
      <c r="G298" s="24"/>
      <c r="H298" s="51"/>
      <c r="I298" s="51"/>
      <c r="J298" s="49"/>
      <c r="K298" s="24"/>
      <c r="L298" s="51"/>
      <c r="M298" s="51"/>
      <c r="N298" s="49"/>
      <c r="O298" s="24"/>
      <c r="P298" s="51">
        <v>0.375</v>
      </c>
      <c r="Q298" s="51">
        <v>0.71875</v>
      </c>
      <c r="R298" s="49">
        <f t="shared" si="220"/>
        <v>8.25</v>
      </c>
      <c r="S298" s="24"/>
      <c r="T298" s="51"/>
      <c r="U298" s="51"/>
      <c r="V298" s="49"/>
      <c r="W298" s="24"/>
      <c r="X298" s="51"/>
      <c r="Y298" s="51"/>
      <c r="Z298" s="49"/>
      <c r="AA298" s="24"/>
      <c r="AB298" s="51"/>
      <c r="AC298" s="51"/>
      <c r="AD298" s="49"/>
      <c r="AE298" s="24"/>
      <c r="AF298" s="29">
        <f t="shared" si="221"/>
        <v>8.25</v>
      </c>
    </row>
    <row r="299" spans="2:32" ht="14.25">
      <c r="B299" s="63" t="s">
        <v>61</v>
      </c>
      <c r="C299" s="63"/>
      <c r="D299" s="51"/>
      <c r="E299" s="51"/>
      <c r="F299" s="85">
        <f t="shared" si="211"/>
        <v>0</v>
      </c>
      <c r="G299" s="24"/>
      <c r="H299" s="51"/>
      <c r="I299" s="51"/>
      <c r="J299" s="49">
        <f t="shared" si="219"/>
        <v>0</v>
      </c>
      <c r="K299" s="24"/>
      <c r="L299" s="51"/>
      <c r="M299" s="51"/>
      <c r="N299" s="49">
        <f t="shared" si="213"/>
        <v>0</v>
      </c>
      <c r="O299" s="24"/>
      <c r="P299" s="51"/>
      <c r="Q299" s="51"/>
      <c r="R299" s="49">
        <f t="shared" si="214"/>
        <v>0</v>
      </c>
      <c r="S299" s="24"/>
      <c r="T299" s="51"/>
      <c r="U299" s="51"/>
      <c r="V299" s="49">
        <f t="shared" si="215"/>
        <v>0</v>
      </c>
      <c r="W299" s="24"/>
      <c r="X299" s="51"/>
      <c r="Y299" s="51"/>
      <c r="Z299" s="49">
        <f t="shared" si="216"/>
        <v>0</v>
      </c>
      <c r="AA299" s="24"/>
      <c r="AB299" s="51"/>
      <c r="AC299" s="51"/>
      <c r="AD299" s="49">
        <f t="shared" si="217"/>
        <v>0</v>
      </c>
      <c r="AE299" s="24"/>
      <c r="AF299" s="30">
        <f>SUM(AF292:AF298)</f>
        <v>88.083333333333343</v>
      </c>
    </row>
    <row r="300" spans="2:32">
      <c r="B300" s="31" t="s">
        <v>577</v>
      </c>
      <c r="C300" s="31"/>
      <c r="D300" s="91"/>
      <c r="E300" s="91"/>
      <c r="F300" s="90"/>
      <c r="G300" s="91"/>
      <c r="H300" s="91"/>
      <c r="I300" s="91"/>
      <c r="J300" s="90"/>
      <c r="K300" s="91"/>
      <c r="L300" s="91"/>
      <c r="M300" s="91"/>
      <c r="N300" s="90"/>
      <c r="O300" s="91"/>
      <c r="P300" s="91"/>
      <c r="Q300" s="91"/>
      <c r="R300" s="90"/>
      <c r="S300" s="91"/>
      <c r="T300" s="91"/>
      <c r="U300" s="91"/>
      <c r="V300" s="90"/>
      <c r="W300" s="91"/>
      <c r="X300" s="91"/>
      <c r="Y300" s="91"/>
      <c r="Z300" s="90"/>
      <c r="AA300" s="91"/>
      <c r="AB300" s="91"/>
      <c r="AC300" s="91"/>
      <c r="AD300" s="91"/>
      <c r="AE300" s="352"/>
      <c r="AF300" s="28"/>
    </row>
    <row r="301" spans="2:32">
      <c r="B301" s="31" t="s">
        <v>578</v>
      </c>
      <c r="C301" s="31"/>
      <c r="D301" s="91"/>
      <c r="E301" s="91"/>
      <c r="F301" s="90"/>
      <c r="G301" s="91"/>
      <c r="H301" s="91"/>
      <c r="I301" s="91"/>
      <c r="J301" s="90"/>
      <c r="K301" s="91"/>
      <c r="L301" s="91"/>
      <c r="M301" s="91"/>
      <c r="N301" s="90"/>
      <c r="O301" s="91"/>
      <c r="P301" s="91"/>
      <c r="Q301" s="91"/>
      <c r="R301" s="90"/>
      <c r="S301" s="91"/>
      <c r="T301" s="91"/>
      <c r="U301" s="91"/>
      <c r="V301" s="90"/>
      <c r="W301" s="91"/>
      <c r="X301" s="91"/>
      <c r="Y301" s="91"/>
      <c r="Z301" s="90"/>
      <c r="AA301" s="91"/>
      <c r="AB301" s="91"/>
      <c r="AC301" s="91"/>
      <c r="AD301" s="91"/>
      <c r="AE301" s="352"/>
      <c r="AF301" s="28">
        <f>SUM(D301:AD301)</f>
        <v>0</v>
      </c>
    </row>
    <row r="302" spans="2:32" ht="14.25" thickBot="1">
      <c r="B302" s="74" t="s">
        <v>579</v>
      </c>
      <c r="C302" s="74"/>
      <c r="D302" s="95"/>
      <c r="E302" s="95"/>
      <c r="F302" s="96"/>
      <c r="G302" s="95"/>
      <c r="H302" s="95"/>
      <c r="I302" s="95"/>
      <c r="J302" s="96"/>
      <c r="K302" s="95"/>
      <c r="L302" s="95"/>
      <c r="M302" s="95"/>
      <c r="N302" s="96"/>
      <c r="O302" s="95"/>
      <c r="P302" s="95"/>
      <c r="Q302" s="95"/>
      <c r="R302" s="96"/>
      <c r="S302" s="95"/>
      <c r="T302" s="95"/>
      <c r="U302" s="95"/>
      <c r="V302" s="96"/>
      <c r="W302" s="97"/>
      <c r="X302" s="97"/>
      <c r="Y302" s="97"/>
      <c r="Z302" s="96"/>
      <c r="AA302" s="97"/>
      <c r="AB302" s="97"/>
      <c r="AC302" s="97"/>
      <c r="AD302" s="97"/>
      <c r="AE302" s="97"/>
      <c r="AF302" s="80">
        <f>SUM(D302:AD302)</f>
        <v>0</v>
      </c>
    </row>
    <row r="303" spans="2:32" ht="13.5" customHeight="1" thickTop="1">
      <c r="B303" s="1518" t="s">
        <v>18</v>
      </c>
      <c r="C303" s="1552" t="s">
        <v>571</v>
      </c>
      <c r="D303" s="1524">
        <v>45187</v>
      </c>
      <c r="E303" s="1524"/>
      <c r="F303" s="1524"/>
      <c r="G303" s="22"/>
      <c r="H303" s="1524">
        <f>D303+1</f>
        <v>45188</v>
      </c>
      <c r="I303" s="1524"/>
      <c r="J303" s="1524"/>
      <c r="K303" s="22"/>
      <c r="L303" s="1524">
        <f>H303+1</f>
        <v>45189</v>
      </c>
      <c r="M303" s="1524"/>
      <c r="N303" s="1524"/>
      <c r="P303" s="1524">
        <f>L303+1</f>
        <v>45190</v>
      </c>
      <c r="Q303" s="1524"/>
      <c r="R303" s="1524"/>
      <c r="T303" s="1524">
        <f>P303+1</f>
        <v>45191</v>
      </c>
      <c r="U303" s="1524"/>
      <c r="V303" s="1524"/>
      <c r="W303" s="22"/>
      <c r="X303" s="1524">
        <f>T303+1</f>
        <v>45192</v>
      </c>
      <c r="Y303" s="1524"/>
      <c r="Z303" s="1524"/>
      <c r="AB303" s="1524">
        <f>X303+1</f>
        <v>45193</v>
      </c>
      <c r="AC303" s="1524"/>
      <c r="AD303" s="1524"/>
      <c r="AE303" s="22"/>
      <c r="AF303" s="1517" t="s">
        <v>19</v>
      </c>
    </row>
    <row r="304" spans="2:32" ht="13.5" customHeight="1">
      <c r="B304" s="1518"/>
      <c r="C304" s="1552"/>
      <c r="D304" s="21" t="s">
        <v>23</v>
      </c>
      <c r="E304" s="21" t="s">
        <v>24</v>
      </c>
      <c r="F304" s="62" t="s">
        <v>25</v>
      </c>
      <c r="G304" s="23"/>
      <c r="H304" s="21" t="s">
        <v>23</v>
      </c>
      <c r="I304" s="21" t="s">
        <v>24</v>
      </c>
      <c r="J304" s="18" t="s">
        <v>25</v>
      </c>
      <c r="K304" s="23"/>
      <c r="L304" s="21" t="s">
        <v>23</v>
      </c>
      <c r="M304" s="21" t="s">
        <v>24</v>
      </c>
      <c r="N304" s="18" t="s">
        <v>25</v>
      </c>
      <c r="O304" s="23"/>
      <c r="P304" s="21" t="s">
        <v>23</v>
      </c>
      <c r="Q304" s="21" t="s">
        <v>24</v>
      </c>
      <c r="R304" s="18" t="s">
        <v>25</v>
      </c>
      <c r="S304" s="23"/>
      <c r="T304" s="21" t="s">
        <v>23</v>
      </c>
      <c r="U304" s="21" t="s">
        <v>24</v>
      </c>
      <c r="V304" s="18" t="s">
        <v>25</v>
      </c>
      <c r="W304" s="23"/>
      <c r="X304" s="21" t="s">
        <v>23</v>
      </c>
      <c r="Y304" s="21" t="s">
        <v>24</v>
      </c>
      <c r="Z304" s="18" t="s">
        <v>25</v>
      </c>
      <c r="AA304" s="23"/>
      <c r="AB304" s="21" t="s">
        <v>23</v>
      </c>
      <c r="AC304" s="21" t="s">
        <v>24</v>
      </c>
      <c r="AD304" s="18" t="s">
        <v>25</v>
      </c>
      <c r="AE304" s="23"/>
      <c r="AF304" s="1517"/>
    </row>
    <row r="305" spans="2:32" ht="27">
      <c r="B305" s="313" t="s">
        <v>54</v>
      </c>
      <c r="C305" s="339" t="s">
        <v>661</v>
      </c>
      <c r="D305" s="51">
        <v>0.375</v>
      </c>
      <c r="E305" s="51">
        <v>0.70833333333333337</v>
      </c>
      <c r="F305" s="85">
        <f t="shared" ref="F305:F312" si="222">(E305-D305)*24</f>
        <v>8</v>
      </c>
      <c r="G305" s="24"/>
      <c r="H305" s="51"/>
      <c r="I305" s="51"/>
      <c r="J305" s="49">
        <f t="shared" ref="J305:J312" si="223">(I305-H305)*24</f>
        <v>0</v>
      </c>
      <c r="K305" s="24"/>
      <c r="L305" s="51"/>
      <c r="M305" s="51"/>
      <c r="N305" s="49">
        <f t="shared" ref="N305:N312" si="224">(M305-L305)*24</f>
        <v>0</v>
      </c>
      <c r="O305" s="24"/>
      <c r="P305" s="51"/>
      <c r="Q305" s="51"/>
      <c r="R305" s="49">
        <f t="shared" ref="R305:R312" si="225">(Q305-P305)*24</f>
        <v>0</v>
      </c>
      <c r="S305" s="24"/>
      <c r="T305" s="51"/>
      <c r="U305" s="51"/>
      <c r="V305" s="49">
        <f t="shared" ref="V305:V312" si="226">(U305-T305)*24</f>
        <v>0</v>
      </c>
      <c r="W305" s="24"/>
      <c r="X305" s="51"/>
      <c r="Y305" s="51"/>
      <c r="Z305" s="49">
        <f t="shared" ref="Z305:Z312" si="227">(Y305-X305)*24</f>
        <v>0</v>
      </c>
      <c r="AA305" s="24"/>
      <c r="AB305" s="51"/>
      <c r="AC305" s="51"/>
      <c r="AD305" s="49">
        <f t="shared" ref="AD305:AD312" si="228">(AC305-AB305)*24</f>
        <v>0</v>
      </c>
      <c r="AE305" s="24"/>
      <c r="AF305" s="29">
        <f t="shared" ref="AF305:AF311" si="229">J305+F305+N305+R305+V305+Z305+AD305</f>
        <v>8</v>
      </c>
    </row>
    <row r="306" spans="2:32" ht="40.5">
      <c r="B306" s="13" t="s">
        <v>572</v>
      </c>
      <c r="C306" s="339" t="s">
        <v>662</v>
      </c>
      <c r="D306" s="51"/>
      <c r="E306" s="51"/>
      <c r="F306" s="85">
        <f t="shared" si="222"/>
        <v>0</v>
      </c>
      <c r="G306" s="24"/>
      <c r="H306" s="51"/>
      <c r="I306" s="51"/>
      <c r="J306" s="49">
        <f t="shared" si="223"/>
        <v>0</v>
      </c>
      <c r="K306" s="24"/>
      <c r="L306" s="51"/>
      <c r="M306" s="51"/>
      <c r="N306" s="49">
        <f t="shared" si="224"/>
        <v>0</v>
      </c>
      <c r="O306" s="24"/>
      <c r="P306" s="51">
        <v>0.375</v>
      </c>
      <c r="Q306" s="51">
        <v>0.72916666666666663</v>
      </c>
      <c r="R306" s="49">
        <f t="shared" si="225"/>
        <v>8.5</v>
      </c>
      <c r="S306" s="24"/>
      <c r="T306" s="51"/>
      <c r="U306" s="51"/>
      <c r="V306" s="49">
        <f t="shared" si="226"/>
        <v>0</v>
      </c>
      <c r="W306" s="24"/>
      <c r="X306" s="51"/>
      <c r="Y306" s="51"/>
      <c r="Z306" s="49">
        <f t="shared" si="227"/>
        <v>0</v>
      </c>
      <c r="AA306" s="24"/>
      <c r="AB306" s="51"/>
      <c r="AC306" s="51"/>
      <c r="AD306" s="49">
        <f t="shared" si="228"/>
        <v>0</v>
      </c>
      <c r="AE306" s="24"/>
      <c r="AF306" s="29">
        <f t="shared" si="229"/>
        <v>8.5</v>
      </c>
    </row>
    <row r="307" spans="2:32" ht="40.5">
      <c r="B307" s="313" t="s">
        <v>637</v>
      </c>
      <c r="C307" s="339" t="s">
        <v>662</v>
      </c>
      <c r="D307" s="51"/>
      <c r="E307" s="51"/>
      <c r="F307" s="85">
        <f t="shared" si="222"/>
        <v>0</v>
      </c>
      <c r="G307" s="24"/>
      <c r="H307" s="51"/>
      <c r="I307" s="51"/>
      <c r="J307" s="49">
        <f t="shared" si="223"/>
        <v>0</v>
      </c>
      <c r="K307" s="24"/>
      <c r="L307" s="51"/>
      <c r="M307" s="51"/>
      <c r="N307" s="49">
        <f t="shared" si="224"/>
        <v>0</v>
      </c>
      <c r="O307" s="24"/>
      <c r="P307" s="51">
        <v>0.375</v>
      </c>
      <c r="Q307" s="51">
        <v>0.72916666666666663</v>
      </c>
      <c r="R307" s="49">
        <f t="shared" si="225"/>
        <v>8.5</v>
      </c>
      <c r="S307" s="24"/>
      <c r="T307" s="51"/>
      <c r="U307" s="51"/>
      <c r="V307" s="49">
        <f t="shared" si="226"/>
        <v>0</v>
      </c>
      <c r="W307" s="24"/>
      <c r="X307" s="51"/>
      <c r="Y307" s="51"/>
      <c r="Z307" s="49">
        <f t="shared" si="227"/>
        <v>0</v>
      </c>
      <c r="AA307" s="24"/>
      <c r="AB307" s="51"/>
      <c r="AC307" s="51"/>
      <c r="AD307" s="49">
        <f t="shared" si="228"/>
        <v>0</v>
      </c>
      <c r="AE307" s="24"/>
      <c r="AF307" s="29">
        <f t="shared" si="229"/>
        <v>8.5</v>
      </c>
    </row>
    <row r="308" spans="2:32" ht="14.25">
      <c r="B308" s="313"/>
      <c r="C308" s="339"/>
      <c r="D308" s="51"/>
      <c r="E308" s="51"/>
      <c r="F308" s="85">
        <f t="shared" si="222"/>
        <v>0</v>
      </c>
      <c r="G308" s="24"/>
      <c r="H308" s="51"/>
      <c r="I308" s="51"/>
      <c r="J308" s="49">
        <f t="shared" si="223"/>
        <v>0</v>
      </c>
      <c r="K308" s="24"/>
      <c r="L308" s="51"/>
      <c r="M308" s="51"/>
      <c r="N308" s="49">
        <f t="shared" si="224"/>
        <v>0</v>
      </c>
      <c r="O308" s="24"/>
      <c r="P308" s="51"/>
      <c r="Q308" s="51"/>
      <c r="R308" s="49">
        <f t="shared" si="225"/>
        <v>0</v>
      </c>
      <c r="S308" s="24"/>
      <c r="T308" s="51"/>
      <c r="U308" s="51"/>
      <c r="V308" s="49">
        <f t="shared" si="226"/>
        <v>0</v>
      </c>
      <c r="W308" s="24"/>
      <c r="X308" s="51"/>
      <c r="Y308" s="51"/>
      <c r="Z308" s="49">
        <f t="shared" si="227"/>
        <v>0</v>
      </c>
      <c r="AA308" s="24"/>
      <c r="AB308" s="51"/>
      <c r="AC308" s="51"/>
      <c r="AD308" s="49">
        <f t="shared" si="228"/>
        <v>0</v>
      </c>
      <c r="AE308" s="24"/>
      <c r="AF308" s="29">
        <f t="shared" si="229"/>
        <v>0</v>
      </c>
    </row>
    <row r="309" spans="2:32" ht="14.25">
      <c r="B309" s="313"/>
      <c r="C309" s="339"/>
      <c r="D309" s="51"/>
      <c r="E309" s="51"/>
      <c r="F309" s="85">
        <f t="shared" si="222"/>
        <v>0</v>
      </c>
      <c r="G309" s="24"/>
      <c r="H309" s="51"/>
      <c r="I309" s="51"/>
      <c r="J309" s="49">
        <f t="shared" si="223"/>
        <v>0</v>
      </c>
      <c r="K309" s="24"/>
      <c r="L309" s="51"/>
      <c r="M309" s="51"/>
      <c r="N309" s="49">
        <f t="shared" si="224"/>
        <v>0</v>
      </c>
      <c r="O309" s="24"/>
      <c r="P309" s="51"/>
      <c r="Q309" s="51"/>
      <c r="R309" s="49">
        <f t="shared" si="225"/>
        <v>0</v>
      </c>
      <c r="S309" s="24"/>
      <c r="T309" s="51"/>
      <c r="U309" s="51"/>
      <c r="V309" s="49">
        <f t="shared" si="226"/>
        <v>0</v>
      </c>
      <c r="W309" s="24"/>
      <c r="X309" s="51"/>
      <c r="Y309" s="51"/>
      <c r="Z309" s="49">
        <f t="shared" si="227"/>
        <v>0</v>
      </c>
      <c r="AA309" s="24"/>
      <c r="AB309" s="51"/>
      <c r="AC309" s="51"/>
      <c r="AD309" s="49">
        <f t="shared" si="228"/>
        <v>0</v>
      </c>
      <c r="AE309" s="24"/>
      <c r="AF309" s="29">
        <f t="shared" si="229"/>
        <v>0</v>
      </c>
    </row>
    <row r="310" spans="2:32" ht="14.25">
      <c r="C310" s="340"/>
      <c r="D310" s="51"/>
      <c r="E310" s="51"/>
      <c r="F310" s="85">
        <f t="shared" si="222"/>
        <v>0</v>
      </c>
      <c r="G310" s="24"/>
      <c r="H310" s="51"/>
      <c r="I310" s="51"/>
      <c r="J310" s="49">
        <f t="shared" si="223"/>
        <v>0</v>
      </c>
      <c r="K310" s="24"/>
      <c r="L310" s="51"/>
      <c r="M310" s="51"/>
      <c r="N310" s="49">
        <f t="shared" si="224"/>
        <v>0</v>
      </c>
      <c r="O310" s="24"/>
      <c r="P310" s="51"/>
      <c r="Q310" s="51"/>
      <c r="R310" s="49">
        <f t="shared" si="225"/>
        <v>0</v>
      </c>
      <c r="S310" s="24"/>
      <c r="T310" s="51"/>
      <c r="U310" s="51"/>
      <c r="V310" s="49">
        <f t="shared" si="226"/>
        <v>0</v>
      </c>
      <c r="W310" s="24"/>
      <c r="X310" s="51"/>
      <c r="Y310" s="51"/>
      <c r="Z310" s="49">
        <f t="shared" si="227"/>
        <v>0</v>
      </c>
      <c r="AA310" s="24"/>
      <c r="AB310" s="51"/>
      <c r="AC310" s="51"/>
      <c r="AD310" s="49">
        <f t="shared" si="228"/>
        <v>0</v>
      </c>
      <c r="AE310" s="24"/>
      <c r="AF310" s="29">
        <f t="shared" si="229"/>
        <v>0</v>
      </c>
    </row>
    <row r="311" spans="2:32" ht="14.25">
      <c r="C311" s="340"/>
      <c r="D311" s="51"/>
      <c r="E311" s="51"/>
      <c r="F311" s="85">
        <f t="shared" si="222"/>
        <v>0</v>
      </c>
      <c r="G311" s="24"/>
      <c r="H311" s="51"/>
      <c r="I311" s="51"/>
      <c r="J311" s="49">
        <f t="shared" si="223"/>
        <v>0</v>
      </c>
      <c r="K311" s="24"/>
      <c r="L311" s="51"/>
      <c r="M311" s="51"/>
      <c r="N311" s="49">
        <f t="shared" si="224"/>
        <v>0</v>
      </c>
      <c r="O311" s="24"/>
      <c r="P311" s="51"/>
      <c r="Q311" s="51"/>
      <c r="R311" s="49">
        <f t="shared" si="225"/>
        <v>0</v>
      </c>
      <c r="S311" s="24"/>
      <c r="T311" s="51"/>
      <c r="U311" s="51"/>
      <c r="V311" s="49">
        <f t="shared" si="226"/>
        <v>0</v>
      </c>
      <c r="W311" s="24"/>
      <c r="X311" s="51"/>
      <c r="Y311" s="51"/>
      <c r="Z311" s="49">
        <f t="shared" si="227"/>
        <v>0</v>
      </c>
      <c r="AA311" s="24"/>
      <c r="AB311" s="51"/>
      <c r="AC311" s="51"/>
      <c r="AD311" s="49">
        <f t="shared" si="228"/>
        <v>0</v>
      </c>
      <c r="AE311" s="24"/>
      <c r="AF311" s="29">
        <f t="shared" si="229"/>
        <v>0</v>
      </c>
    </row>
    <row r="312" spans="2:32" ht="14.25">
      <c r="B312" s="63" t="s">
        <v>61</v>
      </c>
      <c r="C312" s="63"/>
      <c r="D312" s="51"/>
      <c r="E312" s="51"/>
      <c r="F312" s="85">
        <f t="shared" si="222"/>
        <v>0</v>
      </c>
      <c r="G312" s="24"/>
      <c r="H312" s="51"/>
      <c r="I312" s="51"/>
      <c r="J312" s="49">
        <f t="shared" si="223"/>
        <v>0</v>
      </c>
      <c r="K312" s="24"/>
      <c r="L312" s="51"/>
      <c r="M312" s="51"/>
      <c r="N312" s="49">
        <f t="shared" si="224"/>
        <v>0</v>
      </c>
      <c r="O312" s="24"/>
      <c r="P312" s="51"/>
      <c r="Q312" s="51"/>
      <c r="R312" s="49">
        <f t="shared" si="225"/>
        <v>0</v>
      </c>
      <c r="S312" s="24"/>
      <c r="T312" s="51"/>
      <c r="U312" s="51"/>
      <c r="V312" s="49">
        <f t="shared" si="226"/>
        <v>0</v>
      </c>
      <c r="W312" s="24"/>
      <c r="X312" s="51"/>
      <c r="Y312" s="51"/>
      <c r="Z312" s="49">
        <f t="shared" si="227"/>
        <v>0</v>
      </c>
      <c r="AA312" s="24"/>
      <c r="AB312" s="51"/>
      <c r="AC312" s="51"/>
      <c r="AD312" s="49">
        <f t="shared" si="228"/>
        <v>0</v>
      </c>
      <c r="AE312" s="24"/>
      <c r="AF312" s="30">
        <f>SUM(AF305:AF311)</f>
        <v>25</v>
      </c>
    </row>
    <row r="313" spans="2:32">
      <c r="B313" s="31" t="s">
        <v>577</v>
      </c>
      <c r="C313" s="31"/>
      <c r="D313" s="91"/>
      <c r="E313" s="91"/>
      <c r="F313" s="90"/>
      <c r="G313" s="91"/>
      <c r="H313" s="91"/>
      <c r="I313" s="91"/>
      <c r="J313" s="90"/>
      <c r="K313" s="91"/>
      <c r="L313" s="91"/>
      <c r="M313" s="91"/>
      <c r="N313" s="90"/>
      <c r="O313" s="91"/>
      <c r="P313" s="91"/>
      <c r="Q313" s="91"/>
      <c r="R313" s="90"/>
      <c r="S313" s="91"/>
      <c r="T313" s="91"/>
      <c r="U313" s="91"/>
      <c r="V313" s="90"/>
      <c r="W313" s="91"/>
      <c r="X313" s="91"/>
      <c r="Y313" s="91"/>
      <c r="Z313" s="90"/>
      <c r="AA313" s="91"/>
      <c r="AB313" s="91"/>
      <c r="AC313" s="91"/>
      <c r="AD313" s="91"/>
      <c r="AE313" s="352"/>
      <c r="AF313" s="28"/>
    </row>
    <row r="314" spans="2:32">
      <c r="B314" s="31" t="s">
        <v>578</v>
      </c>
      <c r="C314" s="31"/>
      <c r="D314" s="91"/>
      <c r="E314" s="91"/>
      <c r="F314" s="90"/>
      <c r="G314" s="91"/>
      <c r="H314" s="91"/>
      <c r="I314" s="91"/>
      <c r="J314" s="90"/>
      <c r="K314" s="91"/>
      <c r="L314" s="91"/>
      <c r="M314" s="91"/>
      <c r="N314" s="90"/>
      <c r="O314" s="91"/>
      <c r="P314" s="91"/>
      <c r="Q314" s="91"/>
      <c r="R314" s="90"/>
      <c r="S314" s="91"/>
      <c r="T314" s="91"/>
      <c r="U314" s="91"/>
      <c r="V314" s="90"/>
      <c r="W314" s="91"/>
      <c r="X314" s="91"/>
      <c r="Y314" s="91"/>
      <c r="Z314" s="90"/>
      <c r="AA314" s="91"/>
      <c r="AB314" s="91"/>
      <c r="AC314" s="91"/>
      <c r="AD314" s="91"/>
      <c r="AE314" s="352"/>
      <c r="AF314" s="28">
        <f>SUM(D314:AD314)</f>
        <v>0</v>
      </c>
    </row>
    <row r="315" spans="2:32" ht="14.25" thickBot="1">
      <c r="B315" s="74" t="s">
        <v>579</v>
      </c>
      <c r="C315" s="74"/>
      <c r="D315" s="95"/>
      <c r="E315" s="95"/>
      <c r="F315" s="96"/>
      <c r="G315" s="95"/>
      <c r="H315" s="95"/>
      <c r="I315" s="95"/>
      <c r="J315" s="96"/>
      <c r="K315" s="95"/>
      <c r="L315" s="95"/>
      <c r="M315" s="95"/>
      <c r="N315" s="96"/>
      <c r="O315" s="95"/>
      <c r="P315" s="95"/>
      <c r="Q315" s="95"/>
      <c r="R315" s="96"/>
      <c r="S315" s="95"/>
      <c r="T315" s="95"/>
      <c r="U315" s="95"/>
      <c r="V315" s="96"/>
      <c r="W315" s="97"/>
      <c r="X315" s="97"/>
      <c r="Y315" s="97"/>
      <c r="Z315" s="96"/>
      <c r="AA315" s="97"/>
      <c r="AB315" s="97"/>
      <c r="AC315" s="97"/>
      <c r="AD315" s="97"/>
      <c r="AE315" s="97"/>
      <c r="AF315" s="80">
        <f>SUM(D315:AD315)</f>
        <v>0</v>
      </c>
    </row>
    <row r="316" spans="2:32" ht="13.5" customHeight="1" thickTop="1">
      <c r="B316" s="1518" t="s">
        <v>18</v>
      </c>
      <c r="C316" s="1552" t="s">
        <v>571</v>
      </c>
      <c r="D316" s="1524">
        <v>45194</v>
      </c>
      <c r="E316" s="1524"/>
      <c r="F316" s="1524"/>
      <c r="G316" s="22"/>
      <c r="H316" s="1524">
        <f>D316+1</f>
        <v>45195</v>
      </c>
      <c r="I316" s="1524"/>
      <c r="J316" s="1524"/>
      <c r="K316" s="22"/>
      <c r="L316" s="1524">
        <f>H316+1</f>
        <v>45196</v>
      </c>
      <c r="M316" s="1524"/>
      <c r="N316" s="1524"/>
      <c r="P316" s="1524">
        <f>L316+1</f>
        <v>45197</v>
      </c>
      <c r="Q316" s="1524"/>
      <c r="R316" s="1524"/>
      <c r="T316" s="1524">
        <f>P316+1</f>
        <v>45198</v>
      </c>
      <c r="U316" s="1524"/>
      <c r="V316" s="1524"/>
      <c r="W316" s="22"/>
      <c r="X316" s="1524">
        <f>T316+1</f>
        <v>45199</v>
      </c>
      <c r="Y316" s="1524"/>
      <c r="Z316" s="1524"/>
      <c r="AB316" s="1524">
        <f>X316+1</f>
        <v>45200</v>
      </c>
      <c r="AC316" s="1524"/>
      <c r="AD316" s="1524"/>
      <c r="AE316" s="22"/>
      <c r="AF316" s="1517" t="s">
        <v>19</v>
      </c>
    </row>
    <row r="317" spans="2:32" ht="13.5" customHeight="1">
      <c r="B317" s="1518"/>
      <c r="C317" s="1552"/>
      <c r="D317" s="21" t="s">
        <v>23</v>
      </c>
      <c r="E317" s="21" t="s">
        <v>24</v>
      </c>
      <c r="F317" s="62" t="s">
        <v>25</v>
      </c>
      <c r="G317" s="23"/>
      <c r="H317" s="21" t="s">
        <v>23</v>
      </c>
      <c r="I317" s="21" t="s">
        <v>24</v>
      </c>
      <c r="J317" s="18" t="s">
        <v>25</v>
      </c>
      <c r="K317" s="23"/>
      <c r="L317" s="21" t="s">
        <v>23</v>
      </c>
      <c r="M317" s="21" t="s">
        <v>24</v>
      </c>
      <c r="N317" s="18" t="s">
        <v>25</v>
      </c>
      <c r="O317" s="23"/>
      <c r="P317" s="21" t="s">
        <v>23</v>
      </c>
      <c r="Q317" s="21" t="s">
        <v>24</v>
      </c>
      <c r="R317" s="18" t="s">
        <v>25</v>
      </c>
      <c r="S317" s="23"/>
      <c r="T317" s="21" t="s">
        <v>23</v>
      </c>
      <c r="U317" s="21" t="s">
        <v>24</v>
      </c>
      <c r="V317" s="18" t="s">
        <v>25</v>
      </c>
      <c r="W317" s="23"/>
      <c r="X317" s="21" t="s">
        <v>23</v>
      </c>
      <c r="Y317" s="21" t="s">
        <v>24</v>
      </c>
      <c r="Z317" s="18" t="s">
        <v>25</v>
      </c>
      <c r="AA317" s="23"/>
      <c r="AB317" s="21" t="s">
        <v>23</v>
      </c>
      <c r="AC317" s="21" t="s">
        <v>24</v>
      </c>
      <c r="AD317" s="18" t="s">
        <v>25</v>
      </c>
      <c r="AE317" s="23"/>
      <c r="AF317" s="1517"/>
    </row>
    <row r="318" spans="2:32" ht="27">
      <c r="B318" s="313" t="s">
        <v>572</v>
      </c>
      <c r="C318" s="339" t="s">
        <v>655</v>
      </c>
      <c r="D318" s="51">
        <v>0.375</v>
      </c>
      <c r="E318" s="51">
        <v>0.70833333333333337</v>
      </c>
      <c r="F318" s="85">
        <f t="shared" ref="F318:F333" si="230">(E318-D318)*24</f>
        <v>8</v>
      </c>
      <c r="G318" s="24"/>
      <c r="H318" s="51"/>
      <c r="I318" s="51"/>
      <c r="J318" s="49">
        <f t="shared" ref="J318:J333" si="231">(I318-H318)*24</f>
        <v>0</v>
      </c>
      <c r="K318" s="24"/>
      <c r="L318" s="51"/>
      <c r="M318" s="51"/>
      <c r="N318" s="49">
        <f t="shared" ref="N318:N333" si="232">(M318-L318)*24</f>
        <v>0</v>
      </c>
      <c r="O318" s="24"/>
      <c r="P318" s="51"/>
      <c r="Q318" s="51"/>
      <c r="R318" s="49">
        <f t="shared" ref="R318:R333" si="233">(Q318-P318)*24</f>
        <v>0</v>
      </c>
      <c r="S318" s="24"/>
      <c r="T318" s="51"/>
      <c r="U318" s="51"/>
      <c r="V318" s="49">
        <f t="shared" ref="V318:V333" si="234">(U318-T318)*24</f>
        <v>0</v>
      </c>
      <c r="W318" s="24"/>
      <c r="X318" s="51"/>
      <c r="Y318" s="51"/>
      <c r="Z318" s="49">
        <f t="shared" ref="Z318:Z333" si="235">(Y318-X318)*24</f>
        <v>0</v>
      </c>
      <c r="AA318" s="24"/>
      <c r="AB318" s="51"/>
      <c r="AC318" s="51"/>
      <c r="AD318" s="49">
        <f t="shared" ref="AD318:AD333" si="236">(AC318-AB318)*24</f>
        <v>0</v>
      </c>
      <c r="AE318" s="24"/>
      <c r="AF318" s="29">
        <f t="shared" ref="AF318:AF332" si="237">J318+F318+N318+R318+V318+Z318+AD318</f>
        <v>8</v>
      </c>
    </row>
    <row r="319" spans="2:32" ht="27">
      <c r="B319" s="13" t="s">
        <v>637</v>
      </c>
      <c r="C319" s="339" t="s">
        <v>655</v>
      </c>
      <c r="D319" s="51">
        <v>0.375</v>
      </c>
      <c r="E319" s="51">
        <v>0.70833333333333337</v>
      </c>
      <c r="F319" s="85">
        <f t="shared" si="230"/>
        <v>8</v>
      </c>
      <c r="G319" s="24"/>
      <c r="H319" s="51"/>
      <c r="I319" s="51"/>
      <c r="J319" s="49">
        <f t="shared" si="231"/>
        <v>0</v>
      </c>
      <c r="K319" s="24"/>
      <c r="L319" s="51"/>
      <c r="M319" s="51"/>
      <c r="N319" s="49">
        <f t="shared" si="232"/>
        <v>0</v>
      </c>
      <c r="O319" s="24"/>
      <c r="P319" s="51"/>
      <c r="Q319" s="51"/>
      <c r="R319" s="49">
        <f t="shared" si="233"/>
        <v>0</v>
      </c>
      <c r="S319" s="24"/>
      <c r="T319" s="51"/>
      <c r="U319" s="51"/>
      <c r="V319" s="49">
        <f t="shared" si="234"/>
        <v>0</v>
      </c>
      <c r="W319" s="24"/>
      <c r="X319" s="51"/>
      <c r="Y319" s="51"/>
      <c r="Z319" s="49">
        <f t="shared" si="235"/>
        <v>0</v>
      </c>
      <c r="AA319" s="24"/>
      <c r="AB319" s="51"/>
      <c r="AC319" s="51"/>
      <c r="AD319" s="49">
        <f t="shared" si="236"/>
        <v>0</v>
      </c>
      <c r="AE319" s="24"/>
      <c r="AF319" s="29">
        <f t="shared" si="237"/>
        <v>8</v>
      </c>
    </row>
    <row r="320" spans="2:32" ht="27">
      <c r="B320" s="313" t="s">
        <v>576</v>
      </c>
      <c r="C320" s="339" t="s">
        <v>655</v>
      </c>
      <c r="D320" s="51">
        <v>0.5</v>
      </c>
      <c r="E320" s="51">
        <v>0.70833333333333337</v>
      </c>
      <c r="F320" s="85">
        <f t="shared" si="230"/>
        <v>5.0000000000000009</v>
      </c>
      <c r="G320" s="24"/>
      <c r="H320" s="51"/>
      <c r="I320" s="51"/>
      <c r="J320" s="49">
        <f t="shared" si="231"/>
        <v>0</v>
      </c>
      <c r="K320" s="24"/>
      <c r="L320" s="51"/>
      <c r="M320" s="51"/>
      <c r="N320" s="49">
        <f t="shared" si="232"/>
        <v>0</v>
      </c>
      <c r="O320" s="24"/>
      <c r="P320" s="51"/>
      <c r="Q320" s="51"/>
      <c r="R320" s="49">
        <f t="shared" si="233"/>
        <v>0</v>
      </c>
      <c r="S320" s="24"/>
      <c r="T320" s="51"/>
      <c r="U320" s="51"/>
      <c r="V320" s="49">
        <f t="shared" si="234"/>
        <v>0</v>
      </c>
      <c r="W320" s="24"/>
      <c r="X320" s="51"/>
      <c r="Y320" s="51"/>
      <c r="Z320" s="49">
        <f t="shared" si="235"/>
        <v>0</v>
      </c>
      <c r="AA320" s="24"/>
      <c r="AB320" s="51"/>
      <c r="AC320" s="51"/>
      <c r="AD320" s="49">
        <f t="shared" si="236"/>
        <v>0</v>
      </c>
      <c r="AE320" s="24"/>
      <c r="AF320" s="29">
        <f t="shared" si="237"/>
        <v>5.0000000000000009</v>
      </c>
    </row>
    <row r="321" spans="2:32" ht="27">
      <c r="B321" s="313" t="s">
        <v>54</v>
      </c>
      <c r="C321" s="339" t="s">
        <v>663</v>
      </c>
      <c r="D321" s="51"/>
      <c r="E321" s="51"/>
      <c r="F321" s="85">
        <f t="shared" ref="F321:F325" si="238">(E321-D321)*24</f>
        <v>0</v>
      </c>
      <c r="G321" s="24"/>
      <c r="H321" s="51">
        <v>0.41666666666666669</v>
      </c>
      <c r="I321" s="51">
        <v>0.45833333333333331</v>
      </c>
      <c r="J321" s="49">
        <f t="shared" ref="J321:J325" si="239">(I321-H321)*24</f>
        <v>0.99999999999999911</v>
      </c>
      <c r="K321" s="24"/>
      <c r="L321" s="51"/>
      <c r="M321" s="51"/>
      <c r="N321" s="49">
        <f t="shared" ref="N321:N325" si="240">(M321-L321)*24</f>
        <v>0</v>
      </c>
      <c r="O321" s="24"/>
      <c r="P321" s="51"/>
      <c r="Q321" s="51"/>
      <c r="R321" s="49">
        <f t="shared" ref="R321:R325" si="241">(Q321-P321)*24</f>
        <v>0</v>
      </c>
      <c r="S321" s="24"/>
      <c r="T321" s="51"/>
      <c r="U321" s="51"/>
      <c r="V321" s="49">
        <f t="shared" ref="V321:V325" si="242">(U321-T321)*24</f>
        <v>0</v>
      </c>
      <c r="W321" s="24"/>
      <c r="X321" s="51"/>
      <c r="Y321" s="51"/>
      <c r="Z321" s="49">
        <f t="shared" ref="Z321:Z325" si="243">(Y321-X321)*24</f>
        <v>0</v>
      </c>
      <c r="AA321" s="24"/>
      <c r="AB321" s="51"/>
      <c r="AC321" s="51"/>
      <c r="AD321" s="49">
        <f t="shared" ref="AD321:AD325" si="244">(AC321-AB321)*24</f>
        <v>0</v>
      </c>
      <c r="AE321" s="24"/>
      <c r="AF321" s="29">
        <f t="shared" ref="AF321:AF325" si="245">J321+F321+N321+R321+V321+Z321+AD321</f>
        <v>0.99999999999999911</v>
      </c>
    </row>
    <row r="322" spans="2:32" ht="40.5">
      <c r="B322" s="313" t="s">
        <v>572</v>
      </c>
      <c r="C322" s="339" t="s">
        <v>664</v>
      </c>
      <c r="D322" s="51"/>
      <c r="E322" s="51"/>
      <c r="F322" s="85">
        <f>(E322-D322)*24</f>
        <v>0</v>
      </c>
      <c r="G322" s="24"/>
      <c r="H322" s="51">
        <v>0.25</v>
      </c>
      <c r="I322" s="51">
        <v>0.33333333333333331</v>
      </c>
      <c r="J322" s="49">
        <f>(I322-H322)*24</f>
        <v>1.9999999999999996</v>
      </c>
      <c r="K322" s="24"/>
      <c r="L322" s="51"/>
      <c r="M322" s="51"/>
      <c r="N322" s="49">
        <f>(M322-L322)*24</f>
        <v>0</v>
      </c>
      <c r="O322" s="24"/>
      <c r="P322" s="51"/>
      <c r="Q322" s="51"/>
      <c r="R322" s="49">
        <f>(Q322-P322)*24</f>
        <v>0</v>
      </c>
      <c r="S322" s="24"/>
      <c r="T322" s="51"/>
      <c r="U322" s="51"/>
      <c r="V322" s="49">
        <f>(U322-T322)*24</f>
        <v>0</v>
      </c>
      <c r="W322" s="24"/>
      <c r="X322" s="51"/>
      <c r="Y322" s="51"/>
      <c r="Z322" s="49">
        <f>(Y322-X322)*24</f>
        <v>0</v>
      </c>
      <c r="AA322" s="24"/>
      <c r="AB322" s="51"/>
      <c r="AC322" s="51"/>
      <c r="AD322" s="49">
        <f>(AC322-AB322)*24</f>
        <v>0</v>
      </c>
      <c r="AE322" s="24"/>
      <c r="AF322" s="29">
        <f>J322+F322+N322+R322+V322+Z322+AD322</f>
        <v>1.9999999999999996</v>
      </c>
    </row>
    <row r="323" spans="2:32" ht="27">
      <c r="B323" s="313" t="s">
        <v>572</v>
      </c>
      <c r="C323" s="339" t="s">
        <v>665</v>
      </c>
      <c r="D323" s="51"/>
      <c r="E323" s="51"/>
      <c r="F323" s="85">
        <f t="shared" si="238"/>
        <v>0</v>
      </c>
      <c r="G323" s="24"/>
      <c r="H323" s="51">
        <v>0.375</v>
      </c>
      <c r="I323" s="51">
        <v>0.70833333333333337</v>
      </c>
      <c r="J323" s="49">
        <f t="shared" si="239"/>
        <v>8</v>
      </c>
      <c r="K323" s="24"/>
      <c r="L323" s="51">
        <v>0.375</v>
      </c>
      <c r="M323" s="51">
        <v>0.875</v>
      </c>
      <c r="N323" s="49">
        <f t="shared" si="240"/>
        <v>12</v>
      </c>
      <c r="O323" s="24"/>
      <c r="P323" s="51"/>
      <c r="Q323" s="51"/>
      <c r="R323" s="49">
        <f t="shared" si="241"/>
        <v>0</v>
      </c>
      <c r="S323" s="24"/>
      <c r="T323" s="51"/>
      <c r="U323" s="51"/>
      <c r="V323" s="49">
        <f t="shared" si="242"/>
        <v>0</v>
      </c>
      <c r="W323" s="24"/>
      <c r="X323" s="51"/>
      <c r="Y323" s="51"/>
      <c r="Z323" s="49">
        <f t="shared" si="243"/>
        <v>0</v>
      </c>
      <c r="AA323" s="24"/>
      <c r="AB323" s="51"/>
      <c r="AC323" s="51"/>
      <c r="AD323" s="49">
        <f t="shared" si="244"/>
        <v>0</v>
      </c>
      <c r="AE323" s="24"/>
      <c r="AF323" s="29">
        <f t="shared" si="245"/>
        <v>20</v>
      </c>
    </row>
    <row r="324" spans="2:32" ht="27">
      <c r="B324" s="313" t="s">
        <v>637</v>
      </c>
      <c r="C324" s="339" t="s">
        <v>665</v>
      </c>
      <c r="D324" s="51"/>
      <c r="E324" s="51"/>
      <c r="F324" s="85">
        <f t="shared" si="238"/>
        <v>0</v>
      </c>
      <c r="G324" s="24"/>
      <c r="H324" s="51">
        <v>0.375</v>
      </c>
      <c r="I324" s="51">
        <v>0.70833333333333337</v>
      </c>
      <c r="J324" s="49">
        <f t="shared" si="239"/>
        <v>8</v>
      </c>
      <c r="K324" s="24"/>
      <c r="L324" s="51"/>
      <c r="M324" s="51"/>
      <c r="N324" s="49">
        <f t="shared" si="240"/>
        <v>0</v>
      </c>
      <c r="O324" s="24"/>
      <c r="P324" s="51"/>
      <c r="Q324" s="51"/>
      <c r="R324" s="49">
        <f t="shared" si="241"/>
        <v>0</v>
      </c>
      <c r="S324" s="24"/>
      <c r="T324" s="51"/>
      <c r="U324" s="51"/>
      <c r="V324" s="49">
        <f t="shared" si="242"/>
        <v>0</v>
      </c>
      <c r="W324" s="24"/>
      <c r="X324" s="51"/>
      <c r="Y324" s="51"/>
      <c r="Z324" s="49">
        <f t="shared" si="243"/>
        <v>0</v>
      </c>
      <c r="AA324" s="24"/>
      <c r="AB324" s="51"/>
      <c r="AC324" s="51"/>
      <c r="AD324" s="49">
        <f t="shared" si="244"/>
        <v>0</v>
      </c>
      <c r="AE324" s="24"/>
      <c r="AF324" s="29">
        <f t="shared" si="245"/>
        <v>8</v>
      </c>
    </row>
    <row r="325" spans="2:32" ht="27">
      <c r="B325" s="313" t="s">
        <v>576</v>
      </c>
      <c r="C325" s="339" t="s">
        <v>665</v>
      </c>
      <c r="D325" s="51"/>
      <c r="E325" s="51"/>
      <c r="F325" s="85">
        <f t="shared" si="238"/>
        <v>0</v>
      </c>
      <c r="G325" s="24"/>
      <c r="H325" s="51">
        <v>0.375</v>
      </c>
      <c r="I325" s="51">
        <v>0.70833333333333337</v>
      </c>
      <c r="J325" s="49">
        <f t="shared" si="239"/>
        <v>8</v>
      </c>
      <c r="K325" s="24"/>
      <c r="L325" s="51">
        <v>0.375</v>
      </c>
      <c r="M325" s="51">
        <v>0.875</v>
      </c>
      <c r="N325" s="49">
        <f t="shared" si="240"/>
        <v>12</v>
      </c>
      <c r="O325" s="24"/>
      <c r="P325" s="51"/>
      <c r="Q325" s="51"/>
      <c r="R325" s="49">
        <f t="shared" si="241"/>
        <v>0</v>
      </c>
      <c r="S325" s="24"/>
      <c r="T325" s="51"/>
      <c r="U325" s="51"/>
      <c r="V325" s="49">
        <f t="shared" si="242"/>
        <v>0</v>
      </c>
      <c r="W325" s="24"/>
      <c r="X325" s="51"/>
      <c r="Y325" s="51"/>
      <c r="Z325" s="49">
        <f t="shared" si="243"/>
        <v>0</v>
      </c>
      <c r="AA325" s="24"/>
      <c r="AB325" s="51"/>
      <c r="AC325" s="51"/>
      <c r="AD325" s="49">
        <f t="shared" si="244"/>
        <v>0</v>
      </c>
      <c r="AE325" s="24"/>
      <c r="AF325" s="29">
        <f t="shared" si="245"/>
        <v>20</v>
      </c>
    </row>
    <row r="326" spans="2:32" ht="27">
      <c r="B326" s="313" t="s">
        <v>54</v>
      </c>
      <c r="C326" s="339" t="s">
        <v>666</v>
      </c>
      <c r="D326" s="51"/>
      <c r="E326" s="51"/>
      <c r="F326" s="85">
        <f t="shared" ref="F326:F328" si="246">(E326-D326)*24</f>
        <v>0</v>
      </c>
      <c r="G326" s="24"/>
      <c r="H326" s="51"/>
      <c r="I326" s="51"/>
      <c r="J326" s="49">
        <f t="shared" ref="J326:J328" si="247">(I326-H326)*24</f>
        <v>0</v>
      </c>
      <c r="K326" s="24"/>
      <c r="L326" s="51">
        <v>0.375</v>
      </c>
      <c r="M326" s="51">
        <v>0.72916666666666663</v>
      </c>
      <c r="N326" s="49">
        <f t="shared" ref="N326:N328" si="248">(M326-L326)*24</f>
        <v>8.5</v>
      </c>
      <c r="O326" s="24"/>
      <c r="P326" s="51">
        <v>0.41666666666666669</v>
      </c>
      <c r="Q326" s="51">
        <v>0.70833333333333337</v>
      </c>
      <c r="R326" s="49">
        <f t="shared" ref="R326:R328" si="249">(Q326-P326)*24</f>
        <v>7</v>
      </c>
      <c r="S326" s="24"/>
      <c r="T326" s="51"/>
      <c r="U326" s="51"/>
      <c r="V326" s="49">
        <f t="shared" ref="V326:V328" si="250">(U326-T326)*24</f>
        <v>0</v>
      </c>
      <c r="W326" s="24"/>
      <c r="X326" s="51"/>
      <c r="Y326" s="51"/>
      <c r="Z326" s="49">
        <f t="shared" ref="Z326:Z328" si="251">(Y326-X326)*24</f>
        <v>0</v>
      </c>
      <c r="AA326" s="24"/>
      <c r="AB326" s="51"/>
      <c r="AC326" s="51"/>
      <c r="AD326" s="49">
        <f t="shared" ref="AD326:AD328" si="252">(AC326-AB326)*24</f>
        <v>0</v>
      </c>
      <c r="AE326" s="24"/>
      <c r="AF326" s="29">
        <f t="shared" ref="AF326:AF328" si="253">J326+F326+N326+R326+V326+Z326+AD326</f>
        <v>15.5</v>
      </c>
    </row>
    <row r="327" spans="2:32" ht="27">
      <c r="B327" s="313" t="s">
        <v>637</v>
      </c>
      <c r="C327" s="339" t="s">
        <v>666</v>
      </c>
      <c r="D327" s="51"/>
      <c r="E327" s="51"/>
      <c r="F327" s="85">
        <f t="shared" si="246"/>
        <v>0</v>
      </c>
      <c r="G327" s="24"/>
      <c r="H327" s="51"/>
      <c r="I327" s="51"/>
      <c r="J327" s="49">
        <f t="shared" si="247"/>
        <v>0</v>
      </c>
      <c r="K327" s="24"/>
      <c r="L327" s="51">
        <v>0.375</v>
      </c>
      <c r="M327" s="51">
        <v>0.72916666666666663</v>
      </c>
      <c r="N327" s="49">
        <f t="shared" si="248"/>
        <v>8.5</v>
      </c>
      <c r="O327" s="24"/>
      <c r="P327" s="51">
        <v>0.375</v>
      </c>
      <c r="Q327" s="51">
        <v>0.70833333333333337</v>
      </c>
      <c r="R327" s="49">
        <f t="shared" si="249"/>
        <v>8</v>
      </c>
      <c r="S327" s="24"/>
      <c r="T327" s="51"/>
      <c r="U327" s="51"/>
      <c r="V327" s="49">
        <f t="shared" si="250"/>
        <v>0</v>
      </c>
      <c r="W327" s="24"/>
      <c r="X327" s="51"/>
      <c r="Y327" s="51"/>
      <c r="Z327" s="49">
        <f t="shared" si="251"/>
        <v>0</v>
      </c>
      <c r="AA327" s="24"/>
      <c r="AB327" s="51"/>
      <c r="AC327" s="51"/>
      <c r="AD327" s="49">
        <f t="shared" si="252"/>
        <v>0</v>
      </c>
      <c r="AE327" s="24"/>
      <c r="AF327" s="29">
        <f t="shared" si="253"/>
        <v>16.5</v>
      </c>
    </row>
    <row r="328" spans="2:32" ht="40.5">
      <c r="B328" s="313" t="s">
        <v>572</v>
      </c>
      <c r="C328" s="339" t="s">
        <v>662</v>
      </c>
      <c r="D328" s="51"/>
      <c r="E328" s="51"/>
      <c r="F328" s="85">
        <f t="shared" si="246"/>
        <v>0</v>
      </c>
      <c r="G328" s="24"/>
      <c r="H328" s="51"/>
      <c r="I328" s="51"/>
      <c r="J328" s="49">
        <f t="shared" si="247"/>
        <v>0</v>
      </c>
      <c r="K328" s="24"/>
      <c r="L328" s="51"/>
      <c r="M328" s="51"/>
      <c r="N328" s="49">
        <f t="shared" si="248"/>
        <v>0</v>
      </c>
      <c r="O328" s="24"/>
      <c r="P328" s="51">
        <v>0.375</v>
      </c>
      <c r="Q328" s="51">
        <v>0.70833333333333337</v>
      </c>
      <c r="R328" s="49">
        <f t="shared" si="249"/>
        <v>8</v>
      </c>
      <c r="S328" s="24"/>
      <c r="T328" s="51"/>
      <c r="U328" s="51"/>
      <c r="V328" s="49">
        <f t="shared" si="250"/>
        <v>0</v>
      </c>
      <c r="W328" s="24"/>
      <c r="X328" s="51"/>
      <c r="Y328" s="51"/>
      <c r="Z328" s="49">
        <f t="shared" si="251"/>
        <v>0</v>
      </c>
      <c r="AA328" s="24"/>
      <c r="AB328" s="51"/>
      <c r="AC328" s="51"/>
      <c r="AD328" s="49">
        <f t="shared" si="252"/>
        <v>0</v>
      </c>
      <c r="AE328" s="24"/>
      <c r="AF328" s="29">
        <f t="shared" si="253"/>
        <v>8</v>
      </c>
    </row>
    <row r="329" spans="2:32" ht="40.5">
      <c r="B329" s="313" t="s">
        <v>576</v>
      </c>
      <c r="C329" s="339" t="s">
        <v>662</v>
      </c>
      <c r="D329" s="51"/>
      <c r="E329" s="51"/>
      <c r="F329" s="85">
        <f t="shared" si="230"/>
        <v>0</v>
      </c>
      <c r="G329" s="24"/>
      <c r="H329" s="51"/>
      <c r="I329" s="51"/>
      <c r="J329" s="49">
        <f t="shared" si="231"/>
        <v>0</v>
      </c>
      <c r="K329" s="24"/>
      <c r="L329" s="51"/>
      <c r="M329" s="51"/>
      <c r="N329" s="49">
        <f t="shared" si="232"/>
        <v>0</v>
      </c>
      <c r="O329" s="24"/>
      <c r="P329" s="51">
        <v>0.45833333333333331</v>
      </c>
      <c r="Q329" s="51">
        <v>0.70833333333333337</v>
      </c>
      <c r="R329" s="49">
        <f t="shared" si="233"/>
        <v>6.0000000000000018</v>
      </c>
      <c r="S329" s="24"/>
      <c r="T329" s="51"/>
      <c r="U329" s="51"/>
      <c r="V329" s="49">
        <f t="shared" si="234"/>
        <v>0</v>
      </c>
      <c r="W329" s="24"/>
      <c r="X329" s="51"/>
      <c r="Y329" s="51"/>
      <c r="Z329" s="49">
        <f t="shared" si="235"/>
        <v>0</v>
      </c>
      <c r="AA329" s="24"/>
      <c r="AB329" s="51"/>
      <c r="AC329" s="51"/>
      <c r="AD329" s="49">
        <f t="shared" si="236"/>
        <v>0</v>
      </c>
      <c r="AE329" s="24"/>
      <c r="AF329" s="29">
        <f t="shared" si="237"/>
        <v>6.0000000000000018</v>
      </c>
    </row>
    <row r="330" spans="2:32" ht="14.25">
      <c r="B330" s="313"/>
      <c r="C330" s="339"/>
      <c r="D330" s="51"/>
      <c r="E330" s="51"/>
      <c r="F330" s="85">
        <f t="shared" si="230"/>
        <v>0</v>
      </c>
      <c r="G330" s="24"/>
      <c r="H330" s="51"/>
      <c r="I330" s="51"/>
      <c r="J330" s="49">
        <f t="shared" si="231"/>
        <v>0</v>
      </c>
      <c r="K330" s="24"/>
      <c r="L330" s="51"/>
      <c r="M330" s="51"/>
      <c r="N330" s="49">
        <f t="shared" si="232"/>
        <v>0</v>
      </c>
      <c r="O330" s="24"/>
      <c r="P330" s="51"/>
      <c r="Q330" s="51"/>
      <c r="R330" s="49">
        <f t="shared" si="233"/>
        <v>0</v>
      </c>
      <c r="S330" s="24"/>
      <c r="T330" s="51"/>
      <c r="U330" s="51"/>
      <c r="V330" s="49">
        <f t="shared" si="234"/>
        <v>0</v>
      </c>
      <c r="W330" s="24"/>
      <c r="X330" s="51"/>
      <c r="Y330" s="51"/>
      <c r="Z330" s="49">
        <f t="shared" si="235"/>
        <v>0</v>
      </c>
      <c r="AA330" s="24"/>
      <c r="AB330" s="51"/>
      <c r="AC330" s="51"/>
      <c r="AD330" s="49">
        <f t="shared" si="236"/>
        <v>0</v>
      </c>
      <c r="AE330" s="24"/>
      <c r="AF330" s="29">
        <f t="shared" si="237"/>
        <v>0</v>
      </c>
    </row>
    <row r="331" spans="2:32" ht="14.25">
      <c r="C331" s="340"/>
      <c r="D331" s="51"/>
      <c r="E331" s="51"/>
      <c r="F331" s="85">
        <f t="shared" si="230"/>
        <v>0</v>
      </c>
      <c r="G331" s="24"/>
      <c r="H331" s="51"/>
      <c r="I331" s="51"/>
      <c r="J331" s="49">
        <f t="shared" si="231"/>
        <v>0</v>
      </c>
      <c r="K331" s="24"/>
      <c r="L331" s="51"/>
      <c r="M331" s="51"/>
      <c r="N331" s="49">
        <f t="shared" si="232"/>
        <v>0</v>
      </c>
      <c r="O331" s="24"/>
      <c r="P331" s="51"/>
      <c r="Q331" s="51"/>
      <c r="R331" s="49">
        <f t="shared" si="233"/>
        <v>0</v>
      </c>
      <c r="S331" s="24"/>
      <c r="T331" s="51"/>
      <c r="U331" s="51"/>
      <c r="V331" s="49">
        <f t="shared" si="234"/>
        <v>0</v>
      </c>
      <c r="W331" s="24"/>
      <c r="X331" s="51"/>
      <c r="Y331" s="51"/>
      <c r="Z331" s="49">
        <f t="shared" si="235"/>
        <v>0</v>
      </c>
      <c r="AA331" s="24"/>
      <c r="AB331" s="51"/>
      <c r="AC331" s="51"/>
      <c r="AD331" s="49">
        <f t="shared" si="236"/>
        <v>0</v>
      </c>
      <c r="AE331" s="24"/>
      <c r="AF331" s="29">
        <f t="shared" si="237"/>
        <v>0</v>
      </c>
    </row>
    <row r="332" spans="2:32" ht="14.25">
      <c r="C332" s="340"/>
      <c r="D332" s="51"/>
      <c r="E332" s="51"/>
      <c r="F332" s="85">
        <f t="shared" si="230"/>
        <v>0</v>
      </c>
      <c r="G332" s="24"/>
      <c r="H332" s="51"/>
      <c r="I332" s="51"/>
      <c r="J332" s="49">
        <f t="shared" si="231"/>
        <v>0</v>
      </c>
      <c r="K332" s="24"/>
      <c r="L332" s="51"/>
      <c r="M332" s="51"/>
      <c r="N332" s="49">
        <f t="shared" si="232"/>
        <v>0</v>
      </c>
      <c r="O332" s="24"/>
      <c r="P332" s="51"/>
      <c r="Q332" s="51"/>
      <c r="R332" s="49">
        <f t="shared" si="233"/>
        <v>0</v>
      </c>
      <c r="S332" s="24"/>
      <c r="T332" s="51"/>
      <c r="U332" s="51"/>
      <c r="V332" s="49">
        <f t="shared" si="234"/>
        <v>0</v>
      </c>
      <c r="W332" s="24"/>
      <c r="X332" s="51"/>
      <c r="Y332" s="51"/>
      <c r="Z332" s="49">
        <f t="shared" si="235"/>
        <v>0</v>
      </c>
      <c r="AA332" s="24"/>
      <c r="AB332" s="51"/>
      <c r="AC332" s="51"/>
      <c r="AD332" s="49">
        <f t="shared" si="236"/>
        <v>0</v>
      </c>
      <c r="AE332" s="24"/>
      <c r="AF332" s="29">
        <f t="shared" si="237"/>
        <v>0</v>
      </c>
    </row>
    <row r="333" spans="2:32" ht="14.25">
      <c r="B333" s="63" t="s">
        <v>61</v>
      </c>
      <c r="C333" s="63"/>
      <c r="D333" s="51"/>
      <c r="E333" s="51"/>
      <c r="F333" s="85">
        <f t="shared" si="230"/>
        <v>0</v>
      </c>
      <c r="G333" s="24"/>
      <c r="H333" s="51"/>
      <c r="I333" s="51"/>
      <c r="J333" s="49">
        <f t="shared" si="231"/>
        <v>0</v>
      </c>
      <c r="K333" s="24"/>
      <c r="L333" s="51"/>
      <c r="M333" s="51"/>
      <c r="N333" s="49">
        <f t="shared" si="232"/>
        <v>0</v>
      </c>
      <c r="O333" s="24"/>
      <c r="P333" s="51"/>
      <c r="Q333" s="51"/>
      <c r="R333" s="49">
        <f t="shared" si="233"/>
        <v>0</v>
      </c>
      <c r="S333" s="24"/>
      <c r="T333" s="51"/>
      <c r="U333" s="51"/>
      <c r="V333" s="49">
        <f t="shared" si="234"/>
        <v>0</v>
      </c>
      <c r="W333" s="24"/>
      <c r="X333" s="51"/>
      <c r="Y333" s="51"/>
      <c r="Z333" s="49">
        <f t="shared" si="235"/>
        <v>0</v>
      </c>
      <c r="AA333" s="24"/>
      <c r="AB333" s="51"/>
      <c r="AC333" s="51"/>
      <c r="AD333" s="49">
        <f t="shared" si="236"/>
        <v>0</v>
      </c>
      <c r="AE333" s="24"/>
      <c r="AF333" s="30">
        <f>SUM(AF326:AF332)</f>
        <v>46</v>
      </c>
    </row>
    <row r="334" spans="2:32">
      <c r="B334" s="31" t="s">
        <v>577</v>
      </c>
      <c r="C334" s="31"/>
      <c r="D334" s="91"/>
      <c r="E334" s="91"/>
      <c r="F334" s="90"/>
      <c r="G334" s="91"/>
      <c r="H334" s="91"/>
      <c r="I334" s="91"/>
      <c r="J334" s="90"/>
      <c r="K334" s="91"/>
      <c r="L334" s="91"/>
      <c r="M334" s="91"/>
      <c r="N334" s="90"/>
      <c r="O334" s="91"/>
      <c r="P334" s="91"/>
      <c r="Q334" s="91"/>
      <c r="R334" s="90"/>
      <c r="S334" s="91"/>
      <c r="T334" s="91"/>
      <c r="U334" s="91"/>
      <c r="V334" s="90"/>
      <c r="W334" s="91"/>
      <c r="X334" s="91"/>
      <c r="Y334" s="91"/>
      <c r="Z334" s="90"/>
      <c r="AA334" s="91"/>
      <c r="AB334" s="91"/>
      <c r="AC334" s="91"/>
      <c r="AD334" s="91"/>
      <c r="AE334" s="352"/>
      <c r="AF334" s="28"/>
    </row>
    <row r="335" spans="2:32">
      <c r="B335" s="31" t="s">
        <v>578</v>
      </c>
      <c r="C335" s="31"/>
      <c r="D335" s="91"/>
      <c r="E335" s="91"/>
      <c r="F335" s="90"/>
      <c r="G335" s="91"/>
      <c r="H335" s="91"/>
      <c r="I335" s="91"/>
      <c r="J335" s="90"/>
      <c r="K335" s="91"/>
      <c r="L335" s="91"/>
      <c r="M335" s="91"/>
      <c r="N335" s="90"/>
      <c r="O335" s="91"/>
      <c r="P335" s="91"/>
      <c r="Q335" s="91"/>
      <c r="R335" s="90"/>
      <c r="S335" s="91"/>
      <c r="T335" s="91"/>
      <c r="U335" s="91"/>
      <c r="V335" s="90"/>
      <c r="W335" s="91"/>
      <c r="X335" s="91"/>
      <c r="Y335" s="91"/>
      <c r="Z335" s="90"/>
      <c r="AA335" s="91"/>
      <c r="AB335" s="91"/>
      <c r="AC335" s="91"/>
      <c r="AD335" s="91"/>
      <c r="AE335" s="352"/>
      <c r="AF335" s="28">
        <f>SUM(D335:AD335)</f>
        <v>0</v>
      </c>
    </row>
    <row r="336" spans="2:32" ht="14.25" thickBot="1">
      <c r="B336" s="74" t="s">
        <v>579</v>
      </c>
      <c r="C336" s="74"/>
      <c r="D336" s="95"/>
      <c r="E336" s="95"/>
      <c r="F336" s="96"/>
      <c r="G336" s="95"/>
      <c r="H336" s="95"/>
      <c r="I336" s="95"/>
      <c r="J336" s="96"/>
      <c r="K336" s="95"/>
      <c r="L336" s="95"/>
      <c r="M336" s="95"/>
      <c r="N336" s="96"/>
      <c r="O336" s="95"/>
      <c r="P336" s="95"/>
      <c r="Q336" s="95"/>
      <c r="R336" s="96"/>
      <c r="S336" s="95"/>
      <c r="T336" s="95"/>
      <c r="U336" s="95"/>
      <c r="V336" s="96"/>
      <c r="W336" s="97"/>
      <c r="X336" s="97"/>
      <c r="Y336" s="97"/>
      <c r="Z336" s="96"/>
      <c r="AA336" s="97"/>
      <c r="AB336" s="97"/>
      <c r="AC336" s="97"/>
      <c r="AD336" s="97"/>
      <c r="AE336" s="97"/>
      <c r="AF336" s="80">
        <f>SUM(D336:AD336)</f>
        <v>0</v>
      </c>
    </row>
    <row r="337" spans="2:32" ht="13.5" customHeight="1" thickTop="1">
      <c r="B337" s="1518" t="s">
        <v>18</v>
      </c>
      <c r="C337" s="1552" t="s">
        <v>571</v>
      </c>
      <c r="D337" s="1524">
        <v>45201</v>
      </c>
      <c r="E337" s="1524"/>
      <c r="F337" s="1524"/>
      <c r="G337" s="22"/>
      <c r="H337" s="1524">
        <f>D337+1</f>
        <v>45202</v>
      </c>
      <c r="I337" s="1524"/>
      <c r="J337" s="1524"/>
      <c r="K337" s="22"/>
      <c r="L337" s="1524">
        <f>H337+1</f>
        <v>45203</v>
      </c>
      <c r="M337" s="1524"/>
      <c r="N337" s="1524"/>
      <c r="P337" s="1524">
        <f>L337+1</f>
        <v>45204</v>
      </c>
      <c r="Q337" s="1524"/>
      <c r="R337" s="1524"/>
      <c r="T337" s="1524">
        <f>P337+1</f>
        <v>45205</v>
      </c>
      <c r="U337" s="1524"/>
      <c r="V337" s="1524"/>
      <c r="W337" s="22"/>
      <c r="X337" s="1524">
        <f>T337+1</f>
        <v>45206</v>
      </c>
      <c r="Y337" s="1524"/>
      <c r="Z337" s="1524"/>
      <c r="AB337" s="1524">
        <f>X337+1</f>
        <v>45207</v>
      </c>
      <c r="AC337" s="1524"/>
      <c r="AD337" s="1524"/>
      <c r="AE337" s="22"/>
      <c r="AF337" s="1517" t="s">
        <v>19</v>
      </c>
    </row>
    <row r="338" spans="2:32" ht="13.5" customHeight="1">
      <c r="B338" s="1518"/>
      <c r="C338" s="1552"/>
      <c r="D338" s="21" t="s">
        <v>23</v>
      </c>
      <c r="E338" s="21" t="s">
        <v>24</v>
      </c>
      <c r="F338" s="62" t="s">
        <v>25</v>
      </c>
      <c r="G338" s="23"/>
      <c r="H338" s="21" t="s">
        <v>23</v>
      </c>
      <c r="I338" s="21" t="s">
        <v>24</v>
      </c>
      <c r="J338" s="18" t="s">
        <v>25</v>
      </c>
      <c r="K338" s="23"/>
      <c r="L338" s="21" t="s">
        <v>23</v>
      </c>
      <c r="M338" s="21" t="s">
        <v>24</v>
      </c>
      <c r="N338" s="18" t="s">
        <v>25</v>
      </c>
      <c r="O338" s="23"/>
      <c r="P338" s="21" t="s">
        <v>23</v>
      </c>
      <c r="Q338" s="21" t="s">
        <v>24</v>
      </c>
      <c r="R338" s="18" t="s">
        <v>25</v>
      </c>
      <c r="S338" s="23"/>
      <c r="T338" s="21" t="s">
        <v>23</v>
      </c>
      <c r="U338" s="21" t="s">
        <v>24</v>
      </c>
      <c r="V338" s="18" t="s">
        <v>25</v>
      </c>
      <c r="W338" s="23"/>
      <c r="X338" s="21" t="s">
        <v>23</v>
      </c>
      <c r="Y338" s="21" t="s">
        <v>24</v>
      </c>
      <c r="Z338" s="18" t="s">
        <v>25</v>
      </c>
      <c r="AA338" s="23"/>
      <c r="AB338" s="21" t="s">
        <v>23</v>
      </c>
      <c r="AC338" s="21" t="s">
        <v>24</v>
      </c>
      <c r="AD338" s="18" t="s">
        <v>25</v>
      </c>
      <c r="AE338" s="23"/>
      <c r="AF338" s="1517"/>
    </row>
    <row r="339" spans="2:32" ht="27">
      <c r="B339" s="313" t="s">
        <v>637</v>
      </c>
      <c r="C339" s="339" t="s">
        <v>667</v>
      </c>
      <c r="D339" s="51">
        <v>0.41666666666666669</v>
      </c>
      <c r="E339" s="51">
        <v>0.70833333333333337</v>
      </c>
      <c r="F339" s="85">
        <f t="shared" ref="F339:F354" si="254">(E339-D339)*24</f>
        <v>7</v>
      </c>
      <c r="G339" s="24"/>
      <c r="H339" s="51"/>
      <c r="I339" s="51"/>
      <c r="J339" s="49">
        <f t="shared" ref="J339:J354" si="255">(I339-H339)*24</f>
        <v>0</v>
      </c>
      <c r="K339" s="24"/>
      <c r="L339" s="51"/>
      <c r="M339" s="51"/>
      <c r="N339" s="49">
        <f t="shared" ref="N339:N354" si="256">(M339-L339)*24</f>
        <v>0</v>
      </c>
      <c r="O339" s="24"/>
      <c r="P339" s="51"/>
      <c r="Q339" s="51"/>
      <c r="R339" s="49">
        <f t="shared" ref="R339:R354" si="257">(Q339-P339)*24</f>
        <v>0</v>
      </c>
      <c r="S339" s="24"/>
      <c r="T339" s="51"/>
      <c r="U339" s="51"/>
      <c r="V339" s="49">
        <f t="shared" ref="V339:V354" si="258">(U339-T339)*24</f>
        <v>0</v>
      </c>
      <c r="W339" s="24"/>
      <c r="X339" s="51"/>
      <c r="Y339" s="51"/>
      <c r="Z339" s="49">
        <f t="shared" ref="Z339:Z354" si="259">(Y339-X339)*24</f>
        <v>0</v>
      </c>
      <c r="AA339" s="24"/>
      <c r="AB339" s="51"/>
      <c r="AC339" s="51"/>
      <c r="AD339" s="49">
        <f t="shared" ref="AD339:AD352" si="260">(AC339-AB339)*24</f>
        <v>0</v>
      </c>
      <c r="AE339" s="24"/>
      <c r="AF339" s="29">
        <f t="shared" ref="AF339:AF353" si="261">J339+F339+N339+R339+V339+Z339+AD339</f>
        <v>7</v>
      </c>
    </row>
    <row r="340" spans="2:32" ht="27">
      <c r="B340" s="13" t="s">
        <v>576</v>
      </c>
      <c r="C340" s="339" t="s">
        <v>667</v>
      </c>
      <c r="D340" s="51">
        <v>0.41666666666666669</v>
      </c>
      <c r="E340" s="51">
        <v>0.70833333333333337</v>
      </c>
      <c r="F340" s="85">
        <f t="shared" si="254"/>
        <v>7</v>
      </c>
      <c r="G340" s="24"/>
      <c r="H340" s="51"/>
      <c r="I340" s="51"/>
      <c r="J340" s="49">
        <f t="shared" si="255"/>
        <v>0</v>
      </c>
      <c r="K340" s="24"/>
      <c r="L340" s="51"/>
      <c r="M340" s="51"/>
      <c r="N340" s="49">
        <f t="shared" si="256"/>
        <v>0</v>
      </c>
      <c r="O340" s="24"/>
      <c r="P340" s="51"/>
      <c r="Q340" s="51"/>
      <c r="R340" s="49">
        <f t="shared" si="257"/>
        <v>0</v>
      </c>
      <c r="S340" s="24"/>
      <c r="T340" s="51"/>
      <c r="U340" s="51"/>
      <c r="V340" s="49">
        <f t="shared" si="258"/>
        <v>0</v>
      </c>
      <c r="W340" s="24"/>
      <c r="X340" s="51"/>
      <c r="Y340" s="51"/>
      <c r="Z340" s="49">
        <f t="shared" si="259"/>
        <v>0</v>
      </c>
      <c r="AA340" s="24"/>
      <c r="AB340" s="51"/>
      <c r="AC340" s="51"/>
      <c r="AD340" s="49">
        <f t="shared" si="260"/>
        <v>0</v>
      </c>
      <c r="AE340" s="24"/>
      <c r="AF340" s="29">
        <f t="shared" si="261"/>
        <v>7</v>
      </c>
    </row>
    <row r="341" spans="2:32" ht="27">
      <c r="B341" s="313" t="s">
        <v>54</v>
      </c>
      <c r="C341" s="339" t="s">
        <v>666</v>
      </c>
      <c r="D341" s="51"/>
      <c r="E341" s="51"/>
      <c r="F341" s="85">
        <f t="shared" si="254"/>
        <v>0</v>
      </c>
      <c r="G341" s="24"/>
      <c r="H341" s="51">
        <v>0.375</v>
      </c>
      <c r="I341" s="51">
        <v>0.70833333333333337</v>
      </c>
      <c r="J341" s="49">
        <f t="shared" si="255"/>
        <v>8</v>
      </c>
      <c r="K341" s="24"/>
      <c r="L341" s="51"/>
      <c r="M341" s="51"/>
      <c r="N341" s="49">
        <f t="shared" si="256"/>
        <v>0</v>
      </c>
      <c r="O341" s="24"/>
      <c r="P341" s="51"/>
      <c r="Q341" s="51"/>
      <c r="R341" s="49">
        <f t="shared" si="257"/>
        <v>0</v>
      </c>
      <c r="S341" s="24"/>
      <c r="T341" s="51"/>
      <c r="U341" s="51"/>
      <c r="V341" s="49">
        <f t="shared" si="258"/>
        <v>0</v>
      </c>
      <c r="W341" s="24"/>
      <c r="X341" s="51"/>
      <c r="Y341" s="51"/>
      <c r="Z341" s="49">
        <f t="shared" si="259"/>
        <v>0</v>
      </c>
      <c r="AA341" s="24"/>
      <c r="AB341" s="51"/>
      <c r="AC341" s="51"/>
      <c r="AD341" s="49">
        <f t="shared" si="260"/>
        <v>0</v>
      </c>
      <c r="AE341" s="24"/>
      <c r="AF341" s="29">
        <f t="shared" si="261"/>
        <v>8</v>
      </c>
    </row>
    <row r="342" spans="2:32" ht="14.25">
      <c r="B342" s="313" t="s">
        <v>572</v>
      </c>
      <c r="C342" s="339" t="s">
        <v>668</v>
      </c>
      <c r="D342" s="51"/>
      <c r="E342" s="51"/>
      <c r="F342" s="85">
        <f>(E342-D342)*24</f>
        <v>0</v>
      </c>
      <c r="G342" s="24"/>
      <c r="H342" s="51">
        <v>0.375</v>
      </c>
      <c r="I342" s="51">
        <v>0.58333333333333337</v>
      </c>
      <c r="J342" s="49">
        <f>(I342-H342)*24</f>
        <v>5.0000000000000009</v>
      </c>
      <c r="K342" s="24"/>
      <c r="L342" s="51"/>
      <c r="M342" s="51"/>
      <c r="N342" s="49">
        <f>(M342-L342)*24</f>
        <v>0</v>
      </c>
      <c r="O342" s="24"/>
      <c r="P342" s="51"/>
      <c r="Q342" s="51"/>
      <c r="R342" s="49">
        <f>(Q342-P342)*24</f>
        <v>0</v>
      </c>
      <c r="S342" s="24"/>
      <c r="T342" s="51"/>
      <c r="U342" s="51"/>
      <c r="V342" s="49">
        <f>(U342-T342)*24</f>
        <v>0</v>
      </c>
      <c r="W342" s="24"/>
      <c r="X342" s="51"/>
      <c r="Y342" s="51"/>
      <c r="Z342" s="49">
        <f>(Y342-X342)*24</f>
        <v>0</v>
      </c>
      <c r="AA342" s="24"/>
      <c r="AB342" s="51"/>
      <c r="AC342" s="51"/>
      <c r="AD342" s="49">
        <f>(AC342-AB342)*24</f>
        <v>0</v>
      </c>
      <c r="AE342" s="24"/>
      <c r="AF342" s="29">
        <f>J342+F342+N342+R342+V342+Z342+AD342</f>
        <v>5.0000000000000009</v>
      </c>
    </row>
    <row r="343" spans="2:32" ht="14.25">
      <c r="B343" s="313" t="s">
        <v>637</v>
      </c>
      <c r="C343" s="339" t="s">
        <v>669</v>
      </c>
      <c r="D343" s="51"/>
      <c r="E343" s="51"/>
      <c r="F343" s="85">
        <f t="shared" ref="F343:F345" si="262">(E343-D343)*24</f>
        <v>0</v>
      </c>
      <c r="G343" s="24"/>
      <c r="H343" s="51">
        <v>0.41666666666666669</v>
      </c>
      <c r="I343" s="51">
        <v>0.625</v>
      </c>
      <c r="J343" s="49">
        <f t="shared" ref="J343:J345" si="263">(I343-H343)*24</f>
        <v>5</v>
      </c>
      <c r="K343" s="24"/>
      <c r="L343" s="51"/>
      <c r="M343" s="51"/>
      <c r="N343" s="49">
        <f t="shared" ref="N343:N345" si="264">(M343-L343)*24</f>
        <v>0</v>
      </c>
      <c r="O343" s="24"/>
      <c r="P343" s="51"/>
      <c r="Q343" s="51"/>
      <c r="R343" s="49">
        <f t="shared" ref="R343:R345" si="265">(Q343-P343)*24</f>
        <v>0</v>
      </c>
      <c r="S343" s="24"/>
      <c r="T343" s="51"/>
      <c r="U343" s="51"/>
      <c r="V343" s="49">
        <f t="shared" ref="V343:V345" si="266">(U343-T343)*24</f>
        <v>0</v>
      </c>
      <c r="W343" s="24"/>
      <c r="X343" s="51"/>
      <c r="Y343" s="51"/>
      <c r="Z343" s="49">
        <f t="shared" ref="Z343:Z345" si="267">(Y343-X343)*24</f>
        <v>0</v>
      </c>
      <c r="AA343" s="24"/>
      <c r="AB343" s="51"/>
      <c r="AC343" s="51"/>
      <c r="AD343" s="49">
        <f t="shared" ref="AD343:AD345" si="268">(AC343-AB343)*24</f>
        <v>0</v>
      </c>
      <c r="AE343" s="24"/>
      <c r="AF343" s="29">
        <f t="shared" ref="AF343:AF345" si="269">J343+F343+N343+R343+V343+Z343+AD343</f>
        <v>5</v>
      </c>
    </row>
    <row r="344" spans="2:32" ht="27">
      <c r="B344" s="313" t="s">
        <v>54</v>
      </c>
      <c r="C344" s="339" t="s">
        <v>652</v>
      </c>
      <c r="D344" s="51"/>
      <c r="E344" s="51"/>
      <c r="F344" s="85">
        <f t="shared" si="262"/>
        <v>0</v>
      </c>
      <c r="G344" s="24"/>
      <c r="H344" s="51"/>
      <c r="I344" s="51"/>
      <c r="J344" s="49">
        <f t="shared" si="263"/>
        <v>0</v>
      </c>
      <c r="K344" s="24"/>
      <c r="L344" s="51">
        <v>0.375</v>
      </c>
      <c r="M344" s="51">
        <v>0.70833333333333337</v>
      </c>
      <c r="N344" s="49">
        <f t="shared" si="264"/>
        <v>8</v>
      </c>
      <c r="O344" s="24"/>
      <c r="P344" s="51"/>
      <c r="Q344" s="51"/>
      <c r="R344" s="49">
        <f t="shared" si="265"/>
        <v>0</v>
      </c>
      <c r="S344" s="24"/>
      <c r="T344" s="51"/>
      <c r="U344" s="51"/>
      <c r="V344" s="49">
        <f t="shared" si="266"/>
        <v>0</v>
      </c>
      <c r="W344" s="24"/>
      <c r="X344" s="51"/>
      <c r="Y344" s="51"/>
      <c r="Z344" s="49">
        <f t="shared" si="267"/>
        <v>0</v>
      </c>
      <c r="AA344" s="24"/>
      <c r="AB344" s="51"/>
      <c r="AC344" s="51"/>
      <c r="AD344" s="49">
        <f t="shared" si="268"/>
        <v>0</v>
      </c>
      <c r="AE344" s="24"/>
      <c r="AF344" s="29">
        <f t="shared" si="269"/>
        <v>8</v>
      </c>
    </row>
    <row r="345" spans="2:32" ht="27">
      <c r="B345" s="313" t="s">
        <v>637</v>
      </c>
      <c r="C345" s="339" t="s">
        <v>652</v>
      </c>
      <c r="D345" s="51"/>
      <c r="E345" s="51"/>
      <c r="F345" s="85">
        <f t="shared" si="262"/>
        <v>0</v>
      </c>
      <c r="G345" s="24"/>
      <c r="H345" s="51"/>
      <c r="I345" s="51"/>
      <c r="J345" s="49">
        <f t="shared" si="263"/>
        <v>0</v>
      </c>
      <c r="K345" s="24"/>
      <c r="L345" s="51">
        <v>0.4375</v>
      </c>
      <c r="M345" s="51">
        <v>0.70833333333333337</v>
      </c>
      <c r="N345" s="49">
        <f t="shared" si="264"/>
        <v>6.5000000000000009</v>
      </c>
      <c r="O345" s="24"/>
      <c r="P345" s="51"/>
      <c r="Q345" s="51"/>
      <c r="R345" s="49">
        <f t="shared" si="265"/>
        <v>0</v>
      </c>
      <c r="S345" s="24"/>
      <c r="T345" s="51"/>
      <c r="U345" s="51"/>
      <c r="V345" s="49">
        <f t="shared" si="266"/>
        <v>0</v>
      </c>
      <c r="W345" s="24"/>
      <c r="X345" s="51"/>
      <c r="Y345" s="51"/>
      <c r="Z345" s="49">
        <f t="shared" si="267"/>
        <v>0</v>
      </c>
      <c r="AA345" s="24"/>
      <c r="AB345" s="51"/>
      <c r="AC345" s="51"/>
      <c r="AD345" s="49">
        <f t="shared" si="268"/>
        <v>0</v>
      </c>
      <c r="AE345" s="24"/>
      <c r="AF345" s="29">
        <f t="shared" si="269"/>
        <v>6.5000000000000009</v>
      </c>
    </row>
    <row r="346" spans="2:32" ht="27">
      <c r="B346" s="313" t="s">
        <v>653</v>
      </c>
      <c r="C346" s="339" t="s">
        <v>652</v>
      </c>
      <c r="D346" s="51"/>
      <c r="E346" s="51"/>
      <c r="F346" s="85">
        <f t="shared" si="254"/>
        <v>0</v>
      </c>
      <c r="G346" s="24"/>
      <c r="H346" s="51"/>
      <c r="I346" s="51"/>
      <c r="J346" s="49">
        <f t="shared" si="255"/>
        <v>0</v>
      </c>
      <c r="K346" s="24"/>
      <c r="L346" s="51">
        <v>0.39583333333333331</v>
      </c>
      <c r="M346" s="51">
        <v>0.70833333333333337</v>
      </c>
      <c r="N346" s="49">
        <f t="shared" si="256"/>
        <v>7.5000000000000018</v>
      </c>
      <c r="O346" s="24"/>
      <c r="P346" s="51"/>
      <c r="Q346" s="51"/>
      <c r="R346" s="49">
        <f t="shared" si="257"/>
        <v>0</v>
      </c>
      <c r="S346" s="24"/>
      <c r="T346" s="51"/>
      <c r="U346" s="51"/>
      <c r="V346" s="49">
        <f t="shared" si="258"/>
        <v>0</v>
      </c>
      <c r="W346" s="24"/>
      <c r="X346" s="51"/>
      <c r="Y346" s="51"/>
      <c r="Z346" s="49">
        <f t="shared" si="259"/>
        <v>0</v>
      </c>
      <c r="AA346" s="24"/>
      <c r="AB346" s="51"/>
      <c r="AC346" s="51"/>
      <c r="AD346" s="49">
        <f t="shared" si="260"/>
        <v>0</v>
      </c>
      <c r="AE346" s="24"/>
      <c r="AF346" s="29">
        <f t="shared" si="261"/>
        <v>7.5000000000000018</v>
      </c>
    </row>
    <row r="347" spans="2:32" ht="27">
      <c r="B347" s="313" t="s">
        <v>603</v>
      </c>
      <c r="C347" s="339" t="s">
        <v>652</v>
      </c>
      <c r="D347" s="51"/>
      <c r="E347" s="51"/>
      <c r="F347" s="85">
        <f t="shared" si="254"/>
        <v>0</v>
      </c>
      <c r="G347" s="24"/>
      <c r="H347" s="51"/>
      <c r="I347" s="51"/>
      <c r="J347" s="49">
        <f t="shared" si="255"/>
        <v>0</v>
      </c>
      <c r="K347" s="24"/>
      <c r="L347" s="51">
        <v>0.375</v>
      </c>
      <c r="M347" s="51">
        <v>0.70833333333333337</v>
      </c>
      <c r="N347" s="49">
        <f t="shared" si="256"/>
        <v>8</v>
      </c>
      <c r="O347" s="24"/>
      <c r="P347" s="51"/>
      <c r="Q347" s="51"/>
      <c r="R347" s="49">
        <f t="shared" si="257"/>
        <v>0</v>
      </c>
      <c r="S347" s="24"/>
      <c r="T347" s="51"/>
      <c r="U347" s="51"/>
      <c r="V347" s="49">
        <f t="shared" si="258"/>
        <v>0</v>
      </c>
      <c r="W347" s="24"/>
      <c r="X347" s="51"/>
      <c r="Y347" s="51"/>
      <c r="Z347" s="49">
        <f t="shared" si="259"/>
        <v>0</v>
      </c>
      <c r="AA347" s="24"/>
      <c r="AB347" s="51"/>
      <c r="AC347" s="51"/>
      <c r="AD347" s="49">
        <f t="shared" si="260"/>
        <v>0</v>
      </c>
      <c r="AE347" s="24"/>
      <c r="AF347" s="29">
        <f t="shared" si="261"/>
        <v>8</v>
      </c>
    </row>
    <row r="348" spans="2:32" ht="40.5">
      <c r="B348" s="313" t="s">
        <v>572</v>
      </c>
      <c r="C348" s="339" t="s">
        <v>662</v>
      </c>
      <c r="D348" s="51"/>
      <c r="E348" s="51"/>
      <c r="F348" s="85">
        <f t="shared" si="254"/>
        <v>0</v>
      </c>
      <c r="G348" s="24"/>
      <c r="H348" s="51"/>
      <c r="I348" s="51"/>
      <c r="J348" s="49">
        <f t="shared" si="255"/>
        <v>0</v>
      </c>
      <c r="K348" s="24"/>
      <c r="L348" s="51"/>
      <c r="M348" s="51"/>
      <c r="N348" s="49">
        <f t="shared" si="256"/>
        <v>0</v>
      </c>
      <c r="O348" s="24"/>
      <c r="P348" s="51"/>
      <c r="Q348" s="51"/>
      <c r="R348" s="49">
        <f t="shared" si="257"/>
        <v>0</v>
      </c>
      <c r="S348" s="24"/>
      <c r="T348" s="51"/>
      <c r="U348" s="51"/>
      <c r="V348" s="49">
        <f t="shared" si="258"/>
        <v>0</v>
      </c>
      <c r="W348" s="24"/>
      <c r="X348" s="51"/>
      <c r="Y348" s="51"/>
      <c r="Z348" s="49">
        <f t="shared" si="259"/>
        <v>0</v>
      </c>
      <c r="AA348" s="24"/>
      <c r="AB348" s="51"/>
      <c r="AC348" s="51"/>
      <c r="AD348" s="49">
        <f t="shared" si="260"/>
        <v>0</v>
      </c>
      <c r="AE348" s="24"/>
      <c r="AF348" s="29">
        <f t="shared" si="261"/>
        <v>0</v>
      </c>
    </row>
    <row r="349" spans="2:32" ht="40.5">
      <c r="B349" s="313" t="s">
        <v>637</v>
      </c>
      <c r="C349" s="339" t="s">
        <v>662</v>
      </c>
      <c r="D349" s="51"/>
      <c r="E349" s="51"/>
      <c r="F349" s="85">
        <f t="shared" si="254"/>
        <v>0</v>
      </c>
      <c r="G349" s="24"/>
      <c r="H349" s="51"/>
      <c r="I349" s="51"/>
      <c r="J349" s="49">
        <f t="shared" si="255"/>
        <v>0</v>
      </c>
      <c r="K349" s="24"/>
      <c r="L349" s="51"/>
      <c r="M349" s="51"/>
      <c r="N349" s="49">
        <f t="shared" si="256"/>
        <v>0</v>
      </c>
      <c r="O349" s="24"/>
      <c r="P349" s="51"/>
      <c r="Q349" s="51"/>
      <c r="R349" s="49">
        <f t="shared" si="257"/>
        <v>0</v>
      </c>
      <c r="S349" s="24"/>
      <c r="T349" s="51"/>
      <c r="U349" s="51"/>
      <c r="V349" s="49">
        <f t="shared" si="258"/>
        <v>0</v>
      </c>
      <c r="W349" s="24"/>
      <c r="X349" s="51"/>
      <c r="Y349" s="51"/>
      <c r="Z349" s="49">
        <f t="shared" si="259"/>
        <v>0</v>
      </c>
      <c r="AA349" s="24"/>
      <c r="AB349" s="51"/>
      <c r="AC349" s="51"/>
      <c r="AD349" s="49">
        <f t="shared" si="260"/>
        <v>0</v>
      </c>
      <c r="AE349" s="24"/>
      <c r="AF349" s="29">
        <f t="shared" si="261"/>
        <v>0</v>
      </c>
    </row>
    <row r="350" spans="2:32" ht="27">
      <c r="B350" s="313" t="s">
        <v>54</v>
      </c>
      <c r="C350" s="339" t="s">
        <v>670</v>
      </c>
      <c r="D350" s="51"/>
      <c r="E350" s="51"/>
      <c r="F350" s="85">
        <f t="shared" ref="F350:F351" si="270">(E350-D350)*24</f>
        <v>0</v>
      </c>
      <c r="G350" s="24"/>
      <c r="H350" s="51"/>
      <c r="I350" s="51"/>
      <c r="J350" s="49">
        <f t="shared" ref="J350:J351" si="271">(I350-H350)*24</f>
        <v>0</v>
      </c>
      <c r="K350" s="24"/>
      <c r="L350" s="51"/>
      <c r="M350" s="51"/>
      <c r="N350" s="49">
        <f t="shared" ref="N350:N351" si="272">(M350-L350)*24</f>
        <v>0</v>
      </c>
      <c r="O350" s="24"/>
      <c r="P350" s="51">
        <v>0.375</v>
      </c>
      <c r="Q350" s="51">
        <v>0.70833333333333337</v>
      </c>
      <c r="R350" s="49">
        <f t="shared" ref="R350:R351" si="273">(Q350-P350)*24</f>
        <v>8</v>
      </c>
      <c r="S350" s="24"/>
      <c r="T350" s="51">
        <v>0.375</v>
      </c>
      <c r="U350" s="51">
        <v>0.70833333333333337</v>
      </c>
      <c r="V350" s="49">
        <f t="shared" ref="V350:V351" si="274">(U350-T350)*24</f>
        <v>8</v>
      </c>
      <c r="W350" s="24"/>
      <c r="X350" s="51"/>
      <c r="Y350" s="51"/>
      <c r="Z350" s="49">
        <f t="shared" ref="Z350:Z351" si="275">(Y350-X350)*24</f>
        <v>0</v>
      </c>
      <c r="AA350" s="24"/>
      <c r="AB350" s="51"/>
      <c r="AC350" s="51"/>
      <c r="AD350" s="49">
        <f t="shared" ref="AD350:AD351" si="276">(AC350-AB350)*24</f>
        <v>0</v>
      </c>
      <c r="AE350" s="24"/>
      <c r="AF350" s="29">
        <f t="shared" ref="AF350:AF351" si="277">J350+F350+N350+R350+V350+Z350+AD350</f>
        <v>16</v>
      </c>
    </row>
    <row r="351" spans="2:32" ht="27">
      <c r="B351" s="313" t="s">
        <v>671</v>
      </c>
      <c r="C351" s="339" t="s">
        <v>670</v>
      </c>
      <c r="D351" s="51"/>
      <c r="E351" s="51"/>
      <c r="F351" s="85">
        <f t="shared" si="270"/>
        <v>0</v>
      </c>
      <c r="G351" s="24"/>
      <c r="H351" s="51"/>
      <c r="I351" s="51"/>
      <c r="J351" s="49">
        <f t="shared" si="271"/>
        <v>0</v>
      </c>
      <c r="K351" s="24"/>
      <c r="L351" s="51"/>
      <c r="M351" s="51"/>
      <c r="N351" s="49">
        <f t="shared" si="272"/>
        <v>0</v>
      </c>
      <c r="O351" s="24"/>
      <c r="P351" s="51">
        <v>0.375</v>
      </c>
      <c r="Q351" s="51">
        <v>0.70833333333333337</v>
      </c>
      <c r="R351" s="49">
        <f t="shared" si="273"/>
        <v>8</v>
      </c>
      <c r="S351" s="24"/>
      <c r="T351" s="51">
        <v>0.375</v>
      </c>
      <c r="U351" s="51">
        <v>0.70833333333333337</v>
      </c>
      <c r="V351" s="49">
        <f t="shared" si="274"/>
        <v>8</v>
      </c>
      <c r="W351" s="24"/>
      <c r="X351" s="51"/>
      <c r="Y351" s="51"/>
      <c r="Z351" s="49">
        <f t="shared" si="275"/>
        <v>0</v>
      </c>
      <c r="AA351" s="24"/>
      <c r="AB351" s="51"/>
      <c r="AC351" s="51"/>
      <c r="AD351" s="49">
        <f t="shared" si="276"/>
        <v>0</v>
      </c>
      <c r="AE351" s="24"/>
      <c r="AF351" s="29">
        <f t="shared" si="277"/>
        <v>16</v>
      </c>
    </row>
    <row r="352" spans="2:32" ht="27">
      <c r="B352" s="309" t="s">
        <v>572</v>
      </c>
      <c r="C352" s="339" t="s">
        <v>672</v>
      </c>
      <c r="D352" s="51"/>
      <c r="E352" s="51"/>
      <c r="F352" s="85">
        <f t="shared" si="254"/>
        <v>0</v>
      </c>
      <c r="G352" s="24"/>
      <c r="H352" s="51"/>
      <c r="I352" s="51"/>
      <c r="J352" s="49">
        <f t="shared" si="255"/>
        <v>0</v>
      </c>
      <c r="K352" s="24"/>
      <c r="L352" s="51">
        <v>0.64583333333333337</v>
      </c>
      <c r="M352" s="51">
        <v>0.85416666666666663</v>
      </c>
      <c r="N352" s="49">
        <f t="shared" si="256"/>
        <v>4.9999999999999982</v>
      </c>
      <c r="O352" s="24"/>
      <c r="P352" s="51"/>
      <c r="Q352" s="51"/>
      <c r="R352" s="49">
        <f t="shared" si="257"/>
        <v>0</v>
      </c>
      <c r="S352" s="24"/>
      <c r="T352" s="51"/>
      <c r="U352" s="51"/>
      <c r="V352" s="49">
        <f t="shared" si="258"/>
        <v>0</v>
      </c>
      <c r="W352" s="24"/>
      <c r="X352" s="51"/>
      <c r="Y352" s="51"/>
      <c r="Z352" s="49">
        <f t="shared" si="259"/>
        <v>0</v>
      </c>
      <c r="AA352" s="24"/>
      <c r="AB352" s="51"/>
      <c r="AC352" s="51"/>
      <c r="AD352" s="49">
        <f t="shared" si="260"/>
        <v>0</v>
      </c>
      <c r="AE352" s="24"/>
      <c r="AF352" s="29">
        <f t="shared" si="261"/>
        <v>4.9999999999999982</v>
      </c>
    </row>
    <row r="353" spans="2:32" ht="40.5">
      <c r="B353" s="313" t="s">
        <v>572</v>
      </c>
      <c r="C353" s="339" t="s">
        <v>664</v>
      </c>
      <c r="D353" s="51"/>
      <c r="E353" s="51"/>
      <c r="F353" s="85">
        <f t="shared" si="254"/>
        <v>0</v>
      </c>
      <c r="G353" s="24"/>
      <c r="H353" s="51"/>
      <c r="I353" s="51"/>
      <c r="J353" s="49">
        <f t="shared" si="255"/>
        <v>0</v>
      </c>
      <c r="K353" s="24"/>
      <c r="L353" s="51"/>
      <c r="M353" s="51"/>
      <c r="N353" s="49">
        <f t="shared" si="256"/>
        <v>0</v>
      </c>
      <c r="O353" s="24"/>
      <c r="P353" s="51"/>
      <c r="Q353" s="51"/>
      <c r="R353" s="49">
        <f t="shared" si="257"/>
        <v>0</v>
      </c>
      <c r="S353" s="24"/>
      <c r="T353" s="51"/>
      <c r="U353" s="51"/>
      <c r="V353" s="49">
        <f t="shared" si="258"/>
        <v>0</v>
      </c>
      <c r="W353" s="24"/>
      <c r="X353" s="51"/>
      <c r="Y353" s="51"/>
      <c r="Z353" s="49">
        <f t="shared" si="259"/>
        <v>0</v>
      </c>
      <c r="AA353" s="24"/>
      <c r="AB353" s="51">
        <v>0.375</v>
      </c>
      <c r="AC353" s="51">
        <v>0.60416666666666663</v>
      </c>
      <c r="AD353" s="49">
        <f>(AC353-AB353)*24</f>
        <v>5.4999999999999991</v>
      </c>
      <c r="AE353" s="24"/>
      <c r="AF353" s="29">
        <f t="shared" si="261"/>
        <v>5.4999999999999991</v>
      </c>
    </row>
    <row r="354" spans="2:32" ht="14.25">
      <c r="B354" s="63" t="s">
        <v>61</v>
      </c>
      <c r="C354" s="63"/>
      <c r="D354" s="51"/>
      <c r="E354" s="51"/>
      <c r="F354" s="85">
        <f t="shared" si="254"/>
        <v>0</v>
      </c>
      <c r="G354" s="24"/>
      <c r="H354" s="51"/>
      <c r="I354" s="51"/>
      <c r="J354" s="49">
        <f t="shared" si="255"/>
        <v>0</v>
      </c>
      <c r="K354" s="24"/>
      <c r="L354" s="51"/>
      <c r="M354" s="51"/>
      <c r="N354" s="49">
        <f t="shared" si="256"/>
        <v>0</v>
      </c>
      <c r="O354" s="24"/>
      <c r="P354" s="51"/>
      <c r="Q354" s="51"/>
      <c r="R354" s="49">
        <f t="shared" si="257"/>
        <v>0</v>
      </c>
      <c r="S354" s="24"/>
      <c r="T354" s="51"/>
      <c r="U354" s="51"/>
      <c r="V354" s="49">
        <f t="shared" si="258"/>
        <v>0</v>
      </c>
      <c r="W354" s="24"/>
      <c r="X354" s="51"/>
      <c r="Y354" s="51"/>
      <c r="Z354" s="49">
        <f t="shared" si="259"/>
        <v>0</v>
      </c>
      <c r="AA354" s="24"/>
      <c r="AD354" s="49"/>
      <c r="AE354" s="24"/>
      <c r="AF354" s="30">
        <f>SUM(AF347:AF353)</f>
        <v>50.5</v>
      </c>
    </row>
    <row r="355" spans="2:32">
      <c r="B355" s="31" t="s">
        <v>577</v>
      </c>
      <c r="C355" s="31"/>
      <c r="D355" s="91"/>
      <c r="E355" s="91"/>
      <c r="F355" s="90"/>
      <c r="G355" s="91"/>
      <c r="H355" s="91"/>
      <c r="I355" s="91"/>
      <c r="J355" s="90"/>
      <c r="K355" s="91"/>
      <c r="L355" s="91"/>
      <c r="M355" s="91"/>
      <c r="N355" s="90"/>
      <c r="O355" s="91"/>
      <c r="P355" s="91"/>
      <c r="Q355" s="91"/>
      <c r="R355" s="90"/>
      <c r="S355" s="91"/>
      <c r="T355" s="91"/>
      <c r="U355" s="91"/>
      <c r="V355" s="90"/>
      <c r="W355" s="91"/>
      <c r="X355" s="91"/>
      <c r="Y355" s="91"/>
      <c r="Z355" s="90"/>
      <c r="AA355" s="91"/>
      <c r="AB355" s="91"/>
      <c r="AC355" s="91"/>
      <c r="AD355" s="91"/>
      <c r="AE355" s="352"/>
      <c r="AF355" s="28"/>
    </row>
    <row r="356" spans="2:32">
      <c r="B356" s="31" t="s">
        <v>578</v>
      </c>
      <c r="C356" s="31"/>
      <c r="D356" s="91"/>
      <c r="E356" s="91"/>
      <c r="F356" s="90"/>
      <c r="G356" s="91"/>
      <c r="H356" s="91"/>
      <c r="I356" s="91"/>
      <c r="J356" s="90"/>
      <c r="K356" s="91"/>
      <c r="L356" s="91"/>
      <c r="M356" s="91"/>
      <c r="N356" s="90"/>
      <c r="O356" s="91"/>
      <c r="P356" s="91"/>
      <c r="Q356" s="91"/>
      <c r="R356" s="90"/>
      <c r="S356" s="91"/>
      <c r="T356" s="91"/>
      <c r="U356" s="91"/>
      <c r="V356" s="90"/>
      <c r="W356" s="91"/>
      <c r="X356" s="91"/>
      <c r="Y356" s="91"/>
      <c r="Z356" s="90"/>
      <c r="AA356" s="91"/>
      <c r="AB356" s="91"/>
      <c r="AC356" s="91"/>
      <c r="AD356" s="91"/>
      <c r="AE356" s="352"/>
      <c r="AF356" s="28">
        <f>SUM(D356:AD356)</f>
        <v>0</v>
      </c>
    </row>
    <row r="357" spans="2:32" ht="14.25" thickBot="1">
      <c r="B357" s="74" t="s">
        <v>579</v>
      </c>
      <c r="C357" s="74"/>
      <c r="D357" s="95"/>
      <c r="E357" s="95"/>
      <c r="F357" s="96"/>
      <c r="G357" s="95"/>
      <c r="H357" s="95"/>
      <c r="I357" s="95"/>
      <c r="J357" s="96"/>
      <c r="K357" s="95"/>
      <c r="L357" s="95"/>
      <c r="M357" s="95"/>
      <c r="N357" s="96"/>
      <c r="O357" s="95"/>
      <c r="P357" s="95"/>
      <c r="Q357" s="95"/>
      <c r="R357" s="96"/>
      <c r="S357" s="95"/>
      <c r="T357" s="95"/>
      <c r="U357" s="95"/>
      <c r="V357" s="96"/>
      <c r="W357" s="97"/>
      <c r="X357" s="97"/>
      <c r="Y357" s="97"/>
      <c r="Z357" s="96"/>
      <c r="AA357" s="97"/>
      <c r="AB357" s="97"/>
      <c r="AC357" s="97"/>
      <c r="AD357" s="97"/>
      <c r="AE357" s="97"/>
      <c r="AF357" s="80">
        <f>SUM(D357:AD357)</f>
        <v>0</v>
      </c>
    </row>
    <row r="358" spans="2:32" ht="14.25" thickTop="1">
      <c r="B358" s="1518" t="s">
        <v>18</v>
      </c>
      <c r="C358" s="1552" t="s">
        <v>571</v>
      </c>
      <c r="D358" s="1524">
        <v>45208</v>
      </c>
      <c r="E358" s="1524"/>
      <c r="F358" s="1524"/>
      <c r="G358" s="22"/>
      <c r="H358" s="1524">
        <f>D358+1</f>
        <v>45209</v>
      </c>
      <c r="I358" s="1524"/>
      <c r="J358" s="1524"/>
      <c r="K358" s="22"/>
      <c r="L358" s="1524">
        <f>H358+1</f>
        <v>45210</v>
      </c>
      <c r="M358" s="1524"/>
      <c r="N358" s="1524"/>
      <c r="P358" s="1524">
        <f>L358+1</f>
        <v>45211</v>
      </c>
      <c r="Q358" s="1524"/>
      <c r="R358" s="1524"/>
      <c r="T358" s="1524">
        <f>P358+1</f>
        <v>45212</v>
      </c>
      <c r="U358" s="1524"/>
      <c r="V358" s="1524"/>
      <c r="W358" s="22"/>
      <c r="X358" s="1524">
        <f>T358+1</f>
        <v>45213</v>
      </c>
      <c r="Y358" s="1524"/>
      <c r="Z358" s="1524"/>
      <c r="AB358" s="1524">
        <f>X358+1</f>
        <v>45214</v>
      </c>
      <c r="AC358" s="1524"/>
      <c r="AD358" s="1524"/>
      <c r="AE358" s="22"/>
      <c r="AF358" s="1517" t="s">
        <v>19</v>
      </c>
    </row>
    <row r="359" spans="2:32">
      <c r="B359" s="1518"/>
      <c r="C359" s="1552"/>
      <c r="D359" s="21" t="s">
        <v>23</v>
      </c>
      <c r="E359" s="21" t="s">
        <v>24</v>
      </c>
      <c r="F359" s="62" t="s">
        <v>25</v>
      </c>
      <c r="G359" s="23"/>
      <c r="H359" s="21" t="s">
        <v>23</v>
      </c>
      <c r="I359" s="21" t="s">
        <v>24</v>
      </c>
      <c r="J359" s="18" t="s">
        <v>25</v>
      </c>
      <c r="K359" s="23"/>
      <c r="L359" s="21" t="s">
        <v>23</v>
      </c>
      <c r="M359" s="21" t="s">
        <v>24</v>
      </c>
      <c r="N359" s="18" t="s">
        <v>25</v>
      </c>
      <c r="O359" s="23"/>
      <c r="P359" s="21" t="s">
        <v>23</v>
      </c>
      <c r="Q359" s="21" t="s">
        <v>24</v>
      </c>
      <c r="R359" s="18" t="s">
        <v>25</v>
      </c>
      <c r="S359" s="23"/>
      <c r="T359" s="21" t="s">
        <v>23</v>
      </c>
      <c r="U359" s="21" t="s">
        <v>24</v>
      </c>
      <c r="V359" s="18" t="s">
        <v>25</v>
      </c>
      <c r="W359" s="23"/>
      <c r="X359" s="21" t="s">
        <v>23</v>
      </c>
      <c r="Y359" s="21" t="s">
        <v>24</v>
      </c>
      <c r="Z359" s="18" t="s">
        <v>25</v>
      </c>
      <c r="AA359" s="23"/>
      <c r="AB359" s="21" t="s">
        <v>23</v>
      </c>
      <c r="AC359" s="21" t="s">
        <v>24</v>
      </c>
      <c r="AD359" s="18" t="s">
        <v>25</v>
      </c>
      <c r="AE359" s="23"/>
      <c r="AF359" s="1517"/>
    </row>
    <row r="360" spans="2:32" ht="27">
      <c r="B360" s="313" t="s">
        <v>54</v>
      </c>
      <c r="C360" s="339" t="s">
        <v>670</v>
      </c>
      <c r="D360" s="51">
        <v>0.375</v>
      </c>
      <c r="E360" s="51">
        <v>0.75</v>
      </c>
      <c r="F360" s="85">
        <f t="shared" ref="F360:F375" si="278">(E360-D360)*24</f>
        <v>9</v>
      </c>
      <c r="G360" s="24"/>
      <c r="H360" s="51"/>
      <c r="I360" s="51"/>
      <c r="J360" s="49">
        <f t="shared" ref="J360:J375" si="279">(I360-H360)*24</f>
        <v>0</v>
      </c>
      <c r="K360" s="24"/>
      <c r="L360" s="51"/>
      <c r="M360" s="51"/>
      <c r="N360" s="49">
        <f t="shared" ref="N360:N375" si="280">(M360-L360)*24</f>
        <v>0</v>
      </c>
      <c r="O360" s="24"/>
      <c r="P360" s="51"/>
      <c r="Q360" s="51"/>
      <c r="R360" s="49">
        <f t="shared" ref="R360:R375" si="281">(Q360-P360)*24</f>
        <v>0</v>
      </c>
      <c r="S360" s="24"/>
      <c r="T360" s="51"/>
      <c r="U360" s="51"/>
      <c r="V360" s="49">
        <f t="shared" ref="V360:V375" si="282">(U360-T360)*24</f>
        <v>0</v>
      </c>
      <c r="W360" s="24"/>
      <c r="X360" s="51"/>
      <c r="Y360" s="51"/>
      <c r="Z360" s="49">
        <f t="shared" ref="Z360:Z375" si="283">(Y360-X360)*24</f>
        <v>0</v>
      </c>
      <c r="AA360" s="24"/>
      <c r="AB360" s="51"/>
      <c r="AC360" s="51"/>
      <c r="AD360" s="49">
        <f t="shared" ref="AD360:AD375" si="284">(AC360-AB360)*24</f>
        <v>0</v>
      </c>
      <c r="AE360" s="24"/>
      <c r="AF360" s="29">
        <f t="shared" ref="AF360:AF372" si="285">J360+F360+N360+R360+V360+Z360+AD360</f>
        <v>9</v>
      </c>
    </row>
    <row r="361" spans="2:32" ht="40.5">
      <c r="B361" s="13" t="s">
        <v>572</v>
      </c>
      <c r="C361" s="339" t="s">
        <v>662</v>
      </c>
      <c r="D361" s="51">
        <v>0.375</v>
      </c>
      <c r="E361" s="51">
        <v>0.77083333333333337</v>
      </c>
      <c r="F361" s="85">
        <f t="shared" si="278"/>
        <v>9.5</v>
      </c>
      <c r="G361" s="24"/>
      <c r="H361" s="51">
        <v>0.375</v>
      </c>
      <c r="I361" s="51">
        <v>0.70833333333333337</v>
      </c>
      <c r="J361" s="49">
        <f t="shared" si="279"/>
        <v>8</v>
      </c>
      <c r="K361" s="24"/>
      <c r="L361" s="51">
        <v>0.375</v>
      </c>
      <c r="M361" s="51">
        <v>0.54166666666666663</v>
      </c>
      <c r="N361" s="49">
        <f t="shared" si="280"/>
        <v>3.9999999999999991</v>
      </c>
      <c r="O361" s="24"/>
      <c r="P361" s="51"/>
      <c r="Q361" s="51"/>
      <c r="R361" s="49">
        <f t="shared" si="281"/>
        <v>0</v>
      </c>
      <c r="S361" s="24"/>
      <c r="T361" s="51"/>
      <c r="U361" s="51"/>
      <c r="V361" s="49">
        <f t="shared" si="282"/>
        <v>0</v>
      </c>
      <c r="W361" s="24"/>
      <c r="X361" s="51"/>
      <c r="Y361" s="51"/>
      <c r="Z361" s="49">
        <f t="shared" si="283"/>
        <v>0</v>
      </c>
      <c r="AA361" s="24"/>
      <c r="AB361" s="51"/>
      <c r="AC361" s="51"/>
      <c r="AD361" s="49">
        <f t="shared" si="284"/>
        <v>0</v>
      </c>
      <c r="AE361" s="24"/>
      <c r="AF361" s="29">
        <f t="shared" si="285"/>
        <v>21.5</v>
      </c>
    </row>
    <row r="362" spans="2:32" ht="40.5">
      <c r="B362" s="313" t="s">
        <v>637</v>
      </c>
      <c r="C362" s="339" t="s">
        <v>662</v>
      </c>
      <c r="D362" s="51">
        <v>0.375</v>
      </c>
      <c r="E362" s="51">
        <v>0.77083333333333337</v>
      </c>
      <c r="F362" s="85">
        <f t="shared" si="278"/>
        <v>9.5</v>
      </c>
      <c r="G362" s="24"/>
      <c r="H362" s="51">
        <v>0.375</v>
      </c>
      <c r="I362" s="51">
        <v>0.70833333333333337</v>
      </c>
      <c r="J362" s="49">
        <f t="shared" si="279"/>
        <v>8</v>
      </c>
      <c r="K362" s="24"/>
      <c r="L362" s="51">
        <v>0.375</v>
      </c>
      <c r="M362" s="51">
        <v>0.70833333333333337</v>
      </c>
      <c r="N362" s="49">
        <f t="shared" si="280"/>
        <v>8</v>
      </c>
      <c r="O362" s="24"/>
      <c r="P362" s="51"/>
      <c r="Q362" s="51"/>
      <c r="R362" s="49">
        <f t="shared" si="281"/>
        <v>0</v>
      </c>
      <c r="S362" s="24"/>
      <c r="T362" s="51"/>
      <c r="U362" s="51"/>
      <c r="V362" s="49">
        <f t="shared" si="282"/>
        <v>0</v>
      </c>
      <c r="W362" s="24"/>
      <c r="X362" s="51"/>
      <c r="Y362" s="51"/>
      <c r="Z362" s="49">
        <f t="shared" si="283"/>
        <v>0</v>
      </c>
      <c r="AA362" s="24"/>
      <c r="AB362" s="51"/>
      <c r="AC362" s="51"/>
      <c r="AD362" s="49">
        <f t="shared" si="284"/>
        <v>0</v>
      </c>
      <c r="AE362" s="24"/>
      <c r="AF362" s="29">
        <f t="shared" si="285"/>
        <v>25.5</v>
      </c>
    </row>
    <row r="363" spans="2:32" ht="27">
      <c r="B363" s="313" t="s">
        <v>576</v>
      </c>
      <c r="C363" s="339" t="s">
        <v>652</v>
      </c>
      <c r="D363" s="51"/>
      <c r="E363" s="51"/>
      <c r="F363" s="85">
        <f t="shared" si="278"/>
        <v>0</v>
      </c>
      <c r="G363" s="24"/>
      <c r="H363" s="51">
        <v>0.375</v>
      </c>
      <c r="I363" s="51">
        <v>0.70833333333333337</v>
      </c>
      <c r="J363" s="49">
        <f t="shared" si="279"/>
        <v>8</v>
      </c>
      <c r="K363" s="24"/>
      <c r="L363" s="51">
        <v>0.375</v>
      </c>
      <c r="M363" s="51">
        <v>0.70833333333333337</v>
      </c>
      <c r="N363" s="49">
        <f t="shared" si="280"/>
        <v>8</v>
      </c>
      <c r="O363" s="24"/>
      <c r="P363" s="51"/>
      <c r="Q363" s="51"/>
      <c r="R363" s="49">
        <f t="shared" si="281"/>
        <v>0</v>
      </c>
      <c r="S363" s="24"/>
      <c r="T363" s="51"/>
      <c r="U363" s="51"/>
      <c r="V363" s="49">
        <f t="shared" si="282"/>
        <v>0</v>
      </c>
      <c r="W363" s="24"/>
      <c r="X363" s="51"/>
      <c r="Y363" s="51"/>
      <c r="Z363" s="49">
        <f t="shared" si="283"/>
        <v>0</v>
      </c>
      <c r="AA363" s="24"/>
      <c r="AB363" s="51"/>
      <c r="AC363" s="51"/>
      <c r="AD363" s="49">
        <f t="shared" si="284"/>
        <v>0</v>
      </c>
      <c r="AE363" s="24"/>
      <c r="AF363" s="29">
        <f t="shared" si="285"/>
        <v>16</v>
      </c>
    </row>
    <row r="364" spans="2:32" ht="27">
      <c r="B364" s="313" t="s">
        <v>673</v>
      </c>
      <c r="C364" s="339" t="s">
        <v>652</v>
      </c>
      <c r="D364" s="51"/>
      <c r="E364" s="51"/>
      <c r="F364" s="85">
        <f t="shared" si="278"/>
        <v>0</v>
      </c>
      <c r="G364" s="24"/>
      <c r="H364" s="51"/>
      <c r="I364" s="51"/>
      <c r="J364" s="49">
        <f t="shared" si="279"/>
        <v>0</v>
      </c>
      <c r="K364" s="24"/>
      <c r="L364" s="51">
        <v>0.375</v>
      </c>
      <c r="M364" s="51">
        <v>0.70833333333333337</v>
      </c>
      <c r="N364" s="49">
        <f t="shared" si="280"/>
        <v>8</v>
      </c>
      <c r="O364" s="24"/>
      <c r="P364" s="51"/>
      <c r="Q364" s="51"/>
      <c r="R364" s="49">
        <f t="shared" si="281"/>
        <v>0</v>
      </c>
      <c r="S364" s="24"/>
      <c r="T364" s="51"/>
      <c r="U364" s="51"/>
      <c r="V364" s="49">
        <f t="shared" si="282"/>
        <v>0</v>
      </c>
      <c r="W364" s="24"/>
      <c r="X364" s="51"/>
      <c r="Y364" s="51"/>
      <c r="Z364" s="49">
        <f t="shared" si="283"/>
        <v>0</v>
      </c>
      <c r="AA364" s="24"/>
      <c r="AB364" s="51"/>
      <c r="AC364" s="51"/>
      <c r="AD364" s="49">
        <f t="shared" si="284"/>
        <v>0</v>
      </c>
      <c r="AE364" s="24"/>
      <c r="AF364" s="29">
        <f t="shared" si="285"/>
        <v>8</v>
      </c>
    </row>
    <row r="365" spans="2:32" ht="27">
      <c r="B365" s="313" t="s">
        <v>54</v>
      </c>
      <c r="C365" s="339" t="s">
        <v>666</v>
      </c>
      <c r="D365" s="51"/>
      <c r="E365" s="51"/>
      <c r="F365" s="85">
        <f t="shared" si="278"/>
        <v>0</v>
      </c>
      <c r="G365" s="24"/>
      <c r="H365" s="51">
        <v>0.375</v>
      </c>
      <c r="I365" s="51">
        <v>0.70833333333333337</v>
      </c>
      <c r="J365" s="49">
        <f t="shared" si="279"/>
        <v>8</v>
      </c>
      <c r="K365" s="24"/>
      <c r="L365" s="51"/>
      <c r="M365" s="51"/>
      <c r="N365" s="49">
        <f t="shared" si="280"/>
        <v>0</v>
      </c>
      <c r="O365" s="24"/>
      <c r="P365" s="51"/>
      <c r="Q365" s="51"/>
      <c r="R365" s="49">
        <f t="shared" si="281"/>
        <v>0</v>
      </c>
      <c r="S365" s="24"/>
      <c r="T365" s="51"/>
      <c r="U365" s="51"/>
      <c r="V365" s="49">
        <f t="shared" si="282"/>
        <v>0</v>
      </c>
      <c r="W365" s="24"/>
      <c r="X365" s="51"/>
      <c r="Y365" s="51"/>
      <c r="Z365" s="49">
        <f t="shared" si="283"/>
        <v>0</v>
      </c>
      <c r="AA365" s="24"/>
      <c r="AB365" s="51"/>
      <c r="AC365" s="51"/>
      <c r="AD365" s="49">
        <f t="shared" si="284"/>
        <v>0</v>
      </c>
      <c r="AE365" s="24"/>
      <c r="AF365" s="29">
        <f t="shared" si="285"/>
        <v>8</v>
      </c>
    </row>
    <row r="366" spans="2:32" ht="27">
      <c r="B366" s="313" t="s">
        <v>54</v>
      </c>
      <c r="C366" s="339" t="s">
        <v>649</v>
      </c>
      <c r="D366" s="51"/>
      <c r="E366" s="51"/>
      <c r="F366" s="85">
        <f t="shared" si="278"/>
        <v>0</v>
      </c>
      <c r="G366" s="24"/>
      <c r="H366" s="51"/>
      <c r="I366" s="51"/>
      <c r="J366" s="49">
        <f t="shared" si="279"/>
        <v>0</v>
      </c>
      <c r="K366" s="24"/>
      <c r="L366" s="51">
        <v>0.375</v>
      </c>
      <c r="M366" s="51">
        <v>0.70833333333333337</v>
      </c>
      <c r="N366" s="49">
        <f t="shared" si="280"/>
        <v>8</v>
      </c>
      <c r="O366" s="24"/>
      <c r="P366" s="51"/>
      <c r="Q366" s="51"/>
      <c r="R366" s="49">
        <f t="shared" si="281"/>
        <v>0</v>
      </c>
      <c r="S366" s="24"/>
      <c r="T366" s="51"/>
      <c r="U366" s="51"/>
      <c r="V366" s="49">
        <f t="shared" si="282"/>
        <v>0</v>
      </c>
      <c r="W366" s="24"/>
      <c r="X366" s="51"/>
      <c r="Y366" s="51"/>
      <c r="Z366" s="49">
        <f t="shared" si="283"/>
        <v>0</v>
      </c>
      <c r="AA366" s="24"/>
      <c r="AB366" s="51"/>
      <c r="AC366" s="51"/>
      <c r="AD366" s="49">
        <f t="shared" si="284"/>
        <v>0</v>
      </c>
      <c r="AE366" s="24"/>
      <c r="AF366" s="29">
        <f t="shared" si="285"/>
        <v>8</v>
      </c>
    </row>
    <row r="367" spans="2:32" ht="27">
      <c r="B367" s="313" t="s">
        <v>572</v>
      </c>
      <c r="C367" s="339" t="s">
        <v>674</v>
      </c>
      <c r="D367" s="51"/>
      <c r="E367" s="51"/>
      <c r="F367" s="85">
        <f t="shared" ref="F367:F369" si="286">(E367-D367)*24</f>
        <v>0</v>
      </c>
      <c r="G367" s="24"/>
      <c r="H367" s="51"/>
      <c r="I367" s="51"/>
      <c r="J367" s="49">
        <f t="shared" ref="J367:J369" si="287">(I367-H367)*24</f>
        <v>0</v>
      </c>
      <c r="K367" s="24"/>
      <c r="L367" s="51"/>
      <c r="M367" s="51"/>
      <c r="N367" s="49">
        <f t="shared" ref="N367:N369" si="288">(M367-L367)*24</f>
        <v>0</v>
      </c>
      <c r="O367" s="24"/>
      <c r="P367" s="51">
        <v>0.58333333333333337</v>
      </c>
      <c r="Q367" s="51">
        <v>0.66666666666666663</v>
      </c>
      <c r="R367" s="49">
        <f t="shared" ref="R367:R369" si="289">(Q367-P367)*24</f>
        <v>1.9999999999999982</v>
      </c>
      <c r="S367" s="24"/>
      <c r="T367" s="51"/>
      <c r="U367" s="51"/>
      <c r="V367" s="49">
        <f t="shared" ref="V367:V369" si="290">(U367-T367)*24</f>
        <v>0</v>
      </c>
      <c r="W367" s="24"/>
      <c r="X367" s="51"/>
      <c r="Y367" s="51"/>
      <c r="Z367" s="49">
        <f t="shared" ref="Z367:Z369" si="291">(Y367-X367)*24</f>
        <v>0</v>
      </c>
      <c r="AA367" s="24"/>
      <c r="AB367" s="51">
        <v>0.375</v>
      </c>
      <c r="AC367" s="51">
        <v>0.58333333333333337</v>
      </c>
      <c r="AD367" s="49">
        <f t="shared" ref="AD367:AD369" si="292">(AC367-AB367)*24</f>
        <v>5.0000000000000009</v>
      </c>
      <c r="AE367" s="24"/>
      <c r="AF367" s="29">
        <f t="shared" ref="AF367:AF369" si="293">J367+F367+N367+R367+V367+Z367+AD367</f>
        <v>6.9999999999999991</v>
      </c>
    </row>
    <row r="368" spans="2:32" ht="27">
      <c r="B368" s="313" t="s">
        <v>572</v>
      </c>
      <c r="C368" s="339" t="s">
        <v>675</v>
      </c>
      <c r="D368" s="51"/>
      <c r="E368" s="51"/>
      <c r="F368" s="85">
        <f t="shared" si="286"/>
        <v>0</v>
      </c>
      <c r="G368" s="24"/>
      <c r="H368" s="51"/>
      <c r="I368" s="51"/>
      <c r="J368" s="49">
        <f t="shared" si="287"/>
        <v>0</v>
      </c>
      <c r="K368" s="24"/>
      <c r="L368" s="51"/>
      <c r="M368" s="51"/>
      <c r="N368" s="49">
        <f t="shared" si="288"/>
        <v>0</v>
      </c>
      <c r="O368" s="24"/>
      <c r="P368" s="51"/>
      <c r="Q368" s="51"/>
      <c r="R368" s="49">
        <f t="shared" si="289"/>
        <v>0</v>
      </c>
      <c r="S368" s="24"/>
      <c r="T368" s="51">
        <v>0.375</v>
      </c>
      <c r="U368" s="51">
        <v>0.70833333333333337</v>
      </c>
      <c r="V368" s="49">
        <f t="shared" si="290"/>
        <v>8</v>
      </c>
      <c r="W368" s="24"/>
      <c r="X368" s="51"/>
      <c r="Y368" s="51"/>
      <c r="Z368" s="49">
        <f t="shared" si="291"/>
        <v>0</v>
      </c>
      <c r="AA368" s="24"/>
      <c r="AB368" s="51"/>
      <c r="AC368" s="51"/>
      <c r="AD368" s="49">
        <f t="shared" si="292"/>
        <v>0</v>
      </c>
      <c r="AE368" s="24"/>
      <c r="AF368" s="29">
        <f t="shared" si="293"/>
        <v>8</v>
      </c>
    </row>
    <row r="369" spans="2:32" ht="27">
      <c r="B369" s="313" t="s">
        <v>576</v>
      </c>
      <c r="C369" s="339" t="s">
        <v>675</v>
      </c>
      <c r="D369" s="51"/>
      <c r="E369" s="51"/>
      <c r="F369" s="85">
        <f t="shared" si="286"/>
        <v>0</v>
      </c>
      <c r="G369" s="24"/>
      <c r="H369" s="51"/>
      <c r="I369" s="51"/>
      <c r="J369" s="49">
        <f t="shared" si="287"/>
        <v>0</v>
      </c>
      <c r="K369" s="24"/>
      <c r="L369" s="51"/>
      <c r="M369" s="51"/>
      <c r="N369" s="49">
        <f t="shared" si="288"/>
        <v>0</v>
      </c>
      <c r="O369" s="24"/>
      <c r="P369" s="51"/>
      <c r="Q369" s="51"/>
      <c r="R369" s="49">
        <f t="shared" si="289"/>
        <v>0</v>
      </c>
      <c r="S369" s="24"/>
      <c r="T369" s="51">
        <v>0.375</v>
      </c>
      <c r="U369" s="51">
        <v>0.70833333333333337</v>
      </c>
      <c r="V369" s="49">
        <f t="shared" si="290"/>
        <v>8</v>
      </c>
      <c r="W369" s="24"/>
      <c r="X369" s="51"/>
      <c r="Y369" s="51"/>
      <c r="Z369" s="49">
        <f t="shared" si="291"/>
        <v>0</v>
      </c>
      <c r="AA369" s="24"/>
      <c r="AB369" s="51"/>
      <c r="AC369" s="51"/>
      <c r="AD369" s="49">
        <f t="shared" si="292"/>
        <v>0</v>
      </c>
      <c r="AE369" s="24"/>
      <c r="AF369" s="29">
        <f t="shared" si="293"/>
        <v>8</v>
      </c>
    </row>
    <row r="370" spans="2:32" ht="27">
      <c r="B370" s="313" t="s">
        <v>572</v>
      </c>
      <c r="C370" s="339" t="s">
        <v>651</v>
      </c>
      <c r="D370" s="51"/>
      <c r="E370" s="51"/>
      <c r="F370" s="85">
        <f t="shared" ref="F370" si="294">(E370-D370)*24</f>
        <v>0</v>
      </c>
      <c r="G370" s="24"/>
      <c r="H370" s="51"/>
      <c r="I370" s="51"/>
      <c r="J370" s="49">
        <f t="shared" ref="J370" si="295">(I370-H370)*24</f>
        <v>0</v>
      </c>
      <c r="K370" s="24"/>
      <c r="L370" s="51">
        <v>0.58333333333333337</v>
      </c>
      <c r="M370" s="51">
        <v>0.875</v>
      </c>
      <c r="N370" s="49">
        <f t="shared" ref="N370" si="296">(M370-L370)*24</f>
        <v>6.9999999999999991</v>
      </c>
      <c r="O370" s="24"/>
      <c r="P370" s="51"/>
      <c r="Q370" s="51"/>
      <c r="R370" s="49">
        <f t="shared" ref="R370" si="297">(Q370-P370)*24</f>
        <v>0</v>
      </c>
      <c r="S370" s="24"/>
      <c r="T370" s="51"/>
      <c r="U370" s="51"/>
      <c r="V370" s="49">
        <f t="shared" ref="V370" si="298">(U370-T370)*24</f>
        <v>0</v>
      </c>
      <c r="W370" s="24"/>
      <c r="X370" s="51"/>
      <c r="Y370" s="51"/>
      <c r="Z370" s="49">
        <f t="shared" ref="Z370" si="299">(Y370-X370)*24</f>
        <v>0</v>
      </c>
      <c r="AA370" s="24"/>
      <c r="AB370" s="51"/>
      <c r="AC370" s="51"/>
      <c r="AD370" s="49">
        <f t="shared" ref="AD370" si="300">(AC370-AB370)*24</f>
        <v>0</v>
      </c>
      <c r="AE370" s="24"/>
      <c r="AF370" s="29">
        <f t="shared" ref="AF370" si="301">J370+F370+N370+R370+V370+Z370+AD370</f>
        <v>6.9999999999999991</v>
      </c>
    </row>
    <row r="371" spans="2:32" ht="27">
      <c r="B371" s="313" t="s">
        <v>673</v>
      </c>
      <c r="C371" s="339" t="s">
        <v>675</v>
      </c>
      <c r="D371" s="51"/>
      <c r="E371" s="51"/>
      <c r="F371" s="85">
        <f t="shared" si="278"/>
        <v>0</v>
      </c>
      <c r="G371" s="24"/>
      <c r="H371" s="51"/>
      <c r="I371" s="51"/>
      <c r="J371" s="49">
        <f t="shared" si="279"/>
        <v>0</v>
      </c>
      <c r="K371" s="24"/>
      <c r="L371" s="51"/>
      <c r="M371" s="51"/>
      <c r="N371" s="49">
        <f t="shared" si="280"/>
        <v>0</v>
      </c>
      <c r="O371" s="24"/>
      <c r="P371" s="51"/>
      <c r="Q371" s="51"/>
      <c r="R371" s="49">
        <f t="shared" si="281"/>
        <v>0</v>
      </c>
      <c r="S371" s="24"/>
      <c r="T371" s="51"/>
      <c r="U371" s="51"/>
      <c r="V371" s="49">
        <f t="shared" si="282"/>
        <v>0</v>
      </c>
      <c r="W371" s="24"/>
      <c r="X371" s="51"/>
      <c r="Y371" s="51"/>
      <c r="Z371" s="49">
        <f t="shared" si="283"/>
        <v>0</v>
      </c>
      <c r="AA371" s="24"/>
      <c r="AB371" s="51"/>
      <c r="AC371" s="51"/>
      <c r="AD371" s="49">
        <f t="shared" si="284"/>
        <v>0</v>
      </c>
      <c r="AE371" s="24"/>
      <c r="AF371" s="29">
        <f t="shared" si="285"/>
        <v>0</v>
      </c>
    </row>
    <row r="372" spans="2:32" ht="27">
      <c r="B372" s="313" t="s">
        <v>54</v>
      </c>
      <c r="C372" s="339" t="s">
        <v>676</v>
      </c>
      <c r="D372" s="51"/>
      <c r="E372" s="51"/>
      <c r="F372" s="85">
        <f t="shared" si="278"/>
        <v>0</v>
      </c>
      <c r="G372" s="24"/>
      <c r="H372" s="51"/>
      <c r="I372" s="51"/>
      <c r="J372" s="49">
        <f t="shared" si="279"/>
        <v>0</v>
      </c>
      <c r="K372" s="24"/>
      <c r="L372" s="51"/>
      <c r="M372" s="51"/>
      <c r="N372" s="49">
        <f t="shared" si="280"/>
        <v>0</v>
      </c>
      <c r="O372" s="24"/>
      <c r="P372" s="51">
        <v>0.375</v>
      </c>
      <c r="Q372" s="51">
        <v>0.70833333333333337</v>
      </c>
      <c r="R372" s="49">
        <f t="shared" si="281"/>
        <v>8</v>
      </c>
      <c r="S372" s="24"/>
      <c r="T372" s="51">
        <v>0.375</v>
      </c>
      <c r="U372" s="51">
        <v>0.70833333333333337</v>
      </c>
      <c r="V372" s="49">
        <f t="shared" si="282"/>
        <v>8</v>
      </c>
      <c r="W372" s="24"/>
      <c r="X372" s="51"/>
      <c r="Y372" s="51"/>
      <c r="Z372" s="49">
        <f t="shared" si="283"/>
        <v>0</v>
      </c>
      <c r="AA372" s="24"/>
      <c r="AB372" s="51"/>
      <c r="AC372" s="51"/>
      <c r="AD372" s="49">
        <f t="shared" si="284"/>
        <v>0</v>
      </c>
      <c r="AE372" s="24"/>
      <c r="AF372" s="29">
        <f t="shared" si="285"/>
        <v>16</v>
      </c>
    </row>
    <row r="373" spans="2:32" ht="27">
      <c r="B373" s="313" t="s">
        <v>637</v>
      </c>
      <c r="C373" s="339" t="s">
        <v>676</v>
      </c>
      <c r="D373" s="51"/>
      <c r="E373" s="51"/>
      <c r="F373" s="85">
        <f t="shared" ref="F373:F374" si="302">(E373-D373)*24</f>
        <v>0</v>
      </c>
      <c r="G373" s="24"/>
      <c r="H373" s="51"/>
      <c r="I373" s="51"/>
      <c r="J373" s="49">
        <f t="shared" ref="J373:J374" si="303">(I373-H373)*24</f>
        <v>0</v>
      </c>
      <c r="K373" s="24"/>
      <c r="L373" s="51"/>
      <c r="M373" s="51"/>
      <c r="N373" s="49">
        <f t="shared" ref="N373:N374" si="304">(M373-L373)*24</f>
        <v>0</v>
      </c>
      <c r="O373" s="24"/>
      <c r="P373" s="51">
        <v>0.375</v>
      </c>
      <c r="Q373" s="51">
        <v>0.70833333333333337</v>
      </c>
      <c r="R373" s="49">
        <f t="shared" ref="R373:R374" si="305">(Q373-P373)*24</f>
        <v>8</v>
      </c>
      <c r="S373" s="24"/>
      <c r="T373" s="51"/>
      <c r="U373" s="51"/>
      <c r="V373" s="49">
        <f t="shared" ref="V373:V374" si="306">(U373-T373)*24</f>
        <v>0</v>
      </c>
      <c r="W373" s="24"/>
      <c r="X373" s="51"/>
      <c r="Y373" s="51"/>
      <c r="Z373" s="49">
        <f t="shared" ref="Z373:Z374" si="307">(Y373-X373)*24</f>
        <v>0</v>
      </c>
      <c r="AA373" s="24"/>
      <c r="AB373" s="51"/>
      <c r="AC373" s="51"/>
      <c r="AD373" s="49">
        <f t="shared" ref="AD373:AD374" si="308">(AC373-AB373)*24</f>
        <v>0</v>
      </c>
      <c r="AE373" s="24"/>
      <c r="AF373" s="29">
        <f t="shared" ref="AF373:AF374" si="309">J373+F373+N373+R373+V373+Z373+AD373</f>
        <v>8</v>
      </c>
    </row>
    <row r="374" spans="2:32" ht="27">
      <c r="B374" s="313" t="s">
        <v>576</v>
      </c>
      <c r="C374" s="339" t="s">
        <v>676</v>
      </c>
      <c r="D374" s="51"/>
      <c r="E374" s="51"/>
      <c r="F374" s="85">
        <f t="shared" si="302"/>
        <v>0</v>
      </c>
      <c r="G374" s="24"/>
      <c r="H374" s="51"/>
      <c r="I374" s="51"/>
      <c r="J374" s="49">
        <f t="shared" si="303"/>
        <v>0</v>
      </c>
      <c r="K374" s="24"/>
      <c r="L374" s="51"/>
      <c r="M374" s="51"/>
      <c r="N374" s="49">
        <f t="shared" si="304"/>
        <v>0</v>
      </c>
      <c r="O374" s="24"/>
      <c r="P374" s="51">
        <v>0.375</v>
      </c>
      <c r="Q374" s="51">
        <v>0.70833333333333337</v>
      </c>
      <c r="R374" s="49">
        <f t="shared" si="305"/>
        <v>8</v>
      </c>
      <c r="S374" s="24"/>
      <c r="T374" s="51"/>
      <c r="U374" s="51"/>
      <c r="V374" s="49">
        <f t="shared" si="306"/>
        <v>0</v>
      </c>
      <c r="W374" s="24"/>
      <c r="X374" s="51"/>
      <c r="Y374" s="51"/>
      <c r="Z374" s="49">
        <f t="shared" si="307"/>
        <v>0</v>
      </c>
      <c r="AA374" s="24"/>
      <c r="AB374" s="51"/>
      <c r="AC374" s="51"/>
      <c r="AD374" s="49">
        <f t="shared" si="308"/>
        <v>0</v>
      </c>
      <c r="AE374" s="24"/>
      <c r="AF374" s="29">
        <f t="shared" si="309"/>
        <v>8</v>
      </c>
    </row>
    <row r="375" spans="2:32" ht="14.25">
      <c r="B375" s="63" t="s">
        <v>61</v>
      </c>
      <c r="C375" s="63"/>
      <c r="D375" s="51"/>
      <c r="E375" s="51"/>
      <c r="F375" s="85">
        <f t="shared" si="278"/>
        <v>0</v>
      </c>
      <c r="G375" s="24"/>
      <c r="H375" s="51"/>
      <c r="I375" s="51"/>
      <c r="J375" s="49">
        <f t="shared" si="279"/>
        <v>0</v>
      </c>
      <c r="K375" s="24"/>
      <c r="L375" s="51"/>
      <c r="M375" s="51"/>
      <c r="N375" s="49">
        <f t="shared" si="280"/>
        <v>0</v>
      </c>
      <c r="O375" s="24"/>
      <c r="P375" s="51"/>
      <c r="Q375" s="51"/>
      <c r="R375" s="49">
        <f t="shared" si="281"/>
        <v>0</v>
      </c>
      <c r="S375" s="24"/>
      <c r="T375" s="51"/>
      <c r="U375" s="51"/>
      <c r="V375" s="49">
        <f t="shared" si="282"/>
        <v>0</v>
      </c>
      <c r="W375" s="24"/>
      <c r="X375" s="51"/>
      <c r="Y375" s="51"/>
      <c r="Z375" s="49">
        <f t="shared" si="283"/>
        <v>0</v>
      </c>
      <c r="AA375" s="24"/>
      <c r="AB375" s="51"/>
      <c r="AC375" s="51"/>
      <c r="AD375" s="49">
        <f t="shared" si="284"/>
        <v>0</v>
      </c>
      <c r="AE375" s="24"/>
      <c r="AF375" s="30">
        <f>SUM(AF368:AF374)</f>
        <v>55</v>
      </c>
    </row>
    <row r="376" spans="2:32">
      <c r="B376" s="31" t="s">
        <v>577</v>
      </c>
      <c r="C376" s="31"/>
      <c r="D376" s="91"/>
      <c r="E376" s="91"/>
      <c r="F376" s="90"/>
      <c r="G376" s="91"/>
      <c r="H376" s="91"/>
      <c r="I376" s="91"/>
      <c r="J376" s="90"/>
      <c r="K376" s="91"/>
      <c r="L376" s="91"/>
      <c r="M376" s="91"/>
      <c r="N376" s="90"/>
      <c r="O376" s="91"/>
      <c r="P376" s="91"/>
      <c r="Q376" s="91"/>
      <c r="R376" s="90"/>
      <c r="S376" s="91"/>
      <c r="T376" s="91"/>
      <c r="U376" s="91"/>
      <c r="V376" s="90"/>
      <c r="W376" s="91"/>
      <c r="X376" s="91"/>
      <c r="Y376" s="91"/>
      <c r="Z376" s="90"/>
      <c r="AA376" s="91"/>
      <c r="AB376" s="91"/>
      <c r="AC376" s="91"/>
      <c r="AD376" s="91"/>
      <c r="AE376" s="352"/>
      <c r="AF376" s="28"/>
    </row>
    <row r="377" spans="2:32">
      <c r="B377" s="31" t="s">
        <v>578</v>
      </c>
      <c r="C377" s="31"/>
      <c r="D377" s="91"/>
      <c r="E377" s="91"/>
      <c r="F377" s="90"/>
      <c r="G377" s="91"/>
      <c r="H377" s="91"/>
      <c r="I377" s="91"/>
      <c r="J377" s="90"/>
      <c r="K377" s="91"/>
      <c r="L377" s="91"/>
      <c r="M377" s="91"/>
      <c r="N377" s="90"/>
      <c r="O377" s="91"/>
      <c r="P377" s="91"/>
      <c r="Q377" s="91"/>
      <c r="R377" s="90"/>
      <c r="S377" s="91"/>
      <c r="T377" s="91"/>
      <c r="U377" s="91"/>
      <c r="V377" s="90"/>
      <c r="W377" s="91"/>
      <c r="X377" s="91"/>
      <c r="Y377" s="91"/>
      <c r="Z377" s="90"/>
      <c r="AA377" s="91"/>
      <c r="AB377" s="91"/>
      <c r="AC377" s="91"/>
      <c r="AD377" s="91"/>
      <c r="AE377" s="352"/>
      <c r="AF377" s="28">
        <f>SUM(D377:AD377)</f>
        <v>0</v>
      </c>
    </row>
    <row r="378" spans="2:32" ht="14.25" thickBot="1">
      <c r="B378" s="74" t="s">
        <v>579</v>
      </c>
      <c r="C378" s="74"/>
      <c r="D378" s="95"/>
      <c r="E378" s="95"/>
      <c r="F378" s="96"/>
      <c r="G378" s="95"/>
      <c r="H378" s="95"/>
      <c r="I378" s="95"/>
      <c r="J378" s="96"/>
      <c r="K378" s="95"/>
      <c r="L378" s="95"/>
      <c r="M378" s="95"/>
      <c r="N378" s="96"/>
      <c r="O378" s="95"/>
      <c r="P378" s="95"/>
      <c r="Q378" s="95"/>
      <c r="R378" s="96"/>
      <c r="S378" s="95"/>
      <c r="T378" s="95"/>
      <c r="U378" s="95"/>
      <c r="V378" s="96"/>
      <c r="W378" s="97"/>
      <c r="X378" s="97"/>
      <c r="Y378" s="97"/>
      <c r="Z378" s="96"/>
      <c r="AA378" s="97"/>
      <c r="AB378" s="97"/>
      <c r="AC378" s="97"/>
      <c r="AD378" s="97"/>
      <c r="AE378" s="97"/>
      <c r="AF378" s="80">
        <f>SUM(D378:AD378)</f>
        <v>0</v>
      </c>
    </row>
    <row r="379" spans="2:32" ht="14.25" thickTop="1">
      <c r="B379" s="1518" t="s">
        <v>18</v>
      </c>
      <c r="C379" s="1552" t="s">
        <v>571</v>
      </c>
      <c r="D379" s="1524">
        <v>45215</v>
      </c>
      <c r="E379" s="1524"/>
      <c r="F379" s="1524"/>
      <c r="G379" s="22"/>
      <c r="H379" s="1524">
        <f>D379+1</f>
        <v>45216</v>
      </c>
      <c r="I379" s="1524"/>
      <c r="J379" s="1524"/>
      <c r="K379" s="22"/>
      <c r="L379" s="1524">
        <f>H379+1</f>
        <v>45217</v>
      </c>
      <c r="M379" s="1524"/>
      <c r="N379" s="1524"/>
      <c r="P379" s="1524">
        <f>L379+1</f>
        <v>45218</v>
      </c>
      <c r="Q379" s="1524"/>
      <c r="R379" s="1524"/>
      <c r="T379" s="1524">
        <f>P379+1</f>
        <v>45219</v>
      </c>
      <c r="U379" s="1524"/>
      <c r="V379" s="1524"/>
      <c r="W379" s="22"/>
      <c r="X379" s="1524">
        <f>T379+1</f>
        <v>45220</v>
      </c>
      <c r="Y379" s="1524"/>
      <c r="Z379" s="1524"/>
      <c r="AB379" s="1524">
        <f>X379+1</f>
        <v>45221</v>
      </c>
      <c r="AC379" s="1524"/>
      <c r="AD379" s="1524"/>
      <c r="AE379" s="22"/>
      <c r="AF379" s="1517" t="s">
        <v>19</v>
      </c>
    </row>
    <row r="380" spans="2:32">
      <c r="B380" s="1518"/>
      <c r="C380" s="1552"/>
      <c r="D380" s="21" t="s">
        <v>23</v>
      </c>
      <c r="E380" s="21" t="s">
        <v>24</v>
      </c>
      <c r="F380" s="62" t="s">
        <v>25</v>
      </c>
      <c r="G380" s="23"/>
      <c r="H380" s="21" t="s">
        <v>23</v>
      </c>
      <c r="I380" s="21" t="s">
        <v>24</v>
      </c>
      <c r="J380" s="18" t="s">
        <v>25</v>
      </c>
      <c r="K380" s="23"/>
      <c r="L380" s="21" t="s">
        <v>23</v>
      </c>
      <c r="M380" s="21" t="s">
        <v>24</v>
      </c>
      <c r="N380" s="18" t="s">
        <v>25</v>
      </c>
      <c r="O380" s="23"/>
      <c r="P380" s="21" t="s">
        <v>23</v>
      </c>
      <c r="Q380" s="21" t="s">
        <v>24</v>
      </c>
      <c r="R380" s="18" t="s">
        <v>25</v>
      </c>
      <c r="S380" s="23"/>
      <c r="T380" s="21" t="s">
        <v>23</v>
      </c>
      <c r="U380" s="21" t="s">
        <v>24</v>
      </c>
      <c r="V380" s="18" t="s">
        <v>25</v>
      </c>
      <c r="W380" s="23"/>
      <c r="X380" s="21" t="s">
        <v>23</v>
      </c>
      <c r="Y380" s="21" t="s">
        <v>24</v>
      </c>
      <c r="Z380" s="18" t="s">
        <v>25</v>
      </c>
      <c r="AA380" s="23"/>
      <c r="AB380" s="21" t="s">
        <v>23</v>
      </c>
      <c r="AC380" s="21" t="s">
        <v>24</v>
      </c>
      <c r="AD380" s="18" t="s">
        <v>25</v>
      </c>
      <c r="AE380" s="23"/>
      <c r="AF380" s="1517"/>
    </row>
    <row r="381" spans="2:32" ht="27">
      <c r="B381" s="313" t="s">
        <v>572</v>
      </c>
      <c r="C381" s="339" t="s">
        <v>677</v>
      </c>
      <c r="D381" s="51">
        <v>0.375</v>
      </c>
      <c r="E381" s="51">
        <v>0.70833333333333337</v>
      </c>
      <c r="F381" s="85">
        <f t="shared" ref="F381:F385" si="310">(E381-D381)*24</f>
        <v>8</v>
      </c>
      <c r="G381" s="24"/>
      <c r="H381" s="51"/>
      <c r="I381" s="51"/>
      <c r="J381" s="49">
        <f t="shared" ref="J381:J385" si="311">(I381-H381)*24</f>
        <v>0</v>
      </c>
      <c r="K381" s="24"/>
      <c r="L381" s="51">
        <v>0.375</v>
      </c>
      <c r="M381" s="51">
        <v>0.58333333333333337</v>
      </c>
      <c r="N381" s="49">
        <f t="shared" ref="N381:N385" si="312">(M381-L381)*24</f>
        <v>5.0000000000000009</v>
      </c>
      <c r="O381" s="24"/>
      <c r="P381" s="51"/>
      <c r="Q381" s="51"/>
      <c r="R381" s="49">
        <f t="shared" ref="R381:R385" si="313">(Q381-P381)*24</f>
        <v>0</v>
      </c>
      <c r="S381" s="24"/>
      <c r="T381" s="51"/>
      <c r="U381" s="51"/>
      <c r="V381" s="49">
        <f t="shared" ref="V381:V385" si="314">(U381-T381)*24</f>
        <v>0</v>
      </c>
      <c r="W381" s="24"/>
      <c r="X381" s="51"/>
      <c r="Y381" s="51"/>
      <c r="Z381" s="49">
        <f t="shared" ref="Z381:Z385" si="315">(Y381-X381)*24</f>
        <v>0</v>
      </c>
      <c r="AA381" s="24"/>
      <c r="AB381" s="51"/>
      <c r="AC381" s="51"/>
      <c r="AD381" s="49">
        <f t="shared" ref="AD381:AD385" si="316">(AC381-AB381)*24</f>
        <v>0</v>
      </c>
      <c r="AE381" s="24"/>
      <c r="AF381" s="29">
        <f t="shared" ref="AF381:AF384" si="317">J381+F381+N381+R381+V381+Z381+AD381</f>
        <v>13</v>
      </c>
    </row>
    <row r="382" spans="2:32" ht="14.25">
      <c r="B382" s="313" t="s">
        <v>637</v>
      </c>
      <c r="C382" s="339" t="s">
        <v>678</v>
      </c>
      <c r="D382" s="51"/>
      <c r="E382" s="51"/>
      <c r="F382" s="85">
        <f t="shared" si="310"/>
        <v>0</v>
      </c>
      <c r="G382" s="24"/>
      <c r="H382" s="51">
        <v>0.375</v>
      </c>
      <c r="I382" s="51">
        <v>0.45833333333333331</v>
      </c>
      <c r="J382" s="49">
        <f t="shared" si="311"/>
        <v>1.9999999999999996</v>
      </c>
      <c r="K382" s="24"/>
      <c r="L382" s="51"/>
      <c r="M382" s="51"/>
      <c r="N382" s="49">
        <f t="shared" si="312"/>
        <v>0</v>
      </c>
      <c r="O382" s="24"/>
      <c r="P382" s="51"/>
      <c r="Q382" s="51"/>
      <c r="R382" s="49">
        <f t="shared" si="313"/>
        <v>0</v>
      </c>
      <c r="S382" s="24"/>
      <c r="T382" s="51"/>
      <c r="U382" s="51"/>
      <c r="V382" s="49">
        <f t="shared" si="314"/>
        <v>0</v>
      </c>
      <c r="W382" s="24"/>
      <c r="X382" s="51"/>
      <c r="Y382" s="51"/>
      <c r="Z382" s="49">
        <f t="shared" si="315"/>
        <v>0</v>
      </c>
      <c r="AA382" s="24"/>
      <c r="AB382" s="51"/>
      <c r="AC382" s="51"/>
      <c r="AD382" s="49">
        <f t="shared" si="316"/>
        <v>0</v>
      </c>
      <c r="AE382" s="24"/>
      <c r="AF382" s="29">
        <f t="shared" si="317"/>
        <v>1.9999999999999996</v>
      </c>
    </row>
    <row r="383" spans="2:32" ht="14.25">
      <c r="B383" s="313"/>
      <c r="C383" s="339"/>
      <c r="D383" s="51"/>
      <c r="E383" s="51"/>
      <c r="F383" s="85">
        <f t="shared" si="310"/>
        <v>0</v>
      </c>
      <c r="G383" s="24"/>
      <c r="H383" s="51"/>
      <c r="I383" s="51"/>
      <c r="J383" s="49">
        <f t="shared" si="311"/>
        <v>0</v>
      </c>
      <c r="K383" s="24"/>
      <c r="L383" s="51"/>
      <c r="M383" s="51"/>
      <c r="N383" s="49">
        <f t="shared" si="312"/>
        <v>0</v>
      </c>
      <c r="O383" s="24"/>
      <c r="P383" s="51"/>
      <c r="Q383" s="51"/>
      <c r="R383" s="49">
        <f t="shared" si="313"/>
        <v>0</v>
      </c>
      <c r="S383" s="24"/>
      <c r="T383" s="51"/>
      <c r="U383" s="51"/>
      <c r="V383" s="49">
        <f t="shared" si="314"/>
        <v>0</v>
      </c>
      <c r="W383" s="24"/>
      <c r="X383" s="51"/>
      <c r="Y383" s="51"/>
      <c r="Z383" s="49">
        <f t="shared" si="315"/>
        <v>0</v>
      </c>
      <c r="AA383" s="24"/>
      <c r="AB383" s="51"/>
      <c r="AC383" s="51"/>
      <c r="AD383" s="49">
        <f t="shared" si="316"/>
        <v>0</v>
      </c>
      <c r="AE383" s="24"/>
      <c r="AF383" s="29">
        <f t="shared" si="317"/>
        <v>0</v>
      </c>
    </row>
    <row r="384" spans="2:32" ht="14.25">
      <c r="B384" s="313"/>
      <c r="C384" s="339"/>
      <c r="D384" s="51"/>
      <c r="E384" s="51"/>
      <c r="F384" s="85">
        <f t="shared" si="310"/>
        <v>0</v>
      </c>
      <c r="G384" s="24"/>
      <c r="H384" s="51"/>
      <c r="I384" s="51"/>
      <c r="J384" s="49">
        <f t="shared" si="311"/>
        <v>0</v>
      </c>
      <c r="K384" s="24"/>
      <c r="L384" s="51"/>
      <c r="M384" s="51"/>
      <c r="N384" s="49">
        <f t="shared" si="312"/>
        <v>0</v>
      </c>
      <c r="O384" s="24"/>
      <c r="P384" s="51"/>
      <c r="Q384" s="51"/>
      <c r="R384" s="49">
        <f t="shared" si="313"/>
        <v>0</v>
      </c>
      <c r="S384" s="24"/>
      <c r="T384" s="51"/>
      <c r="U384" s="51"/>
      <c r="V384" s="49">
        <f t="shared" si="314"/>
        <v>0</v>
      </c>
      <c r="W384" s="24"/>
      <c r="X384" s="51"/>
      <c r="Y384" s="51"/>
      <c r="Z384" s="49">
        <f t="shared" si="315"/>
        <v>0</v>
      </c>
      <c r="AA384" s="24"/>
      <c r="AB384" s="51"/>
      <c r="AC384" s="51"/>
      <c r="AD384" s="49">
        <f t="shared" si="316"/>
        <v>0</v>
      </c>
      <c r="AE384" s="24"/>
      <c r="AF384" s="29">
        <f t="shared" si="317"/>
        <v>0</v>
      </c>
    </row>
    <row r="385" spans="2:32" ht="14.25">
      <c r="B385" s="63" t="s">
        <v>61</v>
      </c>
      <c r="C385" s="63"/>
      <c r="D385" s="51"/>
      <c r="E385" s="51"/>
      <c r="F385" s="85">
        <f t="shared" si="310"/>
        <v>0</v>
      </c>
      <c r="G385" s="24"/>
      <c r="H385" s="51"/>
      <c r="I385" s="51"/>
      <c r="J385" s="49">
        <f t="shared" si="311"/>
        <v>0</v>
      </c>
      <c r="K385" s="24"/>
      <c r="L385" s="51"/>
      <c r="M385" s="51"/>
      <c r="N385" s="49">
        <f t="shared" si="312"/>
        <v>0</v>
      </c>
      <c r="O385" s="24"/>
      <c r="P385" s="51"/>
      <c r="Q385" s="51"/>
      <c r="R385" s="49">
        <f t="shared" si="313"/>
        <v>0</v>
      </c>
      <c r="S385" s="24"/>
      <c r="T385" s="51"/>
      <c r="U385" s="51"/>
      <c r="V385" s="49">
        <f t="shared" si="314"/>
        <v>0</v>
      </c>
      <c r="W385" s="24"/>
      <c r="X385" s="51"/>
      <c r="Y385" s="51"/>
      <c r="Z385" s="49">
        <f t="shared" si="315"/>
        <v>0</v>
      </c>
      <c r="AA385" s="24"/>
      <c r="AB385" s="51"/>
      <c r="AC385" s="51"/>
      <c r="AD385" s="49">
        <f t="shared" si="316"/>
        <v>0</v>
      </c>
      <c r="AE385" s="24"/>
      <c r="AF385" s="30">
        <f>SUM(AF378:AF384)</f>
        <v>15</v>
      </c>
    </row>
    <row r="386" spans="2:32">
      <c r="B386" s="31" t="s">
        <v>577</v>
      </c>
      <c r="C386" s="31"/>
      <c r="D386" s="91"/>
      <c r="E386" s="91"/>
      <c r="F386" s="90"/>
      <c r="G386" s="91"/>
      <c r="H386" s="91"/>
      <c r="I386" s="91"/>
      <c r="J386" s="90"/>
      <c r="K386" s="91"/>
      <c r="L386" s="91"/>
      <c r="M386" s="91"/>
      <c r="N386" s="90"/>
      <c r="O386" s="91"/>
      <c r="P386" s="91"/>
      <c r="Q386" s="91"/>
      <c r="R386" s="90"/>
      <c r="S386" s="91"/>
      <c r="T386" s="91"/>
      <c r="U386" s="91"/>
      <c r="V386" s="90"/>
      <c r="W386" s="91"/>
      <c r="X386" s="91"/>
      <c r="Y386" s="91"/>
      <c r="Z386" s="90"/>
      <c r="AA386" s="91"/>
      <c r="AB386" s="91"/>
      <c r="AC386" s="91"/>
      <c r="AD386" s="91"/>
      <c r="AE386" s="352"/>
      <c r="AF386" s="28"/>
    </row>
    <row r="387" spans="2:32">
      <c r="B387" s="31" t="s">
        <v>578</v>
      </c>
      <c r="C387" s="31"/>
      <c r="D387" s="91"/>
      <c r="E387" s="91"/>
      <c r="F387" s="90"/>
      <c r="G387" s="91"/>
      <c r="H387" s="91"/>
      <c r="I387" s="91"/>
      <c r="J387" s="90"/>
      <c r="K387" s="91"/>
      <c r="L387" s="91"/>
      <c r="M387" s="91"/>
      <c r="N387" s="90"/>
      <c r="O387" s="91"/>
      <c r="P387" s="91"/>
      <c r="Q387" s="91"/>
      <c r="R387" s="90"/>
      <c r="S387" s="91"/>
      <c r="T387" s="91"/>
      <c r="U387" s="91"/>
      <c r="V387" s="90"/>
      <c r="W387" s="91"/>
      <c r="X387" s="91"/>
      <c r="Y387" s="91"/>
      <c r="Z387" s="90"/>
      <c r="AA387" s="91"/>
      <c r="AB387" s="91"/>
      <c r="AC387" s="91"/>
      <c r="AD387" s="91"/>
      <c r="AE387" s="352"/>
      <c r="AF387" s="28">
        <f>SUM(D387:AD387)</f>
        <v>0</v>
      </c>
    </row>
    <row r="388" spans="2:32" ht="14.25" thickBot="1">
      <c r="B388" s="74" t="s">
        <v>579</v>
      </c>
      <c r="C388" s="74"/>
      <c r="D388" s="95"/>
      <c r="E388" s="95"/>
      <c r="F388" s="96"/>
      <c r="G388" s="95"/>
      <c r="H388" s="95"/>
      <c r="I388" s="95"/>
      <c r="J388" s="96"/>
      <c r="K388" s="95"/>
      <c r="L388" s="95"/>
      <c r="M388" s="95"/>
      <c r="N388" s="96"/>
      <c r="O388" s="95"/>
      <c r="P388" s="95"/>
      <c r="Q388" s="95"/>
      <c r="R388" s="96"/>
      <c r="S388" s="95"/>
      <c r="T388" s="95"/>
      <c r="U388" s="95"/>
      <c r="V388" s="96"/>
      <c r="W388" s="97"/>
      <c r="X388" s="97"/>
      <c r="Y388" s="97"/>
      <c r="Z388" s="96"/>
      <c r="AA388" s="97"/>
      <c r="AB388" s="97"/>
      <c r="AC388" s="97"/>
      <c r="AD388" s="97"/>
      <c r="AE388" s="97"/>
      <c r="AF388" s="80">
        <f>SUM(D388:AD388)</f>
        <v>0</v>
      </c>
    </row>
    <row r="389" spans="2:32" ht="14.25" thickTop="1">
      <c r="B389" s="1518" t="s">
        <v>18</v>
      </c>
      <c r="C389" s="1552" t="s">
        <v>571</v>
      </c>
      <c r="D389" s="1524">
        <v>45222</v>
      </c>
      <c r="E389" s="1524"/>
      <c r="F389" s="1524"/>
      <c r="G389" s="22"/>
      <c r="H389" s="1524">
        <f>D389+1</f>
        <v>45223</v>
      </c>
      <c r="I389" s="1524"/>
      <c r="J389" s="1524"/>
      <c r="K389" s="22"/>
      <c r="L389" s="1524">
        <f>H389+1</f>
        <v>45224</v>
      </c>
      <c r="M389" s="1524"/>
      <c r="N389" s="1524"/>
      <c r="P389" s="1524">
        <f>L389+1</f>
        <v>45225</v>
      </c>
      <c r="Q389" s="1524"/>
      <c r="R389" s="1524"/>
      <c r="T389" s="1524">
        <f>P389+1</f>
        <v>45226</v>
      </c>
      <c r="U389" s="1524"/>
      <c r="V389" s="1524"/>
      <c r="W389" s="22"/>
      <c r="X389" s="1524">
        <f>T389+1</f>
        <v>45227</v>
      </c>
      <c r="Y389" s="1524"/>
      <c r="Z389" s="1524"/>
      <c r="AB389" s="1524">
        <f>X389+1</f>
        <v>45228</v>
      </c>
      <c r="AC389" s="1524"/>
      <c r="AD389" s="1524"/>
      <c r="AE389" s="22"/>
      <c r="AF389" s="1517" t="s">
        <v>19</v>
      </c>
    </row>
    <row r="390" spans="2:32">
      <c r="B390" s="1518"/>
      <c r="C390" s="1552"/>
      <c r="D390" s="21" t="s">
        <v>23</v>
      </c>
      <c r="E390" s="21" t="s">
        <v>24</v>
      </c>
      <c r="F390" s="62" t="s">
        <v>25</v>
      </c>
      <c r="G390" s="23"/>
      <c r="H390" s="21" t="s">
        <v>23</v>
      </c>
      <c r="I390" s="21" t="s">
        <v>24</v>
      </c>
      <c r="J390" s="18" t="s">
        <v>25</v>
      </c>
      <c r="K390" s="23"/>
      <c r="L390" s="21" t="s">
        <v>23</v>
      </c>
      <c r="M390" s="21" t="s">
        <v>24</v>
      </c>
      <c r="N390" s="18" t="s">
        <v>25</v>
      </c>
      <c r="O390" s="23"/>
      <c r="P390" s="21" t="s">
        <v>23</v>
      </c>
      <c r="Q390" s="21" t="s">
        <v>24</v>
      </c>
      <c r="R390" s="18" t="s">
        <v>25</v>
      </c>
      <c r="S390" s="23"/>
      <c r="T390" s="21" t="s">
        <v>23</v>
      </c>
      <c r="U390" s="21" t="s">
        <v>24</v>
      </c>
      <c r="V390" s="18" t="s">
        <v>25</v>
      </c>
      <c r="W390" s="23"/>
      <c r="X390" s="21" t="s">
        <v>23</v>
      </c>
      <c r="Y390" s="21" t="s">
        <v>24</v>
      </c>
      <c r="Z390" s="18" t="s">
        <v>25</v>
      </c>
      <c r="AA390" s="23"/>
      <c r="AB390" s="21" t="s">
        <v>23</v>
      </c>
      <c r="AC390" s="21" t="s">
        <v>24</v>
      </c>
      <c r="AD390" s="18" t="s">
        <v>25</v>
      </c>
      <c r="AE390" s="23"/>
      <c r="AF390" s="1517"/>
    </row>
    <row r="391" spans="2:32" ht="40.5">
      <c r="B391" s="313" t="s">
        <v>582</v>
      </c>
      <c r="C391" s="339" t="s">
        <v>679</v>
      </c>
      <c r="D391" s="51"/>
      <c r="E391" s="51"/>
      <c r="F391" s="85">
        <f t="shared" ref="F391:F401" si="318">(E391-D391)*24</f>
        <v>0</v>
      </c>
      <c r="G391" s="24"/>
      <c r="H391" s="51">
        <v>0.375</v>
      </c>
      <c r="I391" s="51">
        <v>0.83333333333333337</v>
      </c>
      <c r="J391" s="49">
        <f t="shared" ref="J391:J401" si="319">(I391-H391)*24</f>
        <v>11</v>
      </c>
      <c r="K391" s="24"/>
      <c r="L391" s="51">
        <v>0.375</v>
      </c>
      <c r="M391" s="51">
        <v>0.83333333333333337</v>
      </c>
      <c r="N391" s="49">
        <f t="shared" ref="N391:N401" si="320">(M391-L391)*24</f>
        <v>11</v>
      </c>
      <c r="O391" s="24"/>
      <c r="P391" s="51"/>
      <c r="Q391" s="51"/>
      <c r="R391" s="49">
        <f t="shared" ref="R391:R401" si="321">(Q391-P391)*24</f>
        <v>0</v>
      </c>
      <c r="S391" s="24"/>
      <c r="T391" s="51"/>
      <c r="U391" s="51"/>
      <c r="V391" s="49">
        <f t="shared" ref="V391:V401" si="322">(U391-T391)*24</f>
        <v>0</v>
      </c>
      <c r="W391" s="24"/>
      <c r="X391" s="51"/>
      <c r="Y391" s="51"/>
      <c r="Z391" s="49">
        <f t="shared" ref="Z391:Z401" si="323">(Y391-X391)*24</f>
        <v>0</v>
      </c>
      <c r="AA391" s="24"/>
      <c r="AB391" s="51"/>
      <c r="AC391" s="51"/>
      <c r="AD391" s="49">
        <f t="shared" ref="AD391:AD401" si="324">(AC391-AB391)*24</f>
        <v>0</v>
      </c>
      <c r="AE391" s="24"/>
      <c r="AF391" s="29">
        <f t="shared" ref="AF391:AF400" si="325">J391+F391+N391+R391+V391+Z391+AD391</f>
        <v>22</v>
      </c>
    </row>
    <row r="392" spans="2:32" ht="40.5">
      <c r="B392" s="13" t="s">
        <v>603</v>
      </c>
      <c r="C392" s="339" t="s">
        <v>679</v>
      </c>
      <c r="D392" s="51"/>
      <c r="E392" s="51"/>
      <c r="F392" s="85">
        <f t="shared" si="318"/>
        <v>0</v>
      </c>
      <c r="G392" s="24"/>
      <c r="H392" s="51">
        <v>0.375</v>
      </c>
      <c r="I392" s="51">
        <v>0.83333333333333337</v>
      </c>
      <c r="J392" s="49">
        <f t="shared" si="319"/>
        <v>11</v>
      </c>
      <c r="K392" s="24"/>
      <c r="L392" s="51">
        <v>0.375</v>
      </c>
      <c r="M392" s="51">
        <v>0.83333333333333337</v>
      </c>
      <c r="N392" s="49">
        <f t="shared" si="320"/>
        <v>11</v>
      </c>
      <c r="O392" s="24"/>
      <c r="P392" s="51"/>
      <c r="Q392" s="51"/>
      <c r="R392" s="49">
        <f t="shared" si="321"/>
        <v>0</v>
      </c>
      <c r="S392" s="24"/>
      <c r="T392" s="51"/>
      <c r="U392" s="51"/>
      <c r="V392" s="49">
        <f t="shared" si="322"/>
        <v>0</v>
      </c>
      <c r="W392" s="24"/>
      <c r="X392" s="51"/>
      <c r="Y392" s="51"/>
      <c r="Z392" s="49">
        <f t="shared" si="323"/>
        <v>0</v>
      </c>
      <c r="AA392" s="24"/>
      <c r="AB392" s="51"/>
      <c r="AC392" s="51"/>
      <c r="AD392" s="49">
        <f t="shared" si="324"/>
        <v>0</v>
      </c>
      <c r="AE392" s="24"/>
      <c r="AF392" s="29">
        <f t="shared" si="325"/>
        <v>22</v>
      </c>
    </row>
    <row r="393" spans="2:32" ht="40.5">
      <c r="B393" s="313" t="s">
        <v>653</v>
      </c>
      <c r="C393" s="339" t="s">
        <v>679</v>
      </c>
      <c r="D393" s="51"/>
      <c r="E393" s="51"/>
      <c r="F393" s="85">
        <f t="shared" si="318"/>
        <v>0</v>
      </c>
      <c r="G393" s="24"/>
      <c r="H393" s="51">
        <v>0.375</v>
      </c>
      <c r="I393" s="51">
        <v>0.83333333333333337</v>
      </c>
      <c r="J393" s="49">
        <f t="shared" si="319"/>
        <v>11</v>
      </c>
      <c r="K393" s="24"/>
      <c r="L393" s="51">
        <v>0.375</v>
      </c>
      <c r="M393" s="51">
        <v>0.83333333333333337</v>
      </c>
      <c r="N393" s="49">
        <f t="shared" si="320"/>
        <v>11</v>
      </c>
      <c r="O393" s="24"/>
      <c r="P393" s="51"/>
      <c r="Q393" s="51"/>
      <c r="R393" s="49">
        <f t="shared" si="321"/>
        <v>0</v>
      </c>
      <c r="S393" s="24"/>
      <c r="T393" s="51"/>
      <c r="U393" s="51"/>
      <c r="V393" s="49">
        <f t="shared" si="322"/>
        <v>0</v>
      </c>
      <c r="W393" s="24"/>
      <c r="X393" s="51"/>
      <c r="Y393" s="51"/>
      <c r="Z393" s="49">
        <f t="shared" si="323"/>
        <v>0</v>
      </c>
      <c r="AA393" s="24"/>
      <c r="AB393" s="51"/>
      <c r="AC393" s="51"/>
      <c r="AD393" s="49">
        <f t="shared" si="324"/>
        <v>0</v>
      </c>
      <c r="AE393" s="24"/>
      <c r="AF393" s="29">
        <f t="shared" si="325"/>
        <v>22</v>
      </c>
    </row>
    <row r="394" spans="2:32" ht="40.5">
      <c r="B394" s="313" t="s">
        <v>576</v>
      </c>
      <c r="C394" s="339" t="s">
        <v>679</v>
      </c>
      <c r="D394" s="51"/>
      <c r="E394" s="51"/>
      <c r="F394" s="85">
        <f t="shared" si="318"/>
        <v>0</v>
      </c>
      <c r="G394" s="24"/>
      <c r="H394" s="51">
        <v>0.45833333333333331</v>
      </c>
      <c r="I394" s="51">
        <v>0.83333333333333337</v>
      </c>
      <c r="J394" s="49">
        <f t="shared" si="319"/>
        <v>9.0000000000000018</v>
      </c>
      <c r="K394" s="24"/>
      <c r="L394" s="51">
        <v>0.375</v>
      </c>
      <c r="M394" s="51">
        <v>0.83333333333333337</v>
      </c>
      <c r="N394" s="49">
        <f t="shared" si="320"/>
        <v>11</v>
      </c>
      <c r="O394" s="24"/>
      <c r="P394" s="51"/>
      <c r="Q394" s="51"/>
      <c r="R394" s="49">
        <f t="shared" si="321"/>
        <v>0</v>
      </c>
      <c r="S394" s="24"/>
      <c r="T394" s="51"/>
      <c r="U394" s="51"/>
      <c r="V394" s="49">
        <f t="shared" si="322"/>
        <v>0</v>
      </c>
      <c r="W394" s="24"/>
      <c r="X394" s="51"/>
      <c r="Y394" s="51"/>
      <c r="Z394" s="49">
        <f t="shared" si="323"/>
        <v>0</v>
      </c>
      <c r="AA394" s="24"/>
      <c r="AB394" s="51"/>
      <c r="AC394" s="51"/>
      <c r="AD394" s="49">
        <f t="shared" si="324"/>
        <v>0</v>
      </c>
      <c r="AE394" s="24"/>
      <c r="AF394" s="29">
        <f t="shared" si="325"/>
        <v>20</v>
      </c>
    </row>
    <row r="395" spans="2:32" ht="40.5">
      <c r="B395" s="313" t="s">
        <v>637</v>
      </c>
      <c r="C395" s="339" t="s">
        <v>679</v>
      </c>
      <c r="D395" s="51"/>
      <c r="E395" s="51"/>
      <c r="F395" s="85">
        <f t="shared" si="318"/>
        <v>0</v>
      </c>
      <c r="G395" s="24"/>
      <c r="H395" s="51">
        <v>0.375</v>
      </c>
      <c r="I395" s="51">
        <v>0.83333333333333337</v>
      </c>
      <c r="J395" s="49">
        <f t="shared" si="319"/>
        <v>11</v>
      </c>
      <c r="K395" s="24"/>
      <c r="L395" s="51"/>
      <c r="M395" s="51"/>
      <c r="N395" s="49">
        <f t="shared" si="320"/>
        <v>0</v>
      </c>
      <c r="O395" s="24"/>
      <c r="P395" s="51"/>
      <c r="Q395" s="51"/>
      <c r="R395" s="49">
        <f t="shared" si="321"/>
        <v>0</v>
      </c>
      <c r="S395" s="24"/>
      <c r="T395" s="51"/>
      <c r="U395" s="51"/>
      <c r="V395" s="49">
        <f t="shared" si="322"/>
        <v>0</v>
      </c>
      <c r="W395" s="24"/>
      <c r="X395" s="51"/>
      <c r="Y395" s="51"/>
      <c r="Z395" s="49">
        <f t="shared" si="323"/>
        <v>0</v>
      </c>
      <c r="AA395" s="24"/>
      <c r="AB395" s="51"/>
      <c r="AC395" s="51"/>
      <c r="AD395" s="49">
        <f t="shared" si="324"/>
        <v>0</v>
      </c>
      <c r="AE395" s="24"/>
      <c r="AF395" s="29">
        <f t="shared" si="325"/>
        <v>11</v>
      </c>
    </row>
    <row r="396" spans="2:32" ht="40.5">
      <c r="B396" s="313" t="s">
        <v>54</v>
      </c>
      <c r="C396" s="339" t="s">
        <v>679</v>
      </c>
      <c r="D396" s="51"/>
      <c r="E396" s="51"/>
      <c r="F396" s="85">
        <f t="shared" si="318"/>
        <v>0</v>
      </c>
      <c r="G396" s="24"/>
      <c r="H396" s="51"/>
      <c r="I396" s="51"/>
      <c r="J396" s="49">
        <f t="shared" si="319"/>
        <v>0</v>
      </c>
      <c r="K396" s="24"/>
      <c r="L396" s="51">
        <v>0.45833333333333331</v>
      </c>
      <c r="M396" s="51">
        <v>0.83333333333333337</v>
      </c>
      <c r="N396" s="49">
        <f t="shared" si="320"/>
        <v>9.0000000000000018</v>
      </c>
      <c r="O396" s="24"/>
      <c r="P396" s="51"/>
      <c r="Q396" s="51"/>
      <c r="R396" s="49">
        <f t="shared" si="321"/>
        <v>0</v>
      </c>
      <c r="S396" s="24"/>
      <c r="T396" s="51"/>
      <c r="U396" s="51"/>
      <c r="V396" s="49">
        <f t="shared" si="322"/>
        <v>0</v>
      </c>
      <c r="W396" s="24"/>
      <c r="X396" s="51"/>
      <c r="Y396" s="51"/>
      <c r="Z396" s="49">
        <f t="shared" si="323"/>
        <v>0</v>
      </c>
      <c r="AA396" s="24"/>
      <c r="AB396" s="51"/>
      <c r="AC396" s="51"/>
      <c r="AD396" s="49">
        <f t="shared" si="324"/>
        <v>0</v>
      </c>
      <c r="AE396" s="24"/>
      <c r="AF396" s="29">
        <f t="shared" si="325"/>
        <v>9.0000000000000018</v>
      </c>
    </row>
    <row r="397" spans="2:32" ht="14.25">
      <c r="B397" s="313" t="s">
        <v>572</v>
      </c>
      <c r="C397" s="339" t="s">
        <v>680</v>
      </c>
      <c r="D397" s="51"/>
      <c r="E397" s="51"/>
      <c r="F397" s="85">
        <f>(E397-D397)*24</f>
        <v>0</v>
      </c>
      <c r="G397" s="24"/>
      <c r="H397" s="51"/>
      <c r="I397" s="51"/>
      <c r="J397" s="49">
        <f>(I397-H397)*24</f>
        <v>0</v>
      </c>
      <c r="K397" s="24"/>
      <c r="L397" s="51">
        <v>0.375</v>
      </c>
      <c r="M397" s="51">
        <v>0.70833333333333337</v>
      </c>
      <c r="N397" s="49">
        <f>(M397-L397)*24</f>
        <v>8</v>
      </c>
      <c r="O397" s="24"/>
      <c r="P397" s="51">
        <v>0.375</v>
      </c>
      <c r="Q397" s="51">
        <v>0.70833333333333337</v>
      </c>
      <c r="R397" s="49">
        <f>(Q397-P397)*24</f>
        <v>8</v>
      </c>
      <c r="S397" s="24"/>
      <c r="T397" s="51">
        <v>0.375</v>
      </c>
      <c r="U397" s="51">
        <v>0.70833333333333337</v>
      </c>
      <c r="V397" s="49">
        <f>(U397-T397)*24</f>
        <v>8</v>
      </c>
      <c r="W397" s="24"/>
      <c r="X397" s="51"/>
      <c r="Y397" s="51"/>
      <c r="Z397" s="49">
        <f>(Y397-X397)*24</f>
        <v>0</v>
      </c>
      <c r="AA397" s="24"/>
      <c r="AB397" s="51"/>
      <c r="AC397" s="51"/>
      <c r="AD397" s="49">
        <f>(AC397-AB397)*24</f>
        <v>0</v>
      </c>
      <c r="AE397" s="24"/>
      <c r="AF397" s="29">
        <f>J397+F397+N397+R397+V397+Z397+AD397</f>
        <v>24</v>
      </c>
    </row>
    <row r="398" spans="2:32" ht="14.25">
      <c r="B398" s="313" t="s">
        <v>637</v>
      </c>
      <c r="C398" s="339" t="s">
        <v>680</v>
      </c>
      <c r="D398" s="51"/>
      <c r="E398" s="51"/>
      <c r="F398" s="85">
        <f>(E398-D398)*24</f>
        <v>0</v>
      </c>
      <c r="G398" s="24"/>
      <c r="H398" s="51"/>
      <c r="I398" s="51"/>
      <c r="J398" s="49">
        <f>(I398-H398)*24</f>
        <v>0</v>
      </c>
      <c r="K398" s="24"/>
      <c r="L398" s="51">
        <v>0.375</v>
      </c>
      <c r="M398" s="51">
        <v>0.70833333333333337</v>
      </c>
      <c r="N398" s="49">
        <f>(M398-L398)*24</f>
        <v>8</v>
      </c>
      <c r="O398" s="24"/>
      <c r="P398" s="51">
        <v>0.375</v>
      </c>
      <c r="Q398" s="51">
        <v>0.70833333333333337</v>
      </c>
      <c r="R398" s="49">
        <f>(Q398-P398)*24</f>
        <v>8</v>
      </c>
      <c r="S398" s="24"/>
      <c r="T398" s="51">
        <v>0.375</v>
      </c>
      <c r="U398" s="51">
        <v>0.70833333333333337</v>
      </c>
      <c r="V398" s="49">
        <f>(U398-T398)*24</f>
        <v>8</v>
      </c>
      <c r="W398" s="24"/>
      <c r="X398" s="51"/>
      <c r="Y398" s="51"/>
      <c r="Z398" s="49">
        <f>(Y398-X398)*24</f>
        <v>0</v>
      </c>
      <c r="AA398" s="24"/>
      <c r="AB398" s="51"/>
      <c r="AC398" s="51"/>
      <c r="AD398" s="49">
        <f>(AC398-AB398)*24</f>
        <v>0</v>
      </c>
      <c r="AE398" s="24"/>
      <c r="AF398" s="29">
        <f>J398+F398+N398+R398+V398+Z398+AD398</f>
        <v>24</v>
      </c>
    </row>
    <row r="399" spans="2:32" ht="14.25">
      <c r="C399" s="340"/>
      <c r="D399" s="51"/>
      <c r="E399" s="51"/>
      <c r="F399" s="85">
        <f>(E399-D399)*24</f>
        <v>0</v>
      </c>
      <c r="G399" s="24"/>
      <c r="H399" s="51"/>
      <c r="I399" s="51"/>
      <c r="J399" s="49">
        <f>(I399-H399)*24</f>
        <v>0</v>
      </c>
      <c r="K399" s="24"/>
      <c r="L399" s="51"/>
      <c r="M399" s="51"/>
      <c r="N399" s="49">
        <f>(M399-L399)*24</f>
        <v>0</v>
      </c>
      <c r="O399" s="24"/>
      <c r="P399" s="51"/>
      <c r="Q399" s="51"/>
      <c r="R399" s="49">
        <f>(Q399-P399)*24</f>
        <v>0</v>
      </c>
      <c r="S399" s="24"/>
      <c r="T399" s="51"/>
      <c r="U399" s="51"/>
      <c r="V399" s="49">
        <f>(U399-T399)*24</f>
        <v>0</v>
      </c>
      <c r="W399" s="24"/>
      <c r="X399" s="51"/>
      <c r="Y399" s="51"/>
      <c r="Z399" s="49">
        <f>(Y399-X399)*24</f>
        <v>0</v>
      </c>
      <c r="AA399" s="24"/>
      <c r="AB399" s="51"/>
      <c r="AC399" s="51"/>
      <c r="AD399" s="49">
        <f>(AC399-AB399)*24</f>
        <v>0</v>
      </c>
      <c r="AE399" s="24"/>
      <c r="AF399" s="29">
        <f>J399+F399+N399+R399+V399+Z399+AD399</f>
        <v>0</v>
      </c>
    </row>
    <row r="400" spans="2:32" ht="14.25">
      <c r="C400" s="340"/>
      <c r="D400" s="51"/>
      <c r="E400" s="51"/>
      <c r="F400" s="85">
        <f t="shared" si="318"/>
        <v>0</v>
      </c>
      <c r="G400" s="24"/>
      <c r="H400" s="51"/>
      <c r="I400" s="51"/>
      <c r="J400" s="49">
        <f t="shared" si="319"/>
        <v>0</v>
      </c>
      <c r="K400" s="24"/>
      <c r="L400" s="51"/>
      <c r="M400" s="51"/>
      <c r="N400" s="49">
        <f t="shared" si="320"/>
        <v>0</v>
      </c>
      <c r="O400" s="24"/>
      <c r="P400" s="51"/>
      <c r="Q400" s="51"/>
      <c r="R400" s="49">
        <f t="shared" si="321"/>
        <v>0</v>
      </c>
      <c r="S400" s="24"/>
      <c r="T400" s="51"/>
      <c r="U400" s="51"/>
      <c r="V400" s="49">
        <f t="shared" si="322"/>
        <v>0</v>
      </c>
      <c r="W400" s="24"/>
      <c r="X400" s="51"/>
      <c r="Y400" s="51"/>
      <c r="Z400" s="49">
        <f t="shared" si="323"/>
        <v>0</v>
      </c>
      <c r="AA400" s="24"/>
      <c r="AB400" s="51"/>
      <c r="AC400" s="51"/>
      <c r="AD400" s="49">
        <f t="shared" si="324"/>
        <v>0</v>
      </c>
      <c r="AE400" s="24"/>
      <c r="AF400" s="29">
        <f t="shared" si="325"/>
        <v>0</v>
      </c>
    </row>
    <row r="401" spans="2:32" ht="14.25">
      <c r="B401" s="63" t="s">
        <v>61</v>
      </c>
      <c r="C401" s="63"/>
      <c r="D401" s="51"/>
      <c r="E401" s="51"/>
      <c r="F401" s="85">
        <f t="shared" si="318"/>
        <v>0</v>
      </c>
      <c r="G401" s="24"/>
      <c r="H401" s="51"/>
      <c r="I401" s="51"/>
      <c r="J401" s="49">
        <f t="shared" si="319"/>
        <v>0</v>
      </c>
      <c r="K401" s="24"/>
      <c r="L401" s="51"/>
      <c r="M401" s="51"/>
      <c r="N401" s="49">
        <f t="shared" si="320"/>
        <v>0</v>
      </c>
      <c r="O401" s="24"/>
      <c r="P401" s="51"/>
      <c r="Q401" s="51"/>
      <c r="R401" s="49">
        <f t="shared" si="321"/>
        <v>0</v>
      </c>
      <c r="S401" s="24"/>
      <c r="T401" s="51"/>
      <c r="U401" s="51"/>
      <c r="V401" s="49">
        <f t="shared" si="322"/>
        <v>0</v>
      </c>
      <c r="W401" s="24"/>
      <c r="X401" s="51"/>
      <c r="Y401" s="51"/>
      <c r="Z401" s="49">
        <f t="shared" si="323"/>
        <v>0</v>
      </c>
      <c r="AA401" s="24"/>
      <c r="AB401" s="51"/>
      <c r="AC401" s="51"/>
      <c r="AD401" s="49">
        <f t="shared" si="324"/>
        <v>0</v>
      </c>
      <c r="AE401" s="24"/>
      <c r="AF401" s="30">
        <f>SUM(AF394:AF400)</f>
        <v>88</v>
      </c>
    </row>
    <row r="402" spans="2:32">
      <c r="B402" s="31" t="s">
        <v>577</v>
      </c>
      <c r="C402" s="31"/>
      <c r="D402" s="91"/>
      <c r="E402" s="91"/>
      <c r="F402" s="90"/>
      <c r="G402" s="91"/>
      <c r="H402" s="91"/>
      <c r="I402" s="91"/>
      <c r="J402" s="90"/>
      <c r="K402" s="91"/>
      <c r="L402" s="91"/>
      <c r="M402" s="91"/>
      <c r="N402" s="90"/>
      <c r="O402" s="91"/>
      <c r="P402" s="91"/>
      <c r="Q402" s="91"/>
      <c r="R402" s="90"/>
      <c r="S402" s="91"/>
      <c r="T402" s="91"/>
      <c r="U402" s="91"/>
      <c r="V402" s="90"/>
      <c r="W402" s="91"/>
      <c r="X402" s="91"/>
      <c r="Y402" s="91"/>
      <c r="Z402" s="90"/>
      <c r="AA402" s="91"/>
      <c r="AB402" s="91"/>
      <c r="AC402" s="91"/>
      <c r="AD402" s="91"/>
      <c r="AE402" s="352"/>
      <c r="AF402" s="28"/>
    </row>
    <row r="403" spans="2:32">
      <c r="B403" s="31" t="s">
        <v>578</v>
      </c>
      <c r="C403" s="31"/>
      <c r="D403" s="91"/>
      <c r="E403" s="91"/>
      <c r="F403" s="90"/>
      <c r="G403" s="91"/>
      <c r="H403" s="91"/>
      <c r="I403" s="91"/>
      <c r="J403" s="90"/>
      <c r="K403" s="91"/>
      <c r="L403" s="91"/>
      <c r="M403" s="91"/>
      <c r="N403" s="90"/>
      <c r="O403" s="91"/>
      <c r="P403" s="91"/>
      <c r="Q403" s="91"/>
      <c r="R403" s="90"/>
      <c r="S403" s="91"/>
      <c r="T403" s="91"/>
      <c r="U403" s="91"/>
      <c r="V403" s="90"/>
      <c r="W403" s="91"/>
      <c r="X403" s="91"/>
      <c r="Y403" s="91"/>
      <c r="Z403" s="90"/>
      <c r="AA403" s="91"/>
      <c r="AB403" s="91"/>
      <c r="AC403" s="91"/>
      <c r="AD403" s="91"/>
      <c r="AE403" s="352"/>
      <c r="AF403" s="28">
        <f>SUM(D403:AD403)</f>
        <v>0</v>
      </c>
    </row>
    <row r="404" spans="2:32" ht="14.25" thickBot="1">
      <c r="B404" s="74" t="s">
        <v>579</v>
      </c>
      <c r="C404" s="74"/>
      <c r="D404" s="95"/>
      <c r="E404" s="95"/>
      <c r="F404" s="96"/>
      <c r="G404" s="95"/>
      <c r="H404" s="95"/>
      <c r="I404" s="95"/>
      <c r="J404" s="96"/>
      <c r="K404" s="95"/>
      <c r="L404" s="95"/>
      <c r="M404" s="95"/>
      <c r="N404" s="96"/>
      <c r="O404" s="95"/>
      <c r="P404" s="95"/>
      <c r="Q404" s="95"/>
      <c r="R404" s="96"/>
      <c r="S404" s="95"/>
      <c r="T404" s="95"/>
      <c r="U404" s="95"/>
      <c r="V404" s="96"/>
      <c r="W404" s="97"/>
      <c r="X404" s="97"/>
      <c r="Y404" s="97"/>
      <c r="Z404" s="96"/>
      <c r="AA404" s="97"/>
      <c r="AB404" s="97"/>
      <c r="AC404" s="97"/>
      <c r="AD404" s="97"/>
      <c r="AE404" s="97"/>
      <c r="AF404" s="80">
        <f>SUM(D404:AD404)</f>
        <v>0</v>
      </c>
    </row>
    <row r="405" spans="2:32" ht="14.25" thickTop="1">
      <c r="B405" s="1518" t="s">
        <v>18</v>
      </c>
      <c r="C405" s="1552" t="s">
        <v>571</v>
      </c>
      <c r="D405" s="1524">
        <v>45229</v>
      </c>
      <c r="E405" s="1524"/>
      <c r="F405" s="1524"/>
      <c r="G405" s="22"/>
      <c r="H405" s="1524">
        <f>D405+1</f>
        <v>45230</v>
      </c>
      <c r="I405" s="1524"/>
      <c r="J405" s="1524"/>
      <c r="K405" s="22"/>
      <c r="L405" s="1524">
        <f>H405+1</f>
        <v>45231</v>
      </c>
      <c r="M405" s="1524"/>
      <c r="N405" s="1524"/>
      <c r="P405" s="1524">
        <f>L405+1</f>
        <v>45232</v>
      </c>
      <c r="Q405" s="1524"/>
      <c r="R405" s="1524"/>
      <c r="T405" s="1524">
        <f>P405+1</f>
        <v>45233</v>
      </c>
      <c r="U405" s="1524"/>
      <c r="V405" s="1524"/>
      <c r="W405" s="22"/>
      <c r="X405" s="1524">
        <f>T405+1</f>
        <v>45234</v>
      </c>
      <c r="Y405" s="1524"/>
      <c r="Z405" s="1524"/>
      <c r="AB405" s="1524">
        <f>X405+1</f>
        <v>45235</v>
      </c>
      <c r="AC405" s="1524"/>
      <c r="AD405" s="1524"/>
      <c r="AE405" s="22"/>
      <c r="AF405" s="1517" t="s">
        <v>19</v>
      </c>
    </row>
    <row r="406" spans="2:32">
      <c r="B406" s="1518"/>
      <c r="C406" s="1552"/>
      <c r="D406" s="21" t="s">
        <v>23</v>
      </c>
      <c r="E406" s="21" t="s">
        <v>24</v>
      </c>
      <c r="F406" s="62" t="s">
        <v>25</v>
      </c>
      <c r="G406" s="23"/>
      <c r="H406" s="21" t="s">
        <v>23</v>
      </c>
      <c r="I406" s="21" t="s">
        <v>24</v>
      </c>
      <c r="J406" s="18" t="s">
        <v>25</v>
      </c>
      <c r="K406" s="23"/>
      <c r="L406" s="21" t="s">
        <v>23</v>
      </c>
      <c r="M406" s="21" t="s">
        <v>24</v>
      </c>
      <c r="N406" s="18" t="s">
        <v>25</v>
      </c>
      <c r="O406" s="23"/>
      <c r="P406" s="21" t="s">
        <v>23</v>
      </c>
      <c r="Q406" s="21" t="s">
        <v>24</v>
      </c>
      <c r="R406" s="18" t="s">
        <v>25</v>
      </c>
      <c r="S406" s="23"/>
      <c r="T406" s="21" t="s">
        <v>23</v>
      </c>
      <c r="U406" s="21" t="s">
        <v>24</v>
      </c>
      <c r="V406" s="18" t="s">
        <v>25</v>
      </c>
      <c r="W406" s="23"/>
      <c r="X406" s="21" t="s">
        <v>23</v>
      </c>
      <c r="Y406" s="21" t="s">
        <v>24</v>
      </c>
      <c r="Z406" s="18" t="s">
        <v>25</v>
      </c>
      <c r="AA406" s="23"/>
      <c r="AB406" s="21" t="s">
        <v>23</v>
      </c>
      <c r="AC406" s="21" t="s">
        <v>24</v>
      </c>
      <c r="AD406" s="18" t="s">
        <v>25</v>
      </c>
      <c r="AE406" s="23"/>
      <c r="AF406" s="1517"/>
    </row>
    <row r="407" spans="2:32" ht="27">
      <c r="B407" s="313" t="s">
        <v>572</v>
      </c>
      <c r="C407" s="339" t="s">
        <v>681</v>
      </c>
      <c r="D407" s="51">
        <v>0.39583333333333331</v>
      </c>
      <c r="E407" s="51">
        <v>0.64583333333333337</v>
      </c>
      <c r="F407" s="85">
        <f t="shared" ref="F407:F418" si="326">(E407-D407)*24</f>
        <v>6.0000000000000018</v>
      </c>
      <c r="G407" s="24"/>
      <c r="H407" s="51"/>
      <c r="I407" s="51"/>
      <c r="J407" s="49">
        <f t="shared" ref="J407:J418" si="327">(I407-H407)*24</f>
        <v>0</v>
      </c>
      <c r="K407" s="24"/>
      <c r="L407" s="51"/>
      <c r="M407" s="51"/>
      <c r="N407" s="49">
        <f t="shared" ref="N407:N418" si="328">(M407-L407)*24</f>
        <v>0</v>
      </c>
      <c r="O407" s="24"/>
      <c r="P407" s="51"/>
      <c r="Q407" s="51"/>
      <c r="R407" s="49">
        <f t="shared" ref="R407:R418" si="329">(Q407-P407)*24</f>
        <v>0</v>
      </c>
      <c r="S407" s="24"/>
      <c r="T407" s="51"/>
      <c r="U407" s="51"/>
      <c r="V407" s="49">
        <f t="shared" ref="V407:V418" si="330">(U407-T407)*24</f>
        <v>0</v>
      </c>
      <c r="W407" s="24"/>
      <c r="X407" s="51"/>
      <c r="Y407" s="51"/>
      <c r="Z407" s="49">
        <f t="shared" ref="Z407:Z418" si="331">(Y407-X407)*24</f>
        <v>0</v>
      </c>
      <c r="AA407" s="24"/>
      <c r="AB407" s="51"/>
      <c r="AC407" s="51"/>
      <c r="AD407" s="49">
        <f t="shared" ref="AD407:AD418" si="332">(AC407-AB407)*24</f>
        <v>0</v>
      </c>
      <c r="AE407" s="24"/>
      <c r="AF407" s="29">
        <f t="shared" ref="AF407:AF416" si="333">J407+F407+N407+R407+V407+Z407+AD407</f>
        <v>6.0000000000000018</v>
      </c>
    </row>
    <row r="408" spans="2:32" ht="14.25">
      <c r="B408" s="313" t="s">
        <v>572</v>
      </c>
      <c r="C408" s="339" t="s">
        <v>682</v>
      </c>
      <c r="D408" s="51"/>
      <c r="E408" s="51"/>
      <c r="F408" s="85">
        <f t="shared" si="326"/>
        <v>0</v>
      </c>
      <c r="G408" s="24"/>
      <c r="H408" s="51"/>
      <c r="I408" s="51"/>
      <c r="J408" s="49">
        <f t="shared" si="327"/>
        <v>0</v>
      </c>
      <c r="K408" s="24"/>
      <c r="L408" s="51">
        <v>0.375</v>
      </c>
      <c r="M408" s="51">
        <v>0.58333333333333337</v>
      </c>
      <c r="N408" s="49">
        <f t="shared" si="328"/>
        <v>5.0000000000000009</v>
      </c>
      <c r="O408" s="24"/>
      <c r="P408" s="51"/>
      <c r="Q408" s="51"/>
      <c r="R408" s="49">
        <f t="shared" si="329"/>
        <v>0</v>
      </c>
      <c r="S408" s="24"/>
      <c r="T408" s="51"/>
      <c r="U408" s="51"/>
      <c r="V408" s="49">
        <f t="shared" si="330"/>
        <v>0</v>
      </c>
      <c r="W408" s="24"/>
      <c r="X408" s="51"/>
      <c r="Y408" s="51"/>
      <c r="Z408" s="49">
        <f t="shared" si="331"/>
        <v>0</v>
      </c>
      <c r="AA408" s="24"/>
      <c r="AB408" s="51"/>
      <c r="AC408" s="51"/>
      <c r="AD408" s="49">
        <f t="shared" si="332"/>
        <v>0</v>
      </c>
      <c r="AE408" s="24"/>
      <c r="AF408" s="29">
        <f t="shared" si="333"/>
        <v>5.0000000000000009</v>
      </c>
    </row>
    <row r="409" spans="2:32" ht="27">
      <c r="B409" s="313" t="s">
        <v>572</v>
      </c>
      <c r="C409" s="339" t="s">
        <v>674</v>
      </c>
      <c r="D409" s="51"/>
      <c r="E409" s="51"/>
      <c r="F409" s="85">
        <f t="shared" si="326"/>
        <v>0</v>
      </c>
      <c r="G409" s="24"/>
      <c r="H409" s="51"/>
      <c r="I409" s="51"/>
      <c r="J409" s="49">
        <f t="shared" si="327"/>
        <v>0</v>
      </c>
      <c r="K409" s="24"/>
      <c r="L409" s="51"/>
      <c r="M409" s="51"/>
      <c r="N409" s="49">
        <f t="shared" si="328"/>
        <v>0</v>
      </c>
      <c r="O409" s="24"/>
      <c r="P409" s="51">
        <v>0.375</v>
      </c>
      <c r="Q409" s="51">
        <v>0.70833333333333337</v>
      </c>
      <c r="R409" s="49">
        <f t="shared" si="329"/>
        <v>8</v>
      </c>
      <c r="S409" s="24"/>
      <c r="T409" s="51"/>
      <c r="U409" s="51"/>
      <c r="V409" s="49">
        <f t="shared" si="330"/>
        <v>0</v>
      </c>
      <c r="W409" s="24"/>
      <c r="X409" s="51"/>
      <c r="Y409" s="51"/>
      <c r="Z409" s="49">
        <f t="shared" si="331"/>
        <v>0</v>
      </c>
      <c r="AA409" s="24"/>
      <c r="AB409" s="51"/>
      <c r="AC409" s="51"/>
      <c r="AD409" s="49">
        <f t="shared" si="332"/>
        <v>0</v>
      </c>
      <c r="AE409" s="24"/>
      <c r="AF409" s="29">
        <f t="shared" si="333"/>
        <v>8</v>
      </c>
    </row>
    <row r="410" spans="2:32" ht="14.25">
      <c r="B410" s="313" t="s">
        <v>572</v>
      </c>
      <c r="C410" s="339" t="s">
        <v>680</v>
      </c>
      <c r="D410" s="51"/>
      <c r="E410" s="51"/>
      <c r="F410" s="85">
        <f t="shared" si="326"/>
        <v>0</v>
      </c>
      <c r="G410" s="24"/>
      <c r="H410" s="51"/>
      <c r="I410" s="51"/>
      <c r="J410" s="49">
        <f t="shared" si="327"/>
        <v>0</v>
      </c>
      <c r="K410" s="24"/>
      <c r="L410" s="51"/>
      <c r="M410" s="51"/>
      <c r="N410" s="49">
        <f t="shared" si="328"/>
        <v>0</v>
      </c>
      <c r="O410" s="24"/>
      <c r="P410" s="51"/>
      <c r="Q410" s="51"/>
      <c r="R410" s="49">
        <f t="shared" si="329"/>
        <v>0</v>
      </c>
      <c r="S410" s="24"/>
      <c r="T410" s="51">
        <v>0.375</v>
      </c>
      <c r="U410" s="51">
        <v>0.70833333333333337</v>
      </c>
      <c r="V410" s="49">
        <f t="shared" si="330"/>
        <v>8</v>
      </c>
      <c r="W410" s="24"/>
      <c r="X410" s="51"/>
      <c r="Y410" s="51"/>
      <c r="Z410" s="49">
        <f t="shared" si="331"/>
        <v>0</v>
      </c>
      <c r="AA410" s="24"/>
      <c r="AB410" s="51"/>
      <c r="AC410" s="51"/>
      <c r="AD410" s="49">
        <f t="shared" si="332"/>
        <v>0</v>
      </c>
      <c r="AE410" s="24"/>
      <c r="AF410" s="29">
        <f t="shared" si="333"/>
        <v>8</v>
      </c>
    </row>
    <row r="411" spans="2:32" ht="14.25">
      <c r="B411" s="313" t="s">
        <v>637</v>
      </c>
      <c r="C411" s="339" t="s">
        <v>680</v>
      </c>
      <c r="D411" s="51"/>
      <c r="E411" s="51"/>
      <c r="F411" s="85">
        <f t="shared" si="326"/>
        <v>0</v>
      </c>
      <c r="G411" s="24"/>
      <c r="H411" s="51"/>
      <c r="I411" s="51"/>
      <c r="J411" s="49">
        <f t="shared" si="327"/>
        <v>0</v>
      </c>
      <c r="K411" s="24"/>
      <c r="L411" s="51"/>
      <c r="M411" s="51"/>
      <c r="N411" s="49">
        <f t="shared" si="328"/>
        <v>0</v>
      </c>
      <c r="O411" s="24"/>
      <c r="P411" s="51"/>
      <c r="Q411" s="51"/>
      <c r="R411" s="49">
        <f t="shared" si="329"/>
        <v>0</v>
      </c>
      <c r="S411" s="24"/>
      <c r="T411" s="51">
        <v>0.375</v>
      </c>
      <c r="U411" s="51">
        <v>0.70833333333333337</v>
      </c>
      <c r="V411" s="49">
        <f t="shared" si="330"/>
        <v>8</v>
      </c>
      <c r="W411" s="24"/>
      <c r="X411" s="51"/>
      <c r="Y411" s="51"/>
      <c r="Z411" s="49">
        <f t="shared" si="331"/>
        <v>0</v>
      </c>
      <c r="AA411" s="24"/>
      <c r="AB411" s="51"/>
      <c r="AC411" s="51"/>
      <c r="AD411" s="49">
        <f t="shared" si="332"/>
        <v>0</v>
      </c>
      <c r="AE411" s="24"/>
      <c r="AF411" s="29">
        <f t="shared" si="333"/>
        <v>8</v>
      </c>
    </row>
    <row r="412" spans="2:32" ht="40.5">
      <c r="B412" s="313" t="s">
        <v>582</v>
      </c>
      <c r="C412" s="339" t="s">
        <v>679</v>
      </c>
      <c r="D412" s="51">
        <v>0.375</v>
      </c>
      <c r="E412" s="51">
        <v>0.70833333333333337</v>
      </c>
      <c r="F412" s="85">
        <f t="shared" ref="F412:F413" si="334">(E412-D412)*24</f>
        <v>8</v>
      </c>
      <c r="G412" s="24"/>
      <c r="H412" s="51">
        <v>0.375</v>
      </c>
      <c r="I412" s="51">
        <v>0.70833333333333337</v>
      </c>
      <c r="J412" s="49">
        <f t="shared" ref="J412:J413" si="335">(I412-H412)*24</f>
        <v>8</v>
      </c>
      <c r="K412" s="24"/>
      <c r="L412" s="51">
        <v>0.375</v>
      </c>
      <c r="M412" s="51">
        <v>0.70833333333333337</v>
      </c>
      <c r="N412" s="49">
        <f t="shared" ref="N412:N413" si="336">(M412-L412)*24</f>
        <v>8</v>
      </c>
      <c r="O412" s="24"/>
      <c r="P412" s="51">
        <v>0.375</v>
      </c>
      <c r="Q412" s="51">
        <v>0.70833333333333337</v>
      </c>
      <c r="R412" s="49">
        <f t="shared" ref="R412:R413" si="337">(Q412-P412)*24</f>
        <v>8</v>
      </c>
      <c r="S412" s="24"/>
      <c r="T412" s="51">
        <v>0.375</v>
      </c>
      <c r="U412" s="51">
        <v>0.70833333333333337</v>
      </c>
      <c r="V412" s="49">
        <f t="shared" ref="V412:V413" si="338">(U412-T412)*24</f>
        <v>8</v>
      </c>
      <c r="W412" s="24"/>
      <c r="X412" s="51"/>
      <c r="Y412" s="51"/>
      <c r="Z412" s="49">
        <f t="shared" ref="Z412:Z413" si="339">(Y412-X412)*24</f>
        <v>0</v>
      </c>
      <c r="AA412" s="24"/>
      <c r="AB412" s="51"/>
      <c r="AC412" s="51"/>
      <c r="AD412" s="49">
        <f t="shared" ref="AD412:AD413" si="340">(AC412-AB412)*24</f>
        <v>0</v>
      </c>
      <c r="AE412" s="24"/>
      <c r="AF412" s="29">
        <f t="shared" ref="AF412:AF413" si="341">J412+F412+N412+R412+V412+Z412+AD412</f>
        <v>40</v>
      </c>
    </row>
    <row r="413" spans="2:32" ht="40.5">
      <c r="B413" s="313" t="s">
        <v>653</v>
      </c>
      <c r="C413" s="339" t="s">
        <v>679</v>
      </c>
      <c r="D413" s="51">
        <v>0.375</v>
      </c>
      <c r="E413" s="51">
        <v>0.70833333333333337</v>
      </c>
      <c r="F413" s="85">
        <f t="shared" si="334"/>
        <v>8</v>
      </c>
      <c r="G413" s="24"/>
      <c r="H413" s="51">
        <v>0.375</v>
      </c>
      <c r="I413" s="51">
        <v>0.70833333333333337</v>
      </c>
      <c r="J413" s="49">
        <f t="shared" si="335"/>
        <v>8</v>
      </c>
      <c r="K413" s="24"/>
      <c r="L413" s="51">
        <v>0.375</v>
      </c>
      <c r="M413" s="51">
        <v>0.70833333333333337</v>
      </c>
      <c r="N413" s="49">
        <f t="shared" si="336"/>
        <v>8</v>
      </c>
      <c r="O413" s="24"/>
      <c r="P413" s="51">
        <v>0.375</v>
      </c>
      <c r="Q413" s="51">
        <v>0.70833333333333337</v>
      </c>
      <c r="R413" s="49">
        <f t="shared" si="337"/>
        <v>8</v>
      </c>
      <c r="S413" s="24"/>
      <c r="T413" s="51">
        <v>0.375</v>
      </c>
      <c r="U413" s="51">
        <v>0.70833333333333337</v>
      </c>
      <c r="V413" s="49">
        <f t="shared" si="338"/>
        <v>8</v>
      </c>
      <c r="W413" s="24"/>
      <c r="X413" s="51"/>
      <c r="Y413" s="51"/>
      <c r="Z413" s="49">
        <f t="shared" si="339"/>
        <v>0</v>
      </c>
      <c r="AA413" s="24"/>
      <c r="AB413" s="51"/>
      <c r="AC413" s="51"/>
      <c r="AD413" s="49">
        <f t="shared" si="340"/>
        <v>0</v>
      </c>
      <c r="AE413" s="24"/>
      <c r="AF413" s="29">
        <f t="shared" si="341"/>
        <v>40</v>
      </c>
    </row>
    <row r="414" spans="2:32" ht="40.5">
      <c r="B414" s="313" t="s">
        <v>637</v>
      </c>
      <c r="C414" s="339" t="s">
        <v>679</v>
      </c>
      <c r="D414" s="51">
        <v>0.375</v>
      </c>
      <c r="E414" s="51">
        <v>0.70833333333333337</v>
      </c>
      <c r="F414" s="85">
        <f t="shared" si="326"/>
        <v>8</v>
      </c>
      <c r="G414" s="24"/>
      <c r="H414" s="51">
        <v>0.375</v>
      </c>
      <c r="I414" s="51">
        <v>0.70833333333333337</v>
      </c>
      <c r="J414" s="49">
        <f t="shared" si="327"/>
        <v>8</v>
      </c>
      <c r="K414" s="24"/>
      <c r="L414" s="51">
        <v>0.375</v>
      </c>
      <c r="M414" s="51">
        <v>0.70833333333333337</v>
      </c>
      <c r="N414" s="49">
        <f t="shared" si="328"/>
        <v>8</v>
      </c>
      <c r="O414" s="24"/>
      <c r="P414" s="51">
        <v>0.375</v>
      </c>
      <c r="Q414" s="51">
        <v>0.70833333333333337</v>
      </c>
      <c r="R414" s="49">
        <f t="shared" si="329"/>
        <v>8</v>
      </c>
      <c r="S414" s="24"/>
      <c r="T414" s="51"/>
      <c r="U414" s="51"/>
      <c r="V414" s="49">
        <f t="shared" si="330"/>
        <v>0</v>
      </c>
      <c r="W414" s="24"/>
      <c r="X414" s="51"/>
      <c r="Y414" s="51"/>
      <c r="Z414" s="49">
        <f t="shared" si="331"/>
        <v>0</v>
      </c>
      <c r="AA414" s="24"/>
      <c r="AB414" s="51"/>
      <c r="AC414" s="51"/>
      <c r="AD414" s="49">
        <f t="shared" si="332"/>
        <v>0</v>
      </c>
      <c r="AE414" s="24"/>
      <c r="AF414" s="29">
        <f t="shared" si="333"/>
        <v>32</v>
      </c>
    </row>
    <row r="415" spans="2:32" ht="40.5">
      <c r="B415" s="313" t="s">
        <v>54</v>
      </c>
      <c r="C415" s="339" t="s">
        <v>679</v>
      </c>
      <c r="D415" s="51"/>
      <c r="E415" s="51"/>
      <c r="F415" s="85">
        <f t="shared" ref="F415" si="342">(E415-D415)*24</f>
        <v>0</v>
      </c>
      <c r="G415" s="24"/>
      <c r="H415" s="51"/>
      <c r="I415" s="51"/>
      <c r="J415" s="49">
        <f t="shared" ref="J415" si="343">(I415-H415)*24</f>
        <v>0</v>
      </c>
      <c r="K415" s="24"/>
      <c r="L415" s="51"/>
      <c r="M415" s="51"/>
      <c r="N415" s="49">
        <f t="shared" ref="N415" si="344">(M415-L415)*24</f>
        <v>0</v>
      </c>
      <c r="O415" s="24"/>
      <c r="P415" s="51"/>
      <c r="Q415" s="51"/>
      <c r="R415" s="49">
        <f t="shared" ref="R415" si="345">(Q415-P415)*24</f>
        <v>0</v>
      </c>
      <c r="S415" s="24"/>
      <c r="T415" s="51"/>
      <c r="U415" s="51"/>
      <c r="V415" s="49">
        <f t="shared" ref="V415" si="346">(U415-T415)*24</f>
        <v>0</v>
      </c>
      <c r="W415" s="24"/>
      <c r="X415" s="51"/>
      <c r="Y415" s="51"/>
      <c r="Z415" s="49">
        <f t="shared" ref="Z415" si="347">(Y415-X415)*24</f>
        <v>0</v>
      </c>
      <c r="AA415" s="24"/>
      <c r="AB415" s="51"/>
      <c r="AC415" s="51"/>
      <c r="AD415" s="49">
        <f t="shared" ref="AD415" si="348">(AC415-AB415)*24</f>
        <v>0</v>
      </c>
      <c r="AE415" s="24"/>
      <c r="AF415" s="29">
        <f t="shared" ref="AF415" si="349">J415+F415+N415+R415+V415+Z415+AD415</f>
        <v>0</v>
      </c>
    </row>
    <row r="416" spans="2:32" ht="40.5">
      <c r="B416" s="313" t="s">
        <v>576</v>
      </c>
      <c r="C416" s="339" t="s">
        <v>679</v>
      </c>
      <c r="D416" s="51">
        <v>0.375</v>
      </c>
      <c r="E416" s="51">
        <v>0.70833333333333337</v>
      </c>
      <c r="F416" s="85">
        <f t="shared" si="326"/>
        <v>8</v>
      </c>
      <c r="G416" s="24"/>
      <c r="H416" s="51"/>
      <c r="I416" s="51"/>
      <c r="J416" s="49">
        <f t="shared" si="327"/>
        <v>0</v>
      </c>
      <c r="K416" s="24"/>
      <c r="L416" s="51">
        <v>0.375</v>
      </c>
      <c r="M416" s="51">
        <v>0.70833333333333337</v>
      </c>
      <c r="N416" s="49">
        <f t="shared" si="328"/>
        <v>8</v>
      </c>
      <c r="O416" s="24"/>
      <c r="P416" s="51">
        <v>0.375</v>
      </c>
      <c r="Q416" s="51">
        <v>0.70833333333333337</v>
      </c>
      <c r="R416" s="49">
        <f t="shared" si="329"/>
        <v>8</v>
      </c>
      <c r="S416" s="24"/>
      <c r="T416" s="51">
        <v>0.375</v>
      </c>
      <c r="U416" s="51">
        <v>0.70833333333333337</v>
      </c>
      <c r="V416" s="49">
        <f t="shared" si="330"/>
        <v>8</v>
      </c>
      <c r="W416" s="24"/>
      <c r="X416" s="51"/>
      <c r="Y416" s="51"/>
      <c r="Z416" s="49">
        <f t="shared" si="331"/>
        <v>0</v>
      </c>
      <c r="AA416" s="24"/>
      <c r="AB416" s="51"/>
      <c r="AC416" s="51"/>
      <c r="AD416" s="49">
        <f t="shared" si="332"/>
        <v>0</v>
      </c>
      <c r="AE416" s="24"/>
      <c r="AF416" s="29">
        <f t="shared" si="333"/>
        <v>32</v>
      </c>
    </row>
    <row r="417" spans="2:32" ht="27">
      <c r="B417" s="313" t="s">
        <v>576</v>
      </c>
      <c r="C417" s="339" t="s">
        <v>683</v>
      </c>
      <c r="D417" s="51"/>
      <c r="E417" s="51"/>
      <c r="F417" s="85">
        <f t="shared" ref="F417" si="350">(E417-D417)*24</f>
        <v>0</v>
      </c>
      <c r="G417" s="24"/>
      <c r="H417" s="51">
        <v>0.47916666666666669</v>
      </c>
      <c r="I417" s="51">
        <v>0.66666666666666663</v>
      </c>
      <c r="J417" s="49">
        <f t="shared" ref="J417" si="351">(I417-H417)*24</f>
        <v>4.4999999999999982</v>
      </c>
      <c r="K417" s="24"/>
      <c r="L417" s="51"/>
      <c r="M417" s="51"/>
      <c r="N417" s="49">
        <f t="shared" ref="N417" si="352">(M417-L417)*24</f>
        <v>0</v>
      </c>
      <c r="O417" s="24"/>
      <c r="P417" s="51"/>
      <c r="Q417" s="51"/>
      <c r="R417" s="49">
        <f t="shared" ref="R417" si="353">(Q417-P417)*24</f>
        <v>0</v>
      </c>
      <c r="S417" s="24"/>
      <c r="T417" s="51"/>
      <c r="U417" s="51"/>
      <c r="V417" s="49">
        <f t="shared" ref="V417" si="354">(U417-T417)*24</f>
        <v>0</v>
      </c>
      <c r="W417" s="24"/>
      <c r="X417" s="51"/>
      <c r="Y417" s="51"/>
      <c r="Z417" s="49">
        <f t="shared" ref="Z417" si="355">(Y417-X417)*24</f>
        <v>0</v>
      </c>
      <c r="AA417" s="24"/>
      <c r="AB417" s="51"/>
      <c r="AC417" s="51"/>
      <c r="AD417" s="49">
        <f t="shared" ref="AD417" si="356">(AC417-AB417)*24</f>
        <v>0</v>
      </c>
      <c r="AE417" s="24"/>
      <c r="AF417" s="29">
        <f t="shared" ref="AF417" si="357">J417+F417+N417+R417+V417+Z417+AD417</f>
        <v>4.4999999999999982</v>
      </c>
    </row>
    <row r="418" spans="2:32" ht="14.25">
      <c r="B418" s="63" t="s">
        <v>61</v>
      </c>
      <c r="C418" s="63"/>
      <c r="D418" s="51"/>
      <c r="E418" s="51"/>
      <c r="F418" s="85">
        <f t="shared" si="326"/>
        <v>0</v>
      </c>
      <c r="G418" s="24"/>
      <c r="H418" s="51"/>
      <c r="I418" s="51"/>
      <c r="J418" s="49">
        <f t="shared" si="327"/>
        <v>0</v>
      </c>
      <c r="K418" s="24"/>
      <c r="L418" s="51"/>
      <c r="M418" s="51"/>
      <c r="N418" s="49">
        <f t="shared" si="328"/>
        <v>0</v>
      </c>
      <c r="O418" s="24"/>
      <c r="P418" s="51"/>
      <c r="Q418" s="51"/>
      <c r="R418" s="49">
        <f t="shared" si="329"/>
        <v>0</v>
      </c>
      <c r="S418" s="24"/>
      <c r="T418" s="51"/>
      <c r="U418" s="51"/>
      <c r="V418" s="49">
        <f t="shared" si="330"/>
        <v>0</v>
      </c>
      <c r="W418" s="24"/>
      <c r="X418" s="51"/>
      <c r="Y418" s="51"/>
      <c r="Z418" s="49">
        <f t="shared" si="331"/>
        <v>0</v>
      </c>
      <c r="AA418" s="24"/>
      <c r="AB418" s="51"/>
      <c r="AC418" s="51"/>
      <c r="AD418" s="49">
        <f t="shared" si="332"/>
        <v>0</v>
      </c>
      <c r="AE418" s="24"/>
      <c r="AF418" s="30">
        <f>SUM(AF411:AF417)</f>
        <v>156.5</v>
      </c>
    </row>
    <row r="419" spans="2:32">
      <c r="B419" s="31" t="s">
        <v>577</v>
      </c>
      <c r="C419" s="31"/>
      <c r="D419" s="91"/>
      <c r="E419" s="91"/>
      <c r="F419" s="90"/>
      <c r="G419" s="91"/>
      <c r="H419" s="91"/>
      <c r="I419" s="91"/>
      <c r="J419" s="90"/>
      <c r="K419" s="91"/>
      <c r="L419" s="91"/>
      <c r="M419" s="91"/>
      <c r="N419" s="90"/>
      <c r="O419" s="91"/>
      <c r="P419" s="91"/>
      <c r="Q419" s="91"/>
      <c r="R419" s="90"/>
      <c r="S419" s="91"/>
      <c r="T419" s="91"/>
      <c r="U419" s="91"/>
      <c r="V419" s="90"/>
      <c r="W419" s="91"/>
      <c r="X419" s="91"/>
      <c r="Y419" s="91"/>
      <c r="Z419" s="90"/>
      <c r="AA419" s="91"/>
      <c r="AB419" s="91"/>
      <c r="AC419" s="91"/>
      <c r="AD419" s="91"/>
      <c r="AE419" s="352"/>
      <c r="AF419" s="28"/>
    </row>
    <row r="420" spans="2:32">
      <c r="B420" s="31" t="s">
        <v>578</v>
      </c>
      <c r="C420" s="31"/>
      <c r="D420" s="91"/>
      <c r="E420" s="91"/>
      <c r="F420" s="90"/>
      <c r="G420" s="91"/>
      <c r="H420" s="91"/>
      <c r="I420" s="91"/>
      <c r="J420" s="90"/>
      <c r="K420" s="91"/>
      <c r="L420" s="91"/>
      <c r="M420" s="91"/>
      <c r="N420" s="90"/>
      <c r="O420" s="91"/>
      <c r="P420" s="91"/>
      <c r="Q420" s="91"/>
      <c r="R420" s="90"/>
      <c r="S420" s="91"/>
      <c r="T420" s="91"/>
      <c r="U420" s="91"/>
      <c r="V420" s="90"/>
      <c r="W420" s="91"/>
      <c r="X420" s="91"/>
      <c r="Y420" s="91"/>
      <c r="Z420" s="90"/>
      <c r="AA420" s="91"/>
      <c r="AB420" s="91"/>
      <c r="AC420" s="91"/>
      <c r="AD420" s="91"/>
      <c r="AE420" s="352"/>
      <c r="AF420" s="28">
        <f>SUM(D420:AD420)</f>
        <v>0</v>
      </c>
    </row>
    <row r="421" spans="2:32" ht="14.25" thickBot="1">
      <c r="B421" s="74" t="s">
        <v>579</v>
      </c>
      <c r="C421" s="74"/>
      <c r="D421" s="95"/>
      <c r="E421" s="95"/>
      <c r="F421" s="96"/>
      <c r="G421" s="95"/>
      <c r="H421" s="95"/>
      <c r="I421" s="95"/>
      <c r="J421" s="96"/>
      <c r="K421" s="95"/>
      <c r="L421" s="95"/>
      <c r="M421" s="95"/>
      <c r="N421" s="96"/>
      <c r="O421" s="95"/>
      <c r="P421" s="95"/>
      <c r="Q421" s="95"/>
      <c r="R421" s="96"/>
      <c r="S421" s="95"/>
      <c r="T421" s="95"/>
      <c r="U421" s="95"/>
      <c r="V421" s="96"/>
      <c r="W421" s="97"/>
      <c r="X421" s="97"/>
      <c r="Y421" s="97"/>
      <c r="Z421" s="96"/>
      <c r="AA421" s="97"/>
      <c r="AB421" s="97"/>
      <c r="AC421" s="97"/>
      <c r="AD421" s="97"/>
      <c r="AE421" s="97"/>
      <c r="AF421" s="80">
        <f>SUM(D421:AD421)</f>
        <v>0</v>
      </c>
    </row>
    <row r="422" spans="2:32" ht="14.25" thickTop="1">
      <c r="B422" s="1518" t="s">
        <v>18</v>
      </c>
      <c r="C422" s="1552" t="s">
        <v>571</v>
      </c>
      <c r="D422" s="1524">
        <v>45236</v>
      </c>
      <c r="E422" s="1524"/>
      <c r="F422" s="1524"/>
      <c r="G422" s="22"/>
      <c r="H422" s="1524">
        <f>D422+1</f>
        <v>45237</v>
      </c>
      <c r="I422" s="1524"/>
      <c r="J422" s="1524"/>
      <c r="K422" s="22"/>
      <c r="L422" s="1524">
        <f>H422+1</f>
        <v>45238</v>
      </c>
      <c r="M422" s="1524"/>
      <c r="N422" s="1524"/>
      <c r="P422" s="1524">
        <f>L422+1</f>
        <v>45239</v>
      </c>
      <c r="Q422" s="1524"/>
      <c r="R422" s="1524"/>
      <c r="T422" s="1524">
        <f>P422+1</f>
        <v>45240</v>
      </c>
      <c r="U422" s="1524"/>
      <c r="V422" s="1524"/>
      <c r="W422" s="22"/>
      <c r="X422" s="1524">
        <f>T422+1</f>
        <v>45241</v>
      </c>
      <c r="Y422" s="1524"/>
      <c r="Z422" s="1524"/>
      <c r="AB422" s="1524">
        <f>X422+1</f>
        <v>45242</v>
      </c>
      <c r="AC422" s="1524"/>
      <c r="AD422" s="1524"/>
      <c r="AE422" s="22"/>
      <c r="AF422" s="1517" t="s">
        <v>19</v>
      </c>
    </row>
    <row r="423" spans="2:32">
      <c r="B423" s="1518"/>
      <c r="C423" s="1552"/>
      <c r="D423" s="21" t="s">
        <v>23</v>
      </c>
      <c r="E423" s="21" t="s">
        <v>24</v>
      </c>
      <c r="F423" s="62" t="s">
        <v>25</v>
      </c>
      <c r="G423" s="23"/>
      <c r="H423" s="21" t="s">
        <v>23</v>
      </c>
      <c r="I423" s="21" t="s">
        <v>24</v>
      </c>
      <c r="J423" s="18" t="s">
        <v>25</v>
      </c>
      <c r="K423" s="23"/>
      <c r="L423" s="21" t="s">
        <v>23</v>
      </c>
      <c r="M423" s="21" t="s">
        <v>24</v>
      </c>
      <c r="N423" s="18" t="s">
        <v>25</v>
      </c>
      <c r="O423" s="23"/>
      <c r="P423" s="21" t="s">
        <v>23</v>
      </c>
      <c r="Q423" s="21" t="s">
        <v>24</v>
      </c>
      <c r="R423" s="18" t="s">
        <v>25</v>
      </c>
      <c r="S423" s="23"/>
      <c r="T423" s="21" t="s">
        <v>23</v>
      </c>
      <c r="U423" s="21" t="s">
        <v>24</v>
      </c>
      <c r="V423" s="18" t="s">
        <v>25</v>
      </c>
      <c r="W423" s="23"/>
      <c r="X423" s="21" t="s">
        <v>23</v>
      </c>
      <c r="Y423" s="21" t="s">
        <v>24</v>
      </c>
      <c r="Z423" s="18" t="s">
        <v>25</v>
      </c>
      <c r="AA423" s="23"/>
      <c r="AB423" s="21" t="s">
        <v>23</v>
      </c>
      <c r="AC423" s="21" t="s">
        <v>24</v>
      </c>
      <c r="AD423" s="18" t="s">
        <v>25</v>
      </c>
      <c r="AE423" s="23"/>
      <c r="AF423" s="1517"/>
    </row>
    <row r="424" spans="2:32" ht="40.5">
      <c r="B424" s="313" t="s">
        <v>582</v>
      </c>
      <c r="C424" s="339" t="s">
        <v>679</v>
      </c>
      <c r="D424" s="51">
        <v>0.375</v>
      </c>
      <c r="E424" s="51">
        <v>0.70833333333333337</v>
      </c>
      <c r="F424" s="85">
        <f t="shared" ref="F424:F431" si="358">(E424-D424)*24</f>
        <v>8</v>
      </c>
      <c r="G424" s="24"/>
      <c r="H424" s="51">
        <v>0.375</v>
      </c>
      <c r="I424" s="51">
        <v>0.8125</v>
      </c>
      <c r="J424" s="49">
        <f t="shared" ref="J424:J431" si="359">(I424-H424)*24</f>
        <v>10.5</v>
      </c>
      <c r="K424" s="24"/>
      <c r="L424" s="51"/>
      <c r="M424" s="51"/>
      <c r="N424" s="49">
        <f t="shared" ref="N424:N431" si="360">(M424-L424)*24</f>
        <v>0</v>
      </c>
      <c r="O424" s="24"/>
      <c r="P424" s="51"/>
      <c r="Q424" s="51"/>
      <c r="R424" s="49">
        <f t="shared" ref="R424:R431" si="361">(Q424-P424)*24</f>
        <v>0</v>
      </c>
      <c r="S424" s="24"/>
      <c r="T424" s="51"/>
      <c r="U424" s="51"/>
      <c r="V424" s="49">
        <f t="shared" ref="V424:V431" si="362">(U424-T424)*24</f>
        <v>0</v>
      </c>
      <c r="W424" s="24"/>
      <c r="X424" s="51"/>
      <c r="Y424" s="51"/>
      <c r="Z424" s="49">
        <f t="shared" ref="Z424:Z431" si="363">(Y424-X424)*24</f>
        <v>0</v>
      </c>
      <c r="AA424" s="24"/>
      <c r="AB424" s="51"/>
      <c r="AC424" s="51"/>
      <c r="AD424" s="49">
        <f t="shared" ref="AD424:AD431" si="364">(AC424-AB424)*24</f>
        <v>0</v>
      </c>
      <c r="AE424" s="24"/>
      <c r="AF424" s="29">
        <f t="shared" ref="AF424:AF430" si="365">J424+F424+N424+R424+V424+Z424+AD424</f>
        <v>18.5</v>
      </c>
    </row>
    <row r="425" spans="2:32" ht="40.5">
      <c r="B425" s="313" t="s">
        <v>653</v>
      </c>
      <c r="C425" s="339" t="s">
        <v>679</v>
      </c>
      <c r="D425" s="51"/>
      <c r="E425" s="51"/>
      <c r="F425" s="85">
        <f t="shared" si="358"/>
        <v>0</v>
      </c>
      <c r="G425" s="24"/>
      <c r="H425" s="51"/>
      <c r="I425" s="51"/>
      <c r="J425" s="49">
        <f t="shared" si="359"/>
        <v>0</v>
      </c>
      <c r="K425" s="24"/>
      <c r="L425" s="51"/>
      <c r="M425" s="51"/>
      <c r="N425" s="49">
        <f t="shared" si="360"/>
        <v>0</v>
      </c>
      <c r="O425" s="24"/>
      <c r="P425" s="51"/>
      <c r="Q425" s="51"/>
      <c r="R425" s="49">
        <f t="shared" si="361"/>
        <v>0</v>
      </c>
      <c r="S425" s="24"/>
      <c r="T425" s="51"/>
      <c r="U425" s="51"/>
      <c r="V425" s="49">
        <f t="shared" si="362"/>
        <v>0</v>
      </c>
      <c r="W425" s="24"/>
      <c r="X425" s="51"/>
      <c r="Y425" s="51"/>
      <c r="Z425" s="49">
        <f t="shared" si="363"/>
        <v>0</v>
      </c>
      <c r="AA425" s="24"/>
      <c r="AB425" s="51"/>
      <c r="AC425" s="51"/>
      <c r="AD425" s="49">
        <f t="shared" si="364"/>
        <v>0</v>
      </c>
      <c r="AE425" s="24"/>
      <c r="AF425" s="29">
        <f t="shared" si="365"/>
        <v>0</v>
      </c>
    </row>
    <row r="426" spans="2:32" ht="40.5">
      <c r="B426" s="313" t="s">
        <v>576</v>
      </c>
      <c r="C426" s="339" t="s">
        <v>679</v>
      </c>
      <c r="D426" s="51"/>
      <c r="E426" s="51"/>
      <c r="F426" s="85">
        <f t="shared" si="358"/>
        <v>0</v>
      </c>
      <c r="G426" s="24"/>
      <c r="H426" s="51"/>
      <c r="I426" s="51"/>
      <c r="J426" s="49">
        <f t="shared" si="359"/>
        <v>0</v>
      </c>
      <c r="K426" s="24"/>
      <c r="L426" s="51"/>
      <c r="M426" s="51"/>
      <c r="N426" s="49">
        <f t="shared" si="360"/>
        <v>0</v>
      </c>
      <c r="O426" s="24"/>
      <c r="P426" s="51"/>
      <c r="Q426" s="51"/>
      <c r="R426" s="49">
        <f t="shared" si="361"/>
        <v>0</v>
      </c>
      <c r="S426" s="24"/>
      <c r="T426" s="51"/>
      <c r="U426" s="51"/>
      <c r="V426" s="49">
        <f t="shared" si="362"/>
        <v>0</v>
      </c>
      <c r="W426" s="24"/>
      <c r="X426" s="51"/>
      <c r="Y426" s="51"/>
      <c r="Z426" s="49">
        <f t="shared" si="363"/>
        <v>0</v>
      </c>
      <c r="AA426" s="24"/>
      <c r="AB426" s="51"/>
      <c r="AC426" s="51"/>
      <c r="AD426" s="49">
        <f t="shared" si="364"/>
        <v>0</v>
      </c>
      <c r="AE426" s="24"/>
      <c r="AF426" s="29">
        <f t="shared" si="365"/>
        <v>0</v>
      </c>
    </row>
    <row r="427" spans="2:32" ht="14.25">
      <c r="B427" s="313"/>
      <c r="C427" s="339"/>
      <c r="D427" s="51"/>
      <c r="E427" s="51"/>
      <c r="F427" s="85">
        <f t="shared" si="358"/>
        <v>0</v>
      </c>
      <c r="G427" s="24"/>
      <c r="H427" s="51"/>
      <c r="I427" s="51"/>
      <c r="J427" s="49">
        <f t="shared" si="359"/>
        <v>0</v>
      </c>
      <c r="K427" s="24"/>
      <c r="L427" s="51"/>
      <c r="M427" s="51"/>
      <c r="N427" s="49">
        <f t="shared" si="360"/>
        <v>0</v>
      </c>
      <c r="O427" s="24"/>
      <c r="P427" s="51"/>
      <c r="Q427" s="51"/>
      <c r="R427" s="49">
        <f t="shared" si="361"/>
        <v>0</v>
      </c>
      <c r="S427" s="24"/>
      <c r="T427" s="51"/>
      <c r="U427" s="51"/>
      <c r="V427" s="49">
        <f t="shared" si="362"/>
        <v>0</v>
      </c>
      <c r="W427" s="24"/>
      <c r="X427" s="51"/>
      <c r="Y427" s="51"/>
      <c r="Z427" s="49">
        <f t="shared" si="363"/>
        <v>0</v>
      </c>
      <c r="AA427" s="24"/>
      <c r="AB427" s="51"/>
      <c r="AC427" s="51"/>
      <c r="AD427" s="49">
        <f t="shared" si="364"/>
        <v>0</v>
      </c>
      <c r="AE427" s="24"/>
      <c r="AF427" s="29">
        <f t="shared" si="365"/>
        <v>0</v>
      </c>
    </row>
    <row r="428" spans="2:32" ht="14.25">
      <c r="B428" s="313"/>
      <c r="C428" s="339"/>
      <c r="D428" s="51"/>
      <c r="E428" s="51"/>
      <c r="F428" s="85">
        <f t="shared" si="358"/>
        <v>0</v>
      </c>
      <c r="G428" s="24"/>
      <c r="H428" s="51"/>
      <c r="I428" s="51"/>
      <c r="J428" s="49">
        <f t="shared" si="359"/>
        <v>0</v>
      </c>
      <c r="K428" s="24"/>
      <c r="L428" s="51"/>
      <c r="M428" s="51"/>
      <c r="N428" s="49">
        <f t="shared" si="360"/>
        <v>0</v>
      </c>
      <c r="O428" s="24"/>
      <c r="P428" s="51"/>
      <c r="Q428" s="51"/>
      <c r="R428" s="49">
        <f t="shared" si="361"/>
        <v>0</v>
      </c>
      <c r="S428" s="24"/>
      <c r="T428" s="51"/>
      <c r="U428" s="51"/>
      <c r="V428" s="49">
        <f t="shared" si="362"/>
        <v>0</v>
      </c>
      <c r="W428" s="24"/>
      <c r="X428" s="51"/>
      <c r="Y428" s="51"/>
      <c r="Z428" s="49">
        <f t="shared" si="363"/>
        <v>0</v>
      </c>
      <c r="AA428" s="24"/>
      <c r="AB428" s="51"/>
      <c r="AC428" s="51"/>
      <c r="AD428" s="49">
        <f t="shared" si="364"/>
        <v>0</v>
      </c>
      <c r="AE428" s="24"/>
      <c r="AF428" s="29">
        <f t="shared" si="365"/>
        <v>0</v>
      </c>
    </row>
    <row r="429" spans="2:32" ht="14.25">
      <c r="C429" s="340"/>
      <c r="D429" s="51"/>
      <c r="E429" s="51"/>
      <c r="F429" s="85">
        <f t="shared" si="358"/>
        <v>0</v>
      </c>
      <c r="G429" s="24"/>
      <c r="H429" s="51"/>
      <c r="I429" s="51"/>
      <c r="J429" s="49">
        <f t="shared" si="359"/>
        <v>0</v>
      </c>
      <c r="K429" s="24"/>
      <c r="L429" s="51"/>
      <c r="M429" s="51"/>
      <c r="N429" s="49">
        <f t="shared" si="360"/>
        <v>0</v>
      </c>
      <c r="O429" s="24"/>
      <c r="P429" s="51"/>
      <c r="Q429" s="51"/>
      <c r="R429" s="49">
        <f t="shared" si="361"/>
        <v>0</v>
      </c>
      <c r="S429" s="24"/>
      <c r="T429" s="51"/>
      <c r="U429" s="51"/>
      <c r="V429" s="49">
        <f t="shared" si="362"/>
        <v>0</v>
      </c>
      <c r="W429" s="24"/>
      <c r="X429" s="51"/>
      <c r="Y429" s="51"/>
      <c r="Z429" s="49">
        <f t="shared" si="363"/>
        <v>0</v>
      </c>
      <c r="AA429" s="24"/>
      <c r="AB429" s="51"/>
      <c r="AC429" s="51"/>
      <c r="AD429" s="49">
        <f t="shared" si="364"/>
        <v>0</v>
      </c>
      <c r="AE429" s="24"/>
      <c r="AF429" s="29">
        <f t="shared" si="365"/>
        <v>0</v>
      </c>
    </row>
    <row r="430" spans="2:32" ht="14.25">
      <c r="C430" s="340"/>
      <c r="D430" s="51"/>
      <c r="E430" s="51"/>
      <c r="F430" s="85">
        <f t="shared" si="358"/>
        <v>0</v>
      </c>
      <c r="G430" s="24"/>
      <c r="H430" s="51"/>
      <c r="I430" s="51"/>
      <c r="J430" s="49">
        <f t="shared" si="359"/>
        <v>0</v>
      </c>
      <c r="K430" s="24"/>
      <c r="L430" s="51"/>
      <c r="M430" s="51"/>
      <c r="N430" s="49">
        <f t="shared" si="360"/>
        <v>0</v>
      </c>
      <c r="O430" s="24"/>
      <c r="P430" s="51"/>
      <c r="Q430" s="51"/>
      <c r="R430" s="49">
        <f t="shared" si="361"/>
        <v>0</v>
      </c>
      <c r="S430" s="24"/>
      <c r="T430" s="51"/>
      <c r="U430" s="51"/>
      <c r="V430" s="49">
        <f t="shared" si="362"/>
        <v>0</v>
      </c>
      <c r="W430" s="24"/>
      <c r="X430" s="51"/>
      <c r="Y430" s="51"/>
      <c r="Z430" s="49">
        <f t="shared" si="363"/>
        <v>0</v>
      </c>
      <c r="AA430" s="24"/>
      <c r="AB430" s="51"/>
      <c r="AC430" s="51"/>
      <c r="AD430" s="49">
        <f t="shared" si="364"/>
        <v>0</v>
      </c>
      <c r="AE430" s="24"/>
      <c r="AF430" s="29">
        <f t="shared" si="365"/>
        <v>0</v>
      </c>
    </row>
    <row r="431" spans="2:32" ht="14.25">
      <c r="B431" s="63" t="s">
        <v>61</v>
      </c>
      <c r="C431" s="63"/>
      <c r="D431" s="51"/>
      <c r="E431" s="51"/>
      <c r="F431" s="85">
        <f t="shared" si="358"/>
        <v>0</v>
      </c>
      <c r="G431" s="24"/>
      <c r="H431" s="51"/>
      <c r="I431" s="51"/>
      <c r="J431" s="49">
        <f t="shared" si="359"/>
        <v>0</v>
      </c>
      <c r="K431" s="24"/>
      <c r="L431" s="51"/>
      <c r="M431" s="51"/>
      <c r="N431" s="49">
        <f t="shared" si="360"/>
        <v>0</v>
      </c>
      <c r="O431" s="24"/>
      <c r="P431" s="51"/>
      <c r="Q431" s="51"/>
      <c r="R431" s="49">
        <f t="shared" si="361"/>
        <v>0</v>
      </c>
      <c r="S431" s="24"/>
      <c r="T431" s="51"/>
      <c r="U431" s="51"/>
      <c r="V431" s="49">
        <f t="shared" si="362"/>
        <v>0</v>
      </c>
      <c r="W431" s="24"/>
      <c r="X431" s="51"/>
      <c r="Y431" s="51"/>
      <c r="Z431" s="49">
        <f t="shared" si="363"/>
        <v>0</v>
      </c>
      <c r="AA431" s="24"/>
      <c r="AB431" s="51"/>
      <c r="AC431" s="51"/>
      <c r="AD431" s="49">
        <f t="shared" si="364"/>
        <v>0</v>
      </c>
      <c r="AE431" s="24"/>
      <c r="AF431" s="30">
        <f>SUM(AF424:AF430)</f>
        <v>18.5</v>
      </c>
    </row>
    <row r="432" spans="2:32">
      <c r="B432" s="31" t="s">
        <v>577</v>
      </c>
      <c r="C432" s="31"/>
      <c r="D432" s="91"/>
      <c r="E432" s="91"/>
      <c r="F432" s="90"/>
      <c r="G432" s="91"/>
      <c r="H432" s="91"/>
      <c r="I432" s="91"/>
      <c r="J432" s="90"/>
      <c r="K432" s="91"/>
      <c r="L432" s="91"/>
      <c r="M432" s="91"/>
      <c r="N432" s="90"/>
      <c r="O432" s="91"/>
      <c r="P432" s="91"/>
      <c r="Q432" s="91"/>
      <c r="R432" s="90"/>
      <c r="S432" s="91"/>
      <c r="T432" s="91"/>
      <c r="U432" s="91"/>
      <c r="V432" s="90"/>
      <c r="W432" s="91"/>
      <c r="X432" s="91"/>
      <c r="Y432" s="91"/>
      <c r="Z432" s="90"/>
      <c r="AA432" s="91"/>
      <c r="AB432" s="91"/>
      <c r="AC432" s="91"/>
      <c r="AD432" s="91"/>
      <c r="AE432" s="352"/>
      <c r="AF432" s="28"/>
    </row>
    <row r="433" spans="2:32">
      <c r="B433" s="31" t="s">
        <v>578</v>
      </c>
      <c r="C433" s="31"/>
      <c r="D433" s="91"/>
      <c r="E433" s="91"/>
      <c r="F433" s="90"/>
      <c r="G433" s="91"/>
      <c r="H433" s="91"/>
      <c r="I433" s="91"/>
      <c r="J433" s="90"/>
      <c r="K433" s="91"/>
      <c r="L433" s="91"/>
      <c r="M433" s="91"/>
      <c r="N433" s="90"/>
      <c r="O433" s="91"/>
      <c r="P433" s="91"/>
      <c r="Q433" s="91"/>
      <c r="R433" s="90"/>
      <c r="S433" s="91"/>
      <c r="T433" s="91"/>
      <c r="U433" s="91"/>
      <c r="V433" s="90"/>
      <c r="W433" s="91"/>
      <c r="X433" s="91"/>
      <c r="Y433" s="91"/>
      <c r="Z433" s="90"/>
      <c r="AA433" s="91"/>
      <c r="AB433" s="91"/>
      <c r="AC433" s="91"/>
      <c r="AD433" s="91"/>
      <c r="AE433" s="352"/>
      <c r="AF433" s="28">
        <f>SUM(D433:AD433)</f>
        <v>0</v>
      </c>
    </row>
    <row r="434" spans="2:32" ht="14.25" thickBot="1">
      <c r="B434" s="74" t="s">
        <v>579</v>
      </c>
      <c r="C434" s="74"/>
      <c r="D434" s="95"/>
      <c r="E434" s="95"/>
      <c r="F434" s="96"/>
      <c r="G434" s="95"/>
      <c r="H434" s="95"/>
      <c r="I434" s="95"/>
      <c r="J434" s="96"/>
      <c r="K434" s="95"/>
      <c r="L434" s="95"/>
      <c r="M434" s="95"/>
      <c r="N434" s="96"/>
      <c r="O434" s="95"/>
      <c r="P434" s="95"/>
      <c r="Q434" s="95"/>
      <c r="R434" s="96"/>
      <c r="S434" s="95"/>
      <c r="T434" s="95"/>
      <c r="U434" s="95"/>
      <c r="V434" s="96"/>
      <c r="W434" s="97"/>
      <c r="X434" s="97"/>
      <c r="Y434" s="97"/>
      <c r="Z434" s="96"/>
      <c r="AA434" s="97"/>
      <c r="AB434" s="97"/>
      <c r="AC434" s="97"/>
      <c r="AD434" s="97"/>
      <c r="AE434" s="97"/>
      <c r="AF434" s="80">
        <f>SUM(D434:AD434)</f>
        <v>0</v>
      </c>
    </row>
    <row r="435" spans="2:32" ht="14.25" thickTop="1">
      <c r="B435" s="1518" t="s">
        <v>18</v>
      </c>
      <c r="C435" s="1552" t="s">
        <v>571</v>
      </c>
      <c r="D435" s="1524">
        <v>45243</v>
      </c>
      <c r="E435" s="1524"/>
      <c r="F435" s="1524"/>
      <c r="G435" s="22"/>
      <c r="H435" s="1524">
        <f>D435+1</f>
        <v>45244</v>
      </c>
      <c r="I435" s="1524"/>
      <c r="J435" s="1524"/>
      <c r="K435" s="22"/>
      <c r="L435" s="1524">
        <f>H435+1</f>
        <v>45245</v>
      </c>
      <c r="M435" s="1524"/>
      <c r="N435" s="1524"/>
      <c r="P435" s="1524">
        <f>L435+1</f>
        <v>45246</v>
      </c>
      <c r="Q435" s="1524"/>
      <c r="R435" s="1524"/>
      <c r="T435" s="1524">
        <f>P435+1</f>
        <v>45247</v>
      </c>
      <c r="U435" s="1524"/>
      <c r="V435" s="1524"/>
      <c r="W435" s="22"/>
      <c r="X435" s="1524">
        <f>T435+1</f>
        <v>45248</v>
      </c>
      <c r="Y435" s="1524"/>
      <c r="Z435" s="1524"/>
      <c r="AB435" s="1524">
        <f>X435+1</f>
        <v>45249</v>
      </c>
      <c r="AC435" s="1524"/>
      <c r="AD435" s="1524"/>
      <c r="AE435" s="22"/>
      <c r="AF435" s="1517" t="s">
        <v>19</v>
      </c>
    </row>
    <row r="436" spans="2:32">
      <c r="B436" s="1518"/>
      <c r="C436" s="1552"/>
      <c r="D436" s="21" t="s">
        <v>23</v>
      </c>
      <c r="E436" s="21" t="s">
        <v>24</v>
      </c>
      <c r="F436" s="62" t="s">
        <v>25</v>
      </c>
      <c r="G436" s="23"/>
      <c r="H436" s="21" t="s">
        <v>23</v>
      </c>
      <c r="I436" s="21" t="s">
        <v>24</v>
      </c>
      <c r="J436" s="18" t="s">
        <v>25</v>
      </c>
      <c r="K436" s="23"/>
      <c r="L436" s="21" t="s">
        <v>23</v>
      </c>
      <c r="M436" s="21" t="s">
        <v>24</v>
      </c>
      <c r="N436" s="18" t="s">
        <v>25</v>
      </c>
      <c r="O436" s="23"/>
      <c r="P436" s="21" t="s">
        <v>23</v>
      </c>
      <c r="Q436" s="21" t="s">
        <v>24</v>
      </c>
      <c r="R436" s="18" t="s">
        <v>25</v>
      </c>
      <c r="S436" s="23"/>
      <c r="T436" s="21" t="s">
        <v>23</v>
      </c>
      <c r="U436" s="21" t="s">
        <v>24</v>
      </c>
      <c r="V436" s="18" t="s">
        <v>25</v>
      </c>
      <c r="W436" s="23"/>
      <c r="X436" s="21" t="s">
        <v>23</v>
      </c>
      <c r="Y436" s="21" t="s">
        <v>24</v>
      </c>
      <c r="Z436" s="18" t="s">
        <v>25</v>
      </c>
      <c r="AA436" s="23"/>
      <c r="AB436" s="21" t="s">
        <v>23</v>
      </c>
      <c r="AC436" s="21" t="s">
        <v>24</v>
      </c>
      <c r="AD436" s="18" t="s">
        <v>25</v>
      </c>
      <c r="AE436" s="23"/>
      <c r="AF436" s="1517"/>
    </row>
    <row r="437" spans="2:32" ht="27">
      <c r="B437" s="313" t="s">
        <v>54</v>
      </c>
      <c r="C437" s="339" t="s">
        <v>684</v>
      </c>
      <c r="D437" s="51">
        <v>0.375</v>
      </c>
      <c r="E437" s="51">
        <v>0.70833333333333337</v>
      </c>
      <c r="F437" s="85">
        <f t="shared" ref="F437:F451" si="366">(E437-D437)*24</f>
        <v>8</v>
      </c>
      <c r="G437" s="24"/>
      <c r="H437" s="51"/>
      <c r="I437" s="51"/>
      <c r="J437" s="49">
        <f t="shared" ref="J437:J451" si="367">(I437-H437)*24</f>
        <v>0</v>
      </c>
      <c r="K437" s="24"/>
      <c r="L437" s="51"/>
      <c r="M437" s="51"/>
      <c r="N437" s="49">
        <f t="shared" ref="N437:N451" si="368">(M437-L437)*24</f>
        <v>0</v>
      </c>
      <c r="O437" s="24"/>
      <c r="P437" s="51"/>
      <c r="Q437" s="51"/>
      <c r="R437" s="49">
        <f t="shared" ref="R437:R451" si="369">(Q437-P437)*24</f>
        <v>0</v>
      </c>
      <c r="S437" s="24"/>
      <c r="T437" s="51"/>
      <c r="U437" s="51"/>
      <c r="V437" s="49">
        <f t="shared" ref="V437:V451" si="370">(U437-T437)*24</f>
        <v>0</v>
      </c>
      <c r="W437" s="24"/>
      <c r="X437" s="51"/>
      <c r="Y437" s="51"/>
      <c r="Z437" s="49">
        <f t="shared" ref="Z437:Z451" si="371">(Y437-X437)*24</f>
        <v>0</v>
      </c>
      <c r="AA437" s="24"/>
      <c r="AB437" s="51"/>
      <c r="AC437" s="51"/>
      <c r="AD437" s="49">
        <f t="shared" ref="AD437:AD451" si="372">(AC437-AB437)*24</f>
        <v>0</v>
      </c>
      <c r="AE437" s="24"/>
      <c r="AF437" s="29">
        <f t="shared" ref="AF437:AF445" si="373">J437+F437+N437+R437+V437+Z437+AD437</f>
        <v>8</v>
      </c>
    </row>
    <row r="438" spans="2:32" ht="27">
      <c r="B438" s="313" t="s">
        <v>637</v>
      </c>
      <c r="C438" s="339" t="s">
        <v>684</v>
      </c>
      <c r="D438" s="51">
        <v>0.375</v>
      </c>
      <c r="E438" s="51">
        <v>0.70833333333333337</v>
      </c>
      <c r="F438" s="85">
        <f t="shared" si="366"/>
        <v>8</v>
      </c>
      <c r="G438" s="24"/>
      <c r="H438" s="51"/>
      <c r="I438" s="51"/>
      <c r="J438" s="49">
        <f t="shared" si="367"/>
        <v>0</v>
      </c>
      <c r="K438" s="24"/>
      <c r="L438" s="51"/>
      <c r="M438" s="51"/>
      <c r="N438" s="49">
        <f t="shared" si="368"/>
        <v>0</v>
      </c>
      <c r="O438" s="24"/>
      <c r="P438" s="51"/>
      <c r="Q438" s="51"/>
      <c r="R438" s="49">
        <f t="shared" si="369"/>
        <v>0</v>
      </c>
      <c r="S438" s="24"/>
      <c r="T438" s="51"/>
      <c r="U438" s="51"/>
      <c r="V438" s="49">
        <f t="shared" si="370"/>
        <v>0</v>
      </c>
      <c r="W438" s="24"/>
      <c r="X438" s="51"/>
      <c r="Y438" s="51"/>
      <c r="Z438" s="49">
        <f t="shared" si="371"/>
        <v>0</v>
      </c>
      <c r="AA438" s="24"/>
      <c r="AB438" s="51"/>
      <c r="AC438" s="51"/>
      <c r="AD438" s="49">
        <f t="shared" si="372"/>
        <v>0</v>
      </c>
      <c r="AE438" s="24"/>
      <c r="AF438" s="29">
        <f t="shared" si="373"/>
        <v>8</v>
      </c>
    </row>
    <row r="439" spans="2:32" ht="14.25">
      <c r="B439" s="313" t="s">
        <v>572</v>
      </c>
      <c r="C439" s="339" t="s">
        <v>685</v>
      </c>
      <c r="D439" s="51">
        <v>0.29166666666666669</v>
      </c>
      <c r="E439" s="51">
        <v>0.375</v>
      </c>
      <c r="F439" s="85">
        <f t="shared" si="366"/>
        <v>1.9999999999999996</v>
      </c>
      <c r="G439" s="24"/>
      <c r="H439" s="51">
        <v>0.29166666666666669</v>
      </c>
      <c r="I439" s="51">
        <v>0.45833333333333331</v>
      </c>
      <c r="J439" s="49">
        <f t="shared" si="367"/>
        <v>3.9999999999999991</v>
      </c>
      <c r="K439" s="24"/>
      <c r="L439" s="51">
        <v>0.29166666666666669</v>
      </c>
      <c r="M439" s="51">
        <v>0.41666666666666669</v>
      </c>
      <c r="N439" s="49">
        <f t="shared" si="368"/>
        <v>3</v>
      </c>
      <c r="O439" s="24"/>
      <c r="P439" s="51"/>
      <c r="Q439" s="51"/>
      <c r="R439" s="49">
        <f t="shared" si="369"/>
        <v>0</v>
      </c>
      <c r="S439" s="24"/>
      <c r="T439" s="51"/>
      <c r="U439" s="51"/>
      <c r="V439" s="49">
        <f t="shared" si="370"/>
        <v>0</v>
      </c>
      <c r="W439" s="24"/>
      <c r="X439" s="51"/>
      <c r="Y439" s="51"/>
      <c r="Z439" s="49">
        <f t="shared" si="371"/>
        <v>0</v>
      </c>
      <c r="AA439" s="24"/>
      <c r="AB439" s="51"/>
      <c r="AC439" s="51"/>
      <c r="AD439" s="49">
        <f t="shared" si="372"/>
        <v>0</v>
      </c>
      <c r="AE439" s="24"/>
      <c r="AF439" s="29">
        <f t="shared" si="373"/>
        <v>8.9999999999999982</v>
      </c>
    </row>
    <row r="440" spans="2:32" ht="27">
      <c r="B440" s="313" t="s">
        <v>54</v>
      </c>
      <c r="C440" s="339" t="s">
        <v>686</v>
      </c>
      <c r="D440" s="51"/>
      <c r="E440" s="51"/>
      <c r="F440" s="85">
        <f t="shared" si="366"/>
        <v>0</v>
      </c>
      <c r="G440" s="24"/>
      <c r="H440" s="51">
        <v>0.375</v>
      </c>
      <c r="I440" s="51">
        <v>0.5</v>
      </c>
      <c r="J440" s="49">
        <f t="shared" si="367"/>
        <v>3</v>
      </c>
      <c r="K440" s="24"/>
      <c r="L440" s="51"/>
      <c r="M440" s="51"/>
      <c r="N440" s="49">
        <f t="shared" si="368"/>
        <v>0</v>
      </c>
      <c r="O440" s="24"/>
      <c r="P440" s="51"/>
      <c r="Q440" s="51"/>
      <c r="R440" s="49">
        <f t="shared" si="369"/>
        <v>0</v>
      </c>
      <c r="S440" s="24"/>
      <c r="T440" s="51"/>
      <c r="U440" s="51"/>
      <c r="V440" s="49">
        <f t="shared" si="370"/>
        <v>0</v>
      </c>
      <c r="W440" s="24"/>
      <c r="X440" s="51"/>
      <c r="Y440" s="51"/>
      <c r="Z440" s="49">
        <f t="shared" si="371"/>
        <v>0</v>
      </c>
      <c r="AA440" s="24"/>
      <c r="AB440" s="51"/>
      <c r="AC440" s="51"/>
      <c r="AD440" s="49">
        <f t="shared" si="372"/>
        <v>0</v>
      </c>
      <c r="AE440" s="24"/>
      <c r="AF440" s="29">
        <f t="shared" si="373"/>
        <v>3</v>
      </c>
    </row>
    <row r="441" spans="2:32" ht="27">
      <c r="B441" s="313" t="s">
        <v>54</v>
      </c>
      <c r="C441" s="339" t="s">
        <v>687</v>
      </c>
      <c r="D441" s="51"/>
      <c r="E441" s="51"/>
      <c r="F441" s="85">
        <f t="shared" ref="F441:F442" si="374">(E441-D441)*24</f>
        <v>0</v>
      </c>
      <c r="G441" s="24"/>
      <c r="H441" s="51"/>
      <c r="I441" s="51"/>
      <c r="J441" s="49">
        <f t="shared" ref="J441:J442" si="375">(I441-H441)*24</f>
        <v>0</v>
      </c>
      <c r="K441" s="24"/>
      <c r="L441" s="51">
        <v>0.375</v>
      </c>
      <c r="M441" s="51">
        <v>0.70833333333333337</v>
      </c>
      <c r="N441" s="49">
        <f t="shared" ref="N441:N442" si="376">(M441-L441)*24</f>
        <v>8</v>
      </c>
      <c r="O441" s="24"/>
      <c r="P441" s="51">
        <v>0.375</v>
      </c>
      <c r="Q441" s="51">
        <v>0.70833333333333337</v>
      </c>
      <c r="R441" s="49">
        <f t="shared" ref="R441:R442" si="377">(Q441-P441)*24</f>
        <v>8</v>
      </c>
      <c r="S441" s="24"/>
      <c r="T441" s="51"/>
      <c r="U441" s="51"/>
      <c r="V441" s="49">
        <f t="shared" ref="V441:V442" si="378">(U441-T441)*24</f>
        <v>0</v>
      </c>
      <c r="W441" s="24"/>
      <c r="X441" s="51"/>
      <c r="Y441" s="51"/>
      <c r="Z441" s="49">
        <f t="shared" ref="Z441:Z444" si="379">(Y441-X441)*24</f>
        <v>0</v>
      </c>
      <c r="AA441" s="24"/>
      <c r="AB441" s="51"/>
      <c r="AC441" s="51"/>
      <c r="AD441" s="49">
        <f t="shared" ref="AD441:AD442" si="380">(AC441-AB441)*24</f>
        <v>0</v>
      </c>
      <c r="AE441" s="24"/>
      <c r="AF441" s="29">
        <f t="shared" ref="AF441" si="381">J441+F441+N441+R441+V441+Z441+AD441</f>
        <v>16</v>
      </c>
    </row>
    <row r="442" spans="2:32" ht="27">
      <c r="B442" s="313" t="s">
        <v>637</v>
      </c>
      <c r="C442" s="339" t="s">
        <v>687</v>
      </c>
      <c r="D442" s="51"/>
      <c r="E442" s="51"/>
      <c r="F442" s="85">
        <f t="shared" si="374"/>
        <v>0</v>
      </c>
      <c r="G442" s="24"/>
      <c r="H442" s="51"/>
      <c r="I442" s="51"/>
      <c r="J442" s="49">
        <f t="shared" si="375"/>
        <v>0</v>
      </c>
      <c r="K442" s="24"/>
      <c r="L442" s="51">
        <v>0.375</v>
      </c>
      <c r="M442" s="51">
        <v>0.70833333333333337</v>
      </c>
      <c r="N442" s="49">
        <f t="shared" si="376"/>
        <v>8</v>
      </c>
      <c r="O442" s="24"/>
      <c r="P442" s="51">
        <v>0.375</v>
      </c>
      <c r="Q442" s="51">
        <v>0.70833333333333337</v>
      </c>
      <c r="R442" s="49">
        <f t="shared" si="377"/>
        <v>8</v>
      </c>
      <c r="S442" s="24"/>
      <c r="T442" s="51"/>
      <c r="U442" s="51"/>
      <c r="V442" s="49">
        <f t="shared" si="378"/>
        <v>0</v>
      </c>
      <c r="W442" s="24"/>
      <c r="X442" s="51"/>
      <c r="Y442" s="51"/>
      <c r="Z442" s="49">
        <f t="shared" si="379"/>
        <v>0</v>
      </c>
      <c r="AA442" s="24"/>
      <c r="AB442" s="51"/>
      <c r="AC442" s="51"/>
      <c r="AD442" s="49">
        <f t="shared" si="380"/>
        <v>0</v>
      </c>
      <c r="AE442" s="24"/>
      <c r="AF442" s="29">
        <f>J442+F442+N442+R442+V442+Z442+AD442</f>
        <v>16</v>
      </c>
    </row>
    <row r="443" spans="2:32" ht="27">
      <c r="B443" s="313" t="s">
        <v>572</v>
      </c>
      <c r="C443" s="339" t="s">
        <v>688</v>
      </c>
      <c r="D443" s="51"/>
      <c r="E443" s="51"/>
      <c r="F443" s="85">
        <f>(E443-D443)*24</f>
        <v>0</v>
      </c>
      <c r="G443" s="24"/>
      <c r="H443" s="51"/>
      <c r="I443" s="51"/>
      <c r="J443" s="49">
        <f>(I443-H443)*24</f>
        <v>0</v>
      </c>
      <c r="K443" s="24"/>
      <c r="L443" s="51"/>
      <c r="M443" s="51"/>
      <c r="N443" s="49">
        <f>(M443-L443)*24</f>
        <v>0</v>
      </c>
      <c r="O443" s="24"/>
      <c r="P443" s="51"/>
      <c r="Q443" s="51"/>
      <c r="R443" s="49">
        <f>(Q443-P443)*24</f>
        <v>0</v>
      </c>
      <c r="S443" s="24"/>
      <c r="T443" s="51">
        <v>0.625</v>
      </c>
      <c r="U443" s="51">
        <v>0.70833333333333337</v>
      </c>
      <c r="V443" s="49">
        <f>(U443-T443)*24</f>
        <v>2.0000000000000009</v>
      </c>
      <c r="W443" s="24"/>
      <c r="X443" s="51">
        <v>0.375</v>
      </c>
      <c r="Y443" s="51">
        <v>0.72916666666666663</v>
      </c>
      <c r="Z443" s="49">
        <f t="shared" si="379"/>
        <v>8.5</v>
      </c>
      <c r="AA443" s="24"/>
      <c r="AB443" s="51"/>
      <c r="AC443" s="51"/>
      <c r="AD443" s="49">
        <f>(AC443-AB443)*24</f>
        <v>0</v>
      </c>
      <c r="AE443" s="24"/>
      <c r="AF443" s="29">
        <f>J443+F443+N443+R443+V443+Z443+AD443</f>
        <v>10.5</v>
      </c>
    </row>
    <row r="444" spans="2:32" ht="27">
      <c r="B444" s="313" t="s">
        <v>54</v>
      </c>
      <c r="C444" s="339" t="s">
        <v>688</v>
      </c>
      <c r="D444" s="51"/>
      <c r="E444" s="51"/>
      <c r="F444" s="85">
        <f t="shared" si="366"/>
        <v>0</v>
      </c>
      <c r="G444" s="24"/>
      <c r="H444" s="51"/>
      <c r="I444" s="51"/>
      <c r="J444" s="49">
        <f t="shared" si="367"/>
        <v>0</v>
      </c>
      <c r="K444" s="24"/>
      <c r="L444" s="51"/>
      <c r="M444" s="51"/>
      <c r="N444" s="49">
        <f t="shared" si="368"/>
        <v>0</v>
      </c>
      <c r="O444" s="24"/>
      <c r="P444" s="51"/>
      <c r="Q444" s="51"/>
      <c r="R444" s="49">
        <f t="shared" si="369"/>
        <v>0</v>
      </c>
      <c r="S444" s="24"/>
      <c r="T444" s="51">
        <v>0.625</v>
      </c>
      <c r="U444" s="51">
        <v>0.70833333333333337</v>
      </c>
      <c r="V444" s="49">
        <f t="shared" si="370"/>
        <v>2.0000000000000009</v>
      </c>
      <c r="W444" s="24"/>
      <c r="X444" s="51">
        <v>0.375</v>
      </c>
      <c r="Y444" s="51">
        <v>0.72916666666666663</v>
      </c>
      <c r="Z444" s="49">
        <f t="shared" si="379"/>
        <v>8.5</v>
      </c>
      <c r="AA444" s="24"/>
      <c r="AB444" s="51"/>
      <c r="AC444" s="51"/>
      <c r="AD444" s="49">
        <f t="shared" si="372"/>
        <v>0</v>
      </c>
      <c r="AE444" s="24"/>
      <c r="AF444" s="29">
        <f t="shared" si="373"/>
        <v>10.5</v>
      </c>
    </row>
    <row r="445" spans="2:32" ht="27">
      <c r="B445" s="313" t="s">
        <v>637</v>
      </c>
      <c r="C445" s="339" t="s">
        <v>688</v>
      </c>
      <c r="D445" s="51"/>
      <c r="E445" s="51"/>
      <c r="F445" s="85">
        <f t="shared" si="366"/>
        <v>0</v>
      </c>
      <c r="G445" s="24"/>
      <c r="H445" s="51"/>
      <c r="I445" s="51"/>
      <c r="J445" s="49">
        <f t="shared" si="367"/>
        <v>0</v>
      </c>
      <c r="K445" s="24"/>
      <c r="L445" s="51"/>
      <c r="M445" s="51"/>
      <c r="N445" s="49">
        <f t="shared" si="368"/>
        <v>0</v>
      </c>
      <c r="O445" s="24"/>
      <c r="P445" s="51"/>
      <c r="Q445" s="51"/>
      <c r="R445" s="49">
        <f t="shared" si="369"/>
        <v>0</v>
      </c>
      <c r="S445" s="24"/>
      <c r="T445" s="51">
        <v>0.625</v>
      </c>
      <c r="U445" s="51">
        <v>0.70833333333333337</v>
      </c>
      <c r="V445" s="49">
        <f t="shared" si="370"/>
        <v>2.0000000000000009</v>
      </c>
      <c r="W445" s="24"/>
      <c r="X445" s="51">
        <v>0.375</v>
      </c>
      <c r="Y445" s="51">
        <v>0.72916666666666663</v>
      </c>
      <c r="Z445" s="49">
        <f t="shared" si="371"/>
        <v>8.5</v>
      </c>
      <c r="AA445" s="24"/>
      <c r="AB445" s="51"/>
      <c r="AC445" s="51"/>
      <c r="AD445" s="49">
        <f t="shared" si="372"/>
        <v>0</v>
      </c>
      <c r="AE445" s="24"/>
      <c r="AF445" s="29">
        <f t="shared" si="373"/>
        <v>10.5</v>
      </c>
    </row>
    <row r="446" spans="2:32" ht="27">
      <c r="B446" s="313" t="s">
        <v>572</v>
      </c>
      <c r="C446" s="339" t="s">
        <v>689</v>
      </c>
      <c r="D446" s="51"/>
      <c r="E446" s="51"/>
      <c r="F446" s="85">
        <f>(E446-D446)*24</f>
        <v>0</v>
      </c>
      <c r="G446" s="24"/>
      <c r="H446" s="51"/>
      <c r="I446" s="51"/>
      <c r="J446" s="49">
        <f>(I446-H446)*24</f>
        <v>0</v>
      </c>
      <c r="K446" s="24"/>
      <c r="L446" s="51">
        <v>0.5</v>
      </c>
      <c r="M446" s="51">
        <v>0.70833333333333337</v>
      </c>
      <c r="N446" s="49">
        <f>(M446-L446)*24</f>
        <v>5.0000000000000009</v>
      </c>
      <c r="O446" s="24"/>
      <c r="P446" s="51"/>
      <c r="Q446" s="51"/>
      <c r="R446" s="49">
        <f>(Q446-P446)*24</f>
        <v>0</v>
      </c>
      <c r="S446" s="24"/>
      <c r="T446" s="51"/>
      <c r="U446" s="51"/>
      <c r="V446" s="49">
        <f>(U446-T446)*24</f>
        <v>0</v>
      </c>
      <c r="W446" s="24"/>
      <c r="X446" s="51"/>
      <c r="Y446" s="51"/>
      <c r="Z446" s="49">
        <f t="shared" si="371"/>
        <v>0</v>
      </c>
      <c r="AA446" s="24"/>
      <c r="AB446" s="51"/>
      <c r="AC446" s="51"/>
      <c r="AD446" s="49">
        <f>(AC446-AB446)*24</f>
        <v>0</v>
      </c>
      <c r="AE446" s="24"/>
      <c r="AF446" s="29">
        <f>J446+F446+N446+R446+V446+Z445+AD446</f>
        <v>13.5</v>
      </c>
    </row>
    <row r="447" spans="2:32" ht="27">
      <c r="B447" s="313" t="s">
        <v>572</v>
      </c>
      <c r="C447" s="339" t="s">
        <v>690</v>
      </c>
      <c r="D447" s="51"/>
      <c r="E447" s="51"/>
      <c r="F447" s="85">
        <f>(E447-D447)*24</f>
        <v>0</v>
      </c>
      <c r="G447" s="24"/>
      <c r="H447" s="51"/>
      <c r="I447" s="51"/>
      <c r="J447" s="49">
        <f>(I447-H447)*24</f>
        <v>0</v>
      </c>
      <c r="K447" s="24"/>
      <c r="L447" s="51"/>
      <c r="M447" s="51"/>
      <c r="N447" s="49">
        <f>(M447-L447)*24</f>
        <v>0</v>
      </c>
      <c r="O447" s="24"/>
      <c r="P447" s="51"/>
      <c r="Q447" s="51"/>
      <c r="R447" s="49">
        <f>(Q447-P447)*24</f>
        <v>0</v>
      </c>
      <c r="S447" s="24"/>
      <c r="T447" s="51">
        <v>0.375</v>
      </c>
      <c r="U447" s="51">
        <v>0.5</v>
      </c>
      <c r="V447" s="49">
        <f>(U447-T447)*24</f>
        <v>3</v>
      </c>
      <c r="W447" s="24"/>
      <c r="X447" s="51"/>
      <c r="Y447" s="51"/>
      <c r="Z447" s="49">
        <f t="shared" ref="Z447:Z450" si="382">(Y447-X447)*24</f>
        <v>0</v>
      </c>
      <c r="AA447" s="24"/>
      <c r="AB447" s="51"/>
      <c r="AC447" s="51"/>
      <c r="AD447" s="49">
        <f>(AC447-AB447)*24</f>
        <v>0</v>
      </c>
      <c r="AE447" s="24"/>
      <c r="AF447" s="29">
        <f>J447+F447+N447+R447+V447+Z446+AD447</f>
        <v>3</v>
      </c>
    </row>
    <row r="448" spans="2:32" ht="40.5">
      <c r="B448" s="313" t="s">
        <v>582</v>
      </c>
      <c r="C448" s="339" t="s">
        <v>679</v>
      </c>
      <c r="D448" s="51">
        <v>0.375</v>
      </c>
      <c r="E448" s="51">
        <v>0.70833333333333337</v>
      </c>
      <c r="F448" s="85">
        <f t="shared" ref="F448:F450" si="383">(E448-D448)*24</f>
        <v>8</v>
      </c>
      <c r="G448" s="24"/>
      <c r="H448" s="51">
        <v>0.375</v>
      </c>
      <c r="I448" s="51">
        <v>0.8125</v>
      </c>
      <c r="J448" s="49">
        <f t="shared" ref="J448:J450" si="384">(I448-H448)*24</f>
        <v>10.5</v>
      </c>
      <c r="K448" s="24"/>
      <c r="L448" s="51"/>
      <c r="M448" s="51" t="s">
        <v>691</v>
      </c>
      <c r="N448" s="49" t="e">
        <f t="shared" ref="N448:N450" si="385">(M448-L448)*24</f>
        <v>#VALUE!</v>
      </c>
      <c r="O448" s="24"/>
      <c r="P448" s="51"/>
      <c r="Q448" s="51"/>
      <c r="R448" s="49">
        <f t="shared" ref="R448:R450" si="386">(Q448-P448)*24</f>
        <v>0</v>
      </c>
      <c r="S448" s="24"/>
      <c r="T448" s="51"/>
      <c r="U448" s="51"/>
      <c r="V448" s="49">
        <f t="shared" ref="V448:V450" si="387">(U448-T448)*24</f>
        <v>0</v>
      </c>
      <c r="W448" s="24"/>
      <c r="X448" s="51"/>
      <c r="Y448" s="51"/>
      <c r="Z448" s="49">
        <f t="shared" si="382"/>
        <v>0</v>
      </c>
      <c r="AA448" s="24"/>
      <c r="AB448" s="51"/>
      <c r="AC448" s="51"/>
      <c r="AD448" s="49">
        <f t="shared" ref="AD448:AD450" si="388">(AC448-AB448)*24</f>
        <v>0</v>
      </c>
      <c r="AE448" s="24"/>
      <c r="AF448" s="29" t="e">
        <f t="shared" ref="AF448:AF450" si="389">J448+F448+N448+R448+V448+Z448+AD448</f>
        <v>#VALUE!</v>
      </c>
    </row>
    <row r="449" spans="2:32" ht="40.5">
      <c r="B449" s="313" t="s">
        <v>653</v>
      </c>
      <c r="C449" s="339" t="s">
        <v>679</v>
      </c>
      <c r="D449" s="51"/>
      <c r="E449" s="51"/>
      <c r="F449" s="85">
        <f t="shared" si="383"/>
        <v>0</v>
      </c>
      <c r="G449" s="24"/>
      <c r="H449" s="51"/>
      <c r="I449" s="51"/>
      <c r="J449" s="49">
        <f t="shared" si="384"/>
        <v>0</v>
      </c>
      <c r="K449" s="24"/>
      <c r="L449" s="51"/>
      <c r="M449" s="51"/>
      <c r="N449" s="49">
        <f t="shared" si="385"/>
        <v>0</v>
      </c>
      <c r="O449" s="24"/>
      <c r="P449" s="51"/>
      <c r="Q449" s="51"/>
      <c r="R449" s="49">
        <f t="shared" si="386"/>
        <v>0</v>
      </c>
      <c r="S449" s="24"/>
      <c r="T449" s="51"/>
      <c r="U449" s="51"/>
      <c r="V449" s="49">
        <f t="shared" si="387"/>
        <v>0</v>
      </c>
      <c r="W449" s="24"/>
      <c r="X449" s="51"/>
      <c r="Y449" s="51"/>
      <c r="Z449" s="49">
        <f t="shared" si="382"/>
        <v>0</v>
      </c>
      <c r="AA449" s="24"/>
      <c r="AB449" s="51"/>
      <c r="AC449" s="51"/>
      <c r="AD449" s="49">
        <f t="shared" si="388"/>
        <v>0</v>
      </c>
      <c r="AE449" s="24"/>
      <c r="AF449" s="29">
        <f t="shared" si="389"/>
        <v>0</v>
      </c>
    </row>
    <row r="450" spans="2:32" ht="40.5">
      <c r="B450" s="313"/>
      <c r="C450" s="339" t="s">
        <v>679</v>
      </c>
      <c r="D450" s="51"/>
      <c r="E450" s="51"/>
      <c r="F450" s="85">
        <f t="shared" si="383"/>
        <v>0</v>
      </c>
      <c r="G450" s="24"/>
      <c r="H450" s="51"/>
      <c r="I450" s="51"/>
      <c r="J450" s="49">
        <f t="shared" si="384"/>
        <v>0</v>
      </c>
      <c r="K450" s="24"/>
      <c r="L450" s="51"/>
      <c r="M450" s="51"/>
      <c r="N450" s="49">
        <f t="shared" si="385"/>
        <v>0</v>
      </c>
      <c r="O450" s="24"/>
      <c r="P450" s="51"/>
      <c r="Q450" s="51"/>
      <c r="R450" s="49">
        <f t="shared" si="386"/>
        <v>0</v>
      </c>
      <c r="S450" s="24"/>
      <c r="T450" s="51"/>
      <c r="U450" s="51"/>
      <c r="V450" s="49">
        <f t="shared" si="387"/>
        <v>0</v>
      </c>
      <c r="W450" s="24"/>
      <c r="X450" s="51"/>
      <c r="Y450" s="51"/>
      <c r="Z450" s="49">
        <f t="shared" si="382"/>
        <v>0</v>
      </c>
      <c r="AA450" s="24"/>
      <c r="AB450" s="51"/>
      <c r="AC450" s="51"/>
      <c r="AD450" s="49">
        <f t="shared" si="388"/>
        <v>0</v>
      </c>
      <c r="AE450" s="24"/>
      <c r="AF450" s="29">
        <f t="shared" si="389"/>
        <v>0</v>
      </c>
    </row>
    <row r="451" spans="2:32" ht="14.25">
      <c r="B451" s="63" t="s">
        <v>61</v>
      </c>
      <c r="C451" s="63"/>
      <c r="D451" s="51"/>
      <c r="E451" s="51"/>
      <c r="F451" s="85">
        <f t="shared" si="366"/>
        <v>0</v>
      </c>
      <c r="G451" s="24"/>
      <c r="H451" s="51"/>
      <c r="I451" s="51"/>
      <c r="J451" s="49">
        <f t="shared" si="367"/>
        <v>0</v>
      </c>
      <c r="K451" s="24"/>
      <c r="L451" s="51"/>
      <c r="M451" s="51"/>
      <c r="N451" s="49">
        <f t="shared" si="368"/>
        <v>0</v>
      </c>
      <c r="O451" s="24"/>
      <c r="P451" s="51"/>
      <c r="Q451" s="51"/>
      <c r="R451" s="49">
        <f t="shared" si="369"/>
        <v>0</v>
      </c>
      <c r="S451" s="24"/>
      <c r="T451" s="51"/>
      <c r="U451" s="51"/>
      <c r="V451" s="49">
        <f t="shared" si="370"/>
        <v>0</v>
      </c>
      <c r="W451" s="24"/>
      <c r="X451" s="51"/>
      <c r="Y451" s="51"/>
      <c r="Z451" s="49">
        <f t="shared" si="371"/>
        <v>0</v>
      </c>
      <c r="AA451" s="24"/>
      <c r="AB451" s="51"/>
      <c r="AC451" s="51"/>
      <c r="AD451" s="49">
        <f t="shared" si="372"/>
        <v>0</v>
      </c>
      <c r="AE451" s="24"/>
      <c r="AF451" s="30" t="e">
        <f>SUM(AF444:AF450)</f>
        <v>#VALUE!</v>
      </c>
    </row>
    <row r="452" spans="2:32">
      <c r="B452" s="31" t="s">
        <v>577</v>
      </c>
      <c r="C452" s="31"/>
      <c r="D452" s="91"/>
      <c r="E452" s="91"/>
      <c r="F452" s="90"/>
      <c r="G452" s="91"/>
      <c r="H452" s="91"/>
      <c r="I452" s="91"/>
      <c r="J452" s="90"/>
      <c r="K452" s="91"/>
      <c r="L452" s="91"/>
      <c r="M452" s="91"/>
      <c r="N452" s="90"/>
      <c r="O452" s="91"/>
      <c r="P452" s="91"/>
      <c r="Q452" s="91"/>
      <c r="R452" s="90"/>
      <c r="S452" s="91"/>
      <c r="T452" s="91"/>
      <c r="U452" s="91"/>
      <c r="V452" s="90"/>
      <c r="W452" s="91"/>
      <c r="X452" s="91"/>
      <c r="Y452" s="91"/>
      <c r="Z452" s="90"/>
      <c r="AA452" s="91"/>
      <c r="AB452" s="91"/>
      <c r="AC452" s="91"/>
      <c r="AD452" s="91"/>
      <c r="AE452" s="352"/>
      <c r="AF452" s="28"/>
    </row>
    <row r="453" spans="2:32">
      <c r="B453" s="31" t="s">
        <v>578</v>
      </c>
      <c r="C453" s="31"/>
      <c r="D453" s="91"/>
      <c r="E453" s="91"/>
      <c r="F453" s="90"/>
      <c r="G453" s="91"/>
      <c r="H453" s="91"/>
      <c r="I453" s="91"/>
      <c r="J453" s="90"/>
      <c r="K453" s="91"/>
      <c r="L453" s="91"/>
      <c r="M453" s="91"/>
      <c r="N453" s="90"/>
      <c r="O453" s="91"/>
      <c r="P453" s="91"/>
      <c r="Q453" s="91"/>
      <c r="R453" s="90"/>
      <c r="S453" s="91"/>
      <c r="T453" s="91"/>
      <c r="U453" s="91"/>
      <c r="V453" s="90"/>
      <c r="W453" s="91"/>
      <c r="X453" s="91"/>
      <c r="Y453" s="91"/>
      <c r="Z453" s="90"/>
      <c r="AA453" s="91"/>
      <c r="AB453" s="91"/>
      <c r="AC453" s="91"/>
      <c r="AD453" s="91"/>
      <c r="AE453" s="352"/>
      <c r="AF453" s="28">
        <f>SUM(D453:AD453)</f>
        <v>0</v>
      </c>
    </row>
    <row r="454" spans="2:32" ht="14.25" thickBot="1">
      <c r="B454" s="74" t="s">
        <v>579</v>
      </c>
      <c r="C454" s="74"/>
      <c r="D454" s="95"/>
      <c r="E454" s="95"/>
      <c r="F454" s="96"/>
      <c r="G454" s="95"/>
      <c r="H454" s="95"/>
      <c r="I454" s="95"/>
      <c r="J454" s="96"/>
      <c r="K454" s="95"/>
      <c r="L454" s="95"/>
      <c r="M454" s="95"/>
      <c r="N454" s="96"/>
      <c r="O454" s="95"/>
      <c r="P454" s="95"/>
      <c r="Q454" s="95"/>
      <c r="R454" s="96"/>
      <c r="S454" s="95"/>
      <c r="T454" s="95"/>
      <c r="U454" s="95"/>
      <c r="V454" s="96"/>
      <c r="W454" s="97"/>
      <c r="X454" s="97"/>
      <c r="Y454" s="97"/>
      <c r="Z454" s="96"/>
      <c r="AA454" s="97"/>
      <c r="AB454" s="97"/>
      <c r="AC454" s="97"/>
      <c r="AD454" s="97"/>
      <c r="AE454" s="97"/>
      <c r="AF454" s="80">
        <f>SUM(D454:AD454)</f>
        <v>0</v>
      </c>
    </row>
    <row r="455" spans="2:32" ht="14.25" thickTop="1">
      <c r="B455" s="1518" t="s">
        <v>18</v>
      </c>
      <c r="C455" s="1552" t="s">
        <v>571</v>
      </c>
      <c r="D455" s="1524">
        <v>45250</v>
      </c>
      <c r="E455" s="1524"/>
      <c r="F455" s="1524"/>
      <c r="G455" s="22"/>
      <c r="H455" s="1524">
        <f>D455+1</f>
        <v>45251</v>
      </c>
      <c r="I455" s="1524"/>
      <c r="J455" s="1524"/>
      <c r="K455" s="22"/>
      <c r="L455" s="1524">
        <f>H455+1</f>
        <v>45252</v>
      </c>
      <c r="M455" s="1524"/>
      <c r="N455" s="1524"/>
      <c r="P455" s="1524">
        <f>L455+1</f>
        <v>45253</v>
      </c>
      <c r="Q455" s="1524"/>
      <c r="R455" s="1524"/>
      <c r="T455" s="1524">
        <f>P455+1</f>
        <v>45254</v>
      </c>
      <c r="U455" s="1524"/>
      <c r="V455" s="1524"/>
      <c r="W455" s="22"/>
      <c r="X455" s="1524">
        <f>T455+1</f>
        <v>45255</v>
      </c>
      <c r="Y455" s="1524"/>
      <c r="Z455" s="1524"/>
      <c r="AB455" s="1524">
        <f>X455+1</f>
        <v>45256</v>
      </c>
      <c r="AC455" s="1524"/>
      <c r="AD455" s="1524"/>
      <c r="AE455" s="22"/>
      <c r="AF455" s="1517" t="s">
        <v>19</v>
      </c>
    </row>
    <row r="456" spans="2:32">
      <c r="B456" s="1518"/>
      <c r="C456" s="1552"/>
      <c r="D456" s="21" t="s">
        <v>23</v>
      </c>
      <c r="E456" s="21" t="s">
        <v>24</v>
      </c>
      <c r="F456" s="62" t="s">
        <v>25</v>
      </c>
      <c r="G456" s="23"/>
      <c r="H456" s="21" t="s">
        <v>23</v>
      </c>
      <c r="I456" s="21" t="s">
        <v>24</v>
      </c>
      <c r="J456" s="18" t="s">
        <v>25</v>
      </c>
      <c r="K456" s="23"/>
      <c r="L456" s="21" t="s">
        <v>23</v>
      </c>
      <c r="M456" s="21" t="s">
        <v>24</v>
      </c>
      <c r="N456" s="18" t="s">
        <v>25</v>
      </c>
      <c r="O456" s="23"/>
      <c r="P456" s="21" t="s">
        <v>23</v>
      </c>
      <c r="Q456" s="21" t="s">
        <v>24</v>
      </c>
      <c r="R456" s="18" t="s">
        <v>25</v>
      </c>
      <c r="S456" s="23"/>
      <c r="T456" s="21" t="s">
        <v>23</v>
      </c>
      <c r="U456" s="21" t="s">
        <v>24</v>
      </c>
      <c r="V456" s="18" t="s">
        <v>25</v>
      </c>
      <c r="W456" s="23"/>
      <c r="X456" s="21" t="s">
        <v>23</v>
      </c>
      <c r="Y456" s="21" t="s">
        <v>24</v>
      </c>
      <c r="Z456" s="18" t="s">
        <v>25</v>
      </c>
      <c r="AA456" s="23"/>
      <c r="AB456" s="21" t="s">
        <v>23</v>
      </c>
      <c r="AC456" s="21" t="s">
        <v>24</v>
      </c>
      <c r="AD456" s="18" t="s">
        <v>25</v>
      </c>
      <c r="AE456" s="23"/>
      <c r="AF456" s="1517"/>
    </row>
    <row r="457" spans="2:32" ht="27">
      <c r="B457" s="313" t="s">
        <v>637</v>
      </c>
      <c r="C457" s="339" t="s">
        <v>688</v>
      </c>
      <c r="D457" s="51">
        <v>0.375</v>
      </c>
      <c r="E457" s="51">
        <v>0.70833333333333337</v>
      </c>
      <c r="F457" s="85">
        <f t="shared" ref="F457:F466" si="390">(E457-D457)*24</f>
        <v>8</v>
      </c>
      <c r="G457" s="24"/>
      <c r="H457" s="51"/>
      <c r="I457" s="51"/>
      <c r="J457" s="49">
        <f t="shared" ref="J457:J466" si="391">(I457-H457)*24</f>
        <v>0</v>
      </c>
      <c r="K457" s="24"/>
      <c r="L457" s="51"/>
      <c r="M457" s="51"/>
      <c r="N457" s="49">
        <f t="shared" ref="N457:N466" si="392">(M457-L457)*24</f>
        <v>0</v>
      </c>
      <c r="O457" s="24"/>
      <c r="P457" s="51"/>
      <c r="Q457" s="51"/>
      <c r="R457" s="49">
        <f t="shared" ref="R457:R466" si="393">(Q457-P457)*24</f>
        <v>0</v>
      </c>
      <c r="S457" s="24"/>
      <c r="T457" s="51"/>
      <c r="U457" s="51"/>
      <c r="V457" s="49">
        <f t="shared" ref="V457:V466" si="394">(U457-T457)*24</f>
        <v>0</v>
      </c>
      <c r="W457" s="24"/>
      <c r="X457" s="51"/>
      <c r="Y457" s="51"/>
      <c r="Z457" s="49">
        <f t="shared" ref="Z457:Z466" si="395">(Y457-X457)*24</f>
        <v>0</v>
      </c>
      <c r="AA457" s="24"/>
      <c r="AB457" s="51"/>
      <c r="AC457" s="51"/>
      <c r="AD457" s="49">
        <f t="shared" ref="AD457:AD466" si="396">(AC457-AB457)*24</f>
        <v>0</v>
      </c>
      <c r="AE457" s="24"/>
      <c r="AF457" s="29">
        <f t="shared" ref="AF457:AF463" si="397">J457+F457+N457+R457+V457+Z457+AD457</f>
        <v>8</v>
      </c>
    </row>
    <row r="458" spans="2:32" ht="27">
      <c r="B458" s="313" t="s">
        <v>54</v>
      </c>
      <c r="C458" s="339" t="s">
        <v>692</v>
      </c>
      <c r="D458" s="51">
        <v>0.375</v>
      </c>
      <c r="E458" s="51">
        <v>0.70833333333333337</v>
      </c>
      <c r="F458" s="85">
        <f t="shared" si="390"/>
        <v>8</v>
      </c>
      <c r="G458" s="24"/>
      <c r="H458" s="51"/>
      <c r="I458" s="51"/>
      <c r="J458" s="49">
        <f t="shared" si="391"/>
        <v>0</v>
      </c>
      <c r="K458" s="24"/>
      <c r="L458" s="51"/>
      <c r="M458" s="51"/>
      <c r="N458" s="49">
        <f t="shared" si="392"/>
        <v>0</v>
      </c>
      <c r="O458" s="24"/>
      <c r="P458" s="51"/>
      <c r="Q458" s="51"/>
      <c r="R458" s="49">
        <f t="shared" si="393"/>
        <v>0</v>
      </c>
      <c r="S458" s="24"/>
      <c r="T458" s="51"/>
      <c r="U458" s="51"/>
      <c r="V458" s="49">
        <f t="shared" si="394"/>
        <v>0</v>
      </c>
      <c r="W458" s="24"/>
      <c r="X458" s="51"/>
      <c r="Y458" s="51"/>
      <c r="Z458" s="49">
        <f t="shared" si="395"/>
        <v>0</v>
      </c>
      <c r="AA458" s="24"/>
      <c r="AB458" s="51"/>
      <c r="AC458" s="51"/>
      <c r="AD458" s="49">
        <f t="shared" si="396"/>
        <v>0</v>
      </c>
      <c r="AE458" s="24"/>
      <c r="AF458" s="29">
        <f t="shared" si="397"/>
        <v>8</v>
      </c>
    </row>
    <row r="459" spans="2:32" ht="14.25">
      <c r="B459" s="313" t="s">
        <v>572</v>
      </c>
      <c r="C459" s="339" t="s">
        <v>685</v>
      </c>
      <c r="D459" s="51"/>
      <c r="E459" s="51"/>
      <c r="F459" s="85">
        <f t="shared" si="390"/>
        <v>0</v>
      </c>
      <c r="G459" s="24"/>
      <c r="H459" s="51"/>
      <c r="I459" s="51"/>
      <c r="J459" s="49">
        <f t="shared" si="391"/>
        <v>0</v>
      </c>
      <c r="K459" s="24"/>
      <c r="L459" s="51"/>
      <c r="M459" s="51"/>
      <c r="N459" s="49">
        <f t="shared" si="392"/>
        <v>0</v>
      </c>
      <c r="O459" s="24"/>
      <c r="P459" s="51"/>
      <c r="Q459" s="51"/>
      <c r="R459" s="49">
        <f t="shared" si="393"/>
        <v>0</v>
      </c>
      <c r="S459" s="24"/>
      <c r="T459" s="51"/>
      <c r="U459" s="51"/>
      <c r="V459" s="49">
        <f t="shared" si="394"/>
        <v>0</v>
      </c>
      <c r="W459" s="24"/>
      <c r="X459" s="51"/>
      <c r="Y459" s="51"/>
      <c r="Z459" s="49">
        <f t="shared" si="395"/>
        <v>0</v>
      </c>
      <c r="AA459" s="24"/>
      <c r="AB459" s="51"/>
      <c r="AC459" s="51"/>
      <c r="AD459" s="49">
        <f t="shared" si="396"/>
        <v>0</v>
      </c>
      <c r="AE459" s="24"/>
      <c r="AF459" s="29">
        <f t="shared" si="397"/>
        <v>0</v>
      </c>
    </row>
    <row r="460" spans="2:32" ht="27">
      <c r="B460" s="313" t="s">
        <v>54</v>
      </c>
      <c r="C460" s="339" t="s">
        <v>654</v>
      </c>
      <c r="D460" s="51"/>
      <c r="E460" s="51"/>
      <c r="F460" s="85">
        <f t="shared" si="390"/>
        <v>0</v>
      </c>
      <c r="G460" s="24"/>
      <c r="H460" s="51">
        <v>0.375</v>
      </c>
      <c r="I460" s="51">
        <v>0.70833333333333337</v>
      </c>
      <c r="J460" s="49">
        <f t="shared" si="391"/>
        <v>8</v>
      </c>
      <c r="K460" s="24"/>
      <c r="L460" s="51"/>
      <c r="M460" s="51"/>
      <c r="N460" s="49">
        <f t="shared" si="392"/>
        <v>0</v>
      </c>
      <c r="O460" s="24"/>
      <c r="P460" s="51"/>
      <c r="Q460" s="51"/>
      <c r="R460" s="49">
        <f t="shared" si="393"/>
        <v>0</v>
      </c>
      <c r="S460" s="24"/>
      <c r="T460" s="51"/>
      <c r="U460" s="51"/>
      <c r="V460" s="49">
        <f t="shared" si="394"/>
        <v>0</v>
      </c>
      <c r="W460" s="24"/>
      <c r="X460" s="51"/>
      <c r="Y460" s="51"/>
      <c r="Z460" s="49">
        <f t="shared" si="395"/>
        <v>0</v>
      </c>
      <c r="AA460" s="24"/>
      <c r="AB460" s="51"/>
      <c r="AC460" s="51"/>
      <c r="AD460" s="49">
        <f t="shared" si="396"/>
        <v>0</v>
      </c>
      <c r="AE460" s="24"/>
      <c r="AF460" s="29">
        <f t="shared" si="397"/>
        <v>8</v>
      </c>
    </row>
    <row r="461" spans="2:32" ht="40.5">
      <c r="B461" s="313" t="s">
        <v>54</v>
      </c>
      <c r="C461" s="339" t="s">
        <v>693</v>
      </c>
      <c r="D461" s="51"/>
      <c r="E461" s="51"/>
      <c r="F461" s="85">
        <f t="shared" si="390"/>
        <v>0</v>
      </c>
      <c r="G461" s="24"/>
      <c r="H461" s="51"/>
      <c r="I461" s="51"/>
      <c r="J461" s="49">
        <f t="shared" si="391"/>
        <v>0</v>
      </c>
      <c r="K461" s="24"/>
      <c r="L461" s="51">
        <v>0.375</v>
      </c>
      <c r="M461" s="51">
        <v>0.70833333333333337</v>
      </c>
      <c r="N461" s="49">
        <f t="shared" si="392"/>
        <v>8</v>
      </c>
      <c r="O461" s="24"/>
      <c r="P461" s="51"/>
      <c r="Q461" s="51"/>
      <c r="R461" s="49">
        <f t="shared" si="393"/>
        <v>0</v>
      </c>
      <c r="S461" s="24"/>
      <c r="T461" s="51"/>
      <c r="U461" s="51"/>
      <c r="V461" s="49">
        <f t="shared" si="394"/>
        <v>0</v>
      </c>
      <c r="W461" s="24"/>
      <c r="X461" s="51"/>
      <c r="Y461" s="51"/>
      <c r="Z461" s="49">
        <f t="shared" si="395"/>
        <v>0</v>
      </c>
      <c r="AA461" s="24"/>
      <c r="AB461" s="51"/>
      <c r="AC461" s="51"/>
      <c r="AD461" s="49">
        <f t="shared" si="396"/>
        <v>0</v>
      </c>
      <c r="AE461" s="24"/>
      <c r="AF461" s="29">
        <f t="shared" si="397"/>
        <v>8</v>
      </c>
    </row>
    <row r="462" spans="2:32" ht="40.5">
      <c r="B462" s="313" t="s">
        <v>637</v>
      </c>
      <c r="C462" s="339" t="s">
        <v>693</v>
      </c>
      <c r="D462" s="51"/>
      <c r="E462" s="51"/>
      <c r="F462" s="85">
        <f t="shared" si="390"/>
        <v>0</v>
      </c>
      <c r="G462" s="24"/>
      <c r="H462" s="51"/>
      <c r="I462" s="51"/>
      <c r="J462" s="49">
        <f t="shared" si="391"/>
        <v>0</v>
      </c>
      <c r="K462" s="24"/>
      <c r="L462" s="51">
        <v>0.375</v>
      </c>
      <c r="M462" s="51">
        <v>0.70833333333333337</v>
      </c>
      <c r="N462" s="49">
        <f t="shared" si="392"/>
        <v>8</v>
      </c>
      <c r="O462" s="24"/>
      <c r="P462" s="51"/>
      <c r="Q462" s="51"/>
      <c r="R462" s="49">
        <f t="shared" si="393"/>
        <v>0</v>
      </c>
      <c r="S462" s="24"/>
      <c r="T462" s="51"/>
      <c r="U462" s="51"/>
      <c r="V462" s="49">
        <f t="shared" si="394"/>
        <v>0</v>
      </c>
      <c r="W462" s="24"/>
      <c r="X462" s="51"/>
      <c r="Y462" s="51"/>
      <c r="Z462" s="49">
        <f t="shared" si="395"/>
        <v>0</v>
      </c>
      <c r="AA462" s="24"/>
      <c r="AB462" s="51"/>
      <c r="AC462" s="51"/>
      <c r="AD462" s="49">
        <f t="shared" si="396"/>
        <v>0</v>
      </c>
      <c r="AE462" s="24"/>
      <c r="AF462" s="29">
        <f t="shared" si="397"/>
        <v>8</v>
      </c>
    </row>
    <row r="463" spans="2:32" ht="40.5">
      <c r="B463" s="313" t="s">
        <v>582</v>
      </c>
      <c r="C463" s="339" t="s">
        <v>679</v>
      </c>
      <c r="D463" s="51"/>
      <c r="E463" s="51"/>
      <c r="F463" s="85">
        <f t="shared" si="390"/>
        <v>0</v>
      </c>
      <c r="G463" s="24"/>
      <c r="H463" s="51"/>
      <c r="I463" s="51"/>
      <c r="J463" s="49">
        <f t="shared" si="391"/>
        <v>0</v>
      </c>
      <c r="K463" s="24"/>
      <c r="L463" s="51"/>
      <c r="M463" s="51"/>
      <c r="N463" s="49">
        <f t="shared" si="392"/>
        <v>0</v>
      </c>
      <c r="O463" s="24"/>
      <c r="P463" s="51"/>
      <c r="Q463" s="51"/>
      <c r="R463" s="49">
        <f t="shared" si="393"/>
        <v>0</v>
      </c>
      <c r="S463" s="24"/>
      <c r="T463" s="51"/>
      <c r="U463" s="51"/>
      <c r="V463" s="49">
        <f t="shared" si="394"/>
        <v>0</v>
      </c>
      <c r="W463" s="24"/>
      <c r="X463" s="51"/>
      <c r="Y463" s="51"/>
      <c r="Z463" s="49">
        <f t="shared" si="395"/>
        <v>0</v>
      </c>
      <c r="AA463" s="24"/>
      <c r="AB463" s="51"/>
      <c r="AC463" s="51"/>
      <c r="AD463" s="49">
        <f t="shared" si="396"/>
        <v>0</v>
      </c>
      <c r="AE463" s="24"/>
      <c r="AF463" s="29">
        <f t="shared" si="397"/>
        <v>0</v>
      </c>
    </row>
    <row r="464" spans="2:32" ht="40.5">
      <c r="B464" s="313" t="s">
        <v>653</v>
      </c>
      <c r="C464" s="339" t="s">
        <v>679</v>
      </c>
      <c r="D464" s="51"/>
      <c r="E464" s="51"/>
      <c r="F464" s="85">
        <f t="shared" ref="F464" si="398">(E464-D464)*24</f>
        <v>0</v>
      </c>
      <c r="G464" s="24"/>
      <c r="H464" s="51"/>
      <c r="I464" s="51"/>
      <c r="J464" s="49">
        <f t="shared" ref="J464" si="399">(I464-H464)*24</f>
        <v>0</v>
      </c>
      <c r="K464" s="24"/>
      <c r="L464" s="51"/>
      <c r="M464" s="51"/>
      <c r="N464" s="49">
        <f t="shared" ref="N464" si="400">(M464-L464)*24</f>
        <v>0</v>
      </c>
      <c r="O464" s="24"/>
      <c r="P464" s="51"/>
      <c r="Q464" s="51"/>
      <c r="R464" s="49">
        <f t="shared" ref="R464" si="401">(Q464-P464)*24</f>
        <v>0</v>
      </c>
      <c r="S464" s="24"/>
      <c r="T464" s="51"/>
      <c r="U464" s="51"/>
      <c r="V464" s="49">
        <f t="shared" ref="V464" si="402">(U464-T464)*24</f>
        <v>0</v>
      </c>
      <c r="W464" s="24"/>
      <c r="X464" s="51"/>
      <c r="Y464" s="51"/>
      <c r="Z464" s="49">
        <f t="shared" ref="Z464" si="403">(Y464-X464)*24</f>
        <v>0</v>
      </c>
      <c r="AA464" s="24"/>
      <c r="AB464" s="51"/>
      <c r="AC464" s="51"/>
      <c r="AD464" s="49">
        <f t="shared" ref="AD464" si="404">(AC464-AB464)*24</f>
        <v>0</v>
      </c>
      <c r="AE464" s="24"/>
      <c r="AF464" s="29">
        <f t="shared" ref="AF464" si="405">J464+F464+N464+R464+V464+Z464+AD464</f>
        <v>0</v>
      </c>
    </row>
    <row r="465" spans="2:32" ht="40.5">
      <c r="B465" s="313"/>
      <c r="C465" s="339" t="s">
        <v>679</v>
      </c>
      <c r="D465" s="51"/>
      <c r="E465" s="51"/>
      <c r="F465" s="85">
        <f t="shared" ref="F465" si="406">(E465-D465)*24</f>
        <v>0</v>
      </c>
      <c r="G465" s="24"/>
      <c r="H465" s="51"/>
      <c r="I465" s="51"/>
      <c r="J465" s="49">
        <f t="shared" ref="J465" si="407">(I465-H465)*24</f>
        <v>0</v>
      </c>
      <c r="K465" s="24"/>
      <c r="L465" s="51"/>
      <c r="M465" s="51"/>
      <c r="N465" s="49">
        <f t="shared" ref="N465" si="408">(M465-L465)*24</f>
        <v>0</v>
      </c>
      <c r="O465" s="24"/>
      <c r="P465" s="51"/>
      <c r="Q465" s="51"/>
      <c r="R465" s="49">
        <f t="shared" ref="R465" si="409">(Q465-P465)*24</f>
        <v>0</v>
      </c>
      <c r="S465" s="24"/>
      <c r="T465" s="51"/>
      <c r="U465" s="51"/>
      <c r="V465" s="49">
        <f t="shared" ref="V465" si="410">(U465-T465)*24</f>
        <v>0</v>
      </c>
      <c r="W465" s="24"/>
      <c r="X465" s="51"/>
      <c r="Y465" s="51"/>
      <c r="Z465" s="49">
        <f t="shared" ref="Z465" si="411">(Y465-X465)*24</f>
        <v>0</v>
      </c>
      <c r="AA465" s="24"/>
      <c r="AB465" s="51"/>
      <c r="AC465" s="51"/>
      <c r="AD465" s="49">
        <f t="shared" ref="AD465" si="412">(AC465-AB465)*24</f>
        <v>0</v>
      </c>
      <c r="AE465" s="24"/>
      <c r="AF465" s="29">
        <f t="shared" ref="AF465" si="413">J465+F465+N465+R465+V465+Z465+AD465</f>
        <v>0</v>
      </c>
    </row>
    <row r="466" spans="2:32" ht="14.25">
      <c r="B466" s="63" t="s">
        <v>61</v>
      </c>
      <c r="C466" s="63"/>
      <c r="D466" s="51"/>
      <c r="E466" s="51"/>
      <c r="F466" s="85">
        <f t="shared" si="390"/>
        <v>0</v>
      </c>
      <c r="G466" s="24"/>
      <c r="H466" s="51"/>
      <c r="I466" s="51"/>
      <c r="J466" s="49">
        <f t="shared" si="391"/>
        <v>0</v>
      </c>
      <c r="K466" s="24"/>
      <c r="L466" s="51"/>
      <c r="M466" s="51"/>
      <c r="N466" s="49">
        <f t="shared" si="392"/>
        <v>0</v>
      </c>
      <c r="O466" s="24"/>
      <c r="P466" s="51"/>
      <c r="Q466" s="51"/>
      <c r="R466" s="49">
        <f t="shared" si="393"/>
        <v>0</v>
      </c>
      <c r="S466" s="24"/>
      <c r="T466" s="51"/>
      <c r="U466" s="51"/>
      <c r="V466" s="49">
        <f t="shared" si="394"/>
        <v>0</v>
      </c>
      <c r="W466" s="24"/>
      <c r="X466" s="51"/>
      <c r="Y466" s="51"/>
      <c r="Z466" s="49">
        <f t="shared" si="395"/>
        <v>0</v>
      </c>
      <c r="AA466" s="24"/>
      <c r="AB466" s="51"/>
      <c r="AC466" s="51"/>
      <c r="AD466" s="49">
        <f t="shared" si="396"/>
        <v>0</v>
      </c>
      <c r="AE466" s="24"/>
      <c r="AF466" s="30">
        <f>SUM(AF459:AF465)</f>
        <v>24</v>
      </c>
    </row>
    <row r="467" spans="2:32">
      <c r="B467" s="31" t="s">
        <v>577</v>
      </c>
      <c r="C467" s="31"/>
      <c r="D467" s="91"/>
      <c r="E467" s="91"/>
      <c r="F467" s="90"/>
      <c r="G467" s="91"/>
      <c r="H467" s="91"/>
      <c r="I467" s="91"/>
      <c r="J467" s="90"/>
      <c r="K467" s="91"/>
      <c r="L467" s="91"/>
      <c r="M467" s="91"/>
      <c r="N467" s="90"/>
      <c r="O467" s="91"/>
      <c r="P467" s="91"/>
      <c r="Q467" s="91"/>
      <c r="R467" s="90"/>
      <c r="S467" s="91"/>
      <c r="T467" s="91"/>
      <c r="U467" s="91"/>
      <c r="V467" s="90"/>
      <c r="W467" s="91"/>
      <c r="X467" s="91"/>
      <c r="Y467" s="91"/>
      <c r="Z467" s="90"/>
      <c r="AA467" s="91"/>
      <c r="AB467" s="91"/>
      <c r="AC467" s="91"/>
      <c r="AD467" s="91"/>
      <c r="AE467" s="352"/>
      <c r="AF467" s="28"/>
    </row>
    <row r="468" spans="2:32">
      <c r="B468" s="31" t="s">
        <v>578</v>
      </c>
      <c r="C468" s="31"/>
      <c r="D468" s="91"/>
      <c r="E468" s="91"/>
      <c r="F468" s="90"/>
      <c r="G468" s="91"/>
      <c r="H468" s="91"/>
      <c r="I468" s="91"/>
      <c r="J468" s="90"/>
      <c r="K468" s="91"/>
      <c r="L468" s="91"/>
      <c r="M468" s="91"/>
      <c r="N468" s="90"/>
      <c r="O468" s="91"/>
      <c r="P468" s="91"/>
      <c r="Q468" s="91"/>
      <c r="R468" s="90"/>
      <c r="S468" s="91"/>
      <c r="T468" s="91"/>
      <c r="U468" s="91"/>
      <c r="V468" s="90"/>
      <c r="W468" s="91"/>
      <c r="X468" s="91"/>
      <c r="Y468" s="91"/>
      <c r="Z468" s="90"/>
      <c r="AA468" s="91"/>
      <c r="AB468" s="91"/>
      <c r="AC468" s="91"/>
      <c r="AD468" s="91"/>
      <c r="AE468" s="352"/>
      <c r="AF468" s="28">
        <f>SUM(D468:AD468)</f>
        <v>0</v>
      </c>
    </row>
    <row r="469" spans="2:32" ht="14.25" thickBot="1">
      <c r="B469" s="74" t="s">
        <v>579</v>
      </c>
      <c r="C469" s="74"/>
      <c r="D469" s="95"/>
      <c r="E469" s="95"/>
      <c r="F469" s="96"/>
      <c r="G469" s="95"/>
      <c r="H469" s="95"/>
      <c r="I469" s="95"/>
      <c r="J469" s="96"/>
      <c r="K469" s="95"/>
      <c r="L469" s="95"/>
      <c r="M469" s="95"/>
      <c r="N469" s="96"/>
      <c r="O469" s="95"/>
      <c r="P469" s="95"/>
      <c r="Q469" s="95"/>
      <c r="R469" s="96"/>
      <c r="S469" s="95"/>
      <c r="T469" s="95"/>
      <c r="U469" s="95"/>
      <c r="V469" s="96"/>
      <c r="W469" s="97"/>
      <c r="X469" s="97"/>
      <c r="Y469" s="97"/>
      <c r="Z469" s="96"/>
      <c r="AA469" s="97"/>
      <c r="AB469" s="97"/>
      <c r="AC469" s="97"/>
      <c r="AD469" s="97"/>
      <c r="AE469" s="97"/>
      <c r="AF469" s="80">
        <f>SUM(D469:AD469)</f>
        <v>0</v>
      </c>
    </row>
    <row r="470" spans="2:32" ht="14.25" thickTop="1">
      <c r="B470" s="1518" t="s">
        <v>18</v>
      </c>
      <c r="C470" s="1552" t="s">
        <v>571</v>
      </c>
      <c r="D470" s="1524">
        <v>45257</v>
      </c>
      <c r="E470" s="1524"/>
      <c r="F470" s="1524"/>
      <c r="G470" s="22"/>
      <c r="H470" s="1524">
        <f>D470+1</f>
        <v>45258</v>
      </c>
      <c r="I470" s="1524"/>
      <c r="J470" s="1524"/>
      <c r="K470" s="22"/>
      <c r="L470" s="1524">
        <f>H470+1</f>
        <v>45259</v>
      </c>
      <c r="M470" s="1524"/>
      <c r="N470" s="1524"/>
      <c r="P470" s="1524">
        <f>L470+1</f>
        <v>45260</v>
      </c>
      <c r="Q470" s="1524"/>
      <c r="R470" s="1524"/>
      <c r="T470" s="1524">
        <f>P470+1</f>
        <v>45261</v>
      </c>
      <c r="U470" s="1524"/>
      <c r="V470" s="1524"/>
      <c r="W470" s="22"/>
      <c r="X470" s="1524">
        <f>T470+1</f>
        <v>45262</v>
      </c>
      <c r="Y470" s="1524"/>
      <c r="Z470" s="1524"/>
      <c r="AB470" s="1524">
        <f>X470+1</f>
        <v>45263</v>
      </c>
      <c r="AC470" s="1524"/>
      <c r="AD470" s="1524"/>
      <c r="AE470" s="22"/>
      <c r="AF470" s="1517" t="s">
        <v>19</v>
      </c>
    </row>
    <row r="471" spans="2:32">
      <c r="B471" s="1518"/>
      <c r="C471" s="1552"/>
      <c r="D471" s="21" t="s">
        <v>23</v>
      </c>
      <c r="E471" s="21" t="s">
        <v>24</v>
      </c>
      <c r="F471" s="62" t="s">
        <v>25</v>
      </c>
      <c r="G471" s="23"/>
      <c r="H471" s="21" t="s">
        <v>23</v>
      </c>
      <c r="I471" s="21" t="s">
        <v>24</v>
      </c>
      <c r="J471" s="18" t="s">
        <v>25</v>
      </c>
      <c r="K471" s="23"/>
      <c r="L471" s="21" t="s">
        <v>23</v>
      </c>
      <c r="M471" s="21" t="s">
        <v>24</v>
      </c>
      <c r="N471" s="18" t="s">
        <v>25</v>
      </c>
      <c r="O471" s="23"/>
      <c r="P471" s="21" t="s">
        <v>23</v>
      </c>
      <c r="Q471" s="21" t="s">
        <v>24</v>
      </c>
      <c r="R471" s="18" t="s">
        <v>25</v>
      </c>
      <c r="S471" s="23"/>
      <c r="T471" s="21" t="s">
        <v>23</v>
      </c>
      <c r="U471" s="21" t="s">
        <v>24</v>
      </c>
      <c r="V471" s="18" t="s">
        <v>25</v>
      </c>
      <c r="W471" s="23"/>
      <c r="X471" s="21" t="s">
        <v>23</v>
      </c>
      <c r="Y471" s="21" t="s">
        <v>24</v>
      </c>
      <c r="Z471" s="18" t="s">
        <v>25</v>
      </c>
      <c r="AA471" s="23"/>
      <c r="AB471" s="21" t="s">
        <v>23</v>
      </c>
      <c r="AC471" s="21" t="s">
        <v>24</v>
      </c>
      <c r="AD471" s="18" t="s">
        <v>25</v>
      </c>
      <c r="AE471" s="23"/>
      <c r="AF471" s="1517"/>
    </row>
    <row r="472" spans="2:32" ht="14.25">
      <c r="B472" s="313" t="s">
        <v>572</v>
      </c>
      <c r="C472" s="339" t="s">
        <v>685</v>
      </c>
      <c r="D472" s="51"/>
      <c r="E472" s="51"/>
      <c r="F472" s="85">
        <f t="shared" ref="F472:F479" si="414">(E472-D472)*24</f>
        <v>0</v>
      </c>
      <c r="G472" s="24"/>
      <c r="H472" s="51"/>
      <c r="I472" s="51"/>
      <c r="J472" s="49">
        <f t="shared" ref="J472:J479" si="415">(I472-H472)*24</f>
        <v>0</v>
      </c>
      <c r="K472" s="24"/>
      <c r="L472" s="51"/>
      <c r="M472" s="51"/>
      <c r="N472" s="49">
        <f t="shared" ref="N472:N479" si="416">(M472-L472)*24</f>
        <v>0</v>
      </c>
      <c r="O472" s="24"/>
      <c r="P472" s="51"/>
      <c r="Q472" s="51"/>
      <c r="R472" s="49">
        <f t="shared" ref="R472:R479" si="417">(Q472-P472)*24</f>
        <v>0</v>
      </c>
      <c r="S472" s="24"/>
      <c r="T472" s="51"/>
      <c r="U472" s="51"/>
      <c r="V472" s="49">
        <f t="shared" ref="V472:V479" si="418">(U472-T472)*24</f>
        <v>0</v>
      </c>
      <c r="W472" s="24"/>
      <c r="X472" s="51"/>
      <c r="Y472" s="51"/>
      <c r="Z472" s="49">
        <f t="shared" ref="Z472:Z479" si="419">(Y472-X472)*24</f>
        <v>0</v>
      </c>
      <c r="AA472" s="24"/>
      <c r="AB472" s="51"/>
      <c r="AC472" s="51"/>
      <c r="AD472" s="49">
        <f t="shared" ref="AD472:AD479" si="420">(AC472-AB472)*24</f>
        <v>0</v>
      </c>
      <c r="AE472" s="24"/>
      <c r="AF472" s="29">
        <f t="shared" ref="AF472:AF478" si="421">J472+F472+N472+R472+V472+Z472+AD472</f>
        <v>0</v>
      </c>
    </row>
    <row r="473" spans="2:32" ht="27">
      <c r="B473" s="313" t="s">
        <v>54</v>
      </c>
      <c r="C473" s="339" t="s">
        <v>654</v>
      </c>
      <c r="D473" s="51"/>
      <c r="E473" s="51"/>
      <c r="F473" s="85">
        <f t="shared" si="414"/>
        <v>0</v>
      </c>
      <c r="G473" s="24"/>
      <c r="H473" s="51"/>
      <c r="I473" s="51"/>
      <c r="J473" s="49">
        <f t="shared" si="415"/>
        <v>0</v>
      </c>
      <c r="K473" s="24"/>
      <c r="L473" s="51">
        <v>0.375</v>
      </c>
      <c r="M473" s="51">
        <v>0.70833333333333337</v>
      </c>
      <c r="N473" s="49">
        <f t="shared" si="416"/>
        <v>8</v>
      </c>
      <c r="O473" s="24"/>
      <c r="P473" s="51"/>
      <c r="Q473" s="51"/>
      <c r="R473" s="49">
        <f t="shared" si="417"/>
        <v>0</v>
      </c>
      <c r="S473" s="24"/>
      <c r="T473" s="51"/>
      <c r="U473" s="51"/>
      <c r="V473" s="49">
        <f t="shared" si="418"/>
        <v>0</v>
      </c>
      <c r="W473" s="24"/>
      <c r="X473" s="51"/>
      <c r="Y473" s="51"/>
      <c r="Z473" s="49">
        <f t="shared" si="419"/>
        <v>0</v>
      </c>
      <c r="AA473" s="24"/>
      <c r="AB473" s="51"/>
      <c r="AC473" s="51"/>
      <c r="AD473" s="49">
        <f t="shared" si="420"/>
        <v>0</v>
      </c>
      <c r="AE473" s="24"/>
      <c r="AF473" s="29">
        <f t="shared" si="421"/>
        <v>8</v>
      </c>
    </row>
    <row r="474" spans="2:32" ht="27">
      <c r="B474" s="313" t="s">
        <v>576</v>
      </c>
      <c r="C474" s="339" t="s">
        <v>694</v>
      </c>
      <c r="D474" s="51"/>
      <c r="E474" s="51"/>
      <c r="F474" s="85">
        <f t="shared" si="414"/>
        <v>0</v>
      </c>
      <c r="G474" s="24"/>
      <c r="H474" s="51"/>
      <c r="I474" s="51"/>
      <c r="J474" s="49">
        <f t="shared" si="415"/>
        <v>0</v>
      </c>
      <c r="K474" s="24"/>
      <c r="L474" s="51">
        <v>0.45833333333333331</v>
      </c>
      <c r="M474" s="51">
        <v>0.625</v>
      </c>
      <c r="N474" s="49">
        <f t="shared" si="416"/>
        <v>4</v>
      </c>
      <c r="O474" s="24"/>
      <c r="P474" s="51"/>
      <c r="Q474" s="51"/>
      <c r="R474" s="49">
        <f t="shared" si="417"/>
        <v>0</v>
      </c>
      <c r="S474" s="24"/>
      <c r="T474" s="51"/>
      <c r="U474" s="51"/>
      <c r="V474" s="49">
        <f t="shared" si="418"/>
        <v>0</v>
      </c>
      <c r="W474" s="24"/>
      <c r="X474" s="51"/>
      <c r="Y474" s="51"/>
      <c r="Z474" s="49">
        <f t="shared" si="419"/>
        <v>0</v>
      </c>
      <c r="AA474" s="24"/>
      <c r="AB474" s="51"/>
      <c r="AC474" s="51"/>
      <c r="AD474" s="49">
        <f t="shared" si="420"/>
        <v>0</v>
      </c>
      <c r="AE474" s="24"/>
      <c r="AF474" s="29">
        <f t="shared" si="421"/>
        <v>4</v>
      </c>
    </row>
    <row r="475" spans="2:32" ht="27">
      <c r="B475" s="313" t="s">
        <v>637</v>
      </c>
      <c r="C475" s="339" t="s">
        <v>695</v>
      </c>
      <c r="D475" s="51"/>
      <c r="E475" s="51"/>
      <c r="F475" s="85">
        <f t="shared" si="414"/>
        <v>0</v>
      </c>
      <c r="G475" s="24"/>
      <c r="H475" s="51"/>
      <c r="I475" s="51"/>
      <c r="J475" s="49">
        <f t="shared" si="415"/>
        <v>0</v>
      </c>
      <c r="K475" s="24"/>
      <c r="L475" s="51">
        <v>0.375</v>
      </c>
      <c r="M475" s="51">
        <v>0.70833333333333337</v>
      </c>
      <c r="N475" s="49">
        <f t="shared" si="416"/>
        <v>8</v>
      </c>
      <c r="O475" s="24"/>
      <c r="P475" s="51">
        <v>0.5</v>
      </c>
      <c r="Q475" s="51">
        <v>0.625</v>
      </c>
      <c r="R475" s="49">
        <f t="shared" si="417"/>
        <v>3</v>
      </c>
      <c r="S475" s="24"/>
      <c r="T475" s="51"/>
      <c r="U475" s="51"/>
      <c r="V475" s="49">
        <f t="shared" si="418"/>
        <v>0</v>
      </c>
      <c r="W475" s="24"/>
      <c r="X475" s="51"/>
      <c r="Y475" s="51"/>
      <c r="Z475" s="49">
        <f t="shared" si="419"/>
        <v>0</v>
      </c>
      <c r="AA475" s="24"/>
      <c r="AB475" s="51"/>
      <c r="AC475" s="51"/>
      <c r="AD475" s="49">
        <f t="shared" si="420"/>
        <v>0</v>
      </c>
      <c r="AE475" s="24"/>
      <c r="AF475" s="29">
        <f t="shared" si="421"/>
        <v>11</v>
      </c>
    </row>
    <row r="476" spans="2:32" ht="40.5">
      <c r="B476" s="313" t="s">
        <v>582</v>
      </c>
      <c r="C476" s="339" t="s">
        <v>679</v>
      </c>
      <c r="D476" s="51">
        <v>0.375</v>
      </c>
      <c r="E476" s="51">
        <v>0.70833333333333337</v>
      </c>
      <c r="F476" s="85">
        <f t="shared" si="414"/>
        <v>8</v>
      </c>
      <c r="G476" s="24"/>
      <c r="H476" s="51">
        <v>0.375</v>
      </c>
      <c r="I476" s="51">
        <v>0.70833333333333337</v>
      </c>
      <c r="J476" s="49">
        <f t="shared" si="415"/>
        <v>8</v>
      </c>
      <c r="K476" s="24"/>
      <c r="L476" s="51">
        <v>0.375</v>
      </c>
      <c r="M476" s="51">
        <v>0.70833333333333337</v>
      </c>
      <c r="N476" s="49">
        <f t="shared" si="416"/>
        <v>8</v>
      </c>
      <c r="O476" s="24"/>
      <c r="P476" s="51">
        <v>0.375</v>
      </c>
      <c r="Q476" s="51">
        <v>0.70833333333333337</v>
      </c>
      <c r="R476" s="49">
        <f t="shared" si="417"/>
        <v>8</v>
      </c>
      <c r="S476" s="24"/>
      <c r="T476" s="51">
        <v>0.375</v>
      </c>
      <c r="U476" s="51">
        <v>0.70833333333333337</v>
      </c>
      <c r="V476" s="49">
        <f t="shared" si="418"/>
        <v>8</v>
      </c>
      <c r="W476" s="24"/>
      <c r="X476" s="51"/>
      <c r="Y476" s="51"/>
      <c r="Z476" s="49">
        <f t="shared" si="419"/>
        <v>0</v>
      </c>
      <c r="AA476" s="24"/>
      <c r="AB476" s="51"/>
      <c r="AC476" s="51"/>
      <c r="AD476" s="49">
        <f t="shared" si="420"/>
        <v>0</v>
      </c>
      <c r="AE476" s="24"/>
      <c r="AF476" s="29">
        <f t="shared" si="421"/>
        <v>40</v>
      </c>
    </row>
    <row r="477" spans="2:32" ht="40.5">
      <c r="B477" s="313" t="s">
        <v>653</v>
      </c>
      <c r="C477" s="339" t="s">
        <v>679</v>
      </c>
      <c r="D477" s="51">
        <v>0.375</v>
      </c>
      <c r="E477" s="51">
        <v>0.70833333333333337</v>
      </c>
      <c r="F477" s="85">
        <f t="shared" si="414"/>
        <v>8</v>
      </c>
      <c r="G477" s="24"/>
      <c r="H477" s="51"/>
      <c r="I477" s="51"/>
      <c r="J477" s="49">
        <f t="shared" si="415"/>
        <v>0</v>
      </c>
      <c r="K477" s="24"/>
      <c r="L477" s="51">
        <v>0.375</v>
      </c>
      <c r="M477" s="51">
        <v>0.70833333333333337</v>
      </c>
      <c r="N477" s="49">
        <f t="shared" si="416"/>
        <v>8</v>
      </c>
      <c r="O477" s="24"/>
      <c r="P477" s="51">
        <v>0.375</v>
      </c>
      <c r="Q477" s="51">
        <v>0.70833333333333337</v>
      </c>
      <c r="R477" s="49">
        <f>(Q477-P476)*24</f>
        <v>8</v>
      </c>
      <c r="S477" s="24"/>
      <c r="T477" s="51">
        <v>0.375</v>
      </c>
      <c r="U477" s="51">
        <v>0.70833333333333337</v>
      </c>
      <c r="V477" s="49">
        <f t="shared" si="418"/>
        <v>8</v>
      </c>
      <c r="W477" s="24"/>
      <c r="X477" s="51"/>
      <c r="Y477" s="51"/>
      <c r="Z477" s="49">
        <f t="shared" si="419"/>
        <v>0</v>
      </c>
      <c r="AA477" s="24"/>
      <c r="AB477" s="51"/>
      <c r="AC477" s="51"/>
      <c r="AD477" s="49">
        <f t="shared" si="420"/>
        <v>0</v>
      </c>
      <c r="AE477" s="24"/>
      <c r="AF477" s="29">
        <f t="shared" si="421"/>
        <v>32</v>
      </c>
    </row>
    <row r="478" spans="2:32" ht="40.5">
      <c r="B478" s="313"/>
      <c r="C478" s="339" t="s">
        <v>679</v>
      </c>
      <c r="D478" s="51"/>
      <c r="E478" s="51"/>
      <c r="F478" s="85">
        <f t="shared" si="414"/>
        <v>0</v>
      </c>
      <c r="G478" s="24"/>
      <c r="H478" s="51"/>
      <c r="I478" s="51"/>
      <c r="J478" s="49">
        <f t="shared" si="415"/>
        <v>0</v>
      </c>
      <c r="K478" s="24"/>
      <c r="L478" s="51"/>
      <c r="M478" s="51"/>
      <c r="N478" s="49">
        <f t="shared" si="416"/>
        <v>0</v>
      </c>
      <c r="O478" s="24"/>
      <c r="P478" s="51"/>
      <c r="Q478" s="51"/>
      <c r="R478" s="49">
        <f t="shared" si="417"/>
        <v>0</v>
      </c>
      <c r="S478" s="24"/>
      <c r="T478" s="51"/>
      <c r="U478" s="51"/>
      <c r="V478" s="49">
        <f t="shared" si="418"/>
        <v>0</v>
      </c>
      <c r="W478" s="24"/>
      <c r="X478" s="51"/>
      <c r="Y478" s="51"/>
      <c r="Z478" s="49">
        <f t="shared" si="419"/>
        <v>0</v>
      </c>
      <c r="AA478" s="24"/>
      <c r="AB478" s="51"/>
      <c r="AC478" s="51"/>
      <c r="AD478" s="49">
        <f t="shared" si="420"/>
        <v>0</v>
      </c>
      <c r="AE478" s="24"/>
      <c r="AF478" s="29">
        <f t="shared" si="421"/>
        <v>0</v>
      </c>
    </row>
    <row r="479" spans="2:32" ht="14.25">
      <c r="B479" s="63" t="s">
        <v>61</v>
      </c>
      <c r="C479" s="63"/>
      <c r="D479" s="51"/>
      <c r="E479" s="51"/>
      <c r="F479" s="85">
        <f t="shared" si="414"/>
        <v>0</v>
      </c>
      <c r="G479" s="24"/>
      <c r="H479" s="51"/>
      <c r="I479" s="51"/>
      <c r="J479" s="49">
        <f t="shared" si="415"/>
        <v>0</v>
      </c>
      <c r="K479" s="24"/>
      <c r="L479" s="51"/>
      <c r="M479" s="51"/>
      <c r="N479" s="49">
        <f t="shared" si="416"/>
        <v>0</v>
      </c>
      <c r="O479" s="24"/>
      <c r="P479" s="51"/>
      <c r="Q479" s="51"/>
      <c r="R479" s="49">
        <f t="shared" si="417"/>
        <v>0</v>
      </c>
      <c r="S479" s="24"/>
      <c r="T479" s="51"/>
      <c r="U479" s="51"/>
      <c r="V479" s="49">
        <f t="shared" si="418"/>
        <v>0</v>
      </c>
      <c r="W479" s="24"/>
      <c r="X479" s="51"/>
      <c r="Y479" s="51"/>
      <c r="Z479" s="49">
        <f t="shared" si="419"/>
        <v>0</v>
      </c>
      <c r="AA479" s="24"/>
      <c r="AB479" s="51"/>
      <c r="AC479" s="51"/>
      <c r="AD479" s="49">
        <f t="shared" si="420"/>
        <v>0</v>
      </c>
      <c r="AE479" s="24"/>
      <c r="AF479" s="30">
        <f>SUM(AF472:AF478)</f>
        <v>95</v>
      </c>
    </row>
    <row r="480" spans="2:32">
      <c r="B480" s="31" t="s">
        <v>577</v>
      </c>
      <c r="C480" s="31"/>
      <c r="D480" s="91"/>
      <c r="E480" s="91"/>
      <c r="F480" s="90"/>
      <c r="G480" s="91"/>
      <c r="H480" s="91"/>
      <c r="I480" s="91"/>
      <c r="J480" s="90"/>
      <c r="K480" s="91"/>
      <c r="L480" s="91"/>
      <c r="M480" s="91"/>
      <c r="N480" s="90"/>
      <c r="O480" s="91"/>
      <c r="P480" s="91"/>
      <c r="Q480" s="91"/>
      <c r="R480" s="90"/>
      <c r="S480" s="91"/>
      <c r="T480" s="91"/>
      <c r="U480" s="91"/>
      <c r="V480" s="90"/>
      <c r="W480" s="91"/>
      <c r="X480" s="91"/>
      <c r="Y480" s="91"/>
      <c r="Z480" s="90"/>
      <c r="AA480" s="91"/>
      <c r="AB480" s="91"/>
      <c r="AC480" s="91"/>
      <c r="AD480" s="91"/>
      <c r="AE480" s="352"/>
      <c r="AF480" s="28"/>
    </row>
    <row r="481" spans="2:32">
      <c r="B481" s="31" t="s">
        <v>578</v>
      </c>
      <c r="C481" s="31"/>
      <c r="D481" s="91"/>
      <c r="E481" s="91"/>
      <c r="F481" s="90"/>
      <c r="G481" s="91"/>
      <c r="H481" s="91"/>
      <c r="I481" s="91"/>
      <c r="J481" s="90"/>
      <c r="K481" s="91"/>
      <c r="L481" s="91"/>
      <c r="M481" s="91"/>
      <c r="N481" s="90"/>
      <c r="O481" s="91"/>
      <c r="P481" s="91"/>
      <c r="Q481" s="91"/>
      <c r="R481" s="90"/>
      <c r="S481" s="91"/>
      <c r="T481" s="91"/>
      <c r="U481" s="91"/>
      <c r="V481" s="90"/>
      <c r="W481" s="91"/>
      <c r="X481" s="91"/>
      <c r="Y481" s="91"/>
      <c r="Z481" s="90"/>
      <c r="AA481" s="91"/>
      <c r="AB481" s="91"/>
      <c r="AC481" s="91"/>
      <c r="AD481" s="91"/>
      <c r="AE481" s="352"/>
      <c r="AF481" s="28">
        <f>SUM(D481:AD481)</f>
        <v>0</v>
      </c>
    </row>
    <row r="482" spans="2:32" ht="14.25" thickBot="1">
      <c r="B482" s="74" t="s">
        <v>579</v>
      </c>
      <c r="C482" s="74"/>
      <c r="D482" s="95"/>
      <c r="E482" s="95"/>
      <c r="F482" s="96"/>
      <c r="G482" s="95"/>
      <c r="H482" s="95"/>
      <c r="I482" s="95"/>
      <c r="J482" s="96"/>
      <c r="K482" s="95"/>
      <c r="L482" s="95"/>
      <c r="M482" s="95"/>
      <c r="N482" s="96"/>
      <c r="O482" s="95"/>
      <c r="P482" s="95"/>
      <c r="Q482" s="95"/>
      <c r="R482" s="96"/>
      <c r="S482" s="95"/>
      <c r="T482" s="95"/>
      <c r="U482" s="95"/>
      <c r="V482" s="96"/>
      <c r="W482" s="97"/>
      <c r="X482" s="97"/>
      <c r="Y482" s="97"/>
      <c r="Z482" s="96"/>
      <c r="AA482" s="97"/>
      <c r="AB482" s="97"/>
      <c r="AC482" s="97"/>
      <c r="AD482" s="97"/>
      <c r="AE482" s="97"/>
      <c r="AF482" s="80">
        <f>SUM(D482:AD482)</f>
        <v>0</v>
      </c>
    </row>
    <row r="483" spans="2:32" ht="14.25" thickTop="1">
      <c r="B483" s="1518" t="s">
        <v>18</v>
      </c>
      <c r="C483" s="1552" t="s">
        <v>571</v>
      </c>
      <c r="D483" s="1524">
        <v>45264</v>
      </c>
      <c r="E483" s="1524"/>
      <c r="F483" s="1524"/>
      <c r="G483" s="22"/>
      <c r="H483" s="1524">
        <f>D483+1</f>
        <v>45265</v>
      </c>
      <c r="I483" s="1524"/>
      <c r="J483" s="1524"/>
      <c r="K483" s="22"/>
      <c r="L483" s="1524">
        <f>H483+1</f>
        <v>45266</v>
      </c>
      <c r="M483" s="1524"/>
      <c r="N483" s="1524"/>
      <c r="P483" s="1524">
        <f>L483+1</f>
        <v>45267</v>
      </c>
      <c r="Q483" s="1524"/>
      <c r="R483" s="1524"/>
      <c r="T483" s="1524">
        <f>P483+1</f>
        <v>45268</v>
      </c>
      <c r="U483" s="1524"/>
      <c r="V483" s="1524"/>
      <c r="W483" s="22"/>
      <c r="X483" s="1524">
        <f>T483+1</f>
        <v>45269</v>
      </c>
      <c r="Y483" s="1524"/>
      <c r="Z483" s="1524"/>
      <c r="AB483" s="1524">
        <f>X483+1</f>
        <v>45270</v>
      </c>
      <c r="AC483" s="1524"/>
      <c r="AD483" s="1524"/>
      <c r="AE483" s="22"/>
      <c r="AF483" s="1517" t="s">
        <v>19</v>
      </c>
    </row>
    <row r="484" spans="2:32">
      <c r="B484" s="1518"/>
      <c r="C484" s="1552"/>
      <c r="D484" s="21" t="s">
        <v>23</v>
      </c>
      <c r="E484" s="21" t="s">
        <v>24</v>
      </c>
      <c r="F484" s="62" t="s">
        <v>25</v>
      </c>
      <c r="G484" s="23"/>
      <c r="H484" s="21" t="s">
        <v>23</v>
      </c>
      <c r="I484" s="21" t="s">
        <v>24</v>
      </c>
      <c r="J484" s="18" t="s">
        <v>25</v>
      </c>
      <c r="K484" s="23"/>
      <c r="L484" s="21" t="s">
        <v>23</v>
      </c>
      <c r="M484" s="21" t="s">
        <v>24</v>
      </c>
      <c r="N484" s="18" t="s">
        <v>25</v>
      </c>
      <c r="O484" s="23"/>
      <c r="P484" s="21" t="s">
        <v>23</v>
      </c>
      <c r="Q484" s="21" t="s">
        <v>24</v>
      </c>
      <c r="R484" s="18" t="s">
        <v>25</v>
      </c>
      <c r="S484" s="23"/>
      <c r="T484" s="21" t="s">
        <v>23</v>
      </c>
      <c r="U484" s="21" t="s">
        <v>24</v>
      </c>
      <c r="V484" s="18" t="s">
        <v>25</v>
      </c>
      <c r="W484" s="23"/>
      <c r="X484" s="21" t="s">
        <v>23</v>
      </c>
      <c r="Y484" s="21" t="s">
        <v>24</v>
      </c>
      <c r="Z484" s="18" t="s">
        <v>25</v>
      </c>
      <c r="AA484" s="23"/>
      <c r="AB484" s="21" t="s">
        <v>23</v>
      </c>
      <c r="AC484" s="21" t="s">
        <v>24</v>
      </c>
      <c r="AD484" s="18" t="s">
        <v>25</v>
      </c>
      <c r="AE484" s="23"/>
      <c r="AF484" s="1517"/>
    </row>
    <row r="485" spans="2:32" ht="14.25">
      <c r="B485" s="313" t="s">
        <v>572</v>
      </c>
      <c r="C485" s="339" t="s">
        <v>685</v>
      </c>
      <c r="D485" s="51"/>
      <c r="E485" s="51"/>
      <c r="F485" s="85">
        <f t="shared" ref="F485:F492" si="422">(E485-D485)*24</f>
        <v>0</v>
      </c>
      <c r="G485" s="24"/>
      <c r="H485" s="51">
        <v>0.3125</v>
      </c>
      <c r="I485" s="51">
        <v>0.47916666666666669</v>
      </c>
      <c r="J485" s="49">
        <f t="shared" ref="J485:J492" si="423">(I485-H485)*24</f>
        <v>4</v>
      </c>
      <c r="K485" s="24"/>
      <c r="L485" s="51"/>
      <c r="M485" s="51"/>
      <c r="N485" s="49">
        <f t="shared" ref="N485:N492" si="424">(M485-L485)*24</f>
        <v>0</v>
      </c>
      <c r="O485" s="24"/>
      <c r="P485" s="51"/>
      <c r="Q485" s="51"/>
      <c r="R485" s="49">
        <f t="shared" ref="R485:R492" si="425">(Q485-P485)*24</f>
        <v>0</v>
      </c>
      <c r="S485" s="24"/>
      <c r="T485" s="51"/>
      <c r="U485" s="51"/>
      <c r="V485" s="49">
        <f t="shared" ref="V485:V492" si="426">(U485-T485)*24</f>
        <v>0</v>
      </c>
      <c r="W485" s="24"/>
      <c r="X485" s="51"/>
      <c r="Y485" s="51"/>
      <c r="Z485" s="49">
        <f t="shared" ref="Z485:Z492" si="427">(Y485-X485)*24</f>
        <v>0</v>
      </c>
      <c r="AA485" s="24"/>
      <c r="AB485" s="51"/>
      <c r="AC485" s="51"/>
      <c r="AD485" s="49">
        <f t="shared" ref="AD485:AD492" si="428">(AC485-AB485)*24</f>
        <v>0</v>
      </c>
      <c r="AE485" s="24"/>
      <c r="AF485" s="29">
        <f t="shared" ref="AF485:AF491" si="429">J485+F485+N485+R485+V485+Z485+AD485</f>
        <v>4</v>
      </c>
    </row>
    <row r="486" spans="2:32" ht="27">
      <c r="B486" s="313" t="s">
        <v>572</v>
      </c>
      <c r="C486" s="339" t="s">
        <v>696</v>
      </c>
      <c r="D486" s="51"/>
      <c r="E486" s="51"/>
      <c r="F486" s="85">
        <f t="shared" si="422"/>
        <v>0</v>
      </c>
      <c r="G486" s="24"/>
      <c r="H486" s="51">
        <v>0.58333333333333337</v>
      </c>
      <c r="I486" s="51">
        <v>0.70833333333333337</v>
      </c>
      <c r="J486" s="49">
        <f t="shared" si="423"/>
        <v>3</v>
      </c>
      <c r="K486" s="24"/>
      <c r="L486" s="51"/>
      <c r="M486" s="51"/>
      <c r="N486" s="49">
        <f t="shared" si="424"/>
        <v>0</v>
      </c>
      <c r="O486" s="24"/>
      <c r="P486" s="51"/>
      <c r="Q486" s="51"/>
      <c r="R486" s="49">
        <f t="shared" si="425"/>
        <v>0</v>
      </c>
      <c r="S486" s="24"/>
      <c r="T486" s="51"/>
      <c r="U486" s="51"/>
      <c r="V486" s="49">
        <f t="shared" si="426"/>
        <v>0</v>
      </c>
      <c r="W486" s="24"/>
      <c r="X486" s="51"/>
      <c r="Y486" s="51"/>
      <c r="Z486" s="49">
        <f t="shared" si="427"/>
        <v>0</v>
      </c>
      <c r="AA486" s="24"/>
      <c r="AB486" s="51"/>
      <c r="AC486" s="51"/>
      <c r="AD486" s="49">
        <f t="shared" si="428"/>
        <v>0</v>
      </c>
      <c r="AE486" s="24"/>
      <c r="AF486" s="29">
        <f t="shared" si="429"/>
        <v>3</v>
      </c>
    </row>
    <row r="487" spans="2:32" ht="27">
      <c r="B487" s="313" t="s">
        <v>637</v>
      </c>
      <c r="C487" s="339" t="s">
        <v>697</v>
      </c>
      <c r="D487" s="51"/>
      <c r="E487" s="51"/>
      <c r="F487" s="85">
        <f t="shared" si="422"/>
        <v>0</v>
      </c>
      <c r="G487" s="24"/>
      <c r="H487" s="51">
        <v>0.375</v>
      </c>
      <c r="I487" s="51">
        <v>0.70833333333333337</v>
      </c>
      <c r="J487" s="49">
        <f t="shared" si="423"/>
        <v>8</v>
      </c>
      <c r="K487" s="24"/>
      <c r="L487" s="51"/>
      <c r="M487" s="51"/>
      <c r="N487" s="49">
        <f t="shared" si="424"/>
        <v>0</v>
      </c>
      <c r="O487" s="24"/>
      <c r="P487" s="51"/>
      <c r="Q487" s="51"/>
      <c r="R487" s="49">
        <f t="shared" si="425"/>
        <v>0</v>
      </c>
      <c r="S487" s="24"/>
      <c r="T487" s="51"/>
      <c r="U487" s="51"/>
      <c r="V487" s="49">
        <f t="shared" si="426"/>
        <v>0</v>
      </c>
      <c r="W487" s="24"/>
      <c r="X487" s="51"/>
      <c r="Y487" s="51"/>
      <c r="Z487" s="49">
        <f t="shared" si="427"/>
        <v>0</v>
      </c>
      <c r="AA487" s="24"/>
      <c r="AB487" s="51"/>
      <c r="AC487" s="51"/>
      <c r="AD487" s="49">
        <f t="shared" si="428"/>
        <v>0</v>
      </c>
      <c r="AE487" s="24"/>
      <c r="AF487" s="29">
        <f t="shared" si="429"/>
        <v>8</v>
      </c>
    </row>
    <row r="488" spans="2:32" ht="27">
      <c r="B488" s="313" t="s">
        <v>637</v>
      </c>
      <c r="C488" s="339" t="s">
        <v>698</v>
      </c>
      <c r="D488" s="51"/>
      <c r="E488" s="51"/>
      <c r="F488" s="85">
        <f t="shared" si="422"/>
        <v>0</v>
      </c>
      <c r="G488" s="24"/>
      <c r="H488" s="51"/>
      <c r="I488" s="51"/>
      <c r="J488" s="49">
        <f t="shared" si="423"/>
        <v>0</v>
      </c>
      <c r="K488" s="24"/>
      <c r="L488" s="51">
        <v>0.375</v>
      </c>
      <c r="M488" s="51">
        <v>0.70833333333333337</v>
      </c>
      <c r="N488" s="49">
        <f t="shared" si="424"/>
        <v>8</v>
      </c>
      <c r="O488" s="24"/>
      <c r="P488" s="51"/>
      <c r="Q488" s="51"/>
      <c r="R488" s="49">
        <f t="shared" si="425"/>
        <v>0</v>
      </c>
      <c r="S488" s="24"/>
      <c r="T488" s="51"/>
      <c r="U488" s="51"/>
      <c r="V488" s="49">
        <f t="shared" si="426"/>
        <v>0</v>
      </c>
      <c r="W488" s="24"/>
      <c r="X488" s="51"/>
      <c r="Y488" s="51"/>
      <c r="Z488" s="49">
        <f t="shared" si="427"/>
        <v>0</v>
      </c>
      <c r="AA488" s="24"/>
      <c r="AB488" s="51"/>
      <c r="AC488" s="51"/>
      <c r="AD488" s="49">
        <f t="shared" si="428"/>
        <v>0</v>
      </c>
      <c r="AE488" s="24"/>
      <c r="AF488" s="29">
        <f t="shared" si="429"/>
        <v>8</v>
      </c>
    </row>
    <row r="489" spans="2:32" ht="27">
      <c r="B489" s="313" t="s">
        <v>637</v>
      </c>
      <c r="C489" s="339" t="s">
        <v>699</v>
      </c>
      <c r="D489" s="51"/>
      <c r="E489" s="51"/>
      <c r="F489" s="85">
        <f t="shared" si="422"/>
        <v>0</v>
      </c>
      <c r="G489" s="24"/>
      <c r="H489" s="51"/>
      <c r="I489" s="51"/>
      <c r="J489" s="49">
        <f t="shared" si="423"/>
        <v>0</v>
      </c>
      <c r="K489" s="24"/>
      <c r="L489" s="51"/>
      <c r="M489" s="51"/>
      <c r="N489" s="49">
        <f t="shared" si="424"/>
        <v>0</v>
      </c>
      <c r="O489" s="24"/>
      <c r="P489" s="51">
        <v>0.375</v>
      </c>
      <c r="Q489" s="51">
        <v>0.70833333333333337</v>
      </c>
      <c r="R489" s="49">
        <f t="shared" si="425"/>
        <v>8</v>
      </c>
      <c r="S489" s="24"/>
      <c r="T489" s="51">
        <v>0.375</v>
      </c>
      <c r="U489" s="51">
        <v>0.70833333333333337</v>
      </c>
      <c r="V489" s="49">
        <f t="shared" si="426"/>
        <v>8</v>
      </c>
      <c r="W489" s="24"/>
      <c r="X489" s="51"/>
      <c r="Y489" s="51"/>
      <c r="Z489" s="49">
        <f t="shared" si="427"/>
        <v>0</v>
      </c>
      <c r="AA489" s="24"/>
      <c r="AB489" s="51"/>
      <c r="AC489" s="51"/>
      <c r="AD489" s="49">
        <f t="shared" si="428"/>
        <v>0</v>
      </c>
      <c r="AE489" s="24"/>
      <c r="AF489" s="29">
        <f t="shared" si="429"/>
        <v>16</v>
      </c>
    </row>
    <row r="490" spans="2:32" ht="27">
      <c r="B490" s="313" t="s">
        <v>576</v>
      </c>
      <c r="C490" s="339" t="s">
        <v>699</v>
      </c>
      <c r="D490" s="51"/>
      <c r="E490" s="51"/>
      <c r="F490" s="85">
        <f t="shared" si="422"/>
        <v>0</v>
      </c>
      <c r="G490" s="24"/>
      <c r="H490" s="51"/>
      <c r="I490" s="51"/>
      <c r="J490" s="49">
        <f t="shared" si="423"/>
        <v>0</v>
      </c>
      <c r="K490" s="24"/>
      <c r="L490" s="51"/>
      <c r="M490" s="51"/>
      <c r="N490" s="49">
        <f t="shared" si="424"/>
        <v>0</v>
      </c>
      <c r="O490" s="24"/>
      <c r="P490" s="51">
        <v>0.375</v>
      </c>
      <c r="Q490" s="51">
        <v>0.70833333333333337</v>
      </c>
      <c r="R490" s="49">
        <f t="shared" si="425"/>
        <v>8</v>
      </c>
      <c r="S490" s="24"/>
      <c r="T490" s="51">
        <v>0.375</v>
      </c>
      <c r="U490" s="51">
        <v>0.70833333333333337</v>
      </c>
      <c r="V490" s="49">
        <f t="shared" si="426"/>
        <v>8</v>
      </c>
      <c r="W490" s="24"/>
      <c r="X490" s="51"/>
      <c r="Y490" s="51"/>
      <c r="Z490" s="49">
        <f t="shared" si="427"/>
        <v>0</v>
      </c>
      <c r="AA490" s="24"/>
      <c r="AB490" s="51"/>
      <c r="AC490" s="51"/>
      <c r="AD490" s="49">
        <f t="shared" si="428"/>
        <v>0</v>
      </c>
      <c r="AE490" s="24"/>
      <c r="AF490" s="29">
        <f t="shared" si="429"/>
        <v>16</v>
      </c>
    </row>
    <row r="491" spans="2:32" ht="14.25">
      <c r="C491" s="340"/>
      <c r="D491" s="51"/>
      <c r="E491" s="51"/>
      <c r="F491" s="85">
        <f t="shared" si="422"/>
        <v>0</v>
      </c>
      <c r="G491" s="24"/>
      <c r="H491" s="51"/>
      <c r="I491" s="51"/>
      <c r="J491" s="49">
        <f t="shared" si="423"/>
        <v>0</v>
      </c>
      <c r="K491" s="24"/>
      <c r="L491" s="51"/>
      <c r="M491" s="51"/>
      <c r="N491" s="49">
        <f t="shared" si="424"/>
        <v>0</v>
      </c>
      <c r="O491" s="24"/>
      <c r="P491" s="51"/>
      <c r="Q491" s="51"/>
      <c r="R491" s="49">
        <f t="shared" si="425"/>
        <v>0</v>
      </c>
      <c r="S491" s="24"/>
      <c r="T491" s="51"/>
      <c r="U491" s="51"/>
      <c r="V491" s="49">
        <f t="shared" si="426"/>
        <v>0</v>
      </c>
      <c r="W491" s="24"/>
      <c r="X491" s="51"/>
      <c r="Y491" s="51"/>
      <c r="Z491" s="49">
        <f t="shared" si="427"/>
        <v>0</v>
      </c>
      <c r="AA491" s="24"/>
      <c r="AB491" s="51"/>
      <c r="AC491" s="51"/>
      <c r="AD491" s="49">
        <f t="shared" si="428"/>
        <v>0</v>
      </c>
      <c r="AE491" s="24"/>
      <c r="AF491" s="29">
        <f t="shared" si="429"/>
        <v>0</v>
      </c>
    </row>
    <row r="492" spans="2:32" ht="14.25">
      <c r="B492" s="63" t="s">
        <v>61</v>
      </c>
      <c r="C492" s="63"/>
      <c r="D492" s="51"/>
      <c r="E492" s="51"/>
      <c r="F492" s="85">
        <f t="shared" si="422"/>
        <v>0</v>
      </c>
      <c r="G492" s="24"/>
      <c r="H492" s="51"/>
      <c r="I492" s="51"/>
      <c r="J492" s="49">
        <f t="shared" si="423"/>
        <v>0</v>
      </c>
      <c r="K492" s="24"/>
      <c r="L492" s="51"/>
      <c r="M492" s="51"/>
      <c r="N492" s="49">
        <f t="shared" si="424"/>
        <v>0</v>
      </c>
      <c r="O492" s="24"/>
      <c r="P492" s="51"/>
      <c r="Q492" s="51"/>
      <c r="R492" s="49">
        <f t="shared" si="425"/>
        <v>0</v>
      </c>
      <c r="S492" s="24"/>
      <c r="T492" s="51"/>
      <c r="U492" s="51"/>
      <c r="V492" s="49">
        <f t="shared" si="426"/>
        <v>0</v>
      </c>
      <c r="W492" s="24"/>
      <c r="X492" s="51"/>
      <c r="Y492" s="51"/>
      <c r="Z492" s="49">
        <f t="shared" si="427"/>
        <v>0</v>
      </c>
      <c r="AA492" s="24"/>
      <c r="AB492" s="51"/>
      <c r="AC492" s="51"/>
      <c r="AD492" s="49">
        <f t="shared" si="428"/>
        <v>0</v>
      </c>
      <c r="AE492" s="24"/>
      <c r="AF492" s="30">
        <f>SUM(AF485:AF491)</f>
        <v>55</v>
      </c>
    </row>
    <row r="493" spans="2:32">
      <c r="B493" s="31" t="s">
        <v>577</v>
      </c>
      <c r="C493" s="31"/>
      <c r="D493" s="91"/>
      <c r="E493" s="91"/>
      <c r="F493" s="90"/>
      <c r="G493" s="91"/>
      <c r="H493" s="91"/>
      <c r="I493" s="91"/>
      <c r="J493" s="90"/>
      <c r="K493" s="91"/>
      <c r="L493" s="91"/>
      <c r="M493" s="91"/>
      <c r="N493" s="90"/>
      <c r="O493" s="91"/>
      <c r="P493" s="91"/>
      <c r="Q493" s="91"/>
      <c r="R493" s="90"/>
      <c r="S493" s="91"/>
      <c r="T493" s="91"/>
      <c r="U493" s="91"/>
      <c r="V493" s="90"/>
      <c r="W493" s="91"/>
      <c r="X493" s="91"/>
      <c r="Y493" s="91"/>
      <c r="Z493" s="90"/>
      <c r="AA493" s="91"/>
      <c r="AB493" s="91"/>
      <c r="AC493" s="91"/>
      <c r="AD493" s="91"/>
      <c r="AE493" s="352"/>
      <c r="AF493" s="28"/>
    </row>
    <row r="494" spans="2:32">
      <c r="B494" s="31" t="s">
        <v>578</v>
      </c>
      <c r="C494" s="31"/>
      <c r="D494" s="91"/>
      <c r="E494" s="91"/>
      <c r="F494" s="90"/>
      <c r="G494" s="91"/>
      <c r="H494" s="91"/>
      <c r="I494" s="91"/>
      <c r="J494" s="90"/>
      <c r="K494" s="91"/>
      <c r="L494" s="91"/>
      <c r="M494" s="91"/>
      <c r="N494" s="90"/>
      <c r="O494" s="91"/>
      <c r="P494" s="91"/>
      <c r="Q494" s="91"/>
      <c r="R494" s="90"/>
      <c r="S494" s="91"/>
      <c r="T494" s="91"/>
      <c r="U494" s="91"/>
      <c r="V494" s="90"/>
      <c r="W494" s="91"/>
      <c r="X494" s="91"/>
      <c r="Y494" s="91"/>
      <c r="Z494" s="90"/>
      <c r="AA494" s="91"/>
      <c r="AB494" s="91"/>
      <c r="AC494" s="91"/>
      <c r="AD494" s="91"/>
      <c r="AE494" s="352"/>
      <c r="AF494" s="28">
        <f>SUM(D494:AD494)</f>
        <v>0</v>
      </c>
    </row>
    <row r="495" spans="2:32" ht="14.25" thickBot="1">
      <c r="B495" s="74" t="s">
        <v>579</v>
      </c>
      <c r="C495" s="74"/>
      <c r="D495" s="95"/>
      <c r="E495" s="95"/>
      <c r="F495" s="96"/>
      <c r="G495" s="95"/>
      <c r="H495" s="95"/>
      <c r="I495" s="95"/>
      <c r="J495" s="96"/>
      <c r="K495" s="95"/>
      <c r="L495" s="95"/>
      <c r="M495" s="95"/>
      <c r="N495" s="96"/>
      <c r="O495" s="95"/>
      <c r="P495" s="95"/>
      <c r="Q495" s="95"/>
      <c r="R495" s="96"/>
      <c r="S495" s="95"/>
      <c r="T495" s="95"/>
      <c r="U495" s="95"/>
      <c r="V495" s="96"/>
      <c r="W495" s="97"/>
      <c r="X495" s="97"/>
      <c r="Y495" s="97"/>
      <c r="Z495" s="96"/>
      <c r="AA495" s="97"/>
      <c r="AB495" s="97"/>
      <c r="AC495" s="97"/>
      <c r="AD495" s="97"/>
      <c r="AE495" s="97"/>
      <c r="AF495" s="80">
        <f>SUM(D495:AD495)</f>
        <v>0</v>
      </c>
    </row>
    <row r="496" spans="2:32" ht="14.25" thickTop="1">
      <c r="B496" s="1518" t="s">
        <v>18</v>
      </c>
      <c r="C496" s="1552" t="s">
        <v>571</v>
      </c>
      <c r="D496" s="1524">
        <v>45271</v>
      </c>
      <c r="E496" s="1524"/>
      <c r="F496" s="1524"/>
      <c r="G496" s="22"/>
      <c r="H496" s="1524">
        <f>D496+1</f>
        <v>45272</v>
      </c>
      <c r="I496" s="1524"/>
      <c r="J496" s="1524"/>
      <c r="K496" s="22"/>
      <c r="L496" s="1524">
        <f>H496+1</f>
        <v>45273</v>
      </c>
      <c r="M496" s="1524"/>
      <c r="N496" s="1524"/>
      <c r="P496" s="1524">
        <f>L496+1</f>
        <v>45274</v>
      </c>
      <c r="Q496" s="1524"/>
      <c r="R496" s="1524"/>
      <c r="T496" s="1524">
        <f>P496+1</f>
        <v>45275</v>
      </c>
      <c r="U496" s="1524"/>
      <c r="V496" s="1524"/>
      <c r="W496" s="22"/>
      <c r="X496" s="1524">
        <f>T496+1</f>
        <v>45276</v>
      </c>
      <c r="Y496" s="1524"/>
      <c r="Z496" s="1524"/>
      <c r="AB496" s="1524">
        <f>X496+1</f>
        <v>45277</v>
      </c>
      <c r="AC496" s="1524"/>
      <c r="AD496" s="1524"/>
      <c r="AE496" s="22"/>
      <c r="AF496" s="1517" t="s">
        <v>19</v>
      </c>
    </row>
    <row r="497" spans="2:32">
      <c r="B497" s="1518"/>
      <c r="C497" s="1552"/>
      <c r="D497" s="21" t="s">
        <v>23</v>
      </c>
      <c r="E497" s="21" t="s">
        <v>24</v>
      </c>
      <c r="F497" s="62" t="s">
        <v>25</v>
      </c>
      <c r="G497" s="23"/>
      <c r="H497" s="21" t="s">
        <v>23</v>
      </c>
      <c r="I497" s="21" t="s">
        <v>24</v>
      </c>
      <c r="J497" s="18" t="s">
        <v>25</v>
      </c>
      <c r="K497" s="23"/>
      <c r="L497" s="21" t="s">
        <v>23</v>
      </c>
      <c r="M497" s="21" t="s">
        <v>24</v>
      </c>
      <c r="N497" s="18" t="s">
        <v>25</v>
      </c>
      <c r="O497" s="23"/>
      <c r="P497" s="21" t="s">
        <v>23</v>
      </c>
      <c r="Q497" s="21" t="s">
        <v>24</v>
      </c>
      <c r="R497" s="18" t="s">
        <v>25</v>
      </c>
      <c r="S497" s="23"/>
      <c r="T497" s="21" t="s">
        <v>23</v>
      </c>
      <c r="U497" s="21" t="s">
        <v>24</v>
      </c>
      <c r="V497" s="18" t="s">
        <v>25</v>
      </c>
      <c r="W497" s="23"/>
      <c r="X497" s="21" t="s">
        <v>23</v>
      </c>
      <c r="Y497" s="21" t="s">
        <v>24</v>
      </c>
      <c r="Z497" s="18" t="s">
        <v>25</v>
      </c>
      <c r="AA497" s="23"/>
      <c r="AB497" s="21" t="s">
        <v>23</v>
      </c>
      <c r="AC497" s="21" t="s">
        <v>24</v>
      </c>
      <c r="AD497" s="18" t="s">
        <v>25</v>
      </c>
      <c r="AE497" s="23"/>
      <c r="AF497" s="1517"/>
    </row>
    <row r="498" spans="2:32" ht="14.25">
      <c r="B498" s="313" t="s">
        <v>572</v>
      </c>
      <c r="C498" s="339" t="s">
        <v>685</v>
      </c>
      <c r="D498" s="51">
        <v>0.3125</v>
      </c>
      <c r="E498" s="51">
        <v>0.41666666666666669</v>
      </c>
      <c r="F498" s="85">
        <f>(E498-D498)*24</f>
        <v>2.5000000000000004</v>
      </c>
      <c r="G498" s="24"/>
      <c r="H498" s="51"/>
      <c r="I498" s="51"/>
      <c r="J498" s="49">
        <f>(I498-H498)*24</f>
        <v>0</v>
      </c>
      <c r="K498" s="24"/>
      <c r="L498" s="51"/>
      <c r="M498" s="51"/>
      <c r="N498" s="49">
        <f>(M498-L498)*24</f>
        <v>0</v>
      </c>
      <c r="O498" s="24"/>
      <c r="P498" s="51"/>
      <c r="Q498" s="51"/>
      <c r="R498" s="49">
        <f>(Q498-P498)*24</f>
        <v>0</v>
      </c>
      <c r="S498" s="24"/>
      <c r="T498" s="51"/>
      <c r="U498" s="51"/>
      <c r="V498" s="49">
        <f>(U498-T498)*24</f>
        <v>0</v>
      </c>
      <c r="W498" s="24"/>
      <c r="X498" s="51"/>
      <c r="Y498" s="51"/>
      <c r="Z498" s="49">
        <f>(Y498-X498)*24</f>
        <v>0</v>
      </c>
      <c r="AA498" s="24"/>
      <c r="AB498" s="51"/>
      <c r="AC498" s="51"/>
      <c r="AD498" s="49">
        <f>(AC498-AB498)*24</f>
        <v>0</v>
      </c>
      <c r="AE498" s="24"/>
      <c r="AF498" s="29">
        <f>J498+F498+N498+R498+V498+Z498+AD498</f>
        <v>2.5000000000000004</v>
      </c>
    </row>
    <row r="499" spans="2:32" ht="27">
      <c r="B499" s="313" t="s">
        <v>637</v>
      </c>
      <c r="C499" s="339" t="s">
        <v>700</v>
      </c>
      <c r="D499" s="51">
        <v>0.39583333333333331</v>
      </c>
      <c r="E499" s="51">
        <v>0.70833333333333337</v>
      </c>
      <c r="F499" s="85">
        <f t="shared" ref="F499:F509" si="430">(E499-D499)*24</f>
        <v>7.5000000000000018</v>
      </c>
      <c r="G499" s="24"/>
      <c r="H499" s="51"/>
      <c r="I499" s="51"/>
      <c r="J499" s="49">
        <f t="shared" ref="J499:J509" si="431">(I499-H499)*24</f>
        <v>0</v>
      </c>
      <c r="K499" s="24"/>
      <c r="L499" s="51"/>
      <c r="M499" s="51"/>
      <c r="N499" s="49">
        <f t="shared" ref="N499:N509" si="432">(M499-L499)*24</f>
        <v>0</v>
      </c>
      <c r="O499" s="24"/>
      <c r="P499" s="51"/>
      <c r="Q499" s="51"/>
      <c r="R499" s="49">
        <f t="shared" ref="R499:R509" si="433">(Q499-P499)*24</f>
        <v>0</v>
      </c>
      <c r="S499" s="24"/>
      <c r="T499" s="51"/>
      <c r="U499" s="51"/>
      <c r="V499" s="49">
        <f t="shared" ref="V499:V509" si="434">(U499-T499)*24</f>
        <v>0</v>
      </c>
      <c r="W499" s="24"/>
      <c r="X499" s="51"/>
      <c r="Y499" s="51"/>
      <c r="Z499" s="49">
        <f t="shared" ref="Z499:Z509" si="435">(Y499-X499)*24</f>
        <v>0</v>
      </c>
      <c r="AA499" s="24"/>
      <c r="AB499" s="51"/>
      <c r="AC499" s="51"/>
      <c r="AD499" s="49">
        <f t="shared" ref="AD499:AD509" si="436">(AC499-AB499)*24</f>
        <v>0</v>
      </c>
      <c r="AE499" s="24"/>
      <c r="AF499" s="29">
        <f t="shared" ref="AF499:AF504" si="437">J499+F499+N499+R499+V499+Z499+AD499</f>
        <v>7.5000000000000018</v>
      </c>
    </row>
    <row r="500" spans="2:32" ht="27">
      <c r="B500" s="13" t="s">
        <v>603</v>
      </c>
      <c r="C500" s="339" t="s">
        <v>700</v>
      </c>
      <c r="D500" s="51">
        <v>0.39583333333333331</v>
      </c>
      <c r="E500" s="51">
        <v>0.70833333333333337</v>
      </c>
      <c r="F500" s="85">
        <f t="shared" si="430"/>
        <v>7.5000000000000018</v>
      </c>
      <c r="G500" s="24"/>
      <c r="H500" s="51"/>
      <c r="I500" s="51"/>
      <c r="J500" s="49">
        <f t="shared" si="431"/>
        <v>0</v>
      </c>
      <c r="K500" s="24"/>
      <c r="L500" s="51"/>
      <c r="M500" s="51"/>
      <c r="N500" s="49">
        <f t="shared" si="432"/>
        <v>0</v>
      </c>
      <c r="O500" s="24"/>
      <c r="P500" s="51"/>
      <c r="Q500" s="51"/>
      <c r="R500" s="49">
        <f t="shared" si="433"/>
        <v>0</v>
      </c>
      <c r="S500" s="24"/>
      <c r="T500" s="51"/>
      <c r="U500" s="51"/>
      <c r="V500" s="49">
        <f t="shared" si="434"/>
        <v>0</v>
      </c>
      <c r="W500" s="24"/>
      <c r="X500" s="51"/>
      <c r="Y500" s="51"/>
      <c r="Z500" s="49">
        <f t="shared" si="435"/>
        <v>0</v>
      </c>
      <c r="AA500" s="24"/>
      <c r="AB500" s="51"/>
      <c r="AC500" s="51"/>
      <c r="AD500" s="49">
        <f t="shared" si="436"/>
        <v>0</v>
      </c>
      <c r="AE500" s="24"/>
      <c r="AF500" s="29">
        <f t="shared" si="437"/>
        <v>7.5000000000000018</v>
      </c>
    </row>
    <row r="501" spans="2:32" ht="40.5">
      <c r="B501" s="313" t="s">
        <v>572</v>
      </c>
      <c r="C501" s="339" t="s">
        <v>662</v>
      </c>
      <c r="D501" s="51"/>
      <c r="E501" s="51"/>
      <c r="F501" s="85">
        <f>(E501-D501)*24</f>
        <v>0</v>
      </c>
      <c r="G501" s="24"/>
      <c r="H501" s="51">
        <v>0.58333333333333337</v>
      </c>
      <c r="I501" s="51">
        <v>0.66666666666666663</v>
      </c>
      <c r="J501" s="49">
        <f>(I501-H501)*24</f>
        <v>1.9999999999999982</v>
      </c>
      <c r="K501" s="24"/>
      <c r="L501" s="51">
        <v>0.375</v>
      </c>
      <c r="M501" s="51">
        <v>0.70833333333333337</v>
      </c>
      <c r="N501" s="49">
        <f>(M501-L501)*24</f>
        <v>8</v>
      </c>
      <c r="O501" s="24"/>
      <c r="P501" s="51">
        <v>0.375</v>
      </c>
      <c r="Q501" s="51">
        <v>0.70833333333333337</v>
      </c>
      <c r="R501" s="49">
        <f>(Q501-P501)*24</f>
        <v>8</v>
      </c>
      <c r="S501" s="24"/>
      <c r="T501" s="51">
        <v>0.375</v>
      </c>
      <c r="U501" s="51">
        <v>0.70833333333333337</v>
      </c>
      <c r="V501" s="49">
        <f>(U501-T501)*24</f>
        <v>8</v>
      </c>
      <c r="W501" s="24"/>
      <c r="X501" s="51">
        <v>0.375</v>
      </c>
      <c r="Y501" s="51">
        <v>0.70833333333333337</v>
      </c>
      <c r="Z501" s="49">
        <f>(Y501-X501)*24</f>
        <v>8</v>
      </c>
      <c r="AA501" s="24"/>
      <c r="AB501" s="51">
        <v>0.375</v>
      </c>
      <c r="AC501" s="51">
        <v>0.70833333333333337</v>
      </c>
      <c r="AD501" s="49">
        <f>(AC501-AB501)*24</f>
        <v>8</v>
      </c>
      <c r="AE501" s="24"/>
      <c r="AF501" s="29">
        <f>J501+F501+N501+R501+V501+Z501+AD501</f>
        <v>42</v>
      </c>
    </row>
    <row r="502" spans="2:32" ht="40.5">
      <c r="B502" s="313" t="s">
        <v>576</v>
      </c>
      <c r="C502" s="339" t="s">
        <v>662</v>
      </c>
      <c r="D502" s="51"/>
      <c r="E502" s="51"/>
      <c r="F502" s="85">
        <f t="shared" si="430"/>
        <v>0</v>
      </c>
      <c r="G502" s="24"/>
      <c r="H502" s="51"/>
      <c r="I502" s="51"/>
      <c r="J502" s="49">
        <f t="shared" si="431"/>
        <v>0</v>
      </c>
      <c r="K502" s="24"/>
      <c r="L502" s="51">
        <v>0.375</v>
      </c>
      <c r="M502" s="51">
        <v>0.70833333333333337</v>
      </c>
      <c r="N502" s="49">
        <f t="shared" si="432"/>
        <v>8</v>
      </c>
      <c r="O502" s="24"/>
      <c r="P502" s="51">
        <v>0.375</v>
      </c>
      <c r="Q502" s="51">
        <v>0.70833333333333337</v>
      </c>
      <c r="R502" s="49">
        <f t="shared" si="433"/>
        <v>8</v>
      </c>
      <c r="S502" s="24"/>
      <c r="T502" s="51">
        <v>0.375</v>
      </c>
      <c r="U502" s="51">
        <v>0.70833333333333337</v>
      </c>
      <c r="V502" s="49">
        <f t="shared" si="434"/>
        <v>8</v>
      </c>
      <c r="W502" s="24"/>
      <c r="X502" s="51"/>
      <c r="Y502" s="51"/>
      <c r="Z502" s="49">
        <f t="shared" si="435"/>
        <v>0</v>
      </c>
      <c r="AA502" s="24"/>
      <c r="AB502" s="51"/>
      <c r="AC502" s="51"/>
      <c r="AD502" s="49">
        <f t="shared" si="436"/>
        <v>0</v>
      </c>
      <c r="AE502" s="24"/>
      <c r="AF502" s="29">
        <f t="shared" si="437"/>
        <v>24</v>
      </c>
    </row>
    <row r="503" spans="2:32" ht="40.5">
      <c r="B503" s="313" t="s">
        <v>637</v>
      </c>
      <c r="C503" s="339" t="s">
        <v>662</v>
      </c>
      <c r="D503" s="51"/>
      <c r="E503" s="51"/>
      <c r="F503" s="85">
        <f t="shared" si="430"/>
        <v>0</v>
      </c>
      <c r="G503" s="24"/>
      <c r="H503" s="51"/>
      <c r="I503" s="51"/>
      <c r="J503" s="49">
        <f t="shared" si="431"/>
        <v>0</v>
      </c>
      <c r="K503" s="24"/>
      <c r="L503" s="51">
        <v>0.375</v>
      </c>
      <c r="M503" s="51">
        <v>0.70833333333333337</v>
      </c>
      <c r="N503" s="49">
        <f t="shared" si="432"/>
        <v>8</v>
      </c>
      <c r="O503" s="24"/>
      <c r="P503" s="51">
        <v>0.375</v>
      </c>
      <c r="Q503" s="51">
        <v>0.70833333333333337</v>
      </c>
      <c r="R503" s="49">
        <f t="shared" si="433"/>
        <v>8</v>
      </c>
      <c r="S503" s="24"/>
      <c r="T503" s="51">
        <v>0.375</v>
      </c>
      <c r="U503" s="51">
        <v>0.70833333333333337</v>
      </c>
      <c r="V503" s="49">
        <f t="shared" si="434"/>
        <v>8</v>
      </c>
      <c r="W503" s="24"/>
      <c r="X503" s="51"/>
      <c r="Y503" s="51"/>
      <c r="Z503" s="49">
        <f t="shared" si="435"/>
        <v>0</v>
      </c>
      <c r="AA503" s="24"/>
      <c r="AB503" s="51"/>
      <c r="AC503" s="51"/>
      <c r="AD503" s="49">
        <f t="shared" si="436"/>
        <v>0</v>
      </c>
      <c r="AE503" s="24"/>
      <c r="AF503" s="29">
        <f t="shared" si="437"/>
        <v>24</v>
      </c>
    </row>
    <row r="504" spans="2:32" ht="27">
      <c r="B504" s="313" t="s">
        <v>637</v>
      </c>
      <c r="C504" s="339" t="s">
        <v>699</v>
      </c>
      <c r="D504" s="51"/>
      <c r="E504" s="51"/>
      <c r="F504" s="85">
        <f t="shared" si="430"/>
        <v>0</v>
      </c>
      <c r="G504" s="24"/>
      <c r="H504" s="51">
        <v>0.375</v>
      </c>
      <c r="I504" s="51">
        <v>0.70833333333333337</v>
      </c>
      <c r="J504" s="49">
        <f t="shared" si="431"/>
        <v>8</v>
      </c>
      <c r="K504" s="24"/>
      <c r="L504" s="51"/>
      <c r="M504" s="51"/>
      <c r="N504" s="49">
        <f t="shared" si="432"/>
        <v>0</v>
      </c>
      <c r="O504" s="24"/>
      <c r="P504" s="51"/>
      <c r="Q504" s="51"/>
      <c r="R504" s="49">
        <f t="shared" si="433"/>
        <v>0</v>
      </c>
      <c r="S504" s="24"/>
      <c r="T504" s="51"/>
      <c r="U504" s="51"/>
      <c r="V504" s="49">
        <f t="shared" si="434"/>
        <v>0</v>
      </c>
      <c r="W504" s="24"/>
      <c r="X504" s="51"/>
      <c r="Y504" s="51"/>
      <c r="Z504" s="49">
        <f t="shared" si="435"/>
        <v>0</v>
      </c>
      <c r="AA504" s="24"/>
      <c r="AB504" s="51"/>
      <c r="AC504" s="51"/>
      <c r="AD504" s="49">
        <f t="shared" si="436"/>
        <v>0</v>
      </c>
      <c r="AE504" s="24"/>
      <c r="AF504" s="29">
        <f t="shared" si="437"/>
        <v>8</v>
      </c>
    </row>
    <row r="505" spans="2:32" ht="40.5">
      <c r="B505" s="313" t="s">
        <v>582</v>
      </c>
      <c r="C505" s="339" t="s">
        <v>662</v>
      </c>
      <c r="D505" s="51"/>
      <c r="E505" s="51"/>
      <c r="F505" s="85">
        <f>(E505-D505)*24</f>
        <v>0</v>
      </c>
      <c r="G505" s="24"/>
      <c r="H505" s="51"/>
      <c r="I505" s="51"/>
      <c r="J505" s="49">
        <f>(I505-H505)*24</f>
        <v>0</v>
      </c>
      <c r="K505" s="24"/>
      <c r="L505" s="51"/>
      <c r="M505" s="51"/>
      <c r="N505" s="49">
        <f>(M505-L505)*24</f>
        <v>0</v>
      </c>
      <c r="O505" s="24"/>
      <c r="P505" s="51"/>
      <c r="Q505" s="51"/>
      <c r="R505" s="49">
        <f>(Q505-P505)*24</f>
        <v>0</v>
      </c>
      <c r="S505" s="24"/>
      <c r="T505" s="51"/>
      <c r="U505" s="51"/>
      <c r="V505" s="49">
        <f>(U505-T505)*24</f>
        <v>0</v>
      </c>
      <c r="W505" s="24"/>
      <c r="X505" s="51">
        <v>0.375</v>
      </c>
      <c r="Y505" s="51">
        <v>0.70833333333333337</v>
      </c>
      <c r="Z505" s="49">
        <f>(Y505-X505)*24</f>
        <v>8</v>
      </c>
      <c r="AA505" s="24"/>
      <c r="AB505" s="51">
        <v>0.375</v>
      </c>
      <c r="AC505" s="51">
        <v>0.70833333333333337</v>
      </c>
      <c r="AD505" s="49">
        <f>(AC505-AB505)*24</f>
        <v>8</v>
      </c>
      <c r="AE505" s="24"/>
      <c r="AF505" s="29">
        <f>J505+F505+N505+R505+V505+Z505+AD505</f>
        <v>16</v>
      </c>
    </row>
    <row r="506" spans="2:32" ht="40.5">
      <c r="B506" s="313" t="s">
        <v>582</v>
      </c>
      <c r="C506" s="339" t="s">
        <v>679</v>
      </c>
      <c r="D506" s="51">
        <v>0.375</v>
      </c>
      <c r="E506" s="51">
        <v>0.70833333333333337</v>
      </c>
      <c r="F506" s="85">
        <f t="shared" ref="F506:F508" si="438">(E506-D506)*24</f>
        <v>8</v>
      </c>
      <c r="G506" s="24"/>
      <c r="H506" s="51">
        <v>0.375</v>
      </c>
      <c r="I506" s="51">
        <v>0.70833333333333337</v>
      </c>
      <c r="J506" s="49">
        <f t="shared" ref="J506:J508" si="439">(I506-H506)*24</f>
        <v>8</v>
      </c>
      <c r="K506" s="24"/>
      <c r="L506" s="51">
        <v>0.375</v>
      </c>
      <c r="M506" s="51">
        <v>0.70833333333333337</v>
      </c>
      <c r="N506" s="49">
        <f t="shared" ref="N506:N508" si="440">(M506-L506)*24</f>
        <v>8</v>
      </c>
      <c r="O506" s="24"/>
      <c r="P506" s="51">
        <v>0.375</v>
      </c>
      <c r="Q506" s="51">
        <v>0.70833333333333337</v>
      </c>
      <c r="R506" s="49">
        <f t="shared" ref="R506" si="441">(Q506-P506)*24</f>
        <v>8</v>
      </c>
      <c r="S506" s="24"/>
      <c r="T506" s="51">
        <v>0.375</v>
      </c>
      <c r="U506" s="51">
        <v>0.70833333333333337</v>
      </c>
      <c r="V506" s="49">
        <f t="shared" ref="V506:V508" si="442">(U506-T506)*24</f>
        <v>8</v>
      </c>
      <c r="W506" s="24"/>
      <c r="X506" s="51"/>
      <c r="Y506" s="51"/>
      <c r="Z506" s="49">
        <f t="shared" ref="Z506:Z508" si="443">(Y506-X506)*24</f>
        <v>0</v>
      </c>
      <c r="AA506" s="24"/>
      <c r="AB506" s="51"/>
      <c r="AC506" s="51"/>
      <c r="AD506" s="49">
        <f t="shared" ref="AD506:AD508" si="444">(AC506-AB506)*24</f>
        <v>0</v>
      </c>
      <c r="AE506" s="24"/>
      <c r="AF506" s="29">
        <f t="shared" ref="AF506:AF508" si="445">J506+F506+N506+R506+V506+Z506+AD506</f>
        <v>40</v>
      </c>
    </row>
    <row r="507" spans="2:32" ht="40.5">
      <c r="B507" s="313" t="s">
        <v>653</v>
      </c>
      <c r="C507" s="339" t="s">
        <v>679</v>
      </c>
      <c r="D507" s="51">
        <v>0.375</v>
      </c>
      <c r="E507" s="51">
        <v>0.70833333333333337</v>
      </c>
      <c r="F507" s="85">
        <f t="shared" si="438"/>
        <v>8</v>
      </c>
      <c r="G507" s="24"/>
      <c r="H507" s="51">
        <v>0.375</v>
      </c>
      <c r="I507" s="51">
        <v>0.70833333333333337</v>
      </c>
      <c r="J507" s="49">
        <f t="shared" si="439"/>
        <v>8</v>
      </c>
      <c r="K507" s="24"/>
      <c r="L507" s="51">
        <v>0.375</v>
      </c>
      <c r="M507" s="51">
        <v>0.70833333333333337</v>
      </c>
      <c r="N507" s="49">
        <f t="shared" si="440"/>
        <v>8</v>
      </c>
      <c r="O507" s="24"/>
      <c r="P507" s="51">
        <v>0.375</v>
      </c>
      <c r="Q507" s="51">
        <v>0.70833333333333337</v>
      </c>
      <c r="R507" s="49">
        <f>(Q507-P506)*24</f>
        <v>8</v>
      </c>
      <c r="S507" s="24"/>
      <c r="T507" s="51">
        <v>0.375</v>
      </c>
      <c r="U507" s="51">
        <v>0.70833333333333337</v>
      </c>
      <c r="V507" s="49">
        <f t="shared" si="442"/>
        <v>8</v>
      </c>
      <c r="W507" s="24"/>
      <c r="X507" s="51"/>
      <c r="Y507" s="51"/>
      <c r="Z507" s="49">
        <f t="shared" si="443"/>
        <v>0</v>
      </c>
      <c r="AA507" s="24"/>
      <c r="AB507" s="51"/>
      <c r="AC507" s="51"/>
      <c r="AD507" s="49">
        <f t="shared" si="444"/>
        <v>0</v>
      </c>
      <c r="AE507" s="24"/>
      <c r="AF507" s="29">
        <f t="shared" si="445"/>
        <v>40</v>
      </c>
    </row>
    <row r="508" spans="2:32" ht="40.5">
      <c r="B508" s="313"/>
      <c r="C508" s="339" t="s">
        <v>679</v>
      </c>
      <c r="D508" s="51"/>
      <c r="E508" s="51"/>
      <c r="F508" s="85">
        <f t="shared" si="438"/>
        <v>0</v>
      </c>
      <c r="G508" s="24"/>
      <c r="H508" s="51"/>
      <c r="I508" s="51"/>
      <c r="J508" s="49">
        <f t="shared" si="439"/>
        <v>0</v>
      </c>
      <c r="K508" s="24"/>
      <c r="L508" s="51"/>
      <c r="M508" s="51"/>
      <c r="N508" s="49">
        <f t="shared" si="440"/>
        <v>0</v>
      </c>
      <c r="O508" s="24"/>
      <c r="P508" s="51"/>
      <c r="Q508" s="51"/>
      <c r="R508" s="49">
        <f t="shared" ref="R508" si="446">(Q508-P508)*24</f>
        <v>0</v>
      </c>
      <c r="S508" s="24"/>
      <c r="T508" s="51"/>
      <c r="U508" s="51"/>
      <c r="V508" s="49">
        <f t="shared" si="442"/>
        <v>0</v>
      </c>
      <c r="W508" s="24"/>
      <c r="X508" s="51"/>
      <c r="Y508" s="51"/>
      <c r="Z508" s="49">
        <f t="shared" si="443"/>
        <v>0</v>
      </c>
      <c r="AA508" s="24"/>
      <c r="AB508" s="51"/>
      <c r="AC508" s="51"/>
      <c r="AD508" s="49">
        <f t="shared" si="444"/>
        <v>0</v>
      </c>
      <c r="AE508" s="24"/>
      <c r="AF508" s="29">
        <f t="shared" si="445"/>
        <v>0</v>
      </c>
    </row>
    <row r="509" spans="2:32" ht="14.25">
      <c r="B509" s="63" t="s">
        <v>61</v>
      </c>
      <c r="C509" s="63"/>
      <c r="D509" s="51"/>
      <c r="E509" s="51"/>
      <c r="F509" s="85">
        <f t="shared" si="430"/>
        <v>0</v>
      </c>
      <c r="G509" s="24"/>
      <c r="H509" s="51"/>
      <c r="I509" s="51"/>
      <c r="J509" s="49">
        <f t="shared" si="431"/>
        <v>0</v>
      </c>
      <c r="K509" s="24"/>
      <c r="L509" s="51"/>
      <c r="M509" s="51"/>
      <c r="N509" s="49">
        <f t="shared" si="432"/>
        <v>0</v>
      </c>
      <c r="O509" s="24"/>
      <c r="P509" s="51"/>
      <c r="Q509" s="51"/>
      <c r="R509" s="49">
        <f t="shared" si="433"/>
        <v>0</v>
      </c>
      <c r="S509" s="24"/>
      <c r="T509" s="51"/>
      <c r="U509" s="51"/>
      <c r="V509" s="49">
        <f t="shared" si="434"/>
        <v>0</v>
      </c>
      <c r="W509" s="24"/>
      <c r="X509" s="51"/>
      <c r="Y509" s="51"/>
      <c r="Z509" s="49">
        <f t="shared" si="435"/>
        <v>0</v>
      </c>
      <c r="AA509" s="24"/>
      <c r="AB509" s="51"/>
      <c r="AC509" s="51"/>
      <c r="AD509" s="49">
        <f t="shared" si="436"/>
        <v>0</v>
      </c>
      <c r="AE509" s="24"/>
      <c r="AF509" s="30">
        <f>SUM(AF502:AF508)</f>
        <v>152</v>
      </c>
    </row>
    <row r="510" spans="2:32">
      <c r="B510" s="31" t="s">
        <v>577</v>
      </c>
      <c r="C510" s="31"/>
      <c r="D510" s="91"/>
      <c r="E510" s="91"/>
      <c r="F510" s="90"/>
      <c r="G510" s="91"/>
      <c r="H510" s="91"/>
      <c r="I510" s="91"/>
      <c r="J510" s="90"/>
      <c r="K510" s="91"/>
      <c r="L510" s="91"/>
      <c r="M510" s="91"/>
      <c r="N510" s="90"/>
      <c r="O510" s="91"/>
      <c r="P510" s="91"/>
      <c r="Q510" s="91"/>
      <c r="R510" s="90"/>
      <c r="S510" s="91"/>
      <c r="T510" s="91"/>
      <c r="U510" s="91"/>
      <c r="V510" s="90"/>
      <c r="W510" s="91"/>
      <c r="X510" s="91"/>
      <c r="Y510" s="91"/>
      <c r="Z510" s="90"/>
      <c r="AA510" s="91"/>
      <c r="AB510" s="91"/>
      <c r="AC510" s="91"/>
      <c r="AD510" s="91"/>
      <c r="AE510" s="352"/>
      <c r="AF510" s="28"/>
    </row>
    <row r="511" spans="2:32">
      <c r="B511" s="31" t="s">
        <v>578</v>
      </c>
      <c r="C511" s="31"/>
      <c r="D511" s="91"/>
      <c r="E511" s="91"/>
      <c r="F511" s="90"/>
      <c r="G511" s="91"/>
      <c r="H511" s="91"/>
      <c r="I511" s="91"/>
      <c r="J511" s="90"/>
      <c r="K511" s="91"/>
      <c r="L511" s="91"/>
      <c r="M511" s="91"/>
      <c r="N511" s="90"/>
      <c r="O511" s="91"/>
      <c r="P511" s="91"/>
      <c r="Q511" s="91"/>
      <c r="R511" s="90"/>
      <c r="S511" s="91"/>
      <c r="T511" s="91"/>
      <c r="U511" s="91"/>
      <c r="V511" s="90"/>
      <c r="W511" s="91"/>
      <c r="X511" s="91"/>
      <c r="Y511" s="91"/>
      <c r="Z511" s="90"/>
      <c r="AA511" s="91"/>
      <c r="AB511" s="91"/>
      <c r="AC511" s="91"/>
      <c r="AD511" s="91"/>
      <c r="AE511" s="352"/>
      <c r="AF511" s="28">
        <f>SUM(D511:AD511)</f>
        <v>0</v>
      </c>
    </row>
    <row r="512" spans="2:32" ht="14.25" thickBot="1">
      <c r="B512" s="74" t="s">
        <v>579</v>
      </c>
      <c r="C512" s="74"/>
      <c r="D512" s="95"/>
      <c r="E512" s="95"/>
      <c r="F512" s="96"/>
      <c r="G512" s="95"/>
      <c r="H512" s="95"/>
      <c r="I512" s="95"/>
      <c r="J512" s="96"/>
      <c r="K512" s="95"/>
      <c r="L512" s="95"/>
      <c r="M512" s="95"/>
      <c r="N512" s="96"/>
      <c r="O512" s="95"/>
      <c r="P512" s="95"/>
      <c r="Q512" s="95"/>
      <c r="R512" s="96"/>
      <c r="S512" s="95"/>
      <c r="T512" s="95"/>
      <c r="U512" s="95"/>
      <c r="V512" s="96"/>
      <c r="W512" s="97"/>
      <c r="X512" s="97"/>
      <c r="Y512" s="97"/>
      <c r="Z512" s="96"/>
      <c r="AA512" s="97"/>
      <c r="AB512" s="97"/>
      <c r="AC512" s="97"/>
      <c r="AD512" s="97"/>
      <c r="AE512" s="97"/>
      <c r="AF512" s="80">
        <f>SUM(D512:AD512)</f>
        <v>0</v>
      </c>
    </row>
    <row r="513" spans="2:32" ht="14.25" thickTop="1">
      <c r="B513" s="1518" t="s">
        <v>18</v>
      </c>
      <c r="C513" s="1552" t="s">
        <v>571</v>
      </c>
      <c r="D513" s="1524">
        <v>45278</v>
      </c>
      <c r="E513" s="1524"/>
      <c r="F513" s="1524"/>
      <c r="G513" s="22"/>
      <c r="H513" s="1524">
        <f>D513+1</f>
        <v>45279</v>
      </c>
      <c r="I513" s="1524"/>
      <c r="J513" s="1524"/>
      <c r="K513" s="22"/>
      <c r="L513" s="1524">
        <f>H513+1</f>
        <v>45280</v>
      </c>
      <c r="M513" s="1524"/>
      <c r="N513" s="1524"/>
      <c r="P513" s="1524">
        <f>L513+1</f>
        <v>45281</v>
      </c>
      <c r="Q513" s="1524"/>
      <c r="R513" s="1524"/>
      <c r="T513" s="1524">
        <f>P513+1</f>
        <v>45282</v>
      </c>
      <c r="U513" s="1524"/>
      <c r="V513" s="1524"/>
      <c r="W513" s="22"/>
      <c r="X513" s="1524">
        <f>T513+1</f>
        <v>45283</v>
      </c>
      <c r="Y513" s="1524"/>
      <c r="Z513" s="1524"/>
      <c r="AB513" s="1524">
        <f>X513+1</f>
        <v>45284</v>
      </c>
      <c r="AC513" s="1524"/>
      <c r="AD513" s="1524"/>
      <c r="AE513" s="22"/>
      <c r="AF513" s="1517" t="s">
        <v>19</v>
      </c>
    </row>
    <row r="514" spans="2:32">
      <c r="B514" s="1518"/>
      <c r="C514" s="1552"/>
      <c r="D514" s="21" t="s">
        <v>23</v>
      </c>
      <c r="E514" s="21" t="s">
        <v>24</v>
      </c>
      <c r="F514" s="62" t="s">
        <v>25</v>
      </c>
      <c r="G514" s="23"/>
      <c r="H514" s="21" t="s">
        <v>23</v>
      </c>
      <c r="I514" s="21" t="s">
        <v>24</v>
      </c>
      <c r="J514" s="18" t="s">
        <v>25</v>
      </c>
      <c r="K514" s="23"/>
      <c r="L514" s="21" t="s">
        <v>23</v>
      </c>
      <c r="M514" s="21" t="s">
        <v>24</v>
      </c>
      <c r="N514" s="18" t="s">
        <v>25</v>
      </c>
      <c r="O514" s="23"/>
      <c r="P514" s="21" t="s">
        <v>23</v>
      </c>
      <c r="Q514" s="21" t="s">
        <v>24</v>
      </c>
      <c r="R514" s="18" t="s">
        <v>25</v>
      </c>
      <c r="S514" s="23"/>
      <c r="T514" s="21" t="s">
        <v>23</v>
      </c>
      <c r="U514" s="21" t="s">
        <v>24</v>
      </c>
      <c r="V514" s="18" t="s">
        <v>25</v>
      </c>
      <c r="W514" s="23"/>
      <c r="X514" s="21" t="s">
        <v>23</v>
      </c>
      <c r="Y514" s="21" t="s">
        <v>24</v>
      </c>
      <c r="Z514" s="18" t="s">
        <v>25</v>
      </c>
      <c r="AA514" s="23"/>
      <c r="AB514" s="21" t="s">
        <v>23</v>
      </c>
      <c r="AC514" s="21" t="s">
        <v>24</v>
      </c>
      <c r="AD514" s="18" t="s">
        <v>25</v>
      </c>
      <c r="AE514" s="23"/>
      <c r="AF514" s="1517"/>
    </row>
    <row r="515" spans="2:32" ht="27">
      <c r="B515" s="313" t="s">
        <v>637</v>
      </c>
      <c r="C515" s="339" t="s">
        <v>699</v>
      </c>
      <c r="D515" s="51"/>
      <c r="E515" s="51"/>
      <c r="F515" s="85">
        <f t="shared" ref="F515:F523" si="447">(E515-D515)*24</f>
        <v>0</v>
      </c>
      <c r="G515" s="24"/>
      <c r="H515" s="51">
        <v>0.35416666666666669</v>
      </c>
      <c r="I515" s="51">
        <v>0.72916666666666663</v>
      </c>
      <c r="J515" s="49">
        <f t="shared" ref="J515:J523" si="448">(I515-H515)*24</f>
        <v>8.9999999999999982</v>
      </c>
      <c r="K515" s="24"/>
      <c r="L515" s="51">
        <v>0.3611111111111111</v>
      </c>
      <c r="M515" s="51"/>
      <c r="N515" s="49">
        <f t="shared" ref="N515:N523" si="449">(M515-L515)*24</f>
        <v>-8.6666666666666661</v>
      </c>
      <c r="O515" s="24"/>
      <c r="P515" s="51"/>
      <c r="Q515" s="51"/>
      <c r="R515" s="49">
        <f t="shared" ref="R515:R523" si="450">(Q515-P515)*24</f>
        <v>0</v>
      </c>
      <c r="S515" s="24"/>
      <c r="T515" s="51"/>
      <c r="U515" s="51"/>
      <c r="V515" s="49">
        <f t="shared" ref="V515:V523" si="451">(U515-T515)*24</f>
        <v>0</v>
      </c>
      <c r="W515" s="24"/>
      <c r="X515" s="51"/>
      <c r="Y515" s="51"/>
      <c r="Z515" s="49">
        <f t="shared" ref="Z515:Z523" si="452">(Y515-X515)*24</f>
        <v>0</v>
      </c>
      <c r="AA515" s="24"/>
      <c r="AB515" s="51"/>
      <c r="AC515" s="51"/>
      <c r="AD515" s="49">
        <f t="shared" ref="AD515:AD523" si="453">(AC515-AB515)*24</f>
        <v>0</v>
      </c>
      <c r="AE515" s="24"/>
      <c r="AF515" s="29">
        <f t="shared" ref="AF515:AF520" si="454">J515+F515+N515+R515+V515+Z515+AD515</f>
        <v>0.33333333333333215</v>
      </c>
    </row>
    <row r="516" spans="2:32" ht="40.5">
      <c r="B516" s="313" t="s">
        <v>54</v>
      </c>
      <c r="C516" s="339" t="s">
        <v>701</v>
      </c>
      <c r="D516" s="51"/>
      <c r="E516" s="51"/>
      <c r="F516" s="85">
        <f t="shared" si="447"/>
        <v>0</v>
      </c>
      <c r="G516" s="24"/>
      <c r="H516" s="51">
        <v>0.35416666666666669</v>
      </c>
      <c r="I516" s="51">
        <v>0.72916666666666663</v>
      </c>
      <c r="J516" s="49">
        <f t="shared" si="448"/>
        <v>8.9999999999999982</v>
      </c>
      <c r="K516" s="24"/>
      <c r="L516" s="51"/>
      <c r="M516" s="51"/>
      <c r="N516" s="49">
        <f t="shared" si="449"/>
        <v>0</v>
      </c>
      <c r="O516" s="24"/>
      <c r="P516" s="51"/>
      <c r="Q516" s="51"/>
      <c r="R516" s="49">
        <f t="shared" si="450"/>
        <v>0</v>
      </c>
      <c r="S516" s="24"/>
      <c r="T516" s="51"/>
      <c r="U516" s="51"/>
      <c r="V516" s="49">
        <f t="shared" si="451"/>
        <v>0</v>
      </c>
      <c r="W516" s="24"/>
      <c r="X516" s="51"/>
      <c r="Y516" s="51"/>
      <c r="Z516" s="49">
        <f t="shared" si="452"/>
        <v>0</v>
      </c>
      <c r="AA516" s="24"/>
      <c r="AB516" s="51"/>
      <c r="AC516" s="51"/>
      <c r="AD516" s="49">
        <f t="shared" si="453"/>
        <v>0</v>
      </c>
      <c r="AE516" s="24"/>
      <c r="AF516" s="29">
        <f t="shared" si="454"/>
        <v>8.9999999999999982</v>
      </c>
    </row>
    <row r="517" spans="2:32" ht="15" customHeight="1">
      <c r="B517" s="313" t="s">
        <v>576</v>
      </c>
      <c r="C517" s="339" t="s">
        <v>702</v>
      </c>
      <c r="D517" s="51"/>
      <c r="E517" s="51"/>
      <c r="F517" s="85">
        <f t="shared" si="447"/>
        <v>0</v>
      </c>
      <c r="G517" s="24"/>
      <c r="H517" s="51">
        <v>0.39583333333333331</v>
      </c>
      <c r="I517" s="51">
        <v>0.70833333333333337</v>
      </c>
      <c r="J517" s="49">
        <f t="shared" si="448"/>
        <v>7.5000000000000018</v>
      </c>
      <c r="K517" s="24"/>
      <c r="L517" s="51">
        <v>0.39583333333333331</v>
      </c>
      <c r="M517" s="51">
        <v>0.70833333333333337</v>
      </c>
      <c r="N517" s="49">
        <f t="shared" si="449"/>
        <v>7.5000000000000018</v>
      </c>
      <c r="O517" s="24"/>
      <c r="P517" s="51"/>
      <c r="Q517" s="51"/>
      <c r="R517" s="49">
        <f t="shared" si="450"/>
        <v>0</v>
      </c>
      <c r="S517" s="24"/>
      <c r="T517" s="51"/>
      <c r="U517" s="51"/>
      <c r="V517" s="49">
        <f t="shared" si="451"/>
        <v>0</v>
      </c>
      <c r="W517" s="24"/>
      <c r="X517" s="51"/>
      <c r="Y517" s="51"/>
      <c r="Z517" s="49">
        <f t="shared" si="452"/>
        <v>0</v>
      </c>
      <c r="AA517" s="24"/>
      <c r="AB517" s="51"/>
      <c r="AC517" s="51"/>
      <c r="AD517" s="49">
        <f t="shared" si="453"/>
        <v>0</v>
      </c>
      <c r="AE517" s="24"/>
      <c r="AF517" s="29">
        <f t="shared" si="454"/>
        <v>15.000000000000004</v>
      </c>
    </row>
    <row r="518" spans="2:32" ht="15" customHeight="1">
      <c r="B518" s="313" t="s">
        <v>572</v>
      </c>
      <c r="C518" s="339" t="s">
        <v>702</v>
      </c>
      <c r="D518" s="51"/>
      <c r="E518" s="51"/>
      <c r="F518" s="85"/>
      <c r="G518" s="24"/>
      <c r="H518" s="51"/>
      <c r="I518" s="51"/>
      <c r="J518" s="49"/>
      <c r="K518" s="24"/>
      <c r="L518" s="51">
        <v>0.33333333333333331</v>
      </c>
      <c r="M518" s="51">
        <v>0.70833333333333337</v>
      </c>
      <c r="N518" s="49"/>
      <c r="O518" s="24"/>
      <c r="P518" s="51"/>
      <c r="Q518" s="51"/>
      <c r="R518" s="49"/>
      <c r="S518" s="24"/>
      <c r="T518" s="51"/>
      <c r="U518" s="51"/>
      <c r="V518" s="49"/>
      <c r="W518" s="24"/>
      <c r="X518" s="51"/>
      <c r="Y518" s="51"/>
      <c r="Z518" s="49"/>
      <c r="AA518" s="24"/>
      <c r="AB518" s="51"/>
      <c r="AC518" s="51"/>
      <c r="AD518" s="49"/>
      <c r="AE518" s="24"/>
      <c r="AF518" s="29"/>
    </row>
    <row r="519" spans="2:32" ht="40.5">
      <c r="B519" s="313" t="s">
        <v>572</v>
      </c>
      <c r="C519" s="339" t="s">
        <v>662</v>
      </c>
      <c r="D519" s="51">
        <v>0.33333333333333331</v>
      </c>
      <c r="E519" s="51">
        <v>0.70833333333333337</v>
      </c>
      <c r="F519" s="85">
        <f t="shared" si="447"/>
        <v>9.0000000000000018</v>
      </c>
      <c r="G519" s="24"/>
      <c r="H519" s="51">
        <v>0.33333333333333331</v>
      </c>
      <c r="I519" s="51">
        <v>0.75</v>
      </c>
      <c r="J519" s="49">
        <f t="shared" si="448"/>
        <v>10</v>
      </c>
      <c r="K519" s="24"/>
      <c r="L519" s="51"/>
      <c r="M519" s="51"/>
      <c r="N519" s="49">
        <f t="shared" si="449"/>
        <v>0</v>
      </c>
      <c r="O519" s="24"/>
      <c r="P519" s="51"/>
      <c r="Q519" s="51"/>
      <c r="R519" s="49">
        <f t="shared" si="450"/>
        <v>0</v>
      </c>
      <c r="S519" s="24"/>
      <c r="T519" s="51"/>
      <c r="U519" s="51"/>
      <c r="V519" s="49">
        <f t="shared" si="451"/>
        <v>0</v>
      </c>
      <c r="W519" s="24"/>
      <c r="X519" s="51"/>
      <c r="Y519" s="51"/>
      <c r="Z519" s="49">
        <f t="shared" si="452"/>
        <v>0</v>
      </c>
      <c r="AA519" s="24"/>
      <c r="AB519" s="51"/>
      <c r="AC519" s="51"/>
      <c r="AD519" s="49">
        <f t="shared" si="453"/>
        <v>0</v>
      </c>
      <c r="AE519" s="24"/>
      <c r="AF519" s="29">
        <f t="shared" si="454"/>
        <v>19</v>
      </c>
    </row>
    <row r="520" spans="2:32" ht="40.5">
      <c r="B520" s="313" t="s">
        <v>637</v>
      </c>
      <c r="C520" s="339" t="s">
        <v>662</v>
      </c>
      <c r="D520" s="51">
        <v>0.375</v>
      </c>
      <c r="E520" s="51">
        <v>0.625</v>
      </c>
      <c r="F520" s="85">
        <f t="shared" si="447"/>
        <v>6</v>
      </c>
      <c r="G520" s="24"/>
      <c r="H520" s="51"/>
      <c r="I520" s="51"/>
      <c r="J520" s="49">
        <f t="shared" si="448"/>
        <v>0</v>
      </c>
      <c r="K520" s="24"/>
      <c r="L520" s="51"/>
      <c r="M520" s="51">
        <v>0.72916666666666663</v>
      </c>
      <c r="N520" s="49">
        <f t="shared" si="449"/>
        <v>17.5</v>
      </c>
      <c r="O520" s="24"/>
      <c r="P520" s="51"/>
      <c r="Q520" s="51"/>
      <c r="R520" s="49">
        <f t="shared" si="450"/>
        <v>0</v>
      </c>
      <c r="S520" s="24"/>
      <c r="T520" s="51"/>
      <c r="U520" s="51"/>
      <c r="V520" s="49">
        <f t="shared" si="451"/>
        <v>0</v>
      </c>
      <c r="W520" s="24"/>
      <c r="X520" s="51"/>
      <c r="Y520" s="51"/>
      <c r="Z520" s="49">
        <f t="shared" si="452"/>
        <v>0</v>
      </c>
      <c r="AA520" s="24"/>
      <c r="AB520" s="51"/>
      <c r="AC520" s="51"/>
      <c r="AD520" s="49">
        <f t="shared" si="453"/>
        <v>0</v>
      </c>
      <c r="AE520" s="24"/>
      <c r="AF520" s="29">
        <f t="shared" si="454"/>
        <v>23.5</v>
      </c>
    </row>
    <row r="521" spans="2:32" ht="27">
      <c r="B521" s="313" t="s">
        <v>54</v>
      </c>
      <c r="C521" s="339" t="s">
        <v>703</v>
      </c>
      <c r="D521" s="51"/>
      <c r="E521" s="51"/>
      <c r="F521" s="85"/>
      <c r="G521" s="24"/>
      <c r="H521" s="51"/>
      <c r="I521" s="51"/>
      <c r="J521" s="49"/>
      <c r="K521" s="24"/>
      <c r="L521" s="51"/>
      <c r="M521" s="51">
        <v>0.72916666666666663</v>
      </c>
      <c r="N521" s="49"/>
      <c r="O521" s="24"/>
      <c r="P521" s="51"/>
      <c r="Q521" s="51"/>
      <c r="R521" s="49"/>
      <c r="S521" s="24"/>
      <c r="T521" s="51"/>
      <c r="U521" s="51"/>
      <c r="V521" s="49"/>
      <c r="W521" s="24"/>
      <c r="X521" s="51"/>
      <c r="Y521" s="51"/>
      <c r="Z521" s="49"/>
      <c r="AA521" s="24"/>
      <c r="AB521" s="51"/>
      <c r="AC521" s="51"/>
      <c r="AD521" s="49"/>
      <c r="AE521" s="24"/>
      <c r="AF521" s="29"/>
    </row>
    <row r="522" spans="2:32" ht="40.5">
      <c r="B522" s="313" t="s">
        <v>576</v>
      </c>
      <c r="C522" s="339" t="s">
        <v>662</v>
      </c>
      <c r="D522" s="51"/>
      <c r="E522" s="51"/>
      <c r="F522" s="85">
        <f t="shared" ref="F522" si="455">(E522-D522)*24</f>
        <v>0</v>
      </c>
      <c r="G522" s="24"/>
      <c r="H522" s="51"/>
      <c r="I522" s="51"/>
      <c r="J522" s="49">
        <f t="shared" ref="J522" si="456">(I522-H522)*24</f>
        <v>0</v>
      </c>
      <c r="K522" s="24"/>
      <c r="L522" s="51"/>
      <c r="M522" s="51"/>
      <c r="N522" s="49">
        <f t="shared" ref="N522" si="457">(M522-L522)*24</f>
        <v>0</v>
      </c>
      <c r="O522" s="24"/>
      <c r="P522" s="51">
        <v>0.375</v>
      </c>
      <c r="Q522" s="51">
        <v>0.70833333333333337</v>
      </c>
      <c r="R522" s="49">
        <f t="shared" ref="R522" si="458">(Q522-P522)*24</f>
        <v>8</v>
      </c>
      <c r="S522" s="24"/>
      <c r="T522" s="51"/>
      <c r="U522" s="51"/>
      <c r="V522" s="49">
        <f t="shared" ref="V522" si="459">(U522-T522)*24</f>
        <v>0</v>
      </c>
      <c r="W522" s="24"/>
      <c r="X522" s="51"/>
      <c r="Y522" s="51"/>
      <c r="Z522" s="49">
        <f t="shared" ref="Z522" si="460">(Y522-X522)*24</f>
        <v>0</v>
      </c>
      <c r="AA522" s="24"/>
      <c r="AB522" s="51"/>
      <c r="AC522" s="51"/>
      <c r="AD522" s="49">
        <f t="shared" ref="AD522" si="461">(AC522-AB522)*24</f>
        <v>0</v>
      </c>
      <c r="AE522" s="24"/>
      <c r="AF522" s="29">
        <f t="shared" ref="AF522" si="462">J522+F522+N522+R522+V522+Z522+AD522</f>
        <v>8</v>
      </c>
    </row>
    <row r="523" spans="2:32" ht="14.25">
      <c r="B523" s="63" t="s">
        <v>61</v>
      </c>
      <c r="C523" s="63"/>
      <c r="D523" s="51"/>
      <c r="E523" s="51"/>
      <c r="F523" s="85">
        <f t="shared" si="447"/>
        <v>0</v>
      </c>
      <c r="G523" s="24"/>
      <c r="H523" s="51"/>
      <c r="I523" s="51"/>
      <c r="J523" s="49">
        <f t="shared" si="448"/>
        <v>0</v>
      </c>
      <c r="K523" s="24"/>
      <c r="L523" s="51"/>
      <c r="M523" s="51"/>
      <c r="N523" s="49">
        <f t="shared" si="449"/>
        <v>0</v>
      </c>
      <c r="O523" s="24"/>
      <c r="P523" s="51"/>
      <c r="Q523" s="51"/>
      <c r="R523" s="49">
        <f t="shared" si="450"/>
        <v>0</v>
      </c>
      <c r="S523" s="24"/>
      <c r="T523" s="51"/>
      <c r="U523" s="51"/>
      <c r="V523" s="49">
        <f t="shared" si="451"/>
        <v>0</v>
      </c>
      <c r="W523" s="24"/>
      <c r="X523" s="51"/>
      <c r="Y523" s="51"/>
      <c r="Z523" s="49">
        <f t="shared" si="452"/>
        <v>0</v>
      </c>
      <c r="AA523" s="24"/>
      <c r="AB523" s="51"/>
      <c r="AC523" s="51"/>
      <c r="AD523" s="49">
        <f t="shared" si="453"/>
        <v>0</v>
      </c>
      <c r="AE523" s="24"/>
      <c r="AF523" s="30">
        <f>SUM(AF515:AF521)</f>
        <v>66.833333333333343</v>
      </c>
    </row>
    <row r="524" spans="2:32">
      <c r="B524" s="31" t="s">
        <v>577</v>
      </c>
      <c r="C524" s="31"/>
      <c r="D524" s="91"/>
      <c r="E524" s="91"/>
      <c r="F524" s="90"/>
      <c r="G524" s="91"/>
      <c r="H524" s="91"/>
      <c r="I524" s="91"/>
      <c r="J524" s="90"/>
      <c r="K524" s="91"/>
      <c r="L524" s="91"/>
      <c r="M524" s="91"/>
      <c r="N524" s="90"/>
      <c r="O524" s="91"/>
      <c r="P524" s="91"/>
      <c r="Q524" s="91"/>
      <c r="R524" s="90"/>
      <c r="S524" s="91"/>
      <c r="T524" s="91"/>
      <c r="U524" s="91"/>
      <c r="V524" s="90"/>
      <c r="W524" s="91"/>
      <c r="X524" s="91"/>
      <c r="Y524" s="91"/>
      <c r="Z524" s="90"/>
      <c r="AA524" s="91"/>
      <c r="AB524" s="91"/>
      <c r="AC524" s="91"/>
      <c r="AD524" s="91"/>
      <c r="AE524" s="352"/>
      <c r="AF524" s="28"/>
    </row>
    <row r="525" spans="2:32">
      <c r="B525" s="31" t="s">
        <v>578</v>
      </c>
      <c r="C525" s="31"/>
      <c r="D525" s="91"/>
      <c r="E525" s="91"/>
      <c r="F525" s="90"/>
      <c r="G525" s="91"/>
      <c r="H525" s="91"/>
      <c r="I525" s="91"/>
      <c r="J525" s="90"/>
      <c r="K525" s="91"/>
      <c r="L525" s="91"/>
      <c r="M525" s="91"/>
      <c r="N525" s="90"/>
      <c r="O525" s="91"/>
      <c r="P525" s="91"/>
      <c r="Q525" s="91"/>
      <c r="R525" s="90"/>
      <c r="S525" s="91"/>
      <c r="T525" s="91"/>
      <c r="U525" s="91"/>
      <c r="V525" s="90"/>
      <c r="W525" s="91"/>
      <c r="X525" s="91"/>
      <c r="Y525" s="91"/>
      <c r="Z525" s="90"/>
      <c r="AA525" s="91"/>
      <c r="AB525" s="91"/>
      <c r="AC525" s="91"/>
      <c r="AD525" s="91"/>
      <c r="AE525" s="352"/>
      <c r="AF525" s="28">
        <f>SUM(D525:AD525)</f>
        <v>0</v>
      </c>
    </row>
    <row r="526" spans="2:32" ht="14.25" thickBot="1">
      <c r="B526" s="74" t="s">
        <v>579</v>
      </c>
      <c r="C526" s="74"/>
      <c r="D526" s="95"/>
      <c r="E526" s="95"/>
      <c r="F526" s="96"/>
      <c r="G526" s="95"/>
      <c r="H526" s="95"/>
      <c r="I526" s="95"/>
      <c r="J526" s="96"/>
      <c r="K526" s="95"/>
      <c r="L526" s="95"/>
      <c r="M526" s="95"/>
      <c r="N526" s="96"/>
      <c r="O526" s="95"/>
      <c r="P526" s="95"/>
      <c r="Q526" s="95"/>
      <c r="R526" s="96"/>
      <c r="S526" s="95"/>
      <c r="T526" s="95"/>
      <c r="U526" s="95"/>
      <c r="V526" s="96"/>
      <c r="W526" s="97"/>
      <c r="X526" s="97"/>
      <c r="Y526" s="97"/>
      <c r="Z526" s="96"/>
      <c r="AA526" s="97"/>
      <c r="AB526" s="97"/>
      <c r="AC526" s="97"/>
      <c r="AD526" s="97"/>
      <c r="AE526" s="97"/>
      <c r="AF526" s="80">
        <f>SUM(D526:AD526)</f>
        <v>0</v>
      </c>
    </row>
    <row r="527" spans="2:32" ht="14.25" thickTop="1">
      <c r="B527" s="1518" t="s">
        <v>18</v>
      </c>
      <c r="C527" s="1552" t="s">
        <v>571</v>
      </c>
      <c r="D527" s="1524">
        <v>45285</v>
      </c>
      <c r="E527" s="1524"/>
      <c r="F527" s="1524"/>
      <c r="G527" s="22"/>
      <c r="H527" s="1524">
        <f>D527+1</f>
        <v>45286</v>
      </c>
      <c r="I527" s="1524"/>
      <c r="J527" s="1524"/>
      <c r="K527" s="22"/>
      <c r="L527" s="1524">
        <f>H527+1</f>
        <v>45287</v>
      </c>
      <c r="M527" s="1524"/>
      <c r="N527" s="1524"/>
      <c r="P527" s="1524">
        <f>L527+1</f>
        <v>45288</v>
      </c>
      <c r="Q527" s="1524"/>
      <c r="R527" s="1524"/>
      <c r="T527" s="1524">
        <f>P527+1</f>
        <v>45289</v>
      </c>
      <c r="U527" s="1524"/>
      <c r="V527" s="1524"/>
      <c r="W527" s="22"/>
      <c r="X527" s="1524">
        <f>T527+1</f>
        <v>45290</v>
      </c>
      <c r="Y527" s="1524"/>
      <c r="Z527" s="1524"/>
      <c r="AB527" s="1524">
        <f>X527+1</f>
        <v>45291</v>
      </c>
      <c r="AC527" s="1524"/>
      <c r="AD527" s="1524"/>
      <c r="AE527" s="22"/>
      <c r="AF527" s="1517" t="s">
        <v>19</v>
      </c>
    </row>
    <row r="528" spans="2:32">
      <c r="B528" s="1518"/>
      <c r="C528" s="1552"/>
      <c r="D528" s="21" t="s">
        <v>23</v>
      </c>
      <c r="E528" s="21" t="s">
        <v>24</v>
      </c>
      <c r="F528" s="62" t="s">
        <v>25</v>
      </c>
      <c r="G528" s="23"/>
      <c r="H528" s="21" t="s">
        <v>23</v>
      </c>
      <c r="I528" s="21" t="s">
        <v>24</v>
      </c>
      <c r="J528" s="18" t="s">
        <v>25</v>
      </c>
      <c r="K528" s="23"/>
      <c r="L528" s="21" t="s">
        <v>23</v>
      </c>
      <c r="M528" s="21" t="s">
        <v>24</v>
      </c>
      <c r="N528" s="18" t="s">
        <v>25</v>
      </c>
      <c r="O528" s="23"/>
      <c r="P528" s="21" t="s">
        <v>23</v>
      </c>
      <c r="Q528" s="21" t="s">
        <v>24</v>
      </c>
      <c r="R528" s="18" t="s">
        <v>25</v>
      </c>
      <c r="S528" s="23"/>
      <c r="T528" s="21" t="s">
        <v>23</v>
      </c>
      <c r="U528" s="21" t="s">
        <v>24</v>
      </c>
      <c r="V528" s="18" t="s">
        <v>25</v>
      </c>
      <c r="W528" s="23"/>
      <c r="X528" s="21" t="s">
        <v>23</v>
      </c>
      <c r="Y528" s="21" t="s">
        <v>24</v>
      </c>
      <c r="Z528" s="18" t="s">
        <v>25</v>
      </c>
      <c r="AA528" s="23"/>
      <c r="AB528" s="21" t="s">
        <v>23</v>
      </c>
      <c r="AC528" s="21" t="s">
        <v>24</v>
      </c>
      <c r="AD528" s="18" t="s">
        <v>25</v>
      </c>
      <c r="AE528" s="23"/>
      <c r="AF528" s="1517"/>
    </row>
    <row r="529" spans="2:32" ht="27">
      <c r="B529" s="313" t="s">
        <v>54</v>
      </c>
      <c r="C529" s="339" t="s">
        <v>700</v>
      </c>
      <c r="D529" s="51">
        <v>0.36458333333333331</v>
      </c>
      <c r="E529" s="51">
        <v>0.70833333333333337</v>
      </c>
      <c r="F529" s="85">
        <f t="shared" ref="F529:F537" si="463">(E529-D529)*24</f>
        <v>8.2500000000000018</v>
      </c>
      <c r="G529" s="24"/>
      <c r="H529" s="51"/>
      <c r="I529" s="51"/>
      <c r="J529" s="49">
        <f t="shared" ref="J529:J537" si="464">(I529-H529)*24</f>
        <v>0</v>
      </c>
      <c r="K529" s="24"/>
      <c r="L529" s="51"/>
      <c r="M529" s="51"/>
      <c r="N529" s="49">
        <f t="shared" ref="N529:N537" si="465">(M529-L529)*24</f>
        <v>0</v>
      </c>
      <c r="O529" s="24"/>
      <c r="P529" s="51"/>
      <c r="Q529" s="51"/>
      <c r="R529" s="49">
        <f t="shared" ref="R529:R537" si="466">(Q529-P529)*24</f>
        <v>0</v>
      </c>
      <c r="S529" s="24"/>
      <c r="T529" s="51"/>
      <c r="U529" s="51"/>
      <c r="V529" s="49">
        <f t="shared" ref="V529:V537" si="467">(U529-T529)*24</f>
        <v>0</v>
      </c>
      <c r="W529" s="24"/>
      <c r="X529" s="51"/>
      <c r="Y529" s="51"/>
      <c r="Z529" s="49">
        <f t="shared" ref="Z529:Z537" si="468">(Y529-X529)*24</f>
        <v>0</v>
      </c>
      <c r="AA529" s="24"/>
      <c r="AB529" s="51"/>
      <c r="AC529" s="51"/>
      <c r="AD529" s="49">
        <f t="shared" ref="AD529:AD537" si="469">(AC529-AB529)*24</f>
        <v>0</v>
      </c>
      <c r="AE529" s="24"/>
      <c r="AF529" s="29">
        <f t="shared" ref="AF529:AF536" si="470">J529+F529+N529+R529+V529+Z529+AD529</f>
        <v>8.2500000000000018</v>
      </c>
    </row>
    <row r="530" spans="2:32" ht="27">
      <c r="B530" s="313" t="s">
        <v>54</v>
      </c>
      <c r="C530" s="339" t="s">
        <v>704</v>
      </c>
      <c r="D530" s="51"/>
      <c r="E530" s="51"/>
      <c r="F530" s="85">
        <f t="shared" ref="F530" si="471">(E530-D530)*24</f>
        <v>0</v>
      </c>
      <c r="G530" s="24"/>
      <c r="H530" s="51">
        <v>0.375</v>
      </c>
      <c r="I530" s="51">
        <v>0.5</v>
      </c>
      <c r="J530" s="49">
        <f t="shared" ref="J530" si="472">(I530-H530)*24</f>
        <v>3</v>
      </c>
      <c r="K530" s="24"/>
      <c r="L530" s="51"/>
      <c r="M530" s="51"/>
      <c r="N530" s="49">
        <f t="shared" ref="N530" si="473">(M530-L530)*24</f>
        <v>0</v>
      </c>
      <c r="O530" s="24"/>
      <c r="P530" s="51"/>
      <c r="Q530" s="51"/>
      <c r="R530" s="49">
        <f t="shared" ref="R530" si="474">(Q530-P530)*24</f>
        <v>0</v>
      </c>
      <c r="S530" s="24"/>
      <c r="T530" s="51"/>
      <c r="U530" s="51"/>
      <c r="V530" s="49">
        <f t="shared" ref="V530" si="475">(U530-T530)*24</f>
        <v>0</v>
      </c>
      <c r="W530" s="24"/>
      <c r="X530" s="51"/>
      <c r="Y530" s="51"/>
      <c r="Z530" s="49">
        <f t="shared" ref="Z530" si="476">(Y530-X530)*24</f>
        <v>0</v>
      </c>
      <c r="AA530" s="24"/>
      <c r="AB530" s="51"/>
      <c r="AC530" s="51"/>
      <c r="AD530" s="49">
        <f t="shared" ref="AD530" si="477">(AC530-AB530)*24</f>
        <v>0</v>
      </c>
      <c r="AE530" s="24"/>
      <c r="AF530" s="29">
        <f t="shared" ref="AF530" si="478">J530+F530+N530+R530+V530+Z530+AD530</f>
        <v>3</v>
      </c>
    </row>
    <row r="531" spans="2:32" ht="27">
      <c r="B531" s="313" t="s">
        <v>576</v>
      </c>
      <c r="C531" s="339" t="s">
        <v>700</v>
      </c>
      <c r="D531" s="51">
        <v>0.375</v>
      </c>
      <c r="E531" s="51">
        <v>0.70833333333333337</v>
      </c>
      <c r="F531" s="85">
        <f t="shared" si="463"/>
        <v>8</v>
      </c>
      <c r="G531" s="24"/>
      <c r="H531" s="51"/>
      <c r="I531" s="51"/>
      <c r="J531" s="49">
        <f t="shared" si="464"/>
        <v>0</v>
      </c>
      <c r="K531" s="24"/>
      <c r="L531" s="51"/>
      <c r="M531" s="51"/>
      <c r="N531" s="49">
        <f t="shared" si="465"/>
        <v>0</v>
      </c>
      <c r="O531" s="24"/>
      <c r="P531" s="51"/>
      <c r="Q531" s="51"/>
      <c r="R531" s="49">
        <f t="shared" si="466"/>
        <v>0</v>
      </c>
      <c r="S531" s="24"/>
      <c r="T531" s="51"/>
      <c r="U531" s="51"/>
      <c r="V531" s="49">
        <f t="shared" si="467"/>
        <v>0</v>
      </c>
      <c r="W531" s="24"/>
      <c r="X531" s="51"/>
      <c r="Y531" s="51"/>
      <c r="Z531" s="49">
        <f t="shared" si="468"/>
        <v>0</v>
      </c>
      <c r="AA531" s="24"/>
      <c r="AB531" s="51"/>
      <c r="AC531" s="51"/>
      <c r="AD531" s="49">
        <f t="shared" si="469"/>
        <v>0</v>
      </c>
      <c r="AE531" s="24"/>
      <c r="AF531" s="29">
        <f t="shared" si="470"/>
        <v>8</v>
      </c>
    </row>
    <row r="532" spans="2:32" ht="27">
      <c r="B532" s="313" t="s">
        <v>653</v>
      </c>
      <c r="C532" s="339" t="s">
        <v>700</v>
      </c>
      <c r="D532" s="51">
        <v>0.375</v>
      </c>
      <c r="E532" s="51">
        <v>0.70833333333333337</v>
      </c>
      <c r="F532" s="85">
        <f t="shared" si="463"/>
        <v>8</v>
      </c>
      <c r="G532" s="24"/>
      <c r="H532" s="51"/>
      <c r="I532" s="51"/>
      <c r="J532" s="49">
        <f t="shared" si="464"/>
        <v>0</v>
      </c>
      <c r="K532" s="24"/>
      <c r="L532" s="51"/>
      <c r="M532" s="51"/>
      <c r="N532" s="49">
        <f t="shared" si="465"/>
        <v>0</v>
      </c>
      <c r="O532" s="24"/>
      <c r="P532" s="51"/>
      <c r="Q532" s="51"/>
      <c r="R532" s="49">
        <f t="shared" si="466"/>
        <v>0</v>
      </c>
      <c r="S532" s="24"/>
      <c r="T532" s="51"/>
      <c r="U532" s="51"/>
      <c r="V532" s="49">
        <f t="shared" si="467"/>
        <v>0</v>
      </c>
      <c r="W532" s="24"/>
      <c r="X532" s="51"/>
      <c r="Y532" s="51"/>
      <c r="Z532" s="49">
        <f t="shared" si="468"/>
        <v>0</v>
      </c>
      <c r="AA532" s="24"/>
      <c r="AB532" s="51"/>
      <c r="AC532" s="51"/>
      <c r="AD532" s="49">
        <f t="shared" si="469"/>
        <v>0</v>
      </c>
      <c r="AE532" s="24"/>
      <c r="AF532" s="29">
        <f t="shared" si="470"/>
        <v>8</v>
      </c>
    </row>
    <row r="533" spans="2:32" ht="27">
      <c r="B533" s="313" t="s">
        <v>637</v>
      </c>
      <c r="C533" s="339" t="s">
        <v>705</v>
      </c>
      <c r="D533" s="51"/>
      <c r="E533" s="51"/>
      <c r="F533" s="85">
        <f t="shared" si="463"/>
        <v>0</v>
      </c>
      <c r="G533" s="24"/>
      <c r="H533" s="51">
        <v>0.4375</v>
      </c>
      <c r="I533" s="51">
        <v>0.52083333333333337</v>
      </c>
      <c r="J533" s="49">
        <f t="shared" si="464"/>
        <v>2.0000000000000009</v>
      </c>
      <c r="K533" s="24"/>
      <c r="L533" s="51"/>
      <c r="M533" s="51"/>
      <c r="N533" s="49">
        <f t="shared" si="465"/>
        <v>0</v>
      </c>
      <c r="O533" s="24"/>
      <c r="P533" s="51"/>
      <c r="Q533" s="51"/>
      <c r="R533" s="49">
        <f t="shared" si="466"/>
        <v>0</v>
      </c>
      <c r="S533" s="24"/>
      <c r="T533" s="51"/>
      <c r="U533" s="51"/>
      <c r="V533" s="49">
        <f t="shared" si="467"/>
        <v>0</v>
      </c>
      <c r="W533" s="24"/>
      <c r="X533" s="51"/>
      <c r="Y533" s="51"/>
      <c r="Z533" s="49">
        <f t="shared" si="468"/>
        <v>0</v>
      </c>
      <c r="AA533" s="24"/>
      <c r="AB533" s="51"/>
      <c r="AC533" s="51"/>
      <c r="AD533" s="49">
        <f t="shared" si="469"/>
        <v>0</v>
      </c>
      <c r="AE533" s="24"/>
      <c r="AF533" s="29">
        <f t="shared" si="470"/>
        <v>2.0000000000000009</v>
      </c>
    </row>
    <row r="534" spans="2:32" ht="27">
      <c r="B534" s="313" t="s">
        <v>54</v>
      </c>
      <c r="C534" s="339" t="s">
        <v>706</v>
      </c>
      <c r="D534" s="51"/>
      <c r="E534" s="51"/>
      <c r="F534" s="85">
        <f t="shared" si="463"/>
        <v>0</v>
      </c>
      <c r="G534" s="24"/>
      <c r="H534" s="51"/>
      <c r="I534" s="51"/>
      <c r="J534" s="49">
        <f t="shared" si="464"/>
        <v>0</v>
      </c>
      <c r="K534" s="24"/>
      <c r="L534" s="51"/>
      <c r="M534" s="51"/>
      <c r="N534" s="49">
        <f t="shared" si="465"/>
        <v>0</v>
      </c>
      <c r="O534" s="24"/>
      <c r="P534" s="51">
        <v>0.35416666666666669</v>
      </c>
      <c r="Q534" s="51">
        <v>0.72916666666666663</v>
      </c>
      <c r="R534" s="49">
        <f t="shared" si="466"/>
        <v>8.9999999999999982</v>
      </c>
      <c r="S534" s="24"/>
      <c r="T534" s="51"/>
      <c r="U534" s="51"/>
      <c r="V534" s="49">
        <f t="shared" si="467"/>
        <v>0</v>
      </c>
      <c r="W534" s="24"/>
      <c r="X534" s="51"/>
      <c r="Y534" s="51"/>
      <c r="Z534" s="49">
        <f t="shared" si="468"/>
        <v>0</v>
      </c>
      <c r="AA534" s="24"/>
      <c r="AB534" s="51"/>
      <c r="AC534" s="51"/>
      <c r="AD534" s="49">
        <f t="shared" si="469"/>
        <v>0</v>
      </c>
      <c r="AE534" s="24"/>
      <c r="AF534" s="29">
        <f t="shared" si="470"/>
        <v>8.9999999999999982</v>
      </c>
    </row>
    <row r="535" spans="2:32" ht="27">
      <c r="B535" s="313" t="s">
        <v>576</v>
      </c>
      <c r="C535" s="339" t="s">
        <v>707</v>
      </c>
      <c r="D535" s="51"/>
      <c r="E535" s="51"/>
      <c r="F535" s="85"/>
      <c r="G535" s="24"/>
      <c r="H535" s="51"/>
      <c r="I535" s="51"/>
      <c r="J535" s="49"/>
      <c r="K535" s="24"/>
      <c r="L535" s="51"/>
      <c r="M535" s="51"/>
      <c r="N535" s="49"/>
      <c r="O535" s="24"/>
      <c r="P535" s="51">
        <v>0.41666666666666669</v>
      </c>
      <c r="Q535" s="51">
        <v>0.70833333333333337</v>
      </c>
      <c r="R535" s="49">
        <f>(Q535-P535)*24</f>
        <v>7</v>
      </c>
      <c r="S535" s="24"/>
      <c r="T535" s="51"/>
      <c r="U535" s="51"/>
      <c r="V535" s="49">
        <f>(U535-T535)*24</f>
        <v>0</v>
      </c>
      <c r="W535" s="24"/>
      <c r="X535" s="51"/>
      <c r="Y535" s="51"/>
      <c r="Z535" s="49">
        <f>(Y535-X535)*24</f>
        <v>0</v>
      </c>
      <c r="AA535" s="24"/>
      <c r="AB535" s="51"/>
      <c r="AC535" s="51"/>
      <c r="AD535" s="49">
        <f>(AC535-AB535)*24</f>
        <v>0</v>
      </c>
      <c r="AE535" s="24"/>
      <c r="AF535" s="29">
        <f>J535+F535+N535+R535+V535+Z535+AD535</f>
        <v>7</v>
      </c>
    </row>
    <row r="536" spans="2:32" ht="27">
      <c r="B536" s="313" t="s">
        <v>54</v>
      </c>
      <c r="C536" s="339" t="s">
        <v>707</v>
      </c>
      <c r="D536" s="51"/>
      <c r="E536" s="51"/>
      <c r="F536" s="85">
        <f t="shared" si="463"/>
        <v>0</v>
      </c>
      <c r="G536" s="24"/>
      <c r="H536" s="51"/>
      <c r="I536" s="51"/>
      <c r="J536" s="49">
        <f t="shared" si="464"/>
        <v>0</v>
      </c>
      <c r="K536" s="24"/>
      <c r="L536" s="51"/>
      <c r="M536" s="51"/>
      <c r="N536" s="49">
        <f t="shared" si="465"/>
        <v>0</v>
      </c>
      <c r="O536" s="24"/>
      <c r="P536" s="51">
        <v>0.41666666666666669</v>
      </c>
      <c r="Q536" s="51">
        <v>0.70833333333333337</v>
      </c>
      <c r="R536" s="49">
        <f t="shared" si="466"/>
        <v>7</v>
      </c>
      <c r="S536" s="24"/>
      <c r="T536" s="51"/>
      <c r="U536" s="51"/>
      <c r="V536" s="49">
        <f t="shared" si="467"/>
        <v>0</v>
      </c>
      <c r="W536" s="24"/>
      <c r="X536" s="51"/>
      <c r="Y536" s="51"/>
      <c r="Z536" s="49">
        <f t="shared" si="468"/>
        <v>0</v>
      </c>
      <c r="AA536" s="24"/>
      <c r="AB536" s="51"/>
      <c r="AC536" s="51"/>
      <c r="AD536" s="49">
        <f t="shared" si="469"/>
        <v>0</v>
      </c>
      <c r="AE536" s="24"/>
      <c r="AF536" s="29">
        <f t="shared" si="470"/>
        <v>7</v>
      </c>
    </row>
    <row r="537" spans="2:32" ht="14.25">
      <c r="B537" s="63" t="s">
        <v>61</v>
      </c>
      <c r="C537" s="63"/>
      <c r="D537" s="51"/>
      <c r="E537" s="51"/>
      <c r="F537" s="85">
        <f t="shared" si="463"/>
        <v>0</v>
      </c>
      <c r="G537" s="24"/>
      <c r="H537" s="51"/>
      <c r="I537" s="51"/>
      <c r="J537" s="49">
        <f t="shared" si="464"/>
        <v>0</v>
      </c>
      <c r="K537" s="24"/>
      <c r="L537" s="51"/>
      <c r="M537" s="51"/>
      <c r="N537" s="49">
        <f t="shared" si="465"/>
        <v>0</v>
      </c>
      <c r="O537" s="24"/>
      <c r="P537" s="51"/>
      <c r="Q537" s="51"/>
      <c r="R537" s="49">
        <f t="shared" si="466"/>
        <v>0</v>
      </c>
      <c r="S537" s="24"/>
      <c r="T537" s="51"/>
      <c r="U537" s="51"/>
      <c r="V537" s="49">
        <f t="shared" si="467"/>
        <v>0</v>
      </c>
      <c r="W537" s="24"/>
      <c r="X537" s="51"/>
      <c r="Y537" s="51"/>
      <c r="Z537" s="49">
        <f t="shared" si="468"/>
        <v>0</v>
      </c>
      <c r="AA537" s="24"/>
      <c r="AB537" s="51"/>
      <c r="AC537" s="51"/>
      <c r="AD537" s="49">
        <f t="shared" si="469"/>
        <v>0</v>
      </c>
      <c r="AE537" s="24"/>
      <c r="AF537" s="30">
        <f>SUM(AF529:AF536)</f>
        <v>52.25</v>
      </c>
    </row>
    <row r="538" spans="2:32">
      <c r="B538" s="31" t="s">
        <v>577</v>
      </c>
      <c r="C538" s="31"/>
      <c r="D538" s="91"/>
      <c r="E538" s="91"/>
      <c r="F538" s="90"/>
      <c r="G538" s="91"/>
      <c r="H538" s="91"/>
      <c r="I538" s="91"/>
      <c r="J538" s="90"/>
      <c r="K538" s="91"/>
      <c r="L538" s="91"/>
      <c r="M538" s="91"/>
      <c r="N538" s="90"/>
      <c r="O538" s="91"/>
      <c r="P538" s="91"/>
      <c r="Q538" s="91"/>
      <c r="R538" s="90"/>
      <c r="S538" s="91"/>
      <c r="T538" s="91"/>
      <c r="U538" s="91"/>
      <c r="V538" s="90"/>
      <c r="W538" s="91"/>
      <c r="X538" s="91"/>
      <c r="Y538" s="91"/>
      <c r="Z538" s="90"/>
      <c r="AA538" s="91"/>
      <c r="AB538" s="91"/>
      <c r="AC538" s="91"/>
      <c r="AD538" s="91"/>
      <c r="AE538" s="352"/>
      <c r="AF538" s="28"/>
    </row>
    <row r="539" spans="2:32">
      <c r="B539" s="31" t="s">
        <v>578</v>
      </c>
      <c r="C539" s="31"/>
      <c r="D539" s="91"/>
      <c r="E539" s="91"/>
      <c r="F539" s="90"/>
      <c r="G539" s="91"/>
      <c r="H539" s="91"/>
      <c r="I539" s="91"/>
      <c r="J539" s="90"/>
      <c r="K539" s="91"/>
      <c r="L539" s="91"/>
      <c r="M539" s="91"/>
      <c r="N539" s="90"/>
      <c r="O539" s="91"/>
      <c r="P539" s="91"/>
      <c r="Q539" s="91"/>
      <c r="R539" s="90"/>
      <c r="S539" s="91"/>
      <c r="T539" s="91"/>
      <c r="U539" s="91"/>
      <c r="V539" s="90"/>
      <c r="W539" s="91"/>
      <c r="X539" s="91"/>
      <c r="Y539" s="91"/>
      <c r="Z539" s="90"/>
      <c r="AA539" s="91"/>
      <c r="AB539" s="91"/>
      <c r="AC539" s="91"/>
      <c r="AD539" s="91"/>
      <c r="AE539" s="352"/>
      <c r="AF539" s="28">
        <f>SUM(D539:AD539)</f>
        <v>0</v>
      </c>
    </row>
    <row r="540" spans="2:32" ht="14.25" thickBot="1">
      <c r="B540" s="74" t="s">
        <v>579</v>
      </c>
      <c r="C540" s="74"/>
      <c r="D540" s="95"/>
      <c r="E540" s="95"/>
      <c r="F540" s="96"/>
      <c r="G540" s="95"/>
      <c r="H540" s="95"/>
      <c r="I540" s="95"/>
      <c r="J540" s="96"/>
      <c r="K540" s="95"/>
      <c r="L540" s="95"/>
      <c r="M540" s="95"/>
      <c r="N540" s="96"/>
      <c r="O540" s="95"/>
      <c r="P540" s="95"/>
      <c r="Q540" s="95"/>
      <c r="R540" s="96"/>
      <c r="S540" s="95"/>
      <c r="T540" s="95"/>
      <c r="U540" s="95"/>
      <c r="V540" s="96"/>
      <c r="W540" s="97"/>
      <c r="X540" s="97"/>
      <c r="Y540" s="97"/>
      <c r="Z540" s="96"/>
      <c r="AA540" s="97"/>
      <c r="AB540" s="97"/>
      <c r="AC540" s="97"/>
      <c r="AD540" s="97"/>
      <c r="AE540" s="97"/>
      <c r="AF540" s="80">
        <f>SUM(D540:AD540)</f>
        <v>0</v>
      </c>
    </row>
    <row r="541" spans="2:32" ht="14.25" thickTop="1"/>
    <row r="542" spans="2:32" ht="14.1" customHeight="1"/>
    <row r="543" spans="2:32" ht="13.35" customHeight="1"/>
  </sheetData>
  <autoFilter ref="A230:F540" xr:uid="{00000000-0009-0000-0000-00000C000000}"/>
  <mergeCells count="363">
    <mergeCell ref="AF527:AF528"/>
    <mergeCell ref="B527:B528"/>
    <mergeCell ref="C527:C528"/>
    <mergeCell ref="D527:F527"/>
    <mergeCell ref="H527:J527"/>
    <mergeCell ref="L527:N527"/>
    <mergeCell ref="P527:R527"/>
    <mergeCell ref="T527:V527"/>
    <mergeCell ref="X527:Z527"/>
    <mergeCell ref="AB527:AD527"/>
    <mergeCell ref="AF496:AF497"/>
    <mergeCell ref="B513:B514"/>
    <mergeCell ref="C513:C514"/>
    <mergeCell ref="D513:F513"/>
    <mergeCell ref="H513:J513"/>
    <mergeCell ref="L513:N513"/>
    <mergeCell ref="P513:R513"/>
    <mergeCell ref="T513:V513"/>
    <mergeCell ref="X513:Z513"/>
    <mergeCell ref="AB513:AD513"/>
    <mergeCell ref="AF513:AF514"/>
    <mergeCell ref="B496:B497"/>
    <mergeCell ref="C496:C497"/>
    <mergeCell ref="D496:F496"/>
    <mergeCell ref="H496:J496"/>
    <mergeCell ref="L496:N496"/>
    <mergeCell ref="P496:R496"/>
    <mergeCell ref="T496:V496"/>
    <mergeCell ref="X496:Z496"/>
    <mergeCell ref="AB496:AD496"/>
    <mergeCell ref="AF483:AF484"/>
    <mergeCell ref="B483:B484"/>
    <mergeCell ref="C483:C484"/>
    <mergeCell ref="D483:F483"/>
    <mergeCell ref="H483:J483"/>
    <mergeCell ref="L483:N483"/>
    <mergeCell ref="P483:R483"/>
    <mergeCell ref="T483:V483"/>
    <mergeCell ref="X483:Z483"/>
    <mergeCell ref="AB483:AD483"/>
    <mergeCell ref="AF455:AF456"/>
    <mergeCell ref="B470:B471"/>
    <mergeCell ref="C470:C471"/>
    <mergeCell ref="D470:F470"/>
    <mergeCell ref="H470:J470"/>
    <mergeCell ref="L470:N470"/>
    <mergeCell ref="P470:R470"/>
    <mergeCell ref="T470:V470"/>
    <mergeCell ref="X470:Z470"/>
    <mergeCell ref="AB470:AD470"/>
    <mergeCell ref="AF470:AF471"/>
    <mergeCell ref="B455:B456"/>
    <mergeCell ref="C455:C456"/>
    <mergeCell ref="D455:F455"/>
    <mergeCell ref="H455:J455"/>
    <mergeCell ref="L455:N455"/>
    <mergeCell ref="P455:R455"/>
    <mergeCell ref="T455:V455"/>
    <mergeCell ref="X455:Z455"/>
    <mergeCell ref="AB455:AD455"/>
    <mergeCell ref="AF422:AF423"/>
    <mergeCell ref="B435:B436"/>
    <mergeCell ref="C435:C436"/>
    <mergeCell ref="D435:F435"/>
    <mergeCell ref="H435:J435"/>
    <mergeCell ref="L435:N435"/>
    <mergeCell ref="P435:R435"/>
    <mergeCell ref="T435:V435"/>
    <mergeCell ref="X435:Z435"/>
    <mergeCell ref="AB435:AD435"/>
    <mergeCell ref="AF435:AF436"/>
    <mergeCell ref="B422:B423"/>
    <mergeCell ref="C422:C423"/>
    <mergeCell ref="D422:F422"/>
    <mergeCell ref="H422:J422"/>
    <mergeCell ref="L422:N422"/>
    <mergeCell ref="P422:R422"/>
    <mergeCell ref="T422:V422"/>
    <mergeCell ref="X422:Z422"/>
    <mergeCell ref="AB422:AD422"/>
    <mergeCell ref="AF102:AF103"/>
    <mergeCell ref="B119:B120"/>
    <mergeCell ref="C119:C120"/>
    <mergeCell ref="D119:F119"/>
    <mergeCell ref="H119:J119"/>
    <mergeCell ref="L119:N119"/>
    <mergeCell ref="P119:R119"/>
    <mergeCell ref="T119:V119"/>
    <mergeCell ref="X119:Z119"/>
    <mergeCell ref="AB119:AD119"/>
    <mergeCell ref="AF119:AF120"/>
    <mergeCell ref="B102:B103"/>
    <mergeCell ref="C102:C103"/>
    <mergeCell ref="D102:F102"/>
    <mergeCell ref="H102:J102"/>
    <mergeCell ref="L102:N102"/>
    <mergeCell ref="P102:R102"/>
    <mergeCell ref="T102:V102"/>
    <mergeCell ref="X102:Z102"/>
    <mergeCell ref="AB102:AD102"/>
    <mergeCell ref="AF72:AF73"/>
    <mergeCell ref="B85:B86"/>
    <mergeCell ref="C85:C86"/>
    <mergeCell ref="D85:F85"/>
    <mergeCell ref="H85:J85"/>
    <mergeCell ref="L85:N85"/>
    <mergeCell ref="P85:R85"/>
    <mergeCell ref="T85:V85"/>
    <mergeCell ref="X85:Z85"/>
    <mergeCell ref="AB85:AD85"/>
    <mergeCell ref="AF85:AF86"/>
    <mergeCell ref="B72:B73"/>
    <mergeCell ref="C72:C73"/>
    <mergeCell ref="D72:F72"/>
    <mergeCell ref="H72:J72"/>
    <mergeCell ref="L72:N72"/>
    <mergeCell ref="P72:R72"/>
    <mergeCell ref="T72:V72"/>
    <mergeCell ref="X72:Z72"/>
    <mergeCell ref="AB72:AD72"/>
    <mergeCell ref="X50:Z50"/>
    <mergeCell ref="AB50:AD50"/>
    <mergeCell ref="AF50:AF51"/>
    <mergeCell ref="B61:B62"/>
    <mergeCell ref="C61:C62"/>
    <mergeCell ref="D61:F61"/>
    <mergeCell ref="H61:J61"/>
    <mergeCell ref="L61:N61"/>
    <mergeCell ref="P61:R61"/>
    <mergeCell ref="T61:V61"/>
    <mergeCell ref="X61:Z61"/>
    <mergeCell ref="AB61:AD61"/>
    <mergeCell ref="AF61:AF62"/>
    <mergeCell ref="B50:B51"/>
    <mergeCell ref="D50:F50"/>
    <mergeCell ref="H50:J50"/>
    <mergeCell ref="L50:N50"/>
    <mergeCell ref="P50:R50"/>
    <mergeCell ref="T50:V50"/>
    <mergeCell ref="C50:C51"/>
    <mergeCell ref="AF39:AF40"/>
    <mergeCell ref="T26:V26"/>
    <mergeCell ref="C26:C27"/>
    <mergeCell ref="X26:Z26"/>
    <mergeCell ref="AB26:AD26"/>
    <mergeCell ref="AB39:AD39"/>
    <mergeCell ref="B39:B40"/>
    <mergeCell ref="D39:F39"/>
    <mergeCell ref="H39:J39"/>
    <mergeCell ref="L39:N39"/>
    <mergeCell ref="P39:R39"/>
    <mergeCell ref="T39:V39"/>
    <mergeCell ref="C39:C40"/>
    <mergeCell ref="X39:Z39"/>
    <mergeCell ref="B26:B27"/>
    <mergeCell ref="D26:F26"/>
    <mergeCell ref="H26:J26"/>
    <mergeCell ref="L26:N26"/>
    <mergeCell ref="P26:R26"/>
    <mergeCell ref="AF26:AF27"/>
    <mergeCell ref="AF15:AF16"/>
    <mergeCell ref="Q1:AG1"/>
    <mergeCell ref="P3:R3"/>
    <mergeCell ref="T3:V3"/>
    <mergeCell ref="X3:Z3"/>
    <mergeCell ref="D15:F15"/>
    <mergeCell ref="H15:J15"/>
    <mergeCell ref="L15:N15"/>
    <mergeCell ref="P15:R15"/>
    <mergeCell ref="AB3:AD3"/>
    <mergeCell ref="AF3:AF4"/>
    <mergeCell ref="L3:N3"/>
    <mergeCell ref="A3:A4"/>
    <mergeCell ref="B3:B4"/>
    <mergeCell ref="C3:C4"/>
    <mergeCell ref="D3:F3"/>
    <mergeCell ref="H3:J3"/>
    <mergeCell ref="T15:V15"/>
    <mergeCell ref="X15:Z15"/>
    <mergeCell ref="AB15:AD15"/>
    <mergeCell ref="B15:B16"/>
    <mergeCell ref="C15:C16"/>
    <mergeCell ref="AF139:AF140"/>
    <mergeCell ref="B139:B140"/>
    <mergeCell ref="C139:C140"/>
    <mergeCell ref="D139:F139"/>
    <mergeCell ref="H139:J139"/>
    <mergeCell ref="L139:N139"/>
    <mergeCell ref="P139:R139"/>
    <mergeCell ref="T139:V139"/>
    <mergeCell ref="X139:Z139"/>
    <mergeCell ref="AB139:AD139"/>
    <mergeCell ref="AF159:AF160"/>
    <mergeCell ref="B173:B174"/>
    <mergeCell ref="C173:C174"/>
    <mergeCell ref="D173:F173"/>
    <mergeCell ref="H173:J173"/>
    <mergeCell ref="L173:N173"/>
    <mergeCell ref="P173:R173"/>
    <mergeCell ref="T173:V173"/>
    <mergeCell ref="X173:Z173"/>
    <mergeCell ref="AB173:AD173"/>
    <mergeCell ref="AF173:AF174"/>
    <mergeCell ref="B159:B160"/>
    <mergeCell ref="C159:C160"/>
    <mergeCell ref="D159:F159"/>
    <mergeCell ref="H159:J159"/>
    <mergeCell ref="L159:N159"/>
    <mergeCell ref="P159:R159"/>
    <mergeCell ref="T159:V159"/>
    <mergeCell ref="X159:Z159"/>
    <mergeCell ref="AB159:AD159"/>
    <mergeCell ref="T202:V202"/>
    <mergeCell ref="X202:Z202"/>
    <mergeCell ref="AB202:AD202"/>
    <mergeCell ref="AF184:AF185"/>
    <mergeCell ref="B184:B185"/>
    <mergeCell ref="C184:C185"/>
    <mergeCell ref="D184:F184"/>
    <mergeCell ref="H184:J184"/>
    <mergeCell ref="L184:N184"/>
    <mergeCell ref="P184:R184"/>
    <mergeCell ref="T184:V184"/>
    <mergeCell ref="X184:Z184"/>
    <mergeCell ref="AB184:AD184"/>
    <mergeCell ref="L235:N235"/>
    <mergeCell ref="P235:R235"/>
    <mergeCell ref="T235:V235"/>
    <mergeCell ref="X235:Z235"/>
    <mergeCell ref="AB235:AD235"/>
    <mergeCell ref="B259:B260"/>
    <mergeCell ref="C259:C260"/>
    <mergeCell ref="AF202:AF203"/>
    <mergeCell ref="B219:B220"/>
    <mergeCell ref="C219:C220"/>
    <mergeCell ref="D219:F219"/>
    <mergeCell ref="H219:J219"/>
    <mergeCell ref="L219:N219"/>
    <mergeCell ref="P219:R219"/>
    <mergeCell ref="T219:V219"/>
    <mergeCell ref="X219:Z219"/>
    <mergeCell ref="AB219:AD219"/>
    <mergeCell ref="AF219:AF220"/>
    <mergeCell ref="B202:B203"/>
    <mergeCell ref="C202:C203"/>
    <mergeCell ref="D202:F202"/>
    <mergeCell ref="H202:J202"/>
    <mergeCell ref="L202:N202"/>
    <mergeCell ref="P202:R202"/>
    <mergeCell ref="D259:F259"/>
    <mergeCell ref="H259:J259"/>
    <mergeCell ref="L259:N259"/>
    <mergeCell ref="P259:R259"/>
    <mergeCell ref="T259:V259"/>
    <mergeCell ref="X259:Z259"/>
    <mergeCell ref="AB259:AD259"/>
    <mergeCell ref="AF259:AF260"/>
    <mergeCell ref="A236:A237"/>
    <mergeCell ref="AF235:AF236"/>
    <mergeCell ref="B246:B247"/>
    <mergeCell ref="C246:C247"/>
    <mergeCell ref="D246:F246"/>
    <mergeCell ref="H246:J246"/>
    <mergeCell ref="L246:N246"/>
    <mergeCell ref="P246:R246"/>
    <mergeCell ref="T246:V246"/>
    <mergeCell ref="X246:Z246"/>
    <mergeCell ref="AB246:AD246"/>
    <mergeCell ref="AF246:AF247"/>
    <mergeCell ref="B235:B236"/>
    <mergeCell ref="C235:C236"/>
    <mergeCell ref="D235:F235"/>
    <mergeCell ref="H235:J235"/>
    <mergeCell ref="AF272:AF273"/>
    <mergeCell ref="B285:B286"/>
    <mergeCell ref="C285:C286"/>
    <mergeCell ref="D285:F285"/>
    <mergeCell ref="H285:J285"/>
    <mergeCell ref="L285:N285"/>
    <mergeCell ref="P285:R285"/>
    <mergeCell ref="T285:V285"/>
    <mergeCell ref="X285:Z285"/>
    <mergeCell ref="AB285:AD285"/>
    <mergeCell ref="AF285:AF286"/>
    <mergeCell ref="B272:B273"/>
    <mergeCell ref="C272:C273"/>
    <mergeCell ref="D272:F272"/>
    <mergeCell ref="H272:J272"/>
    <mergeCell ref="L272:N272"/>
    <mergeCell ref="P272:R272"/>
    <mergeCell ref="T272:V272"/>
    <mergeCell ref="X272:Z272"/>
    <mergeCell ref="AB272:AD272"/>
    <mergeCell ref="AF303:AF304"/>
    <mergeCell ref="B316:B317"/>
    <mergeCell ref="C316:C317"/>
    <mergeCell ref="D316:F316"/>
    <mergeCell ref="H316:J316"/>
    <mergeCell ref="L316:N316"/>
    <mergeCell ref="P316:R316"/>
    <mergeCell ref="T316:V316"/>
    <mergeCell ref="X316:Z316"/>
    <mergeCell ref="AB316:AD316"/>
    <mergeCell ref="AF316:AF317"/>
    <mergeCell ref="B303:B304"/>
    <mergeCell ref="C303:C304"/>
    <mergeCell ref="D303:F303"/>
    <mergeCell ref="H303:J303"/>
    <mergeCell ref="L303:N303"/>
    <mergeCell ref="P303:R303"/>
    <mergeCell ref="T303:V303"/>
    <mergeCell ref="X303:Z303"/>
    <mergeCell ref="AB303:AD303"/>
    <mergeCell ref="AF337:AF338"/>
    <mergeCell ref="B337:B338"/>
    <mergeCell ref="C337:C338"/>
    <mergeCell ref="D337:F337"/>
    <mergeCell ref="H337:J337"/>
    <mergeCell ref="L337:N337"/>
    <mergeCell ref="P337:R337"/>
    <mergeCell ref="T337:V337"/>
    <mergeCell ref="X337:Z337"/>
    <mergeCell ref="AB337:AD337"/>
    <mergeCell ref="AF358:AF359"/>
    <mergeCell ref="B379:B380"/>
    <mergeCell ref="C379:C380"/>
    <mergeCell ref="D379:F379"/>
    <mergeCell ref="H379:J379"/>
    <mergeCell ref="L379:N379"/>
    <mergeCell ref="P379:R379"/>
    <mergeCell ref="T379:V379"/>
    <mergeCell ref="X379:Z379"/>
    <mergeCell ref="AB379:AD379"/>
    <mergeCell ref="AF379:AF380"/>
    <mergeCell ref="B358:B359"/>
    <mergeCell ref="C358:C359"/>
    <mergeCell ref="D358:F358"/>
    <mergeCell ref="H358:J358"/>
    <mergeCell ref="L358:N358"/>
    <mergeCell ref="P358:R358"/>
    <mergeCell ref="T358:V358"/>
    <mergeCell ref="X358:Z358"/>
    <mergeCell ref="AB358:AD358"/>
    <mergeCell ref="AF389:AF390"/>
    <mergeCell ref="B405:B406"/>
    <mergeCell ref="C405:C406"/>
    <mergeCell ref="D405:F405"/>
    <mergeCell ref="H405:J405"/>
    <mergeCell ref="L405:N405"/>
    <mergeCell ref="P405:R405"/>
    <mergeCell ref="T405:V405"/>
    <mergeCell ref="X405:Z405"/>
    <mergeCell ref="AB405:AD405"/>
    <mergeCell ref="AF405:AF406"/>
    <mergeCell ref="B389:B390"/>
    <mergeCell ref="C389:C390"/>
    <mergeCell ref="D389:F389"/>
    <mergeCell ref="H389:J389"/>
    <mergeCell ref="L389:N389"/>
    <mergeCell ref="P389:R389"/>
    <mergeCell ref="T389:V389"/>
    <mergeCell ref="X389:Z389"/>
    <mergeCell ref="AB389:AD389"/>
  </mergeCells>
  <phoneticPr fontId="9" type="noConversion"/>
  <pageMargins left="0.7" right="0.7" top="0.75" bottom="0.75" header="0.3" footer="0.3"/>
  <pageSetup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2">
    <tabColor rgb="FF92D050"/>
  </sheetPr>
  <dimension ref="A1:BC911"/>
  <sheetViews>
    <sheetView topLeftCell="B875" zoomScaleNormal="100" workbookViewId="0"/>
  </sheetViews>
  <sheetFormatPr defaultRowHeight="13.5"/>
  <cols>
    <col min="1" max="1" width="12.5703125" hidden="1" customWidth="1"/>
    <col min="2" max="2" width="25.42578125" customWidth="1"/>
    <col min="3" max="3" width="25.42578125" style="422" customWidth="1"/>
    <col min="4" max="5" width="8.5703125" style="1"/>
    <col min="6" max="6" width="9" style="89" customWidth="1"/>
    <col min="7" max="7" width="1" style="2" customWidth="1"/>
    <col min="8" max="9" width="8.5703125" style="1"/>
    <col min="10" max="10" width="9" style="2" customWidth="1"/>
    <col min="11" max="11" width="1" style="2" customWidth="1"/>
    <col min="12" max="12" width="8.5703125" style="423"/>
    <col min="13" max="13" width="8.5703125" style="1"/>
    <col min="14" max="14" width="9" style="2" customWidth="1"/>
    <col min="15" max="15" width="1" style="3" customWidth="1"/>
    <col min="16" max="17" width="8.5703125" style="1" bestFit="1" customWidth="1"/>
    <col min="18" max="18" width="9" style="2" customWidth="1"/>
    <col min="19" max="19" width="1" style="3" customWidth="1"/>
    <col min="20" max="21" width="8.5703125" style="1"/>
    <col min="22" max="22" width="9" style="2" customWidth="1"/>
    <col min="23" max="23" width="1" style="2" customWidth="1"/>
    <col min="24" max="25" width="8.5703125" style="1"/>
    <col min="26" max="26" width="9" style="2" customWidth="1"/>
    <col min="27" max="27" width="1" style="3" customWidth="1"/>
    <col min="28" max="29" width="8.5703125" style="1"/>
    <col min="30" max="30" width="9" style="2" customWidth="1"/>
    <col min="31" max="31" width="1" style="3" customWidth="1"/>
    <col min="32" max="32" width="9" style="2" customWidth="1"/>
    <col min="33" max="33" width="1" style="2" customWidth="1"/>
    <col min="34" max="55" width="8.5703125" style="1"/>
  </cols>
  <sheetData>
    <row r="1" spans="1:33" s="1" customFormat="1" ht="55.5" customHeight="1">
      <c r="C1" s="420"/>
      <c r="F1" s="84"/>
      <c r="G1" s="3"/>
      <c r="J1" s="3"/>
      <c r="K1" s="3"/>
      <c r="L1" s="423"/>
      <c r="N1" s="3"/>
      <c r="O1" s="3"/>
      <c r="Q1" s="1529" t="s">
        <v>183</v>
      </c>
      <c r="R1" s="1529"/>
      <c r="S1" s="1529"/>
      <c r="T1" s="1529"/>
      <c r="U1" s="1529"/>
      <c r="V1" s="1529"/>
      <c r="W1" s="1529"/>
      <c r="X1" s="1529"/>
      <c r="Y1" s="1529"/>
      <c r="Z1" s="1529"/>
      <c r="AA1" s="1529"/>
      <c r="AB1" s="1529"/>
      <c r="AC1" s="1529"/>
      <c r="AD1" s="1529"/>
      <c r="AE1" s="1529"/>
      <c r="AF1" s="1529"/>
      <c r="AG1" s="1529"/>
    </row>
    <row r="2" spans="1:33" s="1" customFormat="1" ht="21.75" customHeight="1">
      <c r="C2" s="420"/>
      <c r="E2" s="1" t="s">
        <v>564</v>
      </c>
      <c r="F2" s="84"/>
      <c r="G2" s="3"/>
      <c r="I2" s="1" t="s">
        <v>565</v>
      </c>
      <c r="J2" s="3"/>
      <c r="K2" s="3"/>
      <c r="L2" s="423"/>
      <c r="M2" s="1" t="s">
        <v>566</v>
      </c>
      <c r="N2" s="3"/>
      <c r="O2" s="3"/>
      <c r="Q2" s="1" t="s">
        <v>567</v>
      </c>
      <c r="R2" s="100"/>
      <c r="S2" s="100"/>
      <c r="T2" s="100"/>
      <c r="U2" s="1" t="s">
        <v>568</v>
      </c>
      <c r="V2" s="100"/>
      <c r="W2" s="100"/>
      <c r="X2" s="100"/>
      <c r="Y2" s="1" t="s">
        <v>569</v>
      </c>
      <c r="Z2" s="100"/>
      <c r="AA2" s="100"/>
      <c r="AB2" s="100"/>
      <c r="AC2" s="1" t="s">
        <v>570</v>
      </c>
      <c r="AD2" s="100"/>
      <c r="AE2" s="100"/>
      <c r="AF2" s="100"/>
      <c r="AG2" s="100"/>
    </row>
    <row r="3" spans="1:33" ht="13.5" customHeight="1">
      <c r="A3" s="1528" t="s">
        <v>119</v>
      </c>
      <c r="B3" s="1518" t="s">
        <v>18</v>
      </c>
      <c r="C3" s="1528" t="s">
        <v>708</v>
      </c>
      <c r="D3" s="1524">
        <v>45292</v>
      </c>
      <c r="E3" s="1524"/>
      <c r="F3" s="1524"/>
      <c r="G3" s="22"/>
      <c r="H3" s="1524">
        <f>D3+1</f>
        <v>45293</v>
      </c>
      <c r="I3" s="1524"/>
      <c r="J3" s="1524"/>
      <c r="K3" s="22"/>
      <c r="L3" s="1524">
        <f>H3+1</f>
        <v>45294</v>
      </c>
      <c r="M3" s="1524"/>
      <c r="N3" s="1524"/>
      <c r="P3" s="1524">
        <f>L3+1</f>
        <v>45295</v>
      </c>
      <c r="Q3" s="1524"/>
      <c r="R3" s="1524"/>
      <c r="T3" s="1524">
        <f>P3+1</f>
        <v>45296</v>
      </c>
      <c r="U3" s="1524"/>
      <c r="V3" s="1524"/>
      <c r="W3" s="22"/>
      <c r="X3" s="1524">
        <f>T3+1</f>
        <v>45297</v>
      </c>
      <c r="Y3" s="1524"/>
      <c r="Z3" s="1524"/>
      <c r="AB3" s="1524">
        <f>X3+1</f>
        <v>45298</v>
      </c>
      <c r="AC3" s="1524"/>
      <c r="AD3" s="1524"/>
      <c r="AF3" s="1517" t="s">
        <v>19</v>
      </c>
      <c r="AG3" s="22"/>
    </row>
    <row r="4" spans="1:33">
      <c r="A4" s="1528"/>
      <c r="B4" s="1518"/>
      <c r="C4" s="1528"/>
      <c r="D4" s="21" t="s">
        <v>23</v>
      </c>
      <c r="E4" s="21" t="s">
        <v>24</v>
      </c>
      <c r="F4" s="62" t="s">
        <v>25</v>
      </c>
      <c r="G4" s="23"/>
      <c r="H4" s="21" t="s">
        <v>23</v>
      </c>
      <c r="I4" s="21" t="s">
        <v>24</v>
      </c>
      <c r="J4" s="18" t="s">
        <v>25</v>
      </c>
      <c r="K4" s="23"/>
      <c r="L4" s="21" t="s">
        <v>23</v>
      </c>
      <c r="M4" s="21" t="s">
        <v>24</v>
      </c>
      <c r="N4" s="18" t="s">
        <v>25</v>
      </c>
      <c r="P4" s="21" t="s">
        <v>23</v>
      </c>
      <c r="Q4" s="21" t="s">
        <v>24</v>
      </c>
      <c r="R4" s="18" t="s">
        <v>25</v>
      </c>
      <c r="T4" s="21" t="s">
        <v>23</v>
      </c>
      <c r="U4" s="21" t="s">
        <v>24</v>
      </c>
      <c r="V4" s="18" t="s">
        <v>25</v>
      </c>
      <c r="W4" s="23"/>
      <c r="X4" s="21" t="s">
        <v>23</v>
      </c>
      <c r="Y4" s="21" t="s">
        <v>24</v>
      </c>
      <c r="Z4" s="18" t="s">
        <v>25</v>
      </c>
      <c r="AB4" s="21" t="s">
        <v>23</v>
      </c>
      <c r="AC4" s="21" t="s">
        <v>24</v>
      </c>
      <c r="AD4" s="18" t="s">
        <v>25</v>
      </c>
      <c r="AF4" s="1517"/>
      <c r="AG4" s="23"/>
    </row>
    <row r="5" spans="1:33" ht="14.25">
      <c r="A5" s="8" t="s">
        <v>123</v>
      </c>
      <c r="B5" s="313" t="s">
        <v>576</v>
      </c>
      <c r="C5" s="339" t="s">
        <v>702</v>
      </c>
      <c r="D5" s="51"/>
      <c r="E5" s="51"/>
      <c r="F5" s="85">
        <f t="shared" ref="F5:F13" si="0">(E5-D5)*24</f>
        <v>0</v>
      </c>
      <c r="G5" s="24"/>
      <c r="H5" s="51">
        <v>0.5</v>
      </c>
      <c r="I5" s="51">
        <v>0.58333333333333337</v>
      </c>
      <c r="J5" s="49">
        <f t="shared" ref="J5:J13" si="1">(I5-H5)*24</f>
        <v>2.0000000000000009</v>
      </c>
      <c r="K5" s="24"/>
      <c r="L5" s="424"/>
      <c r="M5" s="51"/>
      <c r="N5" s="49">
        <f t="shared" ref="N5:N13" si="2">(M5-L5)*24</f>
        <v>0</v>
      </c>
      <c r="O5" s="24"/>
      <c r="P5" s="51"/>
      <c r="Q5" s="51"/>
      <c r="R5" s="49">
        <f t="shared" ref="R5:R13" si="3">(Q5-P5)*24</f>
        <v>0</v>
      </c>
      <c r="S5" s="24"/>
      <c r="T5" s="51"/>
      <c r="U5" s="51"/>
      <c r="V5" s="49">
        <f>(U5-T5)*24</f>
        <v>0</v>
      </c>
      <c r="W5" s="24"/>
      <c r="X5" s="48"/>
      <c r="Y5" s="48"/>
      <c r="Z5" s="49">
        <f>(Y5-X5)*24</f>
        <v>0</v>
      </c>
      <c r="AB5" s="48"/>
      <c r="AC5" s="48"/>
      <c r="AD5" s="49">
        <f>(AC5-AB5)*24</f>
        <v>0</v>
      </c>
      <c r="AF5" s="29">
        <f>(J5+F5)+(N5+R5)+(V5+Z5)+AD5</f>
        <v>2.0000000000000009</v>
      </c>
      <c r="AG5" s="24"/>
    </row>
    <row r="6" spans="1:33" ht="27">
      <c r="A6" s="8" t="s">
        <v>123</v>
      </c>
      <c r="B6" s="313" t="s">
        <v>576</v>
      </c>
      <c r="C6" s="339" t="s">
        <v>709</v>
      </c>
      <c r="D6" s="51"/>
      <c r="E6" s="51"/>
      <c r="F6" s="85">
        <f t="shared" si="0"/>
        <v>0</v>
      </c>
      <c r="G6" s="24"/>
      <c r="H6" s="51"/>
      <c r="I6" s="51"/>
      <c r="J6" s="49">
        <f t="shared" si="1"/>
        <v>0</v>
      </c>
      <c r="K6" s="24"/>
      <c r="L6" s="424"/>
      <c r="M6" s="51"/>
      <c r="N6" s="49">
        <f t="shared" si="2"/>
        <v>0</v>
      </c>
      <c r="O6" s="24"/>
      <c r="P6" s="51">
        <v>0.38194444444444442</v>
      </c>
      <c r="Q6" s="51">
        <v>0.79861111111111116</v>
      </c>
      <c r="R6" s="49">
        <f t="shared" si="3"/>
        <v>10.000000000000002</v>
      </c>
      <c r="S6" s="24"/>
      <c r="T6" s="51"/>
      <c r="U6" s="51"/>
      <c r="V6" s="49">
        <f>(U6-T6)*24</f>
        <v>0</v>
      </c>
      <c r="W6" s="24"/>
      <c r="X6" s="48"/>
      <c r="Y6" s="48"/>
      <c r="Z6" s="49">
        <f>(Y6-X6)*24</f>
        <v>0</v>
      </c>
      <c r="AB6" s="48"/>
      <c r="AC6" s="48"/>
      <c r="AD6" s="49">
        <f>(AC6-AB6)*24</f>
        <v>0</v>
      </c>
      <c r="AF6" s="29">
        <f>(J6+F6)+(N6+R6)+(V6+Z6)+AD6</f>
        <v>10.000000000000002</v>
      </c>
      <c r="AG6" s="24"/>
    </row>
    <row r="7" spans="1:33" ht="27">
      <c r="A7" s="8"/>
      <c r="B7" s="313" t="s">
        <v>637</v>
      </c>
      <c r="C7" s="339" t="s">
        <v>709</v>
      </c>
      <c r="D7" s="51"/>
      <c r="E7" s="51"/>
      <c r="F7" s="85">
        <f t="shared" si="0"/>
        <v>0</v>
      </c>
      <c r="G7" s="24"/>
      <c r="H7" s="51"/>
      <c r="I7" s="51"/>
      <c r="J7" s="49">
        <f t="shared" si="1"/>
        <v>0</v>
      </c>
      <c r="K7" s="24"/>
      <c r="L7" s="424"/>
      <c r="M7" s="51"/>
      <c r="N7" s="49">
        <f t="shared" si="2"/>
        <v>0</v>
      </c>
      <c r="O7" s="24"/>
      <c r="P7" s="51">
        <v>0.375</v>
      </c>
      <c r="Q7" s="51">
        <v>0.79166666666666663</v>
      </c>
      <c r="R7" s="49">
        <f t="shared" si="3"/>
        <v>10</v>
      </c>
      <c r="S7" s="24"/>
      <c r="T7" s="51"/>
      <c r="U7" s="51"/>
      <c r="V7" s="49">
        <f t="shared" ref="V7:V9" si="4">(U7-T7)*24</f>
        <v>0</v>
      </c>
      <c r="W7" s="24"/>
      <c r="X7" s="48"/>
      <c r="Y7" s="48"/>
      <c r="Z7" s="49">
        <f t="shared" ref="Z7:Z10" si="5">(Y7-X7)*24</f>
        <v>0</v>
      </c>
      <c r="AB7" s="48"/>
      <c r="AC7" s="48"/>
      <c r="AD7" s="49">
        <f t="shared" ref="AD7:AD10" si="6">(AC7-AB7)*24</f>
        <v>0</v>
      </c>
      <c r="AF7" s="29">
        <f t="shared" ref="AF7:AF10" si="7">(J7+F7)+(N7+R7)+(V7+Z7)+AD7</f>
        <v>10</v>
      </c>
      <c r="AG7" s="24"/>
    </row>
    <row r="8" spans="1:33" ht="27">
      <c r="A8" s="8"/>
      <c r="B8" s="313" t="s">
        <v>54</v>
      </c>
      <c r="C8" s="339" t="s">
        <v>710</v>
      </c>
      <c r="D8" s="51"/>
      <c r="E8" s="51"/>
      <c r="F8" s="85">
        <f t="shared" si="0"/>
        <v>0</v>
      </c>
      <c r="G8" s="24"/>
      <c r="H8" s="51"/>
      <c r="I8" s="51"/>
      <c r="J8" s="49">
        <f t="shared" si="1"/>
        <v>0</v>
      </c>
      <c r="K8" s="24"/>
      <c r="L8" s="424"/>
      <c r="M8" s="51"/>
      <c r="N8" s="49">
        <f t="shared" si="2"/>
        <v>0</v>
      </c>
      <c r="O8" s="24"/>
      <c r="P8" s="51">
        <v>0.39583333333333331</v>
      </c>
      <c r="Q8" s="51">
        <v>0.72916666666666663</v>
      </c>
      <c r="R8" s="49">
        <f t="shared" si="3"/>
        <v>8</v>
      </c>
      <c r="S8" s="24"/>
      <c r="T8" s="51"/>
      <c r="U8" s="51"/>
      <c r="V8" s="49">
        <f t="shared" si="4"/>
        <v>0</v>
      </c>
      <c r="W8" s="24"/>
      <c r="X8" s="48"/>
      <c r="Y8" s="48"/>
      <c r="Z8" s="49">
        <f t="shared" si="5"/>
        <v>0</v>
      </c>
      <c r="AB8" s="48"/>
      <c r="AC8" s="48"/>
      <c r="AD8" s="49">
        <f t="shared" si="6"/>
        <v>0</v>
      </c>
      <c r="AF8" s="29">
        <f t="shared" si="7"/>
        <v>8</v>
      </c>
      <c r="AG8" s="24"/>
    </row>
    <row r="9" spans="1:33" ht="14.25">
      <c r="A9" s="8"/>
      <c r="B9" s="313" t="s">
        <v>54</v>
      </c>
      <c r="C9" s="339" t="s">
        <v>711</v>
      </c>
      <c r="D9" s="51"/>
      <c r="E9" s="51"/>
      <c r="F9" s="85">
        <f t="shared" si="0"/>
        <v>0</v>
      </c>
      <c r="G9" s="24"/>
      <c r="H9" s="51"/>
      <c r="I9" s="51"/>
      <c r="J9" s="49">
        <f t="shared" si="1"/>
        <v>0</v>
      </c>
      <c r="K9" s="24"/>
      <c r="L9" s="424"/>
      <c r="M9" s="51"/>
      <c r="N9" s="49">
        <f t="shared" si="2"/>
        <v>0</v>
      </c>
      <c r="O9" s="24"/>
      <c r="P9" s="51"/>
      <c r="Q9" s="51"/>
      <c r="R9" s="49">
        <f t="shared" si="3"/>
        <v>0</v>
      </c>
      <c r="S9" s="24"/>
      <c r="T9" s="51">
        <v>0.375</v>
      </c>
      <c r="U9" s="51">
        <v>0.70833333333333337</v>
      </c>
      <c r="V9" s="49">
        <f t="shared" si="4"/>
        <v>8</v>
      </c>
      <c r="W9" s="24"/>
      <c r="X9" s="48"/>
      <c r="Y9" s="48"/>
      <c r="Z9" s="49">
        <f t="shared" si="5"/>
        <v>0</v>
      </c>
      <c r="AB9" s="48"/>
      <c r="AC9" s="48"/>
      <c r="AD9" s="49">
        <f t="shared" si="6"/>
        <v>0</v>
      </c>
      <c r="AF9" s="29">
        <f t="shared" si="7"/>
        <v>8</v>
      </c>
      <c r="AG9" s="24"/>
    </row>
    <row r="10" spans="1:33" ht="27">
      <c r="A10" s="8"/>
      <c r="B10" s="313" t="s">
        <v>576</v>
      </c>
      <c r="C10" s="339" t="s">
        <v>712</v>
      </c>
      <c r="D10" s="51"/>
      <c r="E10" s="51"/>
      <c r="F10" s="85">
        <f t="shared" si="0"/>
        <v>0</v>
      </c>
      <c r="G10" s="24"/>
      <c r="H10" s="51"/>
      <c r="I10" s="51"/>
      <c r="J10" s="49">
        <f t="shared" si="1"/>
        <v>0</v>
      </c>
      <c r="K10" s="24"/>
      <c r="L10" s="424"/>
      <c r="M10" s="51"/>
      <c r="N10" s="49">
        <f t="shared" si="2"/>
        <v>0</v>
      </c>
      <c r="O10" s="24"/>
      <c r="P10" s="51"/>
      <c r="Q10" s="51"/>
      <c r="R10" s="49">
        <f t="shared" si="3"/>
        <v>0</v>
      </c>
      <c r="S10" s="24"/>
      <c r="T10" s="51">
        <v>0.67013888888888884</v>
      </c>
      <c r="U10" s="51">
        <v>0.75</v>
      </c>
      <c r="V10" s="50">
        <f t="shared" ref="V10:V12" si="8">(U10-T10)*24</f>
        <v>1.9166666666666679</v>
      </c>
      <c r="W10" s="24"/>
      <c r="X10" s="48"/>
      <c r="Y10" s="48"/>
      <c r="Z10" s="49">
        <f t="shared" si="5"/>
        <v>0</v>
      </c>
      <c r="AB10" s="48"/>
      <c r="AC10" s="48"/>
      <c r="AD10" s="49">
        <f t="shared" si="6"/>
        <v>0</v>
      </c>
      <c r="AF10" s="29">
        <f t="shared" si="7"/>
        <v>1.9166666666666679</v>
      </c>
      <c r="AG10" s="24"/>
    </row>
    <row r="11" spans="1:33" ht="14.25">
      <c r="A11" s="8" t="s">
        <v>123</v>
      </c>
      <c r="B11" s="313" t="s">
        <v>572</v>
      </c>
      <c r="C11" s="339" t="s">
        <v>713</v>
      </c>
      <c r="D11" s="51"/>
      <c r="E11" s="51"/>
      <c r="F11" s="85">
        <f t="shared" si="0"/>
        <v>0</v>
      </c>
      <c r="G11" s="24"/>
      <c r="H11" s="51"/>
      <c r="I11" s="51"/>
      <c r="J11" s="49">
        <f t="shared" si="1"/>
        <v>0</v>
      </c>
      <c r="K11" s="24"/>
      <c r="L11" s="424"/>
      <c r="M11" s="51"/>
      <c r="N11" s="49">
        <f t="shared" si="2"/>
        <v>0</v>
      </c>
      <c r="O11" s="24"/>
      <c r="P11" s="51"/>
      <c r="Q11" s="51"/>
      <c r="R11" s="49">
        <f t="shared" si="3"/>
        <v>0</v>
      </c>
      <c r="S11" s="24"/>
      <c r="T11" s="51">
        <v>0.66666666666666663</v>
      </c>
      <c r="U11" s="51">
        <v>1</v>
      </c>
      <c r="V11" s="50">
        <f t="shared" si="8"/>
        <v>8</v>
      </c>
      <c r="W11" s="25"/>
      <c r="X11" s="48">
        <v>0.33333333333333331</v>
      </c>
      <c r="Y11" s="48">
        <v>0.6875</v>
      </c>
      <c r="Z11" s="50">
        <f t="shared" ref="Z11:Z12" si="9">(Y11-X11)*24</f>
        <v>8.5</v>
      </c>
      <c r="AB11" s="48"/>
      <c r="AC11" s="48"/>
      <c r="AD11" s="50">
        <f t="shared" ref="AD11:AD12" si="10">(AC11-AB11)*24</f>
        <v>0</v>
      </c>
      <c r="AF11" s="29">
        <f t="shared" ref="AF11:AF12" si="11">(J11+F11)+(N11+R11)+(V11+Z11)+AD11</f>
        <v>16.5</v>
      </c>
      <c r="AG11" s="25"/>
    </row>
    <row r="12" spans="1:33" s="1" customFormat="1" ht="14.25">
      <c r="A12" s="8" t="s">
        <v>123</v>
      </c>
      <c r="B12" s="313" t="s">
        <v>714</v>
      </c>
      <c r="C12" s="339" t="s">
        <v>713</v>
      </c>
      <c r="D12" s="51"/>
      <c r="E12" s="51"/>
      <c r="F12" s="85">
        <f t="shared" si="0"/>
        <v>0</v>
      </c>
      <c r="G12" s="24"/>
      <c r="H12" s="51"/>
      <c r="I12" s="51"/>
      <c r="J12" s="49">
        <f t="shared" si="1"/>
        <v>0</v>
      </c>
      <c r="K12" s="24"/>
      <c r="L12" s="424"/>
      <c r="M12" s="51"/>
      <c r="N12" s="49">
        <f t="shared" si="2"/>
        <v>0</v>
      </c>
      <c r="O12" s="24"/>
      <c r="P12" s="51"/>
      <c r="Q12" s="51"/>
      <c r="R12" s="49">
        <f t="shared" si="3"/>
        <v>0</v>
      </c>
      <c r="S12" s="24"/>
      <c r="T12" s="51">
        <v>0.66666666666666663</v>
      </c>
      <c r="U12" s="51">
        <v>0.72916666666666663</v>
      </c>
      <c r="V12" s="50">
        <f t="shared" si="8"/>
        <v>1.5</v>
      </c>
      <c r="W12" s="25"/>
      <c r="X12" s="48"/>
      <c r="Y12" s="48"/>
      <c r="Z12" s="50">
        <f t="shared" si="9"/>
        <v>0</v>
      </c>
      <c r="AA12" s="3"/>
      <c r="AB12" s="48"/>
      <c r="AC12" s="48"/>
      <c r="AD12" s="50">
        <f t="shared" si="10"/>
        <v>0</v>
      </c>
      <c r="AE12" s="3"/>
      <c r="AF12" s="29">
        <f t="shared" si="11"/>
        <v>1.5</v>
      </c>
      <c r="AG12" s="25"/>
    </row>
    <row r="13" spans="1:33" s="1" customFormat="1" ht="14.25">
      <c r="A13" s="8" t="s">
        <v>123</v>
      </c>
      <c r="B13" s="313" t="s">
        <v>582</v>
      </c>
      <c r="C13" s="339" t="s">
        <v>713</v>
      </c>
      <c r="D13" s="51"/>
      <c r="E13" s="51"/>
      <c r="F13" s="85">
        <f t="shared" si="0"/>
        <v>0</v>
      </c>
      <c r="G13" s="24"/>
      <c r="H13" s="51"/>
      <c r="I13" s="51"/>
      <c r="J13" s="49">
        <f t="shared" si="1"/>
        <v>0</v>
      </c>
      <c r="K13" s="24"/>
      <c r="L13" s="424"/>
      <c r="M13" s="51"/>
      <c r="N13" s="49">
        <f t="shared" si="2"/>
        <v>0</v>
      </c>
      <c r="O13" s="24"/>
      <c r="P13" s="51"/>
      <c r="Q13" s="51"/>
      <c r="R13" s="49">
        <f t="shared" si="3"/>
        <v>0</v>
      </c>
      <c r="S13" s="24"/>
      <c r="T13" s="51">
        <v>0.66666666666666663</v>
      </c>
      <c r="U13" s="51">
        <v>1</v>
      </c>
      <c r="V13" s="50">
        <f t="shared" ref="V13" si="12">(U13-T13)*24</f>
        <v>8</v>
      </c>
      <c r="W13" s="25"/>
      <c r="X13" s="48"/>
      <c r="Y13" s="48"/>
      <c r="Z13" s="50">
        <f t="shared" ref="Z13" si="13">(Y13-X13)*24</f>
        <v>0</v>
      </c>
      <c r="AA13" s="3"/>
      <c r="AB13" s="48"/>
      <c r="AC13" s="48"/>
      <c r="AD13" s="50">
        <f t="shared" ref="AD13" si="14">(AC13-AB13)*24</f>
        <v>0</v>
      </c>
      <c r="AE13" s="3"/>
      <c r="AF13" s="29">
        <f t="shared" ref="AF13" si="15">(J13+F13)+(N13+R13)+(V13+Z13)+AD13</f>
        <v>8</v>
      </c>
      <c r="AG13" s="25"/>
    </row>
    <row r="14" spans="1:33" s="1" customFormat="1">
      <c r="A14" s="8"/>
      <c r="B14" s="63" t="s">
        <v>61</v>
      </c>
      <c r="C14" s="63"/>
      <c r="D14" s="63"/>
      <c r="E14" s="63"/>
      <c r="F14" s="86">
        <f>SUM(F5:F12)</f>
        <v>0</v>
      </c>
      <c r="G14" s="63"/>
      <c r="H14" s="63"/>
      <c r="I14" s="63"/>
      <c r="J14" s="86">
        <f>SUM(J5:J12)</f>
        <v>2.0000000000000009</v>
      </c>
      <c r="K14" s="63"/>
      <c r="L14" s="99"/>
      <c r="M14" s="63"/>
      <c r="N14" s="86">
        <f>SUM(N5:N12)</f>
        <v>0</v>
      </c>
      <c r="O14" s="63"/>
      <c r="P14" s="63"/>
      <c r="Q14" s="63"/>
      <c r="R14" s="86">
        <f>SUM(R5:R12)</f>
        <v>28</v>
      </c>
      <c r="S14" s="63"/>
      <c r="T14" s="63"/>
      <c r="U14" s="63"/>
      <c r="V14" s="86">
        <f>SUM(V5:V12)</f>
        <v>19.416666666666668</v>
      </c>
      <c r="W14" s="63"/>
      <c r="X14" s="63"/>
      <c r="Y14" s="63"/>
      <c r="Z14" s="86">
        <f>SUM(Z5:Z12)</f>
        <v>8.5</v>
      </c>
      <c r="AA14" s="63"/>
      <c r="AB14" s="63"/>
      <c r="AC14" s="63"/>
      <c r="AD14" s="82">
        <f>SUM(AD5:AD12)</f>
        <v>0</v>
      </c>
      <c r="AE14" s="46"/>
      <c r="AF14" s="30">
        <f>SUM(AF5:AF12)</f>
        <v>57.916666666666671</v>
      </c>
      <c r="AG14" s="25"/>
    </row>
    <row r="15" spans="1:33" s="1" customFormat="1" ht="13.5" customHeight="1">
      <c r="A15" s="8"/>
      <c r="B15" s="31" t="s">
        <v>577</v>
      </c>
      <c r="C15" s="31"/>
      <c r="D15" s="83"/>
      <c r="E15" s="83"/>
      <c r="F15" s="90">
        <v>2</v>
      </c>
      <c r="G15" s="83"/>
      <c r="H15" s="83"/>
      <c r="I15" s="83"/>
      <c r="J15" s="90">
        <v>3</v>
      </c>
      <c r="K15" s="83"/>
      <c r="L15" s="425"/>
      <c r="M15" s="83"/>
      <c r="N15" s="90">
        <v>8</v>
      </c>
      <c r="O15" s="83"/>
      <c r="P15" s="83"/>
      <c r="Q15" s="83"/>
      <c r="R15" s="90">
        <v>8</v>
      </c>
      <c r="S15" s="83"/>
      <c r="T15" s="83"/>
      <c r="U15" s="83"/>
      <c r="V15" s="90">
        <v>8</v>
      </c>
      <c r="W15" s="83"/>
      <c r="X15" s="83"/>
      <c r="Y15" s="83"/>
      <c r="Z15" s="87"/>
      <c r="AA15" s="83"/>
      <c r="AB15" s="83"/>
      <c r="AC15" s="83"/>
      <c r="AD15" s="83"/>
      <c r="AE15" s="45"/>
      <c r="AF15" s="28">
        <f>SUM(F15:AE15)</f>
        <v>29</v>
      </c>
      <c r="AG15" s="25"/>
    </row>
    <row r="16" spans="1:33" s="1" customFormat="1" ht="13.5" customHeight="1">
      <c r="A16" s="8"/>
      <c r="B16" s="31" t="s">
        <v>578</v>
      </c>
      <c r="C16" s="31"/>
      <c r="D16" s="83"/>
      <c r="E16" s="83"/>
      <c r="F16" s="90"/>
      <c r="G16" s="83"/>
      <c r="H16" s="83"/>
      <c r="I16" s="83"/>
      <c r="J16" s="90"/>
      <c r="K16" s="83"/>
      <c r="L16" s="425"/>
      <c r="M16" s="83"/>
      <c r="N16" s="90"/>
      <c r="O16" s="83"/>
      <c r="P16" s="83"/>
      <c r="Q16" s="83"/>
      <c r="R16" s="90"/>
      <c r="S16" s="83"/>
      <c r="T16" s="83"/>
      <c r="U16" s="83"/>
      <c r="V16" s="90"/>
      <c r="W16" s="83"/>
      <c r="X16" s="83"/>
      <c r="Y16" s="83"/>
      <c r="Z16" s="87"/>
      <c r="AA16" s="83"/>
      <c r="AB16" s="83"/>
      <c r="AC16" s="83"/>
      <c r="AD16" s="83"/>
      <c r="AE16" s="45"/>
      <c r="AF16" s="28">
        <f>SUM(E16:AD16)</f>
        <v>0</v>
      </c>
      <c r="AG16" s="25"/>
    </row>
    <row r="17" spans="1:33" s="1" customFormat="1" ht="13.5" customHeight="1" thickBot="1">
      <c r="A17" s="8"/>
      <c r="B17" s="74" t="s">
        <v>579</v>
      </c>
      <c r="C17" s="74"/>
      <c r="D17" s="92"/>
      <c r="E17" s="92"/>
      <c r="F17" s="96"/>
      <c r="G17" s="92"/>
      <c r="H17" s="92"/>
      <c r="I17" s="92"/>
      <c r="J17" s="93"/>
      <c r="K17" s="92"/>
      <c r="L17" s="426"/>
      <c r="M17" s="92"/>
      <c r="N17" s="93"/>
      <c r="O17" s="92"/>
      <c r="P17" s="92"/>
      <c r="Q17" s="92"/>
      <c r="R17" s="93"/>
      <c r="S17" s="92"/>
      <c r="T17" s="92"/>
      <c r="U17" s="92"/>
      <c r="V17" s="93"/>
      <c r="W17" s="94"/>
      <c r="X17" s="94"/>
      <c r="Y17" s="94"/>
      <c r="Z17" s="93"/>
      <c r="AA17" s="94"/>
      <c r="AB17" s="94"/>
      <c r="AC17" s="94"/>
      <c r="AD17" s="94"/>
      <c r="AE17" s="94"/>
      <c r="AF17" s="80">
        <f>SUM(D17:AD17)</f>
        <v>0</v>
      </c>
      <c r="AG17" s="25"/>
    </row>
    <row r="18" spans="1:33" s="1" customFormat="1" ht="13.5" customHeight="1" thickTop="1">
      <c r="A18" s="11"/>
      <c r="B18" s="71" t="s">
        <v>66</v>
      </c>
      <c r="C18" s="421"/>
      <c r="D18" s="3"/>
      <c r="E18" s="3"/>
      <c r="F18" s="88">
        <f>SUM(F15:F17)</f>
        <v>2</v>
      </c>
      <c r="G18" s="3"/>
      <c r="H18" s="3"/>
      <c r="I18" s="3"/>
      <c r="J18" s="88">
        <f>SUM(J15:J17)</f>
        <v>3</v>
      </c>
      <c r="K18" s="3"/>
      <c r="L18" s="423"/>
      <c r="M18" s="3"/>
      <c r="N18" s="88">
        <f>SUM(N15:N17)</f>
        <v>8</v>
      </c>
      <c r="O18" s="3"/>
      <c r="P18" s="3"/>
      <c r="Q18" s="3"/>
      <c r="R18" s="88">
        <f>SUM(R15:R17)</f>
        <v>8</v>
      </c>
      <c r="S18" s="3"/>
      <c r="T18" s="3"/>
      <c r="U18" s="3"/>
      <c r="V18" s="88">
        <f>SUM(V15:V17)</f>
        <v>8</v>
      </c>
      <c r="W18" s="3"/>
      <c r="X18" s="3"/>
      <c r="Y18" s="3"/>
      <c r="Z18" s="88">
        <f>SUM(Z15:Z17)</f>
        <v>0</v>
      </c>
      <c r="AA18" s="3"/>
      <c r="AB18" s="3"/>
      <c r="AC18" s="3"/>
      <c r="AD18" s="67">
        <f>SUM(AD15:AD17)</f>
        <v>0</v>
      </c>
      <c r="AE18" s="3"/>
      <c r="AF18" s="98">
        <f>SUM(F18:AD18)</f>
        <v>29</v>
      </c>
      <c r="AG18" s="3"/>
    </row>
    <row r="19" spans="1:33" s="3" customFormat="1">
      <c r="B19" s="1518" t="s">
        <v>18</v>
      </c>
      <c r="C19" s="1528" t="s">
        <v>708</v>
      </c>
      <c r="D19" s="1524">
        <v>45299</v>
      </c>
      <c r="E19" s="1524"/>
      <c r="F19" s="1524"/>
      <c r="G19" s="22"/>
      <c r="H19" s="1524">
        <f>D19+1</f>
        <v>45300</v>
      </c>
      <c r="I19" s="1524"/>
      <c r="J19" s="1524"/>
      <c r="K19" s="22"/>
      <c r="L19" s="1524">
        <f>H19+1</f>
        <v>45301</v>
      </c>
      <c r="M19" s="1524"/>
      <c r="N19" s="1524"/>
      <c r="P19" s="1524">
        <f>L19+1</f>
        <v>45302</v>
      </c>
      <c r="Q19" s="1524"/>
      <c r="R19" s="1524"/>
      <c r="T19" s="1524">
        <f>P19+1</f>
        <v>45303</v>
      </c>
      <c r="U19" s="1524"/>
      <c r="V19" s="1524"/>
      <c r="W19" s="22"/>
      <c r="X19" s="1524">
        <f>T19+1</f>
        <v>45304</v>
      </c>
      <c r="Y19" s="1524"/>
      <c r="Z19" s="1524"/>
      <c r="AB19" s="1524">
        <f>X19+1</f>
        <v>45305</v>
      </c>
      <c r="AC19" s="1524"/>
      <c r="AD19" s="1524"/>
      <c r="AE19" s="22"/>
      <c r="AF19" s="1517" t="s">
        <v>19</v>
      </c>
    </row>
    <row r="20" spans="1:33" s="3" customFormat="1" ht="14.25">
      <c r="B20" s="1518"/>
      <c r="C20" s="1528"/>
      <c r="D20" s="21" t="s">
        <v>23</v>
      </c>
      <c r="E20" s="21" t="s">
        <v>24</v>
      </c>
      <c r="F20" s="62" t="s">
        <v>25</v>
      </c>
      <c r="G20" s="23"/>
      <c r="H20" s="21" t="s">
        <v>23</v>
      </c>
      <c r="I20" s="21" t="s">
        <v>24</v>
      </c>
      <c r="J20" s="18" t="s">
        <v>25</v>
      </c>
      <c r="K20" s="23"/>
      <c r="L20" s="21" t="s">
        <v>23</v>
      </c>
      <c r="M20" s="21" t="s">
        <v>24</v>
      </c>
      <c r="N20" s="18" t="s">
        <v>25</v>
      </c>
      <c r="O20" s="23"/>
      <c r="P20" s="21" t="s">
        <v>23</v>
      </c>
      <c r="Q20" s="21" t="s">
        <v>24</v>
      </c>
      <c r="R20" s="18" t="s">
        <v>25</v>
      </c>
      <c r="S20" s="23"/>
      <c r="T20" s="21" t="s">
        <v>23</v>
      </c>
      <c r="U20" s="21" t="s">
        <v>24</v>
      </c>
      <c r="V20" s="18" t="s">
        <v>25</v>
      </c>
      <c r="W20" s="23"/>
      <c r="X20" s="21" t="s">
        <v>23</v>
      </c>
      <c r="Y20" s="21" t="s">
        <v>24</v>
      </c>
      <c r="Z20" s="18" t="s">
        <v>25</v>
      </c>
      <c r="AA20" s="23"/>
      <c r="AB20" s="21" t="s">
        <v>23</v>
      </c>
      <c r="AC20" s="21" t="s">
        <v>24</v>
      </c>
      <c r="AD20" s="18" t="s">
        <v>25</v>
      </c>
      <c r="AE20" s="23"/>
      <c r="AF20" s="1523"/>
      <c r="AG20" s="5"/>
    </row>
    <row r="21" spans="1:33" s="3" customFormat="1" ht="27">
      <c r="B21" s="313" t="s">
        <v>576</v>
      </c>
      <c r="C21" s="13" t="s">
        <v>715</v>
      </c>
      <c r="D21" s="48">
        <v>0.32291666666666669</v>
      </c>
      <c r="E21" s="48">
        <v>0.375</v>
      </c>
      <c r="F21" s="85">
        <f>(E21-D21)*24</f>
        <v>1.2499999999999996</v>
      </c>
      <c r="G21" s="24"/>
      <c r="H21" s="48"/>
      <c r="I21" s="48"/>
      <c r="J21" s="49">
        <f>(I21-H21)*24</f>
        <v>0</v>
      </c>
      <c r="K21" s="24"/>
      <c r="L21" s="427"/>
      <c r="M21" s="48"/>
      <c r="N21" s="49">
        <f>(M21-L21)*24</f>
        <v>0</v>
      </c>
      <c r="O21" s="24"/>
      <c r="P21" s="48"/>
      <c r="Q21" s="48"/>
      <c r="R21" s="49">
        <f>(Q21-P21)*24</f>
        <v>0</v>
      </c>
      <c r="S21" s="24"/>
      <c r="T21" s="48">
        <v>0.66666666666666663</v>
      </c>
      <c r="U21" s="48">
        <v>0.75</v>
      </c>
      <c r="V21" s="49">
        <f>(U21-T21)*24</f>
        <v>2.0000000000000009</v>
      </c>
      <c r="W21" s="24"/>
      <c r="X21" s="48"/>
      <c r="Y21" s="48"/>
      <c r="Z21" s="49">
        <f>(Y21-X21)*24</f>
        <v>0</v>
      </c>
      <c r="AA21" s="24"/>
      <c r="AB21" s="48">
        <v>0.375</v>
      </c>
      <c r="AC21" s="48">
        <v>0.45833333333333331</v>
      </c>
      <c r="AD21" s="49">
        <f>(AC21-AB21)*24</f>
        <v>1.9999999999999996</v>
      </c>
      <c r="AE21" s="24"/>
      <c r="AF21" s="29">
        <f>J21+F21+N21+R21+V21+Z21+AD21</f>
        <v>5.25</v>
      </c>
      <c r="AG21" s="5"/>
    </row>
    <row r="22" spans="1:33" s="3" customFormat="1" ht="27">
      <c r="B22" s="313" t="s">
        <v>637</v>
      </c>
      <c r="C22" s="13" t="s">
        <v>709</v>
      </c>
      <c r="D22" s="48">
        <v>0.45833333333333331</v>
      </c>
      <c r="E22" s="48">
        <v>0.75</v>
      </c>
      <c r="F22" s="85">
        <f t="shared" ref="F22:F40" si="16">(E22-D22)*24</f>
        <v>7</v>
      </c>
      <c r="G22" s="25"/>
      <c r="H22" s="48"/>
      <c r="I22" s="48"/>
      <c r="J22" s="49">
        <f t="shared" ref="J22:J40" si="17">(I22-H22)*24</f>
        <v>0</v>
      </c>
      <c r="K22" s="25"/>
      <c r="L22" s="427"/>
      <c r="M22" s="48"/>
      <c r="N22" s="49">
        <f t="shared" ref="N22:N40" si="18">(M22-L22)*24</f>
        <v>0</v>
      </c>
      <c r="O22" s="25"/>
      <c r="P22" s="48"/>
      <c r="Q22" s="48"/>
      <c r="R22" s="49">
        <f t="shared" ref="R22:R40" si="19">(Q22-P22)*24</f>
        <v>0</v>
      </c>
      <c r="S22" s="25"/>
      <c r="T22" s="48"/>
      <c r="U22" s="48"/>
      <c r="V22" s="49">
        <f t="shared" ref="V22:V40" si="20">(U22-T22)*24</f>
        <v>0</v>
      </c>
      <c r="W22" s="25"/>
      <c r="X22" s="48"/>
      <c r="Y22" s="48"/>
      <c r="Z22" s="49">
        <f t="shared" ref="Z22:Z40" si="21">(Y22-X22)*24</f>
        <v>0</v>
      </c>
      <c r="AA22" s="25"/>
      <c r="AB22" s="48"/>
      <c r="AC22" s="48"/>
      <c r="AD22" s="49">
        <f t="shared" ref="AD22:AE37" si="22">(AC22-AB22)*24</f>
        <v>0</v>
      </c>
      <c r="AE22" s="25"/>
      <c r="AF22" s="29">
        <f t="shared" ref="AF22:AF40" si="23">J22+F22+N22+R22+V22+Z22+AD22</f>
        <v>7</v>
      </c>
    </row>
    <row r="23" spans="1:33" s="3" customFormat="1" ht="27">
      <c r="B23" s="313" t="s">
        <v>54</v>
      </c>
      <c r="C23" s="13" t="s">
        <v>716</v>
      </c>
      <c r="D23" s="48">
        <v>0.375</v>
      </c>
      <c r="E23" s="48">
        <v>0.77083333333333337</v>
      </c>
      <c r="F23" s="85">
        <f t="shared" si="16"/>
        <v>9.5</v>
      </c>
      <c r="G23" s="25"/>
      <c r="H23" s="48">
        <v>0.375</v>
      </c>
      <c r="I23" s="48">
        <v>0.58333333333333337</v>
      </c>
      <c r="J23" s="49">
        <f t="shared" si="17"/>
        <v>5.0000000000000009</v>
      </c>
      <c r="K23" s="25"/>
      <c r="L23" s="427"/>
      <c r="M23" s="48"/>
      <c r="N23" s="49">
        <f t="shared" si="18"/>
        <v>0</v>
      </c>
      <c r="O23" s="25"/>
      <c r="P23" s="48"/>
      <c r="Q23" s="48"/>
      <c r="R23" s="49">
        <f t="shared" si="19"/>
        <v>0</v>
      </c>
      <c r="S23" s="25"/>
      <c r="T23" s="48"/>
      <c r="U23" s="48"/>
      <c r="V23" s="49">
        <f t="shared" si="20"/>
        <v>0</v>
      </c>
      <c r="W23" s="25"/>
      <c r="X23" s="48"/>
      <c r="Y23" s="48"/>
      <c r="Z23" s="49">
        <f t="shared" si="21"/>
        <v>0</v>
      </c>
      <c r="AA23" s="25"/>
      <c r="AB23" s="48"/>
      <c r="AC23" s="48"/>
      <c r="AD23" s="49">
        <f t="shared" si="22"/>
        <v>0</v>
      </c>
      <c r="AE23" s="25"/>
      <c r="AF23" s="29">
        <f t="shared" si="23"/>
        <v>14.5</v>
      </c>
    </row>
    <row r="24" spans="1:33" s="3" customFormat="1" ht="27">
      <c r="B24" s="313" t="s">
        <v>572</v>
      </c>
      <c r="C24" s="13" t="s">
        <v>716</v>
      </c>
      <c r="D24" s="48">
        <v>0.35416666666666669</v>
      </c>
      <c r="E24" s="48">
        <v>0.77083333333333337</v>
      </c>
      <c r="F24" s="85">
        <f t="shared" si="16"/>
        <v>10</v>
      </c>
      <c r="G24" s="25"/>
      <c r="H24" s="48"/>
      <c r="I24" s="48"/>
      <c r="J24" s="49">
        <f t="shared" si="17"/>
        <v>0</v>
      </c>
      <c r="K24" s="25"/>
      <c r="L24" s="427"/>
      <c r="M24" s="48"/>
      <c r="N24" s="49">
        <f t="shared" si="18"/>
        <v>0</v>
      </c>
      <c r="O24" s="25"/>
      <c r="P24" s="48"/>
      <c r="Q24" s="48"/>
      <c r="R24" s="49">
        <f t="shared" si="19"/>
        <v>0</v>
      </c>
      <c r="S24" s="25"/>
      <c r="T24" s="48"/>
      <c r="U24" s="48"/>
      <c r="V24" s="49">
        <f t="shared" si="20"/>
        <v>0</v>
      </c>
      <c r="W24" s="25"/>
      <c r="X24" s="48"/>
      <c r="Y24" s="48"/>
      <c r="Z24" s="49">
        <f t="shared" si="21"/>
        <v>0</v>
      </c>
      <c r="AA24" s="25"/>
      <c r="AB24" s="48"/>
      <c r="AC24" s="48"/>
      <c r="AD24" s="49">
        <f t="shared" si="22"/>
        <v>0</v>
      </c>
      <c r="AE24" s="49">
        <f t="shared" si="22"/>
        <v>0</v>
      </c>
      <c r="AF24" s="29">
        <f t="shared" si="23"/>
        <v>10</v>
      </c>
    </row>
    <row r="25" spans="1:33" s="3" customFormat="1" ht="27">
      <c r="B25" s="313" t="s">
        <v>637</v>
      </c>
      <c r="C25" s="13" t="s">
        <v>716</v>
      </c>
      <c r="D25" s="48"/>
      <c r="E25" s="48"/>
      <c r="F25" s="85">
        <f t="shared" si="16"/>
        <v>0</v>
      </c>
      <c r="G25" s="25"/>
      <c r="H25" s="48">
        <v>0.39583333333333331</v>
      </c>
      <c r="I25" s="48">
        <v>0.58333333333333337</v>
      </c>
      <c r="J25" s="49">
        <f t="shared" si="17"/>
        <v>4.5000000000000018</v>
      </c>
      <c r="K25" s="25"/>
      <c r="L25" s="427"/>
      <c r="M25" s="48"/>
      <c r="N25" s="49">
        <f t="shared" si="18"/>
        <v>0</v>
      </c>
      <c r="O25" s="25"/>
      <c r="P25" s="48"/>
      <c r="Q25" s="48"/>
      <c r="R25" s="49">
        <f t="shared" si="19"/>
        <v>0</v>
      </c>
      <c r="S25" s="25"/>
      <c r="T25" s="48"/>
      <c r="U25" s="48"/>
      <c r="V25" s="49">
        <f t="shared" si="20"/>
        <v>0</v>
      </c>
      <c r="W25" s="25"/>
      <c r="X25" s="48"/>
      <c r="Y25" s="48"/>
      <c r="Z25" s="49">
        <f t="shared" si="21"/>
        <v>0</v>
      </c>
      <c r="AA25" s="25"/>
      <c r="AB25" s="48"/>
      <c r="AC25" s="48"/>
      <c r="AD25" s="49">
        <f t="shared" si="22"/>
        <v>0</v>
      </c>
      <c r="AE25" s="49">
        <f t="shared" si="22"/>
        <v>0</v>
      </c>
      <c r="AF25" s="29">
        <f t="shared" si="23"/>
        <v>4.5000000000000018</v>
      </c>
    </row>
    <row r="26" spans="1:33" s="3" customFormat="1" ht="27">
      <c r="B26" s="313" t="s">
        <v>576</v>
      </c>
      <c r="C26" s="13" t="s">
        <v>717</v>
      </c>
      <c r="D26" s="48"/>
      <c r="E26" s="48"/>
      <c r="F26" s="85">
        <f t="shared" si="16"/>
        <v>0</v>
      </c>
      <c r="G26" s="25"/>
      <c r="H26" s="48">
        <v>0.39583333333333331</v>
      </c>
      <c r="I26" s="48">
        <v>0.58333333333333337</v>
      </c>
      <c r="J26" s="49">
        <f t="shared" si="17"/>
        <v>4.5000000000000018</v>
      </c>
      <c r="K26" s="25"/>
      <c r="L26" s="427"/>
      <c r="M26" s="48"/>
      <c r="N26" s="49">
        <f t="shared" si="18"/>
        <v>0</v>
      </c>
      <c r="O26" s="25"/>
      <c r="P26" s="48"/>
      <c r="Q26" s="48"/>
      <c r="R26" s="49">
        <f t="shared" si="19"/>
        <v>0</v>
      </c>
      <c r="S26" s="25"/>
      <c r="T26" s="48"/>
      <c r="U26" s="48"/>
      <c r="V26" s="49">
        <f t="shared" si="20"/>
        <v>0</v>
      </c>
      <c r="W26" s="25"/>
      <c r="X26" s="48"/>
      <c r="Y26" s="48"/>
      <c r="Z26" s="49">
        <f t="shared" si="21"/>
        <v>0</v>
      </c>
      <c r="AA26" s="25"/>
      <c r="AB26" s="48"/>
      <c r="AC26" s="48"/>
      <c r="AD26" s="49">
        <f t="shared" si="22"/>
        <v>0</v>
      </c>
      <c r="AE26" s="49">
        <f t="shared" si="22"/>
        <v>0</v>
      </c>
      <c r="AF26" s="29">
        <f t="shared" si="23"/>
        <v>4.5000000000000018</v>
      </c>
    </row>
    <row r="27" spans="1:33" s="3" customFormat="1" ht="27">
      <c r="B27" s="313" t="s">
        <v>572</v>
      </c>
      <c r="C27" s="13" t="s">
        <v>717</v>
      </c>
      <c r="D27" s="48"/>
      <c r="E27" s="48"/>
      <c r="F27" s="85">
        <f t="shared" si="16"/>
        <v>0</v>
      </c>
      <c r="G27" s="25"/>
      <c r="H27" s="48">
        <v>0.375</v>
      </c>
      <c r="I27" s="48">
        <v>0.58333333333333337</v>
      </c>
      <c r="J27" s="49">
        <f t="shared" si="17"/>
        <v>5.0000000000000009</v>
      </c>
      <c r="K27" s="25"/>
      <c r="L27" s="427"/>
      <c r="M27" s="48"/>
      <c r="N27" s="49">
        <f t="shared" si="18"/>
        <v>0</v>
      </c>
      <c r="O27" s="25"/>
      <c r="P27" s="48"/>
      <c r="Q27" s="48"/>
      <c r="R27" s="49">
        <f t="shared" si="19"/>
        <v>0</v>
      </c>
      <c r="S27" s="25"/>
      <c r="T27" s="48"/>
      <c r="U27" s="48"/>
      <c r="V27" s="49">
        <f t="shared" si="20"/>
        <v>0</v>
      </c>
      <c r="W27" s="25"/>
      <c r="X27" s="48"/>
      <c r="Y27" s="48"/>
      <c r="Z27" s="49">
        <f t="shared" si="21"/>
        <v>0</v>
      </c>
      <c r="AA27" s="25"/>
      <c r="AB27" s="48"/>
      <c r="AC27" s="48"/>
      <c r="AD27" s="49">
        <f t="shared" si="22"/>
        <v>0</v>
      </c>
      <c r="AE27" s="49">
        <f t="shared" si="22"/>
        <v>0</v>
      </c>
      <c r="AF27" s="29">
        <f t="shared" si="23"/>
        <v>5.0000000000000009</v>
      </c>
    </row>
    <row r="28" spans="1:33" s="3" customFormat="1" ht="27">
      <c r="B28" s="313" t="s">
        <v>572</v>
      </c>
      <c r="C28" s="13" t="s">
        <v>690</v>
      </c>
      <c r="D28" s="48"/>
      <c r="E28" s="48"/>
      <c r="F28" s="85">
        <f t="shared" si="16"/>
        <v>0</v>
      </c>
      <c r="G28" s="25"/>
      <c r="H28" s="48">
        <v>0.625</v>
      </c>
      <c r="I28" s="48">
        <v>0.70833333333333337</v>
      </c>
      <c r="J28" s="49">
        <f t="shared" si="17"/>
        <v>2.0000000000000009</v>
      </c>
      <c r="K28" s="25"/>
      <c r="L28" s="427"/>
      <c r="M28" s="48"/>
      <c r="N28" s="49">
        <f t="shared" si="18"/>
        <v>0</v>
      </c>
      <c r="O28" s="25"/>
      <c r="P28" s="48"/>
      <c r="Q28" s="48"/>
      <c r="R28" s="49">
        <f t="shared" si="19"/>
        <v>0</v>
      </c>
      <c r="S28" s="25"/>
      <c r="T28" s="48"/>
      <c r="U28" s="48"/>
      <c r="V28" s="49">
        <f t="shared" si="20"/>
        <v>0</v>
      </c>
      <c r="W28" s="25"/>
      <c r="X28" s="48"/>
      <c r="Y28" s="48"/>
      <c r="Z28" s="49">
        <f t="shared" si="21"/>
        <v>0</v>
      </c>
      <c r="AA28" s="25"/>
      <c r="AB28" s="48"/>
      <c r="AC28" s="48"/>
      <c r="AD28" s="49">
        <f t="shared" si="22"/>
        <v>0</v>
      </c>
      <c r="AE28" s="25"/>
      <c r="AF28" s="29">
        <f t="shared" si="23"/>
        <v>2.0000000000000009</v>
      </c>
    </row>
    <row r="29" spans="1:33" s="3" customFormat="1" ht="27">
      <c r="B29" s="313" t="s">
        <v>572</v>
      </c>
      <c r="C29" s="13" t="s">
        <v>718</v>
      </c>
      <c r="D29" s="48"/>
      <c r="E29" s="48"/>
      <c r="F29" s="85">
        <f t="shared" si="16"/>
        <v>0</v>
      </c>
      <c r="G29" s="25"/>
      <c r="H29" s="48"/>
      <c r="I29" s="48"/>
      <c r="J29" s="49">
        <f t="shared" si="17"/>
        <v>0</v>
      </c>
      <c r="K29" s="25"/>
      <c r="L29" s="48">
        <v>0.375</v>
      </c>
      <c r="M29" s="48">
        <v>0.5</v>
      </c>
      <c r="N29" s="49">
        <f t="shared" si="18"/>
        <v>3</v>
      </c>
      <c r="O29" s="25"/>
      <c r="P29" s="48"/>
      <c r="Q29" s="48"/>
      <c r="R29" s="49">
        <f t="shared" si="19"/>
        <v>0</v>
      </c>
      <c r="S29" s="25"/>
      <c r="T29" s="48"/>
      <c r="U29" s="48"/>
      <c r="V29" s="49">
        <f t="shared" si="20"/>
        <v>0</v>
      </c>
      <c r="W29" s="25"/>
      <c r="X29" s="48"/>
      <c r="Y29" s="48"/>
      <c r="Z29" s="49">
        <f t="shared" si="21"/>
        <v>0</v>
      </c>
      <c r="AA29" s="25"/>
      <c r="AB29" s="48"/>
      <c r="AC29" s="48"/>
      <c r="AD29" s="49">
        <f t="shared" si="22"/>
        <v>0</v>
      </c>
      <c r="AE29" s="49">
        <f t="shared" si="22"/>
        <v>0</v>
      </c>
      <c r="AF29" s="29">
        <f t="shared" si="23"/>
        <v>3</v>
      </c>
    </row>
    <row r="30" spans="1:33" s="3" customFormat="1" ht="14.25">
      <c r="B30" s="313" t="s">
        <v>576</v>
      </c>
      <c r="C30" s="13" t="s">
        <v>719</v>
      </c>
      <c r="D30" s="48"/>
      <c r="E30" s="48"/>
      <c r="F30" s="85">
        <f t="shared" si="16"/>
        <v>0</v>
      </c>
      <c r="G30" s="25"/>
      <c r="H30" s="48"/>
      <c r="I30" s="48"/>
      <c r="J30" s="49">
        <f t="shared" si="17"/>
        <v>0</v>
      </c>
      <c r="K30" s="25"/>
      <c r="L30" s="48">
        <v>0.41666666666666669</v>
      </c>
      <c r="M30" s="48">
        <v>0.70833333333333337</v>
      </c>
      <c r="N30" s="49">
        <f t="shared" si="18"/>
        <v>7</v>
      </c>
      <c r="O30" s="25"/>
      <c r="P30" s="48"/>
      <c r="Q30" s="48"/>
      <c r="R30" s="49">
        <f t="shared" si="19"/>
        <v>0</v>
      </c>
      <c r="S30" s="25"/>
      <c r="T30" s="48"/>
      <c r="U30" s="48"/>
      <c r="V30" s="49">
        <f t="shared" si="20"/>
        <v>0</v>
      </c>
      <c r="W30" s="25"/>
      <c r="X30" s="48"/>
      <c r="Y30" s="48"/>
      <c r="Z30" s="49">
        <f t="shared" si="21"/>
        <v>0</v>
      </c>
      <c r="AA30" s="25"/>
      <c r="AB30" s="48"/>
      <c r="AC30" s="48"/>
      <c r="AD30" s="49">
        <f t="shared" si="22"/>
        <v>0</v>
      </c>
      <c r="AE30" s="49">
        <f t="shared" si="22"/>
        <v>0</v>
      </c>
      <c r="AF30" s="29">
        <f t="shared" si="23"/>
        <v>7</v>
      </c>
    </row>
    <row r="31" spans="1:33" s="3" customFormat="1" ht="14.25">
      <c r="B31" s="313" t="s">
        <v>653</v>
      </c>
      <c r="C31" s="13" t="s">
        <v>719</v>
      </c>
      <c r="D31" s="48"/>
      <c r="E31" s="48"/>
      <c r="F31" s="85">
        <f t="shared" si="16"/>
        <v>0</v>
      </c>
      <c r="G31" s="25"/>
      <c r="H31" s="48"/>
      <c r="I31" s="48"/>
      <c r="J31" s="49">
        <f t="shared" si="17"/>
        <v>0</v>
      </c>
      <c r="K31" s="25"/>
      <c r="L31" s="48">
        <v>0.41666666666666669</v>
      </c>
      <c r="M31" s="48">
        <v>0.70833333333333337</v>
      </c>
      <c r="N31" s="49">
        <f t="shared" si="18"/>
        <v>7</v>
      </c>
      <c r="O31" s="25"/>
      <c r="P31" s="48"/>
      <c r="Q31" s="48"/>
      <c r="R31" s="49">
        <f t="shared" si="19"/>
        <v>0</v>
      </c>
      <c r="S31" s="25"/>
      <c r="T31" s="48"/>
      <c r="U31" s="48"/>
      <c r="V31" s="49">
        <f t="shared" si="20"/>
        <v>0</v>
      </c>
      <c r="W31" s="25"/>
      <c r="X31" s="48"/>
      <c r="Y31" s="48"/>
      <c r="Z31" s="49">
        <f t="shared" si="21"/>
        <v>0</v>
      </c>
      <c r="AA31" s="25"/>
      <c r="AB31" s="48"/>
      <c r="AC31" s="48"/>
      <c r="AD31" s="49">
        <f t="shared" si="22"/>
        <v>0</v>
      </c>
      <c r="AE31" s="49">
        <f t="shared" si="22"/>
        <v>0</v>
      </c>
      <c r="AF31" s="29">
        <f t="shared" si="23"/>
        <v>7</v>
      </c>
    </row>
    <row r="32" spans="1:33" s="1" customFormat="1" ht="27">
      <c r="A32" s="8"/>
      <c r="B32" s="313" t="s">
        <v>54</v>
      </c>
      <c r="C32" s="13" t="s">
        <v>720</v>
      </c>
      <c r="D32" s="48"/>
      <c r="E32" s="48"/>
      <c r="F32" s="85">
        <f t="shared" si="16"/>
        <v>0</v>
      </c>
      <c r="G32" s="25"/>
      <c r="H32" s="48"/>
      <c r="I32" s="48"/>
      <c r="J32" s="49">
        <f t="shared" si="17"/>
        <v>0</v>
      </c>
      <c r="K32" s="25"/>
      <c r="L32" s="48">
        <v>0.375</v>
      </c>
      <c r="M32" s="48">
        <v>0.70833333333333337</v>
      </c>
      <c r="N32" s="49">
        <f t="shared" si="18"/>
        <v>8</v>
      </c>
      <c r="O32" s="25"/>
      <c r="P32" s="48"/>
      <c r="Q32" s="48"/>
      <c r="R32" s="49">
        <f t="shared" si="19"/>
        <v>0</v>
      </c>
      <c r="S32" s="25"/>
      <c r="T32" s="48"/>
      <c r="U32" s="48"/>
      <c r="V32" s="49">
        <f t="shared" si="20"/>
        <v>0</v>
      </c>
      <c r="W32" s="25"/>
      <c r="X32" s="48"/>
      <c r="Y32" s="48"/>
      <c r="Z32" s="49">
        <f t="shared" si="21"/>
        <v>0</v>
      </c>
      <c r="AA32" s="25"/>
      <c r="AB32" s="48"/>
      <c r="AC32" s="48"/>
      <c r="AD32" s="49">
        <f t="shared" si="22"/>
        <v>0</v>
      </c>
      <c r="AE32" s="49">
        <f t="shared" si="22"/>
        <v>0</v>
      </c>
      <c r="AF32" s="29">
        <f t="shared" si="23"/>
        <v>8</v>
      </c>
      <c r="AG32" s="25"/>
    </row>
    <row r="33" spans="1:33" s="1" customFormat="1" ht="13.5" customHeight="1">
      <c r="A33" s="8"/>
      <c r="B33" s="313" t="s">
        <v>572</v>
      </c>
      <c r="C33" s="13" t="s">
        <v>721</v>
      </c>
      <c r="D33" s="48"/>
      <c r="E33" s="48"/>
      <c r="F33" s="85">
        <f t="shared" si="16"/>
        <v>0</v>
      </c>
      <c r="G33" s="25"/>
      <c r="H33" s="48">
        <v>0.79166666666666663</v>
      </c>
      <c r="I33" s="48">
        <v>0.85416666666666663</v>
      </c>
      <c r="J33" s="49">
        <f t="shared" si="17"/>
        <v>1.5</v>
      </c>
      <c r="K33" s="25"/>
      <c r="L33" s="48">
        <v>0.52083333333333337</v>
      </c>
      <c r="M33" s="48">
        <v>0.9375</v>
      </c>
      <c r="N33" s="49">
        <f t="shared" si="18"/>
        <v>10</v>
      </c>
      <c r="O33" s="25"/>
      <c r="P33" s="48"/>
      <c r="Q33" s="48"/>
      <c r="R33" s="49">
        <f t="shared" si="19"/>
        <v>0</v>
      </c>
      <c r="S33" s="25"/>
      <c r="T33" s="51">
        <v>0.66666666666666663</v>
      </c>
      <c r="U33" s="51">
        <v>1</v>
      </c>
      <c r="V33" s="49">
        <f>(U33-T33)*24</f>
        <v>8</v>
      </c>
      <c r="W33" s="25"/>
      <c r="X33" s="51">
        <v>0.33333333333333331</v>
      </c>
      <c r="Y33" s="51">
        <v>0.79166666666666663</v>
      </c>
      <c r="Z33" s="49">
        <f t="shared" si="21"/>
        <v>11</v>
      </c>
      <c r="AA33" s="25"/>
      <c r="AB33" s="51">
        <v>0.3125</v>
      </c>
      <c r="AC33" s="51">
        <v>0.75</v>
      </c>
      <c r="AD33" s="49">
        <f t="shared" si="22"/>
        <v>10.5</v>
      </c>
      <c r="AE33" s="49">
        <f t="shared" si="22"/>
        <v>234</v>
      </c>
      <c r="AF33" s="29">
        <f t="shared" si="23"/>
        <v>41</v>
      </c>
      <c r="AG33" s="25"/>
    </row>
    <row r="34" spans="1:33" s="1" customFormat="1" ht="27">
      <c r="A34" s="8"/>
      <c r="B34" s="313" t="s">
        <v>572</v>
      </c>
      <c r="C34" s="13" t="s">
        <v>722</v>
      </c>
      <c r="D34" s="48"/>
      <c r="E34" s="48"/>
      <c r="F34" s="85">
        <f t="shared" si="16"/>
        <v>0</v>
      </c>
      <c r="G34" s="25"/>
      <c r="H34" s="48"/>
      <c r="I34" s="48"/>
      <c r="J34" s="49">
        <f t="shared" si="17"/>
        <v>0</v>
      </c>
      <c r="K34" s="25"/>
      <c r="L34" s="427"/>
      <c r="M34" s="48"/>
      <c r="N34" s="49">
        <f t="shared" si="18"/>
        <v>0</v>
      </c>
      <c r="O34" s="25"/>
      <c r="P34" s="48"/>
      <c r="Q34" s="48"/>
      <c r="R34" s="49">
        <f t="shared" si="19"/>
        <v>0</v>
      </c>
      <c r="S34" s="25"/>
      <c r="T34" s="48">
        <v>0.39583333333333331</v>
      </c>
      <c r="U34" s="51">
        <v>0.5625</v>
      </c>
      <c r="V34" s="49">
        <f>(U34-T34)*24</f>
        <v>4</v>
      </c>
      <c r="W34" s="25"/>
      <c r="X34" s="48"/>
      <c r="Y34" s="48"/>
      <c r="Z34" s="49">
        <f t="shared" si="21"/>
        <v>0</v>
      </c>
      <c r="AA34" s="25"/>
      <c r="AB34" s="48"/>
      <c r="AC34" s="48"/>
      <c r="AD34" s="49">
        <f t="shared" si="22"/>
        <v>0</v>
      </c>
      <c r="AE34" s="49">
        <f t="shared" si="22"/>
        <v>0</v>
      </c>
      <c r="AF34" s="29">
        <f t="shared" si="23"/>
        <v>4</v>
      </c>
      <c r="AG34" s="25"/>
    </row>
    <row r="35" spans="1:33" s="1" customFormat="1" ht="27">
      <c r="A35" s="8"/>
      <c r="B35" s="313" t="s">
        <v>54</v>
      </c>
      <c r="C35" s="13" t="s">
        <v>722</v>
      </c>
      <c r="D35" s="48"/>
      <c r="E35" s="48"/>
      <c r="F35" s="85">
        <f t="shared" si="16"/>
        <v>0</v>
      </c>
      <c r="G35" s="25"/>
      <c r="H35" s="48"/>
      <c r="I35" s="48"/>
      <c r="J35" s="49">
        <f t="shared" si="17"/>
        <v>0</v>
      </c>
      <c r="K35" s="25"/>
      <c r="L35" s="427"/>
      <c r="M35" s="48"/>
      <c r="N35" s="49">
        <f t="shared" si="18"/>
        <v>0</v>
      </c>
      <c r="O35" s="25"/>
      <c r="P35" s="48"/>
      <c r="Q35" s="48"/>
      <c r="R35" s="49">
        <f t="shared" si="19"/>
        <v>0</v>
      </c>
      <c r="S35" s="25"/>
      <c r="T35" s="48">
        <v>0.39583333333333331</v>
      </c>
      <c r="U35" s="51">
        <v>0.60416666666666663</v>
      </c>
      <c r="V35" s="49">
        <f t="shared" si="20"/>
        <v>5</v>
      </c>
      <c r="W35" s="25"/>
      <c r="X35" s="48"/>
      <c r="Y35" s="48"/>
      <c r="Z35" s="49">
        <f t="shared" si="21"/>
        <v>0</v>
      </c>
      <c r="AA35" s="25"/>
      <c r="AB35" s="48"/>
      <c r="AC35" s="48"/>
      <c r="AD35" s="49">
        <f t="shared" si="22"/>
        <v>0</v>
      </c>
      <c r="AE35" s="49">
        <f t="shared" si="22"/>
        <v>0</v>
      </c>
      <c r="AF35" s="29">
        <f t="shared" si="23"/>
        <v>5</v>
      </c>
      <c r="AG35" s="25"/>
    </row>
    <row r="36" spans="1:33" s="1" customFormat="1" ht="27">
      <c r="B36" s="313" t="s">
        <v>576</v>
      </c>
      <c r="C36" s="13" t="s">
        <v>722</v>
      </c>
      <c r="D36" s="48"/>
      <c r="E36" s="48"/>
      <c r="F36" s="85">
        <f t="shared" si="16"/>
        <v>0</v>
      </c>
      <c r="G36" s="25"/>
      <c r="H36" s="48"/>
      <c r="I36" s="48"/>
      <c r="J36" s="49">
        <f t="shared" si="17"/>
        <v>0</v>
      </c>
      <c r="K36" s="25"/>
      <c r="L36" s="427"/>
      <c r="M36" s="48"/>
      <c r="N36" s="49">
        <f t="shared" si="18"/>
        <v>0</v>
      </c>
      <c r="O36" s="25"/>
      <c r="P36" s="48"/>
      <c r="Q36" s="48"/>
      <c r="R36" s="49">
        <f t="shared" si="19"/>
        <v>0</v>
      </c>
      <c r="S36" s="25"/>
      <c r="T36" s="51">
        <v>0.375</v>
      </c>
      <c r="U36" s="51">
        <v>0.58333333333333337</v>
      </c>
      <c r="V36" s="49">
        <f t="shared" si="20"/>
        <v>5.0000000000000009</v>
      </c>
      <c r="W36" s="25"/>
      <c r="X36" s="48"/>
      <c r="Y36" s="48"/>
      <c r="Z36" s="49">
        <f t="shared" si="21"/>
        <v>0</v>
      </c>
      <c r="AA36" s="25"/>
      <c r="AB36" s="48"/>
      <c r="AC36" s="48"/>
      <c r="AD36" s="49">
        <f t="shared" si="22"/>
        <v>0</v>
      </c>
      <c r="AE36" s="49">
        <f t="shared" si="22"/>
        <v>0</v>
      </c>
      <c r="AF36" s="29">
        <f t="shared" si="23"/>
        <v>5.0000000000000009</v>
      </c>
      <c r="AG36" s="3"/>
    </row>
    <row r="37" spans="1:33" s="3" customFormat="1" ht="27">
      <c r="B37" s="313" t="s">
        <v>637</v>
      </c>
      <c r="C37" s="13" t="s">
        <v>722</v>
      </c>
      <c r="D37" s="48"/>
      <c r="E37" s="48"/>
      <c r="F37" s="85">
        <f t="shared" si="16"/>
        <v>0</v>
      </c>
      <c r="G37" s="25"/>
      <c r="H37" s="48"/>
      <c r="I37" s="48"/>
      <c r="J37" s="49">
        <f t="shared" si="17"/>
        <v>0</v>
      </c>
      <c r="K37" s="25"/>
      <c r="L37" s="427"/>
      <c r="M37" s="48"/>
      <c r="N37" s="49">
        <f t="shared" si="18"/>
        <v>0</v>
      </c>
      <c r="O37" s="25"/>
      <c r="P37" s="48"/>
      <c r="Q37" s="48"/>
      <c r="R37" s="49">
        <f t="shared" si="19"/>
        <v>0</v>
      </c>
      <c r="S37" s="25"/>
      <c r="T37" s="48">
        <v>0.375</v>
      </c>
      <c r="U37" s="51">
        <v>0.72916666666666663</v>
      </c>
      <c r="V37" s="49">
        <f t="shared" si="20"/>
        <v>8.5</v>
      </c>
      <c r="W37" s="25"/>
      <c r="X37" s="48"/>
      <c r="Y37" s="48"/>
      <c r="Z37" s="49">
        <f t="shared" si="21"/>
        <v>0</v>
      </c>
      <c r="AA37" s="25"/>
      <c r="AB37" s="48"/>
      <c r="AC37" s="48"/>
      <c r="AD37" s="49">
        <f t="shared" si="22"/>
        <v>0</v>
      </c>
      <c r="AE37" s="49">
        <f t="shared" si="22"/>
        <v>0</v>
      </c>
      <c r="AF37" s="29">
        <f t="shared" si="23"/>
        <v>8.5</v>
      </c>
    </row>
    <row r="38" spans="1:33" s="3" customFormat="1" ht="14.25">
      <c r="B38" s="313" t="s">
        <v>714</v>
      </c>
      <c r="C38" s="13" t="s">
        <v>721</v>
      </c>
      <c r="D38" s="48"/>
      <c r="E38" s="48"/>
      <c r="F38" s="85">
        <f t="shared" si="16"/>
        <v>0</v>
      </c>
      <c r="G38" s="25"/>
      <c r="H38" s="48"/>
      <c r="I38" s="48"/>
      <c r="J38" s="49">
        <f t="shared" si="17"/>
        <v>0</v>
      </c>
      <c r="K38" s="25"/>
      <c r="L38" s="427"/>
      <c r="M38" s="48"/>
      <c r="N38" s="49">
        <f t="shared" si="18"/>
        <v>0</v>
      </c>
      <c r="O38" s="25"/>
      <c r="P38" s="48"/>
      <c r="Q38" s="48"/>
      <c r="R38" s="49">
        <f t="shared" si="19"/>
        <v>0</v>
      </c>
      <c r="S38" s="25"/>
      <c r="T38" s="48">
        <v>0.66666666666666663</v>
      </c>
      <c r="U38" s="48">
        <v>1</v>
      </c>
      <c r="V38" s="49">
        <f t="shared" si="20"/>
        <v>8</v>
      </c>
      <c r="W38" s="25"/>
      <c r="X38" s="48">
        <v>0.33333333333333331</v>
      </c>
      <c r="Y38" s="48">
        <v>0.79166666666666663</v>
      </c>
      <c r="Z38" s="49">
        <f t="shared" si="21"/>
        <v>11</v>
      </c>
      <c r="AA38" s="25"/>
      <c r="AB38" s="48">
        <v>0.375</v>
      </c>
      <c r="AC38" s="48">
        <v>0.70833333333333337</v>
      </c>
      <c r="AD38" s="49">
        <f t="shared" ref="AD38:AE40" si="24">(AC38-AB38)*24</f>
        <v>8</v>
      </c>
      <c r="AE38" s="49">
        <f t="shared" si="24"/>
        <v>175</v>
      </c>
      <c r="AF38" s="29">
        <f t="shared" si="23"/>
        <v>27</v>
      </c>
      <c r="AG38" s="5"/>
    </row>
    <row r="39" spans="1:33" s="3" customFormat="1" ht="14.25">
      <c r="B39" s="313" t="s">
        <v>582</v>
      </c>
      <c r="C39" s="13" t="s">
        <v>713</v>
      </c>
      <c r="D39" s="48"/>
      <c r="E39" s="48"/>
      <c r="F39" s="85">
        <f t="shared" si="16"/>
        <v>0</v>
      </c>
      <c r="G39" s="25"/>
      <c r="H39" s="48"/>
      <c r="I39" s="48"/>
      <c r="J39" s="49">
        <f t="shared" si="17"/>
        <v>0</v>
      </c>
      <c r="K39" s="25"/>
      <c r="L39" s="427"/>
      <c r="M39" s="48"/>
      <c r="N39" s="49">
        <f t="shared" si="18"/>
        <v>0</v>
      </c>
      <c r="O39" s="25"/>
      <c r="P39" s="48"/>
      <c r="Q39" s="48"/>
      <c r="R39" s="49">
        <f t="shared" si="19"/>
        <v>0</v>
      </c>
      <c r="S39" s="25"/>
      <c r="T39" s="48">
        <v>0.66666666666666663</v>
      </c>
      <c r="U39" s="48">
        <v>0.95833333333333337</v>
      </c>
      <c r="V39" s="49">
        <f t="shared" si="20"/>
        <v>7.0000000000000018</v>
      </c>
      <c r="W39" s="25"/>
      <c r="X39" s="48">
        <v>0.375</v>
      </c>
      <c r="Y39" s="48">
        <v>0.70833333333333337</v>
      </c>
      <c r="Z39" s="49">
        <f t="shared" si="21"/>
        <v>8</v>
      </c>
      <c r="AA39" s="25"/>
      <c r="AB39" s="48">
        <v>0.375</v>
      </c>
      <c r="AC39" s="48">
        <v>0.625</v>
      </c>
      <c r="AD39" s="49">
        <f t="shared" si="24"/>
        <v>6</v>
      </c>
      <c r="AE39" s="49">
        <f t="shared" si="24"/>
        <v>129</v>
      </c>
      <c r="AF39" s="29">
        <f t="shared" si="23"/>
        <v>21</v>
      </c>
      <c r="AG39" s="5"/>
    </row>
    <row r="40" spans="1:33" s="3" customFormat="1" ht="14.25">
      <c r="B40" s="313" t="s">
        <v>54</v>
      </c>
      <c r="C40" s="13" t="s">
        <v>713</v>
      </c>
      <c r="D40" s="48"/>
      <c r="E40" s="48"/>
      <c r="F40" s="85">
        <f t="shared" si="16"/>
        <v>0</v>
      </c>
      <c r="G40" s="25"/>
      <c r="H40" s="48"/>
      <c r="I40" s="48"/>
      <c r="J40" s="49">
        <f t="shared" si="17"/>
        <v>0</v>
      </c>
      <c r="K40" s="25"/>
      <c r="L40" s="427"/>
      <c r="M40" s="48"/>
      <c r="N40" s="49">
        <f t="shared" si="18"/>
        <v>0</v>
      </c>
      <c r="O40" s="25"/>
      <c r="P40" s="48"/>
      <c r="Q40" s="48"/>
      <c r="R40" s="49">
        <f t="shared" si="19"/>
        <v>0</v>
      </c>
      <c r="S40" s="25"/>
      <c r="T40" s="48">
        <v>0.66666666666666663</v>
      </c>
      <c r="U40" s="48">
        <v>1</v>
      </c>
      <c r="V40" s="49">
        <f t="shared" si="20"/>
        <v>8</v>
      </c>
      <c r="W40" s="25"/>
      <c r="X40" s="48">
        <v>0.375</v>
      </c>
      <c r="Y40" s="48">
        <v>0.8125</v>
      </c>
      <c r="Z40" s="49">
        <f t="shared" si="21"/>
        <v>10.5</v>
      </c>
      <c r="AA40" s="25"/>
      <c r="AB40" s="48">
        <v>0.33333333333333331</v>
      </c>
      <c r="AC40" s="48">
        <v>0.75</v>
      </c>
      <c r="AD40" s="49">
        <f t="shared" si="24"/>
        <v>10</v>
      </c>
      <c r="AE40" s="49">
        <f t="shared" si="24"/>
        <v>222</v>
      </c>
      <c r="AF40" s="29">
        <f t="shared" si="23"/>
        <v>28.5</v>
      </c>
      <c r="AG40" s="5"/>
    </row>
    <row r="41" spans="1:33" s="1" customFormat="1" ht="13.5" customHeight="1">
      <c r="A41" s="8"/>
      <c r="B41" s="63" t="s">
        <v>61</v>
      </c>
      <c r="C41" s="63"/>
      <c r="D41" s="63"/>
      <c r="E41" s="63"/>
      <c r="F41" s="86">
        <f>SUM(F39:F40)</f>
        <v>0</v>
      </c>
      <c r="G41" s="63"/>
      <c r="H41" s="63"/>
      <c r="I41" s="63"/>
      <c r="J41" s="86">
        <f>SUM(J39:J40)</f>
        <v>0</v>
      </c>
      <c r="K41" s="63"/>
      <c r="L41" s="99"/>
      <c r="M41" s="63"/>
      <c r="N41" s="86">
        <f>SUM(N39:N40)</f>
        <v>0</v>
      </c>
      <c r="O41" s="63"/>
      <c r="P41" s="63"/>
      <c r="Q41" s="63"/>
      <c r="R41" s="86">
        <f>SUM(R39:R40)</f>
        <v>0</v>
      </c>
      <c r="S41" s="63"/>
      <c r="T41" s="63"/>
      <c r="U41" s="63"/>
      <c r="V41" s="86">
        <f>SUM(V21:V40)</f>
        <v>55.5</v>
      </c>
      <c r="W41" s="63"/>
      <c r="X41" s="63"/>
      <c r="Y41" s="63"/>
      <c r="Z41" s="86">
        <f>SUM(Z39:Z40)</f>
        <v>18.5</v>
      </c>
      <c r="AA41" s="63"/>
      <c r="AB41" s="63"/>
      <c r="AC41" s="63"/>
      <c r="AD41" s="86">
        <f>SUM(AD39:AD40)</f>
        <v>16</v>
      </c>
      <c r="AE41" s="46"/>
      <c r="AF41" s="30">
        <f>SUM(AF39:AF40)</f>
        <v>49.5</v>
      </c>
      <c r="AG41" s="25"/>
    </row>
    <row r="42" spans="1:33" s="1" customFormat="1" ht="13.5" customHeight="1">
      <c r="A42" s="8"/>
      <c r="B42" s="31" t="s">
        <v>577</v>
      </c>
      <c r="C42" s="31"/>
      <c r="D42" s="83"/>
      <c r="E42" s="83"/>
      <c r="F42" s="87">
        <v>8</v>
      </c>
      <c r="G42" s="83"/>
      <c r="H42" s="83"/>
      <c r="I42" s="83"/>
      <c r="J42" s="87">
        <v>8</v>
      </c>
      <c r="K42" s="83"/>
      <c r="L42" s="425"/>
      <c r="M42" s="83"/>
      <c r="N42" s="87">
        <v>8</v>
      </c>
      <c r="O42" s="83"/>
      <c r="P42" s="83"/>
      <c r="Q42" s="83"/>
      <c r="R42" s="87">
        <v>8</v>
      </c>
      <c r="S42" s="83"/>
      <c r="T42" s="83"/>
      <c r="U42" s="83"/>
      <c r="V42" s="87">
        <v>8</v>
      </c>
      <c r="W42" s="83"/>
      <c r="X42" s="83"/>
      <c r="Y42" s="83"/>
      <c r="Z42" s="87"/>
      <c r="AA42" s="83"/>
      <c r="AB42" s="83"/>
      <c r="AC42" s="83"/>
      <c r="AD42" s="83">
        <v>1</v>
      </c>
      <c r="AE42" s="45"/>
      <c r="AF42" s="28">
        <f>SUM(C42:AE42)</f>
        <v>41</v>
      </c>
      <c r="AG42" s="25"/>
    </row>
    <row r="43" spans="1:33" s="1" customFormat="1" ht="13.5" customHeight="1">
      <c r="A43" s="8"/>
      <c r="B43" s="31" t="s">
        <v>578</v>
      </c>
      <c r="C43" s="31"/>
      <c r="D43" s="83"/>
      <c r="E43" s="83"/>
      <c r="F43" s="87"/>
      <c r="G43" s="83"/>
      <c r="H43" s="83"/>
      <c r="I43" s="83"/>
      <c r="J43" s="87"/>
      <c r="K43" s="83"/>
      <c r="L43" s="425"/>
      <c r="M43" s="83"/>
      <c r="N43" s="87"/>
      <c r="O43" s="83"/>
      <c r="P43" s="83"/>
      <c r="Q43" s="83"/>
      <c r="R43" s="87"/>
      <c r="S43" s="83"/>
      <c r="T43" s="83"/>
      <c r="U43" s="83"/>
      <c r="V43" s="87"/>
      <c r="W43" s="83"/>
      <c r="X43" s="83"/>
      <c r="Y43" s="83"/>
      <c r="Z43" s="87"/>
      <c r="AA43" s="83"/>
      <c r="AB43" s="83"/>
      <c r="AC43" s="83"/>
      <c r="AD43" s="83"/>
      <c r="AE43" s="45"/>
      <c r="AF43" s="28">
        <f>SUM(D43:AD43)</f>
        <v>0</v>
      </c>
      <c r="AG43" s="25"/>
    </row>
    <row r="44" spans="1:33" s="1" customFormat="1" ht="13.5" customHeight="1" thickBot="1">
      <c r="A44" s="8"/>
      <c r="B44" s="74" t="s">
        <v>579</v>
      </c>
      <c r="C44" s="74"/>
      <c r="D44" s="92"/>
      <c r="E44" s="92"/>
      <c r="F44" s="93"/>
      <c r="G44" s="92"/>
      <c r="H44" s="92"/>
      <c r="I44" s="92"/>
      <c r="J44" s="93"/>
      <c r="K44" s="92"/>
      <c r="L44" s="426"/>
      <c r="M44" s="92"/>
      <c r="N44" s="93"/>
      <c r="O44" s="92"/>
      <c r="P44" s="92"/>
      <c r="Q44" s="92"/>
      <c r="R44" s="93"/>
      <c r="S44" s="92"/>
      <c r="T44" s="92"/>
      <c r="U44" s="92"/>
      <c r="V44" s="93"/>
      <c r="W44" s="94"/>
      <c r="X44" s="94"/>
      <c r="Y44" s="94"/>
      <c r="Z44" s="93"/>
      <c r="AA44" s="94"/>
      <c r="AB44" s="94"/>
      <c r="AC44" s="94"/>
      <c r="AD44" s="94"/>
      <c r="AE44" s="94"/>
      <c r="AF44" s="80">
        <f>SUM(D44:AD44)</f>
        <v>0</v>
      </c>
      <c r="AG44" s="25"/>
    </row>
    <row r="45" spans="1:33" s="1" customFormat="1" ht="14.25" thickTop="1">
      <c r="B45" s="71" t="s">
        <v>66</v>
      </c>
      <c r="C45" s="421"/>
      <c r="D45" s="3"/>
      <c r="E45" s="3"/>
      <c r="F45" s="88">
        <f>SUM(F42:F44)</f>
        <v>8</v>
      </c>
      <c r="G45" s="3"/>
      <c r="H45" s="3"/>
      <c r="I45" s="3"/>
      <c r="J45" s="88">
        <f>SUM(J42:J44)</f>
        <v>8</v>
      </c>
      <c r="K45" s="3"/>
      <c r="L45" s="423"/>
      <c r="M45" s="3"/>
      <c r="N45" s="88">
        <f>SUM(N42:N44)</f>
        <v>8</v>
      </c>
      <c r="O45" s="3"/>
      <c r="P45" s="3"/>
      <c r="Q45" s="3"/>
      <c r="R45" s="88">
        <f>SUM(R42:R44)</f>
        <v>8</v>
      </c>
      <c r="S45" s="3"/>
      <c r="T45" s="3"/>
      <c r="U45" s="3"/>
      <c r="V45" s="88">
        <f>SUM(V42:V44)</f>
        <v>8</v>
      </c>
      <c r="W45" s="3"/>
      <c r="X45" s="3"/>
      <c r="Y45" s="3"/>
      <c r="Z45" s="88">
        <f>SUM(Z42:Z44)</f>
        <v>0</v>
      </c>
      <c r="AA45" s="3"/>
      <c r="AB45" s="3"/>
      <c r="AC45" s="3"/>
      <c r="AD45" s="67">
        <f>SUM(AD42:AD44)</f>
        <v>1</v>
      </c>
      <c r="AE45" s="3"/>
      <c r="AF45" s="98">
        <f>SUM(F45:AD45)</f>
        <v>41</v>
      </c>
      <c r="AG45" s="3"/>
    </row>
    <row r="46" spans="1:33" s="1" customFormat="1" ht="13.35" customHeight="1">
      <c r="B46" s="1518" t="s">
        <v>18</v>
      </c>
      <c r="C46" s="1528" t="s">
        <v>708</v>
      </c>
      <c r="D46" s="1524">
        <v>45306</v>
      </c>
      <c r="E46" s="1524"/>
      <c r="F46" s="1524"/>
      <c r="G46" s="22"/>
      <c r="H46" s="1524">
        <f>D46+1</f>
        <v>45307</v>
      </c>
      <c r="I46" s="1524"/>
      <c r="J46" s="1524"/>
      <c r="K46" s="22"/>
      <c r="L46" s="1524">
        <f>H46+1</f>
        <v>45308</v>
      </c>
      <c r="M46" s="1524"/>
      <c r="N46" s="1524"/>
      <c r="O46" s="3"/>
      <c r="P46" s="1524">
        <f>L46+1</f>
        <v>45309</v>
      </c>
      <c r="Q46" s="1524"/>
      <c r="R46" s="1524"/>
      <c r="S46" s="3"/>
      <c r="T46" s="1524">
        <f>P46+1</f>
        <v>45310</v>
      </c>
      <c r="U46" s="1524"/>
      <c r="V46" s="1524"/>
      <c r="W46" s="22"/>
      <c r="X46" s="1524">
        <f>T46+1</f>
        <v>45311</v>
      </c>
      <c r="Y46" s="1524"/>
      <c r="Z46" s="1524"/>
      <c r="AA46" s="3"/>
      <c r="AB46" s="1524">
        <f>X46+1</f>
        <v>45312</v>
      </c>
      <c r="AC46" s="1524"/>
      <c r="AD46" s="1524"/>
      <c r="AE46" s="22"/>
      <c r="AF46" s="1517" t="s">
        <v>19</v>
      </c>
      <c r="AG46" s="3"/>
    </row>
    <row r="47" spans="1:33" s="1" customFormat="1">
      <c r="B47" s="1518"/>
      <c r="C47" s="1528"/>
      <c r="D47" s="21" t="s">
        <v>23</v>
      </c>
      <c r="E47" s="21" t="s">
        <v>24</v>
      </c>
      <c r="F47" s="62" t="s">
        <v>25</v>
      </c>
      <c r="G47" s="23"/>
      <c r="H47" s="21" t="s">
        <v>23</v>
      </c>
      <c r="I47" s="21" t="s">
        <v>24</v>
      </c>
      <c r="J47" s="18" t="s">
        <v>25</v>
      </c>
      <c r="K47" s="23"/>
      <c r="L47" s="21" t="s">
        <v>23</v>
      </c>
      <c r="M47" s="21" t="s">
        <v>24</v>
      </c>
      <c r="N47" s="18" t="s">
        <v>25</v>
      </c>
      <c r="O47" s="23"/>
      <c r="P47" s="21" t="s">
        <v>23</v>
      </c>
      <c r="Q47" s="21" t="s">
        <v>24</v>
      </c>
      <c r="R47" s="18" t="s">
        <v>25</v>
      </c>
      <c r="S47" s="23"/>
      <c r="T47" s="21" t="s">
        <v>23</v>
      </c>
      <c r="U47" s="21" t="s">
        <v>24</v>
      </c>
      <c r="V47" s="18" t="s">
        <v>25</v>
      </c>
      <c r="W47" s="23"/>
      <c r="X47" s="21" t="s">
        <v>23</v>
      </c>
      <c r="Y47" s="21" t="s">
        <v>24</v>
      </c>
      <c r="Z47" s="18" t="s">
        <v>25</v>
      </c>
      <c r="AA47" s="23"/>
      <c r="AB47" s="21" t="s">
        <v>23</v>
      </c>
      <c r="AC47" s="21" t="s">
        <v>24</v>
      </c>
      <c r="AD47" s="18" t="s">
        <v>25</v>
      </c>
      <c r="AE47" s="23"/>
      <c r="AF47" s="1523"/>
      <c r="AG47" s="3"/>
    </row>
    <row r="48" spans="1:33" s="3" customFormat="1" ht="27" customHeight="1">
      <c r="B48" s="313" t="s">
        <v>576</v>
      </c>
      <c r="C48" s="13" t="s">
        <v>722</v>
      </c>
      <c r="D48" s="51"/>
      <c r="E48" s="51"/>
      <c r="F48" s="85">
        <f>(E48-D48)*24</f>
        <v>0</v>
      </c>
      <c r="G48" s="24"/>
      <c r="H48" s="51">
        <v>0.45833333333333331</v>
      </c>
      <c r="I48" s="51">
        <v>0.70833333333333337</v>
      </c>
      <c r="J48" s="49">
        <f t="shared" ref="J48:J59" si="25">(I48-H48)*24</f>
        <v>6.0000000000000018</v>
      </c>
      <c r="K48" s="24"/>
      <c r="L48" s="424">
        <v>0.41666666666666669</v>
      </c>
      <c r="M48" s="51">
        <v>0.72916666666666663</v>
      </c>
      <c r="N48" s="49">
        <f t="shared" ref="N48:N59" si="26">(M48-L48)*24</f>
        <v>7.4999999999999982</v>
      </c>
      <c r="O48" s="24"/>
      <c r="P48" s="51"/>
      <c r="Q48" s="51"/>
      <c r="R48" s="49">
        <f t="shared" ref="R48:R59" si="27">(Q48-P48)*24</f>
        <v>0</v>
      </c>
      <c r="S48" s="24"/>
      <c r="T48" s="51"/>
      <c r="U48" s="51"/>
      <c r="V48" s="49">
        <f t="shared" ref="V48:V59" si="28">(U48-T48)*24</f>
        <v>0</v>
      </c>
      <c r="W48" s="24"/>
      <c r="X48" s="51"/>
      <c r="Y48" s="51"/>
      <c r="Z48" s="49">
        <f t="shared" ref="Z48:Z59" si="29">(Y48-X48)*24</f>
        <v>0</v>
      </c>
      <c r="AA48" s="24"/>
      <c r="AB48" s="51"/>
      <c r="AC48" s="51"/>
      <c r="AD48" s="49">
        <f t="shared" ref="AD48:AD59" si="30">(AC48-AB48)*24</f>
        <v>0</v>
      </c>
      <c r="AE48" s="24"/>
      <c r="AF48" s="29">
        <f t="shared" ref="AF48:AF59" si="31">J48+F48+N48+R48+V48+Z48+AD48</f>
        <v>13.5</v>
      </c>
    </row>
    <row r="49" spans="1:33" s="3" customFormat="1" ht="14.25">
      <c r="B49" s="313" t="s">
        <v>54</v>
      </c>
      <c r="C49" s="13" t="s">
        <v>713</v>
      </c>
      <c r="D49" s="51">
        <v>0.25</v>
      </c>
      <c r="E49" s="51">
        <v>0.72916666666666663</v>
      </c>
      <c r="F49" s="85">
        <f>(E49-D49)*24</f>
        <v>11.5</v>
      </c>
      <c r="G49" s="25"/>
      <c r="H49" s="51">
        <v>0.29166666666666669</v>
      </c>
      <c r="I49" s="51">
        <v>0.79166666666666663</v>
      </c>
      <c r="J49" s="49">
        <f t="shared" si="25"/>
        <v>11.999999999999998</v>
      </c>
      <c r="K49" s="25"/>
      <c r="L49" s="427"/>
      <c r="M49" s="48"/>
      <c r="N49" s="49">
        <f t="shared" si="26"/>
        <v>0</v>
      </c>
      <c r="O49" s="25"/>
      <c r="P49" s="48"/>
      <c r="Q49" s="48"/>
      <c r="R49" s="49">
        <f t="shared" si="27"/>
        <v>0</v>
      </c>
      <c r="S49" s="25"/>
      <c r="T49" s="48"/>
      <c r="U49" s="48"/>
      <c r="V49" s="49">
        <f t="shared" si="28"/>
        <v>0</v>
      </c>
      <c r="W49" s="25"/>
      <c r="X49" s="48"/>
      <c r="Y49" s="48"/>
      <c r="Z49" s="49">
        <f t="shared" si="29"/>
        <v>0</v>
      </c>
      <c r="AA49" s="25"/>
      <c r="AB49" s="48"/>
      <c r="AC49" s="48"/>
      <c r="AD49" s="49">
        <f t="shared" si="30"/>
        <v>0</v>
      </c>
      <c r="AE49" s="25"/>
      <c r="AF49" s="29">
        <f t="shared" si="31"/>
        <v>23.5</v>
      </c>
      <c r="AG49" s="5"/>
    </row>
    <row r="50" spans="1:33" s="3" customFormat="1" ht="14.25">
      <c r="B50" s="313" t="s">
        <v>572</v>
      </c>
      <c r="C50" s="13" t="s">
        <v>713</v>
      </c>
      <c r="D50" s="51">
        <v>0.25</v>
      </c>
      <c r="E50" s="51">
        <v>0.72916666666666663</v>
      </c>
      <c r="F50" s="85">
        <f>(E50-D50)*24</f>
        <v>11.5</v>
      </c>
      <c r="G50" s="25"/>
      <c r="H50" s="51">
        <v>0.27083333333333331</v>
      </c>
      <c r="I50" s="51">
        <v>0.79166666666666663</v>
      </c>
      <c r="J50" s="49">
        <f t="shared" si="25"/>
        <v>12.499999999999998</v>
      </c>
      <c r="K50" s="25"/>
      <c r="L50" s="427"/>
      <c r="M50" s="48"/>
      <c r="N50" s="49">
        <f t="shared" si="26"/>
        <v>0</v>
      </c>
      <c r="O50" s="25"/>
      <c r="P50" s="48"/>
      <c r="Q50" s="48"/>
      <c r="R50" s="49">
        <f t="shared" si="27"/>
        <v>0</v>
      </c>
      <c r="S50" s="25"/>
      <c r="T50" s="48"/>
      <c r="U50" s="48"/>
      <c r="V50" s="49">
        <f t="shared" si="28"/>
        <v>0</v>
      </c>
      <c r="W50" s="25"/>
      <c r="X50" s="48"/>
      <c r="Y50" s="48"/>
      <c r="Z50" s="49">
        <f t="shared" si="29"/>
        <v>0</v>
      </c>
      <c r="AA50" s="25"/>
      <c r="AB50" s="48"/>
      <c r="AC50" s="48"/>
      <c r="AD50" s="49">
        <f t="shared" si="30"/>
        <v>0</v>
      </c>
      <c r="AE50" s="49">
        <f>(AD50-AC50)*24</f>
        <v>0</v>
      </c>
      <c r="AF50" s="29">
        <f t="shared" si="31"/>
        <v>24</v>
      </c>
    </row>
    <row r="51" spans="1:33" s="3" customFormat="1" ht="22.5" customHeight="1">
      <c r="B51" s="313" t="s">
        <v>653</v>
      </c>
      <c r="C51" s="13" t="s">
        <v>722</v>
      </c>
      <c r="D51" s="48"/>
      <c r="E51" s="48"/>
      <c r="F51" s="85">
        <f>(E51-D51)*24</f>
        <v>0</v>
      </c>
      <c r="G51" s="25"/>
      <c r="H51" s="51">
        <v>0.45833333333333331</v>
      </c>
      <c r="I51" s="51">
        <v>0.70833333333333337</v>
      </c>
      <c r="J51" s="49">
        <f t="shared" si="25"/>
        <v>6.0000000000000018</v>
      </c>
      <c r="K51" s="25"/>
      <c r="L51" s="427"/>
      <c r="M51" s="48"/>
      <c r="N51" s="49">
        <f t="shared" si="26"/>
        <v>0</v>
      </c>
      <c r="O51" s="25"/>
      <c r="P51" s="48"/>
      <c r="Q51" s="48"/>
      <c r="R51" s="49">
        <f t="shared" si="27"/>
        <v>0</v>
      </c>
      <c r="S51" s="25"/>
      <c r="T51" s="48"/>
      <c r="U51" s="48"/>
      <c r="V51" s="49">
        <f t="shared" si="28"/>
        <v>0</v>
      </c>
      <c r="W51" s="25"/>
      <c r="X51" s="48"/>
      <c r="Y51" s="48"/>
      <c r="Z51" s="49">
        <f t="shared" si="29"/>
        <v>0</v>
      </c>
      <c r="AA51" s="25"/>
      <c r="AB51" s="48"/>
      <c r="AC51" s="48"/>
      <c r="AD51" s="49">
        <f t="shared" si="30"/>
        <v>0</v>
      </c>
      <c r="AE51" s="49">
        <f>(AD51-AC51)*24</f>
        <v>0</v>
      </c>
      <c r="AF51" s="29">
        <f t="shared" si="31"/>
        <v>6.0000000000000018</v>
      </c>
    </row>
    <row r="52" spans="1:33" s="3" customFormat="1" ht="23.25" customHeight="1">
      <c r="B52" s="13" t="s">
        <v>603</v>
      </c>
      <c r="C52" s="13" t="s">
        <v>722</v>
      </c>
      <c r="D52" s="51"/>
      <c r="E52" s="51"/>
      <c r="F52" s="85">
        <f>(E52-D52)*24</f>
        <v>0</v>
      </c>
      <c r="G52" s="25"/>
      <c r="H52" s="51">
        <v>0.29166666666666669</v>
      </c>
      <c r="I52" s="51">
        <v>0.70833333333333337</v>
      </c>
      <c r="J52" s="49">
        <f t="shared" si="25"/>
        <v>10</v>
      </c>
      <c r="K52" s="25"/>
      <c r="L52" s="424"/>
      <c r="M52" s="51"/>
      <c r="N52" s="49">
        <f t="shared" si="26"/>
        <v>0</v>
      </c>
      <c r="O52" s="25"/>
      <c r="P52" s="51"/>
      <c r="Q52" s="51"/>
      <c r="R52" s="49">
        <f t="shared" si="27"/>
        <v>0</v>
      </c>
      <c r="S52" s="25"/>
      <c r="T52" s="51"/>
      <c r="U52" s="51"/>
      <c r="V52" s="49">
        <f t="shared" si="28"/>
        <v>0</v>
      </c>
      <c r="W52" s="25"/>
      <c r="X52" s="51"/>
      <c r="Y52" s="51"/>
      <c r="Z52" s="49">
        <f t="shared" si="29"/>
        <v>0</v>
      </c>
      <c r="AA52" s="25"/>
      <c r="AB52" s="51"/>
      <c r="AC52" s="51"/>
      <c r="AD52" s="49">
        <f t="shared" si="30"/>
        <v>0</v>
      </c>
      <c r="AE52" s="25"/>
      <c r="AF52" s="29">
        <f t="shared" si="31"/>
        <v>10</v>
      </c>
    </row>
    <row r="53" spans="1:33" s="1" customFormat="1" ht="22.5" customHeight="1">
      <c r="A53" s="8"/>
      <c r="B53" s="313" t="s">
        <v>572</v>
      </c>
      <c r="C53" s="434" t="s">
        <v>723</v>
      </c>
      <c r="D53" s="51"/>
      <c r="E53" s="51"/>
      <c r="F53" s="85">
        <f t="shared" ref="F53:F55" si="32">(E53-D53)*24</f>
        <v>0</v>
      </c>
      <c r="G53" s="25"/>
      <c r="H53" s="51">
        <v>0.72916666666666663</v>
      </c>
      <c r="I53" s="51">
        <v>0.79166666666666663</v>
      </c>
      <c r="J53" s="49">
        <f t="shared" si="25"/>
        <v>1.5</v>
      </c>
      <c r="K53" s="25"/>
      <c r="L53" s="424">
        <v>0.25</v>
      </c>
      <c r="M53" s="51">
        <v>0.72916666666666663</v>
      </c>
      <c r="N53" s="49">
        <f t="shared" si="26"/>
        <v>11.5</v>
      </c>
      <c r="O53" s="25"/>
      <c r="P53" s="51"/>
      <c r="Q53" s="51"/>
      <c r="R53" s="49">
        <f t="shared" si="27"/>
        <v>0</v>
      </c>
      <c r="S53" s="25"/>
      <c r="T53" s="51"/>
      <c r="U53" s="51"/>
      <c r="V53" s="49">
        <f t="shared" si="28"/>
        <v>0</v>
      </c>
      <c r="W53" s="25"/>
      <c r="X53" s="51"/>
      <c r="Y53" s="51"/>
      <c r="Z53" s="49">
        <f t="shared" si="29"/>
        <v>0</v>
      </c>
      <c r="AA53" s="25"/>
      <c r="AB53" s="51"/>
      <c r="AC53" s="51"/>
      <c r="AD53" s="49">
        <f t="shared" si="30"/>
        <v>0</v>
      </c>
      <c r="AE53" s="25"/>
      <c r="AF53" s="29">
        <f t="shared" si="31"/>
        <v>13</v>
      </c>
      <c r="AG53" s="25"/>
    </row>
    <row r="54" spans="1:33" s="1" customFormat="1" ht="24" customHeight="1">
      <c r="A54" s="8"/>
      <c r="B54" s="13" t="s">
        <v>637</v>
      </c>
      <c r="C54" s="13" t="s">
        <v>722</v>
      </c>
      <c r="D54" s="51"/>
      <c r="E54" s="51"/>
      <c r="F54" s="85">
        <f t="shared" si="32"/>
        <v>0</v>
      </c>
      <c r="G54" s="25"/>
      <c r="H54" s="51"/>
      <c r="I54" s="51"/>
      <c r="J54" s="49">
        <f t="shared" si="25"/>
        <v>0</v>
      </c>
      <c r="K54" s="25"/>
      <c r="L54" s="424">
        <v>0.39583333333333331</v>
      </c>
      <c r="M54" s="51">
        <v>0.72916666666666663</v>
      </c>
      <c r="N54" s="49">
        <f t="shared" si="26"/>
        <v>8</v>
      </c>
      <c r="O54" s="25"/>
      <c r="P54" s="51"/>
      <c r="Q54" s="51"/>
      <c r="R54" s="49">
        <f t="shared" si="27"/>
        <v>0</v>
      </c>
      <c r="S54" s="25"/>
      <c r="T54" s="51"/>
      <c r="U54" s="51"/>
      <c r="V54" s="49">
        <f t="shared" si="28"/>
        <v>0</v>
      </c>
      <c r="W54" s="25"/>
      <c r="X54" s="51"/>
      <c r="Y54" s="51"/>
      <c r="Z54" s="49">
        <f t="shared" si="29"/>
        <v>0</v>
      </c>
      <c r="AA54" s="25"/>
      <c r="AB54" s="51"/>
      <c r="AC54" s="51"/>
      <c r="AD54" s="49">
        <f t="shared" si="30"/>
        <v>0</v>
      </c>
      <c r="AE54" s="25"/>
      <c r="AF54" s="29">
        <f t="shared" si="31"/>
        <v>8</v>
      </c>
      <c r="AG54" s="25"/>
    </row>
    <row r="55" spans="1:33" s="1" customFormat="1" ht="27.75" customHeight="1">
      <c r="A55" s="8"/>
      <c r="B55" s="313" t="s">
        <v>54</v>
      </c>
      <c r="C55" s="13" t="s">
        <v>722</v>
      </c>
      <c r="D55" s="51"/>
      <c r="E55" s="51"/>
      <c r="F55" s="85">
        <f t="shared" si="32"/>
        <v>0</v>
      </c>
      <c r="G55" s="25"/>
      <c r="H55" s="51"/>
      <c r="I55" s="51"/>
      <c r="J55" s="49">
        <f t="shared" si="25"/>
        <v>0</v>
      </c>
      <c r="K55" s="25"/>
      <c r="L55" s="424">
        <v>0.39583333333333331</v>
      </c>
      <c r="M55" s="51">
        <v>0.72916666666666663</v>
      </c>
      <c r="N55" s="49">
        <f t="shared" si="26"/>
        <v>8</v>
      </c>
      <c r="O55" s="25"/>
      <c r="P55" s="51"/>
      <c r="Q55" s="51"/>
      <c r="R55" s="49">
        <f t="shared" si="27"/>
        <v>0</v>
      </c>
      <c r="S55" s="25"/>
      <c r="T55" s="51"/>
      <c r="U55" s="51"/>
      <c r="V55" s="49">
        <f t="shared" si="28"/>
        <v>0</v>
      </c>
      <c r="W55" s="25"/>
      <c r="X55" s="51"/>
      <c r="Y55" s="51"/>
      <c r="Z55" s="49">
        <f t="shared" si="29"/>
        <v>0</v>
      </c>
      <c r="AA55" s="25"/>
      <c r="AB55" s="51"/>
      <c r="AC55" s="51"/>
      <c r="AD55" s="49">
        <f t="shared" si="30"/>
        <v>0</v>
      </c>
      <c r="AE55" s="25"/>
      <c r="AF55" s="29">
        <f t="shared" si="31"/>
        <v>8</v>
      </c>
      <c r="AG55" s="25"/>
    </row>
    <row r="56" spans="1:33" s="1" customFormat="1" ht="27.75" customHeight="1">
      <c r="A56" s="8"/>
      <c r="B56" s="313" t="s">
        <v>572</v>
      </c>
      <c r="C56" s="13" t="s">
        <v>724</v>
      </c>
      <c r="D56" s="51"/>
      <c r="E56" s="51"/>
      <c r="F56" s="85">
        <f>(E56-D56)*24</f>
        <v>0</v>
      </c>
      <c r="G56" s="25"/>
      <c r="H56" s="51"/>
      <c r="I56" s="51"/>
      <c r="J56" s="49">
        <f t="shared" si="25"/>
        <v>0</v>
      </c>
      <c r="K56" s="25"/>
      <c r="L56" s="424"/>
      <c r="M56" s="51"/>
      <c r="N56" s="49">
        <f t="shared" si="26"/>
        <v>0</v>
      </c>
      <c r="O56" s="25"/>
      <c r="P56" s="51">
        <v>0.41666666666666669</v>
      </c>
      <c r="Q56" s="51">
        <v>0.70833333333333337</v>
      </c>
      <c r="R56" s="49">
        <f t="shared" si="27"/>
        <v>7</v>
      </c>
      <c r="S56" s="25"/>
      <c r="T56" s="51"/>
      <c r="U56" s="51"/>
      <c r="V56" s="49">
        <f t="shared" si="28"/>
        <v>0</v>
      </c>
      <c r="W56" s="25"/>
      <c r="X56" s="51"/>
      <c r="Y56" s="51"/>
      <c r="Z56" s="49">
        <f t="shared" si="29"/>
        <v>0</v>
      </c>
      <c r="AA56" s="25"/>
      <c r="AB56" s="51"/>
      <c r="AC56" s="51"/>
      <c r="AD56" s="49">
        <f t="shared" si="30"/>
        <v>0</v>
      </c>
      <c r="AE56" s="25"/>
      <c r="AF56" s="29">
        <f t="shared" si="31"/>
        <v>7</v>
      </c>
      <c r="AG56" s="25"/>
    </row>
    <row r="57" spans="1:33" s="1" customFormat="1" ht="27.75" customHeight="1">
      <c r="A57" s="8"/>
      <c r="B57" s="313" t="s">
        <v>54</v>
      </c>
      <c r="C57" s="13" t="s">
        <v>654</v>
      </c>
      <c r="D57" s="51"/>
      <c r="E57" s="51"/>
      <c r="F57" s="85">
        <f>(E57-D57)*24</f>
        <v>0</v>
      </c>
      <c r="G57" s="25"/>
      <c r="H57" s="51"/>
      <c r="I57" s="51"/>
      <c r="J57" s="49">
        <f t="shared" si="25"/>
        <v>0</v>
      </c>
      <c r="K57" s="25"/>
      <c r="L57" s="424"/>
      <c r="M57" s="51"/>
      <c r="N57" s="49">
        <f t="shared" si="26"/>
        <v>0</v>
      </c>
      <c r="O57" s="25"/>
      <c r="P57" s="51">
        <v>0.41666666666666669</v>
      </c>
      <c r="Q57" s="51">
        <v>0.70833333333333337</v>
      </c>
      <c r="R57" s="49">
        <f t="shared" si="27"/>
        <v>7</v>
      </c>
      <c r="S57" s="25"/>
      <c r="T57" s="51"/>
      <c r="U57" s="51"/>
      <c r="V57" s="49">
        <f t="shared" si="28"/>
        <v>0</v>
      </c>
      <c r="W57" s="25"/>
      <c r="X57" s="51"/>
      <c r="Y57" s="51"/>
      <c r="Z57" s="49">
        <f t="shared" si="29"/>
        <v>0</v>
      </c>
      <c r="AA57" s="25"/>
      <c r="AB57" s="51"/>
      <c r="AC57" s="51"/>
      <c r="AD57" s="49">
        <f t="shared" si="30"/>
        <v>0</v>
      </c>
      <c r="AE57" s="25"/>
      <c r="AF57" s="29">
        <f t="shared" si="31"/>
        <v>7</v>
      </c>
      <c r="AG57" s="25"/>
    </row>
    <row r="58" spans="1:33" s="1" customFormat="1" ht="27.75" customHeight="1">
      <c r="A58" s="8"/>
      <c r="B58" s="313" t="s">
        <v>576</v>
      </c>
      <c r="C58" s="13" t="s">
        <v>725</v>
      </c>
      <c r="D58" s="51"/>
      <c r="E58" s="51"/>
      <c r="F58" s="85">
        <f>(E58-D58)*24</f>
        <v>0</v>
      </c>
      <c r="G58" s="25"/>
      <c r="H58" s="51"/>
      <c r="I58" s="51"/>
      <c r="J58" s="49">
        <f t="shared" si="25"/>
        <v>0</v>
      </c>
      <c r="K58" s="25"/>
      <c r="L58" s="424"/>
      <c r="M58" s="51"/>
      <c r="N58" s="49">
        <f t="shared" si="26"/>
        <v>0</v>
      </c>
      <c r="O58" s="25"/>
      <c r="P58" s="51"/>
      <c r="Q58" s="51"/>
      <c r="R58" s="49">
        <f t="shared" si="27"/>
        <v>0</v>
      </c>
      <c r="S58" s="25"/>
      <c r="T58" s="51"/>
      <c r="U58" s="51"/>
      <c r="V58" s="49">
        <f t="shared" si="28"/>
        <v>0</v>
      </c>
      <c r="W58" s="25"/>
      <c r="X58" s="51"/>
      <c r="Y58" s="51"/>
      <c r="Z58" s="49">
        <f t="shared" si="29"/>
        <v>0</v>
      </c>
      <c r="AA58" s="25"/>
      <c r="AB58" s="51"/>
      <c r="AC58" s="51"/>
      <c r="AD58" s="49">
        <f t="shared" si="30"/>
        <v>0</v>
      </c>
      <c r="AE58" s="25"/>
      <c r="AF58" s="29">
        <f t="shared" si="31"/>
        <v>0</v>
      </c>
      <c r="AG58" s="25"/>
    </row>
    <row r="59" spans="1:33" s="1" customFormat="1" ht="39" customHeight="1">
      <c r="A59" s="8"/>
      <c r="B59" s="313" t="s">
        <v>54</v>
      </c>
      <c r="C59" s="13" t="s">
        <v>726</v>
      </c>
      <c r="D59" s="51"/>
      <c r="E59" s="51"/>
      <c r="F59" s="85">
        <f>(E59-D59)*24</f>
        <v>0</v>
      </c>
      <c r="G59" s="25"/>
      <c r="H59" s="51"/>
      <c r="I59" s="51"/>
      <c r="J59" s="49">
        <f t="shared" si="25"/>
        <v>0</v>
      </c>
      <c r="K59" s="25"/>
      <c r="L59" s="424"/>
      <c r="M59" s="51"/>
      <c r="N59" s="49">
        <f t="shared" si="26"/>
        <v>0</v>
      </c>
      <c r="O59" s="25"/>
      <c r="P59" s="51"/>
      <c r="Q59" s="51"/>
      <c r="R59" s="49">
        <f t="shared" si="27"/>
        <v>0</v>
      </c>
      <c r="S59" s="25"/>
      <c r="T59" s="51">
        <v>0.38541666666666669</v>
      </c>
      <c r="U59" s="51"/>
      <c r="V59" s="49">
        <f t="shared" si="28"/>
        <v>-9.25</v>
      </c>
      <c r="W59" s="25"/>
      <c r="X59" s="51"/>
      <c r="Y59" s="51"/>
      <c r="Z59" s="49">
        <f t="shared" si="29"/>
        <v>0</v>
      </c>
      <c r="AA59" s="25"/>
      <c r="AB59" s="51"/>
      <c r="AC59" s="51"/>
      <c r="AD59" s="49">
        <f t="shared" si="30"/>
        <v>0</v>
      </c>
      <c r="AE59" s="25"/>
      <c r="AF59" s="29">
        <f t="shared" si="31"/>
        <v>-9.25</v>
      </c>
      <c r="AG59" s="25"/>
    </row>
    <row r="60" spans="1:33" s="1" customFormat="1" ht="13.5" customHeight="1">
      <c r="A60" s="8"/>
      <c r="B60" s="63" t="s">
        <v>61</v>
      </c>
      <c r="C60" s="63"/>
      <c r="D60" s="432"/>
      <c r="E60" s="432"/>
      <c r="F60" s="86">
        <f>SUM(F52:F55)</f>
        <v>0</v>
      </c>
      <c r="G60" s="63"/>
      <c r="H60" s="432"/>
      <c r="I60" s="432"/>
      <c r="J60" s="86">
        <f>SUM(J52:J55)</f>
        <v>11.5</v>
      </c>
      <c r="K60" s="63"/>
      <c r="L60" s="433"/>
      <c r="M60" s="432"/>
      <c r="N60" s="86">
        <f>SUM(N52:N55)</f>
        <v>27.5</v>
      </c>
      <c r="O60" s="63"/>
      <c r="P60" s="432"/>
      <c r="Q60" s="432"/>
      <c r="R60" s="86">
        <f>SUM(R52:R55)</f>
        <v>0</v>
      </c>
      <c r="S60" s="63"/>
      <c r="T60" s="432"/>
      <c r="U60" s="432"/>
      <c r="V60" s="86">
        <f>SUM(V52:V55)</f>
        <v>0</v>
      </c>
      <c r="W60" s="63"/>
      <c r="X60" s="432"/>
      <c r="Y60" s="432"/>
      <c r="Z60" s="86">
        <f>SUM(Z52:Z55)</f>
        <v>0</v>
      </c>
      <c r="AA60" s="63"/>
      <c r="AB60" s="432"/>
      <c r="AC60" s="432"/>
      <c r="AD60" s="86">
        <f>SUM(AD52:AD55)</f>
        <v>0</v>
      </c>
      <c r="AE60" s="46"/>
      <c r="AF60" s="30">
        <f>SUM(AF52:AF55)</f>
        <v>39</v>
      </c>
      <c r="AG60" s="25"/>
    </row>
    <row r="61" spans="1:33" s="1" customFormat="1" ht="13.5" customHeight="1">
      <c r="A61" s="8"/>
      <c r="B61" s="31" t="s">
        <v>577</v>
      </c>
      <c r="C61" s="31"/>
      <c r="D61" s="83"/>
      <c r="E61" s="83"/>
      <c r="F61" s="90">
        <v>8</v>
      </c>
      <c r="G61" s="91"/>
      <c r="H61" s="83"/>
      <c r="I61" s="83"/>
      <c r="J61" s="90">
        <v>8</v>
      </c>
      <c r="K61" s="91"/>
      <c r="L61" s="425"/>
      <c r="M61" s="83"/>
      <c r="N61" s="90">
        <v>8</v>
      </c>
      <c r="O61" s="91"/>
      <c r="P61" s="83"/>
      <c r="Q61" s="83"/>
      <c r="R61" s="90">
        <v>8</v>
      </c>
      <c r="S61" s="91"/>
      <c r="T61" s="83"/>
      <c r="U61" s="83"/>
      <c r="V61" s="90">
        <v>8</v>
      </c>
      <c r="W61" s="91"/>
      <c r="X61" s="83"/>
      <c r="Y61" s="83"/>
      <c r="Z61" s="90"/>
      <c r="AA61" s="91"/>
      <c r="AB61" s="83"/>
      <c r="AC61" s="83"/>
      <c r="AD61" s="91">
        <v>1</v>
      </c>
      <c r="AE61" s="352"/>
      <c r="AF61" s="28">
        <f>SUM(C61:AE61)</f>
        <v>41</v>
      </c>
      <c r="AG61" s="25"/>
    </row>
    <row r="62" spans="1:33" s="1" customFormat="1">
      <c r="B62" s="31" t="s">
        <v>578</v>
      </c>
      <c r="C62" s="31"/>
      <c r="D62" s="83"/>
      <c r="E62" s="83"/>
      <c r="F62" s="90"/>
      <c r="G62" s="91"/>
      <c r="H62" s="83"/>
      <c r="I62" s="83"/>
      <c r="J62" s="90"/>
      <c r="K62" s="91"/>
      <c r="L62" s="425"/>
      <c r="M62" s="83"/>
      <c r="N62" s="90"/>
      <c r="O62" s="91"/>
      <c r="P62" s="83"/>
      <c r="Q62" s="83"/>
      <c r="R62" s="90"/>
      <c r="S62" s="91"/>
      <c r="T62" s="83"/>
      <c r="U62" s="91"/>
      <c r="V62" s="90"/>
      <c r="W62" s="91"/>
      <c r="X62" s="83"/>
      <c r="Y62" s="83"/>
      <c r="Z62" s="90"/>
      <c r="AA62" s="91"/>
      <c r="AB62" s="83"/>
      <c r="AC62" s="83"/>
      <c r="AD62" s="91"/>
      <c r="AE62" s="352"/>
      <c r="AF62" s="28">
        <f>SUM(D62:AD62)</f>
        <v>0</v>
      </c>
      <c r="AG62" s="3"/>
    </row>
    <row r="63" spans="1:33" s="3" customFormat="1" ht="13.35" customHeight="1" thickBot="1">
      <c r="B63" s="74" t="s">
        <v>579</v>
      </c>
      <c r="C63" s="74"/>
      <c r="D63" s="92"/>
      <c r="E63" s="92"/>
      <c r="F63" s="96"/>
      <c r="G63" s="95"/>
      <c r="H63" s="92"/>
      <c r="I63" s="92"/>
      <c r="J63" s="96"/>
      <c r="K63" s="95"/>
      <c r="L63" s="426"/>
      <c r="M63" s="92"/>
      <c r="N63" s="96"/>
      <c r="O63" s="95"/>
      <c r="P63" s="92"/>
      <c r="Q63" s="92"/>
      <c r="R63" s="96"/>
      <c r="S63" s="95"/>
      <c r="T63" s="92"/>
      <c r="U63" s="95"/>
      <c r="V63" s="96"/>
      <c r="W63" s="97"/>
      <c r="X63" s="94"/>
      <c r="Y63" s="94"/>
      <c r="Z63" s="96"/>
      <c r="AA63" s="97"/>
      <c r="AB63" s="94"/>
      <c r="AC63" s="94"/>
      <c r="AD63" s="97"/>
      <c r="AE63" s="97"/>
      <c r="AF63" s="80">
        <f>SUM(D63:AD63)</f>
        <v>0</v>
      </c>
    </row>
    <row r="64" spans="1:33" s="3" customFormat="1" ht="15" thickTop="1">
      <c r="B64" s="71" t="s">
        <v>66</v>
      </c>
      <c r="C64" s="421"/>
      <c r="F64" s="88">
        <f>SUM(F61:F63)</f>
        <v>8</v>
      </c>
      <c r="J64" s="88">
        <f>SUM(J61:J63)</f>
        <v>8</v>
      </c>
      <c r="L64" s="423"/>
      <c r="N64" s="88">
        <f>SUM(N61:N63)</f>
        <v>8</v>
      </c>
      <c r="R64" s="88">
        <f>SUM(R61:R63)</f>
        <v>8</v>
      </c>
      <c r="V64" s="88">
        <f>SUM(V61:V63)</f>
        <v>8</v>
      </c>
      <c r="Z64" s="88">
        <f>SUM(Z61:Z63)</f>
        <v>0</v>
      </c>
      <c r="AD64" s="67">
        <f>SUM(AD61:AD63)</f>
        <v>1</v>
      </c>
      <c r="AF64" s="98">
        <f>SUM(F64:AD64)</f>
        <v>41</v>
      </c>
      <c r="AG64" s="5"/>
    </row>
    <row r="65" spans="1:33" s="1" customFormat="1" ht="13.5" customHeight="1">
      <c r="A65" s="8"/>
      <c r="B65" s="1518" t="s">
        <v>18</v>
      </c>
      <c r="C65" s="1528" t="s">
        <v>708</v>
      </c>
      <c r="D65" s="1524">
        <v>45313</v>
      </c>
      <c r="E65" s="1524"/>
      <c r="F65" s="1524"/>
      <c r="G65" s="22"/>
      <c r="H65" s="1524">
        <f>D65+1</f>
        <v>45314</v>
      </c>
      <c r="I65" s="1524"/>
      <c r="J65" s="1524"/>
      <c r="K65" s="22"/>
      <c r="L65" s="1524">
        <f>H65+1</f>
        <v>45315</v>
      </c>
      <c r="M65" s="1524"/>
      <c r="N65" s="1524"/>
      <c r="O65" s="3"/>
      <c r="P65" s="1524">
        <f>L65+1</f>
        <v>45316</v>
      </c>
      <c r="Q65" s="1524"/>
      <c r="R65" s="1524"/>
      <c r="S65" s="3"/>
      <c r="T65" s="1524">
        <f>P65+1</f>
        <v>45317</v>
      </c>
      <c r="U65" s="1524"/>
      <c r="V65" s="1524"/>
      <c r="W65" s="22"/>
      <c r="X65" s="1524">
        <f>T65+1</f>
        <v>45318</v>
      </c>
      <c r="Y65" s="1524"/>
      <c r="Z65" s="1524"/>
      <c r="AA65" s="3"/>
      <c r="AB65" s="1524">
        <f>X65+1</f>
        <v>45319</v>
      </c>
      <c r="AC65" s="1524"/>
      <c r="AD65" s="1524"/>
      <c r="AE65" s="22"/>
      <c r="AF65" s="1517" t="s">
        <v>19</v>
      </c>
      <c r="AG65" s="25"/>
    </row>
    <row r="66" spans="1:33" s="1" customFormat="1" ht="13.5" customHeight="1">
      <c r="A66" s="8"/>
      <c r="B66" s="1518"/>
      <c r="C66" s="1528"/>
      <c r="D66" s="21" t="s">
        <v>23</v>
      </c>
      <c r="E66" s="21" t="s">
        <v>24</v>
      </c>
      <c r="F66" s="62" t="s">
        <v>25</v>
      </c>
      <c r="G66" s="23"/>
      <c r="H66" s="21" t="s">
        <v>23</v>
      </c>
      <c r="I66" s="21" t="s">
        <v>24</v>
      </c>
      <c r="J66" s="18" t="s">
        <v>25</v>
      </c>
      <c r="K66" s="23"/>
      <c r="L66" s="21" t="s">
        <v>23</v>
      </c>
      <c r="M66" s="21" t="s">
        <v>24</v>
      </c>
      <c r="N66" s="18" t="s">
        <v>25</v>
      </c>
      <c r="O66" s="23"/>
      <c r="P66" s="21" t="s">
        <v>23</v>
      </c>
      <c r="Q66" s="21" t="s">
        <v>24</v>
      </c>
      <c r="R66" s="18" t="s">
        <v>25</v>
      </c>
      <c r="S66" s="23"/>
      <c r="T66" s="21" t="s">
        <v>23</v>
      </c>
      <c r="U66" s="21" t="s">
        <v>24</v>
      </c>
      <c r="V66" s="18" t="s">
        <v>25</v>
      </c>
      <c r="W66" s="23"/>
      <c r="X66" s="21" t="s">
        <v>23</v>
      </c>
      <c r="Y66" s="21" t="s">
        <v>24</v>
      </c>
      <c r="Z66" s="18" t="s">
        <v>25</v>
      </c>
      <c r="AA66" s="23"/>
      <c r="AB66" s="21" t="s">
        <v>23</v>
      </c>
      <c r="AC66" s="21" t="s">
        <v>24</v>
      </c>
      <c r="AD66" s="18" t="s">
        <v>25</v>
      </c>
      <c r="AE66" s="23"/>
      <c r="AF66" s="1517"/>
      <c r="AG66" s="25"/>
    </row>
    <row r="67" spans="1:33" s="1" customFormat="1" ht="21.75" customHeight="1">
      <c r="A67" s="8"/>
      <c r="B67" s="13" t="s">
        <v>637</v>
      </c>
      <c r="C67" s="13" t="s">
        <v>652</v>
      </c>
      <c r="D67" s="51">
        <v>0.4375</v>
      </c>
      <c r="E67" s="48"/>
      <c r="F67" s="85">
        <f>(E67-D67)*24</f>
        <v>-10.5</v>
      </c>
      <c r="G67" s="24"/>
      <c r="H67" s="48"/>
      <c r="I67" s="48"/>
      <c r="J67" s="49">
        <f>(I67-H67)*24</f>
        <v>0</v>
      </c>
      <c r="K67" s="24"/>
      <c r="L67" s="427"/>
      <c r="M67" s="48"/>
      <c r="N67" s="49">
        <f>(M67-L67)*24</f>
        <v>0</v>
      </c>
      <c r="O67" s="24"/>
      <c r="P67" s="48"/>
      <c r="Q67" s="48"/>
      <c r="R67" s="49">
        <f>(Q67-P67)*24</f>
        <v>0</v>
      </c>
      <c r="S67" s="24"/>
      <c r="T67" s="48"/>
      <c r="U67" s="48"/>
      <c r="V67" s="49">
        <f>(U67-T67)*24</f>
        <v>0</v>
      </c>
      <c r="W67" s="24"/>
      <c r="X67" s="48"/>
      <c r="Y67" s="48"/>
      <c r="Z67" s="49">
        <f>(Y67-X67)*24</f>
        <v>0</v>
      </c>
      <c r="AA67" s="24"/>
      <c r="AB67" s="48"/>
      <c r="AC67" s="48"/>
      <c r="AD67" s="49">
        <f>(AC67-AB67)*24</f>
        <v>0</v>
      </c>
      <c r="AE67" s="24"/>
      <c r="AF67" s="29">
        <f>J67+F67+N67+R67+V67+Z67+AD67</f>
        <v>-10.5</v>
      </c>
      <c r="AG67" s="25"/>
    </row>
    <row r="68" spans="1:33" s="1" customFormat="1" ht="13.5" customHeight="1">
      <c r="A68" s="8"/>
      <c r="B68" s="313" t="s">
        <v>54</v>
      </c>
      <c r="C68" s="13" t="s">
        <v>727</v>
      </c>
      <c r="D68" s="51"/>
      <c r="E68" s="48"/>
      <c r="F68" s="85">
        <f t="shared" ref="F68:F73" si="33">(E68-D68)*24</f>
        <v>0</v>
      </c>
      <c r="G68" s="24"/>
      <c r="H68" s="48"/>
      <c r="I68" s="48"/>
      <c r="J68" s="49">
        <f t="shared" ref="J68:J73" si="34">(I68-H68)*24</f>
        <v>0</v>
      </c>
      <c r="K68" s="24"/>
      <c r="L68" s="424">
        <v>0.3888888888888889</v>
      </c>
      <c r="M68" s="51">
        <v>0.76388888888888884</v>
      </c>
      <c r="N68" s="49">
        <f t="shared" ref="N68:N73" si="35">(M68-L68)*24</f>
        <v>8.9999999999999982</v>
      </c>
      <c r="O68" s="24"/>
      <c r="P68" s="51">
        <v>0.39583333333333331</v>
      </c>
      <c r="Q68" s="51">
        <v>0.79166666666666663</v>
      </c>
      <c r="R68" s="49">
        <f t="shared" ref="R68:R73" si="36">(Q68-P68)*24</f>
        <v>9.5</v>
      </c>
      <c r="S68" s="24"/>
      <c r="T68" s="51">
        <v>0.45833333333333331</v>
      </c>
      <c r="U68" s="51">
        <v>0.75</v>
      </c>
      <c r="V68" s="49">
        <f t="shared" ref="V68:V73" si="37">(U68-T68)*24</f>
        <v>7</v>
      </c>
      <c r="W68" s="24"/>
      <c r="X68" s="48"/>
      <c r="Y68" s="48"/>
      <c r="Z68" s="49">
        <f t="shared" ref="Z68:Z73" si="38">(Y68-X68)*24</f>
        <v>0</v>
      </c>
      <c r="AA68" s="24"/>
      <c r="AB68" s="48"/>
      <c r="AC68" s="48"/>
      <c r="AD68" s="49">
        <f t="shared" ref="AD68:AD73" si="39">(AC68-AB68)*24</f>
        <v>0</v>
      </c>
      <c r="AE68" s="24"/>
      <c r="AF68" s="29">
        <f t="shared" ref="AF68:AF73" si="40">J68+F68+N68+R68+V68+Z68+AD68</f>
        <v>25.5</v>
      </c>
      <c r="AG68" s="25"/>
    </row>
    <row r="69" spans="1:33" s="1" customFormat="1" ht="14.25">
      <c r="B69" s="313" t="s">
        <v>576</v>
      </c>
      <c r="C69" s="13" t="s">
        <v>727</v>
      </c>
      <c r="D69" s="48"/>
      <c r="E69" s="48"/>
      <c r="F69" s="85">
        <f t="shared" si="33"/>
        <v>0</v>
      </c>
      <c r="G69" s="24"/>
      <c r="H69" s="48"/>
      <c r="I69" s="48"/>
      <c r="J69" s="49">
        <f t="shared" si="34"/>
        <v>0</v>
      </c>
      <c r="K69" s="24"/>
      <c r="L69" s="424">
        <v>0.3888888888888889</v>
      </c>
      <c r="M69" s="51">
        <v>0.76388888888888884</v>
      </c>
      <c r="N69" s="49">
        <f t="shared" si="35"/>
        <v>8.9999999999999982</v>
      </c>
      <c r="O69" s="24"/>
      <c r="P69" s="51">
        <v>0.39583333333333331</v>
      </c>
      <c r="Q69" s="51">
        <v>0.77083333333333337</v>
      </c>
      <c r="R69" s="49">
        <f>(Q69-P69)*24</f>
        <v>9.0000000000000018</v>
      </c>
      <c r="S69" s="24"/>
      <c r="T69" s="51">
        <v>0.39583333333333331</v>
      </c>
      <c r="U69" s="51">
        <v>0.75</v>
      </c>
      <c r="V69" s="49">
        <f t="shared" si="37"/>
        <v>8.5</v>
      </c>
      <c r="W69" s="24"/>
      <c r="X69" s="48"/>
      <c r="Y69" s="48"/>
      <c r="Z69" s="49">
        <f t="shared" si="38"/>
        <v>0</v>
      </c>
      <c r="AA69" s="24"/>
      <c r="AB69" s="48"/>
      <c r="AC69" s="51"/>
      <c r="AD69" s="49">
        <f t="shared" si="39"/>
        <v>0</v>
      </c>
      <c r="AE69" s="24"/>
      <c r="AF69" s="29">
        <f t="shared" si="40"/>
        <v>26.5</v>
      </c>
      <c r="AG69" s="3"/>
    </row>
    <row r="70" spans="1:33" s="1" customFormat="1" ht="14.25">
      <c r="B70" s="13" t="s">
        <v>637</v>
      </c>
      <c r="C70" s="13" t="s">
        <v>727</v>
      </c>
      <c r="D70" s="48"/>
      <c r="E70" s="48"/>
      <c r="F70" s="85">
        <f t="shared" si="33"/>
        <v>0</v>
      </c>
      <c r="G70" s="24"/>
      <c r="H70" s="48"/>
      <c r="I70" s="48"/>
      <c r="J70" s="49">
        <f t="shared" si="34"/>
        <v>0</v>
      </c>
      <c r="K70" s="24"/>
      <c r="L70" s="427"/>
      <c r="M70" s="48"/>
      <c r="N70" s="49">
        <f t="shared" si="35"/>
        <v>0</v>
      </c>
      <c r="O70" s="24"/>
      <c r="P70" s="51">
        <v>0.39583333333333331</v>
      </c>
      <c r="Q70" s="51">
        <v>0.77083333333333337</v>
      </c>
      <c r="R70" s="49">
        <f t="shared" si="36"/>
        <v>9.0000000000000018</v>
      </c>
      <c r="S70" s="24"/>
      <c r="T70" s="48"/>
      <c r="U70" s="51"/>
      <c r="V70" s="49">
        <f t="shared" si="37"/>
        <v>0</v>
      </c>
      <c r="W70" s="24"/>
      <c r="X70" s="48"/>
      <c r="Y70" s="48"/>
      <c r="Z70" s="49">
        <f t="shared" si="38"/>
        <v>0</v>
      </c>
      <c r="AA70" s="24"/>
      <c r="AB70" s="48"/>
      <c r="AC70" s="51"/>
      <c r="AD70" s="49">
        <f t="shared" si="39"/>
        <v>0</v>
      </c>
      <c r="AE70" s="24"/>
      <c r="AF70" s="29">
        <f t="shared" si="40"/>
        <v>9.0000000000000018</v>
      </c>
      <c r="AG70" s="3"/>
    </row>
    <row r="71" spans="1:33" s="1" customFormat="1" ht="27">
      <c r="B71" s="313" t="s">
        <v>572</v>
      </c>
      <c r="C71" s="309" t="s">
        <v>723</v>
      </c>
      <c r="D71" s="48"/>
      <c r="E71" s="48"/>
      <c r="F71" s="85">
        <f>(E71-D71)*24</f>
        <v>0</v>
      </c>
      <c r="G71" s="24"/>
      <c r="H71" s="51">
        <v>0.72916666666666663</v>
      </c>
      <c r="I71" s="51">
        <v>0.8125</v>
      </c>
      <c r="J71" s="49">
        <f>(I71-H71)*24</f>
        <v>2.0000000000000009</v>
      </c>
      <c r="K71" s="24"/>
      <c r="L71" s="424">
        <v>0.25</v>
      </c>
      <c r="M71" s="51">
        <v>0.85416666666666663</v>
      </c>
      <c r="N71" s="49">
        <f>(M71-L71)*24</f>
        <v>14.5</v>
      </c>
      <c r="O71" s="24"/>
      <c r="P71" s="51"/>
      <c r="Q71" s="51"/>
      <c r="R71" s="49">
        <f>(Q71-P71)*24</f>
        <v>0</v>
      </c>
      <c r="S71" s="24"/>
      <c r="T71" s="51"/>
      <c r="U71" s="51"/>
      <c r="V71" s="49">
        <f>(U71-T71)*24</f>
        <v>0</v>
      </c>
      <c r="W71" s="24"/>
      <c r="X71" s="51"/>
      <c r="Y71" s="51"/>
      <c r="Z71" s="49">
        <f>(Y71-X71)*24</f>
        <v>0</v>
      </c>
      <c r="AA71" s="24"/>
      <c r="AB71" s="51"/>
      <c r="AC71" s="51"/>
      <c r="AD71" s="49">
        <f>(AC71-AB71)*24</f>
        <v>0</v>
      </c>
      <c r="AE71" s="24"/>
      <c r="AF71" s="29">
        <f>J71+F71+N71+R71+V71+Z71+AD71</f>
        <v>16.5</v>
      </c>
      <c r="AG71" s="3"/>
    </row>
    <row r="72" spans="1:33" s="1" customFormat="1" ht="27">
      <c r="B72" s="13" t="s">
        <v>637</v>
      </c>
      <c r="C72" s="13" t="s">
        <v>728</v>
      </c>
      <c r="D72" s="48"/>
      <c r="E72" s="48"/>
      <c r="F72" s="85">
        <f>(E72-D72)*24</f>
        <v>0</v>
      </c>
      <c r="G72" s="24"/>
      <c r="H72" s="51"/>
      <c r="I72" s="51"/>
      <c r="J72" s="49">
        <f>(I72-H72)*24</f>
        <v>0</v>
      </c>
      <c r="K72" s="24"/>
      <c r="L72" s="424"/>
      <c r="M72" s="51"/>
      <c r="N72" s="49">
        <f>(M72-L72)*24</f>
        <v>0</v>
      </c>
      <c r="O72" s="24"/>
      <c r="P72" s="51"/>
      <c r="Q72" s="51"/>
      <c r="R72" s="49">
        <f>(Q72-P72)*24</f>
        <v>0</v>
      </c>
      <c r="S72" s="24"/>
      <c r="T72" s="51">
        <v>0.35416666666666669</v>
      </c>
      <c r="U72" s="51">
        <v>0.72916666666666663</v>
      </c>
      <c r="V72" s="49">
        <f>(U72-T72)*24</f>
        <v>8.9999999999999982</v>
      </c>
      <c r="W72" s="24"/>
      <c r="X72" s="51"/>
      <c r="Y72" s="51"/>
      <c r="Z72" s="49">
        <f>(Y72-X72)*24</f>
        <v>0</v>
      </c>
      <c r="AA72" s="24"/>
      <c r="AB72" s="51"/>
      <c r="AC72" s="51"/>
      <c r="AD72" s="49">
        <f>(AC72-AB72)*24</f>
        <v>0</v>
      </c>
      <c r="AE72" s="24"/>
      <c r="AF72" s="29">
        <f>J72+F72+N72+R72+V72+Z72+AD72</f>
        <v>8.9999999999999982</v>
      </c>
      <c r="AG72" s="3"/>
    </row>
    <row r="73" spans="1:33" s="1" customFormat="1" ht="40.5">
      <c r="B73" s="313" t="s">
        <v>54</v>
      </c>
      <c r="C73" s="13" t="s">
        <v>729</v>
      </c>
      <c r="D73" s="48"/>
      <c r="E73" s="48"/>
      <c r="F73" s="85">
        <f t="shared" si="33"/>
        <v>0</v>
      </c>
      <c r="G73" s="25"/>
      <c r="H73" s="48"/>
      <c r="I73" s="48"/>
      <c r="J73" s="49">
        <f t="shared" si="34"/>
        <v>0</v>
      </c>
      <c r="K73" s="25"/>
      <c r="L73" s="427"/>
      <c r="M73" s="48"/>
      <c r="N73" s="49">
        <f t="shared" si="35"/>
        <v>0</v>
      </c>
      <c r="O73" s="25"/>
      <c r="P73" s="48"/>
      <c r="Q73" s="48"/>
      <c r="R73" s="49">
        <f t="shared" si="36"/>
        <v>0</v>
      </c>
      <c r="S73" s="25"/>
      <c r="T73" s="51">
        <v>0.33333333333333331</v>
      </c>
      <c r="U73" s="51">
        <v>0.4375</v>
      </c>
      <c r="V73" s="49">
        <f t="shared" si="37"/>
        <v>2.5000000000000004</v>
      </c>
      <c r="W73" s="25"/>
      <c r="X73" s="48"/>
      <c r="Y73" s="48"/>
      <c r="Z73" s="49">
        <f t="shared" si="38"/>
        <v>0</v>
      </c>
      <c r="AA73" s="25"/>
      <c r="AB73" s="48"/>
      <c r="AC73" s="48"/>
      <c r="AD73" s="49">
        <f t="shared" si="39"/>
        <v>0</v>
      </c>
      <c r="AE73" s="25"/>
      <c r="AF73" s="29">
        <f t="shared" si="40"/>
        <v>2.5000000000000004</v>
      </c>
      <c r="AG73" s="3"/>
    </row>
    <row r="74" spans="1:33" s="1" customFormat="1" ht="27">
      <c r="B74" s="313" t="s">
        <v>572</v>
      </c>
      <c r="C74" s="13" t="s">
        <v>730</v>
      </c>
      <c r="D74" s="48"/>
      <c r="E74" s="48"/>
      <c r="F74" s="85">
        <f>(E74-D74)*24</f>
        <v>0</v>
      </c>
      <c r="G74" s="25"/>
      <c r="H74" s="48"/>
      <c r="I74" s="48"/>
      <c r="J74" s="49">
        <f>(I74-H74)*24</f>
        <v>0</v>
      </c>
      <c r="K74" s="25"/>
      <c r="L74" s="427"/>
      <c r="M74" s="48"/>
      <c r="N74" s="49">
        <f>(M74-L74)*24</f>
        <v>0</v>
      </c>
      <c r="O74" s="25"/>
      <c r="P74" s="48"/>
      <c r="Q74" s="48"/>
      <c r="R74" s="49">
        <f>(Q74-P74)*24</f>
        <v>0</v>
      </c>
      <c r="S74" s="25"/>
      <c r="T74" s="51">
        <v>0.58333333333333337</v>
      </c>
      <c r="U74" s="51">
        <v>0.75</v>
      </c>
      <c r="V74" s="49">
        <f>(U74-T74)*24</f>
        <v>3.9999999999999991</v>
      </c>
      <c r="W74" s="25"/>
      <c r="X74" s="51">
        <v>0.35416666666666669</v>
      </c>
      <c r="Y74" s="51">
        <v>0.625</v>
      </c>
      <c r="Z74" s="49">
        <f>(Y74-X74)*24</f>
        <v>6.5</v>
      </c>
      <c r="AA74" s="25"/>
      <c r="AB74" s="48"/>
      <c r="AC74" s="48"/>
      <c r="AD74" s="49">
        <f>(AC74-AB74)*24</f>
        <v>0</v>
      </c>
      <c r="AE74" s="25"/>
      <c r="AF74" s="29">
        <f>J74+F74+N74+R74+V74+Z74+AD74</f>
        <v>10.5</v>
      </c>
      <c r="AG74" s="3"/>
    </row>
    <row r="75" spans="1:33" s="1" customFormat="1" ht="27">
      <c r="B75" s="313" t="s">
        <v>582</v>
      </c>
      <c r="C75" s="13" t="s">
        <v>730</v>
      </c>
      <c r="D75" s="48"/>
      <c r="E75" s="48"/>
      <c r="F75" s="85">
        <f>(E75-D75)*24</f>
        <v>0</v>
      </c>
      <c r="G75" s="25"/>
      <c r="H75" s="48"/>
      <c r="I75" s="48"/>
      <c r="J75" s="49">
        <f>(I75-H75)*24</f>
        <v>0</v>
      </c>
      <c r="K75" s="25"/>
      <c r="L75" s="427"/>
      <c r="M75" s="48"/>
      <c r="N75" s="49">
        <f>(M75-L75)*24</f>
        <v>0</v>
      </c>
      <c r="O75" s="25"/>
      <c r="P75" s="48"/>
      <c r="Q75" s="48"/>
      <c r="R75" s="49">
        <f>(Q75-P75)*24</f>
        <v>0</v>
      </c>
      <c r="S75" s="25"/>
      <c r="T75" s="51">
        <v>0.58333333333333337</v>
      </c>
      <c r="U75" s="51">
        <v>0.75</v>
      </c>
      <c r="V75" s="49">
        <f>(U75-T75)*24</f>
        <v>3.9999999999999991</v>
      </c>
      <c r="W75" s="25"/>
      <c r="X75" s="51">
        <v>0.35416666666666669</v>
      </c>
      <c r="Y75" s="51">
        <v>0.625</v>
      </c>
      <c r="Z75" s="49">
        <f>(Y75-X75)*24</f>
        <v>6.5</v>
      </c>
      <c r="AA75" s="25"/>
      <c r="AB75" s="48"/>
      <c r="AC75" s="48"/>
      <c r="AD75" s="49">
        <f>(AC75-AB75)*24</f>
        <v>0</v>
      </c>
      <c r="AE75" s="25"/>
      <c r="AF75" s="29">
        <f>J75+F75+N75+R75+V75+Z75+AD75</f>
        <v>10.5</v>
      </c>
      <c r="AG75" s="3"/>
    </row>
    <row r="76" spans="1:33" s="1" customFormat="1" ht="27">
      <c r="B76" s="313" t="s">
        <v>653</v>
      </c>
      <c r="C76" s="13" t="s">
        <v>731</v>
      </c>
      <c r="D76" s="48"/>
      <c r="E76" s="48"/>
      <c r="F76" s="85">
        <f>(E76-D76)*24</f>
        <v>0</v>
      </c>
      <c r="G76" s="25"/>
      <c r="H76" s="48"/>
      <c r="I76" s="48"/>
      <c r="J76" s="49">
        <f>(I76-H76)*24</f>
        <v>0</v>
      </c>
      <c r="K76" s="25"/>
      <c r="L76" s="427"/>
      <c r="M76" s="48"/>
      <c r="N76" s="49">
        <f>(M76-L76)*24</f>
        <v>0</v>
      </c>
      <c r="O76" s="25"/>
      <c r="P76" s="48"/>
      <c r="Q76" s="48"/>
      <c r="R76" s="49">
        <f>(Q76-P76)*24</f>
        <v>0</v>
      </c>
      <c r="S76" s="25"/>
      <c r="T76" s="51">
        <v>0.45833333333333331</v>
      </c>
      <c r="U76" s="51">
        <v>0.5</v>
      </c>
      <c r="V76" s="49">
        <f>(U76-T76)*24</f>
        <v>1.0000000000000004</v>
      </c>
      <c r="W76" s="25"/>
      <c r="X76" s="48"/>
      <c r="Y76" s="48"/>
      <c r="Z76" s="49">
        <f>(Y76-X76)*24</f>
        <v>0</v>
      </c>
      <c r="AA76" s="25"/>
      <c r="AB76" s="48"/>
      <c r="AC76" s="48"/>
      <c r="AD76" s="49">
        <f>(AC76-AB76)*24</f>
        <v>0</v>
      </c>
      <c r="AE76" s="25"/>
      <c r="AF76" s="29">
        <f>J76+F76+N76+R76+V76+Z76+AD76</f>
        <v>1.0000000000000004</v>
      </c>
      <c r="AG76" s="3"/>
    </row>
    <row r="77" spans="1:33" s="1" customFormat="1">
      <c r="B77" s="63" t="s">
        <v>61</v>
      </c>
      <c r="C77" s="63"/>
      <c r="D77" s="63"/>
      <c r="E77" s="63"/>
      <c r="F77" s="86">
        <f>SUM(F67:F76)</f>
        <v>-10.5</v>
      </c>
      <c r="G77" s="99"/>
      <c r="H77" s="99"/>
      <c r="I77" s="99"/>
      <c r="J77" s="86">
        <f>SUM(J67:J76)</f>
        <v>2.0000000000000009</v>
      </c>
      <c r="K77" s="99"/>
      <c r="L77" s="99"/>
      <c r="M77" s="99"/>
      <c r="N77" s="86">
        <f>SUM(N67:N76)</f>
        <v>32.5</v>
      </c>
      <c r="O77" s="99"/>
      <c r="P77" s="99"/>
      <c r="Q77" s="99"/>
      <c r="R77" s="86">
        <f>SUM(R67:R76)</f>
        <v>27.5</v>
      </c>
      <c r="S77" s="99"/>
      <c r="T77" s="99"/>
      <c r="U77" s="99"/>
      <c r="V77" s="86">
        <f>SUM(V67:V76)</f>
        <v>36</v>
      </c>
      <c r="W77" s="99"/>
      <c r="X77" s="99"/>
      <c r="Y77" s="99"/>
      <c r="Z77" s="86">
        <f>SUM(Z67:Z76)</f>
        <v>13</v>
      </c>
      <c r="AA77" s="99"/>
      <c r="AB77" s="99"/>
      <c r="AC77" s="99"/>
      <c r="AD77" s="86">
        <f>SUM(AD67:AD76)</f>
        <v>0</v>
      </c>
      <c r="AE77" s="46"/>
      <c r="AF77" s="30">
        <f>SUM(AF67:AF73)</f>
        <v>78.5</v>
      </c>
      <c r="AG77" s="3"/>
    </row>
    <row r="78" spans="1:33" s="1" customFormat="1">
      <c r="B78" s="31" t="s">
        <v>577</v>
      </c>
      <c r="C78" s="31"/>
      <c r="D78" s="91"/>
      <c r="E78" s="83"/>
      <c r="F78" s="90">
        <v>5</v>
      </c>
      <c r="G78" s="83"/>
      <c r="H78" s="83"/>
      <c r="I78" s="83"/>
      <c r="J78" s="90">
        <v>5</v>
      </c>
      <c r="K78" s="83"/>
      <c r="L78" s="425"/>
      <c r="M78" s="83"/>
      <c r="N78" s="87">
        <v>0</v>
      </c>
      <c r="O78" s="83"/>
      <c r="P78" s="83"/>
      <c r="Q78" s="83"/>
      <c r="R78" s="87"/>
      <c r="S78" s="83"/>
      <c r="T78" s="83"/>
      <c r="U78" s="83"/>
      <c r="V78" s="90">
        <v>3</v>
      </c>
      <c r="W78" s="83"/>
      <c r="X78" s="83"/>
      <c r="Y78" s="83"/>
      <c r="Z78" s="87">
        <v>0</v>
      </c>
      <c r="AA78" s="83"/>
      <c r="AB78" s="83"/>
      <c r="AC78" s="83"/>
      <c r="AD78" s="91">
        <v>3</v>
      </c>
      <c r="AE78" s="45"/>
      <c r="AF78" s="28">
        <f>SUM(D78:AE78)</f>
        <v>16</v>
      </c>
      <c r="AG78" s="3"/>
    </row>
    <row r="79" spans="1:33" s="1" customFormat="1">
      <c r="B79" s="31" t="s">
        <v>578</v>
      </c>
      <c r="C79" s="31"/>
      <c r="D79" s="91"/>
      <c r="E79" s="83"/>
      <c r="F79" s="87"/>
      <c r="G79" s="83"/>
      <c r="H79" s="83"/>
      <c r="I79" s="83"/>
      <c r="J79" s="87"/>
      <c r="K79" s="83"/>
      <c r="L79" s="425"/>
      <c r="M79" s="83"/>
      <c r="N79" s="87"/>
      <c r="O79" s="83"/>
      <c r="P79" s="83"/>
      <c r="Q79" s="83"/>
      <c r="R79" s="87"/>
      <c r="S79" s="83"/>
      <c r="T79" s="83"/>
      <c r="U79" s="83"/>
      <c r="V79" s="87"/>
      <c r="W79" s="83"/>
      <c r="X79" s="83"/>
      <c r="Y79" s="83"/>
      <c r="Z79" s="87"/>
      <c r="AA79" s="83"/>
      <c r="AB79" s="83"/>
      <c r="AC79" s="83"/>
      <c r="AD79" s="83"/>
      <c r="AE79" s="45"/>
      <c r="AF79" s="28">
        <f>SUM(D79:AD79)</f>
        <v>0</v>
      </c>
      <c r="AG79" s="3"/>
    </row>
    <row r="80" spans="1:33" s="1" customFormat="1" ht="14.25" thickBot="1">
      <c r="B80" s="74" t="s">
        <v>579</v>
      </c>
      <c r="C80" s="74"/>
      <c r="D80" s="92"/>
      <c r="E80" s="92"/>
      <c r="F80" s="93"/>
      <c r="G80" s="92"/>
      <c r="H80" s="92"/>
      <c r="I80" s="92"/>
      <c r="J80" s="93"/>
      <c r="K80" s="92"/>
      <c r="L80" s="426"/>
      <c r="M80" s="92"/>
      <c r="N80" s="93"/>
      <c r="O80" s="92"/>
      <c r="P80" s="92"/>
      <c r="Q80" s="92"/>
      <c r="R80" s="93"/>
      <c r="S80" s="92"/>
      <c r="T80" s="92"/>
      <c r="U80" s="92"/>
      <c r="V80" s="93"/>
      <c r="W80" s="94"/>
      <c r="X80" s="94"/>
      <c r="Y80" s="94"/>
      <c r="Z80" s="93"/>
      <c r="AA80" s="94"/>
      <c r="AB80" s="94"/>
      <c r="AC80" s="94"/>
      <c r="AD80" s="94"/>
      <c r="AE80" s="94"/>
      <c r="AF80" s="80">
        <f>SUM(D80:AD80)</f>
        <v>0</v>
      </c>
      <c r="AG80" s="3"/>
    </row>
    <row r="81" spans="2:33" s="1" customFormat="1" ht="14.25" thickTop="1">
      <c r="B81" s="71" t="s">
        <v>66</v>
      </c>
      <c r="C81" s="421"/>
      <c r="D81" s="3"/>
      <c r="E81" s="3"/>
      <c r="F81" s="88">
        <f>SUM(F78:F80)</f>
        <v>5</v>
      </c>
      <c r="G81" s="3"/>
      <c r="H81" s="3"/>
      <c r="I81" s="3"/>
      <c r="J81" s="88">
        <f>SUM(J78:J80)</f>
        <v>5</v>
      </c>
      <c r="K81" s="3"/>
      <c r="L81" s="423"/>
      <c r="M81" s="3"/>
      <c r="N81" s="88">
        <f>SUM(N78:N80)</f>
        <v>0</v>
      </c>
      <c r="O81" s="3"/>
      <c r="P81" s="3"/>
      <c r="Q81" s="3"/>
      <c r="R81" s="88">
        <f>SUM(R78:R80)</f>
        <v>0</v>
      </c>
      <c r="S81" s="3"/>
      <c r="T81" s="3"/>
      <c r="U81" s="3"/>
      <c r="V81" s="88">
        <f>SUM(V78:V80)</f>
        <v>3</v>
      </c>
      <c r="W81" s="3"/>
      <c r="X81" s="3"/>
      <c r="Y81" s="3"/>
      <c r="Z81" s="88">
        <f>SUM(Z78:Z80)</f>
        <v>0</v>
      </c>
      <c r="AA81" s="3"/>
      <c r="AB81" s="3"/>
      <c r="AC81" s="3"/>
      <c r="AD81" s="67">
        <f>SUM(AD78:AD80)</f>
        <v>3</v>
      </c>
      <c r="AE81" s="3"/>
      <c r="AF81" s="71">
        <f>SUM(F81:AD81)</f>
        <v>16</v>
      </c>
      <c r="AG81" s="3"/>
    </row>
    <row r="82" spans="2:33" s="1" customFormat="1" ht="13.35" customHeight="1">
      <c r="B82" s="1518" t="s">
        <v>18</v>
      </c>
      <c r="C82" s="1528" t="s">
        <v>708</v>
      </c>
      <c r="D82" s="1524">
        <v>45320</v>
      </c>
      <c r="E82" s="1524"/>
      <c r="F82" s="1524"/>
      <c r="G82" s="22"/>
      <c r="H82" s="1524">
        <f>D82+1</f>
        <v>45321</v>
      </c>
      <c r="I82" s="1524"/>
      <c r="J82" s="1524"/>
      <c r="K82" s="22"/>
      <c r="L82" s="1524">
        <f>H82+1</f>
        <v>45322</v>
      </c>
      <c r="M82" s="1524"/>
      <c r="N82" s="1524"/>
      <c r="O82" s="3"/>
      <c r="P82" s="1524">
        <f>L82+1</f>
        <v>45323</v>
      </c>
      <c r="Q82" s="1524"/>
      <c r="R82" s="1524"/>
      <c r="S82" s="3"/>
      <c r="T82" s="1524">
        <f>P82+1</f>
        <v>45324</v>
      </c>
      <c r="U82" s="1524"/>
      <c r="V82" s="1524"/>
      <c r="W82" s="22"/>
      <c r="X82" s="1524">
        <f>T82+1</f>
        <v>45325</v>
      </c>
      <c r="Y82" s="1524"/>
      <c r="Z82" s="1524"/>
      <c r="AA82" s="3"/>
      <c r="AB82" s="1524">
        <f>X82+1</f>
        <v>45326</v>
      </c>
      <c r="AC82" s="1524"/>
      <c r="AD82" s="1524"/>
      <c r="AE82" s="22"/>
      <c r="AF82" s="1517" t="s">
        <v>19</v>
      </c>
      <c r="AG82" s="3"/>
    </row>
    <row r="83" spans="2:33" s="1" customFormat="1">
      <c r="B83" s="1518"/>
      <c r="C83" s="1528"/>
      <c r="D83" s="21" t="s">
        <v>23</v>
      </c>
      <c r="E83" s="21" t="s">
        <v>24</v>
      </c>
      <c r="F83" s="62" t="s">
        <v>25</v>
      </c>
      <c r="G83" s="23"/>
      <c r="H83" s="21" t="s">
        <v>23</v>
      </c>
      <c r="I83" s="21" t="s">
        <v>24</v>
      </c>
      <c r="J83" s="18" t="s">
        <v>25</v>
      </c>
      <c r="K83" s="23"/>
      <c r="L83" s="21" t="s">
        <v>23</v>
      </c>
      <c r="M83" s="21" t="s">
        <v>24</v>
      </c>
      <c r="N83" s="18" t="s">
        <v>25</v>
      </c>
      <c r="O83" s="23"/>
      <c r="P83" s="21" t="s">
        <v>23</v>
      </c>
      <c r="Q83" s="21" t="s">
        <v>24</v>
      </c>
      <c r="R83" s="18" t="s">
        <v>25</v>
      </c>
      <c r="S83" s="23"/>
      <c r="T83" s="21" t="s">
        <v>23</v>
      </c>
      <c r="U83" s="21" t="s">
        <v>24</v>
      </c>
      <c r="V83" s="18" t="s">
        <v>25</v>
      </c>
      <c r="W83" s="23"/>
      <c r="X83" s="21" t="s">
        <v>23</v>
      </c>
      <c r="Y83" s="21" t="s">
        <v>24</v>
      </c>
      <c r="Z83" s="18" t="s">
        <v>25</v>
      </c>
      <c r="AA83" s="23"/>
      <c r="AB83" s="21" t="s">
        <v>23</v>
      </c>
      <c r="AC83" s="21" t="s">
        <v>24</v>
      </c>
      <c r="AD83" s="18" t="s">
        <v>25</v>
      </c>
      <c r="AE83" s="23"/>
      <c r="AF83" s="1517"/>
      <c r="AG83" s="3"/>
    </row>
    <row r="84" spans="2:33" s="1" customFormat="1" ht="27">
      <c r="B84" s="313" t="s">
        <v>572</v>
      </c>
      <c r="C84" s="13" t="s">
        <v>730</v>
      </c>
      <c r="D84" s="51">
        <v>0.33333333333333331</v>
      </c>
      <c r="E84" s="48">
        <v>0.70833333333333337</v>
      </c>
      <c r="F84" s="85">
        <f>(E84-D84)*24</f>
        <v>9.0000000000000018</v>
      </c>
      <c r="G84" s="24"/>
      <c r="H84" s="48"/>
      <c r="I84" s="48"/>
      <c r="J84" s="49">
        <f>(I84-H84)*24</f>
        <v>0</v>
      </c>
      <c r="K84" s="24"/>
      <c r="L84" s="427"/>
      <c r="M84" s="48"/>
      <c r="N84" s="49">
        <f>(M84-L84)*24</f>
        <v>0</v>
      </c>
      <c r="O84" s="24"/>
      <c r="P84" s="48"/>
      <c r="Q84" s="48"/>
      <c r="R84" s="49">
        <f>(Q84-P84)*24</f>
        <v>0</v>
      </c>
      <c r="S84" s="24"/>
      <c r="T84" s="48"/>
      <c r="U84" s="48"/>
      <c r="V84" s="49">
        <f>(U84-T84)*24</f>
        <v>0</v>
      </c>
      <c r="W84" s="24"/>
      <c r="X84" s="48"/>
      <c r="Y84" s="48"/>
      <c r="Z84" s="49">
        <f>(Y84-X84)*24</f>
        <v>0</v>
      </c>
      <c r="AA84" s="24"/>
      <c r="AB84" s="48"/>
      <c r="AC84" s="48"/>
      <c r="AD84" s="49">
        <f>(AC84-AB84)*24</f>
        <v>0</v>
      </c>
      <c r="AE84" s="24"/>
      <c r="AF84" s="29">
        <f>J84+F84+N84+R84+V84+Z84+AD84</f>
        <v>9.0000000000000018</v>
      </c>
      <c r="AG84" s="3"/>
    </row>
    <row r="85" spans="2:33" s="1" customFormat="1" ht="27">
      <c r="B85" s="13" t="s">
        <v>637</v>
      </c>
      <c r="C85" s="13" t="s">
        <v>728</v>
      </c>
      <c r="D85" s="51">
        <v>0.35416666666666669</v>
      </c>
      <c r="E85" s="48">
        <v>0.75</v>
      </c>
      <c r="F85" s="85">
        <f t="shared" ref="F85:F87" si="41">(E85-D85)*24</f>
        <v>9.5</v>
      </c>
      <c r="G85" s="24"/>
      <c r="H85" s="48"/>
      <c r="I85" s="48"/>
      <c r="J85" s="49">
        <f t="shared" ref="J85:J87" si="42">(I85-H85)*24</f>
        <v>0</v>
      </c>
      <c r="K85" s="24"/>
      <c r="L85" s="427"/>
      <c r="M85" s="48"/>
      <c r="N85" s="49">
        <f t="shared" ref="N85:N87" si="43">(M85-L85)*24</f>
        <v>0</v>
      </c>
      <c r="O85" s="24"/>
      <c r="P85" s="48"/>
      <c r="Q85" s="48"/>
      <c r="R85" s="49">
        <f t="shared" ref="R85:R87" si="44">(Q85-P85)*24</f>
        <v>0</v>
      </c>
      <c r="S85" s="24"/>
      <c r="T85" s="48"/>
      <c r="U85" s="48"/>
      <c r="V85" s="49">
        <f t="shared" ref="V85:V87" si="45">(U85-T85)*24</f>
        <v>0</v>
      </c>
      <c r="W85" s="24"/>
      <c r="X85" s="48"/>
      <c r="Y85" s="48"/>
      <c r="Z85" s="49">
        <f t="shared" ref="Z85:Z87" si="46">(Y85-X85)*24</f>
        <v>0</v>
      </c>
      <c r="AA85" s="24"/>
      <c r="AB85" s="48"/>
      <c r="AC85" s="48"/>
      <c r="AD85" s="49">
        <f t="shared" ref="AD85:AD87" si="47">(AC85-AB85)*24</f>
        <v>0</v>
      </c>
      <c r="AE85" s="24"/>
      <c r="AF85" s="29">
        <f t="shared" ref="AF85:AF87" si="48">J85+F85+N85+R85+V85+Z85+AD85</f>
        <v>9.5</v>
      </c>
      <c r="AG85" s="3"/>
    </row>
    <row r="86" spans="2:33" s="1" customFormat="1" ht="14.25">
      <c r="B86" s="313" t="s">
        <v>54</v>
      </c>
      <c r="C86" s="13" t="s">
        <v>732</v>
      </c>
      <c r="D86" s="48"/>
      <c r="E86" s="48"/>
      <c r="F86" s="85">
        <f>(E86-D86)*24</f>
        <v>0</v>
      </c>
      <c r="G86" s="24"/>
      <c r="H86" s="48">
        <v>0.39583333333333331</v>
      </c>
      <c r="I86" s="48">
        <v>0.72916666666666663</v>
      </c>
      <c r="J86" s="49">
        <f>(I86-H86)*24</f>
        <v>8</v>
      </c>
      <c r="K86" s="24"/>
      <c r="L86" s="427"/>
      <c r="M86" s="48"/>
      <c r="N86" s="49">
        <f t="shared" si="43"/>
        <v>0</v>
      </c>
      <c r="O86" s="24"/>
      <c r="P86" s="48"/>
      <c r="Q86" s="48"/>
      <c r="R86" s="49">
        <f t="shared" si="44"/>
        <v>0</v>
      </c>
      <c r="S86" s="24"/>
      <c r="T86" s="48"/>
      <c r="U86" s="51"/>
      <c r="V86" s="49">
        <f t="shared" si="45"/>
        <v>0</v>
      </c>
      <c r="W86" s="24"/>
      <c r="X86" s="48"/>
      <c r="Y86" s="48"/>
      <c r="Z86" s="49">
        <f t="shared" si="46"/>
        <v>0</v>
      </c>
      <c r="AA86" s="24"/>
      <c r="AB86" s="48"/>
      <c r="AC86" s="48"/>
      <c r="AD86" s="49">
        <f t="shared" si="47"/>
        <v>0</v>
      </c>
      <c r="AE86" s="24"/>
      <c r="AF86" s="29">
        <f t="shared" si="48"/>
        <v>8</v>
      </c>
      <c r="AG86" s="3"/>
    </row>
    <row r="87" spans="2:33" s="1" customFormat="1" ht="14.25">
      <c r="B87" s="313" t="s">
        <v>572</v>
      </c>
      <c r="C87" s="13"/>
      <c r="D87" s="48"/>
      <c r="E87" s="48"/>
      <c r="F87" s="85">
        <f t="shared" si="41"/>
        <v>0</v>
      </c>
      <c r="G87" s="24"/>
      <c r="H87" s="48">
        <v>0.29166666666666669</v>
      </c>
      <c r="I87" s="48">
        <v>0.71875</v>
      </c>
      <c r="J87" s="49">
        <f t="shared" si="42"/>
        <v>10.25</v>
      </c>
      <c r="K87" s="24"/>
      <c r="L87" s="427"/>
      <c r="M87" s="48"/>
      <c r="N87" s="49">
        <f t="shared" si="43"/>
        <v>0</v>
      </c>
      <c r="O87" s="24"/>
      <c r="P87" s="48"/>
      <c r="Q87" s="48"/>
      <c r="R87" s="49">
        <f t="shared" si="44"/>
        <v>0</v>
      </c>
      <c r="S87" s="49"/>
      <c r="T87" s="48"/>
      <c r="U87" s="51"/>
      <c r="V87" s="49">
        <f t="shared" si="45"/>
        <v>0</v>
      </c>
      <c r="W87" s="24"/>
      <c r="X87" s="48"/>
      <c r="Y87" s="48"/>
      <c r="Z87" s="49">
        <f t="shared" si="46"/>
        <v>0</v>
      </c>
      <c r="AA87" s="24"/>
      <c r="AB87" s="48"/>
      <c r="AC87" s="48"/>
      <c r="AD87" s="49">
        <f t="shared" si="47"/>
        <v>0</v>
      </c>
      <c r="AE87" s="24"/>
      <c r="AF87" s="29">
        <f t="shared" si="48"/>
        <v>10.25</v>
      </c>
      <c r="AG87" s="3"/>
    </row>
    <row r="88" spans="2:33" s="1" customFormat="1" ht="14.25">
      <c r="B88" s="313" t="s">
        <v>572</v>
      </c>
      <c r="C88" s="13" t="s">
        <v>733</v>
      </c>
      <c r="D88" s="48"/>
      <c r="E88" s="48"/>
      <c r="F88" s="85">
        <f t="shared" ref="F88:F93" si="49">(E88-D88)*24</f>
        <v>0</v>
      </c>
      <c r="G88" s="24"/>
      <c r="H88" s="48"/>
      <c r="I88" s="48"/>
      <c r="J88" s="49">
        <f t="shared" ref="J88:J93" si="50">(I88-H88)*24</f>
        <v>0</v>
      </c>
      <c r="K88" s="24"/>
      <c r="L88" s="48">
        <v>0.33333333333333331</v>
      </c>
      <c r="M88" s="51">
        <v>0.41666666666666669</v>
      </c>
      <c r="N88" s="49">
        <f t="shared" ref="N88:N93" si="51">(M88-L88)*24</f>
        <v>2.0000000000000009</v>
      </c>
      <c r="O88" s="24"/>
      <c r="P88" s="48"/>
      <c r="Q88" s="48"/>
      <c r="R88" s="49">
        <f t="shared" ref="R88:R93" si="52">(Q88-P88)*24</f>
        <v>0</v>
      </c>
      <c r="S88" s="24"/>
      <c r="T88" s="48"/>
      <c r="U88" s="51"/>
      <c r="V88" s="49">
        <f t="shared" ref="V88:V93" si="53">(U88-T88)*24</f>
        <v>0</v>
      </c>
      <c r="W88" s="24"/>
      <c r="X88" s="48"/>
      <c r="Y88" s="48"/>
      <c r="Z88" s="49">
        <f t="shared" ref="Z88:Z93" si="54">(Y88-X88)*24</f>
        <v>0</v>
      </c>
      <c r="AA88" s="24"/>
      <c r="AB88" s="48"/>
      <c r="AC88" s="48"/>
      <c r="AD88" s="49">
        <f t="shared" ref="AD88:AD93" si="55">(AC88-AB88)*24</f>
        <v>0</v>
      </c>
      <c r="AE88" s="24"/>
      <c r="AF88" s="29">
        <f t="shared" ref="AF88:AF93" si="56">J88+F88+N88+R88+V88+Z88+AD88</f>
        <v>2.0000000000000009</v>
      </c>
      <c r="AG88" s="3"/>
    </row>
    <row r="89" spans="2:33" s="1" customFormat="1" ht="14.25">
      <c r="B89" s="313" t="s">
        <v>54</v>
      </c>
      <c r="C89" s="13" t="s">
        <v>734</v>
      </c>
      <c r="D89" s="48"/>
      <c r="E89" s="48"/>
      <c r="F89" s="85">
        <f t="shared" si="49"/>
        <v>0</v>
      </c>
      <c r="G89" s="24"/>
      <c r="H89" s="48"/>
      <c r="I89" s="48"/>
      <c r="J89" s="49">
        <f t="shared" si="50"/>
        <v>0</v>
      </c>
      <c r="K89" s="24"/>
      <c r="L89" s="48">
        <v>0.58333333333333337</v>
      </c>
      <c r="M89" s="51">
        <v>0.72916666666666663</v>
      </c>
      <c r="N89" s="49">
        <f t="shared" si="51"/>
        <v>3.4999999999999982</v>
      </c>
      <c r="O89" s="24"/>
      <c r="P89" s="48"/>
      <c r="Q89" s="48"/>
      <c r="R89" s="49">
        <f t="shared" si="52"/>
        <v>0</v>
      </c>
      <c r="S89" s="24"/>
      <c r="T89" s="48"/>
      <c r="U89" s="51"/>
      <c r="V89" s="49">
        <f t="shared" si="53"/>
        <v>0</v>
      </c>
      <c r="W89" s="24"/>
      <c r="X89" s="48"/>
      <c r="Y89" s="48"/>
      <c r="Z89" s="49">
        <f t="shared" si="54"/>
        <v>0</v>
      </c>
      <c r="AA89" s="24"/>
      <c r="AB89" s="48"/>
      <c r="AC89" s="48"/>
      <c r="AD89" s="49">
        <f t="shared" si="55"/>
        <v>0</v>
      </c>
      <c r="AE89" s="24"/>
      <c r="AF89" s="29">
        <f t="shared" si="56"/>
        <v>3.4999999999999982</v>
      </c>
      <c r="AG89" s="3"/>
    </row>
    <row r="90" spans="2:33" s="1" customFormat="1" ht="27">
      <c r="B90" s="13" t="s">
        <v>637</v>
      </c>
      <c r="C90" s="13" t="s">
        <v>735</v>
      </c>
      <c r="D90" s="48"/>
      <c r="E90" s="48"/>
      <c r="F90" s="85">
        <f t="shared" si="49"/>
        <v>0</v>
      </c>
      <c r="G90" s="24"/>
      <c r="H90" s="48"/>
      <c r="I90" s="48"/>
      <c r="J90" s="49">
        <f t="shared" si="50"/>
        <v>0</v>
      </c>
      <c r="K90" s="24"/>
      <c r="L90" s="51">
        <v>0.375</v>
      </c>
      <c r="M90" s="51">
        <v>0.70833333333333337</v>
      </c>
      <c r="N90" s="49">
        <f t="shared" si="51"/>
        <v>8</v>
      </c>
      <c r="O90" s="24"/>
      <c r="P90" s="51">
        <v>0.375</v>
      </c>
      <c r="Q90" s="51">
        <v>0.75</v>
      </c>
      <c r="R90" s="49">
        <f t="shared" si="52"/>
        <v>9</v>
      </c>
      <c r="S90" s="24"/>
      <c r="T90" s="48"/>
      <c r="U90" s="51"/>
      <c r="V90" s="49">
        <f t="shared" si="53"/>
        <v>0</v>
      </c>
      <c r="W90" s="24"/>
      <c r="X90" s="48"/>
      <c r="Y90" s="48"/>
      <c r="Z90" s="49">
        <f t="shared" si="54"/>
        <v>0</v>
      </c>
      <c r="AA90" s="24"/>
      <c r="AB90" s="48"/>
      <c r="AC90" s="48"/>
      <c r="AD90" s="49">
        <f t="shared" si="55"/>
        <v>0</v>
      </c>
      <c r="AE90" s="24"/>
      <c r="AF90" s="29">
        <f t="shared" si="56"/>
        <v>17</v>
      </c>
      <c r="AG90" s="3"/>
    </row>
    <row r="91" spans="2:33" s="1" customFormat="1" ht="27">
      <c r="B91" s="13" t="s">
        <v>736</v>
      </c>
      <c r="C91" s="13" t="s">
        <v>735</v>
      </c>
      <c r="D91" s="48"/>
      <c r="E91" s="48"/>
      <c r="F91" s="85">
        <f t="shared" si="49"/>
        <v>0</v>
      </c>
      <c r="G91" s="24"/>
      <c r="H91" s="48"/>
      <c r="I91" s="48"/>
      <c r="J91" s="49">
        <f t="shared" si="50"/>
        <v>0</v>
      </c>
      <c r="K91" s="24"/>
      <c r="L91" s="51">
        <v>0.375</v>
      </c>
      <c r="M91" s="51">
        <v>0.70833333333333337</v>
      </c>
      <c r="N91" s="49">
        <f t="shared" si="51"/>
        <v>8</v>
      </c>
      <c r="O91" s="24"/>
      <c r="P91" s="51">
        <v>0.375</v>
      </c>
      <c r="Q91" s="51">
        <v>0.75</v>
      </c>
      <c r="R91" s="49">
        <f t="shared" si="52"/>
        <v>9</v>
      </c>
      <c r="S91" s="24"/>
      <c r="T91" s="48"/>
      <c r="U91" s="51"/>
      <c r="V91" s="49">
        <f t="shared" si="53"/>
        <v>0</v>
      </c>
      <c r="W91" s="24"/>
      <c r="X91" s="48"/>
      <c r="Y91" s="48"/>
      <c r="Z91" s="49">
        <f t="shared" si="54"/>
        <v>0</v>
      </c>
      <c r="AA91" s="24"/>
      <c r="AB91" s="48"/>
      <c r="AC91" s="48"/>
      <c r="AD91" s="49">
        <f t="shared" si="55"/>
        <v>0</v>
      </c>
      <c r="AE91" s="24"/>
      <c r="AF91" s="29">
        <f t="shared" si="56"/>
        <v>17</v>
      </c>
      <c r="AG91" s="3"/>
    </row>
    <row r="92" spans="2:33" s="1" customFormat="1" ht="14.25">
      <c r="B92" s="313" t="s">
        <v>572</v>
      </c>
      <c r="C92" s="13" t="s">
        <v>737</v>
      </c>
      <c r="D92" s="48"/>
      <c r="E92" s="48"/>
      <c r="F92" s="85">
        <f t="shared" si="49"/>
        <v>0</v>
      </c>
      <c r="G92" s="24"/>
      <c r="H92" s="48"/>
      <c r="I92" s="48"/>
      <c r="J92" s="49">
        <f t="shared" si="50"/>
        <v>0</v>
      </c>
      <c r="K92" s="24"/>
      <c r="L92" s="424"/>
      <c r="M92" s="48"/>
      <c r="N92" s="49">
        <f t="shared" si="51"/>
        <v>0</v>
      </c>
      <c r="O92" s="24"/>
      <c r="P92" s="51">
        <v>0.33333333333333331</v>
      </c>
      <c r="Q92" s="48">
        <v>0.72916666666666663</v>
      </c>
      <c r="R92" s="49">
        <f t="shared" si="52"/>
        <v>9.5</v>
      </c>
      <c r="S92" s="24"/>
      <c r="T92" s="51"/>
      <c r="U92" s="51"/>
      <c r="V92" s="49">
        <f t="shared" si="53"/>
        <v>0</v>
      </c>
      <c r="W92" s="24"/>
      <c r="X92" s="48"/>
      <c r="Y92" s="48"/>
      <c r="Z92" s="49">
        <f t="shared" si="54"/>
        <v>0</v>
      </c>
      <c r="AA92" s="24"/>
      <c r="AB92" s="48"/>
      <c r="AC92" s="48"/>
      <c r="AD92" s="49">
        <f t="shared" si="55"/>
        <v>0</v>
      </c>
      <c r="AE92" s="24"/>
      <c r="AF92" s="29">
        <f t="shared" si="56"/>
        <v>9.5</v>
      </c>
      <c r="AG92" s="3"/>
    </row>
    <row r="93" spans="2:33" s="1" customFormat="1" ht="14.25">
      <c r="B93" s="313" t="s">
        <v>572</v>
      </c>
      <c r="C93" s="13" t="s">
        <v>738</v>
      </c>
      <c r="D93" s="48"/>
      <c r="E93" s="48"/>
      <c r="F93" s="85">
        <f t="shared" si="49"/>
        <v>0</v>
      </c>
      <c r="G93" s="24"/>
      <c r="H93" s="48"/>
      <c r="I93" s="48"/>
      <c r="J93" s="49">
        <f t="shared" si="50"/>
        <v>0</v>
      </c>
      <c r="K93" s="24"/>
      <c r="L93" s="424"/>
      <c r="M93" s="48"/>
      <c r="N93" s="49">
        <f t="shared" si="51"/>
        <v>0</v>
      </c>
      <c r="O93" s="24"/>
      <c r="P93" s="51"/>
      <c r="Q93" s="48"/>
      <c r="R93" s="49">
        <f t="shared" si="52"/>
        <v>0</v>
      </c>
      <c r="S93" s="24"/>
      <c r="T93" s="51">
        <v>0.33333333333333331</v>
      </c>
      <c r="U93" s="51">
        <v>0.72916666666666663</v>
      </c>
      <c r="V93" s="49">
        <f t="shared" si="53"/>
        <v>9.5</v>
      </c>
      <c r="W93" s="24"/>
      <c r="X93" s="48"/>
      <c r="Y93" s="48"/>
      <c r="Z93" s="49">
        <f t="shared" si="54"/>
        <v>0</v>
      </c>
      <c r="AA93" s="24"/>
      <c r="AB93" s="48"/>
      <c r="AC93" s="48"/>
      <c r="AD93" s="49">
        <f t="shared" si="55"/>
        <v>0</v>
      </c>
      <c r="AE93" s="24"/>
      <c r="AF93" s="29">
        <f t="shared" si="56"/>
        <v>9.5</v>
      </c>
      <c r="AG93" s="3"/>
    </row>
    <row r="94" spans="2:33" s="1" customFormat="1">
      <c r="B94" s="63" t="s">
        <v>61</v>
      </c>
      <c r="C94" s="63"/>
      <c r="D94" s="63"/>
      <c r="E94" s="63"/>
      <c r="F94" s="86">
        <f>SUM(F84:F90)</f>
        <v>18.5</v>
      </c>
      <c r="G94" s="63"/>
      <c r="H94" s="63"/>
      <c r="I94" s="63"/>
      <c r="J94" s="86">
        <f>SUM(J84:J90)</f>
        <v>18.25</v>
      </c>
      <c r="K94" s="63"/>
      <c r="L94" s="99"/>
      <c r="M94" s="63"/>
      <c r="N94" s="86">
        <f>SUM(N84:N90)</f>
        <v>13.5</v>
      </c>
      <c r="O94" s="63"/>
      <c r="P94" s="63"/>
      <c r="Q94" s="63"/>
      <c r="R94" s="86">
        <f>SUM(R84:R90)</f>
        <v>9</v>
      </c>
      <c r="S94" s="63"/>
      <c r="T94" s="63"/>
      <c r="U94" s="63"/>
      <c r="V94" s="86">
        <f>SUM(V84:V90)</f>
        <v>0</v>
      </c>
      <c r="W94" s="63"/>
      <c r="X94" s="63"/>
      <c r="Y94" s="63"/>
      <c r="Z94" s="86">
        <f>SUM(Z84:Z90)</f>
        <v>0</v>
      </c>
      <c r="AA94" s="63"/>
      <c r="AB94" s="63"/>
      <c r="AC94" s="63"/>
      <c r="AD94" s="82">
        <f>SUM(AD84:AD90)</f>
        <v>0</v>
      </c>
      <c r="AE94" s="46"/>
      <c r="AF94" s="30">
        <f>SUM(AF84:AF90)</f>
        <v>59.25</v>
      </c>
      <c r="AG94" s="3"/>
    </row>
    <row r="95" spans="2:33" s="1" customFormat="1">
      <c r="B95" s="31" t="s">
        <v>577</v>
      </c>
      <c r="C95" s="31"/>
      <c r="D95" s="91"/>
      <c r="E95" s="83"/>
      <c r="F95" s="87">
        <v>5</v>
      </c>
      <c r="G95" s="83"/>
      <c r="H95" s="83"/>
      <c r="I95" s="83"/>
      <c r="J95" s="87">
        <v>5</v>
      </c>
      <c r="K95" s="83"/>
      <c r="L95" s="425"/>
      <c r="M95" s="83"/>
      <c r="N95" s="90">
        <v>6</v>
      </c>
      <c r="O95" s="83"/>
      <c r="P95" s="83"/>
      <c r="Q95" s="83"/>
      <c r="R95" s="90">
        <v>1</v>
      </c>
      <c r="S95" s="83"/>
      <c r="T95" s="83"/>
      <c r="U95" s="83"/>
      <c r="V95" s="90">
        <v>6</v>
      </c>
      <c r="W95" s="83"/>
      <c r="X95" s="83"/>
      <c r="Y95" s="83"/>
      <c r="Z95" s="87">
        <v>0</v>
      </c>
      <c r="AA95" s="83"/>
      <c r="AB95" s="83"/>
      <c r="AC95" s="83"/>
      <c r="AD95" s="91">
        <v>4</v>
      </c>
      <c r="AE95" s="45"/>
      <c r="AF95" s="28">
        <f>SUM(D95:AD95)</f>
        <v>27</v>
      </c>
      <c r="AG95" s="3"/>
    </row>
    <row r="96" spans="2:33" s="1" customFormat="1">
      <c r="B96" s="31" t="s">
        <v>578</v>
      </c>
      <c r="C96" s="31"/>
      <c r="D96" s="91"/>
      <c r="E96" s="83"/>
      <c r="F96" s="87"/>
      <c r="G96" s="83"/>
      <c r="H96" s="83"/>
      <c r="I96" s="83"/>
      <c r="J96" s="87"/>
      <c r="K96" s="83"/>
      <c r="L96" s="425"/>
      <c r="M96" s="83"/>
      <c r="N96" s="87"/>
      <c r="O96" s="83"/>
      <c r="P96" s="83"/>
      <c r="Q96" s="83"/>
      <c r="R96" s="87"/>
      <c r="S96" s="83"/>
      <c r="T96" s="83"/>
      <c r="U96" s="83"/>
      <c r="V96" s="87"/>
      <c r="W96" s="83"/>
      <c r="X96" s="83"/>
      <c r="Y96" s="83"/>
      <c r="Z96" s="87"/>
      <c r="AA96" s="83"/>
      <c r="AB96" s="83"/>
      <c r="AC96" s="83"/>
      <c r="AD96" s="83"/>
      <c r="AE96" s="45"/>
      <c r="AF96" s="28">
        <f>SUM(D96:AD96)</f>
        <v>0</v>
      </c>
      <c r="AG96" s="3"/>
    </row>
    <row r="97" spans="2:33" s="1" customFormat="1" ht="14.25" thickBot="1">
      <c r="B97" s="74" t="s">
        <v>579</v>
      </c>
      <c r="C97" s="74"/>
      <c r="D97" s="92"/>
      <c r="E97" s="92"/>
      <c r="F97" s="93"/>
      <c r="G97" s="92"/>
      <c r="H97" s="92"/>
      <c r="I97" s="92"/>
      <c r="J97" s="93"/>
      <c r="K97" s="92"/>
      <c r="L97" s="426"/>
      <c r="M97" s="92"/>
      <c r="N97" s="93"/>
      <c r="O97" s="92"/>
      <c r="P97" s="92"/>
      <c r="Q97" s="92"/>
      <c r="R97" s="93"/>
      <c r="S97" s="92"/>
      <c r="T97" s="92"/>
      <c r="U97" s="92"/>
      <c r="V97" s="93"/>
      <c r="W97" s="94"/>
      <c r="X97" s="94"/>
      <c r="Y97" s="94"/>
      <c r="Z97" s="93"/>
      <c r="AA97" s="94"/>
      <c r="AB97" s="94"/>
      <c r="AC97" s="94"/>
      <c r="AD97" s="94"/>
      <c r="AE97" s="94"/>
      <c r="AF97" s="80">
        <f>SUM(D97:AD97)</f>
        <v>0</v>
      </c>
      <c r="AG97" s="3"/>
    </row>
    <row r="98" spans="2:33" s="1" customFormat="1" ht="14.25" thickTop="1">
      <c r="B98" s="71" t="s">
        <v>66</v>
      </c>
      <c r="C98" s="421"/>
      <c r="D98" s="3"/>
      <c r="E98" s="3"/>
      <c r="F98" s="88">
        <f>SUM(F95:F97)</f>
        <v>5</v>
      </c>
      <c r="G98" s="3"/>
      <c r="H98" s="3"/>
      <c r="I98" s="3"/>
      <c r="J98" s="88">
        <f>SUM(J95:J97)</f>
        <v>5</v>
      </c>
      <c r="K98" s="3"/>
      <c r="L98" s="423"/>
      <c r="M98" s="3"/>
      <c r="N98" s="88">
        <f>SUM(N95:N97)</f>
        <v>6</v>
      </c>
      <c r="O98" s="3"/>
      <c r="P98" s="3"/>
      <c r="Q98" s="3"/>
      <c r="R98" s="88">
        <f>SUM(R95:R97)</f>
        <v>1</v>
      </c>
      <c r="S98" s="3"/>
      <c r="T98" s="3"/>
      <c r="U98" s="3"/>
      <c r="V98" s="88">
        <f>SUM(V95:V97)</f>
        <v>6</v>
      </c>
      <c r="W98" s="3"/>
      <c r="X98" s="3"/>
      <c r="Y98" s="3"/>
      <c r="Z98" s="88">
        <f>SUM(Z95:Z97)</f>
        <v>0</v>
      </c>
      <c r="AA98" s="3"/>
      <c r="AB98" s="3"/>
      <c r="AC98" s="3"/>
      <c r="AD98" s="67">
        <f>SUM(AD95:AD97)</f>
        <v>4</v>
      </c>
      <c r="AE98" s="3"/>
      <c r="AF98" s="71">
        <f>SUM(F98:AD98)</f>
        <v>27</v>
      </c>
      <c r="AG98" s="3"/>
    </row>
    <row r="99" spans="2:33" s="1" customFormat="1" ht="13.35" customHeight="1">
      <c r="B99" s="1518" t="s">
        <v>18</v>
      </c>
      <c r="C99" s="1528" t="s">
        <v>708</v>
      </c>
      <c r="D99" s="1524">
        <v>45327</v>
      </c>
      <c r="E99" s="1524"/>
      <c r="F99" s="1524"/>
      <c r="G99" s="22"/>
      <c r="H99" s="1524">
        <f>D99+1</f>
        <v>45328</v>
      </c>
      <c r="I99" s="1524"/>
      <c r="J99" s="1524"/>
      <c r="K99" s="22"/>
      <c r="L99" s="1524">
        <f>H99+1</f>
        <v>45329</v>
      </c>
      <c r="M99" s="1524"/>
      <c r="N99" s="1524"/>
      <c r="O99" s="3"/>
      <c r="P99" s="1524">
        <f>L99+1</f>
        <v>45330</v>
      </c>
      <c r="Q99" s="1524"/>
      <c r="R99" s="1524"/>
      <c r="S99" s="3"/>
      <c r="T99" s="1524">
        <f>P99+1</f>
        <v>45331</v>
      </c>
      <c r="U99" s="1524"/>
      <c r="V99" s="1524"/>
      <c r="W99" s="22"/>
      <c r="X99" s="1524">
        <f>T99+1</f>
        <v>45332</v>
      </c>
      <c r="Y99" s="1524"/>
      <c r="Z99" s="1524"/>
      <c r="AA99" s="3"/>
      <c r="AB99" s="1524">
        <f>X99+1</f>
        <v>45333</v>
      </c>
      <c r="AC99" s="1524"/>
      <c r="AD99" s="1524"/>
      <c r="AE99" s="22"/>
      <c r="AF99" s="1517" t="s">
        <v>19</v>
      </c>
      <c r="AG99" s="3"/>
    </row>
    <row r="100" spans="2:33" s="1" customFormat="1">
      <c r="B100" s="1518"/>
      <c r="C100" s="1528"/>
      <c r="D100" s="21" t="s">
        <v>23</v>
      </c>
      <c r="E100" s="21" t="s">
        <v>24</v>
      </c>
      <c r="F100" s="62" t="s">
        <v>25</v>
      </c>
      <c r="G100" s="23"/>
      <c r="H100" s="21" t="s">
        <v>23</v>
      </c>
      <c r="I100" s="21" t="s">
        <v>24</v>
      </c>
      <c r="J100" s="18" t="s">
        <v>25</v>
      </c>
      <c r="K100" s="23"/>
      <c r="L100" s="21" t="s">
        <v>23</v>
      </c>
      <c r="M100" s="21" t="s">
        <v>24</v>
      </c>
      <c r="N100" s="18" t="s">
        <v>25</v>
      </c>
      <c r="O100" s="23"/>
      <c r="P100" s="21" t="s">
        <v>23</v>
      </c>
      <c r="Q100" s="21" t="s">
        <v>24</v>
      </c>
      <c r="R100" s="18" t="s">
        <v>25</v>
      </c>
      <c r="S100" s="23"/>
      <c r="T100" s="21" t="s">
        <v>23</v>
      </c>
      <c r="U100" s="21" t="s">
        <v>24</v>
      </c>
      <c r="V100" s="18" t="s">
        <v>25</v>
      </c>
      <c r="W100" s="23"/>
      <c r="X100" s="21" t="s">
        <v>23</v>
      </c>
      <c r="Y100" s="21" t="s">
        <v>24</v>
      </c>
      <c r="Z100" s="18" t="s">
        <v>25</v>
      </c>
      <c r="AA100" s="23"/>
      <c r="AB100" s="21" t="s">
        <v>23</v>
      </c>
      <c r="AC100" s="21" t="s">
        <v>24</v>
      </c>
      <c r="AD100" s="18" t="s">
        <v>25</v>
      </c>
      <c r="AE100" s="23"/>
      <c r="AF100" s="1517"/>
      <c r="AG100" s="3"/>
    </row>
    <row r="101" spans="2:33" s="1" customFormat="1" ht="27">
      <c r="B101" s="313" t="s">
        <v>572</v>
      </c>
      <c r="C101" s="13" t="s">
        <v>739</v>
      </c>
      <c r="D101" s="51">
        <v>0.375</v>
      </c>
      <c r="E101" s="48"/>
      <c r="F101" s="85">
        <f>(E101-D101)*24</f>
        <v>-9</v>
      </c>
      <c r="G101" s="24"/>
      <c r="H101" s="48"/>
      <c r="I101" s="48"/>
      <c r="J101" s="49">
        <f>(I101-H101)*24</f>
        <v>0</v>
      </c>
      <c r="K101" s="24"/>
      <c r="L101" s="427"/>
      <c r="M101" s="48"/>
      <c r="N101" s="49">
        <f>(M101-L101)*24</f>
        <v>0</v>
      </c>
      <c r="O101" s="24"/>
      <c r="P101" s="48"/>
      <c r="Q101" s="48"/>
      <c r="R101" s="49">
        <f>(Q101-P101)*24</f>
        <v>0</v>
      </c>
      <c r="S101" s="24"/>
      <c r="T101" s="48"/>
      <c r="U101" s="48"/>
      <c r="V101" s="49">
        <f>(U101-T101)*24</f>
        <v>0</v>
      </c>
      <c r="W101" s="24"/>
      <c r="X101" s="48"/>
      <c r="Y101" s="48"/>
      <c r="Z101" s="49">
        <f>(Y101-X101)*24</f>
        <v>0</v>
      </c>
      <c r="AA101" s="24"/>
      <c r="AB101" s="48"/>
      <c r="AC101" s="48"/>
      <c r="AD101" s="49">
        <f>(AC101-AB101)*24</f>
        <v>0</v>
      </c>
      <c r="AE101" s="24"/>
      <c r="AF101" s="29">
        <f>J101+F101+N101+R101+V101+Z101+AD101</f>
        <v>-9</v>
      </c>
      <c r="AG101" s="3"/>
    </row>
    <row r="102" spans="2:33" s="1" customFormat="1" ht="14.25">
      <c r="B102" s="313" t="s">
        <v>54</v>
      </c>
      <c r="C102" s="13" t="s">
        <v>740</v>
      </c>
      <c r="D102" s="48"/>
      <c r="E102" s="48"/>
      <c r="F102" s="85">
        <f t="shared" ref="F102:F104" si="57">(E102-D102)*24</f>
        <v>0</v>
      </c>
      <c r="G102" s="24"/>
      <c r="H102" s="48"/>
      <c r="I102" s="48"/>
      <c r="J102" s="49">
        <f t="shared" ref="J102:J104" si="58">(I102-H102)*24</f>
        <v>0</v>
      </c>
      <c r="K102" s="24"/>
      <c r="L102" s="427">
        <v>0.375</v>
      </c>
      <c r="M102" s="48">
        <v>0.75</v>
      </c>
      <c r="N102" s="49">
        <f t="shared" ref="N102:N104" si="59">(M102-L102)*24</f>
        <v>9</v>
      </c>
      <c r="O102" s="24"/>
      <c r="P102" s="48">
        <v>0.38541666666666669</v>
      </c>
      <c r="Q102" s="48">
        <v>0.72916666666666663</v>
      </c>
      <c r="R102" s="49">
        <f t="shared" ref="R102:R104" si="60">(Q102-P102)*24</f>
        <v>8.2499999999999982</v>
      </c>
      <c r="S102" s="24"/>
      <c r="T102" s="48"/>
      <c r="U102" s="48"/>
      <c r="V102" s="49">
        <f t="shared" ref="V102:V104" si="61">(U102-T102)*24</f>
        <v>0</v>
      </c>
      <c r="W102" s="24"/>
      <c r="X102" s="48"/>
      <c r="Y102" s="48"/>
      <c r="Z102" s="49">
        <f t="shared" ref="Z102:Z104" si="62">(Y102-X102)*24</f>
        <v>0</v>
      </c>
      <c r="AA102" s="24"/>
      <c r="AB102" s="48"/>
      <c r="AC102" s="48"/>
      <c r="AD102" s="49">
        <f t="shared" ref="AD102:AD104" si="63">(AC102-AB102)*24</f>
        <v>0</v>
      </c>
      <c r="AE102" s="24"/>
      <c r="AF102" s="29">
        <f t="shared" ref="AF102:AF104" si="64">J102+F102+N102+R102+V102+Z102+AD102</f>
        <v>17.25</v>
      </c>
      <c r="AG102" s="3"/>
    </row>
    <row r="103" spans="2:33" s="1" customFormat="1" ht="14.25">
      <c r="B103" s="313" t="s">
        <v>576</v>
      </c>
      <c r="C103" s="13" t="s">
        <v>740</v>
      </c>
      <c r="D103" s="48"/>
      <c r="E103" s="48"/>
      <c r="F103" s="85">
        <f t="shared" si="57"/>
        <v>0</v>
      </c>
      <c r="G103" s="24"/>
      <c r="H103" s="48"/>
      <c r="I103" s="48"/>
      <c r="J103" s="49">
        <f t="shared" si="58"/>
        <v>0</v>
      </c>
      <c r="K103" s="24"/>
      <c r="L103" s="427">
        <v>0.375</v>
      </c>
      <c r="M103" s="48">
        <v>0.75</v>
      </c>
      <c r="N103" s="49">
        <f t="shared" si="59"/>
        <v>9</v>
      </c>
      <c r="O103" s="24"/>
      <c r="P103" s="48">
        <v>0.38541666666666669</v>
      </c>
      <c r="Q103" s="48">
        <v>0.72916666666666663</v>
      </c>
      <c r="R103" s="49">
        <f t="shared" si="60"/>
        <v>8.2499999999999982</v>
      </c>
      <c r="S103" s="24"/>
      <c r="T103" s="48"/>
      <c r="U103" s="51"/>
      <c r="V103" s="49">
        <f t="shared" si="61"/>
        <v>0</v>
      </c>
      <c r="W103" s="24"/>
      <c r="X103" s="48"/>
      <c r="Y103" s="48"/>
      <c r="Z103" s="49">
        <f t="shared" si="62"/>
        <v>0</v>
      </c>
      <c r="AA103" s="24"/>
      <c r="AB103" s="48"/>
      <c r="AC103" s="48"/>
      <c r="AD103" s="49">
        <f t="shared" si="63"/>
        <v>0</v>
      </c>
      <c r="AE103" s="24"/>
      <c r="AF103" s="29">
        <f t="shared" si="64"/>
        <v>17.25</v>
      </c>
      <c r="AG103" s="3"/>
    </row>
    <row r="104" spans="2:33" s="1" customFormat="1" ht="40.5">
      <c r="B104" s="313" t="s">
        <v>572</v>
      </c>
      <c r="C104" s="13" t="s">
        <v>741</v>
      </c>
      <c r="D104" s="48"/>
      <c r="E104" s="48"/>
      <c r="F104" s="85">
        <f t="shared" si="57"/>
        <v>0</v>
      </c>
      <c r="G104" s="24"/>
      <c r="H104" s="48"/>
      <c r="I104" s="48"/>
      <c r="J104" s="49">
        <f t="shared" si="58"/>
        <v>0</v>
      </c>
      <c r="K104" s="24"/>
      <c r="L104" s="427"/>
      <c r="M104" s="48"/>
      <c r="N104" s="49">
        <f t="shared" si="59"/>
        <v>0</v>
      </c>
      <c r="O104" s="24"/>
      <c r="P104" s="48">
        <v>0.375</v>
      </c>
      <c r="Q104" s="48">
        <v>0.75</v>
      </c>
      <c r="R104" s="49">
        <f t="shared" si="60"/>
        <v>9</v>
      </c>
      <c r="S104" s="24"/>
      <c r="T104" s="48"/>
      <c r="U104" s="51"/>
      <c r="V104" s="49">
        <f t="shared" si="61"/>
        <v>0</v>
      </c>
      <c r="W104" s="24"/>
      <c r="X104" s="48"/>
      <c r="Y104" s="48"/>
      <c r="Z104" s="49">
        <f t="shared" si="62"/>
        <v>0</v>
      </c>
      <c r="AA104" s="24"/>
      <c r="AB104" s="48"/>
      <c r="AC104" s="48"/>
      <c r="AD104" s="49">
        <f t="shared" si="63"/>
        <v>0</v>
      </c>
      <c r="AE104" s="24"/>
      <c r="AF104" s="29">
        <f t="shared" si="64"/>
        <v>9</v>
      </c>
      <c r="AG104" s="3"/>
    </row>
    <row r="105" spans="2:33" s="1" customFormat="1" ht="27">
      <c r="B105" s="13" t="s">
        <v>653</v>
      </c>
      <c r="C105" s="13" t="s">
        <v>742</v>
      </c>
      <c r="D105" s="48"/>
      <c r="E105" s="48"/>
      <c r="F105" s="85">
        <f>(E105-D105)*24</f>
        <v>0</v>
      </c>
      <c r="G105" s="24"/>
      <c r="H105" s="48"/>
      <c r="I105" s="48"/>
      <c r="J105" s="49">
        <f>(I105-H105)*24</f>
        <v>0</v>
      </c>
      <c r="K105" s="24"/>
      <c r="L105" s="427"/>
      <c r="M105" s="48"/>
      <c r="N105" s="49">
        <f>(M105-L105)*24</f>
        <v>0</v>
      </c>
      <c r="O105" s="24"/>
      <c r="P105" s="48">
        <v>0.39583333333333331</v>
      </c>
      <c r="Q105" s="48">
        <v>0.5625</v>
      </c>
      <c r="R105" s="49">
        <f>(Q105-P105)*24</f>
        <v>4</v>
      </c>
      <c r="S105" s="24"/>
      <c r="T105" s="48"/>
      <c r="U105" s="51"/>
      <c r="V105" s="49">
        <f>(U105-T105)*24</f>
        <v>0</v>
      </c>
      <c r="W105" s="24"/>
      <c r="X105" s="48"/>
      <c r="Y105" s="48"/>
      <c r="Z105" s="49">
        <f>(Y105-X105)*24</f>
        <v>0</v>
      </c>
      <c r="AA105" s="24"/>
      <c r="AB105" s="48"/>
      <c r="AC105" s="48"/>
      <c r="AD105" s="49">
        <f>(AC105-AB105)*24</f>
        <v>0</v>
      </c>
      <c r="AE105" s="24"/>
      <c r="AF105" s="29">
        <f>J105+F105+N105+R105+V105+Z105+AD105</f>
        <v>4</v>
      </c>
      <c r="AG105" s="3"/>
    </row>
    <row r="106" spans="2:33" s="1" customFormat="1" ht="14.25">
      <c r="B106" s="13" t="s">
        <v>743</v>
      </c>
      <c r="C106" s="13" t="s">
        <v>744</v>
      </c>
      <c r="D106" s="48"/>
      <c r="E106" s="48"/>
      <c r="F106" s="85">
        <f t="shared" ref="F106:F107" si="65">(E106-D106)*24</f>
        <v>0</v>
      </c>
      <c r="G106" s="24"/>
      <c r="H106" s="48"/>
      <c r="I106" s="48"/>
      <c r="J106" s="49">
        <f t="shared" ref="J106:J107" si="66">(I106-H106)*24</f>
        <v>0</v>
      </c>
      <c r="K106" s="24"/>
      <c r="L106" s="427"/>
      <c r="M106" s="48"/>
      <c r="N106" s="49">
        <f t="shared" ref="N106:N107" si="67">(M106-L106)*24</f>
        <v>0</v>
      </c>
      <c r="O106" s="24"/>
      <c r="P106" s="48"/>
      <c r="Q106" s="48"/>
      <c r="R106" s="49">
        <f t="shared" ref="R106:R107" si="68">(Q106-P106)*24</f>
        <v>0</v>
      </c>
      <c r="S106" s="24"/>
      <c r="T106" s="48">
        <v>0.4375</v>
      </c>
      <c r="U106" s="51">
        <v>0.77083333333333337</v>
      </c>
      <c r="V106" s="49">
        <f t="shared" ref="V106:V107" si="69">(U106-T106)*24</f>
        <v>8</v>
      </c>
      <c r="W106" s="24"/>
      <c r="X106" s="51">
        <v>0.35416666666666669</v>
      </c>
      <c r="Y106" s="51">
        <v>0.72916666666666663</v>
      </c>
      <c r="Z106" s="49">
        <f t="shared" ref="Z106:Z107" si="70">(Y106-X106)*24</f>
        <v>8.9999999999999982</v>
      </c>
      <c r="AA106" s="24"/>
      <c r="AB106" s="51">
        <v>0.33333333333333331</v>
      </c>
      <c r="AC106" s="51">
        <v>0.70833333333333337</v>
      </c>
      <c r="AD106" s="49">
        <f t="shared" ref="AD106:AD107" si="71">(AC106-AB106)*24</f>
        <v>9.0000000000000018</v>
      </c>
      <c r="AE106" s="24"/>
      <c r="AF106" s="29">
        <f t="shared" ref="AF106:AF107" si="72">J106+F106+N106+R106+V106+Z106+AD106</f>
        <v>26</v>
      </c>
      <c r="AG106" s="3"/>
    </row>
    <row r="107" spans="2:33" s="1" customFormat="1" ht="14.25">
      <c r="B107" s="13" t="s">
        <v>71</v>
      </c>
      <c r="C107" s="13" t="s">
        <v>744</v>
      </c>
      <c r="D107" s="48"/>
      <c r="E107" s="48"/>
      <c r="F107" s="85">
        <f t="shared" si="65"/>
        <v>0</v>
      </c>
      <c r="G107" s="24"/>
      <c r="H107" s="48"/>
      <c r="I107" s="48"/>
      <c r="J107" s="49">
        <f t="shared" si="66"/>
        <v>0</v>
      </c>
      <c r="K107" s="24"/>
      <c r="L107" s="427"/>
      <c r="M107" s="48"/>
      <c r="N107" s="49">
        <f t="shared" si="67"/>
        <v>0</v>
      </c>
      <c r="O107" s="24"/>
      <c r="P107" s="48"/>
      <c r="Q107" s="48"/>
      <c r="R107" s="49">
        <f t="shared" si="68"/>
        <v>0</v>
      </c>
      <c r="S107" s="24"/>
      <c r="T107" s="48">
        <v>0.4375</v>
      </c>
      <c r="U107" s="51">
        <v>0.77083333333333337</v>
      </c>
      <c r="V107" s="49">
        <f t="shared" si="69"/>
        <v>8</v>
      </c>
      <c r="W107" s="24"/>
      <c r="X107" s="51">
        <v>0.35416666666666669</v>
      </c>
      <c r="Y107" s="51">
        <v>0.72916666666666663</v>
      </c>
      <c r="Z107" s="49">
        <f t="shared" si="70"/>
        <v>8.9999999999999982</v>
      </c>
      <c r="AA107" s="24"/>
      <c r="AB107" s="51">
        <v>0.33333333333333331</v>
      </c>
      <c r="AC107" s="51">
        <v>0.70833333333333337</v>
      </c>
      <c r="AD107" s="49">
        <f t="shared" si="71"/>
        <v>9.0000000000000018</v>
      </c>
      <c r="AE107" s="24"/>
      <c r="AF107" s="29">
        <f t="shared" si="72"/>
        <v>26</v>
      </c>
      <c r="AG107" s="3"/>
    </row>
    <row r="108" spans="2:33" s="1" customFormat="1" ht="14.25">
      <c r="B108" s="313" t="s">
        <v>572</v>
      </c>
      <c r="C108" s="13" t="s">
        <v>744</v>
      </c>
      <c r="D108" s="48"/>
      <c r="E108" s="48"/>
      <c r="F108" s="85">
        <f>(E108-D108)*24</f>
        <v>0</v>
      </c>
      <c r="G108" s="24"/>
      <c r="H108" s="48"/>
      <c r="I108" s="48"/>
      <c r="J108" s="49">
        <f>(I108-H108)*24</f>
        <v>0</v>
      </c>
      <c r="K108" s="24"/>
      <c r="L108" s="427"/>
      <c r="M108" s="48"/>
      <c r="N108" s="49">
        <f>(M108-L108)*24</f>
        <v>0</v>
      </c>
      <c r="O108" s="24"/>
      <c r="P108" s="48"/>
      <c r="Q108" s="48"/>
      <c r="R108" s="49">
        <f>(Q108-P108)*24</f>
        <v>0</v>
      </c>
      <c r="S108" s="24"/>
      <c r="T108" s="48">
        <v>0.4375</v>
      </c>
      <c r="U108" s="51">
        <v>0.77083333333333337</v>
      </c>
      <c r="V108" s="49">
        <f>(U108-T108)*24</f>
        <v>8</v>
      </c>
      <c r="W108" s="24"/>
      <c r="X108" s="51">
        <v>0.35416666666666669</v>
      </c>
      <c r="Y108" s="51">
        <v>0.72916666666666663</v>
      </c>
      <c r="Z108" s="49">
        <f>(Y108-X108)*24</f>
        <v>8.9999999999999982</v>
      </c>
      <c r="AA108" s="24"/>
      <c r="AB108" s="51">
        <v>0.33333333333333331</v>
      </c>
      <c r="AC108" s="51">
        <v>0.70833333333333337</v>
      </c>
      <c r="AD108" s="49">
        <f>(AC108-AB108)*24</f>
        <v>9.0000000000000018</v>
      </c>
      <c r="AE108" s="24"/>
      <c r="AF108" s="29">
        <f>J108+F108+N108+R108+V108+Z108+AD108</f>
        <v>26</v>
      </c>
      <c r="AG108" s="3"/>
    </row>
    <row r="109" spans="2:33" s="1" customFormat="1">
      <c r="B109" s="63" t="s">
        <v>61</v>
      </c>
      <c r="C109" s="63"/>
      <c r="D109" s="63"/>
      <c r="E109" s="63"/>
      <c r="F109" s="86">
        <f>SUM(F101:F108)</f>
        <v>-9</v>
      </c>
      <c r="G109" s="63"/>
      <c r="H109" s="63"/>
      <c r="I109" s="63"/>
      <c r="J109" s="86">
        <f>SUM(J101:J108)</f>
        <v>0</v>
      </c>
      <c r="K109" s="63"/>
      <c r="L109" s="99"/>
      <c r="M109" s="63"/>
      <c r="N109" s="86">
        <f>SUM(N101:N108)</f>
        <v>18</v>
      </c>
      <c r="O109" s="63"/>
      <c r="P109" s="63"/>
      <c r="Q109" s="63"/>
      <c r="R109" s="86">
        <f>SUM(R101:R108)</f>
        <v>29.499999999999996</v>
      </c>
      <c r="S109" s="63"/>
      <c r="T109" s="63"/>
      <c r="U109" s="63"/>
      <c r="V109" s="86">
        <f>SUM(V101:V108)</f>
        <v>24</v>
      </c>
      <c r="W109" s="63"/>
      <c r="X109" s="63"/>
      <c r="Y109" s="63"/>
      <c r="Z109" s="86">
        <f>SUM(Z101:Z108)</f>
        <v>26.999999999999993</v>
      </c>
      <c r="AA109" s="63"/>
      <c r="AB109" s="63"/>
      <c r="AC109" s="63"/>
      <c r="AD109" s="82">
        <f>SUM(AD101:AD108)</f>
        <v>27.000000000000007</v>
      </c>
      <c r="AE109" s="46"/>
      <c r="AF109" s="30">
        <f>SUM(AF101:AF108)</f>
        <v>116.5</v>
      </c>
      <c r="AG109" s="3"/>
    </row>
    <row r="110" spans="2:33" s="1" customFormat="1">
      <c r="B110" s="31" t="s">
        <v>577</v>
      </c>
      <c r="C110" s="31"/>
      <c r="D110" s="91"/>
      <c r="E110" s="83"/>
      <c r="F110" s="87">
        <v>5</v>
      </c>
      <c r="G110" s="83"/>
      <c r="H110" s="83"/>
      <c r="I110" s="83"/>
      <c r="J110" s="87">
        <v>5</v>
      </c>
      <c r="K110" s="83"/>
      <c r="L110" s="425"/>
      <c r="M110" s="83"/>
      <c r="N110" s="90">
        <v>6</v>
      </c>
      <c r="O110" s="83"/>
      <c r="P110" s="83"/>
      <c r="Q110" s="83"/>
      <c r="R110" s="90">
        <v>1</v>
      </c>
      <c r="S110" s="83"/>
      <c r="T110" s="83"/>
      <c r="U110" s="83"/>
      <c r="V110" s="90">
        <v>6</v>
      </c>
      <c r="W110" s="83"/>
      <c r="X110" s="83"/>
      <c r="Y110" s="83"/>
      <c r="Z110" s="87">
        <v>0</v>
      </c>
      <c r="AA110" s="83"/>
      <c r="AB110" s="83"/>
      <c r="AC110" s="83"/>
      <c r="AD110" s="91">
        <v>4</v>
      </c>
      <c r="AE110" s="45"/>
      <c r="AF110" s="28">
        <f>SUM(D110:AD110)</f>
        <v>27</v>
      </c>
      <c r="AG110" s="3"/>
    </row>
    <row r="111" spans="2:33" s="1" customFormat="1">
      <c r="B111" s="31" t="s">
        <v>578</v>
      </c>
      <c r="C111" s="31"/>
      <c r="D111" s="91"/>
      <c r="E111" s="83"/>
      <c r="F111" s="87"/>
      <c r="G111" s="83"/>
      <c r="H111" s="83"/>
      <c r="I111" s="83"/>
      <c r="J111" s="87"/>
      <c r="K111" s="83"/>
      <c r="L111" s="425"/>
      <c r="M111" s="83"/>
      <c r="N111" s="87"/>
      <c r="O111" s="83"/>
      <c r="P111" s="83"/>
      <c r="Q111" s="83"/>
      <c r="R111" s="87"/>
      <c r="S111" s="83"/>
      <c r="T111" s="83"/>
      <c r="U111" s="83"/>
      <c r="V111" s="87"/>
      <c r="W111" s="83"/>
      <c r="X111" s="83"/>
      <c r="Y111" s="83"/>
      <c r="Z111" s="87"/>
      <c r="AA111" s="83"/>
      <c r="AB111" s="83"/>
      <c r="AC111" s="83"/>
      <c r="AD111" s="83"/>
      <c r="AE111" s="45"/>
      <c r="AF111" s="28">
        <f>SUM(D111:AD111)</f>
        <v>0</v>
      </c>
      <c r="AG111" s="3"/>
    </row>
    <row r="112" spans="2:33" s="1" customFormat="1" ht="14.25" thickBot="1">
      <c r="B112" s="74" t="s">
        <v>579</v>
      </c>
      <c r="C112" s="74"/>
      <c r="D112" s="92"/>
      <c r="E112" s="92"/>
      <c r="F112" s="93"/>
      <c r="G112" s="92"/>
      <c r="H112" s="92"/>
      <c r="I112" s="92"/>
      <c r="J112" s="93"/>
      <c r="K112" s="92"/>
      <c r="L112" s="426"/>
      <c r="M112" s="92"/>
      <c r="N112" s="93"/>
      <c r="O112" s="92"/>
      <c r="P112" s="92"/>
      <c r="Q112" s="92"/>
      <c r="R112" s="93"/>
      <c r="S112" s="92"/>
      <c r="T112" s="92"/>
      <c r="U112" s="92"/>
      <c r="V112" s="93"/>
      <c r="W112" s="94"/>
      <c r="X112" s="94"/>
      <c r="Y112" s="94"/>
      <c r="Z112" s="93"/>
      <c r="AA112" s="94"/>
      <c r="AB112" s="94"/>
      <c r="AC112" s="94"/>
      <c r="AD112" s="94"/>
      <c r="AE112" s="94"/>
      <c r="AF112" s="80">
        <f>SUM(D112:AD112)</f>
        <v>0</v>
      </c>
      <c r="AG112" s="3"/>
    </row>
    <row r="113" spans="2:33" s="1" customFormat="1" ht="14.25" thickTop="1">
      <c r="B113" s="71" t="s">
        <v>66</v>
      </c>
      <c r="C113" s="421"/>
      <c r="D113" s="3"/>
      <c r="E113" s="3"/>
      <c r="F113" s="88">
        <f>SUM(F110:F112)</f>
        <v>5</v>
      </c>
      <c r="G113" s="3"/>
      <c r="H113" s="3"/>
      <c r="I113" s="3"/>
      <c r="J113" s="88">
        <f>SUM(J110:J112)</f>
        <v>5</v>
      </c>
      <c r="K113" s="3"/>
      <c r="L113" s="423"/>
      <c r="M113" s="3"/>
      <c r="N113" s="88">
        <f>SUM(N110:N112)</f>
        <v>6</v>
      </c>
      <c r="O113" s="3"/>
      <c r="P113" s="3"/>
      <c r="Q113" s="3"/>
      <c r="R113" s="88">
        <f>SUM(R110:R112)</f>
        <v>1</v>
      </c>
      <c r="S113" s="3"/>
      <c r="T113" s="3"/>
      <c r="U113" s="3"/>
      <c r="V113" s="88">
        <f>SUM(V110:V112)</f>
        <v>6</v>
      </c>
      <c r="W113" s="3"/>
      <c r="X113" s="3"/>
      <c r="Y113" s="3"/>
      <c r="Z113" s="88">
        <f>SUM(Z110:Z112)</f>
        <v>0</v>
      </c>
      <c r="AA113" s="3"/>
      <c r="AB113" s="3"/>
      <c r="AC113" s="3"/>
      <c r="AD113" s="67">
        <f>SUM(AD110:AD112)</f>
        <v>4</v>
      </c>
      <c r="AE113" s="3"/>
      <c r="AF113" s="71">
        <f>SUM(F113:AD113)</f>
        <v>27</v>
      </c>
      <c r="AG113" s="3"/>
    </row>
    <row r="114" spans="2:33" s="1" customFormat="1" ht="13.35" customHeight="1">
      <c r="B114" s="1518" t="s">
        <v>18</v>
      </c>
      <c r="C114" s="1528" t="s">
        <v>708</v>
      </c>
      <c r="D114" s="1524">
        <v>45334</v>
      </c>
      <c r="E114" s="1524"/>
      <c r="F114" s="1524"/>
      <c r="G114" s="22"/>
      <c r="H114" s="1524">
        <f>D114+1</f>
        <v>45335</v>
      </c>
      <c r="I114" s="1524"/>
      <c r="J114" s="1524"/>
      <c r="K114" s="22"/>
      <c r="L114" s="1524">
        <f>H114+1</f>
        <v>45336</v>
      </c>
      <c r="M114" s="1524"/>
      <c r="N114" s="1524"/>
      <c r="O114" s="3"/>
      <c r="P114" s="1524">
        <f>L114+1</f>
        <v>45337</v>
      </c>
      <c r="Q114" s="1524"/>
      <c r="R114" s="1524"/>
      <c r="S114" s="3"/>
      <c r="T114" s="1524">
        <f>P114+1</f>
        <v>45338</v>
      </c>
      <c r="U114" s="1524"/>
      <c r="V114" s="1524"/>
      <c r="W114" s="22"/>
      <c r="X114" s="1524">
        <f>T114+1</f>
        <v>45339</v>
      </c>
      <c r="Y114" s="1524"/>
      <c r="Z114" s="1524"/>
      <c r="AA114" s="3"/>
      <c r="AB114" s="1524">
        <f>X114+1</f>
        <v>45340</v>
      </c>
      <c r="AC114" s="1524"/>
      <c r="AD114" s="1524"/>
      <c r="AE114" s="22"/>
      <c r="AF114" s="1517" t="s">
        <v>19</v>
      </c>
      <c r="AG114" s="3"/>
    </row>
    <row r="115" spans="2:33" s="1" customFormat="1">
      <c r="B115" s="1518"/>
      <c r="C115" s="1528"/>
      <c r="D115" s="21" t="s">
        <v>23</v>
      </c>
      <c r="E115" s="21" t="s">
        <v>24</v>
      </c>
      <c r="F115" s="62" t="s">
        <v>25</v>
      </c>
      <c r="G115" s="23"/>
      <c r="H115" s="21" t="s">
        <v>23</v>
      </c>
      <c r="I115" s="21" t="s">
        <v>24</v>
      </c>
      <c r="J115" s="18" t="s">
        <v>25</v>
      </c>
      <c r="K115" s="23"/>
      <c r="L115" s="21" t="s">
        <v>23</v>
      </c>
      <c r="M115" s="21" t="s">
        <v>24</v>
      </c>
      <c r="N115" s="18" t="s">
        <v>25</v>
      </c>
      <c r="O115" s="23"/>
      <c r="P115" s="21" t="s">
        <v>23</v>
      </c>
      <c r="Q115" s="21" t="s">
        <v>24</v>
      </c>
      <c r="R115" s="18" t="s">
        <v>25</v>
      </c>
      <c r="S115" s="23"/>
      <c r="T115" s="21" t="s">
        <v>23</v>
      </c>
      <c r="U115" s="21" t="s">
        <v>24</v>
      </c>
      <c r="V115" s="18" t="s">
        <v>25</v>
      </c>
      <c r="W115" s="23"/>
      <c r="X115" s="21" t="s">
        <v>23</v>
      </c>
      <c r="Y115" s="21" t="s">
        <v>24</v>
      </c>
      <c r="Z115" s="18" t="s">
        <v>25</v>
      </c>
      <c r="AA115" s="23"/>
      <c r="AB115" s="21" t="s">
        <v>23</v>
      </c>
      <c r="AC115" s="21" t="s">
        <v>24</v>
      </c>
      <c r="AD115" s="18" t="s">
        <v>25</v>
      </c>
      <c r="AE115" s="23"/>
      <c r="AF115" s="1517"/>
      <c r="AG115" s="3"/>
    </row>
    <row r="116" spans="2:33" s="1" customFormat="1" ht="27">
      <c r="B116" s="313" t="s">
        <v>572</v>
      </c>
      <c r="C116" s="13" t="s">
        <v>745</v>
      </c>
      <c r="D116" s="51">
        <v>0.33333333333333331</v>
      </c>
      <c r="E116" s="48">
        <v>0.72916666666666663</v>
      </c>
      <c r="F116" s="85">
        <f>(E116-D116)*24</f>
        <v>9.5</v>
      </c>
      <c r="G116" s="24"/>
      <c r="H116" s="48"/>
      <c r="I116" s="48"/>
      <c r="J116" s="49">
        <f>(I116-H116)*24</f>
        <v>0</v>
      </c>
      <c r="K116" s="24"/>
      <c r="L116" s="427"/>
      <c r="M116" s="48"/>
      <c r="N116" s="49">
        <f>(M116-L116)*24</f>
        <v>0</v>
      </c>
      <c r="O116" s="24"/>
      <c r="P116" s="48"/>
      <c r="Q116" s="48"/>
      <c r="R116" s="49">
        <f>(Q116-P116)*24</f>
        <v>0</v>
      </c>
      <c r="S116" s="24"/>
      <c r="T116" s="48"/>
      <c r="U116" s="48"/>
      <c r="V116" s="49">
        <f>(U116-T116)*24</f>
        <v>0</v>
      </c>
      <c r="W116" s="24"/>
      <c r="X116" s="48"/>
      <c r="Y116" s="48"/>
      <c r="Z116" s="49">
        <f>(Y116-X116)*24</f>
        <v>0</v>
      </c>
      <c r="AA116" s="24"/>
      <c r="AB116" s="48"/>
      <c r="AC116" s="48"/>
      <c r="AD116" s="49">
        <f>(AC116-AB116)*24</f>
        <v>0</v>
      </c>
      <c r="AE116" s="24"/>
      <c r="AF116" s="29">
        <f>J116+F116+N116+R116+V116+Z116+AD116</f>
        <v>9.5</v>
      </c>
      <c r="AG116" s="3"/>
    </row>
    <row r="117" spans="2:33" s="1" customFormat="1" ht="27">
      <c r="B117" s="313" t="s">
        <v>572</v>
      </c>
      <c r="C117" s="13" t="s">
        <v>735</v>
      </c>
      <c r="D117" s="51"/>
      <c r="E117" s="48"/>
      <c r="F117" s="85">
        <f>(E117-D117)*24</f>
        <v>0</v>
      </c>
      <c r="G117" s="24"/>
      <c r="H117" s="48"/>
      <c r="I117" s="48"/>
      <c r="J117" s="49">
        <f>(I117-H117)*24</f>
        <v>0</v>
      </c>
      <c r="K117" s="24"/>
      <c r="L117" s="427">
        <v>0.39583333333333331</v>
      </c>
      <c r="M117" s="48">
        <v>0.75</v>
      </c>
      <c r="N117" s="49">
        <f>(M117-L117)*24</f>
        <v>8.5</v>
      </c>
      <c r="O117" s="24"/>
      <c r="P117" s="48">
        <v>0.375</v>
      </c>
      <c r="Q117" s="51">
        <v>0.75</v>
      </c>
      <c r="R117" s="49">
        <f>(Q117-P117)*24</f>
        <v>9</v>
      </c>
      <c r="S117" s="24"/>
      <c r="T117" s="48">
        <v>0.34375</v>
      </c>
      <c r="U117" s="51">
        <v>0.82291666666666663</v>
      </c>
      <c r="V117" s="49">
        <f>(U117-T117)*24</f>
        <v>11.5</v>
      </c>
      <c r="W117" s="24"/>
      <c r="X117" s="48"/>
      <c r="Y117" s="48"/>
      <c r="Z117" s="49">
        <f>(Y117-X117)*24</f>
        <v>0</v>
      </c>
      <c r="AA117" s="24"/>
      <c r="AB117" s="48"/>
      <c r="AC117" s="48"/>
      <c r="AD117" s="49">
        <f>(AC117-AB117)*24</f>
        <v>0</v>
      </c>
      <c r="AE117" s="24"/>
      <c r="AF117" s="29">
        <f>J117+F117+N117+R117+V117+Z117+AD117</f>
        <v>29</v>
      </c>
      <c r="AG117" s="3"/>
    </row>
    <row r="118" spans="2:33" s="1" customFormat="1" ht="27">
      <c r="B118" s="13" t="s">
        <v>637</v>
      </c>
      <c r="C118" s="13" t="s">
        <v>735</v>
      </c>
      <c r="D118" s="51">
        <v>0.375</v>
      </c>
      <c r="E118" s="51">
        <v>0.75</v>
      </c>
      <c r="F118" s="85">
        <f t="shared" ref="F118:F120" si="73">(E118-D118)*24</f>
        <v>9</v>
      </c>
      <c r="G118" s="24"/>
      <c r="H118" s="51">
        <v>0.4375</v>
      </c>
      <c r="I118" s="48">
        <v>0.77083333333333337</v>
      </c>
      <c r="J118" s="49">
        <f t="shared" ref="J118:J120" si="74">(I118-H118)*24</f>
        <v>8</v>
      </c>
      <c r="K118" s="24"/>
      <c r="L118" s="427">
        <v>0.39583333333333331</v>
      </c>
      <c r="M118" s="48">
        <v>0.75</v>
      </c>
      <c r="N118" s="49">
        <f t="shared" ref="N118:N120" si="75">(M118-L118)*24</f>
        <v>8.5</v>
      </c>
      <c r="O118" s="24"/>
      <c r="P118" s="48"/>
      <c r="Q118" s="48"/>
      <c r="R118" s="49">
        <f t="shared" ref="R118:R120" si="76">(Q118-P118)*24</f>
        <v>0</v>
      </c>
      <c r="S118" s="24"/>
      <c r="T118" s="48"/>
      <c r="U118" s="48"/>
      <c r="V118" s="49">
        <f t="shared" ref="V118:V120" si="77">(U118-T118)*24</f>
        <v>0</v>
      </c>
      <c r="W118" s="24"/>
      <c r="X118" s="48"/>
      <c r="Y118" s="48"/>
      <c r="Z118" s="49">
        <f t="shared" ref="Z118:Z120" si="78">(Y118-X118)*24</f>
        <v>0</v>
      </c>
      <c r="AA118" s="24"/>
      <c r="AB118" s="48"/>
      <c r="AC118" s="48"/>
      <c r="AD118" s="49">
        <f t="shared" ref="AD118:AD120" si="79">(AC118-AB118)*24</f>
        <v>0</v>
      </c>
      <c r="AE118" s="24"/>
      <c r="AF118" s="29">
        <f t="shared" ref="AF118:AF120" si="80">J118+F118+N118+R118+V118+Z118+AD118</f>
        <v>25.5</v>
      </c>
      <c r="AG118" s="3"/>
    </row>
    <row r="119" spans="2:33" s="1" customFormat="1" ht="27">
      <c r="B119" s="13" t="s">
        <v>743</v>
      </c>
      <c r="C119" s="13" t="s">
        <v>735</v>
      </c>
      <c r="D119" s="51">
        <v>0.4375</v>
      </c>
      <c r="E119" s="51">
        <v>0.75</v>
      </c>
      <c r="F119" s="85">
        <f t="shared" si="73"/>
        <v>7.5</v>
      </c>
      <c r="G119" s="24"/>
      <c r="H119" s="51">
        <v>0.375</v>
      </c>
      <c r="I119" s="48">
        <v>0.77083333333333337</v>
      </c>
      <c r="J119" s="49">
        <f t="shared" si="74"/>
        <v>9.5</v>
      </c>
      <c r="K119" s="24"/>
      <c r="L119" s="427">
        <v>0.39583333333333331</v>
      </c>
      <c r="M119" s="48">
        <v>0.75</v>
      </c>
      <c r="N119" s="49">
        <f t="shared" si="75"/>
        <v>8.5</v>
      </c>
      <c r="O119" s="24"/>
      <c r="P119" s="48">
        <v>0.35416666666666669</v>
      </c>
      <c r="Q119" s="51">
        <v>0.75</v>
      </c>
      <c r="R119" s="49">
        <f t="shared" si="76"/>
        <v>9.5</v>
      </c>
      <c r="S119" s="24"/>
      <c r="T119" s="48">
        <v>0.35416666666666669</v>
      </c>
      <c r="U119" s="51">
        <v>0.79166666666666663</v>
      </c>
      <c r="V119" s="49">
        <f t="shared" si="77"/>
        <v>10.499999999999998</v>
      </c>
      <c r="W119" s="24"/>
      <c r="X119" s="48"/>
      <c r="Y119" s="48"/>
      <c r="Z119" s="49">
        <f t="shared" si="78"/>
        <v>0</v>
      </c>
      <c r="AA119" s="24"/>
      <c r="AB119" s="48"/>
      <c r="AC119" s="48"/>
      <c r="AD119" s="49">
        <f t="shared" si="79"/>
        <v>0</v>
      </c>
      <c r="AE119" s="24"/>
      <c r="AF119" s="29">
        <f t="shared" si="80"/>
        <v>45.5</v>
      </c>
      <c r="AG119" s="3"/>
    </row>
    <row r="120" spans="2:33" s="1" customFormat="1" ht="27">
      <c r="B120" s="13" t="s">
        <v>714</v>
      </c>
      <c r="C120" s="13" t="s">
        <v>735</v>
      </c>
      <c r="D120" s="51">
        <v>0.4375</v>
      </c>
      <c r="E120" s="51">
        <v>0.75</v>
      </c>
      <c r="F120" s="85">
        <f t="shared" si="73"/>
        <v>7.5</v>
      </c>
      <c r="G120" s="24"/>
      <c r="H120" s="48"/>
      <c r="I120" s="48"/>
      <c r="J120" s="49">
        <f t="shared" si="74"/>
        <v>0</v>
      </c>
      <c r="K120" s="24"/>
      <c r="L120" s="427"/>
      <c r="M120" s="48"/>
      <c r="N120" s="49">
        <f t="shared" si="75"/>
        <v>0</v>
      </c>
      <c r="O120" s="24"/>
      <c r="P120" s="48"/>
      <c r="Q120" s="48"/>
      <c r="R120" s="49">
        <f t="shared" si="76"/>
        <v>0</v>
      </c>
      <c r="S120" s="24"/>
      <c r="T120" s="48"/>
      <c r="U120" s="51"/>
      <c r="V120" s="49">
        <f t="shared" si="77"/>
        <v>0</v>
      </c>
      <c r="W120" s="24"/>
      <c r="X120" s="48"/>
      <c r="Y120" s="48"/>
      <c r="Z120" s="49">
        <f t="shared" si="78"/>
        <v>0</v>
      </c>
      <c r="AA120" s="24"/>
      <c r="AB120" s="48"/>
      <c r="AC120" s="48"/>
      <c r="AD120" s="49">
        <f t="shared" si="79"/>
        <v>0</v>
      </c>
      <c r="AE120" s="24"/>
      <c r="AF120" s="29">
        <f t="shared" si="80"/>
        <v>7.5</v>
      </c>
      <c r="AG120" s="3"/>
    </row>
    <row r="121" spans="2:33" s="1" customFormat="1" ht="27">
      <c r="B121" s="13" t="s">
        <v>54</v>
      </c>
      <c r="C121" s="13" t="s">
        <v>735</v>
      </c>
      <c r="D121" s="48"/>
      <c r="E121" s="48"/>
      <c r="F121" s="85">
        <f>(E121-D121)*24</f>
        <v>0</v>
      </c>
      <c r="G121" s="24"/>
      <c r="H121" s="51">
        <v>0.40625</v>
      </c>
      <c r="I121" s="48">
        <v>0.78125</v>
      </c>
      <c r="J121" s="49">
        <f>(I121-H121)*24</f>
        <v>9</v>
      </c>
      <c r="K121" s="24"/>
      <c r="L121" s="427">
        <v>0.39583333333333331</v>
      </c>
      <c r="M121" s="48">
        <v>0.75</v>
      </c>
      <c r="N121" s="49">
        <f>(M121-L121)*24</f>
        <v>8.5</v>
      </c>
      <c r="O121" s="24"/>
      <c r="P121" s="51">
        <v>0.39583333333333331</v>
      </c>
      <c r="Q121" s="51">
        <v>0.75</v>
      </c>
      <c r="R121" s="49">
        <f>(Q121-P121)*24</f>
        <v>8.5</v>
      </c>
      <c r="S121" s="24"/>
      <c r="T121" s="48">
        <v>0.375</v>
      </c>
      <c r="U121" s="51">
        <v>0.82291666666666663</v>
      </c>
      <c r="V121" s="49">
        <f>(U121-T121)*24</f>
        <v>10.75</v>
      </c>
      <c r="W121" s="24"/>
      <c r="X121" s="48"/>
      <c r="Y121" s="48"/>
      <c r="Z121" s="49">
        <f>(Y121-X121)*24</f>
        <v>0</v>
      </c>
      <c r="AA121" s="24"/>
      <c r="AB121" s="48"/>
      <c r="AC121" s="48"/>
      <c r="AD121" s="49">
        <f>(AC121-AB121)*24</f>
        <v>0</v>
      </c>
      <c r="AE121" s="24"/>
      <c r="AF121" s="29">
        <f>J121+F121+N121+R121+V121+Z121+AD121</f>
        <v>36.75</v>
      </c>
      <c r="AG121" s="3"/>
    </row>
    <row r="122" spans="2:33" s="1" customFormat="1" ht="27">
      <c r="B122" s="13" t="s">
        <v>637</v>
      </c>
      <c r="C122" s="13" t="s">
        <v>746</v>
      </c>
      <c r="D122" s="48"/>
      <c r="E122" s="48"/>
      <c r="F122" s="85">
        <f>(E122-D122)*24</f>
        <v>0</v>
      </c>
      <c r="G122" s="24"/>
      <c r="H122" s="48"/>
      <c r="I122" s="48"/>
      <c r="J122" s="49">
        <f>(I122-H122)*24</f>
        <v>0</v>
      </c>
      <c r="K122" s="24"/>
      <c r="L122" s="427"/>
      <c r="M122" s="48"/>
      <c r="N122" s="49">
        <f>(M122-L122)*24</f>
        <v>0</v>
      </c>
      <c r="O122" s="24"/>
      <c r="P122" s="48">
        <v>0.5</v>
      </c>
      <c r="Q122" s="48">
        <v>0.64583333333333337</v>
      </c>
      <c r="R122" s="49">
        <f>(Q122-P122)*24</f>
        <v>3.5000000000000009</v>
      </c>
      <c r="S122" s="24"/>
      <c r="T122" s="48"/>
      <c r="U122" s="51"/>
      <c r="V122" s="49">
        <f>(U122-T122)*24</f>
        <v>0</v>
      </c>
      <c r="W122" s="24"/>
      <c r="X122" s="48"/>
      <c r="Y122" s="48"/>
      <c r="Z122" s="49">
        <f>(Y122-X122)*24</f>
        <v>0</v>
      </c>
      <c r="AA122" s="24"/>
      <c r="AB122" s="48"/>
      <c r="AC122" s="48"/>
      <c r="AD122" s="49">
        <f>(AC122-AB122)*24</f>
        <v>0</v>
      </c>
      <c r="AE122" s="24"/>
      <c r="AF122" s="29">
        <f>J122+F122+N122+R122+V122+Z122+AD122</f>
        <v>3.5000000000000009</v>
      </c>
      <c r="AG122" s="3"/>
    </row>
    <row r="123" spans="2:33" s="1" customFormat="1" ht="27">
      <c r="B123" s="13" t="s">
        <v>743</v>
      </c>
      <c r="C123" s="442" t="s">
        <v>747</v>
      </c>
      <c r="D123" s="48"/>
      <c r="E123" s="48"/>
      <c r="F123" s="85">
        <f>(E123-D123)*24</f>
        <v>0</v>
      </c>
      <c r="G123" s="24"/>
      <c r="H123" s="51"/>
      <c r="I123" s="51"/>
      <c r="J123" s="49">
        <f>(I123-H123)*24</f>
        <v>0</v>
      </c>
      <c r="K123" s="24"/>
      <c r="L123" s="424"/>
      <c r="M123" s="51"/>
      <c r="N123" s="49">
        <f>(M123-L123)*24</f>
        <v>0</v>
      </c>
      <c r="O123" s="24"/>
      <c r="P123" s="51"/>
      <c r="Q123" s="51"/>
      <c r="R123" s="49">
        <f>(Q123-P123)*24</f>
        <v>0</v>
      </c>
      <c r="S123" s="24"/>
      <c r="T123" s="51">
        <v>0.70833333333333337</v>
      </c>
      <c r="U123" s="51">
        <v>0.75</v>
      </c>
      <c r="V123" s="49">
        <f>(U123-T123)*24</f>
        <v>0.99999999999999911</v>
      </c>
      <c r="W123" s="24"/>
      <c r="X123" s="48"/>
      <c r="Y123" s="48"/>
      <c r="Z123" s="49">
        <f>(Y123-X123)*24</f>
        <v>0</v>
      </c>
      <c r="AA123" s="24"/>
      <c r="AB123" s="51">
        <v>0.375</v>
      </c>
      <c r="AC123" s="51">
        <v>0.41666666666666669</v>
      </c>
      <c r="AD123" s="49">
        <f>(AC123-AB123)*24</f>
        <v>1.0000000000000004</v>
      </c>
      <c r="AE123" s="24"/>
      <c r="AF123" s="29">
        <f>J123+F123+N123+R123+V123+Z123+AD123</f>
        <v>1.9999999999999996</v>
      </c>
      <c r="AG123" s="3"/>
    </row>
    <row r="124" spans="2:33" s="1" customFormat="1">
      <c r="B124" s="63" t="s">
        <v>61</v>
      </c>
      <c r="C124" s="63"/>
      <c r="D124" s="63"/>
      <c r="E124" s="63"/>
      <c r="F124" s="86">
        <f>SUM(F116:F122)</f>
        <v>33.5</v>
      </c>
      <c r="G124" s="63"/>
      <c r="H124" s="63"/>
      <c r="I124" s="63"/>
      <c r="J124" s="86">
        <f>SUM(J116:J122)</f>
        <v>26.5</v>
      </c>
      <c r="K124" s="63"/>
      <c r="L124" s="99"/>
      <c r="M124" s="63"/>
      <c r="N124" s="86">
        <f>SUM(N116:N122)</f>
        <v>34</v>
      </c>
      <c r="O124" s="63"/>
      <c r="P124" s="63"/>
      <c r="Q124" s="63"/>
      <c r="R124" s="86">
        <f>SUM(R116:R122)</f>
        <v>30.5</v>
      </c>
      <c r="S124" s="63"/>
      <c r="T124" s="63"/>
      <c r="U124" s="63"/>
      <c r="V124" s="86">
        <f>SUM(V116:V122)</f>
        <v>32.75</v>
      </c>
      <c r="W124" s="63"/>
      <c r="X124" s="63"/>
      <c r="Y124" s="63"/>
      <c r="Z124" s="86">
        <f>SUM(Z116:Z122)</f>
        <v>0</v>
      </c>
      <c r="AA124" s="63"/>
      <c r="AB124" s="63"/>
      <c r="AC124" s="63"/>
      <c r="AD124" s="82">
        <f>SUM(AD116:AD122)</f>
        <v>0</v>
      </c>
      <c r="AE124" s="46"/>
      <c r="AF124" s="30">
        <f>SUM(AF116:AF122)</f>
        <v>157.25</v>
      </c>
      <c r="AG124" s="3"/>
    </row>
    <row r="125" spans="2:33" s="1" customFormat="1">
      <c r="B125" s="31" t="s">
        <v>577</v>
      </c>
      <c r="C125" s="31"/>
      <c r="D125" s="91"/>
      <c r="E125" s="83"/>
      <c r="F125" s="87">
        <v>5</v>
      </c>
      <c r="G125" s="83"/>
      <c r="H125" s="83"/>
      <c r="I125" s="83"/>
      <c r="J125" s="87">
        <v>5</v>
      </c>
      <c r="K125" s="83"/>
      <c r="L125" s="425"/>
      <c r="M125" s="83"/>
      <c r="N125" s="90">
        <v>6</v>
      </c>
      <c r="O125" s="83"/>
      <c r="P125" s="83"/>
      <c r="Q125" s="83"/>
      <c r="R125" s="90">
        <v>1</v>
      </c>
      <c r="S125" s="83"/>
      <c r="T125" s="83"/>
      <c r="U125" s="83"/>
      <c r="V125" s="90">
        <v>6</v>
      </c>
      <c r="W125" s="83"/>
      <c r="X125" s="83"/>
      <c r="Y125" s="83"/>
      <c r="Z125" s="87">
        <v>0</v>
      </c>
      <c r="AA125" s="83"/>
      <c r="AB125" s="83"/>
      <c r="AC125" s="83"/>
      <c r="AD125" s="91">
        <v>4</v>
      </c>
      <c r="AE125" s="45"/>
      <c r="AF125" s="28">
        <f>SUM(D125:AD125)</f>
        <v>27</v>
      </c>
      <c r="AG125" s="3"/>
    </row>
    <row r="126" spans="2:33" s="1" customFormat="1">
      <c r="B126" s="31" t="s">
        <v>578</v>
      </c>
      <c r="C126" s="31"/>
      <c r="D126" s="91"/>
      <c r="E126" s="83"/>
      <c r="F126" s="87"/>
      <c r="G126" s="83"/>
      <c r="H126" s="83"/>
      <c r="I126" s="83"/>
      <c r="J126" s="87"/>
      <c r="K126" s="83"/>
      <c r="L126" s="425"/>
      <c r="M126" s="83"/>
      <c r="N126" s="87"/>
      <c r="O126" s="83"/>
      <c r="P126" s="83"/>
      <c r="Q126" s="83"/>
      <c r="R126" s="87"/>
      <c r="S126" s="83"/>
      <c r="T126" s="83"/>
      <c r="U126" s="83"/>
      <c r="V126" s="87"/>
      <c r="W126" s="83"/>
      <c r="X126" s="83"/>
      <c r="Y126" s="83"/>
      <c r="Z126" s="87"/>
      <c r="AA126" s="83"/>
      <c r="AB126" s="83"/>
      <c r="AC126" s="83"/>
      <c r="AD126" s="83"/>
      <c r="AE126" s="45"/>
      <c r="AF126" s="28">
        <f>SUM(D126:AD126)</f>
        <v>0</v>
      </c>
      <c r="AG126" s="3"/>
    </row>
    <row r="127" spans="2:33" s="1" customFormat="1" ht="14.25" thickBot="1">
      <c r="B127" s="74" t="s">
        <v>579</v>
      </c>
      <c r="C127" s="74"/>
      <c r="D127" s="92"/>
      <c r="E127" s="92"/>
      <c r="F127" s="93"/>
      <c r="G127" s="92"/>
      <c r="H127" s="92"/>
      <c r="I127" s="92"/>
      <c r="J127" s="93"/>
      <c r="K127" s="92"/>
      <c r="L127" s="426"/>
      <c r="M127" s="92"/>
      <c r="N127" s="93"/>
      <c r="O127" s="92"/>
      <c r="P127" s="92"/>
      <c r="Q127" s="92"/>
      <c r="R127" s="93"/>
      <c r="S127" s="92"/>
      <c r="T127" s="92"/>
      <c r="U127" s="92"/>
      <c r="V127" s="93"/>
      <c r="W127" s="94"/>
      <c r="X127" s="94"/>
      <c r="Y127" s="94"/>
      <c r="Z127" s="93"/>
      <c r="AA127" s="94"/>
      <c r="AB127" s="94"/>
      <c r="AC127" s="94"/>
      <c r="AD127" s="94"/>
      <c r="AE127" s="94"/>
      <c r="AF127" s="80">
        <f>SUM(D127:AD127)</f>
        <v>0</v>
      </c>
      <c r="AG127" s="3"/>
    </row>
    <row r="128" spans="2:33" s="1" customFormat="1" ht="14.25" thickTop="1">
      <c r="B128" s="71" t="s">
        <v>66</v>
      </c>
      <c r="C128" s="421"/>
      <c r="D128" s="3"/>
      <c r="E128" s="3"/>
      <c r="F128" s="88">
        <f>SUM(F125:F127)</f>
        <v>5</v>
      </c>
      <c r="G128" s="3"/>
      <c r="H128" s="3"/>
      <c r="I128" s="3"/>
      <c r="J128" s="88">
        <f>SUM(J125:J127)</f>
        <v>5</v>
      </c>
      <c r="K128" s="3"/>
      <c r="L128" s="423"/>
      <c r="M128" s="3"/>
      <c r="N128" s="88">
        <f>SUM(N125:N127)</f>
        <v>6</v>
      </c>
      <c r="O128" s="3"/>
      <c r="P128" s="3"/>
      <c r="Q128" s="3"/>
      <c r="R128" s="88">
        <f>SUM(R125:R127)</f>
        <v>1</v>
      </c>
      <c r="S128" s="3"/>
      <c r="T128" s="3"/>
      <c r="U128" s="3"/>
      <c r="V128" s="88">
        <f>SUM(V125:V127)</f>
        <v>6</v>
      </c>
      <c r="W128" s="3"/>
      <c r="X128" s="3"/>
      <c r="Y128" s="3"/>
      <c r="Z128" s="88">
        <f>SUM(Z125:Z127)</f>
        <v>0</v>
      </c>
      <c r="AA128" s="3"/>
      <c r="AB128" s="3"/>
      <c r="AC128" s="3"/>
      <c r="AD128" s="67">
        <f>SUM(AD125:AD127)</f>
        <v>4</v>
      </c>
      <c r="AE128" s="3"/>
      <c r="AF128" s="71">
        <f>SUM(F128:AD128)</f>
        <v>27</v>
      </c>
      <c r="AG128" s="3"/>
    </row>
    <row r="129" spans="2:33" s="1" customFormat="1" ht="13.35" customHeight="1">
      <c r="B129" s="1518" t="s">
        <v>18</v>
      </c>
      <c r="C129" s="1528" t="s">
        <v>708</v>
      </c>
      <c r="D129" s="1524">
        <v>45341</v>
      </c>
      <c r="E129" s="1524"/>
      <c r="F129" s="1524"/>
      <c r="G129" s="22"/>
      <c r="H129" s="1524">
        <f>D129+1</f>
        <v>45342</v>
      </c>
      <c r="I129" s="1524"/>
      <c r="J129" s="1524"/>
      <c r="K129" s="22"/>
      <c r="L129" s="1524">
        <f>H129+1</f>
        <v>45343</v>
      </c>
      <c r="M129" s="1524"/>
      <c r="N129" s="1524"/>
      <c r="O129" s="3"/>
      <c r="P129" s="1524">
        <f>L129+1</f>
        <v>45344</v>
      </c>
      <c r="Q129" s="1524"/>
      <c r="R129" s="1524"/>
      <c r="S129" s="3"/>
      <c r="T129" s="1524">
        <f>P129+1</f>
        <v>45345</v>
      </c>
      <c r="U129" s="1524"/>
      <c r="V129" s="1524"/>
      <c r="W129" s="22"/>
      <c r="X129" s="1524">
        <f>T129+1</f>
        <v>45346</v>
      </c>
      <c r="Y129" s="1524"/>
      <c r="Z129" s="1524"/>
      <c r="AA129" s="3"/>
      <c r="AB129" s="1524">
        <f>X129+1</f>
        <v>45347</v>
      </c>
      <c r="AC129" s="1524"/>
      <c r="AD129" s="1524"/>
      <c r="AE129" s="22"/>
      <c r="AF129" s="1517" t="s">
        <v>19</v>
      </c>
      <c r="AG129" s="3"/>
    </row>
    <row r="130" spans="2:33" s="1" customFormat="1">
      <c r="B130" s="1518"/>
      <c r="C130" s="1528"/>
      <c r="D130" s="21" t="s">
        <v>23</v>
      </c>
      <c r="E130" s="21" t="s">
        <v>24</v>
      </c>
      <c r="F130" s="62" t="s">
        <v>25</v>
      </c>
      <c r="G130" s="23"/>
      <c r="H130" s="21" t="s">
        <v>23</v>
      </c>
      <c r="I130" s="21" t="s">
        <v>24</v>
      </c>
      <c r="J130" s="18" t="s">
        <v>25</v>
      </c>
      <c r="K130" s="23"/>
      <c r="L130" s="21" t="s">
        <v>23</v>
      </c>
      <c r="M130" s="21" t="s">
        <v>24</v>
      </c>
      <c r="N130" s="18" t="s">
        <v>25</v>
      </c>
      <c r="O130" s="23"/>
      <c r="P130" s="21" t="s">
        <v>23</v>
      </c>
      <c r="Q130" s="21" t="s">
        <v>24</v>
      </c>
      <c r="R130" s="18" t="s">
        <v>25</v>
      </c>
      <c r="S130" s="23"/>
      <c r="T130" s="21" t="s">
        <v>23</v>
      </c>
      <c r="U130" s="21" t="s">
        <v>24</v>
      </c>
      <c r="V130" s="18" t="s">
        <v>25</v>
      </c>
      <c r="W130" s="23"/>
      <c r="X130" s="21" t="s">
        <v>23</v>
      </c>
      <c r="Y130" s="21" t="s">
        <v>24</v>
      </c>
      <c r="Z130" s="18" t="s">
        <v>25</v>
      </c>
      <c r="AA130" s="23"/>
      <c r="AB130" s="21" t="s">
        <v>23</v>
      </c>
      <c r="AC130" s="21" t="s">
        <v>24</v>
      </c>
      <c r="AD130" s="18" t="s">
        <v>25</v>
      </c>
      <c r="AE130" s="23"/>
      <c r="AF130" s="1517"/>
      <c r="AG130" s="3"/>
    </row>
    <row r="131" spans="2:33" s="1" customFormat="1" ht="27">
      <c r="B131" s="313" t="s">
        <v>572</v>
      </c>
      <c r="C131" s="13" t="s">
        <v>748</v>
      </c>
      <c r="F131" s="85">
        <f>(M131-L131)*24</f>
        <v>10.499999999999998</v>
      </c>
      <c r="G131" s="24"/>
      <c r="H131" s="48">
        <v>0.35416666666666669</v>
      </c>
      <c r="I131" s="51">
        <v>0.72916666666666663</v>
      </c>
      <c r="J131" s="49">
        <f>(I131-H131)*24</f>
        <v>8.9999999999999982</v>
      </c>
      <c r="K131" s="24"/>
      <c r="L131" s="51">
        <v>0.35416666666666669</v>
      </c>
      <c r="M131" s="51">
        <v>0.79166666666666663</v>
      </c>
      <c r="N131" s="49">
        <f>(M131-L131)*24</f>
        <v>10.499999999999998</v>
      </c>
      <c r="O131" s="24"/>
      <c r="P131" s="48"/>
      <c r="Q131" s="48"/>
      <c r="R131" s="49">
        <f>(Q131-P131)*24</f>
        <v>0</v>
      </c>
      <c r="S131" s="24"/>
      <c r="T131" s="48"/>
      <c r="U131" s="48"/>
      <c r="V131" s="49">
        <f>(U131-T131)*24</f>
        <v>0</v>
      </c>
      <c r="W131" s="24"/>
      <c r="X131" s="48"/>
      <c r="Y131" s="48"/>
      <c r="Z131" s="49">
        <f>(Y131-X131)*24</f>
        <v>0</v>
      </c>
      <c r="AA131" s="24"/>
      <c r="AB131" s="48"/>
      <c r="AC131" s="48"/>
      <c r="AD131" s="49">
        <f>(AC131-AB131)*24</f>
        <v>0</v>
      </c>
      <c r="AE131" s="24"/>
      <c r="AF131" s="29">
        <f>J131+F131+N131+R131+V131+Z131+AD131</f>
        <v>29.999999999999993</v>
      </c>
      <c r="AG131" s="3"/>
    </row>
    <row r="132" spans="2:33" s="1" customFormat="1" ht="27">
      <c r="B132" s="13" t="s">
        <v>743</v>
      </c>
      <c r="C132" s="13" t="s">
        <v>735</v>
      </c>
      <c r="D132" s="48"/>
      <c r="E132" s="48"/>
      <c r="F132" s="85">
        <f t="shared" ref="F132:F133" si="81">(E132-D132)*24</f>
        <v>0</v>
      </c>
      <c r="G132" s="24"/>
      <c r="H132" s="51">
        <v>0.35416666666666669</v>
      </c>
      <c r="I132" s="51">
        <v>0.75</v>
      </c>
      <c r="J132" s="49">
        <f t="shared" ref="J132:J133" si="82">(I132-H132)*24</f>
        <v>9.5</v>
      </c>
      <c r="K132" s="24"/>
      <c r="L132" s="51">
        <v>0.35416666666666669</v>
      </c>
      <c r="M132" s="51">
        <v>0.79166666666666663</v>
      </c>
      <c r="N132" s="49">
        <f t="shared" ref="N132:N133" si="83">(M132-L132)*24</f>
        <v>10.499999999999998</v>
      </c>
      <c r="O132" s="24"/>
      <c r="P132" s="51">
        <v>0.375</v>
      </c>
      <c r="Q132" s="51">
        <v>0.75</v>
      </c>
      <c r="R132" s="49">
        <f t="shared" ref="R132:R133" si="84">(Q132-P132)*24</f>
        <v>9</v>
      </c>
      <c r="S132" s="24"/>
      <c r="T132" s="51">
        <v>0.375</v>
      </c>
      <c r="U132" s="51">
        <v>0.75</v>
      </c>
      <c r="V132" s="49">
        <f t="shared" ref="V132:V133" si="85">(U132-T132)*24</f>
        <v>9</v>
      </c>
      <c r="W132" s="24"/>
      <c r="X132" s="48"/>
      <c r="Y132" s="48"/>
      <c r="Z132" s="49">
        <f t="shared" ref="Z132:Z133" si="86">(Y132-X132)*24</f>
        <v>0</v>
      </c>
      <c r="AA132" s="24"/>
      <c r="AB132" s="48"/>
      <c r="AC132" s="48"/>
      <c r="AD132" s="49">
        <f t="shared" ref="AD132:AD133" si="87">(AC132-AB132)*24</f>
        <v>0</v>
      </c>
      <c r="AE132" s="24"/>
      <c r="AF132" s="29">
        <f t="shared" ref="AF132:AF133" si="88">J132+F132+N132+R132+V132+Z132+AD132</f>
        <v>38</v>
      </c>
      <c r="AG132" s="3"/>
    </row>
    <row r="133" spans="2:33" s="1" customFormat="1" ht="27">
      <c r="B133" s="13" t="s">
        <v>54</v>
      </c>
      <c r="C133" s="13" t="s">
        <v>735</v>
      </c>
      <c r="D133" s="48"/>
      <c r="E133" s="48"/>
      <c r="F133" s="85">
        <f t="shared" si="81"/>
        <v>0</v>
      </c>
      <c r="G133" s="24"/>
      <c r="H133" s="51">
        <v>0.375</v>
      </c>
      <c r="I133" s="51">
        <v>0.75</v>
      </c>
      <c r="J133" s="49">
        <f t="shared" si="82"/>
        <v>9</v>
      </c>
      <c r="K133" s="24"/>
      <c r="L133" s="51">
        <v>0.375</v>
      </c>
      <c r="M133" s="51">
        <v>0.79166666666666663</v>
      </c>
      <c r="N133" s="49">
        <f t="shared" si="83"/>
        <v>10</v>
      </c>
      <c r="O133" s="24"/>
      <c r="P133" s="51">
        <v>0.375</v>
      </c>
      <c r="Q133" s="51">
        <v>0.75</v>
      </c>
      <c r="R133" s="49">
        <f t="shared" si="84"/>
        <v>9</v>
      </c>
      <c r="S133" s="24"/>
      <c r="T133" s="51">
        <v>0.375</v>
      </c>
      <c r="U133" s="51">
        <v>0.75</v>
      </c>
      <c r="V133" s="49">
        <f t="shared" si="85"/>
        <v>9</v>
      </c>
      <c r="W133" s="24"/>
      <c r="X133" s="48"/>
      <c r="Y133" s="48"/>
      <c r="Z133" s="49">
        <f t="shared" si="86"/>
        <v>0</v>
      </c>
      <c r="AA133" s="24"/>
      <c r="AB133" s="48"/>
      <c r="AC133" s="48"/>
      <c r="AD133" s="49">
        <f t="shared" si="87"/>
        <v>0</v>
      </c>
      <c r="AE133" s="24"/>
      <c r="AF133" s="29">
        <f t="shared" si="88"/>
        <v>37</v>
      </c>
      <c r="AG133" s="3"/>
    </row>
    <row r="134" spans="2:33" s="1" customFormat="1" ht="27">
      <c r="B134" s="13" t="s">
        <v>637</v>
      </c>
      <c r="C134" s="13" t="s">
        <v>735</v>
      </c>
      <c r="D134" s="48"/>
      <c r="E134" s="48"/>
      <c r="F134" s="85">
        <f>(E134-D134)*24</f>
        <v>0</v>
      </c>
      <c r="G134" s="24"/>
      <c r="H134" s="51"/>
      <c r="I134" s="51"/>
      <c r="J134" s="49">
        <f>(I134-H134)*24</f>
        <v>0</v>
      </c>
      <c r="K134" s="24"/>
      <c r="L134" s="51"/>
      <c r="M134" s="51"/>
      <c r="N134" s="49">
        <f>(M134-L134)*24</f>
        <v>0</v>
      </c>
      <c r="O134" s="24"/>
      <c r="P134" s="51">
        <v>0.375</v>
      </c>
      <c r="Q134" s="51">
        <v>0.75</v>
      </c>
      <c r="R134" s="49">
        <f>(Q134-P134)*24</f>
        <v>9</v>
      </c>
      <c r="S134" s="24"/>
      <c r="T134" s="51"/>
      <c r="U134" s="51"/>
      <c r="V134" s="49">
        <f>(U134-T134)*24</f>
        <v>0</v>
      </c>
      <c r="W134" s="24"/>
      <c r="X134" s="48"/>
      <c r="Y134" s="48"/>
      <c r="Z134" s="49">
        <f>(Y134-X134)*24</f>
        <v>0</v>
      </c>
      <c r="AA134" s="24"/>
      <c r="AB134" s="48"/>
      <c r="AC134" s="48"/>
      <c r="AD134" s="49">
        <f>(AC134-AB134)*24</f>
        <v>0</v>
      </c>
      <c r="AE134" s="24"/>
      <c r="AF134" s="29">
        <f>J134+F134+N134+R134+V134+Z134+AD134</f>
        <v>9</v>
      </c>
      <c r="AG134" s="3"/>
    </row>
    <row r="135" spans="2:33" s="1" customFormat="1" ht="27">
      <c r="B135" s="180" t="s">
        <v>714</v>
      </c>
      <c r="C135" s="442" t="s">
        <v>749</v>
      </c>
      <c r="D135" s="48"/>
      <c r="E135" s="48"/>
      <c r="F135" s="85">
        <f>(E135-D135)*24</f>
        <v>0</v>
      </c>
      <c r="G135" s="24"/>
      <c r="H135" s="48"/>
      <c r="I135" s="48"/>
      <c r="J135" s="49">
        <f>(I135-H135)*24</f>
        <v>0</v>
      </c>
      <c r="K135" s="24"/>
      <c r="L135" s="427"/>
      <c r="M135" s="48"/>
      <c r="N135" s="49">
        <f>(M135-L135)*24</f>
        <v>0</v>
      </c>
      <c r="O135" s="24"/>
      <c r="P135" s="51"/>
      <c r="Q135" s="48"/>
      <c r="R135" s="49">
        <f>(Q135-P135)*24</f>
        <v>0</v>
      </c>
      <c r="S135" s="24"/>
      <c r="T135" s="51">
        <v>0.33333333333333331</v>
      </c>
      <c r="U135" s="51">
        <v>0.58333333333333337</v>
      </c>
      <c r="V135" s="49">
        <f>(U135-T135)*24</f>
        <v>6.0000000000000018</v>
      </c>
      <c r="W135" s="24"/>
      <c r="X135" s="48"/>
      <c r="Y135" s="48"/>
      <c r="Z135" s="49">
        <f>(Y135-X135)*24</f>
        <v>0</v>
      </c>
      <c r="AA135" s="24"/>
      <c r="AB135" s="48"/>
      <c r="AC135" s="48"/>
      <c r="AD135" s="49">
        <f>(AC135-AB135)*24</f>
        <v>0</v>
      </c>
      <c r="AE135" s="24"/>
      <c r="AF135" s="29">
        <f>J135+F135+N135+R135+V135+Z135+AD135</f>
        <v>6.0000000000000018</v>
      </c>
      <c r="AG135" s="3"/>
    </row>
    <row r="136" spans="2:33" s="1" customFormat="1" ht="27">
      <c r="B136" s="313" t="s">
        <v>743</v>
      </c>
      <c r="C136" s="442" t="s">
        <v>747</v>
      </c>
      <c r="D136" s="48"/>
      <c r="E136" s="48"/>
      <c r="F136" s="85">
        <f>(E136-D136)*24</f>
        <v>0</v>
      </c>
      <c r="G136" s="24"/>
      <c r="H136" s="51">
        <v>0.33333333333333331</v>
      </c>
      <c r="I136" s="51">
        <v>0.375</v>
      </c>
      <c r="J136" s="49">
        <f>(I136-H136)*24</f>
        <v>1.0000000000000004</v>
      </c>
      <c r="K136" s="24"/>
      <c r="L136" s="427"/>
      <c r="M136" s="48"/>
      <c r="N136" s="49">
        <f>(M136-L136)*24</f>
        <v>0</v>
      </c>
      <c r="O136" s="24"/>
      <c r="P136" s="51"/>
      <c r="Q136" s="51"/>
      <c r="R136" s="49">
        <f>(Q136-P136)*24</f>
        <v>0</v>
      </c>
      <c r="S136" s="24"/>
      <c r="T136" s="51"/>
      <c r="U136" s="51"/>
      <c r="V136" s="49">
        <f>(U136-T136)*24</f>
        <v>0</v>
      </c>
      <c r="W136" s="24"/>
      <c r="X136" s="48"/>
      <c r="Y136" s="48"/>
      <c r="Z136" s="49">
        <f>(Y136-X136)*24</f>
        <v>0</v>
      </c>
      <c r="AA136" s="24"/>
      <c r="AB136" s="48"/>
      <c r="AC136" s="48"/>
      <c r="AD136" s="49">
        <f>(AC136-AB136)*24</f>
        <v>0</v>
      </c>
      <c r="AE136" s="24"/>
      <c r="AF136" s="29">
        <f>J136+F136+N136+R136+V136+Z136+AD136</f>
        <v>1.0000000000000004</v>
      </c>
      <c r="AG136" s="3"/>
    </row>
    <row r="137" spans="2:33" s="1" customFormat="1" ht="27">
      <c r="B137" s="313" t="s">
        <v>572</v>
      </c>
      <c r="C137" s="442" t="s">
        <v>747</v>
      </c>
      <c r="D137" s="48"/>
      <c r="E137" s="48"/>
      <c r="F137" s="85">
        <f>(E137-D137)*24</f>
        <v>0</v>
      </c>
      <c r="G137" s="24"/>
      <c r="H137" s="48"/>
      <c r="I137" s="48"/>
      <c r="J137" s="49">
        <f>(I137-H137)*24</f>
        <v>0</v>
      </c>
      <c r="K137" s="24"/>
      <c r="L137" s="427"/>
      <c r="M137" s="48"/>
      <c r="N137" s="49">
        <f>(M137-L137)*24</f>
        <v>0</v>
      </c>
      <c r="O137" s="24"/>
      <c r="P137" s="51">
        <v>0.41666666666666702</v>
      </c>
      <c r="Q137" s="51">
        <v>0.45833333333333331</v>
      </c>
      <c r="R137" s="49">
        <f>(Q137-P137)*24</f>
        <v>0.99999999999999112</v>
      </c>
      <c r="S137" s="24"/>
      <c r="T137" s="51">
        <v>0.73958333333333337</v>
      </c>
      <c r="U137" s="51">
        <v>0.77083333333333337</v>
      </c>
      <c r="V137" s="49">
        <f>(U137-T137)*24</f>
        <v>0.75</v>
      </c>
      <c r="W137" s="24"/>
      <c r="X137" s="48"/>
      <c r="Y137" s="48"/>
      <c r="Z137" s="49">
        <f>(Y137-X137)*24</f>
        <v>0</v>
      </c>
      <c r="AA137" s="24"/>
      <c r="AB137" s="48"/>
      <c r="AC137" s="48"/>
      <c r="AD137" s="49">
        <f>(AC137-AB137)*24</f>
        <v>0</v>
      </c>
      <c r="AE137" s="24"/>
      <c r="AF137" s="29">
        <f>J137+F137+N137+R137+V137+Z137+AD137</f>
        <v>1.7499999999999911</v>
      </c>
      <c r="AG137" s="3"/>
    </row>
    <row r="138" spans="2:33" s="1" customFormat="1" ht="14.25">
      <c r="B138" s="13"/>
      <c r="C138" s="13"/>
      <c r="D138" s="48"/>
      <c r="E138" s="48"/>
      <c r="F138" s="85">
        <f>(E138-D138)*24</f>
        <v>0</v>
      </c>
      <c r="G138" s="24"/>
      <c r="H138" s="48"/>
      <c r="I138" s="48"/>
      <c r="J138" s="49">
        <f>(I138-H138)*24</f>
        <v>0</v>
      </c>
      <c r="K138" s="24"/>
      <c r="L138" s="427"/>
      <c r="M138" s="48"/>
      <c r="N138" s="49">
        <f>(M138-L138)*24</f>
        <v>0</v>
      </c>
      <c r="O138" s="24"/>
      <c r="P138" s="48"/>
      <c r="Q138" s="48"/>
      <c r="R138" s="49">
        <f>(Q138-P138)*24</f>
        <v>0</v>
      </c>
      <c r="S138" s="24"/>
      <c r="T138" s="48"/>
      <c r="U138" s="51"/>
      <c r="V138" s="49">
        <f>(U138-T138)*24</f>
        <v>0</v>
      </c>
      <c r="W138" s="24"/>
      <c r="X138" s="48"/>
      <c r="Y138" s="48"/>
      <c r="Z138" s="49">
        <f>(Y138-X138)*24</f>
        <v>0</v>
      </c>
      <c r="AA138" s="24"/>
      <c r="AB138" s="48"/>
      <c r="AC138" s="48"/>
      <c r="AD138" s="49">
        <f>(AC138-AB138)*24</f>
        <v>0</v>
      </c>
      <c r="AE138" s="24"/>
      <c r="AF138" s="29">
        <f>J138+F138+N138+R138+V138+Z138+AD138</f>
        <v>0</v>
      </c>
      <c r="AG138" s="3"/>
    </row>
    <row r="139" spans="2:33" s="1" customFormat="1">
      <c r="B139" s="63" t="s">
        <v>61</v>
      </c>
      <c r="C139" s="63"/>
      <c r="D139" s="63"/>
      <c r="E139" s="63"/>
      <c r="F139" s="86">
        <f>SUM(F131:F138)</f>
        <v>10.499999999999998</v>
      </c>
      <c r="G139" s="63"/>
      <c r="H139" s="63"/>
      <c r="I139" s="63"/>
      <c r="J139" s="86">
        <f>SUM(J131:J138)</f>
        <v>28.5</v>
      </c>
      <c r="K139" s="63"/>
      <c r="L139" s="99"/>
      <c r="M139" s="63"/>
      <c r="N139" s="86">
        <f>SUM(N131:N138)</f>
        <v>30.999999999999996</v>
      </c>
      <c r="O139" s="63"/>
      <c r="P139" s="63"/>
      <c r="Q139" s="63"/>
      <c r="R139" s="86">
        <f>SUM(R131:R138)</f>
        <v>27.999999999999993</v>
      </c>
      <c r="S139" s="63"/>
      <c r="T139" s="63"/>
      <c r="U139" s="63"/>
      <c r="V139" s="86">
        <f>SUM(V131:V138)</f>
        <v>24.75</v>
      </c>
      <c r="W139" s="63"/>
      <c r="X139" s="63"/>
      <c r="Y139" s="63"/>
      <c r="Z139" s="86">
        <f>SUM(Z131:Z138)</f>
        <v>0</v>
      </c>
      <c r="AA139" s="63"/>
      <c r="AB139" s="63"/>
      <c r="AC139" s="63"/>
      <c r="AD139" s="82">
        <f>SUM(AD131:AD138)</f>
        <v>0</v>
      </c>
      <c r="AE139" s="46"/>
      <c r="AF139" s="30">
        <f>SUM(AF131:AF138)</f>
        <v>122.74999999999999</v>
      </c>
      <c r="AG139" s="3"/>
    </row>
    <row r="140" spans="2:33" s="1" customFormat="1">
      <c r="B140" s="31" t="s">
        <v>577</v>
      </c>
      <c r="C140" s="31"/>
      <c r="D140" s="91"/>
      <c r="E140" s="83"/>
      <c r="F140" s="87">
        <v>5</v>
      </c>
      <c r="G140" s="83"/>
      <c r="H140" s="83"/>
      <c r="I140" s="83"/>
      <c r="J140" s="87">
        <v>5</v>
      </c>
      <c r="K140" s="83"/>
      <c r="L140" s="425"/>
      <c r="M140" s="83"/>
      <c r="N140" s="90">
        <v>6</v>
      </c>
      <c r="O140" s="83"/>
      <c r="P140" s="83"/>
      <c r="Q140" s="83"/>
      <c r="R140" s="90">
        <v>1</v>
      </c>
      <c r="S140" s="83"/>
      <c r="T140" s="83"/>
      <c r="U140" s="83"/>
      <c r="V140" s="90">
        <v>6</v>
      </c>
      <c r="W140" s="83"/>
      <c r="X140" s="83"/>
      <c r="Y140" s="83"/>
      <c r="Z140" s="87">
        <v>0</v>
      </c>
      <c r="AA140" s="83"/>
      <c r="AB140" s="83"/>
      <c r="AC140" s="83"/>
      <c r="AD140" s="91">
        <v>4</v>
      </c>
      <c r="AE140" s="45"/>
      <c r="AF140" s="28">
        <f>SUM(D140:AD140)</f>
        <v>27</v>
      </c>
      <c r="AG140" s="3"/>
    </row>
    <row r="141" spans="2:33" s="1" customFormat="1">
      <c r="B141" s="31" t="s">
        <v>578</v>
      </c>
      <c r="C141" s="31"/>
      <c r="D141" s="91"/>
      <c r="E141" s="83"/>
      <c r="F141" s="87"/>
      <c r="G141" s="83"/>
      <c r="H141" s="83"/>
      <c r="I141" s="83"/>
      <c r="J141" s="87"/>
      <c r="K141" s="83"/>
      <c r="L141" s="425"/>
      <c r="M141" s="83"/>
      <c r="N141" s="87"/>
      <c r="O141" s="83"/>
      <c r="P141" s="83"/>
      <c r="Q141" s="83"/>
      <c r="R141" s="87"/>
      <c r="S141" s="83"/>
      <c r="T141" s="83"/>
      <c r="U141" s="83"/>
      <c r="V141" s="87"/>
      <c r="W141" s="83"/>
      <c r="X141" s="83"/>
      <c r="Y141" s="83"/>
      <c r="Z141" s="87"/>
      <c r="AA141" s="83"/>
      <c r="AB141" s="83"/>
      <c r="AC141" s="83"/>
      <c r="AD141" s="83"/>
      <c r="AE141" s="45"/>
      <c r="AF141" s="28">
        <f>SUM(D141:AD141)</f>
        <v>0</v>
      </c>
      <c r="AG141" s="3"/>
    </row>
    <row r="142" spans="2:33" s="1" customFormat="1" ht="14.25" thickBot="1">
      <c r="B142" s="74" t="s">
        <v>579</v>
      </c>
      <c r="C142" s="74"/>
      <c r="D142" s="92"/>
      <c r="E142" s="92"/>
      <c r="F142" s="93"/>
      <c r="G142" s="92"/>
      <c r="H142" s="92"/>
      <c r="I142" s="92"/>
      <c r="J142" s="93"/>
      <c r="K142" s="92"/>
      <c r="L142" s="426"/>
      <c r="M142" s="92"/>
      <c r="N142" s="93"/>
      <c r="O142" s="92"/>
      <c r="P142" s="92"/>
      <c r="Q142" s="92"/>
      <c r="R142" s="93"/>
      <c r="S142" s="92"/>
      <c r="T142" s="92"/>
      <c r="U142" s="92"/>
      <c r="V142" s="93"/>
      <c r="W142" s="94"/>
      <c r="X142" s="94"/>
      <c r="Y142" s="94"/>
      <c r="Z142" s="93"/>
      <c r="AA142" s="94"/>
      <c r="AB142" s="94"/>
      <c r="AC142" s="94"/>
      <c r="AD142" s="94"/>
      <c r="AE142" s="94"/>
      <c r="AF142" s="80">
        <f>SUM(D142:AD142)</f>
        <v>0</v>
      </c>
      <c r="AG142" s="3"/>
    </row>
    <row r="143" spans="2:33" s="1" customFormat="1" ht="14.25" thickTop="1">
      <c r="B143" s="71" t="s">
        <v>66</v>
      </c>
      <c r="C143" s="421"/>
      <c r="D143" s="3"/>
      <c r="E143" s="3"/>
      <c r="F143" s="88">
        <f>SUM(F140:F142)</f>
        <v>5</v>
      </c>
      <c r="G143" s="3"/>
      <c r="H143" s="3"/>
      <c r="I143" s="3"/>
      <c r="J143" s="88">
        <f>SUM(J140:J142)</f>
        <v>5</v>
      </c>
      <c r="K143" s="3"/>
      <c r="L143" s="423"/>
      <c r="M143" s="3"/>
      <c r="N143" s="88">
        <f>SUM(N140:N142)</f>
        <v>6</v>
      </c>
      <c r="O143" s="3"/>
      <c r="P143" s="3"/>
      <c r="Q143" s="3"/>
      <c r="R143" s="88">
        <f>SUM(R140:R142)</f>
        <v>1</v>
      </c>
      <c r="S143" s="3"/>
      <c r="T143" s="3"/>
      <c r="U143" s="3"/>
      <c r="V143" s="88">
        <f>SUM(V140:V142)</f>
        <v>6</v>
      </c>
      <c r="W143" s="3"/>
      <c r="X143" s="3"/>
      <c r="Y143" s="3"/>
      <c r="Z143" s="88">
        <f>SUM(Z140:Z142)</f>
        <v>0</v>
      </c>
      <c r="AA143" s="3"/>
      <c r="AB143" s="3"/>
      <c r="AC143" s="3"/>
      <c r="AD143" s="67">
        <f>SUM(AD140:AD142)</f>
        <v>4</v>
      </c>
      <c r="AE143" s="3"/>
      <c r="AF143" s="71">
        <f>SUM(F143:AD143)</f>
        <v>27</v>
      </c>
      <c r="AG143" s="3"/>
    </row>
    <row r="144" spans="2:33" s="1" customFormat="1">
      <c r="B144" s="1518" t="s">
        <v>18</v>
      </c>
      <c r="C144" s="1528" t="s">
        <v>708</v>
      </c>
      <c r="D144" s="1524">
        <v>45348</v>
      </c>
      <c r="E144" s="1524"/>
      <c r="F144" s="1524"/>
      <c r="G144" s="22"/>
      <c r="H144" s="1524">
        <f>D144+1</f>
        <v>45349</v>
      </c>
      <c r="I144" s="1524"/>
      <c r="J144" s="1524"/>
      <c r="K144" s="22"/>
      <c r="L144" s="1524">
        <f>H144+1</f>
        <v>45350</v>
      </c>
      <c r="M144" s="1524"/>
      <c r="N144" s="1524"/>
      <c r="O144" s="3"/>
      <c r="P144" s="1524">
        <f>L144+1</f>
        <v>45351</v>
      </c>
      <c r="Q144" s="1524"/>
      <c r="R144" s="1524"/>
      <c r="S144" s="3"/>
      <c r="T144" s="1524">
        <f>P144+1</f>
        <v>45352</v>
      </c>
      <c r="U144" s="1524"/>
      <c r="V144" s="1524"/>
      <c r="W144" s="22"/>
      <c r="X144" s="1524">
        <f>T144+1</f>
        <v>45353</v>
      </c>
      <c r="Y144" s="1524"/>
      <c r="Z144" s="1524"/>
      <c r="AA144" s="3"/>
      <c r="AB144" s="1524">
        <f>X144+1</f>
        <v>45354</v>
      </c>
      <c r="AC144" s="1524"/>
      <c r="AD144" s="1524"/>
      <c r="AE144" s="22"/>
      <c r="AF144" s="1517" t="s">
        <v>19</v>
      </c>
      <c r="AG144" s="3"/>
    </row>
    <row r="145" spans="2:33" s="1" customFormat="1">
      <c r="B145" s="1518"/>
      <c r="C145" s="1528"/>
      <c r="D145" s="21" t="s">
        <v>23</v>
      </c>
      <c r="E145" s="21" t="s">
        <v>24</v>
      </c>
      <c r="F145" s="62" t="s">
        <v>25</v>
      </c>
      <c r="G145" s="23"/>
      <c r="H145" s="21" t="s">
        <v>23</v>
      </c>
      <c r="I145" s="21" t="s">
        <v>24</v>
      </c>
      <c r="J145" s="18" t="s">
        <v>25</v>
      </c>
      <c r="K145" s="23"/>
      <c r="L145" s="21" t="s">
        <v>23</v>
      </c>
      <c r="M145" s="21" t="s">
        <v>24</v>
      </c>
      <c r="N145" s="18" t="s">
        <v>25</v>
      </c>
      <c r="O145" s="23"/>
      <c r="P145" s="21" t="s">
        <v>23</v>
      </c>
      <c r="Q145" s="21" t="s">
        <v>24</v>
      </c>
      <c r="R145" s="18" t="s">
        <v>25</v>
      </c>
      <c r="S145" s="23"/>
      <c r="T145" s="21" t="s">
        <v>23</v>
      </c>
      <c r="U145" s="21" t="s">
        <v>24</v>
      </c>
      <c r="V145" s="18" t="s">
        <v>25</v>
      </c>
      <c r="W145" s="23"/>
      <c r="X145" s="21" t="s">
        <v>23</v>
      </c>
      <c r="Y145" s="21" t="s">
        <v>24</v>
      </c>
      <c r="Z145" s="18" t="s">
        <v>25</v>
      </c>
      <c r="AA145" s="23"/>
      <c r="AB145" s="21" t="s">
        <v>23</v>
      </c>
      <c r="AC145" s="21" t="s">
        <v>24</v>
      </c>
      <c r="AD145" s="18" t="s">
        <v>25</v>
      </c>
      <c r="AE145" s="23"/>
      <c r="AF145" s="1517"/>
      <c r="AG145" s="3"/>
    </row>
    <row r="146" spans="2:33" s="1" customFormat="1" ht="27">
      <c r="B146" s="13" t="s">
        <v>54</v>
      </c>
      <c r="C146" s="13" t="s">
        <v>735</v>
      </c>
      <c r="D146" s="51">
        <v>0.41666666666666669</v>
      </c>
      <c r="E146" s="51">
        <v>0.75</v>
      </c>
      <c r="F146" s="85">
        <f>(E146-D146)*24</f>
        <v>8</v>
      </c>
      <c r="G146" s="24"/>
      <c r="H146" s="51">
        <v>0.40625</v>
      </c>
      <c r="I146" s="51">
        <v>0.75</v>
      </c>
      <c r="J146" s="85">
        <f>(I146-H146)*24</f>
        <v>8.25</v>
      </c>
      <c r="K146" s="24"/>
      <c r="L146" s="427"/>
      <c r="M146" s="48"/>
      <c r="N146" s="85">
        <f>(M146-L146)*24</f>
        <v>0</v>
      </c>
      <c r="O146" s="24"/>
      <c r="P146" s="48"/>
      <c r="Q146" s="48"/>
      <c r="R146" s="85">
        <f>(Q146-P146)*24</f>
        <v>0</v>
      </c>
      <c r="S146" s="24"/>
      <c r="T146" s="48"/>
      <c r="U146" s="48"/>
      <c r="V146" s="85">
        <f>(U146-T146)*24</f>
        <v>0</v>
      </c>
      <c r="W146" s="24"/>
      <c r="X146" s="48"/>
      <c r="Y146" s="48"/>
      <c r="Z146" s="85">
        <f>(Y146-X146)*24</f>
        <v>0</v>
      </c>
      <c r="AA146" s="24"/>
      <c r="AB146" s="48"/>
      <c r="AC146" s="48"/>
      <c r="AD146" s="49">
        <f>(AC146-AB146)*24</f>
        <v>0</v>
      </c>
      <c r="AE146" s="24"/>
      <c r="AF146" s="29">
        <f>J146+F146+N146+R146+V146+Z146+AD146</f>
        <v>16.25</v>
      </c>
      <c r="AG146" s="3"/>
    </row>
    <row r="147" spans="2:33" s="1" customFormat="1" ht="27">
      <c r="B147" s="13" t="s">
        <v>743</v>
      </c>
      <c r="C147" s="13" t="s">
        <v>735</v>
      </c>
      <c r="D147" s="51">
        <v>0.41666666666666669</v>
      </c>
      <c r="E147" s="51">
        <v>0.75</v>
      </c>
      <c r="F147" s="85">
        <f t="shared" ref="F147:F153" si="89">(E147-D147)*24</f>
        <v>8</v>
      </c>
      <c r="G147" s="24"/>
      <c r="H147" s="51">
        <v>0.39583333333333331</v>
      </c>
      <c r="I147" s="51">
        <v>0.75</v>
      </c>
      <c r="J147" s="85">
        <f>(I147-H147)*24</f>
        <v>8.5</v>
      </c>
      <c r="K147" s="24"/>
      <c r="L147" s="427"/>
      <c r="M147" s="48"/>
      <c r="N147" s="85">
        <f t="shared" ref="N147:N153" si="90">(M147-L147)*24</f>
        <v>0</v>
      </c>
      <c r="O147" s="24"/>
      <c r="P147" s="48"/>
      <c r="Q147" s="48"/>
      <c r="R147" s="85">
        <f t="shared" ref="R147:R153" si="91">(Q147-P147)*24</f>
        <v>0</v>
      </c>
      <c r="S147" s="24"/>
      <c r="T147" s="48"/>
      <c r="U147" s="48"/>
      <c r="V147" s="85">
        <f t="shared" ref="V147:V153" si="92">(U147-T147)*24</f>
        <v>0</v>
      </c>
      <c r="W147" s="24"/>
      <c r="X147" s="48"/>
      <c r="Y147" s="48"/>
      <c r="Z147" s="85">
        <f t="shared" ref="Z147:Z153" si="93">(Y147-X147)*24</f>
        <v>0</v>
      </c>
      <c r="AA147" s="24"/>
      <c r="AB147" s="48"/>
      <c r="AC147" s="48"/>
      <c r="AD147" s="85">
        <f t="shared" ref="AD147:AD153" si="94">(AC147-AB147)*24</f>
        <v>0</v>
      </c>
      <c r="AE147" s="85">
        <f>(AD147-AC147)*24</f>
        <v>0</v>
      </c>
      <c r="AF147" s="29">
        <f t="shared" ref="AF147:AF153" si="95">J147+F147+N147+R147+V147+Z147+AD147</f>
        <v>16.5</v>
      </c>
      <c r="AG147" s="3"/>
    </row>
    <row r="148" spans="2:33" s="1" customFormat="1" ht="27">
      <c r="B148" s="180" t="s">
        <v>714</v>
      </c>
      <c r="C148" s="442" t="s">
        <v>749</v>
      </c>
      <c r="D148" s="51">
        <v>0.33333333333333331</v>
      </c>
      <c r="E148" s="51">
        <v>0.58333333333333337</v>
      </c>
      <c r="F148" s="85">
        <f>(E148-D148)*24</f>
        <v>6.0000000000000018</v>
      </c>
      <c r="G148" s="24"/>
      <c r="H148" s="51">
        <v>0.33333333333333331</v>
      </c>
      <c r="I148" s="51">
        <v>0.60416666666666663</v>
      </c>
      <c r="J148" s="85">
        <f>(I148-H148)*24</f>
        <v>6.5</v>
      </c>
      <c r="K148" s="24"/>
      <c r="L148" s="424">
        <v>0.33333333333333331</v>
      </c>
      <c r="M148" s="51">
        <v>0.58333333333333337</v>
      </c>
      <c r="N148" s="85">
        <f>(M148-L148)*24</f>
        <v>6.0000000000000018</v>
      </c>
      <c r="O148" s="24"/>
      <c r="P148" s="48"/>
      <c r="Q148" s="48"/>
      <c r="R148" s="85">
        <f>(Q148-P148)*24</f>
        <v>0</v>
      </c>
      <c r="S148" s="24"/>
      <c r="T148" s="48"/>
      <c r="U148" s="48"/>
      <c r="V148" s="85">
        <f>(U148-T148)*24</f>
        <v>0</v>
      </c>
      <c r="W148" s="24"/>
      <c r="X148" s="48"/>
      <c r="Y148" s="48"/>
      <c r="Z148" s="85">
        <f>(Y148-X148)*24</f>
        <v>0</v>
      </c>
      <c r="AA148" s="24"/>
      <c r="AB148" s="48"/>
      <c r="AC148" s="48"/>
      <c r="AD148" s="85">
        <f>(AC148-AB148)*24</f>
        <v>0</v>
      </c>
      <c r="AE148" s="85">
        <f>(AD148-AC148)*24</f>
        <v>0</v>
      </c>
      <c r="AF148" s="29">
        <f>J148+F148+N148+R148+V148+Z148+AD148</f>
        <v>18.500000000000004</v>
      </c>
      <c r="AG148" s="3"/>
    </row>
    <row r="149" spans="2:33" s="1" customFormat="1" ht="14.25">
      <c r="B149" s="313" t="s">
        <v>572</v>
      </c>
      <c r="C149" s="13" t="s">
        <v>750</v>
      </c>
      <c r="D149" s="51"/>
      <c r="E149" s="51"/>
      <c r="F149" s="85">
        <f>(E149-D149)*24</f>
        <v>0</v>
      </c>
      <c r="G149" s="24"/>
      <c r="H149" s="51"/>
      <c r="I149" s="48"/>
      <c r="J149" s="85">
        <f>(I149-H149)*24</f>
        <v>0</v>
      </c>
      <c r="K149" s="24"/>
      <c r="L149" s="427"/>
      <c r="M149" s="48"/>
      <c r="N149" s="85">
        <f>(M149-L149)*24</f>
        <v>0</v>
      </c>
      <c r="O149" s="24"/>
      <c r="P149" s="51">
        <v>0.33333333333333331</v>
      </c>
      <c r="Q149" s="51">
        <v>0.72916666666666663</v>
      </c>
      <c r="R149" s="85">
        <f>(Q149-P149)*24</f>
        <v>9.5</v>
      </c>
      <c r="S149" s="24"/>
      <c r="T149" s="48"/>
      <c r="U149" s="48"/>
      <c r="V149" s="85">
        <f>(U149-T149)*24</f>
        <v>0</v>
      </c>
      <c r="W149" s="24"/>
      <c r="X149" s="48"/>
      <c r="Y149" s="48"/>
      <c r="Z149" s="85">
        <f>(Y149-X149)*24</f>
        <v>0</v>
      </c>
      <c r="AA149" s="24"/>
      <c r="AB149" s="48"/>
      <c r="AC149" s="48"/>
      <c r="AD149" s="85">
        <f>(AC149-AB149)*24</f>
        <v>0</v>
      </c>
      <c r="AE149" s="24"/>
      <c r="AF149" s="29">
        <f>J149+F149+N149+R149+V149+Z149+AD149</f>
        <v>9.5</v>
      </c>
      <c r="AG149" s="3"/>
    </row>
    <row r="150" spans="2:33" s="1" customFormat="1" ht="40.5">
      <c r="B150" s="13" t="s">
        <v>637</v>
      </c>
      <c r="C150" s="13" t="s">
        <v>751</v>
      </c>
      <c r="D150" s="48"/>
      <c r="E150" s="48"/>
      <c r="F150" s="85">
        <f t="shared" si="89"/>
        <v>0</v>
      </c>
      <c r="G150" s="24"/>
      <c r="H150" s="48"/>
      <c r="I150" s="48"/>
      <c r="J150" s="85">
        <f t="shared" ref="J150:J153" si="96">(I150-H150)*24</f>
        <v>0</v>
      </c>
      <c r="K150" s="24"/>
      <c r="L150" s="427"/>
      <c r="M150" s="48"/>
      <c r="N150" s="85">
        <f t="shared" si="90"/>
        <v>0</v>
      </c>
      <c r="O150" s="24"/>
      <c r="P150" s="48"/>
      <c r="Q150" s="48"/>
      <c r="R150" s="85">
        <f t="shared" si="91"/>
        <v>0</v>
      </c>
      <c r="S150" s="24"/>
      <c r="T150" s="51">
        <v>0.54166666666666663</v>
      </c>
      <c r="U150" s="51">
        <v>0.72916666666666663</v>
      </c>
      <c r="V150" s="85">
        <f t="shared" si="92"/>
        <v>4.5</v>
      </c>
      <c r="W150" s="24"/>
      <c r="X150" s="48"/>
      <c r="Y150" s="48"/>
      <c r="Z150" s="85">
        <f t="shared" si="93"/>
        <v>0</v>
      </c>
      <c r="AA150" s="24"/>
      <c r="AB150" s="48"/>
      <c r="AC150" s="48"/>
      <c r="AD150" s="85">
        <f t="shared" si="94"/>
        <v>0</v>
      </c>
      <c r="AE150" s="24"/>
      <c r="AF150" s="29">
        <f t="shared" si="95"/>
        <v>4.5</v>
      </c>
      <c r="AG150" s="3"/>
    </row>
    <row r="151" spans="2:33" s="1" customFormat="1" ht="40.5">
      <c r="B151" s="13" t="s">
        <v>714</v>
      </c>
      <c r="C151" s="13" t="s">
        <v>751</v>
      </c>
      <c r="D151" s="48"/>
      <c r="E151" s="48"/>
      <c r="F151" s="85">
        <f t="shared" si="89"/>
        <v>0</v>
      </c>
      <c r="G151" s="24"/>
      <c r="H151" s="48"/>
      <c r="I151" s="48"/>
      <c r="J151" s="85">
        <f t="shared" si="96"/>
        <v>0</v>
      </c>
      <c r="K151" s="24"/>
      <c r="L151" s="427"/>
      <c r="M151" s="48"/>
      <c r="N151" s="85">
        <f t="shared" si="90"/>
        <v>0</v>
      </c>
      <c r="O151" s="24"/>
      <c r="P151" s="48"/>
      <c r="Q151" s="48"/>
      <c r="R151" s="85">
        <f t="shared" si="91"/>
        <v>0</v>
      </c>
      <c r="S151" s="24"/>
      <c r="T151" s="51">
        <v>0.54166666666666663</v>
      </c>
      <c r="U151" s="51">
        <v>0.72916666666666663</v>
      </c>
      <c r="V151" s="85">
        <f t="shared" si="92"/>
        <v>4.5</v>
      </c>
      <c r="W151" s="24"/>
      <c r="X151" s="48"/>
      <c r="Y151" s="48"/>
      <c r="Z151" s="85">
        <f t="shared" si="93"/>
        <v>0</v>
      </c>
      <c r="AA151" s="24"/>
      <c r="AB151" s="48"/>
      <c r="AC151" s="48"/>
      <c r="AD151" s="85">
        <f t="shared" si="94"/>
        <v>0</v>
      </c>
      <c r="AE151" s="24"/>
      <c r="AF151" s="29">
        <f t="shared" si="95"/>
        <v>4.5</v>
      </c>
      <c r="AG151" s="3"/>
    </row>
    <row r="152" spans="2:33" s="1" customFormat="1" ht="27">
      <c r="B152" s="313" t="s">
        <v>572</v>
      </c>
      <c r="C152" s="13" t="s">
        <v>747</v>
      </c>
      <c r="D152" s="51">
        <v>0.375</v>
      </c>
      <c r="E152" s="51">
        <v>0.41666666666666669</v>
      </c>
      <c r="F152" s="85">
        <f t="shared" si="89"/>
        <v>1.0000000000000004</v>
      </c>
      <c r="G152" s="24"/>
      <c r="H152" s="48"/>
      <c r="I152" s="48"/>
      <c r="J152" s="85">
        <f t="shared" si="96"/>
        <v>0</v>
      </c>
      <c r="K152" s="24"/>
      <c r="L152" s="427"/>
      <c r="M152" s="48"/>
      <c r="N152" s="85">
        <f t="shared" si="90"/>
        <v>0</v>
      </c>
      <c r="O152" s="24"/>
      <c r="P152" s="48"/>
      <c r="Q152" s="48"/>
      <c r="R152" s="85">
        <f t="shared" si="91"/>
        <v>0</v>
      </c>
      <c r="S152" s="24"/>
      <c r="T152" s="51">
        <v>0.75</v>
      </c>
      <c r="U152" s="51">
        <v>0.79166666666666663</v>
      </c>
      <c r="V152" s="85">
        <f t="shared" si="92"/>
        <v>0.99999999999999911</v>
      </c>
      <c r="W152" s="24"/>
      <c r="X152" s="48"/>
      <c r="Y152" s="48"/>
      <c r="Z152" s="85">
        <f t="shared" si="93"/>
        <v>0</v>
      </c>
      <c r="AA152" s="24"/>
      <c r="AB152" s="51">
        <v>0.375</v>
      </c>
      <c r="AC152" s="51">
        <v>0.48958333333333331</v>
      </c>
      <c r="AD152" s="85">
        <f t="shared" si="94"/>
        <v>2.7499999999999996</v>
      </c>
      <c r="AE152" s="24"/>
      <c r="AF152" s="29">
        <f t="shared" si="95"/>
        <v>4.7499999999999991</v>
      </c>
      <c r="AG152" s="3"/>
    </row>
    <row r="153" spans="2:33" s="1" customFormat="1" ht="27">
      <c r="B153" s="13" t="s">
        <v>743</v>
      </c>
      <c r="C153" s="13" t="s">
        <v>747</v>
      </c>
      <c r="D153" s="48"/>
      <c r="E153" s="48"/>
      <c r="F153" s="85">
        <f t="shared" si="89"/>
        <v>0</v>
      </c>
      <c r="G153" s="24"/>
      <c r="H153" s="48"/>
      <c r="I153" s="48"/>
      <c r="J153" s="85">
        <f t="shared" si="96"/>
        <v>0</v>
      </c>
      <c r="K153" s="24"/>
      <c r="L153" s="427"/>
      <c r="M153" s="48"/>
      <c r="N153" s="85">
        <f t="shared" si="90"/>
        <v>0</v>
      </c>
      <c r="O153" s="24"/>
      <c r="P153" s="48"/>
      <c r="Q153" s="48"/>
      <c r="R153" s="85">
        <f t="shared" si="91"/>
        <v>0</v>
      </c>
      <c r="S153" s="24"/>
      <c r="T153" s="51">
        <v>0.75</v>
      </c>
      <c r="U153" s="51">
        <v>0.79166666666666663</v>
      </c>
      <c r="V153" s="85">
        <f t="shared" si="92"/>
        <v>0.99999999999999911</v>
      </c>
      <c r="W153" s="24"/>
      <c r="X153" s="48"/>
      <c r="Y153" s="48"/>
      <c r="Z153" s="85">
        <f t="shared" si="93"/>
        <v>0</v>
      </c>
      <c r="AA153" s="24"/>
      <c r="AB153" s="51">
        <v>0.375</v>
      </c>
      <c r="AC153" s="51">
        <v>0.48958333333333331</v>
      </c>
      <c r="AD153" s="85">
        <f t="shared" si="94"/>
        <v>2.7499999999999996</v>
      </c>
      <c r="AE153" s="24"/>
      <c r="AF153" s="29">
        <f t="shared" si="95"/>
        <v>3.7499999999999987</v>
      </c>
      <c r="AG153" s="3"/>
    </row>
    <row r="154" spans="2:33" s="1" customFormat="1">
      <c r="B154" s="63" t="s">
        <v>61</v>
      </c>
      <c r="C154" s="63"/>
      <c r="D154" s="63"/>
      <c r="E154" s="63"/>
      <c r="F154" s="86">
        <f>SUM(F145:F153)</f>
        <v>23</v>
      </c>
      <c r="G154" s="63"/>
      <c r="H154" s="63"/>
      <c r="I154" s="63"/>
      <c r="J154" s="86">
        <f>SUM(J145:J153)</f>
        <v>23.25</v>
      </c>
      <c r="K154" s="63"/>
      <c r="L154" s="99"/>
      <c r="M154" s="63"/>
      <c r="N154" s="86">
        <f>SUM(N145:N153)</f>
        <v>6.0000000000000018</v>
      </c>
      <c r="O154" s="63"/>
      <c r="P154" s="63"/>
      <c r="Q154" s="63"/>
      <c r="R154" s="86">
        <f>SUM(R146:R153)</f>
        <v>9.5</v>
      </c>
      <c r="S154" s="63"/>
      <c r="T154" s="63"/>
      <c r="U154" s="63"/>
      <c r="V154" s="86">
        <f>SUM(V145:V153)</f>
        <v>11</v>
      </c>
      <c r="W154" s="63"/>
      <c r="X154" s="63"/>
      <c r="Y154" s="63"/>
      <c r="Z154" s="86">
        <f>SUM(Z145:Z153)</f>
        <v>0</v>
      </c>
      <c r="AA154" s="63"/>
      <c r="AB154" s="63"/>
      <c r="AC154" s="63"/>
      <c r="AD154" s="82">
        <f>SUM(AD145:AD153)</f>
        <v>5.4999999999999991</v>
      </c>
      <c r="AE154" s="46"/>
      <c r="AF154" s="30">
        <f>SUM(AF146:AF153)</f>
        <v>78.25</v>
      </c>
      <c r="AG154" s="3"/>
    </row>
    <row r="155" spans="2:33" s="1" customFormat="1">
      <c r="B155" s="31" t="s">
        <v>577</v>
      </c>
      <c r="C155" s="31"/>
      <c r="D155" s="91"/>
      <c r="E155" s="83"/>
      <c r="F155" s="87">
        <v>8</v>
      </c>
      <c r="G155" s="83"/>
      <c r="H155" s="83"/>
      <c r="I155" s="83"/>
      <c r="J155" s="87">
        <v>8</v>
      </c>
      <c r="K155" s="83"/>
      <c r="L155" s="425"/>
      <c r="M155" s="83"/>
      <c r="N155" s="87">
        <v>4</v>
      </c>
      <c r="O155" s="83"/>
      <c r="P155" s="83"/>
      <c r="Q155" s="83"/>
      <c r="R155" s="87">
        <v>2</v>
      </c>
      <c r="S155" s="83"/>
      <c r="T155" s="83"/>
      <c r="U155" s="83"/>
      <c r="V155" s="87">
        <v>8</v>
      </c>
      <c r="W155" s="83"/>
      <c r="X155" s="83"/>
      <c r="Y155" s="83"/>
      <c r="Z155" s="87"/>
      <c r="AA155" s="83"/>
      <c r="AB155" s="83"/>
      <c r="AC155" s="83"/>
      <c r="AD155" s="83"/>
      <c r="AE155" s="45"/>
      <c r="AF155" s="28">
        <f>SUM(D155:AD155)</f>
        <v>30</v>
      </c>
      <c r="AG155" s="3"/>
    </row>
    <row r="156" spans="2:33" s="1" customFormat="1">
      <c r="B156" s="31" t="s">
        <v>578</v>
      </c>
      <c r="C156" s="31"/>
      <c r="D156" s="91"/>
      <c r="E156" s="83"/>
      <c r="F156" s="87"/>
      <c r="G156" s="83"/>
      <c r="H156" s="83"/>
      <c r="I156" s="83"/>
      <c r="J156" s="87"/>
      <c r="K156" s="83"/>
      <c r="L156" s="425"/>
      <c r="M156" s="83"/>
      <c r="N156" s="87"/>
      <c r="O156" s="83"/>
      <c r="P156" s="83"/>
      <c r="Q156" s="83"/>
      <c r="R156" s="87"/>
      <c r="S156" s="83"/>
      <c r="T156" s="83"/>
      <c r="U156" s="83"/>
      <c r="V156" s="87"/>
      <c r="W156" s="83"/>
      <c r="X156" s="83"/>
      <c r="Y156" s="83"/>
      <c r="Z156" s="87"/>
      <c r="AA156" s="83"/>
      <c r="AB156" s="83"/>
      <c r="AC156" s="83"/>
      <c r="AD156" s="83"/>
      <c r="AE156" s="45"/>
      <c r="AF156" s="28">
        <f>SUM(D156:AD156)</f>
        <v>0</v>
      </c>
      <c r="AG156" s="3"/>
    </row>
    <row r="157" spans="2:33" s="1" customFormat="1" ht="14.25" thickBot="1">
      <c r="B157" s="74" t="s">
        <v>579</v>
      </c>
      <c r="C157" s="74"/>
      <c r="D157" s="92"/>
      <c r="E157" s="92"/>
      <c r="F157" s="93"/>
      <c r="G157" s="92"/>
      <c r="H157" s="92"/>
      <c r="I157" s="92"/>
      <c r="J157" s="93"/>
      <c r="K157" s="92"/>
      <c r="L157" s="426"/>
      <c r="M157" s="92"/>
      <c r="N157" s="93"/>
      <c r="O157" s="92"/>
      <c r="P157" s="92"/>
      <c r="Q157" s="92"/>
      <c r="R157" s="93"/>
      <c r="S157" s="92"/>
      <c r="T157" s="92"/>
      <c r="U157" s="92"/>
      <c r="V157" s="93"/>
      <c r="W157" s="94"/>
      <c r="X157" s="94"/>
      <c r="Y157" s="94"/>
      <c r="Z157" s="93"/>
      <c r="AA157" s="94"/>
      <c r="AB157" s="94"/>
      <c r="AC157" s="94"/>
      <c r="AD157" s="94"/>
      <c r="AE157" s="94"/>
      <c r="AF157" s="80">
        <f>SUM(D157:AD157)</f>
        <v>0</v>
      </c>
      <c r="AG157" s="3"/>
    </row>
    <row r="158" spans="2:33" s="1" customFormat="1" ht="14.25" thickTop="1">
      <c r="B158" s="71" t="s">
        <v>66</v>
      </c>
      <c r="C158" s="421"/>
      <c r="D158" s="3"/>
      <c r="E158" s="3"/>
      <c r="F158" s="88">
        <f>SUM(F155:F157)</f>
        <v>8</v>
      </c>
      <c r="G158" s="3"/>
      <c r="H158" s="3"/>
      <c r="I158" s="3"/>
      <c r="J158" s="88">
        <f>SUM(J155:J157)</f>
        <v>8</v>
      </c>
      <c r="K158" s="3"/>
      <c r="L158" s="423"/>
      <c r="M158" s="3"/>
      <c r="N158" s="88">
        <f>SUM(N155:N157)</f>
        <v>4</v>
      </c>
      <c r="O158" s="3"/>
      <c r="P158" s="3"/>
      <c r="Q158" s="3"/>
      <c r="R158" s="88">
        <f>SUM(R155:R157)</f>
        <v>2</v>
      </c>
      <c r="S158" s="3"/>
      <c r="T158" s="3"/>
      <c r="U158" s="3"/>
      <c r="V158" s="88">
        <f>SUM(V155:V157)</f>
        <v>8</v>
      </c>
      <c r="W158" s="3"/>
      <c r="X158" s="3"/>
      <c r="Y158" s="3"/>
      <c r="Z158" s="88">
        <f>SUM(Z155:Z157)</f>
        <v>0</v>
      </c>
      <c r="AA158" s="3"/>
      <c r="AB158" s="3"/>
      <c r="AC158" s="3"/>
      <c r="AD158" s="67">
        <f>SUM(AD155:AD157)</f>
        <v>0</v>
      </c>
      <c r="AE158" s="3"/>
      <c r="AF158" s="71">
        <f>SUM(F158:AD158)</f>
        <v>30</v>
      </c>
      <c r="AG158" s="3"/>
    </row>
    <row r="159" spans="2:33" s="1" customFormat="1">
      <c r="B159" s="1518" t="s">
        <v>18</v>
      </c>
      <c r="C159" s="1528" t="s">
        <v>708</v>
      </c>
      <c r="D159" s="1524">
        <v>45355</v>
      </c>
      <c r="E159" s="1524"/>
      <c r="F159" s="1524"/>
      <c r="G159" s="22"/>
      <c r="H159" s="1524">
        <f>D159+1</f>
        <v>45356</v>
      </c>
      <c r="I159" s="1524"/>
      <c r="J159" s="1524"/>
      <c r="K159" s="22"/>
      <c r="L159" s="1524">
        <f>H159+1</f>
        <v>45357</v>
      </c>
      <c r="M159" s="1524"/>
      <c r="N159" s="1524"/>
      <c r="O159" s="3"/>
      <c r="P159" s="1524">
        <f>L159+1</f>
        <v>45358</v>
      </c>
      <c r="Q159" s="1524"/>
      <c r="R159" s="1524"/>
      <c r="S159" s="3"/>
      <c r="T159" s="1524">
        <f>P159+1</f>
        <v>45359</v>
      </c>
      <c r="U159" s="1524"/>
      <c r="V159" s="1524"/>
      <c r="W159" s="22"/>
      <c r="X159" s="1524">
        <f>T159+1</f>
        <v>45360</v>
      </c>
      <c r="Y159" s="1524"/>
      <c r="Z159" s="1524"/>
      <c r="AA159" s="3"/>
      <c r="AB159" s="1524">
        <f>X159+1</f>
        <v>45361</v>
      </c>
      <c r="AC159" s="1524"/>
      <c r="AD159" s="1524"/>
      <c r="AE159" s="22"/>
      <c r="AF159" s="1517" t="s">
        <v>19</v>
      </c>
      <c r="AG159" s="3"/>
    </row>
    <row r="160" spans="2:33" s="1" customFormat="1">
      <c r="B160" s="1518"/>
      <c r="C160" s="1528"/>
      <c r="D160" s="21" t="s">
        <v>23</v>
      </c>
      <c r="E160" s="21" t="s">
        <v>24</v>
      </c>
      <c r="F160" s="62" t="s">
        <v>25</v>
      </c>
      <c r="G160" s="23"/>
      <c r="H160" s="21" t="s">
        <v>23</v>
      </c>
      <c r="I160" s="21" t="s">
        <v>24</v>
      </c>
      <c r="J160" s="18" t="s">
        <v>25</v>
      </c>
      <c r="K160" s="23"/>
      <c r="L160" s="21" t="s">
        <v>23</v>
      </c>
      <c r="M160" s="21" t="s">
        <v>24</v>
      </c>
      <c r="N160" s="18" t="s">
        <v>25</v>
      </c>
      <c r="O160" s="23"/>
      <c r="P160" s="21" t="s">
        <v>23</v>
      </c>
      <c r="Q160" s="21" t="s">
        <v>24</v>
      </c>
      <c r="R160" s="18" t="s">
        <v>25</v>
      </c>
      <c r="S160" s="23"/>
      <c r="T160" s="21" t="s">
        <v>23</v>
      </c>
      <c r="U160" s="21" t="s">
        <v>24</v>
      </c>
      <c r="V160" s="18" t="s">
        <v>25</v>
      </c>
      <c r="W160" s="23"/>
      <c r="X160" s="21" t="s">
        <v>23</v>
      </c>
      <c r="Y160" s="21" t="s">
        <v>24</v>
      </c>
      <c r="Z160" s="18" t="s">
        <v>25</v>
      </c>
      <c r="AA160" s="23"/>
      <c r="AB160" s="21" t="s">
        <v>23</v>
      </c>
      <c r="AC160" s="21" t="s">
        <v>24</v>
      </c>
      <c r="AD160" s="18" t="s">
        <v>25</v>
      </c>
      <c r="AE160" s="23"/>
      <c r="AF160" s="1517"/>
      <c r="AG160" s="3"/>
    </row>
    <row r="161" spans="2:33" s="1" customFormat="1" ht="27">
      <c r="B161" s="313" t="s">
        <v>572</v>
      </c>
      <c r="C161" s="13" t="s">
        <v>752</v>
      </c>
      <c r="D161" s="51">
        <v>0.3125</v>
      </c>
      <c r="E161" s="51">
        <v>0.39583333333333331</v>
      </c>
      <c r="F161" s="85">
        <f>(E161-D161)*24</f>
        <v>1.9999999999999996</v>
      </c>
      <c r="G161" s="24"/>
      <c r="H161" s="48"/>
      <c r="I161" s="48"/>
      <c r="J161" s="49">
        <f>(I161-H161)*24</f>
        <v>0</v>
      </c>
      <c r="K161" s="24"/>
      <c r="L161" s="427"/>
      <c r="M161" s="48"/>
      <c r="N161" s="49">
        <f>(M161-L161)*24</f>
        <v>0</v>
      </c>
      <c r="O161" s="24"/>
      <c r="P161" s="48"/>
      <c r="Q161" s="48"/>
      <c r="R161" s="49">
        <f>(Q161-P161)*24</f>
        <v>0</v>
      </c>
      <c r="S161" s="24"/>
      <c r="T161" s="48"/>
      <c r="U161" s="48"/>
      <c r="V161" s="49">
        <f>(U161-T161)*24</f>
        <v>0</v>
      </c>
      <c r="W161" s="24"/>
      <c r="X161" s="48"/>
      <c r="Y161" s="48"/>
      <c r="Z161" s="49">
        <f>(Y161-X161)*24</f>
        <v>0</v>
      </c>
      <c r="AA161" s="24"/>
      <c r="AB161" s="48"/>
      <c r="AC161" s="48"/>
      <c r="AD161" s="49">
        <f>(AC161-AB161)*24</f>
        <v>0</v>
      </c>
      <c r="AE161" s="24"/>
      <c r="AF161" s="29">
        <f>J161+F161+N161+R161+V161+Z161+AD161</f>
        <v>1.9999999999999996</v>
      </c>
      <c r="AG161" s="3"/>
    </row>
    <row r="162" spans="2:33" s="1" customFormat="1" ht="40.5">
      <c r="B162" s="13" t="s">
        <v>637</v>
      </c>
      <c r="C162" s="13" t="s">
        <v>751</v>
      </c>
      <c r="D162" s="51">
        <v>0.35416666666666669</v>
      </c>
      <c r="E162" s="51">
        <v>0.53125</v>
      </c>
      <c r="F162" s="85">
        <f t="shared" ref="F162:F169" si="97">(E162-D162)*24</f>
        <v>4.25</v>
      </c>
      <c r="G162" s="24"/>
      <c r="H162" s="48"/>
      <c r="I162" s="48"/>
      <c r="J162" s="49">
        <f t="shared" ref="J162:J169" si="98">(I162-H162)*24</f>
        <v>0</v>
      </c>
      <c r="K162" s="24"/>
      <c r="L162" s="427"/>
      <c r="M162" s="48"/>
      <c r="N162" s="49">
        <f t="shared" ref="N162:N169" si="99">(M162-L162)*24</f>
        <v>0</v>
      </c>
      <c r="O162" s="24"/>
      <c r="P162" s="48"/>
      <c r="Q162" s="48"/>
      <c r="R162" s="49">
        <f t="shared" ref="R162:R169" si="100">(Q162-P162)*24</f>
        <v>0</v>
      </c>
      <c r="S162" s="24"/>
      <c r="T162" s="48"/>
      <c r="U162" s="48"/>
      <c r="V162" s="49">
        <f t="shared" ref="V162:V169" si="101">(U162-T162)*24</f>
        <v>0</v>
      </c>
      <c r="W162" s="24"/>
      <c r="X162" s="48"/>
      <c r="Y162" s="48"/>
      <c r="Z162" s="49">
        <f t="shared" ref="Z162:Z169" si="102">(Y162-X162)*24</f>
        <v>0</v>
      </c>
      <c r="AA162" s="24"/>
      <c r="AB162" s="48"/>
      <c r="AC162" s="48"/>
      <c r="AD162" s="49">
        <f t="shared" ref="AD162:AD169" si="103">(AC162-AB162)*24</f>
        <v>0</v>
      </c>
      <c r="AE162" s="24"/>
      <c r="AF162" s="29">
        <f t="shared" ref="AF162:AF169" si="104">J162+F162+N162+R162+V162+Z162+AD162</f>
        <v>4.25</v>
      </c>
      <c r="AG162" s="3"/>
    </row>
    <row r="163" spans="2:33" s="1" customFormat="1" ht="19.5" customHeight="1">
      <c r="B163" s="13" t="s">
        <v>714</v>
      </c>
      <c r="C163" s="13" t="s">
        <v>751</v>
      </c>
      <c r="D163" s="51">
        <v>0.35416666666666669</v>
      </c>
      <c r="E163" s="51">
        <v>0.53125</v>
      </c>
      <c r="F163" s="85">
        <f>(E163-D163)*24</f>
        <v>4.25</v>
      </c>
      <c r="G163" s="24"/>
      <c r="H163" s="48"/>
      <c r="I163" s="48"/>
      <c r="J163" s="49">
        <f>(I163-H163)*24</f>
        <v>0</v>
      </c>
      <c r="K163" s="24"/>
      <c r="L163" s="427"/>
      <c r="M163" s="48"/>
      <c r="N163" s="49">
        <f>(M163-L163)*24</f>
        <v>0</v>
      </c>
      <c r="O163" s="24"/>
      <c r="P163" s="48"/>
      <c r="Q163" s="48"/>
      <c r="R163" s="49">
        <f>(Q163-P163)*24</f>
        <v>0</v>
      </c>
      <c r="S163" s="24"/>
      <c r="T163" s="48"/>
      <c r="U163" s="48"/>
      <c r="V163" s="49">
        <f>(U163-T163)*24</f>
        <v>0</v>
      </c>
      <c r="W163" s="24"/>
      <c r="X163" s="48"/>
      <c r="Y163" s="48"/>
      <c r="Z163" s="49">
        <f>(Y163-X163)*24</f>
        <v>0</v>
      </c>
      <c r="AA163" s="24"/>
      <c r="AB163" s="48"/>
      <c r="AC163" s="48"/>
      <c r="AD163" s="49">
        <f>(AC163-AB163)*24</f>
        <v>0</v>
      </c>
      <c r="AE163" s="24"/>
      <c r="AF163" s="29">
        <f>J163+F163+N163+R163+V163+Z163+AD163</f>
        <v>4.25</v>
      </c>
      <c r="AG163" s="3"/>
    </row>
    <row r="164" spans="2:33" s="1" customFormat="1" ht="27">
      <c r="B164" s="13" t="s">
        <v>54</v>
      </c>
      <c r="C164" s="13" t="s">
        <v>735</v>
      </c>
      <c r="D164" s="51">
        <v>0.41666666666666669</v>
      </c>
      <c r="E164" s="51">
        <v>0.75</v>
      </c>
      <c r="F164" s="85">
        <f t="shared" si="97"/>
        <v>8</v>
      </c>
      <c r="G164" s="24"/>
      <c r="H164" s="48"/>
      <c r="I164" s="48"/>
      <c r="J164" s="49">
        <f t="shared" si="98"/>
        <v>0</v>
      </c>
      <c r="K164" s="24"/>
      <c r="L164" s="427"/>
      <c r="M164" s="48"/>
      <c r="N164" s="49">
        <f t="shared" si="99"/>
        <v>0</v>
      </c>
      <c r="O164" s="24"/>
      <c r="P164" s="48"/>
      <c r="Q164" s="48"/>
      <c r="R164" s="49">
        <f t="shared" si="100"/>
        <v>0</v>
      </c>
      <c r="S164" s="24"/>
      <c r="T164" s="48"/>
      <c r="U164" s="48"/>
      <c r="V164" s="49">
        <f t="shared" si="101"/>
        <v>0</v>
      </c>
      <c r="W164" s="24"/>
      <c r="X164" s="48"/>
      <c r="Y164" s="48"/>
      <c r="Z164" s="49">
        <f t="shared" si="102"/>
        <v>0</v>
      </c>
      <c r="AA164" s="24"/>
      <c r="AB164" s="48"/>
      <c r="AC164" s="48"/>
      <c r="AD164" s="49">
        <f t="shared" si="103"/>
        <v>0</v>
      </c>
      <c r="AE164" s="24"/>
      <c r="AF164" s="29">
        <f t="shared" si="104"/>
        <v>8</v>
      </c>
      <c r="AG164" s="3"/>
    </row>
    <row r="165" spans="2:33" s="1" customFormat="1" ht="27">
      <c r="B165" s="313" t="s">
        <v>576</v>
      </c>
      <c r="C165" s="13" t="s">
        <v>735</v>
      </c>
      <c r="D165" s="51">
        <v>0.41666666666666669</v>
      </c>
      <c r="E165" s="51">
        <v>0.75</v>
      </c>
      <c r="F165" s="85">
        <f t="shared" si="97"/>
        <v>8</v>
      </c>
      <c r="G165" s="24"/>
      <c r="H165" s="48"/>
      <c r="I165" s="48"/>
      <c r="J165" s="49">
        <f t="shared" si="98"/>
        <v>0</v>
      </c>
      <c r="K165" s="24"/>
      <c r="L165" s="427"/>
      <c r="M165" s="48"/>
      <c r="N165" s="49">
        <f t="shared" si="99"/>
        <v>0</v>
      </c>
      <c r="O165" s="24"/>
      <c r="P165" s="48"/>
      <c r="Q165" s="48"/>
      <c r="R165" s="49">
        <f t="shared" si="100"/>
        <v>0</v>
      </c>
      <c r="S165" s="24"/>
      <c r="T165" s="48"/>
      <c r="U165" s="48"/>
      <c r="V165" s="49">
        <f t="shared" si="101"/>
        <v>0</v>
      </c>
      <c r="W165" s="24"/>
      <c r="X165" s="48"/>
      <c r="Y165" s="48"/>
      <c r="Z165" s="49">
        <f t="shared" si="102"/>
        <v>0</v>
      </c>
      <c r="AA165" s="24"/>
      <c r="AB165" s="48"/>
      <c r="AC165" s="48"/>
      <c r="AD165" s="49">
        <f t="shared" si="103"/>
        <v>0</v>
      </c>
      <c r="AE165" s="24"/>
      <c r="AF165" s="29">
        <f t="shared" si="104"/>
        <v>8</v>
      </c>
      <c r="AG165" s="3"/>
    </row>
    <row r="166" spans="2:33" s="1" customFormat="1" ht="27">
      <c r="B166" s="13" t="s">
        <v>637</v>
      </c>
      <c r="C166" s="13" t="s">
        <v>735</v>
      </c>
      <c r="D166" s="51">
        <v>0.58333333333333337</v>
      </c>
      <c r="E166" s="51">
        <v>0.75</v>
      </c>
      <c r="F166" s="85">
        <f t="shared" si="97"/>
        <v>3.9999999999999991</v>
      </c>
      <c r="G166" s="24"/>
      <c r="H166" s="48"/>
      <c r="I166" s="48"/>
      <c r="J166" s="49">
        <f t="shared" si="98"/>
        <v>0</v>
      </c>
      <c r="K166" s="24"/>
      <c r="L166" s="427"/>
      <c r="M166" s="48"/>
      <c r="N166" s="49">
        <f t="shared" si="99"/>
        <v>0</v>
      </c>
      <c r="O166" s="24"/>
      <c r="P166" s="48"/>
      <c r="Q166" s="48"/>
      <c r="R166" s="49">
        <f t="shared" si="100"/>
        <v>0</v>
      </c>
      <c r="S166" s="24"/>
      <c r="T166" s="48"/>
      <c r="U166" s="48"/>
      <c r="V166" s="49">
        <f t="shared" si="101"/>
        <v>0</v>
      </c>
      <c r="W166" s="24"/>
      <c r="X166" s="48"/>
      <c r="Y166" s="48"/>
      <c r="Z166" s="49">
        <f t="shared" si="102"/>
        <v>0</v>
      </c>
      <c r="AA166" s="24"/>
      <c r="AB166" s="48"/>
      <c r="AC166" s="48"/>
      <c r="AD166" s="49">
        <f t="shared" si="103"/>
        <v>0</v>
      </c>
      <c r="AE166" s="24"/>
      <c r="AF166" s="29">
        <f t="shared" si="104"/>
        <v>3.9999999999999991</v>
      </c>
      <c r="AG166" s="3"/>
    </row>
    <row r="167" spans="2:33" s="1" customFormat="1" ht="14.25">
      <c r="B167" s="313" t="s">
        <v>572</v>
      </c>
      <c r="C167" s="13" t="s">
        <v>750</v>
      </c>
      <c r="D167" s="51">
        <v>0.41666666666666669</v>
      </c>
      <c r="E167" s="51">
        <v>0.79166666666666663</v>
      </c>
      <c r="F167" s="85">
        <f t="shared" si="97"/>
        <v>8.9999999999999982</v>
      </c>
      <c r="G167" s="24"/>
      <c r="H167" s="51"/>
      <c r="I167" s="51"/>
      <c r="J167" s="49">
        <f t="shared" si="98"/>
        <v>0</v>
      </c>
      <c r="K167" s="24"/>
      <c r="L167" s="424"/>
      <c r="M167" s="51"/>
      <c r="N167" s="49">
        <f t="shared" si="99"/>
        <v>0</v>
      </c>
      <c r="O167" s="24"/>
      <c r="P167" s="48"/>
      <c r="Q167" s="48"/>
      <c r="R167" s="49">
        <f t="shared" si="100"/>
        <v>0</v>
      </c>
      <c r="S167" s="24"/>
      <c r="T167" s="48"/>
      <c r="U167" s="48"/>
      <c r="V167" s="49">
        <f t="shared" si="101"/>
        <v>0</v>
      </c>
      <c r="W167" s="24"/>
      <c r="X167" s="48"/>
      <c r="Y167" s="48"/>
      <c r="Z167" s="49">
        <f t="shared" si="102"/>
        <v>0</v>
      </c>
      <c r="AA167" s="24"/>
      <c r="AB167" s="48"/>
      <c r="AC167" s="48"/>
      <c r="AD167" s="49">
        <f t="shared" si="103"/>
        <v>0</v>
      </c>
      <c r="AE167" s="24"/>
      <c r="AF167" s="29">
        <f t="shared" si="104"/>
        <v>8.9999999999999982</v>
      </c>
      <c r="AG167" s="3"/>
    </row>
    <row r="168" spans="2:33" s="1" customFormat="1" ht="14.25">
      <c r="B168" s="313" t="s">
        <v>572</v>
      </c>
      <c r="C168" s="13" t="s">
        <v>753</v>
      </c>
      <c r="D168" s="51"/>
      <c r="E168" s="51"/>
      <c r="F168" s="85">
        <f>(E168-D168)*24</f>
        <v>0</v>
      </c>
      <c r="G168" s="24"/>
      <c r="H168" s="48"/>
      <c r="I168" s="48"/>
      <c r="J168" s="49">
        <f>(I168-H168)*24</f>
        <v>0</v>
      </c>
      <c r="K168" s="24"/>
      <c r="L168" s="424">
        <v>0.375</v>
      </c>
      <c r="M168" s="51">
        <v>0.77083333333333337</v>
      </c>
      <c r="N168" s="49">
        <f>(M168-L168)*24</f>
        <v>9.5</v>
      </c>
      <c r="O168" s="24"/>
      <c r="P168" s="51">
        <v>0.375</v>
      </c>
      <c r="Q168" s="51">
        <v>0.75</v>
      </c>
      <c r="R168" s="49">
        <f>(Q168-P168)*24</f>
        <v>9</v>
      </c>
      <c r="S168" s="24"/>
      <c r="T168" s="51">
        <v>0.375</v>
      </c>
      <c r="U168" s="51">
        <v>0.85416666666666663</v>
      </c>
      <c r="V168" s="49">
        <f>(U168-T168)*24</f>
        <v>11.5</v>
      </c>
      <c r="W168" s="24"/>
      <c r="X168" s="48"/>
      <c r="Y168" s="48"/>
      <c r="Z168" s="49">
        <f>(Y168-X168)*24</f>
        <v>0</v>
      </c>
      <c r="AA168" s="24"/>
      <c r="AB168" s="48"/>
      <c r="AC168" s="48"/>
      <c r="AD168" s="49">
        <f>(AC168-AB168)*24</f>
        <v>0</v>
      </c>
      <c r="AE168" s="24"/>
      <c r="AF168" s="29">
        <f>J168+F168+N168+R168+V168+Z168+AD168</f>
        <v>30</v>
      </c>
      <c r="AG168" s="3"/>
    </row>
    <row r="169" spans="2:33" s="1" customFormat="1" ht="14.25">
      <c r="B169" s="13" t="s">
        <v>743</v>
      </c>
      <c r="C169" s="13" t="s">
        <v>753</v>
      </c>
      <c r="D169" s="48"/>
      <c r="E169" s="48"/>
      <c r="F169" s="85">
        <f t="shared" si="97"/>
        <v>0</v>
      </c>
      <c r="G169" s="24"/>
      <c r="H169" s="48"/>
      <c r="I169" s="48"/>
      <c r="J169" s="49">
        <f t="shared" si="98"/>
        <v>0</v>
      </c>
      <c r="K169" s="24"/>
      <c r="L169" s="424">
        <v>0.375</v>
      </c>
      <c r="M169" s="51">
        <v>0.77083333333333337</v>
      </c>
      <c r="N169" s="49">
        <f t="shared" si="99"/>
        <v>9.5</v>
      </c>
      <c r="O169" s="24"/>
      <c r="P169" s="51">
        <v>0.375</v>
      </c>
      <c r="Q169" s="51">
        <v>0.75</v>
      </c>
      <c r="R169" s="49">
        <f t="shared" si="100"/>
        <v>9</v>
      </c>
      <c r="S169" s="24"/>
      <c r="T169" s="51">
        <v>0.375</v>
      </c>
      <c r="U169" s="51">
        <v>0.85416666666666663</v>
      </c>
      <c r="V169" s="49">
        <f t="shared" si="101"/>
        <v>11.5</v>
      </c>
      <c r="W169" s="24"/>
      <c r="X169" s="48"/>
      <c r="Y169" s="48"/>
      <c r="Z169" s="49">
        <f t="shared" si="102"/>
        <v>0</v>
      </c>
      <c r="AA169" s="24"/>
      <c r="AB169" s="48"/>
      <c r="AC169" s="48"/>
      <c r="AD169" s="49">
        <f t="shared" si="103"/>
        <v>0</v>
      </c>
      <c r="AE169" s="24"/>
      <c r="AF169" s="29">
        <f t="shared" si="104"/>
        <v>30</v>
      </c>
      <c r="AG169" s="3"/>
    </row>
    <row r="170" spans="2:33" s="1" customFormat="1" ht="31.5" customHeight="1">
      <c r="B170" s="13" t="s">
        <v>576</v>
      </c>
      <c r="C170" s="13" t="s">
        <v>754</v>
      </c>
      <c r="D170" s="48"/>
      <c r="E170" s="48"/>
      <c r="F170" s="85">
        <f>(E170-D170)*24</f>
        <v>0</v>
      </c>
      <c r="G170" s="24"/>
      <c r="H170" s="48"/>
      <c r="I170" s="48"/>
      <c r="J170" s="49">
        <f>(I170-H170)*24</f>
        <v>0</v>
      </c>
      <c r="K170" s="24"/>
      <c r="L170" s="424"/>
      <c r="M170" s="51"/>
      <c r="N170" s="49">
        <f>(M170-L170)*24</f>
        <v>0</v>
      </c>
      <c r="O170" s="24"/>
      <c r="P170" s="51"/>
      <c r="Q170" s="51"/>
      <c r="R170" s="49">
        <f>(Q170-P170)*24</f>
        <v>0</v>
      </c>
      <c r="S170" s="24"/>
      <c r="T170" s="51">
        <v>0.33333333333333331</v>
      </c>
      <c r="U170" s="51">
        <v>0.70833333333333337</v>
      </c>
      <c r="V170" s="49">
        <f>(U170-T170)*24</f>
        <v>9.0000000000000018</v>
      </c>
      <c r="W170" s="24"/>
      <c r="X170" s="48"/>
      <c r="Y170" s="48"/>
      <c r="Z170" s="49">
        <f>(Y170-X170)*24</f>
        <v>0</v>
      </c>
      <c r="AA170" s="24"/>
      <c r="AB170" s="48"/>
      <c r="AC170" s="48"/>
      <c r="AD170" s="49">
        <f>(AC170-AB170)*24</f>
        <v>0</v>
      </c>
      <c r="AE170" s="24"/>
      <c r="AF170" s="29">
        <f>J170+F170+N170+R170+V170+Z170+AD170</f>
        <v>9.0000000000000018</v>
      </c>
      <c r="AG170" s="3"/>
    </row>
    <row r="171" spans="2:33" s="1" customFormat="1" ht="40.5">
      <c r="B171" s="13" t="s">
        <v>714</v>
      </c>
      <c r="C171" s="13" t="s">
        <v>754</v>
      </c>
      <c r="D171" s="48"/>
      <c r="E171" s="48"/>
      <c r="F171" s="85">
        <f>(E171-D171)*24</f>
        <v>0</v>
      </c>
      <c r="G171" s="24"/>
      <c r="H171" s="48"/>
      <c r="I171" s="48"/>
      <c r="J171" s="49">
        <f>(I171-H171)*24</f>
        <v>0</v>
      </c>
      <c r="K171" s="24"/>
      <c r="L171" s="424"/>
      <c r="M171" s="51"/>
      <c r="N171" s="49">
        <f>(M171-L171)*24</f>
        <v>0</v>
      </c>
      <c r="O171" s="24"/>
      <c r="P171" s="51"/>
      <c r="Q171" s="51"/>
      <c r="R171" s="49">
        <f>(Q171-P171)*24</f>
        <v>0</v>
      </c>
      <c r="S171" s="24"/>
      <c r="T171" s="51">
        <v>0.34375</v>
      </c>
      <c r="U171" s="51">
        <v>0.70833333333333337</v>
      </c>
      <c r="V171" s="49">
        <f>(U171-T171)*24</f>
        <v>8.75</v>
      </c>
      <c r="W171" s="24"/>
      <c r="X171" s="48"/>
      <c r="Y171" s="48"/>
      <c r="Z171" s="49">
        <f>(Y171-X171)*24</f>
        <v>0</v>
      </c>
      <c r="AA171" s="24"/>
      <c r="AB171" s="48"/>
      <c r="AC171" s="48"/>
      <c r="AD171" s="49">
        <f>(AC171-AB171)*24</f>
        <v>0</v>
      </c>
      <c r="AE171" s="24"/>
      <c r="AF171" s="29">
        <f>J171+F171+N171+R171+V171+Z171+AD171</f>
        <v>8.75</v>
      </c>
      <c r="AG171" s="3"/>
    </row>
    <row r="172" spans="2:33" s="1" customFormat="1" ht="27">
      <c r="B172" s="13" t="s">
        <v>54</v>
      </c>
      <c r="C172" s="13" t="s">
        <v>747</v>
      </c>
      <c r="D172" s="48"/>
      <c r="E172" s="48"/>
      <c r="F172" s="85">
        <f>(E172-D172)*24</f>
        <v>0</v>
      </c>
      <c r="G172" s="24"/>
      <c r="H172" s="48"/>
      <c r="I172" s="48"/>
      <c r="J172" s="49">
        <f>(I172-H172)*24</f>
        <v>0</v>
      </c>
      <c r="K172" s="24"/>
      <c r="L172" s="424"/>
      <c r="M172" s="51"/>
      <c r="N172" s="49">
        <f>(M172-L172)*24</f>
        <v>0</v>
      </c>
      <c r="O172" s="24"/>
      <c r="P172" s="51"/>
      <c r="Q172" s="51"/>
      <c r="R172" s="49">
        <f>(Q172-P172)*24</f>
        <v>0</v>
      </c>
      <c r="S172" s="24"/>
      <c r="T172" s="51">
        <v>0.75</v>
      </c>
      <c r="U172" s="51">
        <v>0.79166666666666663</v>
      </c>
      <c r="V172" s="49">
        <f>(U172-T172)*24</f>
        <v>0.99999999999999911</v>
      </c>
      <c r="W172" s="24"/>
      <c r="X172" s="48"/>
      <c r="Y172" s="48"/>
      <c r="Z172" s="49">
        <f>(Y172-X172)*24</f>
        <v>0</v>
      </c>
      <c r="AA172" s="24"/>
      <c r="AB172" s="48"/>
      <c r="AC172" s="48"/>
      <c r="AD172" s="49">
        <f>(AC172-AB172)*24</f>
        <v>0</v>
      </c>
      <c r="AE172" s="24"/>
      <c r="AF172" s="29">
        <f>J172+F172+N172+R172+V172+Z172+AD172</f>
        <v>0.99999999999999911</v>
      </c>
      <c r="AG172" s="3"/>
    </row>
    <row r="173" spans="2:33" s="1" customFormat="1" ht="27">
      <c r="B173" s="13" t="s">
        <v>743</v>
      </c>
      <c r="C173" s="13" t="s">
        <v>747</v>
      </c>
      <c r="D173" s="48"/>
      <c r="E173" s="48"/>
      <c r="F173" s="85">
        <f>(E173-D173)*24</f>
        <v>0</v>
      </c>
      <c r="G173" s="24"/>
      <c r="H173" s="48"/>
      <c r="I173" s="48"/>
      <c r="J173" s="49">
        <f>(I173-H173)*24</f>
        <v>0</v>
      </c>
      <c r="K173" s="24"/>
      <c r="L173" s="424"/>
      <c r="M173" s="51"/>
      <c r="N173" s="49">
        <f>(M173-L173)*24</f>
        <v>0</v>
      </c>
      <c r="O173" s="24"/>
      <c r="P173" s="51"/>
      <c r="Q173" s="51"/>
      <c r="R173" s="49">
        <f>(Q173-P173)*24</f>
        <v>0</v>
      </c>
      <c r="S173" s="24"/>
      <c r="T173" s="51"/>
      <c r="U173" s="51"/>
      <c r="V173" s="49">
        <f>(U173-T173)*24</f>
        <v>0</v>
      </c>
      <c r="W173" s="24"/>
      <c r="X173" s="48"/>
      <c r="Y173" s="48"/>
      <c r="Z173" s="49">
        <f>(Y173-X173)*24</f>
        <v>0</v>
      </c>
      <c r="AA173" s="24"/>
      <c r="AB173" s="51">
        <v>0.375</v>
      </c>
      <c r="AC173" s="51">
        <v>0.48958333333333331</v>
      </c>
      <c r="AD173" s="49">
        <f>(AC173-AB173)*24</f>
        <v>2.7499999999999996</v>
      </c>
      <c r="AE173" s="24"/>
      <c r="AF173" s="29">
        <f>J173+F173+N173+R173+V173+Z173+AD173</f>
        <v>2.7499999999999996</v>
      </c>
      <c r="AG173" s="3"/>
    </row>
    <row r="174" spans="2:33" s="1" customFormat="1">
      <c r="B174" s="63" t="s">
        <v>61</v>
      </c>
      <c r="C174" s="63"/>
      <c r="D174" s="63"/>
      <c r="E174" s="63"/>
      <c r="F174" s="86">
        <f>SUM(F160:F173)</f>
        <v>39.5</v>
      </c>
      <c r="G174" s="63"/>
      <c r="H174" s="63"/>
      <c r="I174" s="63"/>
      <c r="J174" s="86">
        <f>SUM(J160:J169)</f>
        <v>0</v>
      </c>
      <c r="K174" s="63"/>
      <c r="L174" s="99"/>
      <c r="M174" s="63"/>
      <c r="N174" s="86">
        <f>SUM(N160:N173)</f>
        <v>19</v>
      </c>
      <c r="O174" s="63"/>
      <c r="P174" s="63"/>
      <c r="Q174" s="63"/>
      <c r="R174" s="86">
        <f>SUM(R160:R169)</f>
        <v>18</v>
      </c>
      <c r="S174" s="63"/>
      <c r="T174" s="63"/>
      <c r="U174" s="63"/>
      <c r="V174" s="86">
        <f>SUM(V160:V173)</f>
        <v>41.75</v>
      </c>
      <c r="W174" s="63"/>
      <c r="X174" s="63"/>
      <c r="Y174" s="63"/>
      <c r="Z174" s="86">
        <f>SUM(Z160:Z169)</f>
        <v>0</v>
      </c>
      <c r="AA174" s="63"/>
      <c r="AB174" s="63"/>
      <c r="AC174" s="63"/>
      <c r="AD174" s="82">
        <f>SUM(AD160:AD169)</f>
        <v>0</v>
      </c>
      <c r="AE174" s="46"/>
      <c r="AF174" s="30">
        <f>SUM(AF161:AF173)</f>
        <v>121</v>
      </c>
      <c r="AG174" s="3"/>
    </row>
    <row r="175" spans="2:33" s="1" customFormat="1">
      <c r="B175" s="31" t="s">
        <v>577</v>
      </c>
      <c r="C175" s="31"/>
      <c r="D175" s="91"/>
      <c r="E175" s="83"/>
      <c r="F175" s="87">
        <v>8</v>
      </c>
      <c r="G175" s="83"/>
      <c r="H175" s="83"/>
      <c r="I175" s="83"/>
      <c r="J175" s="87">
        <v>8</v>
      </c>
      <c r="K175" s="83"/>
      <c r="L175" s="425"/>
      <c r="M175" s="83"/>
      <c r="N175" s="87">
        <v>8</v>
      </c>
      <c r="O175" s="83"/>
      <c r="P175" s="83"/>
      <c r="Q175" s="83"/>
      <c r="R175" s="87">
        <v>8</v>
      </c>
      <c r="S175" s="83"/>
      <c r="T175" s="83"/>
      <c r="U175" s="83"/>
      <c r="V175" s="87">
        <v>8</v>
      </c>
      <c r="W175" s="83"/>
      <c r="X175" s="83"/>
      <c r="Y175" s="83"/>
      <c r="Z175" s="87">
        <v>8</v>
      </c>
      <c r="AA175" s="83"/>
      <c r="AB175" s="83"/>
      <c r="AC175" s="83"/>
      <c r="AD175" s="83"/>
      <c r="AE175" s="45"/>
      <c r="AF175" s="28"/>
      <c r="AG175" s="3"/>
    </row>
    <row r="176" spans="2:33" s="1" customFormat="1">
      <c r="B176" s="31" t="s">
        <v>578</v>
      </c>
      <c r="C176" s="31"/>
      <c r="D176" s="91"/>
      <c r="E176" s="83"/>
      <c r="F176" s="87"/>
      <c r="G176" s="83"/>
      <c r="H176" s="83"/>
      <c r="I176" s="83"/>
      <c r="J176" s="87"/>
      <c r="K176" s="83"/>
      <c r="L176" s="425"/>
      <c r="M176" s="83"/>
      <c r="N176" s="87"/>
      <c r="O176" s="83"/>
      <c r="P176" s="83"/>
      <c r="Q176" s="83"/>
      <c r="R176" s="87"/>
      <c r="S176" s="83"/>
      <c r="T176" s="83"/>
      <c r="U176" s="83"/>
      <c r="V176" s="87"/>
      <c r="W176" s="83"/>
      <c r="X176" s="83"/>
      <c r="Y176" s="83"/>
      <c r="Z176" s="87"/>
      <c r="AA176" s="83"/>
      <c r="AB176" s="83"/>
      <c r="AC176" s="83"/>
      <c r="AD176" s="83"/>
      <c r="AE176" s="45"/>
      <c r="AF176" s="28">
        <f>SUM(D176:AD176)</f>
        <v>0</v>
      </c>
      <c r="AG176" s="3"/>
    </row>
    <row r="177" spans="1:33" s="1" customFormat="1" ht="14.25" thickBot="1">
      <c r="B177" s="74" t="s">
        <v>579</v>
      </c>
      <c r="C177" s="74"/>
      <c r="D177" s="92"/>
      <c r="E177" s="92"/>
      <c r="F177" s="93"/>
      <c r="G177" s="92"/>
      <c r="H177" s="92"/>
      <c r="I177" s="92"/>
      <c r="J177" s="93"/>
      <c r="K177" s="92"/>
      <c r="L177" s="426"/>
      <c r="M177" s="92"/>
      <c r="N177" s="93"/>
      <c r="O177" s="92"/>
      <c r="P177" s="92"/>
      <c r="Q177" s="92"/>
      <c r="R177" s="93">
        <v>4</v>
      </c>
      <c r="S177" s="92"/>
      <c r="T177" s="92"/>
      <c r="U177" s="92"/>
      <c r="V177" s="93"/>
      <c r="W177" s="94"/>
      <c r="X177" s="94"/>
      <c r="Y177" s="94"/>
      <c r="Z177" s="93"/>
      <c r="AA177" s="94"/>
      <c r="AB177" s="94"/>
      <c r="AC177" s="94"/>
      <c r="AD177" s="94"/>
      <c r="AE177" s="94"/>
      <c r="AF177" s="80">
        <f>SUM(D177:AD177)</f>
        <v>4</v>
      </c>
      <c r="AG177" s="3"/>
    </row>
    <row r="178" spans="1:33" s="1" customFormat="1" ht="14.25" thickTop="1">
      <c r="B178" s="71" t="s">
        <v>66</v>
      </c>
      <c r="C178" s="421"/>
      <c r="D178" s="3"/>
      <c r="E178" s="3"/>
      <c r="F178" s="88">
        <f>SUM(F175:F177)</f>
        <v>8</v>
      </c>
      <c r="G178" s="3"/>
      <c r="H178" s="3"/>
      <c r="I178" s="3"/>
      <c r="J178" s="88">
        <f>SUM(J175:J177)</f>
        <v>8</v>
      </c>
      <c r="K178" s="3"/>
      <c r="L178" s="423"/>
      <c r="M178" s="3"/>
      <c r="N178" s="88">
        <f>SUM(N175:N177)</f>
        <v>8</v>
      </c>
      <c r="O178" s="3"/>
      <c r="P178" s="3"/>
      <c r="Q178" s="3"/>
      <c r="R178" s="88">
        <f>SUM(R175:R177)</f>
        <v>12</v>
      </c>
      <c r="S178" s="3"/>
      <c r="T178" s="3"/>
      <c r="U178" s="3"/>
      <c r="V178" s="88">
        <f>SUM(V175:V177)</f>
        <v>8</v>
      </c>
      <c r="W178" s="3"/>
      <c r="X178" s="3"/>
      <c r="Y178" s="3"/>
      <c r="Z178" s="88">
        <f>SUM(Z175:Z177)</f>
        <v>8</v>
      </c>
      <c r="AA178" s="3"/>
      <c r="AB178" s="3"/>
      <c r="AC178" s="3"/>
      <c r="AD178" s="67">
        <f>SUM(AD175:AD177)</f>
        <v>0</v>
      </c>
      <c r="AE178" s="3"/>
      <c r="AF178" s="71">
        <f>SUM(F178:AD178)</f>
        <v>52</v>
      </c>
      <c r="AG178" s="3"/>
    </row>
    <row r="179" spans="1:33" s="1" customFormat="1">
      <c r="B179"/>
      <c r="C179" s="422"/>
      <c r="F179" s="89"/>
      <c r="G179" s="2"/>
      <c r="J179" s="2"/>
      <c r="K179" s="2"/>
      <c r="L179" s="423"/>
      <c r="N179" s="2"/>
      <c r="O179" s="3"/>
      <c r="R179" s="2"/>
      <c r="S179" s="3"/>
      <c r="V179" s="2"/>
      <c r="W179" s="2"/>
      <c r="Z179" s="2"/>
      <c r="AA179" s="3"/>
      <c r="AD179" s="2"/>
      <c r="AE179" s="3"/>
      <c r="AF179" s="2"/>
      <c r="AG179" s="3"/>
    </row>
    <row r="180" spans="1:33" s="1" customFormat="1">
      <c r="B180" s="1518" t="s">
        <v>18</v>
      </c>
      <c r="C180" s="1528" t="s">
        <v>708</v>
      </c>
      <c r="D180" s="1524">
        <v>45362</v>
      </c>
      <c r="E180" s="1524"/>
      <c r="F180" s="1524"/>
      <c r="G180" s="22"/>
      <c r="H180" s="1524">
        <f>D180+1</f>
        <v>45363</v>
      </c>
      <c r="I180" s="1524"/>
      <c r="J180" s="1524"/>
      <c r="K180" s="22"/>
      <c r="L180" s="1524">
        <f>H180+1</f>
        <v>45364</v>
      </c>
      <c r="M180" s="1524"/>
      <c r="N180" s="1524"/>
      <c r="O180" s="3"/>
      <c r="P180" s="1524">
        <f>L180+1</f>
        <v>45365</v>
      </c>
      <c r="Q180" s="1524"/>
      <c r="R180" s="1524"/>
      <c r="S180" s="3"/>
      <c r="T180" s="1524">
        <f>P180+1</f>
        <v>45366</v>
      </c>
      <c r="U180" s="1524"/>
      <c r="V180" s="1524"/>
      <c r="W180" s="22"/>
      <c r="X180" s="1524">
        <f>T180+1</f>
        <v>45367</v>
      </c>
      <c r="Y180" s="1524"/>
      <c r="Z180" s="1524"/>
      <c r="AA180" s="3"/>
      <c r="AB180" s="1524">
        <f>X180+1</f>
        <v>45368</v>
      </c>
      <c r="AC180" s="1524"/>
      <c r="AD180" s="1524"/>
      <c r="AE180" s="22"/>
      <c r="AF180" s="1517" t="s">
        <v>19</v>
      </c>
      <c r="AG180" s="2"/>
    </row>
    <row r="181" spans="1:33" s="1" customFormat="1">
      <c r="B181" s="1518"/>
      <c r="C181" s="1528"/>
      <c r="D181" s="21" t="s">
        <v>23</v>
      </c>
      <c r="E181" s="21" t="s">
        <v>24</v>
      </c>
      <c r="F181" s="62" t="s">
        <v>25</v>
      </c>
      <c r="G181" s="23"/>
      <c r="H181" s="21" t="s">
        <v>23</v>
      </c>
      <c r="I181" s="21" t="s">
        <v>24</v>
      </c>
      <c r="J181" s="18" t="s">
        <v>25</v>
      </c>
      <c r="K181" s="23"/>
      <c r="L181" s="21" t="s">
        <v>23</v>
      </c>
      <c r="M181" s="21" t="s">
        <v>24</v>
      </c>
      <c r="N181" s="18" t="s">
        <v>25</v>
      </c>
      <c r="O181" s="23"/>
      <c r="P181" s="21" t="s">
        <v>23</v>
      </c>
      <c r="Q181" s="21" t="s">
        <v>24</v>
      </c>
      <c r="R181" s="18" t="s">
        <v>25</v>
      </c>
      <c r="S181" s="23"/>
      <c r="T181" s="21" t="s">
        <v>23</v>
      </c>
      <c r="U181" s="21" t="s">
        <v>24</v>
      </c>
      <c r="V181" s="18" t="s">
        <v>25</v>
      </c>
      <c r="W181" s="23"/>
      <c r="X181" s="21" t="s">
        <v>23</v>
      </c>
      <c r="Y181" s="21" t="s">
        <v>24</v>
      </c>
      <c r="Z181" s="18" t="s">
        <v>25</v>
      </c>
      <c r="AA181" s="23"/>
      <c r="AB181" s="21" t="s">
        <v>23</v>
      </c>
      <c r="AC181" s="21" t="s">
        <v>24</v>
      </c>
      <c r="AD181" s="18" t="s">
        <v>25</v>
      </c>
      <c r="AE181" s="23"/>
      <c r="AF181" s="1517"/>
      <c r="AG181" s="2"/>
    </row>
    <row r="182" spans="1:33" s="1" customFormat="1" ht="27">
      <c r="B182" s="313" t="s">
        <v>743</v>
      </c>
      <c r="C182" s="13" t="s">
        <v>752</v>
      </c>
      <c r="D182" s="51">
        <v>0.3125</v>
      </c>
      <c r="E182" s="48">
        <v>0.375</v>
      </c>
      <c r="F182" s="85">
        <f>(E182-D182)*24</f>
        <v>1.5</v>
      </c>
      <c r="G182" s="24"/>
      <c r="H182" s="48"/>
      <c r="I182" s="48"/>
      <c r="J182" s="49">
        <f>(I182-H182)*24</f>
        <v>0</v>
      </c>
      <c r="K182" s="24"/>
      <c r="L182" s="427"/>
      <c r="M182" s="48"/>
      <c r="N182" s="49">
        <f>(M182-L182)*24</f>
        <v>0</v>
      </c>
      <c r="O182" s="24"/>
      <c r="P182" s="48"/>
      <c r="Q182" s="48"/>
      <c r="R182" s="49">
        <f>(Q182-P182)*24</f>
        <v>0</v>
      </c>
      <c r="S182" s="24"/>
      <c r="T182" s="48"/>
      <c r="U182" s="48"/>
      <c r="V182" s="49">
        <f>(U182-T182)*24</f>
        <v>0</v>
      </c>
      <c r="W182" s="24"/>
      <c r="X182" s="48"/>
      <c r="Y182" s="48"/>
      <c r="Z182" s="49">
        <f>(Y182-X182)*24</f>
        <v>0</v>
      </c>
      <c r="AA182" s="24"/>
      <c r="AB182" s="48"/>
      <c r="AC182" s="48"/>
      <c r="AD182" s="49">
        <f>(AC182-AB182)*24</f>
        <v>0</v>
      </c>
      <c r="AE182" s="24"/>
      <c r="AF182" s="29">
        <f>J182+F182+N182+R182+V182+Z182+AD182</f>
        <v>1.5</v>
      </c>
      <c r="AG182" s="2"/>
    </row>
    <row r="183" spans="1:33" s="1" customFormat="1" ht="14.25">
      <c r="A183"/>
      <c r="B183" s="313" t="s">
        <v>572</v>
      </c>
      <c r="C183" s="13" t="s">
        <v>755</v>
      </c>
      <c r="D183" s="51">
        <v>0.35416666666666669</v>
      </c>
      <c r="E183" s="51">
        <v>0.86458333333333337</v>
      </c>
      <c r="F183" s="85">
        <f t="shared" ref="F183:F188" si="105">(E183-D183)*24</f>
        <v>12.250000000000002</v>
      </c>
      <c r="G183" s="24"/>
      <c r="H183" s="48"/>
      <c r="I183" s="48"/>
      <c r="J183" s="49">
        <f t="shared" ref="J183:J188" si="106">(I183-H183)*24</f>
        <v>0</v>
      </c>
      <c r="K183" s="24"/>
      <c r="L183" s="427"/>
      <c r="M183" s="48"/>
      <c r="N183" s="49">
        <f t="shared" ref="N183:N188" si="107">(M183-L183)*24</f>
        <v>0</v>
      </c>
      <c r="O183" s="24"/>
      <c r="P183" s="48"/>
      <c r="Q183" s="48"/>
      <c r="R183" s="49">
        <f t="shared" ref="R183:R188" si="108">(Q183-P183)*24</f>
        <v>0</v>
      </c>
      <c r="S183" s="24"/>
      <c r="T183" s="48"/>
      <c r="U183" s="48"/>
      <c r="V183" s="49">
        <f t="shared" ref="V183:V188" si="109">(U183-T183)*24</f>
        <v>0</v>
      </c>
      <c r="W183" s="24"/>
      <c r="X183" s="48"/>
      <c r="Y183" s="48"/>
      <c r="Z183" s="49">
        <f t="shared" ref="Z183:Z188" si="110">(Y183-X183)*24</f>
        <v>0</v>
      </c>
      <c r="AA183" s="24"/>
      <c r="AB183" s="48"/>
      <c r="AC183" s="48"/>
      <c r="AD183" s="49">
        <f t="shared" ref="AD183:AD188" si="111">(AC183-AB183)*24</f>
        <v>0</v>
      </c>
      <c r="AE183" s="24"/>
      <c r="AF183" s="29">
        <f t="shared" ref="AF183:AF188" si="112">J183+F183+N183+R183+V183+Z183+AD183</f>
        <v>12.250000000000002</v>
      </c>
      <c r="AG183" s="2"/>
    </row>
    <row r="184" spans="1:33" s="1" customFormat="1" ht="40.5">
      <c r="A184"/>
      <c r="B184" s="13" t="s">
        <v>576</v>
      </c>
      <c r="C184" s="13" t="s">
        <v>756</v>
      </c>
      <c r="D184" s="51">
        <v>0.375</v>
      </c>
      <c r="E184" s="51">
        <v>0.6875</v>
      </c>
      <c r="F184" s="85">
        <f t="shared" si="105"/>
        <v>7.5</v>
      </c>
      <c r="G184" s="24"/>
      <c r="H184" s="51">
        <v>0.33333333333333331</v>
      </c>
      <c r="I184" s="51">
        <v>0.6875</v>
      </c>
      <c r="J184" s="49" t="s">
        <v>757</v>
      </c>
      <c r="K184" s="24"/>
      <c r="L184" s="424">
        <v>0.41666666666666669</v>
      </c>
      <c r="M184" s="51">
        <v>0.6875</v>
      </c>
      <c r="N184" s="49">
        <f t="shared" si="107"/>
        <v>6.5</v>
      </c>
      <c r="O184" s="24"/>
      <c r="P184" s="51">
        <v>0.39583333333333331</v>
      </c>
      <c r="Q184" s="51">
        <v>0.6875</v>
      </c>
      <c r="R184" s="49">
        <f t="shared" si="108"/>
        <v>7</v>
      </c>
      <c r="S184" s="24"/>
      <c r="T184" s="48">
        <v>0.39583333333333331</v>
      </c>
      <c r="U184" s="48">
        <v>0.6875</v>
      </c>
      <c r="V184" s="49">
        <f t="shared" si="109"/>
        <v>7</v>
      </c>
      <c r="W184" s="24"/>
      <c r="X184" s="48"/>
      <c r="Y184" s="48"/>
      <c r="Z184" s="49">
        <f t="shared" si="110"/>
        <v>0</v>
      </c>
      <c r="AA184" s="24"/>
      <c r="AB184" s="48"/>
      <c r="AC184" s="48"/>
      <c r="AD184" s="49">
        <f t="shared" si="111"/>
        <v>0</v>
      </c>
      <c r="AE184" s="24"/>
      <c r="AF184" s="29" t="e">
        <f t="shared" si="112"/>
        <v>#VALUE!</v>
      </c>
      <c r="AG184" s="2"/>
    </row>
    <row r="185" spans="1:33" s="1" customFormat="1" ht="40.5">
      <c r="A185"/>
      <c r="B185" s="13" t="s">
        <v>637</v>
      </c>
      <c r="C185" s="13" t="s">
        <v>756</v>
      </c>
      <c r="D185" s="51">
        <v>0.375</v>
      </c>
      <c r="E185" s="51">
        <v>0.6875</v>
      </c>
      <c r="F185" s="85">
        <f t="shared" si="105"/>
        <v>7.5</v>
      </c>
      <c r="G185" s="24"/>
      <c r="H185" s="51">
        <v>0.35416666666666669</v>
      </c>
      <c r="I185" s="51">
        <v>0.6875</v>
      </c>
      <c r="J185" s="49">
        <f t="shared" si="106"/>
        <v>8</v>
      </c>
      <c r="K185" s="24"/>
      <c r="L185" s="424">
        <v>0.41666666666666669</v>
      </c>
      <c r="M185" s="51">
        <v>0.6875</v>
      </c>
      <c r="N185" s="49">
        <f t="shared" si="107"/>
        <v>6.5</v>
      </c>
      <c r="O185" s="24"/>
      <c r="P185" s="48"/>
      <c r="Q185" s="48"/>
      <c r="R185" s="49">
        <f t="shared" si="108"/>
        <v>0</v>
      </c>
      <c r="S185" s="24"/>
      <c r="T185" s="48"/>
      <c r="U185" s="48"/>
      <c r="V185" s="49">
        <f t="shared" si="109"/>
        <v>0</v>
      </c>
      <c r="W185" s="24"/>
      <c r="X185" s="48"/>
      <c r="Y185" s="48"/>
      <c r="Z185" s="49">
        <f t="shared" si="110"/>
        <v>0</v>
      </c>
      <c r="AA185" s="24"/>
      <c r="AB185" s="48"/>
      <c r="AC185" s="48"/>
      <c r="AD185" s="49">
        <f t="shared" si="111"/>
        <v>0</v>
      </c>
      <c r="AE185" s="24"/>
      <c r="AF185" s="29">
        <f t="shared" si="112"/>
        <v>22</v>
      </c>
      <c r="AG185" s="2"/>
    </row>
    <row r="186" spans="1:33" s="1" customFormat="1" ht="40.5">
      <c r="A186"/>
      <c r="B186" s="13" t="s">
        <v>714</v>
      </c>
      <c r="C186" s="13" t="s">
        <v>756</v>
      </c>
      <c r="D186" s="51">
        <v>0.375</v>
      </c>
      <c r="E186" s="51">
        <v>0.6875</v>
      </c>
      <c r="F186" s="85">
        <f t="shared" si="105"/>
        <v>7.5</v>
      </c>
      <c r="G186" s="24"/>
      <c r="H186" s="51">
        <v>0.33333333333333331</v>
      </c>
      <c r="I186" s="51">
        <v>0.6875</v>
      </c>
      <c r="J186" s="49">
        <f t="shared" si="106"/>
        <v>8.5</v>
      </c>
      <c r="K186" s="24"/>
      <c r="L186" s="424">
        <v>0.41666666666666669</v>
      </c>
      <c r="M186" s="51">
        <v>0.6875</v>
      </c>
      <c r="N186" s="49">
        <f t="shared" si="107"/>
        <v>6.5</v>
      </c>
      <c r="O186" s="24"/>
      <c r="P186" s="48"/>
      <c r="Q186" s="48"/>
      <c r="R186" s="49">
        <f t="shared" si="108"/>
        <v>0</v>
      </c>
      <c r="S186" s="24"/>
      <c r="T186" s="48"/>
      <c r="U186" s="48"/>
      <c r="V186" s="49">
        <f t="shared" si="109"/>
        <v>0</v>
      </c>
      <c r="W186" s="24"/>
      <c r="X186" s="48"/>
      <c r="Y186" s="48"/>
      <c r="Z186" s="49">
        <f t="shared" si="110"/>
        <v>0</v>
      </c>
      <c r="AA186" s="24"/>
      <c r="AB186" s="48"/>
      <c r="AC186" s="48"/>
      <c r="AD186" s="49">
        <f t="shared" si="111"/>
        <v>0</v>
      </c>
      <c r="AE186" s="24"/>
      <c r="AF186" s="29">
        <f t="shared" si="112"/>
        <v>22.5</v>
      </c>
      <c r="AG186" s="2"/>
    </row>
    <row r="187" spans="1:33" s="1" customFormat="1" ht="40.5">
      <c r="A187"/>
      <c r="B187" s="13" t="s">
        <v>653</v>
      </c>
      <c r="C187" s="13" t="s">
        <v>756</v>
      </c>
      <c r="D187" s="51">
        <v>0.375</v>
      </c>
      <c r="E187" s="51">
        <v>0.6875</v>
      </c>
      <c r="F187" s="85">
        <f t="shared" si="105"/>
        <v>7.5</v>
      </c>
      <c r="G187" s="24"/>
      <c r="H187" s="51">
        <v>0.33333333333333331</v>
      </c>
      <c r="I187" s="51">
        <v>0.6875</v>
      </c>
      <c r="J187" s="49">
        <f t="shared" si="106"/>
        <v>8.5</v>
      </c>
      <c r="K187" s="24"/>
      <c r="L187" s="424">
        <v>0.41666666666666669</v>
      </c>
      <c r="M187" s="51">
        <v>0.6875</v>
      </c>
      <c r="N187" s="49">
        <f t="shared" si="107"/>
        <v>6.5</v>
      </c>
      <c r="O187" s="24"/>
      <c r="P187" s="51">
        <v>0.39583333333333331</v>
      </c>
      <c r="Q187" s="51">
        <v>0.6875</v>
      </c>
      <c r="R187" s="49">
        <f t="shared" si="108"/>
        <v>7</v>
      </c>
      <c r="S187" s="24"/>
      <c r="T187" s="48"/>
      <c r="U187" s="48"/>
      <c r="V187" s="49">
        <f t="shared" si="109"/>
        <v>0</v>
      </c>
      <c r="W187" s="24"/>
      <c r="X187" s="48"/>
      <c r="Y187" s="48"/>
      <c r="Z187" s="49">
        <f t="shared" si="110"/>
        <v>0</v>
      </c>
      <c r="AA187" s="24"/>
      <c r="AB187" s="48"/>
      <c r="AC187" s="48"/>
      <c r="AD187" s="49">
        <f t="shared" si="111"/>
        <v>0</v>
      </c>
      <c r="AE187" s="24"/>
      <c r="AF187" s="29">
        <f t="shared" si="112"/>
        <v>29.5</v>
      </c>
      <c r="AG187" s="2"/>
    </row>
    <row r="188" spans="1:33" s="1" customFormat="1" ht="14.25">
      <c r="A188"/>
      <c r="B188" s="13" t="s">
        <v>54</v>
      </c>
      <c r="C188" s="13" t="s">
        <v>758</v>
      </c>
      <c r="D188" s="51"/>
      <c r="E188" s="48"/>
      <c r="F188" s="85">
        <f t="shared" si="105"/>
        <v>0</v>
      </c>
      <c r="G188" s="24"/>
      <c r="H188" s="51">
        <v>0.375</v>
      </c>
      <c r="I188" s="51">
        <v>0.66666666666666663</v>
      </c>
      <c r="J188" s="49">
        <f t="shared" si="106"/>
        <v>6.9999999999999991</v>
      </c>
      <c r="K188" s="24"/>
      <c r="L188" s="427"/>
      <c r="M188" s="48"/>
      <c r="N188" s="49">
        <f t="shared" si="107"/>
        <v>0</v>
      </c>
      <c r="O188" s="24"/>
      <c r="P188" s="48"/>
      <c r="Q188" s="48"/>
      <c r="R188" s="49">
        <f t="shared" si="108"/>
        <v>0</v>
      </c>
      <c r="S188" s="24"/>
      <c r="T188" s="48"/>
      <c r="U188" s="48"/>
      <c r="V188" s="49">
        <f t="shared" si="109"/>
        <v>0</v>
      </c>
      <c r="W188" s="24"/>
      <c r="X188" s="48"/>
      <c r="Y188" s="48"/>
      <c r="Z188" s="49">
        <f t="shared" si="110"/>
        <v>0</v>
      </c>
      <c r="AA188" s="24"/>
      <c r="AB188" s="48"/>
      <c r="AC188" s="48"/>
      <c r="AD188" s="49">
        <f t="shared" si="111"/>
        <v>0</v>
      </c>
      <c r="AE188" s="24"/>
      <c r="AF188" s="29">
        <f t="shared" si="112"/>
        <v>6.9999999999999991</v>
      </c>
      <c r="AG188" s="2"/>
    </row>
    <row r="189" spans="1:33" s="1" customFormat="1" ht="27">
      <c r="A189"/>
      <c r="B189" s="313" t="s">
        <v>572</v>
      </c>
      <c r="C189" s="13" t="s">
        <v>759</v>
      </c>
      <c r="D189" s="51"/>
      <c r="E189" s="48"/>
      <c r="F189" s="85">
        <f t="shared" ref="F189:F194" si="113">(E189-D189)*24</f>
        <v>0</v>
      </c>
      <c r="G189" s="24"/>
      <c r="H189" s="51"/>
      <c r="I189" s="48"/>
      <c r="J189" s="49">
        <f t="shared" ref="J189:J194" si="114">(I189-H189)*24</f>
        <v>0</v>
      </c>
      <c r="K189" s="24"/>
      <c r="L189" s="424">
        <v>0.375</v>
      </c>
      <c r="M189" s="51">
        <v>0.72916666666666663</v>
      </c>
      <c r="N189" s="49">
        <f t="shared" ref="N189:N194" si="115">(M189-L189)*24</f>
        <v>8.5</v>
      </c>
      <c r="O189" s="24"/>
      <c r="P189" s="48"/>
      <c r="Q189" s="48"/>
      <c r="R189" s="49">
        <f t="shared" ref="R189:R194" si="116">(Q189-P189)*24</f>
        <v>0</v>
      </c>
      <c r="S189" s="24"/>
      <c r="T189" s="48"/>
      <c r="U189" s="48"/>
      <c r="V189" s="49">
        <f t="shared" ref="V189:V194" si="117">(U189-T189)*24</f>
        <v>0</v>
      </c>
      <c r="W189" s="24"/>
      <c r="X189" s="48"/>
      <c r="Y189" s="48"/>
      <c r="Z189" s="49">
        <f t="shared" ref="Z189:Z194" si="118">(Y189-X189)*24</f>
        <v>0</v>
      </c>
      <c r="AA189" s="24"/>
      <c r="AB189" s="48"/>
      <c r="AC189" s="48"/>
      <c r="AD189" s="49">
        <f t="shared" ref="AD189:AD194" si="119">(AC189-AB189)*24</f>
        <v>0</v>
      </c>
      <c r="AE189" s="24"/>
      <c r="AF189" s="29">
        <f t="shared" ref="AF189:AF194" si="120">J189+F189+N189+R189+V189+Z189+AD189</f>
        <v>8.5</v>
      </c>
      <c r="AG189" s="2"/>
    </row>
    <row r="190" spans="1:33" s="1" customFormat="1" ht="27">
      <c r="A190"/>
      <c r="B190" s="13" t="s">
        <v>54</v>
      </c>
      <c r="C190" s="13" t="s">
        <v>759</v>
      </c>
      <c r="D190" s="51"/>
      <c r="E190" s="48"/>
      <c r="F190" s="85">
        <f t="shared" si="113"/>
        <v>0</v>
      </c>
      <c r="G190" s="24"/>
      <c r="H190" s="424">
        <v>0.375</v>
      </c>
      <c r="I190" s="51">
        <v>0.72916666666666663</v>
      </c>
      <c r="J190" s="49">
        <f t="shared" si="114"/>
        <v>8.5</v>
      </c>
      <c r="K190" s="24"/>
      <c r="N190" s="49">
        <f t="shared" si="115"/>
        <v>0</v>
      </c>
      <c r="O190" s="24"/>
      <c r="P190" s="48"/>
      <c r="Q190" s="48"/>
      <c r="R190" s="49">
        <f t="shared" si="116"/>
        <v>0</v>
      </c>
      <c r="S190" s="24"/>
      <c r="T190" s="48"/>
      <c r="U190" s="48"/>
      <c r="V190" s="49">
        <f t="shared" si="117"/>
        <v>0</v>
      </c>
      <c r="W190" s="24"/>
      <c r="X190" s="48"/>
      <c r="Y190" s="48"/>
      <c r="Z190" s="49">
        <f t="shared" si="118"/>
        <v>0</v>
      </c>
      <c r="AA190" s="24"/>
      <c r="AB190" s="48"/>
      <c r="AC190" s="48"/>
      <c r="AD190" s="49">
        <f t="shared" si="119"/>
        <v>0</v>
      </c>
      <c r="AE190" s="24"/>
      <c r="AF190" s="29">
        <f t="shared" si="120"/>
        <v>8.5</v>
      </c>
      <c r="AG190" s="2"/>
    </row>
    <row r="191" spans="1:33" s="1" customFormat="1" ht="14.25">
      <c r="A191"/>
      <c r="B191" s="13" t="s">
        <v>54</v>
      </c>
      <c r="C191" s="13" t="s">
        <v>760</v>
      </c>
      <c r="D191" s="51"/>
      <c r="E191" s="48"/>
      <c r="F191" s="85">
        <f t="shared" si="113"/>
        <v>0</v>
      </c>
      <c r="G191" s="24"/>
      <c r="H191" s="51"/>
      <c r="I191" s="48"/>
      <c r="J191" s="49">
        <f t="shared" si="114"/>
        <v>0</v>
      </c>
      <c r="K191" s="24"/>
      <c r="L191" s="424"/>
      <c r="M191" s="51"/>
      <c r="N191" s="49">
        <f t="shared" si="115"/>
        <v>0</v>
      </c>
      <c r="O191" s="24"/>
      <c r="P191" s="51">
        <v>0.375</v>
      </c>
      <c r="Q191" s="51">
        <v>0.66666666666666663</v>
      </c>
      <c r="R191" s="49">
        <f t="shared" si="116"/>
        <v>6.9999999999999991</v>
      </c>
      <c r="S191" s="24"/>
      <c r="T191" s="48"/>
      <c r="U191" s="51"/>
      <c r="V191" s="49">
        <f t="shared" si="117"/>
        <v>0</v>
      </c>
      <c r="W191" s="24"/>
      <c r="X191" s="48"/>
      <c r="Y191" s="48"/>
      <c r="Z191" s="49">
        <f t="shared" si="118"/>
        <v>0</v>
      </c>
      <c r="AA191" s="24"/>
      <c r="AB191" s="48"/>
      <c r="AC191" s="48"/>
      <c r="AD191" s="49">
        <f t="shared" si="119"/>
        <v>0</v>
      </c>
      <c r="AE191" s="24"/>
      <c r="AF191" s="29">
        <f t="shared" si="120"/>
        <v>6.9999999999999991</v>
      </c>
      <c r="AG191" s="2"/>
    </row>
    <row r="192" spans="1:33" s="1" customFormat="1" ht="27">
      <c r="A192"/>
      <c r="B192" s="13" t="s">
        <v>743</v>
      </c>
      <c r="C192" s="13" t="s">
        <v>761</v>
      </c>
      <c r="D192" s="51"/>
      <c r="E192" s="48"/>
      <c r="F192" s="85">
        <f t="shared" si="113"/>
        <v>0</v>
      </c>
      <c r="G192" s="24"/>
      <c r="H192" s="51"/>
      <c r="I192" s="48"/>
      <c r="J192" s="49">
        <f t="shared" si="114"/>
        <v>0</v>
      </c>
      <c r="K192" s="24"/>
      <c r="L192" s="424"/>
      <c r="M192" s="51"/>
      <c r="N192" s="49">
        <f t="shared" si="115"/>
        <v>0</v>
      </c>
      <c r="O192" s="24"/>
      <c r="P192" s="51"/>
      <c r="Q192" s="48"/>
      <c r="R192" s="49">
        <f t="shared" si="116"/>
        <v>0</v>
      </c>
      <c r="S192" s="24"/>
      <c r="T192" s="51">
        <v>0.45833333333333331</v>
      </c>
      <c r="U192" s="48">
        <v>0.66666666666666663</v>
      </c>
      <c r="V192" s="49">
        <f t="shared" si="117"/>
        <v>5</v>
      </c>
      <c r="W192" s="24"/>
      <c r="X192" s="48"/>
      <c r="Y192" s="48"/>
      <c r="Z192" s="49">
        <f t="shared" si="118"/>
        <v>0</v>
      </c>
      <c r="AA192" s="24"/>
      <c r="AB192" s="48"/>
      <c r="AC192" s="48"/>
      <c r="AD192" s="49">
        <f t="shared" si="119"/>
        <v>0</v>
      </c>
      <c r="AE192" s="24"/>
      <c r="AF192" s="29">
        <f t="shared" si="120"/>
        <v>5</v>
      </c>
      <c r="AG192" s="2"/>
    </row>
    <row r="193" spans="1:55" s="1" customFormat="1" ht="27">
      <c r="A193"/>
      <c r="B193" s="13" t="s">
        <v>54</v>
      </c>
      <c r="C193" s="13" t="s">
        <v>762</v>
      </c>
      <c r="D193" s="51"/>
      <c r="E193" s="48"/>
      <c r="F193" s="85">
        <f t="shared" si="113"/>
        <v>0</v>
      </c>
      <c r="G193" s="24"/>
      <c r="H193" s="51"/>
      <c r="I193" s="48"/>
      <c r="J193" s="49">
        <f t="shared" si="114"/>
        <v>0</v>
      </c>
      <c r="K193" s="24"/>
      <c r="L193" s="424"/>
      <c r="M193" s="51"/>
      <c r="N193" s="49">
        <f t="shared" si="115"/>
        <v>0</v>
      </c>
      <c r="O193" s="24"/>
      <c r="P193" s="51"/>
      <c r="Q193" s="48"/>
      <c r="R193" s="49">
        <f t="shared" si="116"/>
        <v>0</v>
      </c>
      <c r="S193" s="24"/>
      <c r="T193" s="51">
        <v>0.41666666666666669</v>
      </c>
      <c r="U193" s="51">
        <v>0.75</v>
      </c>
      <c r="V193" s="49">
        <f t="shared" si="117"/>
        <v>8</v>
      </c>
      <c r="W193" s="24"/>
      <c r="X193" s="48"/>
      <c r="Y193" s="48"/>
      <c r="Z193" s="49">
        <f t="shared" si="118"/>
        <v>0</v>
      </c>
      <c r="AA193" s="24"/>
      <c r="AB193" s="48"/>
      <c r="AC193" s="48"/>
      <c r="AD193" s="49">
        <f t="shared" si="119"/>
        <v>0</v>
      </c>
      <c r="AE193" s="24"/>
      <c r="AF193" s="29">
        <f t="shared" si="120"/>
        <v>8</v>
      </c>
      <c r="AG193" s="2"/>
    </row>
    <row r="194" spans="1:55" s="1" customFormat="1" ht="27">
      <c r="A194"/>
      <c r="B194" s="13" t="s">
        <v>637</v>
      </c>
      <c r="C194" s="13" t="s">
        <v>762</v>
      </c>
      <c r="D194" s="51"/>
      <c r="E194" s="48"/>
      <c r="F194" s="85">
        <f t="shared" si="113"/>
        <v>0</v>
      </c>
      <c r="G194" s="24"/>
      <c r="H194" s="51"/>
      <c r="I194" s="48"/>
      <c r="J194" s="49">
        <f t="shared" si="114"/>
        <v>0</v>
      </c>
      <c r="K194" s="24"/>
      <c r="L194" s="424"/>
      <c r="M194" s="51"/>
      <c r="N194" s="49">
        <f t="shared" si="115"/>
        <v>0</v>
      </c>
      <c r="O194" s="24"/>
      <c r="P194" s="51"/>
      <c r="Q194" s="48"/>
      <c r="R194" s="49">
        <f t="shared" si="116"/>
        <v>0</v>
      </c>
      <c r="S194" s="24"/>
      <c r="T194" s="51">
        <v>0.45833333333333331</v>
      </c>
      <c r="U194" s="51">
        <v>0.75</v>
      </c>
      <c r="V194" s="49">
        <f t="shared" si="117"/>
        <v>7</v>
      </c>
      <c r="W194" s="24"/>
      <c r="X194" s="48"/>
      <c r="Y194" s="48"/>
      <c r="Z194" s="49">
        <f t="shared" si="118"/>
        <v>0</v>
      </c>
      <c r="AA194" s="24"/>
      <c r="AB194" s="48"/>
      <c r="AC194" s="48"/>
      <c r="AD194" s="49">
        <f t="shared" si="119"/>
        <v>0</v>
      </c>
      <c r="AE194" s="24"/>
      <c r="AF194" s="29">
        <f t="shared" si="120"/>
        <v>7</v>
      </c>
      <c r="AG194" s="2"/>
    </row>
    <row r="195" spans="1:55" s="1" customFormat="1">
      <c r="A195"/>
      <c r="B195" s="63" t="s">
        <v>61</v>
      </c>
      <c r="C195" s="63"/>
      <c r="D195" s="63"/>
      <c r="E195" s="63"/>
      <c r="F195" s="86">
        <f>SUM(F181:F188)</f>
        <v>43.75</v>
      </c>
      <c r="G195" s="63"/>
      <c r="H195" s="63"/>
      <c r="I195" s="63"/>
      <c r="J195" s="86">
        <f>SUM(J181:J188)</f>
        <v>32</v>
      </c>
      <c r="K195" s="63"/>
      <c r="L195" s="99"/>
      <c r="M195" s="63"/>
      <c r="N195" s="86">
        <f>SUM(N181:N188)</f>
        <v>26</v>
      </c>
      <c r="O195" s="63"/>
      <c r="P195" s="63"/>
      <c r="Q195" s="63"/>
      <c r="R195" s="86">
        <f>SUM(R181:R188)</f>
        <v>14</v>
      </c>
      <c r="S195" s="63"/>
      <c r="T195" s="63"/>
      <c r="U195" s="63"/>
      <c r="V195" s="86">
        <f>SUM(V181:V188)</f>
        <v>7</v>
      </c>
      <c r="W195" s="63"/>
      <c r="X195" s="63"/>
      <c r="Y195" s="63"/>
      <c r="Z195" s="86">
        <f>SUM(Z181:Z188)</f>
        <v>0</v>
      </c>
      <c r="AA195" s="63"/>
      <c r="AB195" s="63"/>
      <c r="AC195" s="63"/>
      <c r="AD195" s="82">
        <f>SUM(AD181:AD188)</f>
        <v>0</v>
      </c>
      <c r="AE195" s="46"/>
      <c r="AF195" s="30" t="e">
        <f>SUM(AF182:AF188)</f>
        <v>#VALUE!</v>
      </c>
      <c r="AG195" s="2"/>
    </row>
    <row r="196" spans="1:55" s="2" customFormat="1">
      <c r="A196"/>
      <c r="B196" s="31" t="s">
        <v>577</v>
      </c>
      <c r="C196" s="31"/>
      <c r="D196" s="91"/>
      <c r="E196" s="83"/>
      <c r="F196" s="87"/>
      <c r="G196" s="83"/>
      <c r="H196" s="83"/>
      <c r="I196" s="83"/>
      <c r="J196" s="87"/>
      <c r="K196" s="83"/>
      <c r="L196" s="425"/>
      <c r="M196" s="83"/>
      <c r="N196" s="87">
        <v>8</v>
      </c>
      <c r="O196" s="83"/>
      <c r="P196" s="83"/>
      <c r="Q196" s="83"/>
      <c r="R196" s="87">
        <v>8</v>
      </c>
      <c r="S196" s="83"/>
      <c r="T196" s="83"/>
      <c r="U196" s="83"/>
      <c r="V196" s="87">
        <v>8</v>
      </c>
      <c r="W196" s="83"/>
      <c r="X196" s="83"/>
      <c r="Y196" s="83"/>
      <c r="Z196" s="87"/>
      <c r="AA196" s="83"/>
      <c r="AB196" s="83"/>
      <c r="AC196" s="83"/>
      <c r="AD196" s="83"/>
      <c r="AE196" s="45"/>
      <c r="AF196" s="28">
        <f>SUM(D196:AD196)</f>
        <v>24</v>
      </c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</row>
    <row r="197" spans="1:55" s="2" customFormat="1">
      <c r="A197"/>
      <c r="B197" s="31" t="s">
        <v>578</v>
      </c>
      <c r="C197" s="31"/>
      <c r="D197" s="91"/>
      <c r="E197" s="83"/>
      <c r="F197" s="87">
        <v>4</v>
      </c>
      <c r="G197" s="83"/>
      <c r="H197" s="83"/>
      <c r="I197" s="83"/>
      <c r="J197" s="87"/>
      <c r="K197" s="83"/>
      <c r="L197" s="425"/>
      <c r="M197" s="83"/>
      <c r="N197" s="87">
        <v>2</v>
      </c>
      <c r="O197" s="83"/>
      <c r="P197" s="83"/>
      <c r="Q197" s="83"/>
      <c r="R197" s="87">
        <v>2</v>
      </c>
      <c r="S197" s="83"/>
      <c r="T197" s="83"/>
      <c r="U197" s="83"/>
      <c r="V197" s="87">
        <v>2</v>
      </c>
      <c r="W197" s="83"/>
      <c r="X197" s="83"/>
      <c r="Y197" s="83"/>
      <c r="Z197" s="87"/>
      <c r="AA197" s="83"/>
      <c r="AB197" s="83"/>
      <c r="AC197" s="83"/>
      <c r="AD197" s="83"/>
      <c r="AE197" s="45"/>
      <c r="AF197" s="28">
        <f>SUM(D197:AD197)</f>
        <v>10</v>
      </c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</row>
    <row r="198" spans="1:55" s="2" customFormat="1" ht="14.25" thickBot="1">
      <c r="A198"/>
      <c r="B198" s="74" t="s">
        <v>579</v>
      </c>
      <c r="C198" s="74"/>
      <c r="D198" s="92"/>
      <c r="E198" s="92"/>
      <c r="F198" s="93"/>
      <c r="G198" s="92"/>
      <c r="H198" s="92"/>
      <c r="I198" s="92"/>
      <c r="J198" s="93"/>
      <c r="K198" s="92"/>
      <c r="L198" s="426"/>
      <c r="M198" s="92"/>
      <c r="N198" s="93"/>
      <c r="O198" s="92"/>
      <c r="P198" s="92"/>
      <c r="Q198" s="92"/>
      <c r="R198" s="93"/>
      <c r="S198" s="92"/>
      <c r="T198" s="92"/>
      <c r="U198" s="92"/>
      <c r="V198" s="93"/>
      <c r="W198" s="94"/>
      <c r="X198" s="94"/>
      <c r="Y198" s="94"/>
      <c r="Z198" s="93"/>
      <c r="AA198" s="94"/>
      <c r="AB198" s="94"/>
      <c r="AC198" s="94"/>
      <c r="AD198" s="94"/>
      <c r="AE198" s="94"/>
      <c r="AF198" s="80">
        <f>SUM(D198:AD198)</f>
        <v>0</v>
      </c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</row>
    <row r="199" spans="1:55" s="2" customFormat="1" ht="14.25" thickTop="1">
      <c r="A199"/>
      <c r="B199" s="71" t="s">
        <v>66</v>
      </c>
      <c r="C199" s="421"/>
      <c r="D199" s="3"/>
      <c r="E199" s="3"/>
      <c r="F199" s="88">
        <f>SUM(F196:F198)</f>
        <v>4</v>
      </c>
      <c r="G199" s="3"/>
      <c r="H199" s="3"/>
      <c r="I199" s="3"/>
      <c r="J199" s="88">
        <f>SUM(J196:J198)</f>
        <v>0</v>
      </c>
      <c r="K199" s="3"/>
      <c r="L199" s="423"/>
      <c r="M199" s="3"/>
      <c r="N199" s="88">
        <f>SUM(N196:N198)</f>
        <v>10</v>
      </c>
      <c r="O199" s="3"/>
      <c r="P199" s="3"/>
      <c r="Q199" s="3"/>
      <c r="R199" s="88">
        <f>SUM(R196:R198)</f>
        <v>10</v>
      </c>
      <c r="S199" s="3"/>
      <c r="T199" s="3"/>
      <c r="U199" s="3"/>
      <c r="V199" s="88">
        <f>SUM(V196:V198)</f>
        <v>10</v>
      </c>
      <c r="W199" s="3"/>
      <c r="X199" s="3"/>
      <c r="Y199" s="3"/>
      <c r="Z199" s="88">
        <f>SUM(Z196:Z198)</f>
        <v>0</v>
      </c>
      <c r="AA199" s="3"/>
      <c r="AB199" s="3"/>
      <c r="AC199" s="3"/>
      <c r="AD199" s="67">
        <f>SUM(AD196:AD198)</f>
        <v>0</v>
      </c>
      <c r="AE199" s="3"/>
      <c r="AF199" s="71">
        <f>SUM(F199:AD199)</f>
        <v>34</v>
      </c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</row>
    <row r="200" spans="1:55" s="2" customFormat="1">
      <c r="A200"/>
      <c r="B200" s="1518" t="s">
        <v>18</v>
      </c>
      <c r="C200" s="1528" t="s">
        <v>571</v>
      </c>
      <c r="D200" s="1524">
        <v>45369</v>
      </c>
      <c r="E200" s="1524"/>
      <c r="F200" s="1524"/>
      <c r="G200" s="22"/>
      <c r="H200" s="1524">
        <f>D200+1</f>
        <v>45370</v>
      </c>
      <c r="I200" s="1524"/>
      <c r="J200" s="1524"/>
      <c r="K200" s="22"/>
      <c r="L200" s="1524">
        <f>H200+1</f>
        <v>45371</v>
      </c>
      <c r="M200" s="1524"/>
      <c r="N200" s="1524"/>
      <c r="O200" s="3"/>
      <c r="P200" s="1524">
        <f>L200+1</f>
        <v>45372</v>
      </c>
      <c r="Q200" s="1524"/>
      <c r="R200" s="1524"/>
      <c r="S200" s="3"/>
      <c r="T200" s="1524">
        <f>P200+1</f>
        <v>45373</v>
      </c>
      <c r="U200" s="1524"/>
      <c r="V200" s="1524"/>
      <c r="W200" s="22"/>
      <c r="X200" s="1524">
        <f>T200+1</f>
        <v>45374</v>
      </c>
      <c r="Y200" s="1524"/>
      <c r="Z200" s="1524"/>
      <c r="AA200" s="3"/>
      <c r="AB200" s="1524">
        <f>X200+1</f>
        <v>45375</v>
      </c>
      <c r="AC200" s="1524"/>
      <c r="AD200" s="1524"/>
      <c r="AE200" s="22"/>
      <c r="AF200" s="1517" t="s">
        <v>19</v>
      </c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</row>
    <row r="201" spans="1:55">
      <c r="B201" s="1518"/>
      <c r="C201" s="1528"/>
      <c r="D201" s="21" t="s">
        <v>23</v>
      </c>
      <c r="E201" s="21" t="s">
        <v>24</v>
      </c>
      <c r="F201" s="62" t="s">
        <v>25</v>
      </c>
      <c r="G201" s="23"/>
      <c r="H201" s="21" t="s">
        <v>23</v>
      </c>
      <c r="I201" s="21" t="s">
        <v>24</v>
      </c>
      <c r="J201" s="18" t="s">
        <v>25</v>
      </c>
      <c r="K201" s="23"/>
      <c r="L201" s="21" t="s">
        <v>23</v>
      </c>
      <c r="M201" s="21" t="s">
        <v>24</v>
      </c>
      <c r="N201" s="18" t="s">
        <v>25</v>
      </c>
      <c r="O201" s="23"/>
      <c r="P201" s="21" t="s">
        <v>23</v>
      </c>
      <c r="Q201" s="21" t="s">
        <v>24</v>
      </c>
      <c r="R201" s="18" t="s">
        <v>25</v>
      </c>
      <c r="S201" s="23"/>
      <c r="T201" s="21" t="s">
        <v>23</v>
      </c>
      <c r="U201" s="21" t="s">
        <v>24</v>
      </c>
      <c r="V201" s="18" t="s">
        <v>25</v>
      </c>
      <c r="W201" s="23"/>
      <c r="X201" s="21" t="s">
        <v>23</v>
      </c>
      <c r="Y201" s="21" t="s">
        <v>24</v>
      </c>
      <c r="Z201" s="18" t="s">
        <v>25</v>
      </c>
      <c r="AA201" s="23"/>
      <c r="AB201" s="21" t="s">
        <v>23</v>
      </c>
      <c r="AC201" s="21" t="s">
        <v>24</v>
      </c>
      <c r="AD201" s="18" t="s">
        <v>25</v>
      </c>
      <c r="AE201" s="23"/>
      <c r="AF201" s="1517"/>
    </row>
    <row r="202" spans="1:55" s="2" customFormat="1" ht="27">
      <c r="A202"/>
      <c r="B202" s="13" t="s">
        <v>743</v>
      </c>
      <c r="C202" s="13" t="s">
        <v>752</v>
      </c>
      <c r="D202" s="51">
        <v>0.3125</v>
      </c>
      <c r="E202" s="48">
        <v>0.375</v>
      </c>
      <c r="F202" s="85">
        <f>(E202-D202)*24</f>
        <v>1.5</v>
      </c>
      <c r="G202" s="24"/>
      <c r="H202" s="48"/>
      <c r="I202" s="48"/>
      <c r="J202" s="49">
        <f>(I202-H202)*24</f>
        <v>0</v>
      </c>
      <c r="K202" s="24"/>
      <c r="L202" s="427"/>
      <c r="M202" s="48"/>
      <c r="N202" s="49">
        <f>(M202-L202)*24</f>
        <v>0</v>
      </c>
      <c r="O202" s="24"/>
      <c r="P202" s="51"/>
      <c r="Q202" s="48"/>
      <c r="R202" s="49">
        <f>(Q202-P202)*24</f>
        <v>0</v>
      </c>
      <c r="S202" s="24"/>
      <c r="T202" s="48"/>
      <c r="U202" s="48"/>
      <c r="V202" s="49">
        <f>(U202-T202)*24</f>
        <v>0</v>
      </c>
      <c r="W202" s="24"/>
      <c r="X202" s="48"/>
      <c r="Y202" s="48"/>
      <c r="Z202" s="49">
        <f>(Y202-X202)*24</f>
        <v>0</v>
      </c>
      <c r="AA202" s="24"/>
      <c r="AB202" s="48"/>
      <c r="AC202" s="48"/>
      <c r="AD202" s="49">
        <f>(AC202-AB202)*24</f>
        <v>0</v>
      </c>
      <c r="AE202" s="24"/>
      <c r="AF202" s="29">
        <f>J202+F202+N202+R202+V202+Z202+AD202</f>
        <v>1.5</v>
      </c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</row>
    <row r="203" spans="1:55" s="2" customFormat="1" ht="27">
      <c r="A203"/>
      <c r="B203" s="13" t="s">
        <v>572</v>
      </c>
      <c r="C203" s="13" t="s">
        <v>762</v>
      </c>
      <c r="D203" s="51">
        <v>0.35416666666666669</v>
      </c>
      <c r="E203" s="48">
        <v>0.6875</v>
      </c>
      <c r="F203" s="85">
        <f t="shared" ref="F203:F213" si="121">(E203-D203)*24</f>
        <v>8</v>
      </c>
      <c r="G203" s="24"/>
      <c r="H203" s="48"/>
      <c r="I203" s="48"/>
      <c r="J203" s="49">
        <f t="shared" ref="J203:J213" si="122">(I203-H203)*24</f>
        <v>0</v>
      </c>
      <c r="K203" s="24"/>
      <c r="L203" s="427"/>
      <c r="M203" s="48"/>
      <c r="N203" s="49">
        <f t="shared" ref="N203:N211" si="123">(M203-L203)*24</f>
        <v>0</v>
      </c>
      <c r="O203" s="24"/>
      <c r="P203" s="48"/>
      <c r="Q203" s="48"/>
      <c r="R203" s="49">
        <f t="shared" ref="R203:R211" si="124">(Q203-P203)*24</f>
        <v>0</v>
      </c>
      <c r="S203" s="24"/>
      <c r="T203" s="48"/>
      <c r="U203" s="48"/>
      <c r="V203" s="49">
        <f t="shared" ref="V203:V211" si="125">(U203-T203)*24</f>
        <v>0</v>
      </c>
      <c r="W203" s="24"/>
      <c r="X203" s="48"/>
      <c r="Y203" s="48"/>
      <c r="Z203" s="49">
        <f t="shared" ref="Z203:Z211" si="126">(Y203-X203)*24</f>
        <v>0</v>
      </c>
      <c r="AA203" s="24"/>
      <c r="AB203" s="48"/>
      <c r="AC203" s="48"/>
      <c r="AD203" s="49">
        <f t="shared" ref="AD203:AD211" si="127">(AC203-AB203)*24</f>
        <v>0</v>
      </c>
      <c r="AE203" s="24"/>
      <c r="AF203" s="29">
        <f t="shared" ref="AF203:AF206" si="128">J203+F203+N203+R203+V203+Z203+AD203</f>
        <v>8</v>
      </c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</row>
    <row r="204" spans="1:55" s="2" customFormat="1" ht="54">
      <c r="A204"/>
      <c r="B204" s="13" t="s">
        <v>576</v>
      </c>
      <c r="C204" s="13" t="s">
        <v>763</v>
      </c>
      <c r="D204" s="48">
        <v>0.39583333333333331</v>
      </c>
      <c r="E204" s="48">
        <v>0.6875</v>
      </c>
      <c r="F204" s="85">
        <f t="shared" si="121"/>
        <v>7</v>
      </c>
      <c r="G204" s="24"/>
      <c r="H204" s="48">
        <v>0.39583333333333331</v>
      </c>
      <c r="I204" s="48">
        <v>0.6875</v>
      </c>
      <c r="J204" s="49">
        <f t="shared" si="122"/>
        <v>7</v>
      </c>
      <c r="K204" s="49"/>
      <c r="L204" s="424">
        <v>0.375</v>
      </c>
      <c r="M204" s="51">
        <v>0.70833333333333337</v>
      </c>
      <c r="N204" s="49">
        <f t="shared" si="123"/>
        <v>8</v>
      </c>
      <c r="O204" s="24"/>
      <c r="P204" s="51">
        <v>0.375</v>
      </c>
      <c r="Q204" s="51">
        <v>0.70833333333333337</v>
      </c>
      <c r="R204" s="49">
        <f t="shared" si="124"/>
        <v>8</v>
      </c>
      <c r="S204" s="24"/>
      <c r="T204" s="48"/>
      <c r="U204" s="48"/>
      <c r="V204" s="49">
        <f t="shared" si="125"/>
        <v>0</v>
      </c>
      <c r="W204" s="24"/>
      <c r="X204" s="48"/>
      <c r="Y204" s="48"/>
      <c r="Z204" s="49">
        <f t="shared" si="126"/>
        <v>0</v>
      </c>
      <c r="AA204" s="24"/>
      <c r="AB204" s="48"/>
      <c r="AC204" s="48"/>
      <c r="AD204" s="49">
        <f t="shared" si="127"/>
        <v>0</v>
      </c>
      <c r="AE204" s="24"/>
      <c r="AF204" s="29">
        <f t="shared" si="128"/>
        <v>30</v>
      </c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</row>
    <row r="205" spans="1:55" s="2" customFormat="1" ht="14.25">
      <c r="A205"/>
      <c r="B205" s="13" t="s">
        <v>572</v>
      </c>
      <c r="C205" s="13" t="s">
        <v>764</v>
      </c>
      <c r="E205" s="48"/>
      <c r="F205" s="85">
        <f t="shared" si="121"/>
        <v>0</v>
      </c>
      <c r="G205" s="24"/>
      <c r="H205" s="48">
        <v>0.35416666666666669</v>
      </c>
      <c r="I205" s="48">
        <v>0.6875</v>
      </c>
      <c r="J205" s="49">
        <f t="shared" si="122"/>
        <v>8</v>
      </c>
      <c r="K205" s="24"/>
      <c r="L205" s="427"/>
      <c r="M205" s="48"/>
      <c r="N205" s="49">
        <f t="shared" si="123"/>
        <v>0</v>
      </c>
      <c r="O205" s="24"/>
      <c r="P205" s="48"/>
      <c r="Q205" s="48"/>
      <c r="R205" s="49">
        <f t="shared" si="124"/>
        <v>0</v>
      </c>
      <c r="S205" s="24"/>
      <c r="T205" s="48"/>
      <c r="U205" s="48"/>
      <c r="V205" s="49">
        <f t="shared" si="125"/>
        <v>0</v>
      </c>
      <c r="W205" s="24"/>
      <c r="X205" s="48"/>
      <c r="Y205" s="48"/>
      <c r="Z205" s="49">
        <f t="shared" si="126"/>
        <v>0</v>
      </c>
      <c r="AA205" s="24"/>
      <c r="AB205" s="48"/>
      <c r="AC205" s="48"/>
      <c r="AD205" s="49">
        <f t="shared" si="127"/>
        <v>0</v>
      </c>
      <c r="AE205" s="24"/>
      <c r="AF205" s="29">
        <f t="shared" si="128"/>
        <v>8</v>
      </c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</row>
    <row r="206" spans="1:55" s="2" customFormat="1" ht="54">
      <c r="A206"/>
      <c r="B206" s="13" t="s">
        <v>637</v>
      </c>
      <c r="C206" s="13" t="s">
        <v>763</v>
      </c>
      <c r="D206" s="48"/>
      <c r="E206" s="48"/>
      <c r="F206" s="85">
        <f t="shared" si="121"/>
        <v>0</v>
      </c>
      <c r="G206" s="24"/>
      <c r="H206" s="48">
        <v>0.375</v>
      </c>
      <c r="I206" s="48">
        <v>0.6875</v>
      </c>
      <c r="J206" s="49">
        <f t="shared" si="122"/>
        <v>7.5</v>
      </c>
      <c r="K206" s="24"/>
      <c r="L206" s="424">
        <v>0.375</v>
      </c>
      <c r="M206" s="51">
        <v>0.70833333333333337</v>
      </c>
      <c r="N206" s="49">
        <f t="shared" si="123"/>
        <v>8</v>
      </c>
      <c r="O206" s="24"/>
      <c r="P206" s="48"/>
      <c r="Q206" s="48"/>
      <c r="R206" s="49">
        <f t="shared" si="124"/>
        <v>0</v>
      </c>
      <c r="S206" s="24"/>
      <c r="T206" s="48"/>
      <c r="U206" s="48"/>
      <c r="V206" s="49">
        <f t="shared" si="125"/>
        <v>0</v>
      </c>
      <c r="W206" s="24"/>
      <c r="X206" s="48"/>
      <c r="Y206" s="48"/>
      <c r="Z206" s="49">
        <f t="shared" si="126"/>
        <v>0</v>
      </c>
      <c r="AA206" s="24"/>
      <c r="AB206" s="48"/>
      <c r="AC206" s="48"/>
      <c r="AD206" s="49">
        <f t="shared" si="127"/>
        <v>0</v>
      </c>
      <c r="AE206" s="24"/>
      <c r="AF206" s="29">
        <f t="shared" si="128"/>
        <v>15.5</v>
      </c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</row>
    <row r="207" spans="1:55" s="2" customFormat="1" ht="54">
      <c r="A207"/>
      <c r="B207" s="13" t="s">
        <v>743</v>
      </c>
      <c r="C207" s="13" t="s">
        <v>763</v>
      </c>
      <c r="D207" s="48"/>
      <c r="E207" s="48"/>
      <c r="F207" s="85">
        <f>(E207-D207)*24</f>
        <v>0</v>
      </c>
      <c r="G207" s="24"/>
      <c r="H207" s="48"/>
      <c r="I207" s="48"/>
      <c r="J207" s="49">
        <f>(I207-H207)*24</f>
        <v>0</v>
      </c>
      <c r="K207" s="24"/>
      <c r="L207" s="424"/>
      <c r="M207" s="51"/>
      <c r="N207" s="49">
        <f>(M207-L207)*24</f>
        <v>0</v>
      </c>
      <c r="O207" s="24"/>
      <c r="P207" s="51">
        <v>0.375</v>
      </c>
      <c r="Q207" s="51">
        <v>0.70833333333333337</v>
      </c>
      <c r="R207" s="49">
        <f>(Q207-P207)*24</f>
        <v>8</v>
      </c>
      <c r="S207" s="24"/>
      <c r="T207" s="48"/>
      <c r="U207" s="48"/>
      <c r="V207" s="49">
        <f>(U207-T207)*24</f>
        <v>0</v>
      </c>
      <c r="W207" s="24"/>
      <c r="X207" s="48"/>
      <c r="Y207" s="48"/>
      <c r="Z207" s="49">
        <f>(Y207-X207)*24</f>
        <v>0</v>
      </c>
      <c r="AA207" s="24"/>
      <c r="AB207" s="48"/>
      <c r="AC207" s="48"/>
      <c r="AD207" s="49">
        <f>(AC207-AB207)*24</f>
        <v>0</v>
      </c>
      <c r="AE207" s="24"/>
      <c r="AF207" s="29">
        <f>J207+F207+N207+R207+V207+Z207+AD207</f>
        <v>8</v>
      </c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</row>
    <row r="208" spans="1:55" s="2" customFormat="1" ht="54">
      <c r="A208"/>
      <c r="B208" s="13" t="s">
        <v>714</v>
      </c>
      <c r="C208" s="13" t="s">
        <v>763</v>
      </c>
      <c r="D208" s="48"/>
      <c r="E208" s="48"/>
      <c r="F208" s="85">
        <f t="shared" si="121"/>
        <v>0</v>
      </c>
      <c r="G208" s="24"/>
      <c r="H208" s="48">
        <v>0.375</v>
      </c>
      <c r="I208" s="48">
        <v>0.6875</v>
      </c>
      <c r="J208" s="49">
        <f t="shared" si="122"/>
        <v>7.5</v>
      </c>
      <c r="K208" s="24"/>
      <c r="L208" s="427"/>
      <c r="M208" s="48"/>
      <c r="N208" s="49">
        <f t="shared" ref="N208" si="129">(M208-L208)*24</f>
        <v>0</v>
      </c>
      <c r="O208" s="24"/>
      <c r="P208" s="51">
        <v>0.375</v>
      </c>
      <c r="Q208" s="51">
        <v>0.70833333333333337</v>
      </c>
      <c r="R208" s="49">
        <f t="shared" ref="R208" si="130">(Q208-P208)*24</f>
        <v>8</v>
      </c>
      <c r="S208" s="24"/>
      <c r="T208" s="48"/>
      <c r="U208" s="48"/>
      <c r="V208" s="49">
        <f t="shared" ref="V208" si="131">(U208-T208)*24</f>
        <v>0</v>
      </c>
      <c r="W208" s="24"/>
      <c r="X208" s="48"/>
      <c r="Y208" s="48"/>
      <c r="Z208" s="49">
        <f t="shared" ref="Z208" si="132">(Y208-X208)*24</f>
        <v>0</v>
      </c>
      <c r="AA208" s="24"/>
      <c r="AB208" s="48"/>
      <c r="AC208" s="48"/>
      <c r="AD208" s="49">
        <f t="shared" ref="AD208" si="133">(AC208-AB208)*24</f>
        <v>0</v>
      </c>
      <c r="AE208" s="24"/>
      <c r="AF208" s="29">
        <f t="shared" ref="AF208" si="134">J208+F208+N208+R208+V208+Z208+AD208</f>
        <v>15.5</v>
      </c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</row>
    <row r="209" spans="1:55" s="2" customFormat="1" ht="27">
      <c r="A209"/>
      <c r="B209" s="13" t="s">
        <v>54</v>
      </c>
      <c r="C209" s="13" t="s">
        <v>765</v>
      </c>
      <c r="D209" s="51">
        <v>0.375</v>
      </c>
      <c r="E209" s="48">
        <v>0.72916666666666663</v>
      </c>
      <c r="F209" s="85">
        <f>(E209-D209)*24</f>
        <v>8.5</v>
      </c>
      <c r="G209" s="24"/>
      <c r="H209" s="48">
        <v>0.375</v>
      </c>
      <c r="I209" s="51">
        <v>0.70833333333333337</v>
      </c>
      <c r="J209" s="49">
        <f>(I209-H209)*24</f>
        <v>8</v>
      </c>
      <c r="K209" s="24"/>
      <c r="L209" s="427"/>
      <c r="M209" s="48"/>
      <c r="N209" s="49">
        <f>(M209-L209)*24</f>
        <v>0</v>
      </c>
      <c r="O209" s="24"/>
      <c r="P209" s="48"/>
      <c r="Q209" s="48"/>
      <c r="R209" s="49">
        <f>(Q209-P209)*24</f>
        <v>0</v>
      </c>
      <c r="S209" s="24"/>
      <c r="T209" s="48"/>
      <c r="U209" s="48"/>
      <c r="V209" s="49">
        <f>(U209-T209)*24</f>
        <v>0</v>
      </c>
      <c r="W209" s="24"/>
      <c r="X209" s="48"/>
      <c r="Y209" s="48"/>
      <c r="Z209" s="49">
        <f>(Y209-X209)*24</f>
        <v>0</v>
      </c>
      <c r="AA209" s="24"/>
      <c r="AB209" s="48"/>
      <c r="AC209" s="48"/>
      <c r="AD209" s="49">
        <f>(AC209-AB209)*24</f>
        <v>0</v>
      </c>
      <c r="AE209" s="24"/>
      <c r="AF209" s="29">
        <f>J209+F209+N209+R209+V209+Z209+AD209</f>
        <v>16.5</v>
      </c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</row>
    <row r="210" spans="1:55" s="2" customFormat="1" ht="27">
      <c r="A210"/>
      <c r="B210" s="13" t="s">
        <v>653</v>
      </c>
      <c r="C210" s="13" t="s">
        <v>765</v>
      </c>
      <c r="D210" s="48">
        <v>0.41666666666666669</v>
      </c>
      <c r="E210" s="48">
        <v>0.72916666666666663</v>
      </c>
      <c r="F210" s="85">
        <f>(E210-D210)*24</f>
        <v>7.4999999999999982</v>
      </c>
      <c r="G210" s="24"/>
      <c r="H210" s="48">
        <v>0.375</v>
      </c>
      <c r="I210" s="51">
        <v>0.70833333333333337</v>
      </c>
      <c r="J210" s="49">
        <f>(I210-H210)*24</f>
        <v>8</v>
      </c>
      <c r="K210" s="24"/>
      <c r="L210" s="424">
        <v>0.375</v>
      </c>
      <c r="M210" s="51">
        <v>0.72916666666666663</v>
      </c>
      <c r="N210" s="49">
        <f>(M210-L210)*24</f>
        <v>8.5</v>
      </c>
      <c r="O210" s="24"/>
      <c r="P210" s="51">
        <v>0.375</v>
      </c>
      <c r="Q210" s="51">
        <v>0.77083333333333337</v>
      </c>
      <c r="R210" s="49">
        <f>(Q210-P210)*24</f>
        <v>9.5</v>
      </c>
      <c r="S210" s="24"/>
      <c r="T210" s="48"/>
      <c r="U210" s="48"/>
      <c r="V210" s="49">
        <f>(U210-T210)*24</f>
        <v>0</v>
      </c>
      <c r="W210" s="24"/>
      <c r="X210" s="48"/>
      <c r="Y210" s="48"/>
      <c r="Z210" s="49">
        <f>(Y210-X210)*24</f>
        <v>0</v>
      </c>
      <c r="AA210" s="24"/>
      <c r="AB210" s="48"/>
      <c r="AC210" s="48"/>
      <c r="AD210" s="49">
        <f>(AC210-AB210)*24</f>
        <v>0</v>
      </c>
      <c r="AE210" s="24"/>
      <c r="AF210" s="29">
        <f>J210+F210+N210+R210+V210+Z210+AD210</f>
        <v>33.5</v>
      </c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</row>
    <row r="211" spans="1:55" s="2" customFormat="1" ht="27">
      <c r="A211"/>
      <c r="B211" s="13" t="s">
        <v>743</v>
      </c>
      <c r="C211" s="13" t="s">
        <v>765</v>
      </c>
      <c r="D211" s="48">
        <v>0.41666666666666669</v>
      </c>
      <c r="E211" s="48">
        <v>0.72916666666666663</v>
      </c>
      <c r="F211" s="85">
        <f t="shared" si="121"/>
        <v>7.4999999999999982</v>
      </c>
      <c r="G211" s="24"/>
      <c r="H211" s="48">
        <v>0.375</v>
      </c>
      <c r="I211" s="51">
        <v>0.70833333333333337</v>
      </c>
      <c r="J211" s="49">
        <f t="shared" si="122"/>
        <v>8</v>
      </c>
      <c r="K211" s="24"/>
      <c r="L211" s="424">
        <v>0.375</v>
      </c>
      <c r="M211" s="51">
        <v>0.72916666666666663</v>
      </c>
      <c r="N211" s="49">
        <f t="shared" si="123"/>
        <v>8.5</v>
      </c>
      <c r="O211" s="24"/>
      <c r="P211" s="51"/>
      <c r="Q211" s="51"/>
      <c r="R211" s="49">
        <f t="shared" si="124"/>
        <v>0</v>
      </c>
      <c r="S211" s="24"/>
      <c r="T211" s="48"/>
      <c r="U211" s="48"/>
      <c r="V211" s="49">
        <f t="shared" si="125"/>
        <v>0</v>
      </c>
      <c r="W211" s="24"/>
      <c r="X211" s="48"/>
      <c r="Y211" s="48"/>
      <c r="Z211" s="49">
        <f t="shared" si="126"/>
        <v>0</v>
      </c>
      <c r="AA211" s="24"/>
      <c r="AB211" s="48"/>
      <c r="AC211" s="48"/>
      <c r="AD211" s="49">
        <f t="shared" si="127"/>
        <v>0</v>
      </c>
      <c r="AE211" s="24"/>
      <c r="AF211" s="29">
        <f>J211+F211+N211+R211+V211+Z211+AD211</f>
        <v>24</v>
      </c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</row>
    <row r="212" spans="1:55" s="2" customFormat="1" ht="27">
      <c r="A212"/>
      <c r="B212" s="13" t="s">
        <v>637</v>
      </c>
      <c r="C212" s="13" t="s">
        <v>765</v>
      </c>
      <c r="D212" s="48"/>
      <c r="E212" s="48"/>
      <c r="F212" s="85">
        <f t="shared" ref="F212" si="135">(E212-D212)*24</f>
        <v>0</v>
      </c>
      <c r="G212" s="24"/>
      <c r="H212" s="48"/>
      <c r="I212" s="51"/>
      <c r="J212" s="49">
        <f t="shared" ref="J212" si="136">(I212-H212)*24</f>
        <v>0</v>
      </c>
      <c r="K212" s="24"/>
      <c r="L212" s="424"/>
      <c r="M212" s="51"/>
      <c r="N212" s="49">
        <f t="shared" ref="N212" si="137">(M212-L212)*24</f>
        <v>0</v>
      </c>
      <c r="O212" s="24"/>
      <c r="P212" s="424">
        <v>0.41666666666666669</v>
      </c>
      <c r="Q212" s="51">
        <v>0.9375</v>
      </c>
      <c r="R212" s="49">
        <f t="shared" ref="R212" si="138">(Q212-P212)*24</f>
        <v>12.499999999999998</v>
      </c>
      <c r="S212" s="24"/>
      <c r="T212" s="48"/>
      <c r="U212" s="48"/>
      <c r="V212" s="49">
        <f t="shared" ref="V212" si="139">(U212-T212)*24</f>
        <v>0</v>
      </c>
      <c r="W212" s="24"/>
      <c r="X212" s="48"/>
      <c r="Y212" s="48"/>
      <c r="Z212" s="49">
        <f t="shared" ref="Z212" si="140">(Y212-X212)*24</f>
        <v>0</v>
      </c>
      <c r="AA212" s="24"/>
      <c r="AB212" s="48"/>
      <c r="AC212" s="48"/>
      <c r="AD212" s="49">
        <f t="shared" ref="AD212" si="141">(AC212-AB212)*24</f>
        <v>0</v>
      </c>
      <c r="AE212" s="24"/>
      <c r="AF212" s="29">
        <f>J212+F212+N212+R212+V212+Z212+AD212</f>
        <v>12.499999999999998</v>
      </c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</row>
    <row r="213" spans="1:55" s="2" customFormat="1" ht="27">
      <c r="A213"/>
      <c r="B213" s="13" t="s">
        <v>572</v>
      </c>
      <c r="C213" s="13" t="s">
        <v>765</v>
      </c>
      <c r="D213" s="48"/>
      <c r="E213" s="48"/>
      <c r="F213" s="85">
        <f t="shared" si="121"/>
        <v>0</v>
      </c>
      <c r="G213" s="24"/>
      <c r="H213" s="48"/>
      <c r="I213" s="48"/>
      <c r="J213" s="49">
        <f t="shared" si="122"/>
        <v>0</v>
      </c>
      <c r="K213" s="24"/>
      <c r="L213" s="427">
        <v>0.35416666666666669</v>
      </c>
      <c r="M213" s="51">
        <v>0.72916666666666663</v>
      </c>
      <c r="N213" s="49">
        <f t="shared" ref="N213" si="142">(M213-L213)*24</f>
        <v>8.9999999999999982</v>
      </c>
      <c r="O213" s="24"/>
      <c r="P213" s="51"/>
      <c r="Q213" s="51"/>
      <c r="R213" s="49">
        <f t="shared" ref="R213" si="143">(Q213-P213)*24</f>
        <v>0</v>
      </c>
      <c r="S213" s="24"/>
      <c r="T213" s="48"/>
      <c r="U213" s="48"/>
      <c r="V213" s="49">
        <f t="shared" ref="V213" si="144">(U213-T213)*24</f>
        <v>0</v>
      </c>
      <c r="W213" s="24"/>
      <c r="X213" s="48"/>
      <c r="Y213" s="48"/>
      <c r="Z213" s="49">
        <f t="shared" ref="Z213" si="145">(Y213-X213)*24</f>
        <v>0</v>
      </c>
      <c r="AA213" s="24"/>
      <c r="AB213" s="48"/>
      <c r="AC213" s="48"/>
      <c r="AD213" s="49">
        <f t="shared" ref="AD213" si="146">(AC213-AB213)*24</f>
        <v>0</v>
      </c>
      <c r="AE213" s="24"/>
      <c r="AF213" s="29">
        <f t="shared" ref="AF213" si="147">J213+F213+N213+R213+V213+Z213+AD213</f>
        <v>8.9999999999999982</v>
      </c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</row>
    <row r="214" spans="1:55" s="2" customFormat="1" ht="27">
      <c r="A214"/>
      <c r="B214" s="13" t="s">
        <v>572</v>
      </c>
      <c r="C214" s="13" t="s">
        <v>766</v>
      </c>
      <c r="D214" s="48"/>
      <c r="E214" s="48"/>
      <c r="F214" s="85">
        <f>(E214-D214)*24</f>
        <v>0</v>
      </c>
      <c r="G214" s="24"/>
      <c r="H214" s="48"/>
      <c r="I214" s="48"/>
      <c r="J214" s="49">
        <f>(I214-H214)*24</f>
        <v>0</v>
      </c>
      <c r="K214" s="24"/>
      <c r="L214" s="424"/>
      <c r="M214" s="48"/>
      <c r="N214" s="49">
        <f>(M214-L214)*24</f>
        <v>0</v>
      </c>
      <c r="O214" s="24"/>
      <c r="P214" s="51">
        <v>0.35416666666666669</v>
      </c>
      <c r="Q214" s="51">
        <v>0.58333333333333337</v>
      </c>
      <c r="R214" s="49">
        <f>(Q214-P214)*24</f>
        <v>5.5</v>
      </c>
      <c r="S214" s="24"/>
      <c r="T214" s="48"/>
      <c r="U214" s="48"/>
      <c r="V214" s="49">
        <f>(U214-T214)*24</f>
        <v>0</v>
      </c>
      <c r="W214" s="24"/>
      <c r="X214" s="48"/>
      <c r="Y214" s="48"/>
      <c r="Z214" s="49">
        <f>(Y214-X214)*24</f>
        <v>0</v>
      </c>
      <c r="AA214" s="24"/>
      <c r="AB214" s="48"/>
      <c r="AC214" s="48"/>
      <c r="AD214" s="49">
        <f>(AC214-AB214)*24</f>
        <v>0</v>
      </c>
      <c r="AE214" s="24"/>
      <c r="AF214" s="29">
        <f>J214+F214+N214+R214+V214+Z214+AD214</f>
        <v>5.5</v>
      </c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</row>
    <row r="215" spans="1:55" s="2" customFormat="1" ht="14.25">
      <c r="A215"/>
      <c r="B215" s="13" t="s">
        <v>572</v>
      </c>
      <c r="C215" s="13" t="s">
        <v>767</v>
      </c>
      <c r="D215" s="48"/>
      <c r="E215" s="48"/>
      <c r="F215" s="85">
        <f>(E215-D215)*24</f>
        <v>0</v>
      </c>
      <c r="G215" s="24"/>
      <c r="H215" s="48"/>
      <c r="I215" s="48"/>
      <c r="J215" s="49">
        <f>(I215-H215)*24</f>
        <v>0</v>
      </c>
      <c r="K215" s="24"/>
      <c r="L215" s="424"/>
      <c r="M215" s="48"/>
      <c r="N215" s="49">
        <f>(M215-L215)*24</f>
        <v>0</v>
      </c>
      <c r="O215" s="24"/>
      <c r="P215" s="51">
        <v>0.66666666666666663</v>
      </c>
      <c r="Q215" s="51">
        <v>0.77083333333333337</v>
      </c>
      <c r="R215" s="49">
        <f>(Q215-P215)*24</f>
        <v>2.5000000000000018</v>
      </c>
      <c r="S215" s="24"/>
      <c r="T215" s="48"/>
      <c r="U215" s="48"/>
      <c r="V215" s="49">
        <f>(U215-T215)*24</f>
        <v>0</v>
      </c>
      <c r="W215" s="24"/>
      <c r="X215" s="48"/>
      <c r="Y215" s="48"/>
      <c r="Z215" s="49">
        <f>(Y215-X215)*24</f>
        <v>0</v>
      </c>
      <c r="AA215" s="24"/>
      <c r="AB215" s="48"/>
      <c r="AC215" s="48"/>
      <c r="AD215" s="49">
        <f>(AC215-AB215)*24</f>
        <v>0</v>
      </c>
      <c r="AE215" s="24"/>
      <c r="AF215" s="29">
        <f>J215+F215+N215+R215+V215+Z215+AD215</f>
        <v>2.5000000000000018</v>
      </c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</row>
    <row r="216" spans="1:55" s="2" customFormat="1" ht="27">
      <c r="A216"/>
      <c r="B216" s="13" t="s">
        <v>572</v>
      </c>
      <c r="C216" s="13" t="s">
        <v>747</v>
      </c>
      <c r="D216" s="48"/>
      <c r="E216" s="48"/>
      <c r="F216" s="85">
        <f>(E216-D216)*24</f>
        <v>0</v>
      </c>
      <c r="G216" s="24"/>
      <c r="H216" s="48"/>
      <c r="I216" s="48"/>
      <c r="J216" s="49">
        <f>(I216-H216)*24</f>
        <v>0</v>
      </c>
      <c r="K216" s="24"/>
      <c r="L216" s="424"/>
      <c r="M216" s="48"/>
      <c r="N216" s="49">
        <f>(M216-L216)*24</f>
        <v>0</v>
      </c>
      <c r="O216" s="24"/>
      <c r="P216" s="51"/>
      <c r="Q216" s="51"/>
      <c r="R216" s="49">
        <f>(Q216-P216)*24</f>
        <v>0</v>
      </c>
      <c r="S216" s="24"/>
      <c r="T216" s="48">
        <v>0.70833333333333337</v>
      </c>
      <c r="U216" s="48">
        <v>0.75</v>
      </c>
      <c r="V216" s="49">
        <f>(U216-T216)*24</f>
        <v>0.99999999999999911</v>
      </c>
      <c r="W216" s="24"/>
      <c r="X216" s="48"/>
      <c r="Y216" s="48"/>
      <c r="Z216" s="49">
        <f>(Y216-X216)*24</f>
        <v>0</v>
      </c>
      <c r="AA216" s="24"/>
      <c r="AB216" s="48"/>
      <c r="AC216" s="48"/>
      <c r="AD216" s="49">
        <f>(AC216-AB216)*24</f>
        <v>0</v>
      </c>
      <c r="AE216" s="24"/>
      <c r="AF216" s="29">
        <f>J216+F216+N216+R216+V216+Z216+AD216</f>
        <v>0.99999999999999911</v>
      </c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</row>
    <row r="217" spans="1:55" s="2" customFormat="1">
      <c r="A217"/>
      <c r="B217" s="63" t="s">
        <v>61</v>
      </c>
      <c r="C217" s="63"/>
      <c r="D217" s="63"/>
      <c r="E217" s="63"/>
      <c r="F217" s="86">
        <f>SUM(F201:F211)</f>
        <v>40</v>
      </c>
      <c r="G217" s="63"/>
      <c r="H217" s="63"/>
      <c r="I217" s="63"/>
      <c r="J217" s="86">
        <f>SUM(J201:J211)</f>
        <v>54</v>
      </c>
      <c r="K217" s="63"/>
      <c r="L217" s="99"/>
      <c r="M217" s="63"/>
      <c r="N217" s="86">
        <f>SUM(N201:N211)</f>
        <v>33</v>
      </c>
      <c r="O217" s="63"/>
      <c r="P217" s="63"/>
      <c r="Q217" s="63"/>
      <c r="R217" s="86">
        <f>SUM(R201:R211)</f>
        <v>33.5</v>
      </c>
      <c r="S217" s="63"/>
      <c r="T217" s="63"/>
      <c r="U217" s="63"/>
      <c r="V217" s="86">
        <f>SUM(V201:V211)</f>
        <v>0</v>
      </c>
      <c r="W217" s="63"/>
      <c r="X217" s="63"/>
      <c r="Y217" s="63"/>
      <c r="Z217" s="86">
        <f>SUM(Z201:Z211)</f>
        <v>0</v>
      </c>
      <c r="AA217" s="63"/>
      <c r="AB217" s="63"/>
      <c r="AC217" s="63"/>
      <c r="AD217" s="82">
        <f>SUM(AD201:AD211)</f>
        <v>0</v>
      </c>
      <c r="AE217" s="46"/>
      <c r="AF217" s="30">
        <f>SUM(AF202:AF211)</f>
        <v>160.5</v>
      </c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</row>
    <row r="218" spans="1:55" s="2" customFormat="1">
      <c r="A218"/>
      <c r="B218" s="31" t="s">
        <v>577</v>
      </c>
      <c r="C218" s="31"/>
      <c r="D218" s="91"/>
      <c r="E218" s="83"/>
      <c r="F218" s="87"/>
      <c r="G218" s="83"/>
      <c r="H218" s="83"/>
      <c r="I218" s="83"/>
      <c r="J218" s="87"/>
      <c r="K218" s="83"/>
      <c r="L218" s="425"/>
      <c r="M218" s="83"/>
      <c r="N218" s="87"/>
      <c r="O218" s="83"/>
      <c r="P218" s="83"/>
      <c r="Q218" s="83"/>
      <c r="R218" s="87">
        <v>4</v>
      </c>
      <c r="S218" s="83"/>
      <c r="T218" s="83"/>
      <c r="U218" s="83"/>
      <c r="V218" s="87"/>
      <c r="W218" s="83"/>
      <c r="X218" s="83"/>
      <c r="Y218" s="83"/>
      <c r="Z218" s="87"/>
      <c r="AA218" s="83"/>
      <c r="AB218" s="83"/>
      <c r="AC218" s="83"/>
      <c r="AD218" s="83"/>
      <c r="AE218" s="45"/>
      <c r="AF218" s="28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</row>
    <row r="219" spans="1:55" s="2" customFormat="1">
      <c r="A219"/>
      <c r="B219" s="31" t="s">
        <v>578</v>
      </c>
      <c r="C219" s="31"/>
      <c r="D219" s="91"/>
      <c r="E219" s="83"/>
      <c r="F219" s="87"/>
      <c r="G219" s="83"/>
      <c r="H219" s="83"/>
      <c r="I219" s="83"/>
      <c r="J219" s="87"/>
      <c r="K219" s="83"/>
      <c r="L219" s="425"/>
      <c r="M219" s="83"/>
      <c r="N219" s="87"/>
      <c r="O219" s="83"/>
      <c r="P219" s="83"/>
      <c r="Q219" s="83"/>
      <c r="R219" s="87">
        <v>2</v>
      </c>
      <c r="S219" s="83"/>
      <c r="T219" s="83"/>
      <c r="U219" s="83"/>
      <c r="V219" s="87"/>
      <c r="W219" s="83"/>
      <c r="X219" s="83"/>
      <c r="Y219" s="83"/>
      <c r="Z219" s="87"/>
      <c r="AA219" s="83"/>
      <c r="AB219" s="83"/>
      <c r="AC219" s="83"/>
      <c r="AD219" s="83"/>
      <c r="AE219" s="45"/>
      <c r="AF219" s="28">
        <f>SUM(D219:AD219)</f>
        <v>2</v>
      </c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</row>
    <row r="220" spans="1:55" s="2" customFormat="1" ht="14.25" thickBot="1">
      <c r="A220"/>
      <c r="B220" s="74" t="s">
        <v>579</v>
      </c>
      <c r="C220" s="74"/>
      <c r="D220" s="92"/>
      <c r="E220" s="92"/>
      <c r="F220" s="93"/>
      <c r="G220" s="92"/>
      <c r="H220" s="92"/>
      <c r="I220" s="92"/>
      <c r="J220" s="93"/>
      <c r="K220" s="92"/>
      <c r="L220" s="426"/>
      <c r="M220" s="92"/>
      <c r="N220" s="93"/>
      <c r="O220" s="92"/>
      <c r="P220" s="92"/>
      <c r="Q220" s="92"/>
      <c r="R220" s="93"/>
      <c r="S220" s="92"/>
      <c r="T220" s="92"/>
      <c r="U220" s="92"/>
      <c r="V220" s="93"/>
      <c r="W220" s="94"/>
      <c r="X220" s="94"/>
      <c r="Y220" s="94"/>
      <c r="Z220" s="93"/>
      <c r="AA220" s="94"/>
      <c r="AB220" s="94"/>
      <c r="AC220" s="94"/>
      <c r="AD220" s="94"/>
      <c r="AE220" s="94"/>
      <c r="AF220" s="80">
        <f>SUM(D220:AD220)</f>
        <v>0</v>
      </c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</row>
    <row r="221" spans="1:55" s="2" customFormat="1" ht="14.25" thickTop="1">
      <c r="A221"/>
      <c r="B221" s="71" t="s">
        <v>66</v>
      </c>
      <c r="C221" s="421"/>
      <c r="D221" s="3"/>
      <c r="E221" s="3"/>
      <c r="F221" s="88">
        <f>SUM(F218:F220)</f>
        <v>0</v>
      </c>
      <c r="G221" s="3"/>
      <c r="H221" s="3"/>
      <c r="I221" s="3"/>
      <c r="J221" s="88">
        <f>SUM(J218:J220)</f>
        <v>0</v>
      </c>
      <c r="K221" s="3"/>
      <c r="L221" s="423"/>
      <c r="M221" s="3"/>
      <c r="N221" s="88">
        <f>SUM(N218:N220)</f>
        <v>0</v>
      </c>
      <c r="O221" s="3"/>
      <c r="P221" s="3"/>
      <c r="Q221" s="3"/>
      <c r="R221" s="88">
        <f>SUM(R218:R220)</f>
        <v>6</v>
      </c>
      <c r="S221" s="3"/>
      <c r="T221" s="3"/>
      <c r="U221" s="3"/>
      <c r="V221" s="88">
        <f>SUM(V218:V220)</f>
        <v>0</v>
      </c>
      <c r="W221" s="3"/>
      <c r="X221" s="3"/>
      <c r="Y221" s="3"/>
      <c r="Z221" s="88">
        <f>SUM(Z218:Z220)</f>
        <v>0</v>
      </c>
      <c r="AA221" s="3"/>
      <c r="AB221" s="3"/>
      <c r="AC221" s="3"/>
      <c r="AD221" s="67">
        <f>SUM(AD218:AD220)</f>
        <v>0</v>
      </c>
      <c r="AE221" s="3"/>
      <c r="AF221" s="71">
        <f>SUM(F221:AD221)</f>
        <v>6</v>
      </c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</row>
    <row r="222" spans="1:55" s="2" customFormat="1">
      <c r="A222"/>
      <c r="B222" s="1518" t="s">
        <v>18</v>
      </c>
      <c r="C222" s="1528" t="s">
        <v>571</v>
      </c>
      <c r="D222" s="1524">
        <v>45376</v>
      </c>
      <c r="E222" s="1524"/>
      <c r="F222" s="1524"/>
      <c r="G222" s="22"/>
      <c r="H222" s="1524">
        <f>D222+1</f>
        <v>45377</v>
      </c>
      <c r="I222" s="1524"/>
      <c r="J222" s="1524"/>
      <c r="K222" s="22"/>
      <c r="L222" s="1524">
        <f>H222+1</f>
        <v>45378</v>
      </c>
      <c r="M222" s="1524"/>
      <c r="N222" s="1524"/>
      <c r="O222" s="3"/>
      <c r="P222" s="1524">
        <f>L222+1</f>
        <v>45379</v>
      </c>
      <c r="Q222" s="1524"/>
      <c r="R222" s="1524"/>
      <c r="S222" s="3"/>
      <c r="T222" s="1524">
        <f>P222+1</f>
        <v>45380</v>
      </c>
      <c r="U222" s="1524"/>
      <c r="V222" s="1524"/>
      <c r="W222" s="22"/>
      <c r="X222" s="1524">
        <f>T222+1</f>
        <v>45381</v>
      </c>
      <c r="Y222" s="1524"/>
      <c r="Z222" s="1524"/>
      <c r="AA222" s="3"/>
      <c r="AB222" s="1524">
        <f>X222+1</f>
        <v>45382</v>
      </c>
      <c r="AC222" s="1524"/>
      <c r="AD222" s="1524"/>
      <c r="AE222" s="22"/>
      <c r="AF222" s="1517" t="s">
        <v>19</v>
      </c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</row>
    <row r="223" spans="1:55" s="2" customFormat="1">
      <c r="A223"/>
      <c r="B223" s="1518"/>
      <c r="C223" s="1528"/>
      <c r="D223" s="21" t="s">
        <v>23</v>
      </c>
      <c r="E223" s="21" t="s">
        <v>24</v>
      </c>
      <c r="F223" s="62" t="s">
        <v>25</v>
      </c>
      <c r="G223" s="23"/>
      <c r="H223" s="21" t="s">
        <v>23</v>
      </c>
      <c r="I223" s="21" t="s">
        <v>24</v>
      </c>
      <c r="J223" s="18" t="s">
        <v>25</v>
      </c>
      <c r="K223" s="23"/>
      <c r="L223" s="21" t="s">
        <v>23</v>
      </c>
      <c r="M223" s="21" t="s">
        <v>24</v>
      </c>
      <c r="N223" s="18" t="s">
        <v>25</v>
      </c>
      <c r="O223" s="23"/>
      <c r="P223" s="21" t="s">
        <v>23</v>
      </c>
      <c r="Q223" s="21" t="s">
        <v>24</v>
      </c>
      <c r="R223" s="18" t="s">
        <v>25</v>
      </c>
      <c r="S223" s="23"/>
      <c r="T223" s="21" t="s">
        <v>23</v>
      </c>
      <c r="U223" s="21" t="s">
        <v>24</v>
      </c>
      <c r="V223" s="18" t="s">
        <v>25</v>
      </c>
      <c r="W223" s="23"/>
      <c r="X223" s="21" t="s">
        <v>23</v>
      </c>
      <c r="Y223" s="21" t="s">
        <v>24</v>
      </c>
      <c r="Z223" s="18" t="s">
        <v>25</v>
      </c>
      <c r="AA223" s="23"/>
      <c r="AB223" s="21" t="s">
        <v>23</v>
      </c>
      <c r="AC223" s="21" t="s">
        <v>24</v>
      </c>
      <c r="AD223" s="18" t="s">
        <v>25</v>
      </c>
      <c r="AE223" s="23"/>
      <c r="AF223" s="1517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</row>
    <row r="224" spans="1:55" s="2" customFormat="1" ht="27">
      <c r="A224"/>
      <c r="B224" s="13" t="s">
        <v>743</v>
      </c>
      <c r="C224" s="13" t="s">
        <v>752</v>
      </c>
      <c r="D224" s="51">
        <v>0.3125</v>
      </c>
      <c r="E224" s="48">
        <v>0.375</v>
      </c>
      <c r="F224" s="85">
        <f>(E224-D224)*24</f>
        <v>1.5</v>
      </c>
      <c r="G224" s="24"/>
      <c r="H224" s="51"/>
      <c r="I224" s="51"/>
      <c r="J224" s="49">
        <f>(I224-H224)*24</f>
        <v>0</v>
      </c>
      <c r="K224" s="24"/>
      <c r="L224" s="424"/>
      <c r="M224" s="51"/>
      <c r="N224" s="49">
        <f>(M224-L224)*24</f>
        <v>0</v>
      </c>
      <c r="O224" s="24"/>
      <c r="P224" s="48"/>
      <c r="Q224" s="48"/>
      <c r="R224" s="49">
        <f>(Q224-P224)*24</f>
        <v>0</v>
      </c>
      <c r="S224" s="24"/>
      <c r="T224" s="48"/>
      <c r="U224" s="48"/>
      <c r="V224" s="49">
        <f>(U224-T224)*24</f>
        <v>0</v>
      </c>
      <c r="W224" s="24"/>
      <c r="X224" s="48"/>
      <c r="Y224" s="48"/>
      <c r="Z224" s="49">
        <f>(Y224-X224)*24</f>
        <v>0</v>
      </c>
      <c r="AA224" s="24"/>
      <c r="AB224" s="48"/>
      <c r="AC224" s="48"/>
      <c r="AD224" s="49">
        <f>(AC224-AB224)*24</f>
        <v>0</v>
      </c>
      <c r="AE224" s="24"/>
      <c r="AF224" s="29">
        <f>J224+F224+N224+R224+V224+Z224+AD224</f>
        <v>1.5</v>
      </c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</row>
    <row r="225" spans="1:55" s="2" customFormat="1" ht="54">
      <c r="A225"/>
      <c r="B225" s="13" t="s">
        <v>576</v>
      </c>
      <c r="C225" s="13" t="s">
        <v>763</v>
      </c>
      <c r="D225" s="48">
        <v>0.36458333333333331</v>
      </c>
      <c r="E225" s="48">
        <v>0.75</v>
      </c>
      <c r="F225" s="85">
        <f>(E225-D225)*24</f>
        <v>9.25</v>
      </c>
      <c r="G225" s="24"/>
      <c r="H225" s="51"/>
      <c r="I225" s="51"/>
      <c r="J225" s="49">
        <f>(I225-H225)*24</f>
        <v>0</v>
      </c>
      <c r="K225" s="24"/>
      <c r="L225" s="424"/>
      <c r="M225" s="51"/>
      <c r="N225" s="49">
        <f t="shared" ref="N225:N233" si="148">(M225-L225)*24</f>
        <v>0</v>
      </c>
      <c r="O225" s="24"/>
      <c r="P225" s="48"/>
      <c r="Q225" s="48"/>
      <c r="R225" s="49">
        <f t="shared" ref="R225:R233" si="149">(Q225-P225)*24</f>
        <v>0</v>
      </c>
      <c r="S225" s="24"/>
      <c r="T225" s="48"/>
      <c r="U225" s="48"/>
      <c r="V225" s="49">
        <f t="shared" ref="V225:V233" si="150">(U225-T225)*24</f>
        <v>0</v>
      </c>
      <c r="W225" s="24"/>
      <c r="X225" s="48"/>
      <c r="Y225" s="48"/>
      <c r="Z225" s="49">
        <f t="shared" ref="Z225:Z233" si="151">(Y225-X225)*24</f>
        <v>0</v>
      </c>
      <c r="AA225" s="24"/>
      <c r="AB225" s="48"/>
      <c r="AC225" s="48"/>
      <c r="AD225" s="49">
        <f t="shared" ref="AD225:AD233" si="152">(AC225-AB225)*24</f>
        <v>0</v>
      </c>
      <c r="AE225" s="24"/>
      <c r="AF225" s="29">
        <f t="shared" ref="AF225:AF233" si="153">J225+F225+N225+R225+V225+Z225+AD225</f>
        <v>9.25</v>
      </c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</row>
    <row r="226" spans="1:55" s="2" customFormat="1" ht="54">
      <c r="A226"/>
      <c r="B226" s="13" t="s">
        <v>714</v>
      </c>
      <c r="C226" s="13" t="s">
        <v>763</v>
      </c>
      <c r="D226" s="48">
        <v>0.33333333333333331</v>
      </c>
      <c r="E226" s="48">
        <v>0.75</v>
      </c>
      <c r="F226" s="85">
        <f t="shared" ref="F226:F233" si="154">(E226-D226)*24</f>
        <v>10</v>
      </c>
      <c r="G226" s="24"/>
      <c r="H226" s="48"/>
      <c r="I226" s="48"/>
      <c r="J226" s="49">
        <f t="shared" ref="J226:J233" si="155">(I226-H226)*24</f>
        <v>0</v>
      </c>
      <c r="K226" s="24"/>
      <c r="L226" s="427"/>
      <c r="M226" s="48"/>
      <c r="N226" s="49">
        <f t="shared" si="148"/>
        <v>0</v>
      </c>
      <c r="O226" s="24"/>
      <c r="P226" s="48"/>
      <c r="Q226" s="48"/>
      <c r="R226" s="49">
        <f t="shared" si="149"/>
        <v>0</v>
      </c>
      <c r="S226" s="24"/>
      <c r="T226" s="51"/>
      <c r="U226" s="51"/>
      <c r="V226" s="49">
        <f t="shared" si="150"/>
        <v>0</v>
      </c>
      <c r="W226" s="24"/>
      <c r="X226" s="48"/>
      <c r="Y226" s="48"/>
      <c r="Z226" s="49">
        <f t="shared" si="151"/>
        <v>0</v>
      </c>
      <c r="AA226" s="24"/>
      <c r="AB226" s="48"/>
      <c r="AC226" s="48"/>
      <c r="AD226" s="49">
        <f t="shared" si="152"/>
        <v>0</v>
      </c>
      <c r="AE226" s="24"/>
      <c r="AF226" s="29">
        <f t="shared" si="153"/>
        <v>10</v>
      </c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</row>
    <row r="227" spans="1:55" s="2" customFormat="1" ht="54">
      <c r="A227"/>
      <c r="B227" s="13" t="s">
        <v>743</v>
      </c>
      <c r="C227" s="13" t="s">
        <v>763</v>
      </c>
      <c r="D227" s="48">
        <v>0.41666666666666669</v>
      </c>
      <c r="E227" s="48">
        <v>0.75</v>
      </c>
      <c r="F227" s="85">
        <f t="shared" si="154"/>
        <v>8</v>
      </c>
      <c r="G227" s="24"/>
      <c r="H227" s="48"/>
      <c r="I227" s="48"/>
      <c r="J227" s="49">
        <f t="shared" si="155"/>
        <v>0</v>
      </c>
      <c r="K227" s="24"/>
      <c r="L227" s="427"/>
      <c r="M227" s="48"/>
      <c r="N227" s="49">
        <f t="shared" si="148"/>
        <v>0</v>
      </c>
      <c r="O227" s="24"/>
      <c r="P227" s="48"/>
      <c r="Q227" s="48"/>
      <c r="R227" s="49">
        <f t="shared" si="149"/>
        <v>0</v>
      </c>
      <c r="S227" s="24"/>
      <c r="T227" s="48"/>
      <c r="U227" s="48"/>
      <c r="V227" s="49">
        <f t="shared" si="150"/>
        <v>0</v>
      </c>
      <c r="W227" s="24"/>
      <c r="X227" s="48"/>
      <c r="Y227" s="48"/>
      <c r="Z227" s="49">
        <f t="shared" si="151"/>
        <v>0</v>
      </c>
      <c r="AA227" s="24"/>
      <c r="AB227" s="48"/>
      <c r="AC227" s="48"/>
      <c r="AD227" s="49">
        <f t="shared" si="152"/>
        <v>0</v>
      </c>
      <c r="AE227" s="24"/>
      <c r="AF227" s="29">
        <f t="shared" si="153"/>
        <v>8</v>
      </c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</row>
    <row r="228" spans="1:55" s="2" customFormat="1" ht="14.25">
      <c r="A228"/>
      <c r="B228" s="313" t="s">
        <v>572</v>
      </c>
      <c r="C228" s="13" t="s">
        <v>753</v>
      </c>
      <c r="D228" s="48">
        <v>0.33333333333333331</v>
      </c>
      <c r="E228" s="48">
        <v>0.79166666666666663</v>
      </c>
      <c r="F228" s="85">
        <f t="shared" si="154"/>
        <v>11</v>
      </c>
      <c r="G228" s="24"/>
      <c r="H228" s="48">
        <v>0.3125</v>
      </c>
      <c r="I228" s="48">
        <v>0.79166666666666663</v>
      </c>
      <c r="J228" s="49">
        <f t="shared" si="155"/>
        <v>11.5</v>
      </c>
      <c r="K228" s="24"/>
      <c r="L228" s="427">
        <v>0.3125</v>
      </c>
      <c r="M228" s="51">
        <v>0.70833333333333337</v>
      </c>
      <c r="N228" s="49">
        <f t="shared" si="148"/>
        <v>9.5</v>
      </c>
      <c r="O228" s="24"/>
      <c r="P228" s="48"/>
      <c r="Q228" s="48"/>
      <c r="R228" s="49">
        <f t="shared" si="149"/>
        <v>0</v>
      </c>
      <c r="S228" s="24"/>
      <c r="T228" s="48"/>
      <c r="U228" s="48"/>
      <c r="V228" s="49">
        <f t="shared" si="150"/>
        <v>0</v>
      </c>
      <c r="W228" s="24"/>
      <c r="X228" s="48"/>
      <c r="Y228" s="48"/>
      <c r="Z228" s="49">
        <f t="shared" si="151"/>
        <v>0</v>
      </c>
      <c r="AA228" s="24"/>
      <c r="AB228" s="48"/>
      <c r="AC228" s="48"/>
      <c r="AD228" s="49">
        <f t="shared" si="152"/>
        <v>0</v>
      </c>
      <c r="AE228" s="24"/>
      <c r="AF228" s="29">
        <f t="shared" si="153"/>
        <v>32</v>
      </c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</row>
    <row r="229" spans="1:55" s="2" customFormat="1" ht="14.25">
      <c r="A229"/>
      <c r="B229" s="13" t="s">
        <v>653</v>
      </c>
      <c r="C229" s="13" t="s">
        <v>753</v>
      </c>
      <c r="D229" s="48">
        <v>0.33333333333333331</v>
      </c>
      <c r="E229" s="48">
        <v>0.66666666666666663</v>
      </c>
      <c r="F229" s="85">
        <f t="shared" ref="F229:F230" si="156">(E229-D229)*24</f>
        <v>8</v>
      </c>
      <c r="G229" s="24"/>
      <c r="H229" s="48">
        <v>0.375</v>
      </c>
      <c r="I229" s="48">
        <v>0.875</v>
      </c>
      <c r="J229" s="49">
        <f t="shared" ref="J229:J230" si="157">(I229-H229)*24</f>
        <v>12</v>
      </c>
      <c r="K229" s="24"/>
      <c r="L229" s="427">
        <v>0.375</v>
      </c>
      <c r="M229" s="51">
        <v>0.70833333333333337</v>
      </c>
      <c r="N229" s="49">
        <f t="shared" ref="N229:N230" si="158">(M229-L229)*24</f>
        <v>8</v>
      </c>
      <c r="O229" s="24"/>
      <c r="P229" s="48">
        <v>0.375</v>
      </c>
      <c r="Q229" s="51">
        <v>0.66666666666666663</v>
      </c>
      <c r="R229" s="49">
        <f t="shared" ref="R229" si="159">(Q229-P229)*24</f>
        <v>6.9999999999999991</v>
      </c>
      <c r="S229" s="24"/>
      <c r="T229" s="48"/>
      <c r="U229" s="48"/>
      <c r="V229" s="49">
        <f t="shared" ref="V229" si="160">(U229-T229)*24</f>
        <v>0</v>
      </c>
      <c r="W229" s="24"/>
      <c r="X229" s="48"/>
      <c r="Y229" s="48"/>
      <c r="Z229" s="49">
        <f t="shared" ref="Z229" si="161">(Y229-X229)*24</f>
        <v>0</v>
      </c>
      <c r="AA229" s="24"/>
      <c r="AB229" s="48"/>
      <c r="AC229" s="48"/>
      <c r="AD229" s="49">
        <f t="shared" ref="AD229" si="162">(AC229-AB229)*24</f>
        <v>0</v>
      </c>
      <c r="AE229" s="24"/>
      <c r="AF229" s="29">
        <f t="shared" ref="AF229" si="163">J229+F229+N229+R229+V229+Z229+AD229</f>
        <v>35</v>
      </c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</row>
    <row r="230" spans="1:55" s="2" customFormat="1" ht="14.25">
      <c r="A230"/>
      <c r="B230" s="13" t="s">
        <v>743</v>
      </c>
      <c r="C230" s="13" t="s">
        <v>753</v>
      </c>
      <c r="D230" s="48"/>
      <c r="E230" s="48"/>
      <c r="F230" s="85">
        <f t="shared" si="156"/>
        <v>0</v>
      </c>
      <c r="G230" s="24"/>
      <c r="H230" s="48"/>
      <c r="I230" s="48"/>
      <c r="J230" s="49">
        <f t="shared" si="157"/>
        <v>0</v>
      </c>
      <c r="K230" s="24"/>
      <c r="L230" s="427"/>
      <c r="M230" s="48"/>
      <c r="N230" s="49">
        <f t="shared" si="158"/>
        <v>0</v>
      </c>
      <c r="O230" s="24"/>
      <c r="P230" s="48">
        <v>0.375</v>
      </c>
      <c r="Q230" s="51">
        <v>0.66666666666666663</v>
      </c>
      <c r="R230" s="49">
        <f t="shared" ref="R230:R231" si="164">(Q230-P230)*24</f>
        <v>6.9999999999999991</v>
      </c>
      <c r="S230" s="24"/>
      <c r="T230" s="48"/>
      <c r="U230" s="48"/>
      <c r="V230" s="49">
        <f t="shared" ref="V230:V231" si="165">(U230-T230)*24</f>
        <v>0</v>
      </c>
      <c r="W230" s="24"/>
      <c r="X230" s="48"/>
      <c r="Y230" s="48"/>
      <c r="Z230" s="49">
        <f t="shared" ref="Z230:Z231" si="166">(Y230-X230)*24</f>
        <v>0</v>
      </c>
      <c r="AA230" s="24"/>
      <c r="AB230" s="48"/>
      <c r="AC230" s="48"/>
      <c r="AD230" s="49">
        <f t="shared" ref="AD230:AD231" si="167">(AC230-AB230)*24</f>
        <v>0</v>
      </c>
      <c r="AE230" s="24"/>
      <c r="AF230" s="29">
        <f t="shared" ref="AF230:AF231" si="168">J230+F230+N230+R230+V230+Z230+AD230</f>
        <v>6.9999999999999991</v>
      </c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</row>
    <row r="231" spans="1:55" s="2" customFormat="1" ht="27">
      <c r="A231"/>
      <c r="B231" s="13" t="s">
        <v>743</v>
      </c>
      <c r="C231" s="442" t="s">
        <v>749</v>
      </c>
      <c r="D231" s="48"/>
      <c r="E231" s="48"/>
      <c r="F231" s="85">
        <f t="shared" ref="F231" si="169">(E231-D231)*24</f>
        <v>0</v>
      </c>
      <c r="G231" s="24"/>
      <c r="H231" s="51">
        <v>0.33333333333333331</v>
      </c>
      <c r="I231" s="51">
        <v>0.70833333333333337</v>
      </c>
      <c r="J231" s="49">
        <f t="shared" ref="J231" si="170">(I231-H231)*24</f>
        <v>9.0000000000000018</v>
      </c>
      <c r="K231" s="24"/>
      <c r="L231" s="427"/>
      <c r="M231" s="48"/>
      <c r="N231" s="49">
        <f t="shared" ref="N231" si="171">(M231-L231)*24</f>
        <v>0</v>
      </c>
      <c r="O231" s="24"/>
      <c r="P231" s="48"/>
      <c r="Q231" s="48"/>
      <c r="R231" s="49">
        <f t="shared" si="164"/>
        <v>0</v>
      </c>
      <c r="S231" s="24"/>
      <c r="T231" s="48"/>
      <c r="U231" s="48"/>
      <c r="V231" s="49">
        <f t="shared" si="165"/>
        <v>0</v>
      </c>
      <c r="W231" s="24"/>
      <c r="X231" s="48"/>
      <c r="Y231" s="48"/>
      <c r="Z231" s="49">
        <f t="shared" si="166"/>
        <v>0</v>
      </c>
      <c r="AA231" s="24"/>
      <c r="AB231" s="48"/>
      <c r="AC231" s="48"/>
      <c r="AD231" s="49">
        <f t="shared" si="167"/>
        <v>0</v>
      </c>
      <c r="AE231" s="24"/>
      <c r="AF231" s="29">
        <f t="shared" si="168"/>
        <v>9.0000000000000018</v>
      </c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</row>
    <row r="232" spans="1:55" s="2" customFormat="1" ht="19.5" customHeight="1">
      <c r="A232"/>
      <c r="B232" s="13" t="s">
        <v>54</v>
      </c>
      <c r="C232" s="13" t="s">
        <v>768</v>
      </c>
      <c r="D232" s="48"/>
      <c r="E232" s="48"/>
      <c r="F232" s="85">
        <f t="shared" ref="F232" si="172">(E232-D232)*24</f>
        <v>0</v>
      </c>
      <c r="G232" s="24"/>
      <c r="H232" s="48"/>
      <c r="I232" s="48"/>
      <c r="J232" s="49">
        <f t="shared" ref="J232" si="173">(I232-H232)*24</f>
        <v>0</v>
      </c>
      <c r="K232" s="24"/>
      <c r="L232" s="427"/>
      <c r="M232" s="48"/>
      <c r="N232" s="49">
        <f t="shared" ref="N232" si="174">(M232-L232)*24</f>
        <v>0</v>
      </c>
      <c r="O232" s="24"/>
      <c r="P232" s="48">
        <v>0.375</v>
      </c>
      <c r="Q232" s="51">
        <v>0.72916666666666663</v>
      </c>
      <c r="R232" s="49">
        <f t="shared" ref="R232" si="175">(Q232-P232)*24</f>
        <v>8.5</v>
      </c>
      <c r="S232" s="24"/>
      <c r="T232" s="48"/>
      <c r="U232" s="48"/>
      <c r="V232" s="49">
        <f t="shared" ref="V232" si="176">(U232-T232)*24</f>
        <v>0</v>
      </c>
      <c r="W232" s="24"/>
      <c r="X232" s="48"/>
      <c r="Y232" s="48"/>
      <c r="Z232" s="49">
        <f t="shared" ref="Z232" si="177">(Y232-X232)*24</f>
        <v>0</v>
      </c>
      <c r="AA232" s="24"/>
      <c r="AB232" s="48"/>
      <c r="AC232" s="48"/>
      <c r="AD232" s="49">
        <f t="shared" ref="AD232" si="178">(AC232-AB232)*24</f>
        <v>0</v>
      </c>
      <c r="AE232" s="24"/>
      <c r="AF232" s="29">
        <f t="shared" ref="AF232" si="179">J232+F232+N232+R232+V232+Z232+AD232</f>
        <v>8.5</v>
      </c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</row>
    <row r="233" spans="1:55" s="2" customFormat="1" ht="14.25">
      <c r="A233"/>
      <c r="B233" s="313" t="s">
        <v>572</v>
      </c>
      <c r="C233" s="13" t="s">
        <v>769</v>
      </c>
      <c r="D233" s="48"/>
      <c r="E233" s="48"/>
      <c r="F233" s="85">
        <f t="shared" si="154"/>
        <v>0</v>
      </c>
      <c r="G233" s="24"/>
      <c r="H233" s="48"/>
      <c r="I233" s="48"/>
      <c r="J233" s="49">
        <f t="shared" si="155"/>
        <v>0</v>
      </c>
      <c r="K233" s="24"/>
      <c r="L233" s="427"/>
      <c r="M233" s="48"/>
      <c r="N233" s="49">
        <f t="shared" si="148"/>
        <v>0</v>
      </c>
      <c r="O233" s="24"/>
      <c r="P233" s="48">
        <v>0.3125</v>
      </c>
      <c r="Q233" s="51">
        <v>0.45833333333333331</v>
      </c>
      <c r="R233" s="49">
        <f t="shared" si="149"/>
        <v>3.4999999999999996</v>
      </c>
      <c r="S233" s="24"/>
      <c r="T233" s="48"/>
      <c r="U233" s="48"/>
      <c r="V233" s="49">
        <f t="shared" si="150"/>
        <v>0</v>
      </c>
      <c r="W233" s="24"/>
      <c r="X233" s="48"/>
      <c r="Y233" s="48"/>
      <c r="Z233" s="49">
        <f t="shared" si="151"/>
        <v>0</v>
      </c>
      <c r="AA233" s="24"/>
      <c r="AB233" s="48"/>
      <c r="AC233" s="48"/>
      <c r="AD233" s="49">
        <f t="shared" si="152"/>
        <v>0</v>
      </c>
      <c r="AE233" s="24"/>
      <c r="AF233" s="29">
        <f t="shared" si="153"/>
        <v>3.4999999999999996</v>
      </c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</row>
    <row r="234" spans="1:55" s="2" customFormat="1">
      <c r="A234"/>
      <c r="B234" s="63" t="s">
        <v>61</v>
      </c>
      <c r="C234" s="63"/>
      <c r="D234" s="63"/>
      <c r="E234" s="63"/>
      <c r="F234" s="86">
        <f>SUM(F223:F233)</f>
        <v>47.75</v>
      </c>
      <c r="G234" s="63"/>
      <c r="H234" s="63"/>
      <c r="I234" s="63"/>
      <c r="J234" s="86">
        <f>SUM(J223:J233)</f>
        <v>32.5</v>
      </c>
      <c r="K234" s="63"/>
      <c r="L234" s="99"/>
      <c r="M234" s="63"/>
      <c r="N234" s="86">
        <f>SUM(N223:N233)</f>
        <v>17.5</v>
      </c>
      <c r="O234" s="63"/>
      <c r="P234" s="63"/>
      <c r="Q234" s="63"/>
      <c r="R234" s="86">
        <f>SUM(R223:R233)</f>
        <v>26</v>
      </c>
      <c r="S234" s="63"/>
      <c r="T234" s="63"/>
      <c r="U234" s="63"/>
      <c r="V234" s="86">
        <f>SUM(V223:V233)</f>
        <v>0</v>
      </c>
      <c r="W234" s="63"/>
      <c r="X234" s="63"/>
      <c r="Y234" s="63"/>
      <c r="Z234" s="86">
        <f>SUM(Z223:Z233)</f>
        <v>0</v>
      </c>
      <c r="AA234" s="63"/>
      <c r="AB234" s="63"/>
      <c r="AC234" s="63"/>
      <c r="AD234" s="82">
        <f>SUM(AD223:AD233)</f>
        <v>0</v>
      </c>
      <c r="AE234" s="46"/>
      <c r="AF234" s="30">
        <f>SUM(AF224:AF233)</f>
        <v>123.75</v>
      </c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</row>
    <row r="235" spans="1:55" s="2" customFormat="1">
      <c r="A235"/>
      <c r="B235" s="31" t="s">
        <v>577</v>
      </c>
      <c r="C235" s="31"/>
      <c r="D235" s="91"/>
      <c r="E235" s="83"/>
      <c r="F235" s="87"/>
      <c r="G235" s="83"/>
      <c r="H235" s="83"/>
      <c r="I235" s="83"/>
      <c r="J235" s="87"/>
      <c r="K235" s="83"/>
      <c r="L235" s="425"/>
      <c r="M235" s="83"/>
      <c r="N235" s="87"/>
      <c r="O235" s="83"/>
      <c r="P235" s="83"/>
      <c r="Q235" s="83"/>
      <c r="R235" s="87"/>
      <c r="S235" s="83"/>
      <c r="T235" s="83"/>
      <c r="U235" s="83"/>
      <c r="V235" s="87"/>
      <c r="W235" s="83"/>
      <c r="X235" s="83"/>
      <c r="Y235" s="83"/>
      <c r="Z235" s="87"/>
      <c r="AA235" s="83"/>
      <c r="AB235" s="83"/>
      <c r="AC235" s="83"/>
      <c r="AD235" s="83"/>
      <c r="AE235" s="45"/>
      <c r="AF235" s="28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</row>
    <row r="236" spans="1:55" s="2" customFormat="1">
      <c r="A236"/>
      <c r="B236" s="31" t="s">
        <v>578</v>
      </c>
      <c r="C236" s="31"/>
      <c r="D236" s="91"/>
      <c r="E236" s="83"/>
      <c r="F236" s="87"/>
      <c r="G236" s="83"/>
      <c r="H236" s="83"/>
      <c r="I236" s="83"/>
      <c r="J236" s="87"/>
      <c r="K236" s="83"/>
      <c r="L236" s="425"/>
      <c r="M236" s="83"/>
      <c r="N236" s="87"/>
      <c r="O236" s="83"/>
      <c r="P236" s="83"/>
      <c r="Q236" s="83"/>
      <c r="R236" s="87"/>
      <c r="S236" s="83"/>
      <c r="T236" s="83"/>
      <c r="U236" s="83"/>
      <c r="V236" s="87"/>
      <c r="W236" s="83"/>
      <c r="X236" s="83"/>
      <c r="Y236" s="83"/>
      <c r="Z236" s="87"/>
      <c r="AA236" s="83"/>
      <c r="AB236" s="83"/>
      <c r="AC236" s="83"/>
      <c r="AD236" s="83"/>
      <c r="AE236" s="45"/>
      <c r="AF236" s="28">
        <f>SUM(D236:AD236)</f>
        <v>0</v>
      </c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</row>
    <row r="237" spans="1:55" s="2" customFormat="1" ht="14.25" thickBot="1">
      <c r="A237"/>
      <c r="B237" s="74" t="s">
        <v>579</v>
      </c>
      <c r="C237" s="74"/>
      <c r="D237" s="92"/>
      <c r="E237" s="92"/>
      <c r="F237" s="93"/>
      <c r="G237" s="92"/>
      <c r="H237" s="92"/>
      <c r="I237" s="92"/>
      <c r="J237" s="93"/>
      <c r="K237" s="92"/>
      <c r="L237" s="426"/>
      <c r="M237" s="92"/>
      <c r="N237" s="93"/>
      <c r="O237" s="92"/>
      <c r="P237" s="92"/>
      <c r="Q237" s="92"/>
      <c r="R237" s="93"/>
      <c r="S237" s="92"/>
      <c r="T237" s="92"/>
      <c r="U237" s="92"/>
      <c r="V237" s="93"/>
      <c r="W237" s="94"/>
      <c r="X237" s="94"/>
      <c r="Y237" s="94"/>
      <c r="Z237" s="93"/>
      <c r="AA237" s="94"/>
      <c r="AB237" s="94"/>
      <c r="AC237" s="94"/>
      <c r="AD237" s="94"/>
      <c r="AE237" s="94"/>
      <c r="AF237" s="80">
        <f>SUM(D237:AD237)</f>
        <v>0</v>
      </c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</row>
    <row r="238" spans="1:55" s="2" customFormat="1" ht="14.25" thickTop="1">
      <c r="A238"/>
      <c r="B238" s="71" t="s">
        <v>66</v>
      </c>
      <c r="C238" s="421"/>
      <c r="D238" s="3"/>
      <c r="E238" s="3"/>
      <c r="F238" s="88">
        <f>SUM(F235:F237)</f>
        <v>0</v>
      </c>
      <c r="G238" s="3"/>
      <c r="H238" s="3"/>
      <c r="I238" s="3"/>
      <c r="J238" s="88">
        <f>SUM(J235:J237)</f>
        <v>0</v>
      </c>
      <c r="K238" s="3"/>
      <c r="L238" s="423"/>
      <c r="M238" s="3"/>
      <c r="N238" s="88">
        <f>SUM(N235:N237)</f>
        <v>0</v>
      </c>
      <c r="O238" s="3"/>
      <c r="P238" s="3"/>
      <c r="Q238" s="3"/>
      <c r="R238" s="88">
        <f>SUM(R235:R237)</f>
        <v>0</v>
      </c>
      <c r="S238" s="3"/>
      <c r="T238" s="3"/>
      <c r="U238" s="3"/>
      <c r="V238" s="88">
        <f>SUM(V235:V237)</f>
        <v>0</v>
      </c>
      <c r="W238" s="3"/>
      <c r="X238" s="3"/>
      <c r="Y238" s="3"/>
      <c r="Z238" s="88">
        <f>SUM(Z235:Z237)</f>
        <v>0</v>
      </c>
      <c r="AA238" s="3"/>
      <c r="AB238" s="3"/>
      <c r="AC238" s="3"/>
      <c r="AD238" s="67">
        <f>SUM(AD235:AD237)</f>
        <v>0</v>
      </c>
      <c r="AE238" s="3"/>
      <c r="AF238" s="71">
        <f>SUM(F238:AD238)</f>
        <v>0</v>
      </c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</row>
    <row r="239" spans="1:55" s="2" customFormat="1">
      <c r="A239"/>
      <c r="B239" s="1518" t="s">
        <v>18</v>
      </c>
      <c r="C239" s="1528" t="s">
        <v>571</v>
      </c>
      <c r="D239" s="1524">
        <v>45017</v>
      </c>
      <c r="E239" s="1524"/>
      <c r="F239" s="1524"/>
      <c r="G239" s="22"/>
      <c r="H239" s="1524">
        <f>D239+1</f>
        <v>45018</v>
      </c>
      <c r="I239" s="1524"/>
      <c r="J239" s="1524"/>
      <c r="K239" s="22"/>
      <c r="L239" s="1524">
        <f>H239+1</f>
        <v>45019</v>
      </c>
      <c r="M239" s="1524"/>
      <c r="N239" s="1524"/>
      <c r="O239" s="3"/>
      <c r="P239" s="1524">
        <f>L239+1</f>
        <v>45020</v>
      </c>
      <c r="Q239" s="1524"/>
      <c r="R239" s="1524"/>
      <c r="S239" s="3"/>
      <c r="T239" s="1524">
        <f>P239+1</f>
        <v>45021</v>
      </c>
      <c r="U239" s="1524"/>
      <c r="V239" s="1524"/>
      <c r="W239" s="22"/>
      <c r="X239" s="1524">
        <f>T239+1</f>
        <v>45022</v>
      </c>
      <c r="Y239" s="1524"/>
      <c r="Z239" s="1524"/>
      <c r="AA239" s="3"/>
      <c r="AB239" s="1524">
        <f>X239+1</f>
        <v>45023</v>
      </c>
      <c r="AC239" s="1524"/>
      <c r="AD239" s="1524"/>
      <c r="AE239" s="22"/>
      <c r="AF239" s="1517" t="s">
        <v>19</v>
      </c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</row>
    <row r="240" spans="1:55" s="2" customFormat="1">
      <c r="A240"/>
      <c r="B240" s="1518"/>
      <c r="C240" s="1528"/>
      <c r="D240" s="21" t="s">
        <v>23</v>
      </c>
      <c r="E240" s="21" t="s">
        <v>24</v>
      </c>
      <c r="F240" s="62" t="s">
        <v>25</v>
      </c>
      <c r="G240" s="23"/>
      <c r="H240" s="21" t="s">
        <v>23</v>
      </c>
      <c r="I240" s="21" t="s">
        <v>24</v>
      </c>
      <c r="J240" s="18" t="s">
        <v>25</v>
      </c>
      <c r="K240" s="23"/>
      <c r="L240" s="21" t="s">
        <v>23</v>
      </c>
      <c r="M240" s="21" t="s">
        <v>24</v>
      </c>
      <c r="N240" s="18" t="s">
        <v>25</v>
      </c>
      <c r="O240" s="23"/>
      <c r="P240" s="21" t="s">
        <v>23</v>
      </c>
      <c r="Q240" s="21" t="s">
        <v>24</v>
      </c>
      <c r="R240" s="18" t="s">
        <v>25</v>
      </c>
      <c r="S240" s="23"/>
      <c r="T240" s="21" t="s">
        <v>23</v>
      </c>
      <c r="U240" s="21" t="s">
        <v>24</v>
      </c>
      <c r="V240" s="18" t="s">
        <v>25</v>
      </c>
      <c r="W240" s="23"/>
      <c r="X240" s="21" t="s">
        <v>23</v>
      </c>
      <c r="Y240" s="21" t="s">
        <v>24</v>
      </c>
      <c r="Z240" s="18" t="s">
        <v>25</v>
      </c>
      <c r="AA240" s="23"/>
      <c r="AB240" s="21" t="s">
        <v>23</v>
      </c>
      <c r="AC240" s="21" t="s">
        <v>24</v>
      </c>
      <c r="AD240" s="18" t="s">
        <v>25</v>
      </c>
      <c r="AE240" s="23"/>
      <c r="AF240" s="1517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</row>
    <row r="241" spans="1:55" s="2" customFormat="1" ht="27">
      <c r="A241"/>
      <c r="B241" s="313" t="s">
        <v>572</v>
      </c>
      <c r="C241" s="13" t="s">
        <v>770</v>
      </c>
      <c r="D241" s="51">
        <v>0.375</v>
      </c>
      <c r="E241" s="51">
        <v>0.72916666666666663</v>
      </c>
      <c r="F241" s="85">
        <f>(E241-D241)*24</f>
        <v>8.5</v>
      </c>
      <c r="G241" s="24"/>
      <c r="H241" s="51">
        <v>0.39583333333333331</v>
      </c>
      <c r="I241" s="51">
        <v>0.72916666666666663</v>
      </c>
      <c r="J241" s="49">
        <f>(I241-H241)*24</f>
        <v>8</v>
      </c>
      <c r="K241" s="24"/>
      <c r="L241" s="424">
        <v>0.375</v>
      </c>
      <c r="M241" s="51">
        <v>0.72916666666666663</v>
      </c>
      <c r="N241" s="49">
        <f>(M241-L241)*24</f>
        <v>8.5</v>
      </c>
      <c r="O241" s="24"/>
      <c r="P241" s="48">
        <v>0.33333333333333331</v>
      </c>
      <c r="Q241" s="48">
        <v>0.5</v>
      </c>
      <c r="R241" s="49">
        <f>(Q241-P241)*24</f>
        <v>4</v>
      </c>
      <c r="S241" s="24"/>
      <c r="T241" s="48"/>
      <c r="U241" s="48"/>
      <c r="V241" s="49">
        <f>(U241-T241)*24</f>
        <v>0</v>
      </c>
      <c r="W241" s="24"/>
      <c r="X241" s="48"/>
      <c r="Y241" s="48"/>
      <c r="Z241" s="49">
        <f>(Y241-X241)*24</f>
        <v>0</v>
      </c>
      <c r="AA241" s="24"/>
      <c r="AB241" s="48"/>
      <c r="AC241" s="48"/>
      <c r="AD241" s="49">
        <f>(AC241-AB241)*24</f>
        <v>0</v>
      </c>
      <c r="AE241" s="24"/>
      <c r="AF241" s="29">
        <f>J241+F241+N241+R241+V241+Z241+AD241</f>
        <v>29</v>
      </c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</row>
    <row r="242" spans="1:55" s="2" customFormat="1" ht="27">
      <c r="A242"/>
      <c r="B242" s="13" t="s">
        <v>576</v>
      </c>
      <c r="C242" s="13" t="s">
        <v>770</v>
      </c>
      <c r="D242" s="51">
        <v>0.375</v>
      </c>
      <c r="E242" s="51">
        <v>0.72916666666666663</v>
      </c>
      <c r="F242" s="85">
        <f t="shared" ref="F242:F247" si="180">(E242-D242)*24</f>
        <v>8.5</v>
      </c>
      <c r="G242" s="24"/>
      <c r="H242" s="51">
        <v>0.39583333333333331</v>
      </c>
      <c r="I242" s="51">
        <v>0.72916666666666663</v>
      </c>
      <c r="J242" s="49">
        <f>(I242-H242)*24</f>
        <v>8</v>
      </c>
      <c r="K242" s="24"/>
      <c r="L242" s="424">
        <v>0.375</v>
      </c>
      <c r="M242" s="51">
        <v>0.72916666666666663</v>
      </c>
      <c r="N242" s="49">
        <f t="shared" ref="N242:N247" si="181">(M242-L242)*24</f>
        <v>8.5</v>
      </c>
      <c r="O242" s="24"/>
      <c r="P242" s="48">
        <v>0.33333333333333331</v>
      </c>
      <c r="Q242" s="48">
        <v>0.5</v>
      </c>
      <c r="R242" s="49">
        <f t="shared" ref="R242:R247" si="182">(Q242-P242)*24</f>
        <v>4</v>
      </c>
      <c r="S242" s="24"/>
      <c r="T242" s="48"/>
      <c r="U242" s="48"/>
      <c r="V242" s="49">
        <f t="shared" ref="V242:V247" si="183">(U242-T242)*24</f>
        <v>0</v>
      </c>
      <c r="W242" s="24"/>
      <c r="X242" s="48"/>
      <c r="Y242" s="48"/>
      <c r="Z242" s="49">
        <f t="shared" ref="Z242:Z247" si="184">(Y242-X242)*24</f>
        <v>0</v>
      </c>
      <c r="AA242" s="24"/>
      <c r="AB242" s="48"/>
      <c r="AC242" s="48"/>
      <c r="AD242" s="49">
        <f t="shared" ref="AD242:AD247" si="185">(AC242-AB242)*24</f>
        <v>0</v>
      </c>
      <c r="AE242" s="24"/>
      <c r="AF242" s="29">
        <f t="shared" ref="AF242:AF247" si="186">J242+F242+N242+R242+V242+Z242+AD242</f>
        <v>29</v>
      </c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</row>
    <row r="243" spans="1:55" s="2" customFormat="1" ht="27">
      <c r="A243"/>
      <c r="B243" s="13" t="s">
        <v>637</v>
      </c>
      <c r="C243" s="13" t="s">
        <v>770</v>
      </c>
      <c r="D243" s="51">
        <v>0.375</v>
      </c>
      <c r="E243" s="48">
        <v>0.72916666666666663</v>
      </c>
      <c r="F243" s="85">
        <f t="shared" si="180"/>
        <v>8.5</v>
      </c>
      <c r="G243" s="24"/>
      <c r="H243" s="48">
        <v>0.39583333333333331</v>
      </c>
      <c r="I243" s="51">
        <v>0.72916666666666663</v>
      </c>
      <c r="J243" s="49">
        <f t="shared" ref="J243:J247" si="187">(I243-H243)*24</f>
        <v>8</v>
      </c>
      <c r="K243" s="24"/>
      <c r="L243" s="424">
        <v>0.375</v>
      </c>
      <c r="M243" s="51">
        <v>0.72916666666666663</v>
      </c>
      <c r="N243" s="49">
        <f t="shared" si="181"/>
        <v>8.5</v>
      </c>
      <c r="O243" s="24"/>
      <c r="P243" s="48"/>
      <c r="Q243" s="48"/>
      <c r="R243" s="49">
        <f t="shared" si="182"/>
        <v>0</v>
      </c>
      <c r="S243" s="24"/>
      <c r="T243" s="48"/>
      <c r="U243" s="48"/>
      <c r="V243" s="49">
        <f t="shared" si="183"/>
        <v>0</v>
      </c>
      <c r="W243" s="24"/>
      <c r="X243" s="48"/>
      <c r="Y243" s="48"/>
      <c r="Z243" s="49">
        <f t="shared" si="184"/>
        <v>0</v>
      </c>
      <c r="AA243" s="24"/>
      <c r="AB243" s="48"/>
      <c r="AC243" s="48"/>
      <c r="AD243" s="49">
        <f t="shared" si="185"/>
        <v>0</v>
      </c>
      <c r="AE243" s="24"/>
      <c r="AF243" s="29">
        <f t="shared" si="186"/>
        <v>25</v>
      </c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</row>
    <row r="244" spans="1:55" s="2" customFormat="1" ht="40.5">
      <c r="A244"/>
      <c r="B244" s="313" t="s">
        <v>572</v>
      </c>
      <c r="C244" s="13" t="s">
        <v>771</v>
      </c>
      <c r="D244" s="51"/>
      <c r="E244" s="51"/>
      <c r="F244" s="85">
        <f t="shared" si="180"/>
        <v>0</v>
      </c>
      <c r="G244" s="24"/>
      <c r="H244" s="51"/>
      <c r="I244" s="48"/>
      <c r="J244" s="49">
        <f t="shared" si="187"/>
        <v>0</v>
      </c>
      <c r="K244" s="24"/>
      <c r="L244" s="424"/>
      <c r="M244" s="48"/>
      <c r="N244" s="49">
        <f t="shared" si="181"/>
        <v>0</v>
      </c>
      <c r="O244" s="24"/>
      <c r="P244" s="48"/>
      <c r="Q244" s="48"/>
      <c r="R244" s="49">
        <f t="shared" si="182"/>
        <v>0</v>
      </c>
      <c r="S244" s="24"/>
      <c r="T244" s="51">
        <v>0.33333333333333331</v>
      </c>
      <c r="U244" s="48">
        <v>0.70833333333333337</v>
      </c>
      <c r="V244" s="49">
        <f t="shared" si="183"/>
        <v>9.0000000000000018</v>
      </c>
      <c r="W244" s="24"/>
      <c r="X244" s="48">
        <v>0.33333333333333331</v>
      </c>
      <c r="Y244" s="48">
        <v>0.75</v>
      </c>
      <c r="Z244" s="49">
        <f t="shared" si="184"/>
        <v>10</v>
      </c>
      <c r="AA244" s="24"/>
      <c r="AB244" s="48">
        <v>0.34375</v>
      </c>
      <c r="AC244" s="48">
        <v>0.75</v>
      </c>
      <c r="AD244" s="49">
        <f t="shared" si="185"/>
        <v>9.75</v>
      </c>
      <c r="AE244" s="24"/>
      <c r="AF244" s="29">
        <f t="shared" si="186"/>
        <v>28.75</v>
      </c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</row>
    <row r="245" spans="1:55" s="2" customFormat="1" ht="40.5">
      <c r="A245"/>
      <c r="B245" s="13" t="s">
        <v>54</v>
      </c>
      <c r="C245" s="13" t="s">
        <v>771</v>
      </c>
      <c r="D245" s="48"/>
      <c r="E245" s="48"/>
      <c r="F245" s="85">
        <f t="shared" si="180"/>
        <v>0</v>
      </c>
      <c r="G245" s="24"/>
      <c r="H245" s="48"/>
      <c r="I245" s="48"/>
      <c r="J245" s="49">
        <f t="shared" si="187"/>
        <v>0</v>
      </c>
      <c r="K245" s="24"/>
      <c r="L245" s="424"/>
      <c r="M245" s="51"/>
      <c r="N245" s="49">
        <f t="shared" si="181"/>
        <v>0</v>
      </c>
      <c r="O245" s="24"/>
      <c r="P245" s="48"/>
      <c r="Q245" s="48"/>
      <c r="R245" s="49">
        <f t="shared" si="182"/>
        <v>0</v>
      </c>
      <c r="S245" s="24"/>
      <c r="T245" s="51">
        <v>0.33333333333333331</v>
      </c>
      <c r="U245" s="48">
        <v>0.70833333333333337</v>
      </c>
      <c r="V245" s="49">
        <f t="shared" si="183"/>
        <v>9.0000000000000018</v>
      </c>
      <c r="W245" s="24"/>
      <c r="X245" s="48">
        <v>0.33333333333333331</v>
      </c>
      <c r="Y245" s="48">
        <v>0.75</v>
      </c>
      <c r="Z245" s="49">
        <f t="shared" si="184"/>
        <v>10</v>
      </c>
      <c r="AA245" s="24"/>
      <c r="AB245" s="48">
        <v>0.375</v>
      </c>
      <c r="AC245" s="48">
        <v>0.75</v>
      </c>
      <c r="AD245" s="49">
        <f t="shared" si="185"/>
        <v>9</v>
      </c>
      <c r="AE245" s="24"/>
      <c r="AF245" s="29">
        <f t="shared" si="186"/>
        <v>28</v>
      </c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</row>
    <row r="246" spans="1:55" s="2" customFormat="1" ht="40.5">
      <c r="A246"/>
      <c r="B246" s="13" t="s">
        <v>743</v>
      </c>
      <c r="C246" s="13" t="s">
        <v>771</v>
      </c>
      <c r="D246" s="48"/>
      <c r="E246" s="48"/>
      <c r="F246" s="85">
        <f t="shared" si="180"/>
        <v>0</v>
      </c>
      <c r="G246" s="24"/>
      <c r="H246" s="48"/>
      <c r="I246" s="48"/>
      <c r="J246" s="49">
        <f t="shared" si="187"/>
        <v>0</v>
      </c>
      <c r="K246" s="24"/>
      <c r="L246" s="424"/>
      <c r="M246" s="51"/>
      <c r="N246" s="49">
        <f t="shared" si="181"/>
        <v>0</v>
      </c>
      <c r="O246" s="24"/>
      <c r="P246" s="48"/>
      <c r="Q246" s="48"/>
      <c r="R246" s="49">
        <f t="shared" si="182"/>
        <v>0</v>
      </c>
      <c r="S246" s="24"/>
      <c r="T246" s="51">
        <v>0.33333333333333331</v>
      </c>
      <c r="U246" s="48">
        <v>0.70833333333333337</v>
      </c>
      <c r="V246" s="49">
        <f t="shared" si="183"/>
        <v>9.0000000000000018</v>
      </c>
      <c r="W246" s="24"/>
      <c r="X246" s="48">
        <v>0.33333333333333331</v>
      </c>
      <c r="Y246" s="48">
        <v>0.75</v>
      </c>
      <c r="Z246" s="49">
        <f t="shared" si="184"/>
        <v>10</v>
      </c>
      <c r="AA246" s="24"/>
      <c r="AB246" s="48">
        <v>0.33333333333333331</v>
      </c>
      <c r="AC246" s="48">
        <v>0.75</v>
      </c>
      <c r="AD246" s="49">
        <f t="shared" si="185"/>
        <v>10</v>
      </c>
      <c r="AE246" s="24"/>
      <c r="AF246" s="29">
        <f t="shared" si="186"/>
        <v>29</v>
      </c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</row>
    <row r="247" spans="1:55" s="2" customFormat="1" ht="40.5">
      <c r="A247"/>
      <c r="B247" s="13" t="s">
        <v>637</v>
      </c>
      <c r="C247" s="13" t="s">
        <v>771</v>
      </c>
      <c r="D247" s="48"/>
      <c r="E247" s="48"/>
      <c r="F247" s="85">
        <f t="shared" si="180"/>
        <v>0</v>
      </c>
      <c r="G247" s="24"/>
      <c r="H247" s="48"/>
      <c r="I247" s="48"/>
      <c r="J247" s="49">
        <f t="shared" si="187"/>
        <v>0</v>
      </c>
      <c r="K247" s="24"/>
      <c r="L247" s="427"/>
      <c r="M247" s="48"/>
      <c r="N247" s="49">
        <f t="shared" si="181"/>
        <v>0</v>
      </c>
      <c r="O247" s="24"/>
      <c r="P247" s="51"/>
      <c r="Q247" s="48"/>
      <c r="R247" s="49">
        <f t="shared" si="182"/>
        <v>0</v>
      </c>
      <c r="S247" s="24"/>
      <c r="T247" s="48">
        <v>0.41666666666666669</v>
      </c>
      <c r="U247" s="48">
        <v>0.70833333333333337</v>
      </c>
      <c r="V247" s="49">
        <f t="shared" si="183"/>
        <v>7</v>
      </c>
      <c r="W247" s="24"/>
      <c r="X247" s="48">
        <v>0.41666666666666669</v>
      </c>
      <c r="Y247" s="48">
        <v>0.75</v>
      </c>
      <c r="Z247" s="49">
        <f t="shared" si="184"/>
        <v>8</v>
      </c>
      <c r="AA247" s="24"/>
      <c r="AB247" s="48"/>
      <c r="AC247" s="48"/>
      <c r="AD247" s="49">
        <f t="shared" si="185"/>
        <v>0</v>
      </c>
      <c r="AE247" s="24"/>
      <c r="AF247" s="29">
        <f t="shared" si="186"/>
        <v>15</v>
      </c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</row>
    <row r="248" spans="1:55" s="2" customFormat="1" ht="27">
      <c r="A248"/>
      <c r="B248" s="13" t="s">
        <v>714</v>
      </c>
      <c r="C248" s="13" t="s">
        <v>772</v>
      </c>
      <c r="D248" s="48"/>
      <c r="E248" s="48"/>
      <c r="F248" s="85">
        <f>(E248-D248)*24</f>
        <v>0</v>
      </c>
      <c r="G248" s="24"/>
      <c r="H248" s="48"/>
      <c r="I248" s="48"/>
      <c r="J248" s="49">
        <f>(I248-H248)*24</f>
        <v>0</v>
      </c>
      <c r="K248" s="24"/>
      <c r="L248" s="427"/>
      <c r="M248" s="48"/>
      <c r="N248" s="49">
        <f>(M248-L248)*24</f>
        <v>0</v>
      </c>
      <c r="O248" s="24"/>
      <c r="P248" s="51"/>
      <c r="Q248" s="48"/>
      <c r="R248" s="49">
        <f>(Q248-P248)*24</f>
        <v>0</v>
      </c>
      <c r="S248" s="24"/>
      <c r="T248" s="51">
        <v>0.33333333333333331</v>
      </c>
      <c r="U248" s="48">
        <v>0.70833333333333337</v>
      </c>
      <c r="V248" s="49">
        <f>(U248-T248)*24</f>
        <v>9.0000000000000018</v>
      </c>
      <c r="W248" s="24"/>
      <c r="X248" s="48"/>
      <c r="Y248" s="48"/>
      <c r="Z248" s="49">
        <f>(Y248-X248)*24</f>
        <v>0</v>
      </c>
      <c r="AA248" s="24"/>
      <c r="AB248" s="48"/>
      <c r="AC248" s="48"/>
      <c r="AD248" s="49">
        <f>(AC248-AB248)*24</f>
        <v>0</v>
      </c>
      <c r="AE248" s="24"/>
      <c r="AF248" s="29">
        <f>J248+F248+N248+R248+V248+Z248+AD248</f>
        <v>9.0000000000000018</v>
      </c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</row>
    <row r="249" spans="1:55" s="2" customFormat="1">
      <c r="A249"/>
      <c r="B249" s="63" t="s">
        <v>61</v>
      </c>
      <c r="C249" s="63"/>
      <c r="D249" s="63"/>
      <c r="E249" s="63"/>
      <c r="F249" s="86">
        <f>SUM(F240:F247)</f>
        <v>25.5</v>
      </c>
      <c r="G249" s="63"/>
      <c r="H249" s="63"/>
      <c r="I249" s="63"/>
      <c r="J249" s="86">
        <f>SUM(J240:J247)</f>
        <v>24</v>
      </c>
      <c r="K249" s="63"/>
      <c r="L249" s="99"/>
      <c r="M249" s="63"/>
      <c r="N249" s="86">
        <f>SUM(N240:N247)</f>
        <v>25.5</v>
      </c>
      <c r="O249" s="63"/>
      <c r="P249" s="63"/>
      <c r="Q249" s="63"/>
      <c r="R249" s="86">
        <f>SUM(R240:R247)</f>
        <v>8</v>
      </c>
      <c r="S249" s="63"/>
      <c r="T249" s="63"/>
      <c r="U249" s="63"/>
      <c r="V249" s="86">
        <f>SUM(V240:V247)</f>
        <v>34.000000000000007</v>
      </c>
      <c r="W249" s="63"/>
      <c r="X249" s="63"/>
      <c r="Y249" s="63"/>
      <c r="Z249" s="86">
        <f>SUM(Z240:Z247)</f>
        <v>38</v>
      </c>
      <c r="AA249" s="63"/>
      <c r="AB249" s="63"/>
      <c r="AC249" s="63"/>
      <c r="AD249" s="82">
        <f>SUM(AD240:AD247)</f>
        <v>28.75</v>
      </c>
      <c r="AE249" s="46"/>
      <c r="AF249" s="30">
        <f>SUM(AF241:AF247)</f>
        <v>183.75</v>
      </c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</row>
    <row r="250" spans="1:55" s="2" customFormat="1">
      <c r="A250"/>
      <c r="B250" s="31" t="s">
        <v>577</v>
      </c>
      <c r="C250" s="31"/>
      <c r="D250" s="91"/>
      <c r="E250" s="83"/>
      <c r="F250" s="87"/>
      <c r="G250" s="83"/>
      <c r="H250" s="83"/>
      <c r="I250" s="83"/>
      <c r="J250" s="87"/>
      <c r="K250" s="83"/>
      <c r="L250" s="425"/>
      <c r="M250" s="83"/>
      <c r="N250" s="87"/>
      <c r="O250" s="83"/>
      <c r="P250" s="83"/>
      <c r="Q250" s="83"/>
      <c r="R250" s="87"/>
      <c r="S250" s="83"/>
      <c r="T250" s="83"/>
      <c r="U250" s="83"/>
      <c r="V250" s="87"/>
      <c r="W250" s="83"/>
      <c r="X250" s="83"/>
      <c r="Y250" s="83"/>
      <c r="Z250" s="87"/>
      <c r="AA250" s="83"/>
      <c r="AB250" s="83"/>
      <c r="AC250" s="83"/>
      <c r="AD250" s="83"/>
      <c r="AE250" s="45"/>
      <c r="AF250" s="28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</row>
    <row r="251" spans="1:55" s="2" customFormat="1">
      <c r="A251"/>
      <c r="B251" s="31" t="s">
        <v>578</v>
      </c>
      <c r="C251" s="31"/>
      <c r="D251" s="91"/>
      <c r="E251" s="83"/>
      <c r="F251" s="87"/>
      <c r="G251" s="83"/>
      <c r="H251" s="83"/>
      <c r="I251" s="83"/>
      <c r="J251" s="87"/>
      <c r="K251" s="83"/>
      <c r="L251" s="425"/>
      <c r="M251" s="83"/>
      <c r="N251" s="87"/>
      <c r="O251" s="83"/>
      <c r="P251" s="83"/>
      <c r="Q251" s="83"/>
      <c r="R251" s="87"/>
      <c r="S251" s="83"/>
      <c r="T251" s="83"/>
      <c r="U251" s="83"/>
      <c r="V251" s="87"/>
      <c r="W251" s="83"/>
      <c r="X251" s="83"/>
      <c r="Y251" s="83"/>
      <c r="Z251" s="87"/>
      <c r="AA251" s="83"/>
      <c r="AB251" s="83"/>
      <c r="AC251" s="83"/>
      <c r="AD251" s="83"/>
      <c r="AE251" s="45"/>
      <c r="AF251" s="28">
        <f>SUM(D251:AD251)</f>
        <v>0</v>
      </c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</row>
    <row r="252" spans="1:55" s="2" customFormat="1" ht="14.25" thickBot="1">
      <c r="A252"/>
      <c r="B252" s="74" t="s">
        <v>579</v>
      </c>
      <c r="C252" s="74"/>
      <c r="D252" s="92"/>
      <c r="E252" s="92"/>
      <c r="F252" s="93"/>
      <c r="G252" s="92"/>
      <c r="H252" s="92"/>
      <c r="I252" s="92"/>
      <c r="J252" s="93"/>
      <c r="K252" s="92"/>
      <c r="L252" s="426"/>
      <c r="M252" s="92"/>
      <c r="N252" s="93"/>
      <c r="O252" s="92"/>
      <c r="P252" s="92"/>
      <c r="Q252" s="92"/>
      <c r="R252" s="93"/>
      <c r="S252" s="92"/>
      <c r="T252" s="92"/>
      <c r="U252" s="92"/>
      <c r="V252" s="93"/>
      <c r="W252" s="94"/>
      <c r="X252" s="94"/>
      <c r="Y252" s="94"/>
      <c r="Z252" s="93"/>
      <c r="AA252" s="94"/>
      <c r="AB252" s="94"/>
      <c r="AC252" s="94"/>
      <c r="AD252" s="94"/>
      <c r="AE252" s="94"/>
      <c r="AF252" s="80">
        <f>SUM(D252:AD252)</f>
        <v>0</v>
      </c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</row>
    <row r="253" spans="1:55" s="2" customFormat="1" ht="14.25" thickTop="1">
      <c r="A253"/>
      <c r="B253" s="71" t="s">
        <v>66</v>
      </c>
      <c r="C253" s="421"/>
      <c r="D253" s="3"/>
      <c r="E253" s="3"/>
      <c r="F253" s="88">
        <f>SUM(F250:F252)</f>
        <v>0</v>
      </c>
      <c r="G253" s="3"/>
      <c r="H253" s="3"/>
      <c r="I253" s="3"/>
      <c r="J253" s="88">
        <f>SUM(J250:J252)</f>
        <v>0</v>
      </c>
      <c r="K253" s="3"/>
      <c r="L253" s="423"/>
      <c r="M253" s="3"/>
      <c r="N253" s="88">
        <f>SUM(N250:N252)</f>
        <v>0</v>
      </c>
      <c r="O253" s="3"/>
      <c r="P253" s="3"/>
      <c r="Q253" s="3"/>
      <c r="R253" s="88">
        <f>SUM(R250:R252)</f>
        <v>0</v>
      </c>
      <c r="S253" s="3"/>
      <c r="T253" s="3"/>
      <c r="U253" s="3"/>
      <c r="V253" s="88">
        <f>SUM(V250:V252)</f>
        <v>0</v>
      </c>
      <c r="W253" s="3"/>
      <c r="X253" s="3"/>
      <c r="Y253" s="3"/>
      <c r="Z253" s="88">
        <f>SUM(Z250:Z252)</f>
        <v>0</v>
      </c>
      <c r="AA253" s="3"/>
      <c r="AB253" s="3"/>
      <c r="AC253" s="3"/>
      <c r="AD253" s="67">
        <f>SUM(AD250:AD252)</f>
        <v>0</v>
      </c>
      <c r="AE253" s="3"/>
      <c r="AF253" s="71">
        <f>SUM(F253:AD253)</f>
        <v>0</v>
      </c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</row>
    <row r="254" spans="1:55" s="2" customFormat="1">
      <c r="A254"/>
      <c r="B254" s="1518" t="s">
        <v>18</v>
      </c>
      <c r="C254" s="1528" t="s">
        <v>571</v>
      </c>
      <c r="D254" s="1524">
        <v>45024</v>
      </c>
      <c r="E254" s="1524"/>
      <c r="F254" s="1524"/>
      <c r="G254" s="22"/>
      <c r="H254" s="1524">
        <f>D254+1</f>
        <v>45025</v>
      </c>
      <c r="I254" s="1524"/>
      <c r="J254" s="1524"/>
      <c r="K254" s="22"/>
      <c r="L254" s="1524">
        <f>H254+1</f>
        <v>45026</v>
      </c>
      <c r="M254" s="1524"/>
      <c r="N254" s="1524"/>
      <c r="O254" s="3"/>
      <c r="P254" s="1524">
        <f>L254+1</f>
        <v>45027</v>
      </c>
      <c r="Q254" s="1524"/>
      <c r="R254" s="1524"/>
      <c r="S254" s="3"/>
      <c r="T254" s="1524">
        <f>P254+1</f>
        <v>45028</v>
      </c>
      <c r="U254" s="1524"/>
      <c r="V254" s="1524"/>
      <c r="W254" s="22"/>
      <c r="X254" s="1524">
        <f>T254+1</f>
        <v>45029</v>
      </c>
      <c r="Y254" s="1524"/>
      <c r="Z254" s="1524"/>
      <c r="AA254" s="3"/>
      <c r="AB254" s="1524">
        <f>X254+1</f>
        <v>45030</v>
      </c>
      <c r="AC254" s="1524"/>
      <c r="AD254" s="1524"/>
      <c r="AE254" s="22"/>
      <c r="AF254" s="1517" t="s">
        <v>19</v>
      </c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</row>
    <row r="255" spans="1:55" s="2" customFormat="1">
      <c r="A255"/>
      <c r="B255" s="1518"/>
      <c r="C255" s="1528"/>
      <c r="D255" s="21" t="s">
        <v>23</v>
      </c>
      <c r="E255" s="21" t="s">
        <v>24</v>
      </c>
      <c r="F255" s="62" t="s">
        <v>25</v>
      </c>
      <c r="G255" s="23"/>
      <c r="H255" s="21" t="s">
        <v>23</v>
      </c>
      <c r="I255" s="21" t="s">
        <v>24</v>
      </c>
      <c r="J255" s="18" t="s">
        <v>25</v>
      </c>
      <c r="K255" s="23"/>
      <c r="L255" s="21" t="s">
        <v>23</v>
      </c>
      <c r="M255" s="21" t="s">
        <v>24</v>
      </c>
      <c r="N255" s="18" t="s">
        <v>25</v>
      </c>
      <c r="O255" s="23"/>
      <c r="P255" s="21" t="s">
        <v>23</v>
      </c>
      <c r="Q255" s="21" t="s">
        <v>24</v>
      </c>
      <c r="R255" s="18" t="s">
        <v>25</v>
      </c>
      <c r="S255" s="23"/>
      <c r="T255" s="21" t="s">
        <v>23</v>
      </c>
      <c r="U255" s="21" t="s">
        <v>24</v>
      </c>
      <c r="V255" s="18" t="s">
        <v>25</v>
      </c>
      <c r="W255" s="23"/>
      <c r="X255" s="21" t="s">
        <v>23</v>
      </c>
      <c r="Y255" s="21" t="s">
        <v>24</v>
      </c>
      <c r="Z255" s="18" t="s">
        <v>25</v>
      </c>
      <c r="AA255" s="23"/>
      <c r="AB255" s="21" t="s">
        <v>23</v>
      </c>
      <c r="AC255" s="21" t="s">
        <v>24</v>
      </c>
      <c r="AD255" s="18" t="s">
        <v>25</v>
      </c>
      <c r="AE255" s="23"/>
      <c r="AF255" s="1517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</row>
    <row r="256" spans="1:55" s="2" customFormat="1" ht="40.5">
      <c r="A256"/>
      <c r="B256" s="313" t="s">
        <v>572</v>
      </c>
      <c r="C256" s="13" t="s">
        <v>771</v>
      </c>
      <c r="D256" s="51">
        <v>0.33333333333333331</v>
      </c>
      <c r="E256" s="51">
        <v>0.70833333333333337</v>
      </c>
      <c r="F256" s="85">
        <f>(E256-D256)*24</f>
        <v>9.0000000000000018</v>
      </c>
      <c r="G256" s="24"/>
      <c r="H256" s="51"/>
      <c r="I256" s="51"/>
      <c r="J256" s="49">
        <f>(I256-H256)*24</f>
        <v>0</v>
      </c>
      <c r="K256" s="24"/>
      <c r="L256" s="427"/>
      <c r="M256" s="48"/>
      <c r="N256" s="49">
        <f>(M256-L256)*24</f>
        <v>0</v>
      </c>
      <c r="O256" s="24"/>
      <c r="P256" s="48"/>
      <c r="Q256" s="48"/>
      <c r="R256" s="49">
        <f>(Q256-P256)*24</f>
        <v>0</v>
      </c>
      <c r="S256" s="24"/>
      <c r="T256" s="48"/>
      <c r="U256" s="48"/>
      <c r="V256" s="49">
        <f>(U256-T256)*24</f>
        <v>0</v>
      </c>
      <c r="W256" s="24"/>
      <c r="X256" s="48"/>
      <c r="Y256" s="48"/>
      <c r="Z256" s="49">
        <f>(Y256-X256)*24</f>
        <v>0</v>
      </c>
      <c r="AA256" s="24"/>
      <c r="AB256" s="48"/>
      <c r="AC256" s="48"/>
      <c r="AD256" s="49">
        <f>(AC256-AB256)*24</f>
        <v>0</v>
      </c>
      <c r="AE256" s="24"/>
      <c r="AF256" s="29">
        <f>J256+F256+N256+R256+V256+Z256+AD256</f>
        <v>9.0000000000000018</v>
      </c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</row>
    <row r="257" spans="1:55" s="2" customFormat="1" ht="27">
      <c r="A257"/>
      <c r="B257" s="13" t="s">
        <v>54</v>
      </c>
      <c r="C257" s="13" t="s">
        <v>762</v>
      </c>
      <c r="D257" s="51">
        <v>0.375</v>
      </c>
      <c r="E257" s="51">
        <v>0.75</v>
      </c>
      <c r="F257" s="85">
        <f t="shared" ref="F257:F261" si="188">(E257-D257)*24</f>
        <v>9</v>
      </c>
      <c r="G257" s="24"/>
      <c r="H257" s="51">
        <v>0.375</v>
      </c>
      <c r="I257" s="51">
        <v>0.72916666666666663</v>
      </c>
      <c r="J257" s="49">
        <f>(I257-H257)*24</f>
        <v>8.5</v>
      </c>
      <c r="K257" s="24"/>
      <c r="L257" s="427"/>
      <c r="M257" s="48"/>
      <c r="N257" s="49">
        <f t="shared" ref="N257:N261" si="189">(M257-L257)*24</f>
        <v>0</v>
      </c>
      <c r="O257" s="24"/>
      <c r="P257" s="48"/>
      <c r="Q257" s="48"/>
      <c r="R257" s="49">
        <f t="shared" ref="R257:R261" si="190">(Q257-P257)*24</f>
        <v>0</v>
      </c>
      <c r="S257" s="24"/>
      <c r="T257" s="48"/>
      <c r="U257" s="48"/>
      <c r="V257" s="49">
        <f t="shared" ref="V257:V261" si="191">(U257-T257)*24</f>
        <v>0</v>
      </c>
      <c r="W257" s="24"/>
      <c r="X257" s="48"/>
      <c r="Y257" s="48"/>
      <c r="Z257" s="49">
        <f t="shared" ref="Z257:Z261" si="192">(Y257-X257)*24</f>
        <v>0</v>
      </c>
      <c r="AA257" s="24"/>
      <c r="AB257" s="48"/>
      <c r="AC257" s="48"/>
      <c r="AD257" s="49">
        <f t="shared" ref="AD257:AD261" si="193">(AC257-AB257)*24</f>
        <v>0</v>
      </c>
      <c r="AE257" s="24"/>
      <c r="AF257" s="29">
        <f t="shared" ref="AF257:AF261" si="194">J257+F257+N257+R257+V257+Z257+AD257</f>
        <v>17.5</v>
      </c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</row>
    <row r="258" spans="1:55" s="2" customFormat="1" ht="27">
      <c r="A258"/>
      <c r="B258" s="13" t="s">
        <v>637</v>
      </c>
      <c r="C258" s="309" t="s">
        <v>762</v>
      </c>
      <c r="D258" s="51">
        <v>0.375</v>
      </c>
      <c r="E258" s="51">
        <v>0.75</v>
      </c>
      <c r="F258" s="85">
        <f t="shared" si="188"/>
        <v>9</v>
      </c>
      <c r="G258" s="24"/>
      <c r="H258" s="51">
        <v>0.375</v>
      </c>
      <c r="I258" s="51">
        <v>0.72916666666666663</v>
      </c>
      <c r="J258" s="49">
        <f t="shared" ref="J258:J261" si="195">(I258-H258)*24</f>
        <v>8.5</v>
      </c>
      <c r="K258" s="24"/>
      <c r="L258" s="427"/>
      <c r="M258" s="48"/>
      <c r="N258" s="49">
        <f t="shared" si="189"/>
        <v>0</v>
      </c>
      <c r="O258" s="24"/>
      <c r="P258" s="48"/>
      <c r="Q258" s="48"/>
      <c r="R258" s="49">
        <f t="shared" si="190"/>
        <v>0</v>
      </c>
      <c r="S258" s="24"/>
      <c r="T258" s="48"/>
      <c r="U258" s="48"/>
      <c r="V258" s="49">
        <f t="shared" si="191"/>
        <v>0</v>
      </c>
      <c r="W258" s="24"/>
      <c r="X258" s="48"/>
      <c r="Y258" s="48"/>
      <c r="Z258" s="49">
        <f t="shared" si="192"/>
        <v>0</v>
      </c>
      <c r="AA258" s="24"/>
      <c r="AB258" s="48"/>
      <c r="AC258" s="48"/>
      <c r="AD258" s="49">
        <f t="shared" si="193"/>
        <v>0</v>
      </c>
      <c r="AE258" s="24"/>
      <c r="AF258" s="29">
        <f t="shared" si="194"/>
        <v>17.5</v>
      </c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</row>
    <row r="259" spans="1:55" s="2" customFormat="1" ht="14.25">
      <c r="A259"/>
      <c r="B259" s="13" t="s">
        <v>576</v>
      </c>
      <c r="C259" s="536" t="s">
        <v>773</v>
      </c>
      <c r="D259" s="51">
        <v>0.33333333333333331</v>
      </c>
      <c r="E259" s="51">
        <v>0.70833333333333337</v>
      </c>
      <c r="F259" s="85">
        <f t="shared" si="188"/>
        <v>9.0000000000000018</v>
      </c>
      <c r="G259" s="24"/>
      <c r="H259" s="51">
        <v>0.375</v>
      </c>
      <c r="I259" s="51">
        <v>0.72916666666666663</v>
      </c>
      <c r="J259" s="49">
        <f t="shared" si="195"/>
        <v>8.5</v>
      </c>
      <c r="K259" s="24"/>
      <c r="L259" s="424"/>
      <c r="M259" s="48"/>
      <c r="N259" s="49">
        <f t="shared" si="189"/>
        <v>0</v>
      </c>
      <c r="O259" s="24"/>
      <c r="P259" s="48"/>
      <c r="Q259" s="48"/>
      <c r="R259" s="49">
        <f t="shared" si="190"/>
        <v>0</v>
      </c>
      <c r="S259" s="24"/>
      <c r="T259" s="48"/>
      <c r="U259" s="48"/>
      <c r="V259" s="49">
        <f t="shared" si="191"/>
        <v>0</v>
      </c>
      <c r="W259" s="24"/>
      <c r="X259" s="48"/>
      <c r="Y259" s="48"/>
      <c r="Z259" s="49">
        <f t="shared" si="192"/>
        <v>0</v>
      </c>
      <c r="AA259" s="24"/>
      <c r="AB259" s="48"/>
      <c r="AC259" s="48"/>
      <c r="AD259" s="49">
        <f t="shared" si="193"/>
        <v>0</v>
      </c>
      <c r="AE259" s="24"/>
      <c r="AF259" s="29">
        <f t="shared" si="194"/>
        <v>17.5</v>
      </c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</row>
    <row r="260" spans="1:55" s="2" customFormat="1" ht="54">
      <c r="A260"/>
      <c r="B260" s="13" t="s">
        <v>714</v>
      </c>
      <c r="C260" s="13" t="s">
        <v>773</v>
      </c>
      <c r="D260" s="48">
        <v>0.33333333333333331</v>
      </c>
      <c r="E260" s="51">
        <v>0.64583333333333337</v>
      </c>
      <c r="F260" s="85">
        <f t="shared" si="188"/>
        <v>7.5000000000000018</v>
      </c>
      <c r="G260" s="24"/>
      <c r="H260" s="48"/>
      <c r="I260" s="48"/>
      <c r="J260" s="49">
        <f t="shared" si="195"/>
        <v>0</v>
      </c>
      <c r="K260" s="24"/>
      <c r="L260" s="424"/>
      <c r="M260" s="48"/>
      <c r="N260" s="49">
        <f t="shared" si="189"/>
        <v>0</v>
      </c>
      <c r="O260" s="24"/>
      <c r="P260" s="48"/>
      <c r="Q260" s="48"/>
      <c r="R260" s="49">
        <f t="shared" si="190"/>
        <v>0</v>
      </c>
      <c r="S260" s="24"/>
      <c r="T260" s="48"/>
      <c r="U260" s="48"/>
      <c r="V260" s="49">
        <f t="shared" si="191"/>
        <v>0</v>
      </c>
      <c r="W260" s="24"/>
      <c r="X260" s="48"/>
      <c r="Y260" s="48"/>
      <c r="Z260" s="49">
        <f t="shared" si="192"/>
        <v>0</v>
      </c>
      <c r="AA260" s="24"/>
      <c r="AB260" s="48"/>
      <c r="AC260" s="48"/>
      <c r="AD260" s="49">
        <f t="shared" si="193"/>
        <v>0</v>
      </c>
      <c r="AE260" s="24"/>
      <c r="AF260" s="29">
        <f t="shared" si="194"/>
        <v>7.5000000000000018</v>
      </c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</row>
    <row r="261" spans="1:55" s="2" customFormat="1" ht="27">
      <c r="A261"/>
      <c r="B261" s="313" t="s">
        <v>572</v>
      </c>
      <c r="C261" s="13" t="s">
        <v>774</v>
      </c>
      <c r="D261" s="48"/>
      <c r="E261" s="48"/>
      <c r="F261" s="85">
        <f t="shared" si="188"/>
        <v>0</v>
      </c>
      <c r="G261" s="24"/>
      <c r="H261" s="48"/>
      <c r="I261" s="48"/>
      <c r="J261" s="49">
        <f t="shared" si="195"/>
        <v>0</v>
      </c>
      <c r="K261" s="24"/>
      <c r="L261" s="424">
        <v>0.39583333333333331</v>
      </c>
      <c r="M261" s="51">
        <v>0.70833333333333337</v>
      </c>
      <c r="N261" s="49">
        <f t="shared" si="189"/>
        <v>7.5000000000000018</v>
      </c>
      <c r="O261" s="24"/>
      <c r="P261" s="48"/>
      <c r="Q261" s="48"/>
      <c r="R261" s="49">
        <f t="shared" si="190"/>
        <v>0</v>
      </c>
      <c r="S261" s="24"/>
      <c r="T261" s="48"/>
      <c r="U261" s="48"/>
      <c r="V261" s="49">
        <f t="shared" si="191"/>
        <v>0</v>
      </c>
      <c r="W261" s="24"/>
      <c r="X261" s="48"/>
      <c r="Y261" s="48"/>
      <c r="Z261" s="49">
        <f t="shared" si="192"/>
        <v>0</v>
      </c>
      <c r="AA261" s="24"/>
      <c r="AB261" s="48"/>
      <c r="AC261" s="48"/>
      <c r="AD261" s="49">
        <f t="shared" si="193"/>
        <v>0</v>
      </c>
      <c r="AE261" s="24"/>
      <c r="AF261" s="29">
        <f t="shared" si="194"/>
        <v>7.5000000000000018</v>
      </c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</row>
    <row r="262" spans="1:55" s="2" customFormat="1">
      <c r="A262"/>
      <c r="B262" s="63" t="s">
        <v>61</v>
      </c>
      <c r="C262" s="63"/>
      <c r="D262" s="63"/>
      <c r="E262" s="63"/>
      <c r="F262" s="86">
        <f>SUM(F255:F261)</f>
        <v>43.5</v>
      </c>
      <c r="G262" s="63"/>
      <c r="H262" s="63"/>
      <c r="I262" s="63"/>
      <c r="J262" s="86">
        <f>SUM(J255:J261)</f>
        <v>25.5</v>
      </c>
      <c r="K262" s="63"/>
      <c r="L262" s="99"/>
      <c r="M262" s="63"/>
      <c r="N262" s="86">
        <f>SUM(N255:N261)</f>
        <v>7.5000000000000018</v>
      </c>
      <c r="O262" s="63"/>
      <c r="P262" s="63"/>
      <c r="Q262" s="63"/>
      <c r="R262" s="86">
        <f>SUM(R255:R261)</f>
        <v>0</v>
      </c>
      <c r="S262" s="63"/>
      <c r="T262" s="63"/>
      <c r="U262" s="63"/>
      <c r="V262" s="86">
        <f>SUM(V255:V261)</f>
        <v>0</v>
      </c>
      <c r="W262" s="63"/>
      <c r="X262" s="63"/>
      <c r="Y262" s="63"/>
      <c r="Z262" s="86">
        <f>SUM(Z255:Z261)</f>
        <v>0</v>
      </c>
      <c r="AA262" s="63"/>
      <c r="AB262" s="63"/>
      <c r="AC262" s="63"/>
      <c r="AD262" s="82">
        <f>SUM(AD255:AD261)</f>
        <v>0</v>
      </c>
      <c r="AE262" s="46"/>
      <c r="AF262" s="30">
        <f>SUM(AF256:AF261)</f>
        <v>76.5</v>
      </c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</row>
    <row r="263" spans="1:55" s="2" customFormat="1">
      <c r="A263"/>
      <c r="B263" s="31" t="s">
        <v>577</v>
      </c>
      <c r="C263" s="31"/>
      <c r="D263" s="91"/>
      <c r="E263" s="83"/>
      <c r="F263" s="87"/>
      <c r="G263" s="83"/>
      <c r="H263" s="83"/>
      <c r="I263" s="83"/>
      <c r="J263" s="87"/>
      <c r="K263" s="83"/>
      <c r="L263" s="425"/>
      <c r="M263" s="83"/>
      <c r="N263" s="87"/>
      <c r="O263" s="83"/>
      <c r="P263" s="83"/>
      <c r="Q263" s="83"/>
      <c r="R263" s="87"/>
      <c r="S263" s="83"/>
      <c r="T263" s="83"/>
      <c r="U263" s="83"/>
      <c r="V263" s="87"/>
      <c r="W263" s="83"/>
      <c r="X263" s="83"/>
      <c r="Y263" s="83"/>
      <c r="Z263" s="87"/>
      <c r="AA263" s="83"/>
      <c r="AB263" s="83"/>
      <c r="AC263" s="83"/>
      <c r="AD263" s="83"/>
      <c r="AE263" s="45"/>
      <c r="AF263" s="28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</row>
    <row r="264" spans="1:55" s="2" customFormat="1">
      <c r="A264"/>
      <c r="B264" s="31" t="s">
        <v>578</v>
      </c>
      <c r="C264" s="31"/>
      <c r="D264" s="91"/>
      <c r="E264" s="83"/>
      <c r="F264" s="87"/>
      <c r="G264" s="83"/>
      <c r="H264" s="83"/>
      <c r="I264" s="83"/>
      <c r="J264" s="87"/>
      <c r="K264" s="83"/>
      <c r="L264" s="425"/>
      <c r="M264" s="83"/>
      <c r="N264" s="87"/>
      <c r="O264" s="83"/>
      <c r="P264" s="83"/>
      <c r="Q264" s="83"/>
      <c r="R264" s="87"/>
      <c r="S264" s="83"/>
      <c r="T264" s="83"/>
      <c r="U264" s="83"/>
      <c r="V264" s="87"/>
      <c r="W264" s="83"/>
      <c r="X264" s="83"/>
      <c r="Y264" s="83"/>
      <c r="Z264" s="87"/>
      <c r="AA264" s="83"/>
      <c r="AB264" s="83"/>
      <c r="AC264" s="83"/>
      <c r="AD264" s="83"/>
      <c r="AE264" s="45"/>
      <c r="AF264" s="28">
        <f>SUM(D264:AD264)</f>
        <v>0</v>
      </c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</row>
    <row r="265" spans="1:55" s="2" customFormat="1" ht="14.25" thickBot="1">
      <c r="A265"/>
      <c r="B265" s="74" t="s">
        <v>579</v>
      </c>
      <c r="C265" s="74"/>
      <c r="D265" s="92"/>
      <c r="E265" s="92"/>
      <c r="F265" s="93"/>
      <c r="G265" s="92"/>
      <c r="H265" s="92"/>
      <c r="I265" s="92"/>
      <c r="J265" s="93"/>
      <c r="K265" s="92"/>
      <c r="L265" s="426"/>
      <c r="M265" s="92"/>
      <c r="N265" s="93"/>
      <c r="O265" s="92"/>
      <c r="P265" s="92"/>
      <c r="Q265" s="92"/>
      <c r="R265" s="93"/>
      <c r="S265" s="92"/>
      <c r="T265" s="92"/>
      <c r="U265" s="92"/>
      <c r="V265" s="93"/>
      <c r="W265" s="94"/>
      <c r="X265" s="94"/>
      <c r="Y265" s="94"/>
      <c r="Z265" s="93"/>
      <c r="AA265" s="94"/>
      <c r="AB265" s="94"/>
      <c r="AC265" s="94"/>
      <c r="AD265" s="94"/>
      <c r="AE265" s="94"/>
      <c r="AF265" s="80">
        <f>SUM(D265:AD265)</f>
        <v>0</v>
      </c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</row>
    <row r="266" spans="1:55" s="2" customFormat="1" ht="14.25" thickTop="1">
      <c r="A266"/>
      <c r="B266" s="71" t="s">
        <v>66</v>
      </c>
      <c r="C266" s="421"/>
      <c r="D266" s="3"/>
      <c r="E266" s="3"/>
      <c r="F266" s="88">
        <f>SUM(F263:F265)</f>
        <v>0</v>
      </c>
      <c r="G266" s="3"/>
      <c r="H266" s="3"/>
      <c r="I266" s="3"/>
      <c r="J266" s="88">
        <f>SUM(J263:J265)</f>
        <v>0</v>
      </c>
      <c r="K266" s="3"/>
      <c r="L266" s="423"/>
      <c r="M266" s="3"/>
      <c r="N266" s="88">
        <f>SUM(N263:N265)</f>
        <v>0</v>
      </c>
      <c r="O266" s="3"/>
      <c r="P266" s="3"/>
      <c r="Q266" s="3"/>
      <c r="R266" s="88">
        <f>SUM(R263:R265)</f>
        <v>0</v>
      </c>
      <c r="S266" s="3"/>
      <c r="T266" s="3"/>
      <c r="U266" s="3"/>
      <c r="V266" s="88">
        <f>SUM(V263:V265)</f>
        <v>0</v>
      </c>
      <c r="W266" s="3"/>
      <c r="X266" s="3"/>
      <c r="Y266" s="3"/>
      <c r="Z266" s="88">
        <f>SUM(Z263:Z265)</f>
        <v>0</v>
      </c>
      <c r="AA266" s="3"/>
      <c r="AB266" s="3"/>
      <c r="AC266" s="3"/>
      <c r="AD266" s="67">
        <f>SUM(AD263:AD265)</f>
        <v>0</v>
      </c>
      <c r="AE266" s="3"/>
      <c r="AF266" s="71">
        <f>SUM(F266:AD266)</f>
        <v>0</v>
      </c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</row>
    <row r="267" spans="1:55" s="2" customFormat="1">
      <c r="A267"/>
      <c r="B267" s="1518" t="s">
        <v>18</v>
      </c>
      <c r="C267" s="1528" t="s">
        <v>571</v>
      </c>
      <c r="D267" s="1524">
        <v>45031</v>
      </c>
      <c r="E267" s="1524"/>
      <c r="F267" s="1524"/>
      <c r="G267" s="22"/>
      <c r="H267" s="1524">
        <f>D267+1</f>
        <v>45032</v>
      </c>
      <c r="I267" s="1524"/>
      <c r="J267" s="1524"/>
      <c r="K267" s="22"/>
      <c r="L267" s="1524">
        <f>H267+1</f>
        <v>45033</v>
      </c>
      <c r="M267" s="1524"/>
      <c r="N267" s="1524"/>
      <c r="O267" s="3"/>
      <c r="P267" s="1524">
        <f>L267+1</f>
        <v>45034</v>
      </c>
      <c r="Q267" s="1524"/>
      <c r="R267" s="1524"/>
      <c r="S267" s="3"/>
      <c r="T267" s="1524">
        <f>P267+1</f>
        <v>45035</v>
      </c>
      <c r="U267" s="1524"/>
      <c r="V267" s="1524"/>
      <c r="W267" s="22"/>
      <c r="X267" s="1524">
        <f>T267+1</f>
        <v>45036</v>
      </c>
      <c r="Y267" s="1524"/>
      <c r="Z267" s="1524"/>
      <c r="AA267" s="3"/>
      <c r="AB267" s="1524">
        <f>X267+1</f>
        <v>45037</v>
      </c>
      <c r="AC267" s="1524"/>
      <c r="AD267" s="1524"/>
      <c r="AE267" s="22"/>
      <c r="AF267" s="1517" t="s">
        <v>19</v>
      </c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</row>
    <row r="268" spans="1:55" s="2" customFormat="1">
      <c r="A268"/>
      <c r="B268" s="1518"/>
      <c r="C268" s="1528"/>
      <c r="D268" s="21" t="s">
        <v>23</v>
      </c>
      <c r="E268" s="21" t="s">
        <v>24</v>
      </c>
      <c r="F268" s="62" t="s">
        <v>25</v>
      </c>
      <c r="G268" s="23"/>
      <c r="H268" s="21" t="s">
        <v>23</v>
      </c>
      <c r="I268" s="21" t="s">
        <v>24</v>
      </c>
      <c r="J268" s="18" t="s">
        <v>25</v>
      </c>
      <c r="K268" s="23"/>
      <c r="L268" s="21" t="s">
        <v>23</v>
      </c>
      <c r="M268" s="21" t="s">
        <v>24</v>
      </c>
      <c r="N268" s="18" t="s">
        <v>25</v>
      </c>
      <c r="O268" s="23"/>
      <c r="P268" s="21" t="s">
        <v>23</v>
      </c>
      <c r="Q268" s="21" t="s">
        <v>24</v>
      </c>
      <c r="R268" s="18" t="s">
        <v>25</v>
      </c>
      <c r="S268" s="23"/>
      <c r="T268" s="21" t="s">
        <v>23</v>
      </c>
      <c r="U268" s="21" t="s">
        <v>24</v>
      </c>
      <c r="V268" s="18" t="s">
        <v>25</v>
      </c>
      <c r="W268" s="23"/>
      <c r="X268" s="21" t="s">
        <v>23</v>
      </c>
      <c r="Y268" s="21" t="s">
        <v>24</v>
      </c>
      <c r="Z268" s="18" t="s">
        <v>25</v>
      </c>
      <c r="AA268" s="23"/>
      <c r="AB268" s="21" t="s">
        <v>23</v>
      </c>
      <c r="AC268" s="21" t="s">
        <v>24</v>
      </c>
      <c r="AD268" s="18" t="s">
        <v>25</v>
      </c>
      <c r="AE268" s="23"/>
      <c r="AF268" s="1517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</row>
    <row r="269" spans="1:55" s="2" customFormat="1" ht="14.25">
      <c r="A269"/>
      <c r="B269" s="13" t="s">
        <v>714</v>
      </c>
      <c r="C269" s="309" t="s">
        <v>775</v>
      </c>
      <c r="D269" s="51">
        <v>0.33333333333333331</v>
      </c>
      <c r="E269" s="51">
        <v>0.66666666666666663</v>
      </c>
      <c r="F269" s="85">
        <f>(E269-D269)*24</f>
        <v>8</v>
      </c>
      <c r="G269" s="24"/>
      <c r="H269" s="51">
        <v>0.33333333333333331</v>
      </c>
      <c r="I269" s="51">
        <v>0.66666666666666663</v>
      </c>
      <c r="J269" s="49">
        <f>(I269-H269)*24</f>
        <v>8</v>
      </c>
      <c r="K269" s="24"/>
      <c r="L269" s="427">
        <v>0.35416666666666669</v>
      </c>
      <c r="M269" s="51">
        <v>0.66666666666666663</v>
      </c>
      <c r="N269" s="49">
        <f>(M269-L269)*24</f>
        <v>7.4999999999999982</v>
      </c>
      <c r="O269" s="24"/>
      <c r="P269" s="48"/>
      <c r="Q269" s="48"/>
      <c r="R269" s="49">
        <f>(Q269-P269)*24</f>
        <v>0</v>
      </c>
      <c r="S269" s="24"/>
      <c r="T269" s="48"/>
      <c r="U269" s="48"/>
      <c r="V269" s="49">
        <f>(U269-T269)*24</f>
        <v>0</v>
      </c>
      <c r="W269" s="24"/>
      <c r="X269" s="48"/>
      <c r="Y269" s="48"/>
      <c r="Z269" s="49">
        <f>(Y269-X269)*24</f>
        <v>0</v>
      </c>
      <c r="AA269" s="24"/>
      <c r="AB269" s="48"/>
      <c r="AC269" s="48"/>
      <c r="AD269" s="49">
        <f>(AC269-AB269)*24</f>
        <v>0</v>
      </c>
      <c r="AE269" s="24"/>
      <c r="AF269" s="29">
        <f>J269+F269+N269+R269+V269+Z269+AD269</f>
        <v>23.5</v>
      </c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</row>
    <row r="270" spans="1:55" s="2" customFormat="1" ht="27">
      <c r="A270"/>
      <c r="B270" s="13" t="s">
        <v>54</v>
      </c>
      <c r="C270" s="13" t="s">
        <v>776</v>
      </c>
      <c r="D270" s="51"/>
      <c r="E270" s="51"/>
      <c r="F270" s="85">
        <f>(E270-D270)*24</f>
        <v>0</v>
      </c>
      <c r="G270" s="24"/>
      <c r="H270" s="51">
        <v>0.33333333333333331</v>
      </c>
      <c r="I270" s="51">
        <v>0.72916666666666663</v>
      </c>
      <c r="J270" s="49">
        <f>(I270-H270)*24</f>
        <v>9.5</v>
      </c>
      <c r="K270" s="24"/>
      <c r="L270" s="427"/>
      <c r="M270" s="48"/>
      <c r="N270" s="49">
        <f t="shared" ref="N270:N275" si="196">(M270-L270)*24</f>
        <v>0</v>
      </c>
      <c r="O270" s="24"/>
      <c r="P270" s="48"/>
      <c r="Q270" s="48"/>
      <c r="R270" s="49">
        <f t="shared" ref="R270:R275" si="197">(Q270-P270)*24</f>
        <v>0</v>
      </c>
      <c r="S270" s="24"/>
      <c r="T270" s="48"/>
      <c r="U270" s="48"/>
      <c r="V270" s="49">
        <f t="shared" ref="V270:V275" si="198">(U270-T270)*24</f>
        <v>0</v>
      </c>
      <c r="W270" s="24"/>
      <c r="X270" s="48"/>
      <c r="Y270" s="48"/>
      <c r="Z270" s="49">
        <f t="shared" ref="Z270:Z275" si="199">(Y270-X270)*24</f>
        <v>0</v>
      </c>
      <c r="AA270" s="24"/>
      <c r="AB270" s="48"/>
      <c r="AC270" s="48"/>
      <c r="AD270" s="49">
        <f t="shared" ref="AD270:AD275" si="200">(AC270-AB270)*24</f>
        <v>0</v>
      </c>
      <c r="AE270" s="24"/>
      <c r="AF270" s="29">
        <f t="shared" ref="AF270:AF275" si="201">J270+F270+N270+R270+V270+Z270+AD270</f>
        <v>9.5</v>
      </c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</row>
    <row r="271" spans="1:55" s="2" customFormat="1" ht="27">
      <c r="A271"/>
      <c r="B271" s="13" t="s">
        <v>576</v>
      </c>
      <c r="C271" s="13" t="s">
        <v>776</v>
      </c>
      <c r="D271" s="51"/>
      <c r="E271" s="51"/>
      <c r="F271" s="85">
        <f>(E271-D271)*24</f>
        <v>0</v>
      </c>
      <c r="G271" s="24"/>
      <c r="H271" s="51">
        <v>0.375</v>
      </c>
      <c r="I271" s="48">
        <v>0.72916666666666663</v>
      </c>
      <c r="J271" s="49">
        <f>(I271-H271)*24</f>
        <v>8.5</v>
      </c>
      <c r="K271" s="24"/>
      <c r="L271" s="427"/>
      <c r="M271" s="48"/>
      <c r="N271" s="49">
        <f t="shared" si="196"/>
        <v>0</v>
      </c>
      <c r="O271" s="24"/>
      <c r="P271" s="48"/>
      <c r="Q271" s="48"/>
      <c r="R271" s="49">
        <f t="shared" si="197"/>
        <v>0</v>
      </c>
      <c r="S271" s="24"/>
      <c r="T271" s="48"/>
      <c r="U271" s="48"/>
      <c r="V271" s="49">
        <f t="shared" si="198"/>
        <v>0</v>
      </c>
      <c r="W271" s="24"/>
      <c r="X271" s="48"/>
      <c r="Y271" s="48"/>
      <c r="Z271" s="49">
        <f t="shared" si="199"/>
        <v>0</v>
      </c>
      <c r="AA271" s="24"/>
      <c r="AB271" s="48"/>
      <c r="AC271" s="48"/>
      <c r="AD271" s="49">
        <f t="shared" si="200"/>
        <v>0</v>
      </c>
      <c r="AE271" s="24"/>
      <c r="AF271" s="29">
        <f t="shared" si="201"/>
        <v>8.5</v>
      </c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</row>
    <row r="272" spans="1:55" s="2" customFormat="1" ht="27">
      <c r="A272"/>
      <c r="B272" s="13" t="s">
        <v>653</v>
      </c>
      <c r="C272" s="13" t="s">
        <v>777</v>
      </c>
      <c r="D272" s="51"/>
      <c r="E272" s="51"/>
      <c r="F272" s="85">
        <f t="shared" ref="F272:F275" si="202">(E272-D272)*24</f>
        <v>0</v>
      </c>
      <c r="G272" s="24"/>
      <c r="H272" s="51">
        <v>0.41666666666666669</v>
      </c>
      <c r="I272" s="51">
        <v>0.60416666666666663</v>
      </c>
      <c r="J272" s="49">
        <f t="shared" ref="J272:J275" si="203">(I272-H272)*24</f>
        <v>4.4999999999999982</v>
      </c>
      <c r="K272" s="24"/>
      <c r="L272" s="424"/>
      <c r="M272" s="48"/>
      <c r="N272" s="49">
        <f t="shared" si="196"/>
        <v>0</v>
      </c>
      <c r="O272" s="24"/>
      <c r="P272" s="48"/>
      <c r="Q272" s="48"/>
      <c r="R272" s="49">
        <f t="shared" si="197"/>
        <v>0</v>
      </c>
      <c r="S272" s="24"/>
      <c r="T272" s="48"/>
      <c r="U272" s="48"/>
      <c r="V272" s="49">
        <f t="shared" si="198"/>
        <v>0</v>
      </c>
      <c r="W272" s="24"/>
      <c r="X272" s="48"/>
      <c r="Y272" s="48"/>
      <c r="Z272" s="49">
        <f t="shared" si="199"/>
        <v>0</v>
      </c>
      <c r="AA272" s="24"/>
      <c r="AB272" s="48"/>
      <c r="AC272" s="48"/>
      <c r="AD272" s="49">
        <f t="shared" si="200"/>
        <v>0</v>
      </c>
      <c r="AE272" s="24"/>
      <c r="AF272" s="29">
        <f t="shared" si="201"/>
        <v>4.4999999999999982</v>
      </c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</row>
    <row r="273" spans="1:55" s="2" customFormat="1" ht="27">
      <c r="A273"/>
      <c r="B273" s="313" t="s">
        <v>572</v>
      </c>
      <c r="C273" s="13" t="s">
        <v>778</v>
      </c>
      <c r="D273" s="48"/>
      <c r="E273" s="48"/>
      <c r="F273" s="85">
        <f t="shared" si="202"/>
        <v>0</v>
      </c>
      <c r="G273" s="24"/>
      <c r="H273" s="51"/>
      <c r="I273" s="51"/>
      <c r="J273" s="49">
        <f t="shared" si="203"/>
        <v>0</v>
      </c>
      <c r="K273" s="24"/>
      <c r="L273" s="424">
        <v>0.3125</v>
      </c>
      <c r="M273" s="48"/>
      <c r="N273" s="49">
        <f t="shared" si="196"/>
        <v>-7.5</v>
      </c>
      <c r="O273" s="24"/>
      <c r="P273" s="48"/>
      <c r="Q273" s="48"/>
      <c r="R273" s="49">
        <f t="shared" si="197"/>
        <v>0</v>
      </c>
      <c r="S273" s="24"/>
      <c r="T273" s="48"/>
      <c r="U273" s="48"/>
      <c r="V273" s="49">
        <f t="shared" si="198"/>
        <v>0</v>
      </c>
      <c r="W273" s="24"/>
      <c r="X273" s="48"/>
      <c r="Y273" s="48"/>
      <c r="Z273" s="49">
        <f t="shared" si="199"/>
        <v>0</v>
      </c>
      <c r="AA273" s="24"/>
      <c r="AB273" s="48"/>
      <c r="AC273" s="48"/>
      <c r="AD273" s="49">
        <f t="shared" si="200"/>
        <v>0</v>
      </c>
      <c r="AE273" s="24"/>
      <c r="AF273" s="29">
        <f t="shared" si="201"/>
        <v>-7.5</v>
      </c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</row>
    <row r="274" spans="1:55" s="2" customFormat="1" ht="27">
      <c r="A274"/>
      <c r="B274" s="13" t="s">
        <v>576</v>
      </c>
      <c r="C274" s="13" t="s">
        <v>779</v>
      </c>
      <c r="D274" s="48"/>
      <c r="E274" s="48"/>
      <c r="F274" s="85">
        <f t="shared" si="202"/>
        <v>0</v>
      </c>
      <c r="G274" s="24"/>
      <c r="H274" s="51"/>
      <c r="I274" s="51"/>
      <c r="J274" s="49">
        <f t="shared" si="203"/>
        <v>0</v>
      </c>
      <c r="K274" s="24"/>
      <c r="L274" s="424"/>
      <c r="M274" s="48"/>
      <c r="N274" s="49">
        <f t="shared" si="196"/>
        <v>0</v>
      </c>
      <c r="O274" s="24"/>
      <c r="P274" s="51">
        <v>0.70833333333333337</v>
      </c>
      <c r="Q274" s="51">
        <v>0.95833333333333337</v>
      </c>
      <c r="R274" s="49">
        <f t="shared" si="197"/>
        <v>6</v>
      </c>
      <c r="S274" s="24"/>
      <c r="T274" s="48"/>
      <c r="U274" s="48"/>
      <c r="V274" s="49">
        <f t="shared" si="198"/>
        <v>0</v>
      </c>
      <c r="W274" s="24"/>
      <c r="X274" s="48"/>
      <c r="Y274" s="48"/>
      <c r="Z274" s="49">
        <f t="shared" si="199"/>
        <v>0</v>
      </c>
      <c r="AA274" s="24"/>
      <c r="AB274" s="48"/>
      <c r="AC274" s="48"/>
      <c r="AD274" s="49">
        <f t="shared" si="200"/>
        <v>0</v>
      </c>
      <c r="AE274" s="24"/>
      <c r="AF274" s="29">
        <f t="shared" si="201"/>
        <v>6</v>
      </c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</row>
    <row r="275" spans="1:55" s="2" customFormat="1" ht="14.25">
      <c r="A275"/>
      <c r="B275" s="13"/>
      <c r="C275" s="13"/>
      <c r="D275" s="48"/>
      <c r="E275" s="48"/>
      <c r="F275" s="85">
        <f t="shared" si="202"/>
        <v>0</v>
      </c>
      <c r="G275" s="24"/>
      <c r="H275" s="51"/>
      <c r="I275" s="51"/>
      <c r="J275" s="49">
        <f t="shared" si="203"/>
        <v>0</v>
      </c>
      <c r="K275" s="24"/>
      <c r="L275" s="424"/>
      <c r="M275" s="48"/>
      <c r="N275" s="49">
        <f t="shared" si="196"/>
        <v>0</v>
      </c>
      <c r="O275" s="24"/>
      <c r="P275" s="48"/>
      <c r="Q275" s="48"/>
      <c r="R275" s="49">
        <f t="shared" si="197"/>
        <v>0</v>
      </c>
      <c r="S275" s="24"/>
      <c r="T275" s="48"/>
      <c r="U275" s="48"/>
      <c r="V275" s="49">
        <f t="shared" si="198"/>
        <v>0</v>
      </c>
      <c r="W275" s="24"/>
      <c r="X275" s="48"/>
      <c r="Y275" s="48"/>
      <c r="Z275" s="49">
        <f t="shared" si="199"/>
        <v>0</v>
      </c>
      <c r="AA275" s="24"/>
      <c r="AB275" s="48"/>
      <c r="AC275" s="48"/>
      <c r="AD275" s="49">
        <f t="shared" si="200"/>
        <v>0</v>
      </c>
      <c r="AE275" s="24"/>
      <c r="AF275" s="29">
        <f t="shared" si="201"/>
        <v>0</v>
      </c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</row>
    <row r="276" spans="1:55" s="2" customFormat="1">
      <c r="A276"/>
      <c r="B276" s="63" t="s">
        <v>61</v>
      </c>
      <c r="C276" s="63"/>
      <c r="D276" s="63"/>
      <c r="E276" s="63"/>
      <c r="F276" s="86">
        <f>SUM(F268:F275)</f>
        <v>8</v>
      </c>
      <c r="G276" s="63"/>
      <c r="H276" s="63"/>
      <c r="I276" s="63"/>
      <c r="J276" s="86">
        <f>SUM(J268:J275)</f>
        <v>30.5</v>
      </c>
      <c r="K276" s="63"/>
      <c r="L276" s="99"/>
      <c r="M276" s="63"/>
      <c r="N276" s="86">
        <f>SUM(N268:N275)</f>
        <v>-1.7763568394002505E-15</v>
      </c>
      <c r="O276" s="63"/>
      <c r="P276" s="63"/>
      <c r="Q276" s="63"/>
      <c r="R276" s="86">
        <f>SUM(R268:R275)</f>
        <v>6</v>
      </c>
      <c r="S276" s="63"/>
      <c r="T276" s="63"/>
      <c r="U276" s="63"/>
      <c r="V276" s="86">
        <f>SUM(V268:V275)</f>
        <v>0</v>
      </c>
      <c r="W276" s="63"/>
      <c r="X276" s="63"/>
      <c r="Y276" s="63"/>
      <c r="Z276" s="86">
        <f>SUM(Z268:Z275)</f>
        <v>0</v>
      </c>
      <c r="AA276" s="63"/>
      <c r="AB276" s="63"/>
      <c r="AC276" s="63"/>
      <c r="AD276" s="82">
        <f>SUM(AD268:AD275)</f>
        <v>0</v>
      </c>
      <c r="AE276" s="46"/>
      <c r="AF276" s="30">
        <f>SUM(AF269:AF275)</f>
        <v>44.5</v>
      </c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</row>
    <row r="277" spans="1:55" s="2" customFormat="1">
      <c r="A277"/>
      <c r="B277" s="31" t="s">
        <v>577</v>
      </c>
      <c r="C277" s="31"/>
      <c r="D277" s="91"/>
      <c r="E277" s="83"/>
      <c r="F277" s="87"/>
      <c r="G277" s="83"/>
      <c r="H277" s="83"/>
      <c r="I277" s="83"/>
      <c r="J277" s="87"/>
      <c r="K277" s="83"/>
      <c r="L277" s="425"/>
      <c r="M277" s="83"/>
      <c r="N277" s="87"/>
      <c r="O277" s="83"/>
      <c r="P277" s="83"/>
      <c r="Q277" s="83"/>
      <c r="R277" s="87"/>
      <c r="S277" s="83"/>
      <c r="T277" s="83"/>
      <c r="U277" s="83"/>
      <c r="V277" s="87"/>
      <c r="W277" s="83"/>
      <c r="X277" s="83"/>
      <c r="Y277" s="83"/>
      <c r="Z277" s="87"/>
      <c r="AA277" s="83"/>
      <c r="AB277" s="83"/>
      <c r="AC277" s="83"/>
      <c r="AD277" s="83"/>
      <c r="AE277" s="45"/>
      <c r="AF277" s="28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</row>
    <row r="278" spans="1:55" s="2" customFormat="1">
      <c r="A278"/>
      <c r="B278" s="31" t="s">
        <v>578</v>
      </c>
      <c r="C278" s="31"/>
      <c r="D278" s="91"/>
      <c r="E278" s="83"/>
      <c r="F278" s="87"/>
      <c r="G278" s="83"/>
      <c r="H278" s="83"/>
      <c r="I278" s="83"/>
      <c r="J278" s="87"/>
      <c r="K278" s="83"/>
      <c r="L278" s="425"/>
      <c r="M278" s="83"/>
      <c r="N278" s="87"/>
      <c r="O278" s="83"/>
      <c r="P278" s="83"/>
      <c r="Q278" s="83"/>
      <c r="R278" s="87"/>
      <c r="S278" s="83"/>
      <c r="T278" s="83"/>
      <c r="U278" s="83"/>
      <c r="V278" s="87"/>
      <c r="W278" s="83"/>
      <c r="X278" s="83"/>
      <c r="Y278" s="83"/>
      <c r="Z278" s="87"/>
      <c r="AA278" s="83"/>
      <c r="AB278" s="83"/>
      <c r="AC278" s="83"/>
      <c r="AD278" s="83"/>
      <c r="AE278" s="45"/>
      <c r="AF278" s="28">
        <f>SUM(D278:AD278)</f>
        <v>0</v>
      </c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</row>
    <row r="279" spans="1:55" s="2" customFormat="1" ht="14.25" thickBot="1">
      <c r="A279"/>
      <c r="B279" s="74" t="s">
        <v>579</v>
      </c>
      <c r="C279" s="74"/>
      <c r="D279" s="92"/>
      <c r="E279" s="92"/>
      <c r="F279" s="93"/>
      <c r="G279" s="92"/>
      <c r="H279" s="92"/>
      <c r="I279" s="92"/>
      <c r="J279" s="93"/>
      <c r="K279" s="92"/>
      <c r="L279" s="426"/>
      <c r="M279" s="92"/>
      <c r="N279" s="93"/>
      <c r="O279" s="92"/>
      <c r="P279" s="92"/>
      <c r="Q279" s="92"/>
      <c r="R279" s="93"/>
      <c r="S279" s="92"/>
      <c r="T279" s="92"/>
      <c r="U279" s="92"/>
      <c r="V279" s="93"/>
      <c r="W279" s="94"/>
      <c r="X279" s="94"/>
      <c r="Y279" s="94"/>
      <c r="Z279" s="93"/>
      <c r="AA279" s="94"/>
      <c r="AB279" s="94"/>
      <c r="AC279" s="94"/>
      <c r="AD279" s="94"/>
      <c r="AE279" s="94"/>
      <c r="AF279" s="80">
        <f>SUM(D279:AD279)</f>
        <v>0</v>
      </c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</row>
    <row r="280" spans="1:55" s="2" customFormat="1" ht="14.25" thickTop="1">
      <c r="A280"/>
      <c r="B280" s="71" t="s">
        <v>66</v>
      </c>
      <c r="C280" s="421"/>
      <c r="D280" s="3"/>
      <c r="E280" s="3"/>
      <c r="F280" s="88">
        <f>SUM(F277:F279)</f>
        <v>0</v>
      </c>
      <c r="G280" s="3"/>
      <c r="H280" s="3"/>
      <c r="I280" s="3"/>
      <c r="J280" s="88">
        <f>SUM(J277:J279)</f>
        <v>0</v>
      </c>
      <c r="K280" s="3"/>
      <c r="L280" s="423"/>
      <c r="M280" s="3"/>
      <c r="N280" s="88">
        <f>SUM(N277:N279)</f>
        <v>0</v>
      </c>
      <c r="O280" s="3"/>
      <c r="P280" s="3"/>
      <c r="Q280" s="3"/>
      <c r="R280" s="88">
        <f>SUM(R277:R279)</f>
        <v>0</v>
      </c>
      <c r="S280" s="3"/>
      <c r="T280" s="3"/>
      <c r="U280" s="3"/>
      <c r="V280" s="88">
        <f>SUM(V277:V279)</f>
        <v>0</v>
      </c>
      <c r="W280" s="3"/>
      <c r="X280" s="3"/>
      <c r="Y280" s="3"/>
      <c r="Z280" s="88">
        <f>SUM(Z277:Z279)</f>
        <v>0</v>
      </c>
      <c r="AA280" s="3"/>
      <c r="AB280" s="3"/>
      <c r="AC280" s="3"/>
      <c r="AD280" s="67">
        <f>SUM(AD277:AD279)</f>
        <v>0</v>
      </c>
      <c r="AE280" s="3"/>
      <c r="AF280" s="71">
        <f>SUM(F280:AD280)</f>
        <v>0</v>
      </c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</row>
    <row r="281" spans="1:55" s="2" customFormat="1">
      <c r="A281"/>
      <c r="B281" s="1518" t="s">
        <v>18</v>
      </c>
      <c r="C281" s="1528" t="s">
        <v>571</v>
      </c>
      <c r="D281" s="1524">
        <v>45038</v>
      </c>
      <c r="E281" s="1524"/>
      <c r="F281" s="1524"/>
      <c r="G281" s="22"/>
      <c r="H281" s="1524">
        <f>D281+1</f>
        <v>45039</v>
      </c>
      <c r="I281" s="1524"/>
      <c r="J281" s="1524"/>
      <c r="K281" s="22"/>
      <c r="L281" s="1524">
        <f>H281+1</f>
        <v>45040</v>
      </c>
      <c r="M281" s="1524"/>
      <c r="N281" s="1524"/>
      <c r="O281" s="3"/>
      <c r="P281" s="1524">
        <f>L281+1</f>
        <v>45041</v>
      </c>
      <c r="Q281" s="1524"/>
      <c r="R281" s="1524"/>
      <c r="S281" s="3"/>
      <c r="T281" s="1524">
        <f>P281+1</f>
        <v>45042</v>
      </c>
      <c r="U281" s="1524"/>
      <c r="V281" s="1524"/>
      <c r="W281" s="22"/>
      <c r="X281" s="1524">
        <f>T281+1</f>
        <v>45043</v>
      </c>
      <c r="Y281" s="1524"/>
      <c r="Z281" s="1524"/>
      <c r="AA281" s="3"/>
      <c r="AB281" s="1524">
        <f>X281+1</f>
        <v>45044</v>
      </c>
      <c r="AC281" s="1524"/>
      <c r="AD281" s="1524"/>
      <c r="AE281" s="22"/>
      <c r="AF281" s="1517" t="s">
        <v>19</v>
      </c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</row>
    <row r="282" spans="1:55" s="2" customFormat="1">
      <c r="A282"/>
      <c r="B282" s="1518"/>
      <c r="C282" s="1528"/>
      <c r="D282" s="21" t="s">
        <v>23</v>
      </c>
      <c r="E282" s="21" t="s">
        <v>24</v>
      </c>
      <c r="F282" s="62" t="s">
        <v>25</v>
      </c>
      <c r="G282" s="23"/>
      <c r="H282" s="21" t="s">
        <v>23</v>
      </c>
      <c r="I282" s="21" t="s">
        <v>24</v>
      </c>
      <c r="J282" s="18" t="s">
        <v>25</v>
      </c>
      <c r="K282" s="23"/>
      <c r="L282" s="21" t="s">
        <v>23</v>
      </c>
      <c r="M282" s="21" t="s">
        <v>24</v>
      </c>
      <c r="N282" s="18" t="s">
        <v>25</v>
      </c>
      <c r="O282" s="23"/>
      <c r="P282" s="21" t="s">
        <v>23</v>
      </c>
      <c r="Q282" s="21" t="s">
        <v>24</v>
      </c>
      <c r="R282" s="18" t="s">
        <v>25</v>
      </c>
      <c r="S282" s="23"/>
      <c r="T282" s="21" t="s">
        <v>23</v>
      </c>
      <c r="U282" s="21" t="s">
        <v>24</v>
      </c>
      <c r="V282" s="18" t="s">
        <v>25</v>
      </c>
      <c r="W282" s="23"/>
      <c r="X282" s="21" t="s">
        <v>23</v>
      </c>
      <c r="Y282" s="21" t="s">
        <v>24</v>
      </c>
      <c r="Z282" s="18" t="s">
        <v>25</v>
      </c>
      <c r="AA282" s="23"/>
      <c r="AB282" s="21" t="s">
        <v>23</v>
      </c>
      <c r="AC282" s="21" t="s">
        <v>24</v>
      </c>
      <c r="AD282" s="18" t="s">
        <v>25</v>
      </c>
      <c r="AE282" s="23"/>
      <c r="AF282" s="1517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</row>
    <row r="283" spans="1:55" s="2" customFormat="1" ht="27">
      <c r="A283"/>
      <c r="B283" s="13" t="s">
        <v>54</v>
      </c>
      <c r="C283" s="13" t="s">
        <v>780</v>
      </c>
      <c r="D283" s="51"/>
      <c r="E283" s="51"/>
      <c r="F283" s="85">
        <f>(E283-D283)*24</f>
        <v>0</v>
      </c>
      <c r="G283" s="24"/>
      <c r="H283" s="51"/>
      <c r="I283" s="51"/>
      <c r="J283" s="49">
        <f>(I283-H283)*24</f>
        <v>0</v>
      </c>
      <c r="K283" s="24"/>
      <c r="L283" s="424">
        <v>0.38541666666666669</v>
      </c>
      <c r="M283" s="48">
        <v>0.73958333333333337</v>
      </c>
      <c r="N283" s="49">
        <f>(M283-L283)*24</f>
        <v>8.5</v>
      </c>
      <c r="O283" s="24"/>
      <c r="P283" s="48">
        <v>0.3888888888888889</v>
      </c>
      <c r="Q283" s="51">
        <v>0.75</v>
      </c>
      <c r="R283" s="49">
        <f>(Q283-P283)*24</f>
        <v>8.6666666666666661</v>
      </c>
      <c r="S283" s="24"/>
      <c r="T283" s="51">
        <v>0.375</v>
      </c>
      <c r="U283" s="51">
        <v>0.75</v>
      </c>
      <c r="V283" s="49">
        <f>(U283-T283)*24</f>
        <v>9</v>
      </c>
      <c r="W283" s="24"/>
      <c r="X283" s="48"/>
      <c r="Y283" s="48"/>
      <c r="Z283" s="49">
        <f>(Y283-X283)*24</f>
        <v>0</v>
      </c>
      <c r="AA283" s="24"/>
      <c r="AB283" s="48"/>
      <c r="AC283" s="48"/>
      <c r="AD283" s="49">
        <f>(AC283-AB283)*24</f>
        <v>0</v>
      </c>
      <c r="AE283" s="24"/>
      <c r="AF283" s="29">
        <f>J283+F283+N283+R283+V283+Z283+AD283</f>
        <v>26.166666666666664</v>
      </c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</row>
    <row r="284" spans="1:55" s="2" customFormat="1" ht="18.75" customHeight="1">
      <c r="A284"/>
      <c r="B284" s="313" t="s">
        <v>572</v>
      </c>
      <c r="C284" s="13" t="s">
        <v>780</v>
      </c>
      <c r="D284" s="51"/>
      <c r="E284" s="51"/>
      <c r="F284" s="85">
        <f t="shared" ref="F284:F286" si="204">(E284-D284)*24</f>
        <v>0</v>
      </c>
      <c r="G284" s="24"/>
      <c r="H284" s="51"/>
      <c r="I284" s="51"/>
      <c r="J284" s="49">
        <f>(I284-H284)*24</f>
        <v>0</v>
      </c>
      <c r="K284" s="24"/>
      <c r="L284" s="424">
        <v>0.35416666666666669</v>
      </c>
      <c r="M284" s="51">
        <v>0.73958333333333337</v>
      </c>
      <c r="N284" s="49">
        <f t="shared" ref="N284:N286" si="205">(M284-L284)*24</f>
        <v>9.25</v>
      </c>
      <c r="O284" s="24"/>
      <c r="P284" s="48">
        <v>0.34375</v>
      </c>
      <c r="Q284" s="51">
        <v>0.75</v>
      </c>
      <c r="R284" s="49">
        <f t="shared" ref="R284:R286" si="206">(Q284-P284)*24</f>
        <v>9.75</v>
      </c>
      <c r="S284" s="24"/>
      <c r="T284" s="51">
        <v>0.35416666666666669</v>
      </c>
      <c r="U284" s="51">
        <v>0.75</v>
      </c>
      <c r="V284" s="49">
        <f t="shared" ref="V284:V286" si="207">(U284-T284)*24</f>
        <v>9.5</v>
      </c>
      <c r="W284" s="24"/>
      <c r="X284" s="48"/>
      <c r="Y284" s="48"/>
      <c r="Z284" s="49">
        <f t="shared" ref="Z284:Z286" si="208">(Y284-X284)*24</f>
        <v>0</v>
      </c>
      <c r="AA284" s="24"/>
      <c r="AB284" s="48"/>
      <c r="AC284" s="48"/>
      <c r="AD284" s="49">
        <f t="shared" ref="AD284:AD286" si="209">(AC284-AB284)*24</f>
        <v>0</v>
      </c>
      <c r="AE284" s="24"/>
      <c r="AF284" s="29">
        <f t="shared" ref="AF284:AF286" si="210">J284+F284+N284+R284+V284+Z284+AD284</f>
        <v>28.5</v>
      </c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</row>
    <row r="285" spans="1:55" s="2" customFormat="1" ht="27">
      <c r="A285"/>
      <c r="B285" s="13" t="s">
        <v>637</v>
      </c>
      <c r="C285" s="13" t="s">
        <v>780</v>
      </c>
      <c r="D285" s="51"/>
      <c r="E285" s="48"/>
      <c r="F285" s="85">
        <f t="shared" si="204"/>
        <v>0</v>
      </c>
      <c r="G285" s="24"/>
      <c r="H285" s="48"/>
      <c r="I285" s="48"/>
      <c r="J285" s="49">
        <f t="shared" ref="J285:J286" si="211">(I285-H285)*24</f>
        <v>0</v>
      </c>
      <c r="K285" s="24"/>
      <c r="L285" s="424">
        <v>0.41666666666666669</v>
      </c>
      <c r="M285" s="48">
        <v>0.70833333333333337</v>
      </c>
      <c r="N285" s="49">
        <f t="shared" si="205"/>
        <v>7</v>
      </c>
      <c r="O285" s="24"/>
      <c r="P285" s="51"/>
      <c r="Q285" s="51"/>
      <c r="R285" s="49">
        <f t="shared" si="206"/>
        <v>0</v>
      </c>
      <c r="S285" s="24"/>
      <c r="T285" s="48"/>
      <c r="U285" s="48"/>
      <c r="V285" s="49">
        <f t="shared" si="207"/>
        <v>0</v>
      </c>
      <c r="W285" s="24"/>
      <c r="X285" s="48"/>
      <c r="Y285" s="48"/>
      <c r="Z285" s="49">
        <f t="shared" si="208"/>
        <v>0</v>
      </c>
      <c r="AA285" s="24"/>
      <c r="AB285" s="48"/>
      <c r="AC285" s="48"/>
      <c r="AD285" s="49">
        <f t="shared" si="209"/>
        <v>0</v>
      </c>
      <c r="AE285" s="24"/>
      <c r="AF285" s="29">
        <f t="shared" si="210"/>
        <v>7</v>
      </c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</row>
    <row r="286" spans="1:55" s="2" customFormat="1" ht="14.25">
      <c r="A286"/>
      <c r="B286" s="13"/>
      <c r="C286" s="13"/>
      <c r="D286" s="51"/>
      <c r="E286" s="51"/>
      <c r="F286" s="85">
        <f t="shared" si="204"/>
        <v>0</v>
      </c>
      <c r="G286" s="24"/>
      <c r="H286" s="51"/>
      <c r="I286" s="48"/>
      <c r="J286" s="49">
        <f t="shared" si="211"/>
        <v>0</v>
      </c>
      <c r="K286" s="24"/>
      <c r="L286" s="424"/>
      <c r="M286" s="48"/>
      <c r="N286" s="49">
        <f t="shared" si="205"/>
        <v>0</v>
      </c>
      <c r="O286" s="24"/>
      <c r="P286" s="51"/>
      <c r="Q286" s="51"/>
      <c r="R286" s="49">
        <f t="shared" si="206"/>
        <v>0</v>
      </c>
      <c r="S286" s="24"/>
      <c r="T286" s="48"/>
      <c r="U286" s="48"/>
      <c r="V286" s="49">
        <f t="shared" si="207"/>
        <v>0</v>
      </c>
      <c r="W286" s="24"/>
      <c r="X286" s="48"/>
      <c r="Y286" s="48"/>
      <c r="Z286" s="49">
        <f t="shared" si="208"/>
        <v>0</v>
      </c>
      <c r="AA286" s="24"/>
      <c r="AB286" s="48"/>
      <c r="AC286" s="48"/>
      <c r="AD286" s="49">
        <f t="shared" si="209"/>
        <v>0</v>
      </c>
      <c r="AE286" s="24"/>
      <c r="AF286" s="29">
        <f t="shared" si="210"/>
        <v>0</v>
      </c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</row>
    <row r="287" spans="1:55" s="2" customFormat="1">
      <c r="A287"/>
      <c r="B287" s="63" t="s">
        <v>61</v>
      </c>
      <c r="C287" s="63"/>
      <c r="D287" s="63"/>
      <c r="E287" s="63"/>
      <c r="F287" s="86">
        <f>SUM(F282:F286)</f>
        <v>0</v>
      </c>
      <c r="G287" s="63"/>
      <c r="H287" s="63"/>
      <c r="I287" s="63"/>
      <c r="J287" s="86">
        <f>SUM(J282:J286)</f>
        <v>0</v>
      </c>
      <c r="K287" s="63"/>
      <c r="L287" s="99"/>
      <c r="M287" s="63"/>
      <c r="N287" s="86">
        <f>SUM(N282:N286)</f>
        <v>24.75</v>
      </c>
      <c r="O287" s="63"/>
      <c r="P287" s="63"/>
      <c r="Q287" s="63"/>
      <c r="R287" s="86">
        <f>SUM(R282:R286)</f>
        <v>18.416666666666664</v>
      </c>
      <c r="S287" s="63"/>
      <c r="T287" s="63"/>
      <c r="U287" s="63"/>
      <c r="V287" s="86">
        <f>SUM(V282:V286)</f>
        <v>18.5</v>
      </c>
      <c r="W287" s="63"/>
      <c r="X287" s="63"/>
      <c r="Y287" s="63"/>
      <c r="Z287" s="86">
        <f>SUM(Z282:Z286)</f>
        <v>0</v>
      </c>
      <c r="AA287" s="63"/>
      <c r="AB287" s="63"/>
      <c r="AC287" s="63"/>
      <c r="AD287" s="82">
        <f>SUM(AD282:AD286)</f>
        <v>0</v>
      </c>
      <c r="AE287" s="46"/>
      <c r="AF287" s="30">
        <f>SUM(AF283:AF286)</f>
        <v>61.666666666666664</v>
      </c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</row>
    <row r="288" spans="1:55" s="2" customFormat="1">
      <c r="A288"/>
      <c r="B288" s="31" t="s">
        <v>577</v>
      </c>
      <c r="C288" s="31"/>
      <c r="D288" s="91"/>
      <c r="E288" s="83"/>
      <c r="F288" s="87"/>
      <c r="G288" s="83"/>
      <c r="H288" s="83"/>
      <c r="I288" s="83"/>
      <c r="J288" s="87"/>
      <c r="K288" s="83"/>
      <c r="L288" s="425"/>
      <c r="M288" s="83"/>
      <c r="N288" s="87"/>
      <c r="O288" s="83"/>
      <c r="P288" s="83"/>
      <c r="Q288" s="83"/>
      <c r="R288" s="87"/>
      <c r="S288" s="83"/>
      <c r="T288" s="83"/>
      <c r="U288" s="83"/>
      <c r="V288" s="87"/>
      <c r="W288" s="83"/>
      <c r="X288" s="83"/>
      <c r="Y288" s="83"/>
      <c r="Z288" s="87"/>
      <c r="AA288" s="83"/>
      <c r="AB288" s="83"/>
      <c r="AC288" s="83"/>
      <c r="AD288" s="83"/>
      <c r="AE288" s="45"/>
      <c r="AF288" s="28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</row>
    <row r="289" spans="1:55" s="2" customFormat="1">
      <c r="A289"/>
      <c r="B289" s="31" t="s">
        <v>578</v>
      </c>
      <c r="C289" s="31"/>
      <c r="D289" s="91"/>
      <c r="E289" s="83"/>
      <c r="F289" s="87"/>
      <c r="G289" s="83"/>
      <c r="H289" s="83"/>
      <c r="I289" s="83"/>
      <c r="J289" s="87"/>
      <c r="K289" s="83"/>
      <c r="L289" s="425"/>
      <c r="M289" s="83"/>
      <c r="N289" s="87"/>
      <c r="O289" s="83"/>
      <c r="P289" s="83"/>
      <c r="Q289" s="83"/>
      <c r="R289" s="87"/>
      <c r="S289" s="83"/>
      <c r="T289" s="83"/>
      <c r="U289" s="83"/>
      <c r="V289" s="87"/>
      <c r="W289" s="83"/>
      <c r="X289" s="83"/>
      <c r="Y289" s="83"/>
      <c r="Z289" s="87"/>
      <c r="AA289" s="83"/>
      <c r="AB289" s="83"/>
      <c r="AC289" s="83"/>
      <c r="AD289" s="83"/>
      <c r="AE289" s="45"/>
      <c r="AF289" s="28">
        <f>SUM(D289:AD289)</f>
        <v>0</v>
      </c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</row>
    <row r="290" spans="1:55" s="2" customFormat="1" ht="14.25" thickBot="1">
      <c r="A290"/>
      <c r="B290" s="74" t="s">
        <v>579</v>
      </c>
      <c r="C290" s="74"/>
      <c r="D290" s="92"/>
      <c r="E290" s="92"/>
      <c r="F290" s="93"/>
      <c r="G290" s="92"/>
      <c r="H290" s="92"/>
      <c r="I290" s="92"/>
      <c r="J290" s="93"/>
      <c r="K290" s="92"/>
      <c r="L290" s="426"/>
      <c r="M290" s="92"/>
      <c r="N290" s="93"/>
      <c r="O290" s="92"/>
      <c r="P290" s="92"/>
      <c r="Q290" s="92"/>
      <c r="R290" s="93"/>
      <c r="S290" s="92"/>
      <c r="T290" s="92"/>
      <c r="U290" s="92"/>
      <c r="V290" s="93"/>
      <c r="W290" s="94"/>
      <c r="X290" s="94"/>
      <c r="Y290" s="94"/>
      <c r="Z290" s="93"/>
      <c r="AA290" s="94"/>
      <c r="AB290" s="94"/>
      <c r="AC290" s="94"/>
      <c r="AD290" s="94"/>
      <c r="AE290" s="94"/>
      <c r="AF290" s="80">
        <f>SUM(D290:AD290)</f>
        <v>0</v>
      </c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</row>
    <row r="291" spans="1:55" s="2" customFormat="1" ht="14.25" thickTop="1">
      <c r="A291"/>
      <c r="B291" s="71" t="s">
        <v>66</v>
      </c>
      <c r="C291" s="421"/>
      <c r="D291" s="3"/>
      <c r="E291" s="3"/>
      <c r="F291" s="88">
        <f>SUM(F288:F290)</f>
        <v>0</v>
      </c>
      <c r="G291" s="3"/>
      <c r="H291" s="3"/>
      <c r="I291" s="3"/>
      <c r="J291" s="88">
        <f>SUM(J288:J290)</f>
        <v>0</v>
      </c>
      <c r="K291" s="3"/>
      <c r="L291" s="423"/>
      <c r="M291" s="3"/>
      <c r="N291" s="88">
        <f>SUM(N288:N290)</f>
        <v>0</v>
      </c>
      <c r="O291" s="3"/>
      <c r="P291" s="3"/>
      <c r="Q291" s="3"/>
      <c r="R291" s="88">
        <f>SUM(R288:R290)</f>
        <v>0</v>
      </c>
      <c r="S291" s="3"/>
      <c r="T291" s="3"/>
      <c r="U291" s="3"/>
      <c r="V291" s="88">
        <f>SUM(V288:V290)</f>
        <v>0</v>
      </c>
      <c r="W291" s="3"/>
      <c r="X291" s="3"/>
      <c r="Y291" s="3"/>
      <c r="Z291" s="88">
        <f>SUM(Z288:Z290)</f>
        <v>0</v>
      </c>
      <c r="AA291" s="3"/>
      <c r="AB291" s="3"/>
      <c r="AC291" s="3"/>
      <c r="AD291" s="67">
        <f>SUM(AD288:AD290)</f>
        <v>0</v>
      </c>
      <c r="AE291" s="3"/>
      <c r="AF291" s="71">
        <f>SUM(F291:AD291)</f>
        <v>0</v>
      </c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</row>
    <row r="292" spans="1:55" s="2" customFormat="1">
      <c r="A292"/>
      <c r="B292" s="1518" t="s">
        <v>18</v>
      </c>
      <c r="C292" s="1528" t="s">
        <v>571</v>
      </c>
      <c r="D292" s="1524">
        <v>45411</v>
      </c>
      <c r="E292" s="1524"/>
      <c r="F292" s="1524"/>
      <c r="G292" s="22"/>
      <c r="H292" s="1524">
        <f>D292+1</f>
        <v>45412</v>
      </c>
      <c r="I292" s="1524"/>
      <c r="J292" s="1524"/>
      <c r="K292" s="22"/>
      <c r="L292" s="1524">
        <f>H292+1</f>
        <v>45413</v>
      </c>
      <c r="M292" s="1524"/>
      <c r="N292" s="1524"/>
      <c r="O292" s="3"/>
      <c r="P292" s="1524">
        <f>L292+1</f>
        <v>45414</v>
      </c>
      <c r="Q292" s="1524"/>
      <c r="R292" s="1524"/>
      <c r="S292" s="3"/>
      <c r="T292" s="1524">
        <f>P292+1</f>
        <v>45415</v>
      </c>
      <c r="U292" s="1524"/>
      <c r="V292" s="1524"/>
      <c r="W292" s="22"/>
      <c r="X292" s="1524">
        <f>T292+1</f>
        <v>45416</v>
      </c>
      <c r="Y292" s="1524"/>
      <c r="Z292" s="1524"/>
      <c r="AA292" s="3"/>
      <c r="AB292" s="1524">
        <f>X292+1</f>
        <v>45417</v>
      </c>
      <c r="AC292" s="1524"/>
      <c r="AD292" s="1524"/>
      <c r="AE292" s="22"/>
      <c r="AF292" s="1517" t="s">
        <v>19</v>
      </c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</row>
    <row r="293" spans="1:55" s="2" customFormat="1">
      <c r="A293"/>
      <c r="B293" s="1518"/>
      <c r="C293" s="1528"/>
      <c r="D293" s="21" t="s">
        <v>23</v>
      </c>
      <c r="E293" s="21" t="s">
        <v>24</v>
      </c>
      <c r="F293" s="62" t="s">
        <v>25</v>
      </c>
      <c r="G293" s="23"/>
      <c r="H293" s="21" t="s">
        <v>23</v>
      </c>
      <c r="I293" s="21" t="s">
        <v>24</v>
      </c>
      <c r="J293" s="18" t="s">
        <v>25</v>
      </c>
      <c r="K293" s="23"/>
      <c r="L293" s="21" t="s">
        <v>23</v>
      </c>
      <c r="M293" s="21" t="s">
        <v>24</v>
      </c>
      <c r="N293" s="18" t="s">
        <v>25</v>
      </c>
      <c r="O293" s="23"/>
      <c r="P293" s="21" t="s">
        <v>23</v>
      </c>
      <c r="Q293" s="21" t="s">
        <v>24</v>
      </c>
      <c r="R293" s="18" t="s">
        <v>25</v>
      </c>
      <c r="S293" s="23"/>
      <c r="T293" s="21" t="s">
        <v>23</v>
      </c>
      <c r="U293" s="21" t="s">
        <v>24</v>
      </c>
      <c r="V293" s="18" t="s">
        <v>25</v>
      </c>
      <c r="W293" s="23"/>
      <c r="X293" s="21" t="s">
        <v>23</v>
      </c>
      <c r="Y293" s="21" t="s">
        <v>24</v>
      </c>
      <c r="Z293" s="18" t="s">
        <v>25</v>
      </c>
      <c r="AA293" s="23"/>
      <c r="AB293" s="21" t="s">
        <v>23</v>
      </c>
      <c r="AC293" s="21" t="s">
        <v>24</v>
      </c>
      <c r="AD293" s="18" t="s">
        <v>25</v>
      </c>
      <c r="AE293" s="23"/>
      <c r="AF293" s="1517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</row>
    <row r="294" spans="1:55" s="2" customFormat="1" ht="28.5" customHeight="1">
      <c r="A294"/>
      <c r="B294" s="13" t="s">
        <v>576</v>
      </c>
      <c r="C294" s="13" t="s">
        <v>781</v>
      </c>
      <c r="D294" s="51"/>
      <c r="E294" s="51"/>
      <c r="F294" s="85">
        <f>(E294-D294)*24</f>
        <v>0</v>
      </c>
      <c r="G294" s="24"/>
      <c r="H294" s="51"/>
      <c r="I294" s="51"/>
      <c r="J294" s="49">
        <f>(I294-H294)*24</f>
        <v>0</v>
      </c>
      <c r="K294" s="24"/>
      <c r="L294" s="424">
        <v>0.41666666666666669</v>
      </c>
      <c r="M294" s="51">
        <v>0.70833333333333337</v>
      </c>
      <c r="N294" s="49">
        <f>(M294-L294)*24</f>
        <v>7</v>
      </c>
      <c r="O294" s="24"/>
      <c r="P294" s="424">
        <v>0.41666666666666669</v>
      </c>
      <c r="Q294" s="51">
        <v>0.875</v>
      </c>
      <c r="R294" s="49">
        <f>(Q294-P294)*24</f>
        <v>11</v>
      </c>
      <c r="S294" s="24"/>
      <c r="T294" s="48"/>
      <c r="U294" s="48"/>
      <c r="V294" s="49">
        <f>(U294-T294)*24</f>
        <v>0</v>
      </c>
      <c r="W294" s="24"/>
      <c r="X294" s="48"/>
      <c r="Y294" s="48"/>
      <c r="Z294" s="49">
        <f>(Y294-X294)*24</f>
        <v>0</v>
      </c>
      <c r="AA294" s="24"/>
      <c r="AB294" s="48"/>
      <c r="AC294" s="48"/>
      <c r="AD294" s="49">
        <f>(AC294-AB294)*24</f>
        <v>0</v>
      </c>
      <c r="AE294" s="24"/>
      <c r="AF294" s="29">
        <f>J294+F294+N294+R294+V294+Z294+AD294</f>
        <v>18</v>
      </c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</row>
    <row r="295" spans="1:55" s="2" customFormat="1" ht="27" customHeight="1">
      <c r="A295"/>
      <c r="B295" s="13" t="s">
        <v>637</v>
      </c>
      <c r="C295" s="13" t="s">
        <v>781</v>
      </c>
      <c r="D295" s="51"/>
      <c r="E295" s="51"/>
      <c r="F295" s="85">
        <f t="shared" ref="F295:F301" si="212">(E295-D295)*24</f>
        <v>0</v>
      </c>
      <c r="G295" s="24"/>
      <c r="H295" s="51"/>
      <c r="I295" s="51"/>
      <c r="J295" s="49">
        <f>(I295-H295)*24</f>
        <v>0</v>
      </c>
      <c r="K295" s="24"/>
      <c r="L295" s="424">
        <v>0.41666666666666669</v>
      </c>
      <c r="M295" s="51">
        <v>0.70833333333333337</v>
      </c>
      <c r="N295" s="49">
        <f t="shared" ref="N295:N301" si="213">(M295-L295)*24</f>
        <v>7</v>
      </c>
      <c r="O295" s="24"/>
      <c r="P295" s="424">
        <v>0.41666666666666669</v>
      </c>
      <c r="Q295" s="51">
        <v>0.875</v>
      </c>
      <c r="R295" s="49">
        <f t="shared" ref="R295:R301" si="214">(Q295-P295)*24</f>
        <v>11</v>
      </c>
      <c r="S295" s="24"/>
      <c r="T295" s="51">
        <v>0.41666666666666669</v>
      </c>
      <c r="U295" s="51">
        <v>0.77083333333333337</v>
      </c>
      <c r="V295" s="49">
        <f t="shared" ref="V295:V301" si="215">(U295-T295)*24</f>
        <v>8.5</v>
      </c>
      <c r="W295" s="24"/>
      <c r="X295" s="48"/>
      <c r="Y295" s="48"/>
      <c r="Z295" s="49">
        <f t="shared" ref="Z295:Z301" si="216">(Y295-X295)*24</f>
        <v>0</v>
      </c>
      <c r="AA295" s="24"/>
      <c r="AB295" s="48"/>
      <c r="AC295" s="48"/>
      <c r="AD295" s="49">
        <f t="shared" ref="AD295:AD301" si="217">(AC295-AB295)*24</f>
        <v>0</v>
      </c>
      <c r="AE295" s="24"/>
      <c r="AF295" s="29">
        <f t="shared" ref="AF295:AF301" si="218">J295+F295+N295+R295+V295+Z295+AD295</f>
        <v>26.5</v>
      </c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</row>
    <row r="296" spans="1:55" s="2" customFormat="1" ht="26.25" customHeight="1">
      <c r="A296"/>
      <c r="B296" s="13" t="s">
        <v>714</v>
      </c>
      <c r="C296" s="13" t="s">
        <v>781</v>
      </c>
      <c r="D296" s="51"/>
      <c r="E296" s="51"/>
      <c r="F296" s="85">
        <f t="shared" si="212"/>
        <v>0</v>
      </c>
      <c r="G296" s="24"/>
      <c r="H296" s="51"/>
      <c r="I296" s="51"/>
      <c r="J296" s="49">
        <f t="shared" ref="J296:J301" si="219">(I296-H296)*24</f>
        <v>0</v>
      </c>
      <c r="K296" s="24"/>
      <c r="L296" s="424">
        <v>0.39583333333333331</v>
      </c>
      <c r="M296" s="51">
        <v>0.70833333333333337</v>
      </c>
      <c r="N296" s="49">
        <f t="shared" si="213"/>
        <v>7.5000000000000018</v>
      </c>
      <c r="O296" s="24"/>
      <c r="P296" s="424">
        <v>0.39583333333333331</v>
      </c>
      <c r="Q296" s="51">
        <v>0.875</v>
      </c>
      <c r="R296" s="49">
        <f t="shared" si="214"/>
        <v>11.5</v>
      </c>
      <c r="S296" s="24"/>
      <c r="T296" s="48"/>
      <c r="U296" s="48"/>
      <c r="V296" s="49">
        <f t="shared" si="215"/>
        <v>0</v>
      </c>
      <c r="W296" s="24"/>
      <c r="X296" s="48"/>
      <c r="Y296" s="48"/>
      <c r="Z296" s="49">
        <f t="shared" si="216"/>
        <v>0</v>
      </c>
      <c r="AA296" s="24"/>
      <c r="AB296" s="48"/>
      <c r="AC296" s="48"/>
      <c r="AD296" s="49">
        <f t="shared" si="217"/>
        <v>0</v>
      </c>
      <c r="AE296" s="24"/>
      <c r="AF296" s="29">
        <f t="shared" si="218"/>
        <v>19</v>
      </c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</row>
    <row r="297" spans="1:55" s="2" customFormat="1" ht="26.25" customHeight="1">
      <c r="A297"/>
      <c r="B297" s="313" t="s">
        <v>572</v>
      </c>
      <c r="C297" s="13" t="s">
        <v>762</v>
      </c>
      <c r="D297" s="51"/>
      <c r="E297" s="51"/>
      <c r="F297" s="85">
        <f t="shared" si="212"/>
        <v>0</v>
      </c>
      <c r="G297" s="24"/>
      <c r="H297" s="51"/>
      <c r="I297" s="51"/>
      <c r="J297" s="49">
        <f t="shared" si="219"/>
        <v>0</v>
      </c>
      <c r="K297" s="24"/>
      <c r="L297" s="424"/>
      <c r="M297" s="51"/>
      <c r="N297" s="49">
        <f t="shared" si="213"/>
        <v>0</v>
      </c>
      <c r="O297" s="24"/>
      <c r="P297" s="424">
        <v>0.33333333333333331</v>
      </c>
      <c r="Q297" s="51"/>
      <c r="R297" s="49">
        <f t="shared" si="214"/>
        <v>-8</v>
      </c>
      <c r="S297" s="24"/>
      <c r="T297" s="48"/>
      <c r="U297" s="48"/>
      <c r="V297" s="49">
        <f t="shared" si="215"/>
        <v>0</v>
      </c>
      <c r="W297" s="24"/>
      <c r="X297" s="48"/>
      <c r="Y297" s="48"/>
      <c r="Z297" s="49">
        <f t="shared" si="216"/>
        <v>0</v>
      </c>
      <c r="AA297" s="24"/>
      <c r="AB297" s="48"/>
      <c r="AC297" s="48"/>
      <c r="AD297" s="49">
        <f t="shared" si="217"/>
        <v>0</v>
      </c>
      <c r="AE297" s="24"/>
      <c r="AF297" s="29">
        <f t="shared" si="218"/>
        <v>-8</v>
      </c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</row>
    <row r="298" spans="1:55" s="2" customFormat="1" ht="26.25" customHeight="1">
      <c r="A298"/>
      <c r="B298" s="13" t="s">
        <v>54</v>
      </c>
      <c r="C298" s="13" t="s">
        <v>762</v>
      </c>
      <c r="D298" s="51"/>
      <c r="E298" s="51"/>
      <c r="F298" s="85">
        <f t="shared" si="212"/>
        <v>0</v>
      </c>
      <c r="G298" s="24"/>
      <c r="H298" s="51"/>
      <c r="I298" s="51"/>
      <c r="J298" s="49">
        <f t="shared" si="219"/>
        <v>0</v>
      </c>
      <c r="K298" s="24"/>
      <c r="L298" s="424"/>
      <c r="M298" s="51"/>
      <c r="N298" s="49">
        <f t="shared" si="213"/>
        <v>0</v>
      </c>
      <c r="O298" s="24"/>
      <c r="P298" s="424">
        <v>0.33333333333333331</v>
      </c>
      <c r="Q298" s="51"/>
      <c r="R298" s="49">
        <f t="shared" si="214"/>
        <v>-8</v>
      </c>
      <c r="S298" s="24"/>
      <c r="T298" s="48"/>
      <c r="U298" s="48"/>
      <c r="V298" s="49">
        <f t="shared" si="215"/>
        <v>0</v>
      </c>
      <c r="W298" s="24"/>
      <c r="X298" s="48"/>
      <c r="Y298" s="48"/>
      <c r="Z298" s="49">
        <f t="shared" si="216"/>
        <v>0</v>
      </c>
      <c r="AA298" s="24"/>
      <c r="AB298" s="48"/>
      <c r="AC298" s="48"/>
      <c r="AD298" s="49">
        <f t="shared" si="217"/>
        <v>0</v>
      </c>
      <c r="AE298" s="24"/>
      <c r="AF298" s="29">
        <f t="shared" si="218"/>
        <v>-8</v>
      </c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</row>
    <row r="299" spans="1:55" s="2" customFormat="1" ht="27">
      <c r="A299"/>
      <c r="B299" s="313" t="s">
        <v>572</v>
      </c>
      <c r="C299" s="13" t="s">
        <v>782</v>
      </c>
      <c r="D299" s="51"/>
      <c r="E299" s="51"/>
      <c r="F299" s="85">
        <f t="shared" si="212"/>
        <v>0</v>
      </c>
      <c r="G299" s="24"/>
      <c r="H299" s="51"/>
      <c r="I299" s="51"/>
      <c r="J299" s="49">
        <f t="shared" si="219"/>
        <v>0</v>
      </c>
      <c r="K299" s="24"/>
      <c r="L299" s="424"/>
      <c r="M299" s="48"/>
      <c r="N299" s="49">
        <f t="shared" si="213"/>
        <v>0</v>
      </c>
      <c r="O299" s="24"/>
      <c r="P299" s="48"/>
      <c r="Q299" s="48"/>
      <c r="R299" s="49">
        <f t="shared" si="214"/>
        <v>0</v>
      </c>
      <c r="S299" s="24"/>
      <c r="T299" s="51">
        <v>0.375</v>
      </c>
      <c r="U299" s="51">
        <v>0.77083333333333337</v>
      </c>
      <c r="V299" s="49">
        <f t="shared" si="215"/>
        <v>9.5</v>
      </c>
      <c r="W299" s="24"/>
      <c r="X299" s="48"/>
      <c r="Y299" s="48"/>
      <c r="Z299" s="49">
        <f t="shared" si="216"/>
        <v>0</v>
      </c>
      <c r="AA299" s="24"/>
      <c r="AB299" s="48"/>
      <c r="AC299" s="48"/>
      <c r="AD299" s="49">
        <f t="shared" si="217"/>
        <v>0</v>
      </c>
      <c r="AE299" s="24"/>
      <c r="AF299" s="29">
        <f t="shared" si="218"/>
        <v>9.5</v>
      </c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</row>
    <row r="300" spans="1:55" s="2" customFormat="1" ht="18.75" customHeight="1">
      <c r="A300" s="1518" t="s">
        <v>18</v>
      </c>
      <c r="B300" s="13" t="s">
        <v>54</v>
      </c>
      <c r="C300" s="13" t="s">
        <v>782</v>
      </c>
      <c r="D300" s="48"/>
      <c r="E300" s="48"/>
      <c r="F300" s="85">
        <f t="shared" si="212"/>
        <v>0</v>
      </c>
      <c r="G300" s="24"/>
      <c r="H300" s="48"/>
      <c r="I300" s="48"/>
      <c r="J300" s="49">
        <f t="shared" si="219"/>
        <v>0</v>
      </c>
      <c r="K300" s="24"/>
      <c r="L300" s="424"/>
      <c r="M300" s="48"/>
      <c r="N300" s="49">
        <f t="shared" si="213"/>
        <v>0</v>
      </c>
      <c r="O300" s="24"/>
      <c r="P300" s="51"/>
      <c r="Q300" s="51"/>
      <c r="R300" s="49">
        <f t="shared" si="214"/>
        <v>0</v>
      </c>
      <c r="S300" s="24"/>
      <c r="T300" s="51">
        <v>0.39583333333333331</v>
      </c>
      <c r="U300" s="51">
        <v>0.77083333333333337</v>
      </c>
      <c r="V300" s="49">
        <f>(U300-T300)*24</f>
        <v>9.0000000000000018</v>
      </c>
      <c r="W300" s="24"/>
      <c r="X300" s="48"/>
      <c r="Y300" s="48"/>
      <c r="Z300" s="49">
        <f t="shared" si="216"/>
        <v>0</v>
      </c>
      <c r="AA300" s="24"/>
      <c r="AB300" s="48"/>
      <c r="AC300" s="48"/>
      <c r="AD300" s="49">
        <f t="shared" si="217"/>
        <v>0</v>
      </c>
      <c r="AE300" s="24"/>
      <c r="AF300" s="29">
        <f t="shared" si="218"/>
        <v>9.0000000000000018</v>
      </c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</row>
    <row r="301" spans="1:55" s="2" customFormat="1" ht="40.5">
      <c r="A301" s="1518"/>
      <c r="B301" s="313" t="s">
        <v>582</v>
      </c>
      <c r="C301" s="13" t="s">
        <v>783</v>
      </c>
      <c r="D301" s="48"/>
      <c r="E301" s="48"/>
      <c r="F301" s="85">
        <f t="shared" si="212"/>
        <v>0</v>
      </c>
      <c r="G301" s="24"/>
      <c r="H301" s="48"/>
      <c r="I301" s="48"/>
      <c r="J301" s="49">
        <f t="shared" si="219"/>
        <v>0</v>
      </c>
      <c r="K301" s="24"/>
      <c r="L301" s="424"/>
      <c r="M301" s="48"/>
      <c r="N301" s="49">
        <f t="shared" si="213"/>
        <v>0</v>
      </c>
      <c r="O301" s="24"/>
      <c r="P301" s="51"/>
      <c r="Q301" s="51"/>
      <c r="R301" s="49">
        <f t="shared" si="214"/>
        <v>0</v>
      </c>
      <c r="S301" s="24"/>
      <c r="T301" s="48"/>
      <c r="U301" s="48"/>
      <c r="V301" s="49">
        <f t="shared" si="215"/>
        <v>0</v>
      </c>
      <c r="W301" s="24"/>
      <c r="X301" s="48">
        <v>0.375</v>
      </c>
      <c r="Y301" s="48"/>
      <c r="Z301" s="49">
        <f t="shared" si="216"/>
        <v>-9</v>
      </c>
      <c r="AA301" s="24"/>
      <c r="AB301" s="48"/>
      <c r="AC301" s="48"/>
      <c r="AD301" s="49">
        <f t="shared" si="217"/>
        <v>0</v>
      </c>
      <c r="AE301" s="24"/>
      <c r="AF301" s="29">
        <f t="shared" si="218"/>
        <v>-9</v>
      </c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</row>
    <row r="302" spans="1:55" s="2" customFormat="1">
      <c r="A302" s="13"/>
      <c r="B302" s="63" t="s">
        <v>61</v>
      </c>
      <c r="C302" s="63"/>
      <c r="D302" s="63"/>
      <c r="E302" s="63"/>
      <c r="F302" s="86">
        <f>SUM(F293:F300)</f>
        <v>0</v>
      </c>
      <c r="G302" s="63"/>
      <c r="H302" s="63"/>
      <c r="I302" s="63"/>
      <c r="J302" s="86">
        <f>SUM(J293:J300)</f>
        <v>0</v>
      </c>
      <c r="K302" s="63"/>
      <c r="L302" s="99"/>
      <c r="M302" s="63"/>
      <c r="N302" s="86">
        <f>SUM(N293:N300)</f>
        <v>21.5</v>
      </c>
      <c r="O302" s="63"/>
      <c r="P302" s="63"/>
      <c r="Q302" s="63"/>
      <c r="R302" s="86">
        <f>SUM(R293:R300)</f>
        <v>17.5</v>
      </c>
      <c r="S302" s="63"/>
      <c r="T302" s="63"/>
      <c r="U302" s="63"/>
      <c r="V302" s="86">
        <f>SUM(V293:V300)</f>
        <v>27</v>
      </c>
      <c r="W302" s="63"/>
      <c r="X302" s="63"/>
      <c r="Y302" s="63"/>
      <c r="Z302" s="86">
        <f>SUM(Z293:Z300)</f>
        <v>0</v>
      </c>
      <c r="AA302" s="63"/>
      <c r="AB302" s="63"/>
      <c r="AC302" s="63"/>
      <c r="AD302" s="82">
        <f>SUM(AD293:AD300)</f>
        <v>0</v>
      </c>
      <c r="AE302" s="46"/>
      <c r="AF302" s="30">
        <f>SUM(AF294:AF300)</f>
        <v>66</v>
      </c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</row>
    <row r="303" spans="1:55" s="2" customFormat="1">
      <c r="A303" s="13"/>
      <c r="B303" s="31" t="s">
        <v>577</v>
      </c>
      <c r="C303" s="31"/>
      <c r="D303" s="91"/>
      <c r="E303" s="83"/>
      <c r="F303" s="87"/>
      <c r="G303" s="83"/>
      <c r="H303" s="83"/>
      <c r="I303" s="83"/>
      <c r="J303" s="87"/>
      <c r="K303" s="83"/>
      <c r="L303" s="425"/>
      <c r="M303" s="83"/>
      <c r="N303" s="87"/>
      <c r="O303" s="83"/>
      <c r="P303" s="83"/>
      <c r="Q303" s="83"/>
      <c r="R303" s="87"/>
      <c r="S303" s="83"/>
      <c r="T303" s="83"/>
      <c r="U303" s="83"/>
      <c r="V303" s="87"/>
      <c r="W303" s="83"/>
      <c r="X303" s="83"/>
      <c r="Y303" s="83"/>
      <c r="Z303" s="87"/>
      <c r="AA303" s="83"/>
      <c r="AB303" s="83"/>
      <c r="AC303" s="83"/>
      <c r="AD303" s="83"/>
      <c r="AE303" s="45"/>
      <c r="AF303" s="28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</row>
    <row r="304" spans="1:55" s="2" customFormat="1">
      <c r="A304" s="13"/>
      <c r="B304" s="31" t="s">
        <v>578</v>
      </c>
      <c r="C304" s="31"/>
      <c r="D304" s="91"/>
      <c r="E304" s="83"/>
      <c r="F304" s="87"/>
      <c r="G304" s="83"/>
      <c r="H304" s="83"/>
      <c r="I304" s="83"/>
      <c r="J304" s="87"/>
      <c r="K304" s="83"/>
      <c r="L304" s="425"/>
      <c r="M304" s="83"/>
      <c r="N304" s="87"/>
      <c r="O304" s="83"/>
      <c r="P304" s="83"/>
      <c r="Q304" s="83"/>
      <c r="R304" s="87"/>
      <c r="S304" s="83"/>
      <c r="T304" s="83"/>
      <c r="U304" s="83"/>
      <c r="V304" s="87"/>
      <c r="W304" s="83"/>
      <c r="X304" s="83"/>
      <c r="Y304" s="83"/>
      <c r="Z304" s="87"/>
      <c r="AA304" s="83"/>
      <c r="AB304" s="83"/>
      <c r="AC304" s="83"/>
      <c r="AD304" s="83"/>
      <c r="AE304" s="45"/>
      <c r="AF304" s="28">
        <f>SUM(D304:AD304)</f>
        <v>0</v>
      </c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</row>
    <row r="305" spans="1:55" s="2" customFormat="1" ht="14.25" thickBot="1">
      <c r="A305" s="13"/>
      <c r="B305" s="74" t="s">
        <v>579</v>
      </c>
      <c r="C305" s="74"/>
      <c r="D305" s="92"/>
      <c r="E305" s="92"/>
      <c r="F305" s="93"/>
      <c r="G305" s="92"/>
      <c r="H305" s="92"/>
      <c r="I305" s="92"/>
      <c r="J305" s="93"/>
      <c r="K305" s="92"/>
      <c r="L305" s="426"/>
      <c r="M305" s="92"/>
      <c r="N305" s="93"/>
      <c r="O305" s="92"/>
      <c r="P305" s="92"/>
      <c r="Q305" s="92"/>
      <c r="R305" s="93"/>
      <c r="S305" s="92"/>
      <c r="T305" s="92"/>
      <c r="U305" s="92"/>
      <c r="V305" s="93"/>
      <c r="W305" s="94"/>
      <c r="X305" s="94"/>
      <c r="Y305" s="94"/>
      <c r="Z305" s="93"/>
      <c r="AA305" s="94"/>
      <c r="AB305" s="94"/>
      <c r="AC305" s="94"/>
      <c r="AD305" s="94"/>
      <c r="AE305" s="94"/>
      <c r="AF305" s="80">
        <f>SUM(D305:AD305)</f>
        <v>0</v>
      </c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</row>
    <row r="306" spans="1:55" s="2" customFormat="1" ht="14.25" thickTop="1">
      <c r="A306" s="63" t="s">
        <v>61</v>
      </c>
      <c r="B306" s="71" t="s">
        <v>66</v>
      </c>
      <c r="C306" s="421"/>
      <c r="D306" s="3"/>
      <c r="E306" s="3"/>
      <c r="F306" s="88">
        <f>SUM(F303:F305)</f>
        <v>0</v>
      </c>
      <c r="G306" s="3"/>
      <c r="H306" s="3"/>
      <c r="I306" s="3"/>
      <c r="J306" s="88">
        <f>SUM(J303:J305)</f>
        <v>0</v>
      </c>
      <c r="K306" s="3"/>
      <c r="L306" s="423"/>
      <c r="M306" s="3"/>
      <c r="N306" s="88">
        <f>SUM(N303:N305)</f>
        <v>0</v>
      </c>
      <c r="O306" s="3"/>
      <c r="P306" s="3"/>
      <c r="Q306" s="3"/>
      <c r="R306" s="88">
        <f>SUM(R303:R305)</f>
        <v>0</v>
      </c>
      <c r="S306" s="3"/>
      <c r="T306" s="3"/>
      <c r="U306" s="3"/>
      <c r="V306" s="88">
        <f>SUM(V303:V305)</f>
        <v>0</v>
      </c>
      <c r="W306" s="3"/>
      <c r="X306" s="3"/>
      <c r="Y306" s="3"/>
      <c r="Z306" s="88">
        <f>SUM(Z303:Z305)</f>
        <v>0</v>
      </c>
      <c r="AA306" s="3"/>
      <c r="AB306" s="3"/>
      <c r="AC306" s="3"/>
      <c r="AD306" s="67">
        <f>SUM(AD303:AD305)</f>
        <v>0</v>
      </c>
      <c r="AE306" s="3"/>
      <c r="AF306" s="71">
        <f>SUM(F306:AD306)</f>
        <v>0</v>
      </c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</row>
    <row r="307" spans="1:55" s="2" customFormat="1">
      <c r="A307" s="31" t="s">
        <v>577</v>
      </c>
      <c r="B307" s="1518" t="s">
        <v>18</v>
      </c>
      <c r="C307" s="1528" t="s">
        <v>571</v>
      </c>
      <c r="D307" s="1524">
        <v>45418</v>
      </c>
      <c r="E307" s="1524"/>
      <c r="F307" s="1524"/>
      <c r="G307" s="22"/>
      <c r="H307" s="1524">
        <f>D307+1</f>
        <v>45419</v>
      </c>
      <c r="I307" s="1524"/>
      <c r="J307" s="1524"/>
      <c r="K307" s="22"/>
      <c r="L307" s="1524">
        <f>H307+1</f>
        <v>45420</v>
      </c>
      <c r="M307" s="1524"/>
      <c r="N307" s="1524"/>
      <c r="O307" s="3"/>
      <c r="P307" s="1524">
        <f>L307+1</f>
        <v>45421</v>
      </c>
      <c r="Q307" s="1524"/>
      <c r="R307" s="1524"/>
      <c r="S307" s="3"/>
      <c r="T307" s="1524">
        <f>P307+1</f>
        <v>45422</v>
      </c>
      <c r="U307" s="1524"/>
      <c r="V307" s="1524"/>
      <c r="W307" s="22"/>
      <c r="X307" s="1524">
        <f>T307+1</f>
        <v>45423</v>
      </c>
      <c r="Y307" s="1524"/>
      <c r="Z307" s="1524"/>
      <c r="AA307" s="3"/>
      <c r="AB307" s="1524">
        <f>X307+1</f>
        <v>45424</v>
      </c>
      <c r="AC307" s="1524"/>
      <c r="AD307" s="1524"/>
      <c r="AE307" s="22"/>
      <c r="AF307" s="1517" t="s">
        <v>19</v>
      </c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</row>
    <row r="308" spans="1:55" s="2" customFormat="1" ht="25.5">
      <c r="A308" s="31" t="s">
        <v>578</v>
      </c>
      <c r="B308" s="1518"/>
      <c r="C308" s="1528"/>
      <c r="D308" s="21" t="s">
        <v>23</v>
      </c>
      <c r="E308" s="21" t="s">
        <v>24</v>
      </c>
      <c r="F308" s="62" t="s">
        <v>25</v>
      </c>
      <c r="G308" s="23"/>
      <c r="H308" s="21" t="s">
        <v>23</v>
      </c>
      <c r="I308" s="21" t="s">
        <v>24</v>
      </c>
      <c r="J308" s="18" t="s">
        <v>25</v>
      </c>
      <c r="K308" s="23"/>
      <c r="L308" s="21" t="s">
        <v>23</v>
      </c>
      <c r="M308" s="21" t="s">
        <v>24</v>
      </c>
      <c r="N308" s="18" t="s">
        <v>25</v>
      </c>
      <c r="O308" s="23"/>
      <c r="P308" s="21" t="s">
        <v>23</v>
      </c>
      <c r="Q308" s="21" t="s">
        <v>24</v>
      </c>
      <c r="R308" s="18" t="s">
        <v>25</v>
      </c>
      <c r="S308" s="23"/>
      <c r="T308" s="21" t="s">
        <v>23</v>
      </c>
      <c r="U308" s="21" t="s">
        <v>24</v>
      </c>
      <c r="V308" s="18" t="s">
        <v>25</v>
      </c>
      <c r="W308" s="23"/>
      <c r="X308" s="21" t="s">
        <v>23</v>
      </c>
      <c r="Y308" s="21" t="s">
        <v>24</v>
      </c>
      <c r="Z308" s="18" t="s">
        <v>25</v>
      </c>
      <c r="AA308" s="23"/>
      <c r="AB308" s="21" t="s">
        <v>23</v>
      </c>
      <c r="AC308" s="21" t="s">
        <v>24</v>
      </c>
      <c r="AD308" s="18" t="s">
        <v>25</v>
      </c>
      <c r="AE308" s="23"/>
      <c r="AF308" s="1517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</row>
    <row r="309" spans="1:55" s="2" customFormat="1" ht="27.75" thickBot="1">
      <c r="A309" s="74" t="s">
        <v>579</v>
      </c>
      <c r="B309" s="13" t="s">
        <v>54</v>
      </c>
      <c r="C309" s="339" t="s">
        <v>784</v>
      </c>
      <c r="D309" s="51">
        <v>0.3888888888888889</v>
      </c>
      <c r="E309" s="51">
        <v>0.72222222222222221</v>
      </c>
      <c r="F309" s="85">
        <f>(E309-D309)*24</f>
        <v>8</v>
      </c>
      <c r="G309" s="24"/>
      <c r="H309" s="51">
        <v>0.3888888888888889</v>
      </c>
      <c r="I309" s="51">
        <v>0.72916666666666663</v>
      </c>
      <c r="J309" s="49">
        <f>(I309-H309)*24</f>
        <v>8.1666666666666661</v>
      </c>
      <c r="K309" s="24"/>
      <c r="L309" s="424">
        <v>0.40625</v>
      </c>
      <c r="M309" s="51">
        <v>0.70833333333333337</v>
      </c>
      <c r="N309" s="49">
        <f>(M309-L309)*24</f>
        <v>7.2500000000000009</v>
      </c>
      <c r="O309" s="24"/>
      <c r="P309" s="51"/>
      <c r="Q309" s="48"/>
      <c r="R309" s="49">
        <f>(Q309-P309)*24</f>
        <v>0</v>
      </c>
      <c r="S309" s="24"/>
      <c r="T309" s="48"/>
      <c r="U309" s="48"/>
      <c r="V309" s="49">
        <f>(U309-T309)*24</f>
        <v>0</v>
      </c>
      <c r="W309" s="24"/>
      <c r="X309" s="48"/>
      <c r="Y309" s="48"/>
      <c r="Z309" s="49">
        <f>(Y309-X309)*24</f>
        <v>0</v>
      </c>
      <c r="AA309" s="24"/>
      <c r="AB309" s="48"/>
      <c r="AC309" s="48"/>
      <c r="AD309" s="49">
        <f>(AC309-AB309)*24</f>
        <v>0</v>
      </c>
      <c r="AE309" s="24"/>
      <c r="AF309" s="29">
        <f>J309+F309+N309+R309+V309+Z309+AD309</f>
        <v>23.416666666666664</v>
      </c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</row>
    <row r="310" spans="1:55" s="2" customFormat="1" ht="27.75" thickTop="1">
      <c r="A310" s="71" t="s">
        <v>66</v>
      </c>
      <c r="B310" s="13" t="s">
        <v>637</v>
      </c>
      <c r="C310" s="339" t="s">
        <v>784</v>
      </c>
      <c r="D310" s="51">
        <v>0.41666666666666669</v>
      </c>
      <c r="E310" s="51">
        <v>0.72222222222222221</v>
      </c>
      <c r="F310" s="85">
        <f>(E310-D310)*24</f>
        <v>7.3333333333333321</v>
      </c>
      <c r="G310" s="24"/>
      <c r="H310" s="51">
        <v>0.375</v>
      </c>
      <c r="I310" s="51">
        <v>0.72916666666666663</v>
      </c>
      <c r="J310" s="49">
        <f>(I310-H310)*24</f>
        <v>8.5</v>
      </c>
      <c r="K310" s="24"/>
      <c r="L310" s="424">
        <v>0.35416666666666669</v>
      </c>
      <c r="M310" s="51">
        <v>0.70833333333333337</v>
      </c>
      <c r="N310" s="49">
        <f t="shared" ref="N310:N322" si="220">(M310-L310)*24</f>
        <v>8.5</v>
      </c>
      <c r="O310" s="24"/>
      <c r="P310" s="48"/>
      <c r="Q310" s="48"/>
      <c r="R310" s="49">
        <f t="shared" ref="R310:R322" si="221">(Q310-P310)*24</f>
        <v>0</v>
      </c>
      <c r="S310" s="24"/>
      <c r="T310" s="48"/>
      <c r="U310" s="48"/>
      <c r="V310" s="49">
        <f t="shared" ref="V310:V322" si="222">(U310-T310)*24</f>
        <v>0</v>
      </c>
      <c r="W310" s="24"/>
      <c r="X310" s="48"/>
      <c r="Y310" s="48"/>
      <c r="Z310" s="49">
        <f t="shared" ref="Z310:Z322" si="223">(Y310-X310)*24</f>
        <v>0</v>
      </c>
      <c r="AA310" s="24"/>
      <c r="AB310" s="48"/>
      <c r="AC310" s="48"/>
      <c r="AD310" s="49">
        <f t="shared" ref="AD310:AD314" si="224">(AC310-AB310)*24</f>
        <v>0</v>
      </c>
      <c r="AE310" s="24"/>
      <c r="AF310" s="29">
        <f t="shared" ref="AF310:AF314" si="225">J310+F310+N310+R310+V310+Z310+AD310</f>
        <v>24.333333333333332</v>
      </c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</row>
    <row r="311" spans="1:55" s="2" customFormat="1" ht="21.75" customHeight="1">
      <c r="A311"/>
      <c r="B311" s="13" t="s">
        <v>653</v>
      </c>
      <c r="C311" s="339" t="s">
        <v>784</v>
      </c>
      <c r="D311" s="51">
        <v>0.375</v>
      </c>
      <c r="E311" s="51">
        <v>0.72916666666666663</v>
      </c>
      <c r="F311" s="85">
        <f t="shared" ref="F311:F322" si="226">(E311-D311)*24</f>
        <v>8.5</v>
      </c>
      <c r="G311" s="24"/>
      <c r="H311" s="51">
        <v>0.41666666666666669</v>
      </c>
      <c r="I311" s="51">
        <v>0.72916666666666663</v>
      </c>
      <c r="J311" s="49">
        <f t="shared" ref="J311:J322" si="227">(I311-H311)*24</f>
        <v>7.4999999999999982</v>
      </c>
      <c r="K311" s="24"/>
      <c r="L311" s="424">
        <v>0.41666666666666669</v>
      </c>
      <c r="M311" s="51">
        <v>0.70833333333333337</v>
      </c>
      <c r="N311" s="49">
        <f t="shared" si="220"/>
        <v>7</v>
      </c>
      <c r="O311" s="24"/>
      <c r="P311" s="51"/>
      <c r="Q311" s="48"/>
      <c r="R311" s="49">
        <f t="shared" si="221"/>
        <v>0</v>
      </c>
      <c r="S311" s="24"/>
      <c r="T311" s="48"/>
      <c r="U311" s="48"/>
      <c r="V311" s="49">
        <f t="shared" si="222"/>
        <v>0</v>
      </c>
      <c r="W311" s="24"/>
      <c r="X311" s="48"/>
      <c r="Y311" s="48"/>
      <c r="Z311" s="49">
        <f t="shared" si="223"/>
        <v>0</v>
      </c>
      <c r="AA311" s="24"/>
      <c r="AB311" s="48"/>
      <c r="AC311" s="48"/>
      <c r="AD311" s="49">
        <f t="shared" si="224"/>
        <v>0</v>
      </c>
      <c r="AE311" s="24"/>
      <c r="AF311" s="29">
        <f t="shared" si="225"/>
        <v>23</v>
      </c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</row>
    <row r="312" spans="1:55" s="2" customFormat="1" ht="27">
      <c r="A312"/>
      <c r="B312" s="313" t="s">
        <v>572</v>
      </c>
      <c r="C312" s="339" t="s">
        <v>785</v>
      </c>
      <c r="D312" s="51">
        <v>0.34375</v>
      </c>
      <c r="E312" s="51">
        <v>0.71875</v>
      </c>
      <c r="F312" s="85">
        <f t="shared" si="226"/>
        <v>9</v>
      </c>
      <c r="G312" s="24"/>
      <c r="H312" s="51"/>
      <c r="I312" s="51"/>
      <c r="J312" s="49">
        <f t="shared" si="227"/>
        <v>0</v>
      </c>
      <c r="K312" s="24"/>
      <c r="L312" s="424"/>
      <c r="M312" s="48"/>
      <c r="N312" s="49">
        <f t="shared" si="220"/>
        <v>0</v>
      </c>
      <c r="O312" s="24"/>
      <c r="P312" s="51"/>
      <c r="Q312" s="51"/>
      <c r="R312" s="49">
        <f t="shared" si="221"/>
        <v>0</v>
      </c>
      <c r="S312" s="24"/>
      <c r="T312" s="51"/>
      <c r="U312" s="51"/>
      <c r="V312" s="49">
        <f t="shared" si="222"/>
        <v>0</v>
      </c>
      <c r="W312" s="24"/>
      <c r="X312" s="48"/>
      <c r="Y312" s="48"/>
      <c r="Z312" s="49">
        <f t="shared" si="223"/>
        <v>0</v>
      </c>
      <c r="AA312" s="24"/>
      <c r="AB312" s="48"/>
      <c r="AC312" s="48"/>
      <c r="AD312" s="49">
        <f t="shared" si="224"/>
        <v>0</v>
      </c>
      <c r="AE312" s="24"/>
      <c r="AF312" s="29">
        <f t="shared" si="225"/>
        <v>9</v>
      </c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</row>
    <row r="313" spans="1:55" s="2" customFormat="1" ht="40.5">
      <c r="A313"/>
      <c r="B313" s="313" t="s">
        <v>572</v>
      </c>
      <c r="C313" s="339" t="s">
        <v>786</v>
      </c>
      <c r="D313" s="48"/>
      <c r="E313" s="48"/>
      <c r="F313" s="85">
        <f t="shared" si="226"/>
        <v>0</v>
      </c>
      <c r="G313" s="24"/>
      <c r="H313" s="513">
        <v>0.33333333333333331</v>
      </c>
      <c r="I313" s="514">
        <v>0.76388888888888884</v>
      </c>
      <c r="J313" s="49">
        <f t="shared" si="227"/>
        <v>10.333333333333332</v>
      </c>
      <c r="K313" s="24"/>
      <c r="L313" s="424"/>
      <c r="M313" s="48"/>
      <c r="N313" s="49">
        <f t="shared" si="220"/>
        <v>0</v>
      </c>
      <c r="O313" s="24"/>
      <c r="P313" s="51"/>
      <c r="Q313" s="51"/>
      <c r="R313" s="49">
        <f t="shared" si="221"/>
        <v>0</v>
      </c>
      <c r="S313" s="24"/>
      <c r="T313" s="51"/>
      <c r="U313" s="51"/>
      <c r="V313" s="49">
        <f t="shared" si="222"/>
        <v>0</v>
      </c>
      <c r="W313" s="24"/>
      <c r="X313" s="48"/>
      <c r="Y313" s="48"/>
      <c r="Z313" s="49">
        <f t="shared" si="223"/>
        <v>0</v>
      </c>
      <c r="AA313" s="24"/>
      <c r="AB313" s="48"/>
      <c r="AC313" s="48"/>
      <c r="AD313" s="49">
        <f t="shared" si="224"/>
        <v>0</v>
      </c>
      <c r="AE313" s="24"/>
      <c r="AF313" s="29">
        <f t="shared" si="225"/>
        <v>10.333333333333332</v>
      </c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</row>
    <row r="314" spans="1:55" s="2" customFormat="1" ht="40.5">
      <c r="A314"/>
      <c r="B314" s="13" t="s">
        <v>576</v>
      </c>
      <c r="C314" s="339" t="s">
        <v>786</v>
      </c>
      <c r="D314" s="48"/>
      <c r="E314" s="48"/>
      <c r="F314" s="85">
        <f t="shared" si="226"/>
        <v>0</v>
      </c>
      <c r="G314" s="24"/>
      <c r="H314" s="513">
        <v>0.375</v>
      </c>
      <c r="I314" s="514">
        <v>0.76388888888888884</v>
      </c>
      <c r="J314" s="49">
        <f t="shared" si="227"/>
        <v>9.3333333333333321</v>
      </c>
      <c r="K314" s="24"/>
      <c r="L314" s="424"/>
      <c r="M314" s="48"/>
      <c r="N314" s="49">
        <f t="shared" si="220"/>
        <v>0</v>
      </c>
      <c r="O314" s="24"/>
      <c r="P314" s="48"/>
      <c r="Q314" s="48"/>
      <c r="R314" s="49">
        <f t="shared" si="221"/>
        <v>0</v>
      </c>
      <c r="S314" s="24"/>
      <c r="T314" s="48"/>
      <c r="U314" s="48"/>
      <c r="V314" s="49">
        <f t="shared" si="222"/>
        <v>0</v>
      </c>
      <c r="W314" s="24"/>
      <c r="X314" s="48"/>
      <c r="Y314" s="48"/>
      <c r="Z314" s="49">
        <f t="shared" si="223"/>
        <v>0</v>
      </c>
      <c r="AA314" s="24"/>
      <c r="AB314" s="48"/>
      <c r="AC314" s="48"/>
      <c r="AD314" s="49">
        <f t="shared" si="224"/>
        <v>0</v>
      </c>
      <c r="AE314" s="24"/>
      <c r="AF314" s="29">
        <f t="shared" si="225"/>
        <v>9.3333333333333321</v>
      </c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</row>
    <row r="315" spans="1:55" s="2" customFormat="1" ht="40.5">
      <c r="A315"/>
      <c r="B315" s="13" t="s">
        <v>714</v>
      </c>
      <c r="C315" s="339" t="s">
        <v>786</v>
      </c>
      <c r="D315" s="48"/>
      <c r="E315" s="48"/>
      <c r="F315" s="85">
        <f t="shared" si="226"/>
        <v>0</v>
      </c>
      <c r="G315" s="24"/>
      <c r="H315" s="513">
        <v>0.41666666666666669</v>
      </c>
      <c r="I315" s="514">
        <v>0.76388888888888884</v>
      </c>
      <c r="J315" s="49">
        <f t="shared" si="227"/>
        <v>8.3333333333333321</v>
      </c>
      <c r="K315" s="24"/>
      <c r="L315" s="424"/>
      <c r="M315" s="48"/>
      <c r="N315" s="49">
        <f t="shared" si="220"/>
        <v>0</v>
      </c>
      <c r="O315" s="24"/>
      <c r="P315" s="48"/>
      <c r="Q315" s="48"/>
      <c r="R315" s="49">
        <f t="shared" si="221"/>
        <v>0</v>
      </c>
      <c r="S315" s="24"/>
      <c r="T315" s="48"/>
      <c r="U315" s="48"/>
      <c r="V315" s="49">
        <f t="shared" si="222"/>
        <v>0</v>
      </c>
      <c r="W315" s="24"/>
      <c r="X315" s="48"/>
      <c r="Y315" s="48"/>
      <c r="Z315" s="49">
        <f t="shared" si="223"/>
        <v>0</v>
      </c>
      <c r="AA315" s="24"/>
      <c r="AB315" s="48"/>
      <c r="AC315" s="48"/>
      <c r="AD315" s="49">
        <v>0</v>
      </c>
      <c r="AE315" s="24"/>
      <c r="AF315" s="29">
        <v>-10</v>
      </c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</row>
    <row r="316" spans="1:55" s="2" customFormat="1" ht="27">
      <c r="A316"/>
      <c r="B316" s="13" t="s">
        <v>714</v>
      </c>
      <c r="C316" s="339" t="s">
        <v>787</v>
      </c>
      <c r="D316" s="48"/>
      <c r="E316" s="48"/>
      <c r="F316" s="85">
        <f t="shared" si="226"/>
        <v>0</v>
      </c>
      <c r="G316" s="24"/>
      <c r="H316" s="513"/>
      <c r="I316" s="514"/>
      <c r="J316" s="49">
        <f t="shared" si="227"/>
        <v>0</v>
      </c>
      <c r="K316" s="24"/>
      <c r="L316" s="424">
        <v>0.39583333333333331</v>
      </c>
      <c r="M316" s="48"/>
      <c r="N316" s="49">
        <f t="shared" si="220"/>
        <v>-9.5</v>
      </c>
      <c r="O316" s="24"/>
      <c r="P316" s="48"/>
      <c r="Q316" s="48"/>
      <c r="R316" s="49">
        <f t="shared" si="221"/>
        <v>0</v>
      </c>
      <c r="S316" s="24"/>
      <c r="T316" s="48"/>
      <c r="U316" s="48"/>
      <c r="V316" s="49">
        <f t="shared" si="222"/>
        <v>0</v>
      </c>
      <c r="W316" s="24"/>
      <c r="X316" s="48"/>
      <c r="Y316" s="48"/>
      <c r="Z316" s="49">
        <f t="shared" si="223"/>
        <v>0</v>
      </c>
      <c r="AA316" s="24"/>
      <c r="AB316" s="48"/>
      <c r="AC316" s="48"/>
      <c r="AD316" s="49">
        <v>0</v>
      </c>
      <c r="AE316" s="24"/>
      <c r="AF316" s="29">
        <v>-10</v>
      </c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</row>
    <row r="317" spans="1:55" s="2" customFormat="1" ht="14.25">
      <c r="A317"/>
      <c r="B317" s="13" t="s">
        <v>572</v>
      </c>
      <c r="C317" s="339" t="s">
        <v>685</v>
      </c>
      <c r="D317" s="48"/>
      <c r="E317" s="48"/>
      <c r="F317" s="85">
        <f t="shared" si="226"/>
        <v>0</v>
      </c>
      <c r="G317" s="24"/>
      <c r="H317" s="51"/>
      <c r="I317" s="48"/>
      <c r="J317" s="49">
        <f t="shared" si="227"/>
        <v>0</v>
      </c>
      <c r="K317" s="24"/>
      <c r="L317" s="424"/>
      <c r="M317" s="48"/>
      <c r="N317" s="49">
        <f t="shared" si="220"/>
        <v>0</v>
      </c>
      <c r="O317" s="24"/>
      <c r="P317" s="48"/>
      <c r="Q317" s="48"/>
      <c r="R317" s="49">
        <f t="shared" si="221"/>
        <v>0</v>
      </c>
      <c r="S317" s="24"/>
      <c r="T317" s="48"/>
      <c r="U317" s="48"/>
      <c r="V317" s="49">
        <f t="shared" si="222"/>
        <v>0</v>
      </c>
      <c r="W317" s="24"/>
      <c r="X317" s="48"/>
      <c r="Y317" s="48"/>
      <c r="Z317" s="49">
        <f t="shared" si="223"/>
        <v>0</v>
      </c>
      <c r="AA317" s="24"/>
      <c r="AB317" s="48"/>
      <c r="AC317" s="48"/>
      <c r="AD317" s="49">
        <v>0</v>
      </c>
      <c r="AE317" s="24"/>
      <c r="AF317" s="29">
        <v>-10</v>
      </c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</row>
    <row r="318" spans="1:55" s="2" customFormat="1" ht="27">
      <c r="A318"/>
      <c r="B318" s="13" t="s">
        <v>714</v>
      </c>
      <c r="C318" s="339" t="s">
        <v>788</v>
      </c>
      <c r="D318" s="48"/>
      <c r="E318" s="48"/>
      <c r="F318" s="85">
        <f t="shared" si="226"/>
        <v>0</v>
      </c>
      <c r="G318" s="24"/>
      <c r="H318" s="51"/>
      <c r="I318" s="48"/>
      <c r="J318" s="49">
        <f t="shared" si="227"/>
        <v>0</v>
      </c>
      <c r="K318" s="24"/>
      <c r="L318" s="424"/>
      <c r="M318" s="48"/>
      <c r="N318" s="49">
        <f t="shared" si="220"/>
        <v>0</v>
      </c>
      <c r="O318" s="24"/>
      <c r="P318" s="48">
        <v>0.375</v>
      </c>
      <c r="Q318" s="48">
        <v>0.72916666666666663</v>
      </c>
      <c r="R318" s="49">
        <f t="shared" si="221"/>
        <v>8.5</v>
      </c>
      <c r="S318" s="24"/>
      <c r="T318" s="48"/>
      <c r="U318" s="48"/>
      <c r="V318" s="49">
        <f t="shared" si="222"/>
        <v>0</v>
      </c>
      <c r="W318" s="24"/>
      <c r="X318" s="48"/>
      <c r="Y318" s="48"/>
      <c r="Z318" s="49">
        <f t="shared" si="223"/>
        <v>0</v>
      </c>
      <c r="AA318" s="24"/>
      <c r="AB318" s="48"/>
      <c r="AC318" s="48"/>
      <c r="AD318" s="49">
        <v>0</v>
      </c>
      <c r="AE318" s="24"/>
      <c r="AF318" s="29">
        <v>-10</v>
      </c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</row>
    <row r="319" spans="1:55" s="2" customFormat="1" ht="27">
      <c r="A319"/>
      <c r="B319" s="13" t="s">
        <v>572</v>
      </c>
      <c r="C319" s="339" t="s">
        <v>788</v>
      </c>
      <c r="D319" s="48"/>
      <c r="E319" s="48"/>
      <c r="F319" s="85">
        <f t="shared" si="226"/>
        <v>0</v>
      </c>
      <c r="G319" s="24"/>
      <c r="H319" s="51"/>
      <c r="I319" s="48"/>
      <c r="J319" s="49">
        <f t="shared" si="227"/>
        <v>0</v>
      </c>
      <c r="K319" s="24"/>
      <c r="L319" s="424"/>
      <c r="M319" s="48"/>
      <c r="N319" s="49">
        <f t="shared" si="220"/>
        <v>0</v>
      </c>
      <c r="O319" s="24"/>
      <c r="P319" s="48">
        <v>0.33333333333333331</v>
      </c>
      <c r="Q319" s="48">
        <v>0.72916666666666663</v>
      </c>
      <c r="R319" s="49">
        <f t="shared" si="221"/>
        <v>9.5</v>
      </c>
      <c r="S319" s="24"/>
      <c r="T319" s="48"/>
      <c r="U319" s="48"/>
      <c r="V319" s="49">
        <f t="shared" si="222"/>
        <v>0</v>
      </c>
      <c r="W319" s="24"/>
      <c r="X319" s="48"/>
      <c r="Y319" s="48"/>
      <c r="Z319" s="49">
        <f t="shared" si="223"/>
        <v>0</v>
      </c>
      <c r="AA319" s="24"/>
      <c r="AB319" s="48"/>
      <c r="AC319" s="48"/>
      <c r="AD319" s="49">
        <v>0</v>
      </c>
      <c r="AE319" s="24"/>
      <c r="AF319" s="29">
        <v>-10</v>
      </c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</row>
    <row r="320" spans="1:55" s="2" customFormat="1" ht="27">
      <c r="A320"/>
      <c r="B320" s="13" t="s">
        <v>653</v>
      </c>
      <c r="C320" s="339" t="s">
        <v>788</v>
      </c>
      <c r="D320" s="48"/>
      <c r="E320" s="48"/>
      <c r="F320" s="85">
        <f t="shared" si="226"/>
        <v>0</v>
      </c>
      <c r="G320" s="24"/>
      <c r="H320" s="51"/>
      <c r="I320" s="48"/>
      <c r="J320" s="49">
        <f t="shared" si="227"/>
        <v>0</v>
      </c>
      <c r="K320" s="24"/>
      <c r="L320" s="424"/>
      <c r="M320" s="48"/>
      <c r="N320" s="49">
        <f t="shared" si="220"/>
        <v>0</v>
      </c>
      <c r="O320" s="24"/>
      <c r="P320" s="48"/>
      <c r="Q320" s="48"/>
      <c r="R320" s="49">
        <f t="shared" si="221"/>
        <v>0</v>
      </c>
      <c r="S320" s="24"/>
      <c r="T320" s="48"/>
      <c r="U320" s="48"/>
      <c r="V320" s="49">
        <f t="shared" si="222"/>
        <v>0</v>
      </c>
      <c r="W320" s="24"/>
      <c r="X320" s="48"/>
      <c r="Y320" s="48"/>
      <c r="Z320" s="49">
        <f t="shared" si="223"/>
        <v>0</v>
      </c>
      <c r="AA320" s="24"/>
      <c r="AB320" s="48"/>
      <c r="AC320" s="48"/>
      <c r="AD320" s="49">
        <v>0</v>
      </c>
      <c r="AE320" s="24"/>
      <c r="AF320" s="29">
        <v>-10</v>
      </c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</row>
    <row r="321" spans="1:55" s="2" customFormat="1" ht="27">
      <c r="A321"/>
      <c r="B321" s="13" t="s">
        <v>572</v>
      </c>
      <c r="C321" s="339" t="s">
        <v>789</v>
      </c>
      <c r="D321" s="48"/>
      <c r="E321" s="48"/>
      <c r="F321" s="85">
        <f t="shared" si="226"/>
        <v>0</v>
      </c>
      <c r="G321" s="24"/>
      <c r="H321" s="51"/>
      <c r="I321" s="48"/>
      <c r="J321" s="49">
        <f t="shared" si="227"/>
        <v>0</v>
      </c>
      <c r="K321" s="24"/>
      <c r="L321" s="424"/>
      <c r="M321" s="48"/>
      <c r="N321" s="49">
        <f t="shared" si="220"/>
        <v>0</v>
      </c>
      <c r="O321" s="24"/>
      <c r="P321" s="48"/>
      <c r="Q321" s="48"/>
      <c r="R321" s="49">
        <f t="shared" si="221"/>
        <v>0</v>
      </c>
      <c r="S321" s="24"/>
      <c r="T321" s="48">
        <v>0.66666666666666663</v>
      </c>
      <c r="U321" s="51">
        <v>0.83333333333333337</v>
      </c>
      <c r="V321" s="49">
        <f t="shared" si="222"/>
        <v>4.0000000000000018</v>
      </c>
      <c r="W321" s="24"/>
      <c r="X321" s="48"/>
      <c r="Y321" s="48"/>
      <c r="Z321" s="49">
        <f t="shared" si="223"/>
        <v>0</v>
      </c>
      <c r="AA321" s="24"/>
      <c r="AB321" s="48"/>
      <c r="AC321" s="48"/>
      <c r="AD321" s="49">
        <v>0</v>
      </c>
      <c r="AE321" s="24"/>
      <c r="AF321" s="29">
        <v>-10</v>
      </c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</row>
    <row r="322" spans="1:55" s="2" customFormat="1" ht="27">
      <c r="A322"/>
      <c r="B322" s="13" t="s">
        <v>637</v>
      </c>
      <c r="C322" s="339" t="s">
        <v>789</v>
      </c>
      <c r="D322" s="48"/>
      <c r="E322" s="48"/>
      <c r="F322" s="85">
        <f t="shared" si="226"/>
        <v>0</v>
      </c>
      <c r="G322" s="24"/>
      <c r="H322" s="51"/>
      <c r="I322" s="48"/>
      <c r="J322" s="49">
        <f t="shared" si="227"/>
        <v>0</v>
      </c>
      <c r="K322" s="24"/>
      <c r="L322" s="424"/>
      <c r="M322" s="48"/>
      <c r="N322" s="49">
        <f t="shared" si="220"/>
        <v>0</v>
      </c>
      <c r="O322" s="24"/>
      <c r="P322" s="48"/>
      <c r="Q322" s="48"/>
      <c r="R322" s="49">
        <f t="shared" si="221"/>
        <v>0</v>
      </c>
      <c r="S322" s="24"/>
      <c r="T322" s="48">
        <v>0.66666666666666663</v>
      </c>
      <c r="U322" s="51">
        <v>0.83333333333333337</v>
      </c>
      <c r="V322" s="49">
        <f t="shared" si="222"/>
        <v>4.0000000000000018</v>
      </c>
      <c r="W322" s="24"/>
      <c r="X322" s="48"/>
      <c r="Y322" s="48"/>
      <c r="Z322" s="49">
        <f t="shared" si="223"/>
        <v>0</v>
      </c>
      <c r="AA322" s="24"/>
      <c r="AB322" s="48"/>
      <c r="AC322" s="48"/>
      <c r="AD322" s="49">
        <v>0</v>
      </c>
      <c r="AE322" s="24"/>
      <c r="AF322" s="29">
        <v>-10</v>
      </c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</row>
    <row r="323" spans="1:55" s="2" customFormat="1" ht="14.25">
      <c r="A323"/>
      <c r="B323" s="63" t="s">
        <v>61</v>
      </c>
      <c r="C323" s="63"/>
      <c r="D323" s="356"/>
      <c r="E323" s="356"/>
      <c r="F323" s="86">
        <f>SUM(F309:F322)</f>
        <v>32.833333333333329</v>
      </c>
      <c r="G323" s="291"/>
      <c r="H323" s="356"/>
      <c r="I323" s="356"/>
      <c r="J323" s="86">
        <f>SUM(J309:J322)</f>
        <v>52.166666666666657</v>
      </c>
      <c r="K323" s="291"/>
      <c r="L323" s="428"/>
      <c r="M323" s="356"/>
      <c r="N323" s="86">
        <f>SUM(N309:N322)</f>
        <v>13.25</v>
      </c>
      <c r="O323" s="291"/>
      <c r="P323" s="356"/>
      <c r="Q323" s="356"/>
      <c r="R323" s="86">
        <f>SUM(R309:R322)</f>
        <v>18</v>
      </c>
      <c r="S323" s="291"/>
      <c r="T323" s="356"/>
      <c r="U323" s="356"/>
      <c r="V323" s="86">
        <f>SUM(V309:V322)</f>
        <v>8.0000000000000036</v>
      </c>
      <c r="W323" s="291"/>
      <c r="X323" s="356"/>
      <c r="Y323" s="356"/>
      <c r="Z323" s="86">
        <f>SUM(Z309:Z322)</f>
        <v>0</v>
      </c>
      <c r="AA323" s="291"/>
      <c r="AB323" s="356"/>
      <c r="AC323" s="356"/>
      <c r="AD323" s="86">
        <f>SUM(AD309:AD322)</f>
        <v>0</v>
      </c>
      <c r="AE323" s="24"/>
      <c r="AF323" s="30">
        <f>SUM(AF308:AF322)</f>
        <v>19.416666666666657</v>
      </c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</row>
    <row r="324" spans="1:55" s="2" customFormat="1">
      <c r="A324"/>
      <c r="B324" s="31" t="s">
        <v>577</v>
      </c>
      <c r="C324" s="31"/>
      <c r="D324" s="91"/>
      <c r="E324" s="83"/>
      <c r="F324" s="87"/>
      <c r="G324" s="83"/>
      <c r="H324" s="83"/>
      <c r="I324" s="83"/>
      <c r="J324" s="87"/>
      <c r="K324" s="83"/>
      <c r="L324" s="425"/>
      <c r="M324" s="83"/>
      <c r="N324" s="87"/>
      <c r="O324" s="83"/>
      <c r="P324" s="83"/>
      <c r="Q324" s="83"/>
      <c r="R324" s="87"/>
      <c r="S324" s="83"/>
      <c r="T324" s="83"/>
      <c r="U324" s="83"/>
      <c r="V324" s="87"/>
      <c r="W324" s="83"/>
      <c r="X324" s="83"/>
      <c r="Y324" s="83"/>
      <c r="Z324" s="87"/>
      <c r="AA324" s="83"/>
      <c r="AB324" s="83"/>
      <c r="AC324" s="83"/>
      <c r="AD324" s="83"/>
      <c r="AE324" s="45"/>
      <c r="AF324" s="28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</row>
    <row r="325" spans="1:55" s="2" customFormat="1">
      <c r="A325"/>
      <c r="B325" s="31" t="s">
        <v>578</v>
      </c>
      <c r="C325" s="31"/>
      <c r="D325" s="91"/>
      <c r="E325" s="83"/>
      <c r="F325" s="87"/>
      <c r="G325" s="83"/>
      <c r="H325" s="83"/>
      <c r="I325" s="83"/>
      <c r="J325" s="87"/>
      <c r="K325" s="83"/>
      <c r="L325" s="425"/>
      <c r="M325" s="83"/>
      <c r="N325" s="87"/>
      <c r="O325" s="83"/>
      <c r="P325" s="83"/>
      <c r="Q325" s="83"/>
      <c r="R325" s="87"/>
      <c r="S325" s="83"/>
      <c r="T325" s="83"/>
      <c r="U325" s="83"/>
      <c r="V325" s="87"/>
      <c r="W325" s="83"/>
      <c r="X325" s="83"/>
      <c r="Y325" s="83"/>
      <c r="Z325" s="87"/>
      <c r="AA325" s="83"/>
      <c r="AB325" s="83"/>
      <c r="AC325" s="83"/>
      <c r="AD325" s="83"/>
      <c r="AE325" s="45"/>
      <c r="AF325" s="28">
        <f>SUM(D325:AD325)</f>
        <v>0</v>
      </c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</row>
    <row r="326" spans="1:55" s="2" customFormat="1" ht="14.25" thickBot="1">
      <c r="A326"/>
      <c r="B326" s="74" t="s">
        <v>579</v>
      </c>
      <c r="C326" s="74"/>
      <c r="D326" s="92"/>
      <c r="E326" s="92"/>
      <c r="F326" s="93"/>
      <c r="G326" s="92"/>
      <c r="H326" s="92"/>
      <c r="I326" s="92"/>
      <c r="J326" s="93"/>
      <c r="K326" s="92"/>
      <c r="L326" s="426"/>
      <c r="M326" s="92"/>
      <c r="N326" s="93"/>
      <c r="O326" s="92"/>
      <c r="P326" s="92"/>
      <c r="Q326" s="92"/>
      <c r="R326" s="93"/>
      <c r="S326" s="92"/>
      <c r="T326" s="92"/>
      <c r="U326" s="92"/>
      <c r="V326" s="93"/>
      <c r="W326" s="94"/>
      <c r="X326" s="94"/>
      <c r="Y326" s="94"/>
      <c r="Z326" s="93"/>
      <c r="AA326" s="94"/>
      <c r="AB326" s="94"/>
      <c r="AC326" s="94"/>
      <c r="AD326" s="94"/>
      <c r="AE326" s="94"/>
      <c r="AF326" s="80">
        <f>SUM(D326:AD326)</f>
        <v>0</v>
      </c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</row>
    <row r="327" spans="1:55" s="2" customFormat="1" ht="14.25" thickTop="1">
      <c r="A327"/>
      <c r="B327" s="1518" t="s">
        <v>18</v>
      </c>
      <c r="C327" s="1528" t="s">
        <v>571</v>
      </c>
      <c r="D327" s="1524">
        <v>45425</v>
      </c>
      <c r="E327" s="1524"/>
      <c r="F327" s="1524"/>
      <c r="G327" s="22"/>
      <c r="H327" s="1524">
        <f>D327+1</f>
        <v>45426</v>
      </c>
      <c r="I327" s="1524"/>
      <c r="J327" s="1524"/>
      <c r="K327" s="22"/>
      <c r="L327" s="1524">
        <f>H327+1</f>
        <v>45427</v>
      </c>
      <c r="M327" s="1524"/>
      <c r="N327" s="1524"/>
      <c r="O327" s="3"/>
      <c r="P327" s="1524">
        <f>L327+1</f>
        <v>45428</v>
      </c>
      <c r="Q327" s="1524"/>
      <c r="R327" s="1524"/>
      <c r="S327" s="3"/>
      <c r="T327" s="1524">
        <f>P327+1</f>
        <v>45429</v>
      </c>
      <c r="U327" s="1524"/>
      <c r="V327" s="1524"/>
      <c r="W327" s="22"/>
      <c r="X327" s="1524">
        <f>T327+1</f>
        <v>45430</v>
      </c>
      <c r="Y327" s="1524"/>
      <c r="Z327" s="1524"/>
      <c r="AA327" s="3"/>
      <c r="AB327" s="1524">
        <f>X327+1</f>
        <v>45431</v>
      </c>
      <c r="AC327" s="1524"/>
      <c r="AD327" s="1524"/>
      <c r="AE327" s="22"/>
      <c r="AF327" s="1517" t="s">
        <v>19</v>
      </c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</row>
    <row r="328" spans="1:55" s="2" customFormat="1">
      <c r="A328"/>
      <c r="B328" s="1518"/>
      <c r="C328" s="1528"/>
      <c r="D328" s="21" t="s">
        <v>23</v>
      </c>
      <c r="E328" s="21" t="s">
        <v>24</v>
      </c>
      <c r="F328" s="62" t="s">
        <v>25</v>
      </c>
      <c r="G328" s="23"/>
      <c r="H328" s="21" t="s">
        <v>23</v>
      </c>
      <c r="I328" s="21" t="s">
        <v>24</v>
      </c>
      <c r="J328" s="18" t="s">
        <v>25</v>
      </c>
      <c r="K328" s="23"/>
      <c r="L328" s="21" t="s">
        <v>23</v>
      </c>
      <c r="M328" s="21" t="s">
        <v>24</v>
      </c>
      <c r="N328" s="18" t="s">
        <v>25</v>
      </c>
      <c r="O328" s="23"/>
      <c r="P328" s="21" t="s">
        <v>23</v>
      </c>
      <c r="Q328" s="21" t="s">
        <v>24</v>
      </c>
      <c r="R328" s="18" t="s">
        <v>25</v>
      </c>
      <c r="S328" s="23"/>
      <c r="T328" s="21" t="s">
        <v>23</v>
      </c>
      <c r="U328" s="21" t="s">
        <v>24</v>
      </c>
      <c r="V328" s="18" t="s">
        <v>25</v>
      </c>
      <c r="W328" s="23"/>
      <c r="X328" s="21" t="s">
        <v>23</v>
      </c>
      <c r="Y328" s="21" t="s">
        <v>24</v>
      </c>
      <c r="Z328" s="18" t="s">
        <v>25</v>
      </c>
      <c r="AA328" s="23"/>
      <c r="AB328" s="21" t="s">
        <v>23</v>
      </c>
      <c r="AC328" s="21" t="s">
        <v>24</v>
      </c>
      <c r="AD328" s="18" t="s">
        <v>25</v>
      </c>
      <c r="AE328" s="23"/>
      <c r="AF328" s="1517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</row>
    <row r="329" spans="1:55" s="2" customFormat="1" ht="20.25" customHeight="1">
      <c r="A329"/>
      <c r="B329" s="13" t="s">
        <v>54</v>
      </c>
      <c r="C329" s="339" t="s">
        <v>790</v>
      </c>
      <c r="D329" s="51">
        <v>0.39583333333333331</v>
      </c>
      <c r="E329" s="51">
        <v>0.70833333333333337</v>
      </c>
      <c r="F329" s="85">
        <f t="shared" ref="F329:F339" si="228">(E329-D329)*24</f>
        <v>7.5000000000000018</v>
      </c>
      <c r="G329" s="24"/>
      <c r="H329" s="51">
        <v>0.39583333333333331</v>
      </c>
      <c r="I329" s="51">
        <v>0.70833333333333337</v>
      </c>
      <c r="J329" s="49">
        <f t="shared" ref="J329:J335" si="229">(I329-H329)*24</f>
        <v>7.5000000000000018</v>
      </c>
      <c r="K329" s="24"/>
      <c r="L329" s="424">
        <v>0.39583333333333331</v>
      </c>
      <c r="M329" s="51">
        <v>0.75</v>
      </c>
      <c r="N329" s="49">
        <f t="shared" ref="N329:N335" si="230">(M329-L329)*24</f>
        <v>8.5</v>
      </c>
      <c r="O329" s="24"/>
      <c r="P329" s="51">
        <v>0.375</v>
      </c>
      <c r="Q329" s="51">
        <v>0.75</v>
      </c>
      <c r="R329" s="49">
        <f t="shared" ref="R329:R339" si="231">(Q329-P329)*24</f>
        <v>9</v>
      </c>
      <c r="S329" s="24"/>
      <c r="T329" s="51">
        <v>0.375</v>
      </c>
      <c r="U329" s="51">
        <v>0.75</v>
      </c>
      <c r="V329" s="49">
        <f t="shared" ref="V329:V339" si="232">(U329-T329)*24</f>
        <v>9</v>
      </c>
      <c r="W329" s="24"/>
      <c r="X329" s="51"/>
      <c r="Y329" s="51"/>
      <c r="Z329" s="49">
        <f t="shared" ref="Z329:Z339" si="233">(Y329-X329)*24</f>
        <v>0</v>
      </c>
      <c r="AA329" s="24"/>
      <c r="AB329" s="51"/>
      <c r="AC329" s="51"/>
      <c r="AD329" s="49">
        <f t="shared" ref="AD329:AD339" si="234">(AC329-AB329)*24</f>
        <v>0</v>
      </c>
      <c r="AE329" s="24"/>
      <c r="AF329" s="29">
        <f t="shared" ref="AF329:AF335" si="235">J329+F329+N329+R329+V329+Z329+AD329</f>
        <v>41.5</v>
      </c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</row>
    <row r="330" spans="1:55" s="2" customFormat="1" ht="24.75" customHeight="1">
      <c r="A330"/>
      <c r="B330" s="13" t="s">
        <v>576</v>
      </c>
      <c r="C330" s="339" t="s">
        <v>790</v>
      </c>
      <c r="D330" s="51">
        <v>0.39583333333333331</v>
      </c>
      <c r="E330" s="51">
        <v>0.70833333333333337</v>
      </c>
      <c r="F330" s="85">
        <f t="shared" si="228"/>
        <v>7.5000000000000018</v>
      </c>
      <c r="G330" s="24"/>
      <c r="H330" s="51">
        <v>0.39583333333333331</v>
      </c>
      <c r="I330" s="51">
        <v>0.70833333333333337</v>
      </c>
      <c r="J330" s="49">
        <f t="shared" si="229"/>
        <v>7.5000000000000018</v>
      </c>
      <c r="K330" s="24"/>
      <c r="L330" s="424">
        <v>0.39583333333333331</v>
      </c>
      <c r="M330" s="51">
        <v>0.75</v>
      </c>
      <c r="N330" s="49">
        <f t="shared" si="230"/>
        <v>8.5</v>
      </c>
      <c r="O330" s="24"/>
      <c r="P330" s="51">
        <v>0.375</v>
      </c>
      <c r="Q330" s="51">
        <v>0.75</v>
      </c>
      <c r="R330" s="49">
        <f t="shared" si="231"/>
        <v>9</v>
      </c>
      <c r="S330" s="24"/>
      <c r="T330" s="51"/>
      <c r="U330" s="51"/>
      <c r="V330" s="49">
        <f t="shared" si="232"/>
        <v>0</v>
      </c>
      <c r="W330" s="24"/>
      <c r="X330" s="51"/>
      <c r="Y330" s="51"/>
      <c r="Z330" s="49">
        <f t="shared" si="233"/>
        <v>0</v>
      </c>
      <c r="AA330" s="24"/>
      <c r="AB330" s="51"/>
      <c r="AC330" s="51"/>
      <c r="AD330" s="49">
        <f t="shared" si="234"/>
        <v>0</v>
      </c>
      <c r="AE330" s="24"/>
      <c r="AF330" s="29">
        <f t="shared" si="235"/>
        <v>32.5</v>
      </c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</row>
    <row r="331" spans="1:55" s="2" customFormat="1" ht="27">
      <c r="A331"/>
      <c r="B331" s="13" t="s">
        <v>637</v>
      </c>
      <c r="C331" s="339" t="s">
        <v>790</v>
      </c>
      <c r="D331" s="51">
        <v>0.39583333333333331</v>
      </c>
      <c r="E331" s="51">
        <v>0.70833333333333337</v>
      </c>
      <c r="F331" s="85">
        <f t="shared" si="228"/>
        <v>7.5000000000000018</v>
      </c>
      <c r="G331" s="24"/>
      <c r="H331" s="51"/>
      <c r="I331" s="51"/>
      <c r="J331" s="49">
        <f t="shared" si="229"/>
        <v>0</v>
      </c>
      <c r="K331" s="24"/>
      <c r="L331" s="424"/>
      <c r="M331" s="51"/>
      <c r="N331" s="49">
        <f t="shared" si="230"/>
        <v>0</v>
      </c>
      <c r="O331" s="24"/>
      <c r="P331" s="51"/>
      <c r="Q331" s="51"/>
      <c r="R331" s="49">
        <f t="shared" si="231"/>
        <v>0</v>
      </c>
      <c r="S331" s="24"/>
      <c r="T331" s="51"/>
      <c r="U331" s="51"/>
      <c r="V331" s="49">
        <f t="shared" si="232"/>
        <v>0</v>
      </c>
      <c r="W331" s="24"/>
      <c r="X331" s="51"/>
      <c r="Y331" s="51"/>
      <c r="Z331" s="49">
        <f t="shared" si="233"/>
        <v>0</v>
      </c>
      <c r="AA331" s="24"/>
      <c r="AB331" s="51"/>
      <c r="AC331" s="51"/>
      <c r="AD331" s="49">
        <f t="shared" si="234"/>
        <v>0</v>
      </c>
      <c r="AE331" s="24"/>
      <c r="AF331" s="29">
        <f t="shared" si="235"/>
        <v>7.5000000000000018</v>
      </c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</row>
    <row r="332" spans="1:55" s="2" customFormat="1" ht="27">
      <c r="A332"/>
      <c r="B332" s="13" t="s">
        <v>714</v>
      </c>
      <c r="C332" s="339" t="s">
        <v>791</v>
      </c>
      <c r="D332" s="51"/>
      <c r="E332" s="51"/>
      <c r="F332" s="85">
        <f t="shared" si="228"/>
        <v>0</v>
      </c>
      <c r="G332" s="24"/>
      <c r="H332" s="51"/>
      <c r="I332" s="51"/>
      <c r="J332" s="49">
        <f t="shared" si="229"/>
        <v>0</v>
      </c>
      <c r="K332" s="24"/>
      <c r="L332" s="424"/>
      <c r="M332" s="51"/>
      <c r="N332" s="49">
        <f t="shared" si="230"/>
        <v>0</v>
      </c>
      <c r="O332" s="24"/>
      <c r="P332" s="51"/>
      <c r="Q332" s="51"/>
      <c r="R332" s="49">
        <f t="shared" si="231"/>
        <v>0</v>
      </c>
      <c r="S332" s="24"/>
      <c r="T332" s="51"/>
      <c r="U332" s="51"/>
      <c r="V332" s="49">
        <f t="shared" si="232"/>
        <v>0</v>
      </c>
      <c r="W332" s="24"/>
      <c r="X332" s="51"/>
      <c r="Y332" s="51"/>
      <c r="Z332" s="49">
        <f t="shared" si="233"/>
        <v>0</v>
      </c>
      <c r="AA332" s="24"/>
      <c r="AB332" s="51"/>
      <c r="AC332" s="51"/>
      <c r="AD332" s="49">
        <f t="shared" si="234"/>
        <v>0</v>
      </c>
      <c r="AE332" s="24"/>
      <c r="AF332" s="29">
        <f t="shared" si="235"/>
        <v>0</v>
      </c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</row>
    <row r="333" spans="1:55" s="2" customFormat="1" ht="54">
      <c r="A333"/>
      <c r="B333" s="13" t="s">
        <v>714</v>
      </c>
      <c r="C333" s="339" t="s">
        <v>763</v>
      </c>
      <c r="D333" s="51"/>
      <c r="E333" s="51"/>
      <c r="F333" s="85">
        <f t="shared" si="228"/>
        <v>0</v>
      </c>
      <c r="G333" s="24"/>
      <c r="H333" s="51"/>
      <c r="I333" s="51"/>
      <c r="J333" s="49">
        <f t="shared" si="229"/>
        <v>0</v>
      </c>
      <c r="K333" s="24"/>
      <c r="L333" s="424"/>
      <c r="M333" s="51"/>
      <c r="N333" s="49">
        <f t="shared" si="230"/>
        <v>0</v>
      </c>
      <c r="O333" s="24"/>
      <c r="P333" s="51"/>
      <c r="Q333" s="51"/>
      <c r="R333" s="49">
        <f t="shared" si="231"/>
        <v>0</v>
      </c>
      <c r="S333" s="24"/>
      <c r="T333" s="51"/>
      <c r="U333" s="51"/>
      <c r="V333" s="49">
        <f t="shared" si="232"/>
        <v>0</v>
      </c>
      <c r="W333" s="24"/>
      <c r="X333" s="51"/>
      <c r="Y333" s="51"/>
      <c r="Z333" s="49">
        <f t="shared" si="233"/>
        <v>0</v>
      </c>
      <c r="AA333" s="24"/>
      <c r="AB333" s="51"/>
      <c r="AC333" s="51"/>
      <c r="AD333" s="49">
        <f t="shared" si="234"/>
        <v>0</v>
      </c>
      <c r="AE333" s="24"/>
      <c r="AF333" s="29">
        <f t="shared" si="235"/>
        <v>0</v>
      </c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</row>
    <row r="334" spans="1:55" s="2" customFormat="1" ht="27">
      <c r="A334"/>
      <c r="B334" s="13" t="s">
        <v>714</v>
      </c>
      <c r="C334" s="339" t="s">
        <v>792</v>
      </c>
      <c r="D334" s="51"/>
      <c r="E334" s="51"/>
      <c r="F334" s="85">
        <f t="shared" si="228"/>
        <v>0</v>
      </c>
      <c r="G334" s="24"/>
      <c r="H334" s="51"/>
      <c r="I334" s="51"/>
      <c r="J334" s="49">
        <f t="shared" si="229"/>
        <v>0</v>
      </c>
      <c r="K334" s="24"/>
      <c r="L334" s="424"/>
      <c r="M334" s="51"/>
      <c r="N334" s="49">
        <f t="shared" si="230"/>
        <v>0</v>
      </c>
      <c r="O334" s="24"/>
      <c r="P334" s="51"/>
      <c r="Q334" s="51"/>
      <c r="R334" s="49">
        <f t="shared" si="231"/>
        <v>0</v>
      </c>
      <c r="S334" s="24"/>
      <c r="T334" s="51"/>
      <c r="U334" s="51"/>
      <c r="V334" s="49">
        <f t="shared" si="232"/>
        <v>0</v>
      </c>
      <c r="W334" s="24"/>
      <c r="X334" s="51"/>
      <c r="Y334" s="51"/>
      <c r="Z334" s="49">
        <f t="shared" si="233"/>
        <v>0</v>
      </c>
      <c r="AA334" s="24"/>
      <c r="AB334" s="51"/>
      <c r="AC334" s="51"/>
      <c r="AD334" s="49">
        <f t="shared" si="234"/>
        <v>0</v>
      </c>
      <c r="AE334" s="24"/>
      <c r="AF334" s="29">
        <f t="shared" si="235"/>
        <v>0</v>
      </c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</row>
    <row r="335" spans="1:55" s="2" customFormat="1" ht="27">
      <c r="A335"/>
      <c r="B335" s="13" t="s">
        <v>714</v>
      </c>
      <c r="C335" s="339" t="s">
        <v>793</v>
      </c>
      <c r="D335" s="51"/>
      <c r="E335" s="51"/>
      <c r="F335" s="85">
        <f t="shared" si="228"/>
        <v>0</v>
      </c>
      <c r="G335" s="24"/>
      <c r="H335" s="51"/>
      <c r="I335" s="51"/>
      <c r="J335" s="49">
        <f t="shared" si="229"/>
        <v>0</v>
      </c>
      <c r="K335" s="24"/>
      <c r="L335" s="424">
        <v>0.35416666666666669</v>
      </c>
      <c r="M335" s="51"/>
      <c r="N335" s="49">
        <f t="shared" si="230"/>
        <v>-8.5</v>
      </c>
      <c r="O335" s="24"/>
      <c r="P335" s="51"/>
      <c r="Q335" s="51"/>
      <c r="R335" s="49">
        <f t="shared" si="231"/>
        <v>0</v>
      </c>
      <c r="S335" s="24"/>
      <c r="T335" s="51"/>
      <c r="U335" s="51"/>
      <c r="V335" s="49">
        <f t="shared" si="232"/>
        <v>0</v>
      </c>
      <c r="W335" s="24"/>
      <c r="X335" s="51"/>
      <c r="Y335" s="51"/>
      <c r="Z335" s="49">
        <f t="shared" si="233"/>
        <v>0</v>
      </c>
      <c r="AA335" s="24"/>
      <c r="AB335" s="51"/>
      <c r="AC335" s="51"/>
      <c r="AD335" s="49">
        <f t="shared" si="234"/>
        <v>0</v>
      </c>
      <c r="AE335" s="24"/>
      <c r="AF335" s="29">
        <f t="shared" si="235"/>
        <v>-8.5</v>
      </c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</row>
    <row r="336" spans="1:55" s="2" customFormat="1" ht="27">
      <c r="A336"/>
      <c r="B336" s="13" t="s">
        <v>653</v>
      </c>
      <c r="C336" s="339" t="s">
        <v>793</v>
      </c>
      <c r="D336" s="51"/>
      <c r="E336" s="51"/>
      <c r="F336" s="85"/>
      <c r="G336" s="24"/>
      <c r="H336" s="51"/>
      <c r="I336" s="51"/>
      <c r="J336" s="49">
        <f>(I336-H336)*24</f>
        <v>0</v>
      </c>
      <c r="K336" s="24"/>
      <c r="L336" s="424"/>
      <c r="M336" s="51"/>
      <c r="N336" s="49">
        <f>(M336-L336)*24</f>
        <v>0</v>
      </c>
      <c r="O336" s="24"/>
      <c r="P336" s="51"/>
      <c r="Q336" s="51"/>
      <c r="R336" s="49"/>
      <c r="S336" s="24"/>
      <c r="T336" s="51"/>
      <c r="U336" s="51"/>
      <c r="V336" s="49"/>
      <c r="W336" s="24"/>
      <c r="X336" s="51"/>
      <c r="Y336" s="51"/>
      <c r="Z336" s="49"/>
      <c r="AA336" s="24"/>
      <c r="AB336" s="51"/>
      <c r="AC336" s="51"/>
      <c r="AD336" s="49"/>
      <c r="AE336" s="24"/>
      <c r="AF336" s="29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</row>
    <row r="337" spans="1:55" s="2" customFormat="1" ht="27">
      <c r="A337"/>
      <c r="B337" s="13" t="s">
        <v>572</v>
      </c>
      <c r="C337" s="339" t="s">
        <v>789</v>
      </c>
      <c r="D337" s="51"/>
      <c r="E337" s="51"/>
      <c r="F337" s="85"/>
      <c r="G337" s="24"/>
      <c r="H337" s="51">
        <v>0.35416666666666669</v>
      </c>
      <c r="I337" s="51">
        <v>0.72916666666666663</v>
      </c>
      <c r="J337" s="49">
        <f>(I337-H337)*24</f>
        <v>8.9999999999999982</v>
      </c>
      <c r="K337" s="24"/>
      <c r="L337" s="424">
        <v>0.33333333333333331</v>
      </c>
      <c r="M337" s="51">
        <v>0.70833333333333337</v>
      </c>
      <c r="N337" s="49">
        <f>(M337-L337)*24</f>
        <v>9.0000000000000018</v>
      </c>
      <c r="O337" s="24"/>
      <c r="P337" s="51"/>
      <c r="Q337" s="51"/>
      <c r="R337" s="49"/>
      <c r="S337" s="24"/>
      <c r="T337" s="51"/>
      <c r="U337" s="51"/>
      <c r="V337" s="49"/>
      <c r="W337" s="24"/>
      <c r="X337" s="51"/>
      <c r="Y337" s="51"/>
      <c r="Z337" s="49"/>
      <c r="AA337" s="24"/>
      <c r="AB337" s="51"/>
      <c r="AC337" s="51"/>
      <c r="AD337" s="49"/>
      <c r="AE337" s="24"/>
      <c r="AF337" s="29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</row>
    <row r="338" spans="1:55" s="2" customFormat="1" ht="27">
      <c r="A338"/>
      <c r="B338" s="13" t="s">
        <v>637</v>
      </c>
      <c r="C338" s="339" t="s">
        <v>789</v>
      </c>
      <c r="D338" s="51"/>
      <c r="E338" s="51"/>
      <c r="F338" s="85"/>
      <c r="G338" s="24"/>
      <c r="H338" s="51">
        <v>0.375</v>
      </c>
      <c r="I338" s="51">
        <v>0.72916666666666663</v>
      </c>
      <c r="J338" s="49">
        <f>(I338-H338)*24</f>
        <v>8.5</v>
      </c>
      <c r="K338" s="24"/>
      <c r="L338" s="424"/>
      <c r="M338" s="51"/>
      <c r="N338" s="49">
        <f>(M338-L338)*24</f>
        <v>0</v>
      </c>
      <c r="O338" s="24"/>
      <c r="P338" s="51"/>
      <c r="Q338" s="51"/>
      <c r="R338" s="49"/>
      <c r="S338" s="24"/>
      <c r="T338" s="51"/>
      <c r="U338" s="51"/>
      <c r="V338" s="49"/>
      <c r="W338" s="24"/>
      <c r="X338" s="51"/>
      <c r="Y338" s="51"/>
      <c r="Z338" s="49"/>
      <c r="AA338" s="24"/>
      <c r="AB338" s="51"/>
      <c r="AC338" s="51"/>
      <c r="AD338" s="49"/>
      <c r="AE338" s="24"/>
      <c r="AF338" s="29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</row>
    <row r="339" spans="1:55" s="2" customFormat="1" ht="14.25">
      <c r="A339"/>
      <c r="B339" s="63" t="s">
        <v>61</v>
      </c>
      <c r="C339" s="63"/>
      <c r="D339" s="359"/>
      <c r="E339" s="359"/>
      <c r="F339" s="357">
        <f t="shared" si="228"/>
        <v>0</v>
      </c>
      <c r="G339" s="291"/>
      <c r="H339" s="359"/>
      <c r="I339" s="359"/>
      <c r="J339" s="358">
        <f>SUM(J329:J338)</f>
        <v>32.5</v>
      </c>
      <c r="K339" s="291"/>
      <c r="L339" s="429"/>
      <c r="M339" s="359"/>
      <c r="N339" s="358">
        <f>SUM(N329:N338)</f>
        <v>17.5</v>
      </c>
      <c r="O339" s="291"/>
      <c r="P339" s="359"/>
      <c r="Q339" s="359"/>
      <c r="R339" s="358">
        <f t="shared" si="231"/>
        <v>0</v>
      </c>
      <c r="S339" s="291"/>
      <c r="T339" s="359"/>
      <c r="U339" s="359"/>
      <c r="V339" s="358">
        <f t="shared" si="232"/>
        <v>0</v>
      </c>
      <c r="W339" s="291"/>
      <c r="X339" s="359"/>
      <c r="Y339" s="359"/>
      <c r="Z339" s="358">
        <f t="shared" si="233"/>
        <v>0</v>
      </c>
      <c r="AA339" s="291"/>
      <c r="AB339" s="359"/>
      <c r="AC339" s="359"/>
      <c r="AD339" s="358">
        <f t="shared" si="234"/>
        <v>0</v>
      </c>
      <c r="AE339" s="24"/>
      <c r="AF339" s="30">
        <f>SUM(AF328:AF335)</f>
        <v>73</v>
      </c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</row>
    <row r="340" spans="1:55" s="2" customFormat="1">
      <c r="A340"/>
      <c r="B340" s="31" t="s">
        <v>577</v>
      </c>
      <c r="C340" s="31"/>
      <c r="D340" s="91"/>
      <c r="E340" s="91"/>
      <c r="F340" s="90"/>
      <c r="G340" s="91"/>
      <c r="H340" s="91"/>
      <c r="I340" s="91"/>
      <c r="J340" s="90"/>
      <c r="K340" s="91"/>
      <c r="L340" s="430"/>
      <c r="M340" s="91"/>
      <c r="N340" s="90"/>
      <c r="O340" s="91"/>
      <c r="P340" s="91"/>
      <c r="Q340" s="91"/>
      <c r="R340" s="90"/>
      <c r="S340" s="91"/>
      <c r="T340" s="91"/>
      <c r="U340" s="91"/>
      <c r="V340" s="90"/>
      <c r="W340" s="91"/>
      <c r="X340" s="91"/>
      <c r="Y340" s="91"/>
      <c r="Z340" s="90"/>
      <c r="AA340" s="91"/>
      <c r="AB340" s="91"/>
      <c r="AC340" s="91"/>
      <c r="AD340" s="91"/>
      <c r="AE340" s="352"/>
      <c r="AF340" s="28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</row>
    <row r="341" spans="1:55" s="2" customFormat="1">
      <c r="A341"/>
      <c r="B341" s="31" t="s">
        <v>578</v>
      </c>
      <c r="C341" s="31"/>
      <c r="D341" s="91"/>
      <c r="E341" s="91"/>
      <c r="F341" s="90"/>
      <c r="G341" s="91"/>
      <c r="H341" s="91"/>
      <c r="I341" s="91"/>
      <c r="J341" s="90"/>
      <c r="K341" s="91"/>
      <c r="L341" s="430"/>
      <c r="M341" s="91"/>
      <c r="N341" s="90"/>
      <c r="O341" s="91"/>
      <c r="P341" s="91"/>
      <c r="Q341" s="91"/>
      <c r="R341" s="90"/>
      <c r="S341" s="91"/>
      <c r="T341" s="91"/>
      <c r="U341" s="91"/>
      <c r="V341" s="90"/>
      <c r="W341" s="91"/>
      <c r="X341" s="91"/>
      <c r="Y341" s="91"/>
      <c r="Z341" s="90"/>
      <c r="AA341" s="91"/>
      <c r="AB341" s="91"/>
      <c r="AC341" s="91"/>
      <c r="AD341" s="91"/>
      <c r="AE341" s="352"/>
      <c r="AF341" s="28">
        <f>SUM(D341:AD341)</f>
        <v>0</v>
      </c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</row>
    <row r="342" spans="1:55" s="2" customFormat="1" ht="14.25" thickBot="1">
      <c r="A342"/>
      <c r="B342" s="74" t="s">
        <v>579</v>
      </c>
      <c r="C342" s="74"/>
      <c r="D342" s="95"/>
      <c r="E342" s="95"/>
      <c r="F342" s="96"/>
      <c r="G342" s="95"/>
      <c r="H342" s="95"/>
      <c r="I342" s="95"/>
      <c r="J342" s="96"/>
      <c r="K342" s="95"/>
      <c r="L342" s="431"/>
      <c r="M342" s="95"/>
      <c r="N342" s="96"/>
      <c r="O342" s="95"/>
      <c r="P342" s="95"/>
      <c r="Q342" s="95"/>
      <c r="R342" s="96"/>
      <c r="S342" s="95"/>
      <c r="T342" s="95"/>
      <c r="U342" s="95"/>
      <c r="V342" s="96"/>
      <c r="W342" s="97"/>
      <c r="X342" s="97"/>
      <c r="Y342" s="97"/>
      <c r="Z342" s="96"/>
      <c r="AA342" s="97"/>
      <c r="AB342" s="97"/>
      <c r="AC342" s="97"/>
      <c r="AD342" s="97"/>
      <c r="AE342" s="97"/>
      <c r="AF342" s="80">
        <f>SUM(D342:AD342)</f>
        <v>0</v>
      </c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</row>
    <row r="343" spans="1:55" s="2" customFormat="1" ht="14.25" thickTop="1">
      <c r="A343"/>
      <c r="B343" s="1518" t="s">
        <v>18</v>
      </c>
      <c r="C343" s="1528" t="s">
        <v>571</v>
      </c>
      <c r="D343" s="1524">
        <v>45432</v>
      </c>
      <c r="E343" s="1524"/>
      <c r="F343" s="1524"/>
      <c r="G343" s="22"/>
      <c r="H343" s="1524">
        <f>D343+1</f>
        <v>45433</v>
      </c>
      <c r="I343" s="1524"/>
      <c r="J343" s="1524"/>
      <c r="K343" s="22"/>
      <c r="L343" s="1524">
        <f>H343+1</f>
        <v>45434</v>
      </c>
      <c r="M343" s="1524"/>
      <c r="N343" s="1524"/>
      <c r="O343" s="3"/>
      <c r="P343" s="1524">
        <f>L343+1</f>
        <v>45435</v>
      </c>
      <c r="Q343" s="1524"/>
      <c r="R343" s="1524"/>
      <c r="S343" s="3"/>
      <c r="T343" s="1524">
        <f>P343+1</f>
        <v>45436</v>
      </c>
      <c r="U343" s="1524"/>
      <c r="V343" s="1524"/>
      <c r="W343" s="22"/>
      <c r="X343" s="1524">
        <f>T343+1</f>
        <v>45437</v>
      </c>
      <c r="Y343" s="1524"/>
      <c r="Z343" s="1524"/>
      <c r="AA343" s="3"/>
      <c r="AB343" s="1524">
        <f>X343+1</f>
        <v>45438</v>
      </c>
      <c r="AC343" s="1524"/>
      <c r="AD343" s="1524"/>
      <c r="AE343" s="22"/>
      <c r="AF343" s="1517" t="s">
        <v>19</v>
      </c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</row>
    <row r="344" spans="1:55" s="2" customFormat="1">
      <c r="A344"/>
      <c r="B344" s="1518"/>
      <c r="C344" s="1528"/>
      <c r="D344" s="21" t="s">
        <v>23</v>
      </c>
      <c r="E344" s="21" t="s">
        <v>24</v>
      </c>
      <c r="F344" s="62" t="s">
        <v>25</v>
      </c>
      <c r="G344" s="23"/>
      <c r="H344" s="21" t="s">
        <v>23</v>
      </c>
      <c r="I344" s="21" t="s">
        <v>24</v>
      </c>
      <c r="J344" s="18" t="s">
        <v>25</v>
      </c>
      <c r="K344" s="23"/>
      <c r="L344" s="21" t="s">
        <v>23</v>
      </c>
      <c r="M344" s="21" t="s">
        <v>24</v>
      </c>
      <c r="N344" s="18" t="s">
        <v>25</v>
      </c>
      <c r="O344" s="23"/>
      <c r="P344" s="21" t="s">
        <v>23</v>
      </c>
      <c r="Q344" s="21" t="s">
        <v>24</v>
      </c>
      <c r="R344" s="18" t="s">
        <v>25</v>
      </c>
      <c r="S344" s="23"/>
      <c r="T344" s="21" t="s">
        <v>23</v>
      </c>
      <c r="U344" s="21" t="s">
        <v>24</v>
      </c>
      <c r="V344" s="18" t="s">
        <v>25</v>
      </c>
      <c r="W344" s="23"/>
      <c r="X344" s="21" t="s">
        <v>23</v>
      </c>
      <c r="Y344" s="21" t="s">
        <v>24</v>
      </c>
      <c r="Z344" s="18" t="s">
        <v>25</v>
      </c>
      <c r="AA344" s="23"/>
      <c r="AB344" s="21" t="s">
        <v>23</v>
      </c>
      <c r="AC344" s="21" t="s">
        <v>24</v>
      </c>
      <c r="AD344" s="18" t="s">
        <v>25</v>
      </c>
      <c r="AE344" s="23"/>
      <c r="AF344" s="1517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</row>
    <row r="345" spans="1:55" s="2" customFormat="1" ht="40.5">
      <c r="A345"/>
      <c r="B345" s="558" t="s">
        <v>572</v>
      </c>
      <c r="C345" s="576" t="s">
        <v>794</v>
      </c>
      <c r="D345" s="560">
        <v>0.33333333333333331</v>
      </c>
      <c r="E345" s="560">
        <v>0.70833333333333337</v>
      </c>
      <c r="F345" s="572">
        <f t="shared" ref="F345:F350" si="236">(E345-D345)*24</f>
        <v>9.0000000000000018</v>
      </c>
      <c r="G345" s="573"/>
      <c r="H345" s="560"/>
      <c r="I345" s="560"/>
      <c r="J345" s="574">
        <f t="shared" ref="J345:J350" si="237">(I345-H345)*24</f>
        <v>0</v>
      </c>
      <c r="K345" s="573"/>
      <c r="L345" s="575"/>
      <c r="M345" s="560"/>
      <c r="N345" s="574">
        <f t="shared" ref="N345:N350" si="238">(M345-L345)*24</f>
        <v>0</v>
      </c>
      <c r="O345" s="573"/>
      <c r="P345" s="560"/>
      <c r="Q345" s="560"/>
      <c r="R345" s="574">
        <f t="shared" ref="R345:R350" si="239">(Q345-P345)*24</f>
        <v>0</v>
      </c>
      <c r="S345" s="573"/>
      <c r="T345" s="560"/>
      <c r="U345" s="560"/>
      <c r="V345" s="574">
        <f t="shared" ref="V345:V350" si="240">(U345-T345)*24</f>
        <v>0</v>
      </c>
      <c r="W345" s="573"/>
      <c r="X345" s="560"/>
      <c r="Y345" s="560"/>
      <c r="Z345" s="574">
        <f t="shared" ref="Z345:Z350" si="241">(Y345-X345)*24</f>
        <v>0</v>
      </c>
      <c r="AA345" s="573"/>
      <c r="AB345" s="560"/>
      <c r="AC345" s="560"/>
      <c r="AD345" s="574">
        <f t="shared" ref="AD345:AD350" si="242">(AC345-AB345)*24</f>
        <v>0</v>
      </c>
      <c r="AE345" s="24"/>
      <c r="AF345" s="29">
        <f t="shared" ref="AF345:AF349" si="243">J345+F345+N345+R345+V345+Z345+AD345</f>
        <v>9.0000000000000018</v>
      </c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</row>
    <row r="346" spans="1:55" s="2" customFormat="1" ht="40.5">
      <c r="A346"/>
      <c r="B346" s="561" t="s">
        <v>374</v>
      </c>
      <c r="C346" s="576" t="s">
        <v>794</v>
      </c>
      <c r="D346" s="560">
        <v>0.39583333333333331</v>
      </c>
      <c r="E346" s="560">
        <v>0.70833333333333337</v>
      </c>
      <c r="F346" s="572">
        <f t="shared" si="236"/>
        <v>7.5000000000000018</v>
      </c>
      <c r="G346" s="573"/>
      <c r="H346" s="560"/>
      <c r="I346" s="560"/>
      <c r="J346" s="574">
        <f t="shared" si="237"/>
        <v>0</v>
      </c>
      <c r="K346" s="573"/>
      <c r="L346" s="575"/>
      <c r="M346" s="560"/>
      <c r="N346" s="574">
        <f t="shared" si="238"/>
        <v>0</v>
      </c>
      <c r="O346" s="573"/>
      <c r="P346" s="560"/>
      <c r="Q346" s="560"/>
      <c r="R346" s="574">
        <f t="shared" si="239"/>
        <v>0</v>
      </c>
      <c r="S346" s="573"/>
      <c r="T346" s="560"/>
      <c r="U346" s="560"/>
      <c r="V346" s="574">
        <f t="shared" si="240"/>
        <v>0</v>
      </c>
      <c r="W346" s="573"/>
      <c r="X346" s="560"/>
      <c r="Y346" s="560"/>
      <c r="Z346" s="574">
        <f t="shared" si="241"/>
        <v>0</v>
      </c>
      <c r="AA346" s="573"/>
      <c r="AB346" s="560"/>
      <c r="AC346" s="560"/>
      <c r="AD346" s="574">
        <f t="shared" si="242"/>
        <v>0</v>
      </c>
      <c r="AE346" s="24"/>
      <c r="AF346" s="29">
        <f t="shared" si="243"/>
        <v>7.5000000000000018</v>
      </c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</row>
    <row r="347" spans="1:55" s="2" customFormat="1" ht="40.5">
      <c r="A347"/>
      <c r="B347" s="562" t="s">
        <v>714</v>
      </c>
      <c r="C347" s="576" t="s">
        <v>794</v>
      </c>
      <c r="D347" s="560">
        <v>0.5</v>
      </c>
      <c r="E347" s="560">
        <v>0.70833333333333337</v>
      </c>
      <c r="F347" s="572">
        <f t="shared" si="236"/>
        <v>5.0000000000000009</v>
      </c>
      <c r="G347" s="573"/>
      <c r="H347" s="560"/>
      <c r="I347" s="560"/>
      <c r="J347" s="574">
        <f t="shared" si="237"/>
        <v>0</v>
      </c>
      <c r="K347" s="573"/>
      <c r="L347" s="575"/>
      <c r="M347" s="560"/>
      <c r="N347" s="574">
        <f t="shared" si="238"/>
        <v>0</v>
      </c>
      <c r="O347" s="573"/>
      <c r="P347" s="560"/>
      <c r="Q347" s="560"/>
      <c r="R347" s="574">
        <f t="shared" si="239"/>
        <v>0</v>
      </c>
      <c r="S347" s="573"/>
      <c r="T347" s="560"/>
      <c r="U347" s="560"/>
      <c r="V347" s="574">
        <f t="shared" si="240"/>
        <v>0</v>
      </c>
      <c r="W347" s="573"/>
      <c r="X347" s="560"/>
      <c r="Y347" s="560"/>
      <c r="Z347" s="574">
        <f t="shared" si="241"/>
        <v>0</v>
      </c>
      <c r="AA347" s="573"/>
      <c r="AB347" s="560"/>
      <c r="AC347" s="560"/>
      <c r="AD347" s="574">
        <f t="shared" si="242"/>
        <v>0</v>
      </c>
      <c r="AE347" s="24"/>
      <c r="AF347" s="29">
        <f t="shared" si="243"/>
        <v>5.0000000000000009</v>
      </c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</row>
    <row r="348" spans="1:55" s="2" customFormat="1" ht="14.25">
      <c r="A348"/>
      <c r="B348" s="562"/>
      <c r="C348" s="576"/>
      <c r="D348" s="560"/>
      <c r="E348" s="560"/>
      <c r="F348" s="572">
        <f t="shared" si="236"/>
        <v>0</v>
      </c>
      <c r="G348" s="573"/>
      <c r="H348" s="560"/>
      <c r="I348" s="560"/>
      <c r="J348" s="574">
        <f t="shared" si="237"/>
        <v>0</v>
      </c>
      <c r="K348" s="573"/>
      <c r="L348" s="575"/>
      <c r="M348" s="560"/>
      <c r="N348" s="574">
        <f t="shared" si="238"/>
        <v>0</v>
      </c>
      <c r="O348" s="573"/>
      <c r="P348" s="560"/>
      <c r="Q348" s="560"/>
      <c r="R348" s="574">
        <f t="shared" si="239"/>
        <v>0</v>
      </c>
      <c r="S348" s="573"/>
      <c r="T348" s="560"/>
      <c r="U348" s="560"/>
      <c r="V348" s="574">
        <f t="shared" si="240"/>
        <v>0</v>
      </c>
      <c r="W348" s="573"/>
      <c r="X348" s="560"/>
      <c r="Y348" s="560"/>
      <c r="Z348" s="574">
        <f t="shared" si="241"/>
        <v>0</v>
      </c>
      <c r="AA348" s="573"/>
      <c r="AB348" s="560"/>
      <c r="AC348" s="560"/>
      <c r="AD348" s="574">
        <f t="shared" si="242"/>
        <v>0</v>
      </c>
      <c r="AE348" s="24"/>
      <c r="AF348" s="29">
        <f t="shared" si="243"/>
        <v>0</v>
      </c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</row>
    <row r="349" spans="1:55" s="2" customFormat="1" ht="14.25">
      <c r="A349"/>
      <c r="B349" s="562"/>
      <c r="C349" s="576"/>
      <c r="D349" s="560"/>
      <c r="E349" s="560"/>
      <c r="F349" s="572">
        <f t="shared" si="236"/>
        <v>0</v>
      </c>
      <c r="G349" s="573"/>
      <c r="H349" s="560"/>
      <c r="I349" s="560"/>
      <c r="J349" s="574">
        <f t="shared" si="237"/>
        <v>0</v>
      </c>
      <c r="K349" s="573"/>
      <c r="L349" s="575"/>
      <c r="M349" s="560"/>
      <c r="N349" s="574">
        <f t="shared" si="238"/>
        <v>0</v>
      </c>
      <c r="O349" s="573"/>
      <c r="P349" s="560"/>
      <c r="Q349" s="560"/>
      <c r="R349" s="574">
        <f t="shared" si="239"/>
        <v>0</v>
      </c>
      <c r="S349" s="573"/>
      <c r="T349" s="560"/>
      <c r="U349" s="560"/>
      <c r="V349" s="574">
        <f t="shared" si="240"/>
        <v>0</v>
      </c>
      <c r="W349" s="573"/>
      <c r="X349" s="560"/>
      <c r="Y349" s="560"/>
      <c r="Z349" s="574">
        <f t="shared" si="241"/>
        <v>0</v>
      </c>
      <c r="AA349" s="573"/>
      <c r="AB349" s="560"/>
      <c r="AC349" s="560"/>
      <c r="AD349" s="574">
        <f t="shared" si="242"/>
        <v>0</v>
      </c>
      <c r="AE349" s="24"/>
      <c r="AF349" s="29">
        <f t="shared" si="243"/>
        <v>0</v>
      </c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</row>
    <row r="350" spans="1:55" s="2" customFormat="1" ht="14.25">
      <c r="A350"/>
      <c r="B350" s="563" t="s">
        <v>61</v>
      </c>
      <c r="C350" s="577"/>
      <c r="D350" s="560"/>
      <c r="E350" s="560"/>
      <c r="F350" s="572">
        <f t="shared" si="236"/>
        <v>0</v>
      </c>
      <c r="G350" s="573"/>
      <c r="H350" s="560"/>
      <c r="I350" s="560"/>
      <c r="J350" s="574">
        <f t="shared" si="237"/>
        <v>0</v>
      </c>
      <c r="K350" s="573"/>
      <c r="L350" s="575"/>
      <c r="M350" s="560"/>
      <c r="N350" s="574">
        <f t="shared" si="238"/>
        <v>0</v>
      </c>
      <c r="O350" s="573"/>
      <c r="P350" s="560"/>
      <c r="Q350" s="560"/>
      <c r="R350" s="574">
        <f t="shared" si="239"/>
        <v>0</v>
      </c>
      <c r="S350" s="573"/>
      <c r="T350" s="560"/>
      <c r="U350" s="560"/>
      <c r="V350" s="574">
        <f t="shared" si="240"/>
        <v>0</v>
      </c>
      <c r="W350" s="573"/>
      <c r="X350" s="560"/>
      <c r="Y350" s="560"/>
      <c r="Z350" s="574">
        <f t="shared" si="241"/>
        <v>0</v>
      </c>
      <c r="AA350" s="573"/>
      <c r="AB350" s="560"/>
      <c r="AC350" s="560"/>
      <c r="AD350" s="574">
        <f t="shared" si="242"/>
        <v>0</v>
      </c>
      <c r="AE350" s="24"/>
      <c r="AF350" s="29">
        <f>J350+F350+N350+R350+V350+Z350+AD350</f>
        <v>0</v>
      </c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</row>
    <row r="351" spans="1:55" s="2" customFormat="1">
      <c r="A351"/>
      <c r="B351" s="31" t="s">
        <v>577</v>
      </c>
      <c r="C351" s="31"/>
      <c r="D351" s="578"/>
      <c r="E351" s="578"/>
      <c r="F351" s="579"/>
      <c r="G351" s="578"/>
      <c r="H351" s="578"/>
      <c r="I351" s="578"/>
      <c r="J351" s="579"/>
      <c r="K351" s="578"/>
      <c r="L351" s="580"/>
      <c r="M351" s="578"/>
      <c r="N351" s="579"/>
      <c r="O351" s="578"/>
      <c r="P351" s="578"/>
      <c r="Q351" s="578"/>
      <c r="R351" s="579"/>
      <c r="S351" s="578"/>
      <c r="T351" s="578"/>
      <c r="U351" s="578"/>
      <c r="V351" s="579"/>
      <c r="W351" s="578"/>
      <c r="X351" s="578"/>
      <c r="Y351" s="578"/>
      <c r="Z351" s="579"/>
      <c r="AA351" s="578"/>
      <c r="AB351" s="578"/>
      <c r="AC351" s="578"/>
      <c r="AD351" s="578"/>
      <c r="AE351" s="352"/>
      <c r="AF351" s="28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</row>
    <row r="352" spans="1:55" s="2" customFormat="1">
      <c r="A352"/>
      <c r="B352" s="31" t="s">
        <v>578</v>
      </c>
      <c r="C352" s="31"/>
      <c r="D352" s="91"/>
      <c r="E352" s="91"/>
      <c r="F352" s="90"/>
      <c r="G352" s="91"/>
      <c r="H352" s="91"/>
      <c r="I352" s="91"/>
      <c r="J352" s="90"/>
      <c r="K352" s="91"/>
      <c r="L352" s="430"/>
      <c r="M352" s="91"/>
      <c r="N352" s="90"/>
      <c r="O352" s="91"/>
      <c r="P352" s="91"/>
      <c r="Q352" s="91"/>
      <c r="R352" s="90"/>
      <c r="S352" s="91"/>
      <c r="T352" s="91"/>
      <c r="U352" s="91"/>
      <c r="V352" s="90"/>
      <c r="W352" s="91"/>
      <c r="X352" s="91"/>
      <c r="Y352" s="91"/>
      <c r="Z352" s="90"/>
      <c r="AA352" s="91"/>
      <c r="AB352" s="91"/>
      <c r="AC352" s="91"/>
      <c r="AD352" s="91"/>
      <c r="AE352" s="352"/>
      <c r="AF352" s="28">
        <f>SUM(D352:AD352)</f>
        <v>0</v>
      </c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</row>
    <row r="353" spans="1:55" s="2" customFormat="1" ht="14.25" thickBot="1">
      <c r="A353"/>
      <c r="B353" s="74" t="s">
        <v>579</v>
      </c>
      <c r="C353" s="74"/>
      <c r="D353" s="95"/>
      <c r="E353" s="95"/>
      <c r="F353" s="96"/>
      <c r="G353" s="95"/>
      <c r="H353" s="95"/>
      <c r="I353" s="95"/>
      <c r="J353" s="96"/>
      <c r="K353" s="95"/>
      <c r="L353" s="431"/>
      <c r="M353" s="95"/>
      <c r="N353" s="96"/>
      <c r="O353" s="95"/>
      <c r="P353" s="95"/>
      <c r="Q353" s="95"/>
      <c r="R353" s="96"/>
      <c r="S353" s="95"/>
      <c r="T353" s="95"/>
      <c r="U353" s="95"/>
      <c r="V353" s="96"/>
      <c r="W353" s="97"/>
      <c r="X353" s="97"/>
      <c r="Y353" s="97"/>
      <c r="Z353" s="96"/>
      <c r="AA353" s="97"/>
      <c r="AB353" s="97"/>
      <c r="AC353" s="97"/>
      <c r="AD353" s="97"/>
      <c r="AE353" s="97"/>
      <c r="AF353" s="80">
        <f>SUM(D353:AD353)</f>
        <v>0</v>
      </c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</row>
    <row r="354" spans="1:55" s="2" customFormat="1" ht="14.25" thickTop="1">
      <c r="A354"/>
      <c r="B354" s="1518" t="s">
        <v>18</v>
      </c>
      <c r="C354" s="1528" t="s">
        <v>571</v>
      </c>
      <c r="D354" s="1524">
        <v>45439</v>
      </c>
      <c r="E354" s="1524"/>
      <c r="F354" s="1524"/>
      <c r="G354" s="22"/>
      <c r="H354" s="1524">
        <f>D354+1</f>
        <v>45440</v>
      </c>
      <c r="I354" s="1524"/>
      <c r="J354" s="1524"/>
      <c r="K354" s="22"/>
      <c r="L354" s="1524">
        <f>H354+1</f>
        <v>45441</v>
      </c>
      <c r="M354" s="1524"/>
      <c r="N354" s="1524"/>
      <c r="O354" s="3"/>
      <c r="P354" s="1524">
        <f>L354+1</f>
        <v>45442</v>
      </c>
      <c r="Q354" s="1524"/>
      <c r="R354" s="1524"/>
      <c r="S354" s="3"/>
      <c r="T354" s="1524">
        <f>P354+1</f>
        <v>45443</v>
      </c>
      <c r="U354" s="1524"/>
      <c r="V354" s="1524"/>
      <c r="W354" s="22"/>
      <c r="X354" s="1524">
        <f>T354+1</f>
        <v>45444</v>
      </c>
      <c r="Y354" s="1524"/>
      <c r="Z354" s="1524"/>
      <c r="AA354" s="3"/>
      <c r="AB354" s="1524">
        <f>X354+1</f>
        <v>45445</v>
      </c>
      <c r="AC354" s="1524"/>
      <c r="AD354" s="1524"/>
      <c r="AE354" s="22"/>
      <c r="AF354" s="1517" t="s">
        <v>19</v>
      </c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</row>
    <row r="355" spans="1:55" s="2" customFormat="1">
      <c r="A355"/>
      <c r="B355" s="1518"/>
      <c r="C355" s="1528"/>
      <c r="D355" s="21" t="s">
        <v>23</v>
      </c>
      <c r="E355" s="21" t="s">
        <v>24</v>
      </c>
      <c r="F355" s="62" t="s">
        <v>25</v>
      </c>
      <c r="G355" s="23"/>
      <c r="H355" s="21" t="s">
        <v>23</v>
      </c>
      <c r="I355" s="21" t="s">
        <v>24</v>
      </c>
      <c r="J355" s="18" t="s">
        <v>25</v>
      </c>
      <c r="K355" s="23"/>
      <c r="L355" s="21" t="s">
        <v>23</v>
      </c>
      <c r="M355" s="21" t="s">
        <v>24</v>
      </c>
      <c r="N355" s="18" t="s">
        <v>25</v>
      </c>
      <c r="O355" s="23"/>
      <c r="P355" s="21" t="s">
        <v>23</v>
      </c>
      <c r="Q355" s="21" t="s">
        <v>24</v>
      </c>
      <c r="R355" s="18" t="s">
        <v>25</v>
      </c>
      <c r="S355" s="23"/>
      <c r="T355" s="21" t="s">
        <v>23</v>
      </c>
      <c r="U355" s="21" t="s">
        <v>24</v>
      </c>
      <c r="V355" s="18" t="s">
        <v>25</v>
      </c>
      <c r="W355" s="23"/>
      <c r="X355" s="21" t="s">
        <v>23</v>
      </c>
      <c r="Y355" s="21" t="s">
        <v>24</v>
      </c>
      <c r="Z355" s="18" t="s">
        <v>25</v>
      </c>
      <c r="AA355" s="23"/>
      <c r="AB355" s="21" t="s">
        <v>23</v>
      </c>
      <c r="AC355" s="21" t="s">
        <v>24</v>
      </c>
      <c r="AD355" s="18" t="s">
        <v>25</v>
      </c>
      <c r="AE355" s="23"/>
      <c r="AF355" s="1517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</row>
    <row r="356" spans="1:55" s="2" customFormat="1" ht="40.5">
      <c r="A356"/>
      <c r="B356" s="561" t="s">
        <v>54</v>
      </c>
      <c r="C356" s="559" t="s">
        <v>795</v>
      </c>
      <c r="D356" s="560"/>
      <c r="E356" s="560"/>
      <c r="F356" s="572">
        <f t="shared" ref="F356:F362" si="244">(E356-D356)*24</f>
        <v>0</v>
      </c>
      <c r="G356" s="573"/>
      <c r="H356" s="560">
        <v>0.41666666666666669</v>
      </c>
      <c r="I356" s="560" t="s">
        <v>691</v>
      </c>
      <c r="J356" s="574" t="e">
        <f t="shared" ref="J356:J362" si="245">(I356-H356)*24</f>
        <v>#VALUE!</v>
      </c>
      <c r="K356" s="573"/>
      <c r="L356" s="575"/>
      <c r="M356" s="560"/>
      <c r="N356" s="574">
        <f t="shared" ref="N356:N362" si="246">(M356-L356)*24</f>
        <v>0</v>
      </c>
      <c r="O356" s="573"/>
      <c r="P356" s="560"/>
      <c r="Q356" s="560"/>
      <c r="R356" s="574">
        <f t="shared" ref="R356:R362" si="247">(Q356-P356)*24</f>
        <v>0</v>
      </c>
      <c r="S356" s="573"/>
      <c r="T356" s="560"/>
      <c r="U356" s="560"/>
      <c r="V356" s="574">
        <f t="shared" ref="V356:V362" si="248">(U356-T356)*24</f>
        <v>0</v>
      </c>
      <c r="W356" s="573"/>
      <c r="X356" s="560"/>
      <c r="Y356" s="560"/>
      <c r="Z356" s="574">
        <f t="shared" ref="Z356:Z362" si="249">(Y356-X356)*24</f>
        <v>0</v>
      </c>
      <c r="AA356" s="573"/>
      <c r="AB356" s="560"/>
      <c r="AC356" s="560"/>
      <c r="AD356" s="574">
        <f t="shared" ref="AD356:AD362" si="250">(AC356-AB356)*24</f>
        <v>0</v>
      </c>
      <c r="AE356" s="24"/>
      <c r="AF356" s="29" t="e">
        <f t="shared" ref="AF356:AF362" si="251">J356+F356+N356+R356+V356+Z356+AD356</f>
        <v>#VALUE!</v>
      </c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</row>
    <row r="357" spans="1:55" s="2" customFormat="1" ht="27">
      <c r="A357"/>
      <c r="B357" s="561" t="s">
        <v>374</v>
      </c>
      <c r="C357" s="559" t="s">
        <v>796</v>
      </c>
      <c r="D357" s="560"/>
      <c r="E357" s="560"/>
      <c r="F357" s="572">
        <f t="shared" si="244"/>
        <v>0</v>
      </c>
      <c r="G357" s="573"/>
      <c r="H357" s="560"/>
      <c r="I357" s="560"/>
      <c r="J357" s="574">
        <f t="shared" si="245"/>
        <v>0</v>
      </c>
      <c r="K357" s="573"/>
      <c r="L357" s="575"/>
      <c r="M357" s="560"/>
      <c r="N357" s="574">
        <f t="shared" si="246"/>
        <v>0</v>
      </c>
      <c r="O357" s="573"/>
      <c r="P357" s="560"/>
      <c r="Q357" s="560"/>
      <c r="R357" s="574">
        <f t="shared" si="247"/>
        <v>0</v>
      </c>
      <c r="S357" s="573"/>
      <c r="T357" s="560"/>
      <c r="U357" s="560"/>
      <c r="V357" s="574">
        <f t="shared" si="248"/>
        <v>0</v>
      </c>
      <c r="W357" s="573"/>
      <c r="X357" s="560"/>
      <c r="Y357" s="560"/>
      <c r="Z357" s="574">
        <f t="shared" si="249"/>
        <v>0</v>
      </c>
      <c r="AA357" s="573"/>
      <c r="AB357" s="560"/>
      <c r="AC357" s="560"/>
      <c r="AD357" s="574">
        <f t="shared" si="250"/>
        <v>0</v>
      </c>
      <c r="AE357" s="24"/>
      <c r="AF357" s="29">
        <f t="shared" si="251"/>
        <v>0</v>
      </c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</row>
    <row r="358" spans="1:55" s="2" customFormat="1" ht="27">
      <c r="A358"/>
      <c r="B358" s="561" t="s">
        <v>54</v>
      </c>
      <c r="C358" s="559" t="s">
        <v>796</v>
      </c>
      <c r="D358" s="560"/>
      <c r="E358" s="560"/>
      <c r="F358" s="572">
        <f t="shared" si="244"/>
        <v>0</v>
      </c>
      <c r="G358" s="573"/>
      <c r="H358" s="560"/>
      <c r="I358" s="560"/>
      <c r="J358" s="574">
        <f t="shared" si="245"/>
        <v>0</v>
      </c>
      <c r="K358" s="573"/>
      <c r="L358" s="575"/>
      <c r="M358" s="560"/>
      <c r="N358" s="574">
        <f t="shared" si="246"/>
        <v>0</v>
      </c>
      <c r="O358" s="573"/>
      <c r="P358" s="560">
        <v>0.4375</v>
      </c>
      <c r="Q358" s="560"/>
      <c r="R358" s="574">
        <f t="shared" si="247"/>
        <v>-10.5</v>
      </c>
      <c r="S358" s="573"/>
      <c r="T358" s="560"/>
      <c r="U358" s="560"/>
      <c r="V358" s="574">
        <f t="shared" si="248"/>
        <v>0</v>
      </c>
      <c r="W358" s="573"/>
      <c r="X358" s="560"/>
      <c r="Y358" s="560"/>
      <c r="Z358" s="574">
        <f t="shared" si="249"/>
        <v>0</v>
      </c>
      <c r="AA358" s="573"/>
      <c r="AB358" s="560"/>
      <c r="AC358" s="560"/>
      <c r="AD358" s="574">
        <f t="shared" si="250"/>
        <v>0</v>
      </c>
      <c r="AE358" s="24"/>
      <c r="AF358" s="29">
        <f t="shared" si="251"/>
        <v>-10.5</v>
      </c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</row>
    <row r="359" spans="1:55" s="2" customFormat="1" ht="27">
      <c r="A359"/>
      <c r="B359" s="562" t="s">
        <v>653</v>
      </c>
      <c r="C359" s="559" t="s">
        <v>796</v>
      </c>
      <c r="D359" s="560"/>
      <c r="E359" s="560"/>
      <c r="F359" s="572">
        <f t="shared" si="244"/>
        <v>0</v>
      </c>
      <c r="G359" s="573"/>
      <c r="H359" s="560"/>
      <c r="I359" s="560"/>
      <c r="J359" s="574">
        <f t="shared" si="245"/>
        <v>0</v>
      </c>
      <c r="K359" s="573"/>
      <c r="L359" s="575"/>
      <c r="M359" s="560"/>
      <c r="N359" s="574">
        <f t="shared" si="246"/>
        <v>0</v>
      </c>
      <c r="O359" s="573"/>
      <c r="P359" s="560"/>
      <c r="Q359" s="560"/>
      <c r="R359" s="574">
        <f t="shared" si="247"/>
        <v>0</v>
      </c>
      <c r="S359" s="573"/>
      <c r="T359" s="560"/>
      <c r="U359" s="560"/>
      <c r="V359" s="574">
        <f t="shared" si="248"/>
        <v>0</v>
      </c>
      <c r="W359" s="573"/>
      <c r="X359" s="560"/>
      <c r="Y359" s="560"/>
      <c r="Z359" s="574">
        <f t="shared" si="249"/>
        <v>0</v>
      </c>
      <c r="AA359" s="573"/>
      <c r="AB359" s="560"/>
      <c r="AC359" s="560"/>
      <c r="AD359" s="574">
        <f t="shared" si="250"/>
        <v>0</v>
      </c>
      <c r="AE359" s="24"/>
      <c r="AF359" s="29">
        <f t="shared" si="251"/>
        <v>0</v>
      </c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</row>
    <row r="360" spans="1:55" s="2" customFormat="1" ht="21.75" customHeight="1">
      <c r="A360"/>
      <c r="B360" s="562" t="s">
        <v>714</v>
      </c>
      <c r="C360" s="559" t="s">
        <v>796</v>
      </c>
      <c r="D360" s="560"/>
      <c r="E360" s="560"/>
      <c r="F360" s="572">
        <f t="shared" si="244"/>
        <v>0</v>
      </c>
      <c r="G360" s="573"/>
      <c r="H360" s="560"/>
      <c r="I360" s="560"/>
      <c r="J360" s="574">
        <f t="shared" si="245"/>
        <v>0</v>
      </c>
      <c r="K360" s="573"/>
      <c r="L360" s="575"/>
      <c r="M360" s="560"/>
      <c r="N360" s="574">
        <f t="shared" si="246"/>
        <v>0</v>
      </c>
      <c r="O360" s="573"/>
      <c r="P360" s="560"/>
      <c r="Q360" s="560"/>
      <c r="R360" s="574">
        <f t="shared" si="247"/>
        <v>0</v>
      </c>
      <c r="S360" s="573"/>
      <c r="T360" s="560"/>
      <c r="U360" s="560"/>
      <c r="V360" s="574">
        <f t="shared" si="248"/>
        <v>0</v>
      </c>
      <c r="W360" s="573"/>
      <c r="X360" s="560"/>
      <c r="Y360" s="560"/>
      <c r="Z360" s="574">
        <f t="shared" si="249"/>
        <v>0</v>
      </c>
      <c r="AA360" s="573"/>
      <c r="AB360" s="560"/>
      <c r="AC360" s="560"/>
      <c r="AD360" s="574">
        <f t="shared" si="250"/>
        <v>0</v>
      </c>
      <c r="AE360" s="24"/>
      <c r="AF360" s="29">
        <f t="shared" si="251"/>
        <v>0</v>
      </c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</row>
    <row r="361" spans="1:55" s="2" customFormat="1" ht="21.75" customHeight="1">
      <c r="A361"/>
      <c r="B361" s="562" t="s">
        <v>582</v>
      </c>
      <c r="C361" s="559" t="s">
        <v>797</v>
      </c>
      <c r="D361" s="560"/>
      <c r="E361" s="560"/>
      <c r="F361" s="572">
        <f>(E361-D361)*24</f>
        <v>0</v>
      </c>
      <c r="G361" s="573"/>
      <c r="H361" s="560"/>
      <c r="I361" s="560"/>
      <c r="J361" s="574">
        <f>(I361-H361)*24</f>
        <v>0</v>
      </c>
      <c r="K361" s="573"/>
      <c r="L361" s="575"/>
      <c r="M361" s="560"/>
      <c r="N361" s="574">
        <f>(M361-L361)*24</f>
        <v>0</v>
      </c>
      <c r="O361" s="573"/>
      <c r="P361" s="560"/>
      <c r="Q361" s="560"/>
      <c r="R361" s="574">
        <f>(Q361-P361)*24</f>
        <v>0</v>
      </c>
      <c r="S361" s="573"/>
      <c r="T361" s="560"/>
      <c r="U361" s="560"/>
      <c r="V361" s="574">
        <f>(U361-T361)*24</f>
        <v>0</v>
      </c>
      <c r="W361" s="573"/>
      <c r="X361" s="560">
        <v>0.375</v>
      </c>
      <c r="Y361" s="560">
        <v>0.6875</v>
      </c>
      <c r="Z361" s="574">
        <f>(Y361-X361)*24</f>
        <v>7.5</v>
      </c>
      <c r="AA361" s="573"/>
      <c r="AB361" s="560"/>
      <c r="AC361" s="560"/>
      <c r="AD361" s="574">
        <f>(AC361-AB361)*24</f>
        <v>0</v>
      </c>
      <c r="AE361" s="24"/>
      <c r="AF361" s="29">
        <f>J361+F361+N361+R361+V361+Z361+AD361</f>
        <v>7.5</v>
      </c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</row>
    <row r="362" spans="1:55" s="2" customFormat="1" ht="14.25">
      <c r="A362"/>
      <c r="B362" s="563" t="s">
        <v>61</v>
      </c>
      <c r="C362" s="563"/>
      <c r="D362" s="560"/>
      <c r="E362" s="560"/>
      <c r="F362" s="572">
        <f t="shared" si="244"/>
        <v>0</v>
      </c>
      <c r="G362" s="573"/>
      <c r="H362" s="560"/>
      <c r="I362" s="560"/>
      <c r="J362" s="574">
        <f t="shared" si="245"/>
        <v>0</v>
      </c>
      <c r="K362" s="573"/>
      <c r="L362" s="575"/>
      <c r="M362" s="560"/>
      <c r="N362" s="574">
        <f t="shared" si="246"/>
        <v>0</v>
      </c>
      <c r="O362" s="573"/>
      <c r="P362" s="560"/>
      <c r="Q362" s="560"/>
      <c r="R362" s="574">
        <f t="shared" si="247"/>
        <v>0</v>
      </c>
      <c r="S362" s="573"/>
      <c r="T362" s="560"/>
      <c r="U362" s="560"/>
      <c r="V362" s="574">
        <f t="shared" si="248"/>
        <v>0</v>
      </c>
      <c r="W362" s="573"/>
      <c r="X362" s="560"/>
      <c r="Y362" s="560"/>
      <c r="Z362" s="574">
        <f t="shared" si="249"/>
        <v>0</v>
      </c>
      <c r="AA362" s="573"/>
      <c r="AB362" s="560"/>
      <c r="AC362" s="560"/>
      <c r="AD362" s="574">
        <f t="shared" si="250"/>
        <v>0</v>
      </c>
      <c r="AE362" s="24"/>
      <c r="AF362" s="29">
        <f t="shared" si="251"/>
        <v>0</v>
      </c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</row>
    <row r="363" spans="1:55" s="2" customFormat="1">
      <c r="A363"/>
      <c r="B363" s="31" t="s">
        <v>577</v>
      </c>
      <c r="C363" s="31"/>
      <c r="D363" s="91"/>
      <c r="E363" s="91"/>
      <c r="F363" s="90"/>
      <c r="G363" s="91"/>
      <c r="H363" s="91"/>
      <c r="I363" s="91"/>
      <c r="J363" s="90"/>
      <c r="K363" s="91"/>
      <c r="L363" s="430"/>
      <c r="M363" s="91"/>
      <c r="N363" s="90"/>
      <c r="O363" s="91"/>
      <c r="P363" s="91"/>
      <c r="Q363" s="91"/>
      <c r="R363" s="90"/>
      <c r="S363" s="91"/>
      <c r="T363" s="91"/>
      <c r="U363" s="91"/>
      <c r="V363" s="90"/>
      <c r="W363" s="91"/>
      <c r="X363" s="91"/>
      <c r="Y363" s="91"/>
      <c r="Z363" s="90"/>
      <c r="AA363" s="91"/>
      <c r="AB363" s="91"/>
      <c r="AC363" s="91"/>
      <c r="AD363" s="91"/>
      <c r="AE363" s="352"/>
      <c r="AF363" s="28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</row>
    <row r="364" spans="1:55" s="2" customFormat="1">
      <c r="A364"/>
      <c r="B364" s="31" t="s">
        <v>578</v>
      </c>
      <c r="C364" s="31"/>
      <c r="D364" s="91"/>
      <c r="E364" s="91"/>
      <c r="F364" s="90"/>
      <c r="G364" s="91"/>
      <c r="H364" s="91"/>
      <c r="I364" s="91"/>
      <c r="J364" s="90"/>
      <c r="K364" s="91"/>
      <c r="L364" s="430"/>
      <c r="M364" s="91"/>
      <c r="N364" s="90"/>
      <c r="O364" s="91"/>
      <c r="P364" s="91"/>
      <c r="Q364" s="91"/>
      <c r="R364" s="90"/>
      <c r="S364" s="91"/>
      <c r="T364" s="91"/>
      <c r="U364" s="91"/>
      <c r="V364" s="90"/>
      <c r="W364" s="91"/>
      <c r="X364" s="91"/>
      <c r="Y364" s="91"/>
      <c r="Z364" s="90"/>
      <c r="AA364" s="91"/>
      <c r="AB364" s="91"/>
      <c r="AC364" s="91"/>
      <c r="AD364" s="91"/>
      <c r="AE364" s="352"/>
      <c r="AF364" s="28">
        <f>SUM(D364:AD364)</f>
        <v>0</v>
      </c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</row>
    <row r="365" spans="1:55" s="2" customFormat="1" ht="14.25" thickBot="1">
      <c r="A365"/>
      <c r="B365" s="74" t="s">
        <v>579</v>
      </c>
      <c r="C365" s="74"/>
      <c r="D365" s="95"/>
      <c r="E365" s="95"/>
      <c r="F365" s="96"/>
      <c r="G365" s="95"/>
      <c r="H365" s="95"/>
      <c r="I365" s="95"/>
      <c r="J365" s="96"/>
      <c r="K365" s="95"/>
      <c r="L365" s="431"/>
      <c r="M365" s="95"/>
      <c r="N365" s="96"/>
      <c r="O365" s="95"/>
      <c r="P365" s="95"/>
      <c r="Q365" s="95"/>
      <c r="R365" s="96"/>
      <c r="S365" s="95"/>
      <c r="T365" s="95"/>
      <c r="U365" s="95"/>
      <c r="V365" s="96"/>
      <c r="W365" s="97"/>
      <c r="X365" s="97"/>
      <c r="Y365" s="97"/>
      <c r="Z365" s="96"/>
      <c r="AA365" s="97"/>
      <c r="AB365" s="97"/>
      <c r="AC365" s="97"/>
      <c r="AD365" s="97"/>
      <c r="AE365" s="97"/>
      <c r="AF365" s="80">
        <f>SUM(D365:AD365)</f>
        <v>0</v>
      </c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</row>
    <row r="366" spans="1:55" s="2" customFormat="1" ht="14.25" thickTop="1">
      <c r="A366"/>
      <c r="B366" s="1518" t="s">
        <v>18</v>
      </c>
      <c r="C366" s="1528" t="s">
        <v>571</v>
      </c>
      <c r="D366" s="1524">
        <v>45446</v>
      </c>
      <c r="E366" s="1524"/>
      <c r="F366" s="1524"/>
      <c r="G366" s="22"/>
      <c r="H366" s="1524">
        <f>D366+1</f>
        <v>45447</v>
      </c>
      <c r="I366" s="1524"/>
      <c r="J366" s="1524"/>
      <c r="K366" s="22"/>
      <c r="L366" s="1524">
        <f>H366+1</f>
        <v>45448</v>
      </c>
      <c r="M366" s="1524"/>
      <c r="N366" s="1524"/>
      <c r="O366" s="3"/>
      <c r="P366" s="1524">
        <f>L366+1</f>
        <v>45449</v>
      </c>
      <c r="Q366" s="1524"/>
      <c r="R366" s="1524"/>
      <c r="S366" s="3"/>
      <c r="T366" s="1524">
        <f>P366+1</f>
        <v>45450</v>
      </c>
      <c r="U366" s="1524"/>
      <c r="V366" s="1524"/>
      <c r="W366" s="22"/>
      <c r="X366" s="1524">
        <f>T366+1</f>
        <v>45451</v>
      </c>
      <c r="Y366" s="1524"/>
      <c r="Z366" s="1524"/>
      <c r="AA366" s="3"/>
      <c r="AB366" s="1524">
        <f>X366+1</f>
        <v>45452</v>
      </c>
      <c r="AC366" s="1524"/>
      <c r="AD366" s="1524"/>
      <c r="AE366" s="22"/>
      <c r="AF366" s="1517" t="s">
        <v>19</v>
      </c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</row>
    <row r="367" spans="1:55" s="2" customFormat="1">
      <c r="A367"/>
      <c r="B367" s="1518"/>
      <c r="C367" s="1528"/>
      <c r="D367" s="21" t="s">
        <v>23</v>
      </c>
      <c r="E367" s="21" t="s">
        <v>24</v>
      </c>
      <c r="F367" s="62" t="s">
        <v>25</v>
      </c>
      <c r="G367" s="23"/>
      <c r="H367" s="21" t="s">
        <v>23</v>
      </c>
      <c r="I367" s="21" t="s">
        <v>24</v>
      </c>
      <c r="J367" s="18" t="s">
        <v>25</v>
      </c>
      <c r="K367" s="23"/>
      <c r="L367" s="21" t="s">
        <v>23</v>
      </c>
      <c r="M367" s="21" t="s">
        <v>24</v>
      </c>
      <c r="N367" s="18" t="s">
        <v>25</v>
      </c>
      <c r="O367" s="23"/>
      <c r="P367" s="21" t="s">
        <v>23</v>
      </c>
      <c r="Q367" s="21" t="s">
        <v>24</v>
      </c>
      <c r="R367" s="18" t="s">
        <v>25</v>
      </c>
      <c r="S367" s="23"/>
      <c r="T367" s="21" t="s">
        <v>23</v>
      </c>
      <c r="U367" s="21" t="s">
        <v>24</v>
      </c>
      <c r="V367" s="18" t="s">
        <v>25</v>
      </c>
      <c r="W367" s="23"/>
      <c r="X367" s="21" t="s">
        <v>23</v>
      </c>
      <c r="Y367" s="21" t="s">
        <v>24</v>
      </c>
      <c r="Z367" s="18" t="s">
        <v>25</v>
      </c>
      <c r="AA367" s="23"/>
      <c r="AB367" s="21" t="s">
        <v>23</v>
      </c>
      <c r="AC367" s="21" t="s">
        <v>24</v>
      </c>
      <c r="AD367" s="18" t="s">
        <v>25</v>
      </c>
      <c r="AE367" s="23"/>
      <c r="AF367" s="1517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</row>
    <row r="368" spans="1:55" s="2" customFormat="1" ht="27">
      <c r="A368"/>
      <c r="B368" s="546" t="s">
        <v>54</v>
      </c>
      <c r="C368" s="547" t="s">
        <v>790</v>
      </c>
      <c r="D368" s="548">
        <v>0.39583333333333331</v>
      </c>
      <c r="E368" s="548">
        <v>0.72916666666666663</v>
      </c>
      <c r="F368" s="549">
        <f t="shared" ref="F368:F372" si="252">(E368-D368)*24</f>
        <v>8</v>
      </c>
      <c r="G368" s="550"/>
      <c r="H368" s="548">
        <v>0.39583333333333331</v>
      </c>
      <c r="I368" s="548">
        <v>0.72916666666666663</v>
      </c>
      <c r="J368" s="551">
        <f t="shared" ref="J368:J372" si="253">(I368-H368)*24</f>
        <v>8</v>
      </c>
      <c r="K368" s="550"/>
      <c r="L368" s="552">
        <v>0.39583333333333331</v>
      </c>
      <c r="M368" s="548">
        <v>0.70833333333333337</v>
      </c>
      <c r="N368" s="551">
        <f t="shared" ref="N368:N372" si="254">(M368-L368)*24</f>
        <v>7.5000000000000018</v>
      </c>
      <c r="O368" s="550"/>
      <c r="P368" s="548">
        <v>0.41666666666666669</v>
      </c>
      <c r="Q368" s="548">
        <v>0.70833333333333337</v>
      </c>
      <c r="R368" s="551">
        <f t="shared" ref="R368:R372" si="255">(Q368-P368)*24</f>
        <v>7</v>
      </c>
      <c r="S368" s="550"/>
      <c r="T368" s="548"/>
      <c r="U368" s="548"/>
      <c r="V368" s="551">
        <f t="shared" ref="V368:V372" si="256">(U368-T368)*24</f>
        <v>0</v>
      </c>
      <c r="W368" s="550"/>
      <c r="X368" s="548"/>
      <c r="Y368" s="548"/>
      <c r="Z368" s="551">
        <f t="shared" ref="Z368:Z372" si="257">(Y368-X368)*24</f>
        <v>0</v>
      </c>
      <c r="AA368" s="550"/>
      <c r="AB368" s="548"/>
      <c r="AC368" s="548"/>
      <c r="AD368" s="551">
        <f t="shared" ref="AD368:AD372" si="258">(AC368-AB368)*24</f>
        <v>0</v>
      </c>
      <c r="AE368" s="24"/>
      <c r="AF368" s="29">
        <f t="shared" ref="AF368:AF380" si="259">J368+F368+N368+R368+V368+Z368+AD368</f>
        <v>30.5</v>
      </c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</row>
    <row r="369" spans="1:55" s="2" customFormat="1" ht="27">
      <c r="A369"/>
      <c r="B369" s="546" t="s">
        <v>374</v>
      </c>
      <c r="C369" s="547" t="s">
        <v>790</v>
      </c>
      <c r="D369" s="548">
        <v>0.375</v>
      </c>
      <c r="E369" s="548">
        <v>0.72916666666666663</v>
      </c>
      <c r="F369" s="549">
        <f t="shared" si="252"/>
        <v>8.5</v>
      </c>
      <c r="G369" s="550"/>
      <c r="H369" s="548">
        <v>0.41666666666666669</v>
      </c>
      <c r="I369" s="548">
        <v>0.70833333333333337</v>
      </c>
      <c r="J369" s="551">
        <f t="shared" si="253"/>
        <v>7</v>
      </c>
      <c r="K369" s="550"/>
      <c r="L369" s="552">
        <v>0.41666666666666669</v>
      </c>
      <c r="M369" s="548">
        <v>0.70833333333333337</v>
      </c>
      <c r="N369" s="551">
        <f t="shared" si="254"/>
        <v>7</v>
      </c>
      <c r="O369" s="550"/>
      <c r="P369" s="548">
        <v>0.41666666666666669</v>
      </c>
      <c r="Q369" s="548">
        <v>0.70833333333333337</v>
      </c>
      <c r="R369" s="551">
        <f t="shared" si="255"/>
        <v>7</v>
      </c>
      <c r="S369" s="550"/>
      <c r="T369" s="548"/>
      <c r="U369" s="548"/>
      <c r="V369" s="551">
        <f t="shared" si="256"/>
        <v>0</v>
      </c>
      <c r="W369" s="550"/>
      <c r="X369" s="548"/>
      <c r="Y369" s="548"/>
      <c r="Z369" s="551">
        <f t="shared" si="257"/>
        <v>0</v>
      </c>
      <c r="AA369" s="550"/>
      <c r="AB369" s="548"/>
      <c r="AC369" s="548"/>
      <c r="AD369" s="551">
        <f t="shared" si="258"/>
        <v>0</v>
      </c>
      <c r="AE369" s="24"/>
      <c r="AF369" s="29">
        <f t="shared" si="259"/>
        <v>29.5</v>
      </c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</row>
    <row r="370" spans="1:55" s="2" customFormat="1" ht="27">
      <c r="A370"/>
      <c r="B370" s="546" t="s">
        <v>572</v>
      </c>
      <c r="C370" s="547" t="s">
        <v>790</v>
      </c>
      <c r="D370" s="548">
        <v>0.375</v>
      </c>
      <c r="E370" s="548">
        <v>0.72916666666666663</v>
      </c>
      <c r="F370" s="549">
        <f t="shared" si="252"/>
        <v>8.5</v>
      </c>
      <c r="G370" s="550"/>
      <c r="H370" s="548">
        <v>0.375</v>
      </c>
      <c r="I370" s="548">
        <v>0.75</v>
      </c>
      <c r="J370" s="551">
        <f t="shared" si="253"/>
        <v>9</v>
      </c>
      <c r="K370" s="550"/>
      <c r="L370" s="552">
        <v>0.375</v>
      </c>
      <c r="M370" s="548">
        <v>0.70833333333333337</v>
      </c>
      <c r="N370" s="551">
        <f t="shared" si="254"/>
        <v>8</v>
      </c>
      <c r="O370" s="550"/>
      <c r="P370" s="548">
        <v>0.375</v>
      </c>
      <c r="Q370" s="548">
        <v>0.70833333333333337</v>
      </c>
      <c r="R370" s="551">
        <f t="shared" si="255"/>
        <v>8</v>
      </c>
      <c r="S370" s="550"/>
      <c r="T370" s="548"/>
      <c r="U370" s="548"/>
      <c r="V370" s="551">
        <f t="shared" si="256"/>
        <v>0</v>
      </c>
      <c r="W370" s="550"/>
      <c r="X370" s="548"/>
      <c r="Y370" s="548"/>
      <c r="Z370" s="551">
        <f t="shared" si="257"/>
        <v>0</v>
      </c>
      <c r="AA370" s="550"/>
      <c r="AB370" s="548"/>
      <c r="AC370" s="548"/>
      <c r="AD370" s="551">
        <f t="shared" si="258"/>
        <v>0</v>
      </c>
      <c r="AE370" s="24"/>
      <c r="AF370" s="29">
        <f t="shared" si="259"/>
        <v>33.5</v>
      </c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</row>
    <row r="371" spans="1:55" s="2" customFormat="1" ht="27">
      <c r="A371"/>
      <c r="B371" s="553" t="s">
        <v>714</v>
      </c>
      <c r="C371" s="547" t="s">
        <v>798</v>
      </c>
      <c r="D371" s="548"/>
      <c r="E371" s="548"/>
      <c r="F371" s="549">
        <f>(E371-D371)*24</f>
        <v>0</v>
      </c>
      <c r="G371" s="550"/>
      <c r="H371" s="548">
        <v>0.45833333333333331</v>
      </c>
      <c r="I371" s="548">
        <v>0.61458333333333337</v>
      </c>
      <c r="J371" s="551">
        <f>(I371-H371)*24</f>
        <v>3.7500000000000013</v>
      </c>
      <c r="K371" s="550"/>
      <c r="L371" s="552"/>
      <c r="M371" s="548"/>
      <c r="N371" s="551">
        <f>(M371-L371)*24</f>
        <v>0</v>
      </c>
      <c r="O371" s="550"/>
      <c r="P371" s="548"/>
      <c r="Q371" s="548"/>
      <c r="R371" s="551">
        <f>(Q371-P371)*24</f>
        <v>0</v>
      </c>
      <c r="S371" s="550"/>
      <c r="T371" s="548"/>
      <c r="U371" s="548"/>
      <c r="V371" s="551">
        <f>(U371-T371)*24</f>
        <v>0</v>
      </c>
      <c r="W371" s="550"/>
      <c r="X371" s="548"/>
      <c r="Y371" s="548"/>
      <c r="Z371" s="551">
        <f>(Y371-X371)*24</f>
        <v>0</v>
      </c>
      <c r="AA371" s="550"/>
      <c r="AB371" s="548"/>
      <c r="AC371" s="548"/>
      <c r="AD371" s="551">
        <f>(AC371-AB371)*24</f>
        <v>0</v>
      </c>
      <c r="AE371" s="24"/>
      <c r="AF371" s="29">
        <f>J371+F371+N371+R371+V371+Z371+AD371</f>
        <v>3.7500000000000013</v>
      </c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</row>
    <row r="372" spans="1:55" s="2" customFormat="1" ht="13.5" customHeight="1">
      <c r="A372"/>
      <c r="B372" s="546" t="s">
        <v>576</v>
      </c>
      <c r="C372" s="547" t="s">
        <v>799</v>
      </c>
      <c r="D372" s="548"/>
      <c r="E372" s="548"/>
      <c r="F372" s="549">
        <f t="shared" si="252"/>
        <v>0</v>
      </c>
      <c r="G372" s="550"/>
      <c r="H372" s="548">
        <v>0.375</v>
      </c>
      <c r="I372" s="548">
        <v>0.6875</v>
      </c>
      <c r="J372" s="551">
        <f t="shared" si="253"/>
        <v>7.5</v>
      </c>
      <c r="K372" s="550"/>
      <c r="L372" s="552"/>
      <c r="M372" s="548"/>
      <c r="N372" s="551">
        <f t="shared" si="254"/>
        <v>0</v>
      </c>
      <c r="O372" s="550"/>
      <c r="P372" s="548"/>
      <c r="Q372" s="548"/>
      <c r="R372" s="551">
        <f t="shared" si="255"/>
        <v>0</v>
      </c>
      <c r="S372" s="550"/>
      <c r="T372" s="548"/>
      <c r="U372" s="548"/>
      <c r="V372" s="551">
        <f t="shared" si="256"/>
        <v>0</v>
      </c>
      <c r="W372" s="550"/>
      <c r="X372" s="548"/>
      <c r="Y372" s="548"/>
      <c r="Z372" s="551">
        <f t="shared" si="257"/>
        <v>0</v>
      </c>
      <c r="AA372" s="550"/>
      <c r="AB372" s="548"/>
      <c r="AC372" s="548"/>
      <c r="AD372" s="551">
        <f t="shared" si="258"/>
        <v>0</v>
      </c>
      <c r="AE372" s="24"/>
      <c r="AF372" s="29">
        <f t="shared" si="259"/>
        <v>7.5</v>
      </c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</row>
    <row r="373" spans="1:55" s="2" customFormat="1" ht="27">
      <c r="A373"/>
      <c r="B373" s="546" t="s">
        <v>653</v>
      </c>
      <c r="C373" s="547" t="s">
        <v>800</v>
      </c>
      <c r="D373" s="548"/>
      <c r="E373" s="548"/>
      <c r="F373" s="549">
        <f t="shared" ref="F373:F378" si="260">(E373-D373)*24</f>
        <v>0</v>
      </c>
      <c r="G373" s="550"/>
      <c r="H373" s="548">
        <v>0.70833333333333337</v>
      </c>
      <c r="I373" s="548">
        <v>0.97916666666666663</v>
      </c>
      <c r="J373" s="551">
        <f t="shared" ref="J373:J378" si="261">(I373-H373)*24</f>
        <v>6.4999999999999982</v>
      </c>
      <c r="K373" s="550"/>
      <c r="L373" s="552"/>
      <c r="M373" s="548"/>
      <c r="N373" s="551">
        <f>(M373-L373)*24</f>
        <v>0</v>
      </c>
      <c r="O373" s="550"/>
      <c r="P373" s="548"/>
      <c r="Q373" s="548"/>
      <c r="R373" s="551">
        <f>(Q373-P373)*24</f>
        <v>0</v>
      </c>
      <c r="S373" s="550"/>
      <c r="T373" s="548"/>
      <c r="U373" s="548"/>
      <c r="V373" s="551">
        <f t="shared" ref="V373:V378" si="262">(U373-T373)*24</f>
        <v>0</v>
      </c>
      <c r="W373" s="550"/>
      <c r="X373" s="548"/>
      <c r="Y373" s="548"/>
      <c r="Z373" s="551">
        <f>(Y373-X373)*24</f>
        <v>0</v>
      </c>
      <c r="AA373" s="550"/>
      <c r="AB373" s="548"/>
      <c r="AC373" s="548"/>
      <c r="AD373" s="551">
        <f>(AC373-AB373)*24</f>
        <v>0</v>
      </c>
      <c r="AE373" s="24"/>
      <c r="AF373" s="29">
        <f>J373+F373+N373+R373+V373+Z373+AD373</f>
        <v>6.4999999999999982</v>
      </c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</row>
    <row r="374" spans="1:55" s="2" customFormat="1" ht="13.5" customHeight="1">
      <c r="A374"/>
      <c r="B374" s="553" t="s">
        <v>714</v>
      </c>
      <c r="C374" s="547" t="s">
        <v>801</v>
      </c>
      <c r="D374" s="548"/>
      <c r="E374" s="548"/>
      <c r="F374" s="549">
        <f t="shared" si="260"/>
        <v>0</v>
      </c>
      <c r="G374" s="550"/>
      <c r="H374" s="548"/>
      <c r="I374" s="548"/>
      <c r="J374" s="551">
        <f t="shared" si="261"/>
        <v>0</v>
      </c>
      <c r="K374" s="550"/>
      <c r="L374" s="552"/>
      <c r="M374" s="548"/>
      <c r="N374" s="551">
        <f>(M374-L374)*24</f>
        <v>0</v>
      </c>
      <c r="O374" s="550"/>
      <c r="P374" s="548">
        <v>0.375</v>
      </c>
      <c r="Q374" s="548">
        <v>0.625</v>
      </c>
      <c r="R374" s="551">
        <f>(Q374-P374)*24</f>
        <v>6</v>
      </c>
      <c r="S374" s="550"/>
      <c r="T374" s="548"/>
      <c r="U374" s="548"/>
      <c r="V374" s="551">
        <f t="shared" si="262"/>
        <v>0</v>
      </c>
      <c r="W374" s="550"/>
      <c r="X374" s="548"/>
      <c r="Y374" s="548"/>
      <c r="Z374" s="551">
        <f>(Y374-X374)*24</f>
        <v>0</v>
      </c>
      <c r="AA374" s="550"/>
      <c r="AB374" s="548"/>
      <c r="AC374" s="548"/>
      <c r="AD374" s="551">
        <f>(AC374-AB374)*24</f>
        <v>0</v>
      </c>
      <c r="AE374" s="24"/>
      <c r="AF374" s="29">
        <f>J374+F374+N374+R374+V374+Z374+AD374</f>
        <v>6</v>
      </c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</row>
    <row r="375" spans="1:55" s="2" customFormat="1" ht="13.5" customHeight="1">
      <c r="A375"/>
      <c r="B375" s="546" t="s">
        <v>576</v>
      </c>
      <c r="C375" s="547" t="s">
        <v>801</v>
      </c>
      <c r="D375" s="548"/>
      <c r="E375" s="548"/>
      <c r="F375" s="549">
        <f t="shared" si="260"/>
        <v>0</v>
      </c>
      <c r="G375" s="550"/>
      <c r="H375" s="548"/>
      <c r="I375" s="548"/>
      <c r="J375" s="551">
        <f t="shared" si="261"/>
        <v>0</v>
      </c>
      <c r="K375" s="550"/>
      <c r="L375" s="552"/>
      <c r="M375" s="548"/>
      <c r="N375" s="551">
        <f>(M375-L375)*24</f>
        <v>0</v>
      </c>
      <c r="O375" s="550"/>
      <c r="P375" s="548">
        <v>0.45833333333333331</v>
      </c>
      <c r="Q375" s="548">
        <v>0.625</v>
      </c>
      <c r="R375" s="551">
        <f>(Q375-P375)*24</f>
        <v>4</v>
      </c>
      <c r="S375" s="550"/>
      <c r="T375" s="548"/>
      <c r="U375" s="548"/>
      <c r="V375" s="551">
        <f t="shared" si="262"/>
        <v>0</v>
      </c>
      <c r="W375" s="550"/>
      <c r="X375" s="548"/>
      <c r="Y375" s="548"/>
      <c r="Z375" s="551">
        <f>(Y375-X375)*24</f>
        <v>0</v>
      </c>
      <c r="AA375" s="550"/>
      <c r="AB375" s="548"/>
      <c r="AC375" s="548"/>
      <c r="AD375" s="551">
        <f>(AC375-AB375)*24</f>
        <v>0</v>
      </c>
      <c r="AE375" s="24"/>
      <c r="AF375" s="29">
        <f>J375+F375+N375+R375+V375+Z375+AD375</f>
        <v>4</v>
      </c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</row>
    <row r="376" spans="1:55" s="2" customFormat="1" ht="18.75" customHeight="1">
      <c r="A376"/>
      <c r="B376" s="553" t="s">
        <v>603</v>
      </c>
      <c r="C376" s="547" t="s">
        <v>802</v>
      </c>
      <c r="D376" s="548"/>
      <c r="E376" s="548"/>
      <c r="F376" s="549">
        <f t="shared" si="260"/>
        <v>0</v>
      </c>
      <c r="G376" s="550"/>
      <c r="H376" s="548"/>
      <c r="I376" s="548"/>
      <c r="J376" s="551">
        <f t="shared" si="261"/>
        <v>0</v>
      </c>
      <c r="K376" s="550"/>
      <c r="L376" s="552"/>
      <c r="M376" s="548"/>
      <c r="N376" s="551">
        <f>(M376-L376)*24</f>
        <v>0</v>
      </c>
      <c r="O376" s="550"/>
      <c r="P376" s="548">
        <v>0.75</v>
      </c>
      <c r="Q376" s="548">
        <v>0.77083333333333337</v>
      </c>
      <c r="R376" s="551">
        <f>(Q376-P376)*24</f>
        <v>0.50000000000000089</v>
      </c>
      <c r="S376" s="550"/>
      <c r="T376" s="548">
        <v>0.75</v>
      </c>
      <c r="U376" s="548">
        <v>0.79166666666666663</v>
      </c>
      <c r="V376" s="551">
        <f t="shared" si="262"/>
        <v>0.99999999999999911</v>
      </c>
      <c r="W376" s="550"/>
      <c r="X376" s="548"/>
      <c r="Y376" s="548"/>
      <c r="Z376" s="551">
        <f>(Y376-X376)*24</f>
        <v>0</v>
      </c>
      <c r="AA376" s="550"/>
      <c r="AB376" s="548"/>
      <c r="AC376" s="548"/>
      <c r="AD376" s="551">
        <f>(AC376-AB376)*24</f>
        <v>0</v>
      </c>
      <c r="AE376" s="24"/>
      <c r="AF376" s="29">
        <f>J376+F376+N376+R376+V376+Z376+AD376</f>
        <v>1.5</v>
      </c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</row>
    <row r="377" spans="1:55" s="2" customFormat="1" ht="20.25" customHeight="1">
      <c r="A377"/>
      <c r="B377" s="546" t="s">
        <v>653</v>
      </c>
      <c r="C377" s="547" t="s">
        <v>803</v>
      </c>
      <c r="D377" s="548"/>
      <c r="E377" s="548"/>
      <c r="F377" s="549">
        <f t="shared" si="260"/>
        <v>0</v>
      </c>
      <c r="G377" s="550"/>
      <c r="H377" s="548"/>
      <c r="I377" s="548"/>
      <c r="J377" s="551">
        <f t="shared" si="261"/>
        <v>0</v>
      </c>
      <c r="K377" s="550"/>
      <c r="L377" s="552"/>
      <c r="M377" s="548"/>
      <c r="N377" s="551"/>
      <c r="O377" s="550"/>
      <c r="P377" s="548"/>
      <c r="Q377" s="548"/>
      <c r="R377" s="551"/>
      <c r="S377" s="550"/>
      <c r="T377" s="548">
        <v>0.39583333333333331</v>
      </c>
      <c r="U377" s="548">
        <v>0.875</v>
      </c>
      <c r="V377" s="551">
        <f t="shared" si="262"/>
        <v>11.5</v>
      </c>
      <c r="W377" s="550"/>
      <c r="X377" s="548"/>
      <c r="Y377" s="548"/>
      <c r="Z377" s="551"/>
      <c r="AA377" s="550"/>
      <c r="AB377" s="548"/>
      <c r="AC377" s="548"/>
      <c r="AD377" s="551"/>
      <c r="AE377" s="24"/>
      <c r="AF377" s="29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</row>
    <row r="378" spans="1:55" s="2" customFormat="1" ht="22.5" customHeight="1">
      <c r="A378"/>
      <c r="B378" s="546" t="s">
        <v>576</v>
      </c>
      <c r="C378" s="547" t="s">
        <v>803</v>
      </c>
      <c r="D378" s="548"/>
      <c r="E378" s="548"/>
      <c r="F378" s="549">
        <f t="shared" si="260"/>
        <v>0</v>
      </c>
      <c r="G378" s="550"/>
      <c r="H378" s="548"/>
      <c r="I378" s="548"/>
      <c r="J378" s="551">
        <f t="shared" si="261"/>
        <v>0</v>
      </c>
      <c r="K378" s="550"/>
      <c r="L378" s="552"/>
      <c r="M378" s="548"/>
      <c r="N378" s="551"/>
      <c r="O378" s="550"/>
      <c r="P378" s="548"/>
      <c r="Q378" s="548"/>
      <c r="R378" s="551"/>
      <c r="S378" s="550"/>
      <c r="T378" s="548">
        <v>0.72916666666666663</v>
      </c>
      <c r="U378" s="548">
        <v>0.875</v>
      </c>
      <c r="V378" s="551">
        <f t="shared" si="262"/>
        <v>3.5000000000000009</v>
      </c>
      <c r="W378" s="550"/>
      <c r="X378" s="548"/>
      <c r="Y378" s="548"/>
      <c r="Z378" s="551"/>
      <c r="AA378" s="550"/>
      <c r="AB378" s="548"/>
      <c r="AC378" s="548"/>
      <c r="AD378" s="551"/>
      <c r="AE378" s="24"/>
      <c r="AF378" s="29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</row>
    <row r="379" spans="1:55" s="2" customFormat="1" ht="13.5" customHeight="1">
      <c r="A379"/>
      <c r="B379" s="553"/>
      <c r="C379" s="547"/>
      <c r="D379" s="548"/>
      <c r="E379" s="548"/>
      <c r="F379" s="549"/>
      <c r="G379" s="550"/>
      <c r="H379" s="548"/>
      <c r="I379" s="548"/>
      <c r="J379" s="551"/>
      <c r="K379" s="550"/>
      <c r="L379" s="552"/>
      <c r="M379" s="548"/>
      <c r="N379" s="551"/>
      <c r="O379" s="550"/>
      <c r="P379" s="548"/>
      <c r="Q379" s="548"/>
      <c r="R379" s="551"/>
      <c r="S379" s="550"/>
      <c r="T379" s="548"/>
      <c r="U379" s="548"/>
      <c r="V379" s="551"/>
      <c r="W379" s="550"/>
      <c r="X379" s="548"/>
      <c r="Y379" s="548"/>
      <c r="Z379" s="551"/>
      <c r="AA379" s="550"/>
      <c r="AB379" s="548"/>
      <c r="AC379" s="548"/>
      <c r="AD379" s="551"/>
      <c r="AE379" s="24"/>
      <c r="AF379" s="29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</row>
    <row r="380" spans="1:55" s="2" customFormat="1" ht="13.5" customHeight="1">
      <c r="A380"/>
      <c r="B380" s="554" t="s">
        <v>61</v>
      </c>
      <c r="C380" s="554"/>
      <c r="D380" s="548"/>
      <c r="E380" s="548"/>
      <c r="F380" s="549">
        <f>SUM(F368:F379)</f>
        <v>25</v>
      </c>
      <c r="G380" s="549">
        <f>SUM(G368:G379)</f>
        <v>0</v>
      </c>
      <c r="H380" s="549"/>
      <c r="I380" s="549"/>
      <c r="J380" s="549">
        <f>SUM(J368:J379)</f>
        <v>41.75</v>
      </c>
      <c r="K380" s="549">
        <f>SUM(K368:K379)</f>
        <v>0</v>
      </c>
      <c r="L380" s="549"/>
      <c r="M380" s="549"/>
      <c r="N380" s="549">
        <f>SUM(N368:N379)</f>
        <v>22.5</v>
      </c>
      <c r="O380" s="549">
        <f>SUM(O368:O379)</f>
        <v>0</v>
      </c>
      <c r="P380" s="549"/>
      <c r="Q380" s="549"/>
      <c r="R380" s="549">
        <f>SUM(R368:R379)</f>
        <v>32.5</v>
      </c>
      <c r="S380" s="549">
        <f>SUM(S368:S379)</f>
        <v>0</v>
      </c>
      <c r="T380" s="549"/>
      <c r="U380" s="549"/>
      <c r="V380" s="549">
        <f>SUM(V368:V379)</f>
        <v>16</v>
      </c>
      <c r="W380" s="549">
        <f>SUM(W368:W379)</f>
        <v>0</v>
      </c>
      <c r="X380" s="549"/>
      <c r="Y380" s="549"/>
      <c r="Z380" s="549">
        <f>SUM(Z368:Z379)</f>
        <v>0</v>
      </c>
      <c r="AA380" s="549">
        <f>SUM(AA368:AA379)</f>
        <v>0</v>
      </c>
      <c r="AB380" s="549"/>
      <c r="AC380" s="549"/>
      <c r="AD380" s="549">
        <f>SUM(AD368:AD379)</f>
        <v>0</v>
      </c>
      <c r="AE380" s="24"/>
      <c r="AF380" s="29">
        <f t="shared" si="259"/>
        <v>137.75</v>
      </c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</row>
    <row r="381" spans="1:55" s="2" customFormat="1">
      <c r="A381"/>
      <c r="B381" s="31" t="s">
        <v>577</v>
      </c>
      <c r="C381" s="31"/>
      <c r="D381" s="91"/>
      <c r="E381" s="91"/>
      <c r="F381" s="90"/>
      <c r="G381" s="91"/>
      <c r="H381" s="91"/>
      <c r="I381" s="91"/>
      <c r="J381" s="90"/>
      <c r="K381" s="91"/>
      <c r="L381" s="430"/>
      <c r="M381" s="91"/>
      <c r="N381" s="90"/>
      <c r="O381" s="91"/>
      <c r="P381" s="91"/>
      <c r="Q381" s="91"/>
      <c r="R381" s="90"/>
      <c r="S381" s="91"/>
      <c r="T381" s="91"/>
      <c r="U381" s="91"/>
      <c r="V381" s="90"/>
      <c r="W381" s="91"/>
      <c r="X381" s="91"/>
      <c r="Y381" s="91"/>
      <c r="Z381" s="90"/>
      <c r="AA381" s="91"/>
      <c r="AB381" s="91"/>
      <c r="AC381" s="91"/>
      <c r="AD381" s="91"/>
      <c r="AE381" s="352"/>
      <c r="AF381" s="28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</row>
    <row r="382" spans="1:55" s="2" customFormat="1">
      <c r="A382"/>
      <c r="B382" s="31" t="s">
        <v>578</v>
      </c>
      <c r="C382" s="31"/>
      <c r="D382" s="91"/>
      <c r="E382" s="91"/>
      <c r="F382" s="90"/>
      <c r="G382" s="91"/>
      <c r="H382" s="91"/>
      <c r="I382" s="91"/>
      <c r="J382" s="90"/>
      <c r="K382" s="91"/>
      <c r="L382" s="430"/>
      <c r="M382" s="91"/>
      <c r="N382" s="90"/>
      <c r="O382" s="91"/>
      <c r="P382" s="91"/>
      <c r="Q382" s="91"/>
      <c r="R382" s="90"/>
      <c r="S382" s="91"/>
      <c r="T382" s="91"/>
      <c r="U382" s="91"/>
      <c r="V382" s="90"/>
      <c r="W382" s="91"/>
      <c r="X382" s="91"/>
      <c r="Y382" s="91"/>
      <c r="Z382" s="90"/>
      <c r="AA382" s="91"/>
      <c r="AB382" s="91"/>
      <c r="AC382" s="91"/>
      <c r="AD382" s="91"/>
      <c r="AE382" s="352"/>
      <c r="AF382" s="28">
        <f>SUM(D382:AD382)</f>
        <v>0</v>
      </c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</row>
    <row r="383" spans="1:55" s="2" customFormat="1" ht="14.25" thickBot="1">
      <c r="A383"/>
      <c r="B383" s="74" t="s">
        <v>579</v>
      </c>
      <c r="C383" s="74"/>
      <c r="D383" s="95"/>
      <c r="E383" s="95"/>
      <c r="F383" s="96"/>
      <c r="G383" s="95"/>
      <c r="H383" s="95"/>
      <c r="I383" s="95"/>
      <c r="J383" s="96"/>
      <c r="K383" s="95"/>
      <c r="L383" s="431"/>
      <c r="M383" s="95"/>
      <c r="N383" s="96"/>
      <c r="O383" s="95"/>
      <c r="P383" s="95"/>
      <c r="Q383" s="95"/>
      <c r="R383" s="96"/>
      <c r="S383" s="95"/>
      <c r="T383" s="95"/>
      <c r="U383" s="95"/>
      <c r="V383" s="96"/>
      <c r="W383" s="97"/>
      <c r="X383" s="97"/>
      <c r="Y383" s="97"/>
      <c r="Z383" s="96"/>
      <c r="AA383" s="97"/>
      <c r="AB383" s="97"/>
      <c r="AC383" s="97"/>
      <c r="AD383" s="97"/>
      <c r="AE383" s="97"/>
      <c r="AF383" s="80">
        <f>SUM(D383:AD383)</f>
        <v>0</v>
      </c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</row>
    <row r="384" spans="1:55" s="2" customFormat="1" ht="14.25" thickTop="1">
      <c r="A384"/>
      <c r="B384" s="1518" t="s">
        <v>18</v>
      </c>
      <c r="C384" s="1528" t="s">
        <v>571</v>
      </c>
      <c r="D384" s="1524">
        <v>45453</v>
      </c>
      <c r="E384" s="1524"/>
      <c r="F384" s="1524"/>
      <c r="G384" s="22"/>
      <c r="H384" s="1524">
        <f>D384+1</f>
        <v>45454</v>
      </c>
      <c r="I384" s="1524"/>
      <c r="J384" s="1524"/>
      <c r="K384" s="22"/>
      <c r="L384" s="1524">
        <f>H384+1</f>
        <v>45455</v>
      </c>
      <c r="M384" s="1524"/>
      <c r="N384" s="1524"/>
      <c r="O384" s="3"/>
      <c r="P384" s="1524">
        <f>L384+1</f>
        <v>45456</v>
      </c>
      <c r="Q384" s="1524"/>
      <c r="R384" s="1524"/>
      <c r="S384" s="3"/>
      <c r="T384" s="1524">
        <f>P384+1</f>
        <v>45457</v>
      </c>
      <c r="U384" s="1524"/>
      <c r="V384" s="1524"/>
      <c r="W384" s="22"/>
      <c r="X384" s="1524">
        <f>T384+1</f>
        <v>45458</v>
      </c>
      <c r="Y384" s="1524"/>
      <c r="Z384" s="1524"/>
      <c r="AA384" s="3"/>
      <c r="AB384" s="1524">
        <f>X384+1</f>
        <v>45459</v>
      </c>
      <c r="AC384" s="1524"/>
      <c r="AD384" s="1524"/>
      <c r="AE384" s="22"/>
      <c r="AF384" s="1517" t="s">
        <v>19</v>
      </c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</row>
    <row r="385" spans="1:55" s="2" customFormat="1">
      <c r="A385"/>
      <c r="B385" s="1518"/>
      <c r="C385" s="1528"/>
      <c r="D385" s="21" t="s">
        <v>23</v>
      </c>
      <c r="E385" s="21" t="s">
        <v>24</v>
      </c>
      <c r="F385" s="62" t="s">
        <v>25</v>
      </c>
      <c r="G385" s="23"/>
      <c r="H385" s="21" t="s">
        <v>23</v>
      </c>
      <c r="I385" s="21" t="s">
        <v>24</v>
      </c>
      <c r="J385" s="18" t="s">
        <v>25</v>
      </c>
      <c r="K385" s="23"/>
      <c r="L385" s="21" t="s">
        <v>23</v>
      </c>
      <c r="M385" s="21" t="s">
        <v>24</v>
      </c>
      <c r="N385" s="18" t="s">
        <v>25</v>
      </c>
      <c r="O385" s="23"/>
      <c r="P385" s="21" t="s">
        <v>23</v>
      </c>
      <c r="Q385" s="21" t="s">
        <v>24</v>
      </c>
      <c r="R385" s="18" t="s">
        <v>25</v>
      </c>
      <c r="S385" s="23"/>
      <c r="T385" s="21" t="s">
        <v>23</v>
      </c>
      <c r="U385" s="21" t="s">
        <v>24</v>
      </c>
      <c r="V385" s="18" t="s">
        <v>25</v>
      </c>
      <c r="W385" s="23"/>
      <c r="X385" s="21" t="s">
        <v>23</v>
      </c>
      <c r="Y385" s="21" t="s">
        <v>24</v>
      </c>
      <c r="Z385" s="18" t="s">
        <v>25</v>
      </c>
      <c r="AA385" s="23"/>
      <c r="AB385" s="21" t="s">
        <v>23</v>
      </c>
      <c r="AC385" s="21" t="s">
        <v>24</v>
      </c>
      <c r="AD385" s="18" t="s">
        <v>25</v>
      </c>
      <c r="AE385" s="23"/>
      <c r="AF385" s="1517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</row>
    <row r="386" spans="1:55" s="2" customFormat="1" ht="40.5">
      <c r="A386"/>
      <c r="B386" s="546" t="s">
        <v>576</v>
      </c>
      <c r="C386" s="547" t="s">
        <v>794</v>
      </c>
      <c r="D386" s="548"/>
      <c r="E386" s="548"/>
      <c r="F386" s="549">
        <f t="shared" ref="F386:F388" si="263">(E386-D386)*24</f>
        <v>0</v>
      </c>
      <c r="G386" s="550"/>
      <c r="H386" s="548">
        <v>0.375</v>
      </c>
      <c r="I386" s="548">
        <v>0.65277777777777779</v>
      </c>
      <c r="J386" s="551">
        <f t="shared" ref="J386:J388" si="264">(I386-H386)*24</f>
        <v>6.666666666666667</v>
      </c>
      <c r="K386" s="550"/>
      <c r="L386" s="552"/>
      <c r="M386" s="548"/>
      <c r="N386" s="551">
        <f t="shared" ref="N386:N388" si="265">(M386-L386)*24</f>
        <v>0</v>
      </c>
      <c r="O386" s="550"/>
      <c r="P386" s="548"/>
      <c r="Q386" s="548"/>
      <c r="R386" s="551">
        <f t="shared" ref="R386:R388" si="266">(Q386-P386)*24</f>
        <v>0</v>
      </c>
      <c r="S386" s="550"/>
      <c r="T386" s="548"/>
      <c r="U386" s="548"/>
      <c r="V386" s="551">
        <f t="shared" ref="V386:V388" si="267">(U386-T386)*24</f>
        <v>0</v>
      </c>
      <c r="W386" s="550"/>
      <c r="X386" s="548"/>
      <c r="Y386" s="548"/>
      <c r="Z386" s="551">
        <f t="shared" ref="Z386:Z388" si="268">(Y386-X386)*24</f>
        <v>0</v>
      </c>
      <c r="AA386" s="550"/>
      <c r="AB386" s="548"/>
      <c r="AC386" s="548"/>
      <c r="AD386" s="551">
        <f t="shared" ref="AD386:AD388" si="269">(AC386-AB386)*24</f>
        <v>0</v>
      </c>
      <c r="AE386" s="24"/>
      <c r="AF386" s="29">
        <f t="shared" ref="AF386:AF397" si="270">J386+F386+N386+R386+V386+Z386+AD386</f>
        <v>6.666666666666667</v>
      </c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</row>
    <row r="387" spans="1:55" s="2" customFormat="1" ht="14.25">
      <c r="A387"/>
      <c r="B387" s="546"/>
      <c r="C387" s="547"/>
      <c r="D387" s="548"/>
      <c r="E387" s="548"/>
      <c r="F387" s="549">
        <f t="shared" si="263"/>
        <v>0</v>
      </c>
      <c r="G387" s="550"/>
      <c r="H387" s="548"/>
      <c r="I387" s="548"/>
      <c r="J387" s="551">
        <f t="shared" si="264"/>
        <v>0</v>
      </c>
      <c r="K387" s="550"/>
      <c r="L387" s="552"/>
      <c r="M387" s="548"/>
      <c r="N387" s="551">
        <f t="shared" si="265"/>
        <v>0</v>
      </c>
      <c r="O387" s="550"/>
      <c r="P387" s="548"/>
      <c r="Q387" s="548"/>
      <c r="R387" s="551">
        <f t="shared" si="266"/>
        <v>0</v>
      </c>
      <c r="S387" s="550"/>
      <c r="T387" s="548"/>
      <c r="U387" s="548"/>
      <c r="V387" s="551">
        <f t="shared" si="267"/>
        <v>0</v>
      </c>
      <c r="W387" s="550"/>
      <c r="X387" s="548"/>
      <c r="Y387" s="548"/>
      <c r="Z387" s="551">
        <f t="shared" si="268"/>
        <v>0</v>
      </c>
      <c r="AA387" s="550"/>
      <c r="AB387" s="548"/>
      <c r="AC387" s="548"/>
      <c r="AD387" s="551">
        <f t="shared" si="269"/>
        <v>0</v>
      </c>
      <c r="AE387" s="24"/>
      <c r="AF387" s="29">
        <f t="shared" si="270"/>
        <v>0</v>
      </c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</row>
    <row r="388" spans="1:55" s="2" customFormat="1" ht="27">
      <c r="A388"/>
      <c r="B388" s="553" t="s">
        <v>582</v>
      </c>
      <c r="C388" s="547" t="s">
        <v>804</v>
      </c>
      <c r="D388" s="548"/>
      <c r="E388" s="548"/>
      <c r="F388" s="549">
        <f t="shared" si="263"/>
        <v>0</v>
      </c>
      <c r="G388" s="550"/>
      <c r="H388" s="548">
        <v>0.375</v>
      </c>
      <c r="I388" s="548">
        <v>0.66666666666666663</v>
      </c>
      <c r="J388" s="551">
        <f t="shared" si="264"/>
        <v>6.9999999999999991</v>
      </c>
      <c r="K388" s="550"/>
      <c r="L388" s="552"/>
      <c r="M388" s="548"/>
      <c r="N388" s="551">
        <f t="shared" si="265"/>
        <v>0</v>
      </c>
      <c r="O388" s="550"/>
      <c r="P388" s="548"/>
      <c r="Q388" s="548"/>
      <c r="R388" s="551">
        <f t="shared" si="266"/>
        <v>0</v>
      </c>
      <c r="S388" s="550"/>
      <c r="T388" s="548"/>
      <c r="U388" s="548"/>
      <c r="V388" s="551">
        <f t="shared" si="267"/>
        <v>0</v>
      </c>
      <c r="W388" s="550"/>
      <c r="X388" s="548"/>
      <c r="Y388" s="548"/>
      <c r="Z388" s="551">
        <f t="shared" si="268"/>
        <v>0</v>
      </c>
      <c r="AA388" s="550"/>
      <c r="AB388" s="548"/>
      <c r="AC388" s="548"/>
      <c r="AD388" s="551">
        <f t="shared" si="269"/>
        <v>0</v>
      </c>
      <c r="AE388" s="24"/>
      <c r="AF388" s="29">
        <f t="shared" si="270"/>
        <v>6.9999999999999991</v>
      </c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</row>
    <row r="389" spans="1:55" s="2" customFormat="1" ht="27">
      <c r="A389"/>
      <c r="B389" s="546" t="s">
        <v>54</v>
      </c>
      <c r="C389" s="547" t="s">
        <v>805</v>
      </c>
      <c r="D389" s="548"/>
      <c r="E389" s="548"/>
      <c r="F389" s="549">
        <f>(E389-D389)*24</f>
        <v>0</v>
      </c>
      <c r="G389" s="550"/>
      <c r="H389" s="548">
        <v>0.375</v>
      </c>
      <c r="I389" s="548">
        <v>0.66666666666666663</v>
      </c>
      <c r="J389" s="551">
        <f>(I389-H389)*24</f>
        <v>6.9999999999999991</v>
      </c>
      <c r="K389" s="550"/>
      <c r="L389" s="552"/>
      <c r="M389" s="548"/>
      <c r="N389" s="551">
        <f>(M389-L389)*24</f>
        <v>0</v>
      </c>
      <c r="O389" s="550"/>
      <c r="P389" s="548"/>
      <c r="Q389" s="548"/>
      <c r="R389" s="551">
        <f>(Q389-P389)*24</f>
        <v>0</v>
      </c>
      <c r="S389" s="550"/>
      <c r="T389" s="548"/>
      <c r="U389" s="548"/>
      <c r="V389" s="551">
        <f>(U389-T389)*24</f>
        <v>0</v>
      </c>
      <c r="W389" s="550"/>
      <c r="X389" s="548"/>
      <c r="Y389" s="548"/>
      <c r="Z389" s="551">
        <f>(Y389-X389)*24</f>
        <v>0</v>
      </c>
      <c r="AA389" s="550"/>
      <c r="AB389" s="548"/>
      <c r="AC389" s="548"/>
      <c r="AD389" s="551">
        <f>(AC389-AB389)*24</f>
        <v>0</v>
      </c>
      <c r="AE389" s="24"/>
      <c r="AF389" s="29">
        <f>J389+F389+N389+R389+V389+Z389+AD389</f>
        <v>6.9999999999999991</v>
      </c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</row>
    <row r="390" spans="1:55" s="2" customFormat="1" ht="21.75" customHeight="1">
      <c r="A390"/>
      <c r="B390" s="546" t="s">
        <v>572</v>
      </c>
      <c r="C390" s="547" t="s">
        <v>806</v>
      </c>
      <c r="D390" s="548"/>
      <c r="E390" s="548"/>
      <c r="F390" s="549">
        <f t="shared" ref="F390:F391" si="271">(E390-D390)*24</f>
        <v>0</v>
      </c>
      <c r="G390" s="550"/>
      <c r="H390" s="548"/>
      <c r="I390" s="548"/>
      <c r="J390" s="551">
        <f t="shared" ref="J390:J391" si="272">(I390-H390)*24</f>
        <v>0</v>
      </c>
      <c r="K390" s="550"/>
      <c r="L390" s="552">
        <v>0.5</v>
      </c>
      <c r="M390" s="548">
        <v>0.83333333333333337</v>
      </c>
      <c r="N390" s="551">
        <f t="shared" ref="N390:N391" si="273">(M390-L390)*24</f>
        <v>8</v>
      </c>
      <c r="O390" s="550"/>
      <c r="P390" s="548">
        <v>0.35416666666666669</v>
      </c>
      <c r="Q390" s="548">
        <v>0.66666666666666663</v>
      </c>
      <c r="R390" s="551">
        <f t="shared" ref="R390:R391" si="274">(Q390-P390)*24</f>
        <v>7.4999999999999982</v>
      </c>
      <c r="S390" s="550"/>
      <c r="T390" s="548"/>
      <c r="U390" s="548"/>
      <c r="V390" s="551">
        <f t="shared" ref="V390:V391" si="275">(U390-T390)*24</f>
        <v>0</v>
      </c>
      <c r="W390" s="550"/>
      <c r="X390" s="548"/>
      <c r="Y390" s="548"/>
      <c r="Z390" s="551">
        <f t="shared" ref="Z390:Z391" si="276">(Y390-X390)*24</f>
        <v>0</v>
      </c>
      <c r="AA390" s="550"/>
      <c r="AB390" s="548"/>
      <c r="AC390" s="548"/>
      <c r="AD390" s="551">
        <f t="shared" ref="AD390:AD391" si="277">(AC390-AB390)*24</f>
        <v>0</v>
      </c>
      <c r="AE390" s="24"/>
      <c r="AF390" s="29">
        <f t="shared" ref="AF390:AF391" si="278">J390+F390+N390+R390+V390+Z390+AD390</f>
        <v>15.499999999999998</v>
      </c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</row>
    <row r="391" spans="1:55" s="2" customFormat="1" ht="19.5" customHeight="1">
      <c r="A391"/>
      <c r="B391" s="546" t="s">
        <v>54</v>
      </c>
      <c r="C391" s="547" t="s">
        <v>806</v>
      </c>
      <c r="D391" s="548"/>
      <c r="E391" s="548"/>
      <c r="F391" s="549">
        <f t="shared" si="271"/>
        <v>0</v>
      </c>
      <c r="G391" s="550"/>
      <c r="H391" s="548"/>
      <c r="I391" s="548"/>
      <c r="J391" s="551">
        <f t="shared" si="272"/>
        <v>0</v>
      </c>
      <c r="K391" s="550"/>
      <c r="L391" s="552">
        <v>0.5</v>
      </c>
      <c r="M391" s="548">
        <v>0.83333333333333337</v>
      </c>
      <c r="N391" s="551">
        <f t="shared" si="273"/>
        <v>8</v>
      </c>
      <c r="O391" s="550"/>
      <c r="P391" s="548">
        <v>0.39583333333333331</v>
      </c>
      <c r="Q391" s="548">
        <v>0.66666666666666663</v>
      </c>
      <c r="R391" s="551">
        <f t="shared" si="274"/>
        <v>6.5</v>
      </c>
      <c r="S391" s="550"/>
      <c r="T391" s="548">
        <v>0.375</v>
      </c>
      <c r="U391" s="548">
        <v>0.66666666666666663</v>
      </c>
      <c r="V391" s="551">
        <f t="shared" si="275"/>
        <v>6.9999999999999991</v>
      </c>
      <c r="W391" s="550"/>
      <c r="X391" s="548"/>
      <c r="Y391" s="548"/>
      <c r="Z391" s="551">
        <f t="shared" si="276"/>
        <v>0</v>
      </c>
      <c r="AA391" s="550"/>
      <c r="AB391" s="548"/>
      <c r="AC391" s="548"/>
      <c r="AD391" s="551">
        <f t="shared" si="277"/>
        <v>0</v>
      </c>
      <c r="AE391" s="24"/>
      <c r="AF391" s="29">
        <f t="shared" si="278"/>
        <v>21.5</v>
      </c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</row>
    <row r="392" spans="1:55" s="2" customFormat="1" ht="21" customHeight="1">
      <c r="A392"/>
      <c r="B392" s="546" t="s">
        <v>576</v>
      </c>
      <c r="C392" s="547" t="s">
        <v>806</v>
      </c>
      <c r="D392" s="548"/>
      <c r="E392" s="548"/>
      <c r="F392" s="549">
        <f>(E392-D392)*24</f>
        <v>0</v>
      </c>
      <c r="G392" s="550"/>
      <c r="H392" s="548"/>
      <c r="I392" s="548"/>
      <c r="J392" s="551">
        <f>(I392-H392)*24</f>
        <v>0</v>
      </c>
      <c r="K392" s="550"/>
      <c r="L392" s="552">
        <v>0.5</v>
      </c>
      <c r="M392" s="548">
        <v>0.83333333333333337</v>
      </c>
      <c r="N392" s="551">
        <f>(M392-L392)*24</f>
        <v>8</v>
      </c>
      <c r="O392" s="550"/>
      <c r="P392" s="548">
        <v>0.39583333333333331</v>
      </c>
      <c r="Q392" s="548">
        <v>0.66666666666666663</v>
      </c>
      <c r="R392" s="551">
        <f>(Q392-P392)*24</f>
        <v>6.5</v>
      </c>
      <c r="S392" s="550"/>
      <c r="T392" s="548">
        <v>0.3888888888888889</v>
      </c>
      <c r="U392" s="548">
        <v>0.66666666666666663</v>
      </c>
      <c r="V392" s="551">
        <f>(U392-T392)*24</f>
        <v>6.6666666666666661</v>
      </c>
      <c r="W392" s="550"/>
      <c r="X392" s="548"/>
      <c r="Y392" s="548"/>
      <c r="Z392" s="551"/>
      <c r="AA392" s="550"/>
      <c r="AB392" s="548"/>
      <c r="AC392" s="548"/>
      <c r="AD392" s="551"/>
      <c r="AE392" s="24"/>
      <c r="AF392" s="29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</row>
    <row r="393" spans="1:55" s="2" customFormat="1" ht="20.25" customHeight="1">
      <c r="A393"/>
      <c r="B393" s="553" t="s">
        <v>714</v>
      </c>
      <c r="C393" s="547" t="s">
        <v>806</v>
      </c>
      <c r="D393" s="548"/>
      <c r="E393" s="548"/>
      <c r="F393" s="549">
        <f>(E393-D393)*24</f>
        <v>0</v>
      </c>
      <c r="G393" s="550"/>
      <c r="H393" s="548"/>
      <c r="I393" s="548"/>
      <c r="J393" s="551">
        <f>(I393-H393)*24</f>
        <v>0</v>
      </c>
      <c r="K393" s="550"/>
      <c r="L393" s="552"/>
      <c r="M393" s="548"/>
      <c r="N393" s="551">
        <f>(M393-L393)*24</f>
        <v>0</v>
      </c>
      <c r="O393" s="550"/>
      <c r="P393" s="548">
        <v>0.35416666666666669</v>
      </c>
      <c r="Q393" s="548">
        <v>0.66666666666666663</v>
      </c>
      <c r="R393" s="551">
        <f>(Q393-P393)*24</f>
        <v>7.4999999999999982</v>
      </c>
      <c r="S393" s="550"/>
      <c r="T393" s="548">
        <v>0.375</v>
      </c>
      <c r="U393" s="548">
        <v>0.66666666666666663</v>
      </c>
      <c r="V393" s="551">
        <f>(U393-T393)*24</f>
        <v>6.9999999999999991</v>
      </c>
      <c r="W393" s="550"/>
      <c r="X393" s="548"/>
      <c r="Y393" s="548"/>
      <c r="Z393" s="551"/>
      <c r="AA393" s="550"/>
      <c r="AB393" s="548"/>
      <c r="AC393" s="548"/>
      <c r="AD393" s="551"/>
      <c r="AE393" s="24"/>
      <c r="AF393" s="29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</row>
    <row r="394" spans="1:55" s="2" customFormat="1" ht="19.5" customHeight="1">
      <c r="A394"/>
      <c r="B394" s="546" t="s">
        <v>54</v>
      </c>
      <c r="C394" s="547" t="s">
        <v>805</v>
      </c>
      <c r="D394" s="548"/>
      <c r="E394" s="548"/>
      <c r="F394" s="549">
        <f>(E394-D394)*24</f>
        <v>0</v>
      </c>
      <c r="G394" s="550"/>
      <c r="H394" s="548"/>
      <c r="I394" s="548"/>
      <c r="J394" s="551">
        <f>(I394-H394)*24</f>
        <v>0</v>
      </c>
      <c r="K394" s="550"/>
      <c r="L394" s="552"/>
      <c r="M394" s="548"/>
      <c r="N394" s="551">
        <f>(M394-L394)*24</f>
        <v>0</v>
      </c>
      <c r="O394" s="550"/>
      <c r="P394" s="548"/>
      <c r="Q394" s="548"/>
      <c r="R394" s="551">
        <f>(Q394-P394)*24</f>
        <v>0</v>
      </c>
      <c r="S394" s="550"/>
      <c r="T394" s="548"/>
      <c r="U394" s="548"/>
      <c r="V394" s="551">
        <f>(U394-T394)*24</f>
        <v>0</v>
      </c>
      <c r="W394" s="550"/>
      <c r="X394" s="548"/>
      <c r="Y394" s="548"/>
      <c r="Z394" s="551"/>
      <c r="AA394" s="550"/>
      <c r="AB394" s="548"/>
      <c r="AC394" s="548"/>
      <c r="AD394" s="551"/>
      <c r="AE394" s="24"/>
      <c r="AF394" s="29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</row>
    <row r="395" spans="1:55" s="2" customFormat="1" ht="19.5" customHeight="1">
      <c r="A395"/>
      <c r="B395" s="546" t="s">
        <v>653</v>
      </c>
      <c r="C395" s="547" t="s">
        <v>803</v>
      </c>
      <c r="D395" s="548">
        <v>0.33333333333333331</v>
      </c>
      <c r="E395" s="548">
        <v>0.66666666666666663</v>
      </c>
      <c r="F395" s="549">
        <f>(E395-D395)*24</f>
        <v>8</v>
      </c>
      <c r="G395" s="550"/>
      <c r="H395" s="548"/>
      <c r="I395" s="548"/>
      <c r="J395" s="551">
        <f>(I395-H395)*24</f>
        <v>0</v>
      </c>
      <c r="K395" s="550"/>
      <c r="L395" s="552"/>
      <c r="M395" s="548"/>
      <c r="N395" s="551">
        <f>(M395-L395)*24</f>
        <v>0</v>
      </c>
      <c r="O395" s="550"/>
      <c r="P395" s="548"/>
      <c r="Q395" s="548"/>
      <c r="R395" s="551">
        <f>(Q395-P395)*24</f>
        <v>0</v>
      </c>
      <c r="S395" s="550"/>
      <c r="T395" s="548"/>
      <c r="U395" s="548"/>
      <c r="V395" s="551">
        <f>(U395-T395)*24</f>
        <v>0</v>
      </c>
      <c r="W395" s="550"/>
      <c r="X395" s="548"/>
      <c r="Y395" s="548"/>
      <c r="Z395" s="551"/>
      <c r="AA395" s="550"/>
      <c r="AB395" s="548"/>
      <c r="AC395" s="548"/>
      <c r="AD395" s="551"/>
      <c r="AE395" s="24"/>
      <c r="AF395" s="29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</row>
    <row r="396" spans="1:55" s="2" customFormat="1" ht="19.5" customHeight="1">
      <c r="A396"/>
      <c r="B396" s="553" t="s">
        <v>582</v>
      </c>
      <c r="C396" s="547" t="s">
        <v>807</v>
      </c>
      <c r="D396" s="548"/>
      <c r="E396" s="548"/>
      <c r="F396" s="549">
        <f>(E396-D396)*24</f>
        <v>0</v>
      </c>
      <c r="G396" s="550"/>
      <c r="H396" s="548"/>
      <c r="I396" s="548"/>
      <c r="J396" s="551">
        <f>(I396-H396)*24</f>
        <v>0</v>
      </c>
      <c r="K396" s="550"/>
      <c r="L396" s="552"/>
      <c r="M396" s="548"/>
      <c r="N396" s="551">
        <f>(M396-L396)*24</f>
        <v>0</v>
      </c>
      <c r="O396" s="550"/>
      <c r="P396" s="548">
        <v>0.375</v>
      </c>
      <c r="Q396" s="548">
        <v>0.58333333333333337</v>
      </c>
      <c r="R396" s="551">
        <f>(Q396-P396)*24</f>
        <v>5.0000000000000009</v>
      </c>
      <c r="S396" s="550"/>
      <c r="T396" s="548"/>
      <c r="U396" s="548"/>
      <c r="V396" s="551">
        <f>(U396-T396)*24</f>
        <v>0</v>
      </c>
      <c r="W396" s="550"/>
      <c r="X396" s="548"/>
      <c r="Y396" s="548"/>
      <c r="Z396" s="551"/>
      <c r="AA396" s="550"/>
      <c r="AB396" s="548"/>
      <c r="AC396" s="548"/>
      <c r="AD396" s="551"/>
      <c r="AE396" s="24"/>
      <c r="AF396" s="29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</row>
    <row r="397" spans="1:55" s="2" customFormat="1" ht="14.25">
      <c r="A397"/>
      <c r="B397" s="554" t="s">
        <v>61</v>
      </c>
      <c r="C397" s="554"/>
      <c r="D397" s="548"/>
      <c r="E397" s="548"/>
      <c r="F397" s="549">
        <f>SUM(F386:F396)</f>
        <v>8</v>
      </c>
      <c r="G397" s="549">
        <f>SUM(G386:G396)</f>
        <v>0</v>
      </c>
      <c r="H397" s="549"/>
      <c r="I397" s="549"/>
      <c r="J397" s="549">
        <f>SUM(J386:J396)</f>
        <v>20.666666666666664</v>
      </c>
      <c r="K397" s="549">
        <f>SUM(K386:K396)</f>
        <v>0</v>
      </c>
      <c r="L397" s="549"/>
      <c r="M397" s="549"/>
      <c r="N397" s="549">
        <f>SUM(N386:N396)</f>
        <v>24</v>
      </c>
      <c r="O397" s="549">
        <f>SUM(O386:O396)</f>
        <v>0</v>
      </c>
      <c r="P397" s="549"/>
      <c r="Q397" s="549"/>
      <c r="R397" s="549">
        <f>SUM(R386:R396)</f>
        <v>33</v>
      </c>
      <c r="S397" s="549">
        <f>SUM(S386:S396)</f>
        <v>0</v>
      </c>
      <c r="T397" s="549"/>
      <c r="U397" s="549"/>
      <c r="V397" s="549">
        <f>SUM(V386:V396)</f>
        <v>20.666666666666664</v>
      </c>
      <c r="W397" s="549">
        <f>SUM(W386:W396)</f>
        <v>0</v>
      </c>
      <c r="X397" s="549"/>
      <c r="Y397" s="549"/>
      <c r="Z397" s="549">
        <f>SUM(Z386:Z396)</f>
        <v>0</v>
      </c>
      <c r="AA397" s="549">
        <f>SUM(AA386:AA396)</f>
        <v>0</v>
      </c>
      <c r="AB397" s="549"/>
      <c r="AC397" s="549"/>
      <c r="AD397" s="549">
        <f>SUM(AD386:AD396)</f>
        <v>0</v>
      </c>
      <c r="AE397" s="24"/>
      <c r="AF397" s="29">
        <f t="shared" si="270"/>
        <v>106.33333333333331</v>
      </c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</row>
    <row r="398" spans="1:55" s="2" customFormat="1">
      <c r="A398"/>
      <c r="B398" s="31" t="s">
        <v>577</v>
      </c>
      <c r="C398" s="31"/>
      <c r="D398" s="91"/>
      <c r="E398" s="91"/>
      <c r="F398" s="90"/>
      <c r="G398" s="91"/>
      <c r="H398" s="91"/>
      <c r="I398" s="91"/>
      <c r="J398" s="90"/>
      <c r="K398" s="91"/>
      <c r="L398" s="430"/>
      <c r="M398" s="91"/>
      <c r="N398" s="90"/>
      <c r="O398" s="91"/>
      <c r="P398" s="91"/>
      <c r="Q398" s="91"/>
      <c r="R398" s="90"/>
      <c r="S398" s="91"/>
      <c r="T398" s="91"/>
      <c r="U398" s="91"/>
      <c r="V398" s="90"/>
      <c r="W398" s="91"/>
      <c r="X398" s="91"/>
      <c r="Y398" s="91"/>
      <c r="Z398" s="90"/>
      <c r="AA398" s="91"/>
      <c r="AB398" s="91"/>
      <c r="AC398" s="91"/>
      <c r="AD398" s="91"/>
      <c r="AE398" s="352"/>
      <c r="AF398" s="28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</row>
    <row r="399" spans="1:55" s="2" customFormat="1">
      <c r="A399"/>
      <c r="B399" s="31" t="s">
        <v>578</v>
      </c>
      <c r="C399" s="31"/>
      <c r="D399" s="91"/>
      <c r="E399" s="91"/>
      <c r="F399" s="90"/>
      <c r="G399" s="91"/>
      <c r="H399" s="91"/>
      <c r="I399" s="91"/>
      <c r="J399" s="90"/>
      <c r="K399" s="91"/>
      <c r="L399" s="430"/>
      <c r="M399" s="91"/>
      <c r="N399" s="90"/>
      <c r="O399" s="91"/>
      <c r="P399" s="91"/>
      <c r="Q399" s="91"/>
      <c r="R399" s="90"/>
      <c r="S399" s="91"/>
      <c r="T399" s="91"/>
      <c r="U399" s="91"/>
      <c r="V399" s="90"/>
      <c r="W399" s="91"/>
      <c r="X399" s="91"/>
      <c r="Y399" s="91"/>
      <c r="Z399" s="90"/>
      <c r="AA399" s="91"/>
      <c r="AB399" s="91"/>
      <c r="AC399" s="91"/>
      <c r="AD399" s="91"/>
      <c r="AE399" s="352"/>
      <c r="AF399" s="28">
        <f>SUM(D399:AD399)</f>
        <v>0</v>
      </c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</row>
    <row r="400" spans="1:55" s="2" customFormat="1" ht="14.25" thickBot="1">
      <c r="A400"/>
      <c r="B400" s="74" t="s">
        <v>579</v>
      </c>
      <c r="C400" s="74"/>
      <c r="D400" s="95"/>
      <c r="E400" s="95"/>
      <c r="F400" s="96"/>
      <c r="G400" s="95"/>
      <c r="H400" s="95"/>
      <c r="I400" s="95"/>
      <c r="J400" s="96"/>
      <c r="K400" s="95"/>
      <c r="L400" s="431"/>
      <c r="M400" s="95"/>
      <c r="N400" s="96"/>
      <c r="O400" s="95"/>
      <c r="P400" s="95"/>
      <c r="Q400" s="95"/>
      <c r="R400" s="96"/>
      <c r="S400" s="95"/>
      <c r="T400" s="95"/>
      <c r="U400" s="95"/>
      <c r="V400" s="96"/>
      <c r="W400" s="97"/>
      <c r="X400" s="97"/>
      <c r="Y400" s="97"/>
      <c r="Z400" s="96"/>
      <c r="AA400" s="97"/>
      <c r="AB400" s="97"/>
      <c r="AC400" s="97"/>
      <c r="AD400" s="97"/>
      <c r="AE400" s="97"/>
      <c r="AF400" s="80">
        <f>SUM(D400:AD400)</f>
        <v>0</v>
      </c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</row>
    <row r="401" spans="1:55" s="2" customFormat="1" ht="14.25" thickTop="1">
      <c r="A401"/>
      <c r="B401" s="1518" t="s">
        <v>18</v>
      </c>
      <c r="C401" s="1528" t="s">
        <v>571</v>
      </c>
      <c r="D401" s="1524">
        <v>45460</v>
      </c>
      <c r="E401" s="1524"/>
      <c r="F401" s="1524"/>
      <c r="G401" s="22"/>
      <c r="H401" s="1524">
        <f>D401+1</f>
        <v>45461</v>
      </c>
      <c r="I401" s="1524"/>
      <c r="J401" s="1524"/>
      <c r="K401" s="22"/>
      <c r="L401" s="1524">
        <f>H401+1</f>
        <v>45462</v>
      </c>
      <c r="M401" s="1524"/>
      <c r="N401" s="1524"/>
      <c r="O401" s="3"/>
      <c r="P401" s="1524">
        <f>L401+1</f>
        <v>45463</v>
      </c>
      <c r="Q401" s="1524"/>
      <c r="R401" s="1524"/>
      <c r="S401" s="3"/>
      <c r="T401" s="1524">
        <f>P401+1</f>
        <v>45464</v>
      </c>
      <c r="U401" s="1524"/>
      <c r="V401" s="1524"/>
      <c r="W401" s="22"/>
      <c r="X401" s="1524">
        <f>T401+1</f>
        <v>45465</v>
      </c>
      <c r="Y401" s="1524"/>
      <c r="Z401" s="1524"/>
      <c r="AA401" s="3"/>
      <c r="AB401" s="1524">
        <f>X401+1</f>
        <v>45466</v>
      </c>
      <c r="AC401" s="1524"/>
      <c r="AD401" s="1524"/>
      <c r="AE401" s="22"/>
      <c r="AF401" s="1517" t="s">
        <v>19</v>
      </c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</row>
    <row r="402" spans="1:55" s="2" customFormat="1">
      <c r="A402"/>
      <c r="B402" s="1518"/>
      <c r="C402" s="1528"/>
      <c r="D402" s="21" t="s">
        <v>23</v>
      </c>
      <c r="E402" s="21" t="s">
        <v>24</v>
      </c>
      <c r="F402" s="62" t="s">
        <v>25</v>
      </c>
      <c r="G402" s="23"/>
      <c r="H402" s="21" t="s">
        <v>23</v>
      </c>
      <c r="I402" s="21" t="s">
        <v>24</v>
      </c>
      <c r="J402" s="18" t="s">
        <v>25</v>
      </c>
      <c r="K402" s="23"/>
      <c r="L402" s="21" t="s">
        <v>23</v>
      </c>
      <c r="M402" s="21" t="s">
        <v>24</v>
      </c>
      <c r="N402" s="18" t="s">
        <v>25</v>
      </c>
      <c r="O402" s="23"/>
      <c r="P402" s="21" t="s">
        <v>23</v>
      </c>
      <c r="Q402" s="21" t="s">
        <v>24</v>
      </c>
      <c r="R402" s="18" t="s">
        <v>25</v>
      </c>
      <c r="S402" s="23"/>
      <c r="T402" s="21" t="s">
        <v>23</v>
      </c>
      <c r="U402" s="21" t="s">
        <v>24</v>
      </c>
      <c r="V402" s="18" t="s">
        <v>25</v>
      </c>
      <c r="W402" s="23"/>
      <c r="X402" s="21" t="s">
        <v>23</v>
      </c>
      <c r="Y402" s="21" t="s">
        <v>24</v>
      </c>
      <c r="Z402" s="18" t="s">
        <v>25</v>
      </c>
      <c r="AA402" s="23"/>
      <c r="AB402" s="21" t="s">
        <v>23</v>
      </c>
      <c r="AC402" s="21" t="s">
        <v>24</v>
      </c>
      <c r="AD402" s="18" t="s">
        <v>25</v>
      </c>
      <c r="AE402" s="23"/>
      <c r="AF402" s="1517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</row>
    <row r="403" spans="1:55" s="2" customFormat="1" ht="27">
      <c r="A403"/>
      <c r="B403" s="546" t="s">
        <v>572</v>
      </c>
      <c r="C403" s="547" t="s">
        <v>806</v>
      </c>
      <c r="D403" s="548">
        <v>0.35416666666666669</v>
      </c>
      <c r="E403" s="548">
        <v>0.70833333333333337</v>
      </c>
      <c r="F403" s="549">
        <f t="shared" ref="F403:F407" si="279">(E403-D403)*24</f>
        <v>8.5</v>
      </c>
      <c r="G403" s="550"/>
      <c r="H403" s="548">
        <v>0.33333333333333331</v>
      </c>
      <c r="I403" s="548">
        <v>0.70833333333333337</v>
      </c>
      <c r="J403" s="551">
        <f t="shared" ref="J403:J411" si="280">(I403-H403)*24</f>
        <v>9.0000000000000018</v>
      </c>
      <c r="K403" s="550"/>
      <c r="L403" s="552">
        <v>0.33333333333333331</v>
      </c>
      <c r="M403" s="548">
        <v>0.70833333333333337</v>
      </c>
      <c r="N403" s="551">
        <f t="shared" ref="N403:N411" si="281">(M403-L403)*24</f>
        <v>9.0000000000000018</v>
      </c>
      <c r="O403" s="550"/>
      <c r="P403" s="548"/>
      <c r="Q403" s="548"/>
      <c r="R403" s="551">
        <f t="shared" ref="R403" si="282">(Q403-P403)*24</f>
        <v>0</v>
      </c>
      <c r="S403" s="550"/>
      <c r="T403" s="548"/>
      <c r="U403" s="548"/>
      <c r="V403" s="551">
        <f t="shared" ref="V403:V411" si="283">(U403-T403)*24</f>
        <v>0</v>
      </c>
      <c r="W403" s="550"/>
      <c r="X403" s="548"/>
      <c r="Y403" s="548"/>
      <c r="Z403" s="551">
        <f t="shared" ref="Z403:Z404" si="284">(Y403-X403)*24</f>
        <v>0</v>
      </c>
      <c r="AA403" s="550"/>
      <c r="AB403" s="548"/>
      <c r="AC403" s="548"/>
      <c r="AD403" s="551">
        <f t="shared" ref="AD403:AD404" si="285">(AC403-AB403)*24</f>
        <v>0</v>
      </c>
      <c r="AE403" s="24"/>
      <c r="AF403" s="29">
        <f t="shared" ref="AF403:AF421" si="286">J403+F403+N403+R403+V403+Z403+AD403</f>
        <v>26.5</v>
      </c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</row>
    <row r="404" spans="1:55" s="2" customFormat="1" ht="27">
      <c r="A404"/>
      <c r="B404" s="553" t="s">
        <v>714</v>
      </c>
      <c r="C404" s="547" t="s">
        <v>806</v>
      </c>
      <c r="D404" s="548">
        <v>0.375</v>
      </c>
      <c r="E404" s="548">
        <v>0.70833333333333337</v>
      </c>
      <c r="F404" s="549">
        <f t="shared" si="279"/>
        <v>8</v>
      </c>
      <c r="G404" s="550"/>
      <c r="H404" s="548">
        <v>0.375</v>
      </c>
      <c r="I404" s="548">
        <v>0.70833333333333337</v>
      </c>
      <c r="J404" s="551">
        <f t="shared" ref="J404:J410" si="287">(I404-H404)*24</f>
        <v>8</v>
      </c>
      <c r="K404" s="550"/>
      <c r="L404" s="552"/>
      <c r="M404" s="548"/>
      <c r="N404" s="551">
        <f t="shared" ref="N404:N410" si="288">(M404-L404)*24</f>
        <v>0</v>
      </c>
      <c r="O404" s="550"/>
      <c r="P404" s="548"/>
      <c r="Q404" s="548"/>
      <c r="R404" s="551">
        <f t="shared" ref="R404:R406" si="289">(Q404-P404)*24</f>
        <v>0</v>
      </c>
      <c r="S404" s="550"/>
      <c r="T404" s="548"/>
      <c r="U404" s="548"/>
      <c r="V404" s="551">
        <f t="shared" ref="V404:V410" si="290">(U404-T404)*24</f>
        <v>0</v>
      </c>
      <c r="W404" s="550"/>
      <c r="X404" s="548"/>
      <c r="Y404" s="548"/>
      <c r="Z404" s="551">
        <f t="shared" si="284"/>
        <v>0</v>
      </c>
      <c r="AA404" s="550"/>
      <c r="AB404" s="548"/>
      <c r="AC404" s="548"/>
      <c r="AD404" s="551">
        <f t="shared" si="285"/>
        <v>0</v>
      </c>
      <c r="AE404" s="24"/>
      <c r="AF404" s="29">
        <f t="shared" si="286"/>
        <v>16</v>
      </c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</row>
    <row r="405" spans="1:55" s="2" customFormat="1" ht="16.5" customHeight="1">
      <c r="A405"/>
      <c r="B405" s="546" t="s">
        <v>54</v>
      </c>
      <c r="C405" s="547" t="s">
        <v>808</v>
      </c>
      <c r="D405" s="548">
        <v>0.39583333333333331</v>
      </c>
      <c r="E405" s="548">
        <v>0.70833333333333337</v>
      </c>
      <c r="F405" s="549">
        <f>(E405-D405)*24</f>
        <v>7.5000000000000018</v>
      </c>
      <c r="G405" s="550"/>
      <c r="H405" s="548"/>
      <c r="I405" s="548"/>
      <c r="J405" s="551">
        <f t="shared" si="287"/>
        <v>0</v>
      </c>
      <c r="K405" s="550"/>
      <c r="L405" s="552"/>
      <c r="M405" s="548"/>
      <c r="N405" s="551">
        <f t="shared" si="288"/>
        <v>0</v>
      </c>
      <c r="O405" s="550"/>
      <c r="P405" s="548"/>
      <c r="Q405" s="548"/>
      <c r="R405" s="551">
        <f t="shared" si="289"/>
        <v>0</v>
      </c>
      <c r="S405" s="550"/>
      <c r="T405" s="548"/>
      <c r="U405" s="548"/>
      <c r="V405" s="551">
        <f t="shared" si="290"/>
        <v>0</v>
      </c>
      <c r="W405" s="550"/>
      <c r="X405" s="548"/>
      <c r="Y405" s="548"/>
      <c r="Z405" s="551">
        <f t="shared" ref="Z405:Z415" si="291">(Y405-X405)*24</f>
        <v>0</v>
      </c>
      <c r="AA405" s="550"/>
      <c r="AB405" s="548"/>
      <c r="AC405" s="548"/>
      <c r="AD405" s="551">
        <f t="shared" ref="AD405:AD415" si="292">(AC405-AB405)*24</f>
        <v>0</v>
      </c>
      <c r="AE405" s="24"/>
      <c r="AF405" s="29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</row>
    <row r="406" spans="1:55" s="2" customFormat="1" ht="14.25" customHeight="1">
      <c r="A406"/>
      <c r="B406" s="546" t="s">
        <v>653</v>
      </c>
      <c r="C406" s="547" t="s">
        <v>809</v>
      </c>
      <c r="D406" s="548">
        <v>0.39583333333333331</v>
      </c>
      <c r="E406" s="548">
        <v>0.70833333333333337</v>
      </c>
      <c r="F406" s="549">
        <f>(E406-D406)*24</f>
        <v>7.5000000000000018</v>
      </c>
      <c r="G406" s="550"/>
      <c r="H406" s="548">
        <v>0.375</v>
      </c>
      <c r="I406" s="548">
        <v>0.70833333333333337</v>
      </c>
      <c r="J406" s="551">
        <f t="shared" si="287"/>
        <v>8</v>
      </c>
      <c r="K406" s="550"/>
      <c r="L406" s="552">
        <v>0.375</v>
      </c>
      <c r="M406" s="548">
        <v>0.70833333333333337</v>
      </c>
      <c r="N406" s="551">
        <f t="shared" si="288"/>
        <v>8</v>
      </c>
      <c r="O406" s="550"/>
      <c r="P406" s="548"/>
      <c r="Q406" s="548"/>
      <c r="R406" s="551">
        <f t="shared" si="289"/>
        <v>0</v>
      </c>
      <c r="S406" s="550"/>
      <c r="T406" s="548">
        <v>0.35416666666666669</v>
      </c>
      <c r="U406" s="548">
        <v>0.70833333333333337</v>
      </c>
      <c r="V406" s="551">
        <f t="shared" si="290"/>
        <v>8.5</v>
      </c>
      <c r="W406" s="550"/>
      <c r="X406" s="548"/>
      <c r="Y406" s="548"/>
      <c r="Z406" s="551">
        <f t="shared" si="291"/>
        <v>0</v>
      </c>
      <c r="AA406" s="550"/>
      <c r="AB406" s="548"/>
      <c r="AC406" s="548"/>
      <c r="AD406" s="551">
        <f t="shared" si="292"/>
        <v>0</v>
      </c>
      <c r="AE406" s="24"/>
      <c r="AF406" s="29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</row>
    <row r="407" spans="1:55" s="2" customFormat="1" ht="17.25" customHeight="1">
      <c r="A407"/>
      <c r="B407" s="546" t="s">
        <v>42</v>
      </c>
      <c r="C407" s="547" t="s">
        <v>809</v>
      </c>
      <c r="D407" s="548">
        <v>0.45833333333333331</v>
      </c>
      <c r="E407" s="548">
        <v>0.70833333333333337</v>
      </c>
      <c r="F407" s="549">
        <f t="shared" si="279"/>
        <v>6.0000000000000018</v>
      </c>
      <c r="G407" s="550"/>
      <c r="H407" s="548">
        <v>0.375</v>
      </c>
      <c r="I407" s="548">
        <v>0.70833333333333337</v>
      </c>
      <c r="J407" s="551">
        <f t="shared" si="287"/>
        <v>8</v>
      </c>
      <c r="K407" s="550"/>
      <c r="L407" s="552">
        <v>0.33333333333333331</v>
      </c>
      <c r="M407" s="548">
        <v>0.70833333333333337</v>
      </c>
      <c r="N407" s="551">
        <f t="shared" si="288"/>
        <v>9.0000000000000018</v>
      </c>
      <c r="O407" s="550"/>
      <c r="P407" s="548">
        <v>0.33333333333333331</v>
      </c>
      <c r="Q407" s="548">
        <v>0.70833333333333337</v>
      </c>
      <c r="R407" s="551">
        <f t="shared" ref="R407:R420" si="293">(Q407-P407)*24</f>
        <v>9.0000000000000018</v>
      </c>
      <c r="S407" s="550"/>
      <c r="T407" s="548">
        <v>0.35416666666666669</v>
      </c>
      <c r="U407" s="548">
        <v>0.70833333333333337</v>
      </c>
      <c r="V407" s="551">
        <f t="shared" si="290"/>
        <v>8.5</v>
      </c>
      <c r="W407" s="550"/>
      <c r="X407" s="548"/>
      <c r="Y407" s="548"/>
      <c r="Z407" s="551">
        <f t="shared" si="291"/>
        <v>0</v>
      </c>
      <c r="AA407" s="550"/>
      <c r="AB407" s="548"/>
      <c r="AC407" s="548"/>
      <c r="AD407" s="551">
        <f t="shared" si="292"/>
        <v>0</v>
      </c>
      <c r="AE407" s="24"/>
      <c r="AF407" s="29">
        <f t="shared" si="286"/>
        <v>40.500000000000007</v>
      </c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</row>
    <row r="408" spans="1:55" s="2" customFormat="1" ht="16.5" customHeight="1">
      <c r="A408"/>
      <c r="B408" s="553" t="s">
        <v>714</v>
      </c>
      <c r="C408" s="547" t="s">
        <v>809</v>
      </c>
      <c r="D408" s="548"/>
      <c r="E408" s="548"/>
      <c r="F408" s="549">
        <f t="shared" ref="F408:F415" si="294">(E408-D408)*24</f>
        <v>0</v>
      </c>
      <c r="G408" s="550"/>
      <c r="H408" s="548"/>
      <c r="I408" s="548"/>
      <c r="J408" s="551">
        <f t="shared" si="287"/>
        <v>0</v>
      </c>
      <c r="K408" s="550"/>
      <c r="L408" s="552"/>
      <c r="M408" s="548"/>
      <c r="N408" s="551">
        <f t="shared" si="288"/>
        <v>0</v>
      </c>
      <c r="O408" s="550"/>
      <c r="P408" s="548">
        <v>0.33333333333333331</v>
      </c>
      <c r="Q408" s="548">
        <v>0.70833333333333337</v>
      </c>
      <c r="R408" s="551">
        <f t="shared" si="293"/>
        <v>9.0000000000000018</v>
      </c>
      <c r="S408" s="550"/>
      <c r="T408" s="548">
        <v>0.36458333333333331</v>
      </c>
      <c r="U408" s="548">
        <v>0.70833333333333337</v>
      </c>
      <c r="V408" s="551">
        <f t="shared" si="290"/>
        <v>8.2500000000000018</v>
      </c>
      <c r="W408" s="550"/>
      <c r="X408" s="548"/>
      <c r="Y408" s="548"/>
      <c r="Z408" s="551">
        <f t="shared" si="291"/>
        <v>0</v>
      </c>
      <c r="AA408" s="550"/>
      <c r="AB408" s="548"/>
      <c r="AC408" s="548"/>
      <c r="AD408" s="551">
        <f t="shared" si="292"/>
        <v>0</v>
      </c>
      <c r="AE408" s="24"/>
      <c r="AF408" s="29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</row>
    <row r="409" spans="1:55" s="2" customFormat="1" ht="18.75" customHeight="1">
      <c r="A409"/>
      <c r="B409" s="546" t="s">
        <v>54</v>
      </c>
      <c r="C409" s="547" t="s">
        <v>809</v>
      </c>
      <c r="D409" s="548"/>
      <c r="E409" s="548"/>
      <c r="F409" s="549">
        <f t="shared" si="294"/>
        <v>0</v>
      </c>
      <c r="G409" s="550"/>
      <c r="H409" s="548">
        <v>0.33333333333333331</v>
      </c>
      <c r="I409" s="548">
        <v>0.70833333333333337</v>
      </c>
      <c r="J409" s="551">
        <f t="shared" si="287"/>
        <v>9.0000000000000018</v>
      </c>
      <c r="K409" s="550"/>
      <c r="L409" s="552"/>
      <c r="M409" s="548"/>
      <c r="N409" s="551">
        <f t="shared" si="288"/>
        <v>0</v>
      </c>
      <c r="O409" s="550"/>
      <c r="P409" s="548"/>
      <c r="Q409" s="548"/>
      <c r="R409" s="551">
        <f t="shared" si="293"/>
        <v>0</v>
      </c>
      <c r="S409" s="550"/>
      <c r="T409" s="548"/>
      <c r="U409" s="548"/>
      <c r="V409" s="551">
        <f t="shared" si="290"/>
        <v>0</v>
      </c>
      <c r="W409" s="550"/>
      <c r="X409" s="548"/>
      <c r="Y409" s="548"/>
      <c r="Z409" s="551">
        <f t="shared" si="291"/>
        <v>0</v>
      </c>
      <c r="AA409" s="550"/>
      <c r="AB409" s="548"/>
      <c r="AC409" s="548"/>
      <c r="AD409" s="551">
        <f t="shared" si="292"/>
        <v>0</v>
      </c>
      <c r="AE409" s="24"/>
      <c r="AF409" s="29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</row>
    <row r="410" spans="1:55" s="2" customFormat="1" ht="16.5" customHeight="1">
      <c r="A410"/>
      <c r="B410" s="546" t="s">
        <v>576</v>
      </c>
      <c r="C410" s="547" t="s">
        <v>809</v>
      </c>
      <c r="D410" s="548"/>
      <c r="E410" s="548"/>
      <c r="F410" s="549">
        <f t="shared" si="294"/>
        <v>0</v>
      </c>
      <c r="G410" s="550"/>
      <c r="H410" s="548"/>
      <c r="I410" s="548"/>
      <c r="J410" s="551">
        <f t="shared" si="287"/>
        <v>0</v>
      </c>
      <c r="K410" s="550"/>
      <c r="L410" s="552">
        <v>0.35416666666666669</v>
      </c>
      <c r="M410" s="548">
        <v>0.70833333333333337</v>
      </c>
      <c r="N410" s="551">
        <f t="shared" si="288"/>
        <v>8.5</v>
      </c>
      <c r="O410" s="550"/>
      <c r="P410" s="548">
        <v>0.375</v>
      </c>
      <c r="Q410" s="548">
        <v>0.70833333333333337</v>
      </c>
      <c r="R410" s="551">
        <f t="shared" si="293"/>
        <v>8</v>
      </c>
      <c r="S410" s="550"/>
      <c r="T410" s="548">
        <v>0.39583333333333331</v>
      </c>
      <c r="U410" s="548">
        <v>0.70833333333333337</v>
      </c>
      <c r="V410" s="551">
        <f t="shared" si="290"/>
        <v>7.5000000000000018</v>
      </c>
      <c r="W410" s="550"/>
      <c r="X410" s="548"/>
      <c r="Y410" s="548"/>
      <c r="Z410" s="551">
        <f t="shared" si="291"/>
        <v>0</v>
      </c>
      <c r="AA410" s="550"/>
      <c r="AB410" s="548"/>
      <c r="AC410" s="548"/>
      <c r="AD410" s="551">
        <f t="shared" si="292"/>
        <v>0</v>
      </c>
      <c r="AE410" s="24"/>
      <c r="AF410" s="29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</row>
    <row r="411" spans="1:55" s="2" customFormat="1" ht="17.25" customHeight="1">
      <c r="A411"/>
      <c r="B411" s="553" t="s">
        <v>810</v>
      </c>
      <c r="C411" s="547" t="s">
        <v>809</v>
      </c>
      <c r="D411" s="555"/>
      <c r="E411" s="548"/>
      <c r="F411" s="549">
        <f t="shared" si="294"/>
        <v>0</v>
      </c>
      <c r="G411" s="550"/>
      <c r="H411" s="548">
        <v>0.375</v>
      </c>
      <c r="I411" s="548">
        <v>0.70833333333333337</v>
      </c>
      <c r="J411" s="551">
        <f t="shared" si="280"/>
        <v>8</v>
      </c>
      <c r="K411" s="550"/>
      <c r="L411" s="552">
        <v>0.33333333333333331</v>
      </c>
      <c r="M411" s="548">
        <v>0.70833333333333337</v>
      </c>
      <c r="N411" s="551">
        <f t="shared" si="281"/>
        <v>9.0000000000000018</v>
      </c>
      <c r="O411" s="550"/>
      <c r="P411" s="548">
        <v>0.33333333333333331</v>
      </c>
      <c r="Q411" s="548">
        <v>0.45833333333333331</v>
      </c>
      <c r="R411" s="551">
        <f t="shared" si="293"/>
        <v>3</v>
      </c>
      <c r="S411" s="550"/>
      <c r="T411" s="548">
        <v>0.33333333333333331</v>
      </c>
      <c r="U411" s="548">
        <v>0.70833333333333337</v>
      </c>
      <c r="V411" s="551">
        <f t="shared" si="283"/>
        <v>9.0000000000000018</v>
      </c>
      <c r="W411" s="550"/>
      <c r="X411" s="548"/>
      <c r="Y411" s="548"/>
      <c r="Z411" s="551">
        <f t="shared" si="291"/>
        <v>0</v>
      </c>
      <c r="AA411" s="550"/>
      <c r="AB411" s="548"/>
      <c r="AC411" s="548"/>
      <c r="AD411" s="551">
        <f t="shared" si="292"/>
        <v>0</v>
      </c>
      <c r="AE411" s="24"/>
      <c r="AF411" s="29">
        <f t="shared" si="286"/>
        <v>29</v>
      </c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</row>
    <row r="412" spans="1:55" s="2" customFormat="1" ht="18" customHeight="1">
      <c r="A412"/>
      <c r="B412" s="553" t="s">
        <v>52</v>
      </c>
      <c r="C412" s="547" t="s">
        <v>809</v>
      </c>
      <c r="D412" s="548"/>
      <c r="E412" s="548"/>
      <c r="F412" s="549">
        <f t="shared" si="294"/>
        <v>0</v>
      </c>
      <c r="G412" s="550"/>
      <c r="H412" s="548">
        <v>0.375</v>
      </c>
      <c r="I412" s="548">
        <v>0.70833333333333337</v>
      </c>
      <c r="J412" s="551">
        <f t="shared" ref="J412:J419" si="295">(I412-H412)*24</f>
        <v>8</v>
      </c>
      <c r="K412" s="550"/>
      <c r="L412" s="552">
        <v>0.33333333333333331</v>
      </c>
      <c r="M412" s="548">
        <v>0.70833333333333337</v>
      </c>
      <c r="N412" s="551">
        <f t="shared" ref="N412:N417" si="296">(M412-L412)*24</f>
        <v>9.0000000000000018</v>
      </c>
      <c r="O412" s="550"/>
      <c r="P412" s="548">
        <v>0.33333333333333331</v>
      </c>
      <c r="Q412" s="548">
        <v>0.70833333333333337</v>
      </c>
      <c r="R412" s="551">
        <f t="shared" si="293"/>
        <v>9.0000000000000018</v>
      </c>
      <c r="S412" s="550"/>
      <c r="T412" s="548">
        <v>0.33333333333333331</v>
      </c>
      <c r="U412" s="548">
        <v>0.70833333333333337</v>
      </c>
      <c r="V412" s="551">
        <f t="shared" ref="V412:V420" si="297">(U412-T412)*24</f>
        <v>9.0000000000000018</v>
      </c>
      <c r="W412" s="550"/>
      <c r="X412" s="548"/>
      <c r="Y412" s="548"/>
      <c r="Z412" s="551">
        <f t="shared" si="291"/>
        <v>0</v>
      </c>
      <c r="AA412" s="550"/>
      <c r="AB412" s="548"/>
      <c r="AC412" s="548"/>
      <c r="AD412" s="551">
        <f t="shared" si="292"/>
        <v>0</v>
      </c>
      <c r="AE412" s="24"/>
      <c r="AF412" s="29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</row>
    <row r="413" spans="1:55" s="2" customFormat="1" ht="13.5" customHeight="1">
      <c r="A413"/>
      <c r="B413" s="555"/>
      <c r="C413" s="547" t="s">
        <v>811</v>
      </c>
      <c r="D413" s="548"/>
      <c r="E413" s="548"/>
      <c r="F413" s="549">
        <f t="shared" si="294"/>
        <v>0</v>
      </c>
      <c r="G413" s="550"/>
      <c r="H413" s="548"/>
      <c r="I413" s="548"/>
      <c r="J413" s="551">
        <f t="shared" si="295"/>
        <v>0</v>
      </c>
      <c r="K413" s="550"/>
      <c r="L413" s="552"/>
      <c r="M413" s="548"/>
      <c r="N413" s="551">
        <f t="shared" si="296"/>
        <v>0</v>
      </c>
      <c r="O413" s="550"/>
      <c r="P413" s="548"/>
      <c r="Q413" s="548"/>
      <c r="R413" s="551">
        <f t="shared" si="293"/>
        <v>0</v>
      </c>
      <c r="S413" s="550"/>
      <c r="T413" s="548"/>
      <c r="U413" s="548"/>
      <c r="V413" s="551">
        <f t="shared" si="297"/>
        <v>0</v>
      </c>
      <c r="W413" s="550"/>
      <c r="X413" s="548"/>
      <c r="Y413" s="548"/>
      <c r="Z413" s="551">
        <f t="shared" si="291"/>
        <v>0</v>
      </c>
      <c r="AA413" s="550"/>
      <c r="AB413" s="548"/>
      <c r="AC413" s="548"/>
      <c r="AD413" s="551">
        <f t="shared" si="292"/>
        <v>0</v>
      </c>
      <c r="AE413" s="24"/>
      <c r="AF413" s="29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</row>
    <row r="414" spans="1:55" s="2" customFormat="1" ht="17.25" customHeight="1">
      <c r="A414"/>
      <c r="B414" s="553" t="s">
        <v>582</v>
      </c>
      <c r="C414" s="547" t="s">
        <v>812</v>
      </c>
      <c r="D414" s="548"/>
      <c r="E414" s="548"/>
      <c r="F414" s="549">
        <f t="shared" si="294"/>
        <v>0</v>
      </c>
      <c r="G414" s="550"/>
      <c r="H414" s="548">
        <v>0.375</v>
      </c>
      <c r="I414" s="548">
        <v>0.70833333333333337</v>
      </c>
      <c r="J414" s="551">
        <f t="shared" si="295"/>
        <v>8</v>
      </c>
      <c r="K414" s="550"/>
      <c r="L414" s="552"/>
      <c r="M414" s="548"/>
      <c r="N414" s="551">
        <f t="shared" si="296"/>
        <v>0</v>
      </c>
      <c r="O414" s="550"/>
      <c r="P414" s="548"/>
      <c r="Q414" s="548"/>
      <c r="R414" s="551">
        <f t="shared" si="293"/>
        <v>0</v>
      </c>
      <c r="S414" s="550"/>
      <c r="T414" s="548"/>
      <c r="U414" s="548"/>
      <c r="V414" s="551">
        <f t="shared" si="297"/>
        <v>0</v>
      </c>
      <c r="W414" s="550"/>
      <c r="X414" s="548"/>
      <c r="Y414" s="548"/>
      <c r="Z414" s="551">
        <f t="shared" si="291"/>
        <v>0</v>
      </c>
      <c r="AA414" s="550"/>
      <c r="AB414" s="548"/>
      <c r="AC414" s="548"/>
      <c r="AD414" s="551">
        <f t="shared" si="292"/>
        <v>0</v>
      </c>
      <c r="AE414" s="24"/>
      <c r="AF414" s="29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</row>
    <row r="415" spans="1:55" s="2" customFormat="1" ht="19.5" customHeight="1">
      <c r="A415" s="313" t="s">
        <v>637</v>
      </c>
      <c r="B415" s="553" t="s">
        <v>637</v>
      </c>
      <c r="C415" s="547" t="s">
        <v>809</v>
      </c>
      <c r="D415" s="548"/>
      <c r="E415" s="548"/>
      <c r="F415" s="549">
        <f t="shared" si="294"/>
        <v>0</v>
      </c>
      <c r="G415" s="550"/>
      <c r="H415" s="548">
        <v>0.45833333333333331</v>
      </c>
      <c r="I415" s="548">
        <v>0.70833333333333337</v>
      </c>
      <c r="J415" s="551">
        <f t="shared" si="295"/>
        <v>6.0000000000000018</v>
      </c>
      <c r="K415" s="550"/>
      <c r="L415" s="552">
        <v>0.33333333333333331</v>
      </c>
      <c r="M415" s="548">
        <v>0.70833333333333337</v>
      </c>
      <c r="N415" s="551">
        <f t="shared" si="296"/>
        <v>9.0000000000000018</v>
      </c>
      <c r="O415" s="550"/>
      <c r="P415" s="548">
        <v>0.39583333333333331</v>
      </c>
      <c r="Q415" s="548">
        <v>0.70833333333333337</v>
      </c>
      <c r="R415" s="551">
        <f t="shared" si="293"/>
        <v>7.5000000000000018</v>
      </c>
      <c r="S415" s="550"/>
      <c r="T415" s="548">
        <v>0.35416666666666669</v>
      </c>
      <c r="U415" s="548">
        <v>0.54166666666666663</v>
      </c>
      <c r="V415" s="551">
        <f t="shared" si="297"/>
        <v>4.4999999999999982</v>
      </c>
      <c r="W415" s="550"/>
      <c r="X415" s="548"/>
      <c r="Y415" s="548"/>
      <c r="Z415" s="551">
        <f t="shared" si="291"/>
        <v>0</v>
      </c>
      <c r="AA415" s="550"/>
      <c r="AB415" s="548"/>
      <c r="AC415" s="548"/>
      <c r="AD415" s="551">
        <f t="shared" si="292"/>
        <v>0</v>
      </c>
      <c r="AE415" s="24"/>
      <c r="AF415" s="29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</row>
    <row r="416" spans="1:55" s="2" customFormat="1" ht="16.5" customHeight="1">
      <c r="A416" s="313"/>
      <c r="B416" s="546" t="s">
        <v>54</v>
      </c>
      <c r="C416" s="547" t="s">
        <v>801</v>
      </c>
      <c r="D416" s="548"/>
      <c r="E416" s="548"/>
      <c r="F416" s="549">
        <f>(E416-D416)*24</f>
        <v>0</v>
      </c>
      <c r="G416" s="550"/>
      <c r="H416" s="548"/>
      <c r="I416" s="548"/>
      <c r="J416" s="551">
        <f t="shared" si="295"/>
        <v>0</v>
      </c>
      <c r="K416" s="550"/>
      <c r="L416" s="552">
        <v>0.39583333333333331</v>
      </c>
      <c r="M416" s="548">
        <v>0.70833333333333337</v>
      </c>
      <c r="N416" s="551">
        <f t="shared" si="296"/>
        <v>7.5000000000000018</v>
      </c>
      <c r="O416" s="550"/>
      <c r="P416" s="548"/>
      <c r="Q416" s="548"/>
      <c r="R416" s="551">
        <f t="shared" si="293"/>
        <v>0</v>
      </c>
      <c r="S416" s="550"/>
      <c r="T416" s="548"/>
      <c r="U416" s="548"/>
      <c r="V416" s="551">
        <f t="shared" si="297"/>
        <v>0</v>
      </c>
      <c r="W416" s="550"/>
      <c r="X416" s="548"/>
      <c r="Y416" s="548"/>
      <c r="Z416" s="551">
        <f>(Y416-X416)*24</f>
        <v>0</v>
      </c>
      <c r="AA416" s="550"/>
      <c r="AB416" s="548"/>
      <c r="AC416" s="548"/>
      <c r="AD416" s="551">
        <f>(AC416-AB416)*24</f>
        <v>0</v>
      </c>
      <c r="AE416" s="24"/>
      <c r="AF416" s="29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</row>
    <row r="417" spans="1:55" s="2" customFormat="1" ht="40.5">
      <c r="A417"/>
      <c r="B417" s="546" t="s">
        <v>576</v>
      </c>
      <c r="C417" s="547" t="s">
        <v>794</v>
      </c>
      <c r="D417" s="548"/>
      <c r="E417" s="548"/>
      <c r="F417" s="549">
        <f>(E417-D417)*24</f>
        <v>0</v>
      </c>
      <c r="G417" s="550"/>
      <c r="H417" s="548">
        <v>0.375</v>
      </c>
      <c r="I417" s="548">
        <v>0.66666666666666663</v>
      </c>
      <c r="J417" s="551">
        <f t="shared" si="295"/>
        <v>6.9999999999999991</v>
      </c>
      <c r="K417" s="550"/>
      <c r="L417" s="552"/>
      <c r="M417" s="548"/>
      <c r="N417" s="551">
        <f t="shared" si="296"/>
        <v>0</v>
      </c>
      <c r="O417" s="550"/>
      <c r="P417" s="548"/>
      <c r="Q417" s="548"/>
      <c r="R417" s="551">
        <f t="shared" si="293"/>
        <v>0</v>
      </c>
      <c r="S417" s="550"/>
      <c r="T417" s="548"/>
      <c r="U417" s="548"/>
      <c r="V417" s="551">
        <f t="shared" si="297"/>
        <v>0</v>
      </c>
      <c r="W417" s="550"/>
      <c r="X417" s="548"/>
      <c r="Y417" s="548"/>
      <c r="Z417" s="551">
        <f>(Y417-X417)*24</f>
        <v>0</v>
      </c>
      <c r="AA417" s="550"/>
      <c r="AB417" s="548"/>
      <c r="AC417" s="548"/>
      <c r="AD417" s="551">
        <f>(AC417-AB417)*24</f>
        <v>0</v>
      </c>
      <c r="AE417" s="24"/>
      <c r="AF417" s="29">
        <f>J417+F417+N417+R417+V417+Z417+AD417</f>
        <v>6.9999999999999991</v>
      </c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</row>
    <row r="418" spans="1:55" s="2" customFormat="1" ht="16.5" customHeight="1">
      <c r="A418"/>
      <c r="B418" s="546" t="s">
        <v>813</v>
      </c>
      <c r="C418" s="547" t="s">
        <v>814</v>
      </c>
      <c r="D418" s="548"/>
      <c r="E418" s="548"/>
      <c r="F418" s="549">
        <f>(E418-D418)*24</f>
        <v>0</v>
      </c>
      <c r="G418" s="550"/>
      <c r="H418" s="548"/>
      <c r="I418" s="548"/>
      <c r="J418" s="551">
        <f t="shared" si="295"/>
        <v>0</v>
      </c>
      <c r="K418" s="550"/>
      <c r="L418" s="552">
        <v>0.6875</v>
      </c>
      <c r="M418" s="548">
        <v>0</v>
      </c>
      <c r="N418" s="551">
        <v>7.5</v>
      </c>
      <c r="O418" s="550"/>
      <c r="P418" s="548"/>
      <c r="Q418" s="548"/>
      <c r="R418" s="551">
        <f t="shared" si="293"/>
        <v>0</v>
      </c>
      <c r="S418" s="550"/>
      <c r="T418" s="548"/>
      <c r="U418" s="548"/>
      <c r="V418" s="551">
        <f t="shared" si="297"/>
        <v>0</v>
      </c>
      <c r="W418" s="550"/>
      <c r="X418" s="548"/>
      <c r="Y418" s="548"/>
      <c r="Z418" s="551">
        <f>(Y418-X418)*24</f>
        <v>0</v>
      </c>
      <c r="AA418" s="550"/>
      <c r="AB418" s="548"/>
      <c r="AC418" s="548"/>
      <c r="AD418" s="551">
        <f>(AC418-AB418)*24</f>
        <v>0</v>
      </c>
      <c r="AE418" s="24"/>
      <c r="AF418" s="29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</row>
    <row r="419" spans="1:55" s="2" customFormat="1" ht="16.5" customHeight="1">
      <c r="A419"/>
      <c r="B419" s="546" t="s">
        <v>54</v>
      </c>
      <c r="C419" s="547" t="s">
        <v>815</v>
      </c>
      <c r="D419" s="548"/>
      <c r="E419" s="548"/>
      <c r="F419" s="549">
        <f>(E419-D419)*24</f>
        <v>0</v>
      </c>
      <c r="G419" s="550"/>
      <c r="H419" s="548"/>
      <c r="I419" s="548"/>
      <c r="J419" s="551">
        <f t="shared" si="295"/>
        <v>0</v>
      </c>
      <c r="K419" s="550"/>
      <c r="L419" s="552"/>
      <c r="M419" s="548"/>
      <c r="N419" s="551">
        <f>(M419-L419)*24</f>
        <v>0</v>
      </c>
      <c r="O419" s="550"/>
      <c r="P419" s="548">
        <v>0.33333333333333331</v>
      </c>
      <c r="Q419" s="548">
        <v>0.75</v>
      </c>
      <c r="R419" s="551">
        <f t="shared" si="293"/>
        <v>10</v>
      </c>
      <c r="S419" s="550"/>
      <c r="T419" s="548"/>
      <c r="U419" s="548"/>
      <c r="V419" s="551">
        <f t="shared" si="297"/>
        <v>0</v>
      </c>
      <c r="W419" s="550"/>
      <c r="X419" s="548"/>
      <c r="Y419" s="548"/>
      <c r="Z419" s="551">
        <f>(Y419-X419)*24</f>
        <v>0</v>
      </c>
      <c r="AA419" s="550"/>
      <c r="AB419" s="548"/>
      <c r="AC419" s="548"/>
      <c r="AD419" s="551">
        <f>(AC419-AB419)*24</f>
        <v>0</v>
      </c>
      <c r="AE419" s="24"/>
      <c r="AF419" s="29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</row>
    <row r="420" spans="1:55" s="2" customFormat="1" ht="16.5" customHeight="1">
      <c r="A420"/>
      <c r="B420" s="546" t="s">
        <v>572</v>
      </c>
      <c r="C420" s="547" t="s">
        <v>815</v>
      </c>
      <c r="D420" s="548"/>
      <c r="E420" s="548"/>
      <c r="F420" s="549"/>
      <c r="G420" s="550"/>
      <c r="H420" s="548"/>
      <c r="I420" s="548"/>
      <c r="J420" s="551"/>
      <c r="K420" s="550"/>
      <c r="L420" s="552"/>
      <c r="M420" s="548"/>
      <c r="N420" s="551"/>
      <c r="O420" s="550"/>
      <c r="P420" s="548">
        <v>0.33333333333333331</v>
      </c>
      <c r="Q420" s="548">
        <v>0.75</v>
      </c>
      <c r="R420" s="551">
        <f t="shared" si="293"/>
        <v>10</v>
      </c>
      <c r="S420" s="550"/>
      <c r="T420" s="548"/>
      <c r="U420" s="548"/>
      <c r="V420" s="551">
        <f t="shared" si="297"/>
        <v>0</v>
      </c>
      <c r="W420" s="550"/>
      <c r="X420" s="548"/>
      <c r="Y420" s="548"/>
      <c r="Z420" s="551"/>
      <c r="AA420" s="550"/>
      <c r="AB420" s="548"/>
      <c r="AC420" s="548"/>
      <c r="AD420" s="551"/>
      <c r="AE420" s="24"/>
      <c r="AF420" s="29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</row>
    <row r="421" spans="1:55" s="2" customFormat="1" ht="14.25">
      <c r="A421"/>
      <c r="B421" s="554" t="s">
        <v>61</v>
      </c>
      <c r="C421" s="554"/>
      <c r="D421" s="548"/>
      <c r="E421" s="548"/>
      <c r="F421" s="549">
        <f>SUM(F403:F411)</f>
        <v>37.5</v>
      </c>
      <c r="G421" s="549">
        <f>SUM(G403:G411)</f>
        <v>0</v>
      </c>
      <c r="H421" s="549"/>
      <c r="I421" s="549"/>
      <c r="J421" s="549">
        <f>SUM(J403:J411)</f>
        <v>50</v>
      </c>
      <c r="K421" s="549">
        <f>SUM(K403:K411)</f>
        <v>0</v>
      </c>
      <c r="L421" s="549"/>
      <c r="M421" s="549"/>
      <c r="N421" s="549">
        <f>SUM(N403:N411)</f>
        <v>43.5</v>
      </c>
      <c r="O421" s="549">
        <f>SUM(O403:O411)</f>
        <v>0</v>
      </c>
      <c r="P421" s="549"/>
      <c r="Q421" s="549"/>
      <c r="R421" s="549">
        <f>SUM(R403:R411)</f>
        <v>29.000000000000004</v>
      </c>
      <c r="S421" s="549">
        <f>SUM(S403:S411)</f>
        <v>0</v>
      </c>
      <c r="T421" s="549"/>
      <c r="U421" s="549"/>
      <c r="V421" s="549">
        <f>SUM(V403:V411)</f>
        <v>41.75</v>
      </c>
      <c r="W421" s="549"/>
      <c r="X421" s="549"/>
      <c r="Y421" s="549"/>
      <c r="Z421" s="549">
        <f>SUM(Z403:Z411)</f>
        <v>0</v>
      </c>
      <c r="AA421" s="549">
        <f>SUM(AA403:AA411)</f>
        <v>0</v>
      </c>
      <c r="AB421" s="549"/>
      <c r="AC421" s="549"/>
      <c r="AD421" s="549">
        <f>SUM(AD403:AD411)</f>
        <v>0</v>
      </c>
      <c r="AE421" s="24"/>
      <c r="AF421" s="29">
        <f t="shared" si="286"/>
        <v>201.75</v>
      </c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</row>
    <row r="422" spans="1:55" s="2" customFormat="1">
      <c r="A422"/>
      <c r="B422" s="31" t="s">
        <v>577</v>
      </c>
      <c r="C422" s="31"/>
      <c r="D422" s="91"/>
      <c r="E422" s="91"/>
      <c r="F422" s="90"/>
      <c r="G422" s="91"/>
      <c r="H422" s="91"/>
      <c r="I422" s="91"/>
      <c r="J422" s="90"/>
      <c r="K422" s="91"/>
      <c r="L422" s="430"/>
      <c r="M422" s="91"/>
      <c r="N422" s="90"/>
      <c r="O422" s="91"/>
      <c r="P422" s="91"/>
      <c r="Q422" s="91"/>
      <c r="R422" s="90"/>
      <c r="S422" s="91"/>
      <c r="T422" s="91"/>
      <c r="U422" s="91"/>
      <c r="V422" s="90"/>
      <c r="W422" s="91"/>
      <c r="X422" s="91"/>
      <c r="Y422" s="91"/>
      <c r="Z422" s="90"/>
      <c r="AA422" s="91"/>
      <c r="AB422" s="91"/>
      <c r="AC422" s="91"/>
      <c r="AD422" s="91"/>
      <c r="AE422" s="352"/>
      <c r="AF422" s="28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</row>
    <row r="423" spans="1:55" s="2" customFormat="1">
      <c r="A423"/>
      <c r="B423" s="31" t="s">
        <v>578</v>
      </c>
      <c r="C423" s="31"/>
      <c r="D423" s="91"/>
      <c r="E423" s="91"/>
      <c r="F423" s="90"/>
      <c r="G423" s="91"/>
      <c r="H423" s="91"/>
      <c r="I423" s="91"/>
      <c r="J423" s="90"/>
      <c r="K423" s="91"/>
      <c r="L423" s="430"/>
      <c r="M423" s="91"/>
      <c r="N423" s="90"/>
      <c r="O423" s="91"/>
      <c r="P423" s="91"/>
      <c r="Q423" s="91"/>
      <c r="R423" s="90"/>
      <c r="S423" s="91"/>
      <c r="T423" s="91"/>
      <c r="U423" s="91"/>
      <c r="V423" s="90"/>
      <c r="W423" s="91"/>
      <c r="X423" s="91"/>
      <c r="Y423" s="91"/>
      <c r="Z423" s="90"/>
      <c r="AA423" s="91"/>
      <c r="AB423" s="91"/>
      <c r="AC423" s="91"/>
      <c r="AD423" s="91"/>
      <c r="AE423" s="352"/>
      <c r="AF423" s="28">
        <f>SUM(D423:AD423)</f>
        <v>0</v>
      </c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</row>
    <row r="424" spans="1:55" s="2" customFormat="1" ht="14.25" thickBot="1">
      <c r="A424"/>
      <c r="B424" s="74" t="s">
        <v>579</v>
      </c>
      <c r="C424" s="74"/>
      <c r="D424" s="95"/>
      <c r="E424" s="95"/>
      <c r="F424" s="96"/>
      <c r="G424" s="95"/>
      <c r="H424" s="95"/>
      <c r="I424" s="95"/>
      <c r="J424" s="96"/>
      <c r="K424" s="95"/>
      <c r="L424" s="431"/>
      <c r="M424" s="95"/>
      <c r="N424" s="96"/>
      <c r="O424" s="95"/>
      <c r="P424" s="95"/>
      <c r="Q424" s="95"/>
      <c r="R424" s="96"/>
      <c r="S424" s="95"/>
      <c r="T424" s="95"/>
      <c r="U424" s="95"/>
      <c r="V424" s="96"/>
      <c r="W424" s="97"/>
      <c r="X424" s="97"/>
      <c r="Y424" s="97"/>
      <c r="Z424" s="96"/>
      <c r="AA424" s="97"/>
      <c r="AB424" s="97"/>
      <c r="AC424" s="97"/>
      <c r="AD424" s="97"/>
      <c r="AE424" s="97"/>
      <c r="AF424" s="80">
        <f>SUM(D424:AD424)</f>
        <v>0</v>
      </c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</row>
    <row r="425" spans="1:55" s="2" customFormat="1" ht="14.25" thickTop="1">
      <c r="A425"/>
      <c r="B425" s="1518" t="s">
        <v>18</v>
      </c>
      <c r="C425" s="1528" t="s">
        <v>571</v>
      </c>
      <c r="D425" s="1524">
        <v>45467</v>
      </c>
      <c r="E425" s="1524"/>
      <c r="F425" s="1524"/>
      <c r="G425" s="22"/>
      <c r="H425" s="1524">
        <f>D425+1</f>
        <v>45468</v>
      </c>
      <c r="I425" s="1524"/>
      <c r="J425" s="1524"/>
      <c r="K425" s="22"/>
      <c r="L425" s="1524">
        <f>H425+1</f>
        <v>45469</v>
      </c>
      <c r="M425" s="1524"/>
      <c r="N425" s="1524"/>
      <c r="O425" s="3"/>
      <c r="P425" s="1524">
        <f>L425+1</f>
        <v>45470</v>
      </c>
      <c r="Q425" s="1524"/>
      <c r="R425" s="1524"/>
      <c r="S425" s="3"/>
      <c r="T425" s="1524">
        <f>P425+1</f>
        <v>45471</v>
      </c>
      <c r="U425" s="1524"/>
      <c r="V425" s="1524"/>
      <c r="W425" s="22"/>
      <c r="X425" s="1524">
        <f>T425+1</f>
        <v>45472</v>
      </c>
      <c r="Y425" s="1524"/>
      <c r="Z425" s="1524"/>
      <c r="AA425" s="3"/>
      <c r="AB425" s="1524">
        <f>X425+1</f>
        <v>45473</v>
      </c>
      <c r="AC425" s="1524"/>
      <c r="AD425" s="1524"/>
      <c r="AE425" s="22"/>
      <c r="AF425" s="1517" t="s">
        <v>19</v>
      </c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</row>
    <row r="426" spans="1:55" s="2" customFormat="1">
      <c r="A426"/>
      <c r="B426" s="1518"/>
      <c r="C426" s="1528"/>
      <c r="D426" s="21" t="s">
        <v>23</v>
      </c>
      <c r="E426" s="21" t="s">
        <v>24</v>
      </c>
      <c r="F426" s="62" t="s">
        <v>25</v>
      </c>
      <c r="G426" s="23"/>
      <c r="H426" s="21" t="s">
        <v>23</v>
      </c>
      <c r="I426" s="21" t="s">
        <v>24</v>
      </c>
      <c r="J426" s="18" t="s">
        <v>25</v>
      </c>
      <c r="K426" s="23"/>
      <c r="L426" s="21" t="s">
        <v>23</v>
      </c>
      <c r="M426" s="21" t="s">
        <v>24</v>
      </c>
      <c r="N426" s="18" t="s">
        <v>25</v>
      </c>
      <c r="O426" s="23"/>
      <c r="P426" s="21" t="s">
        <v>23</v>
      </c>
      <c r="Q426" s="21" t="s">
        <v>24</v>
      </c>
      <c r="R426" s="18" t="s">
        <v>25</v>
      </c>
      <c r="S426" s="23"/>
      <c r="T426" s="21" t="s">
        <v>23</v>
      </c>
      <c r="U426" s="21" t="s">
        <v>24</v>
      </c>
      <c r="V426" s="18" t="s">
        <v>25</v>
      </c>
      <c r="W426" s="23"/>
      <c r="X426" s="21" t="s">
        <v>23</v>
      </c>
      <c r="Y426" s="21" t="s">
        <v>24</v>
      </c>
      <c r="Z426" s="18" t="s">
        <v>25</v>
      </c>
      <c r="AA426" s="23"/>
      <c r="AB426" s="21" t="s">
        <v>23</v>
      </c>
      <c r="AC426" s="21" t="s">
        <v>24</v>
      </c>
      <c r="AD426" s="18" t="s">
        <v>25</v>
      </c>
      <c r="AE426" s="23"/>
      <c r="AF426" s="1517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</row>
    <row r="427" spans="1:55" s="2" customFormat="1" ht="14.25">
      <c r="A427"/>
      <c r="B427" s="561" t="s">
        <v>653</v>
      </c>
      <c r="C427" s="559" t="s">
        <v>809</v>
      </c>
      <c r="D427" s="560">
        <v>0.33333333333333331</v>
      </c>
      <c r="E427" s="560">
        <v>0.70833333333333337</v>
      </c>
      <c r="F427" s="572">
        <f t="shared" ref="F427:F430" si="298">(E427-D427)*24</f>
        <v>9.0000000000000018</v>
      </c>
      <c r="G427" s="573"/>
      <c r="H427" s="560">
        <v>0.33333333333333331</v>
      </c>
      <c r="I427" s="560">
        <v>0.70833333333333337</v>
      </c>
      <c r="J427" s="574">
        <f t="shared" ref="J427:J430" si="299">(I427-H427)*24</f>
        <v>9.0000000000000018</v>
      </c>
      <c r="K427" s="573"/>
      <c r="L427" s="575">
        <v>0.35416666666666669</v>
      </c>
      <c r="M427" s="560">
        <v>0.70833333333333337</v>
      </c>
      <c r="N427" s="574">
        <f t="shared" ref="N427:N430" si="300">(M427-L427)*24</f>
        <v>8.5</v>
      </c>
      <c r="O427" s="573"/>
      <c r="P427" s="560">
        <v>0.35416666666666669</v>
      </c>
      <c r="Q427" s="560">
        <v>0.625</v>
      </c>
      <c r="R427" s="574">
        <f t="shared" ref="R427:R430" si="301">(Q427-P427)*24</f>
        <v>6.5</v>
      </c>
      <c r="S427" s="573"/>
      <c r="T427" s="560"/>
      <c r="U427" s="560"/>
      <c r="V427" s="574">
        <f t="shared" ref="V427:V430" si="302">(U427-T427)*24</f>
        <v>0</v>
      </c>
      <c r="W427" s="573"/>
      <c r="X427" s="560"/>
      <c r="Y427" s="560"/>
      <c r="Z427" s="574">
        <f t="shared" ref="Z427:Z430" si="303">(Y427-X427)*24</f>
        <v>0</v>
      </c>
      <c r="AA427" s="573"/>
      <c r="AB427" s="560"/>
      <c r="AC427" s="560"/>
      <c r="AD427" s="574">
        <f t="shared" ref="AD427:AD430" si="304">(AC427-AB427)*24</f>
        <v>0</v>
      </c>
      <c r="AE427" s="24"/>
      <c r="AF427" s="29">
        <f t="shared" ref="AF427:AF439" si="305">J427+F427+N427+R427+V427+Z427+AD427</f>
        <v>33</v>
      </c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</row>
    <row r="428" spans="1:55" s="2" customFormat="1" ht="14.25">
      <c r="A428"/>
      <c r="B428" s="583" t="s">
        <v>42</v>
      </c>
      <c r="C428" s="559" t="s">
        <v>809</v>
      </c>
      <c r="D428" s="560"/>
      <c r="E428" s="560"/>
      <c r="F428" s="572">
        <f t="shared" si="298"/>
        <v>0</v>
      </c>
      <c r="G428" s="573"/>
      <c r="H428" s="560">
        <v>0.33333333333333331</v>
      </c>
      <c r="I428" s="560">
        <v>0.70833333333333337</v>
      </c>
      <c r="J428" s="574">
        <f t="shared" si="299"/>
        <v>9.0000000000000018</v>
      </c>
      <c r="K428" s="573"/>
      <c r="L428" s="575">
        <v>0.33333333333333331</v>
      </c>
      <c r="M428" s="560">
        <v>0.70833333333333337</v>
      </c>
      <c r="N428" s="574">
        <f t="shared" si="300"/>
        <v>9.0000000000000018</v>
      </c>
      <c r="O428" s="573"/>
      <c r="P428" s="560">
        <v>0.33333333333333331</v>
      </c>
      <c r="Q428" s="560">
        <v>0.625</v>
      </c>
      <c r="R428" s="574">
        <f t="shared" si="301"/>
        <v>7</v>
      </c>
      <c r="S428" s="573"/>
      <c r="T428" s="560"/>
      <c r="U428" s="560"/>
      <c r="V428" s="574">
        <f t="shared" si="302"/>
        <v>0</v>
      </c>
      <c r="W428" s="573"/>
      <c r="X428" s="560"/>
      <c r="Y428" s="560"/>
      <c r="Z428" s="574">
        <f t="shared" si="303"/>
        <v>0</v>
      </c>
      <c r="AA428" s="573"/>
      <c r="AB428" s="560"/>
      <c r="AC428" s="560"/>
      <c r="AD428" s="574">
        <f t="shared" si="304"/>
        <v>0</v>
      </c>
      <c r="AE428" s="24"/>
      <c r="AF428" s="29">
        <f t="shared" si="305"/>
        <v>25.000000000000004</v>
      </c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</row>
    <row r="429" spans="1:55" s="2" customFormat="1" ht="14.25">
      <c r="A429"/>
      <c r="B429" s="434" t="s">
        <v>714</v>
      </c>
      <c r="C429" s="559" t="s">
        <v>809</v>
      </c>
      <c r="D429" s="560">
        <v>0.35416666666666669</v>
      </c>
      <c r="E429" s="560">
        <v>0.70833333333333337</v>
      </c>
      <c r="F429" s="572">
        <f t="shared" si="298"/>
        <v>8.5</v>
      </c>
      <c r="G429" s="573"/>
      <c r="H429" s="560">
        <v>0.35416666666666669</v>
      </c>
      <c r="I429" s="560">
        <v>0.70833333333333337</v>
      </c>
      <c r="J429" s="574">
        <f t="shared" si="299"/>
        <v>8.5</v>
      </c>
      <c r="K429" s="573"/>
      <c r="L429" s="575"/>
      <c r="M429" s="560"/>
      <c r="N429" s="574">
        <f t="shared" si="300"/>
        <v>0</v>
      </c>
      <c r="O429" s="573"/>
      <c r="P429" s="560">
        <v>0.39583333333333331</v>
      </c>
      <c r="Q429" s="560">
        <v>0.625</v>
      </c>
      <c r="R429" s="574">
        <f t="shared" si="301"/>
        <v>5.5</v>
      </c>
      <c r="S429" s="573"/>
      <c r="T429" s="560"/>
      <c r="U429" s="560"/>
      <c r="V429" s="574">
        <f t="shared" si="302"/>
        <v>0</v>
      </c>
      <c r="W429" s="573"/>
      <c r="X429" s="560"/>
      <c r="Y429" s="560"/>
      <c r="Z429" s="574">
        <f t="shared" si="303"/>
        <v>0</v>
      </c>
      <c r="AA429" s="573"/>
      <c r="AB429" s="560"/>
      <c r="AC429" s="560"/>
      <c r="AD429" s="574">
        <f t="shared" si="304"/>
        <v>0</v>
      </c>
      <c r="AE429" s="24"/>
      <c r="AF429" s="29">
        <f t="shared" si="305"/>
        <v>22.5</v>
      </c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</row>
    <row r="430" spans="1:55" s="2" customFormat="1" ht="14.25">
      <c r="A430"/>
      <c r="B430" s="561" t="s">
        <v>54</v>
      </c>
      <c r="C430" s="559" t="s">
        <v>809</v>
      </c>
      <c r="D430" s="560">
        <v>0.35416666666666669</v>
      </c>
      <c r="E430" s="560">
        <v>0.70833333333333337</v>
      </c>
      <c r="F430" s="572">
        <f t="shared" si="298"/>
        <v>8.5</v>
      </c>
      <c r="G430" s="573"/>
      <c r="H430" s="560"/>
      <c r="I430" s="560"/>
      <c r="J430" s="574">
        <f t="shared" si="299"/>
        <v>0</v>
      </c>
      <c r="K430" s="573"/>
      <c r="L430" s="575"/>
      <c r="M430" s="560"/>
      <c r="N430" s="574">
        <f t="shared" si="300"/>
        <v>0</v>
      </c>
      <c r="O430" s="573"/>
      <c r="P430" s="560"/>
      <c r="Q430" s="560"/>
      <c r="R430" s="574">
        <f t="shared" si="301"/>
        <v>0</v>
      </c>
      <c r="S430" s="573"/>
      <c r="T430" s="560"/>
      <c r="U430" s="560"/>
      <c r="V430" s="574">
        <f t="shared" si="302"/>
        <v>0</v>
      </c>
      <c r="W430" s="573"/>
      <c r="X430" s="560"/>
      <c r="Y430" s="560"/>
      <c r="Z430" s="574">
        <f t="shared" si="303"/>
        <v>0</v>
      </c>
      <c r="AA430" s="573"/>
      <c r="AB430" s="560"/>
      <c r="AC430" s="560"/>
      <c r="AD430" s="574">
        <f t="shared" si="304"/>
        <v>0</v>
      </c>
      <c r="AE430" s="24"/>
      <c r="AF430" s="29">
        <f t="shared" si="305"/>
        <v>8.5</v>
      </c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</row>
    <row r="431" spans="1:55" s="2" customFormat="1" ht="14.25">
      <c r="A431"/>
      <c r="B431" s="561" t="s">
        <v>576</v>
      </c>
      <c r="C431" s="559" t="s">
        <v>809</v>
      </c>
      <c r="D431" s="560">
        <v>0.33333333333333331</v>
      </c>
      <c r="E431" s="560">
        <v>0.70833333333333337</v>
      </c>
      <c r="F431" s="572">
        <f t="shared" ref="F431:F438" si="306">(E431-D431)*24</f>
        <v>9.0000000000000018</v>
      </c>
      <c r="G431" s="573"/>
      <c r="H431" s="560">
        <v>0.33333333333333331</v>
      </c>
      <c r="I431" s="560">
        <v>0.70833333333333337</v>
      </c>
      <c r="J431" s="574">
        <f t="shared" ref="J431:J438" si="307">(I431-H431)*24</f>
        <v>9.0000000000000018</v>
      </c>
      <c r="K431" s="573"/>
      <c r="L431" s="575">
        <v>0.35416666666666669</v>
      </c>
      <c r="M431" s="560">
        <v>0.70833333333333337</v>
      </c>
      <c r="N431" s="574">
        <f t="shared" ref="N431:N438" si="308">(M431-L431)*24</f>
        <v>8.5</v>
      </c>
      <c r="O431" s="573"/>
      <c r="P431" s="560">
        <v>0.35416666666666669</v>
      </c>
      <c r="Q431" s="560">
        <v>0.625</v>
      </c>
      <c r="R431" s="574">
        <f t="shared" ref="R431:R438" si="309">(Q431-P431)*24</f>
        <v>6.5</v>
      </c>
      <c r="S431" s="573"/>
      <c r="T431" s="560"/>
      <c r="U431" s="560"/>
      <c r="V431" s="574">
        <f t="shared" ref="V431:V438" si="310">(U431-T431)*24</f>
        <v>0</v>
      </c>
      <c r="W431" s="573"/>
      <c r="X431" s="560"/>
      <c r="Y431" s="560"/>
      <c r="Z431" s="574"/>
      <c r="AA431" s="573"/>
      <c r="AB431" s="560"/>
      <c r="AC431" s="560"/>
      <c r="AD431" s="574"/>
      <c r="AE431" s="24"/>
      <c r="AF431" s="29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</row>
    <row r="432" spans="1:55" s="2" customFormat="1" ht="14.25">
      <c r="A432"/>
      <c r="B432" s="434" t="s">
        <v>810</v>
      </c>
      <c r="C432" s="559" t="s">
        <v>809</v>
      </c>
      <c r="D432" s="560">
        <v>0.33333333333333331</v>
      </c>
      <c r="E432" s="560">
        <v>0.70833333333333337</v>
      </c>
      <c r="F432" s="572">
        <f t="shared" si="306"/>
        <v>9.0000000000000018</v>
      </c>
      <c r="G432" s="573"/>
      <c r="H432" s="560">
        <v>0.33333333333333331</v>
      </c>
      <c r="I432" s="560">
        <v>0.70833333333333337</v>
      </c>
      <c r="J432" s="574">
        <f t="shared" si="307"/>
        <v>9.0000000000000018</v>
      </c>
      <c r="K432" s="573"/>
      <c r="L432" s="575">
        <v>0.33333333333333331</v>
      </c>
      <c r="M432" s="560">
        <v>0.70833333333333337</v>
      </c>
      <c r="N432" s="574">
        <f t="shared" si="308"/>
        <v>9.0000000000000018</v>
      </c>
      <c r="O432" s="573"/>
      <c r="P432" s="560">
        <v>0.33333333333333331</v>
      </c>
      <c r="Q432" s="560">
        <v>0.625</v>
      </c>
      <c r="R432" s="574">
        <f t="shared" si="309"/>
        <v>7</v>
      </c>
      <c r="S432" s="573"/>
      <c r="T432" s="560"/>
      <c r="U432" s="560"/>
      <c r="V432" s="574">
        <f t="shared" si="310"/>
        <v>0</v>
      </c>
      <c r="W432" s="573"/>
      <c r="X432" s="560"/>
      <c r="Y432" s="560"/>
      <c r="Z432" s="574"/>
      <c r="AA432" s="573"/>
      <c r="AB432" s="560"/>
      <c r="AC432" s="560"/>
      <c r="AD432" s="574"/>
      <c r="AE432" s="24"/>
      <c r="AF432" s="29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</row>
    <row r="433" spans="1:55" s="2" customFormat="1" ht="14.25">
      <c r="A433"/>
      <c r="B433" s="434" t="s">
        <v>52</v>
      </c>
      <c r="C433" s="559" t="s">
        <v>809</v>
      </c>
      <c r="D433" s="560">
        <v>0.33333333333333331</v>
      </c>
      <c r="E433" s="560">
        <v>0.70833333333333337</v>
      </c>
      <c r="F433" s="572">
        <f t="shared" si="306"/>
        <v>9.0000000000000018</v>
      </c>
      <c r="G433" s="573"/>
      <c r="H433" s="560">
        <v>0.33333333333333331</v>
      </c>
      <c r="I433" s="560">
        <v>0.70833333333333337</v>
      </c>
      <c r="J433" s="574">
        <f t="shared" si="307"/>
        <v>9.0000000000000018</v>
      </c>
      <c r="K433" s="573"/>
      <c r="L433" s="575">
        <v>0.33333333333333331</v>
      </c>
      <c r="M433" s="560">
        <v>0.70833333333333337</v>
      </c>
      <c r="N433" s="574">
        <f t="shared" si="308"/>
        <v>9.0000000000000018</v>
      </c>
      <c r="O433" s="573"/>
      <c r="P433" s="560">
        <v>0.33333333333333331</v>
      </c>
      <c r="Q433" s="560">
        <v>0.625</v>
      </c>
      <c r="R433" s="574">
        <f t="shared" si="309"/>
        <v>7</v>
      </c>
      <c r="S433" s="573"/>
      <c r="T433" s="560"/>
      <c r="U433" s="560"/>
      <c r="V433" s="574">
        <f t="shared" si="310"/>
        <v>0</v>
      </c>
      <c r="W433" s="573"/>
      <c r="X433" s="560"/>
      <c r="Y433" s="560"/>
      <c r="Z433" s="574"/>
      <c r="AA433" s="573"/>
      <c r="AB433" s="560"/>
      <c r="AC433" s="560"/>
      <c r="AD433" s="574"/>
      <c r="AE433" s="24"/>
      <c r="AF433" s="29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</row>
    <row r="434" spans="1:55" s="2" customFormat="1" ht="14.25">
      <c r="A434"/>
      <c r="B434" s="553" t="s">
        <v>637</v>
      </c>
      <c r="C434" s="547" t="s">
        <v>809</v>
      </c>
      <c r="D434" s="560">
        <v>0.33333333333333331</v>
      </c>
      <c r="E434" s="560">
        <v>0.70833333333333337</v>
      </c>
      <c r="F434" s="572">
        <f t="shared" si="306"/>
        <v>9.0000000000000018</v>
      </c>
      <c r="G434" s="573"/>
      <c r="H434" s="560">
        <v>0.35416666666666669</v>
      </c>
      <c r="I434" s="560">
        <v>0.70833333333333337</v>
      </c>
      <c r="J434" s="574">
        <f t="shared" si="307"/>
        <v>8.5</v>
      </c>
      <c r="K434" s="573"/>
      <c r="L434" s="575"/>
      <c r="M434" s="560"/>
      <c r="N434" s="574">
        <f t="shared" si="308"/>
        <v>0</v>
      </c>
      <c r="O434" s="573"/>
      <c r="P434" s="560"/>
      <c r="Q434" s="560"/>
      <c r="R434" s="574">
        <f t="shared" si="309"/>
        <v>0</v>
      </c>
      <c r="S434" s="573"/>
      <c r="T434" s="560"/>
      <c r="U434" s="560"/>
      <c r="V434" s="574">
        <f t="shared" si="310"/>
        <v>0</v>
      </c>
      <c r="W434" s="573"/>
      <c r="X434" s="560"/>
      <c r="Y434" s="560"/>
      <c r="Z434" s="574"/>
      <c r="AA434" s="573"/>
      <c r="AB434" s="560"/>
      <c r="AC434" s="560"/>
      <c r="AD434" s="574"/>
      <c r="AE434" s="24"/>
      <c r="AF434" s="29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</row>
    <row r="435" spans="1:55" s="2" customFormat="1" ht="14.25">
      <c r="A435"/>
      <c r="B435" s="562" t="s">
        <v>54</v>
      </c>
      <c r="C435" s="559" t="s">
        <v>816</v>
      </c>
      <c r="D435" s="560"/>
      <c r="E435" s="560"/>
      <c r="F435" s="572">
        <f t="shared" si="306"/>
        <v>0</v>
      </c>
      <c r="G435" s="573"/>
      <c r="H435" s="560">
        <v>0.375</v>
      </c>
      <c r="I435" s="560">
        <v>0.75</v>
      </c>
      <c r="J435" s="574">
        <f t="shared" si="307"/>
        <v>9</v>
      </c>
      <c r="K435" s="573"/>
      <c r="L435" s="575">
        <v>0.39583333333333331</v>
      </c>
      <c r="M435" s="560">
        <v>0.72916666666666663</v>
      </c>
      <c r="N435" s="574">
        <f t="shared" si="308"/>
        <v>8</v>
      </c>
      <c r="O435" s="573"/>
      <c r="P435" s="560"/>
      <c r="Q435" s="560"/>
      <c r="R435" s="574">
        <f t="shared" si="309"/>
        <v>0</v>
      </c>
      <c r="S435" s="573"/>
      <c r="T435" s="560"/>
      <c r="U435" s="560"/>
      <c r="V435" s="574">
        <f t="shared" si="310"/>
        <v>0</v>
      </c>
      <c r="W435" s="573"/>
      <c r="X435" s="560"/>
      <c r="Y435" s="560"/>
      <c r="Z435" s="574"/>
      <c r="AA435" s="573"/>
      <c r="AB435" s="560"/>
      <c r="AC435" s="560"/>
      <c r="AD435" s="574"/>
      <c r="AE435" s="24"/>
      <c r="AF435" s="29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</row>
    <row r="436" spans="1:55" s="2" customFormat="1" ht="14.25">
      <c r="A436"/>
      <c r="B436" s="562" t="s">
        <v>572</v>
      </c>
      <c r="C436" s="559" t="s">
        <v>816</v>
      </c>
      <c r="D436" s="560"/>
      <c r="E436" s="560"/>
      <c r="F436" s="572">
        <f t="shared" si="306"/>
        <v>0</v>
      </c>
      <c r="G436" s="573"/>
      <c r="H436" s="560">
        <v>0.375</v>
      </c>
      <c r="I436" s="560">
        <v>0.75</v>
      </c>
      <c r="J436" s="574">
        <f t="shared" si="307"/>
        <v>9</v>
      </c>
      <c r="K436" s="573"/>
      <c r="L436" s="575">
        <v>0.375</v>
      </c>
      <c r="M436" s="560">
        <v>0.79166666666666663</v>
      </c>
      <c r="N436" s="574">
        <f t="shared" si="308"/>
        <v>10</v>
      </c>
      <c r="O436" s="573"/>
      <c r="P436" s="560"/>
      <c r="Q436" s="560"/>
      <c r="R436" s="574">
        <f t="shared" si="309"/>
        <v>0</v>
      </c>
      <c r="S436" s="573"/>
      <c r="T436" s="560"/>
      <c r="U436" s="560"/>
      <c r="V436" s="574">
        <f t="shared" si="310"/>
        <v>0</v>
      </c>
      <c r="W436" s="573"/>
      <c r="X436" s="560"/>
      <c r="Y436" s="560"/>
      <c r="Z436" s="574"/>
      <c r="AA436" s="573"/>
      <c r="AB436" s="560"/>
      <c r="AC436" s="560"/>
      <c r="AD436" s="574"/>
      <c r="AE436" s="24"/>
      <c r="AF436" s="29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</row>
    <row r="437" spans="1:55" s="2" customFormat="1" ht="14.25">
      <c r="A437"/>
      <c r="B437" s="562" t="s">
        <v>54</v>
      </c>
      <c r="C437" s="559" t="s">
        <v>817</v>
      </c>
      <c r="D437" s="560"/>
      <c r="E437" s="560"/>
      <c r="F437" s="572">
        <f t="shared" si="306"/>
        <v>0</v>
      </c>
      <c r="G437" s="573"/>
      <c r="H437" s="560"/>
      <c r="I437" s="560"/>
      <c r="J437" s="574">
        <f t="shared" si="307"/>
        <v>0</v>
      </c>
      <c r="K437" s="573"/>
      <c r="L437" s="575"/>
      <c r="M437" s="560"/>
      <c r="N437" s="574">
        <f t="shared" si="308"/>
        <v>0</v>
      </c>
      <c r="O437" s="573"/>
      <c r="P437" s="560"/>
      <c r="Q437" s="560"/>
      <c r="R437" s="574">
        <f t="shared" si="309"/>
        <v>0</v>
      </c>
      <c r="S437" s="573"/>
      <c r="T437" s="560">
        <v>0.375</v>
      </c>
      <c r="U437" s="560">
        <v>0.66666666666666663</v>
      </c>
      <c r="V437" s="574">
        <f t="shared" si="310"/>
        <v>6.9999999999999991</v>
      </c>
      <c r="W437" s="573"/>
      <c r="X437" s="560"/>
      <c r="Y437" s="560"/>
      <c r="Z437" s="574"/>
      <c r="AA437" s="573"/>
      <c r="AB437" s="560"/>
      <c r="AC437" s="560"/>
      <c r="AD437" s="574"/>
      <c r="AE437" s="24"/>
      <c r="AF437" s="29">
        <v>7</v>
      </c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</row>
    <row r="438" spans="1:55" s="2" customFormat="1" ht="14.25">
      <c r="A438"/>
      <c r="B438" s="583" t="s">
        <v>42</v>
      </c>
      <c r="C438" s="559" t="s">
        <v>817</v>
      </c>
      <c r="D438" s="560"/>
      <c r="E438" s="560"/>
      <c r="F438" s="572">
        <f t="shared" si="306"/>
        <v>0</v>
      </c>
      <c r="G438" s="573"/>
      <c r="H438" s="560"/>
      <c r="I438" s="560"/>
      <c r="J438" s="574">
        <f t="shared" si="307"/>
        <v>0</v>
      </c>
      <c r="K438" s="573"/>
      <c r="L438" s="575"/>
      <c r="M438" s="560"/>
      <c r="N438" s="574">
        <f t="shared" si="308"/>
        <v>0</v>
      </c>
      <c r="O438" s="573"/>
      <c r="P438" s="560"/>
      <c r="Q438" s="560"/>
      <c r="R438" s="574">
        <f t="shared" si="309"/>
        <v>0</v>
      </c>
      <c r="S438" s="573"/>
      <c r="T438" s="560">
        <v>0.375</v>
      </c>
      <c r="U438" s="560">
        <v>0.66666666666666663</v>
      </c>
      <c r="V438" s="574">
        <f t="shared" si="310"/>
        <v>6.9999999999999991</v>
      </c>
      <c r="W438" s="573"/>
      <c r="X438" s="560"/>
      <c r="Y438" s="560"/>
      <c r="Z438" s="574"/>
      <c r="AA438" s="573"/>
      <c r="AB438" s="560"/>
      <c r="AC438" s="560"/>
      <c r="AD438" s="574"/>
      <c r="AE438" s="24"/>
      <c r="AF438" s="29">
        <v>7</v>
      </c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</row>
    <row r="439" spans="1:55" s="2" customFormat="1" ht="14.25">
      <c r="A439"/>
      <c r="B439" s="563" t="s">
        <v>61</v>
      </c>
      <c r="C439" s="563"/>
      <c r="D439" s="560"/>
      <c r="E439" s="560"/>
      <c r="F439" s="549">
        <f>SUM(F427:F438)</f>
        <v>62</v>
      </c>
      <c r="G439" s="549">
        <f>SUM(G427:G438)</f>
        <v>0</v>
      </c>
      <c r="H439" s="549"/>
      <c r="I439" s="549"/>
      <c r="J439" s="549">
        <f>SUM(J427:J438)</f>
        <v>80</v>
      </c>
      <c r="K439" s="549">
        <f>SUM(K427:K438)</f>
        <v>0</v>
      </c>
      <c r="L439" s="549"/>
      <c r="M439" s="549"/>
      <c r="N439" s="549">
        <f>SUM(N427:N438)</f>
        <v>62</v>
      </c>
      <c r="O439" s="549">
        <f>SUM(O427:O438)</f>
        <v>0</v>
      </c>
      <c r="P439" s="549"/>
      <c r="Q439" s="549"/>
      <c r="R439" s="549">
        <f>SUM(R427:R438)</f>
        <v>39.5</v>
      </c>
      <c r="S439" s="549">
        <f>SUM(S427:S438)</f>
        <v>0</v>
      </c>
      <c r="T439" s="549"/>
      <c r="U439" s="549"/>
      <c r="V439" s="549">
        <f>SUM(V427:V438)</f>
        <v>13.999999999999998</v>
      </c>
      <c r="W439" s="549">
        <f>SUM(W427:W438)</f>
        <v>0</v>
      </c>
      <c r="X439" s="549"/>
      <c r="Y439" s="549"/>
      <c r="Z439" s="549">
        <f>SUM(Z427:Z438)</f>
        <v>0</v>
      </c>
      <c r="AA439" s="549">
        <f>SUM(AA427:AA438)</f>
        <v>0</v>
      </c>
      <c r="AB439" s="549"/>
      <c r="AC439" s="549"/>
      <c r="AD439" s="549">
        <f>SUM(AD427:AD438)</f>
        <v>0</v>
      </c>
      <c r="AE439" s="24"/>
      <c r="AF439" s="29">
        <f t="shared" si="305"/>
        <v>257.5</v>
      </c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</row>
    <row r="440" spans="1:55" s="2" customFormat="1">
      <c r="A440"/>
      <c r="B440" s="31" t="s">
        <v>577</v>
      </c>
      <c r="C440" s="31"/>
      <c r="D440" s="91"/>
      <c r="E440" s="91"/>
      <c r="F440" s="90"/>
      <c r="G440" s="91"/>
      <c r="H440" s="91"/>
      <c r="I440" s="91"/>
      <c r="J440" s="90"/>
      <c r="K440" s="91"/>
      <c r="L440" s="430"/>
      <c r="M440" s="91"/>
      <c r="N440" s="90"/>
      <c r="O440" s="91"/>
      <c r="P440" s="91"/>
      <c r="Q440" s="91"/>
      <c r="R440" s="90"/>
      <c r="S440" s="91"/>
      <c r="T440" s="91"/>
      <c r="U440" s="91"/>
      <c r="V440" s="90"/>
      <c r="W440" s="91"/>
      <c r="X440" s="91"/>
      <c r="Y440" s="91"/>
      <c r="Z440" s="90"/>
      <c r="AA440" s="91"/>
      <c r="AB440" s="91"/>
      <c r="AC440" s="91"/>
      <c r="AD440" s="91"/>
      <c r="AE440" s="352"/>
      <c r="AF440" s="28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</row>
    <row r="441" spans="1:55" s="2" customFormat="1">
      <c r="A441"/>
      <c r="B441" s="31" t="s">
        <v>578</v>
      </c>
      <c r="C441" s="31"/>
      <c r="D441" s="91"/>
      <c r="E441" s="91"/>
      <c r="F441" s="90"/>
      <c r="G441" s="91"/>
      <c r="H441" s="91"/>
      <c r="I441" s="91"/>
      <c r="J441" s="90"/>
      <c r="K441" s="91"/>
      <c r="L441" s="430"/>
      <c r="M441" s="91"/>
      <c r="N441" s="90"/>
      <c r="O441" s="91"/>
      <c r="P441" s="91"/>
      <c r="Q441" s="91"/>
      <c r="R441" s="90"/>
      <c r="S441" s="91"/>
      <c r="T441" s="91"/>
      <c r="U441" s="91"/>
      <c r="V441" s="90"/>
      <c r="W441" s="91"/>
      <c r="X441" s="91"/>
      <c r="Y441" s="91"/>
      <c r="Z441" s="90"/>
      <c r="AA441" s="91"/>
      <c r="AB441" s="91"/>
      <c r="AC441" s="91"/>
      <c r="AD441" s="91"/>
      <c r="AE441" s="352"/>
      <c r="AF441" s="28">
        <f>SUM(D441:AD441)</f>
        <v>0</v>
      </c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</row>
    <row r="442" spans="1:55" s="2" customFormat="1" ht="14.25" thickBot="1">
      <c r="A442"/>
      <c r="B442" s="74" t="s">
        <v>579</v>
      </c>
      <c r="C442" s="74"/>
      <c r="D442" s="95"/>
      <c r="E442" s="95"/>
      <c r="F442" s="96"/>
      <c r="G442" s="95"/>
      <c r="H442" s="95"/>
      <c r="I442" s="95"/>
      <c r="J442" s="96"/>
      <c r="K442" s="95"/>
      <c r="L442" s="431"/>
      <c r="M442" s="95"/>
      <c r="N442" s="96"/>
      <c r="O442" s="95"/>
      <c r="P442" s="95"/>
      <c r="Q442" s="95"/>
      <c r="R442" s="96"/>
      <c r="S442" s="95"/>
      <c r="T442" s="95"/>
      <c r="U442" s="95"/>
      <c r="V442" s="96"/>
      <c r="W442" s="97"/>
      <c r="X442" s="97"/>
      <c r="Y442" s="97"/>
      <c r="Z442" s="96"/>
      <c r="AA442" s="97"/>
      <c r="AB442" s="97"/>
      <c r="AC442" s="97"/>
      <c r="AD442" s="97"/>
      <c r="AE442" s="97"/>
      <c r="AF442" s="80">
        <f>SUM(D442:AD442)</f>
        <v>0</v>
      </c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</row>
    <row r="443" spans="1:55" s="2" customFormat="1" ht="14.25" thickTop="1">
      <c r="A443"/>
      <c r="B443" s="1518" t="s">
        <v>18</v>
      </c>
      <c r="C443" s="1528" t="s">
        <v>571</v>
      </c>
      <c r="D443" s="1524">
        <v>45474</v>
      </c>
      <c r="E443" s="1524"/>
      <c r="F443" s="1524"/>
      <c r="G443" s="22"/>
      <c r="H443" s="1524">
        <f>D443+1</f>
        <v>45475</v>
      </c>
      <c r="I443" s="1524"/>
      <c r="J443" s="1524"/>
      <c r="K443" s="22"/>
      <c r="L443" s="1524">
        <f>H443+1</f>
        <v>45476</v>
      </c>
      <c r="M443" s="1524"/>
      <c r="N443" s="1524"/>
      <c r="O443" s="3"/>
      <c r="P443" s="1524">
        <f>L443+1</f>
        <v>45477</v>
      </c>
      <c r="Q443" s="1524"/>
      <c r="R443" s="1524"/>
      <c r="S443" s="3"/>
      <c r="T443" s="1524">
        <f>P443+1</f>
        <v>45478</v>
      </c>
      <c r="U443" s="1524"/>
      <c r="V443" s="1524"/>
      <c r="W443" s="22"/>
      <c r="X443" s="1524">
        <f>T443+1</f>
        <v>45479</v>
      </c>
      <c r="Y443" s="1524"/>
      <c r="Z443" s="1524"/>
      <c r="AA443" s="3"/>
      <c r="AB443" s="1524">
        <f>X443+1</f>
        <v>45480</v>
      </c>
      <c r="AC443" s="1524"/>
      <c r="AD443" s="1524"/>
      <c r="AE443" s="22"/>
      <c r="AF443" s="1517" t="s">
        <v>19</v>
      </c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</row>
    <row r="444" spans="1:55" s="2" customFormat="1">
      <c r="A444"/>
      <c r="B444" s="1518"/>
      <c r="C444" s="1528"/>
      <c r="D444" s="21" t="s">
        <v>23</v>
      </c>
      <c r="E444" s="21" t="s">
        <v>24</v>
      </c>
      <c r="F444" s="62" t="s">
        <v>25</v>
      </c>
      <c r="G444" s="23"/>
      <c r="H444" s="21" t="s">
        <v>23</v>
      </c>
      <c r="I444" s="21" t="s">
        <v>24</v>
      </c>
      <c r="J444" s="18" t="s">
        <v>25</v>
      </c>
      <c r="K444" s="23"/>
      <c r="L444" s="21" t="s">
        <v>23</v>
      </c>
      <c r="M444" s="21" t="s">
        <v>24</v>
      </c>
      <c r="N444" s="18" t="s">
        <v>25</v>
      </c>
      <c r="O444" s="23"/>
      <c r="P444" s="21" t="s">
        <v>23</v>
      </c>
      <c r="Q444" s="21" t="s">
        <v>24</v>
      </c>
      <c r="R444" s="18" t="s">
        <v>25</v>
      </c>
      <c r="S444" s="23"/>
      <c r="T444" s="21" t="s">
        <v>23</v>
      </c>
      <c r="U444" s="21" t="s">
        <v>24</v>
      </c>
      <c r="V444" s="18" t="s">
        <v>25</v>
      </c>
      <c r="W444" s="23"/>
      <c r="X444" s="21" t="s">
        <v>23</v>
      </c>
      <c r="Y444" s="21" t="s">
        <v>24</v>
      </c>
      <c r="Z444" s="18" t="s">
        <v>25</v>
      </c>
      <c r="AA444" s="23"/>
      <c r="AB444" s="21" t="s">
        <v>23</v>
      </c>
      <c r="AC444" s="21" t="s">
        <v>24</v>
      </c>
      <c r="AD444" s="18" t="s">
        <v>25</v>
      </c>
      <c r="AE444" s="23"/>
      <c r="AF444" s="1517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</row>
    <row r="445" spans="1:55" s="2" customFormat="1" ht="27">
      <c r="A445"/>
      <c r="B445" s="553" t="s">
        <v>42</v>
      </c>
      <c r="C445" s="547" t="s">
        <v>818</v>
      </c>
      <c r="D445" s="548">
        <v>0.375</v>
      </c>
      <c r="E445" s="548">
        <v>0.75</v>
      </c>
      <c r="F445" s="549">
        <f t="shared" ref="F445:F448" si="311">(E445-D445)*24</f>
        <v>9</v>
      </c>
      <c r="G445" s="550"/>
      <c r="H445" s="548">
        <v>0.375</v>
      </c>
      <c r="I445" s="548">
        <v>0.75</v>
      </c>
      <c r="J445" s="551">
        <f t="shared" ref="J445:J448" si="312">(I445-H445)*24</f>
        <v>9</v>
      </c>
      <c r="K445" s="550"/>
      <c r="L445" s="552">
        <v>0.375</v>
      </c>
      <c r="M445" s="548">
        <v>0.75</v>
      </c>
      <c r="N445" s="551">
        <f t="shared" ref="N445:N448" si="313">(M445-L445)*24</f>
        <v>9</v>
      </c>
      <c r="O445" s="550"/>
      <c r="P445" s="548"/>
      <c r="Q445" s="548"/>
      <c r="R445" s="551">
        <f t="shared" ref="R445:R448" si="314">(Q445-P445)*24</f>
        <v>0</v>
      </c>
      <c r="S445" s="550"/>
      <c r="T445" s="548"/>
      <c r="U445" s="548"/>
      <c r="V445" s="551">
        <f t="shared" ref="V445:V448" si="315">(U445-T445)*24</f>
        <v>0</v>
      </c>
      <c r="W445" s="550"/>
      <c r="X445" s="548"/>
      <c r="Y445" s="548"/>
      <c r="Z445" s="551">
        <f t="shared" ref="Z445:Z448" si="316">(Y445-X445)*24</f>
        <v>0</v>
      </c>
      <c r="AA445" s="550"/>
      <c r="AB445" s="548"/>
      <c r="AC445" s="548"/>
      <c r="AD445" s="551">
        <f t="shared" ref="AD445:AD448" si="317">(AC445-AB445)*24</f>
        <v>0</v>
      </c>
      <c r="AE445" s="24"/>
      <c r="AF445" s="29">
        <f t="shared" ref="AF445:AF455" si="318">J445+F445+N445+R445+V445+Z445+AD445</f>
        <v>27</v>
      </c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</row>
    <row r="446" spans="1:55" s="2" customFormat="1" ht="27">
      <c r="A446"/>
      <c r="B446" s="553" t="s">
        <v>576</v>
      </c>
      <c r="C446" s="547" t="s">
        <v>818</v>
      </c>
      <c r="D446" s="548">
        <v>0.375</v>
      </c>
      <c r="E446" s="548">
        <v>0.75</v>
      </c>
      <c r="F446" s="549">
        <f t="shared" si="311"/>
        <v>9</v>
      </c>
      <c r="G446" s="550"/>
      <c r="H446" s="548">
        <v>0.375</v>
      </c>
      <c r="I446" s="548">
        <v>0.75</v>
      </c>
      <c r="J446" s="551">
        <f t="shared" si="312"/>
        <v>9</v>
      </c>
      <c r="K446" s="550"/>
      <c r="L446" s="552">
        <v>0.375</v>
      </c>
      <c r="M446" s="548">
        <v>0.75</v>
      </c>
      <c r="N446" s="551">
        <f t="shared" si="313"/>
        <v>9</v>
      </c>
      <c r="O446" s="550"/>
      <c r="P446" s="548"/>
      <c r="Q446" s="548"/>
      <c r="R446" s="551">
        <f t="shared" si="314"/>
        <v>0</v>
      </c>
      <c r="S446" s="550"/>
      <c r="T446" s="548"/>
      <c r="U446" s="548"/>
      <c r="V446" s="551">
        <f t="shared" si="315"/>
        <v>0</v>
      </c>
      <c r="W446" s="550"/>
      <c r="X446" s="548"/>
      <c r="Y446" s="548"/>
      <c r="Z446" s="551">
        <f t="shared" si="316"/>
        <v>0</v>
      </c>
      <c r="AA446" s="550"/>
      <c r="AB446" s="548"/>
      <c r="AC446" s="548"/>
      <c r="AD446" s="551">
        <f t="shared" si="317"/>
        <v>0</v>
      </c>
      <c r="AE446" s="24"/>
      <c r="AF446" s="29">
        <f t="shared" si="318"/>
        <v>27</v>
      </c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</row>
    <row r="447" spans="1:55" s="2" customFormat="1" ht="27">
      <c r="A447"/>
      <c r="B447" s="553" t="s">
        <v>810</v>
      </c>
      <c r="C447" s="547" t="s">
        <v>818</v>
      </c>
      <c r="D447" s="548">
        <v>0.375</v>
      </c>
      <c r="E447" s="548">
        <v>0.75</v>
      </c>
      <c r="F447" s="549">
        <f t="shared" si="311"/>
        <v>9</v>
      </c>
      <c r="G447" s="550"/>
      <c r="H447" s="548">
        <v>0.375</v>
      </c>
      <c r="I447" s="548">
        <v>0.75</v>
      </c>
      <c r="J447" s="551">
        <f t="shared" si="312"/>
        <v>9</v>
      </c>
      <c r="K447" s="550"/>
      <c r="L447" s="552">
        <v>0.375</v>
      </c>
      <c r="M447" s="548">
        <v>0.75</v>
      </c>
      <c r="N447" s="551">
        <f t="shared" si="313"/>
        <v>9</v>
      </c>
      <c r="O447" s="550"/>
      <c r="P447" s="548"/>
      <c r="Q447" s="548"/>
      <c r="R447" s="551">
        <f t="shared" si="314"/>
        <v>0</v>
      </c>
      <c r="S447" s="550"/>
      <c r="T447" s="548"/>
      <c r="U447" s="548"/>
      <c r="V447" s="551">
        <f t="shared" si="315"/>
        <v>0</v>
      </c>
      <c r="W447" s="550"/>
      <c r="X447" s="548"/>
      <c r="Y447" s="548"/>
      <c r="Z447" s="551">
        <f t="shared" si="316"/>
        <v>0</v>
      </c>
      <c r="AA447" s="550"/>
      <c r="AB447" s="548"/>
      <c r="AC447" s="548"/>
      <c r="AD447" s="551">
        <f t="shared" si="317"/>
        <v>0</v>
      </c>
      <c r="AE447" s="24"/>
      <c r="AF447" s="29">
        <f t="shared" si="318"/>
        <v>27</v>
      </c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</row>
    <row r="448" spans="1:55" s="2" customFormat="1" ht="27">
      <c r="A448"/>
      <c r="B448" s="553" t="s">
        <v>714</v>
      </c>
      <c r="C448" s="547" t="s">
        <v>818</v>
      </c>
      <c r="D448" s="548">
        <v>0.375</v>
      </c>
      <c r="E448" s="548">
        <v>0.75</v>
      </c>
      <c r="F448" s="549">
        <f t="shared" si="311"/>
        <v>9</v>
      </c>
      <c r="G448" s="550"/>
      <c r="H448" s="548">
        <v>0.375</v>
      </c>
      <c r="I448" s="548">
        <v>0.75</v>
      </c>
      <c r="J448" s="551">
        <f t="shared" si="312"/>
        <v>9</v>
      </c>
      <c r="K448" s="550"/>
      <c r="L448" s="552">
        <v>0.39583333333333331</v>
      </c>
      <c r="M448" s="548">
        <v>0.75</v>
      </c>
      <c r="N448" s="551">
        <f t="shared" si="313"/>
        <v>8.5</v>
      </c>
      <c r="O448" s="550"/>
      <c r="P448" s="548"/>
      <c r="Q448" s="548"/>
      <c r="R448" s="551">
        <f t="shared" si="314"/>
        <v>0</v>
      </c>
      <c r="S448" s="550"/>
      <c r="T448" s="548"/>
      <c r="U448" s="548"/>
      <c r="V448" s="551">
        <f t="shared" si="315"/>
        <v>0</v>
      </c>
      <c r="W448" s="550"/>
      <c r="X448" s="548"/>
      <c r="Y448" s="548"/>
      <c r="Z448" s="551">
        <f t="shared" si="316"/>
        <v>0</v>
      </c>
      <c r="AA448" s="550"/>
      <c r="AB448" s="548"/>
      <c r="AC448" s="548"/>
      <c r="AD448" s="551">
        <f t="shared" si="317"/>
        <v>0</v>
      </c>
      <c r="AE448" s="24"/>
      <c r="AF448" s="29">
        <f t="shared" si="318"/>
        <v>26.5</v>
      </c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</row>
    <row r="449" spans="1:55" s="2" customFormat="1" ht="27">
      <c r="A449"/>
      <c r="B449" s="553" t="s">
        <v>572</v>
      </c>
      <c r="C449" s="547" t="s">
        <v>818</v>
      </c>
      <c r="D449" s="548">
        <v>0.35416666666666669</v>
      </c>
      <c r="E449" s="548">
        <v>0.76388888888888884</v>
      </c>
      <c r="F449" s="549">
        <f t="shared" ref="F449:F454" si="319">(E449-D449)*24</f>
        <v>9.8333333333333321</v>
      </c>
      <c r="G449" s="550"/>
      <c r="H449" s="548">
        <v>0.375</v>
      </c>
      <c r="I449" s="548">
        <v>0.75</v>
      </c>
      <c r="J449" s="551">
        <f t="shared" ref="J449:J454" si="320">(I449-H449)*24</f>
        <v>9</v>
      </c>
      <c r="K449" s="550"/>
      <c r="L449" s="552">
        <v>0.375</v>
      </c>
      <c r="M449" s="548">
        <v>0.75</v>
      </c>
      <c r="N449" s="551">
        <f t="shared" ref="N449:N454" si="321">(M449-L449)*24</f>
        <v>9</v>
      </c>
      <c r="O449" s="550"/>
      <c r="P449" s="548"/>
      <c r="Q449" s="548"/>
      <c r="R449" s="551">
        <f t="shared" ref="R449:R454" si="322">(Q449-P449)*24</f>
        <v>0</v>
      </c>
      <c r="S449" s="550"/>
      <c r="T449" s="548"/>
      <c r="U449" s="548"/>
      <c r="V449" s="551">
        <f t="shared" ref="V449:V454" si="323">(U449-T449)*24</f>
        <v>0</v>
      </c>
      <c r="W449" s="550"/>
      <c r="X449" s="548"/>
      <c r="Y449" s="548"/>
      <c r="Z449" s="551">
        <f t="shared" ref="Z449:Z454" si="324">(Y449-X449)*24</f>
        <v>0</v>
      </c>
      <c r="AA449" s="550"/>
      <c r="AB449" s="548"/>
      <c r="AC449" s="548"/>
      <c r="AD449" s="551">
        <f t="shared" ref="AD449:AD454" si="325">(AC449-AB449)*24</f>
        <v>0</v>
      </c>
      <c r="AE449" s="24"/>
      <c r="AF449" s="29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</row>
    <row r="450" spans="1:55" s="2" customFormat="1" ht="14.25">
      <c r="A450"/>
      <c r="B450" s="553" t="s">
        <v>54</v>
      </c>
      <c r="C450" s="559" t="s">
        <v>817</v>
      </c>
      <c r="D450" s="548">
        <v>0.375</v>
      </c>
      <c r="E450" s="548">
        <v>0.70833333333333337</v>
      </c>
      <c r="F450" s="549">
        <f t="shared" si="319"/>
        <v>8</v>
      </c>
      <c r="G450" s="550"/>
      <c r="H450" s="548">
        <v>0.39583333333333331</v>
      </c>
      <c r="I450" s="548">
        <v>0.75</v>
      </c>
      <c r="J450" s="551">
        <f t="shared" si="320"/>
        <v>8.5</v>
      </c>
      <c r="K450" s="550"/>
      <c r="L450" s="552"/>
      <c r="M450" s="548"/>
      <c r="N450" s="551">
        <f t="shared" si="321"/>
        <v>0</v>
      </c>
      <c r="O450" s="550"/>
      <c r="P450" s="548"/>
      <c r="Q450" s="548"/>
      <c r="R450" s="551">
        <f t="shared" si="322"/>
        <v>0</v>
      </c>
      <c r="S450" s="550"/>
      <c r="T450" s="548"/>
      <c r="U450" s="548"/>
      <c r="V450" s="551">
        <f t="shared" si="323"/>
        <v>0</v>
      </c>
      <c r="W450" s="550"/>
      <c r="X450" s="548"/>
      <c r="Y450" s="548"/>
      <c r="Z450" s="551">
        <f t="shared" si="324"/>
        <v>0</v>
      </c>
      <c r="AA450" s="550"/>
      <c r="AB450" s="548"/>
      <c r="AC450" s="548"/>
      <c r="AD450" s="551">
        <f t="shared" si="325"/>
        <v>0</v>
      </c>
      <c r="AE450" s="24"/>
      <c r="AF450" s="29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</row>
    <row r="451" spans="1:55" s="2" customFormat="1" ht="27">
      <c r="A451"/>
      <c r="B451" s="553" t="s">
        <v>637</v>
      </c>
      <c r="C451" s="559" t="s">
        <v>819</v>
      </c>
      <c r="D451" s="548"/>
      <c r="E451" s="548"/>
      <c r="F451" s="549">
        <f t="shared" si="319"/>
        <v>0</v>
      </c>
      <c r="G451" s="550"/>
      <c r="H451" s="548">
        <v>0.375</v>
      </c>
      <c r="I451" s="548">
        <v>0.72916666666666663</v>
      </c>
      <c r="J451" s="551">
        <f t="shared" si="320"/>
        <v>8.5</v>
      </c>
      <c r="K451" s="550"/>
      <c r="L451" s="552"/>
      <c r="M451" s="548"/>
      <c r="N451" s="551">
        <f t="shared" si="321"/>
        <v>0</v>
      </c>
      <c r="O451" s="550"/>
      <c r="P451" s="548"/>
      <c r="Q451" s="548"/>
      <c r="R451" s="551">
        <f t="shared" si="322"/>
        <v>0</v>
      </c>
      <c r="S451" s="550"/>
      <c r="T451" s="548"/>
      <c r="U451" s="548"/>
      <c r="V451" s="551">
        <f t="shared" si="323"/>
        <v>0</v>
      </c>
      <c r="W451" s="550"/>
      <c r="X451" s="548"/>
      <c r="Y451" s="548"/>
      <c r="Z451" s="551">
        <f t="shared" si="324"/>
        <v>0</v>
      </c>
      <c r="AA451" s="550"/>
      <c r="AB451" s="548"/>
      <c r="AC451" s="548"/>
      <c r="AD451" s="551">
        <f t="shared" si="325"/>
        <v>0</v>
      </c>
      <c r="AE451" s="24"/>
      <c r="AF451" s="29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</row>
    <row r="452" spans="1:55" s="2" customFormat="1" ht="27">
      <c r="A452"/>
      <c r="B452" s="553" t="s">
        <v>52</v>
      </c>
      <c r="C452" s="559" t="s">
        <v>819</v>
      </c>
      <c r="D452" s="548"/>
      <c r="E452" s="548"/>
      <c r="F452" s="549">
        <f t="shared" si="319"/>
        <v>0</v>
      </c>
      <c r="G452" s="550"/>
      <c r="H452" s="548">
        <v>0.39583333333333331</v>
      </c>
      <c r="I452" s="548">
        <v>0.72916666666666663</v>
      </c>
      <c r="J452" s="551">
        <f t="shared" si="320"/>
        <v>8</v>
      </c>
      <c r="K452" s="550"/>
      <c r="L452" s="552"/>
      <c r="M452" s="548"/>
      <c r="N452" s="551">
        <f t="shared" si="321"/>
        <v>0</v>
      </c>
      <c r="O452" s="550"/>
      <c r="P452" s="548"/>
      <c r="Q452" s="548"/>
      <c r="R452" s="551">
        <f t="shared" si="322"/>
        <v>0</v>
      </c>
      <c r="S452" s="550"/>
      <c r="T452" s="552"/>
      <c r="U452" s="548"/>
      <c r="V452" s="551">
        <f t="shared" si="323"/>
        <v>0</v>
      </c>
      <c r="W452" s="550"/>
      <c r="X452" s="548"/>
      <c r="Y452" s="548"/>
      <c r="Z452" s="551">
        <f t="shared" si="324"/>
        <v>0</v>
      </c>
      <c r="AA452" s="550"/>
      <c r="AB452" s="548"/>
      <c r="AC452" s="548"/>
      <c r="AD452" s="551">
        <f t="shared" si="325"/>
        <v>0</v>
      </c>
      <c r="AE452" s="24"/>
      <c r="AF452" s="29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</row>
    <row r="453" spans="1:55" s="2" customFormat="1" ht="14.25">
      <c r="A453"/>
      <c r="B453" s="553"/>
      <c r="C453" s="547"/>
      <c r="D453" s="548"/>
      <c r="E453" s="548"/>
      <c r="F453" s="549">
        <f t="shared" si="319"/>
        <v>0</v>
      </c>
      <c r="G453" s="550"/>
      <c r="H453" s="548"/>
      <c r="I453" s="548"/>
      <c r="J453" s="551">
        <f t="shared" si="320"/>
        <v>0</v>
      </c>
      <c r="K453" s="550"/>
      <c r="L453" s="552"/>
      <c r="M453" s="548"/>
      <c r="N453" s="551">
        <f t="shared" si="321"/>
        <v>0</v>
      </c>
      <c r="O453" s="550"/>
      <c r="P453" s="548"/>
      <c r="Q453" s="548"/>
      <c r="R453" s="551">
        <f t="shared" si="322"/>
        <v>0</v>
      </c>
      <c r="S453" s="550"/>
      <c r="T453" s="548"/>
      <c r="U453" s="548"/>
      <c r="V453" s="551">
        <f t="shared" si="323"/>
        <v>0</v>
      </c>
      <c r="W453" s="550"/>
      <c r="X453" s="548"/>
      <c r="Y453" s="548"/>
      <c r="Z453" s="551">
        <f t="shared" si="324"/>
        <v>0</v>
      </c>
      <c r="AA453" s="550"/>
      <c r="AB453" s="548"/>
      <c r="AC453" s="548"/>
      <c r="AD453" s="551">
        <f t="shared" si="325"/>
        <v>0</v>
      </c>
      <c r="AE453" s="24"/>
      <c r="AF453" s="29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</row>
    <row r="454" spans="1:55" s="2" customFormat="1" ht="14.25">
      <c r="A454"/>
      <c r="B454" s="553"/>
      <c r="C454" s="547"/>
      <c r="D454" s="548"/>
      <c r="E454" s="548"/>
      <c r="F454" s="549">
        <f t="shared" si="319"/>
        <v>0</v>
      </c>
      <c r="G454" s="550"/>
      <c r="H454" s="548"/>
      <c r="I454" s="548"/>
      <c r="J454" s="551">
        <f t="shared" si="320"/>
        <v>0</v>
      </c>
      <c r="K454" s="550"/>
      <c r="L454" s="552"/>
      <c r="M454" s="548"/>
      <c r="N454" s="551">
        <f t="shared" si="321"/>
        <v>0</v>
      </c>
      <c r="O454" s="550"/>
      <c r="P454" s="548"/>
      <c r="Q454" s="548"/>
      <c r="R454" s="551">
        <f t="shared" si="322"/>
        <v>0</v>
      </c>
      <c r="S454" s="550"/>
      <c r="T454" s="548"/>
      <c r="U454" s="548"/>
      <c r="V454" s="551">
        <f t="shared" si="323"/>
        <v>0</v>
      </c>
      <c r="W454" s="550"/>
      <c r="X454" s="548"/>
      <c r="Y454" s="548"/>
      <c r="Z454" s="551">
        <f t="shared" si="324"/>
        <v>0</v>
      </c>
      <c r="AA454" s="550"/>
      <c r="AB454" s="548"/>
      <c r="AC454" s="548"/>
      <c r="AD454" s="551">
        <f t="shared" si="325"/>
        <v>0</v>
      </c>
      <c r="AE454" s="24"/>
      <c r="AF454" s="29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</row>
    <row r="455" spans="1:55" s="2" customFormat="1" ht="14.25">
      <c r="A455"/>
      <c r="B455" s="554" t="s">
        <v>61</v>
      </c>
      <c r="C455" s="554"/>
      <c r="D455" s="548"/>
      <c r="E455" s="548"/>
      <c r="F455" s="549">
        <f>SUM(F445:F454)</f>
        <v>53.833333333333329</v>
      </c>
      <c r="G455" s="549">
        <f>SUM(G445:G454)</f>
        <v>0</v>
      </c>
      <c r="H455" s="549"/>
      <c r="I455" s="549"/>
      <c r="J455" s="549">
        <f>SUM(J445:J454)</f>
        <v>70</v>
      </c>
      <c r="K455" s="549">
        <f>SUM(K445:K454)</f>
        <v>0</v>
      </c>
      <c r="L455" s="549"/>
      <c r="M455" s="549"/>
      <c r="N455" s="549">
        <f>SUM(N445:N454)</f>
        <v>44.5</v>
      </c>
      <c r="O455" s="549">
        <f>SUM(O445:O454)</f>
        <v>0</v>
      </c>
      <c r="P455" s="549"/>
      <c r="Q455" s="549"/>
      <c r="R455" s="549">
        <f>SUM(R445:R454)</f>
        <v>0</v>
      </c>
      <c r="S455" s="549">
        <f>SUM(S445:S454)</f>
        <v>0</v>
      </c>
      <c r="T455" s="549"/>
      <c r="U455" s="549"/>
      <c r="V455" s="549">
        <f>SUM(V445:V454)</f>
        <v>0</v>
      </c>
      <c r="W455" s="549">
        <f>SUM(W445:W454)</f>
        <v>0</v>
      </c>
      <c r="X455" s="549"/>
      <c r="Y455" s="549"/>
      <c r="Z455" s="549">
        <f>SUM(Z445:Z454)</f>
        <v>0</v>
      </c>
      <c r="AA455" s="549">
        <f>SUM(AA445:AA454)</f>
        <v>0</v>
      </c>
      <c r="AB455" s="549"/>
      <c r="AC455" s="549"/>
      <c r="AD455" s="549">
        <f>SUM(AD445:AD454)</f>
        <v>0</v>
      </c>
      <c r="AE455" s="24"/>
      <c r="AF455" s="29">
        <f t="shared" si="318"/>
        <v>168.33333333333331</v>
      </c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</row>
    <row r="456" spans="1:55" s="2" customFormat="1">
      <c r="A456"/>
      <c r="B456" s="31" t="s">
        <v>577</v>
      </c>
      <c r="C456" s="31"/>
      <c r="D456" s="91"/>
      <c r="E456" s="91"/>
      <c r="F456" s="90"/>
      <c r="G456" s="91"/>
      <c r="H456" s="91"/>
      <c r="I456" s="91"/>
      <c r="J456" s="90"/>
      <c r="K456" s="91"/>
      <c r="L456" s="430"/>
      <c r="M456" s="91"/>
      <c r="N456" s="90"/>
      <c r="O456" s="91"/>
      <c r="P456" s="91"/>
      <c r="Q456" s="91"/>
      <c r="R456" s="90"/>
      <c r="S456" s="91"/>
      <c r="T456" s="91"/>
      <c r="U456" s="91"/>
      <c r="V456" s="90"/>
      <c r="W456" s="91"/>
      <c r="X456" s="91"/>
      <c r="Y456" s="91"/>
      <c r="Z456" s="90"/>
      <c r="AA456" s="91"/>
      <c r="AB456" s="91"/>
      <c r="AC456" s="91"/>
      <c r="AD456" s="91"/>
      <c r="AE456" s="352"/>
      <c r="AF456" s="28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</row>
    <row r="457" spans="1:55" s="2" customFormat="1">
      <c r="A457"/>
      <c r="B457" s="31" t="s">
        <v>578</v>
      </c>
      <c r="C457" s="31"/>
      <c r="D457" s="91"/>
      <c r="E457" s="91"/>
      <c r="F457" s="90"/>
      <c r="G457" s="91"/>
      <c r="H457" s="91"/>
      <c r="I457" s="91"/>
      <c r="J457" s="90"/>
      <c r="K457" s="91"/>
      <c r="L457" s="430"/>
      <c r="M457" s="91"/>
      <c r="N457" s="90"/>
      <c r="O457" s="91"/>
      <c r="P457" s="91"/>
      <c r="Q457" s="91"/>
      <c r="R457" s="90"/>
      <c r="S457" s="91"/>
      <c r="T457" s="91"/>
      <c r="U457" s="91"/>
      <c r="V457" s="90"/>
      <c r="W457" s="91"/>
      <c r="X457" s="91"/>
      <c r="Y457" s="91"/>
      <c r="Z457" s="90"/>
      <c r="AA457" s="91"/>
      <c r="AB457" s="91"/>
      <c r="AC457" s="91"/>
      <c r="AD457" s="91"/>
      <c r="AE457" s="352"/>
      <c r="AF457" s="28">
        <f>SUM(D457:AD457)</f>
        <v>0</v>
      </c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</row>
    <row r="458" spans="1:55" s="2" customFormat="1" ht="14.25" thickBot="1">
      <c r="A458"/>
      <c r="B458" s="74" t="s">
        <v>579</v>
      </c>
      <c r="C458" s="74"/>
      <c r="D458" s="95"/>
      <c r="E458" s="95"/>
      <c r="F458" s="96"/>
      <c r="G458" s="95"/>
      <c r="H458" s="95"/>
      <c r="I458" s="95"/>
      <c r="J458" s="96"/>
      <c r="K458" s="95"/>
      <c r="L458" s="431"/>
      <c r="M458" s="95"/>
      <c r="N458" s="96"/>
      <c r="O458" s="95"/>
      <c r="P458" s="95"/>
      <c r="Q458" s="95"/>
      <c r="R458" s="96"/>
      <c r="S458" s="95"/>
      <c r="T458" s="95"/>
      <c r="U458" s="95"/>
      <c r="V458" s="96"/>
      <c r="W458" s="97"/>
      <c r="X458" s="97"/>
      <c r="Y458" s="97"/>
      <c r="Z458" s="96"/>
      <c r="AA458" s="97"/>
      <c r="AB458" s="97"/>
      <c r="AC458" s="97"/>
      <c r="AD458" s="97"/>
      <c r="AE458" s="97"/>
      <c r="AF458" s="80">
        <f>SUM(D458:AD458)</f>
        <v>0</v>
      </c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</row>
    <row r="459" spans="1:55" s="2" customFormat="1" ht="14.25" thickTop="1">
      <c r="A459"/>
      <c r="B459" s="1518" t="s">
        <v>18</v>
      </c>
      <c r="C459" s="1528" t="s">
        <v>571</v>
      </c>
      <c r="D459" s="1524">
        <v>45481</v>
      </c>
      <c r="E459" s="1524"/>
      <c r="F459" s="1524"/>
      <c r="G459" s="22"/>
      <c r="H459" s="1524">
        <f>D459+1</f>
        <v>45482</v>
      </c>
      <c r="I459" s="1524"/>
      <c r="J459" s="1524"/>
      <c r="K459" s="22"/>
      <c r="L459" s="1524">
        <f>H459+1</f>
        <v>45483</v>
      </c>
      <c r="M459" s="1524"/>
      <c r="N459" s="1524"/>
      <c r="O459" s="3"/>
      <c r="P459" s="1524">
        <f>L459+1</f>
        <v>45484</v>
      </c>
      <c r="Q459" s="1524"/>
      <c r="R459" s="1524"/>
      <c r="S459" s="3"/>
      <c r="T459" s="1524">
        <f>P459+1</f>
        <v>45485</v>
      </c>
      <c r="U459" s="1524"/>
      <c r="V459" s="1524"/>
      <c r="W459" s="22"/>
      <c r="X459" s="1524">
        <f>T459+1</f>
        <v>45486</v>
      </c>
      <c r="Y459" s="1524"/>
      <c r="Z459" s="1524"/>
      <c r="AA459" s="3"/>
      <c r="AB459" s="1524">
        <f>X459+1</f>
        <v>45487</v>
      </c>
      <c r="AC459" s="1524"/>
      <c r="AD459" s="1524"/>
      <c r="AE459" s="22"/>
      <c r="AF459" s="1517" t="s">
        <v>19</v>
      </c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</row>
    <row r="460" spans="1:55" s="2" customFormat="1">
      <c r="A460"/>
      <c r="B460" s="1518"/>
      <c r="C460" s="1528"/>
      <c r="D460" s="21" t="s">
        <v>23</v>
      </c>
      <c r="E460" s="21" t="s">
        <v>24</v>
      </c>
      <c r="F460" s="62" t="s">
        <v>25</v>
      </c>
      <c r="G460" s="23"/>
      <c r="H460" s="21" t="s">
        <v>23</v>
      </c>
      <c r="I460" s="21" t="s">
        <v>24</v>
      </c>
      <c r="J460" s="18" t="s">
        <v>25</v>
      </c>
      <c r="K460" s="23"/>
      <c r="L460" s="21" t="s">
        <v>23</v>
      </c>
      <c r="M460" s="21" t="s">
        <v>24</v>
      </c>
      <c r="N460" s="18" t="s">
        <v>25</v>
      </c>
      <c r="O460" s="23"/>
      <c r="P460" s="21" t="s">
        <v>23</v>
      </c>
      <c r="Q460" s="21" t="s">
        <v>24</v>
      </c>
      <c r="R460" s="18" t="s">
        <v>25</v>
      </c>
      <c r="S460" s="23"/>
      <c r="T460" s="21" t="s">
        <v>23</v>
      </c>
      <c r="U460" s="21" t="s">
        <v>24</v>
      </c>
      <c r="V460" s="18" t="s">
        <v>25</v>
      </c>
      <c r="W460" s="23"/>
      <c r="X460" s="21" t="s">
        <v>23</v>
      </c>
      <c r="Y460" s="21" t="s">
        <v>24</v>
      </c>
      <c r="Z460" s="18" t="s">
        <v>25</v>
      </c>
      <c r="AA460" s="23"/>
      <c r="AB460" s="21" t="s">
        <v>23</v>
      </c>
      <c r="AC460" s="21" t="s">
        <v>24</v>
      </c>
      <c r="AD460" s="18" t="s">
        <v>25</v>
      </c>
      <c r="AE460" s="23"/>
      <c r="AF460" s="1517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</row>
    <row r="461" spans="1:55" s="2" customFormat="1" ht="14.25">
      <c r="A461"/>
      <c r="B461" s="553" t="s">
        <v>42</v>
      </c>
      <c r="C461" s="547" t="s">
        <v>820</v>
      </c>
      <c r="D461" s="548">
        <v>0.41666666666666669</v>
      </c>
      <c r="E461" s="548">
        <v>0.72916666666666663</v>
      </c>
      <c r="F461" s="549">
        <f t="shared" ref="F461:F466" si="326">(E461-D461)*24</f>
        <v>7.4999999999999982</v>
      </c>
      <c r="G461" s="550"/>
      <c r="H461" s="548">
        <v>0.41666666666666669</v>
      </c>
      <c r="I461" s="548">
        <v>0.72916666666666663</v>
      </c>
      <c r="J461" s="551">
        <f t="shared" ref="J461:J466" si="327">(I461-H461)*24</f>
        <v>7.4999999999999982</v>
      </c>
      <c r="K461" s="550"/>
      <c r="L461" s="552">
        <v>0.41666666666666669</v>
      </c>
      <c r="M461" s="548">
        <v>0.72916666666666663</v>
      </c>
      <c r="N461" s="551">
        <f t="shared" ref="N461:N466" si="328">(M461-L461)*24</f>
        <v>7.4999999999999982</v>
      </c>
      <c r="O461" s="550"/>
      <c r="P461" s="548">
        <v>0.41666666666666669</v>
      </c>
      <c r="Q461" s="548">
        <v>0.70833333333333337</v>
      </c>
      <c r="R461" s="551">
        <f t="shared" ref="R461:R466" si="329">(Q461-P461)*24</f>
        <v>7</v>
      </c>
      <c r="S461" s="550"/>
      <c r="T461" s="548"/>
      <c r="U461" s="548"/>
      <c r="V461" s="551">
        <f t="shared" ref="V461:V466" si="330">(U461-T461)*24</f>
        <v>0</v>
      </c>
      <c r="W461" s="550"/>
      <c r="X461" s="548"/>
      <c r="Y461" s="548"/>
      <c r="Z461" s="551">
        <f t="shared" ref="Z461:Z466" si="331">(Y461-X461)*24</f>
        <v>0</v>
      </c>
      <c r="AA461" s="550"/>
      <c r="AB461" s="548"/>
      <c r="AC461" s="548"/>
      <c r="AD461" s="551">
        <f t="shared" ref="AD461:AD466" si="332">(AC461-AB461)*24</f>
        <v>0</v>
      </c>
      <c r="AE461" s="24"/>
      <c r="AF461" s="29">
        <f t="shared" ref="AF461:AF475" si="333">J461+F461+N461+R461+V461+Z461+AD461</f>
        <v>29.499999999999993</v>
      </c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</row>
    <row r="462" spans="1:55" s="2" customFormat="1" ht="14.25">
      <c r="A462"/>
      <c r="B462" s="553" t="s">
        <v>54</v>
      </c>
      <c r="C462" s="547" t="s">
        <v>820</v>
      </c>
      <c r="D462" s="548">
        <v>0.41666666666666669</v>
      </c>
      <c r="E462" s="548">
        <v>0.72916666666666663</v>
      </c>
      <c r="F462" s="549">
        <f t="shared" si="326"/>
        <v>7.4999999999999982</v>
      </c>
      <c r="G462" s="550"/>
      <c r="H462" s="548">
        <v>0.41666666666666669</v>
      </c>
      <c r="I462" s="548">
        <v>0.72916666666666663</v>
      </c>
      <c r="J462" s="551">
        <f t="shared" si="327"/>
        <v>7.4999999999999982</v>
      </c>
      <c r="K462" s="550"/>
      <c r="L462" s="552">
        <v>0.41666666666666669</v>
      </c>
      <c r="M462" s="548">
        <v>0.72916666666666663</v>
      </c>
      <c r="N462" s="551">
        <f t="shared" si="328"/>
        <v>7.4999999999999982</v>
      </c>
      <c r="O462" s="550"/>
      <c r="P462" s="548">
        <v>0.41666666666666669</v>
      </c>
      <c r="Q462" s="548">
        <v>0.70833333333333337</v>
      </c>
      <c r="R462" s="551">
        <f t="shared" si="329"/>
        <v>7</v>
      </c>
      <c r="S462" s="550"/>
      <c r="T462" s="548"/>
      <c r="U462" s="548"/>
      <c r="V462" s="551">
        <f t="shared" si="330"/>
        <v>0</v>
      </c>
      <c r="W462" s="550"/>
      <c r="X462" s="548"/>
      <c r="Y462" s="548"/>
      <c r="Z462" s="551">
        <f t="shared" si="331"/>
        <v>0</v>
      </c>
      <c r="AA462" s="550"/>
      <c r="AB462" s="548"/>
      <c r="AC462" s="548"/>
      <c r="AD462" s="551">
        <f t="shared" si="332"/>
        <v>0</v>
      </c>
      <c r="AE462" s="24"/>
      <c r="AF462" s="29">
        <f t="shared" si="333"/>
        <v>29.499999999999993</v>
      </c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</row>
    <row r="463" spans="1:55" s="2" customFormat="1" ht="14.25">
      <c r="A463"/>
      <c r="B463" s="553" t="s">
        <v>576</v>
      </c>
      <c r="C463" s="547" t="s">
        <v>821</v>
      </c>
      <c r="D463" s="548">
        <v>0.4236111111111111</v>
      </c>
      <c r="E463" s="548">
        <v>0.79166666666666663</v>
      </c>
      <c r="F463" s="549">
        <f t="shared" si="326"/>
        <v>8.8333333333333321</v>
      </c>
      <c r="G463" s="550"/>
      <c r="H463" s="548"/>
      <c r="I463" s="548"/>
      <c r="J463" s="551">
        <f t="shared" si="327"/>
        <v>0</v>
      </c>
      <c r="K463" s="550"/>
      <c r="L463" s="552"/>
      <c r="M463" s="548"/>
      <c r="N463" s="551">
        <f t="shared" si="328"/>
        <v>0</v>
      </c>
      <c r="O463" s="550"/>
      <c r="P463" s="548"/>
      <c r="Q463" s="548"/>
      <c r="R463" s="551">
        <f t="shared" si="329"/>
        <v>0</v>
      </c>
      <c r="S463" s="550"/>
      <c r="T463" s="548"/>
      <c r="U463" s="548"/>
      <c r="V463" s="551">
        <f t="shared" si="330"/>
        <v>0</v>
      </c>
      <c r="W463" s="550"/>
      <c r="X463" s="548"/>
      <c r="Y463" s="548"/>
      <c r="Z463" s="551">
        <f t="shared" si="331"/>
        <v>0</v>
      </c>
      <c r="AA463" s="550"/>
      <c r="AB463" s="548"/>
      <c r="AC463" s="548"/>
      <c r="AD463" s="551">
        <f t="shared" si="332"/>
        <v>0</v>
      </c>
      <c r="AE463" s="24"/>
      <c r="AF463" s="29">
        <f t="shared" si="333"/>
        <v>8.8333333333333321</v>
      </c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</row>
    <row r="464" spans="1:55" s="2" customFormat="1" ht="14.25">
      <c r="A464"/>
      <c r="B464" s="553" t="s">
        <v>52</v>
      </c>
      <c r="C464" s="547" t="s">
        <v>821</v>
      </c>
      <c r="D464" s="548">
        <v>0.41666666666666669</v>
      </c>
      <c r="E464" s="548">
        <v>0.79166666666666663</v>
      </c>
      <c r="F464" s="549">
        <f t="shared" si="326"/>
        <v>8.9999999999999982</v>
      </c>
      <c r="G464" s="550"/>
      <c r="H464" s="548"/>
      <c r="I464" s="548"/>
      <c r="J464" s="551">
        <f t="shared" si="327"/>
        <v>0</v>
      </c>
      <c r="K464" s="550"/>
      <c r="L464" s="552"/>
      <c r="M464" s="548"/>
      <c r="N464" s="551">
        <f t="shared" si="328"/>
        <v>0</v>
      </c>
      <c r="O464" s="550"/>
      <c r="P464" s="548"/>
      <c r="Q464" s="548"/>
      <c r="R464" s="551">
        <f t="shared" si="329"/>
        <v>0</v>
      </c>
      <c r="S464" s="550"/>
      <c r="T464" s="548"/>
      <c r="U464" s="548"/>
      <c r="V464" s="551">
        <f t="shared" si="330"/>
        <v>0</v>
      </c>
      <c r="W464" s="550"/>
      <c r="X464" s="548"/>
      <c r="Y464" s="548"/>
      <c r="Z464" s="551">
        <f t="shared" si="331"/>
        <v>0</v>
      </c>
      <c r="AA464" s="550"/>
      <c r="AB464" s="548"/>
      <c r="AC464" s="548"/>
      <c r="AD464" s="551">
        <f t="shared" si="332"/>
        <v>0</v>
      </c>
      <c r="AE464" s="24"/>
      <c r="AF464" s="29">
        <f t="shared" si="333"/>
        <v>8.9999999999999982</v>
      </c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</row>
    <row r="465" spans="1:55" s="2" customFormat="1" ht="14.25">
      <c r="A465"/>
      <c r="B465" s="553" t="s">
        <v>810</v>
      </c>
      <c r="C465" s="547" t="s">
        <v>822</v>
      </c>
      <c r="D465" s="548"/>
      <c r="E465" s="548"/>
      <c r="F465" s="549">
        <f t="shared" si="326"/>
        <v>0</v>
      </c>
      <c r="G465" s="550"/>
      <c r="H465" s="548">
        <v>0.375</v>
      </c>
      <c r="I465" s="548">
        <v>0.70833333333333337</v>
      </c>
      <c r="J465" s="551">
        <f t="shared" si="327"/>
        <v>8</v>
      </c>
      <c r="K465" s="550"/>
      <c r="L465" s="552"/>
      <c r="M465" s="548"/>
      <c r="N465" s="551">
        <f t="shared" si="328"/>
        <v>0</v>
      </c>
      <c r="O465" s="550"/>
      <c r="P465" s="548"/>
      <c r="Q465" s="548"/>
      <c r="R465" s="551">
        <f t="shared" si="329"/>
        <v>0</v>
      </c>
      <c r="S465" s="550"/>
      <c r="T465" s="548"/>
      <c r="U465" s="548"/>
      <c r="V465" s="551">
        <f t="shared" si="330"/>
        <v>0</v>
      </c>
      <c r="W465" s="550"/>
      <c r="X465" s="548"/>
      <c r="Y465" s="548"/>
      <c r="Z465" s="551">
        <f t="shared" si="331"/>
        <v>0</v>
      </c>
      <c r="AA465" s="550"/>
      <c r="AB465" s="548"/>
      <c r="AC465" s="548"/>
      <c r="AD465" s="551">
        <f t="shared" si="332"/>
        <v>0</v>
      </c>
      <c r="AE465" s="24"/>
      <c r="AF465" s="29">
        <f t="shared" si="333"/>
        <v>8</v>
      </c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</row>
    <row r="466" spans="1:55" s="2" customFormat="1" ht="14.25">
      <c r="A466"/>
      <c r="B466" s="553" t="s">
        <v>576</v>
      </c>
      <c r="C466" s="547" t="s">
        <v>822</v>
      </c>
      <c r="D466" s="548"/>
      <c r="E466" s="548"/>
      <c r="F466" s="549">
        <f t="shared" si="326"/>
        <v>0</v>
      </c>
      <c r="G466" s="550"/>
      <c r="H466" s="548">
        <v>0.38194444444444442</v>
      </c>
      <c r="I466" s="548">
        <v>0.70833333333333337</v>
      </c>
      <c r="J466" s="551">
        <f t="shared" si="327"/>
        <v>7.8333333333333348</v>
      </c>
      <c r="K466" s="550"/>
      <c r="L466" s="552"/>
      <c r="M466" s="548"/>
      <c r="N466" s="551">
        <f t="shared" si="328"/>
        <v>0</v>
      </c>
      <c r="O466" s="550"/>
      <c r="P466" s="548"/>
      <c r="Q466" s="548"/>
      <c r="R466" s="551">
        <f t="shared" si="329"/>
        <v>0</v>
      </c>
      <c r="S466" s="550"/>
      <c r="T466" s="548"/>
      <c r="U466" s="548"/>
      <c r="V466" s="551">
        <f t="shared" si="330"/>
        <v>0</v>
      </c>
      <c r="W466" s="550"/>
      <c r="X466" s="548"/>
      <c r="Y466" s="548"/>
      <c r="Z466" s="551">
        <f t="shared" si="331"/>
        <v>0</v>
      </c>
      <c r="AA466" s="550"/>
      <c r="AB466" s="548"/>
      <c r="AC466" s="548"/>
      <c r="AD466" s="551">
        <f t="shared" si="332"/>
        <v>0</v>
      </c>
      <c r="AE466" s="24"/>
      <c r="AF466" s="29">
        <f t="shared" si="333"/>
        <v>7.8333333333333348</v>
      </c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</row>
    <row r="467" spans="1:55" s="2" customFormat="1" ht="27">
      <c r="A467"/>
      <c r="B467" s="553" t="s">
        <v>637</v>
      </c>
      <c r="C467" s="547" t="s">
        <v>823</v>
      </c>
      <c r="D467" s="548"/>
      <c r="E467" s="548"/>
      <c r="F467" s="549">
        <f t="shared" ref="F467:F472" si="334">(E467-D467)*24</f>
        <v>0</v>
      </c>
      <c r="G467" s="550"/>
      <c r="H467" s="548"/>
      <c r="I467" s="548"/>
      <c r="J467" s="551">
        <f t="shared" ref="J467:J473" si="335">(I467-H467)*24</f>
        <v>0</v>
      </c>
      <c r="K467" s="550"/>
      <c r="L467" s="552">
        <v>0.375</v>
      </c>
      <c r="M467" s="548">
        <v>0.75</v>
      </c>
      <c r="N467" s="551">
        <f t="shared" ref="N467:N472" si="336">(M467-L467)*24</f>
        <v>9</v>
      </c>
      <c r="O467" s="550"/>
      <c r="P467" s="548"/>
      <c r="Q467" s="548"/>
      <c r="R467" s="551">
        <f t="shared" ref="R467:R472" si="337">(Q467-P467)*24</f>
        <v>0</v>
      </c>
      <c r="S467" s="550"/>
      <c r="T467" s="548"/>
      <c r="U467" s="548"/>
      <c r="V467" s="551">
        <f t="shared" ref="V467:V472" si="338">(U467-T467)*24</f>
        <v>0</v>
      </c>
      <c r="W467" s="550"/>
      <c r="X467" s="548"/>
      <c r="Y467" s="548"/>
      <c r="Z467" s="551"/>
      <c r="AA467" s="550"/>
      <c r="AB467" s="548"/>
      <c r="AC467" s="548"/>
      <c r="AD467" s="551"/>
      <c r="AE467" s="24"/>
      <c r="AF467" s="29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</row>
    <row r="468" spans="1:55" s="2" customFormat="1" ht="27">
      <c r="A468"/>
      <c r="B468" s="553" t="s">
        <v>714</v>
      </c>
      <c r="C468" s="547" t="s">
        <v>823</v>
      </c>
      <c r="D468" s="548"/>
      <c r="E468" s="548"/>
      <c r="F468" s="549">
        <f t="shared" si="334"/>
        <v>0</v>
      </c>
      <c r="G468" s="550"/>
      <c r="H468" s="548"/>
      <c r="I468" s="548"/>
      <c r="J468" s="551">
        <f t="shared" si="335"/>
        <v>0</v>
      </c>
      <c r="K468" s="550"/>
      <c r="L468" s="552">
        <v>0.41666666666666669</v>
      </c>
      <c r="M468" s="548">
        <v>0.75</v>
      </c>
      <c r="N468" s="551">
        <f t="shared" si="336"/>
        <v>8</v>
      </c>
      <c r="O468" s="550"/>
      <c r="P468" s="548"/>
      <c r="Q468" s="548"/>
      <c r="R468" s="551">
        <f t="shared" si="337"/>
        <v>0</v>
      </c>
      <c r="S468" s="550"/>
      <c r="T468" s="548"/>
      <c r="U468" s="548"/>
      <c r="V468" s="551">
        <f t="shared" si="338"/>
        <v>0</v>
      </c>
      <c r="W468" s="550"/>
      <c r="X468" s="548"/>
      <c r="Y468" s="548"/>
      <c r="Z468" s="551"/>
      <c r="AA468" s="550"/>
      <c r="AB468" s="548"/>
      <c r="AC468" s="548"/>
      <c r="AD468" s="551"/>
      <c r="AE468" s="24"/>
      <c r="AF468" s="29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</row>
    <row r="469" spans="1:55" s="2" customFormat="1" ht="27">
      <c r="A469"/>
      <c r="B469" s="553" t="s">
        <v>52</v>
      </c>
      <c r="C469" s="547" t="s">
        <v>823</v>
      </c>
      <c r="D469" s="548"/>
      <c r="E469" s="548"/>
      <c r="F469" s="549">
        <f t="shared" si="334"/>
        <v>0</v>
      </c>
      <c r="G469" s="550"/>
      <c r="H469" s="548"/>
      <c r="I469" s="548"/>
      <c r="J469" s="551">
        <f t="shared" si="335"/>
        <v>0</v>
      </c>
      <c r="K469" s="550"/>
      <c r="L469" s="552">
        <v>0.39583333333333331</v>
      </c>
      <c r="M469" s="548">
        <v>0.75</v>
      </c>
      <c r="N469" s="551">
        <f t="shared" si="336"/>
        <v>8.5</v>
      </c>
      <c r="O469" s="550"/>
      <c r="P469" s="548"/>
      <c r="Q469" s="548"/>
      <c r="R469" s="551">
        <f t="shared" si="337"/>
        <v>0</v>
      </c>
      <c r="S469" s="550"/>
      <c r="T469" s="548"/>
      <c r="U469" s="548"/>
      <c r="V469" s="551">
        <f t="shared" si="338"/>
        <v>0</v>
      </c>
      <c r="W469" s="550"/>
      <c r="X469" s="548"/>
      <c r="Y469" s="548"/>
      <c r="Z469" s="551"/>
      <c r="AA469" s="550"/>
      <c r="AB469" s="548"/>
      <c r="AC469" s="548"/>
      <c r="AD469" s="551"/>
      <c r="AE469" s="24"/>
      <c r="AF469" s="29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</row>
    <row r="470" spans="1:55" s="2" customFormat="1" ht="27">
      <c r="A470"/>
      <c r="B470" s="553" t="s">
        <v>572</v>
      </c>
      <c r="C470" s="547" t="s">
        <v>824</v>
      </c>
      <c r="D470" s="548"/>
      <c r="E470" s="548"/>
      <c r="F470" s="549">
        <f t="shared" si="334"/>
        <v>0</v>
      </c>
      <c r="G470" s="550"/>
      <c r="H470" s="548"/>
      <c r="I470" s="548"/>
      <c r="J470" s="551">
        <f t="shared" si="335"/>
        <v>0</v>
      </c>
      <c r="K470" s="550"/>
      <c r="L470" s="552">
        <v>0.41666666666666669</v>
      </c>
      <c r="M470" s="548">
        <v>0.72916666666666663</v>
      </c>
      <c r="N470" s="551">
        <f t="shared" si="336"/>
        <v>7.4999999999999982</v>
      </c>
      <c r="O470" s="550"/>
      <c r="P470" s="548"/>
      <c r="Q470" s="548"/>
      <c r="R470" s="551">
        <f t="shared" si="337"/>
        <v>0</v>
      </c>
      <c r="S470" s="550"/>
      <c r="T470" s="548"/>
      <c r="U470" s="548"/>
      <c r="V470" s="551">
        <f t="shared" si="338"/>
        <v>0</v>
      </c>
      <c r="W470" s="550"/>
      <c r="X470" s="548"/>
      <c r="Y470" s="548"/>
      <c r="Z470" s="551"/>
      <c r="AA470" s="550"/>
      <c r="AB470" s="548"/>
      <c r="AC470" s="548"/>
      <c r="AD470" s="551"/>
      <c r="AE470" s="24"/>
      <c r="AF470" s="29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</row>
    <row r="471" spans="1:55" s="2" customFormat="1" ht="27">
      <c r="A471"/>
      <c r="B471" s="553" t="s">
        <v>810</v>
      </c>
      <c r="C471" s="547" t="s">
        <v>824</v>
      </c>
      <c r="D471" s="548"/>
      <c r="E471" s="548"/>
      <c r="F471" s="549">
        <f t="shared" si="334"/>
        <v>0</v>
      </c>
      <c r="G471" s="550"/>
      <c r="H471" s="548"/>
      <c r="I471" s="548"/>
      <c r="J471" s="551">
        <f t="shared" si="335"/>
        <v>0</v>
      </c>
      <c r="K471" s="550"/>
      <c r="L471" s="552">
        <v>0.41666666666666669</v>
      </c>
      <c r="M471" s="548">
        <v>0.72916666666666663</v>
      </c>
      <c r="N471" s="551">
        <f t="shared" si="336"/>
        <v>7.4999999999999982</v>
      </c>
      <c r="O471" s="550"/>
      <c r="P471" s="548"/>
      <c r="Q471" s="548"/>
      <c r="R471" s="551">
        <f t="shared" si="337"/>
        <v>0</v>
      </c>
      <c r="S471" s="550"/>
      <c r="T471" s="548"/>
      <c r="U471" s="548"/>
      <c r="V471" s="551">
        <f t="shared" si="338"/>
        <v>0</v>
      </c>
      <c r="W471" s="550"/>
      <c r="X471" s="548"/>
      <c r="Y471" s="548"/>
      <c r="Z471" s="551"/>
      <c r="AA471" s="550"/>
      <c r="AB471" s="548"/>
      <c r="AC471" s="548"/>
      <c r="AD471" s="551"/>
      <c r="AE471" s="24"/>
      <c r="AF471" s="29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</row>
    <row r="472" spans="1:55" s="2" customFormat="1" ht="14.25">
      <c r="A472"/>
      <c r="B472" s="553" t="s">
        <v>576</v>
      </c>
      <c r="C472" s="547" t="s">
        <v>825</v>
      </c>
      <c r="D472" s="548"/>
      <c r="E472" s="548"/>
      <c r="F472" s="549">
        <f t="shared" si="334"/>
        <v>0</v>
      </c>
      <c r="G472" s="550"/>
      <c r="H472" s="548">
        <v>0.41666666666666669</v>
      </c>
      <c r="I472" s="548">
        <v>0.70833333333333337</v>
      </c>
      <c r="J472" s="551">
        <f t="shared" si="335"/>
        <v>7</v>
      </c>
      <c r="K472" s="550"/>
      <c r="L472" s="552"/>
      <c r="M472" s="548"/>
      <c r="N472" s="551">
        <f t="shared" si="336"/>
        <v>0</v>
      </c>
      <c r="O472" s="550"/>
      <c r="P472" s="548">
        <v>0.60416666666666663</v>
      </c>
      <c r="Q472" s="548">
        <v>0.70833333333333337</v>
      </c>
      <c r="R472" s="551">
        <f t="shared" si="337"/>
        <v>2.5000000000000018</v>
      </c>
      <c r="S472" s="550"/>
      <c r="T472" s="548">
        <v>0.5</v>
      </c>
      <c r="U472" s="548">
        <v>0.66666666666666663</v>
      </c>
      <c r="V472" s="551">
        <f t="shared" si="338"/>
        <v>3.9999999999999991</v>
      </c>
      <c r="W472" s="550"/>
      <c r="X472" s="548"/>
      <c r="Y472" s="548"/>
      <c r="Z472" s="551"/>
      <c r="AA472" s="550"/>
      <c r="AB472" s="548"/>
      <c r="AC472" s="548"/>
      <c r="AD472" s="551"/>
      <c r="AE472" s="24"/>
      <c r="AF472" s="29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</row>
    <row r="473" spans="1:55" s="2" customFormat="1" ht="14.25">
      <c r="A473"/>
      <c r="B473" s="553" t="s">
        <v>582</v>
      </c>
      <c r="C473" s="547" t="s">
        <v>826</v>
      </c>
      <c r="D473" s="548"/>
      <c r="E473" s="548"/>
      <c r="F473" s="549"/>
      <c r="G473" s="550"/>
      <c r="H473" s="548">
        <v>0.41666666666666669</v>
      </c>
      <c r="I473" s="548">
        <v>0.66666666666666663</v>
      </c>
      <c r="J473" s="551">
        <f t="shared" si="335"/>
        <v>5.9999999999999982</v>
      </c>
      <c r="K473" s="550"/>
      <c r="L473" s="552"/>
      <c r="M473" s="548"/>
      <c r="N473" s="551"/>
      <c r="O473" s="550"/>
      <c r="P473" s="548"/>
      <c r="Q473" s="548"/>
      <c r="R473" s="551"/>
      <c r="S473" s="550"/>
      <c r="T473" s="548"/>
      <c r="U473" s="548"/>
      <c r="V473" s="551"/>
      <c r="W473" s="550"/>
      <c r="X473" s="548"/>
      <c r="Y473" s="548"/>
      <c r="Z473" s="551"/>
      <c r="AA473" s="550"/>
      <c r="AB473" s="548"/>
      <c r="AC473" s="548"/>
      <c r="AD473" s="551"/>
      <c r="AE473" s="24"/>
      <c r="AF473" s="29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</row>
    <row r="474" spans="1:55" s="2" customFormat="1" ht="14.25">
      <c r="A474"/>
      <c r="B474" s="553"/>
      <c r="C474" s="547"/>
      <c r="D474" s="548"/>
      <c r="E474" s="548"/>
      <c r="F474" s="549"/>
      <c r="G474" s="550"/>
      <c r="H474" s="548"/>
      <c r="I474" s="548"/>
      <c r="J474" s="551"/>
      <c r="K474" s="550"/>
      <c r="L474" s="552"/>
      <c r="M474" s="548"/>
      <c r="N474" s="551"/>
      <c r="O474" s="550"/>
      <c r="P474" s="548"/>
      <c r="Q474" s="548"/>
      <c r="R474" s="551"/>
      <c r="S474" s="550"/>
      <c r="T474" s="548"/>
      <c r="U474" s="548"/>
      <c r="V474" s="551"/>
      <c r="W474" s="550"/>
      <c r="X474" s="548"/>
      <c r="Y474" s="548"/>
      <c r="Z474" s="551"/>
      <c r="AA474" s="550"/>
      <c r="AB474" s="548"/>
      <c r="AC474" s="548"/>
      <c r="AD474" s="551"/>
      <c r="AE474" s="24"/>
      <c r="AF474" s="29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</row>
    <row r="475" spans="1:55" s="2" customFormat="1" ht="14.25">
      <c r="A475"/>
      <c r="B475" s="554" t="s">
        <v>61</v>
      </c>
      <c r="C475" s="554"/>
      <c r="D475" s="548"/>
      <c r="E475" s="548"/>
      <c r="F475" s="549">
        <f>SUM(F461:F474)</f>
        <v>32.833333333333329</v>
      </c>
      <c r="G475" s="549">
        <f>SUM(G461:G474)</f>
        <v>0</v>
      </c>
      <c r="H475" s="549"/>
      <c r="I475" s="549"/>
      <c r="J475" s="549">
        <f>SUM(J461:J474)</f>
        <v>43.833333333333329</v>
      </c>
      <c r="K475" s="549">
        <f>SUM(K461:K474)</f>
        <v>0</v>
      </c>
      <c r="L475" s="549"/>
      <c r="M475" s="549"/>
      <c r="N475" s="549">
        <f>SUM(N461:N474)</f>
        <v>55.5</v>
      </c>
      <c r="O475" s="549">
        <f>SUM(O461:O474)</f>
        <v>0</v>
      </c>
      <c r="P475" s="549"/>
      <c r="Q475" s="549"/>
      <c r="R475" s="549">
        <f>SUM(R461:R474)</f>
        <v>16.5</v>
      </c>
      <c r="S475" s="549">
        <f>SUM(S461:S474)</f>
        <v>0</v>
      </c>
      <c r="T475" s="549"/>
      <c r="U475" s="549"/>
      <c r="V475" s="549">
        <f>SUM(V461:V474)</f>
        <v>3.9999999999999991</v>
      </c>
      <c r="W475" s="549">
        <f>SUM(W461:W474)</f>
        <v>0</v>
      </c>
      <c r="X475" s="549"/>
      <c r="Y475" s="549"/>
      <c r="Z475" s="549">
        <f>SUM(Z461:Z474)</f>
        <v>0</v>
      </c>
      <c r="AA475" s="549">
        <f>SUM(AA461:AA474)</f>
        <v>0</v>
      </c>
      <c r="AB475" s="549"/>
      <c r="AC475" s="549"/>
      <c r="AD475" s="549">
        <f>SUM(AD461:AD474)</f>
        <v>0</v>
      </c>
      <c r="AE475" s="24"/>
      <c r="AF475" s="29">
        <f t="shared" si="333"/>
        <v>152.66666666666666</v>
      </c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</row>
    <row r="476" spans="1:55" s="2" customFormat="1">
      <c r="A476"/>
      <c r="B476" s="31" t="s">
        <v>577</v>
      </c>
      <c r="C476" s="31"/>
      <c r="D476" s="91"/>
      <c r="E476" s="91"/>
      <c r="F476" s="90"/>
      <c r="G476" s="91"/>
      <c r="H476" s="91"/>
      <c r="I476" s="91"/>
      <c r="J476" s="90"/>
      <c r="K476" s="91"/>
      <c r="L476" s="430"/>
      <c r="M476" s="91"/>
      <c r="N476" s="90"/>
      <c r="O476" s="91"/>
      <c r="P476" s="91"/>
      <c r="Q476" s="91"/>
      <c r="R476" s="90"/>
      <c r="S476" s="91"/>
      <c r="T476" s="91"/>
      <c r="U476" s="91"/>
      <c r="V476" s="90"/>
      <c r="W476" s="91"/>
      <c r="X476" s="91"/>
      <c r="Y476" s="91"/>
      <c r="Z476" s="90"/>
      <c r="AA476" s="91"/>
      <c r="AB476" s="91"/>
      <c r="AC476" s="91"/>
      <c r="AD476" s="91"/>
      <c r="AE476" s="352"/>
      <c r="AF476" s="28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</row>
    <row r="477" spans="1:55" s="2" customFormat="1">
      <c r="A477"/>
      <c r="B477" s="31" t="s">
        <v>578</v>
      </c>
      <c r="C477" s="31"/>
      <c r="D477" s="91"/>
      <c r="E477" s="91"/>
      <c r="F477" s="90"/>
      <c r="G477" s="91"/>
      <c r="H477" s="91"/>
      <c r="I477" s="91"/>
      <c r="J477" s="90"/>
      <c r="K477" s="91"/>
      <c r="L477" s="430"/>
      <c r="M477" s="91"/>
      <c r="N477" s="90"/>
      <c r="O477" s="91"/>
      <c r="P477" s="91"/>
      <c r="Q477" s="91"/>
      <c r="R477" s="90"/>
      <c r="S477" s="91"/>
      <c r="T477" s="91"/>
      <c r="U477" s="91"/>
      <c r="V477" s="90"/>
      <c r="W477" s="91"/>
      <c r="X477" s="91"/>
      <c r="Y477" s="91"/>
      <c r="Z477" s="90"/>
      <c r="AA477" s="91"/>
      <c r="AB477" s="91"/>
      <c r="AC477" s="91"/>
      <c r="AD477" s="91"/>
      <c r="AE477" s="352"/>
      <c r="AF477" s="28">
        <f>SUM(D477:AD477)</f>
        <v>0</v>
      </c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</row>
    <row r="478" spans="1:55" s="2" customFormat="1" ht="14.25" thickBot="1">
      <c r="A478"/>
      <c r="B478" s="74" t="s">
        <v>579</v>
      </c>
      <c r="C478" s="74"/>
      <c r="D478" s="95"/>
      <c r="E478" s="95"/>
      <c r="F478" s="96"/>
      <c r="G478" s="95"/>
      <c r="H478" s="95"/>
      <c r="I478" s="95"/>
      <c r="J478" s="96"/>
      <c r="K478" s="95"/>
      <c r="L478" s="431"/>
      <c r="M478" s="95"/>
      <c r="N478" s="96"/>
      <c r="O478" s="95"/>
      <c r="P478" s="95"/>
      <c r="Q478" s="95"/>
      <c r="R478" s="96"/>
      <c r="S478" s="95"/>
      <c r="T478" s="95"/>
      <c r="U478" s="95"/>
      <c r="V478" s="96"/>
      <c r="W478" s="97"/>
      <c r="X478" s="97"/>
      <c r="Y478" s="97"/>
      <c r="Z478" s="96"/>
      <c r="AA478" s="97"/>
      <c r="AB478" s="97"/>
      <c r="AC478" s="97"/>
      <c r="AD478" s="97"/>
      <c r="AE478" s="97"/>
      <c r="AF478" s="80">
        <f>SUM(D478:AD478)</f>
        <v>0</v>
      </c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</row>
    <row r="479" spans="1:55" s="2" customFormat="1" ht="14.25" thickTop="1">
      <c r="A479"/>
      <c r="B479" s="1518" t="s">
        <v>18</v>
      </c>
      <c r="C479" s="1528" t="s">
        <v>571</v>
      </c>
      <c r="D479" s="1524">
        <v>45488</v>
      </c>
      <c r="E479" s="1524"/>
      <c r="F479" s="1524"/>
      <c r="G479" s="22"/>
      <c r="H479" s="1524">
        <f>D479+1</f>
        <v>45489</v>
      </c>
      <c r="I479" s="1524"/>
      <c r="J479" s="1524"/>
      <c r="K479" s="22"/>
      <c r="L479" s="1524">
        <f>H479+1</f>
        <v>45490</v>
      </c>
      <c r="M479" s="1524"/>
      <c r="N479" s="1524"/>
      <c r="O479" s="3"/>
      <c r="P479" s="1524">
        <f>L479+1</f>
        <v>45491</v>
      </c>
      <c r="Q479" s="1524"/>
      <c r="R479" s="1524"/>
      <c r="S479" s="3"/>
      <c r="T479" s="1524">
        <f>P479+1</f>
        <v>45492</v>
      </c>
      <c r="U479" s="1524"/>
      <c r="V479" s="1524"/>
      <c r="W479" s="22"/>
      <c r="X479" s="1524">
        <f>T479+1</f>
        <v>45493</v>
      </c>
      <c r="Y479" s="1524"/>
      <c r="Z479" s="1524"/>
      <c r="AA479" s="3"/>
      <c r="AB479" s="1524">
        <f>X479+1</f>
        <v>45494</v>
      </c>
      <c r="AC479" s="1524"/>
      <c r="AD479" s="1524"/>
      <c r="AE479" s="22"/>
      <c r="AF479" s="1517" t="s">
        <v>19</v>
      </c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</row>
    <row r="480" spans="1:55" s="2" customFormat="1">
      <c r="A480"/>
      <c r="B480" s="1518"/>
      <c r="C480" s="1528"/>
      <c r="D480" s="21" t="s">
        <v>23</v>
      </c>
      <c r="E480" s="21" t="s">
        <v>24</v>
      </c>
      <c r="F480" s="62" t="s">
        <v>25</v>
      </c>
      <c r="G480" s="23"/>
      <c r="H480" s="21" t="s">
        <v>23</v>
      </c>
      <c r="I480" s="21" t="s">
        <v>24</v>
      </c>
      <c r="J480" s="18" t="s">
        <v>25</v>
      </c>
      <c r="K480" s="23"/>
      <c r="L480" s="21" t="s">
        <v>23</v>
      </c>
      <c r="M480" s="21" t="s">
        <v>24</v>
      </c>
      <c r="N480" s="18" t="s">
        <v>25</v>
      </c>
      <c r="O480" s="23"/>
      <c r="P480" s="21" t="s">
        <v>23</v>
      </c>
      <c r="Q480" s="21" t="s">
        <v>24</v>
      </c>
      <c r="R480" s="18" t="s">
        <v>25</v>
      </c>
      <c r="S480" s="23"/>
      <c r="T480" s="21" t="s">
        <v>23</v>
      </c>
      <c r="U480" s="21" t="s">
        <v>24</v>
      </c>
      <c r="V480" s="18" t="s">
        <v>25</v>
      </c>
      <c r="W480" s="23"/>
      <c r="X480" s="21" t="s">
        <v>23</v>
      </c>
      <c r="Y480" s="21" t="s">
        <v>24</v>
      </c>
      <c r="Z480" s="18" t="s">
        <v>25</v>
      </c>
      <c r="AA480" s="23"/>
      <c r="AB480" s="21" t="s">
        <v>23</v>
      </c>
      <c r="AC480" s="21" t="s">
        <v>24</v>
      </c>
      <c r="AD480" s="18" t="s">
        <v>25</v>
      </c>
      <c r="AE480" s="23"/>
      <c r="AF480" s="1517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</row>
    <row r="481" spans="1:55" s="2" customFormat="1" ht="14.25">
      <c r="A481"/>
      <c r="B481" s="553" t="s">
        <v>54</v>
      </c>
      <c r="C481" s="547" t="s">
        <v>817</v>
      </c>
      <c r="D481" s="548">
        <v>0.3888888888888889</v>
      </c>
      <c r="E481" s="548">
        <v>0.70833333333333337</v>
      </c>
      <c r="F481" s="549">
        <f t="shared" ref="F481:F485" si="339">(E481-D481)*24</f>
        <v>7.6666666666666679</v>
      </c>
      <c r="G481" s="550"/>
      <c r="H481" s="548">
        <v>0.3888888888888889</v>
      </c>
      <c r="I481" s="548">
        <v>0.70833333333333337</v>
      </c>
      <c r="J481" s="551">
        <f t="shared" ref="J481:J485" si="340">(I481-H481)*24</f>
        <v>7.6666666666666679</v>
      </c>
      <c r="K481" s="550"/>
      <c r="L481" s="552"/>
      <c r="M481" s="548"/>
      <c r="N481" s="551">
        <f t="shared" ref="N481:N485" si="341">(M481-L481)*24</f>
        <v>0</v>
      </c>
      <c r="O481" s="550"/>
      <c r="P481" s="548"/>
      <c r="Q481" s="548"/>
      <c r="R481" s="551">
        <f t="shared" ref="R481:R485" si="342">(Q481-P481)*24</f>
        <v>0</v>
      </c>
      <c r="S481" s="550"/>
      <c r="T481" s="548"/>
      <c r="U481" s="548"/>
      <c r="V481" s="551">
        <f t="shared" ref="V481:V485" si="343">(U481-T481)*24</f>
        <v>0</v>
      </c>
      <c r="W481" s="550"/>
      <c r="X481" s="548"/>
      <c r="Y481" s="548"/>
      <c r="Z481" s="551">
        <f t="shared" ref="Z481:Z485" si="344">(Y481-X481)*24</f>
        <v>0</v>
      </c>
      <c r="AA481" s="550"/>
      <c r="AB481" s="548"/>
      <c r="AC481" s="548"/>
      <c r="AD481" s="551">
        <f t="shared" ref="AD481:AD485" si="345">(AC481-AB481)*24</f>
        <v>0</v>
      </c>
      <c r="AE481" s="24"/>
      <c r="AF481" s="29">
        <f t="shared" ref="AF481:AF489" si="346">J481+F481+N481+R481+V481+Z481+AD481</f>
        <v>15.333333333333336</v>
      </c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</row>
    <row r="482" spans="1:55" s="2" customFormat="1" ht="14.25">
      <c r="A482"/>
      <c r="B482" s="553" t="s">
        <v>42</v>
      </c>
      <c r="C482" s="547" t="s">
        <v>817</v>
      </c>
      <c r="D482" s="548">
        <v>0.375</v>
      </c>
      <c r="E482" s="548">
        <v>0.70833333333333337</v>
      </c>
      <c r="F482" s="549">
        <f t="shared" si="339"/>
        <v>8</v>
      </c>
      <c r="G482" s="550"/>
      <c r="H482" s="548">
        <v>0.3888888888888889</v>
      </c>
      <c r="I482" s="548">
        <v>0.70833333333333337</v>
      </c>
      <c r="J482" s="551">
        <f>(I482-H482)*24</f>
        <v>7.6666666666666679</v>
      </c>
      <c r="K482" s="550"/>
      <c r="L482" s="552"/>
      <c r="M482" s="548"/>
      <c r="N482" s="551">
        <f t="shared" si="341"/>
        <v>0</v>
      </c>
      <c r="O482" s="550"/>
      <c r="P482" s="548"/>
      <c r="Q482" s="548"/>
      <c r="R482" s="551">
        <f t="shared" si="342"/>
        <v>0</v>
      </c>
      <c r="S482" s="550"/>
      <c r="T482" s="548"/>
      <c r="U482" s="548"/>
      <c r="V482" s="551">
        <f t="shared" si="343"/>
        <v>0</v>
      </c>
      <c r="W482" s="550"/>
      <c r="X482" s="548"/>
      <c r="Y482" s="548"/>
      <c r="Z482" s="551">
        <f t="shared" si="344"/>
        <v>0</v>
      </c>
      <c r="AA482" s="550"/>
      <c r="AB482" s="548"/>
      <c r="AC482" s="548"/>
      <c r="AD482" s="551">
        <f t="shared" si="345"/>
        <v>0</v>
      </c>
      <c r="AE482" s="24"/>
      <c r="AF482" s="29">
        <f t="shared" si="346"/>
        <v>15.666666666666668</v>
      </c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</row>
    <row r="483" spans="1:55" s="2" customFormat="1" ht="14.25">
      <c r="A483"/>
      <c r="B483" s="553" t="s">
        <v>572</v>
      </c>
      <c r="C483" s="547" t="s">
        <v>827</v>
      </c>
      <c r="D483" s="548"/>
      <c r="E483" s="548"/>
      <c r="F483" s="549">
        <f t="shared" si="339"/>
        <v>0</v>
      </c>
      <c r="G483" s="550"/>
      <c r="H483" s="548">
        <v>0.35416666666666669</v>
      </c>
      <c r="I483" s="548">
        <v>0.72916666666666663</v>
      </c>
      <c r="J483" s="551">
        <f t="shared" si="340"/>
        <v>8.9999999999999982</v>
      </c>
      <c r="K483" s="550"/>
      <c r="L483" s="552">
        <v>0.35416666666666669</v>
      </c>
      <c r="M483" s="548">
        <v>0.72916666666666663</v>
      </c>
      <c r="N483" s="551">
        <f t="shared" si="341"/>
        <v>8.9999999999999982</v>
      </c>
      <c r="O483" s="550"/>
      <c r="P483" s="548">
        <v>0.35416666666666669</v>
      </c>
      <c r="Q483" s="548">
        <v>0.72916666666666663</v>
      </c>
      <c r="R483" s="551">
        <f t="shared" si="342"/>
        <v>8.9999999999999982</v>
      </c>
      <c r="S483" s="550"/>
      <c r="T483" s="548"/>
      <c r="U483" s="548"/>
      <c r="V483" s="551">
        <f t="shared" si="343"/>
        <v>0</v>
      </c>
      <c r="W483" s="550"/>
      <c r="X483" s="548"/>
      <c r="Y483" s="548"/>
      <c r="Z483" s="551">
        <f t="shared" si="344"/>
        <v>0</v>
      </c>
      <c r="AA483" s="550"/>
      <c r="AB483" s="548"/>
      <c r="AC483" s="548"/>
      <c r="AD483" s="551">
        <f t="shared" si="345"/>
        <v>0</v>
      </c>
      <c r="AE483" s="24"/>
      <c r="AF483" s="29">
        <f t="shared" si="346"/>
        <v>26.999999999999993</v>
      </c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</row>
    <row r="484" spans="1:55" s="2" customFormat="1" ht="14.25">
      <c r="A484"/>
      <c r="B484" s="553"/>
      <c r="C484" s="547"/>
      <c r="D484" s="548"/>
      <c r="E484" s="548"/>
      <c r="F484" s="549">
        <f t="shared" si="339"/>
        <v>0</v>
      </c>
      <c r="G484" s="550"/>
      <c r="H484" s="548"/>
      <c r="I484" s="548"/>
      <c r="J484" s="551">
        <f t="shared" si="340"/>
        <v>0</v>
      </c>
      <c r="K484" s="550"/>
      <c r="L484" s="552"/>
      <c r="M484" s="548"/>
      <c r="N484" s="551">
        <f t="shared" si="341"/>
        <v>0</v>
      </c>
      <c r="O484" s="550"/>
      <c r="P484" s="548"/>
      <c r="Q484" s="548"/>
      <c r="R484" s="551">
        <f t="shared" si="342"/>
        <v>0</v>
      </c>
      <c r="S484" s="550"/>
      <c r="T484" s="548"/>
      <c r="U484" s="548"/>
      <c r="V484" s="551">
        <f t="shared" si="343"/>
        <v>0</v>
      </c>
      <c r="W484" s="550"/>
      <c r="X484" s="548"/>
      <c r="Y484" s="548"/>
      <c r="Z484" s="551">
        <f t="shared" si="344"/>
        <v>0</v>
      </c>
      <c r="AA484" s="550"/>
      <c r="AB484" s="548"/>
      <c r="AC484" s="548"/>
      <c r="AD484" s="551">
        <f t="shared" si="345"/>
        <v>0</v>
      </c>
      <c r="AE484" s="24"/>
      <c r="AF484" s="29">
        <f t="shared" si="346"/>
        <v>0</v>
      </c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</row>
    <row r="485" spans="1:55" s="2" customFormat="1" ht="14.25">
      <c r="A485"/>
      <c r="B485" s="553"/>
      <c r="C485" s="547"/>
      <c r="D485" s="548"/>
      <c r="E485" s="548"/>
      <c r="F485" s="549">
        <f t="shared" si="339"/>
        <v>0</v>
      </c>
      <c r="G485" s="550"/>
      <c r="H485" s="548"/>
      <c r="I485" s="548"/>
      <c r="J485" s="551">
        <f t="shared" si="340"/>
        <v>0</v>
      </c>
      <c r="K485" s="550"/>
      <c r="L485" s="552"/>
      <c r="M485" s="548"/>
      <c r="N485" s="551">
        <f t="shared" si="341"/>
        <v>0</v>
      </c>
      <c r="O485" s="550"/>
      <c r="P485" s="548"/>
      <c r="Q485" s="548"/>
      <c r="R485" s="551">
        <f t="shared" si="342"/>
        <v>0</v>
      </c>
      <c r="S485" s="550"/>
      <c r="T485" s="548"/>
      <c r="U485" s="548"/>
      <c r="V485" s="551">
        <f t="shared" si="343"/>
        <v>0</v>
      </c>
      <c r="W485" s="550"/>
      <c r="X485" s="548"/>
      <c r="Y485" s="548"/>
      <c r="Z485" s="551">
        <f t="shared" si="344"/>
        <v>0</v>
      </c>
      <c r="AA485" s="550"/>
      <c r="AB485" s="548"/>
      <c r="AC485" s="548"/>
      <c r="AD485" s="551">
        <f t="shared" si="345"/>
        <v>0</v>
      </c>
      <c r="AE485" s="24"/>
      <c r="AF485" s="29">
        <f t="shared" si="346"/>
        <v>0</v>
      </c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</row>
    <row r="486" spans="1:55" s="2" customFormat="1" ht="14.25">
      <c r="A486"/>
      <c r="B486" s="553"/>
      <c r="C486" s="547"/>
      <c r="D486" s="548"/>
      <c r="E486" s="548"/>
      <c r="F486" s="549">
        <f>(E486-D486)*24</f>
        <v>0</v>
      </c>
      <c r="G486" s="550"/>
      <c r="H486" s="548"/>
      <c r="I486" s="548"/>
      <c r="J486" s="551">
        <f>(I486-H486)*24</f>
        <v>0</v>
      </c>
      <c r="K486" s="550"/>
      <c r="L486" s="552"/>
      <c r="M486" s="548"/>
      <c r="N486" s="551">
        <f>(M486-L486)*24</f>
        <v>0</v>
      </c>
      <c r="O486" s="550"/>
      <c r="P486" s="548"/>
      <c r="Q486" s="548"/>
      <c r="R486" s="551">
        <f>(Q486-P486)*24</f>
        <v>0</v>
      </c>
      <c r="S486" s="550"/>
      <c r="T486" s="548"/>
      <c r="U486" s="548"/>
      <c r="V486" s="551">
        <f>(U486-T486)*24</f>
        <v>0</v>
      </c>
      <c r="W486" s="550"/>
      <c r="X486" s="548"/>
      <c r="Y486" s="548"/>
      <c r="Z486" s="551">
        <f>(Y486-X486)*24</f>
        <v>0</v>
      </c>
      <c r="AA486" s="550"/>
      <c r="AB486" s="548"/>
      <c r="AC486" s="548"/>
      <c r="AD486" s="551"/>
      <c r="AE486" s="24"/>
      <c r="AF486" s="29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</row>
    <row r="487" spans="1:55" s="2" customFormat="1" ht="14.25">
      <c r="A487"/>
      <c r="B487" s="553"/>
      <c r="C487" s="547"/>
      <c r="D487" s="548"/>
      <c r="E487" s="548"/>
      <c r="F487" s="549">
        <f>(E487-D487)*24</f>
        <v>0</v>
      </c>
      <c r="G487" s="550"/>
      <c r="H487" s="548"/>
      <c r="I487" s="548"/>
      <c r="J487" s="551">
        <f>(I487-H487)*24</f>
        <v>0</v>
      </c>
      <c r="K487" s="550"/>
      <c r="L487" s="552"/>
      <c r="M487" s="548"/>
      <c r="N487" s="551">
        <f>(M487-L487)*24</f>
        <v>0</v>
      </c>
      <c r="O487" s="550"/>
      <c r="P487" s="548"/>
      <c r="Q487" s="548"/>
      <c r="R487" s="551">
        <f>(Q487-P487)*24</f>
        <v>0</v>
      </c>
      <c r="S487" s="550"/>
      <c r="T487" s="548"/>
      <c r="U487" s="548"/>
      <c r="V487" s="551">
        <f>(U487-T487)*24</f>
        <v>0</v>
      </c>
      <c r="W487" s="550"/>
      <c r="X487" s="548"/>
      <c r="Y487" s="548"/>
      <c r="Z487" s="551">
        <f>(Y487-X487)*24</f>
        <v>0</v>
      </c>
      <c r="AA487" s="550"/>
      <c r="AB487" s="548"/>
      <c r="AC487" s="548"/>
      <c r="AD487" s="551"/>
      <c r="AE487" s="24"/>
      <c r="AF487" s="29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</row>
    <row r="488" spans="1:55" s="2" customFormat="1" ht="14.25">
      <c r="A488"/>
      <c r="B488" s="553"/>
      <c r="C488" s="547"/>
      <c r="D488" s="548"/>
      <c r="E488" s="548"/>
      <c r="F488" s="549">
        <f>(E488-D488)*24</f>
        <v>0</v>
      </c>
      <c r="G488" s="550"/>
      <c r="H488" s="548"/>
      <c r="I488" s="548"/>
      <c r="J488" s="551">
        <f>(I488-H488)*24</f>
        <v>0</v>
      </c>
      <c r="K488" s="550"/>
      <c r="L488" s="552"/>
      <c r="M488" s="548"/>
      <c r="N488" s="551">
        <f>(M488-L488)*24</f>
        <v>0</v>
      </c>
      <c r="O488" s="550"/>
      <c r="P488" s="548"/>
      <c r="Q488" s="548"/>
      <c r="R488" s="551">
        <f>(Q488-P488)*24</f>
        <v>0</v>
      </c>
      <c r="S488" s="550"/>
      <c r="T488" s="548"/>
      <c r="U488" s="548"/>
      <c r="V488" s="551">
        <f>(U488-T488)*24</f>
        <v>0</v>
      </c>
      <c r="W488" s="550"/>
      <c r="X488" s="548"/>
      <c r="Y488" s="548"/>
      <c r="Z488" s="551">
        <f>(Y488-X488)*24</f>
        <v>0</v>
      </c>
      <c r="AA488" s="550"/>
      <c r="AB488" s="548"/>
      <c r="AC488" s="548"/>
      <c r="AD488" s="551"/>
      <c r="AE488" s="24"/>
      <c r="AF488" s="29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</row>
    <row r="489" spans="1:55" s="2" customFormat="1" ht="14.25">
      <c r="A489"/>
      <c r="B489" s="554" t="s">
        <v>61</v>
      </c>
      <c r="C489" s="554"/>
      <c r="D489" s="548"/>
      <c r="E489" s="548"/>
      <c r="F489" s="549">
        <f>SUM(F481:F488)</f>
        <v>15.666666666666668</v>
      </c>
      <c r="G489" s="549">
        <f>SUM(G481:G488)</f>
        <v>0</v>
      </c>
      <c r="H489" s="549"/>
      <c r="I489" s="549"/>
      <c r="J489" s="549">
        <f>SUM(J481:J488)</f>
        <v>24.333333333333336</v>
      </c>
      <c r="K489" s="549">
        <f>SUM(K481:K488)</f>
        <v>0</v>
      </c>
      <c r="L489" s="549"/>
      <c r="M489" s="549"/>
      <c r="N489" s="549">
        <f>SUM(N481:N488)</f>
        <v>8.9999999999999982</v>
      </c>
      <c r="O489" s="549">
        <f>SUM(O481:O488)</f>
        <v>0</v>
      </c>
      <c r="P489" s="549"/>
      <c r="Q489" s="549"/>
      <c r="R489" s="549">
        <f>SUM(R481:R488)</f>
        <v>8.9999999999999982</v>
      </c>
      <c r="S489" s="549">
        <f>SUM(S481:S488)</f>
        <v>0</v>
      </c>
      <c r="T489" s="549"/>
      <c r="U489" s="549"/>
      <c r="V489" s="549">
        <f>SUM(V481:V488)</f>
        <v>0</v>
      </c>
      <c r="W489" s="549">
        <f>SUM(W481:W488)</f>
        <v>0</v>
      </c>
      <c r="X489" s="549"/>
      <c r="Y489" s="549"/>
      <c r="Z489" s="549">
        <f>SUM(Z481:Z488)</f>
        <v>0</v>
      </c>
      <c r="AA489" s="549">
        <f>SUM(AA481:AA488)</f>
        <v>0</v>
      </c>
      <c r="AB489" s="549"/>
      <c r="AC489" s="549"/>
      <c r="AD489" s="549">
        <f>SUM(AD481:AD488)</f>
        <v>0</v>
      </c>
      <c r="AE489" s="24"/>
      <c r="AF489" s="29">
        <f t="shared" si="346"/>
        <v>58</v>
      </c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</row>
    <row r="490" spans="1:55" s="2" customFormat="1">
      <c r="A490"/>
      <c r="B490" s="31" t="s">
        <v>577</v>
      </c>
      <c r="C490" s="31"/>
      <c r="D490" s="91"/>
      <c r="E490" s="91"/>
      <c r="F490" s="90"/>
      <c r="G490" s="91"/>
      <c r="H490" s="91"/>
      <c r="I490" s="91"/>
      <c r="J490" s="90"/>
      <c r="K490" s="91"/>
      <c r="L490" s="430"/>
      <c r="M490" s="91"/>
      <c r="N490" s="90"/>
      <c r="O490" s="91"/>
      <c r="P490" s="91"/>
      <c r="Q490" s="91"/>
      <c r="R490" s="90"/>
      <c r="S490" s="91"/>
      <c r="T490" s="91"/>
      <c r="U490" s="91"/>
      <c r="V490" s="90"/>
      <c r="W490" s="91"/>
      <c r="X490" s="91"/>
      <c r="Y490" s="91"/>
      <c r="Z490" s="90"/>
      <c r="AA490" s="91"/>
      <c r="AB490" s="91"/>
      <c r="AC490" s="91"/>
      <c r="AD490" s="91"/>
      <c r="AE490" s="352"/>
      <c r="AF490" s="28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</row>
    <row r="491" spans="1:55" s="2" customFormat="1">
      <c r="A491"/>
      <c r="B491" s="31" t="s">
        <v>578</v>
      </c>
      <c r="C491" s="31"/>
      <c r="D491" s="91"/>
      <c r="E491" s="91"/>
      <c r="F491" s="90"/>
      <c r="G491" s="91"/>
      <c r="H491" s="91"/>
      <c r="I491" s="91"/>
      <c r="J491" s="90"/>
      <c r="K491" s="91"/>
      <c r="L491" s="430"/>
      <c r="M491" s="91"/>
      <c r="N491" s="90"/>
      <c r="O491" s="91"/>
      <c r="P491" s="91"/>
      <c r="Q491" s="91"/>
      <c r="R491" s="90"/>
      <c r="S491" s="91"/>
      <c r="T491" s="91"/>
      <c r="U491" s="91"/>
      <c r="V491" s="90"/>
      <c r="W491" s="91"/>
      <c r="X491" s="91"/>
      <c r="Y491" s="91"/>
      <c r="Z491" s="90"/>
      <c r="AA491" s="91"/>
      <c r="AB491" s="91"/>
      <c r="AC491" s="91"/>
      <c r="AD491" s="91"/>
      <c r="AE491" s="352"/>
      <c r="AF491" s="28">
        <f>SUM(D491:AD491)</f>
        <v>0</v>
      </c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</row>
    <row r="492" spans="1:55" s="2" customFormat="1" ht="14.25" thickBot="1">
      <c r="A492"/>
      <c r="B492" s="74" t="s">
        <v>579</v>
      </c>
      <c r="C492" s="74"/>
      <c r="D492" s="95"/>
      <c r="E492" s="95"/>
      <c r="F492" s="96"/>
      <c r="G492" s="95"/>
      <c r="H492" s="95"/>
      <c r="I492" s="95"/>
      <c r="J492" s="96"/>
      <c r="K492" s="95"/>
      <c r="L492" s="431"/>
      <c r="M492" s="95"/>
      <c r="N492" s="96"/>
      <c r="O492" s="95"/>
      <c r="P492" s="95"/>
      <c r="Q492" s="95"/>
      <c r="R492" s="96"/>
      <c r="S492" s="95"/>
      <c r="T492" s="95"/>
      <c r="U492" s="95"/>
      <c r="V492" s="96"/>
      <c r="W492" s="97"/>
      <c r="X492" s="97"/>
      <c r="Y492" s="97"/>
      <c r="Z492" s="96"/>
      <c r="AA492" s="97"/>
      <c r="AB492" s="97"/>
      <c r="AC492" s="97"/>
      <c r="AD492" s="97"/>
      <c r="AE492" s="97"/>
      <c r="AF492" s="80">
        <f>SUM(D492:AD492)</f>
        <v>0</v>
      </c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</row>
    <row r="493" spans="1:55" s="2" customFormat="1" ht="14.25" thickTop="1">
      <c r="A493"/>
      <c r="B493" s="1518" t="s">
        <v>18</v>
      </c>
      <c r="C493" s="1528" t="s">
        <v>571</v>
      </c>
      <c r="D493" s="1524">
        <v>45495</v>
      </c>
      <c r="E493" s="1524"/>
      <c r="F493" s="1524"/>
      <c r="G493" s="22"/>
      <c r="H493" s="1524">
        <f>D493+1</f>
        <v>45496</v>
      </c>
      <c r="I493" s="1524"/>
      <c r="J493" s="1524"/>
      <c r="K493" s="22"/>
      <c r="L493" s="1524">
        <f>H493+1</f>
        <v>45497</v>
      </c>
      <c r="M493" s="1524"/>
      <c r="N493" s="1524"/>
      <c r="O493" s="3"/>
      <c r="P493" s="1524">
        <f>L493+1</f>
        <v>45498</v>
      </c>
      <c r="Q493" s="1524"/>
      <c r="R493" s="1524"/>
      <c r="S493" s="3"/>
      <c r="T493" s="1524">
        <f>P493+1</f>
        <v>45499</v>
      </c>
      <c r="U493" s="1524"/>
      <c r="V493" s="1524"/>
      <c r="W493" s="22"/>
      <c r="X493" s="1524">
        <f>T493+1</f>
        <v>45500</v>
      </c>
      <c r="Y493" s="1524"/>
      <c r="Z493" s="1524"/>
      <c r="AA493" s="3"/>
      <c r="AB493" s="1524">
        <f>X493+1</f>
        <v>45501</v>
      </c>
      <c r="AC493" s="1524"/>
      <c r="AD493" s="1524"/>
      <c r="AE493" s="22"/>
      <c r="AF493" s="1517" t="s">
        <v>19</v>
      </c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</row>
    <row r="494" spans="1:55" s="2" customFormat="1">
      <c r="A494"/>
      <c r="B494" s="1518"/>
      <c r="C494" s="1528"/>
      <c r="D494" s="21" t="s">
        <v>23</v>
      </c>
      <c r="E494" s="21" t="s">
        <v>24</v>
      </c>
      <c r="F494" s="62" t="s">
        <v>25</v>
      </c>
      <c r="G494" s="23"/>
      <c r="H494" s="21" t="s">
        <v>23</v>
      </c>
      <c r="I494" s="21" t="s">
        <v>24</v>
      </c>
      <c r="J494" s="18" t="s">
        <v>25</v>
      </c>
      <c r="K494" s="23"/>
      <c r="L494" s="21" t="s">
        <v>23</v>
      </c>
      <c r="M494" s="21" t="s">
        <v>24</v>
      </c>
      <c r="N494" s="18" t="s">
        <v>25</v>
      </c>
      <c r="O494" s="23"/>
      <c r="P494" s="21" t="s">
        <v>23</v>
      </c>
      <c r="Q494" s="21" t="s">
        <v>24</v>
      </c>
      <c r="R494" s="18" t="s">
        <v>25</v>
      </c>
      <c r="S494" s="23"/>
      <c r="T494" s="21" t="s">
        <v>23</v>
      </c>
      <c r="U494" s="21" t="s">
        <v>24</v>
      </c>
      <c r="V494" s="18" t="s">
        <v>25</v>
      </c>
      <c r="W494" s="23"/>
      <c r="X494" s="21" t="s">
        <v>23</v>
      </c>
      <c r="Y494" s="21" t="s">
        <v>24</v>
      </c>
      <c r="Z494" s="18" t="s">
        <v>25</v>
      </c>
      <c r="AA494" s="23"/>
      <c r="AB494" s="21" t="s">
        <v>23</v>
      </c>
      <c r="AC494" s="21" t="s">
        <v>24</v>
      </c>
      <c r="AD494" s="18" t="s">
        <v>25</v>
      </c>
      <c r="AE494" s="23"/>
      <c r="AF494" s="1517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</row>
    <row r="495" spans="1:55" s="2" customFormat="1" ht="14.25">
      <c r="A495"/>
      <c r="B495" s="553" t="s">
        <v>572</v>
      </c>
      <c r="C495" s="547" t="s">
        <v>828</v>
      </c>
      <c r="D495" s="548"/>
      <c r="E495" s="548"/>
      <c r="F495" s="549">
        <f t="shared" ref="F495:F501" si="347">(E495-D495)*24</f>
        <v>0</v>
      </c>
      <c r="G495" s="550"/>
      <c r="H495" s="548"/>
      <c r="I495" s="548"/>
      <c r="J495" s="551">
        <f t="shared" ref="J495:J501" si="348">(I495-H495)*24</f>
        <v>0</v>
      </c>
      <c r="K495" s="550"/>
      <c r="L495" s="552">
        <v>0.375</v>
      </c>
      <c r="M495" s="548">
        <v>0.70833333333333337</v>
      </c>
      <c r="N495" s="551">
        <f t="shared" ref="N495:N501" si="349">(M495-L495)*24</f>
        <v>8</v>
      </c>
      <c r="O495" s="550"/>
      <c r="P495" s="548"/>
      <c r="Q495" s="548"/>
      <c r="R495" s="551">
        <f t="shared" ref="R495:R501" si="350">(Q495-P495)*24</f>
        <v>0</v>
      </c>
      <c r="S495" s="550"/>
      <c r="T495" s="548"/>
      <c r="U495" s="548"/>
      <c r="V495" s="551">
        <f t="shared" ref="V495:V501" si="351">(U495-T495)*24</f>
        <v>0</v>
      </c>
      <c r="W495" s="550"/>
      <c r="X495" s="548"/>
      <c r="Y495" s="548"/>
      <c r="Z495" s="551">
        <f t="shared" ref="Z495:Z501" si="352">(Y495-X495)*24</f>
        <v>0</v>
      </c>
      <c r="AA495" s="550"/>
      <c r="AB495" s="548"/>
      <c r="AC495" s="548"/>
      <c r="AD495" s="551">
        <f t="shared" ref="AD495:AD501" si="353">(AC495-AB495)*24</f>
        <v>0</v>
      </c>
      <c r="AE495" s="24"/>
      <c r="AF495" s="29">
        <f t="shared" ref="AF495:AF501" si="354">J495+F495+N495+R495+V495+Z495+AD495</f>
        <v>8</v>
      </c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</row>
    <row r="496" spans="1:55" s="2" customFormat="1" ht="14.25">
      <c r="A496"/>
      <c r="B496" s="553" t="s">
        <v>810</v>
      </c>
      <c r="C496" s="547" t="s">
        <v>828</v>
      </c>
      <c r="D496" s="548"/>
      <c r="E496" s="548"/>
      <c r="F496" s="549">
        <f t="shared" si="347"/>
        <v>0</v>
      </c>
      <c r="G496" s="550"/>
      <c r="H496" s="548"/>
      <c r="I496" s="548"/>
      <c r="J496" s="551">
        <f t="shared" si="348"/>
        <v>0</v>
      </c>
      <c r="K496" s="550"/>
      <c r="L496" s="552">
        <v>0.41666666666666669</v>
      </c>
      <c r="M496" s="548">
        <v>0.70833333333333337</v>
      </c>
      <c r="N496" s="551">
        <f t="shared" si="349"/>
        <v>7</v>
      </c>
      <c r="O496" s="550"/>
      <c r="P496" s="548"/>
      <c r="Q496" s="548"/>
      <c r="R496" s="551">
        <f t="shared" si="350"/>
        <v>0</v>
      </c>
      <c r="S496" s="550"/>
      <c r="T496" s="548"/>
      <c r="U496" s="548"/>
      <c r="V496" s="551">
        <f t="shared" si="351"/>
        <v>0</v>
      </c>
      <c r="W496" s="550"/>
      <c r="X496" s="548"/>
      <c r="Y496" s="548"/>
      <c r="Z496" s="551">
        <f t="shared" si="352"/>
        <v>0</v>
      </c>
      <c r="AA496" s="550"/>
      <c r="AB496" s="548"/>
      <c r="AC496" s="548"/>
      <c r="AD496" s="551">
        <f t="shared" si="353"/>
        <v>0</v>
      </c>
      <c r="AE496" s="24"/>
      <c r="AF496" s="29">
        <f t="shared" si="354"/>
        <v>7</v>
      </c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</row>
    <row r="497" spans="1:55" s="2" customFormat="1" ht="14.25">
      <c r="A497"/>
      <c r="B497" s="553" t="s">
        <v>54</v>
      </c>
      <c r="C497" s="547" t="s">
        <v>811</v>
      </c>
      <c r="D497" s="548"/>
      <c r="E497" s="548"/>
      <c r="F497" s="549">
        <f t="shared" si="347"/>
        <v>0</v>
      </c>
      <c r="G497" s="550"/>
      <c r="H497" s="548"/>
      <c r="I497" s="548"/>
      <c r="J497" s="551">
        <f t="shared" si="348"/>
        <v>0</v>
      </c>
      <c r="K497" s="550"/>
      <c r="L497" s="552"/>
      <c r="M497" s="548"/>
      <c r="N497" s="551">
        <f t="shared" si="349"/>
        <v>0</v>
      </c>
      <c r="O497" s="550"/>
      <c r="P497" s="548">
        <v>0.39583333333333331</v>
      </c>
      <c r="Q497" s="548">
        <v>0.70833333333333337</v>
      </c>
      <c r="R497" s="551">
        <f t="shared" si="350"/>
        <v>7.5000000000000018</v>
      </c>
      <c r="S497" s="550"/>
      <c r="T497" s="548"/>
      <c r="U497" s="548"/>
      <c r="V497" s="551">
        <f t="shared" si="351"/>
        <v>0</v>
      </c>
      <c r="W497" s="550"/>
      <c r="X497" s="548"/>
      <c r="Y497" s="548"/>
      <c r="Z497" s="551">
        <f t="shared" si="352"/>
        <v>0</v>
      </c>
      <c r="AA497" s="550"/>
      <c r="AB497" s="548"/>
      <c r="AC497" s="548"/>
      <c r="AD497" s="551">
        <f t="shared" si="353"/>
        <v>0</v>
      </c>
      <c r="AE497" s="24"/>
      <c r="AF497" s="29">
        <f t="shared" si="354"/>
        <v>7.5000000000000018</v>
      </c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</row>
    <row r="498" spans="1:55" s="2" customFormat="1" ht="27">
      <c r="A498"/>
      <c r="B498" s="553" t="s">
        <v>637</v>
      </c>
      <c r="C498" s="547" t="s">
        <v>829</v>
      </c>
      <c r="D498" s="548"/>
      <c r="E498" s="548"/>
      <c r="F498" s="549">
        <f t="shared" si="347"/>
        <v>0</v>
      </c>
      <c r="G498" s="550"/>
      <c r="H498" s="548"/>
      <c r="I498" s="548"/>
      <c r="J498" s="551">
        <f t="shared" si="348"/>
        <v>0</v>
      </c>
      <c r="K498" s="550"/>
      <c r="L498" s="552"/>
      <c r="M498" s="548"/>
      <c r="N498" s="551">
        <f t="shared" si="349"/>
        <v>0</v>
      </c>
      <c r="O498" s="550"/>
      <c r="P498" s="548"/>
      <c r="Q498" s="548"/>
      <c r="R498" s="551">
        <f t="shared" si="350"/>
        <v>0</v>
      </c>
      <c r="S498" s="550"/>
      <c r="T498" s="548">
        <v>0.375</v>
      </c>
      <c r="U498" s="548"/>
      <c r="V498" s="551">
        <f t="shared" si="351"/>
        <v>-9</v>
      </c>
      <c r="W498" s="550"/>
      <c r="X498" s="548"/>
      <c r="Y498" s="548"/>
      <c r="Z498" s="551">
        <f t="shared" si="352"/>
        <v>0</v>
      </c>
      <c r="AA498" s="550"/>
      <c r="AB498" s="548"/>
      <c r="AC498" s="548"/>
      <c r="AD498" s="551">
        <f t="shared" si="353"/>
        <v>0</v>
      </c>
      <c r="AE498" s="24"/>
      <c r="AF498" s="29">
        <f t="shared" si="354"/>
        <v>-9</v>
      </c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</row>
    <row r="499" spans="1:55" s="2" customFormat="1" ht="27">
      <c r="A499"/>
      <c r="B499" s="553" t="s">
        <v>576</v>
      </c>
      <c r="C499" s="547" t="s">
        <v>829</v>
      </c>
      <c r="D499" s="548"/>
      <c r="E499" s="548"/>
      <c r="F499" s="549">
        <f>(E499-D499)*24</f>
        <v>0</v>
      </c>
      <c r="G499" s="550"/>
      <c r="H499" s="548"/>
      <c r="I499" s="548"/>
      <c r="J499" s="551"/>
      <c r="K499" s="550"/>
      <c r="L499" s="552"/>
      <c r="M499" s="548"/>
      <c r="N499" s="551"/>
      <c r="O499" s="550"/>
      <c r="P499" s="548"/>
      <c r="Q499" s="548"/>
      <c r="R499" s="551"/>
      <c r="S499" s="550"/>
      <c r="T499" s="548">
        <v>0.375</v>
      </c>
      <c r="U499" s="548"/>
      <c r="V499" s="551"/>
      <c r="W499" s="550"/>
      <c r="X499" s="548"/>
      <c r="Y499" s="548"/>
      <c r="Z499" s="551"/>
      <c r="AA499" s="550"/>
      <c r="AB499" s="548"/>
      <c r="AC499" s="548"/>
      <c r="AD499" s="551"/>
      <c r="AE499" s="24"/>
      <c r="AF499" s="29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</row>
    <row r="500" spans="1:55" s="2" customFormat="1" ht="14.25">
      <c r="A500"/>
      <c r="B500" s="553"/>
      <c r="C500" s="547"/>
      <c r="D500" s="548"/>
      <c r="E500" s="548"/>
      <c r="F500" s="549">
        <f>(E500-D500)*24</f>
        <v>0</v>
      </c>
      <c r="G500" s="550"/>
      <c r="H500" s="548"/>
      <c r="I500" s="548"/>
      <c r="J500" s="551"/>
      <c r="K500" s="550"/>
      <c r="L500" s="552"/>
      <c r="M500" s="548"/>
      <c r="N500" s="551"/>
      <c r="O500" s="550"/>
      <c r="P500" s="548"/>
      <c r="Q500" s="548"/>
      <c r="R500" s="551"/>
      <c r="S500" s="550"/>
      <c r="T500" s="548"/>
      <c r="U500" s="548"/>
      <c r="V500" s="551"/>
      <c r="W500" s="550"/>
      <c r="X500" s="548"/>
      <c r="Y500" s="548"/>
      <c r="Z500" s="551"/>
      <c r="AA500" s="550"/>
      <c r="AB500" s="548"/>
      <c r="AC500" s="548"/>
      <c r="AD500" s="551"/>
      <c r="AE500" s="24"/>
      <c r="AF500" s="29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</row>
    <row r="501" spans="1:55" s="2" customFormat="1" ht="14.25">
      <c r="A501"/>
      <c r="B501" s="554" t="s">
        <v>61</v>
      </c>
      <c r="C501" s="554"/>
      <c r="D501" s="548"/>
      <c r="E501" s="548"/>
      <c r="F501" s="549">
        <f t="shared" si="347"/>
        <v>0</v>
      </c>
      <c r="G501" s="550"/>
      <c r="H501" s="548"/>
      <c r="I501" s="548"/>
      <c r="J501" s="551">
        <f t="shared" si="348"/>
        <v>0</v>
      </c>
      <c r="K501" s="550"/>
      <c r="L501" s="552"/>
      <c r="M501" s="548"/>
      <c r="N501" s="551">
        <f t="shared" si="349"/>
        <v>0</v>
      </c>
      <c r="O501" s="550"/>
      <c r="P501" s="548"/>
      <c r="Q501" s="548"/>
      <c r="R501" s="551">
        <f t="shared" si="350"/>
        <v>0</v>
      </c>
      <c r="S501" s="550"/>
      <c r="T501" s="548"/>
      <c r="U501" s="548"/>
      <c r="V501" s="551">
        <f t="shared" si="351"/>
        <v>0</v>
      </c>
      <c r="W501" s="550"/>
      <c r="X501" s="548"/>
      <c r="Y501" s="548"/>
      <c r="Z501" s="551">
        <f t="shared" si="352"/>
        <v>0</v>
      </c>
      <c r="AA501" s="550"/>
      <c r="AB501" s="548"/>
      <c r="AC501" s="548"/>
      <c r="AD501" s="551">
        <f t="shared" si="353"/>
        <v>0</v>
      </c>
      <c r="AE501" s="24"/>
      <c r="AF501" s="29">
        <f t="shared" si="354"/>
        <v>0</v>
      </c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</row>
    <row r="502" spans="1:55" s="2" customFormat="1">
      <c r="A502"/>
      <c r="B502" s="31" t="s">
        <v>577</v>
      </c>
      <c r="C502" s="31"/>
      <c r="D502" s="91"/>
      <c r="E502" s="91"/>
      <c r="F502" s="90"/>
      <c r="G502" s="91"/>
      <c r="H502" s="91"/>
      <c r="I502" s="91"/>
      <c r="J502" s="90"/>
      <c r="K502" s="91"/>
      <c r="L502" s="430"/>
      <c r="M502" s="91"/>
      <c r="N502" s="90"/>
      <c r="O502" s="91"/>
      <c r="P502" s="91"/>
      <c r="Q502" s="91"/>
      <c r="R502" s="90"/>
      <c r="S502" s="91"/>
      <c r="T502" s="91"/>
      <c r="U502" s="91"/>
      <c r="V502" s="90"/>
      <c r="W502" s="91"/>
      <c r="X502" s="91"/>
      <c r="Y502" s="91"/>
      <c r="Z502" s="90"/>
      <c r="AA502" s="91"/>
      <c r="AB502" s="91"/>
      <c r="AC502" s="91"/>
      <c r="AD502" s="91"/>
      <c r="AE502" s="352"/>
      <c r="AF502" s="28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</row>
    <row r="503" spans="1:55" s="2" customFormat="1">
      <c r="A503"/>
      <c r="B503" s="31" t="s">
        <v>578</v>
      </c>
      <c r="C503" s="31"/>
      <c r="D503" s="91"/>
      <c r="E503" s="91"/>
      <c r="F503" s="90"/>
      <c r="G503" s="91"/>
      <c r="H503" s="91"/>
      <c r="I503" s="91"/>
      <c r="J503" s="90"/>
      <c r="K503" s="91"/>
      <c r="L503" s="430"/>
      <c r="M503" s="91"/>
      <c r="N503" s="90"/>
      <c r="O503" s="91"/>
      <c r="P503" s="91"/>
      <c r="Q503" s="91"/>
      <c r="R503" s="90"/>
      <c r="S503" s="91"/>
      <c r="T503" s="91"/>
      <c r="U503" s="91"/>
      <c r="V503" s="90"/>
      <c r="W503" s="91"/>
      <c r="X503" s="91"/>
      <c r="Y503" s="91"/>
      <c r="Z503" s="90"/>
      <c r="AA503" s="91"/>
      <c r="AB503" s="91"/>
      <c r="AC503" s="91"/>
      <c r="AD503" s="91"/>
      <c r="AE503" s="352"/>
      <c r="AF503" s="28">
        <f>SUM(D503:AD503)</f>
        <v>0</v>
      </c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</row>
    <row r="504" spans="1:55" s="2" customFormat="1" ht="14.25" thickBot="1">
      <c r="A504"/>
      <c r="B504" s="74" t="s">
        <v>579</v>
      </c>
      <c r="C504" s="74"/>
      <c r="D504" s="95"/>
      <c r="E504" s="95"/>
      <c r="F504" s="96"/>
      <c r="G504" s="95"/>
      <c r="H504" s="95"/>
      <c r="I504" s="95"/>
      <c r="J504" s="96"/>
      <c r="K504" s="95"/>
      <c r="L504" s="431"/>
      <c r="M504" s="95"/>
      <c r="N504" s="96"/>
      <c r="O504" s="95"/>
      <c r="P504" s="95"/>
      <c r="Q504" s="95"/>
      <c r="R504" s="96"/>
      <c r="S504" s="95"/>
      <c r="T504" s="95"/>
      <c r="U504" s="95"/>
      <c r="V504" s="96"/>
      <c r="W504" s="97"/>
      <c r="X504" s="97"/>
      <c r="Y504" s="97"/>
      <c r="Z504" s="96"/>
      <c r="AA504" s="97"/>
      <c r="AB504" s="97"/>
      <c r="AC504" s="97"/>
      <c r="AD504" s="97"/>
      <c r="AE504" s="97"/>
      <c r="AF504" s="80">
        <f>SUM(D504:AD504)</f>
        <v>0</v>
      </c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</row>
    <row r="505" spans="1:55" s="2" customFormat="1" ht="14.25" thickTop="1">
      <c r="A505"/>
      <c r="B505" s="1518" t="s">
        <v>18</v>
      </c>
      <c r="C505" s="1528" t="s">
        <v>571</v>
      </c>
      <c r="D505" s="1524">
        <v>45502</v>
      </c>
      <c r="E505" s="1524"/>
      <c r="F505" s="1524"/>
      <c r="G505" s="22"/>
      <c r="H505" s="1524">
        <f>D505+1</f>
        <v>45503</v>
      </c>
      <c r="I505" s="1524"/>
      <c r="J505" s="1524"/>
      <c r="K505" s="22"/>
      <c r="L505" s="1524">
        <f>H505+1</f>
        <v>45504</v>
      </c>
      <c r="M505" s="1524"/>
      <c r="N505" s="1524"/>
      <c r="O505" s="3"/>
      <c r="P505" s="1524">
        <f>L505+1</f>
        <v>45505</v>
      </c>
      <c r="Q505" s="1524"/>
      <c r="R505" s="1524"/>
      <c r="S505" s="3"/>
      <c r="T505" s="1524">
        <f>P505+1</f>
        <v>45506</v>
      </c>
      <c r="U505" s="1524"/>
      <c r="V505" s="1524"/>
      <c r="W505" s="22"/>
      <c r="X505" s="1524">
        <f>T505+1</f>
        <v>45507</v>
      </c>
      <c r="Y505" s="1524"/>
      <c r="Z505" s="1524"/>
      <c r="AA505" s="3"/>
      <c r="AB505" s="1524">
        <f>X505+1</f>
        <v>45508</v>
      </c>
      <c r="AC505" s="1524"/>
      <c r="AD505" s="1524"/>
      <c r="AE505" s="22"/>
      <c r="AF505" s="1517" t="s">
        <v>19</v>
      </c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</row>
    <row r="506" spans="1:55" s="2" customFormat="1">
      <c r="A506"/>
      <c r="B506" s="1518"/>
      <c r="C506" s="1528"/>
      <c r="D506" s="21" t="s">
        <v>23</v>
      </c>
      <c r="E506" s="21" t="s">
        <v>24</v>
      </c>
      <c r="F506" s="62" t="s">
        <v>25</v>
      </c>
      <c r="G506" s="23"/>
      <c r="H506" s="21" t="s">
        <v>23</v>
      </c>
      <c r="I506" s="21" t="s">
        <v>24</v>
      </c>
      <c r="J506" s="18" t="s">
        <v>25</v>
      </c>
      <c r="K506" s="23"/>
      <c r="L506" s="21" t="s">
        <v>23</v>
      </c>
      <c r="M506" s="21" t="s">
        <v>24</v>
      </c>
      <c r="N506" s="18" t="s">
        <v>25</v>
      </c>
      <c r="O506" s="23"/>
      <c r="P506" s="21" t="s">
        <v>23</v>
      </c>
      <c r="Q506" s="21" t="s">
        <v>24</v>
      </c>
      <c r="R506" s="18" t="s">
        <v>25</v>
      </c>
      <c r="S506" s="23"/>
      <c r="T506" s="21" t="s">
        <v>23</v>
      </c>
      <c r="U506" s="21" t="s">
        <v>24</v>
      </c>
      <c r="V506" s="18" t="s">
        <v>25</v>
      </c>
      <c r="W506" s="23"/>
      <c r="X506" s="21" t="s">
        <v>23</v>
      </c>
      <c r="Y506" s="21" t="s">
        <v>24</v>
      </c>
      <c r="Z506" s="18" t="s">
        <v>25</v>
      </c>
      <c r="AA506" s="23"/>
      <c r="AB506" s="21" t="s">
        <v>23</v>
      </c>
      <c r="AC506" s="21" t="s">
        <v>24</v>
      </c>
      <c r="AD506" s="18" t="s">
        <v>25</v>
      </c>
      <c r="AE506" s="23"/>
      <c r="AF506" s="1517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</row>
    <row r="507" spans="1:55" s="2" customFormat="1" ht="27">
      <c r="A507"/>
      <c r="B507" s="553" t="s">
        <v>637</v>
      </c>
      <c r="C507" s="547" t="s">
        <v>829</v>
      </c>
      <c r="D507" s="548">
        <v>0.54166666666666663</v>
      </c>
      <c r="E507" s="548"/>
      <c r="F507" s="549">
        <f t="shared" ref="F507:F513" si="355">(E507-D507)*24</f>
        <v>-13</v>
      </c>
      <c r="G507" s="550"/>
      <c r="H507" s="548">
        <v>0.39583333333333331</v>
      </c>
      <c r="I507" s="548"/>
      <c r="J507" s="551">
        <f t="shared" ref="J507:J513" si="356">(I507-H507)*24</f>
        <v>-9.5</v>
      </c>
      <c r="K507" s="550"/>
      <c r="L507" s="552"/>
      <c r="M507" s="548"/>
      <c r="N507" s="551">
        <f t="shared" ref="N507:N513" si="357">(M507-L507)*24</f>
        <v>0</v>
      </c>
      <c r="O507" s="550"/>
      <c r="P507" s="548"/>
      <c r="Q507" s="548"/>
      <c r="R507" s="551">
        <f t="shared" ref="R507:R513" si="358">(Q507-P507)*24</f>
        <v>0</v>
      </c>
      <c r="S507" s="550"/>
      <c r="T507" s="548"/>
      <c r="U507" s="548"/>
      <c r="V507" s="551">
        <f t="shared" ref="V507:V513" si="359">(U507-T507)*24</f>
        <v>0</v>
      </c>
      <c r="W507" s="550"/>
      <c r="X507" s="548"/>
      <c r="Y507" s="548"/>
      <c r="Z507" s="551">
        <f t="shared" ref="Z507:Z513" si="360">(Y507-X507)*24</f>
        <v>0</v>
      </c>
      <c r="AA507" s="550"/>
      <c r="AB507" s="548"/>
      <c r="AC507" s="548"/>
      <c r="AD507" s="551">
        <f t="shared" ref="AD507:AD513" si="361">(AC507-AB507)*24</f>
        <v>0</v>
      </c>
      <c r="AE507" s="24"/>
      <c r="AF507" s="29">
        <f t="shared" ref="AF507:AF513" si="362">J507+F507+N507+R507+V507+Z507+AD507</f>
        <v>-22.5</v>
      </c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</row>
    <row r="508" spans="1:55" s="2" customFormat="1" ht="14.25">
      <c r="A508"/>
      <c r="B508" s="553" t="s">
        <v>576</v>
      </c>
      <c r="C508" s="547" t="s">
        <v>830</v>
      </c>
      <c r="D508" s="548"/>
      <c r="E508" s="548"/>
      <c r="F508" s="549">
        <f t="shared" si="355"/>
        <v>0</v>
      </c>
      <c r="G508" s="550"/>
      <c r="H508" s="548">
        <v>0.39583333333333331</v>
      </c>
      <c r="I508" s="548"/>
      <c r="J508" s="551">
        <f t="shared" si="356"/>
        <v>-9.5</v>
      </c>
      <c r="K508" s="550"/>
      <c r="L508" s="552"/>
      <c r="M508" s="548"/>
      <c r="N508" s="551">
        <f t="shared" si="357"/>
        <v>0</v>
      </c>
      <c r="O508" s="550"/>
      <c r="P508" s="548"/>
      <c r="Q508" s="548"/>
      <c r="R508" s="551">
        <f t="shared" si="358"/>
        <v>0</v>
      </c>
      <c r="S508" s="550"/>
      <c r="T508" s="548"/>
      <c r="U508" s="548"/>
      <c r="V508" s="551">
        <f t="shared" si="359"/>
        <v>0</v>
      </c>
      <c r="W508" s="550"/>
      <c r="X508" s="548"/>
      <c r="Y508" s="548"/>
      <c r="Z508" s="551">
        <f t="shared" si="360"/>
        <v>0</v>
      </c>
      <c r="AA508" s="550"/>
      <c r="AB508" s="548"/>
      <c r="AC508" s="548"/>
      <c r="AD508" s="551">
        <f t="shared" si="361"/>
        <v>0</v>
      </c>
      <c r="AE508" s="24"/>
      <c r="AF508" s="29">
        <f t="shared" si="362"/>
        <v>-9.5</v>
      </c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</row>
    <row r="509" spans="1:55" s="2" customFormat="1" ht="14.25">
      <c r="A509"/>
      <c r="B509" s="553" t="s">
        <v>54</v>
      </c>
      <c r="C509" s="547" t="s">
        <v>830</v>
      </c>
      <c r="D509" s="548"/>
      <c r="E509" s="548"/>
      <c r="F509" s="549">
        <f t="shared" si="355"/>
        <v>0</v>
      </c>
      <c r="G509" s="550"/>
      <c r="H509" s="548">
        <v>0.375</v>
      </c>
      <c r="I509" s="548"/>
      <c r="J509" s="551">
        <f t="shared" si="356"/>
        <v>-9</v>
      </c>
      <c r="K509" s="550"/>
      <c r="L509" s="552"/>
      <c r="M509" s="548"/>
      <c r="N509" s="551">
        <f t="shared" si="357"/>
        <v>0</v>
      </c>
      <c r="O509" s="550"/>
      <c r="P509" s="548"/>
      <c r="Q509" s="548"/>
      <c r="R509" s="551">
        <f t="shared" si="358"/>
        <v>0</v>
      </c>
      <c r="S509" s="550"/>
      <c r="T509" s="548"/>
      <c r="U509" s="548"/>
      <c r="V509" s="551">
        <f t="shared" si="359"/>
        <v>0</v>
      </c>
      <c r="W509" s="550"/>
      <c r="X509" s="548"/>
      <c r="Y509" s="548"/>
      <c r="Z509" s="551">
        <f t="shared" si="360"/>
        <v>0</v>
      </c>
      <c r="AA509" s="550"/>
      <c r="AB509" s="548"/>
      <c r="AC509" s="548"/>
      <c r="AD509" s="551">
        <f t="shared" si="361"/>
        <v>0</v>
      </c>
      <c r="AE509" s="24"/>
      <c r="AF509" s="29">
        <f t="shared" si="362"/>
        <v>-9</v>
      </c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</row>
    <row r="510" spans="1:55" s="2" customFormat="1" ht="14.25">
      <c r="A510"/>
      <c r="B510" s="553" t="s">
        <v>54</v>
      </c>
      <c r="C510" s="547" t="s">
        <v>831</v>
      </c>
      <c r="D510" s="548"/>
      <c r="E510" s="548"/>
      <c r="F510" s="549">
        <f t="shared" si="355"/>
        <v>0</v>
      </c>
      <c r="G510" s="550"/>
      <c r="H510" s="548"/>
      <c r="I510" s="548"/>
      <c r="J510" s="551">
        <f t="shared" si="356"/>
        <v>0</v>
      </c>
      <c r="K510" s="550"/>
      <c r="L510" s="552"/>
      <c r="M510" s="548"/>
      <c r="N510" s="551">
        <f t="shared" si="357"/>
        <v>0</v>
      </c>
      <c r="O510" s="550"/>
      <c r="P510" s="548"/>
      <c r="Q510" s="548"/>
      <c r="R510" s="551">
        <f t="shared" si="358"/>
        <v>0</v>
      </c>
      <c r="S510" s="550"/>
      <c r="T510" s="548">
        <v>0.375</v>
      </c>
      <c r="U510" s="548">
        <v>0.70833333333333337</v>
      </c>
      <c r="V510" s="551">
        <f t="shared" si="359"/>
        <v>8</v>
      </c>
      <c r="W510" s="550"/>
      <c r="X510" s="548"/>
      <c r="Y510" s="548"/>
      <c r="Z510" s="551">
        <f t="shared" si="360"/>
        <v>0</v>
      </c>
      <c r="AA510" s="550"/>
      <c r="AB510" s="548"/>
      <c r="AC510" s="548"/>
      <c r="AD510" s="551">
        <f t="shared" si="361"/>
        <v>0</v>
      </c>
      <c r="AE510" s="24"/>
      <c r="AF510" s="29">
        <f t="shared" si="362"/>
        <v>8</v>
      </c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</row>
    <row r="511" spans="1:55" s="2" customFormat="1" ht="14.25">
      <c r="A511"/>
      <c r="B511" s="553"/>
      <c r="C511" s="547"/>
      <c r="D511" s="548"/>
      <c r="E511" s="548"/>
      <c r="F511" s="549">
        <f>(E511-D511)*24</f>
        <v>0</v>
      </c>
      <c r="G511" s="550"/>
      <c r="H511" s="548"/>
      <c r="I511" s="548"/>
      <c r="J511" s="551">
        <f>(I511-H511)*24</f>
        <v>0</v>
      </c>
      <c r="K511" s="550"/>
      <c r="L511" s="552"/>
      <c r="M511" s="548"/>
      <c r="N511" s="551">
        <f>(M511-L511)*24</f>
        <v>0</v>
      </c>
      <c r="O511" s="550"/>
      <c r="P511" s="548"/>
      <c r="Q511" s="548"/>
      <c r="R511" s="551">
        <f>(Q511-P511)*24</f>
        <v>0</v>
      </c>
      <c r="S511" s="550"/>
      <c r="T511" s="548"/>
      <c r="U511" s="548"/>
      <c r="V511" s="551">
        <f>(U511-T511)*24</f>
        <v>0</v>
      </c>
      <c r="W511" s="550"/>
      <c r="X511" s="548"/>
      <c r="Y511" s="548"/>
      <c r="Z511" s="551">
        <f>(Y511-X511)*24</f>
        <v>0</v>
      </c>
      <c r="AA511" s="550"/>
      <c r="AB511" s="548"/>
      <c r="AC511" s="548"/>
      <c r="AD511" s="551">
        <f>(AC511-AB511)*24</f>
        <v>0</v>
      </c>
      <c r="AE511" s="24"/>
      <c r="AF511" s="29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</row>
    <row r="512" spans="1:55" s="2" customFormat="1" ht="14.25">
      <c r="A512"/>
      <c r="B512" s="553"/>
      <c r="C512" s="547"/>
      <c r="D512" s="548"/>
      <c r="E512" s="548"/>
      <c r="F512" s="549">
        <f>(E512-D512)*24</f>
        <v>0</v>
      </c>
      <c r="G512" s="550"/>
      <c r="H512" s="548"/>
      <c r="I512" s="548"/>
      <c r="J512" s="551">
        <f>(I512-H512)*24</f>
        <v>0</v>
      </c>
      <c r="K512" s="550"/>
      <c r="L512" s="552"/>
      <c r="M512" s="548"/>
      <c r="N512" s="551">
        <f>(M512-L512)*24</f>
        <v>0</v>
      </c>
      <c r="O512" s="550"/>
      <c r="P512" s="548"/>
      <c r="Q512" s="548"/>
      <c r="R512" s="551">
        <f>(Q512-P512)*24</f>
        <v>0</v>
      </c>
      <c r="S512" s="550"/>
      <c r="T512" s="548"/>
      <c r="U512" s="548"/>
      <c r="V512" s="551">
        <f>(U512-T512)*24</f>
        <v>0</v>
      </c>
      <c r="W512" s="550"/>
      <c r="X512" s="548"/>
      <c r="Y512" s="548"/>
      <c r="Z512" s="551">
        <f>(Y512-X512)*24</f>
        <v>0</v>
      </c>
      <c r="AA512" s="550"/>
      <c r="AB512" s="548"/>
      <c r="AC512" s="548"/>
      <c r="AD512" s="551">
        <f>(AC512-AB512)*24</f>
        <v>0</v>
      </c>
      <c r="AE512" s="24"/>
      <c r="AF512" s="29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</row>
    <row r="513" spans="1:55" s="2" customFormat="1" ht="14.25">
      <c r="A513"/>
      <c r="B513" s="554" t="s">
        <v>61</v>
      </c>
      <c r="C513" s="554"/>
      <c r="D513" s="548"/>
      <c r="E513" s="548"/>
      <c r="F513" s="549">
        <f t="shared" si="355"/>
        <v>0</v>
      </c>
      <c r="G513" s="550"/>
      <c r="H513" s="548"/>
      <c r="I513" s="548"/>
      <c r="J513" s="551">
        <f t="shared" si="356"/>
        <v>0</v>
      </c>
      <c r="K513" s="550"/>
      <c r="L513" s="552"/>
      <c r="M513" s="548"/>
      <c r="N513" s="551">
        <f t="shared" si="357"/>
        <v>0</v>
      </c>
      <c r="O513" s="550"/>
      <c r="P513" s="548"/>
      <c r="Q513" s="548"/>
      <c r="R513" s="551">
        <f t="shared" si="358"/>
        <v>0</v>
      </c>
      <c r="S513" s="550"/>
      <c r="T513" s="548"/>
      <c r="U513" s="548"/>
      <c r="V513" s="551">
        <f t="shared" si="359"/>
        <v>0</v>
      </c>
      <c r="W513" s="550"/>
      <c r="X513" s="548"/>
      <c r="Y513" s="548"/>
      <c r="Z513" s="551">
        <f t="shared" si="360"/>
        <v>0</v>
      </c>
      <c r="AA513" s="550"/>
      <c r="AB513" s="548"/>
      <c r="AC513" s="548"/>
      <c r="AD513" s="551">
        <f t="shared" si="361"/>
        <v>0</v>
      </c>
      <c r="AE513" s="24"/>
      <c r="AF513" s="29">
        <f t="shared" si="362"/>
        <v>0</v>
      </c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</row>
    <row r="514" spans="1:55" s="2" customFormat="1">
      <c r="A514"/>
      <c r="B514" s="31" t="s">
        <v>577</v>
      </c>
      <c r="C514" s="31"/>
      <c r="D514" s="91"/>
      <c r="E514" s="91"/>
      <c r="F514" s="90"/>
      <c r="G514" s="91"/>
      <c r="H514" s="91"/>
      <c r="I514" s="91"/>
      <c r="J514" s="90"/>
      <c r="K514" s="91"/>
      <c r="L514" s="430"/>
      <c r="M514" s="91"/>
      <c r="N514" s="90"/>
      <c r="O514" s="91"/>
      <c r="P514" s="91"/>
      <c r="Q514" s="91"/>
      <c r="R514" s="90"/>
      <c r="S514" s="91"/>
      <c r="T514" s="91"/>
      <c r="U514" s="91"/>
      <c r="V514" s="90"/>
      <c r="W514" s="91"/>
      <c r="X514" s="91"/>
      <c r="Y514" s="91"/>
      <c r="Z514" s="90"/>
      <c r="AA514" s="91"/>
      <c r="AB514" s="91"/>
      <c r="AC514" s="91"/>
      <c r="AD514" s="91"/>
      <c r="AE514" s="352"/>
      <c r="AF514" s="28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</row>
    <row r="515" spans="1:55" s="2" customFormat="1">
      <c r="A515"/>
      <c r="B515" s="31" t="s">
        <v>578</v>
      </c>
      <c r="C515" s="31"/>
      <c r="D515" s="91"/>
      <c r="E515" s="91"/>
      <c r="F515" s="90"/>
      <c r="G515" s="91"/>
      <c r="H515" s="91"/>
      <c r="I515" s="91"/>
      <c r="J515" s="90"/>
      <c r="K515" s="91"/>
      <c r="L515" s="430"/>
      <c r="M515" s="91"/>
      <c r="N515" s="90"/>
      <c r="O515" s="91"/>
      <c r="P515" s="91"/>
      <c r="Q515" s="91"/>
      <c r="R515" s="90"/>
      <c r="S515" s="91"/>
      <c r="T515" s="91"/>
      <c r="U515" s="91"/>
      <c r="V515" s="90"/>
      <c r="W515" s="91"/>
      <c r="X515" s="91"/>
      <c r="Y515" s="91"/>
      <c r="Z515" s="90"/>
      <c r="AA515" s="91"/>
      <c r="AB515" s="91"/>
      <c r="AC515" s="91"/>
      <c r="AD515" s="91"/>
      <c r="AE515" s="352"/>
      <c r="AF515" s="28">
        <f>SUM(D515:AD515)</f>
        <v>0</v>
      </c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</row>
    <row r="516" spans="1:55" s="2" customFormat="1" ht="14.25" thickBot="1">
      <c r="A516"/>
      <c r="B516" s="74" t="s">
        <v>579</v>
      </c>
      <c r="C516" s="74"/>
      <c r="D516" s="95"/>
      <c r="E516" s="95"/>
      <c r="F516" s="96"/>
      <c r="G516" s="95"/>
      <c r="H516" s="95"/>
      <c r="I516" s="95"/>
      <c r="J516" s="96"/>
      <c r="K516" s="95"/>
      <c r="L516" s="431"/>
      <c r="M516" s="95"/>
      <c r="N516" s="96"/>
      <c r="O516" s="95"/>
      <c r="P516" s="95"/>
      <c r="Q516" s="95"/>
      <c r="R516" s="96"/>
      <c r="S516" s="95"/>
      <c r="T516" s="95"/>
      <c r="U516" s="95"/>
      <c r="V516" s="96"/>
      <c r="W516" s="97"/>
      <c r="X516" s="97"/>
      <c r="Y516" s="97"/>
      <c r="Z516" s="96"/>
      <c r="AA516" s="97"/>
      <c r="AB516" s="97"/>
      <c r="AC516" s="97"/>
      <c r="AD516" s="97"/>
      <c r="AE516" s="97"/>
      <c r="AF516" s="80">
        <f>SUM(D516:AD516)</f>
        <v>0</v>
      </c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</row>
    <row r="517" spans="1:55" s="2" customFormat="1" ht="14.25" thickTop="1">
      <c r="A517"/>
      <c r="B517" s="1518" t="s">
        <v>18</v>
      </c>
      <c r="C517" s="1528" t="s">
        <v>571</v>
      </c>
      <c r="D517" s="1524">
        <v>45509</v>
      </c>
      <c r="E517" s="1524"/>
      <c r="F517" s="1524"/>
      <c r="G517" s="22"/>
      <c r="H517" s="1524">
        <f>D517+1</f>
        <v>45510</v>
      </c>
      <c r="I517" s="1524"/>
      <c r="J517" s="1524"/>
      <c r="K517" s="22"/>
      <c r="L517" s="1524">
        <f>H517+1</f>
        <v>45511</v>
      </c>
      <c r="M517" s="1524"/>
      <c r="N517" s="1524"/>
      <c r="O517" s="3"/>
      <c r="P517" s="1524">
        <f>L517+1</f>
        <v>45512</v>
      </c>
      <c r="Q517" s="1524"/>
      <c r="R517" s="1524"/>
      <c r="S517" s="3"/>
      <c r="T517" s="1524">
        <f>P517+1</f>
        <v>45513</v>
      </c>
      <c r="U517" s="1524"/>
      <c r="V517" s="1524"/>
      <c r="W517" s="22"/>
      <c r="X517" s="1524">
        <f>T517+1</f>
        <v>45514</v>
      </c>
      <c r="Y517" s="1524"/>
      <c r="Z517" s="1524"/>
      <c r="AA517" s="3"/>
      <c r="AB517" s="1524">
        <f>X517+1</f>
        <v>45515</v>
      </c>
      <c r="AC517" s="1524"/>
      <c r="AD517" s="1524"/>
      <c r="AE517" s="22"/>
      <c r="AF517" s="1517" t="s">
        <v>19</v>
      </c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</row>
    <row r="518" spans="1:55" s="2" customFormat="1">
      <c r="A518"/>
      <c r="B518" s="1518"/>
      <c r="C518" s="1528"/>
      <c r="D518" s="21" t="s">
        <v>23</v>
      </c>
      <c r="E518" s="21" t="s">
        <v>24</v>
      </c>
      <c r="F518" s="62" t="s">
        <v>25</v>
      </c>
      <c r="G518" s="23"/>
      <c r="H518" s="21" t="s">
        <v>23</v>
      </c>
      <c r="I518" s="21" t="s">
        <v>24</v>
      </c>
      <c r="J518" s="18" t="s">
        <v>25</v>
      </c>
      <c r="K518" s="23"/>
      <c r="L518" s="21" t="s">
        <v>23</v>
      </c>
      <c r="M518" s="21" t="s">
        <v>24</v>
      </c>
      <c r="N518" s="18" t="s">
        <v>25</v>
      </c>
      <c r="O518" s="23"/>
      <c r="P518" s="21" t="s">
        <v>23</v>
      </c>
      <c r="Q518" s="21" t="s">
        <v>24</v>
      </c>
      <c r="R518" s="18" t="s">
        <v>25</v>
      </c>
      <c r="S518" s="23"/>
      <c r="T518" s="21" t="s">
        <v>23</v>
      </c>
      <c r="U518" s="21" t="s">
        <v>24</v>
      </c>
      <c r="V518" s="18" t="s">
        <v>25</v>
      </c>
      <c r="W518" s="23"/>
      <c r="X518" s="21" t="s">
        <v>23</v>
      </c>
      <c r="Y518" s="21" t="s">
        <v>24</v>
      </c>
      <c r="Z518" s="18" t="s">
        <v>25</v>
      </c>
      <c r="AA518" s="23"/>
      <c r="AB518" s="21" t="s">
        <v>23</v>
      </c>
      <c r="AC518" s="21" t="s">
        <v>24</v>
      </c>
      <c r="AD518" s="18" t="s">
        <v>25</v>
      </c>
      <c r="AE518" s="23"/>
      <c r="AF518" s="1517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</row>
    <row r="519" spans="1:55" s="2" customFormat="1" ht="14.25">
      <c r="A519"/>
      <c r="B519" s="562" t="s">
        <v>810</v>
      </c>
      <c r="C519" s="559" t="s">
        <v>832</v>
      </c>
      <c r="D519" s="560">
        <v>0.375</v>
      </c>
      <c r="E519" s="560">
        <v>0.72916666666666663</v>
      </c>
      <c r="F519" s="572">
        <f t="shared" ref="F519:F530" si="363">(E519-D519)*24</f>
        <v>8.5</v>
      </c>
      <c r="G519" s="573"/>
      <c r="H519" s="560">
        <v>0.375</v>
      </c>
      <c r="I519" s="560">
        <v>0.72916666666666663</v>
      </c>
      <c r="J519" s="574">
        <f t="shared" ref="J519:J530" si="364">(I519-H519)*24</f>
        <v>8.5</v>
      </c>
      <c r="K519" s="573"/>
      <c r="L519" s="575"/>
      <c r="M519" s="560"/>
      <c r="N519" s="574">
        <f t="shared" ref="N519:N530" si="365">(M519-L519)*24</f>
        <v>0</v>
      </c>
      <c r="O519" s="573"/>
      <c r="P519" s="560">
        <v>0.375</v>
      </c>
      <c r="Q519" s="560">
        <v>0.72916666666666663</v>
      </c>
      <c r="R519" s="574">
        <f t="shared" ref="R519:R530" si="366">(Q519-P519)*24</f>
        <v>8.5</v>
      </c>
      <c r="S519" s="573"/>
      <c r="T519" s="560">
        <v>0.375</v>
      </c>
      <c r="U519" s="560">
        <v>0.70833333333333337</v>
      </c>
      <c r="V519" s="574">
        <f t="shared" ref="V519:V530" si="367">(U519-T519)*24</f>
        <v>8</v>
      </c>
      <c r="W519" s="573"/>
      <c r="X519" s="560"/>
      <c r="Y519" s="560"/>
      <c r="Z519" s="574">
        <f t="shared" ref="Z519:Z530" si="368">(Y519-X519)*24</f>
        <v>0</v>
      </c>
      <c r="AA519" s="573"/>
      <c r="AB519" s="560"/>
      <c r="AC519" s="560"/>
      <c r="AD519" s="574">
        <f t="shared" ref="AD519:AD530" si="369">(AC519-AB519)*24</f>
        <v>0</v>
      </c>
      <c r="AE519" s="24"/>
      <c r="AF519" s="29">
        <f t="shared" ref="AF519:AF530" si="370">J519+F519+N519+R519+V519+Z519+AD519</f>
        <v>33.5</v>
      </c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</row>
    <row r="520" spans="1:55" s="2" customFormat="1" ht="14.25">
      <c r="A520"/>
      <c r="B520" s="562" t="s">
        <v>42</v>
      </c>
      <c r="C520" s="559" t="s">
        <v>832</v>
      </c>
      <c r="D520" s="560">
        <v>0.375</v>
      </c>
      <c r="E520" s="560">
        <v>0.72916666666666663</v>
      </c>
      <c r="F520" s="572">
        <f t="shared" si="363"/>
        <v>8.5</v>
      </c>
      <c r="G520" s="573"/>
      <c r="H520" s="560">
        <v>0.375</v>
      </c>
      <c r="I520" s="560">
        <v>0.72916666666666663</v>
      </c>
      <c r="J520" s="574">
        <f t="shared" si="364"/>
        <v>8.5</v>
      </c>
      <c r="K520" s="573"/>
      <c r="L520" s="575">
        <v>0.41666666666666669</v>
      </c>
      <c r="M520" s="560">
        <v>0.52083333333333337</v>
      </c>
      <c r="N520" s="574">
        <f t="shared" si="365"/>
        <v>2.5000000000000004</v>
      </c>
      <c r="O520" s="573"/>
      <c r="P520" s="560">
        <v>0.375</v>
      </c>
      <c r="Q520" s="560">
        <v>0.72916666666666663</v>
      </c>
      <c r="R520" s="574">
        <f t="shared" si="366"/>
        <v>8.5</v>
      </c>
      <c r="S520" s="573"/>
      <c r="T520" s="560">
        <v>0.375</v>
      </c>
      <c r="U520" s="560">
        <v>0.70833333333333337</v>
      </c>
      <c r="V520" s="574">
        <f t="shared" si="367"/>
        <v>8</v>
      </c>
      <c r="W520" s="573"/>
      <c r="X520" s="560"/>
      <c r="Y520" s="560"/>
      <c r="Z520" s="574">
        <f t="shared" si="368"/>
        <v>0</v>
      </c>
      <c r="AA520" s="573"/>
      <c r="AB520" s="560"/>
      <c r="AC520" s="560"/>
      <c r="AD520" s="574">
        <f t="shared" si="369"/>
        <v>0</v>
      </c>
      <c r="AE520" s="24"/>
      <c r="AF520" s="29">
        <f t="shared" si="370"/>
        <v>36</v>
      </c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</row>
    <row r="521" spans="1:55" s="2" customFormat="1" ht="14.25">
      <c r="A521"/>
      <c r="B521" s="562" t="s">
        <v>833</v>
      </c>
      <c r="C521" s="559" t="s">
        <v>832</v>
      </c>
      <c r="D521" s="560">
        <v>0.375</v>
      </c>
      <c r="E521" s="560">
        <v>0.72916666666666663</v>
      </c>
      <c r="F521" s="572">
        <f t="shared" si="363"/>
        <v>8.5</v>
      </c>
      <c r="G521" s="573"/>
      <c r="H521" s="560">
        <v>0.375</v>
      </c>
      <c r="I521" s="560">
        <v>0.72916666666666663</v>
      </c>
      <c r="J521" s="574">
        <f t="shared" si="364"/>
        <v>8.5</v>
      </c>
      <c r="K521" s="573"/>
      <c r="L521" s="575"/>
      <c r="M521" s="560"/>
      <c r="N521" s="574">
        <f t="shared" si="365"/>
        <v>0</v>
      </c>
      <c r="O521" s="573"/>
      <c r="P521" s="560">
        <v>0.375</v>
      </c>
      <c r="Q521" s="560">
        <v>0.72916666666666663</v>
      </c>
      <c r="R521" s="574">
        <f t="shared" si="366"/>
        <v>8.5</v>
      </c>
      <c r="S521" s="573"/>
      <c r="T521" s="560"/>
      <c r="U521" s="560"/>
      <c r="V521" s="574">
        <f t="shared" si="367"/>
        <v>0</v>
      </c>
      <c r="W521" s="573"/>
      <c r="X521" s="560"/>
      <c r="Y521" s="560"/>
      <c r="Z521" s="574">
        <f t="shared" si="368"/>
        <v>0</v>
      </c>
      <c r="AA521" s="573"/>
      <c r="AB521" s="560"/>
      <c r="AC521" s="560"/>
      <c r="AD521" s="574">
        <f t="shared" si="369"/>
        <v>0</v>
      </c>
      <c r="AE521" s="24"/>
      <c r="AF521" s="29">
        <f t="shared" si="370"/>
        <v>25.5</v>
      </c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</row>
    <row r="522" spans="1:55" s="2" customFormat="1" ht="14.25">
      <c r="A522"/>
      <c r="B522" s="562" t="s">
        <v>54</v>
      </c>
      <c r="C522" s="559" t="s">
        <v>834</v>
      </c>
      <c r="D522" s="560">
        <v>0.375</v>
      </c>
      <c r="E522" s="560">
        <v>0.60416666666666663</v>
      </c>
      <c r="F522" s="572">
        <f t="shared" si="363"/>
        <v>5.4999999999999991</v>
      </c>
      <c r="G522" s="573"/>
      <c r="H522" s="560"/>
      <c r="I522" s="560"/>
      <c r="J522" s="574">
        <f t="shared" si="364"/>
        <v>0</v>
      </c>
      <c r="K522" s="573"/>
      <c r="L522" s="575"/>
      <c r="M522" s="560"/>
      <c r="N522" s="574">
        <f t="shared" si="365"/>
        <v>0</v>
      </c>
      <c r="O522" s="573"/>
      <c r="P522" s="560"/>
      <c r="Q522" s="560"/>
      <c r="R522" s="574">
        <f t="shared" si="366"/>
        <v>0</v>
      </c>
      <c r="S522" s="573"/>
      <c r="T522" s="560"/>
      <c r="U522" s="560"/>
      <c r="V522" s="574">
        <f t="shared" si="367"/>
        <v>0</v>
      </c>
      <c r="W522" s="573"/>
      <c r="X522" s="560"/>
      <c r="Y522" s="560"/>
      <c r="Z522" s="574">
        <f t="shared" si="368"/>
        <v>0</v>
      </c>
      <c r="AA522" s="573"/>
      <c r="AB522" s="560"/>
      <c r="AC522" s="560"/>
      <c r="AD522" s="574">
        <f t="shared" si="369"/>
        <v>0</v>
      </c>
      <c r="AE522" s="24"/>
      <c r="AF522" s="29">
        <f t="shared" si="370"/>
        <v>5.4999999999999991</v>
      </c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</row>
    <row r="523" spans="1:55" s="2" customFormat="1" ht="14.25">
      <c r="A523"/>
      <c r="B523" s="562" t="s">
        <v>576</v>
      </c>
      <c r="C523" s="559" t="s">
        <v>835</v>
      </c>
      <c r="D523" s="560"/>
      <c r="E523" s="560"/>
      <c r="F523" s="572">
        <f t="shared" ref="F523:F524" si="371">(E523-D523)*24</f>
        <v>0</v>
      </c>
      <c r="G523" s="573"/>
      <c r="H523" s="560"/>
      <c r="I523" s="560"/>
      <c r="J523" s="574">
        <f t="shared" ref="J523:J524" si="372">(I523-H523)*24</f>
        <v>0</v>
      </c>
      <c r="K523" s="573"/>
      <c r="L523" s="575">
        <v>0.39583333333333331</v>
      </c>
      <c r="M523" s="560">
        <v>0.47916666666666669</v>
      </c>
      <c r="N523" s="574">
        <f t="shared" ref="N523:N524" si="373">(M523-L523)*24</f>
        <v>2.0000000000000009</v>
      </c>
      <c r="O523" s="573"/>
      <c r="P523" s="560"/>
      <c r="Q523" s="560"/>
      <c r="R523" s="574">
        <f t="shared" ref="R523" si="374">(Q523-P523)*24</f>
        <v>0</v>
      </c>
      <c r="S523" s="573"/>
      <c r="T523" s="560"/>
      <c r="U523" s="560"/>
      <c r="V523" s="574">
        <f t="shared" ref="V523:V524" si="375">(U523-T523)*24</f>
        <v>0</v>
      </c>
      <c r="W523" s="573"/>
      <c r="X523" s="560"/>
      <c r="Y523" s="560"/>
      <c r="Z523" s="574">
        <f t="shared" ref="Z523:Z524" si="376">(Y523-X523)*24</f>
        <v>0</v>
      </c>
      <c r="AA523" s="573"/>
      <c r="AB523" s="560"/>
      <c r="AC523" s="560"/>
      <c r="AD523" s="574">
        <f t="shared" ref="AD523:AD524" si="377">(AC523-AB523)*24</f>
        <v>0</v>
      </c>
      <c r="AE523" s="24"/>
      <c r="AF523" s="29">
        <f t="shared" ref="AF523:AF524" si="378">J523+F523+N523+R523+V523+Z523+AD523</f>
        <v>2.0000000000000009</v>
      </c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</row>
    <row r="524" spans="1:55" s="2" customFormat="1" ht="14.25">
      <c r="A524"/>
      <c r="B524" s="562" t="s">
        <v>572</v>
      </c>
      <c r="C524" s="559" t="s">
        <v>836</v>
      </c>
      <c r="D524" s="560"/>
      <c r="E524" s="560"/>
      <c r="F524" s="572">
        <f t="shared" si="371"/>
        <v>0</v>
      </c>
      <c r="G524" s="573"/>
      <c r="H524" s="560"/>
      <c r="I524" s="560"/>
      <c r="J524" s="574">
        <f t="shared" si="372"/>
        <v>0</v>
      </c>
      <c r="K524" s="573"/>
      <c r="L524" s="575"/>
      <c r="M524" s="560"/>
      <c r="N524" s="574">
        <f t="shared" si="373"/>
        <v>0</v>
      </c>
      <c r="O524" s="573"/>
      <c r="P524" s="560">
        <v>0.66666666666666663</v>
      </c>
      <c r="Q524" s="560">
        <v>2.0833333333333332E-2</v>
      </c>
      <c r="R524" s="574">
        <v>8.5</v>
      </c>
      <c r="S524" s="573"/>
      <c r="T524" s="560"/>
      <c r="U524" s="560"/>
      <c r="V524" s="574">
        <f t="shared" si="375"/>
        <v>0</v>
      </c>
      <c r="W524" s="573"/>
      <c r="X524" s="560">
        <v>0.33333333333333331</v>
      </c>
      <c r="Y524" s="560">
        <v>0.83333333333333337</v>
      </c>
      <c r="Z524" s="574">
        <f t="shared" si="376"/>
        <v>12</v>
      </c>
      <c r="AA524" s="573"/>
      <c r="AB524" s="560"/>
      <c r="AC524" s="560"/>
      <c r="AD524" s="574">
        <f t="shared" si="377"/>
        <v>0</v>
      </c>
      <c r="AE524" s="24"/>
      <c r="AF524" s="29">
        <f t="shared" si="378"/>
        <v>20.5</v>
      </c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</row>
    <row r="525" spans="1:55" s="2" customFormat="1" ht="27">
      <c r="A525"/>
      <c r="B525" s="618" t="s">
        <v>637</v>
      </c>
      <c r="C525" s="547" t="s">
        <v>829</v>
      </c>
      <c r="D525" s="619"/>
      <c r="E525" s="619"/>
      <c r="F525" s="620">
        <f>(E525-D525)*24</f>
        <v>0</v>
      </c>
      <c r="G525" s="621"/>
      <c r="H525" s="619"/>
      <c r="I525" s="619"/>
      <c r="J525" s="622">
        <f>(I525-H525)*24</f>
        <v>0</v>
      </c>
      <c r="K525" s="621"/>
      <c r="L525" s="623"/>
      <c r="M525" s="619"/>
      <c r="N525" s="622">
        <f>(M525-L525)*24</f>
        <v>0</v>
      </c>
      <c r="O525" s="621"/>
      <c r="P525" s="560">
        <v>0.375</v>
      </c>
      <c r="Q525" s="619"/>
      <c r="R525" s="622">
        <f>(Q525-P525)*24</f>
        <v>-9</v>
      </c>
      <c r="S525" s="621"/>
      <c r="T525" s="619"/>
      <c r="U525" s="619"/>
      <c r="V525" s="622">
        <f>(U525-T525)*24</f>
        <v>0</v>
      </c>
      <c r="W525" s="621"/>
      <c r="X525" s="619"/>
      <c r="Y525" s="619"/>
      <c r="Z525" s="622">
        <f>(Y525-X525)*24</f>
        <v>0</v>
      </c>
      <c r="AA525" s="621"/>
      <c r="AB525" s="619"/>
      <c r="AC525" s="619"/>
      <c r="AD525" s="622">
        <f>(AC525-AB525)*24</f>
        <v>0</v>
      </c>
      <c r="AE525" s="24"/>
      <c r="AF525" s="29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</row>
    <row r="526" spans="1:55" s="2" customFormat="1" ht="14.25">
      <c r="A526"/>
      <c r="B526" s="553" t="s">
        <v>54</v>
      </c>
      <c r="C526" s="547" t="s">
        <v>837</v>
      </c>
      <c r="D526" s="548"/>
      <c r="E526" s="548"/>
      <c r="F526" s="549">
        <f>(E526-D526)*24</f>
        <v>0</v>
      </c>
      <c r="G526" s="550"/>
      <c r="H526" s="548"/>
      <c r="I526" s="548"/>
      <c r="J526" s="551">
        <f>(I526-H526)*24</f>
        <v>0</v>
      </c>
      <c r="K526" s="550"/>
      <c r="L526" s="552"/>
      <c r="M526" s="548"/>
      <c r="N526" s="551">
        <f>(M526-L526)*24</f>
        <v>0</v>
      </c>
      <c r="O526" s="550"/>
      <c r="P526" s="548"/>
      <c r="Q526" s="548"/>
      <c r="R526" s="551">
        <f>(Q526-P526)*24</f>
        <v>0</v>
      </c>
      <c r="S526" s="550"/>
      <c r="T526" s="548">
        <v>0.375</v>
      </c>
      <c r="U526" s="630">
        <v>0.75</v>
      </c>
      <c r="V526" s="551">
        <f>(U526-T526)*24</f>
        <v>9</v>
      </c>
      <c r="W526" s="550"/>
      <c r="X526" s="548"/>
      <c r="Y526" s="548"/>
      <c r="Z526" s="551">
        <f>(Y526-X526)*24</f>
        <v>0</v>
      </c>
      <c r="AA526" s="550"/>
      <c r="AB526" s="548"/>
      <c r="AC526" s="548"/>
      <c r="AD526" s="551">
        <f>(AC526-AB526)*24</f>
        <v>0</v>
      </c>
      <c r="AE526" s="24"/>
      <c r="AF526" s="29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</row>
    <row r="527" spans="1:55" s="2" customFormat="1" ht="14.25">
      <c r="A527"/>
      <c r="B527" s="553" t="s">
        <v>637</v>
      </c>
      <c r="C527" s="547" t="s">
        <v>837</v>
      </c>
      <c r="D527" s="548"/>
      <c r="E527" s="548"/>
      <c r="F527" s="624">
        <f>(E527-D527)*24</f>
        <v>0</v>
      </c>
      <c r="G527" s="550"/>
      <c r="H527" s="548"/>
      <c r="I527" s="548"/>
      <c r="J527" s="625">
        <f>(I527-H527)*24</f>
        <v>0</v>
      </c>
      <c r="K527" s="550"/>
      <c r="L527" s="552"/>
      <c r="M527" s="548"/>
      <c r="N527" s="625">
        <f>(M527-L527)*24</f>
        <v>0</v>
      </c>
      <c r="O527" s="550"/>
      <c r="P527" s="548"/>
      <c r="Q527" s="548"/>
      <c r="R527" s="625">
        <f>(Q527-P527)*24</f>
        <v>0</v>
      </c>
      <c r="S527" s="550"/>
      <c r="T527" s="548">
        <v>0.375</v>
      </c>
      <c r="U527" s="630">
        <v>0.75</v>
      </c>
      <c r="V527" s="625">
        <f>(U527-T527)*24</f>
        <v>9</v>
      </c>
      <c r="W527" s="550"/>
      <c r="X527" s="548"/>
      <c r="Y527" s="548"/>
      <c r="Z527" s="625">
        <f>(Y527-X527)*24</f>
        <v>0</v>
      </c>
      <c r="AA527" s="550"/>
      <c r="AB527" s="548"/>
      <c r="AC527" s="548"/>
      <c r="AD527" s="625">
        <f>(AC527-AB527)*24</f>
        <v>0</v>
      </c>
      <c r="AE527" s="24"/>
      <c r="AF527" s="29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</row>
    <row r="528" spans="1:55" s="2" customFormat="1" ht="14.25">
      <c r="A528"/>
      <c r="B528" s="553" t="s">
        <v>576</v>
      </c>
      <c r="C528" s="547" t="s">
        <v>838</v>
      </c>
      <c r="D528" s="548"/>
      <c r="E528" s="548"/>
      <c r="F528" s="624">
        <f>(E528-D528)*24</f>
        <v>0</v>
      </c>
      <c r="G528" s="550"/>
      <c r="H528" s="548"/>
      <c r="I528" s="548"/>
      <c r="J528" s="625">
        <f>(I528-H528)*24</f>
        <v>0</v>
      </c>
      <c r="K528" s="628"/>
      <c r="L528" s="629"/>
      <c r="M528" s="630"/>
      <c r="N528" s="625">
        <f>(M528-L528)*24</f>
        <v>0</v>
      </c>
      <c r="O528" s="628"/>
      <c r="P528" s="630"/>
      <c r="Q528" s="630"/>
      <c r="R528" s="625">
        <f>(Q528-P528)*24</f>
        <v>0</v>
      </c>
      <c r="S528" s="628"/>
      <c r="T528" s="630">
        <v>0.375</v>
      </c>
      <c r="U528" s="630">
        <v>0.75</v>
      </c>
      <c r="V528" s="625">
        <f>(U528-T528)*24</f>
        <v>9</v>
      </c>
      <c r="W528" s="628"/>
      <c r="X528" s="630"/>
      <c r="Y528" s="630"/>
      <c r="Z528" s="625">
        <f>(Y528-X528)*24</f>
        <v>0</v>
      </c>
      <c r="AA528" s="628"/>
      <c r="AB528" s="630"/>
      <c r="AC528" s="630"/>
      <c r="AD528" s="625">
        <f>(AC528-AB528)*24</f>
        <v>0</v>
      </c>
      <c r="AE528" s="24"/>
      <c r="AF528" s="29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</row>
    <row r="529" spans="1:55" s="2" customFormat="1" ht="14.25">
      <c r="A529"/>
      <c r="B529" s="553" t="s">
        <v>52</v>
      </c>
      <c r="C529" s="547" t="s">
        <v>838</v>
      </c>
      <c r="D529" s="548"/>
      <c r="E529" s="626"/>
      <c r="F529" s="549">
        <f>(E529-D529)*24</f>
        <v>0</v>
      </c>
      <c r="G529" s="627"/>
      <c r="H529" s="548"/>
      <c r="I529" s="626"/>
      <c r="J529" s="551">
        <f>(I529-H529)*24</f>
        <v>0</v>
      </c>
      <c r="K529" s="550"/>
      <c r="L529" s="552"/>
      <c r="M529" s="548"/>
      <c r="N529" s="551">
        <f>(M529-L529)*24</f>
        <v>0</v>
      </c>
      <c r="O529" s="550"/>
      <c r="P529" s="548"/>
      <c r="Q529" s="548"/>
      <c r="R529" s="551">
        <f>(Q529-P529)*24</f>
        <v>0</v>
      </c>
      <c r="S529" s="550"/>
      <c r="T529" s="548">
        <v>0.375</v>
      </c>
      <c r="U529" s="548">
        <v>0.75</v>
      </c>
      <c r="V529" s="551">
        <f>(U529-T529)*24</f>
        <v>9</v>
      </c>
      <c r="W529" s="550"/>
      <c r="X529" s="548"/>
      <c r="Y529" s="548"/>
      <c r="Z529" s="551">
        <f>(Y529-X529)*24</f>
        <v>0</v>
      </c>
      <c r="AA529" s="550"/>
      <c r="AB529" s="548"/>
      <c r="AC529" s="548"/>
      <c r="AD529" s="551">
        <f>(AC529-AB529)*24</f>
        <v>0</v>
      </c>
      <c r="AE529" s="24"/>
      <c r="AF529" s="29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</row>
    <row r="530" spans="1:55" s="2" customFormat="1" ht="14.25">
      <c r="A530"/>
      <c r="B530" s="63" t="s">
        <v>61</v>
      </c>
      <c r="C530" s="63"/>
      <c r="D530" s="51"/>
      <c r="E530" s="51"/>
      <c r="F530" s="85">
        <f t="shared" si="363"/>
        <v>0</v>
      </c>
      <c r="G530" s="24"/>
      <c r="H530" s="51"/>
      <c r="I530" s="51"/>
      <c r="J530" s="49">
        <f t="shared" si="364"/>
        <v>0</v>
      </c>
      <c r="K530" s="24"/>
      <c r="L530" s="424"/>
      <c r="M530" s="51"/>
      <c r="N530" s="49">
        <f t="shared" si="365"/>
        <v>0</v>
      </c>
      <c r="O530" s="24"/>
      <c r="P530" s="51"/>
      <c r="Q530" s="51"/>
      <c r="R530" s="49">
        <f t="shared" si="366"/>
        <v>0</v>
      </c>
      <c r="S530" s="24"/>
      <c r="T530" s="51"/>
      <c r="U530" s="51"/>
      <c r="V530" s="49">
        <f t="shared" si="367"/>
        <v>0</v>
      </c>
      <c r="W530" s="24"/>
      <c r="X530" s="51"/>
      <c r="Y530" s="51"/>
      <c r="Z530" s="49">
        <f t="shared" si="368"/>
        <v>0</v>
      </c>
      <c r="AA530" s="24"/>
      <c r="AB530" s="51"/>
      <c r="AC530" s="51"/>
      <c r="AD530" s="49">
        <f t="shared" si="369"/>
        <v>0</v>
      </c>
      <c r="AE530" s="24"/>
      <c r="AF530" s="29">
        <f t="shared" si="370"/>
        <v>0</v>
      </c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</row>
    <row r="531" spans="1:55" s="2" customFormat="1">
      <c r="A531"/>
      <c r="B531" s="31" t="s">
        <v>577</v>
      </c>
      <c r="C531" s="31"/>
      <c r="D531" s="91"/>
      <c r="E531" s="91"/>
      <c r="F531" s="90"/>
      <c r="G531" s="91"/>
      <c r="H531" s="91"/>
      <c r="I531" s="91"/>
      <c r="J531" s="90"/>
      <c r="K531" s="91"/>
      <c r="L531" s="430"/>
      <c r="M531" s="91"/>
      <c r="N531" s="90"/>
      <c r="O531" s="91"/>
      <c r="P531" s="91"/>
      <c r="Q531" s="91"/>
      <c r="R531" s="90"/>
      <c r="S531" s="91"/>
      <c r="T531" s="91"/>
      <c r="U531" s="91"/>
      <c r="V531" s="90"/>
      <c r="W531" s="91"/>
      <c r="X531" s="91"/>
      <c r="Y531" s="91"/>
      <c r="Z531" s="90"/>
      <c r="AA531" s="91"/>
      <c r="AB531" s="91"/>
      <c r="AC531" s="91"/>
      <c r="AD531" s="91"/>
      <c r="AE531" s="352"/>
      <c r="AF531" s="28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</row>
    <row r="532" spans="1:55" s="2" customFormat="1">
      <c r="A532"/>
      <c r="B532" s="31" t="s">
        <v>578</v>
      </c>
      <c r="C532" s="31"/>
      <c r="D532" s="91"/>
      <c r="E532" s="91"/>
      <c r="F532" s="90"/>
      <c r="G532" s="91"/>
      <c r="H532" s="91"/>
      <c r="I532" s="91"/>
      <c r="J532" s="90"/>
      <c r="K532" s="91"/>
      <c r="L532" s="430"/>
      <c r="M532" s="91"/>
      <c r="N532" s="90"/>
      <c r="O532" s="91"/>
      <c r="P532" s="91"/>
      <c r="Q532" s="91"/>
      <c r="R532" s="90"/>
      <c r="S532" s="91"/>
      <c r="T532" s="91"/>
      <c r="U532" s="91"/>
      <c r="V532" s="90"/>
      <c r="W532" s="91"/>
      <c r="X532" s="91"/>
      <c r="Y532" s="91"/>
      <c r="Z532" s="90"/>
      <c r="AA532" s="91"/>
      <c r="AB532" s="91"/>
      <c r="AC532" s="91"/>
      <c r="AD532" s="91"/>
      <c r="AE532" s="352"/>
      <c r="AF532" s="28">
        <f>SUM(D532:AD532)</f>
        <v>0</v>
      </c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</row>
    <row r="533" spans="1:55" s="2" customFormat="1" ht="14.25" thickBot="1">
      <c r="A533"/>
      <c r="B533" s="74" t="s">
        <v>579</v>
      </c>
      <c r="C533" s="74"/>
      <c r="D533" s="95"/>
      <c r="E533" s="95"/>
      <c r="F533" s="96"/>
      <c r="G533" s="95"/>
      <c r="H533" s="95"/>
      <c r="I533" s="95"/>
      <c r="J533" s="96"/>
      <c r="K533" s="95"/>
      <c r="L533" s="431"/>
      <c r="M533" s="95"/>
      <c r="N533" s="96"/>
      <c r="O533" s="95"/>
      <c r="P533" s="95"/>
      <c r="Q533" s="95"/>
      <c r="R533" s="96"/>
      <c r="S533" s="95"/>
      <c r="T533" s="95"/>
      <c r="U533" s="95"/>
      <c r="V533" s="96"/>
      <c r="W533" s="97"/>
      <c r="X533" s="97"/>
      <c r="Y533" s="97"/>
      <c r="Z533" s="96"/>
      <c r="AA533" s="97"/>
      <c r="AB533" s="97"/>
      <c r="AC533" s="97"/>
      <c r="AD533" s="97"/>
      <c r="AE533" s="97"/>
      <c r="AF533" s="80">
        <f>SUM(D533:AD533)</f>
        <v>0</v>
      </c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</row>
    <row r="534" spans="1:55" s="2" customFormat="1" ht="14.25" thickTop="1">
      <c r="A534"/>
      <c r="B534" s="1518" t="s">
        <v>18</v>
      </c>
      <c r="C534" s="1528" t="s">
        <v>571</v>
      </c>
      <c r="D534" s="1524">
        <v>45516</v>
      </c>
      <c r="E534" s="1524"/>
      <c r="F534" s="1524"/>
      <c r="G534" s="22"/>
      <c r="H534" s="1524">
        <f>D534+1</f>
        <v>45517</v>
      </c>
      <c r="I534" s="1524"/>
      <c r="J534" s="1524"/>
      <c r="K534" s="22"/>
      <c r="L534" s="1524">
        <f>H534+1</f>
        <v>45518</v>
      </c>
      <c r="M534" s="1524"/>
      <c r="N534" s="1524"/>
      <c r="O534" s="3"/>
      <c r="P534" s="1524">
        <f>L534+1</f>
        <v>45519</v>
      </c>
      <c r="Q534" s="1524"/>
      <c r="R534" s="1524"/>
      <c r="S534" s="3"/>
      <c r="T534" s="1524">
        <f>P534+1</f>
        <v>45520</v>
      </c>
      <c r="U534" s="1524"/>
      <c r="V534" s="1524"/>
      <c r="W534" s="22"/>
      <c r="X534" s="1524">
        <f>T534+1</f>
        <v>45521</v>
      </c>
      <c r="Y534" s="1524"/>
      <c r="Z534" s="1524"/>
      <c r="AA534" s="3"/>
      <c r="AB534" s="1524">
        <f>X534+1</f>
        <v>45522</v>
      </c>
      <c r="AC534" s="1524"/>
      <c r="AD534" s="1524"/>
      <c r="AE534" s="22"/>
      <c r="AF534" s="1517" t="s">
        <v>19</v>
      </c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</row>
    <row r="535" spans="1:55" s="2" customFormat="1">
      <c r="A535"/>
      <c r="B535" s="1518"/>
      <c r="C535" s="1528"/>
      <c r="D535" s="21" t="s">
        <v>23</v>
      </c>
      <c r="E535" s="21" t="s">
        <v>24</v>
      </c>
      <c r="F535" s="62" t="s">
        <v>25</v>
      </c>
      <c r="G535" s="23"/>
      <c r="H535" s="21" t="s">
        <v>23</v>
      </c>
      <c r="I535" s="21" t="s">
        <v>24</v>
      </c>
      <c r="J535" s="18" t="s">
        <v>25</v>
      </c>
      <c r="K535" s="23"/>
      <c r="L535" s="21" t="s">
        <v>23</v>
      </c>
      <c r="M535" s="21" t="s">
        <v>24</v>
      </c>
      <c r="N535" s="18" t="s">
        <v>25</v>
      </c>
      <c r="O535" s="23"/>
      <c r="P535" s="21" t="s">
        <v>23</v>
      </c>
      <c r="Q535" s="21" t="s">
        <v>24</v>
      </c>
      <c r="R535" s="18" t="s">
        <v>25</v>
      </c>
      <c r="S535" s="23"/>
      <c r="T535" s="21" t="s">
        <v>23</v>
      </c>
      <c r="U535" s="21" t="s">
        <v>24</v>
      </c>
      <c r="V535" s="18" t="s">
        <v>25</v>
      </c>
      <c r="W535" s="23"/>
      <c r="X535" s="21" t="s">
        <v>23</v>
      </c>
      <c r="Y535" s="21" t="s">
        <v>24</v>
      </c>
      <c r="Z535" s="18" t="s">
        <v>25</v>
      </c>
      <c r="AA535" s="23"/>
      <c r="AB535" s="21" t="s">
        <v>23</v>
      </c>
      <c r="AC535" s="21" t="s">
        <v>24</v>
      </c>
      <c r="AD535" s="18" t="s">
        <v>25</v>
      </c>
      <c r="AE535" s="23"/>
      <c r="AF535" s="1517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</row>
    <row r="536" spans="1:55" s="2" customFormat="1" ht="14.25">
      <c r="A536"/>
      <c r="B536" s="553" t="s">
        <v>810</v>
      </c>
      <c r="C536" s="559" t="s">
        <v>832</v>
      </c>
      <c r="D536" s="548">
        <v>0.375</v>
      </c>
      <c r="E536" s="548">
        <v>0.6875</v>
      </c>
      <c r="F536" s="549">
        <f t="shared" ref="F536:F547" si="379">(E536-D536)*24</f>
        <v>7.5</v>
      </c>
      <c r="G536" s="550"/>
      <c r="H536" s="548">
        <v>0.375</v>
      </c>
      <c r="I536" s="548">
        <v>0.79166666666666663</v>
      </c>
      <c r="J536" s="551">
        <f t="shared" ref="J536:J547" si="380">(I536-H536)*24</f>
        <v>10</v>
      </c>
      <c r="K536" s="550"/>
      <c r="L536" s="552">
        <v>0.375</v>
      </c>
      <c r="M536" s="548">
        <v>0.70833333333333337</v>
      </c>
      <c r="N536" s="551">
        <f t="shared" ref="N536:N547" si="381">(M536-L536)*24</f>
        <v>8</v>
      </c>
      <c r="O536" s="550"/>
      <c r="P536" s="548">
        <v>0.375</v>
      </c>
      <c r="Q536" s="548">
        <v>0.70833333333333337</v>
      </c>
      <c r="R536" s="551">
        <f t="shared" ref="R536:R547" si="382">(Q536-P536)*24</f>
        <v>8</v>
      </c>
      <c r="S536" s="550"/>
      <c r="T536" s="548">
        <v>0.375</v>
      </c>
      <c r="U536" s="548"/>
      <c r="V536" s="551">
        <f t="shared" ref="V536:V547" si="383">(U536-T536)*24</f>
        <v>-9</v>
      </c>
      <c r="W536" s="550"/>
      <c r="X536" s="548"/>
      <c r="Y536" s="548"/>
      <c r="Z536" s="551">
        <f t="shared" ref="Z536:Z547" si="384">(Y536-X536)*24</f>
        <v>0</v>
      </c>
      <c r="AA536" s="550"/>
      <c r="AB536" s="548"/>
      <c r="AC536" s="548"/>
      <c r="AD536" s="551">
        <f t="shared" ref="AD536:AD547" si="385">(AC536-AB536)*24</f>
        <v>0</v>
      </c>
      <c r="AE536" s="24"/>
      <c r="AF536" s="29">
        <f t="shared" ref="AF536:AF547" si="386">J536+F536+N536+R536+V536+Z536+AD536</f>
        <v>24.5</v>
      </c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</row>
    <row r="537" spans="1:55" s="2" customFormat="1" ht="14.25">
      <c r="A537"/>
      <c r="B537" s="546" t="s">
        <v>42</v>
      </c>
      <c r="C537" s="559" t="s">
        <v>832</v>
      </c>
      <c r="D537" s="548"/>
      <c r="E537" s="548"/>
      <c r="F537" s="549">
        <f t="shared" si="379"/>
        <v>0</v>
      </c>
      <c r="G537" s="550"/>
      <c r="H537" s="548">
        <v>0.375</v>
      </c>
      <c r="I537" s="548">
        <v>0.79166666666666663</v>
      </c>
      <c r="J537" s="551">
        <f t="shared" si="380"/>
        <v>10</v>
      </c>
      <c r="K537" s="550"/>
      <c r="L537" s="552">
        <v>0.375</v>
      </c>
      <c r="M537" s="548">
        <v>0.70833333333333337</v>
      </c>
      <c r="N537" s="551">
        <f t="shared" si="381"/>
        <v>8</v>
      </c>
      <c r="O537" s="550"/>
      <c r="P537" s="548">
        <v>0.375</v>
      </c>
      <c r="Q537" s="548">
        <v>0.70833333333333337</v>
      </c>
      <c r="R537" s="551">
        <f t="shared" si="382"/>
        <v>8</v>
      </c>
      <c r="S537" s="550"/>
      <c r="T537" s="548">
        <v>0.375</v>
      </c>
      <c r="U537" s="548"/>
      <c r="V537" s="551">
        <f t="shared" si="383"/>
        <v>-9</v>
      </c>
      <c r="W537" s="550"/>
      <c r="X537" s="548"/>
      <c r="Y537" s="548"/>
      <c r="Z537" s="551">
        <f t="shared" si="384"/>
        <v>0</v>
      </c>
      <c r="AA537" s="550"/>
      <c r="AB537" s="548"/>
      <c r="AC537" s="548"/>
      <c r="AD537" s="551">
        <f t="shared" si="385"/>
        <v>0</v>
      </c>
      <c r="AE537" s="24"/>
      <c r="AF537" s="29">
        <f t="shared" si="386"/>
        <v>17</v>
      </c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</row>
    <row r="538" spans="1:55" s="2" customFormat="1" ht="14.25">
      <c r="A538"/>
      <c r="B538" s="553" t="s">
        <v>572</v>
      </c>
      <c r="C538" s="559" t="s">
        <v>836</v>
      </c>
      <c r="D538" s="548">
        <v>0.29166666666666669</v>
      </c>
      <c r="E538" s="548">
        <v>0.6875</v>
      </c>
      <c r="F538" s="549">
        <f t="shared" si="379"/>
        <v>9.5</v>
      </c>
      <c r="G538" s="550"/>
      <c r="H538" s="548"/>
      <c r="I538" s="548"/>
      <c r="J538" s="551">
        <f t="shared" si="380"/>
        <v>0</v>
      </c>
      <c r="K538" s="550"/>
      <c r="L538" s="552"/>
      <c r="M538" s="548"/>
      <c r="N538" s="551">
        <f t="shared" si="381"/>
        <v>0</v>
      </c>
      <c r="O538" s="550"/>
      <c r="P538" s="548"/>
      <c r="Q538" s="548"/>
      <c r="R538" s="551">
        <f t="shared" si="382"/>
        <v>0</v>
      </c>
      <c r="S538" s="550"/>
      <c r="T538" s="548"/>
      <c r="U538" s="548"/>
      <c r="V538" s="551">
        <f t="shared" si="383"/>
        <v>0</v>
      </c>
      <c r="W538" s="550"/>
      <c r="X538" s="548"/>
      <c r="Y538" s="548"/>
      <c r="Z538" s="551">
        <f t="shared" si="384"/>
        <v>0</v>
      </c>
      <c r="AA538" s="550"/>
      <c r="AB538" s="548"/>
      <c r="AC538" s="548"/>
      <c r="AD538" s="551">
        <f t="shared" si="385"/>
        <v>0</v>
      </c>
      <c r="AE538" s="24"/>
      <c r="AF538" s="29">
        <f t="shared" si="386"/>
        <v>9.5</v>
      </c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</row>
    <row r="539" spans="1:55" s="2" customFormat="1" ht="14.25">
      <c r="A539"/>
      <c r="B539" s="553" t="s">
        <v>54</v>
      </c>
      <c r="C539" s="559" t="s">
        <v>839</v>
      </c>
      <c r="D539" s="548"/>
      <c r="E539" s="548"/>
      <c r="F539" s="549">
        <f t="shared" si="379"/>
        <v>0</v>
      </c>
      <c r="G539" s="550"/>
      <c r="H539" s="548">
        <v>0.375</v>
      </c>
      <c r="I539" s="548">
        <v>0.60416666666666663</v>
      </c>
      <c r="J539" s="551">
        <f t="shared" si="380"/>
        <v>5.4999999999999991</v>
      </c>
      <c r="K539" s="550"/>
      <c r="L539" s="552">
        <v>0.375</v>
      </c>
      <c r="M539" s="548">
        <v>0.70833333333333337</v>
      </c>
      <c r="N539" s="551">
        <f t="shared" si="381"/>
        <v>8</v>
      </c>
      <c r="O539" s="550"/>
      <c r="P539" s="548">
        <v>0.375</v>
      </c>
      <c r="Q539" s="548">
        <v>0.64583333333333337</v>
      </c>
      <c r="R539" s="551">
        <f t="shared" si="382"/>
        <v>6.5000000000000009</v>
      </c>
      <c r="S539" s="550"/>
      <c r="T539" s="548"/>
      <c r="U539" s="548"/>
      <c r="V539" s="551">
        <f t="shared" si="383"/>
        <v>0</v>
      </c>
      <c r="W539" s="550"/>
      <c r="X539" s="548"/>
      <c r="Y539" s="548"/>
      <c r="Z539" s="551">
        <f t="shared" si="384"/>
        <v>0</v>
      </c>
      <c r="AA539" s="550"/>
      <c r="AB539" s="548"/>
      <c r="AC539" s="548"/>
      <c r="AD539" s="551">
        <f t="shared" si="385"/>
        <v>0</v>
      </c>
      <c r="AE539" s="24"/>
      <c r="AF539" s="29">
        <f t="shared" si="386"/>
        <v>20</v>
      </c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</row>
    <row r="540" spans="1:55" s="2" customFormat="1" ht="14.25">
      <c r="A540"/>
      <c r="B540" s="553" t="s">
        <v>603</v>
      </c>
      <c r="C540" s="559" t="s">
        <v>839</v>
      </c>
      <c r="D540" s="548"/>
      <c r="E540" s="548"/>
      <c r="F540" s="549">
        <f t="shared" si="379"/>
        <v>0</v>
      </c>
      <c r="G540" s="550"/>
      <c r="H540" s="548">
        <v>0.375</v>
      </c>
      <c r="I540" s="548">
        <v>0.60416666666666663</v>
      </c>
      <c r="J540" s="551">
        <f t="shared" si="380"/>
        <v>5.4999999999999991</v>
      </c>
      <c r="K540" s="550"/>
      <c r="L540" s="552">
        <v>0.375</v>
      </c>
      <c r="M540" s="548">
        <v>0.70833333333333337</v>
      </c>
      <c r="N540" s="551">
        <f t="shared" si="381"/>
        <v>8</v>
      </c>
      <c r="O540" s="550"/>
      <c r="P540" s="548"/>
      <c r="Q540" s="548"/>
      <c r="R540" s="551">
        <f t="shared" si="382"/>
        <v>0</v>
      </c>
      <c r="S540" s="550"/>
      <c r="T540" s="548"/>
      <c r="U540" s="548"/>
      <c r="V540" s="551">
        <f t="shared" si="383"/>
        <v>0</v>
      </c>
      <c r="W540" s="550"/>
      <c r="X540" s="548"/>
      <c r="Y540" s="548"/>
      <c r="Z540" s="551">
        <f t="shared" si="384"/>
        <v>0</v>
      </c>
      <c r="AA540" s="550"/>
      <c r="AB540" s="548"/>
      <c r="AC540" s="548"/>
      <c r="AD540" s="551">
        <f t="shared" si="385"/>
        <v>0</v>
      </c>
      <c r="AE540" s="24"/>
      <c r="AF540" s="29">
        <f t="shared" si="386"/>
        <v>13.5</v>
      </c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</row>
    <row r="541" spans="1:55" s="2" customFormat="1" ht="14.25">
      <c r="A541"/>
      <c r="B541" s="553" t="s">
        <v>576</v>
      </c>
      <c r="C541" s="559" t="s">
        <v>838</v>
      </c>
      <c r="D541" s="548"/>
      <c r="E541" s="548"/>
      <c r="F541" s="549">
        <f t="shared" si="379"/>
        <v>0</v>
      </c>
      <c r="G541" s="550"/>
      <c r="H541" s="548">
        <v>0.39583333333333331</v>
      </c>
      <c r="I541" s="548">
        <v>0.64583333333333337</v>
      </c>
      <c r="J541" s="551">
        <f t="shared" si="380"/>
        <v>6.0000000000000018</v>
      </c>
      <c r="K541" s="550"/>
      <c r="L541" s="552"/>
      <c r="M541" s="548"/>
      <c r="N541" s="551">
        <f t="shared" si="381"/>
        <v>0</v>
      </c>
      <c r="O541" s="550"/>
      <c r="P541" s="548"/>
      <c r="Q541" s="548"/>
      <c r="R541" s="551">
        <f t="shared" si="382"/>
        <v>0</v>
      </c>
      <c r="S541" s="550"/>
      <c r="T541" s="548"/>
      <c r="U541" s="548"/>
      <c r="V541" s="551">
        <f t="shared" si="383"/>
        <v>0</v>
      </c>
      <c r="W541" s="550"/>
      <c r="X541" s="548"/>
      <c r="Y541" s="548"/>
      <c r="Z541" s="551">
        <f t="shared" si="384"/>
        <v>0</v>
      </c>
      <c r="AA541" s="550"/>
      <c r="AB541" s="548"/>
      <c r="AC541" s="548"/>
      <c r="AD541" s="551">
        <f t="shared" si="385"/>
        <v>0</v>
      </c>
      <c r="AE541" s="24"/>
      <c r="AF541" s="29">
        <f t="shared" si="386"/>
        <v>6.0000000000000018</v>
      </c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</row>
    <row r="542" spans="1:55" s="2" customFormat="1" ht="14.25">
      <c r="A542"/>
      <c r="B542" s="632" t="s">
        <v>572</v>
      </c>
      <c r="C542" s="633" t="s">
        <v>840</v>
      </c>
      <c r="D542" s="548"/>
      <c r="E542" s="548"/>
      <c r="F542" s="549">
        <f t="shared" si="379"/>
        <v>0</v>
      </c>
      <c r="G542" s="550"/>
      <c r="H542" s="548">
        <v>0.375</v>
      </c>
      <c r="I542" s="548">
        <v>0.66666666666666663</v>
      </c>
      <c r="J542" s="551">
        <f t="shared" si="380"/>
        <v>6.9999999999999991</v>
      </c>
      <c r="K542" s="550"/>
      <c r="L542" s="552"/>
      <c r="M542" s="548"/>
      <c r="N542" s="551">
        <f t="shared" si="381"/>
        <v>0</v>
      </c>
      <c r="O542" s="550"/>
      <c r="P542" s="548"/>
      <c r="Q542" s="548"/>
      <c r="R542" s="551">
        <f t="shared" si="382"/>
        <v>0</v>
      </c>
      <c r="S542" s="550"/>
      <c r="T542" s="548"/>
      <c r="U542" s="548"/>
      <c r="V542" s="551">
        <f t="shared" si="383"/>
        <v>0</v>
      </c>
      <c r="W542" s="550"/>
      <c r="X542" s="548"/>
      <c r="Y542" s="548"/>
      <c r="Z542" s="551">
        <f t="shared" si="384"/>
        <v>0</v>
      </c>
      <c r="AA542" s="550"/>
      <c r="AB542" s="548"/>
      <c r="AC542" s="548"/>
      <c r="AD542" s="551">
        <f t="shared" si="385"/>
        <v>0</v>
      </c>
      <c r="AE542" s="24"/>
      <c r="AF542" s="29">
        <f t="shared" si="386"/>
        <v>6.9999999999999991</v>
      </c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</row>
    <row r="543" spans="1:55" s="2" customFormat="1" ht="14.25">
      <c r="A543"/>
      <c r="B543" s="632" t="s">
        <v>572</v>
      </c>
      <c r="C543" s="633" t="s">
        <v>841</v>
      </c>
      <c r="D543" s="631"/>
      <c r="E543" s="548"/>
      <c r="F543" s="549">
        <f>(E543-D543)*24</f>
        <v>0</v>
      </c>
      <c r="G543" s="550"/>
      <c r="H543" s="548"/>
      <c r="I543" s="548"/>
      <c r="J543" s="551">
        <f>(I543-H543)*24</f>
        <v>0</v>
      </c>
      <c r="K543" s="550"/>
      <c r="L543" s="552">
        <v>0.35416666666666669</v>
      </c>
      <c r="M543" s="548">
        <v>0.6875</v>
      </c>
      <c r="N543" s="551">
        <f>(M543-L543)*24</f>
        <v>8</v>
      </c>
      <c r="O543" s="550"/>
      <c r="P543" s="548"/>
      <c r="Q543" s="548"/>
      <c r="R543" s="551">
        <f>(Q543-P543)*24</f>
        <v>0</v>
      </c>
      <c r="S543" s="550"/>
      <c r="T543" s="548"/>
      <c r="U543" s="548"/>
      <c r="V543" s="551">
        <f>(U543-T543)*24</f>
        <v>0</v>
      </c>
      <c r="W543" s="550"/>
      <c r="X543" s="548"/>
      <c r="Y543" s="548"/>
      <c r="Z543" s="551">
        <f>(Y543-X543)*24</f>
        <v>0</v>
      </c>
      <c r="AA543" s="550"/>
      <c r="AB543" s="548"/>
      <c r="AC543" s="548"/>
      <c r="AD543" s="551">
        <f>(AC543-AB543)*24</f>
        <v>0</v>
      </c>
      <c r="AE543" s="24"/>
      <c r="AF543" s="29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</row>
    <row r="544" spans="1:55" s="2" customFormat="1" ht="14.25">
      <c r="A544"/>
      <c r="B544" s="632" t="s">
        <v>572</v>
      </c>
      <c r="C544" s="633" t="s">
        <v>842</v>
      </c>
      <c r="D544" s="631"/>
      <c r="E544" s="548"/>
      <c r="F544" s="549">
        <f>(E544-D544)*24</f>
        <v>0</v>
      </c>
      <c r="G544" s="550"/>
      <c r="H544" s="548"/>
      <c r="I544" s="548"/>
      <c r="J544" s="551">
        <f>(I544-H544)*24</f>
        <v>0</v>
      </c>
      <c r="K544" s="550"/>
      <c r="L544" s="552"/>
      <c r="M544" s="548"/>
      <c r="N544" s="551">
        <f>(M544-L544)*24</f>
        <v>0</v>
      </c>
      <c r="O544" s="550"/>
      <c r="P544" s="548">
        <v>0.35416666666666669</v>
      </c>
      <c r="Q544" s="548">
        <v>0.52083333333333337</v>
      </c>
      <c r="R544" s="551">
        <f>(Q544-P544)*24</f>
        <v>4</v>
      </c>
      <c r="S544" s="550"/>
      <c r="T544" s="548"/>
      <c r="U544" s="548"/>
      <c r="V544" s="551">
        <f>(U544-T544)*24</f>
        <v>0</v>
      </c>
      <c r="W544" s="550"/>
      <c r="X544" s="548"/>
      <c r="Y544" s="548"/>
      <c r="Z544" s="551">
        <f>(Y544-X544)*24</f>
        <v>0</v>
      </c>
      <c r="AA544" s="550"/>
      <c r="AB544" s="548"/>
      <c r="AC544" s="548"/>
      <c r="AD544" s="551">
        <f>(AC544-AB544)*24</f>
        <v>0</v>
      </c>
      <c r="AE544" s="24"/>
      <c r="AF544" s="29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</row>
    <row r="545" spans="1:55" s="2" customFormat="1" ht="14.25">
      <c r="A545"/>
      <c r="B545" s="553" t="s">
        <v>54</v>
      </c>
      <c r="C545" s="547" t="s">
        <v>843</v>
      </c>
      <c r="D545" s="631"/>
      <c r="E545" s="548"/>
      <c r="F545" s="549"/>
      <c r="G545" s="550"/>
      <c r="H545" s="548"/>
      <c r="I545" s="548"/>
      <c r="J545" s="551"/>
      <c r="K545" s="550"/>
      <c r="L545" s="552"/>
      <c r="M545" s="548"/>
      <c r="N545" s="551"/>
      <c r="O545" s="550"/>
      <c r="P545" s="548"/>
      <c r="Q545" s="548"/>
      <c r="R545" s="551"/>
      <c r="S545" s="550"/>
      <c r="T545" s="548">
        <v>0.375</v>
      </c>
      <c r="U545" s="548"/>
      <c r="V545" s="551"/>
      <c r="W545" s="550"/>
      <c r="X545" s="548"/>
      <c r="Y545" s="548"/>
      <c r="Z545" s="551"/>
      <c r="AA545" s="550"/>
      <c r="AB545" s="548"/>
      <c r="AC545" s="548"/>
      <c r="AD545" s="551"/>
      <c r="AE545" s="24"/>
      <c r="AF545" s="29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</row>
    <row r="546" spans="1:55" s="2" customFormat="1" ht="14.25">
      <c r="A546"/>
      <c r="B546" s="553" t="s">
        <v>576</v>
      </c>
      <c r="C546" s="547" t="s">
        <v>843</v>
      </c>
      <c r="D546" s="631"/>
      <c r="E546" s="548"/>
      <c r="F546" s="549"/>
      <c r="G546" s="550"/>
      <c r="H546" s="548"/>
      <c r="I546" s="548"/>
      <c r="J546" s="551"/>
      <c r="K546" s="550"/>
      <c r="L546" s="552"/>
      <c r="M546" s="548"/>
      <c r="N546" s="551"/>
      <c r="O546" s="550"/>
      <c r="P546" s="548"/>
      <c r="Q546" s="548"/>
      <c r="R546" s="551"/>
      <c r="S546" s="550"/>
      <c r="T546" s="548">
        <v>0.375</v>
      </c>
      <c r="U546" s="548"/>
      <c r="V546" s="551"/>
      <c r="W546" s="550"/>
      <c r="X546" s="548"/>
      <c r="Y546" s="548"/>
      <c r="Z546" s="551"/>
      <c r="AA546" s="550"/>
      <c r="AB546" s="548"/>
      <c r="AC546" s="548"/>
      <c r="AD546" s="551"/>
      <c r="AE546" s="24"/>
      <c r="AF546" s="29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</row>
    <row r="547" spans="1:55" s="2" customFormat="1" ht="14.25">
      <c r="A547"/>
      <c r="B547" s="636" t="s">
        <v>61</v>
      </c>
      <c r="C547" s="635"/>
      <c r="D547" s="631"/>
      <c r="E547" s="548"/>
      <c r="F547" s="549">
        <f t="shared" si="379"/>
        <v>0</v>
      </c>
      <c r="G547" s="550"/>
      <c r="H547" s="548"/>
      <c r="I547" s="548"/>
      <c r="J547" s="551">
        <f t="shared" si="380"/>
        <v>0</v>
      </c>
      <c r="K547" s="550"/>
      <c r="L547" s="552"/>
      <c r="M547" s="548"/>
      <c r="N547" s="551">
        <f t="shared" si="381"/>
        <v>0</v>
      </c>
      <c r="O547" s="550"/>
      <c r="P547" s="548"/>
      <c r="Q547" s="548"/>
      <c r="R547" s="551">
        <f t="shared" si="382"/>
        <v>0</v>
      </c>
      <c r="S547" s="550"/>
      <c r="T547" s="548"/>
      <c r="U547" s="548"/>
      <c r="V547" s="551">
        <f t="shared" si="383"/>
        <v>0</v>
      </c>
      <c r="W547" s="550"/>
      <c r="X547" s="548"/>
      <c r="Y547" s="548"/>
      <c r="Z547" s="551">
        <f t="shared" si="384"/>
        <v>0</v>
      </c>
      <c r="AA547" s="550"/>
      <c r="AB547" s="548"/>
      <c r="AC547" s="548"/>
      <c r="AD547" s="551">
        <f t="shared" si="385"/>
        <v>0</v>
      </c>
      <c r="AE547" s="24"/>
      <c r="AF547" s="29">
        <f t="shared" si="386"/>
        <v>0</v>
      </c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</row>
    <row r="548" spans="1:55" s="2" customFormat="1">
      <c r="A548"/>
      <c r="B548" s="31" t="s">
        <v>577</v>
      </c>
      <c r="C548" s="31"/>
      <c r="D548" s="91"/>
      <c r="E548" s="91"/>
      <c r="F548" s="90"/>
      <c r="G548" s="91"/>
      <c r="H548" s="91"/>
      <c r="I548" s="91"/>
      <c r="J548" s="90"/>
      <c r="K548" s="91"/>
      <c r="L548" s="430"/>
      <c r="M548" s="91"/>
      <c r="N548" s="90"/>
      <c r="O548" s="91"/>
      <c r="P548" s="91"/>
      <c r="Q548" s="91"/>
      <c r="R548" s="90"/>
      <c r="S548" s="91"/>
      <c r="T548" s="91"/>
      <c r="U548" s="91"/>
      <c r="V548" s="90"/>
      <c r="W548" s="91"/>
      <c r="X548" s="91"/>
      <c r="Y548" s="91"/>
      <c r="Z548" s="90"/>
      <c r="AA548" s="91"/>
      <c r="AB548" s="91"/>
      <c r="AC548" s="91"/>
      <c r="AD548" s="91"/>
      <c r="AE548" s="352"/>
      <c r="AF548" s="28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</row>
    <row r="549" spans="1:55" s="2" customFormat="1">
      <c r="A549"/>
      <c r="B549" s="31" t="s">
        <v>578</v>
      </c>
      <c r="C549" s="31"/>
      <c r="D549" s="91"/>
      <c r="E549" s="91"/>
      <c r="F549" s="90"/>
      <c r="G549" s="91"/>
      <c r="H549" s="91"/>
      <c r="I549" s="91"/>
      <c r="J549" s="90"/>
      <c r="K549" s="91"/>
      <c r="L549" s="430"/>
      <c r="M549" s="91"/>
      <c r="N549" s="90"/>
      <c r="O549" s="91"/>
      <c r="P549" s="91"/>
      <c r="Q549" s="91"/>
      <c r="R549" s="90"/>
      <c r="S549" s="91"/>
      <c r="T549" s="91"/>
      <c r="U549" s="91"/>
      <c r="V549" s="90"/>
      <c r="W549" s="91"/>
      <c r="X549" s="91"/>
      <c r="Y549" s="91"/>
      <c r="Z549" s="90"/>
      <c r="AA549" s="91"/>
      <c r="AB549" s="91"/>
      <c r="AC549" s="91"/>
      <c r="AD549" s="91"/>
      <c r="AE549" s="352"/>
      <c r="AF549" s="28">
        <f>SUM(D549:AD549)</f>
        <v>0</v>
      </c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</row>
    <row r="550" spans="1:55" s="2" customFormat="1" ht="14.25" thickBot="1">
      <c r="A550"/>
      <c r="B550" s="74" t="s">
        <v>579</v>
      </c>
      <c r="C550" s="74"/>
      <c r="D550" s="95"/>
      <c r="E550" s="95"/>
      <c r="F550" s="96"/>
      <c r="G550" s="95"/>
      <c r="H550" s="95"/>
      <c r="I550" s="95"/>
      <c r="J550" s="96"/>
      <c r="K550" s="95"/>
      <c r="L550" s="431"/>
      <c r="M550" s="95"/>
      <c r="N550" s="96"/>
      <c r="O550" s="95"/>
      <c r="P550" s="95"/>
      <c r="Q550" s="95"/>
      <c r="R550" s="96"/>
      <c r="S550" s="95"/>
      <c r="T550" s="95"/>
      <c r="U550" s="95"/>
      <c r="V550" s="96"/>
      <c r="W550" s="97"/>
      <c r="X550" s="97"/>
      <c r="Y550" s="97"/>
      <c r="Z550" s="96"/>
      <c r="AA550" s="97"/>
      <c r="AB550" s="97"/>
      <c r="AC550" s="97"/>
      <c r="AD550" s="97"/>
      <c r="AE550" s="97"/>
      <c r="AF550" s="80">
        <f>SUM(D550:AD550)</f>
        <v>0</v>
      </c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</row>
    <row r="551" spans="1:55" s="2" customFormat="1" ht="14.25" thickTop="1">
      <c r="A551"/>
      <c r="B551" s="1518" t="s">
        <v>18</v>
      </c>
      <c r="C551" s="1528" t="s">
        <v>571</v>
      </c>
      <c r="D551" s="1524">
        <v>45523</v>
      </c>
      <c r="E551" s="1524"/>
      <c r="F551" s="1524"/>
      <c r="G551" s="22"/>
      <c r="H551" s="1524">
        <f>D551+1</f>
        <v>45524</v>
      </c>
      <c r="I551" s="1524"/>
      <c r="J551" s="1524"/>
      <c r="K551" s="22"/>
      <c r="L551" s="1524">
        <f>H551+1</f>
        <v>45525</v>
      </c>
      <c r="M551" s="1524"/>
      <c r="N551" s="1524"/>
      <c r="O551" s="3"/>
      <c r="P551" s="1524">
        <f>L551+1</f>
        <v>45526</v>
      </c>
      <c r="Q551" s="1524"/>
      <c r="R551" s="1524"/>
      <c r="S551" s="3"/>
      <c r="T551" s="1524">
        <f>P551+1</f>
        <v>45527</v>
      </c>
      <c r="U551" s="1524"/>
      <c r="V551" s="1524"/>
      <c r="W551" s="22"/>
      <c r="X551" s="1524">
        <f>T551+1</f>
        <v>45528</v>
      </c>
      <c r="Y551" s="1524"/>
      <c r="Z551" s="1524"/>
      <c r="AA551" s="3"/>
      <c r="AB551" s="1524">
        <f>X551+1</f>
        <v>45529</v>
      </c>
      <c r="AC551" s="1524"/>
      <c r="AD551" s="1524"/>
      <c r="AE551" s="22"/>
      <c r="AF551" s="1517" t="s">
        <v>19</v>
      </c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</row>
    <row r="552" spans="1:55" s="2" customFormat="1">
      <c r="A552"/>
      <c r="B552" s="1518"/>
      <c r="C552" s="1528"/>
      <c r="D552" s="21" t="s">
        <v>23</v>
      </c>
      <c r="E552" s="21" t="s">
        <v>24</v>
      </c>
      <c r="F552" s="62" t="s">
        <v>25</v>
      </c>
      <c r="G552" s="23"/>
      <c r="H552" s="21" t="s">
        <v>23</v>
      </c>
      <c r="I552" s="21" t="s">
        <v>24</v>
      </c>
      <c r="J552" s="18" t="s">
        <v>25</v>
      </c>
      <c r="K552" s="23"/>
      <c r="L552" s="21" t="s">
        <v>23</v>
      </c>
      <c r="M552" s="21" t="s">
        <v>24</v>
      </c>
      <c r="N552" s="18" t="s">
        <v>25</v>
      </c>
      <c r="O552" s="23"/>
      <c r="P552" s="21" t="s">
        <v>23</v>
      </c>
      <c r="Q552" s="21" t="s">
        <v>24</v>
      </c>
      <c r="R552" s="18" t="s">
        <v>25</v>
      </c>
      <c r="S552" s="23"/>
      <c r="T552" s="21" t="s">
        <v>23</v>
      </c>
      <c r="U552" s="21" t="s">
        <v>24</v>
      </c>
      <c r="V552" s="18" t="s">
        <v>25</v>
      </c>
      <c r="W552" s="23"/>
      <c r="X552" s="21" t="s">
        <v>23</v>
      </c>
      <c r="Y552" s="21" t="s">
        <v>24</v>
      </c>
      <c r="Z552" s="18" t="s">
        <v>25</v>
      </c>
      <c r="AA552" s="23"/>
      <c r="AB552" s="21" t="s">
        <v>23</v>
      </c>
      <c r="AC552" s="21" t="s">
        <v>24</v>
      </c>
      <c r="AD552" s="18" t="s">
        <v>25</v>
      </c>
      <c r="AE552" s="23"/>
      <c r="AF552" s="1517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</row>
    <row r="553" spans="1:55" s="2" customFormat="1" ht="14.25">
      <c r="A553"/>
      <c r="B553" s="553" t="s">
        <v>576</v>
      </c>
      <c r="C553" s="559" t="s">
        <v>844</v>
      </c>
      <c r="D553" s="548">
        <v>0.375</v>
      </c>
      <c r="E553" s="548">
        <v>0.66666666666666663</v>
      </c>
      <c r="F553" s="549">
        <f t="shared" ref="F553:F563" si="387">(E553-D553)*24</f>
        <v>6.9999999999999991</v>
      </c>
      <c r="G553" s="550"/>
      <c r="H553" s="548"/>
      <c r="I553" s="548"/>
      <c r="J553" s="551">
        <f t="shared" ref="J553:J563" si="388">(I553-H553)*24</f>
        <v>0</v>
      </c>
      <c r="K553" s="550"/>
      <c r="L553" s="552"/>
      <c r="M553" s="548"/>
      <c r="N553" s="551">
        <f t="shared" ref="N553:N563" si="389">(M553-L553)*24</f>
        <v>0</v>
      </c>
      <c r="O553" s="550"/>
      <c r="P553" s="548"/>
      <c r="Q553" s="548"/>
      <c r="R553" s="551">
        <f t="shared" ref="R553:R563" si="390">(Q553-P553)*24</f>
        <v>0</v>
      </c>
      <c r="S553" s="550"/>
      <c r="T553" s="548"/>
      <c r="U553" s="548"/>
      <c r="V553" s="551">
        <f t="shared" ref="V553:V563" si="391">(U553-T553)*24</f>
        <v>0</v>
      </c>
      <c r="W553" s="550"/>
      <c r="X553" s="548"/>
      <c r="Y553" s="548"/>
      <c r="Z553" s="551">
        <f t="shared" ref="Z553:Z563" si="392">(Y553-X553)*24</f>
        <v>0</v>
      </c>
      <c r="AA553" s="550"/>
      <c r="AB553" s="548"/>
      <c r="AC553" s="548"/>
      <c r="AD553" s="551">
        <f t="shared" ref="AD553:AD563" si="393">(AC553-AB553)*24</f>
        <v>0</v>
      </c>
      <c r="AE553" s="24"/>
      <c r="AF553" s="29">
        <f t="shared" ref="AF553:AF563" si="394">J553+F553+N553+R553+V553+Z553+AD553</f>
        <v>6.9999999999999991</v>
      </c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</row>
    <row r="554" spans="1:55" s="2" customFormat="1" ht="14.25">
      <c r="A554"/>
      <c r="B554" s="553" t="s">
        <v>810</v>
      </c>
      <c r="C554" s="559" t="s">
        <v>832</v>
      </c>
      <c r="D554" s="548"/>
      <c r="E554" s="548"/>
      <c r="F554" s="549">
        <f t="shared" si="387"/>
        <v>0</v>
      </c>
      <c r="G554" s="550"/>
      <c r="H554" s="548">
        <v>0.375</v>
      </c>
      <c r="I554" s="548">
        <v>0.6875</v>
      </c>
      <c r="J554" s="551">
        <f t="shared" si="388"/>
        <v>7.5</v>
      </c>
      <c r="K554" s="550"/>
      <c r="L554" s="552">
        <v>0.375</v>
      </c>
      <c r="M554" s="548">
        <v>0.72916666666666663</v>
      </c>
      <c r="N554" s="551">
        <f t="shared" si="389"/>
        <v>8.5</v>
      </c>
      <c r="O554" s="550"/>
      <c r="P554" s="548">
        <v>0.375</v>
      </c>
      <c r="Q554" s="548">
        <v>0.6875</v>
      </c>
      <c r="R554" s="551">
        <f t="shared" si="390"/>
        <v>7.5</v>
      </c>
      <c r="S554" s="550"/>
      <c r="T554" s="548">
        <v>0.375</v>
      </c>
      <c r="U554" s="548">
        <v>0.70833333333333337</v>
      </c>
      <c r="V554" s="551">
        <f t="shared" si="391"/>
        <v>8</v>
      </c>
      <c r="W554" s="550"/>
      <c r="X554" s="548"/>
      <c r="Y554" s="548"/>
      <c r="Z554" s="551">
        <f t="shared" si="392"/>
        <v>0</v>
      </c>
      <c r="AA554" s="550"/>
      <c r="AB554" s="548"/>
      <c r="AC554" s="548"/>
      <c r="AD554" s="551">
        <f t="shared" si="393"/>
        <v>0</v>
      </c>
      <c r="AE554" s="24"/>
      <c r="AF554" s="29">
        <f t="shared" si="394"/>
        <v>31.5</v>
      </c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</row>
    <row r="555" spans="1:55" s="2" customFormat="1" ht="14.25">
      <c r="A555"/>
      <c r="B555" s="553" t="s">
        <v>42</v>
      </c>
      <c r="C555" s="559" t="s">
        <v>832</v>
      </c>
      <c r="D555" s="548">
        <v>0.375</v>
      </c>
      <c r="E555" s="548">
        <v>0.60416666666666663</v>
      </c>
      <c r="F555" s="549">
        <f t="shared" si="387"/>
        <v>5.4999999999999991</v>
      </c>
      <c r="G555" s="550"/>
      <c r="H555" s="548">
        <v>0.375</v>
      </c>
      <c r="I555" s="548">
        <v>0.6875</v>
      </c>
      <c r="J555" s="551">
        <f t="shared" si="388"/>
        <v>7.5</v>
      </c>
      <c r="K555" s="550"/>
      <c r="L555" s="552">
        <v>0.375</v>
      </c>
      <c r="M555" s="548">
        <v>0.72916666666666663</v>
      </c>
      <c r="N555" s="551">
        <f t="shared" si="389"/>
        <v>8.5</v>
      </c>
      <c r="O555" s="550"/>
      <c r="P555" s="548">
        <v>0.375</v>
      </c>
      <c r="Q555" s="548">
        <v>0.6875</v>
      </c>
      <c r="R555" s="551">
        <f t="shared" si="390"/>
        <v>7.5</v>
      </c>
      <c r="S555" s="550"/>
      <c r="T555" s="548"/>
      <c r="U555" s="548"/>
      <c r="V555" s="551">
        <f t="shared" si="391"/>
        <v>0</v>
      </c>
      <c r="W555" s="550"/>
      <c r="X555" s="548"/>
      <c r="Y555" s="548"/>
      <c r="Z555" s="551">
        <f t="shared" si="392"/>
        <v>0</v>
      </c>
      <c r="AA555" s="550"/>
      <c r="AB555" s="548"/>
      <c r="AC555" s="548"/>
      <c r="AD555" s="551">
        <f t="shared" si="393"/>
        <v>0</v>
      </c>
      <c r="AE555" s="24"/>
      <c r="AF555" s="29">
        <f t="shared" si="394"/>
        <v>29</v>
      </c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</row>
    <row r="556" spans="1:55" s="2" customFormat="1" ht="14.25">
      <c r="A556"/>
      <c r="B556" s="553" t="s">
        <v>576</v>
      </c>
      <c r="C556" s="559" t="s">
        <v>839</v>
      </c>
      <c r="D556" s="548"/>
      <c r="E556" s="548"/>
      <c r="F556" s="549">
        <f t="shared" si="387"/>
        <v>0</v>
      </c>
      <c r="G556" s="550"/>
      <c r="H556" s="548"/>
      <c r="I556" s="548"/>
      <c r="J556" s="551">
        <f t="shared" si="388"/>
        <v>0</v>
      </c>
      <c r="K556" s="550"/>
      <c r="L556" s="552">
        <v>0.375</v>
      </c>
      <c r="M556" s="548">
        <v>0.72916666666666663</v>
      </c>
      <c r="N556" s="551">
        <f t="shared" si="389"/>
        <v>8.5</v>
      </c>
      <c r="O556" s="550"/>
      <c r="P556" s="548"/>
      <c r="Q556" s="548"/>
      <c r="R556" s="551">
        <f t="shared" si="390"/>
        <v>0</v>
      </c>
      <c r="S556" s="550"/>
      <c r="T556" s="548"/>
      <c r="U556" s="548"/>
      <c r="V556" s="551">
        <f t="shared" si="391"/>
        <v>0</v>
      </c>
      <c r="W556" s="550"/>
      <c r="X556" s="548"/>
      <c r="Y556" s="548"/>
      <c r="Z556" s="551">
        <f t="shared" si="392"/>
        <v>0</v>
      </c>
      <c r="AA556" s="550"/>
      <c r="AB556" s="548"/>
      <c r="AC556" s="548"/>
      <c r="AD556" s="551">
        <f t="shared" si="393"/>
        <v>0</v>
      </c>
      <c r="AE556" s="24"/>
      <c r="AF556" s="29">
        <f t="shared" si="394"/>
        <v>8.5</v>
      </c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</row>
    <row r="557" spans="1:55" s="2" customFormat="1" ht="14.25">
      <c r="A557"/>
      <c r="B557" s="553" t="s">
        <v>54</v>
      </c>
      <c r="C557" s="559" t="s">
        <v>839</v>
      </c>
      <c r="D557" s="548"/>
      <c r="E557" s="548"/>
      <c r="F557" s="549">
        <f t="shared" si="387"/>
        <v>0</v>
      </c>
      <c r="G557" s="550"/>
      <c r="H557" s="548"/>
      <c r="I557" s="548"/>
      <c r="J557" s="551">
        <f t="shared" si="388"/>
        <v>0</v>
      </c>
      <c r="K557" s="550"/>
      <c r="L557" s="552">
        <v>0.375</v>
      </c>
      <c r="M557" s="548">
        <v>0.72916666666666663</v>
      </c>
      <c r="N557" s="551">
        <f t="shared" si="389"/>
        <v>8.5</v>
      </c>
      <c r="O557" s="550"/>
      <c r="P557" s="548"/>
      <c r="Q557" s="548"/>
      <c r="R557" s="551">
        <f t="shared" si="390"/>
        <v>0</v>
      </c>
      <c r="S557" s="550"/>
      <c r="T557" s="548"/>
      <c r="U557" s="548"/>
      <c r="V557" s="551">
        <f t="shared" si="391"/>
        <v>0</v>
      </c>
      <c r="W557" s="550"/>
      <c r="X557" s="548"/>
      <c r="Y557" s="548"/>
      <c r="Z557" s="551">
        <f t="shared" si="392"/>
        <v>0</v>
      </c>
      <c r="AA557" s="550"/>
      <c r="AB557" s="548"/>
      <c r="AC557" s="548"/>
      <c r="AD557" s="551">
        <f t="shared" si="393"/>
        <v>0</v>
      </c>
      <c r="AE557" s="24"/>
      <c r="AF557" s="29">
        <f t="shared" si="394"/>
        <v>8.5</v>
      </c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</row>
    <row r="558" spans="1:55" s="2" customFormat="1" ht="27">
      <c r="A558"/>
      <c r="B558" s="553" t="s">
        <v>637</v>
      </c>
      <c r="C558" s="559" t="s">
        <v>845</v>
      </c>
      <c r="D558" s="548"/>
      <c r="E558" s="548"/>
      <c r="F558" s="549">
        <f t="shared" si="387"/>
        <v>0</v>
      </c>
      <c r="G558" s="550"/>
      <c r="H558" s="548"/>
      <c r="I558" s="548"/>
      <c r="J558" s="551">
        <f t="shared" si="388"/>
        <v>0</v>
      </c>
      <c r="K558" s="550"/>
      <c r="L558" s="552"/>
      <c r="M558" s="548"/>
      <c r="N558" s="551">
        <f t="shared" si="389"/>
        <v>0</v>
      </c>
      <c r="O558" s="550"/>
      <c r="P558" s="548">
        <v>0.375</v>
      </c>
      <c r="Q558" s="548">
        <v>0.72916666666666663</v>
      </c>
      <c r="R558" s="551">
        <f t="shared" si="390"/>
        <v>8.5</v>
      </c>
      <c r="S558" s="550"/>
      <c r="T558" s="548"/>
      <c r="U558" s="548"/>
      <c r="V558" s="551">
        <f t="shared" si="391"/>
        <v>0</v>
      </c>
      <c r="W558" s="550"/>
      <c r="X558" s="548"/>
      <c r="Y558" s="548"/>
      <c r="Z558" s="551">
        <f t="shared" si="392"/>
        <v>0</v>
      </c>
      <c r="AA558" s="550"/>
      <c r="AB558" s="548"/>
      <c r="AC558" s="548"/>
      <c r="AD558" s="551">
        <f t="shared" si="393"/>
        <v>0</v>
      </c>
      <c r="AE558" s="24"/>
      <c r="AF558" s="29">
        <f t="shared" si="394"/>
        <v>8.5</v>
      </c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</row>
    <row r="559" spans="1:55" s="2" customFormat="1" ht="27">
      <c r="A559"/>
      <c r="B559" s="553" t="s">
        <v>572</v>
      </c>
      <c r="C559" s="559" t="s">
        <v>845</v>
      </c>
      <c r="D559" s="548"/>
      <c r="E559" s="548"/>
      <c r="F559" s="549">
        <f t="shared" si="387"/>
        <v>0</v>
      </c>
      <c r="G559" s="550"/>
      <c r="H559" s="548"/>
      <c r="I559" s="548"/>
      <c r="J559" s="551">
        <f t="shared" si="388"/>
        <v>0</v>
      </c>
      <c r="K559" s="550"/>
      <c r="L559" s="552"/>
      <c r="M559" s="548"/>
      <c r="N559" s="551">
        <f t="shared" si="389"/>
        <v>0</v>
      </c>
      <c r="O559" s="550"/>
      <c r="P559" s="548">
        <v>0.375</v>
      </c>
      <c r="Q559" s="548">
        <v>0.72916666666666663</v>
      </c>
      <c r="R559" s="551">
        <f t="shared" si="390"/>
        <v>8.5</v>
      </c>
      <c r="S559" s="550"/>
      <c r="T559" s="548"/>
      <c r="U559" s="548"/>
      <c r="V559" s="551">
        <f t="shared" si="391"/>
        <v>0</v>
      </c>
      <c r="W559" s="550"/>
      <c r="X559" s="548"/>
      <c r="Y559" s="548"/>
      <c r="Z559" s="551">
        <f t="shared" si="392"/>
        <v>0</v>
      </c>
      <c r="AA559" s="550"/>
      <c r="AB559" s="548"/>
      <c r="AC559" s="548"/>
      <c r="AD559" s="551">
        <f t="shared" si="393"/>
        <v>0</v>
      </c>
      <c r="AE559" s="24"/>
      <c r="AF559" s="29">
        <f t="shared" si="394"/>
        <v>8.5</v>
      </c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</row>
    <row r="560" spans="1:55" s="2" customFormat="1" ht="27">
      <c r="A560"/>
      <c r="B560" s="553" t="s">
        <v>54</v>
      </c>
      <c r="C560" s="559" t="s">
        <v>845</v>
      </c>
      <c r="D560" s="548"/>
      <c r="E560" s="548"/>
      <c r="F560" s="549">
        <f>(E560-D560)*24</f>
        <v>0</v>
      </c>
      <c r="G560" s="550"/>
      <c r="H560" s="548"/>
      <c r="I560" s="548"/>
      <c r="J560" s="551">
        <f>(I560-H560)*24</f>
        <v>0</v>
      </c>
      <c r="K560" s="550"/>
      <c r="L560" s="552"/>
      <c r="M560" s="548"/>
      <c r="N560" s="551">
        <f>(M560-L560)*24</f>
        <v>0</v>
      </c>
      <c r="O560" s="550"/>
      <c r="P560" s="548">
        <v>0.375</v>
      </c>
      <c r="Q560" s="548">
        <v>0.72916666666666663</v>
      </c>
      <c r="R560" s="551">
        <f>(Q560-P560)*24</f>
        <v>8.5</v>
      </c>
      <c r="S560" s="550"/>
      <c r="T560" s="548"/>
      <c r="U560" s="548"/>
      <c r="V560" s="551">
        <f>(U560-T560)*24</f>
        <v>0</v>
      </c>
      <c r="W560" s="550"/>
      <c r="X560" s="548"/>
      <c r="Y560" s="548"/>
      <c r="Z560" s="551">
        <f>(Y560-X560)*24</f>
        <v>0</v>
      </c>
      <c r="AA560" s="550"/>
      <c r="AB560" s="548"/>
      <c r="AC560" s="548"/>
      <c r="AD560" s="551">
        <f>(AC560-AB560)*24</f>
        <v>0</v>
      </c>
      <c r="AE560" s="24"/>
      <c r="AF560" s="29">
        <f>J560+F560+N560+R560+V560+Z560+AD560</f>
        <v>8.5</v>
      </c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</row>
    <row r="561" spans="1:55" s="2" customFormat="1" ht="27">
      <c r="A561"/>
      <c r="B561" s="553" t="s">
        <v>52</v>
      </c>
      <c r="C561" s="559" t="s">
        <v>845</v>
      </c>
      <c r="D561" s="548"/>
      <c r="E561" s="548"/>
      <c r="F561" s="549">
        <f>(E561-D561)*24</f>
        <v>0</v>
      </c>
      <c r="G561" s="550"/>
      <c r="H561" s="548"/>
      <c r="I561" s="548"/>
      <c r="J561" s="551">
        <f>(I561-H561)*24</f>
        <v>0</v>
      </c>
      <c r="K561" s="550"/>
      <c r="L561" s="552"/>
      <c r="M561" s="548"/>
      <c r="N561" s="551">
        <f>(M561-L561)*24</f>
        <v>0</v>
      </c>
      <c r="O561" s="550"/>
      <c r="P561" s="548">
        <v>0.375</v>
      </c>
      <c r="Q561" s="548">
        <v>0.72916666666666663</v>
      </c>
      <c r="R561" s="551">
        <f>(Q561-P561)*24</f>
        <v>8.5</v>
      </c>
      <c r="S561" s="550"/>
      <c r="T561" s="548"/>
      <c r="U561" s="548"/>
      <c r="V561" s="551">
        <f>(U561-T561)*24</f>
        <v>0</v>
      </c>
      <c r="W561" s="550"/>
      <c r="X561" s="548"/>
      <c r="Y561" s="548"/>
      <c r="Z561" s="551">
        <f>(Y561-X561)*24</f>
        <v>0</v>
      </c>
      <c r="AA561" s="550"/>
      <c r="AB561" s="548"/>
      <c r="AC561" s="548"/>
      <c r="AD561" s="551">
        <f>(AC561-AB561)*24</f>
        <v>0</v>
      </c>
      <c r="AE561" s="24"/>
      <c r="AF561" s="29">
        <f>J561+F561+N561+R561+V561+Z561+AD561</f>
        <v>8.5</v>
      </c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</row>
    <row r="562" spans="1:55" s="2" customFormat="1" ht="14.25">
      <c r="A562"/>
      <c r="B562" s="553" t="s">
        <v>576</v>
      </c>
      <c r="C562" s="559" t="s">
        <v>843</v>
      </c>
      <c r="D562" s="548"/>
      <c r="E562" s="548"/>
      <c r="F562" s="549"/>
      <c r="G562" s="550"/>
      <c r="H562" s="548"/>
      <c r="I562" s="548"/>
      <c r="J562" s="551"/>
      <c r="K562" s="550"/>
      <c r="L562" s="552"/>
      <c r="M562" s="548"/>
      <c r="N562" s="551"/>
      <c r="O562" s="550"/>
      <c r="P562" s="548"/>
      <c r="Q562" s="548"/>
      <c r="R562" s="551"/>
      <c r="S562" s="550"/>
      <c r="T562" s="548">
        <v>0.375</v>
      </c>
      <c r="U562" s="548">
        <v>0.54166666666666663</v>
      </c>
      <c r="V562" s="551"/>
      <c r="W562" s="550"/>
      <c r="X562" s="548"/>
      <c r="Y562" s="548"/>
      <c r="Z562" s="551"/>
      <c r="AA562" s="550"/>
      <c r="AB562" s="548"/>
      <c r="AC562" s="548"/>
      <c r="AD562" s="551"/>
      <c r="AE562" s="24"/>
      <c r="AF562" s="29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</row>
    <row r="563" spans="1:55" s="2" customFormat="1" ht="14.25">
      <c r="A563"/>
      <c r="B563" s="554" t="s">
        <v>61</v>
      </c>
      <c r="C563" s="554"/>
      <c r="D563" s="548"/>
      <c r="E563" s="548"/>
      <c r="F563" s="549">
        <f t="shared" si="387"/>
        <v>0</v>
      </c>
      <c r="G563" s="550"/>
      <c r="H563" s="548"/>
      <c r="I563" s="548"/>
      <c r="J563" s="551">
        <f t="shared" si="388"/>
        <v>0</v>
      </c>
      <c r="K563" s="550"/>
      <c r="L563" s="552"/>
      <c r="M563" s="548"/>
      <c r="N563" s="551">
        <f t="shared" si="389"/>
        <v>0</v>
      </c>
      <c r="O563" s="550"/>
      <c r="P563" s="548"/>
      <c r="Q563" s="548"/>
      <c r="R563" s="551">
        <f t="shared" si="390"/>
        <v>0</v>
      </c>
      <c r="S563" s="550"/>
      <c r="T563" s="548"/>
      <c r="U563" s="548"/>
      <c r="V563" s="551">
        <f t="shared" si="391"/>
        <v>0</v>
      </c>
      <c r="W563" s="550"/>
      <c r="X563" s="548"/>
      <c r="Y563" s="548"/>
      <c r="Z563" s="551">
        <f t="shared" si="392"/>
        <v>0</v>
      </c>
      <c r="AA563" s="550"/>
      <c r="AB563" s="548"/>
      <c r="AC563" s="548"/>
      <c r="AD563" s="551">
        <f t="shared" si="393"/>
        <v>0</v>
      </c>
      <c r="AE563" s="24"/>
      <c r="AF563" s="29">
        <f t="shared" si="394"/>
        <v>0</v>
      </c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</row>
    <row r="564" spans="1:55" s="2" customFormat="1">
      <c r="A564"/>
      <c r="B564" s="31" t="s">
        <v>577</v>
      </c>
      <c r="C564" s="31"/>
      <c r="D564" s="91"/>
      <c r="E564" s="91"/>
      <c r="F564" s="90"/>
      <c r="G564" s="91"/>
      <c r="H564" s="91"/>
      <c r="I564" s="91"/>
      <c r="J564" s="90"/>
      <c r="K564" s="91"/>
      <c r="L564" s="430"/>
      <c r="M564" s="91"/>
      <c r="N564" s="90"/>
      <c r="O564" s="91"/>
      <c r="P564" s="91"/>
      <c r="Q564" s="91"/>
      <c r="R564" s="90"/>
      <c r="S564" s="91"/>
      <c r="T564" s="91"/>
      <c r="U564" s="91"/>
      <c r="V564" s="90"/>
      <c r="W564" s="91"/>
      <c r="X564" s="91"/>
      <c r="Y564" s="91"/>
      <c r="Z564" s="90"/>
      <c r="AA564" s="91"/>
      <c r="AB564" s="91"/>
      <c r="AC564" s="91"/>
      <c r="AD564" s="91"/>
      <c r="AE564" s="352"/>
      <c r="AF564" s="28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</row>
    <row r="565" spans="1:55" s="2" customFormat="1">
      <c r="A565"/>
      <c r="B565" s="31" t="s">
        <v>578</v>
      </c>
      <c r="C565" s="31"/>
      <c r="D565" s="91"/>
      <c r="E565" s="91"/>
      <c r="F565" s="90"/>
      <c r="G565" s="91"/>
      <c r="H565" s="91"/>
      <c r="I565" s="91"/>
      <c r="J565" s="90"/>
      <c r="K565" s="91"/>
      <c r="L565" s="430"/>
      <c r="M565" s="91"/>
      <c r="N565" s="90"/>
      <c r="O565" s="91"/>
      <c r="P565" s="91"/>
      <c r="Q565" s="91"/>
      <c r="R565" s="90"/>
      <c r="S565" s="91"/>
      <c r="T565" s="91"/>
      <c r="U565" s="91"/>
      <c r="V565" s="90"/>
      <c r="W565" s="91"/>
      <c r="X565" s="91"/>
      <c r="Y565" s="91"/>
      <c r="Z565" s="90"/>
      <c r="AA565" s="91"/>
      <c r="AB565" s="91"/>
      <c r="AC565" s="91"/>
      <c r="AD565" s="91"/>
      <c r="AE565" s="352"/>
      <c r="AF565" s="28">
        <f>SUM(D565:AD565)</f>
        <v>0</v>
      </c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</row>
    <row r="566" spans="1:55" s="2" customFormat="1" ht="14.25" thickBot="1">
      <c r="A566"/>
      <c r="B566" s="74" t="s">
        <v>579</v>
      </c>
      <c r="C566" s="74"/>
      <c r="D566" s="95"/>
      <c r="E566" s="95"/>
      <c r="F566" s="96"/>
      <c r="G566" s="95"/>
      <c r="H566" s="95"/>
      <c r="I566" s="95"/>
      <c r="J566" s="96"/>
      <c r="K566" s="95"/>
      <c r="L566" s="431"/>
      <c r="M566" s="95"/>
      <c r="N566" s="96"/>
      <c r="O566" s="95"/>
      <c r="P566" s="95"/>
      <c r="Q566" s="95"/>
      <c r="R566" s="96"/>
      <c r="S566" s="95"/>
      <c r="T566" s="95"/>
      <c r="U566" s="95"/>
      <c r="V566" s="96"/>
      <c r="W566" s="97"/>
      <c r="X566" s="97"/>
      <c r="Y566" s="97"/>
      <c r="Z566" s="96"/>
      <c r="AA566" s="97"/>
      <c r="AB566" s="97"/>
      <c r="AC566" s="97"/>
      <c r="AD566" s="97"/>
      <c r="AE566" s="97"/>
      <c r="AF566" s="80">
        <f>SUM(D566:AD566)</f>
        <v>0</v>
      </c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</row>
    <row r="567" spans="1:55" s="2" customFormat="1" ht="14.25" thickTop="1">
      <c r="A567"/>
      <c r="B567" s="1518" t="s">
        <v>18</v>
      </c>
      <c r="C567" s="1528" t="s">
        <v>571</v>
      </c>
      <c r="D567" s="1524">
        <v>45530</v>
      </c>
      <c r="E567" s="1524"/>
      <c r="F567" s="1524"/>
      <c r="G567" s="22"/>
      <c r="H567" s="1524">
        <f>D567+1</f>
        <v>45531</v>
      </c>
      <c r="I567" s="1524"/>
      <c r="J567" s="1524"/>
      <c r="K567" s="22"/>
      <c r="L567" s="1524">
        <f>H567+1</f>
        <v>45532</v>
      </c>
      <c r="M567" s="1524"/>
      <c r="N567" s="1524"/>
      <c r="O567" s="3"/>
      <c r="P567" s="1524">
        <f>L567+1</f>
        <v>45533</v>
      </c>
      <c r="Q567" s="1524"/>
      <c r="R567" s="1524"/>
      <c r="S567" s="3"/>
      <c r="T567" s="1524">
        <f>P567+1</f>
        <v>45534</v>
      </c>
      <c r="U567" s="1524"/>
      <c r="V567" s="1524"/>
      <c r="W567" s="22"/>
      <c r="X567" s="1524">
        <f>T567+1</f>
        <v>45535</v>
      </c>
      <c r="Y567" s="1524"/>
      <c r="Z567" s="1524"/>
      <c r="AA567" s="3"/>
      <c r="AB567" s="1524">
        <f>X567+1</f>
        <v>45536</v>
      </c>
      <c r="AC567" s="1524"/>
      <c r="AD567" s="1524"/>
      <c r="AE567" s="22"/>
      <c r="AF567" s="1517" t="s">
        <v>19</v>
      </c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</row>
    <row r="568" spans="1:55" s="2" customFormat="1">
      <c r="A568"/>
      <c r="B568" s="1518"/>
      <c r="C568" s="1528"/>
      <c r="D568" s="21" t="s">
        <v>23</v>
      </c>
      <c r="E568" s="21" t="s">
        <v>24</v>
      </c>
      <c r="F568" s="62" t="s">
        <v>25</v>
      </c>
      <c r="G568" s="23"/>
      <c r="H568" s="21" t="s">
        <v>23</v>
      </c>
      <c r="I568" s="21" t="s">
        <v>24</v>
      </c>
      <c r="J568" s="18" t="s">
        <v>25</v>
      </c>
      <c r="K568" s="23"/>
      <c r="L568" s="21" t="s">
        <v>23</v>
      </c>
      <c r="M568" s="21" t="s">
        <v>24</v>
      </c>
      <c r="N568" s="18" t="s">
        <v>25</v>
      </c>
      <c r="O568" s="23"/>
      <c r="P568" s="21" t="s">
        <v>23</v>
      </c>
      <c r="Q568" s="21" t="s">
        <v>24</v>
      </c>
      <c r="R568" s="18" t="s">
        <v>25</v>
      </c>
      <c r="S568" s="23"/>
      <c r="T568" s="21" t="s">
        <v>23</v>
      </c>
      <c r="U568" s="21" t="s">
        <v>24</v>
      </c>
      <c r="V568" s="18" t="s">
        <v>25</v>
      </c>
      <c r="W568" s="23"/>
      <c r="X568" s="21" t="s">
        <v>23</v>
      </c>
      <c r="Y568" s="21" t="s">
        <v>24</v>
      </c>
      <c r="Z568" s="18" t="s">
        <v>25</v>
      </c>
      <c r="AA568" s="23"/>
      <c r="AB568" s="21" t="s">
        <v>23</v>
      </c>
      <c r="AC568" s="21" t="s">
        <v>24</v>
      </c>
      <c r="AD568" s="18" t="s">
        <v>25</v>
      </c>
      <c r="AE568" s="23"/>
      <c r="AF568" s="1517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</row>
    <row r="569" spans="1:55" s="2" customFormat="1" ht="14.25">
      <c r="A569"/>
      <c r="B569" s="553" t="s">
        <v>637</v>
      </c>
      <c r="C569" s="547" t="s">
        <v>846</v>
      </c>
      <c r="D569" s="548">
        <v>0.375</v>
      </c>
      <c r="E569" s="548">
        <v>0.70833333333333337</v>
      </c>
      <c r="F569" s="549">
        <f t="shared" ref="F569:F579" si="395">(E569-D569)*24</f>
        <v>8</v>
      </c>
      <c r="G569" s="550"/>
      <c r="H569" s="548">
        <v>0.3888888888888889</v>
      </c>
      <c r="I569" s="548">
        <v>0.70833333333333337</v>
      </c>
      <c r="J569" s="551">
        <f t="shared" ref="J569:J579" si="396">(I569-H569)*24</f>
        <v>7.6666666666666679</v>
      </c>
      <c r="K569" s="550"/>
      <c r="L569" s="552"/>
      <c r="M569" s="548"/>
      <c r="N569" s="551">
        <f t="shared" ref="N569:N579" si="397">(M569-L569)*24</f>
        <v>0</v>
      </c>
      <c r="O569" s="550"/>
      <c r="P569" s="548"/>
      <c r="Q569" s="548"/>
      <c r="R569" s="551">
        <f t="shared" ref="R569:R579" si="398">(Q569-P569)*24</f>
        <v>0</v>
      </c>
      <c r="S569" s="550"/>
      <c r="T569" s="548"/>
      <c r="U569" s="548"/>
      <c r="V569" s="551">
        <f t="shared" ref="V569:V579" si="399">(U569-T569)*24</f>
        <v>0</v>
      </c>
      <c r="W569" s="550"/>
      <c r="X569" s="548"/>
      <c r="Y569" s="548"/>
      <c r="Z569" s="551">
        <f t="shared" ref="Z569:Z579" si="400">(Y569-X569)*24</f>
        <v>0</v>
      </c>
      <c r="AA569" s="550"/>
      <c r="AB569" s="548"/>
      <c r="AC569" s="548"/>
      <c r="AD569" s="551">
        <f t="shared" ref="AD569:AD579" si="401">(AC569-AB569)*24</f>
        <v>0</v>
      </c>
      <c r="AE569" s="24"/>
      <c r="AF569" s="29">
        <f t="shared" ref="AF569:AF579" si="402">J569+F569+N569+R569+V569+Z569+AD569</f>
        <v>15.666666666666668</v>
      </c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</row>
    <row r="570" spans="1:55" s="2" customFormat="1" ht="14.25">
      <c r="A570"/>
      <c r="B570" s="553" t="s">
        <v>54</v>
      </c>
      <c r="C570" s="547" t="s">
        <v>846</v>
      </c>
      <c r="D570" s="548">
        <v>0.375</v>
      </c>
      <c r="E570" s="548">
        <v>0.70833333333333337</v>
      </c>
      <c r="F570" s="549">
        <f t="shared" si="395"/>
        <v>8</v>
      </c>
      <c r="G570" s="550"/>
      <c r="H570" s="548">
        <v>0.375</v>
      </c>
      <c r="I570" s="548">
        <v>0.70833333333333337</v>
      </c>
      <c r="J570" s="551">
        <f t="shared" si="396"/>
        <v>8</v>
      </c>
      <c r="K570" s="550"/>
      <c r="L570" s="552"/>
      <c r="M570" s="548"/>
      <c r="N570" s="551">
        <f t="shared" si="397"/>
        <v>0</v>
      </c>
      <c r="O570" s="550"/>
      <c r="P570" s="548"/>
      <c r="Q570" s="548"/>
      <c r="R570" s="551">
        <f t="shared" si="398"/>
        <v>0</v>
      </c>
      <c r="S570" s="550"/>
      <c r="T570" s="548"/>
      <c r="U570" s="548"/>
      <c r="V570" s="551">
        <f t="shared" si="399"/>
        <v>0</v>
      </c>
      <c r="W570" s="550"/>
      <c r="X570" s="548"/>
      <c r="Y570" s="548"/>
      <c r="Z570" s="551">
        <f t="shared" si="400"/>
        <v>0</v>
      </c>
      <c r="AA570" s="550"/>
      <c r="AB570" s="548"/>
      <c r="AC570" s="548"/>
      <c r="AD570" s="551">
        <f t="shared" si="401"/>
        <v>0</v>
      </c>
      <c r="AE570" s="24"/>
      <c r="AF570" s="29">
        <f t="shared" si="402"/>
        <v>16</v>
      </c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</row>
    <row r="571" spans="1:55" s="2" customFormat="1" ht="14.25">
      <c r="A571"/>
      <c r="B571" s="553" t="s">
        <v>576</v>
      </c>
      <c r="C571" s="547" t="s">
        <v>847</v>
      </c>
      <c r="D571" s="548">
        <v>0.35416666666666669</v>
      </c>
      <c r="E571" s="548">
        <v>0.70833333333333337</v>
      </c>
      <c r="F571" s="549">
        <f t="shared" si="395"/>
        <v>8.5</v>
      </c>
      <c r="G571" s="550"/>
      <c r="H571" s="548"/>
      <c r="I571" s="548"/>
      <c r="J571" s="551">
        <f t="shared" si="396"/>
        <v>0</v>
      </c>
      <c r="K571" s="550"/>
      <c r="L571" s="552"/>
      <c r="M571" s="548"/>
      <c r="N571" s="551">
        <f t="shared" si="397"/>
        <v>0</v>
      </c>
      <c r="O571" s="550"/>
      <c r="P571" s="548"/>
      <c r="Q571" s="548"/>
      <c r="R571" s="551">
        <f t="shared" si="398"/>
        <v>0</v>
      </c>
      <c r="S571" s="550"/>
      <c r="T571" s="548"/>
      <c r="U571" s="548"/>
      <c r="V571" s="551">
        <f t="shared" si="399"/>
        <v>0</v>
      </c>
      <c r="W571" s="550"/>
      <c r="X571" s="548"/>
      <c r="Y571" s="548"/>
      <c r="Z571" s="551">
        <f t="shared" si="400"/>
        <v>0</v>
      </c>
      <c r="AA571" s="550"/>
      <c r="AB571" s="548"/>
      <c r="AC571" s="548"/>
      <c r="AD571" s="551">
        <f t="shared" si="401"/>
        <v>0</v>
      </c>
      <c r="AE571" s="24"/>
      <c r="AF571" s="29">
        <f t="shared" si="402"/>
        <v>8.5</v>
      </c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</row>
    <row r="572" spans="1:55" s="2" customFormat="1" ht="14.25">
      <c r="A572"/>
      <c r="B572" s="553" t="s">
        <v>52</v>
      </c>
      <c r="C572" s="547" t="s">
        <v>848</v>
      </c>
      <c r="D572" s="548">
        <v>0.375</v>
      </c>
      <c r="E572" s="548">
        <v>0.54166666666666663</v>
      </c>
      <c r="F572" s="549">
        <f t="shared" si="395"/>
        <v>3.9999999999999991</v>
      </c>
      <c r="G572" s="550"/>
      <c r="H572" s="548"/>
      <c r="I572" s="548"/>
      <c r="J572" s="551">
        <f t="shared" si="396"/>
        <v>0</v>
      </c>
      <c r="K572" s="550"/>
      <c r="L572" s="552"/>
      <c r="M572" s="548"/>
      <c r="N572" s="551">
        <f t="shared" si="397"/>
        <v>0</v>
      </c>
      <c r="O572" s="550"/>
      <c r="P572" s="548"/>
      <c r="Q572" s="548"/>
      <c r="R572" s="551">
        <f t="shared" si="398"/>
        <v>0</v>
      </c>
      <c r="S572" s="550"/>
      <c r="T572" s="548"/>
      <c r="U572" s="548"/>
      <c r="V572" s="551">
        <f t="shared" si="399"/>
        <v>0</v>
      </c>
      <c r="W572" s="550"/>
      <c r="X572" s="548"/>
      <c r="Y572" s="548"/>
      <c r="Z572" s="551">
        <f t="shared" si="400"/>
        <v>0</v>
      </c>
      <c r="AA572" s="550"/>
      <c r="AB572" s="548"/>
      <c r="AC572" s="548"/>
      <c r="AD572" s="551">
        <f t="shared" si="401"/>
        <v>0</v>
      </c>
      <c r="AE572" s="24"/>
      <c r="AF572" s="29">
        <f t="shared" si="402"/>
        <v>3.9999999999999991</v>
      </c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</row>
    <row r="573" spans="1:55" s="2" customFormat="1" ht="12.75" customHeight="1">
      <c r="A573"/>
      <c r="B573" s="553" t="s">
        <v>810</v>
      </c>
      <c r="C573" s="559" t="s">
        <v>832</v>
      </c>
      <c r="D573" s="548">
        <v>0.375</v>
      </c>
      <c r="E573" s="548">
        <v>0.52083333333333337</v>
      </c>
      <c r="F573" s="549">
        <f t="shared" si="395"/>
        <v>3.5000000000000009</v>
      </c>
      <c r="G573" s="550"/>
      <c r="H573" s="548">
        <v>0.375</v>
      </c>
      <c r="I573" s="548">
        <v>0.6875</v>
      </c>
      <c r="J573" s="551">
        <f t="shared" si="396"/>
        <v>7.5</v>
      </c>
      <c r="K573" s="550"/>
      <c r="L573" s="552"/>
      <c r="M573" s="548"/>
      <c r="N573" s="551">
        <f t="shared" si="397"/>
        <v>0</v>
      </c>
      <c r="O573" s="550"/>
      <c r="P573" s="548">
        <v>0.375</v>
      </c>
      <c r="Q573" s="548">
        <v>0.70833333333333337</v>
      </c>
      <c r="R573" s="551">
        <f t="shared" si="398"/>
        <v>8</v>
      </c>
      <c r="S573" s="550"/>
      <c r="T573" s="548"/>
      <c r="U573" s="548"/>
      <c r="V573" s="551">
        <f t="shared" si="399"/>
        <v>0</v>
      </c>
      <c r="W573" s="550"/>
      <c r="X573" s="548"/>
      <c r="Y573" s="548"/>
      <c r="Z573" s="551">
        <f t="shared" si="400"/>
        <v>0</v>
      </c>
      <c r="AA573" s="550"/>
      <c r="AB573" s="548"/>
      <c r="AC573" s="548"/>
      <c r="AD573" s="551">
        <f t="shared" si="401"/>
        <v>0</v>
      </c>
      <c r="AE573" s="24"/>
      <c r="AF573" s="29">
        <f t="shared" si="402"/>
        <v>19</v>
      </c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</row>
    <row r="574" spans="1:55" s="2" customFormat="1" ht="14.25">
      <c r="A574"/>
      <c r="B574" s="553" t="s">
        <v>42</v>
      </c>
      <c r="C574" s="559" t="s">
        <v>832</v>
      </c>
      <c r="D574" s="548">
        <v>0.375</v>
      </c>
      <c r="E574" s="548">
        <v>0.52083333333333337</v>
      </c>
      <c r="F574" s="549">
        <f t="shared" si="395"/>
        <v>3.5000000000000009</v>
      </c>
      <c r="G574" s="550"/>
      <c r="H574" s="548">
        <v>0.375</v>
      </c>
      <c r="I574" s="548">
        <v>0.66666666666666663</v>
      </c>
      <c r="J574" s="551">
        <f t="shared" si="396"/>
        <v>6.9999999999999991</v>
      </c>
      <c r="K574" s="550"/>
      <c r="L574" s="552">
        <v>0.375</v>
      </c>
      <c r="M574" s="548">
        <v>0.58333333333333337</v>
      </c>
      <c r="N574" s="551">
        <f t="shared" si="397"/>
        <v>5.0000000000000009</v>
      </c>
      <c r="O574" s="550"/>
      <c r="P574" s="548">
        <v>0.375</v>
      </c>
      <c r="Q574" s="548">
        <v>0.70833333333333337</v>
      </c>
      <c r="R574" s="551">
        <f t="shared" si="398"/>
        <v>8</v>
      </c>
      <c r="S574" s="550"/>
      <c r="T574" s="548"/>
      <c r="U574" s="548"/>
      <c r="V574" s="551">
        <f t="shared" si="399"/>
        <v>0</v>
      </c>
      <c r="W574" s="550"/>
      <c r="X574" s="548"/>
      <c r="Y574" s="548"/>
      <c r="Z574" s="551">
        <f t="shared" si="400"/>
        <v>0</v>
      </c>
      <c r="AA574" s="550"/>
      <c r="AB574" s="548"/>
      <c r="AC574" s="548"/>
      <c r="AD574" s="551">
        <f t="shared" si="401"/>
        <v>0</v>
      </c>
      <c r="AE574" s="24"/>
      <c r="AF574" s="29">
        <f t="shared" si="402"/>
        <v>23.5</v>
      </c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</row>
    <row r="575" spans="1:55" s="2" customFormat="1" ht="14.25">
      <c r="A575"/>
      <c r="B575" s="553" t="s">
        <v>572</v>
      </c>
      <c r="C575" s="559" t="s">
        <v>849</v>
      </c>
      <c r="D575" s="548"/>
      <c r="E575" s="548"/>
      <c r="F575" s="549">
        <f t="shared" si="395"/>
        <v>0</v>
      </c>
      <c r="G575" s="550"/>
      <c r="H575" s="548"/>
      <c r="I575" s="548"/>
      <c r="J575" s="551">
        <f t="shared" si="396"/>
        <v>0</v>
      </c>
      <c r="K575" s="550"/>
      <c r="L575" s="552"/>
      <c r="M575" s="548"/>
      <c r="N575" s="551">
        <f t="shared" si="397"/>
        <v>0</v>
      </c>
      <c r="O575" s="550"/>
      <c r="P575" s="548">
        <v>0.33333333333333331</v>
      </c>
      <c r="Q575" s="548">
        <v>0.70833333333333337</v>
      </c>
      <c r="R575" s="551">
        <f t="shared" si="398"/>
        <v>9.0000000000000018</v>
      </c>
      <c r="S575" s="550"/>
      <c r="T575" s="548"/>
      <c r="U575" s="548"/>
      <c r="V575" s="551">
        <f t="shared" si="399"/>
        <v>0</v>
      </c>
      <c r="W575" s="550"/>
      <c r="X575" s="548"/>
      <c r="Y575" s="548"/>
      <c r="Z575" s="551">
        <f t="shared" si="400"/>
        <v>0</v>
      </c>
      <c r="AA575" s="550"/>
      <c r="AB575" s="548"/>
      <c r="AC575" s="548"/>
      <c r="AD575" s="551">
        <f t="shared" si="401"/>
        <v>0</v>
      </c>
      <c r="AE575" s="24"/>
      <c r="AF575" s="29">
        <f t="shared" si="402"/>
        <v>9.0000000000000018</v>
      </c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</row>
    <row r="576" spans="1:55" s="2" customFormat="1" ht="14.25">
      <c r="A576"/>
      <c r="B576" s="553" t="s">
        <v>576</v>
      </c>
      <c r="C576" s="559" t="s">
        <v>849</v>
      </c>
      <c r="D576" s="548"/>
      <c r="E576" s="548"/>
      <c r="F576" s="549">
        <f>(E576-D576)*24</f>
        <v>0</v>
      </c>
      <c r="G576" s="550"/>
      <c r="H576" s="548"/>
      <c r="I576" s="548"/>
      <c r="J576" s="551">
        <f>(I576-H576)*24</f>
        <v>0</v>
      </c>
      <c r="K576" s="550"/>
      <c r="L576" s="552"/>
      <c r="M576" s="548"/>
      <c r="N576" s="551">
        <f>(M576-L576)*24</f>
        <v>0</v>
      </c>
      <c r="O576" s="550"/>
      <c r="P576" s="548">
        <v>0.33333333333333331</v>
      </c>
      <c r="Q576" s="548">
        <v>0.70833333333333337</v>
      </c>
      <c r="R576" s="551">
        <f>(Q576-P576)*24</f>
        <v>9.0000000000000018</v>
      </c>
      <c r="S576" s="550"/>
      <c r="T576" s="548"/>
      <c r="U576" s="548"/>
      <c r="V576" s="551">
        <f>(U576-T576)*24</f>
        <v>0</v>
      </c>
      <c r="W576" s="550"/>
      <c r="X576" s="548"/>
      <c r="Y576" s="548"/>
      <c r="Z576" s="551">
        <f>(Y576-X576)*24</f>
        <v>0</v>
      </c>
      <c r="AA576" s="550"/>
      <c r="AB576" s="548"/>
      <c r="AC576" s="548"/>
      <c r="AD576" s="551">
        <f>(AC576-AB576)*24</f>
        <v>0</v>
      </c>
      <c r="AE576" s="24"/>
      <c r="AF576" s="29">
        <f>J576+F576+N576+R576+V576+Z576+AD576</f>
        <v>9.0000000000000018</v>
      </c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</row>
    <row r="577" spans="1:55" s="2" customFormat="1" ht="14.25">
      <c r="A577"/>
      <c r="B577" s="553" t="s">
        <v>582</v>
      </c>
      <c r="C577" s="547" t="s">
        <v>826</v>
      </c>
      <c r="D577" s="548"/>
      <c r="E577" s="548"/>
      <c r="F577" s="549">
        <f>(E577-D577)*24</f>
        <v>0</v>
      </c>
      <c r="G577" s="550"/>
      <c r="H577" s="548"/>
      <c r="I577" s="548"/>
      <c r="J577" s="551">
        <f>(I577-H577)*24</f>
        <v>0</v>
      </c>
      <c r="K577" s="550"/>
      <c r="L577" s="552">
        <v>0.45833333333333331</v>
      </c>
      <c r="M577" s="548">
        <v>0.75</v>
      </c>
      <c r="N577" s="551">
        <f>(M577-L577)*24</f>
        <v>7</v>
      </c>
      <c r="O577" s="550"/>
      <c r="P577" s="548"/>
      <c r="Q577" s="548"/>
      <c r="R577" s="551">
        <f>(Q577-P577)*24</f>
        <v>0</v>
      </c>
      <c r="S577" s="550"/>
      <c r="T577" s="548"/>
      <c r="U577" s="548"/>
      <c r="V577" s="551">
        <f>(U577-T577)*24</f>
        <v>0</v>
      </c>
      <c r="W577" s="550"/>
      <c r="X577" s="548"/>
      <c r="Y577" s="548"/>
      <c r="Z577" s="551">
        <f>(Y577-X577)*24</f>
        <v>0</v>
      </c>
      <c r="AA577" s="550"/>
      <c r="AB577" s="548"/>
      <c r="AC577" s="548"/>
      <c r="AD577" s="551">
        <f>(AC577-AB577)*24</f>
        <v>0</v>
      </c>
      <c r="AE577" s="24"/>
      <c r="AF577" s="29">
        <f>J577+F577+N577+R577+V577+Z577+AD577</f>
        <v>7</v>
      </c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</row>
    <row r="578" spans="1:55" s="2" customFormat="1" ht="14.25">
      <c r="A578"/>
      <c r="B578" s="272"/>
      <c r="C578" s="637"/>
      <c r="D578" s="548"/>
      <c r="E578" s="548"/>
      <c r="F578" s="549">
        <f>(E578-D578)*24</f>
        <v>0</v>
      </c>
      <c r="G578" s="550"/>
      <c r="H578" s="548"/>
      <c r="I578" s="548"/>
      <c r="J578" s="551">
        <f>(I578-H578)*24</f>
        <v>0</v>
      </c>
      <c r="K578" s="550"/>
      <c r="L578" s="552"/>
      <c r="M578" s="548"/>
      <c r="N578" s="551">
        <f>(M578-L578)*24</f>
        <v>0</v>
      </c>
      <c r="O578" s="550"/>
      <c r="P578" s="548"/>
      <c r="Q578" s="548"/>
      <c r="R578" s="551">
        <f>(Q578-P578)*24</f>
        <v>0</v>
      </c>
      <c r="S578" s="550"/>
      <c r="T578" s="548"/>
      <c r="U578" s="548"/>
      <c r="V578" s="551">
        <f>(U578-T578)*24</f>
        <v>0</v>
      </c>
      <c r="W578" s="550"/>
      <c r="X578" s="548"/>
      <c r="Y578" s="548"/>
      <c r="Z578" s="551">
        <f>(Y578-X578)*24</f>
        <v>0</v>
      </c>
      <c r="AA578" s="550"/>
      <c r="AB578" s="548"/>
      <c r="AC578" s="548"/>
      <c r="AD578" s="551">
        <f>(AC578-AB578)*24</f>
        <v>0</v>
      </c>
      <c r="AE578" s="24"/>
      <c r="AF578" s="29">
        <f>J578+F578+N578+R578+V578+Z578+AD578</f>
        <v>0</v>
      </c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</row>
    <row r="579" spans="1:55" s="2" customFormat="1" ht="14.25">
      <c r="A579"/>
      <c r="B579" s="554" t="s">
        <v>61</v>
      </c>
      <c r="C579" s="554"/>
      <c r="D579" s="548"/>
      <c r="E579" s="548"/>
      <c r="F579" s="549">
        <f t="shared" si="395"/>
        <v>0</v>
      </c>
      <c r="G579" s="550"/>
      <c r="H579" s="548"/>
      <c r="I579" s="548"/>
      <c r="J579" s="551">
        <f t="shared" si="396"/>
        <v>0</v>
      </c>
      <c r="K579" s="550"/>
      <c r="L579" s="552"/>
      <c r="M579" s="548"/>
      <c r="N579" s="551">
        <f t="shared" si="397"/>
        <v>0</v>
      </c>
      <c r="O579" s="550"/>
      <c r="P579" s="548"/>
      <c r="Q579" s="548"/>
      <c r="R579" s="551">
        <f t="shared" si="398"/>
        <v>0</v>
      </c>
      <c r="S579" s="550"/>
      <c r="T579" s="548"/>
      <c r="U579" s="548"/>
      <c r="V579" s="551">
        <f t="shared" si="399"/>
        <v>0</v>
      </c>
      <c r="W579" s="550"/>
      <c r="X579" s="548"/>
      <c r="Y579" s="548"/>
      <c r="Z579" s="551">
        <f t="shared" si="400"/>
        <v>0</v>
      </c>
      <c r="AA579" s="550"/>
      <c r="AB579" s="548"/>
      <c r="AC579" s="548"/>
      <c r="AD579" s="551">
        <f t="shared" si="401"/>
        <v>0</v>
      </c>
      <c r="AE579" s="24"/>
      <c r="AF579" s="29">
        <f t="shared" si="402"/>
        <v>0</v>
      </c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</row>
    <row r="580" spans="1:55" s="2" customFormat="1">
      <c r="A580"/>
      <c r="B580" s="31" t="s">
        <v>577</v>
      </c>
      <c r="C580" s="31"/>
      <c r="D580" s="91"/>
      <c r="E580" s="91"/>
      <c r="F580" s="90"/>
      <c r="G580" s="91"/>
      <c r="H580" s="91"/>
      <c r="I580" s="91"/>
      <c r="J580" s="90"/>
      <c r="K580" s="91"/>
      <c r="L580" s="430"/>
      <c r="M580" s="91"/>
      <c r="N580" s="90"/>
      <c r="O580" s="91"/>
      <c r="P580" s="91"/>
      <c r="Q580" s="91"/>
      <c r="R580" s="90"/>
      <c r="S580" s="91"/>
      <c r="T580" s="91"/>
      <c r="U580" s="91"/>
      <c r="V580" s="90"/>
      <c r="W580" s="91"/>
      <c r="X580" s="91"/>
      <c r="Y580" s="91"/>
      <c r="Z580" s="90"/>
      <c r="AA580" s="91"/>
      <c r="AB580" s="91"/>
      <c r="AC580" s="91"/>
      <c r="AD580" s="91"/>
      <c r="AE580" s="352"/>
      <c r="AF580" s="28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</row>
    <row r="581" spans="1:55" s="2" customFormat="1">
      <c r="A581"/>
      <c r="B581" s="31" t="s">
        <v>578</v>
      </c>
      <c r="C581" s="31"/>
      <c r="D581" s="91"/>
      <c r="E581" s="91"/>
      <c r="F581" s="90"/>
      <c r="G581" s="91"/>
      <c r="H581" s="91"/>
      <c r="I581" s="91"/>
      <c r="J581" s="90"/>
      <c r="K581" s="91"/>
      <c r="L581" s="430"/>
      <c r="M581" s="91"/>
      <c r="N581" s="90"/>
      <c r="O581" s="91"/>
      <c r="P581" s="91"/>
      <c r="Q581" s="91"/>
      <c r="R581" s="90"/>
      <c r="S581" s="91"/>
      <c r="T581" s="91"/>
      <c r="U581" s="91"/>
      <c r="V581" s="90"/>
      <c r="W581" s="91"/>
      <c r="X581" s="91"/>
      <c r="Y581" s="91"/>
      <c r="Z581" s="90"/>
      <c r="AA581" s="91"/>
      <c r="AB581" s="91"/>
      <c r="AC581" s="91"/>
      <c r="AD581" s="91"/>
      <c r="AE581" s="352"/>
      <c r="AF581" s="28">
        <f>SUM(D581:AD581)</f>
        <v>0</v>
      </c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</row>
    <row r="582" spans="1:55" s="2" customFormat="1" ht="14.25" thickBot="1">
      <c r="A582"/>
      <c r="B582" s="74" t="s">
        <v>579</v>
      </c>
      <c r="C582" s="74"/>
      <c r="D582" s="95"/>
      <c r="E582" s="95"/>
      <c r="F582" s="96"/>
      <c r="G582" s="95"/>
      <c r="H582" s="95"/>
      <c r="I582" s="95"/>
      <c r="J582" s="96"/>
      <c r="K582" s="95"/>
      <c r="L582" s="431"/>
      <c r="M582" s="95"/>
      <c r="N582" s="96"/>
      <c r="O582" s="95"/>
      <c r="P582" s="95"/>
      <c r="Q582" s="95"/>
      <c r="R582" s="96"/>
      <c r="S582" s="95"/>
      <c r="T582" s="95"/>
      <c r="U582" s="95"/>
      <c r="V582" s="96"/>
      <c r="W582" s="97"/>
      <c r="X582" s="97"/>
      <c r="Y582" s="97"/>
      <c r="Z582" s="96"/>
      <c r="AA582" s="97"/>
      <c r="AB582" s="97"/>
      <c r="AC582" s="97"/>
      <c r="AD582" s="97"/>
      <c r="AE582" s="97"/>
      <c r="AF582" s="80">
        <f>SUM(D582:AD582)</f>
        <v>0</v>
      </c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</row>
    <row r="583" spans="1:55" s="2" customFormat="1" ht="14.25" thickTop="1">
      <c r="A583"/>
      <c r="B583" s="1518" t="s">
        <v>18</v>
      </c>
      <c r="C583" s="1528" t="s">
        <v>571</v>
      </c>
      <c r="D583" s="1524">
        <v>45537</v>
      </c>
      <c r="E583" s="1524"/>
      <c r="F583" s="1524"/>
      <c r="G583" s="22"/>
      <c r="H583" s="1524">
        <f>D583+1</f>
        <v>45538</v>
      </c>
      <c r="I583" s="1524"/>
      <c r="J583" s="1524"/>
      <c r="K583" s="22"/>
      <c r="L583" s="1524">
        <f>H583+1</f>
        <v>45539</v>
      </c>
      <c r="M583" s="1524"/>
      <c r="N583" s="1524"/>
      <c r="O583" s="3"/>
      <c r="P583" s="1524">
        <f>L583+1</f>
        <v>45540</v>
      </c>
      <c r="Q583" s="1524"/>
      <c r="R583" s="1524"/>
      <c r="S583" s="3"/>
      <c r="T583" s="1524">
        <f>P583+1</f>
        <v>45541</v>
      </c>
      <c r="U583" s="1524"/>
      <c r="V583" s="1524"/>
      <c r="W583" s="22"/>
      <c r="X583" s="1524">
        <f>T583+1</f>
        <v>45542</v>
      </c>
      <c r="Y583" s="1524"/>
      <c r="Z583" s="1524"/>
      <c r="AA583" s="3"/>
      <c r="AB583" s="1524">
        <f>X583+1</f>
        <v>45543</v>
      </c>
      <c r="AC583" s="1524"/>
      <c r="AD583" s="1524"/>
      <c r="AE583" s="22"/>
      <c r="AF583" s="1517" t="s">
        <v>19</v>
      </c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</row>
    <row r="584" spans="1:55" s="2" customFormat="1">
      <c r="A584"/>
      <c r="B584" s="1518"/>
      <c r="C584" s="1528"/>
      <c r="D584" s="21" t="s">
        <v>23</v>
      </c>
      <c r="E584" s="21" t="s">
        <v>24</v>
      </c>
      <c r="F584" s="62" t="s">
        <v>25</v>
      </c>
      <c r="G584" s="23"/>
      <c r="H584" s="21" t="s">
        <v>23</v>
      </c>
      <c r="I584" s="21" t="s">
        <v>24</v>
      </c>
      <c r="J584" s="18" t="s">
        <v>25</v>
      </c>
      <c r="K584" s="23"/>
      <c r="L584" s="21" t="s">
        <v>23</v>
      </c>
      <c r="M584" s="21" t="s">
        <v>24</v>
      </c>
      <c r="N584" s="18" t="s">
        <v>25</v>
      </c>
      <c r="O584" s="23"/>
      <c r="P584" s="21" t="s">
        <v>23</v>
      </c>
      <c r="Q584" s="21" t="s">
        <v>24</v>
      </c>
      <c r="R584" s="18" t="s">
        <v>25</v>
      </c>
      <c r="S584" s="23"/>
      <c r="T584" s="21" t="s">
        <v>23</v>
      </c>
      <c r="U584" s="21" t="s">
        <v>24</v>
      </c>
      <c r="V584" s="18" t="s">
        <v>25</v>
      </c>
      <c r="W584" s="23"/>
      <c r="X584" s="21" t="s">
        <v>23</v>
      </c>
      <c r="Y584" s="21" t="s">
        <v>24</v>
      </c>
      <c r="Z584" s="18" t="s">
        <v>25</v>
      </c>
      <c r="AA584" s="23"/>
      <c r="AB584" s="21" t="s">
        <v>23</v>
      </c>
      <c r="AC584" s="21" t="s">
        <v>24</v>
      </c>
      <c r="AD584" s="18" t="s">
        <v>25</v>
      </c>
      <c r="AE584" s="23"/>
      <c r="AF584" s="1517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</row>
    <row r="585" spans="1:55" s="2" customFormat="1" ht="14.25">
      <c r="A585"/>
      <c r="B585" s="553" t="s">
        <v>54</v>
      </c>
      <c r="C585" s="547" t="s">
        <v>850</v>
      </c>
      <c r="D585" s="548"/>
      <c r="E585" s="548"/>
      <c r="F585" s="549">
        <f t="shared" ref="F585:F605" si="403">(E585-D585)*24</f>
        <v>0</v>
      </c>
      <c r="G585" s="550"/>
      <c r="H585" s="548">
        <v>0.375</v>
      </c>
      <c r="I585" s="548">
        <v>0.6875</v>
      </c>
      <c r="J585" s="551">
        <f t="shared" ref="J585:J605" si="404">(I585-H585)*24</f>
        <v>7.5</v>
      </c>
      <c r="K585" s="550"/>
      <c r="L585" s="552">
        <v>0.38541666666666669</v>
      </c>
      <c r="M585" s="548">
        <v>0.65416666666666667</v>
      </c>
      <c r="N585" s="551">
        <f t="shared" ref="N585:N605" si="405">(M585-L585)*24</f>
        <v>6.4499999999999993</v>
      </c>
      <c r="O585" s="550"/>
      <c r="P585" s="548"/>
      <c r="Q585" s="548"/>
      <c r="R585" s="551">
        <f t="shared" ref="R585:R605" si="406">(Q585-P585)*24</f>
        <v>0</v>
      </c>
      <c r="S585" s="550"/>
      <c r="T585" s="548"/>
      <c r="U585" s="548"/>
      <c r="V585" s="551">
        <f t="shared" ref="V585:V605" si="407">(U585-T585)*24</f>
        <v>0</v>
      </c>
      <c r="W585" s="550"/>
      <c r="X585" s="548"/>
      <c r="Y585" s="548"/>
      <c r="Z585" s="551">
        <f t="shared" ref="Z585:Z605" si="408">(Y585-X585)*24</f>
        <v>0</v>
      </c>
      <c r="AA585" s="550"/>
      <c r="AB585" s="548"/>
      <c r="AC585" s="548"/>
      <c r="AD585" s="551">
        <f t="shared" ref="AD585:AD605" si="409">(AC585-AB585)*24</f>
        <v>0</v>
      </c>
      <c r="AE585" s="24"/>
      <c r="AF585" s="29">
        <f t="shared" ref="AF585:AF605" si="410">J585+F585+N585+R585+V585+Z585+AD585</f>
        <v>13.95</v>
      </c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</row>
    <row r="586" spans="1:55" s="2" customFormat="1" ht="14.25">
      <c r="A586"/>
      <c r="B586" s="553" t="s">
        <v>572</v>
      </c>
      <c r="C586" s="547" t="s">
        <v>850</v>
      </c>
      <c r="D586" s="548"/>
      <c r="E586" s="548"/>
      <c r="F586" s="549">
        <f t="shared" si="403"/>
        <v>0</v>
      </c>
      <c r="G586" s="550"/>
      <c r="H586" s="548">
        <v>0.375</v>
      </c>
      <c r="I586" s="548">
        <v>0.6875</v>
      </c>
      <c r="J586" s="551">
        <f t="shared" si="404"/>
        <v>7.5</v>
      </c>
      <c r="K586" s="550"/>
      <c r="L586" s="552">
        <v>0.375</v>
      </c>
      <c r="M586" s="548">
        <v>0.65416666666666667</v>
      </c>
      <c r="N586" s="551">
        <f t="shared" si="405"/>
        <v>6.7</v>
      </c>
      <c r="O586" s="550"/>
      <c r="P586" s="548"/>
      <c r="Q586" s="548"/>
      <c r="R586" s="551">
        <f t="shared" si="406"/>
        <v>0</v>
      </c>
      <c r="S586" s="550"/>
      <c r="T586" s="548"/>
      <c r="U586" s="548"/>
      <c r="V586" s="551">
        <f t="shared" si="407"/>
        <v>0</v>
      </c>
      <c r="W586" s="550"/>
      <c r="X586" s="548"/>
      <c r="Y586" s="548"/>
      <c r="Z586" s="551">
        <f t="shared" si="408"/>
        <v>0</v>
      </c>
      <c r="AA586" s="550"/>
      <c r="AB586" s="548"/>
      <c r="AC586" s="548"/>
      <c r="AD586" s="551">
        <f t="shared" si="409"/>
        <v>0</v>
      </c>
      <c r="AE586" s="24"/>
      <c r="AF586" s="29">
        <f t="shared" si="410"/>
        <v>14.2</v>
      </c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</row>
    <row r="587" spans="1:55" s="2" customFormat="1" ht="14.25">
      <c r="A587"/>
      <c r="B587" s="553" t="s">
        <v>810</v>
      </c>
      <c r="C587" s="547" t="s">
        <v>850</v>
      </c>
      <c r="D587" s="548"/>
      <c r="E587" s="548"/>
      <c r="F587" s="549">
        <f t="shared" si="403"/>
        <v>0</v>
      </c>
      <c r="G587" s="550"/>
      <c r="H587" s="548">
        <v>0.375</v>
      </c>
      <c r="I587" s="548">
        <v>0.6875</v>
      </c>
      <c r="J587" s="551">
        <f t="shared" si="404"/>
        <v>7.5</v>
      </c>
      <c r="K587" s="550"/>
      <c r="L587" s="552"/>
      <c r="M587" s="548"/>
      <c r="N587" s="551">
        <f t="shared" si="405"/>
        <v>0</v>
      </c>
      <c r="O587" s="550"/>
      <c r="P587" s="548"/>
      <c r="Q587" s="548"/>
      <c r="R587" s="551">
        <f t="shared" si="406"/>
        <v>0</v>
      </c>
      <c r="S587" s="550"/>
      <c r="T587" s="548"/>
      <c r="U587" s="548"/>
      <c r="V587" s="551">
        <f t="shared" si="407"/>
        <v>0</v>
      </c>
      <c r="W587" s="550"/>
      <c r="X587" s="548"/>
      <c r="Y587" s="548"/>
      <c r="Z587" s="551">
        <f t="shared" si="408"/>
        <v>0</v>
      </c>
      <c r="AA587" s="550"/>
      <c r="AB587" s="548"/>
      <c r="AC587" s="548"/>
      <c r="AD587" s="551">
        <f t="shared" si="409"/>
        <v>0</v>
      </c>
      <c r="AE587" s="24"/>
      <c r="AF587" s="29">
        <f t="shared" si="410"/>
        <v>7.5</v>
      </c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</row>
    <row r="588" spans="1:55" s="2" customFormat="1" ht="14.25">
      <c r="A588"/>
      <c r="B588" s="553" t="s">
        <v>42</v>
      </c>
      <c r="C588" s="547" t="s">
        <v>850</v>
      </c>
      <c r="D588" s="548"/>
      <c r="E588" s="548"/>
      <c r="F588" s="549">
        <f t="shared" si="403"/>
        <v>0</v>
      </c>
      <c r="G588" s="550"/>
      <c r="H588" s="548">
        <v>0.375</v>
      </c>
      <c r="I588" s="548">
        <v>0.6875</v>
      </c>
      <c r="J588" s="551">
        <f t="shared" si="404"/>
        <v>7.5</v>
      </c>
      <c r="K588" s="550"/>
      <c r="L588" s="552">
        <v>0.38472222222222224</v>
      </c>
      <c r="M588" s="548">
        <v>0.65416666666666667</v>
      </c>
      <c r="N588" s="551">
        <f t="shared" si="405"/>
        <v>6.4666666666666668</v>
      </c>
      <c r="O588" s="550"/>
      <c r="P588" s="548"/>
      <c r="Q588" s="548"/>
      <c r="R588" s="551">
        <f t="shared" si="406"/>
        <v>0</v>
      </c>
      <c r="S588" s="550"/>
      <c r="T588" s="548"/>
      <c r="U588" s="548"/>
      <c r="V588" s="551">
        <f t="shared" si="407"/>
        <v>0</v>
      </c>
      <c r="W588" s="550"/>
      <c r="X588" s="548"/>
      <c r="Y588" s="548"/>
      <c r="Z588" s="551">
        <f t="shared" si="408"/>
        <v>0</v>
      </c>
      <c r="AA588" s="550"/>
      <c r="AB588" s="548"/>
      <c r="AC588" s="548"/>
      <c r="AD588" s="551">
        <f t="shared" si="409"/>
        <v>0</v>
      </c>
      <c r="AE588" s="24"/>
      <c r="AF588" s="29">
        <f t="shared" si="410"/>
        <v>13.966666666666667</v>
      </c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</row>
    <row r="589" spans="1:55" s="2" customFormat="1" ht="14.25">
      <c r="A589"/>
      <c r="B589" s="553" t="s">
        <v>54</v>
      </c>
      <c r="C589" s="547" t="s">
        <v>851</v>
      </c>
      <c r="D589" s="548"/>
      <c r="E589" s="548"/>
      <c r="F589" s="549">
        <f>(E589-D589)*24</f>
        <v>0</v>
      </c>
      <c r="G589" s="550"/>
      <c r="H589" s="548"/>
      <c r="I589" s="548"/>
      <c r="J589" s="551">
        <f>(I589-H589)*24</f>
        <v>0</v>
      </c>
      <c r="K589" s="550"/>
      <c r="L589" s="552"/>
      <c r="M589" s="548"/>
      <c r="N589" s="551">
        <f>(M589-L589)*24</f>
        <v>0</v>
      </c>
      <c r="O589" s="550"/>
      <c r="P589" s="548">
        <v>0.375</v>
      </c>
      <c r="Q589" s="548">
        <v>0.75</v>
      </c>
      <c r="R589" s="551">
        <f>(Q589-P589)*24</f>
        <v>9</v>
      </c>
      <c r="S589" s="550"/>
      <c r="T589" s="548">
        <v>0.38194444444444442</v>
      </c>
      <c r="U589" s="548">
        <v>0.64583333333333337</v>
      </c>
      <c r="V589" s="551">
        <f>(U589-T589)*24</f>
        <v>6.3333333333333348</v>
      </c>
      <c r="W589" s="550"/>
      <c r="X589" s="548"/>
      <c r="Y589" s="548"/>
      <c r="Z589" s="551">
        <f>(Y589-X589)*24</f>
        <v>0</v>
      </c>
      <c r="AA589" s="550"/>
      <c r="AB589" s="548"/>
      <c r="AC589" s="548"/>
      <c r="AD589" s="551">
        <f>(AC589-AB589)*24</f>
        <v>0</v>
      </c>
      <c r="AE589" s="24"/>
      <c r="AF589" s="29">
        <f>J589+F589+N589+R589+V589+Z589+AD589</f>
        <v>15.333333333333336</v>
      </c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</row>
    <row r="590" spans="1:55" s="2" customFormat="1" ht="14.25">
      <c r="A590"/>
      <c r="B590" s="553" t="s">
        <v>572</v>
      </c>
      <c r="C590" s="547" t="s">
        <v>851</v>
      </c>
      <c r="D590" s="548"/>
      <c r="E590" s="548"/>
      <c r="F590" s="549">
        <f>(E590-D590)*24</f>
        <v>0</v>
      </c>
      <c r="G590" s="550"/>
      <c r="H590" s="548"/>
      <c r="I590" s="548"/>
      <c r="J590" s="551">
        <f>(I590-H590)*24</f>
        <v>0</v>
      </c>
      <c r="K590" s="550"/>
      <c r="L590" s="552"/>
      <c r="M590" s="548"/>
      <c r="N590" s="551">
        <f>(M590-L590)*24</f>
        <v>0</v>
      </c>
      <c r="O590" s="550"/>
      <c r="P590" s="548">
        <v>0.375</v>
      </c>
      <c r="Q590" s="548">
        <v>0.75</v>
      </c>
      <c r="R590" s="551">
        <f>(Q590-P590)*24</f>
        <v>9</v>
      </c>
      <c r="S590" s="550"/>
      <c r="T590" s="548"/>
      <c r="U590" s="548"/>
      <c r="V590" s="551">
        <f>(U590-T590)*24</f>
        <v>0</v>
      </c>
      <c r="W590" s="550"/>
      <c r="X590" s="548"/>
      <c r="Y590" s="548"/>
      <c r="Z590" s="551">
        <f>(Y590-X590)*24</f>
        <v>0</v>
      </c>
      <c r="AA590" s="550"/>
      <c r="AB590" s="548"/>
      <c r="AC590" s="548"/>
      <c r="AD590" s="551">
        <f>(AC590-AB590)*24</f>
        <v>0</v>
      </c>
      <c r="AE590" s="24"/>
      <c r="AF590" s="29">
        <f>J590+F590+N590+R590+V590+Z590+AD590</f>
        <v>9</v>
      </c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</row>
    <row r="591" spans="1:55" s="2" customFormat="1" ht="14.25">
      <c r="A591"/>
      <c r="B591" s="553" t="s">
        <v>576</v>
      </c>
      <c r="C591" s="547" t="s">
        <v>851</v>
      </c>
      <c r="D591" s="548"/>
      <c r="E591" s="548"/>
      <c r="F591" s="549">
        <f t="shared" si="403"/>
        <v>0</v>
      </c>
      <c r="G591" s="550"/>
      <c r="H591" s="548"/>
      <c r="I591" s="548"/>
      <c r="J591" s="551">
        <f t="shared" si="404"/>
        <v>0</v>
      </c>
      <c r="K591" s="550"/>
      <c r="L591" s="552"/>
      <c r="M591" s="548"/>
      <c r="N591" s="551">
        <f>(M591-L591)*24</f>
        <v>0</v>
      </c>
      <c r="O591" s="550"/>
      <c r="P591" s="548">
        <v>0.375</v>
      </c>
      <c r="Q591" s="548">
        <v>0.75</v>
      </c>
      <c r="R591" s="551">
        <f t="shared" si="406"/>
        <v>9</v>
      </c>
      <c r="S591" s="550"/>
      <c r="T591" s="548">
        <v>0.39583333333333331</v>
      </c>
      <c r="U591" s="548">
        <v>0.64583333333333337</v>
      </c>
      <c r="V591" s="551">
        <f t="shared" si="407"/>
        <v>6.0000000000000018</v>
      </c>
      <c r="W591" s="550"/>
      <c r="X591" s="548"/>
      <c r="Y591" s="548"/>
      <c r="Z591" s="551">
        <f t="shared" si="408"/>
        <v>0</v>
      </c>
      <c r="AA591" s="550"/>
      <c r="AB591" s="548"/>
      <c r="AC591" s="548"/>
      <c r="AD591" s="551">
        <f t="shared" si="409"/>
        <v>0</v>
      </c>
      <c r="AE591" s="24"/>
      <c r="AF591" s="29">
        <f t="shared" si="410"/>
        <v>15.000000000000002</v>
      </c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</row>
    <row r="592" spans="1:55" s="2" customFormat="1" ht="14.25">
      <c r="A592"/>
      <c r="B592" s="553" t="s">
        <v>810</v>
      </c>
      <c r="C592" s="547" t="s">
        <v>851</v>
      </c>
      <c r="D592" s="548"/>
      <c r="E592" s="548"/>
      <c r="F592" s="549">
        <f t="shared" si="403"/>
        <v>0</v>
      </c>
      <c r="G592" s="550"/>
      <c r="H592" s="548"/>
      <c r="I592" s="548"/>
      <c r="J592" s="551">
        <f t="shared" si="404"/>
        <v>0</v>
      </c>
      <c r="K592" s="550"/>
      <c r="L592" s="552"/>
      <c r="M592" s="548"/>
      <c r="N592" s="551">
        <f t="shared" si="405"/>
        <v>0</v>
      </c>
      <c r="O592" s="550"/>
      <c r="P592" s="548">
        <v>0.375</v>
      </c>
      <c r="Q592" s="548">
        <v>0.75</v>
      </c>
      <c r="R592" s="551">
        <f t="shared" si="406"/>
        <v>9</v>
      </c>
      <c r="S592" s="550"/>
      <c r="T592" s="548"/>
      <c r="U592" s="548"/>
      <c r="V592" s="551">
        <f t="shared" si="407"/>
        <v>0</v>
      </c>
      <c r="W592" s="550"/>
      <c r="X592" s="548"/>
      <c r="Y592" s="548"/>
      <c r="Z592" s="551">
        <f t="shared" si="408"/>
        <v>0</v>
      </c>
      <c r="AA592" s="550"/>
      <c r="AB592" s="548"/>
      <c r="AC592" s="548"/>
      <c r="AD592" s="551">
        <f t="shared" si="409"/>
        <v>0</v>
      </c>
      <c r="AE592" s="24"/>
      <c r="AF592" s="29">
        <f t="shared" si="410"/>
        <v>9</v>
      </c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</row>
    <row r="593" spans="1:55" s="2" customFormat="1" ht="14.25">
      <c r="A593"/>
      <c r="B593" s="553" t="s">
        <v>42</v>
      </c>
      <c r="C593" s="547" t="s">
        <v>851</v>
      </c>
      <c r="D593" s="548"/>
      <c r="E593" s="548"/>
      <c r="F593" s="549">
        <f>(E593-D593)*24</f>
        <v>0</v>
      </c>
      <c r="G593" s="550"/>
      <c r="H593" s="548"/>
      <c r="I593" s="548"/>
      <c r="J593" s="551">
        <f>(I593-H593)*24</f>
        <v>0</v>
      </c>
      <c r="K593" s="550"/>
      <c r="L593" s="552"/>
      <c r="M593" s="548"/>
      <c r="N593" s="551">
        <f>(M593-L593)*24</f>
        <v>0</v>
      </c>
      <c r="O593" s="550"/>
      <c r="P593" s="548">
        <v>0.375</v>
      </c>
      <c r="Q593" s="548">
        <v>0.75</v>
      </c>
      <c r="R593" s="551">
        <f>(Q593-P593)*24</f>
        <v>9</v>
      </c>
      <c r="S593" s="550"/>
      <c r="T593" s="548">
        <v>0.39583333333333331</v>
      </c>
      <c r="U593" s="548">
        <v>0.64583333333333337</v>
      </c>
      <c r="V593" s="551">
        <f>(U593-T593)*24</f>
        <v>6.0000000000000018</v>
      </c>
      <c r="W593" s="550"/>
      <c r="X593" s="548"/>
      <c r="Y593" s="548"/>
      <c r="Z593" s="551">
        <f>(Y593-X593)*24</f>
        <v>0</v>
      </c>
      <c r="AA593" s="550"/>
      <c r="AB593" s="548"/>
      <c r="AC593" s="548"/>
      <c r="AD593" s="551">
        <f>(AC593-AB593)*24</f>
        <v>0</v>
      </c>
      <c r="AE593" s="24"/>
      <c r="AF593" s="29">
        <f>J593+F593+N593+R593+V593+Z593+AD593</f>
        <v>15.000000000000002</v>
      </c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</row>
    <row r="594" spans="1:55" s="2" customFormat="1" ht="14.25">
      <c r="A594"/>
      <c r="B594" s="553" t="s">
        <v>52</v>
      </c>
      <c r="C594" s="547" t="s">
        <v>851</v>
      </c>
      <c r="D594" s="548"/>
      <c r="E594" s="548"/>
      <c r="F594" s="549">
        <f>(E594-D594)*24</f>
        <v>0</v>
      </c>
      <c r="G594" s="550"/>
      <c r="H594" s="548"/>
      <c r="I594" s="548"/>
      <c r="J594" s="551">
        <f>(I594-H594)*24</f>
        <v>0</v>
      </c>
      <c r="K594" s="550"/>
      <c r="L594" s="552"/>
      <c r="M594" s="548"/>
      <c r="N594" s="551">
        <f>(M594-L594)*24</f>
        <v>0</v>
      </c>
      <c r="O594" s="550"/>
      <c r="P594" s="548">
        <v>0.375</v>
      </c>
      <c r="Q594" s="548">
        <v>0.75</v>
      </c>
      <c r="R594" s="551">
        <f>(Q594-P594)*24</f>
        <v>9</v>
      </c>
      <c r="S594" s="550"/>
      <c r="T594" s="548">
        <v>0.39583333333333331</v>
      </c>
      <c r="U594" s="548">
        <v>0.64583333333333337</v>
      </c>
      <c r="V594" s="551">
        <f>(U594-T594)*24</f>
        <v>6.0000000000000018</v>
      </c>
      <c r="W594" s="550"/>
      <c r="X594" s="548"/>
      <c r="Y594" s="548"/>
      <c r="Z594" s="551">
        <f>(Y594-X594)*24</f>
        <v>0</v>
      </c>
      <c r="AA594" s="550"/>
      <c r="AB594" s="548"/>
      <c r="AC594" s="548"/>
      <c r="AD594" s="551">
        <f>(AC594-AB594)*24</f>
        <v>0</v>
      </c>
      <c r="AE594" s="24"/>
      <c r="AF594" s="29">
        <f>J594+F594+N594+R594+V594+Z594+AD594</f>
        <v>15.000000000000002</v>
      </c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</row>
    <row r="595" spans="1:55" s="2" customFormat="1" ht="14.25">
      <c r="A595"/>
      <c r="B595" s="553" t="s">
        <v>810</v>
      </c>
      <c r="C595" s="547" t="s">
        <v>832</v>
      </c>
      <c r="D595" s="548"/>
      <c r="E595" s="548"/>
      <c r="F595" s="549">
        <f t="shared" si="403"/>
        <v>0</v>
      </c>
      <c r="G595" s="550"/>
      <c r="H595" s="548"/>
      <c r="I595" s="548"/>
      <c r="J595" s="551">
        <f t="shared" si="404"/>
        <v>0</v>
      </c>
      <c r="K595" s="550"/>
      <c r="L595" s="552">
        <v>0.375</v>
      </c>
      <c r="M595" s="548">
        <v>0.70833333333333337</v>
      </c>
      <c r="N595" s="551">
        <f t="shared" si="405"/>
        <v>8</v>
      </c>
      <c r="O595" s="550"/>
      <c r="P595" s="548"/>
      <c r="Q595" s="548"/>
      <c r="R595" s="551">
        <f t="shared" si="406"/>
        <v>0</v>
      </c>
      <c r="S595" s="550"/>
      <c r="T595" s="548"/>
      <c r="U595" s="548"/>
      <c r="V595" s="551">
        <f t="shared" si="407"/>
        <v>0</v>
      </c>
      <c r="W595" s="550"/>
      <c r="X595" s="548"/>
      <c r="Y595" s="548"/>
      <c r="Z595" s="551">
        <f t="shared" si="408"/>
        <v>0</v>
      </c>
      <c r="AA595" s="550"/>
      <c r="AB595" s="548"/>
      <c r="AC595" s="548"/>
      <c r="AD595" s="551">
        <f t="shared" si="409"/>
        <v>0</v>
      </c>
      <c r="AE595" s="24"/>
      <c r="AF595" s="29">
        <f t="shared" si="410"/>
        <v>8</v>
      </c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</row>
    <row r="596" spans="1:55" s="2" customFormat="1" ht="14.25">
      <c r="A596"/>
      <c r="B596" s="553" t="s">
        <v>852</v>
      </c>
      <c r="C596" s="641">
        <v>7024040018</v>
      </c>
      <c r="D596" s="548"/>
      <c r="E596" s="548"/>
      <c r="F596" s="549">
        <f t="shared" ref="F596:F604" si="411">(E596-D596)*24</f>
        <v>0</v>
      </c>
      <c r="G596" s="550"/>
      <c r="H596" s="548"/>
      <c r="I596" s="548"/>
      <c r="J596" s="551">
        <f t="shared" ref="J596:J604" si="412">(I596-H596)*24</f>
        <v>0</v>
      </c>
      <c r="K596" s="550"/>
      <c r="L596" s="552"/>
      <c r="M596" s="548"/>
      <c r="N596" s="551">
        <f t="shared" ref="N596:N604" si="413">(M596-L596)*24</f>
        <v>0</v>
      </c>
      <c r="O596" s="550"/>
      <c r="P596" s="548"/>
      <c r="Q596" s="548"/>
      <c r="R596" s="551">
        <f t="shared" ref="R596:R603" si="414">(Q596-P596)*24</f>
        <v>0</v>
      </c>
      <c r="S596" s="550"/>
      <c r="T596" s="548"/>
      <c r="U596" s="548"/>
      <c r="V596" s="551">
        <f t="shared" ref="V596:V604" si="415">(U596-T596)*24</f>
        <v>0</v>
      </c>
      <c r="W596" s="550"/>
      <c r="X596" s="548"/>
      <c r="Y596" s="548"/>
      <c r="Z596" s="551">
        <f t="shared" ref="Z596:Z604" si="416">(Y596-X596)*24</f>
        <v>0</v>
      </c>
      <c r="AA596" s="550"/>
      <c r="AB596" s="548"/>
      <c r="AC596" s="548"/>
      <c r="AD596" s="551">
        <f t="shared" ref="AD596:AD603" si="417">(AC596-AB596)*24</f>
        <v>0</v>
      </c>
      <c r="AE596" s="24"/>
      <c r="AF596" s="29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</row>
    <row r="597" spans="1:55" s="2" customFormat="1" ht="14.25">
      <c r="A597"/>
      <c r="B597" s="553" t="s">
        <v>653</v>
      </c>
      <c r="C597" s="641">
        <v>7024040018</v>
      </c>
      <c r="D597" s="548"/>
      <c r="E597" s="548"/>
      <c r="F597" s="549">
        <f t="shared" si="411"/>
        <v>0</v>
      </c>
      <c r="G597" s="550"/>
      <c r="H597" s="548"/>
      <c r="I597" s="548"/>
      <c r="J597" s="551">
        <f t="shared" si="412"/>
        <v>0</v>
      </c>
      <c r="K597" s="550"/>
      <c r="L597" s="552"/>
      <c r="M597" s="548"/>
      <c r="N597" s="551">
        <f t="shared" si="413"/>
        <v>0</v>
      </c>
      <c r="O597" s="550"/>
      <c r="P597" s="548"/>
      <c r="Q597" s="548"/>
      <c r="R597" s="551">
        <f t="shared" si="414"/>
        <v>0</v>
      </c>
      <c r="S597" s="550"/>
      <c r="T597" s="548"/>
      <c r="U597" s="548"/>
      <c r="V597" s="551">
        <f t="shared" si="415"/>
        <v>0</v>
      </c>
      <c r="W597" s="550"/>
      <c r="X597" s="548"/>
      <c r="Y597" s="548"/>
      <c r="Z597" s="551">
        <f t="shared" si="416"/>
        <v>0</v>
      </c>
      <c r="AA597" s="550"/>
      <c r="AB597" s="548"/>
      <c r="AC597" s="548"/>
      <c r="AD597" s="551">
        <f t="shared" si="417"/>
        <v>0</v>
      </c>
      <c r="AE597" s="24"/>
      <c r="AF597" s="29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</row>
    <row r="598" spans="1:55" s="2" customFormat="1" ht="14.25">
      <c r="A598"/>
      <c r="B598" s="553" t="s">
        <v>52</v>
      </c>
      <c r="C598" s="641">
        <v>7024040018</v>
      </c>
      <c r="D598" s="548"/>
      <c r="E598" s="548"/>
      <c r="F598" s="549">
        <f t="shared" si="411"/>
        <v>0</v>
      </c>
      <c r="G598" s="550"/>
      <c r="H598" s="548"/>
      <c r="I598" s="548"/>
      <c r="J598" s="551">
        <f t="shared" si="412"/>
        <v>0</v>
      </c>
      <c r="K598" s="550"/>
      <c r="L598" s="552"/>
      <c r="M598" s="548"/>
      <c r="N598" s="551">
        <f t="shared" si="413"/>
        <v>0</v>
      </c>
      <c r="O598" s="550"/>
      <c r="P598" s="548"/>
      <c r="Q598" s="548"/>
      <c r="R598" s="551">
        <f t="shared" si="414"/>
        <v>0</v>
      </c>
      <c r="S598" s="550"/>
      <c r="T598" s="548"/>
      <c r="U598" s="548"/>
      <c r="V598" s="551">
        <f t="shared" si="415"/>
        <v>0</v>
      </c>
      <c r="W598" s="550"/>
      <c r="X598" s="548"/>
      <c r="Y598" s="548"/>
      <c r="Z598" s="551">
        <f t="shared" si="416"/>
        <v>0</v>
      </c>
      <c r="AA598" s="550"/>
      <c r="AB598" s="548"/>
      <c r="AC598" s="548"/>
      <c r="AD598" s="551">
        <f t="shared" si="417"/>
        <v>0</v>
      </c>
      <c r="AE598" s="24"/>
      <c r="AF598" s="29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</row>
    <row r="599" spans="1:55" s="2" customFormat="1" ht="14.25">
      <c r="A599"/>
      <c r="B599" s="553" t="s">
        <v>572</v>
      </c>
      <c r="C599" s="641" t="s">
        <v>853</v>
      </c>
      <c r="D599" s="548"/>
      <c r="E599" s="548"/>
      <c r="F599" s="549">
        <f t="shared" si="411"/>
        <v>0</v>
      </c>
      <c r="G599" s="550"/>
      <c r="H599" s="548"/>
      <c r="I599" s="548"/>
      <c r="J599" s="551">
        <f t="shared" si="412"/>
        <v>0</v>
      </c>
      <c r="K599" s="550"/>
      <c r="L599" s="552"/>
      <c r="M599" s="548"/>
      <c r="N599" s="551">
        <f t="shared" si="413"/>
        <v>0</v>
      </c>
      <c r="O599" s="550"/>
      <c r="P599" s="548"/>
      <c r="Q599" s="548"/>
      <c r="R599" s="551">
        <f t="shared" si="414"/>
        <v>0</v>
      </c>
      <c r="S599" s="550"/>
      <c r="T599" s="548"/>
      <c r="U599" s="548"/>
      <c r="V599" s="551">
        <f t="shared" si="415"/>
        <v>0</v>
      </c>
      <c r="W599" s="550"/>
      <c r="X599" s="548"/>
      <c r="Y599" s="548"/>
      <c r="Z599" s="551">
        <f t="shared" si="416"/>
        <v>0</v>
      </c>
      <c r="AA599" s="550"/>
      <c r="AB599" s="548">
        <v>0.54166666666666663</v>
      </c>
      <c r="AC599" s="548">
        <v>0.75</v>
      </c>
      <c r="AD599" s="551">
        <f t="shared" si="417"/>
        <v>5.0000000000000009</v>
      </c>
      <c r="AE599" s="24"/>
      <c r="AF599" s="29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</row>
    <row r="600" spans="1:55" s="2" customFormat="1" ht="14.25">
      <c r="A600"/>
      <c r="B600" s="553" t="s">
        <v>54</v>
      </c>
      <c r="C600" s="641" t="s">
        <v>853</v>
      </c>
      <c r="D600" s="548"/>
      <c r="E600" s="548"/>
      <c r="F600" s="549">
        <f t="shared" si="411"/>
        <v>0</v>
      </c>
      <c r="G600" s="550"/>
      <c r="H600" s="548"/>
      <c r="I600" s="548"/>
      <c r="J600" s="551">
        <f t="shared" si="412"/>
        <v>0</v>
      </c>
      <c r="K600" s="550"/>
      <c r="L600" s="552"/>
      <c r="M600" s="548"/>
      <c r="N600" s="551">
        <f t="shared" si="413"/>
        <v>0</v>
      </c>
      <c r="O600" s="550"/>
      <c r="P600" s="548"/>
      <c r="Q600" s="548"/>
      <c r="R600" s="551">
        <f t="shared" si="414"/>
        <v>0</v>
      </c>
      <c r="S600" s="550"/>
      <c r="T600" s="548">
        <v>0.70833333333333337</v>
      </c>
      <c r="U600" s="548">
        <v>0.8125</v>
      </c>
      <c r="V600" s="551">
        <f t="shared" si="415"/>
        <v>2.4999999999999991</v>
      </c>
      <c r="W600" s="550"/>
      <c r="X600" s="548"/>
      <c r="Y600" s="548"/>
      <c r="Z600" s="551">
        <f t="shared" si="416"/>
        <v>0</v>
      </c>
      <c r="AA600" s="550"/>
      <c r="AB600" s="548"/>
      <c r="AC600" s="548"/>
      <c r="AD600" s="551">
        <f t="shared" si="417"/>
        <v>0</v>
      </c>
      <c r="AE600" s="24"/>
      <c r="AF600" s="29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</row>
    <row r="601" spans="1:55" s="2" customFormat="1" ht="14.25">
      <c r="A601"/>
      <c r="B601" s="553" t="s">
        <v>576</v>
      </c>
      <c r="C601" s="641" t="s">
        <v>853</v>
      </c>
      <c r="D601" s="548"/>
      <c r="E601" s="548"/>
      <c r="F601" s="549">
        <f t="shared" si="411"/>
        <v>0</v>
      </c>
      <c r="G601" s="550"/>
      <c r="H601" s="548"/>
      <c r="I601" s="548"/>
      <c r="J601" s="551">
        <f t="shared" si="412"/>
        <v>0</v>
      </c>
      <c r="K601" s="550"/>
      <c r="L601" s="552"/>
      <c r="M601" s="548"/>
      <c r="N601" s="551">
        <f t="shared" si="413"/>
        <v>0</v>
      </c>
      <c r="O601" s="550"/>
      <c r="P601" s="548"/>
      <c r="Q601" s="548"/>
      <c r="R601" s="551">
        <f t="shared" si="414"/>
        <v>0</v>
      </c>
      <c r="S601" s="550"/>
      <c r="T601" s="548">
        <v>0.70833333333333337</v>
      </c>
      <c r="U601" s="548">
        <v>0.8125</v>
      </c>
      <c r="V601" s="551">
        <f t="shared" si="415"/>
        <v>2.4999999999999991</v>
      </c>
      <c r="W601" s="550"/>
      <c r="X601" s="548"/>
      <c r="Y601" s="548"/>
      <c r="Z601" s="551">
        <f t="shared" si="416"/>
        <v>0</v>
      </c>
      <c r="AA601" s="550"/>
      <c r="AB601" s="548">
        <v>0.54166666666666663</v>
      </c>
      <c r="AC601" s="548">
        <v>0.75</v>
      </c>
      <c r="AD601" s="551">
        <f t="shared" si="417"/>
        <v>5.0000000000000009</v>
      </c>
      <c r="AE601" s="24"/>
      <c r="AF601" s="29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</row>
    <row r="602" spans="1:55" s="2" customFormat="1" ht="14.25">
      <c r="A602"/>
      <c r="B602" s="553" t="s">
        <v>572</v>
      </c>
      <c r="C602" s="641" t="s">
        <v>854</v>
      </c>
      <c r="D602" s="548"/>
      <c r="E602" s="548"/>
      <c r="F602" s="549">
        <f t="shared" si="411"/>
        <v>0</v>
      </c>
      <c r="G602" s="550"/>
      <c r="H602" s="548"/>
      <c r="I602" s="548"/>
      <c r="J602" s="551">
        <f t="shared" si="412"/>
        <v>0</v>
      </c>
      <c r="K602" s="550"/>
      <c r="L602" s="552"/>
      <c r="M602" s="548"/>
      <c r="N602" s="551">
        <f t="shared" si="413"/>
        <v>0</v>
      </c>
      <c r="O602" s="550"/>
      <c r="P602" s="548"/>
      <c r="Q602" s="548"/>
      <c r="R602" s="551">
        <f t="shared" si="414"/>
        <v>0</v>
      </c>
      <c r="S602" s="550"/>
      <c r="T602" s="548"/>
      <c r="U602" s="548"/>
      <c r="V602" s="551">
        <f t="shared" si="415"/>
        <v>0</v>
      </c>
      <c r="W602" s="550"/>
      <c r="X602" s="548">
        <v>0.33333333333333331</v>
      </c>
      <c r="Y602" s="548">
        <v>0.75</v>
      </c>
      <c r="Z602" s="551">
        <f t="shared" si="416"/>
        <v>10</v>
      </c>
      <c r="AA602" s="550"/>
      <c r="AB602" s="548"/>
      <c r="AC602" s="548"/>
      <c r="AD602" s="551">
        <f t="shared" si="417"/>
        <v>0</v>
      </c>
      <c r="AE602" s="24"/>
      <c r="AF602" s="29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</row>
    <row r="603" spans="1:55" s="2" customFormat="1" ht="14.25">
      <c r="A603"/>
      <c r="B603" s="553" t="s">
        <v>42</v>
      </c>
      <c r="C603" s="641" t="s">
        <v>854</v>
      </c>
      <c r="D603" s="548"/>
      <c r="E603" s="548"/>
      <c r="F603" s="549">
        <f t="shared" si="411"/>
        <v>0</v>
      </c>
      <c r="G603" s="550"/>
      <c r="H603" s="548"/>
      <c r="I603" s="548"/>
      <c r="J603" s="551">
        <f t="shared" si="412"/>
        <v>0</v>
      </c>
      <c r="K603" s="550"/>
      <c r="L603" s="552"/>
      <c r="M603" s="548"/>
      <c r="N603" s="551">
        <f t="shared" si="413"/>
        <v>0</v>
      </c>
      <c r="O603" s="550"/>
      <c r="P603" s="548"/>
      <c r="Q603" s="548"/>
      <c r="R603" s="551">
        <f t="shared" si="414"/>
        <v>0</v>
      </c>
      <c r="S603" s="550"/>
      <c r="T603" s="548"/>
      <c r="U603" s="548"/>
      <c r="V603" s="551">
        <f t="shared" si="415"/>
        <v>0</v>
      </c>
      <c r="W603" s="550"/>
      <c r="X603" s="548">
        <v>0.375</v>
      </c>
      <c r="Y603" s="548">
        <v>0.75</v>
      </c>
      <c r="Z603" s="551">
        <f t="shared" si="416"/>
        <v>9</v>
      </c>
      <c r="AA603" s="550"/>
      <c r="AB603" s="548"/>
      <c r="AC603" s="548"/>
      <c r="AD603" s="551">
        <f t="shared" si="417"/>
        <v>0</v>
      </c>
      <c r="AE603" s="24"/>
      <c r="AF603" s="29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</row>
    <row r="604" spans="1:55" s="2" customFormat="1" ht="14.25">
      <c r="A604"/>
      <c r="B604" s="553" t="s">
        <v>582</v>
      </c>
      <c r="C604" s="641" t="s">
        <v>854</v>
      </c>
      <c r="D604" s="548"/>
      <c r="E604" s="548"/>
      <c r="F604" s="549">
        <f t="shared" si="411"/>
        <v>0</v>
      </c>
      <c r="G604" s="550"/>
      <c r="H604" s="548"/>
      <c r="I604" s="548"/>
      <c r="J604" s="551">
        <f t="shared" si="412"/>
        <v>0</v>
      </c>
      <c r="K604" s="550"/>
      <c r="L604" s="552"/>
      <c r="M604" s="548"/>
      <c r="N604" s="551">
        <f t="shared" si="413"/>
        <v>0</v>
      </c>
      <c r="O604" s="550"/>
      <c r="P604" s="548"/>
      <c r="Q604" s="548"/>
      <c r="R604" s="551"/>
      <c r="S604" s="550"/>
      <c r="T604" s="548"/>
      <c r="U604" s="548"/>
      <c r="V604" s="551">
        <f t="shared" si="415"/>
        <v>0</v>
      </c>
      <c r="W604" s="550"/>
      <c r="X604" s="548">
        <v>0.375</v>
      </c>
      <c r="Y604" s="548">
        <v>0.75</v>
      </c>
      <c r="Z604" s="551">
        <f t="shared" si="416"/>
        <v>9</v>
      </c>
      <c r="AA604" s="550"/>
      <c r="AB604" s="548"/>
      <c r="AC604" s="548"/>
      <c r="AD604" s="551"/>
      <c r="AE604" s="24"/>
      <c r="AF604" s="29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</row>
    <row r="605" spans="1:55" s="2" customFormat="1" ht="14.25">
      <c r="A605"/>
      <c r="B605" s="554" t="s">
        <v>61</v>
      </c>
      <c r="C605" s="554"/>
      <c r="D605" s="548"/>
      <c r="E605" s="548"/>
      <c r="F605" s="549">
        <f t="shared" si="403"/>
        <v>0</v>
      </c>
      <c r="G605" s="550"/>
      <c r="H605" s="548"/>
      <c r="I605" s="548"/>
      <c r="J605" s="551">
        <f t="shared" si="404"/>
        <v>0</v>
      </c>
      <c r="K605" s="550"/>
      <c r="L605" s="552"/>
      <c r="M605" s="548"/>
      <c r="N605" s="551">
        <f t="shared" si="405"/>
        <v>0</v>
      </c>
      <c r="O605" s="550"/>
      <c r="P605" s="548"/>
      <c r="Q605" s="548"/>
      <c r="R605" s="551">
        <f t="shared" si="406"/>
        <v>0</v>
      </c>
      <c r="S605" s="550"/>
      <c r="T605" s="548"/>
      <c r="U605" s="548"/>
      <c r="V605" s="551">
        <f t="shared" si="407"/>
        <v>0</v>
      </c>
      <c r="W605" s="550"/>
      <c r="X605" s="548"/>
      <c r="Y605" s="548"/>
      <c r="Z605" s="551">
        <f t="shared" si="408"/>
        <v>0</v>
      </c>
      <c r="AA605" s="550"/>
      <c r="AB605" s="548"/>
      <c r="AC605" s="548"/>
      <c r="AD605" s="551">
        <f t="shared" si="409"/>
        <v>0</v>
      </c>
      <c r="AE605" s="24"/>
      <c r="AF605" s="29">
        <f t="shared" si="410"/>
        <v>0</v>
      </c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</row>
    <row r="606" spans="1:55" s="2" customFormat="1">
      <c r="A606"/>
      <c r="B606" s="31" t="s">
        <v>577</v>
      </c>
      <c r="C606" s="31"/>
      <c r="D606" s="91"/>
      <c r="E606" s="91"/>
      <c r="F606" s="90"/>
      <c r="G606" s="91"/>
      <c r="H606" s="91"/>
      <c r="I606" s="91"/>
      <c r="J606" s="90"/>
      <c r="K606" s="91"/>
      <c r="L606" s="430"/>
      <c r="M606" s="91"/>
      <c r="N606" s="90"/>
      <c r="O606" s="91"/>
      <c r="P606" s="91"/>
      <c r="Q606" s="91"/>
      <c r="R606" s="90"/>
      <c r="S606" s="91"/>
      <c r="T606" s="91"/>
      <c r="U606" s="91"/>
      <c r="V606" s="90"/>
      <c r="W606" s="91"/>
      <c r="X606" s="91"/>
      <c r="Y606" s="91"/>
      <c r="Z606" s="90"/>
      <c r="AA606" s="91"/>
      <c r="AB606" s="91"/>
      <c r="AC606" s="91"/>
      <c r="AD606" s="91"/>
      <c r="AE606" s="352"/>
      <c r="AF606" s="28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</row>
    <row r="607" spans="1:55" s="2" customFormat="1">
      <c r="A607"/>
      <c r="B607" s="31" t="s">
        <v>578</v>
      </c>
      <c r="C607" s="31"/>
      <c r="D607" s="91"/>
      <c r="E607" s="91"/>
      <c r="F607" s="90"/>
      <c r="G607" s="91"/>
      <c r="H607" s="91"/>
      <c r="I607" s="91"/>
      <c r="J607" s="90"/>
      <c r="K607" s="91"/>
      <c r="L607" s="430"/>
      <c r="M607" s="91"/>
      <c r="N607" s="90"/>
      <c r="O607" s="91"/>
      <c r="P607" s="91"/>
      <c r="Q607" s="91"/>
      <c r="R607" s="90"/>
      <c r="S607" s="91"/>
      <c r="T607" s="91"/>
      <c r="U607" s="91"/>
      <c r="V607" s="90"/>
      <c r="W607" s="91"/>
      <c r="X607" s="91"/>
      <c r="Y607" s="91"/>
      <c r="Z607" s="90"/>
      <c r="AA607" s="91"/>
      <c r="AB607" s="91"/>
      <c r="AC607" s="91"/>
      <c r="AD607" s="91"/>
      <c r="AE607" s="352"/>
      <c r="AF607" s="28">
        <f>SUM(D607:AD607)</f>
        <v>0</v>
      </c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</row>
    <row r="608" spans="1:55" s="2" customFormat="1" ht="14.25" thickBot="1">
      <c r="A608"/>
      <c r="B608" s="74" t="s">
        <v>579</v>
      </c>
      <c r="C608" s="74"/>
      <c r="D608" s="95"/>
      <c r="E608" s="95"/>
      <c r="F608" s="96"/>
      <c r="G608" s="95"/>
      <c r="H608" s="95"/>
      <c r="I608" s="95"/>
      <c r="J608" s="96"/>
      <c r="K608" s="95"/>
      <c r="L608" s="431"/>
      <c r="M608" s="95"/>
      <c r="N608" s="96"/>
      <c r="O608" s="95"/>
      <c r="P608" s="95"/>
      <c r="Q608" s="95"/>
      <c r="R608" s="96"/>
      <c r="S608" s="95"/>
      <c r="T608" s="95"/>
      <c r="U608" s="95"/>
      <c r="V608" s="96"/>
      <c r="W608" s="97"/>
      <c r="X608" s="97"/>
      <c r="Y608" s="97"/>
      <c r="Z608" s="96"/>
      <c r="AA608" s="97"/>
      <c r="AB608" s="97"/>
      <c r="AC608" s="97"/>
      <c r="AD608" s="97"/>
      <c r="AE608" s="97"/>
      <c r="AF608" s="80">
        <f>SUM(D608:AD608)</f>
        <v>0</v>
      </c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</row>
    <row r="609" spans="1:55" s="2" customFormat="1" ht="14.25" customHeight="1" thickTop="1">
      <c r="A609"/>
      <c r="B609" s="1518" t="s">
        <v>18</v>
      </c>
      <c r="C609" s="1528" t="s">
        <v>571</v>
      </c>
      <c r="D609" s="1524">
        <v>45544</v>
      </c>
      <c r="E609" s="1524"/>
      <c r="F609" s="1524"/>
      <c r="G609" s="22"/>
      <c r="H609" s="1524">
        <f>D609+1</f>
        <v>45545</v>
      </c>
      <c r="I609" s="1524"/>
      <c r="J609" s="1524"/>
      <c r="K609" s="22"/>
      <c r="L609" s="1524">
        <f>H609+1</f>
        <v>45546</v>
      </c>
      <c r="M609" s="1524"/>
      <c r="N609" s="1524"/>
      <c r="O609" s="3"/>
      <c r="P609" s="1524">
        <f>L609+1</f>
        <v>45547</v>
      </c>
      <c r="Q609" s="1524"/>
      <c r="R609" s="1524"/>
      <c r="S609" s="3"/>
      <c r="T609" s="1524">
        <f>P609+1</f>
        <v>45548</v>
      </c>
      <c r="U609" s="1524"/>
      <c r="V609" s="1524"/>
      <c r="W609" s="22"/>
      <c r="X609" s="1524">
        <f>T609+1</f>
        <v>45549</v>
      </c>
      <c r="Y609" s="1524"/>
      <c r="Z609" s="1524"/>
      <c r="AA609" s="3"/>
      <c r="AB609" s="1524">
        <f>X609+1</f>
        <v>45550</v>
      </c>
      <c r="AC609" s="1524"/>
      <c r="AD609" s="1524"/>
      <c r="AE609" s="22"/>
      <c r="AF609" s="1517" t="s">
        <v>19</v>
      </c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</row>
    <row r="610" spans="1:55" s="2" customFormat="1">
      <c r="A610"/>
      <c r="B610" s="1518"/>
      <c r="C610" s="1528"/>
      <c r="D610" s="21" t="s">
        <v>23</v>
      </c>
      <c r="E610" s="21" t="s">
        <v>24</v>
      </c>
      <c r="F610" s="62" t="s">
        <v>25</v>
      </c>
      <c r="G610" s="23"/>
      <c r="H610" s="21" t="s">
        <v>23</v>
      </c>
      <c r="I610" s="21" t="s">
        <v>24</v>
      </c>
      <c r="J610" s="18" t="s">
        <v>25</v>
      </c>
      <c r="K610" s="23"/>
      <c r="L610" s="21" t="s">
        <v>23</v>
      </c>
      <c r="M610" s="21" t="s">
        <v>24</v>
      </c>
      <c r="N610" s="18" t="s">
        <v>25</v>
      </c>
      <c r="O610" s="23"/>
      <c r="P610" s="21" t="s">
        <v>23</v>
      </c>
      <c r="Q610" s="21" t="s">
        <v>24</v>
      </c>
      <c r="R610" s="18" t="s">
        <v>25</v>
      </c>
      <c r="S610" s="23"/>
      <c r="T610" s="21" t="s">
        <v>23</v>
      </c>
      <c r="U610" s="21" t="s">
        <v>24</v>
      </c>
      <c r="V610" s="18" t="s">
        <v>25</v>
      </c>
      <c r="W610" s="23"/>
      <c r="X610" s="21" t="s">
        <v>23</v>
      </c>
      <c r="Y610" s="21" t="s">
        <v>24</v>
      </c>
      <c r="Z610" s="18" t="s">
        <v>25</v>
      </c>
      <c r="AA610" s="23"/>
      <c r="AB610" s="21" t="s">
        <v>23</v>
      </c>
      <c r="AC610" s="21" t="s">
        <v>24</v>
      </c>
      <c r="AD610" s="18" t="s">
        <v>25</v>
      </c>
      <c r="AE610" s="23"/>
      <c r="AF610" s="1517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</row>
    <row r="611" spans="1:55" s="2" customFormat="1" ht="14.25">
      <c r="A611"/>
      <c r="B611" s="553" t="s">
        <v>810</v>
      </c>
      <c r="C611" s="559" t="s">
        <v>832</v>
      </c>
      <c r="D611" s="548">
        <v>0.375</v>
      </c>
      <c r="E611" s="548">
        <v>0.70833333333333337</v>
      </c>
      <c r="F611" s="549">
        <f t="shared" ref="F611:F631" si="418">(E611-D611)*24</f>
        <v>8</v>
      </c>
      <c r="G611" s="550"/>
      <c r="H611" s="548">
        <v>0.41666666666666669</v>
      </c>
      <c r="I611" s="548">
        <v>0.6875</v>
      </c>
      <c r="J611" s="551">
        <f t="shared" ref="J611:J631" si="419">(I611-H611)*24</f>
        <v>6.5</v>
      </c>
      <c r="K611" s="550"/>
      <c r="L611" s="552"/>
      <c r="M611" s="548"/>
      <c r="N611" s="551">
        <f t="shared" ref="N611:N631" si="420">(M611-L611)*24</f>
        <v>0</v>
      </c>
      <c r="O611" s="550"/>
      <c r="P611" s="548"/>
      <c r="Q611" s="548"/>
      <c r="R611" s="551">
        <f t="shared" ref="R611:R631" si="421">(Q611-P611)*24</f>
        <v>0</v>
      </c>
      <c r="S611" s="550"/>
      <c r="T611" s="548"/>
      <c r="U611" s="548"/>
      <c r="V611" s="551">
        <f t="shared" ref="V611:V631" si="422">(U611-T611)*24</f>
        <v>0</v>
      </c>
      <c r="W611" s="550"/>
      <c r="X611" s="548"/>
      <c r="Y611" s="548"/>
      <c r="Z611" s="551">
        <f t="shared" ref="Z611:Z631" si="423">(Y611-X611)*24</f>
        <v>0</v>
      </c>
      <c r="AA611" s="550"/>
      <c r="AB611" s="548"/>
      <c r="AC611" s="548"/>
      <c r="AD611" s="551">
        <f t="shared" ref="AD611:AD631" si="424">(AC611-AB611)*24</f>
        <v>0</v>
      </c>
      <c r="AE611" s="24"/>
      <c r="AF611" s="29">
        <f>J611+F611+N611+R611+V611+Z611+AD611</f>
        <v>14.5</v>
      </c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</row>
    <row r="612" spans="1:55" s="2" customFormat="1" ht="14.25">
      <c r="A612"/>
      <c r="B612" s="553" t="s">
        <v>42</v>
      </c>
      <c r="C612" s="559" t="s">
        <v>832</v>
      </c>
      <c r="D612" s="548"/>
      <c r="E612" s="548"/>
      <c r="F612" s="549">
        <f t="shared" si="418"/>
        <v>0</v>
      </c>
      <c r="G612" s="550"/>
      <c r="H612" s="548"/>
      <c r="I612" s="548"/>
      <c r="J612" s="551">
        <f t="shared" si="419"/>
        <v>0</v>
      </c>
      <c r="K612" s="550"/>
      <c r="L612" s="552"/>
      <c r="M612" s="548"/>
      <c r="N612" s="551">
        <f t="shared" si="420"/>
        <v>0</v>
      </c>
      <c r="O612" s="550"/>
      <c r="P612" s="548"/>
      <c r="Q612" s="548"/>
      <c r="R612" s="551">
        <f t="shared" si="421"/>
        <v>0</v>
      </c>
      <c r="S612" s="550"/>
      <c r="T612" s="548"/>
      <c r="U612" s="548"/>
      <c r="V612" s="551">
        <f t="shared" si="422"/>
        <v>0</v>
      </c>
      <c r="W612" s="550"/>
      <c r="X612" s="548"/>
      <c r="Y612" s="548"/>
      <c r="Z612" s="551">
        <f t="shared" si="423"/>
        <v>0</v>
      </c>
      <c r="AA612" s="550"/>
      <c r="AB612" s="548"/>
      <c r="AC612" s="548"/>
      <c r="AD612" s="551">
        <f t="shared" si="424"/>
        <v>0</v>
      </c>
      <c r="AE612" s="24"/>
      <c r="AF612" s="29">
        <f>J612+F612+N612+R612+V612+Z612+AD612</f>
        <v>0</v>
      </c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</row>
    <row r="613" spans="1:55" s="2" customFormat="1" ht="14.25">
      <c r="A613"/>
      <c r="B613" s="553" t="s">
        <v>54</v>
      </c>
      <c r="C613" s="641" t="s">
        <v>855</v>
      </c>
      <c r="D613" s="548">
        <v>0.39583333333333331</v>
      </c>
      <c r="E613" s="548">
        <v>0.72222222222222221</v>
      </c>
      <c r="F613" s="549">
        <f t="shared" si="418"/>
        <v>7.8333333333333339</v>
      </c>
      <c r="G613" s="550"/>
      <c r="H613" s="548">
        <v>0.41666666666666669</v>
      </c>
      <c r="I613" s="548">
        <v>0.70833333333333337</v>
      </c>
      <c r="J613" s="551">
        <f t="shared" si="419"/>
        <v>7</v>
      </c>
      <c r="K613" s="550"/>
      <c r="L613" s="552">
        <v>0.375</v>
      </c>
      <c r="M613" s="548">
        <v>0.70833333333333337</v>
      </c>
      <c r="N613" s="551">
        <f t="shared" si="420"/>
        <v>8</v>
      </c>
      <c r="O613" s="550"/>
      <c r="P613" s="548"/>
      <c r="Q613" s="548"/>
      <c r="R613" s="551">
        <f t="shared" si="421"/>
        <v>0</v>
      </c>
      <c r="S613" s="550"/>
      <c r="T613" s="548"/>
      <c r="U613" s="548"/>
      <c r="V613" s="551">
        <f t="shared" si="422"/>
        <v>0</v>
      </c>
      <c r="W613" s="550"/>
      <c r="X613" s="548"/>
      <c r="Y613" s="548"/>
      <c r="Z613" s="551">
        <f t="shared" si="423"/>
        <v>0</v>
      </c>
      <c r="AA613" s="550"/>
      <c r="AB613" s="548"/>
      <c r="AC613" s="548"/>
      <c r="AD613" s="551">
        <f t="shared" si="424"/>
        <v>0</v>
      </c>
      <c r="AE613" s="24"/>
      <c r="AF613" s="29">
        <f>J613+F613+N613+R613+V613+Z613+AD613</f>
        <v>22.833333333333336</v>
      </c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</row>
    <row r="614" spans="1:55" s="2" customFormat="1" ht="14.25">
      <c r="A614"/>
      <c r="B614" s="553" t="s">
        <v>42</v>
      </c>
      <c r="C614" s="641" t="s">
        <v>855</v>
      </c>
      <c r="D614" s="548">
        <v>0.375</v>
      </c>
      <c r="E614" s="548">
        <v>0.625</v>
      </c>
      <c r="F614" s="549">
        <f t="shared" si="418"/>
        <v>6</v>
      </c>
      <c r="G614" s="550"/>
      <c r="H614" s="548">
        <v>0.41666666666666669</v>
      </c>
      <c r="I614" s="548">
        <v>0.70833333333333337</v>
      </c>
      <c r="J614" s="551">
        <f t="shared" si="419"/>
        <v>7</v>
      </c>
      <c r="K614" s="550"/>
      <c r="L614" s="552">
        <v>0.375</v>
      </c>
      <c r="M614" s="548">
        <v>0.70833333333333337</v>
      </c>
      <c r="N614" s="551">
        <f t="shared" si="420"/>
        <v>8</v>
      </c>
      <c r="O614" s="550"/>
      <c r="P614" s="548"/>
      <c r="Q614" s="548"/>
      <c r="R614" s="551">
        <f t="shared" si="421"/>
        <v>0</v>
      </c>
      <c r="S614" s="550"/>
      <c r="T614" s="548"/>
      <c r="U614" s="548"/>
      <c r="V614" s="551">
        <f t="shared" si="422"/>
        <v>0</v>
      </c>
      <c r="W614" s="550"/>
      <c r="X614" s="548"/>
      <c r="Y614" s="548"/>
      <c r="Z614" s="551">
        <f t="shared" si="423"/>
        <v>0</v>
      </c>
      <c r="AA614" s="550"/>
      <c r="AB614" s="548"/>
      <c r="AC614" s="548"/>
      <c r="AD614" s="551">
        <f t="shared" si="424"/>
        <v>0</v>
      </c>
      <c r="AE614" s="24"/>
      <c r="AF614" s="29">
        <f>J614+F614+N614+R614+V614+Z614+AD614</f>
        <v>21</v>
      </c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</row>
    <row r="615" spans="1:55" s="2" customFormat="1" ht="14.25">
      <c r="A615"/>
      <c r="B615" s="553" t="s">
        <v>44</v>
      </c>
      <c r="C615" s="641" t="s">
        <v>855</v>
      </c>
      <c r="D615" s="548">
        <v>0.375</v>
      </c>
      <c r="E615" s="548">
        <v>0.72222222222222221</v>
      </c>
      <c r="F615" s="549">
        <f t="shared" si="418"/>
        <v>8.3333333333333321</v>
      </c>
      <c r="G615" s="550"/>
      <c r="H615" s="548"/>
      <c r="I615" s="548"/>
      <c r="J615" s="551">
        <f t="shared" si="419"/>
        <v>0</v>
      </c>
      <c r="K615" s="550"/>
      <c r="L615" s="552"/>
      <c r="M615" s="548"/>
      <c r="N615" s="551">
        <f t="shared" si="420"/>
        <v>0</v>
      </c>
      <c r="O615" s="550"/>
      <c r="P615" s="548"/>
      <c r="Q615" s="548"/>
      <c r="R615" s="551">
        <f t="shared" si="421"/>
        <v>0</v>
      </c>
      <c r="S615" s="550"/>
      <c r="T615" s="548"/>
      <c r="U615" s="548"/>
      <c r="V615" s="551">
        <f t="shared" si="422"/>
        <v>0</v>
      </c>
      <c r="W615" s="550"/>
      <c r="X615" s="548"/>
      <c r="Y615" s="548"/>
      <c r="Z615" s="551">
        <f t="shared" si="423"/>
        <v>0</v>
      </c>
      <c r="AA615" s="550"/>
      <c r="AB615" s="548"/>
      <c r="AC615" s="548"/>
      <c r="AD615" s="551">
        <f t="shared" si="424"/>
        <v>0</v>
      </c>
      <c r="AE615" s="24"/>
      <c r="AF615" s="29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</row>
    <row r="616" spans="1:55" s="2" customFormat="1" ht="14.25">
      <c r="A616"/>
      <c r="B616" s="553" t="s">
        <v>572</v>
      </c>
      <c r="C616" s="641" t="s">
        <v>855</v>
      </c>
      <c r="D616" s="548"/>
      <c r="E616" s="548"/>
      <c r="F616" s="549">
        <f>(E616-D616)*24</f>
        <v>0</v>
      </c>
      <c r="G616" s="550"/>
      <c r="H616" s="548"/>
      <c r="I616" s="548"/>
      <c r="J616" s="551">
        <f>(I616-H616)*24</f>
        <v>0</v>
      </c>
      <c r="K616" s="550"/>
      <c r="L616" s="552">
        <v>0.375</v>
      </c>
      <c r="M616" s="548">
        <v>0.70833333333333337</v>
      </c>
      <c r="N616" s="551">
        <f>(M616-L616)*24</f>
        <v>8</v>
      </c>
      <c r="O616" s="550"/>
      <c r="P616" s="548"/>
      <c r="Q616" s="548"/>
      <c r="R616" s="551">
        <f>(Q616-P616)*24</f>
        <v>0</v>
      </c>
      <c r="S616" s="550"/>
      <c r="T616" s="548"/>
      <c r="U616" s="548"/>
      <c r="V616" s="551">
        <f>(U616-T616)*24</f>
        <v>0</v>
      </c>
      <c r="W616" s="550"/>
      <c r="X616" s="548"/>
      <c r="Y616" s="548"/>
      <c r="Z616" s="551">
        <f>(Y616-X616)*24</f>
        <v>0</v>
      </c>
      <c r="AA616" s="550"/>
      <c r="AB616" s="548"/>
      <c r="AC616" s="548"/>
      <c r="AD616" s="551">
        <f>(AC616-AB616)*24</f>
        <v>0</v>
      </c>
      <c r="AE616" s="24"/>
      <c r="AF616" s="29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</row>
    <row r="617" spans="1:55" s="2" customFormat="1" ht="14.25">
      <c r="A617"/>
      <c r="B617" s="553" t="s">
        <v>576</v>
      </c>
      <c r="C617" s="641" t="s">
        <v>855</v>
      </c>
      <c r="D617" s="548"/>
      <c r="E617" s="548"/>
      <c r="F617" s="549">
        <f>(E617-D617)*24</f>
        <v>0</v>
      </c>
      <c r="G617" s="550"/>
      <c r="H617" s="548"/>
      <c r="I617" s="548"/>
      <c r="J617" s="551">
        <f>(I617-H617)*24</f>
        <v>0</v>
      </c>
      <c r="K617" s="550"/>
      <c r="L617" s="552">
        <v>0.375</v>
      </c>
      <c r="M617" s="548">
        <v>0.70833333333333337</v>
      </c>
      <c r="N617" s="551">
        <f>(M617-L617)*24</f>
        <v>8</v>
      </c>
      <c r="O617" s="550"/>
      <c r="P617" s="548"/>
      <c r="Q617" s="548"/>
      <c r="R617" s="551">
        <f>(Q617-P617)*24</f>
        <v>0</v>
      </c>
      <c r="S617" s="550"/>
      <c r="T617" s="548"/>
      <c r="U617" s="548"/>
      <c r="V617" s="551">
        <f>(U617-T617)*24</f>
        <v>0</v>
      </c>
      <c r="W617" s="550"/>
      <c r="X617" s="548"/>
      <c r="Y617" s="548"/>
      <c r="Z617" s="551">
        <f>(Y617-X617)*24</f>
        <v>0</v>
      </c>
      <c r="AA617" s="550"/>
      <c r="AB617" s="548"/>
      <c r="AC617" s="548"/>
      <c r="AD617" s="551">
        <f>(AC617-AB617)*24</f>
        <v>0</v>
      </c>
      <c r="AE617" s="24"/>
      <c r="AF617" s="29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</row>
    <row r="618" spans="1:55" s="2" customFormat="1" ht="14.25">
      <c r="A618"/>
      <c r="B618" s="553" t="s">
        <v>572</v>
      </c>
      <c r="C618" s="641" t="s">
        <v>854</v>
      </c>
      <c r="D618" s="548">
        <v>0.33333333333333331</v>
      </c>
      <c r="E618" s="548">
        <v>0.91666666666666663</v>
      </c>
      <c r="F618" s="549">
        <f t="shared" si="418"/>
        <v>13.999999999999998</v>
      </c>
      <c r="G618" s="550"/>
      <c r="H618" s="548">
        <v>0.375</v>
      </c>
      <c r="I618" s="548">
        <v>0.72916666666666663</v>
      </c>
      <c r="J618" s="551">
        <f t="shared" si="419"/>
        <v>8.5</v>
      </c>
      <c r="K618" s="550"/>
      <c r="L618" s="552"/>
      <c r="M618" s="548"/>
      <c r="N618" s="551">
        <f t="shared" si="420"/>
        <v>0</v>
      </c>
      <c r="O618" s="550"/>
      <c r="P618" s="548"/>
      <c r="Q618" s="548"/>
      <c r="R618" s="551">
        <f t="shared" si="421"/>
        <v>0</v>
      </c>
      <c r="S618" s="550"/>
      <c r="T618" s="548"/>
      <c r="U618" s="548"/>
      <c r="V618" s="551">
        <f t="shared" si="422"/>
        <v>0</v>
      </c>
      <c r="W618" s="550"/>
      <c r="X618" s="548"/>
      <c r="Y618" s="548"/>
      <c r="Z618" s="551">
        <f t="shared" si="423"/>
        <v>0</v>
      </c>
      <c r="AA618" s="550"/>
      <c r="AB618" s="548"/>
      <c r="AC618" s="548"/>
      <c r="AD618" s="551">
        <f t="shared" si="424"/>
        <v>0</v>
      </c>
      <c r="AE618" s="24"/>
      <c r="AF618" s="29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</row>
    <row r="619" spans="1:55" s="2" customFormat="1" ht="14.25">
      <c r="A619"/>
      <c r="B619" s="553" t="s">
        <v>42</v>
      </c>
      <c r="C619" s="641" t="s">
        <v>854</v>
      </c>
      <c r="D619" s="548">
        <v>0.70833333333333337</v>
      </c>
      <c r="E619" s="548">
        <v>0.91666666666666663</v>
      </c>
      <c r="F619" s="549">
        <f t="shared" si="418"/>
        <v>4.9999999999999982</v>
      </c>
      <c r="G619" s="550"/>
      <c r="H619" s="548"/>
      <c r="I619" s="548"/>
      <c r="J619" s="551">
        <f t="shared" si="419"/>
        <v>0</v>
      </c>
      <c r="K619" s="550"/>
      <c r="L619" s="552"/>
      <c r="M619" s="548"/>
      <c r="N619" s="551">
        <f t="shared" si="420"/>
        <v>0</v>
      </c>
      <c r="O619" s="550"/>
      <c r="P619" s="548"/>
      <c r="Q619" s="548"/>
      <c r="R619" s="551">
        <f t="shared" si="421"/>
        <v>0</v>
      </c>
      <c r="S619" s="550"/>
      <c r="T619" s="548"/>
      <c r="U619" s="548"/>
      <c r="V619" s="551">
        <f t="shared" si="422"/>
        <v>0</v>
      </c>
      <c r="W619" s="550"/>
      <c r="X619" s="548"/>
      <c r="Y619" s="548"/>
      <c r="Z619" s="551">
        <f t="shared" si="423"/>
        <v>0</v>
      </c>
      <c r="AA619" s="550"/>
      <c r="AB619" s="548"/>
      <c r="AC619" s="548"/>
      <c r="AD619" s="551">
        <f t="shared" si="424"/>
        <v>0</v>
      </c>
      <c r="AE619" s="24"/>
      <c r="AF619" s="29">
        <f>J619+F619+N619+R619+V619+Z619+AD619</f>
        <v>4.9999999999999982</v>
      </c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</row>
    <row r="620" spans="1:55" s="2" customFormat="1" ht="14.25">
      <c r="A620"/>
      <c r="B620" s="553" t="s">
        <v>582</v>
      </c>
      <c r="C620" s="641" t="s">
        <v>854</v>
      </c>
      <c r="D620" s="548">
        <v>0.70833333333333337</v>
      </c>
      <c r="E620" s="548">
        <v>0.91666666666666663</v>
      </c>
      <c r="F620" s="549">
        <f t="shared" si="418"/>
        <v>4.9999999999999982</v>
      </c>
      <c r="G620" s="550"/>
      <c r="H620" s="548"/>
      <c r="I620" s="548"/>
      <c r="J620" s="551">
        <f t="shared" si="419"/>
        <v>0</v>
      </c>
      <c r="K620" s="550"/>
      <c r="L620" s="552"/>
      <c r="M620" s="548"/>
      <c r="N620" s="551">
        <f t="shared" si="420"/>
        <v>0</v>
      </c>
      <c r="O620" s="550"/>
      <c r="P620" s="548"/>
      <c r="Q620" s="548"/>
      <c r="R620" s="551">
        <f t="shared" si="421"/>
        <v>0</v>
      </c>
      <c r="S620" s="550"/>
      <c r="T620" s="548"/>
      <c r="U620" s="548"/>
      <c r="V620" s="551">
        <f t="shared" si="422"/>
        <v>0</v>
      </c>
      <c r="W620" s="550"/>
      <c r="X620" s="548"/>
      <c r="Y620" s="548"/>
      <c r="Z620" s="551">
        <f t="shared" si="423"/>
        <v>0</v>
      </c>
      <c r="AA620" s="550"/>
      <c r="AB620" s="548"/>
      <c r="AC620" s="548"/>
      <c r="AD620" s="551">
        <f t="shared" si="424"/>
        <v>0</v>
      </c>
      <c r="AE620" s="24"/>
      <c r="AF620" s="29">
        <f>J620+F620+N620+R620+V620+Z620+AD620</f>
        <v>4.9999999999999982</v>
      </c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</row>
    <row r="621" spans="1:55" s="2" customFormat="1" ht="14.25">
      <c r="A621"/>
      <c r="B621" s="553" t="s">
        <v>576</v>
      </c>
      <c r="C621" s="641" t="s">
        <v>853</v>
      </c>
      <c r="D621" s="548">
        <v>0.33333333333333331</v>
      </c>
      <c r="E621" s="548">
        <v>0.67708333333333337</v>
      </c>
      <c r="F621" s="549">
        <f t="shared" si="418"/>
        <v>8.2500000000000018</v>
      </c>
      <c r="G621" s="550"/>
      <c r="H621" s="548"/>
      <c r="I621" s="548"/>
      <c r="J621" s="551">
        <f t="shared" si="419"/>
        <v>0</v>
      </c>
      <c r="K621" s="550"/>
      <c r="L621" s="552"/>
      <c r="M621" s="548"/>
      <c r="N621" s="551">
        <f t="shared" si="420"/>
        <v>0</v>
      </c>
      <c r="O621" s="550"/>
      <c r="P621" s="548"/>
      <c r="Q621" s="548"/>
      <c r="R621" s="551">
        <f t="shared" si="421"/>
        <v>0</v>
      </c>
      <c r="S621" s="550"/>
      <c r="T621" s="548"/>
      <c r="U621" s="548"/>
      <c r="V621" s="551">
        <f t="shared" si="422"/>
        <v>0</v>
      </c>
      <c r="W621" s="550"/>
      <c r="X621" s="548"/>
      <c r="Y621" s="548"/>
      <c r="Z621" s="551">
        <f t="shared" si="423"/>
        <v>0</v>
      </c>
      <c r="AA621" s="550"/>
      <c r="AB621" s="548"/>
      <c r="AC621" s="548"/>
      <c r="AD621" s="551">
        <f t="shared" si="424"/>
        <v>0</v>
      </c>
      <c r="AE621" s="24"/>
      <c r="AF621" s="29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</row>
    <row r="622" spans="1:55" s="2" customFormat="1" ht="14.25">
      <c r="A622"/>
      <c r="B622" s="553" t="s">
        <v>54</v>
      </c>
      <c r="C622" s="641" t="s">
        <v>853</v>
      </c>
      <c r="D622" s="548"/>
      <c r="E622" s="548"/>
      <c r="F622" s="549">
        <f t="shared" si="418"/>
        <v>0</v>
      </c>
      <c r="G622" s="550"/>
      <c r="H622" s="548"/>
      <c r="I622" s="548"/>
      <c r="J622" s="551">
        <f t="shared" si="419"/>
        <v>0</v>
      </c>
      <c r="K622" s="550"/>
      <c r="L622" s="552"/>
      <c r="M622" s="548"/>
      <c r="N622" s="551">
        <f t="shared" si="420"/>
        <v>0</v>
      </c>
      <c r="O622" s="550"/>
      <c r="P622" s="548"/>
      <c r="Q622" s="548"/>
      <c r="R622" s="551">
        <f t="shared" si="421"/>
        <v>0</v>
      </c>
      <c r="S622" s="550"/>
      <c r="T622" s="548"/>
      <c r="U622" s="548"/>
      <c r="V622" s="551">
        <f t="shared" si="422"/>
        <v>0</v>
      </c>
      <c r="W622" s="550"/>
      <c r="X622" s="548"/>
      <c r="Y622" s="548"/>
      <c r="Z622" s="551">
        <f t="shared" si="423"/>
        <v>0</v>
      </c>
      <c r="AA622" s="550"/>
      <c r="AB622" s="548"/>
      <c r="AC622" s="548"/>
      <c r="AD622" s="551">
        <f t="shared" si="424"/>
        <v>0</v>
      </c>
      <c r="AE622" s="24"/>
      <c r="AF622" s="29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</row>
    <row r="623" spans="1:55" s="2" customFormat="1" ht="14.25">
      <c r="A623"/>
      <c r="B623" s="553" t="s">
        <v>582</v>
      </c>
      <c r="C623" s="641" t="s">
        <v>853</v>
      </c>
      <c r="D623" s="548"/>
      <c r="E623" s="548"/>
      <c r="F623" s="549">
        <f t="shared" si="418"/>
        <v>0</v>
      </c>
      <c r="G623" s="550"/>
      <c r="H623" s="548"/>
      <c r="I623" s="548"/>
      <c r="J623" s="551">
        <f t="shared" si="419"/>
        <v>0</v>
      </c>
      <c r="K623" s="550"/>
      <c r="L623" s="552"/>
      <c r="M623" s="548"/>
      <c r="N623" s="551">
        <f t="shared" si="420"/>
        <v>0</v>
      </c>
      <c r="O623" s="550"/>
      <c r="P623" s="548"/>
      <c r="Q623" s="548"/>
      <c r="R623" s="551">
        <f t="shared" si="421"/>
        <v>0</v>
      </c>
      <c r="S623" s="550"/>
      <c r="T623" s="548"/>
      <c r="U623" s="548"/>
      <c r="V623" s="551">
        <f t="shared" si="422"/>
        <v>0</v>
      </c>
      <c r="W623" s="550"/>
      <c r="X623" s="548"/>
      <c r="Y623" s="548"/>
      <c r="Z623" s="551">
        <f t="shared" si="423"/>
        <v>0</v>
      </c>
      <c r="AA623" s="550"/>
      <c r="AB623" s="548"/>
      <c r="AC623" s="548"/>
      <c r="AD623" s="551">
        <f t="shared" si="424"/>
        <v>0</v>
      </c>
      <c r="AE623" s="24"/>
      <c r="AF623" s="29">
        <f>J623+F623+N623+R623+V623+Z623+AD623</f>
        <v>0</v>
      </c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</row>
    <row r="624" spans="1:55" s="2" customFormat="1" ht="14.25">
      <c r="A624"/>
      <c r="B624" s="553" t="s">
        <v>576</v>
      </c>
      <c r="C624" s="641" t="s">
        <v>856</v>
      </c>
      <c r="D624" s="548"/>
      <c r="E624" s="548"/>
      <c r="F624" s="549">
        <f t="shared" si="418"/>
        <v>0</v>
      </c>
      <c r="G624" s="550"/>
      <c r="H624" s="548">
        <v>0.375</v>
      </c>
      <c r="I624" s="548">
        <v>0.75</v>
      </c>
      <c r="J624" s="551">
        <f t="shared" si="419"/>
        <v>9</v>
      </c>
      <c r="K624" s="550"/>
      <c r="L624" s="552"/>
      <c r="M624" s="548"/>
      <c r="N624" s="551">
        <f t="shared" si="420"/>
        <v>0</v>
      </c>
      <c r="O624" s="550"/>
      <c r="P624" s="548"/>
      <c r="Q624" s="548"/>
      <c r="R624" s="551">
        <f t="shared" si="421"/>
        <v>0</v>
      </c>
      <c r="S624" s="550"/>
      <c r="T624" s="548"/>
      <c r="U624" s="548"/>
      <c r="V624" s="551">
        <f t="shared" si="422"/>
        <v>0</v>
      </c>
      <c r="W624" s="550"/>
      <c r="X624" s="548"/>
      <c r="Y624" s="548"/>
      <c r="Z624" s="551">
        <f t="shared" si="423"/>
        <v>0</v>
      </c>
      <c r="AA624" s="550"/>
      <c r="AB624" s="548"/>
      <c r="AC624" s="548"/>
      <c r="AD624" s="551">
        <f t="shared" si="424"/>
        <v>0</v>
      </c>
      <c r="AE624" s="24"/>
      <c r="AF624" s="29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</row>
    <row r="625" spans="1:55" s="2" customFormat="1" ht="14.25">
      <c r="A625"/>
      <c r="B625" s="553" t="s">
        <v>653</v>
      </c>
      <c r="C625" s="641" t="s">
        <v>857</v>
      </c>
      <c r="D625" s="548"/>
      <c r="E625" s="548"/>
      <c r="F625" s="549">
        <f t="shared" si="418"/>
        <v>0</v>
      </c>
      <c r="G625" s="550"/>
      <c r="H625" s="548">
        <v>0.39583333333333331</v>
      </c>
      <c r="I625" s="548">
        <v>0.75</v>
      </c>
      <c r="J625" s="551">
        <f t="shared" si="419"/>
        <v>8.5</v>
      </c>
      <c r="K625" s="550"/>
      <c r="L625" s="552"/>
      <c r="M625" s="548"/>
      <c r="N625" s="551">
        <f t="shared" si="420"/>
        <v>0</v>
      </c>
      <c r="O625" s="550"/>
      <c r="P625" s="548"/>
      <c r="Q625" s="548"/>
      <c r="R625" s="551">
        <f t="shared" si="421"/>
        <v>0</v>
      </c>
      <c r="S625" s="550"/>
      <c r="T625" s="548"/>
      <c r="U625" s="548"/>
      <c r="V625" s="551">
        <f t="shared" si="422"/>
        <v>0</v>
      </c>
      <c r="W625" s="550"/>
      <c r="X625" s="548"/>
      <c r="Y625" s="548"/>
      <c r="Z625" s="551">
        <f t="shared" si="423"/>
        <v>0</v>
      </c>
      <c r="AA625" s="550"/>
      <c r="AB625" s="548"/>
      <c r="AC625" s="548"/>
      <c r="AD625" s="551">
        <f t="shared" si="424"/>
        <v>0</v>
      </c>
      <c r="AE625" s="24"/>
      <c r="AF625" s="29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</row>
    <row r="626" spans="1:55" s="2" customFormat="1" ht="14.25">
      <c r="A626"/>
      <c r="B626" s="553" t="s">
        <v>54</v>
      </c>
      <c r="C626" s="641" t="s">
        <v>858</v>
      </c>
      <c r="D626" s="548"/>
      <c r="E626" s="548"/>
      <c r="F626" s="549">
        <f t="shared" si="418"/>
        <v>0</v>
      </c>
      <c r="G626" s="550"/>
      <c r="H626" s="548"/>
      <c r="I626" s="548"/>
      <c r="J626" s="551">
        <f t="shared" si="419"/>
        <v>0</v>
      </c>
      <c r="K626" s="550"/>
      <c r="L626" s="552"/>
      <c r="M626" s="548"/>
      <c r="N626" s="551">
        <f t="shared" si="420"/>
        <v>0</v>
      </c>
      <c r="O626" s="550"/>
      <c r="P626" s="548">
        <v>0.375</v>
      </c>
      <c r="Q626" s="548">
        <v>0.72916666666666663</v>
      </c>
      <c r="R626" s="551">
        <f t="shared" si="421"/>
        <v>8.5</v>
      </c>
      <c r="S626" s="550"/>
      <c r="T626" s="548"/>
      <c r="U626" s="548"/>
      <c r="V626" s="551">
        <f t="shared" si="422"/>
        <v>0</v>
      </c>
      <c r="W626" s="550"/>
      <c r="X626" s="548"/>
      <c r="Y626" s="548"/>
      <c r="Z626" s="551">
        <f t="shared" si="423"/>
        <v>0</v>
      </c>
      <c r="AA626" s="550"/>
      <c r="AB626" s="548"/>
      <c r="AC626" s="548"/>
      <c r="AD626" s="551">
        <f t="shared" si="424"/>
        <v>0</v>
      </c>
      <c r="AE626" s="24"/>
      <c r="AF626" s="29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</row>
    <row r="627" spans="1:55" s="2" customFormat="1" ht="14.25">
      <c r="A627"/>
      <c r="B627" s="553" t="s">
        <v>576</v>
      </c>
      <c r="C627" s="641" t="s">
        <v>858</v>
      </c>
      <c r="D627" s="548"/>
      <c r="E627" s="548"/>
      <c r="F627" s="549">
        <f>(E627-D627)*24</f>
        <v>0</v>
      </c>
      <c r="G627" s="550"/>
      <c r="H627" s="548"/>
      <c r="I627" s="548"/>
      <c r="J627" s="551">
        <f>(I627-H627)*24</f>
        <v>0</v>
      </c>
      <c r="K627" s="550"/>
      <c r="L627" s="552"/>
      <c r="M627" s="548"/>
      <c r="N627" s="551">
        <f>(M627-L627)*24</f>
        <v>0</v>
      </c>
      <c r="O627" s="550"/>
      <c r="P627" s="548">
        <v>0.375</v>
      </c>
      <c r="Q627" s="548">
        <v>0.72916666666666663</v>
      </c>
      <c r="R627" s="551">
        <f>(Q627-P627)*24</f>
        <v>8.5</v>
      </c>
      <c r="S627" s="550"/>
      <c r="T627" s="548"/>
      <c r="U627" s="548"/>
      <c r="V627" s="551">
        <f>(U627-T627)*24</f>
        <v>0</v>
      </c>
      <c r="W627" s="550"/>
      <c r="X627" s="548"/>
      <c r="Y627" s="548"/>
      <c r="Z627" s="551">
        <f>(Y627-X627)*24</f>
        <v>0</v>
      </c>
      <c r="AA627" s="550"/>
      <c r="AB627" s="548"/>
      <c r="AC627" s="548"/>
      <c r="AD627" s="551">
        <f>(AC627-AB627)*24</f>
        <v>0</v>
      </c>
      <c r="AE627" s="24"/>
      <c r="AF627" s="29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</row>
    <row r="628" spans="1:55" s="2" customFormat="1" ht="14.25">
      <c r="A628"/>
      <c r="B628" s="553" t="s">
        <v>810</v>
      </c>
      <c r="C628" s="641" t="s">
        <v>858</v>
      </c>
      <c r="D628" s="548"/>
      <c r="E628" s="548"/>
      <c r="F628" s="549">
        <f>(E628-D628)*24</f>
        <v>0</v>
      </c>
      <c r="G628" s="550"/>
      <c r="H628" s="548"/>
      <c r="I628" s="548"/>
      <c r="J628" s="551">
        <f>(I628-H628)*24</f>
        <v>0</v>
      </c>
      <c r="K628" s="550"/>
      <c r="L628" s="552"/>
      <c r="M628" s="548"/>
      <c r="N628" s="551">
        <f>(M628-L628)*24</f>
        <v>0</v>
      </c>
      <c r="O628" s="550"/>
      <c r="P628" s="548">
        <v>0.375</v>
      </c>
      <c r="Q628" s="548">
        <v>0.72916666666666663</v>
      </c>
      <c r="R628" s="551">
        <f>(Q628-P628)*24</f>
        <v>8.5</v>
      </c>
      <c r="S628" s="550"/>
      <c r="T628" s="548"/>
      <c r="U628" s="548"/>
      <c r="V628" s="551">
        <f>(U628-T628)*24</f>
        <v>0</v>
      </c>
      <c r="W628" s="550"/>
      <c r="X628" s="548"/>
      <c r="Y628" s="548"/>
      <c r="Z628" s="551">
        <f>(Y628-X628)*24</f>
        <v>0</v>
      </c>
      <c r="AA628" s="550"/>
      <c r="AB628" s="548"/>
      <c r="AC628" s="548"/>
      <c r="AD628" s="551">
        <f>(AC628-AB628)*24</f>
        <v>0</v>
      </c>
      <c r="AE628" s="24"/>
      <c r="AF628" s="29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</row>
    <row r="629" spans="1:55" s="2" customFormat="1" ht="14.25">
      <c r="A629"/>
      <c r="B629" s="553" t="s">
        <v>54</v>
      </c>
      <c r="C629" s="641" t="s">
        <v>859</v>
      </c>
      <c r="D629" s="548"/>
      <c r="E629" s="548"/>
      <c r="F629" s="549">
        <f>(E629-D629)*24</f>
        <v>0</v>
      </c>
      <c r="G629" s="550"/>
      <c r="H629" s="548"/>
      <c r="I629" s="548"/>
      <c r="J629" s="551">
        <f>(I629-H629)*24</f>
        <v>0</v>
      </c>
      <c r="K629" s="550"/>
      <c r="L629" s="552"/>
      <c r="M629" s="548"/>
      <c r="N629" s="551">
        <f>(M629-L629)*24</f>
        <v>0</v>
      </c>
      <c r="O629" s="550"/>
      <c r="P629" s="548"/>
      <c r="Q629" s="548"/>
      <c r="R629" s="551">
        <f>(Q629-P629)*24</f>
        <v>0</v>
      </c>
      <c r="S629" s="550"/>
      <c r="T629" s="548">
        <v>0.375</v>
      </c>
      <c r="U629" s="548">
        <v>0.66666666666666663</v>
      </c>
      <c r="V629" s="551">
        <f>(U629-T629)*24</f>
        <v>6.9999999999999991</v>
      </c>
      <c r="X629" s="548"/>
      <c r="Y629" s="548"/>
      <c r="Z629" s="551">
        <f>(Y629-X629)*24</f>
        <v>0</v>
      </c>
      <c r="AA629" s="550"/>
      <c r="AB629" s="548"/>
      <c r="AC629" s="548"/>
      <c r="AD629" s="551">
        <f>(AC629-AB629)*24</f>
        <v>0</v>
      </c>
      <c r="AE629" s="24"/>
      <c r="AF629" s="29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</row>
    <row r="630" spans="1:55" s="2" customFormat="1" ht="14.25">
      <c r="A630"/>
      <c r="B630" s="553" t="s">
        <v>42</v>
      </c>
      <c r="C630" s="641" t="s">
        <v>860</v>
      </c>
      <c r="D630" s="548"/>
      <c r="E630" s="548"/>
      <c r="F630" s="549">
        <f>(E630-D630)*24</f>
        <v>0</v>
      </c>
      <c r="G630" s="550"/>
      <c r="H630" s="548"/>
      <c r="I630" s="548"/>
      <c r="J630" s="551">
        <f>(I630-H630)*24</f>
        <v>0</v>
      </c>
      <c r="K630" s="550"/>
      <c r="L630" s="552"/>
      <c r="M630" s="548"/>
      <c r="N630" s="551">
        <f>(M630-L630)*24</f>
        <v>0</v>
      </c>
      <c r="O630" s="550"/>
      <c r="P630" s="548"/>
      <c r="Q630" s="548"/>
      <c r="R630" s="551">
        <f>(Q630-P630)*24</f>
        <v>0</v>
      </c>
      <c r="S630" s="550"/>
      <c r="T630" s="548">
        <v>0.375</v>
      </c>
      <c r="U630" s="548">
        <v>0.64583333333333337</v>
      </c>
      <c r="V630" s="551">
        <f>(U630-T630)*24</f>
        <v>6.5000000000000009</v>
      </c>
      <c r="W630" s="550"/>
      <c r="X630" s="548"/>
      <c r="Y630" s="548"/>
      <c r="Z630" s="551">
        <f>(Y630-X630)*24</f>
        <v>0</v>
      </c>
      <c r="AA630" s="550"/>
      <c r="AB630" s="548"/>
      <c r="AC630" s="548"/>
      <c r="AD630" s="551">
        <f>(AC630-AB630)*24</f>
        <v>0</v>
      </c>
      <c r="AE630" s="24"/>
      <c r="AF630" s="29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</row>
    <row r="631" spans="1:55" s="2" customFormat="1" ht="14.25">
      <c r="A631"/>
      <c r="B631" s="554" t="s">
        <v>61</v>
      </c>
      <c r="C631" s="554"/>
      <c r="D631" s="548"/>
      <c r="E631" s="548"/>
      <c r="F631" s="549">
        <f t="shared" si="418"/>
        <v>0</v>
      </c>
      <c r="G631" s="550"/>
      <c r="H631" s="548"/>
      <c r="I631" s="548"/>
      <c r="J631" s="551">
        <f t="shared" si="419"/>
        <v>0</v>
      </c>
      <c r="K631" s="550"/>
      <c r="L631" s="552"/>
      <c r="M631" s="548"/>
      <c r="N631" s="551">
        <f t="shared" si="420"/>
        <v>0</v>
      </c>
      <c r="O631" s="550"/>
      <c r="P631" s="548"/>
      <c r="Q631" s="548"/>
      <c r="R631" s="551">
        <f t="shared" si="421"/>
        <v>0</v>
      </c>
      <c r="S631" s="550"/>
      <c r="T631" s="548"/>
      <c r="U631" s="548"/>
      <c r="V631" s="551">
        <f t="shared" si="422"/>
        <v>0</v>
      </c>
      <c r="W631" s="550"/>
      <c r="X631" s="548"/>
      <c r="Y631" s="548"/>
      <c r="Z631" s="551">
        <f t="shared" si="423"/>
        <v>0</v>
      </c>
      <c r="AA631" s="550"/>
      <c r="AB631" s="548"/>
      <c r="AC631" s="548"/>
      <c r="AD631" s="551">
        <f t="shared" si="424"/>
        <v>0</v>
      </c>
      <c r="AE631" s="24"/>
      <c r="AF631" s="29">
        <f>J631+F631+N631+R631+V631+Z631+AD631</f>
        <v>0</v>
      </c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</row>
    <row r="632" spans="1:55" s="2" customFormat="1">
      <c r="A632"/>
      <c r="B632" s="31" t="s">
        <v>577</v>
      </c>
      <c r="C632" s="31"/>
      <c r="D632" s="91"/>
      <c r="E632" s="91"/>
      <c r="F632" s="90"/>
      <c r="G632" s="91"/>
      <c r="H632" s="91"/>
      <c r="I632" s="91"/>
      <c r="J632" s="90"/>
      <c r="K632" s="91"/>
      <c r="L632" s="430"/>
      <c r="M632" s="91"/>
      <c r="N632" s="90"/>
      <c r="O632" s="91"/>
      <c r="P632" s="91"/>
      <c r="Q632" s="91"/>
      <c r="R632" s="90"/>
      <c r="S632" s="91"/>
      <c r="T632" s="91"/>
      <c r="U632" s="91"/>
      <c r="V632" s="90"/>
      <c r="W632" s="91"/>
      <c r="X632" s="91"/>
      <c r="Y632" s="91"/>
      <c r="Z632" s="90"/>
      <c r="AA632" s="91"/>
      <c r="AB632" s="91"/>
      <c r="AC632" s="91"/>
      <c r="AD632" s="91"/>
      <c r="AE632" s="352"/>
      <c r="AF632" s="28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</row>
    <row r="633" spans="1:55" s="2" customFormat="1">
      <c r="A633"/>
      <c r="B633" s="31" t="s">
        <v>578</v>
      </c>
      <c r="C633" s="31"/>
      <c r="D633" s="91"/>
      <c r="E633" s="91"/>
      <c r="F633" s="90"/>
      <c r="G633" s="91"/>
      <c r="H633" s="91"/>
      <c r="I633" s="91"/>
      <c r="J633" s="90"/>
      <c r="K633" s="91"/>
      <c r="L633" s="430"/>
      <c r="M633" s="91"/>
      <c r="N633" s="90"/>
      <c r="O633" s="91"/>
      <c r="P633" s="91"/>
      <c r="Q633" s="91"/>
      <c r="R633" s="90"/>
      <c r="S633" s="91"/>
      <c r="T633" s="91"/>
      <c r="U633" s="91"/>
      <c r="V633" s="90"/>
      <c r="W633" s="91"/>
      <c r="X633" s="91"/>
      <c r="Y633" s="91"/>
      <c r="Z633" s="90"/>
      <c r="AA633" s="91"/>
      <c r="AB633" s="91"/>
      <c r="AC633" s="91"/>
      <c r="AD633" s="91"/>
      <c r="AE633" s="352"/>
      <c r="AF633" s="28">
        <f>SUM(D633:AD633)</f>
        <v>0</v>
      </c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</row>
    <row r="634" spans="1:55" s="2" customFormat="1" ht="14.25" thickBot="1">
      <c r="A634"/>
      <c r="B634" s="74" t="s">
        <v>579</v>
      </c>
      <c r="C634" s="74"/>
      <c r="D634" s="95"/>
      <c r="E634" s="95"/>
      <c r="F634" s="96"/>
      <c r="G634" s="95"/>
      <c r="H634" s="95"/>
      <c r="I634" s="95"/>
      <c r="J634" s="96"/>
      <c r="K634" s="95"/>
      <c r="L634" s="431"/>
      <c r="M634" s="95"/>
      <c r="N634" s="96"/>
      <c r="O634" s="95"/>
      <c r="P634" s="95"/>
      <c r="Q634" s="95"/>
      <c r="R634" s="96"/>
      <c r="S634" s="95"/>
      <c r="T634" s="95"/>
      <c r="U634" s="95"/>
      <c r="V634" s="96"/>
      <c r="W634" s="97"/>
      <c r="X634" s="97"/>
      <c r="Y634" s="97"/>
      <c r="Z634" s="96"/>
      <c r="AA634" s="97"/>
      <c r="AB634" s="97"/>
      <c r="AC634" s="97"/>
      <c r="AD634" s="97"/>
      <c r="AE634" s="97"/>
      <c r="AF634" s="80">
        <f>SUM(D634:AD634)</f>
        <v>0</v>
      </c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</row>
    <row r="635" spans="1:55" ht="14.25" customHeight="1" thickTop="1">
      <c r="B635" s="1518" t="s">
        <v>18</v>
      </c>
      <c r="C635" s="1528" t="s">
        <v>571</v>
      </c>
      <c r="D635" s="1524">
        <v>45551</v>
      </c>
      <c r="E635" s="1524"/>
      <c r="F635" s="1524"/>
      <c r="G635" s="22"/>
      <c r="H635" s="1524">
        <f>D635+1</f>
        <v>45552</v>
      </c>
      <c r="I635" s="1524"/>
      <c r="J635" s="1524"/>
      <c r="K635" s="22"/>
      <c r="L635" s="1524">
        <f>H635+1</f>
        <v>45553</v>
      </c>
      <c r="M635" s="1524"/>
      <c r="N635" s="1524"/>
      <c r="P635" s="1524">
        <f>L635+1</f>
        <v>45554</v>
      </c>
      <c r="Q635" s="1524"/>
      <c r="R635" s="1524"/>
      <c r="T635" s="1524">
        <f>P635+1</f>
        <v>45555</v>
      </c>
      <c r="U635" s="1524"/>
      <c r="V635" s="1524"/>
      <c r="W635" s="22"/>
      <c r="X635" s="1524">
        <f>T635+1</f>
        <v>45556</v>
      </c>
      <c r="Y635" s="1524"/>
      <c r="Z635" s="1524"/>
      <c r="AB635" s="1524">
        <f>X635+1</f>
        <v>45557</v>
      </c>
      <c r="AC635" s="1524"/>
      <c r="AD635" s="1524"/>
      <c r="AE635" s="22"/>
      <c r="AF635" s="1517" t="s">
        <v>19</v>
      </c>
    </row>
    <row r="636" spans="1:55">
      <c r="B636" s="1518"/>
      <c r="C636" s="1528"/>
      <c r="D636" s="21" t="s">
        <v>23</v>
      </c>
      <c r="E636" s="21" t="s">
        <v>24</v>
      </c>
      <c r="F636" s="62" t="s">
        <v>25</v>
      </c>
      <c r="G636" s="23"/>
      <c r="H636" s="21" t="s">
        <v>23</v>
      </c>
      <c r="I636" s="21" t="s">
        <v>24</v>
      </c>
      <c r="J636" s="18" t="s">
        <v>25</v>
      </c>
      <c r="K636" s="23"/>
      <c r="L636" s="21" t="s">
        <v>23</v>
      </c>
      <c r="M636" s="21" t="s">
        <v>24</v>
      </c>
      <c r="N636" s="18" t="s">
        <v>25</v>
      </c>
      <c r="O636" s="23"/>
      <c r="P636" s="21" t="s">
        <v>23</v>
      </c>
      <c r="Q636" s="21" t="s">
        <v>24</v>
      </c>
      <c r="R636" s="18" t="s">
        <v>25</v>
      </c>
      <c r="S636" s="23"/>
      <c r="T636" s="21" t="s">
        <v>23</v>
      </c>
      <c r="U636" s="21" t="s">
        <v>24</v>
      </c>
      <c r="V636" s="18" t="s">
        <v>25</v>
      </c>
      <c r="W636" s="23"/>
      <c r="X636" s="21" t="s">
        <v>23</v>
      </c>
      <c r="Y636" s="21" t="s">
        <v>24</v>
      </c>
      <c r="Z636" s="18" t="s">
        <v>25</v>
      </c>
      <c r="AA636" s="23"/>
      <c r="AB636" s="21" t="s">
        <v>23</v>
      </c>
      <c r="AC636" s="21" t="s">
        <v>24</v>
      </c>
      <c r="AD636" s="18" t="s">
        <v>25</v>
      </c>
      <c r="AE636" s="23"/>
      <c r="AF636" s="1517"/>
    </row>
    <row r="637" spans="1:55" ht="14.25">
      <c r="B637" s="553" t="s">
        <v>810</v>
      </c>
      <c r="C637" s="559" t="s">
        <v>832</v>
      </c>
      <c r="D637" s="548">
        <v>0.375</v>
      </c>
      <c r="E637" s="548">
        <v>0.70833333333333337</v>
      </c>
      <c r="F637" s="549">
        <f t="shared" ref="F637:F654" si="425">(E637-D637)*24</f>
        <v>8</v>
      </c>
      <c r="G637" s="550"/>
      <c r="H637" s="548"/>
      <c r="I637" s="548"/>
      <c r="J637" s="551">
        <f t="shared" ref="J637:J654" si="426">(I637-H637)*24</f>
        <v>0</v>
      </c>
      <c r="K637" s="550"/>
      <c r="L637" s="552"/>
      <c r="M637" s="548"/>
      <c r="N637" s="551">
        <f t="shared" ref="N637:N654" si="427">(M637-L637)*24</f>
        <v>0</v>
      </c>
      <c r="O637" s="550"/>
      <c r="P637" s="548"/>
      <c r="Q637" s="548"/>
      <c r="R637" s="551">
        <f t="shared" ref="R637:R654" si="428">(Q637-P637)*24</f>
        <v>0</v>
      </c>
      <c r="S637" s="550"/>
      <c r="T637" s="548"/>
      <c r="U637" s="548"/>
      <c r="V637" s="551">
        <f t="shared" ref="V637:V654" si="429">(U637-T637)*24</f>
        <v>0</v>
      </c>
      <c r="W637" s="550"/>
      <c r="X637" s="548"/>
      <c r="Y637" s="548"/>
      <c r="Z637" s="551">
        <f t="shared" ref="Z637:Z654" si="430">(Y637-X637)*24</f>
        <v>0</v>
      </c>
      <c r="AA637" s="550"/>
      <c r="AB637" s="548"/>
      <c r="AC637" s="548"/>
      <c r="AD637" s="551">
        <f t="shared" ref="AD637:AD654" si="431">(AC637-AB637)*24</f>
        <v>0</v>
      </c>
      <c r="AE637" s="24"/>
      <c r="AF637" s="29">
        <f>J637+F637+N637+R637+V637+Z637+AD637</f>
        <v>8</v>
      </c>
    </row>
    <row r="638" spans="1:55" ht="14.25">
      <c r="B638" s="553" t="s">
        <v>637</v>
      </c>
      <c r="C638" s="559" t="s">
        <v>861</v>
      </c>
      <c r="D638" s="548">
        <v>0.41666666666666669</v>
      </c>
      <c r="E638" s="548">
        <v>0.64583333333333337</v>
      </c>
      <c r="F638" s="549">
        <f t="shared" si="425"/>
        <v>5.5</v>
      </c>
      <c r="G638" s="550"/>
      <c r="H638" s="548"/>
      <c r="I638" s="548"/>
      <c r="J638" s="551">
        <f t="shared" si="426"/>
        <v>0</v>
      </c>
      <c r="K638" s="550"/>
      <c r="L638" s="552"/>
      <c r="M638" s="548"/>
      <c r="N638" s="551">
        <f t="shared" si="427"/>
        <v>0</v>
      </c>
      <c r="O638" s="550"/>
      <c r="P638" s="548"/>
      <c r="Q638" s="548"/>
      <c r="R638" s="551">
        <f t="shared" si="428"/>
        <v>0</v>
      </c>
      <c r="S638" s="550"/>
      <c r="T638" s="548"/>
      <c r="U638" s="548"/>
      <c r="V638" s="551">
        <f t="shared" si="429"/>
        <v>0</v>
      </c>
      <c r="W638" s="550"/>
      <c r="X638" s="548"/>
      <c r="Y638" s="548"/>
      <c r="Z638" s="551">
        <f t="shared" si="430"/>
        <v>0</v>
      </c>
      <c r="AA638" s="550"/>
      <c r="AB638" s="548"/>
      <c r="AC638" s="548"/>
      <c r="AD638" s="551">
        <f t="shared" si="431"/>
        <v>0</v>
      </c>
      <c r="AE638" s="24"/>
      <c r="AF638" s="29">
        <f>J638+F638+N638+R638+V638+Z638+AD638</f>
        <v>5.5</v>
      </c>
    </row>
    <row r="639" spans="1:55" ht="14.25">
      <c r="B639" s="553" t="s">
        <v>576</v>
      </c>
      <c r="C639" s="559" t="s">
        <v>853</v>
      </c>
      <c r="D639" s="548">
        <v>0.375</v>
      </c>
      <c r="E639" s="548">
        <v>0.70833333333333337</v>
      </c>
      <c r="F639" s="549">
        <f t="shared" si="425"/>
        <v>8</v>
      </c>
      <c r="G639" s="550"/>
      <c r="H639" s="548"/>
      <c r="I639" s="548"/>
      <c r="J639" s="551">
        <f t="shared" si="426"/>
        <v>0</v>
      </c>
      <c r="K639" s="550"/>
      <c r="L639" s="552"/>
      <c r="M639" s="548"/>
      <c r="N639" s="551">
        <f t="shared" si="427"/>
        <v>0</v>
      </c>
      <c r="O639" s="550"/>
      <c r="P639" s="548"/>
      <c r="Q639" s="548"/>
      <c r="R639" s="551">
        <f t="shared" si="428"/>
        <v>0</v>
      </c>
      <c r="S639" s="550"/>
      <c r="T639" s="548"/>
      <c r="U639" s="548"/>
      <c r="V639" s="551">
        <f t="shared" si="429"/>
        <v>0</v>
      </c>
      <c r="W639" s="550"/>
      <c r="X639" s="548"/>
      <c r="Y639" s="548"/>
      <c r="Z639" s="551">
        <f t="shared" si="430"/>
        <v>0</v>
      </c>
      <c r="AA639" s="550"/>
      <c r="AB639" s="548"/>
      <c r="AC639" s="548"/>
      <c r="AD639" s="551">
        <f t="shared" si="431"/>
        <v>0</v>
      </c>
      <c r="AE639" s="24"/>
      <c r="AF639" s="29">
        <f>J639+F639+N639+R639+V639+Z639+AD639</f>
        <v>8</v>
      </c>
    </row>
    <row r="640" spans="1:55" ht="14.25">
      <c r="B640" s="553" t="s">
        <v>54</v>
      </c>
      <c r="C640" s="559" t="s">
        <v>859</v>
      </c>
      <c r="D640" s="548"/>
      <c r="E640" s="548"/>
      <c r="F640" s="549">
        <f t="shared" si="425"/>
        <v>0</v>
      </c>
      <c r="G640" s="550"/>
      <c r="H640" s="548"/>
      <c r="I640" s="548"/>
      <c r="J640" s="551">
        <f t="shared" si="426"/>
        <v>0</v>
      </c>
      <c r="K640" s="550"/>
      <c r="L640" s="552"/>
      <c r="M640" s="548"/>
      <c r="N640" s="551">
        <f t="shared" si="427"/>
        <v>0</v>
      </c>
      <c r="O640" s="550"/>
      <c r="P640" s="548"/>
      <c r="Q640" s="548"/>
      <c r="R640" s="551">
        <f t="shared" si="428"/>
        <v>0</v>
      </c>
      <c r="S640" s="550"/>
      <c r="T640" s="548"/>
      <c r="U640" s="548"/>
      <c r="V640" s="551">
        <f t="shared" si="429"/>
        <v>0</v>
      </c>
      <c r="W640" s="550"/>
      <c r="X640" s="548"/>
      <c r="Y640" s="548"/>
      <c r="Z640" s="551">
        <f t="shared" si="430"/>
        <v>0</v>
      </c>
      <c r="AA640" s="550"/>
      <c r="AB640" s="548"/>
      <c r="AC640" s="548"/>
      <c r="AD640" s="551">
        <f t="shared" si="431"/>
        <v>0</v>
      </c>
      <c r="AE640" s="24"/>
      <c r="AF640" s="29">
        <f>J640+F640+N640+R640+V640+Z640+AD640</f>
        <v>0</v>
      </c>
    </row>
    <row r="641" spans="2:32" ht="14.25">
      <c r="B641" s="553" t="s">
        <v>572</v>
      </c>
      <c r="C641" s="559" t="s">
        <v>862</v>
      </c>
      <c r="D641" s="548"/>
      <c r="E641" s="548"/>
      <c r="F641" s="549">
        <f t="shared" si="425"/>
        <v>0</v>
      </c>
      <c r="G641" s="550"/>
      <c r="H641" s="548">
        <v>0.35416666666666669</v>
      </c>
      <c r="I641" s="548">
        <v>0.70833333333333337</v>
      </c>
      <c r="J641" s="551">
        <f t="shared" si="426"/>
        <v>8.5</v>
      </c>
      <c r="K641" s="550"/>
      <c r="L641" s="552"/>
      <c r="M641" s="548"/>
      <c r="N641" s="551">
        <f t="shared" si="427"/>
        <v>0</v>
      </c>
      <c r="O641" s="550"/>
      <c r="P641" s="548"/>
      <c r="Q641" s="548"/>
      <c r="R641" s="551">
        <f t="shared" si="428"/>
        <v>0</v>
      </c>
      <c r="S641" s="550"/>
      <c r="T641" s="548"/>
      <c r="U641" s="548"/>
      <c r="V641" s="551">
        <f t="shared" si="429"/>
        <v>0</v>
      </c>
      <c r="W641" s="550"/>
      <c r="X641" s="548"/>
      <c r="Y641" s="548"/>
      <c r="Z641" s="551">
        <f t="shared" si="430"/>
        <v>0</v>
      </c>
      <c r="AA641" s="550"/>
      <c r="AB641" s="548"/>
      <c r="AC641" s="548"/>
      <c r="AD641" s="551">
        <f t="shared" si="431"/>
        <v>0</v>
      </c>
      <c r="AE641" s="24"/>
      <c r="AF641" s="29"/>
    </row>
    <row r="642" spans="2:32" ht="14.25">
      <c r="B642" s="553" t="s">
        <v>576</v>
      </c>
      <c r="C642" s="559" t="s">
        <v>862</v>
      </c>
      <c r="D642" s="548"/>
      <c r="E642" s="548"/>
      <c r="F642" s="549">
        <f t="shared" si="425"/>
        <v>0</v>
      </c>
      <c r="G642" s="550"/>
      <c r="H642" s="548">
        <v>0.375</v>
      </c>
      <c r="I642" s="548">
        <v>0.70833333333333337</v>
      </c>
      <c r="J642" s="551">
        <f t="shared" si="426"/>
        <v>8</v>
      </c>
      <c r="K642" s="550"/>
      <c r="L642" s="552"/>
      <c r="M642" s="548"/>
      <c r="N642" s="551">
        <f t="shared" si="427"/>
        <v>0</v>
      </c>
      <c r="O642" s="550"/>
      <c r="P642" s="548"/>
      <c r="Q642" s="548"/>
      <c r="R642" s="551">
        <f t="shared" si="428"/>
        <v>0</v>
      </c>
      <c r="S642" s="550"/>
      <c r="T642" s="548"/>
      <c r="U642" s="548"/>
      <c r="V642" s="551">
        <f t="shared" si="429"/>
        <v>0</v>
      </c>
      <c r="W642" s="550"/>
      <c r="X642" s="548"/>
      <c r="Y642" s="548"/>
      <c r="Z642" s="551">
        <f t="shared" si="430"/>
        <v>0</v>
      </c>
      <c r="AA642" s="550"/>
      <c r="AB642" s="548"/>
      <c r="AC642" s="548"/>
      <c r="AD642" s="551">
        <f t="shared" si="431"/>
        <v>0</v>
      </c>
      <c r="AE642" s="24"/>
      <c r="AF642" s="29"/>
    </row>
    <row r="643" spans="2:32" ht="14.25">
      <c r="B643" s="553" t="s">
        <v>42</v>
      </c>
      <c r="C643" s="559" t="s">
        <v>862</v>
      </c>
      <c r="D643" s="548"/>
      <c r="E643" s="548"/>
      <c r="F643" s="549">
        <f t="shared" si="425"/>
        <v>0</v>
      </c>
      <c r="G643" s="550"/>
      <c r="H643" s="548">
        <v>0.38958333333333334</v>
      </c>
      <c r="I643" s="548">
        <v>0.70833333333333337</v>
      </c>
      <c r="J643" s="551">
        <f t="shared" si="426"/>
        <v>7.65</v>
      </c>
      <c r="K643" s="550"/>
      <c r="L643" s="552"/>
      <c r="M643" s="548"/>
      <c r="N643" s="551">
        <f t="shared" si="427"/>
        <v>0</v>
      </c>
      <c r="O643" s="550"/>
      <c r="P643" s="548"/>
      <c r="Q643" s="548"/>
      <c r="R643" s="551">
        <f t="shared" si="428"/>
        <v>0</v>
      </c>
      <c r="S643" s="550"/>
      <c r="T643" s="548"/>
      <c r="U643" s="548"/>
      <c r="V643" s="551">
        <f t="shared" si="429"/>
        <v>0</v>
      </c>
      <c r="W643" s="550"/>
      <c r="X643" s="548"/>
      <c r="Y643" s="548"/>
      <c r="Z643" s="551">
        <f t="shared" si="430"/>
        <v>0</v>
      </c>
      <c r="AA643" s="550"/>
      <c r="AB643" s="548"/>
      <c r="AC643" s="548"/>
      <c r="AD643" s="551">
        <f t="shared" si="431"/>
        <v>0</v>
      </c>
      <c r="AE643" s="24"/>
      <c r="AF643" s="29">
        <f>J643+F643+N643+R643+V643+Z643+AD643</f>
        <v>7.65</v>
      </c>
    </row>
    <row r="644" spans="2:32" ht="14.25">
      <c r="B644" s="553" t="s">
        <v>54</v>
      </c>
      <c r="C644" s="559" t="s">
        <v>862</v>
      </c>
      <c r="D644" s="548"/>
      <c r="E644" s="548"/>
      <c r="F644" s="549">
        <f t="shared" si="425"/>
        <v>0</v>
      </c>
      <c r="G644" s="550"/>
      <c r="H644" s="548">
        <v>0.38611111111111113</v>
      </c>
      <c r="I644" s="548">
        <v>0.70833333333333337</v>
      </c>
      <c r="J644" s="551">
        <f t="shared" si="426"/>
        <v>7.7333333333333343</v>
      </c>
      <c r="K644" s="550"/>
      <c r="L644" s="552"/>
      <c r="M644" s="548"/>
      <c r="N644" s="551">
        <f t="shared" si="427"/>
        <v>0</v>
      </c>
      <c r="O644" s="550"/>
      <c r="P644" s="548"/>
      <c r="Q644" s="548"/>
      <c r="R644" s="551">
        <f t="shared" si="428"/>
        <v>0</v>
      </c>
      <c r="S644" s="550"/>
      <c r="T644" s="548"/>
      <c r="U644" s="548"/>
      <c r="V644" s="551">
        <f t="shared" si="429"/>
        <v>0</v>
      </c>
      <c r="W644" s="550"/>
      <c r="X644" s="548"/>
      <c r="Y644" s="548"/>
      <c r="Z644" s="551">
        <f t="shared" si="430"/>
        <v>0</v>
      </c>
      <c r="AA644" s="550"/>
      <c r="AB644" s="548"/>
      <c r="AC644" s="548"/>
      <c r="AD644" s="551">
        <f t="shared" si="431"/>
        <v>0</v>
      </c>
      <c r="AE644" s="24"/>
      <c r="AF644" s="29">
        <f>J644+F644+N644+R644+V644+Z644+AD644</f>
        <v>7.7333333333333343</v>
      </c>
    </row>
    <row r="645" spans="2:32" ht="14.25">
      <c r="B645" s="553" t="s">
        <v>810</v>
      </c>
      <c r="C645" s="559" t="s">
        <v>863</v>
      </c>
      <c r="D645" s="548"/>
      <c r="E645" s="548"/>
      <c r="F645" s="549">
        <f t="shared" si="425"/>
        <v>0</v>
      </c>
      <c r="G645" s="550"/>
      <c r="H645" s="548"/>
      <c r="I645" s="548"/>
      <c r="J645" s="551">
        <f t="shared" si="426"/>
        <v>0</v>
      </c>
      <c r="K645" s="550"/>
      <c r="L645" s="552"/>
      <c r="M645" s="548"/>
      <c r="N645" s="551">
        <f t="shared" si="427"/>
        <v>0</v>
      </c>
      <c r="O645" s="550"/>
      <c r="P645" s="548">
        <v>0.39583333333333331</v>
      </c>
      <c r="Q645" s="548">
        <v>0.52083333333333337</v>
      </c>
      <c r="R645" s="551">
        <f t="shared" si="428"/>
        <v>3.0000000000000013</v>
      </c>
      <c r="S645" s="550"/>
      <c r="T645" s="548"/>
      <c r="U645" s="548"/>
      <c r="V645" s="551">
        <f t="shared" si="429"/>
        <v>0</v>
      </c>
      <c r="W645" s="550"/>
      <c r="X645" s="548"/>
      <c r="Y645" s="548"/>
      <c r="Z645" s="551">
        <f t="shared" si="430"/>
        <v>0</v>
      </c>
      <c r="AA645" s="550"/>
      <c r="AB645" s="548"/>
      <c r="AC645" s="548"/>
      <c r="AD645" s="551">
        <f t="shared" si="431"/>
        <v>0</v>
      </c>
      <c r="AE645" s="24"/>
      <c r="AF645" s="29"/>
    </row>
    <row r="646" spans="2:32" ht="14.25">
      <c r="B646" s="553" t="s">
        <v>582</v>
      </c>
      <c r="C646" s="547" t="s">
        <v>826</v>
      </c>
      <c r="D646" s="548"/>
      <c r="E646" s="548"/>
      <c r="F646" s="549">
        <f t="shared" si="425"/>
        <v>0</v>
      </c>
      <c r="G646" s="550"/>
      <c r="H646" s="548">
        <v>0.72916666666666663</v>
      </c>
      <c r="I646" s="548">
        <v>0.875</v>
      </c>
      <c r="J646" s="551">
        <f t="shared" si="426"/>
        <v>3.5000000000000009</v>
      </c>
      <c r="K646" s="550"/>
      <c r="L646" s="552"/>
      <c r="M646" s="548"/>
      <c r="N646" s="551">
        <f t="shared" si="427"/>
        <v>0</v>
      </c>
      <c r="O646" s="550"/>
      <c r="P646" s="548"/>
      <c r="Q646" s="548"/>
      <c r="R646" s="551">
        <f t="shared" si="428"/>
        <v>0</v>
      </c>
      <c r="S646" s="550"/>
      <c r="T646" s="548">
        <v>0.22916666666666666</v>
      </c>
      <c r="U646" s="548">
        <v>0.4375</v>
      </c>
      <c r="V646" s="551">
        <f t="shared" si="429"/>
        <v>5</v>
      </c>
      <c r="W646" s="551">
        <f>(V646-U646)*24</f>
        <v>109.5</v>
      </c>
      <c r="X646" s="548"/>
      <c r="Y646" s="548"/>
      <c r="Z646" s="551">
        <f t="shared" si="430"/>
        <v>0</v>
      </c>
      <c r="AA646" s="550"/>
      <c r="AB646" s="548"/>
      <c r="AC646" s="548"/>
      <c r="AD646" s="551">
        <f t="shared" si="431"/>
        <v>0</v>
      </c>
      <c r="AE646" s="24"/>
      <c r="AF646" s="29"/>
    </row>
    <row r="647" spans="2:32" ht="14.25">
      <c r="B647" s="553" t="s">
        <v>576</v>
      </c>
      <c r="C647" s="547" t="s">
        <v>826</v>
      </c>
      <c r="D647" s="548"/>
      <c r="E647" s="548"/>
      <c r="F647" s="549">
        <f>(E647-D647)*24</f>
        <v>0</v>
      </c>
      <c r="G647" s="550"/>
      <c r="H647" s="548"/>
      <c r="I647" s="548"/>
      <c r="J647" s="551">
        <f>(I647-H647)*24</f>
        <v>0</v>
      </c>
      <c r="K647" s="550"/>
      <c r="L647" s="552"/>
      <c r="M647" s="548"/>
      <c r="N647" s="551">
        <f>(M647-L647)*24</f>
        <v>0</v>
      </c>
      <c r="O647" s="550"/>
      <c r="P647" s="548"/>
      <c r="Q647" s="548"/>
      <c r="R647" s="551">
        <f>(Q647-P647)*24</f>
        <v>0</v>
      </c>
      <c r="S647" s="550"/>
      <c r="T647" s="548">
        <v>0.22916666666666666</v>
      </c>
      <c r="U647" s="548">
        <v>0.4375</v>
      </c>
      <c r="V647" s="551">
        <f>(U647-T647)*24</f>
        <v>5</v>
      </c>
      <c r="W647" s="550"/>
      <c r="X647" s="548"/>
      <c r="Y647" s="548"/>
      <c r="Z647" s="551">
        <f t="shared" ref="Z647:Z653" si="432">(Y647-X647)*24</f>
        <v>0</v>
      </c>
      <c r="AA647" s="550"/>
      <c r="AB647" s="548"/>
      <c r="AC647" s="548"/>
      <c r="AD647" s="551">
        <f t="shared" ref="AD647:AD653" si="433">(AC647-AB647)*24</f>
        <v>0</v>
      </c>
      <c r="AE647" s="24"/>
      <c r="AF647" s="29"/>
    </row>
    <row r="648" spans="2:32" ht="14.25">
      <c r="B648" s="553" t="s">
        <v>54</v>
      </c>
      <c r="C648" s="547" t="s">
        <v>864</v>
      </c>
      <c r="D648" s="548"/>
      <c r="E648" s="548"/>
      <c r="F648" s="549">
        <f t="shared" si="425"/>
        <v>0</v>
      </c>
      <c r="G648" s="550"/>
      <c r="H648" s="548"/>
      <c r="I648" s="548"/>
      <c r="J648" s="551">
        <f t="shared" si="426"/>
        <v>0</v>
      </c>
      <c r="K648" s="550"/>
      <c r="L648" s="552"/>
      <c r="M648" s="548"/>
      <c r="N648" s="551">
        <f t="shared" si="427"/>
        <v>0</v>
      </c>
      <c r="O648" s="550"/>
      <c r="P648" s="548">
        <v>0.375</v>
      </c>
      <c r="Q648" s="548"/>
      <c r="R648" s="551">
        <f t="shared" si="428"/>
        <v>-9</v>
      </c>
      <c r="S648" s="550"/>
      <c r="T648" s="548"/>
      <c r="U648" s="548"/>
      <c r="V648" s="551">
        <f t="shared" si="429"/>
        <v>0</v>
      </c>
      <c r="W648" s="550"/>
      <c r="X648" s="548"/>
      <c r="Y648" s="548"/>
      <c r="Z648" s="551">
        <f t="shared" si="432"/>
        <v>0</v>
      </c>
      <c r="AA648" s="550"/>
      <c r="AB648" s="548"/>
      <c r="AC648" s="548"/>
      <c r="AD648" s="551">
        <f t="shared" si="433"/>
        <v>0</v>
      </c>
      <c r="AE648" s="24"/>
      <c r="AF648" s="29">
        <f>J648+F648+N648+R648+V648+Z648+AD648</f>
        <v>-9</v>
      </c>
    </row>
    <row r="649" spans="2:32" ht="14.25">
      <c r="B649" s="553" t="s">
        <v>653</v>
      </c>
      <c r="C649" s="547" t="s">
        <v>864</v>
      </c>
      <c r="D649" s="548"/>
      <c r="E649" s="548"/>
      <c r="F649" s="549">
        <f>(E649-D649)*24</f>
        <v>0</v>
      </c>
      <c r="G649" s="550"/>
      <c r="H649" s="548"/>
      <c r="I649" s="548"/>
      <c r="J649" s="551">
        <f>(I649-H649)*24</f>
        <v>0</v>
      </c>
      <c r="K649" s="550"/>
      <c r="L649" s="552"/>
      <c r="M649" s="548"/>
      <c r="N649" s="551">
        <f>(M649-L649)*24</f>
        <v>0</v>
      </c>
      <c r="O649" s="550"/>
      <c r="P649" s="548">
        <v>0.39583333333333331</v>
      </c>
      <c r="Q649" s="548"/>
      <c r="R649" s="551">
        <f>(Q649-P649)*24</f>
        <v>-9.5</v>
      </c>
      <c r="S649" s="550"/>
      <c r="T649" s="548"/>
      <c r="U649" s="548"/>
      <c r="V649" s="551">
        <f>(U649-T649)*24</f>
        <v>0</v>
      </c>
      <c r="W649" s="550"/>
      <c r="X649" s="548"/>
      <c r="Y649" s="548"/>
      <c r="Z649" s="551">
        <f t="shared" si="432"/>
        <v>0</v>
      </c>
      <c r="AA649" s="550"/>
      <c r="AB649" s="548"/>
      <c r="AC649" s="548"/>
      <c r="AD649" s="551">
        <f t="shared" si="433"/>
        <v>0</v>
      </c>
      <c r="AE649" s="24"/>
      <c r="AF649" s="29"/>
    </row>
    <row r="650" spans="2:32" ht="14.25">
      <c r="B650" s="553" t="s">
        <v>54</v>
      </c>
      <c r="C650" s="547" t="s">
        <v>846</v>
      </c>
      <c r="D650" s="548"/>
      <c r="E650" s="548"/>
      <c r="F650" s="549">
        <f>(E650-D650)*24</f>
        <v>0</v>
      </c>
      <c r="G650" s="550"/>
      <c r="H650" s="548"/>
      <c r="I650" s="548"/>
      <c r="J650" s="551">
        <f>(I650-H650)*24</f>
        <v>0</v>
      </c>
      <c r="K650" s="550"/>
      <c r="L650" s="552"/>
      <c r="M650" s="548"/>
      <c r="N650" s="551">
        <f>(M650-L650)*24</f>
        <v>0</v>
      </c>
      <c r="O650" s="550"/>
      <c r="P650" s="548"/>
      <c r="Q650" s="548"/>
      <c r="R650" s="551">
        <f>(Q650-P650)*24</f>
        <v>0</v>
      </c>
      <c r="S650" s="550"/>
      <c r="T650" s="548">
        <v>0.39583333333333331</v>
      </c>
      <c r="U650" s="548"/>
      <c r="V650" s="551">
        <f>(U650-T650)*24</f>
        <v>-9.5</v>
      </c>
      <c r="W650" s="550"/>
      <c r="X650" s="548"/>
      <c r="Y650" s="548"/>
      <c r="Z650" s="551">
        <f t="shared" si="432"/>
        <v>0</v>
      </c>
      <c r="AA650" s="550"/>
      <c r="AB650" s="548"/>
      <c r="AC650" s="548"/>
      <c r="AD650" s="551">
        <f t="shared" si="433"/>
        <v>0</v>
      </c>
      <c r="AE650" s="24"/>
      <c r="AF650" s="29"/>
    </row>
    <row r="651" spans="2:32" ht="40.5">
      <c r="B651" s="553" t="s">
        <v>572</v>
      </c>
      <c r="C651" s="547" t="s">
        <v>865</v>
      </c>
      <c r="D651" s="547" t="s">
        <v>865</v>
      </c>
      <c r="E651" s="548"/>
      <c r="F651" s="549" t="e">
        <f>(E651-D651)*24</f>
        <v>#VALUE!</v>
      </c>
      <c r="G651" s="550"/>
      <c r="H651" s="548"/>
      <c r="I651" s="548"/>
      <c r="J651" s="551">
        <f>(I651-H651)*24</f>
        <v>0</v>
      </c>
      <c r="K651" s="550"/>
      <c r="L651" s="552"/>
      <c r="M651" s="548"/>
      <c r="N651" s="551">
        <f>(M651-L651)*24</f>
        <v>0</v>
      </c>
      <c r="O651" s="550"/>
      <c r="P651" s="548"/>
      <c r="Q651" s="548"/>
      <c r="R651" s="551">
        <f>(Q651-P651)*24</f>
        <v>0</v>
      </c>
      <c r="S651" s="550"/>
      <c r="T651" s="548"/>
      <c r="U651" s="548"/>
      <c r="V651" s="551">
        <f>(U651-T651)*24</f>
        <v>0</v>
      </c>
      <c r="W651" s="550"/>
      <c r="X651" s="548">
        <v>0.35416666666666669</v>
      </c>
      <c r="Y651" s="548">
        <v>0.875</v>
      </c>
      <c r="Z651" s="551">
        <f t="shared" si="432"/>
        <v>12.499999999999998</v>
      </c>
      <c r="AA651" s="550"/>
      <c r="AB651" s="548"/>
      <c r="AC651" s="548"/>
      <c r="AD651" s="551">
        <f t="shared" si="433"/>
        <v>0</v>
      </c>
      <c r="AE651" s="24"/>
      <c r="AF651" s="29"/>
    </row>
    <row r="652" spans="2:32" ht="14.25">
      <c r="B652" s="553" t="s">
        <v>603</v>
      </c>
      <c r="C652" s="547" t="s">
        <v>865</v>
      </c>
      <c r="D652" s="548"/>
      <c r="E652" s="548"/>
      <c r="F652" s="549">
        <f>(E652-D652)*24</f>
        <v>0</v>
      </c>
      <c r="G652" s="550"/>
      <c r="H652" s="548"/>
      <c r="I652" s="548"/>
      <c r="J652" s="551">
        <f>(I652-H652)*24</f>
        <v>0</v>
      </c>
      <c r="K652" s="550"/>
      <c r="L652" s="552"/>
      <c r="M652" s="548"/>
      <c r="N652" s="551">
        <f>(M652-L652)*24</f>
        <v>0</v>
      </c>
      <c r="O652" s="550"/>
      <c r="P652" s="548"/>
      <c r="Q652" s="548"/>
      <c r="R652" s="551">
        <f>(Q652-P652)*24</f>
        <v>0</v>
      </c>
      <c r="S652" s="550"/>
      <c r="T652" s="548"/>
      <c r="U652" s="548"/>
      <c r="V652" s="551">
        <f>(U652-T652)*24</f>
        <v>0</v>
      </c>
      <c r="W652" s="550"/>
      <c r="X652" s="548">
        <v>0.35416666666666669</v>
      </c>
      <c r="Y652" s="548">
        <v>0.875</v>
      </c>
      <c r="Z652" s="551">
        <f t="shared" si="432"/>
        <v>12.499999999999998</v>
      </c>
      <c r="AA652" s="550"/>
      <c r="AB652" s="548"/>
      <c r="AC652" s="548"/>
      <c r="AD652" s="551">
        <f t="shared" si="433"/>
        <v>0</v>
      </c>
      <c r="AE652" s="24"/>
      <c r="AF652" s="29"/>
    </row>
    <row r="653" spans="2:32" ht="14.25">
      <c r="B653" s="553" t="s">
        <v>42</v>
      </c>
      <c r="C653" s="547" t="s">
        <v>865</v>
      </c>
      <c r="D653" s="548"/>
      <c r="E653" s="548"/>
      <c r="F653" s="549">
        <f>(E653-D653)*24</f>
        <v>0</v>
      </c>
      <c r="G653" s="550"/>
      <c r="H653" s="548"/>
      <c r="I653" s="548"/>
      <c r="J653" s="551">
        <f>(I653-H653)*24</f>
        <v>0</v>
      </c>
      <c r="K653" s="550"/>
      <c r="L653" s="552"/>
      <c r="M653" s="548"/>
      <c r="N653" s="551">
        <f>(M653-L653)*24</f>
        <v>0</v>
      </c>
      <c r="O653" s="550"/>
      <c r="P653" s="548"/>
      <c r="Q653" s="548"/>
      <c r="R653" s="551">
        <f>(Q653-P653)*24</f>
        <v>0</v>
      </c>
      <c r="S653" s="550"/>
      <c r="T653" s="548"/>
      <c r="U653" s="548"/>
      <c r="V653" s="551">
        <f>(U653-T653)*24</f>
        <v>0</v>
      </c>
      <c r="W653" s="550"/>
      <c r="X653" s="548">
        <v>0.35416666666666669</v>
      </c>
      <c r="Y653" s="548">
        <v>0.875</v>
      </c>
      <c r="Z653" s="551">
        <f t="shared" si="432"/>
        <v>12.499999999999998</v>
      </c>
      <c r="AA653" s="550"/>
      <c r="AB653" s="548"/>
      <c r="AC653" s="548"/>
      <c r="AD653" s="551">
        <f t="shared" si="433"/>
        <v>0</v>
      </c>
      <c r="AE653" s="24"/>
      <c r="AF653" s="29"/>
    </row>
    <row r="654" spans="2:32" ht="14.25">
      <c r="B654" s="554" t="s">
        <v>61</v>
      </c>
      <c r="C654" s="554"/>
      <c r="D654" s="548"/>
      <c r="E654" s="548"/>
      <c r="F654" s="549">
        <f t="shared" si="425"/>
        <v>0</v>
      </c>
      <c r="G654" s="550"/>
      <c r="H654" s="548"/>
      <c r="I654" s="548"/>
      <c r="J654" s="551">
        <f t="shared" si="426"/>
        <v>0</v>
      </c>
      <c r="K654" s="550"/>
      <c r="L654" s="552"/>
      <c r="M654" s="548"/>
      <c r="N654" s="551">
        <f t="shared" si="427"/>
        <v>0</v>
      </c>
      <c r="O654" s="550"/>
      <c r="P654" s="548"/>
      <c r="Q654" s="548"/>
      <c r="R654" s="551">
        <f t="shared" si="428"/>
        <v>0</v>
      </c>
      <c r="S654" s="550"/>
      <c r="T654" s="548"/>
      <c r="U654" s="548"/>
      <c r="V654" s="551">
        <f t="shared" si="429"/>
        <v>0</v>
      </c>
      <c r="W654" s="550"/>
      <c r="X654" s="548"/>
      <c r="Y654" s="548"/>
      <c r="Z654" s="551">
        <f t="shared" si="430"/>
        <v>0</v>
      </c>
      <c r="AA654" s="550"/>
      <c r="AB654" s="548"/>
      <c r="AC654" s="548"/>
      <c r="AD654" s="551">
        <f t="shared" si="431"/>
        <v>0</v>
      </c>
      <c r="AE654" s="24"/>
      <c r="AF654" s="29">
        <f>J654+F654+N654+R654+V654+Z654+AD654</f>
        <v>0</v>
      </c>
    </row>
    <row r="655" spans="2:32">
      <c r="B655" s="31" t="s">
        <v>577</v>
      </c>
      <c r="C655" s="31"/>
      <c r="D655" s="91"/>
      <c r="E655" s="91"/>
      <c r="F655" s="90"/>
      <c r="G655" s="91"/>
      <c r="H655" s="91"/>
      <c r="I655" s="91"/>
      <c r="J655" s="90"/>
      <c r="K655" s="91"/>
      <c r="L655" s="430"/>
      <c r="M655" s="91"/>
      <c r="N655" s="90"/>
      <c r="O655" s="91"/>
      <c r="P655" s="91"/>
      <c r="Q655" s="91"/>
      <c r="R655" s="90"/>
      <c r="S655" s="91"/>
      <c r="T655" s="91"/>
      <c r="U655" s="91"/>
      <c r="V655" s="90"/>
      <c r="W655" s="91"/>
      <c r="X655" s="91"/>
      <c r="Y655" s="91"/>
      <c r="Z655" s="90"/>
      <c r="AA655" s="91"/>
      <c r="AB655" s="91"/>
      <c r="AC655" s="91"/>
      <c r="AD655" s="91"/>
      <c r="AE655" s="352"/>
      <c r="AF655" s="28"/>
    </row>
    <row r="656" spans="2:32">
      <c r="B656" s="31" t="s">
        <v>578</v>
      </c>
      <c r="C656" s="31"/>
      <c r="D656" s="91"/>
      <c r="E656" s="91"/>
      <c r="F656" s="90"/>
      <c r="G656" s="91"/>
      <c r="H656" s="91"/>
      <c r="I656" s="91"/>
      <c r="J656" s="90"/>
      <c r="K656" s="91"/>
      <c r="L656" s="430"/>
      <c r="M656" s="91"/>
      <c r="N656" s="90"/>
      <c r="O656" s="91"/>
      <c r="P656" s="91"/>
      <c r="Q656" s="91"/>
      <c r="R656" s="90"/>
      <c r="S656" s="91"/>
      <c r="T656" s="91"/>
      <c r="U656" s="91"/>
      <c r="V656" s="90"/>
      <c r="W656" s="91"/>
      <c r="X656" s="91"/>
      <c r="Y656" s="91"/>
      <c r="Z656" s="90"/>
      <c r="AA656" s="91"/>
      <c r="AB656" s="91"/>
      <c r="AC656" s="91"/>
      <c r="AD656" s="91"/>
      <c r="AE656" s="352"/>
      <c r="AF656" s="28">
        <f>SUM(D656:AD656)</f>
        <v>0</v>
      </c>
    </row>
    <row r="657" spans="2:32" ht="14.25" thickBot="1">
      <c r="B657" s="74" t="s">
        <v>579</v>
      </c>
      <c r="C657" s="74"/>
      <c r="D657" s="95"/>
      <c r="E657" s="95"/>
      <c r="F657" s="96"/>
      <c r="G657" s="95"/>
      <c r="H657" s="95"/>
      <c r="I657" s="95"/>
      <c r="J657" s="96"/>
      <c r="K657" s="95"/>
      <c r="L657" s="431"/>
      <c r="M657" s="95"/>
      <c r="N657" s="96"/>
      <c r="O657" s="95"/>
      <c r="P657" s="95"/>
      <c r="Q657" s="95"/>
      <c r="R657" s="96"/>
      <c r="S657" s="95"/>
      <c r="T657" s="95"/>
      <c r="U657" s="95"/>
      <c r="V657" s="96"/>
      <c r="W657" s="97"/>
      <c r="X657" s="97"/>
      <c r="Y657" s="97"/>
      <c r="Z657" s="96"/>
      <c r="AA657" s="97"/>
      <c r="AB657" s="97"/>
      <c r="AC657" s="97"/>
      <c r="AD657" s="97"/>
      <c r="AE657" s="97"/>
      <c r="AF657" s="80">
        <f>SUM(D657:AD657)</f>
        <v>0</v>
      </c>
    </row>
    <row r="658" spans="2:32" ht="14.25" customHeight="1" thickTop="1">
      <c r="B658" s="1518" t="s">
        <v>18</v>
      </c>
      <c r="C658" s="1528" t="s">
        <v>571</v>
      </c>
      <c r="D658" s="1524">
        <v>45558</v>
      </c>
      <c r="E658" s="1524"/>
      <c r="F658" s="1524"/>
      <c r="G658" s="22"/>
      <c r="H658" s="1524">
        <f>D658+1</f>
        <v>45559</v>
      </c>
      <c r="I658" s="1524"/>
      <c r="J658" s="1524"/>
      <c r="K658" s="22"/>
      <c r="L658" s="1524">
        <f>H658+1</f>
        <v>45560</v>
      </c>
      <c r="M658" s="1524"/>
      <c r="N658" s="1524"/>
      <c r="P658" s="1524">
        <f>L658+1</f>
        <v>45561</v>
      </c>
      <c r="Q658" s="1524"/>
      <c r="R658" s="1524"/>
      <c r="T658" s="1524">
        <f>P658+1</f>
        <v>45562</v>
      </c>
      <c r="U658" s="1524"/>
      <c r="V658" s="1524"/>
      <c r="W658" s="22"/>
      <c r="X658" s="1524">
        <f>T658+1</f>
        <v>45563</v>
      </c>
      <c r="Y658" s="1524"/>
      <c r="Z658" s="1524"/>
      <c r="AB658" s="1524">
        <f>X658+1</f>
        <v>45564</v>
      </c>
      <c r="AC658" s="1524"/>
      <c r="AD658" s="1524"/>
      <c r="AE658" s="22"/>
      <c r="AF658" s="1517" t="s">
        <v>19</v>
      </c>
    </row>
    <row r="659" spans="2:32">
      <c r="B659" s="1518"/>
      <c r="C659" s="1528"/>
      <c r="D659" s="21" t="s">
        <v>23</v>
      </c>
      <c r="E659" s="21" t="s">
        <v>24</v>
      </c>
      <c r="F659" s="62" t="s">
        <v>25</v>
      </c>
      <c r="G659" s="23"/>
      <c r="H659" s="21" t="s">
        <v>23</v>
      </c>
      <c r="I659" s="21" t="s">
        <v>24</v>
      </c>
      <c r="J659" s="18" t="s">
        <v>25</v>
      </c>
      <c r="K659" s="23"/>
      <c r="L659" s="21" t="s">
        <v>23</v>
      </c>
      <c r="M659" s="21" t="s">
        <v>24</v>
      </c>
      <c r="N659" s="18" t="s">
        <v>25</v>
      </c>
      <c r="O659" s="23"/>
      <c r="P659" s="21" t="s">
        <v>23</v>
      </c>
      <c r="Q659" s="21" t="s">
        <v>24</v>
      </c>
      <c r="R659" s="18" t="s">
        <v>25</v>
      </c>
      <c r="S659" s="23"/>
      <c r="T659" s="21" t="s">
        <v>23</v>
      </c>
      <c r="U659" s="21" t="s">
        <v>24</v>
      </c>
      <c r="V659" s="18" t="s">
        <v>25</v>
      </c>
      <c r="W659" s="23"/>
      <c r="X659" s="21" t="s">
        <v>23</v>
      </c>
      <c r="Y659" s="21" t="s">
        <v>24</v>
      </c>
      <c r="Z659" s="18" t="s">
        <v>25</v>
      </c>
      <c r="AA659" s="23"/>
      <c r="AB659" s="21" t="s">
        <v>23</v>
      </c>
      <c r="AC659" s="21" t="s">
        <v>24</v>
      </c>
      <c r="AD659" s="18" t="s">
        <v>25</v>
      </c>
      <c r="AE659" s="23"/>
      <c r="AF659" s="1517"/>
    </row>
    <row r="660" spans="2:32" ht="14.25">
      <c r="B660" s="553" t="s">
        <v>572</v>
      </c>
      <c r="C660" s="547" t="s">
        <v>866</v>
      </c>
      <c r="D660" s="548"/>
      <c r="E660" s="548"/>
      <c r="F660" s="549">
        <f t="shared" ref="F660:F675" si="434">(E660-D660)*24</f>
        <v>0</v>
      </c>
      <c r="G660" s="550"/>
      <c r="H660" s="548">
        <v>0.27083333333333331</v>
      </c>
      <c r="I660" s="548"/>
      <c r="J660" s="551">
        <f t="shared" ref="J660:J675" si="435">(I660-H660)*24</f>
        <v>-6.5</v>
      </c>
      <c r="K660" s="550"/>
      <c r="L660" s="548"/>
      <c r="M660" s="548"/>
      <c r="N660" s="551">
        <f t="shared" ref="N660:N675" si="436">(M660-L660)*24</f>
        <v>0</v>
      </c>
      <c r="O660" s="550"/>
      <c r="P660" s="548"/>
      <c r="Q660" s="548"/>
      <c r="R660" s="551">
        <f t="shared" ref="R660:R675" si="437">(Q660-P660)*24</f>
        <v>0</v>
      </c>
      <c r="S660" s="550"/>
      <c r="T660" s="548"/>
      <c r="U660" s="548"/>
      <c r="V660" s="551">
        <f t="shared" ref="V660:V675" si="438">(U660-T660)*24</f>
        <v>0</v>
      </c>
      <c r="W660" s="550"/>
      <c r="X660" s="548"/>
      <c r="Y660" s="548"/>
      <c r="Z660" s="551">
        <f t="shared" ref="Z660:Z675" si="439">(Y660-X660)*24</f>
        <v>0</v>
      </c>
      <c r="AA660" s="550"/>
      <c r="AB660" s="548"/>
      <c r="AC660" s="548"/>
      <c r="AD660" s="551">
        <f t="shared" ref="AD660:AD675" si="440">(AC660-AB660)*24</f>
        <v>0</v>
      </c>
      <c r="AE660" s="24"/>
      <c r="AF660" s="29">
        <f>J660+F660+N660+R660+V660+Z660+AD660</f>
        <v>-6.5</v>
      </c>
    </row>
    <row r="661" spans="2:32" ht="14.25">
      <c r="B661" s="553" t="s">
        <v>637</v>
      </c>
      <c r="C661" s="547" t="s">
        <v>864</v>
      </c>
      <c r="D661" s="548">
        <v>0.35416666666666669</v>
      </c>
      <c r="E661" s="548">
        <v>0.64583333333333337</v>
      </c>
      <c r="F661" s="549">
        <f t="shared" si="434"/>
        <v>7</v>
      </c>
      <c r="G661" s="550"/>
      <c r="H661" s="548"/>
      <c r="I661" s="548"/>
      <c r="J661" s="551">
        <f t="shared" si="435"/>
        <v>0</v>
      </c>
      <c r="K661" s="550"/>
      <c r="L661" s="548"/>
      <c r="M661" s="548"/>
      <c r="N661" s="551">
        <f t="shared" si="436"/>
        <v>0</v>
      </c>
      <c r="O661" s="550"/>
      <c r="P661" s="548"/>
      <c r="Q661" s="548"/>
      <c r="R661" s="551">
        <f t="shared" si="437"/>
        <v>0</v>
      </c>
      <c r="S661" s="550"/>
      <c r="T661" s="548"/>
      <c r="U661" s="548"/>
      <c r="V661" s="551">
        <f t="shared" si="438"/>
        <v>0</v>
      </c>
      <c r="W661" s="550"/>
      <c r="X661" s="548"/>
      <c r="Y661" s="548"/>
      <c r="Z661" s="551">
        <f t="shared" si="439"/>
        <v>0</v>
      </c>
      <c r="AA661" s="550"/>
      <c r="AB661" s="548"/>
      <c r="AC661" s="548"/>
      <c r="AD661" s="551">
        <f t="shared" si="440"/>
        <v>0</v>
      </c>
      <c r="AE661" s="24"/>
      <c r="AF661" s="29">
        <f>J661+F661+N661+R661+V661+Z661+AD661</f>
        <v>7</v>
      </c>
    </row>
    <row r="662" spans="2:32" ht="14.25">
      <c r="B662" s="553" t="s">
        <v>54</v>
      </c>
      <c r="C662" s="547" t="s">
        <v>862</v>
      </c>
      <c r="D662" s="548"/>
      <c r="E662" s="548"/>
      <c r="F662" s="549">
        <f t="shared" si="434"/>
        <v>0</v>
      </c>
      <c r="G662" s="550"/>
      <c r="H662" s="548">
        <v>0.375</v>
      </c>
      <c r="I662" s="548">
        <v>0.66666666666666663</v>
      </c>
      <c r="J662" s="551">
        <f t="shared" si="435"/>
        <v>6.9999999999999991</v>
      </c>
      <c r="K662" s="550"/>
      <c r="L662" s="548"/>
      <c r="M662" s="548"/>
      <c r="N662" s="551">
        <f t="shared" si="436"/>
        <v>0</v>
      </c>
      <c r="O662" s="550"/>
      <c r="P662" s="548"/>
      <c r="Q662" s="548"/>
      <c r="R662" s="551">
        <f t="shared" si="437"/>
        <v>0</v>
      </c>
      <c r="S662" s="550"/>
      <c r="T662" s="548">
        <v>0.375</v>
      </c>
      <c r="U662" s="548">
        <v>0.70833333333333337</v>
      </c>
      <c r="V662" s="551">
        <f t="shared" si="438"/>
        <v>8</v>
      </c>
      <c r="W662" s="550"/>
      <c r="X662" s="548"/>
      <c r="Y662" s="548"/>
      <c r="Z662" s="551">
        <f t="shared" si="439"/>
        <v>0</v>
      </c>
      <c r="AA662" s="550"/>
      <c r="AB662" s="548"/>
      <c r="AC662" s="548"/>
      <c r="AD662" s="551">
        <f t="shared" si="440"/>
        <v>0</v>
      </c>
      <c r="AE662" s="24"/>
      <c r="AF662" s="29">
        <f>J662+F662+N662+R662+V662+Z662+AD662</f>
        <v>15</v>
      </c>
    </row>
    <row r="663" spans="2:32" ht="14.25">
      <c r="B663" s="553" t="s">
        <v>653</v>
      </c>
      <c r="C663" s="547" t="s">
        <v>862</v>
      </c>
      <c r="D663" s="548"/>
      <c r="E663" s="548"/>
      <c r="F663" s="549">
        <f t="shared" si="434"/>
        <v>0</v>
      </c>
      <c r="G663" s="550"/>
      <c r="H663" s="548">
        <v>0.3888888888888889</v>
      </c>
      <c r="I663" s="548">
        <v>0.66666666666666663</v>
      </c>
      <c r="J663" s="551">
        <f t="shared" si="435"/>
        <v>6.6666666666666661</v>
      </c>
      <c r="K663" s="550"/>
      <c r="L663" s="548">
        <v>0.375</v>
      </c>
      <c r="M663" s="548">
        <v>0.66666666666666663</v>
      </c>
      <c r="N663" s="551">
        <f>(M663-L663)*24</f>
        <v>6.9999999999999991</v>
      </c>
      <c r="O663" s="550"/>
      <c r="P663" s="548">
        <v>0.375</v>
      </c>
      <c r="Q663" s="548">
        <v>0.70833333333333337</v>
      </c>
      <c r="R663" s="551">
        <f t="shared" si="437"/>
        <v>8</v>
      </c>
      <c r="S663" s="550"/>
      <c r="T663" s="548">
        <v>0.375</v>
      </c>
      <c r="U663" s="548">
        <v>0.70833333333333337</v>
      </c>
      <c r="V663" s="551">
        <f t="shared" si="438"/>
        <v>8</v>
      </c>
      <c r="W663" s="550"/>
      <c r="X663" s="548"/>
      <c r="Y663" s="548"/>
      <c r="Z663" s="551">
        <f t="shared" si="439"/>
        <v>0</v>
      </c>
      <c r="AA663" s="550"/>
      <c r="AB663" s="548"/>
      <c r="AC663" s="548"/>
      <c r="AD663" s="551">
        <f t="shared" si="440"/>
        <v>0</v>
      </c>
      <c r="AE663" s="24"/>
      <c r="AF663" s="29">
        <f>J663+F663+N663+R663+V663+Z663+AD663</f>
        <v>29.666666666666664</v>
      </c>
    </row>
    <row r="664" spans="2:32" ht="14.25">
      <c r="B664" s="553" t="s">
        <v>637</v>
      </c>
      <c r="C664" s="547" t="s">
        <v>862</v>
      </c>
      <c r="D664" s="548"/>
      <c r="E664" s="548"/>
      <c r="F664" s="549">
        <f t="shared" si="434"/>
        <v>0</v>
      </c>
      <c r="G664" s="550"/>
      <c r="H664" s="548">
        <v>0.35416666666666669</v>
      </c>
      <c r="I664" s="548">
        <v>0.66666666666666663</v>
      </c>
      <c r="J664" s="551">
        <f t="shared" si="435"/>
        <v>7.4999999999999982</v>
      </c>
      <c r="K664" s="550"/>
      <c r="L664" s="548">
        <v>0.35416666666666669</v>
      </c>
      <c r="M664" s="548">
        <v>0.66666666666666663</v>
      </c>
      <c r="N664" s="551">
        <f t="shared" si="436"/>
        <v>7.4999999999999982</v>
      </c>
      <c r="O664" s="550"/>
      <c r="P664" s="548">
        <v>0.35416666666666669</v>
      </c>
      <c r="Q664" s="548">
        <v>0.70833333333333337</v>
      </c>
      <c r="R664" s="551">
        <f t="shared" si="437"/>
        <v>8.5</v>
      </c>
      <c r="S664" s="550"/>
      <c r="T664" s="548">
        <v>0.3125</v>
      </c>
      <c r="U664" s="548">
        <v>0.70833333333333337</v>
      </c>
      <c r="V664" s="551">
        <f t="shared" si="438"/>
        <v>9.5</v>
      </c>
      <c r="W664" s="550"/>
      <c r="X664" s="548"/>
      <c r="Y664" s="548"/>
      <c r="Z664" s="551">
        <f t="shared" si="439"/>
        <v>0</v>
      </c>
      <c r="AA664" s="550"/>
      <c r="AB664" s="548"/>
      <c r="AC664" s="548"/>
      <c r="AD664" s="551">
        <f t="shared" si="440"/>
        <v>0</v>
      </c>
      <c r="AE664" s="24"/>
      <c r="AF664" s="29"/>
    </row>
    <row r="665" spans="2:32" ht="14.25">
      <c r="B665" s="553" t="s">
        <v>867</v>
      </c>
      <c r="C665" s="547" t="s">
        <v>862</v>
      </c>
      <c r="D665" s="548"/>
      <c r="E665" s="548"/>
      <c r="F665" s="549">
        <f t="shared" si="434"/>
        <v>0</v>
      </c>
      <c r="G665" s="550"/>
      <c r="H665" s="548">
        <v>0.35416666666666669</v>
      </c>
      <c r="I665" s="548">
        <v>0.66666666666666663</v>
      </c>
      <c r="J665" s="551">
        <f t="shared" si="435"/>
        <v>7.4999999999999982</v>
      </c>
      <c r="K665" s="550"/>
      <c r="L665" s="548"/>
      <c r="M665" s="548"/>
      <c r="N665" s="551">
        <f t="shared" si="436"/>
        <v>0</v>
      </c>
      <c r="O665" s="550"/>
      <c r="P665" s="548"/>
      <c r="Q665" s="548"/>
      <c r="R665" s="551">
        <f t="shared" si="437"/>
        <v>0</v>
      </c>
      <c r="S665" s="550"/>
      <c r="T665" s="548">
        <v>0.375</v>
      </c>
      <c r="U665" s="548">
        <v>0.70833333333333337</v>
      </c>
      <c r="V665" s="551">
        <f t="shared" si="438"/>
        <v>8</v>
      </c>
      <c r="W665" s="550"/>
      <c r="X665" s="548"/>
      <c r="Y665" s="548"/>
      <c r="Z665" s="551">
        <f t="shared" si="439"/>
        <v>0</v>
      </c>
      <c r="AA665" s="550"/>
      <c r="AB665" s="548"/>
      <c r="AC665" s="548"/>
      <c r="AD665" s="551">
        <f t="shared" si="440"/>
        <v>0</v>
      </c>
      <c r="AE665" s="24"/>
      <c r="AF665" s="29"/>
    </row>
    <row r="666" spans="2:32" ht="14.25">
      <c r="B666" s="553" t="s">
        <v>810</v>
      </c>
      <c r="C666" s="547" t="s">
        <v>868</v>
      </c>
      <c r="D666" s="548"/>
      <c r="E666" s="548"/>
      <c r="F666" s="549">
        <f t="shared" si="434"/>
        <v>0</v>
      </c>
      <c r="G666" s="550"/>
      <c r="H666" s="548"/>
      <c r="I666" s="548"/>
      <c r="J666" s="551">
        <f t="shared" si="435"/>
        <v>0</v>
      </c>
      <c r="K666" s="550"/>
      <c r="L666" s="548"/>
      <c r="M666" s="548"/>
      <c r="N666" s="551">
        <f t="shared" si="436"/>
        <v>0</v>
      </c>
      <c r="O666" s="550"/>
      <c r="P666" s="548"/>
      <c r="Q666" s="548"/>
      <c r="R666" s="551">
        <f t="shared" si="437"/>
        <v>0</v>
      </c>
      <c r="S666" s="550"/>
      <c r="T666" s="548"/>
      <c r="U666" s="548"/>
      <c r="V666" s="551">
        <f t="shared" si="438"/>
        <v>0</v>
      </c>
      <c r="W666" s="550"/>
      <c r="X666" s="548"/>
      <c r="Y666" s="548"/>
      <c r="Z666" s="551">
        <f t="shared" si="439"/>
        <v>0</v>
      </c>
      <c r="AA666" s="550"/>
      <c r="AB666" s="548"/>
      <c r="AC666" s="548"/>
      <c r="AD666" s="551">
        <f t="shared" si="440"/>
        <v>0</v>
      </c>
      <c r="AE666" s="24"/>
      <c r="AF666" s="29">
        <f>J666+F666+N666+R666+V666+Z666+AD666</f>
        <v>0</v>
      </c>
    </row>
    <row r="667" spans="2:32" ht="14.25">
      <c r="B667" s="553" t="s">
        <v>42</v>
      </c>
      <c r="C667" s="547" t="s">
        <v>869</v>
      </c>
      <c r="D667" s="548"/>
      <c r="E667" s="548"/>
      <c r="F667" s="549">
        <f t="shared" si="434"/>
        <v>0</v>
      </c>
      <c r="G667" s="550"/>
      <c r="H667" s="548"/>
      <c r="I667" s="548"/>
      <c r="J667" s="551">
        <f t="shared" si="435"/>
        <v>0</v>
      </c>
      <c r="K667" s="550"/>
      <c r="M667" s="548"/>
      <c r="N667" s="551">
        <f>(M667-L663)*24</f>
        <v>-9</v>
      </c>
      <c r="O667" s="550"/>
      <c r="P667" s="548"/>
      <c r="Q667" s="548"/>
      <c r="R667" s="551">
        <f t="shared" si="437"/>
        <v>0</v>
      </c>
      <c r="S667" s="550"/>
      <c r="T667" s="548"/>
      <c r="U667" s="548"/>
      <c r="V667" s="551">
        <f t="shared" si="438"/>
        <v>0</v>
      </c>
      <c r="W667" s="550"/>
      <c r="X667" s="548"/>
      <c r="Y667" s="548"/>
      <c r="Z667" s="551">
        <f t="shared" si="439"/>
        <v>0</v>
      </c>
      <c r="AA667" s="550"/>
      <c r="AB667" s="548"/>
      <c r="AC667" s="548"/>
      <c r="AD667" s="551">
        <f t="shared" si="440"/>
        <v>0</v>
      </c>
      <c r="AE667" s="24"/>
      <c r="AF667" s="29">
        <f>J667+F667+N667+R667+V667+Z667+AD667</f>
        <v>-9</v>
      </c>
    </row>
    <row r="668" spans="2:32" ht="14.25">
      <c r="B668" s="553" t="s">
        <v>54</v>
      </c>
      <c r="C668" s="547" t="s">
        <v>870</v>
      </c>
      <c r="D668" s="548"/>
      <c r="E668" s="548"/>
      <c r="F668" s="549">
        <f t="shared" si="434"/>
        <v>0</v>
      </c>
      <c r="G668" s="550"/>
      <c r="H668" s="548"/>
      <c r="I668" s="548"/>
      <c r="J668" s="551">
        <f t="shared" si="435"/>
        <v>0</v>
      </c>
      <c r="K668" s="550"/>
      <c r="L668" s="548">
        <v>0.39583333333333331</v>
      </c>
      <c r="M668" s="548">
        <v>0.72916666666666663</v>
      </c>
      <c r="N668" s="551">
        <f t="shared" si="436"/>
        <v>8</v>
      </c>
      <c r="O668" s="550"/>
      <c r="P668" s="548">
        <v>0.375</v>
      </c>
      <c r="Q668" s="548">
        <v>0.77083333333333337</v>
      </c>
      <c r="R668" s="551">
        <f t="shared" si="437"/>
        <v>9.5</v>
      </c>
      <c r="S668" s="550"/>
      <c r="T668" s="548"/>
      <c r="U668" s="548"/>
      <c r="V668" s="551">
        <f t="shared" si="438"/>
        <v>0</v>
      </c>
      <c r="W668" s="550"/>
      <c r="X668" s="548"/>
      <c r="Y668" s="548"/>
      <c r="Z668" s="551">
        <f t="shared" si="439"/>
        <v>0</v>
      </c>
      <c r="AA668" s="550"/>
      <c r="AB668" s="548"/>
      <c r="AC668" s="548"/>
      <c r="AD668" s="551">
        <f t="shared" si="440"/>
        <v>0</v>
      </c>
      <c r="AE668" s="24"/>
      <c r="AF668" s="29"/>
    </row>
    <row r="669" spans="2:32" ht="14.25">
      <c r="B669" s="553" t="s">
        <v>576</v>
      </c>
      <c r="C669" s="547" t="s">
        <v>862</v>
      </c>
      <c r="D669" s="548"/>
      <c r="E669" s="548"/>
      <c r="F669" s="549">
        <f t="shared" si="434"/>
        <v>0</v>
      </c>
      <c r="G669" s="550"/>
      <c r="H669" s="548"/>
      <c r="I669" s="548"/>
      <c r="J669" s="551">
        <f t="shared" si="435"/>
        <v>0</v>
      </c>
      <c r="K669" s="550"/>
      <c r="L669" s="548"/>
      <c r="M669" s="548"/>
      <c r="N669" s="551">
        <f t="shared" si="436"/>
        <v>0</v>
      </c>
      <c r="O669" s="550"/>
      <c r="P669" s="548"/>
      <c r="Q669" s="548"/>
      <c r="R669" s="551">
        <f t="shared" si="437"/>
        <v>0</v>
      </c>
      <c r="S669" s="550"/>
      <c r="T669" s="548">
        <v>0.39583333333333331</v>
      </c>
      <c r="U669" s="548">
        <v>0.70833333333333337</v>
      </c>
      <c r="V669" s="551">
        <f t="shared" si="438"/>
        <v>7.5000000000000018</v>
      </c>
      <c r="W669" s="550"/>
      <c r="X669" s="548"/>
      <c r="Y669" s="548"/>
      <c r="Z669" s="551">
        <f t="shared" si="439"/>
        <v>0</v>
      </c>
      <c r="AA669" s="550"/>
      <c r="AB669" s="548"/>
      <c r="AC669" s="548"/>
      <c r="AD669" s="551">
        <f t="shared" si="440"/>
        <v>0</v>
      </c>
      <c r="AE669" s="24"/>
      <c r="AF669" s="29"/>
    </row>
    <row r="670" spans="2:32" ht="14.25">
      <c r="B670" s="553" t="s">
        <v>572</v>
      </c>
      <c r="C670" s="547" t="s">
        <v>870</v>
      </c>
      <c r="D670" s="548"/>
      <c r="E670" s="548"/>
      <c r="F670" s="549">
        <f t="shared" si="434"/>
        <v>0</v>
      </c>
      <c r="G670" s="550"/>
      <c r="H670" s="548"/>
      <c r="I670" s="548"/>
      <c r="J670" s="551">
        <f t="shared" si="435"/>
        <v>0</v>
      </c>
      <c r="K670" s="550"/>
      <c r="L670" s="548">
        <v>0.35416666666666669</v>
      </c>
      <c r="M670" s="548">
        <v>0.72916666666666663</v>
      </c>
      <c r="N670" s="551">
        <f t="shared" si="436"/>
        <v>8.9999999999999982</v>
      </c>
      <c r="O670" s="550"/>
      <c r="P670" s="548">
        <v>0.33333333333333331</v>
      </c>
      <c r="Q670" s="548">
        <v>0.77083333333333337</v>
      </c>
      <c r="R670" s="551">
        <f t="shared" si="437"/>
        <v>10.500000000000002</v>
      </c>
      <c r="S670" s="550"/>
      <c r="T670" s="548"/>
      <c r="U670" s="548"/>
      <c r="V670" s="551">
        <f t="shared" si="438"/>
        <v>0</v>
      </c>
      <c r="W670" s="550"/>
      <c r="X670" s="548"/>
      <c r="Y670" s="548"/>
      <c r="Z670" s="551">
        <f t="shared" si="439"/>
        <v>0</v>
      </c>
      <c r="AA670" s="550"/>
      <c r="AB670" s="548"/>
      <c r="AC670" s="548"/>
      <c r="AD670" s="551">
        <f t="shared" si="440"/>
        <v>0</v>
      </c>
      <c r="AE670" s="24"/>
      <c r="AF670" s="29">
        <f>J670+F670+N670+R670+V670+Z670+AD670</f>
        <v>19.5</v>
      </c>
    </row>
    <row r="671" spans="2:32" ht="14.25">
      <c r="B671" s="553" t="s">
        <v>810</v>
      </c>
      <c r="C671" s="547" t="s">
        <v>862</v>
      </c>
      <c r="D671" s="548"/>
      <c r="E671" s="548"/>
      <c r="F671" s="549">
        <f>(E671-D671)*24</f>
        <v>0</v>
      </c>
      <c r="G671" s="550"/>
      <c r="H671" s="548"/>
      <c r="I671" s="548"/>
      <c r="J671" s="551">
        <f>(I671-H671)*24</f>
        <v>0</v>
      </c>
      <c r="K671" s="550"/>
      <c r="L671" s="548">
        <v>0.36458333333333331</v>
      </c>
      <c r="M671" s="548">
        <v>0.66666666666666663</v>
      </c>
      <c r="N671" s="551">
        <f>(M671-L671)*24</f>
        <v>7.25</v>
      </c>
      <c r="O671" s="550"/>
      <c r="P671" s="548">
        <v>0.35416666666666669</v>
      </c>
      <c r="Q671" s="548">
        <v>0.70833333333333337</v>
      </c>
      <c r="R671" s="551">
        <f>(Q671-P671)*24</f>
        <v>8.5</v>
      </c>
      <c r="S671" s="550"/>
      <c r="T671" s="548">
        <v>0.3125</v>
      </c>
      <c r="U671" s="548">
        <v>0.70833333333333337</v>
      </c>
      <c r="V671" s="551">
        <f>(U671-T671)*24</f>
        <v>9.5</v>
      </c>
      <c r="W671" s="550"/>
      <c r="X671" s="548"/>
      <c r="Y671" s="548"/>
      <c r="Z671" s="551">
        <f>(Y671-X671)*24</f>
        <v>0</v>
      </c>
      <c r="AA671" s="550"/>
      <c r="AB671" s="548"/>
      <c r="AC671" s="548"/>
      <c r="AD671" s="551">
        <f>(AC671-AB671)*24</f>
        <v>0</v>
      </c>
      <c r="AE671" s="24"/>
      <c r="AF671" s="29"/>
    </row>
    <row r="672" spans="2:32" ht="14.25">
      <c r="B672" s="553" t="s">
        <v>576</v>
      </c>
      <c r="C672" s="547" t="s">
        <v>870</v>
      </c>
      <c r="D672" s="548"/>
      <c r="E672" s="548"/>
      <c r="F672" s="549">
        <f>(E672-D672)*24</f>
        <v>0</v>
      </c>
      <c r="G672" s="550"/>
      <c r="H672" s="548"/>
      <c r="I672" s="548"/>
      <c r="J672" s="551">
        <f>(I672-H672)*24</f>
        <v>0</v>
      </c>
      <c r="K672" s="550"/>
      <c r="L672" s="548">
        <v>0.375</v>
      </c>
      <c r="M672" s="548">
        <v>0.72916666666666663</v>
      </c>
      <c r="N672" s="551">
        <f>(M672-L672)*24</f>
        <v>8.5</v>
      </c>
      <c r="O672" s="550"/>
      <c r="P672" s="548"/>
      <c r="Q672" s="548"/>
      <c r="R672" s="551">
        <f>(Q672-P672)*24</f>
        <v>0</v>
      </c>
      <c r="S672" s="550"/>
      <c r="T672" s="548"/>
      <c r="U672" s="548"/>
      <c r="V672" s="551">
        <f>(U672-T672)*24</f>
        <v>0</v>
      </c>
      <c r="W672" s="550"/>
      <c r="X672" s="548"/>
      <c r="Y672" s="548"/>
      <c r="Z672" s="551">
        <f>(Y672-X672)*24</f>
        <v>0</v>
      </c>
      <c r="AA672" s="550"/>
      <c r="AB672" s="548"/>
      <c r="AC672" s="548"/>
      <c r="AD672" s="551">
        <f>(AC672-AB672)*24</f>
        <v>0</v>
      </c>
      <c r="AE672" s="24">
        <f>(AD672-AC672)*24</f>
        <v>0</v>
      </c>
      <c r="AF672" s="29"/>
    </row>
    <row r="673" spans="2:32" ht="14.25">
      <c r="B673" s="553" t="s">
        <v>576</v>
      </c>
      <c r="C673" s="547" t="s">
        <v>826</v>
      </c>
      <c r="D673" s="548"/>
      <c r="E673" s="548"/>
      <c r="F673" s="549">
        <f>(E673-D673)*24</f>
        <v>0</v>
      </c>
      <c r="G673" s="550"/>
      <c r="H673" s="548"/>
      <c r="I673" s="548"/>
      <c r="J673" s="551">
        <f>(I673-H673)*24</f>
        <v>0</v>
      </c>
      <c r="K673" s="550"/>
      <c r="L673" s="548"/>
      <c r="M673" s="548"/>
      <c r="N673" s="551">
        <f>(M673-L673)*24</f>
        <v>0</v>
      </c>
      <c r="O673" s="550"/>
      <c r="P673" s="548">
        <v>0.20833333333333334</v>
      </c>
      <c r="Q673" s="548">
        <v>0.41666666666666669</v>
      </c>
      <c r="R673" s="551">
        <f>(Q673-P673)*24</f>
        <v>5</v>
      </c>
      <c r="S673" s="550"/>
      <c r="T673" s="548"/>
      <c r="U673" s="548"/>
      <c r="V673" s="551">
        <f>(U673-T673)*24</f>
        <v>0</v>
      </c>
      <c r="W673" s="550"/>
      <c r="X673" s="548"/>
      <c r="Y673" s="548"/>
      <c r="Z673" s="551">
        <f>(Y673-X673)*24</f>
        <v>0</v>
      </c>
      <c r="AA673" s="550"/>
      <c r="AB673" s="548"/>
      <c r="AC673" s="548"/>
      <c r="AD673" s="551">
        <f>(AC673-AB673)*24</f>
        <v>0</v>
      </c>
      <c r="AE673" s="24">
        <f>(AD673-AC673)*24</f>
        <v>0</v>
      </c>
      <c r="AF673" s="29"/>
    </row>
    <row r="674" spans="2:32" ht="14.25">
      <c r="B674" s="553" t="s">
        <v>42</v>
      </c>
      <c r="C674" s="547" t="s">
        <v>826</v>
      </c>
      <c r="D674" s="548"/>
      <c r="E674" s="548"/>
      <c r="F674" s="549">
        <f>(E674-D674)*24</f>
        <v>0</v>
      </c>
      <c r="G674" s="550"/>
      <c r="H674" s="548"/>
      <c r="I674" s="548"/>
      <c r="J674" s="551">
        <f>(I674-H674)*24</f>
        <v>0</v>
      </c>
      <c r="K674" s="550"/>
      <c r="L674" s="548"/>
      <c r="M674" s="548"/>
      <c r="N674" s="551">
        <f>(M674-L674)*24</f>
        <v>0</v>
      </c>
      <c r="O674" s="550"/>
      <c r="P674" s="548">
        <v>0.20833333333333334</v>
      </c>
      <c r="Q674" s="548">
        <v>0.41666666666666669</v>
      </c>
      <c r="R674" s="551">
        <f>(Q674-P674)*24</f>
        <v>5</v>
      </c>
      <c r="S674" s="550"/>
      <c r="T674" s="548"/>
      <c r="U674" s="548"/>
      <c r="V674" s="551">
        <f>(U674-T674)*24</f>
        <v>0</v>
      </c>
      <c r="W674" s="550"/>
      <c r="X674" s="548"/>
      <c r="Y674" s="548"/>
      <c r="Z674" s="551">
        <f>(Y674-X674)*24</f>
        <v>0</v>
      </c>
      <c r="AA674" s="550"/>
      <c r="AB674" s="548"/>
      <c r="AC674" s="548"/>
      <c r="AD674" s="551">
        <f>(AC674-AB674)*24</f>
        <v>0</v>
      </c>
      <c r="AE674" s="24">
        <f>(AD674-AC674)*24</f>
        <v>0</v>
      </c>
      <c r="AF674" s="29"/>
    </row>
    <row r="675" spans="2:32" ht="14.25">
      <c r="B675" s="554" t="s">
        <v>61</v>
      </c>
      <c r="C675" s="554"/>
      <c r="D675" s="548"/>
      <c r="E675" s="548"/>
      <c r="F675" s="549">
        <f t="shared" si="434"/>
        <v>0</v>
      </c>
      <c r="G675" s="550"/>
      <c r="H675" s="548"/>
      <c r="I675" s="548"/>
      <c r="J675" s="551">
        <f t="shared" si="435"/>
        <v>0</v>
      </c>
      <c r="K675" s="550"/>
      <c r="L675" s="548"/>
      <c r="M675" s="548"/>
      <c r="N675" s="551">
        <f t="shared" si="436"/>
        <v>0</v>
      </c>
      <c r="O675" s="550"/>
      <c r="P675" s="548"/>
      <c r="Q675" s="548"/>
      <c r="R675" s="551">
        <f t="shared" si="437"/>
        <v>0</v>
      </c>
      <c r="S675" s="550"/>
      <c r="T675" s="548"/>
      <c r="U675" s="548"/>
      <c r="V675" s="551">
        <f t="shared" si="438"/>
        <v>0</v>
      </c>
      <c r="W675" s="550"/>
      <c r="X675" s="548"/>
      <c r="Y675" s="548"/>
      <c r="Z675" s="551">
        <f t="shared" si="439"/>
        <v>0</v>
      </c>
      <c r="AA675" s="550"/>
      <c r="AB675" s="548"/>
      <c r="AC675" s="548"/>
      <c r="AD675" s="551">
        <f t="shared" si="440"/>
        <v>0</v>
      </c>
      <c r="AE675" s="24"/>
      <c r="AF675" s="29">
        <f>J675+F675+N675+R675+V675+Z675+AD675</f>
        <v>0</v>
      </c>
    </row>
    <row r="676" spans="2:32">
      <c r="B676" s="31" t="s">
        <v>577</v>
      </c>
      <c r="C676" s="31"/>
      <c r="D676" s="91"/>
      <c r="E676" s="91"/>
      <c r="F676" s="90"/>
      <c r="G676" s="91"/>
      <c r="H676" s="91"/>
      <c r="I676" s="91"/>
      <c r="J676" s="90"/>
      <c r="K676" s="91"/>
      <c r="L676" s="430"/>
      <c r="M676" s="91"/>
      <c r="N676" s="90"/>
      <c r="O676" s="91"/>
      <c r="P676" s="91"/>
      <c r="Q676" s="91"/>
      <c r="R676" s="90"/>
      <c r="S676" s="91"/>
      <c r="T676" s="91"/>
      <c r="U676" s="91"/>
      <c r="V676" s="90"/>
      <c r="W676" s="91"/>
      <c r="X676" s="91"/>
      <c r="Y676" s="91"/>
      <c r="Z676" s="90"/>
      <c r="AA676" s="91"/>
      <c r="AB676" s="91"/>
      <c r="AC676" s="91"/>
      <c r="AD676" s="91"/>
      <c r="AE676" s="352"/>
      <c r="AF676" s="28"/>
    </row>
    <row r="677" spans="2:32">
      <c r="B677" s="31" t="s">
        <v>578</v>
      </c>
      <c r="C677" s="31"/>
      <c r="D677" s="91"/>
      <c r="E677" s="91"/>
      <c r="F677" s="90"/>
      <c r="G677" s="91"/>
      <c r="H677" s="91"/>
      <c r="I677" s="91"/>
      <c r="J677" s="90"/>
      <c r="K677" s="91"/>
      <c r="L677" s="430"/>
      <c r="M677" s="91"/>
      <c r="N677" s="90"/>
      <c r="O677" s="91"/>
      <c r="P677" s="91"/>
      <c r="Q677" s="91"/>
      <c r="R677" s="90"/>
      <c r="S677" s="91"/>
      <c r="T677" s="91"/>
      <c r="U677" s="91"/>
      <c r="V677" s="90"/>
      <c r="W677" s="91"/>
      <c r="X677" s="91"/>
      <c r="Y677" s="91"/>
      <c r="Z677" s="90"/>
      <c r="AA677" s="91"/>
      <c r="AB677" s="91"/>
      <c r="AC677" s="91"/>
      <c r="AD677" s="91"/>
      <c r="AE677" s="352"/>
      <c r="AF677" s="28">
        <f>SUM(D677:AD677)</f>
        <v>0</v>
      </c>
    </row>
    <row r="678" spans="2:32" ht="14.25" thickBot="1">
      <c r="B678" s="74" t="s">
        <v>579</v>
      </c>
      <c r="C678" s="74"/>
      <c r="D678" s="95"/>
      <c r="E678" s="95"/>
      <c r="F678" s="96"/>
      <c r="G678" s="95"/>
      <c r="H678" s="95"/>
      <c r="I678" s="95"/>
      <c r="J678" s="96"/>
      <c r="K678" s="95"/>
      <c r="L678" s="431"/>
      <c r="M678" s="95"/>
      <c r="N678" s="96"/>
      <c r="O678" s="95"/>
      <c r="P678" s="95"/>
      <c r="Q678" s="95"/>
      <c r="R678" s="96"/>
      <c r="S678" s="95"/>
      <c r="T678" s="95"/>
      <c r="U678" s="95"/>
      <c r="V678" s="96"/>
      <c r="W678" s="97"/>
      <c r="X678" s="97"/>
      <c r="Y678" s="97"/>
      <c r="Z678" s="96"/>
      <c r="AA678" s="97"/>
      <c r="AB678" s="97"/>
      <c r="AC678" s="97"/>
      <c r="AD678" s="97"/>
      <c r="AE678" s="97"/>
      <c r="AF678" s="80">
        <f>SUM(D678:AD678)</f>
        <v>0</v>
      </c>
    </row>
    <row r="679" spans="2:32" ht="14.25" customHeight="1" thickTop="1">
      <c r="B679" s="1518" t="s">
        <v>18</v>
      </c>
      <c r="C679" s="1528" t="s">
        <v>571</v>
      </c>
      <c r="D679" s="1524">
        <v>45565</v>
      </c>
      <c r="E679" s="1524"/>
      <c r="F679" s="1524"/>
      <c r="G679" s="22"/>
      <c r="H679" s="1524">
        <f>D679+1</f>
        <v>45566</v>
      </c>
      <c r="I679" s="1524"/>
      <c r="J679" s="1524"/>
      <c r="K679" s="22"/>
      <c r="L679" s="1524">
        <f>H679+1</f>
        <v>45567</v>
      </c>
      <c r="M679" s="1524"/>
      <c r="N679" s="1524"/>
      <c r="P679" s="1524">
        <f>L679+1</f>
        <v>45568</v>
      </c>
      <c r="Q679" s="1524"/>
      <c r="R679" s="1524"/>
      <c r="T679" s="1524">
        <f>P679+1</f>
        <v>45569</v>
      </c>
      <c r="U679" s="1524"/>
      <c r="V679" s="1524"/>
      <c r="W679" s="22"/>
      <c r="X679" s="1524">
        <f>T679+1</f>
        <v>45570</v>
      </c>
      <c r="Y679" s="1524"/>
      <c r="Z679" s="1524"/>
      <c r="AB679" s="1524">
        <f>X679+1</f>
        <v>45571</v>
      </c>
      <c r="AC679" s="1524"/>
      <c r="AD679" s="1524"/>
      <c r="AE679" s="22"/>
      <c r="AF679" s="1517" t="s">
        <v>19</v>
      </c>
    </row>
    <row r="680" spans="2:32">
      <c r="B680" s="1518"/>
      <c r="C680" s="1528"/>
      <c r="D680" s="21" t="s">
        <v>23</v>
      </c>
      <c r="E680" s="21" t="s">
        <v>24</v>
      </c>
      <c r="F680" s="62" t="s">
        <v>25</v>
      </c>
      <c r="G680" s="23"/>
      <c r="H680" s="21" t="s">
        <v>23</v>
      </c>
      <c r="I680" s="21" t="s">
        <v>24</v>
      </c>
      <c r="J680" s="18" t="s">
        <v>25</v>
      </c>
      <c r="K680" s="23"/>
      <c r="L680" s="21" t="s">
        <v>23</v>
      </c>
      <c r="M680" s="21" t="s">
        <v>24</v>
      </c>
      <c r="N680" s="18" t="s">
        <v>25</v>
      </c>
      <c r="O680" s="23"/>
      <c r="P680" s="21" t="s">
        <v>23</v>
      </c>
      <c r="Q680" s="21" t="s">
        <v>24</v>
      </c>
      <c r="R680" s="18" t="s">
        <v>25</v>
      </c>
      <c r="S680" s="23"/>
      <c r="T680" s="21" t="s">
        <v>23</v>
      </c>
      <c r="U680" s="21" t="s">
        <v>24</v>
      </c>
      <c r="V680" s="18" t="s">
        <v>25</v>
      </c>
      <c r="W680" s="23"/>
      <c r="X680" s="21" t="s">
        <v>23</v>
      </c>
      <c r="Y680" s="21" t="s">
        <v>24</v>
      </c>
      <c r="Z680" s="18" t="s">
        <v>25</v>
      </c>
      <c r="AA680" s="23"/>
      <c r="AB680" s="21" t="s">
        <v>23</v>
      </c>
      <c r="AC680" s="21" t="s">
        <v>24</v>
      </c>
      <c r="AD680" s="18" t="s">
        <v>25</v>
      </c>
      <c r="AE680" s="23"/>
      <c r="AF680" s="1517"/>
    </row>
    <row r="681" spans="2:32" ht="14.25">
      <c r="B681" s="553" t="s">
        <v>576</v>
      </c>
      <c r="C681" s="547" t="s">
        <v>871</v>
      </c>
      <c r="D681" s="548"/>
      <c r="E681" s="548"/>
      <c r="F681" s="549">
        <f t="shared" ref="F681:F692" si="441">(E681-D681)*24</f>
        <v>0</v>
      </c>
      <c r="G681" s="550"/>
      <c r="H681" s="548">
        <v>0.375</v>
      </c>
      <c r="I681" s="548">
        <v>0.70833333333333337</v>
      </c>
      <c r="J681" s="551">
        <f t="shared" ref="J681:J692" si="442">(I681-H681)*24</f>
        <v>8</v>
      </c>
      <c r="K681" s="550"/>
      <c r="L681" s="552"/>
      <c r="M681" s="548"/>
      <c r="N681" s="551">
        <f t="shared" ref="N681:N692" si="443">(M681-L681)*24</f>
        <v>0</v>
      </c>
      <c r="O681" s="550"/>
      <c r="P681" s="548"/>
      <c r="Q681" s="548"/>
      <c r="R681" s="551">
        <f t="shared" ref="R681:R692" si="444">(Q681-P681)*24</f>
        <v>0</v>
      </c>
      <c r="S681" s="550"/>
      <c r="T681" s="548"/>
      <c r="U681" s="548"/>
      <c r="V681" s="551">
        <f t="shared" ref="V681:V692" si="445">(U681-T681)*24</f>
        <v>0</v>
      </c>
      <c r="W681" s="550"/>
      <c r="X681" s="548"/>
      <c r="Y681" s="548"/>
      <c r="Z681" s="551">
        <f t="shared" ref="Z681:Z692" si="446">(Y681-X681)*24</f>
        <v>0</v>
      </c>
      <c r="AA681" s="550"/>
      <c r="AB681" s="548"/>
      <c r="AC681" s="548"/>
      <c r="AD681" s="551">
        <f t="shared" ref="AD681:AD692" si="447">(AC681-AB681)*24</f>
        <v>0</v>
      </c>
      <c r="AE681" s="24"/>
      <c r="AF681" s="29">
        <f>J681+F681+N681+R681+V681+Z681+AD681</f>
        <v>8</v>
      </c>
    </row>
    <row r="682" spans="2:32" ht="14.25">
      <c r="B682" s="553" t="s">
        <v>42</v>
      </c>
      <c r="C682" s="547" t="s">
        <v>871</v>
      </c>
      <c r="D682" s="548"/>
      <c r="E682" s="548"/>
      <c r="F682" s="549">
        <f t="shared" si="441"/>
        <v>0</v>
      </c>
      <c r="G682" s="550"/>
      <c r="H682" s="548">
        <v>0.39583333333333331</v>
      </c>
      <c r="I682" s="548">
        <v>0.70833333333333337</v>
      </c>
      <c r="J682" s="551">
        <f t="shared" si="442"/>
        <v>7.5000000000000018</v>
      </c>
      <c r="K682" s="550"/>
      <c r="L682" s="552"/>
      <c r="M682" s="548"/>
      <c r="N682" s="551">
        <f t="shared" si="443"/>
        <v>0</v>
      </c>
      <c r="O682" s="550"/>
      <c r="P682" s="548"/>
      <c r="Q682" s="548"/>
      <c r="R682" s="551">
        <f t="shared" si="444"/>
        <v>0</v>
      </c>
      <c r="S682" s="550"/>
      <c r="T682" s="548"/>
      <c r="U682" s="548"/>
      <c r="V682" s="551">
        <f t="shared" si="445"/>
        <v>0</v>
      </c>
      <c r="W682" s="550"/>
      <c r="X682" s="548"/>
      <c r="Y682" s="548"/>
      <c r="Z682" s="551">
        <f t="shared" si="446"/>
        <v>0</v>
      </c>
      <c r="AA682" s="550"/>
      <c r="AB682" s="548"/>
      <c r="AC682" s="548"/>
      <c r="AD682" s="551">
        <f t="shared" si="447"/>
        <v>0</v>
      </c>
      <c r="AE682" s="24"/>
      <c r="AF682" s="29">
        <f>J682+F682+N682+R682+V682+Z682+AD682</f>
        <v>7.5000000000000018</v>
      </c>
    </row>
    <row r="683" spans="2:32" ht="14.25">
      <c r="B683" s="553" t="s">
        <v>54</v>
      </c>
      <c r="C683" s="641">
        <v>7023042300</v>
      </c>
      <c r="D683" s="548"/>
      <c r="E683" s="548"/>
      <c r="F683" s="549">
        <f t="shared" si="441"/>
        <v>0</v>
      </c>
      <c r="G683" s="550"/>
      <c r="H683" s="548">
        <v>0.38541666666666669</v>
      </c>
      <c r="I683" s="548">
        <v>0.70833333333333337</v>
      </c>
      <c r="J683" s="551">
        <f t="shared" si="442"/>
        <v>7.75</v>
      </c>
      <c r="K683" s="550"/>
      <c r="L683" s="552">
        <v>0.375</v>
      </c>
      <c r="M683" s="548">
        <v>0.66666666666666663</v>
      </c>
      <c r="N683" s="551">
        <f t="shared" si="443"/>
        <v>6.9999999999999991</v>
      </c>
      <c r="O683" s="550"/>
      <c r="P683" s="548"/>
      <c r="Q683" s="548"/>
      <c r="R683" s="551">
        <f t="shared" si="444"/>
        <v>0</v>
      </c>
      <c r="S683" s="550"/>
      <c r="T683" s="548">
        <v>0.45833333333333331</v>
      </c>
      <c r="U683" s="548">
        <v>0.625</v>
      </c>
      <c r="V683" s="551">
        <f t="shared" si="445"/>
        <v>4</v>
      </c>
      <c r="W683" s="550"/>
      <c r="X683" s="548"/>
      <c r="Y683" s="548"/>
      <c r="Z683" s="551">
        <f t="shared" si="446"/>
        <v>0</v>
      </c>
      <c r="AA683" s="550"/>
      <c r="AB683" s="548"/>
      <c r="AC683" s="548"/>
      <c r="AD683" s="551">
        <f t="shared" si="447"/>
        <v>0</v>
      </c>
      <c r="AE683" s="24"/>
      <c r="AF683" s="29">
        <f>J683+F683+N683+R683+V683+Z683+AD683</f>
        <v>18.75</v>
      </c>
    </row>
    <row r="684" spans="2:32" ht="14.25">
      <c r="B684" s="553" t="s">
        <v>42</v>
      </c>
      <c r="C684" s="641" t="s">
        <v>872</v>
      </c>
      <c r="D684" s="548"/>
      <c r="E684" s="548"/>
      <c r="F684" s="549">
        <f t="shared" si="441"/>
        <v>0</v>
      </c>
      <c r="G684" s="550"/>
      <c r="H684" s="548"/>
      <c r="I684" s="548"/>
      <c r="J684" s="551">
        <f t="shared" si="442"/>
        <v>0</v>
      </c>
      <c r="K684" s="550"/>
      <c r="L684" s="552"/>
      <c r="M684" s="548"/>
      <c r="N684" s="551">
        <f t="shared" si="443"/>
        <v>0</v>
      </c>
      <c r="O684" s="550"/>
      <c r="P684" s="548"/>
      <c r="Q684" s="548"/>
      <c r="R684" s="551">
        <f t="shared" si="444"/>
        <v>0</v>
      </c>
      <c r="S684" s="550"/>
      <c r="T684" s="548">
        <v>0.64583333333333337</v>
      </c>
      <c r="U684" s="548">
        <v>0.71875</v>
      </c>
      <c r="V684" s="551">
        <f t="shared" si="445"/>
        <v>1.7499999999999991</v>
      </c>
      <c r="W684" s="550"/>
      <c r="X684" s="548"/>
      <c r="Y684" s="548"/>
      <c r="Z684" s="551">
        <f t="shared" si="446"/>
        <v>0</v>
      </c>
      <c r="AA684" s="550"/>
      <c r="AB684" s="548"/>
      <c r="AC684" s="548"/>
      <c r="AD684" s="551">
        <f t="shared" si="447"/>
        <v>0</v>
      </c>
      <c r="AE684" s="24"/>
      <c r="AF684" s="29">
        <f>J684+F684+N684+R684+V684+Z684+AD684</f>
        <v>1.7499999999999991</v>
      </c>
    </row>
    <row r="685" spans="2:32" ht="14.25">
      <c r="B685" s="553"/>
      <c r="C685" s="547"/>
      <c r="D685" s="548"/>
      <c r="E685" s="548"/>
      <c r="F685" s="549">
        <f t="shared" si="441"/>
        <v>0</v>
      </c>
      <c r="G685" s="550"/>
      <c r="H685" s="548"/>
      <c r="I685" s="548"/>
      <c r="J685" s="551">
        <f t="shared" si="442"/>
        <v>0</v>
      </c>
      <c r="K685" s="550"/>
      <c r="L685" s="552"/>
      <c r="M685" s="548"/>
      <c r="N685" s="551">
        <f t="shared" si="443"/>
        <v>0</v>
      </c>
      <c r="O685" s="550"/>
      <c r="P685" s="548"/>
      <c r="Q685" s="548"/>
      <c r="R685" s="551">
        <f t="shared" si="444"/>
        <v>0</v>
      </c>
      <c r="S685" s="550"/>
      <c r="T685" s="548"/>
      <c r="U685" s="548"/>
      <c r="V685" s="551">
        <f t="shared" si="445"/>
        <v>0</v>
      </c>
      <c r="W685" s="550"/>
      <c r="X685" s="548"/>
      <c r="Y685" s="548"/>
      <c r="Z685" s="551">
        <f t="shared" si="446"/>
        <v>0</v>
      </c>
      <c r="AA685" s="550"/>
      <c r="AB685" s="548"/>
      <c r="AC685" s="548"/>
      <c r="AD685" s="551">
        <f t="shared" si="447"/>
        <v>0</v>
      </c>
      <c r="AE685" s="24"/>
      <c r="AF685" s="29"/>
    </row>
    <row r="686" spans="2:32" ht="14.25">
      <c r="B686" s="553"/>
      <c r="C686" s="547"/>
      <c r="D686" s="548"/>
      <c r="E686" s="548"/>
      <c r="F686" s="549">
        <f t="shared" si="441"/>
        <v>0</v>
      </c>
      <c r="G686" s="550"/>
      <c r="H686" s="548"/>
      <c r="I686" s="548"/>
      <c r="J686" s="551">
        <f t="shared" si="442"/>
        <v>0</v>
      </c>
      <c r="K686" s="550"/>
      <c r="L686" s="552"/>
      <c r="M686" s="548"/>
      <c r="N686" s="551">
        <f t="shared" si="443"/>
        <v>0</v>
      </c>
      <c r="O686" s="550"/>
      <c r="P686" s="548"/>
      <c r="Q686" s="548"/>
      <c r="R686" s="551">
        <f t="shared" si="444"/>
        <v>0</v>
      </c>
      <c r="S686" s="550"/>
      <c r="T686" s="548"/>
      <c r="U686" s="548"/>
      <c r="V686" s="551">
        <f t="shared" si="445"/>
        <v>0</v>
      </c>
      <c r="W686" s="550"/>
      <c r="X686" s="548"/>
      <c r="Y686" s="548"/>
      <c r="Z686" s="551">
        <f t="shared" si="446"/>
        <v>0</v>
      </c>
      <c r="AA686" s="550"/>
      <c r="AB686" s="548"/>
      <c r="AC686" s="548"/>
      <c r="AD686" s="551">
        <f t="shared" si="447"/>
        <v>0</v>
      </c>
      <c r="AE686" s="24"/>
      <c r="AF686" s="29"/>
    </row>
    <row r="687" spans="2:32" ht="14.25">
      <c r="B687" s="553"/>
      <c r="C687" s="547"/>
      <c r="D687" s="548"/>
      <c r="E687" s="548"/>
      <c r="F687" s="549">
        <f t="shared" si="441"/>
        <v>0</v>
      </c>
      <c r="G687" s="550"/>
      <c r="H687" s="548"/>
      <c r="I687" s="548"/>
      <c r="J687" s="551">
        <f t="shared" si="442"/>
        <v>0</v>
      </c>
      <c r="K687" s="550"/>
      <c r="L687" s="552"/>
      <c r="M687" s="548"/>
      <c r="N687" s="551">
        <f t="shared" si="443"/>
        <v>0</v>
      </c>
      <c r="O687" s="550"/>
      <c r="P687" s="548"/>
      <c r="Q687" s="548"/>
      <c r="R687" s="551">
        <f t="shared" si="444"/>
        <v>0</v>
      </c>
      <c r="S687" s="550"/>
      <c r="T687" s="548"/>
      <c r="U687" s="548"/>
      <c r="V687" s="551">
        <f t="shared" si="445"/>
        <v>0</v>
      </c>
      <c r="W687" s="550"/>
      <c r="X687" s="548"/>
      <c r="Y687" s="548"/>
      <c r="Z687" s="551">
        <f t="shared" si="446"/>
        <v>0</v>
      </c>
      <c r="AA687" s="550"/>
      <c r="AB687" s="548"/>
      <c r="AC687" s="548"/>
      <c r="AD687" s="551">
        <f t="shared" si="447"/>
        <v>0</v>
      </c>
      <c r="AE687" s="24"/>
      <c r="AF687" s="29">
        <f>J687+F687+N687+R687+V687+Z687+AD687</f>
        <v>0</v>
      </c>
    </row>
    <row r="688" spans="2:32" ht="14.25">
      <c r="B688" s="553"/>
      <c r="C688" s="547"/>
      <c r="D688" s="548"/>
      <c r="E688" s="548"/>
      <c r="F688" s="549">
        <f t="shared" si="441"/>
        <v>0</v>
      </c>
      <c r="G688" s="550"/>
      <c r="H688" s="548"/>
      <c r="I688" s="548"/>
      <c r="J688" s="551">
        <f t="shared" si="442"/>
        <v>0</v>
      </c>
      <c r="K688" s="550"/>
      <c r="L688" s="552"/>
      <c r="M688" s="548"/>
      <c r="N688" s="551">
        <f t="shared" si="443"/>
        <v>0</v>
      </c>
      <c r="O688" s="550"/>
      <c r="P688" s="548"/>
      <c r="Q688" s="548"/>
      <c r="R688" s="551">
        <f t="shared" si="444"/>
        <v>0</v>
      </c>
      <c r="S688" s="550"/>
      <c r="T688" s="548"/>
      <c r="U688" s="548"/>
      <c r="V688" s="551">
        <f t="shared" si="445"/>
        <v>0</v>
      </c>
      <c r="W688" s="550"/>
      <c r="X688" s="548"/>
      <c r="Y688" s="548"/>
      <c r="Z688" s="551">
        <f t="shared" si="446"/>
        <v>0</v>
      </c>
      <c r="AA688" s="550"/>
      <c r="AB688" s="548"/>
      <c r="AC688" s="548"/>
      <c r="AD688" s="551">
        <f t="shared" si="447"/>
        <v>0</v>
      </c>
      <c r="AE688" s="24"/>
      <c r="AF688" s="29">
        <f>J688+F688+N688+R688+V688+Z688+AD688</f>
        <v>0</v>
      </c>
    </row>
    <row r="689" spans="2:32" ht="14.25">
      <c r="B689" s="553"/>
      <c r="C689" s="547"/>
      <c r="D689" s="548"/>
      <c r="E689" s="548"/>
      <c r="F689" s="549">
        <f t="shared" si="441"/>
        <v>0</v>
      </c>
      <c r="G689" s="550"/>
      <c r="H689" s="548"/>
      <c r="I689" s="548"/>
      <c r="J689" s="551">
        <f t="shared" si="442"/>
        <v>0</v>
      </c>
      <c r="K689" s="550"/>
      <c r="L689" s="552"/>
      <c r="M689" s="548"/>
      <c r="N689" s="551">
        <f t="shared" si="443"/>
        <v>0</v>
      </c>
      <c r="O689" s="550"/>
      <c r="P689" s="548"/>
      <c r="Q689" s="548"/>
      <c r="R689" s="551">
        <f t="shared" si="444"/>
        <v>0</v>
      </c>
      <c r="S689" s="550"/>
      <c r="T689" s="548"/>
      <c r="U689" s="548"/>
      <c r="V689" s="551">
        <f t="shared" si="445"/>
        <v>0</v>
      </c>
      <c r="W689" s="550"/>
      <c r="X689" s="548"/>
      <c r="Y689" s="548"/>
      <c r="Z689" s="551">
        <f t="shared" si="446"/>
        <v>0</v>
      </c>
      <c r="AA689" s="550"/>
      <c r="AB689" s="548"/>
      <c r="AC689" s="548"/>
      <c r="AD689" s="551">
        <f t="shared" si="447"/>
        <v>0</v>
      </c>
      <c r="AE689" s="24"/>
      <c r="AF689" s="29"/>
    </row>
    <row r="690" spans="2:32" ht="14.25">
      <c r="B690" s="553"/>
      <c r="C690" s="547"/>
      <c r="D690" s="548"/>
      <c r="E690" s="548"/>
      <c r="F690" s="549">
        <f t="shared" si="441"/>
        <v>0</v>
      </c>
      <c r="G690" s="550"/>
      <c r="H690" s="548"/>
      <c r="I690" s="548"/>
      <c r="J690" s="551">
        <f t="shared" si="442"/>
        <v>0</v>
      </c>
      <c r="K690" s="550"/>
      <c r="L690" s="552"/>
      <c r="M690" s="548"/>
      <c r="N690" s="551">
        <f t="shared" si="443"/>
        <v>0</v>
      </c>
      <c r="O690" s="550"/>
      <c r="P690" s="548"/>
      <c r="Q690" s="548"/>
      <c r="R690" s="551">
        <f t="shared" si="444"/>
        <v>0</v>
      </c>
      <c r="S690" s="550"/>
      <c r="T690" s="548"/>
      <c r="U690" s="548"/>
      <c r="V690" s="551">
        <f t="shared" si="445"/>
        <v>0</v>
      </c>
      <c r="W690" s="550"/>
      <c r="X690" s="548"/>
      <c r="Y690" s="548"/>
      <c r="Z690" s="551">
        <f t="shared" si="446"/>
        <v>0</v>
      </c>
      <c r="AA690" s="550"/>
      <c r="AB690" s="548"/>
      <c r="AC690" s="548"/>
      <c r="AD690" s="551">
        <f t="shared" si="447"/>
        <v>0</v>
      </c>
      <c r="AE690" s="24"/>
      <c r="AF690" s="29"/>
    </row>
    <row r="691" spans="2:32" ht="14.25">
      <c r="B691" s="272"/>
      <c r="C691" s="637"/>
      <c r="D691" s="548"/>
      <c r="E691" s="548"/>
      <c r="F691" s="549">
        <f t="shared" si="441"/>
        <v>0</v>
      </c>
      <c r="G691" s="550"/>
      <c r="H691" s="548"/>
      <c r="I691" s="548"/>
      <c r="J691" s="551">
        <f t="shared" si="442"/>
        <v>0</v>
      </c>
      <c r="K691" s="550"/>
      <c r="L691" s="552"/>
      <c r="M691" s="548"/>
      <c r="N691" s="551">
        <f t="shared" si="443"/>
        <v>0</v>
      </c>
      <c r="O691" s="550"/>
      <c r="P691" s="548"/>
      <c r="Q691" s="548"/>
      <c r="R691" s="551">
        <f t="shared" si="444"/>
        <v>0</v>
      </c>
      <c r="S691" s="550"/>
      <c r="T691" s="548"/>
      <c r="U691" s="548"/>
      <c r="V691" s="551">
        <f t="shared" si="445"/>
        <v>0</v>
      </c>
      <c r="W691" s="550"/>
      <c r="X691" s="548"/>
      <c r="Y691" s="548"/>
      <c r="Z691" s="551">
        <f t="shared" si="446"/>
        <v>0</v>
      </c>
      <c r="AA691" s="550"/>
      <c r="AB691" s="548"/>
      <c r="AC691" s="548"/>
      <c r="AD691" s="551">
        <f t="shared" si="447"/>
        <v>0</v>
      </c>
      <c r="AE691" s="24"/>
      <c r="AF691" s="29">
        <f>J691+F691+N691+R691+V691+Z691+AD691</f>
        <v>0</v>
      </c>
    </row>
    <row r="692" spans="2:32" ht="14.25">
      <c r="B692" s="554" t="s">
        <v>61</v>
      </c>
      <c r="C692" s="554"/>
      <c r="D692" s="548"/>
      <c r="E692" s="548"/>
      <c r="F692" s="549">
        <f t="shared" si="441"/>
        <v>0</v>
      </c>
      <c r="G692" s="550"/>
      <c r="H692" s="548"/>
      <c r="I692" s="548"/>
      <c r="J692" s="551">
        <f t="shared" si="442"/>
        <v>0</v>
      </c>
      <c r="K692" s="550"/>
      <c r="L692" s="552"/>
      <c r="M692" s="548"/>
      <c r="N692" s="551">
        <f t="shared" si="443"/>
        <v>0</v>
      </c>
      <c r="O692" s="550"/>
      <c r="P692" s="548"/>
      <c r="Q692" s="548"/>
      <c r="R692" s="551">
        <f t="shared" si="444"/>
        <v>0</v>
      </c>
      <c r="S692" s="550"/>
      <c r="T692" s="548"/>
      <c r="U692" s="548"/>
      <c r="V692" s="551">
        <f t="shared" si="445"/>
        <v>0</v>
      </c>
      <c r="W692" s="550"/>
      <c r="X692" s="548"/>
      <c r="Y692" s="548"/>
      <c r="Z692" s="551">
        <f t="shared" si="446"/>
        <v>0</v>
      </c>
      <c r="AA692" s="550"/>
      <c r="AB692" s="548"/>
      <c r="AC692" s="548"/>
      <c r="AD692" s="551">
        <f t="shared" si="447"/>
        <v>0</v>
      </c>
      <c r="AE692" s="24"/>
      <c r="AF692" s="29">
        <f>J692+F692+N692+R692+V692+Z692+AD692</f>
        <v>0</v>
      </c>
    </row>
    <row r="693" spans="2:32">
      <c r="B693" s="31" t="s">
        <v>577</v>
      </c>
      <c r="C693" s="31"/>
      <c r="D693" s="91"/>
      <c r="E693" s="91"/>
      <c r="F693" s="90"/>
      <c r="G693" s="91"/>
      <c r="H693" s="91"/>
      <c r="I693" s="91"/>
      <c r="J693" s="90"/>
      <c r="K693" s="91"/>
      <c r="L693" s="430"/>
      <c r="M693" s="91"/>
      <c r="N693" s="90"/>
      <c r="O693" s="91"/>
      <c r="P693" s="91"/>
      <c r="Q693" s="91"/>
      <c r="R693" s="90"/>
      <c r="S693" s="91"/>
      <c r="T693" s="91"/>
      <c r="U693" s="91"/>
      <c r="V693" s="90"/>
      <c r="W693" s="91"/>
      <c r="X693" s="91"/>
      <c r="Y693" s="91"/>
      <c r="Z693" s="90"/>
      <c r="AA693" s="91"/>
      <c r="AB693" s="91"/>
      <c r="AC693" s="91"/>
      <c r="AD693" s="91"/>
      <c r="AE693" s="352"/>
      <c r="AF693" s="28"/>
    </row>
    <row r="694" spans="2:32">
      <c r="B694" s="31" t="s">
        <v>578</v>
      </c>
      <c r="C694" s="31"/>
      <c r="D694" s="91"/>
      <c r="E694" s="91"/>
      <c r="F694" s="90"/>
      <c r="G694" s="91"/>
      <c r="H694" s="91"/>
      <c r="I694" s="91"/>
      <c r="J694" s="90"/>
      <c r="K694" s="91"/>
      <c r="L694" s="430"/>
      <c r="M694" s="91"/>
      <c r="N694" s="90"/>
      <c r="O694" s="91"/>
      <c r="P694" s="91"/>
      <c r="Q694" s="91"/>
      <c r="R694" s="90"/>
      <c r="S694" s="91"/>
      <c r="T694" s="91"/>
      <c r="U694" s="91"/>
      <c r="V694" s="90"/>
      <c r="W694" s="91"/>
      <c r="X694" s="91"/>
      <c r="Y694" s="91"/>
      <c r="Z694" s="90"/>
      <c r="AA694" s="91"/>
      <c r="AB694" s="91"/>
      <c r="AC694" s="91"/>
      <c r="AD694" s="91"/>
      <c r="AE694" s="352"/>
      <c r="AF694" s="28">
        <f>SUM(D694:AD694)</f>
        <v>0</v>
      </c>
    </row>
    <row r="695" spans="2:32" ht="14.25" thickBot="1">
      <c r="B695" s="74" t="s">
        <v>579</v>
      </c>
      <c r="C695" s="74"/>
      <c r="D695" s="95"/>
      <c r="E695" s="95"/>
      <c r="F695" s="96"/>
      <c r="G695" s="95"/>
      <c r="H695" s="95"/>
      <c r="I695" s="95"/>
      <c r="J695" s="96"/>
      <c r="K695" s="95"/>
      <c r="L695" s="431"/>
      <c r="M695" s="95"/>
      <c r="N695" s="96"/>
      <c r="O695" s="95"/>
      <c r="P695" s="95"/>
      <c r="Q695" s="95"/>
      <c r="R695" s="96"/>
      <c r="S695" s="95"/>
      <c r="T695" s="95"/>
      <c r="U695" s="95"/>
      <c r="V695" s="96"/>
      <c r="W695" s="97"/>
      <c r="X695" s="97"/>
      <c r="Y695" s="97"/>
      <c r="Z695" s="96"/>
      <c r="AA695" s="97"/>
      <c r="AB695" s="97"/>
      <c r="AC695" s="97"/>
      <c r="AD695" s="97"/>
      <c r="AE695" s="97"/>
      <c r="AF695" s="80">
        <f>SUM(D695:AD695)</f>
        <v>0</v>
      </c>
    </row>
    <row r="696" spans="2:32" ht="13.9" customHeight="1" thickTop="1">
      <c r="B696" s="1518" t="s">
        <v>18</v>
      </c>
      <c r="C696" s="1528" t="s">
        <v>571</v>
      </c>
      <c r="D696" s="1524">
        <v>45572</v>
      </c>
      <c r="E696" s="1524"/>
      <c r="F696" s="1524"/>
      <c r="G696" s="22"/>
      <c r="H696" s="1524">
        <f>D696+1</f>
        <v>45573</v>
      </c>
      <c r="I696" s="1524"/>
      <c r="J696" s="1524"/>
      <c r="K696" s="22"/>
      <c r="L696" s="1524">
        <f>H696+1</f>
        <v>45574</v>
      </c>
      <c r="M696" s="1524"/>
      <c r="N696" s="1524"/>
      <c r="P696" s="1524">
        <f>L696+1</f>
        <v>45575</v>
      </c>
      <c r="Q696" s="1524"/>
      <c r="R696" s="1524"/>
      <c r="T696" s="1524">
        <f>P696+1</f>
        <v>45576</v>
      </c>
      <c r="U696" s="1524"/>
      <c r="V696" s="1524"/>
      <c r="W696" s="22"/>
      <c r="X696" s="1524">
        <f>T696+1</f>
        <v>45577</v>
      </c>
      <c r="Y696" s="1524"/>
      <c r="Z696" s="1524"/>
      <c r="AB696" s="1524">
        <f>X696+1</f>
        <v>45578</v>
      </c>
      <c r="AC696" s="1524"/>
      <c r="AD696" s="1524"/>
      <c r="AE696" s="22"/>
      <c r="AF696" s="1517" t="s">
        <v>19</v>
      </c>
    </row>
    <row r="697" spans="2:32">
      <c r="B697" s="1518"/>
      <c r="C697" s="1528"/>
      <c r="D697" s="21" t="s">
        <v>23</v>
      </c>
      <c r="E697" s="21" t="s">
        <v>24</v>
      </c>
      <c r="F697" s="62" t="s">
        <v>25</v>
      </c>
      <c r="G697" s="23"/>
      <c r="H697" s="21" t="s">
        <v>23</v>
      </c>
      <c r="I697" s="21" t="s">
        <v>24</v>
      </c>
      <c r="J697" s="18" t="s">
        <v>25</v>
      </c>
      <c r="K697" s="23"/>
      <c r="L697" s="21" t="s">
        <v>23</v>
      </c>
      <c r="M697" s="21" t="s">
        <v>24</v>
      </c>
      <c r="N697" s="18" t="s">
        <v>25</v>
      </c>
      <c r="O697" s="23"/>
      <c r="P697" s="21" t="s">
        <v>23</v>
      </c>
      <c r="Q697" s="21" t="s">
        <v>24</v>
      </c>
      <c r="R697" s="18" t="s">
        <v>25</v>
      </c>
      <c r="S697" s="23"/>
      <c r="T697" s="21" t="s">
        <v>23</v>
      </c>
      <c r="U697" s="21" t="s">
        <v>24</v>
      </c>
      <c r="V697" s="18" t="s">
        <v>25</v>
      </c>
      <c r="W697" s="23"/>
      <c r="X697" s="21" t="s">
        <v>23</v>
      </c>
      <c r="Y697" s="21" t="s">
        <v>24</v>
      </c>
      <c r="Z697" s="18" t="s">
        <v>25</v>
      </c>
      <c r="AA697" s="23"/>
      <c r="AB697" s="21" t="s">
        <v>23</v>
      </c>
      <c r="AC697" s="21" t="s">
        <v>24</v>
      </c>
      <c r="AD697" s="18" t="s">
        <v>25</v>
      </c>
      <c r="AE697" s="23"/>
      <c r="AF697" s="1517"/>
    </row>
    <row r="698" spans="2:32" ht="14.25">
      <c r="B698" s="553" t="s">
        <v>54</v>
      </c>
      <c r="C698" s="547" t="s">
        <v>870</v>
      </c>
      <c r="D698" s="548">
        <v>0.38472222222222224</v>
      </c>
      <c r="E698" s="548"/>
      <c r="F698" s="549">
        <f t="shared" ref="F698:F709" si="448">(E698-D698)*24</f>
        <v>-9.2333333333333343</v>
      </c>
      <c r="G698" s="550"/>
      <c r="H698" s="548"/>
      <c r="I698" s="548"/>
      <c r="J698" s="551">
        <f t="shared" ref="J698:J709" si="449">(I698-H698)*24</f>
        <v>0</v>
      </c>
      <c r="K698" s="550"/>
      <c r="L698" s="552"/>
      <c r="M698" s="548"/>
      <c r="N698" s="551">
        <f t="shared" ref="N698:N709" si="450">(M698-L698)*24</f>
        <v>0</v>
      </c>
      <c r="O698" s="550"/>
      <c r="P698" s="548"/>
      <c r="Q698" s="548"/>
      <c r="R698" s="551">
        <f t="shared" ref="R698:R709" si="451">(Q698-P698)*24</f>
        <v>0</v>
      </c>
      <c r="S698" s="550"/>
      <c r="T698" s="548"/>
      <c r="U698" s="548"/>
      <c r="V698" s="551">
        <f t="shared" ref="V698:V709" si="452">(U698-T698)*24</f>
        <v>0</v>
      </c>
      <c r="W698" s="550"/>
      <c r="X698" s="548"/>
      <c r="Y698" s="548"/>
      <c r="Z698" s="551">
        <f t="shared" ref="Z698:Z709" si="453">(Y698-X698)*24</f>
        <v>0</v>
      </c>
      <c r="AA698" s="550"/>
      <c r="AB698" s="548"/>
      <c r="AC698" s="548"/>
      <c r="AD698" s="551">
        <f t="shared" ref="AD698:AD709" si="454">(AC698-AB698)*24</f>
        <v>0</v>
      </c>
      <c r="AE698" s="24"/>
      <c r="AF698" s="29">
        <f>J698+F698+N698+R698+V698+Z698+AD698</f>
        <v>-9.2333333333333343</v>
      </c>
    </row>
    <row r="699" spans="2:32" ht="14.25">
      <c r="B699" s="553" t="s">
        <v>42</v>
      </c>
      <c r="C699" s="641" t="s">
        <v>872</v>
      </c>
      <c r="D699" s="548">
        <v>0.3125</v>
      </c>
      <c r="E699" s="548">
        <v>0.60416666666666663</v>
      </c>
      <c r="F699" s="549">
        <f t="shared" si="448"/>
        <v>6.9999999999999991</v>
      </c>
      <c r="G699" s="550"/>
      <c r="H699" s="548"/>
      <c r="I699" s="548"/>
      <c r="J699" s="551">
        <f t="shared" si="449"/>
        <v>0</v>
      </c>
      <c r="K699" s="550"/>
      <c r="L699" s="552"/>
      <c r="M699" s="548"/>
      <c r="N699" s="551">
        <f t="shared" si="450"/>
        <v>0</v>
      </c>
      <c r="O699" s="550"/>
      <c r="P699" s="548"/>
      <c r="Q699" s="548"/>
      <c r="R699" s="551">
        <f t="shared" si="451"/>
        <v>0</v>
      </c>
      <c r="S699" s="550"/>
      <c r="T699" s="548"/>
      <c r="U699" s="548"/>
      <c r="V699" s="551">
        <f t="shared" si="452"/>
        <v>0</v>
      </c>
      <c r="W699" s="550"/>
      <c r="X699" s="548"/>
      <c r="Y699" s="548"/>
      <c r="Z699" s="551">
        <f t="shared" si="453"/>
        <v>0</v>
      </c>
      <c r="AA699" s="550"/>
      <c r="AB699" s="548"/>
      <c r="AC699" s="548"/>
      <c r="AD699" s="551">
        <f t="shared" si="454"/>
        <v>0</v>
      </c>
      <c r="AE699" s="24"/>
      <c r="AF699" s="29">
        <f>J699+F699+N699+R699+V699+Z699+AD699</f>
        <v>6.9999999999999991</v>
      </c>
    </row>
    <row r="700" spans="2:32" ht="14.25">
      <c r="B700" s="553" t="s">
        <v>54</v>
      </c>
      <c r="C700" s="641">
        <v>7023042300</v>
      </c>
      <c r="D700" s="548"/>
      <c r="E700" s="548"/>
      <c r="F700" s="549">
        <f t="shared" si="448"/>
        <v>0</v>
      </c>
      <c r="G700" s="550"/>
      <c r="H700" s="548">
        <v>0.375</v>
      </c>
      <c r="I700" s="548"/>
      <c r="J700" s="551">
        <f t="shared" si="449"/>
        <v>-9</v>
      </c>
      <c r="K700" s="550"/>
      <c r="L700" s="552"/>
      <c r="M700" s="548"/>
      <c r="N700" s="551">
        <f t="shared" si="450"/>
        <v>0</v>
      </c>
      <c r="O700" s="550"/>
      <c r="P700" s="548"/>
      <c r="Q700" s="548"/>
      <c r="R700" s="551">
        <f t="shared" si="451"/>
        <v>0</v>
      </c>
      <c r="S700" s="550"/>
      <c r="T700" s="548"/>
      <c r="U700" s="548"/>
      <c r="V700" s="551">
        <f t="shared" si="452"/>
        <v>0</v>
      </c>
      <c r="W700" s="550"/>
      <c r="X700" s="548"/>
      <c r="Y700" s="548"/>
      <c r="Z700" s="551">
        <f t="shared" si="453"/>
        <v>0</v>
      </c>
      <c r="AA700" s="550"/>
      <c r="AB700" s="548"/>
      <c r="AC700" s="548"/>
      <c r="AD700" s="551">
        <f t="shared" si="454"/>
        <v>0</v>
      </c>
      <c r="AE700" s="24"/>
      <c r="AF700" s="29">
        <f>J700+F700+N700+R700+V700+Z700+AD700</f>
        <v>-9</v>
      </c>
    </row>
    <row r="701" spans="2:32" ht="14.25">
      <c r="B701" s="553" t="s">
        <v>576</v>
      </c>
      <c r="C701" s="547" t="s">
        <v>873</v>
      </c>
      <c r="D701" s="548"/>
      <c r="E701" s="548"/>
      <c r="F701" s="549">
        <f t="shared" si="448"/>
        <v>0</v>
      </c>
      <c r="G701" s="550"/>
      <c r="H701" s="548"/>
      <c r="I701" s="548"/>
      <c r="J701" s="551">
        <f t="shared" si="449"/>
        <v>0</v>
      </c>
      <c r="K701" s="550"/>
      <c r="L701" s="552"/>
      <c r="M701" s="548"/>
      <c r="N701" s="551">
        <f t="shared" si="450"/>
        <v>0</v>
      </c>
      <c r="O701" s="550"/>
      <c r="P701" s="548"/>
      <c r="Q701" s="548"/>
      <c r="R701" s="551">
        <f t="shared" si="451"/>
        <v>0</v>
      </c>
      <c r="S701" s="550"/>
      <c r="T701" s="548"/>
      <c r="U701" s="548"/>
      <c r="V701" s="551">
        <f t="shared" si="452"/>
        <v>0</v>
      </c>
      <c r="W701" s="550"/>
      <c r="X701" s="548"/>
      <c r="Y701" s="548"/>
      <c r="Z701" s="551">
        <f t="shared" si="453"/>
        <v>0</v>
      </c>
      <c r="AA701" s="550"/>
      <c r="AB701" s="548"/>
      <c r="AC701" s="548"/>
      <c r="AD701" s="551">
        <f t="shared" si="454"/>
        <v>0</v>
      </c>
      <c r="AE701" s="24"/>
      <c r="AF701" s="29">
        <f>J701+F701+N701+R701+V701+Z701+AD701</f>
        <v>0</v>
      </c>
    </row>
    <row r="702" spans="2:32" ht="14.25">
      <c r="B702" s="553" t="s">
        <v>54</v>
      </c>
      <c r="C702" s="547" t="s">
        <v>874</v>
      </c>
      <c r="D702" s="548"/>
      <c r="E702" s="548"/>
      <c r="F702" s="549">
        <f t="shared" si="448"/>
        <v>0</v>
      </c>
      <c r="G702" s="550"/>
      <c r="H702" s="548"/>
      <c r="I702" s="548"/>
      <c r="J702" s="551">
        <f t="shared" si="449"/>
        <v>0</v>
      </c>
      <c r="K702" s="550"/>
      <c r="L702" s="552"/>
      <c r="M702" s="548"/>
      <c r="N702" s="551">
        <f t="shared" si="450"/>
        <v>0</v>
      </c>
      <c r="O702" s="550"/>
      <c r="P702" s="548"/>
      <c r="Q702" s="548"/>
      <c r="R702" s="551">
        <f t="shared" si="451"/>
        <v>0</v>
      </c>
      <c r="S702" s="550"/>
      <c r="T702" s="548"/>
      <c r="U702" s="548"/>
      <c r="V702" s="551">
        <f t="shared" si="452"/>
        <v>0</v>
      </c>
      <c r="W702" s="550"/>
      <c r="X702" s="548"/>
      <c r="Y702" s="548"/>
      <c r="Z702" s="551">
        <f t="shared" si="453"/>
        <v>0</v>
      </c>
      <c r="AA702" s="550"/>
      <c r="AB702" s="548"/>
      <c r="AC702" s="548"/>
      <c r="AD702" s="551">
        <f t="shared" si="454"/>
        <v>0</v>
      </c>
      <c r="AE702" s="24"/>
      <c r="AF702" s="29"/>
    </row>
    <row r="703" spans="2:32" ht="14.25">
      <c r="B703" s="553" t="s">
        <v>42</v>
      </c>
      <c r="C703" s="547" t="s">
        <v>874</v>
      </c>
      <c r="D703" s="548"/>
      <c r="E703" s="548"/>
      <c r="F703" s="549">
        <f t="shared" si="448"/>
        <v>0</v>
      </c>
      <c r="G703" s="550"/>
      <c r="H703" s="548"/>
      <c r="I703" s="548"/>
      <c r="J703" s="551">
        <f t="shared" si="449"/>
        <v>0</v>
      </c>
      <c r="K703" s="550"/>
      <c r="L703" s="552"/>
      <c r="M703" s="548"/>
      <c r="N703" s="551">
        <f t="shared" si="450"/>
        <v>0</v>
      </c>
      <c r="O703" s="550"/>
      <c r="P703" s="548"/>
      <c r="Q703" s="548"/>
      <c r="R703" s="551">
        <f t="shared" si="451"/>
        <v>0</v>
      </c>
      <c r="S703" s="550"/>
      <c r="T703" s="548"/>
      <c r="U703" s="548"/>
      <c r="V703" s="551">
        <f t="shared" si="452"/>
        <v>0</v>
      </c>
      <c r="W703" s="550"/>
      <c r="X703" s="548"/>
      <c r="Y703" s="548"/>
      <c r="Z703" s="551">
        <f t="shared" si="453"/>
        <v>0</v>
      </c>
      <c r="AA703" s="550"/>
      <c r="AB703" s="548"/>
      <c r="AC703" s="548"/>
      <c r="AD703" s="551">
        <f t="shared" si="454"/>
        <v>0</v>
      </c>
      <c r="AE703" s="24"/>
      <c r="AF703" s="29"/>
    </row>
    <row r="704" spans="2:32" ht="14.25">
      <c r="B704" s="553"/>
      <c r="C704" s="547"/>
      <c r="D704" s="548"/>
      <c r="E704" s="548"/>
      <c r="F704" s="549">
        <f t="shared" si="448"/>
        <v>0</v>
      </c>
      <c r="G704" s="550"/>
      <c r="H704" s="548"/>
      <c r="I704" s="548"/>
      <c r="J704" s="551">
        <f t="shared" si="449"/>
        <v>0</v>
      </c>
      <c r="K704" s="550"/>
      <c r="L704" s="552"/>
      <c r="M704" s="548"/>
      <c r="N704" s="551">
        <f t="shared" si="450"/>
        <v>0</v>
      </c>
      <c r="O704" s="550"/>
      <c r="P704" s="548"/>
      <c r="Q704" s="548"/>
      <c r="R704" s="551">
        <f t="shared" si="451"/>
        <v>0</v>
      </c>
      <c r="S704" s="550"/>
      <c r="T704" s="548"/>
      <c r="U704" s="548"/>
      <c r="V704" s="551">
        <f t="shared" si="452"/>
        <v>0</v>
      </c>
      <c r="W704" s="550"/>
      <c r="X704" s="548"/>
      <c r="Y704" s="548"/>
      <c r="Z704" s="551">
        <f t="shared" si="453"/>
        <v>0</v>
      </c>
      <c r="AA704" s="550"/>
      <c r="AB704" s="548"/>
      <c r="AC704" s="548"/>
      <c r="AD704" s="551">
        <f t="shared" si="454"/>
        <v>0</v>
      </c>
      <c r="AE704" s="24"/>
      <c r="AF704" s="29">
        <f>J704+F704+N704+R704+V704+Z704+AD704</f>
        <v>0</v>
      </c>
    </row>
    <row r="705" spans="2:32" ht="14.25">
      <c r="B705" s="553"/>
      <c r="C705" s="547"/>
      <c r="D705" s="548"/>
      <c r="E705" s="548"/>
      <c r="F705" s="549">
        <f t="shared" si="448"/>
        <v>0</v>
      </c>
      <c r="G705" s="550"/>
      <c r="H705" s="548"/>
      <c r="I705" s="548"/>
      <c r="J705" s="551">
        <f t="shared" si="449"/>
        <v>0</v>
      </c>
      <c r="K705" s="550"/>
      <c r="L705" s="552"/>
      <c r="M705" s="548"/>
      <c r="N705" s="551">
        <f t="shared" si="450"/>
        <v>0</v>
      </c>
      <c r="O705" s="550"/>
      <c r="P705" s="548"/>
      <c r="Q705" s="548"/>
      <c r="R705" s="551">
        <f t="shared" si="451"/>
        <v>0</v>
      </c>
      <c r="S705" s="550"/>
      <c r="T705" s="548"/>
      <c r="U705" s="548"/>
      <c r="V705" s="551">
        <f t="shared" si="452"/>
        <v>0</v>
      </c>
      <c r="W705" s="550"/>
      <c r="X705" s="548"/>
      <c r="Y705" s="548"/>
      <c r="Z705" s="551">
        <f t="shared" si="453"/>
        <v>0</v>
      </c>
      <c r="AA705" s="550"/>
      <c r="AB705" s="548"/>
      <c r="AC705" s="548"/>
      <c r="AD705" s="551">
        <f t="shared" si="454"/>
        <v>0</v>
      </c>
      <c r="AE705" s="24"/>
      <c r="AF705" s="29">
        <f>J705+F705+N705+R705+V705+Z705+AD705</f>
        <v>0</v>
      </c>
    </row>
    <row r="706" spans="2:32" ht="14.25">
      <c r="B706" s="553"/>
      <c r="C706" s="547"/>
      <c r="D706" s="548"/>
      <c r="E706" s="548"/>
      <c r="F706" s="549">
        <f t="shared" si="448"/>
        <v>0</v>
      </c>
      <c r="G706" s="550"/>
      <c r="H706" s="548"/>
      <c r="I706" s="548"/>
      <c r="J706" s="551">
        <f t="shared" si="449"/>
        <v>0</v>
      </c>
      <c r="K706" s="550"/>
      <c r="L706" s="552"/>
      <c r="M706" s="548"/>
      <c r="N706" s="551">
        <f t="shared" si="450"/>
        <v>0</v>
      </c>
      <c r="O706" s="550"/>
      <c r="P706" s="548"/>
      <c r="Q706" s="548"/>
      <c r="R706" s="551">
        <f t="shared" si="451"/>
        <v>0</v>
      </c>
      <c r="S706" s="550"/>
      <c r="T706" s="548"/>
      <c r="U706" s="548"/>
      <c r="V706" s="551">
        <f t="shared" si="452"/>
        <v>0</v>
      </c>
      <c r="W706" s="550"/>
      <c r="X706" s="548"/>
      <c r="Y706" s="548"/>
      <c r="Z706" s="551">
        <f t="shared" si="453"/>
        <v>0</v>
      </c>
      <c r="AA706" s="550"/>
      <c r="AB706" s="548"/>
      <c r="AC706" s="548"/>
      <c r="AD706" s="551">
        <f t="shared" si="454"/>
        <v>0</v>
      </c>
      <c r="AE706" s="24"/>
      <c r="AF706" s="29"/>
    </row>
    <row r="707" spans="2:32" ht="14.25">
      <c r="B707" s="553"/>
      <c r="C707" s="547"/>
      <c r="D707" s="548"/>
      <c r="E707" s="548"/>
      <c r="F707" s="549">
        <f t="shared" si="448"/>
        <v>0</v>
      </c>
      <c r="G707" s="550"/>
      <c r="H707" s="548"/>
      <c r="I707" s="548"/>
      <c r="J707" s="551">
        <f t="shared" si="449"/>
        <v>0</v>
      </c>
      <c r="K707" s="550"/>
      <c r="L707" s="552"/>
      <c r="M707" s="548"/>
      <c r="N707" s="551">
        <f t="shared" si="450"/>
        <v>0</v>
      </c>
      <c r="O707" s="550"/>
      <c r="P707" s="548"/>
      <c r="Q707" s="548"/>
      <c r="R707" s="551">
        <f t="shared" si="451"/>
        <v>0</v>
      </c>
      <c r="S707" s="550"/>
      <c r="T707" s="548"/>
      <c r="U707" s="548"/>
      <c r="V707" s="551">
        <f t="shared" si="452"/>
        <v>0</v>
      </c>
      <c r="W707" s="550"/>
      <c r="X707" s="548"/>
      <c r="Y707" s="548"/>
      <c r="Z707" s="551">
        <f t="shared" si="453"/>
        <v>0</v>
      </c>
      <c r="AA707" s="550"/>
      <c r="AB707" s="548"/>
      <c r="AC707" s="548"/>
      <c r="AD707" s="551">
        <f t="shared" si="454"/>
        <v>0</v>
      </c>
      <c r="AE707" s="24"/>
      <c r="AF707" s="29"/>
    </row>
    <row r="708" spans="2:32" ht="14.25">
      <c r="B708" s="272"/>
      <c r="C708" s="637"/>
      <c r="D708" s="548"/>
      <c r="E708" s="548"/>
      <c r="F708" s="549">
        <f t="shared" si="448"/>
        <v>0</v>
      </c>
      <c r="G708" s="550"/>
      <c r="H708" s="548"/>
      <c r="I708" s="548"/>
      <c r="J708" s="551">
        <f t="shared" si="449"/>
        <v>0</v>
      </c>
      <c r="K708" s="550"/>
      <c r="L708" s="552"/>
      <c r="M708" s="548"/>
      <c r="N708" s="551">
        <f t="shared" si="450"/>
        <v>0</v>
      </c>
      <c r="O708" s="550"/>
      <c r="P708" s="548"/>
      <c r="Q708" s="548"/>
      <c r="R708" s="551">
        <f t="shared" si="451"/>
        <v>0</v>
      </c>
      <c r="S708" s="550"/>
      <c r="T708" s="548"/>
      <c r="U708" s="548"/>
      <c r="V708" s="551">
        <f t="shared" si="452"/>
        <v>0</v>
      </c>
      <c r="W708" s="550"/>
      <c r="X708" s="548"/>
      <c r="Y708" s="548"/>
      <c r="Z708" s="551">
        <f t="shared" si="453"/>
        <v>0</v>
      </c>
      <c r="AA708" s="550"/>
      <c r="AB708" s="548"/>
      <c r="AC708" s="548"/>
      <c r="AD708" s="551">
        <f t="shared" si="454"/>
        <v>0</v>
      </c>
      <c r="AE708" s="24"/>
      <c r="AF708" s="29">
        <f>J708+F708+N708+R708+V708+Z708+AD708</f>
        <v>0</v>
      </c>
    </row>
    <row r="709" spans="2:32" ht="14.25">
      <c r="B709" s="554" t="s">
        <v>61</v>
      </c>
      <c r="C709" s="554"/>
      <c r="D709" s="548"/>
      <c r="E709" s="548"/>
      <c r="F709" s="549">
        <f t="shared" si="448"/>
        <v>0</v>
      </c>
      <c r="G709" s="550"/>
      <c r="H709" s="548"/>
      <c r="I709" s="548"/>
      <c r="J709" s="551">
        <f t="shared" si="449"/>
        <v>0</v>
      </c>
      <c r="K709" s="550"/>
      <c r="L709" s="552"/>
      <c r="M709" s="548"/>
      <c r="N709" s="551">
        <f t="shared" si="450"/>
        <v>0</v>
      </c>
      <c r="O709" s="550"/>
      <c r="P709" s="548"/>
      <c r="Q709" s="548"/>
      <c r="R709" s="551">
        <f t="shared" si="451"/>
        <v>0</v>
      </c>
      <c r="S709" s="550"/>
      <c r="T709" s="548"/>
      <c r="U709" s="548"/>
      <c r="V709" s="551">
        <f t="shared" si="452"/>
        <v>0</v>
      </c>
      <c r="W709" s="550"/>
      <c r="X709" s="548"/>
      <c r="Y709" s="548"/>
      <c r="Z709" s="551">
        <f t="shared" si="453"/>
        <v>0</v>
      </c>
      <c r="AA709" s="550"/>
      <c r="AB709" s="548"/>
      <c r="AC709" s="548"/>
      <c r="AD709" s="551">
        <f t="shared" si="454"/>
        <v>0</v>
      </c>
      <c r="AE709" s="24"/>
      <c r="AF709" s="29">
        <f>J709+F709+N709+R709+V709+Z709+AD709</f>
        <v>0</v>
      </c>
    </row>
    <row r="710" spans="2:32">
      <c r="B710" s="31" t="s">
        <v>577</v>
      </c>
      <c r="C710" s="31"/>
      <c r="D710" s="91"/>
      <c r="E710" s="91"/>
      <c r="F710" s="90"/>
      <c r="G710" s="91"/>
      <c r="H710" s="91"/>
      <c r="I710" s="91"/>
      <c r="J710" s="90"/>
      <c r="K710" s="91"/>
      <c r="L710" s="430"/>
      <c r="M710" s="91"/>
      <c r="N710" s="90"/>
      <c r="O710" s="91"/>
      <c r="P710" s="91"/>
      <c r="Q710" s="91"/>
      <c r="R710" s="90"/>
      <c r="S710" s="91"/>
      <c r="T710" s="91"/>
      <c r="U710" s="91"/>
      <c r="V710" s="90"/>
      <c r="W710" s="91"/>
      <c r="X710" s="91"/>
      <c r="Y710" s="91"/>
      <c r="Z710" s="90"/>
      <c r="AA710" s="91"/>
      <c r="AB710" s="91"/>
      <c r="AC710" s="91"/>
      <c r="AD710" s="91"/>
      <c r="AE710" s="352"/>
      <c r="AF710" s="28"/>
    </row>
    <row r="711" spans="2:32">
      <c r="B711" s="31" t="s">
        <v>578</v>
      </c>
      <c r="C711" s="31"/>
      <c r="D711" s="91"/>
      <c r="E711" s="91"/>
      <c r="F711" s="90"/>
      <c r="G711" s="91"/>
      <c r="H711" s="91"/>
      <c r="I711" s="91"/>
      <c r="J711" s="90"/>
      <c r="K711" s="91"/>
      <c r="L711" s="430"/>
      <c r="M711" s="91"/>
      <c r="N711" s="90"/>
      <c r="O711" s="91"/>
      <c r="P711" s="91"/>
      <c r="Q711" s="91"/>
      <c r="R711" s="90"/>
      <c r="S711" s="91"/>
      <c r="T711" s="91"/>
      <c r="U711" s="91"/>
      <c r="V711" s="90"/>
      <c r="W711" s="91"/>
      <c r="X711" s="91"/>
      <c r="Y711" s="91"/>
      <c r="Z711" s="90"/>
      <c r="AA711" s="91"/>
      <c r="AB711" s="91"/>
      <c r="AC711" s="91"/>
      <c r="AD711" s="91"/>
      <c r="AE711" s="352"/>
      <c r="AF711" s="28">
        <f>SUM(D711:AD711)</f>
        <v>0</v>
      </c>
    </row>
    <row r="712" spans="2:32" ht="14.25" thickBot="1">
      <c r="B712" s="74" t="s">
        <v>579</v>
      </c>
      <c r="C712" s="74"/>
      <c r="D712" s="95"/>
      <c r="E712" s="95"/>
      <c r="F712" s="96"/>
      <c r="G712" s="95"/>
      <c r="H712" s="95"/>
      <c r="I712" s="95"/>
      <c r="J712" s="96"/>
      <c r="K712" s="95"/>
      <c r="L712" s="431"/>
      <c r="M712" s="95"/>
      <c r="N712" s="96"/>
      <c r="O712" s="95"/>
      <c r="P712" s="95"/>
      <c r="Q712" s="95"/>
      <c r="R712" s="96"/>
      <c r="S712" s="95"/>
      <c r="T712" s="95"/>
      <c r="U712" s="95"/>
      <c r="V712" s="96"/>
      <c r="W712" s="97"/>
      <c r="X712" s="97"/>
      <c r="Y712" s="97"/>
      <c r="Z712" s="96"/>
      <c r="AA712" s="97"/>
      <c r="AB712" s="97"/>
      <c r="AC712" s="97"/>
      <c r="AD712" s="97"/>
      <c r="AE712" s="97"/>
      <c r="AF712" s="80">
        <f>SUM(D712:AD712)</f>
        <v>0</v>
      </c>
    </row>
    <row r="713" spans="2:32" ht="13.9" customHeight="1" thickTop="1">
      <c r="B713" s="1518" t="s">
        <v>18</v>
      </c>
      <c r="C713" s="1528" t="s">
        <v>571</v>
      </c>
      <c r="D713" s="1524">
        <v>45579</v>
      </c>
      <c r="E713" s="1524"/>
      <c r="F713" s="1524"/>
      <c r="G713" s="22"/>
      <c r="H713" s="1524">
        <f>D713+1</f>
        <v>45580</v>
      </c>
      <c r="I713" s="1524"/>
      <c r="J713" s="1524"/>
      <c r="K713" s="22"/>
      <c r="L713" s="1524">
        <f>H713+1</f>
        <v>45581</v>
      </c>
      <c r="M713" s="1524"/>
      <c r="N713" s="1524"/>
      <c r="P713" s="1524">
        <f>L713+1</f>
        <v>45582</v>
      </c>
      <c r="Q713" s="1524"/>
      <c r="R713" s="1524"/>
      <c r="T713" s="1524">
        <f>P713+1</f>
        <v>45583</v>
      </c>
      <c r="U713" s="1524"/>
      <c r="V713" s="1524"/>
      <c r="W713" s="22"/>
      <c r="X713" s="1524">
        <f>T713+1</f>
        <v>45584</v>
      </c>
      <c r="Y713" s="1524"/>
      <c r="Z713" s="1524"/>
      <c r="AB713" s="1524">
        <f>X713+1</f>
        <v>45585</v>
      </c>
      <c r="AC713" s="1524"/>
      <c r="AD713" s="1524"/>
      <c r="AE713" s="22"/>
      <c r="AF713" s="1517" t="s">
        <v>19</v>
      </c>
    </row>
    <row r="714" spans="2:32">
      <c r="B714" s="1518"/>
      <c r="C714" s="1528"/>
      <c r="D714" s="21" t="s">
        <v>23</v>
      </c>
      <c r="E714" s="21" t="s">
        <v>24</v>
      </c>
      <c r="F714" s="62" t="s">
        <v>25</v>
      </c>
      <c r="G714" s="23"/>
      <c r="H714" s="21" t="s">
        <v>23</v>
      </c>
      <c r="I714" s="21" t="s">
        <v>24</v>
      </c>
      <c r="J714" s="18" t="s">
        <v>25</v>
      </c>
      <c r="K714" s="23"/>
      <c r="L714" s="21" t="s">
        <v>23</v>
      </c>
      <c r="M714" s="21" t="s">
        <v>24</v>
      </c>
      <c r="N714" s="18" t="s">
        <v>25</v>
      </c>
      <c r="O714" s="23"/>
      <c r="P714" s="21" t="s">
        <v>23</v>
      </c>
      <c r="Q714" s="21" t="s">
        <v>24</v>
      </c>
      <c r="R714" s="18" t="s">
        <v>25</v>
      </c>
      <c r="S714" s="23"/>
      <c r="T714" s="21" t="s">
        <v>23</v>
      </c>
      <c r="U714" s="21" t="s">
        <v>24</v>
      </c>
      <c r="V714" s="18" t="s">
        <v>25</v>
      </c>
      <c r="W714" s="23"/>
      <c r="X714" s="21" t="s">
        <v>23</v>
      </c>
      <c r="Y714" s="21" t="s">
        <v>24</v>
      </c>
      <c r="Z714" s="18" t="s">
        <v>25</v>
      </c>
      <c r="AA714" s="23"/>
      <c r="AB714" s="21" t="s">
        <v>23</v>
      </c>
      <c r="AC714" s="21" t="s">
        <v>24</v>
      </c>
      <c r="AD714" s="18" t="s">
        <v>25</v>
      </c>
      <c r="AE714" s="23"/>
      <c r="AF714" s="1517"/>
    </row>
    <row r="715" spans="2:32" ht="14.25">
      <c r="B715" s="553"/>
      <c r="C715" s="547"/>
      <c r="D715" s="548"/>
      <c r="E715" s="548"/>
      <c r="F715" s="549">
        <f t="shared" ref="F715:F726" si="455">(E715-D715)*24</f>
        <v>0</v>
      </c>
      <c r="G715" s="550"/>
      <c r="H715" s="548"/>
      <c r="I715" s="548"/>
      <c r="J715" s="551">
        <f t="shared" ref="J715:J726" si="456">(I715-H715)*24</f>
        <v>0</v>
      </c>
      <c r="K715" s="550"/>
      <c r="L715" s="552"/>
      <c r="M715" s="548"/>
      <c r="N715" s="551">
        <f t="shared" ref="N715:N726" si="457">(M715-L715)*24</f>
        <v>0</v>
      </c>
      <c r="O715" s="550"/>
      <c r="P715" s="548"/>
      <c r="Q715" s="548"/>
      <c r="R715" s="551">
        <f t="shared" ref="R715:R726" si="458">(Q715-P715)*24</f>
        <v>0</v>
      </c>
      <c r="S715" s="550"/>
      <c r="T715" s="548"/>
      <c r="U715" s="548"/>
      <c r="V715" s="551">
        <f t="shared" ref="V715:V726" si="459">(U715-T715)*24</f>
        <v>0</v>
      </c>
      <c r="W715" s="550"/>
      <c r="X715" s="548"/>
      <c r="Y715" s="548"/>
      <c r="Z715" s="551">
        <f t="shared" ref="Z715:Z726" si="460">(Y715-X715)*24</f>
        <v>0</v>
      </c>
      <c r="AA715" s="550"/>
      <c r="AB715" s="548"/>
      <c r="AC715" s="548"/>
      <c r="AD715" s="551">
        <f t="shared" ref="AD715:AD726" si="461">(AC715-AB715)*24</f>
        <v>0</v>
      </c>
      <c r="AE715" s="24"/>
      <c r="AF715" s="29">
        <f>J715+F715+N715+R715+V715+Z715+AD715</f>
        <v>0</v>
      </c>
    </row>
    <row r="716" spans="2:32" ht="14.25">
      <c r="B716" s="553"/>
      <c r="C716" s="547"/>
      <c r="D716" s="548"/>
      <c r="E716" s="548"/>
      <c r="F716" s="549">
        <f t="shared" si="455"/>
        <v>0</v>
      </c>
      <c r="G716" s="550"/>
      <c r="H716" s="548"/>
      <c r="I716" s="548"/>
      <c r="J716" s="551">
        <f t="shared" si="456"/>
        <v>0</v>
      </c>
      <c r="K716" s="550"/>
      <c r="L716" s="552"/>
      <c r="M716" s="548"/>
      <c r="N716" s="551">
        <f t="shared" si="457"/>
        <v>0</v>
      </c>
      <c r="O716" s="550"/>
      <c r="P716" s="548"/>
      <c r="Q716" s="548"/>
      <c r="R716" s="551">
        <f t="shared" si="458"/>
        <v>0</v>
      </c>
      <c r="S716" s="550"/>
      <c r="T716" s="548"/>
      <c r="U716" s="548"/>
      <c r="V716" s="551">
        <f t="shared" si="459"/>
        <v>0</v>
      </c>
      <c r="W716" s="550"/>
      <c r="X716" s="548"/>
      <c r="Y716" s="548"/>
      <c r="Z716" s="551">
        <f t="shared" si="460"/>
        <v>0</v>
      </c>
      <c r="AA716" s="550"/>
      <c r="AB716" s="548"/>
      <c r="AC716" s="548"/>
      <c r="AD716" s="551">
        <f t="shared" si="461"/>
        <v>0</v>
      </c>
      <c r="AE716" s="24"/>
      <c r="AF716" s="29">
        <f>J716+F716+N716+R716+V716+Z716+AD716</f>
        <v>0</v>
      </c>
    </row>
    <row r="717" spans="2:32" ht="14.25">
      <c r="B717" s="553"/>
      <c r="C717" s="547"/>
      <c r="D717" s="548"/>
      <c r="E717" s="548"/>
      <c r="F717" s="549">
        <f t="shared" si="455"/>
        <v>0</v>
      </c>
      <c r="G717" s="550"/>
      <c r="H717" s="548"/>
      <c r="I717" s="548"/>
      <c r="J717" s="551">
        <f t="shared" si="456"/>
        <v>0</v>
      </c>
      <c r="K717" s="550"/>
      <c r="L717" s="552"/>
      <c r="M717" s="548"/>
      <c r="N717" s="551">
        <f t="shared" si="457"/>
        <v>0</v>
      </c>
      <c r="O717" s="550"/>
      <c r="P717" s="548"/>
      <c r="Q717" s="548"/>
      <c r="R717" s="551">
        <f t="shared" si="458"/>
        <v>0</v>
      </c>
      <c r="S717" s="550"/>
      <c r="T717" s="548"/>
      <c r="U717" s="548"/>
      <c r="V717" s="551">
        <f t="shared" si="459"/>
        <v>0</v>
      </c>
      <c r="W717" s="550"/>
      <c r="X717" s="548"/>
      <c r="Y717" s="548"/>
      <c r="Z717" s="551">
        <f t="shared" si="460"/>
        <v>0</v>
      </c>
      <c r="AA717" s="550"/>
      <c r="AB717" s="548"/>
      <c r="AC717" s="548"/>
      <c r="AD717" s="551">
        <f t="shared" si="461"/>
        <v>0</v>
      </c>
      <c r="AE717" s="24"/>
      <c r="AF717" s="29">
        <f>J717+F717+N717+R717+V717+Z717+AD717</f>
        <v>0</v>
      </c>
    </row>
    <row r="718" spans="2:32" ht="14.25">
      <c r="B718" s="553"/>
      <c r="C718" s="547"/>
      <c r="D718" s="548"/>
      <c r="E718" s="548"/>
      <c r="F718" s="549">
        <f t="shared" si="455"/>
        <v>0</v>
      </c>
      <c r="G718" s="550"/>
      <c r="H718" s="548"/>
      <c r="I718" s="548"/>
      <c r="J718" s="551">
        <f t="shared" si="456"/>
        <v>0</v>
      </c>
      <c r="K718" s="550"/>
      <c r="L718" s="552"/>
      <c r="M718" s="548"/>
      <c r="N718" s="551">
        <f t="shared" si="457"/>
        <v>0</v>
      </c>
      <c r="O718" s="550"/>
      <c r="P718" s="548"/>
      <c r="Q718" s="548"/>
      <c r="R718" s="551">
        <f t="shared" si="458"/>
        <v>0</v>
      </c>
      <c r="S718" s="550"/>
      <c r="T718" s="548"/>
      <c r="U718" s="548"/>
      <c r="V718" s="551">
        <f t="shared" si="459"/>
        <v>0</v>
      </c>
      <c r="W718" s="550"/>
      <c r="X718" s="548"/>
      <c r="Y718" s="548"/>
      <c r="Z718" s="551">
        <f t="shared" si="460"/>
        <v>0</v>
      </c>
      <c r="AA718" s="550"/>
      <c r="AB718" s="548"/>
      <c r="AC718" s="548"/>
      <c r="AD718" s="551">
        <f t="shared" si="461"/>
        <v>0</v>
      </c>
      <c r="AE718" s="24"/>
      <c r="AF718" s="29">
        <f>J718+F718+N718+R718+V718+Z718+AD718</f>
        <v>0</v>
      </c>
    </row>
    <row r="719" spans="2:32" ht="14.25">
      <c r="B719" s="553"/>
      <c r="C719" s="547"/>
      <c r="D719" s="548"/>
      <c r="E719" s="548"/>
      <c r="F719" s="549">
        <f t="shared" si="455"/>
        <v>0</v>
      </c>
      <c r="G719" s="550"/>
      <c r="H719" s="548"/>
      <c r="I719" s="548"/>
      <c r="J719" s="551">
        <f t="shared" si="456"/>
        <v>0</v>
      </c>
      <c r="K719" s="550"/>
      <c r="L719" s="552"/>
      <c r="M719" s="548"/>
      <c r="N719" s="551">
        <f t="shared" si="457"/>
        <v>0</v>
      </c>
      <c r="O719" s="550"/>
      <c r="P719" s="548"/>
      <c r="Q719" s="548"/>
      <c r="R719" s="551">
        <f t="shared" si="458"/>
        <v>0</v>
      </c>
      <c r="S719" s="550"/>
      <c r="T719" s="548"/>
      <c r="U719" s="548"/>
      <c r="V719" s="551">
        <f t="shared" si="459"/>
        <v>0</v>
      </c>
      <c r="W719" s="550"/>
      <c r="X719" s="548"/>
      <c r="Y719" s="548"/>
      <c r="Z719" s="551">
        <f t="shared" si="460"/>
        <v>0</v>
      </c>
      <c r="AA719" s="550"/>
      <c r="AB719" s="548"/>
      <c r="AC719" s="548"/>
      <c r="AD719" s="551">
        <f t="shared" si="461"/>
        <v>0</v>
      </c>
      <c r="AE719" s="24"/>
      <c r="AF719" s="29"/>
    </row>
    <row r="720" spans="2:32" ht="14.25">
      <c r="B720" s="553"/>
      <c r="C720" s="547"/>
      <c r="D720" s="548"/>
      <c r="E720" s="548"/>
      <c r="F720" s="549">
        <f t="shared" si="455"/>
        <v>0</v>
      </c>
      <c r="G720" s="550"/>
      <c r="H720" s="548"/>
      <c r="I720" s="548"/>
      <c r="J720" s="551">
        <f t="shared" si="456"/>
        <v>0</v>
      </c>
      <c r="K720" s="550"/>
      <c r="L720" s="552"/>
      <c r="M720" s="548"/>
      <c r="N720" s="551">
        <f t="shared" si="457"/>
        <v>0</v>
      </c>
      <c r="O720" s="550"/>
      <c r="P720" s="548"/>
      <c r="Q720" s="548"/>
      <c r="R720" s="551">
        <f t="shared" si="458"/>
        <v>0</v>
      </c>
      <c r="S720" s="550"/>
      <c r="T720" s="548"/>
      <c r="U720" s="548"/>
      <c r="V720" s="551">
        <f t="shared" si="459"/>
        <v>0</v>
      </c>
      <c r="W720" s="550"/>
      <c r="X720" s="548"/>
      <c r="Y720" s="548"/>
      <c r="Z720" s="551">
        <f t="shared" si="460"/>
        <v>0</v>
      </c>
      <c r="AA720" s="550"/>
      <c r="AB720" s="548"/>
      <c r="AC720" s="548"/>
      <c r="AD720" s="551">
        <f t="shared" si="461"/>
        <v>0</v>
      </c>
      <c r="AE720" s="24"/>
      <c r="AF720" s="29"/>
    </row>
    <row r="721" spans="2:32" ht="14.25">
      <c r="B721" s="553"/>
      <c r="C721" s="547"/>
      <c r="D721" s="548"/>
      <c r="E721" s="548"/>
      <c r="F721" s="549">
        <f t="shared" si="455"/>
        <v>0</v>
      </c>
      <c r="G721" s="550"/>
      <c r="H721" s="548"/>
      <c r="I721" s="548"/>
      <c r="J721" s="551">
        <f t="shared" si="456"/>
        <v>0</v>
      </c>
      <c r="K721" s="550"/>
      <c r="L721" s="552"/>
      <c r="M721" s="548"/>
      <c r="N721" s="551">
        <f t="shared" si="457"/>
        <v>0</v>
      </c>
      <c r="O721" s="550"/>
      <c r="P721" s="548"/>
      <c r="Q721" s="548"/>
      <c r="R721" s="551">
        <f t="shared" si="458"/>
        <v>0</v>
      </c>
      <c r="S721" s="550"/>
      <c r="T721" s="548"/>
      <c r="U721" s="548"/>
      <c r="V721" s="551">
        <f t="shared" si="459"/>
        <v>0</v>
      </c>
      <c r="W721" s="550"/>
      <c r="X721" s="548"/>
      <c r="Y721" s="548"/>
      <c r="Z721" s="551">
        <f t="shared" si="460"/>
        <v>0</v>
      </c>
      <c r="AA721" s="550"/>
      <c r="AB721" s="548"/>
      <c r="AC721" s="548"/>
      <c r="AD721" s="551">
        <f t="shared" si="461"/>
        <v>0</v>
      </c>
      <c r="AE721" s="24"/>
      <c r="AF721" s="29">
        <f>J721+F721+N721+R721+V721+Z721+AD721</f>
        <v>0</v>
      </c>
    </row>
    <row r="722" spans="2:32" ht="14.25">
      <c r="B722" s="553"/>
      <c r="C722" s="547"/>
      <c r="D722" s="548"/>
      <c r="E722" s="548"/>
      <c r="F722" s="549">
        <f t="shared" si="455"/>
        <v>0</v>
      </c>
      <c r="G722" s="550"/>
      <c r="H722" s="548"/>
      <c r="I722" s="548"/>
      <c r="J722" s="551">
        <f t="shared" si="456"/>
        <v>0</v>
      </c>
      <c r="K722" s="550"/>
      <c r="L722" s="552"/>
      <c r="M722" s="548"/>
      <c r="N722" s="551">
        <f t="shared" si="457"/>
        <v>0</v>
      </c>
      <c r="O722" s="550"/>
      <c r="P722" s="548"/>
      <c r="Q722" s="548"/>
      <c r="R722" s="551">
        <f t="shared" si="458"/>
        <v>0</v>
      </c>
      <c r="S722" s="550"/>
      <c r="T722" s="548"/>
      <c r="U722" s="548"/>
      <c r="V722" s="551">
        <f t="shared" si="459"/>
        <v>0</v>
      </c>
      <c r="W722" s="550"/>
      <c r="X722" s="548"/>
      <c r="Y722" s="548"/>
      <c r="Z722" s="551">
        <f t="shared" si="460"/>
        <v>0</v>
      </c>
      <c r="AA722" s="550"/>
      <c r="AB722" s="548"/>
      <c r="AC722" s="548"/>
      <c r="AD722" s="551">
        <f t="shared" si="461"/>
        <v>0</v>
      </c>
      <c r="AE722" s="24"/>
      <c r="AF722" s="29">
        <f>J722+F722+N722+R722+V722+Z722+AD722</f>
        <v>0</v>
      </c>
    </row>
    <row r="723" spans="2:32" ht="14.25">
      <c r="B723" s="553"/>
      <c r="C723" s="547"/>
      <c r="D723" s="548"/>
      <c r="E723" s="548"/>
      <c r="F723" s="549">
        <f t="shared" si="455"/>
        <v>0</v>
      </c>
      <c r="G723" s="550"/>
      <c r="H723" s="548"/>
      <c r="I723" s="548"/>
      <c r="J723" s="551">
        <f t="shared" si="456"/>
        <v>0</v>
      </c>
      <c r="K723" s="550"/>
      <c r="L723" s="552"/>
      <c r="M723" s="548"/>
      <c r="N723" s="551">
        <f t="shared" si="457"/>
        <v>0</v>
      </c>
      <c r="O723" s="550"/>
      <c r="P723" s="548"/>
      <c r="Q723" s="548"/>
      <c r="R723" s="551">
        <f t="shared" si="458"/>
        <v>0</v>
      </c>
      <c r="S723" s="550"/>
      <c r="T723" s="548"/>
      <c r="U723" s="548"/>
      <c r="V723" s="551">
        <f t="shared" si="459"/>
        <v>0</v>
      </c>
      <c r="W723" s="550"/>
      <c r="X723" s="548"/>
      <c r="Y723" s="548"/>
      <c r="Z723" s="551">
        <f t="shared" si="460"/>
        <v>0</v>
      </c>
      <c r="AA723" s="550"/>
      <c r="AB723" s="548"/>
      <c r="AC723" s="548"/>
      <c r="AD723" s="551">
        <f t="shared" si="461"/>
        <v>0</v>
      </c>
      <c r="AE723" s="24"/>
      <c r="AF723" s="29"/>
    </row>
    <row r="724" spans="2:32" ht="14.25">
      <c r="B724" s="553"/>
      <c r="C724" s="547"/>
      <c r="D724" s="548"/>
      <c r="E724" s="548"/>
      <c r="F724" s="549">
        <f t="shared" si="455"/>
        <v>0</v>
      </c>
      <c r="G724" s="550"/>
      <c r="H724" s="548"/>
      <c r="I724" s="548"/>
      <c r="J724" s="551">
        <f t="shared" si="456"/>
        <v>0</v>
      </c>
      <c r="K724" s="550"/>
      <c r="L724" s="552"/>
      <c r="M724" s="548"/>
      <c r="N724" s="551">
        <f t="shared" si="457"/>
        <v>0</v>
      </c>
      <c r="O724" s="550"/>
      <c r="P724" s="548"/>
      <c r="Q724" s="548"/>
      <c r="R724" s="551">
        <f t="shared" si="458"/>
        <v>0</v>
      </c>
      <c r="S724" s="550"/>
      <c r="T724" s="548"/>
      <c r="U724" s="548"/>
      <c r="V724" s="551">
        <f t="shared" si="459"/>
        <v>0</v>
      </c>
      <c r="W724" s="550"/>
      <c r="X724" s="548"/>
      <c r="Y724" s="548"/>
      <c r="Z724" s="551">
        <f t="shared" si="460"/>
        <v>0</v>
      </c>
      <c r="AA724" s="550"/>
      <c r="AB724" s="548"/>
      <c r="AC724" s="548"/>
      <c r="AD724" s="551">
        <f t="shared" si="461"/>
        <v>0</v>
      </c>
      <c r="AE724" s="24"/>
      <c r="AF724" s="29"/>
    </row>
    <row r="725" spans="2:32" ht="14.25">
      <c r="B725" s="272"/>
      <c r="C725" s="637"/>
      <c r="D725" s="548"/>
      <c r="E725" s="548"/>
      <c r="F725" s="549">
        <f t="shared" si="455"/>
        <v>0</v>
      </c>
      <c r="G725" s="550"/>
      <c r="H725" s="548"/>
      <c r="I725" s="548"/>
      <c r="J725" s="551">
        <f t="shared" si="456"/>
        <v>0</v>
      </c>
      <c r="K725" s="550"/>
      <c r="L725" s="552"/>
      <c r="M725" s="548"/>
      <c r="N725" s="551">
        <f t="shared" si="457"/>
        <v>0</v>
      </c>
      <c r="O725" s="550"/>
      <c r="P725" s="548"/>
      <c r="Q725" s="548"/>
      <c r="R725" s="551">
        <f t="shared" si="458"/>
        <v>0</v>
      </c>
      <c r="S725" s="550"/>
      <c r="T725" s="548"/>
      <c r="U725" s="548"/>
      <c r="V725" s="551">
        <f t="shared" si="459"/>
        <v>0</v>
      </c>
      <c r="W725" s="550"/>
      <c r="X725" s="548"/>
      <c r="Y725" s="548"/>
      <c r="Z725" s="551">
        <f t="shared" si="460"/>
        <v>0</v>
      </c>
      <c r="AA725" s="550"/>
      <c r="AB725" s="548"/>
      <c r="AC725" s="548"/>
      <c r="AD725" s="551">
        <f t="shared" si="461"/>
        <v>0</v>
      </c>
      <c r="AE725" s="24"/>
      <c r="AF725" s="29">
        <f>J725+F725+N725+R725+V725+Z725+AD725</f>
        <v>0</v>
      </c>
    </row>
    <row r="726" spans="2:32" ht="14.25">
      <c r="B726" s="554" t="s">
        <v>61</v>
      </c>
      <c r="C726" s="554"/>
      <c r="D726" s="548"/>
      <c r="E726" s="548"/>
      <c r="F726" s="549">
        <f t="shared" si="455"/>
        <v>0</v>
      </c>
      <c r="G726" s="550"/>
      <c r="H726" s="548"/>
      <c r="I726" s="548"/>
      <c r="J726" s="551">
        <f t="shared" si="456"/>
        <v>0</v>
      </c>
      <c r="K726" s="550"/>
      <c r="L726" s="552"/>
      <c r="M726" s="548"/>
      <c r="N726" s="551">
        <f t="shared" si="457"/>
        <v>0</v>
      </c>
      <c r="O726" s="550"/>
      <c r="P726" s="548"/>
      <c r="Q726" s="548"/>
      <c r="R726" s="551">
        <f t="shared" si="458"/>
        <v>0</v>
      </c>
      <c r="S726" s="550"/>
      <c r="T726" s="548"/>
      <c r="U726" s="548"/>
      <c r="V726" s="551">
        <f t="shared" si="459"/>
        <v>0</v>
      </c>
      <c r="W726" s="550"/>
      <c r="X726" s="548"/>
      <c r="Y726" s="548"/>
      <c r="Z726" s="551">
        <f t="shared" si="460"/>
        <v>0</v>
      </c>
      <c r="AA726" s="550"/>
      <c r="AB726" s="548"/>
      <c r="AC726" s="548"/>
      <c r="AD726" s="551">
        <f t="shared" si="461"/>
        <v>0</v>
      </c>
      <c r="AE726" s="24"/>
      <c r="AF726" s="29">
        <f>J726+F726+N726+R726+V726+Z726+AD726</f>
        <v>0</v>
      </c>
    </row>
    <row r="727" spans="2:32">
      <c r="B727" s="31" t="s">
        <v>577</v>
      </c>
      <c r="C727" s="31"/>
      <c r="D727" s="91"/>
      <c r="E727" s="91"/>
      <c r="F727" s="90"/>
      <c r="G727" s="91"/>
      <c r="H727" s="91"/>
      <c r="I727" s="91"/>
      <c r="J727" s="90"/>
      <c r="K727" s="91"/>
      <c r="L727" s="430"/>
      <c r="M727" s="91"/>
      <c r="N727" s="90"/>
      <c r="O727" s="91"/>
      <c r="P727" s="91"/>
      <c r="Q727" s="91"/>
      <c r="R727" s="90"/>
      <c r="S727" s="91"/>
      <c r="T727" s="91"/>
      <c r="U727" s="91"/>
      <c r="V727" s="90"/>
      <c r="W727" s="91"/>
      <c r="X727" s="91"/>
      <c r="Y727" s="91"/>
      <c r="Z727" s="90"/>
      <c r="AA727" s="91"/>
      <c r="AB727" s="91"/>
      <c r="AC727" s="91"/>
      <c r="AD727" s="91"/>
      <c r="AE727" s="352"/>
      <c r="AF727" s="28"/>
    </row>
    <row r="728" spans="2:32">
      <c r="B728" s="31" t="s">
        <v>578</v>
      </c>
      <c r="C728" s="31"/>
      <c r="D728" s="91"/>
      <c r="E728" s="91"/>
      <c r="F728" s="90"/>
      <c r="G728" s="91"/>
      <c r="H728" s="91"/>
      <c r="I728" s="91"/>
      <c r="J728" s="90"/>
      <c r="K728" s="91"/>
      <c r="L728" s="430"/>
      <c r="M728" s="91"/>
      <c r="N728" s="90"/>
      <c r="O728" s="91"/>
      <c r="P728" s="91"/>
      <c r="Q728" s="91"/>
      <c r="R728" s="90"/>
      <c r="S728" s="91"/>
      <c r="T728" s="91"/>
      <c r="U728" s="91"/>
      <c r="V728" s="90"/>
      <c r="W728" s="91"/>
      <c r="X728" s="91"/>
      <c r="Y728" s="91"/>
      <c r="Z728" s="90"/>
      <c r="AA728" s="91"/>
      <c r="AB728" s="91"/>
      <c r="AC728" s="91"/>
      <c r="AD728" s="91"/>
      <c r="AE728" s="352"/>
      <c r="AF728" s="28">
        <f>SUM(D728:AD728)</f>
        <v>0</v>
      </c>
    </row>
    <row r="729" spans="2:32" ht="14.25" thickBot="1">
      <c r="B729" s="74" t="s">
        <v>579</v>
      </c>
      <c r="C729" s="74"/>
      <c r="D729" s="95"/>
      <c r="E729" s="95"/>
      <c r="F729" s="96"/>
      <c r="G729" s="95"/>
      <c r="H729" s="95"/>
      <c r="I729" s="95"/>
      <c r="J729" s="96"/>
      <c r="K729" s="95"/>
      <c r="L729" s="431"/>
      <c r="M729" s="95"/>
      <c r="N729" s="96"/>
      <c r="O729" s="95"/>
      <c r="P729" s="95"/>
      <c r="Q729" s="95"/>
      <c r="R729" s="96"/>
      <c r="S729" s="95"/>
      <c r="T729" s="95"/>
      <c r="U729" s="95"/>
      <c r="V729" s="96"/>
      <c r="W729" s="97"/>
      <c r="X729" s="97"/>
      <c r="Y729" s="97"/>
      <c r="Z729" s="96"/>
      <c r="AA729" s="97"/>
      <c r="AB729" s="97"/>
      <c r="AC729" s="97"/>
      <c r="AD729" s="97"/>
      <c r="AE729" s="97"/>
      <c r="AF729" s="80">
        <f>SUM(D729:AD729)</f>
        <v>0</v>
      </c>
    </row>
    <row r="730" spans="2:32" ht="13.9" customHeight="1" thickTop="1">
      <c r="B730" s="1518" t="s">
        <v>18</v>
      </c>
      <c r="C730" s="1528" t="s">
        <v>571</v>
      </c>
      <c r="D730" s="1524">
        <v>45586</v>
      </c>
      <c r="E730" s="1524"/>
      <c r="F730" s="1524"/>
      <c r="G730" s="22"/>
      <c r="H730" s="1524">
        <f>D730+1</f>
        <v>45587</v>
      </c>
      <c r="I730" s="1524"/>
      <c r="J730" s="1524"/>
      <c r="K730" s="22"/>
      <c r="L730" s="1524">
        <f>H730+1</f>
        <v>45588</v>
      </c>
      <c r="M730" s="1524"/>
      <c r="N730" s="1524"/>
      <c r="P730" s="1524">
        <f>L730+1</f>
        <v>45589</v>
      </c>
      <c r="Q730" s="1524"/>
      <c r="R730" s="1524"/>
      <c r="T730" s="1524">
        <f>P730+1</f>
        <v>45590</v>
      </c>
      <c r="U730" s="1524"/>
      <c r="V730" s="1524"/>
      <c r="W730" s="22"/>
      <c r="X730" s="1524">
        <f>T730+1</f>
        <v>45591</v>
      </c>
      <c r="Y730" s="1524"/>
      <c r="Z730" s="1524"/>
      <c r="AB730" s="1524">
        <f>X730+1</f>
        <v>45592</v>
      </c>
      <c r="AC730" s="1524"/>
      <c r="AD730" s="1524"/>
      <c r="AE730" s="22"/>
      <c r="AF730" s="1517" t="s">
        <v>19</v>
      </c>
    </row>
    <row r="731" spans="2:32">
      <c r="B731" s="1518"/>
      <c r="C731" s="1528"/>
      <c r="D731" s="21" t="s">
        <v>23</v>
      </c>
      <c r="E731" s="21" t="s">
        <v>24</v>
      </c>
      <c r="F731" s="62" t="s">
        <v>25</v>
      </c>
      <c r="G731" s="23"/>
      <c r="H731" s="21" t="s">
        <v>23</v>
      </c>
      <c r="I731" s="21" t="s">
        <v>24</v>
      </c>
      <c r="J731" s="18" t="s">
        <v>25</v>
      </c>
      <c r="K731" s="23"/>
      <c r="L731" s="21" t="s">
        <v>23</v>
      </c>
      <c r="M731" s="21" t="s">
        <v>24</v>
      </c>
      <c r="N731" s="18" t="s">
        <v>25</v>
      </c>
      <c r="O731" s="23"/>
      <c r="P731" s="21" t="s">
        <v>23</v>
      </c>
      <c r="Q731" s="21" t="s">
        <v>24</v>
      </c>
      <c r="R731" s="18" t="s">
        <v>25</v>
      </c>
      <c r="S731" s="23"/>
      <c r="T731" s="21" t="s">
        <v>23</v>
      </c>
      <c r="U731" s="21" t="s">
        <v>24</v>
      </c>
      <c r="V731" s="18" t="s">
        <v>25</v>
      </c>
      <c r="W731" s="23"/>
      <c r="X731" s="21" t="s">
        <v>23</v>
      </c>
      <c r="Y731" s="21" t="s">
        <v>24</v>
      </c>
      <c r="Z731" s="18" t="s">
        <v>25</v>
      </c>
      <c r="AA731" s="23"/>
      <c r="AB731" s="21" t="s">
        <v>23</v>
      </c>
      <c r="AC731" s="21" t="s">
        <v>24</v>
      </c>
      <c r="AD731" s="18" t="s">
        <v>25</v>
      </c>
      <c r="AE731" s="23"/>
      <c r="AF731" s="1517"/>
    </row>
    <row r="732" spans="2:32" ht="14.25">
      <c r="B732" s="553"/>
      <c r="C732" s="547"/>
      <c r="D732" s="548"/>
      <c r="E732" s="548"/>
      <c r="F732" s="549">
        <f t="shared" ref="F732:F743" si="462">(E732-D732)*24</f>
        <v>0</v>
      </c>
      <c r="G732" s="550"/>
      <c r="H732" s="548"/>
      <c r="I732" s="548"/>
      <c r="J732" s="551">
        <f t="shared" ref="J732:J743" si="463">(I732-H732)*24</f>
        <v>0</v>
      </c>
      <c r="K732" s="550"/>
      <c r="L732" s="552"/>
      <c r="M732" s="548"/>
      <c r="N732" s="551">
        <f t="shared" ref="N732:N743" si="464">(M732-L732)*24</f>
        <v>0</v>
      </c>
      <c r="O732" s="550"/>
      <c r="P732" s="548"/>
      <c r="Q732" s="548"/>
      <c r="R732" s="551">
        <f t="shared" ref="R732:R743" si="465">(Q732-P732)*24</f>
        <v>0</v>
      </c>
      <c r="S732" s="550"/>
      <c r="T732" s="548"/>
      <c r="U732" s="548"/>
      <c r="V732" s="551">
        <f t="shared" ref="V732:V743" si="466">(U732-T732)*24</f>
        <v>0</v>
      </c>
      <c r="W732" s="550"/>
      <c r="X732" s="548"/>
      <c r="Y732" s="548"/>
      <c r="Z732" s="551">
        <f t="shared" ref="Z732:Z743" si="467">(Y732-X732)*24</f>
        <v>0</v>
      </c>
      <c r="AA732" s="550"/>
      <c r="AB732" s="548"/>
      <c r="AC732" s="548"/>
      <c r="AD732" s="551">
        <f t="shared" ref="AD732:AD743" si="468">(AC732-AB732)*24</f>
        <v>0</v>
      </c>
      <c r="AE732" s="24"/>
      <c r="AF732" s="29">
        <f>J732+F732+N732+R732+V732+Z732+AD732</f>
        <v>0</v>
      </c>
    </row>
    <row r="733" spans="2:32" ht="14.25">
      <c r="B733" s="553"/>
      <c r="C733" s="547"/>
      <c r="D733" s="548"/>
      <c r="E733" s="548"/>
      <c r="F733" s="549">
        <f t="shared" si="462"/>
        <v>0</v>
      </c>
      <c r="G733" s="550"/>
      <c r="H733" s="548"/>
      <c r="I733" s="548"/>
      <c r="J733" s="551">
        <f t="shared" si="463"/>
        <v>0</v>
      </c>
      <c r="K733" s="550"/>
      <c r="L733" s="552"/>
      <c r="M733" s="548"/>
      <c r="N733" s="551">
        <f t="shared" si="464"/>
        <v>0</v>
      </c>
      <c r="O733" s="550"/>
      <c r="P733" s="548"/>
      <c r="Q733" s="548"/>
      <c r="R733" s="551">
        <f t="shared" si="465"/>
        <v>0</v>
      </c>
      <c r="S733" s="550"/>
      <c r="T733" s="548"/>
      <c r="U733" s="548"/>
      <c r="V733" s="551">
        <f t="shared" si="466"/>
        <v>0</v>
      </c>
      <c r="W733" s="550"/>
      <c r="X733" s="548"/>
      <c r="Y733" s="548"/>
      <c r="Z733" s="551">
        <f t="shared" si="467"/>
        <v>0</v>
      </c>
      <c r="AA733" s="550"/>
      <c r="AB733" s="548"/>
      <c r="AC733" s="548"/>
      <c r="AD733" s="551">
        <f t="shared" si="468"/>
        <v>0</v>
      </c>
      <c r="AE733" s="24"/>
      <c r="AF733" s="29">
        <f>J733+F733+N733+R733+V733+Z733+AD733</f>
        <v>0</v>
      </c>
    </row>
    <row r="734" spans="2:32" ht="14.25">
      <c r="B734" s="553"/>
      <c r="C734" s="547"/>
      <c r="D734" s="548"/>
      <c r="E734" s="548"/>
      <c r="F734" s="549">
        <f t="shared" si="462"/>
        <v>0</v>
      </c>
      <c r="G734" s="550"/>
      <c r="H734" s="548"/>
      <c r="I734" s="548"/>
      <c r="J734" s="551">
        <f t="shared" si="463"/>
        <v>0</v>
      </c>
      <c r="K734" s="550"/>
      <c r="L734" s="552"/>
      <c r="M734" s="548"/>
      <c r="N734" s="551">
        <f t="shared" si="464"/>
        <v>0</v>
      </c>
      <c r="O734" s="550"/>
      <c r="P734" s="548"/>
      <c r="Q734" s="548"/>
      <c r="R734" s="551">
        <f t="shared" si="465"/>
        <v>0</v>
      </c>
      <c r="S734" s="550"/>
      <c r="T734" s="548"/>
      <c r="U734" s="548"/>
      <c r="V734" s="551">
        <f t="shared" si="466"/>
        <v>0</v>
      </c>
      <c r="W734" s="550"/>
      <c r="X734" s="548"/>
      <c r="Y734" s="548"/>
      <c r="Z734" s="551">
        <f t="shared" si="467"/>
        <v>0</v>
      </c>
      <c r="AA734" s="550"/>
      <c r="AB734" s="548"/>
      <c r="AC734" s="548"/>
      <c r="AD734" s="551">
        <f t="shared" si="468"/>
        <v>0</v>
      </c>
      <c r="AE734" s="24"/>
      <c r="AF734" s="29">
        <f>J734+F734+N734+R734+V734+Z734+AD734</f>
        <v>0</v>
      </c>
    </row>
    <row r="735" spans="2:32" ht="14.25">
      <c r="B735" s="553"/>
      <c r="C735" s="547"/>
      <c r="D735" s="548"/>
      <c r="E735" s="548"/>
      <c r="F735" s="549">
        <f t="shared" si="462"/>
        <v>0</v>
      </c>
      <c r="G735" s="550"/>
      <c r="H735" s="548"/>
      <c r="I735" s="548"/>
      <c r="J735" s="551">
        <f t="shared" si="463"/>
        <v>0</v>
      </c>
      <c r="K735" s="550"/>
      <c r="L735" s="552"/>
      <c r="M735" s="548"/>
      <c r="N735" s="551">
        <f t="shared" si="464"/>
        <v>0</v>
      </c>
      <c r="O735" s="550"/>
      <c r="P735" s="548"/>
      <c r="Q735" s="548"/>
      <c r="R735" s="551">
        <f t="shared" si="465"/>
        <v>0</v>
      </c>
      <c r="S735" s="550"/>
      <c r="T735" s="548"/>
      <c r="U735" s="548"/>
      <c r="V735" s="551">
        <f t="shared" si="466"/>
        <v>0</v>
      </c>
      <c r="W735" s="550"/>
      <c r="X735" s="548"/>
      <c r="Y735" s="548"/>
      <c r="Z735" s="551">
        <f t="shared" si="467"/>
        <v>0</v>
      </c>
      <c r="AA735" s="550"/>
      <c r="AB735" s="548"/>
      <c r="AC735" s="548"/>
      <c r="AD735" s="551">
        <f t="shared" si="468"/>
        <v>0</v>
      </c>
      <c r="AE735" s="24"/>
      <c r="AF735" s="29">
        <f>J735+F735+N735+R735+V735+Z735+AD735</f>
        <v>0</v>
      </c>
    </row>
    <row r="736" spans="2:32" ht="14.25">
      <c r="B736" s="553"/>
      <c r="C736" s="547"/>
      <c r="D736" s="548"/>
      <c r="E736" s="548"/>
      <c r="F736" s="549">
        <f t="shared" si="462"/>
        <v>0</v>
      </c>
      <c r="G736" s="550"/>
      <c r="H736" s="548"/>
      <c r="I736" s="548"/>
      <c r="J736" s="551">
        <f t="shared" si="463"/>
        <v>0</v>
      </c>
      <c r="K736" s="550"/>
      <c r="L736" s="552"/>
      <c r="M736" s="548"/>
      <c r="N736" s="551">
        <f t="shared" si="464"/>
        <v>0</v>
      </c>
      <c r="O736" s="550"/>
      <c r="P736" s="548"/>
      <c r="Q736" s="548"/>
      <c r="R736" s="551">
        <f t="shared" si="465"/>
        <v>0</v>
      </c>
      <c r="S736" s="550"/>
      <c r="T736" s="548"/>
      <c r="U736" s="548"/>
      <c r="V736" s="551">
        <f t="shared" si="466"/>
        <v>0</v>
      </c>
      <c r="W736" s="550"/>
      <c r="X736" s="548"/>
      <c r="Y736" s="548"/>
      <c r="Z736" s="551">
        <f t="shared" si="467"/>
        <v>0</v>
      </c>
      <c r="AA736" s="550"/>
      <c r="AB736" s="548"/>
      <c r="AC736" s="548"/>
      <c r="AD736" s="551">
        <f t="shared" si="468"/>
        <v>0</v>
      </c>
      <c r="AE736" s="24"/>
      <c r="AF736" s="29"/>
    </row>
    <row r="737" spans="2:32" ht="14.25">
      <c r="B737" s="553"/>
      <c r="C737" s="547"/>
      <c r="D737" s="548"/>
      <c r="E737" s="548"/>
      <c r="F737" s="549">
        <f t="shared" si="462"/>
        <v>0</v>
      </c>
      <c r="G737" s="550"/>
      <c r="H737" s="548"/>
      <c r="I737" s="548"/>
      <c r="J737" s="551">
        <f t="shared" si="463"/>
        <v>0</v>
      </c>
      <c r="K737" s="550"/>
      <c r="L737" s="552"/>
      <c r="M737" s="548"/>
      <c r="N737" s="551">
        <f t="shared" si="464"/>
        <v>0</v>
      </c>
      <c r="O737" s="550"/>
      <c r="P737" s="548"/>
      <c r="Q737" s="548"/>
      <c r="R737" s="551">
        <f t="shared" si="465"/>
        <v>0</v>
      </c>
      <c r="S737" s="550"/>
      <c r="T737" s="548"/>
      <c r="U737" s="548"/>
      <c r="V737" s="551">
        <f t="shared" si="466"/>
        <v>0</v>
      </c>
      <c r="W737" s="550"/>
      <c r="X737" s="548"/>
      <c r="Y737" s="548"/>
      <c r="Z737" s="551">
        <f t="shared" si="467"/>
        <v>0</v>
      </c>
      <c r="AA737" s="550"/>
      <c r="AB737" s="548"/>
      <c r="AC737" s="548"/>
      <c r="AD737" s="551">
        <f t="shared" si="468"/>
        <v>0</v>
      </c>
      <c r="AE737" s="24"/>
      <c r="AF737" s="29"/>
    </row>
    <row r="738" spans="2:32" ht="14.25">
      <c r="B738" s="553"/>
      <c r="C738" s="547"/>
      <c r="D738" s="548"/>
      <c r="E738" s="548"/>
      <c r="F738" s="549">
        <f t="shared" si="462"/>
        <v>0</v>
      </c>
      <c r="G738" s="550"/>
      <c r="H738" s="548"/>
      <c r="I738" s="548"/>
      <c r="J738" s="551">
        <f t="shared" si="463"/>
        <v>0</v>
      </c>
      <c r="K738" s="550"/>
      <c r="L738" s="552"/>
      <c r="M738" s="548"/>
      <c r="N738" s="551">
        <f t="shared" si="464"/>
        <v>0</v>
      </c>
      <c r="O738" s="550"/>
      <c r="P738" s="548"/>
      <c r="Q738" s="548"/>
      <c r="R738" s="551">
        <f t="shared" si="465"/>
        <v>0</v>
      </c>
      <c r="S738" s="550"/>
      <c r="T738" s="548"/>
      <c r="U738" s="548"/>
      <c r="V738" s="551">
        <f t="shared" si="466"/>
        <v>0</v>
      </c>
      <c r="W738" s="550"/>
      <c r="X738" s="548"/>
      <c r="Y738" s="548"/>
      <c r="Z738" s="551">
        <f t="shared" si="467"/>
        <v>0</v>
      </c>
      <c r="AA738" s="550"/>
      <c r="AB738" s="548"/>
      <c r="AC738" s="548"/>
      <c r="AD738" s="551">
        <f t="shared" si="468"/>
        <v>0</v>
      </c>
      <c r="AE738" s="24"/>
      <c r="AF738" s="29">
        <f>J738+F738+N738+R738+V738+Z738+AD738</f>
        <v>0</v>
      </c>
    </row>
    <row r="739" spans="2:32" ht="14.25">
      <c r="B739" s="553"/>
      <c r="C739" s="547"/>
      <c r="D739" s="548"/>
      <c r="E739" s="548"/>
      <c r="F739" s="549">
        <f t="shared" si="462"/>
        <v>0</v>
      </c>
      <c r="G739" s="550"/>
      <c r="H739" s="548"/>
      <c r="I739" s="548"/>
      <c r="J739" s="551">
        <f t="shared" si="463"/>
        <v>0</v>
      </c>
      <c r="K739" s="550"/>
      <c r="L739" s="552"/>
      <c r="M739" s="548"/>
      <c r="N739" s="551">
        <f t="shared" si="464"/>
        <v>0</v>
      </c>
      <c r="O739" s="550"/>
      <c r="P739" s="548"/>
      <c r="Q739" s="548"/>
      <c r="R739" s="551">
        <f t="shared" si="465"/>
        <v>0</v>
      </c>
      <c r="S739" s="550"/>
      <c r="T739" s="548"/>
      <c r="U739" s="548"/>
      <c r="V739" s="551">
        <f t="shared" si="466"/>
        <v>0</v>
      </c>
      <c r="W739" s="550"/>
      <c r="X739" s="548"/>
      <c r="Y739" s="548"/>
      <c r="Z739" s="551">
        <f t="shared" si="467"/>
        <v>0</v>
      </c>
      <c r="AA739" s="550"/>
      <c r="AB739" s="548"/>
      <c r="AC739" s="548"/>
      <c r="AD739" s="551">
        <f t="shared" si="468"/>
        <v>0</v>
      </c>
      <c r="AE739" s="24"/>
      <c r="AF739" s="29">
        <f>J739+F739+N739+R739+V739+Z739+AD739</f>
        <v>0</v>
      </c>
    </row>
    <row r="740" spans="2:32" ht="14.25">
      <c r="B740" s="553"/>
      <c r="C740" s="547"/>
      <c r="D740" s="548"/>
      <c r="E740" s="548"/>
      <c r="F740" s="549">
        <f t="shared" si="462"/>
        <v>0</v>
      </c>
      <c r="G740" s="550"/>
      <c r="H740" s="548"/>
      <c r="I740" s="548"/>
      <c r="J740" s="551">
        <f t="shared" si="463"/>
        <v>0</v>
      </c>
      <c r="K740" s="550"/>
      <c r="L740" s="552"/>
      <c r="M740" s="548"/>
      <c r="N740" s="551">
        <f t="shared" si="464"/>
        <v>0</v>
      </c>
      <c r="O740" s="550"/>
      <c r="P740" s="548"/>
      <c r="Q740" s="548"/>
      <c r="R740" s="551">
        <f t="shared" si="465"/>
        <v>0</v>
      </c>
      <c r="S740" s="550"/>
      <c r="T740" s="548"/>
      <c r="U740" s="548"/>
      <c r="V740" s="551">
        <f t="shared" si="466"/>
        <v>0</v>
      </c>
      <c r="W740" s="550"/>
      <c r="X740" s="548"/>
      <c r="Y740" s="548"/>
      <c r="Z740" s="551">
        <f t="shared" si="467"/>
        <v>0</v>
      </c>
      <c r="AA740" s="550"/>
      <c r="AB740" s="548"/>
      <c r="AC740" s="548"/>
      <c r="AD740" s="551">
        <f t="shared" si="468"/>
        <v>0</v>
      </c>
      <c r="AE740" s="24"/>
      <c r="AF740" s="29"/>
    </row>
    <row r="741" spans="2:32" ht="14.25">
      <c r="B741" s="553"/>
      <c r="C741" s="547"/>
      <c r="D741" s="548"/>
      <c r="E741" s="548"/>
      <c r="F741" s="549">
        <f t="shared" si="462"/>
        <v>0</v>
      </c>
      <c r="G741" s="550"/>
      <c r="H741" s="548"/>
      <c r="I741" s="548"/>
      <c r="J741" s="551">
        <f t="shared" si="463"/>
        <v>0</v>
      </c>
      <c r="K741" s="550"/>
      <c r="L741" s="552"/>
      <c r="M741" s="548"/>
      <c r="N741" s="551">
        <f t="shared" si="464"/>
        <v>0</v>
      </c>
      <c r="O741" s="550"/>
      <c r="P741" s="548"/>
      <c r="Q741" s="548"/>
      <c r="R741" s="551">
        <f t="shared" si="465"/>
        <v>0</v>
      </c>
      <c r="S741" s="550"/>
      <c r="T741" s="548"/>
      <c r="U741" s="548"/>
      <c r="V741" s="551">
        <f t="shared" si="466"/>
        <v>0</v>
      </c>
      <c r="W741" s="550"/>
      <c r="X741" s="548"/>
      <c r="Y741" s="548"/>
      <c r="Z741" s="551">
        <f t="shared" si="467"/>
        <v>0</v>
      </c>
      <c r="AA741" s="550"/>
      <c r="AB741" s="548"/>
      <c r="AC741" s="548"/>
      <c r="AD741" s="551">
        <f t="shared" si="468"/>
        <v>0</v>
      </c>
      <c r="AE741" s="24"/>
      <c r="AF741" s="29"/>
    </row>
    <row r="742" spans="2:32" ht="14.25">
      <c r="B742" s="272"/>
      <c r="C742" s="637"/>
      <c r="D742" s="548"/>
      <c r="E742" s="548"/>
      <c r="F742" s="549">
        <f t="shared" si="462"/>
        <v>0</v>
      </c>
      <c r="G742" s="550"/>
      <c r="H742" s="548"/>
      <c r="I742" s="548"/>
      <c r="J742" s="551">
        <f t="shared" si="463"/>
        <v>0</v>
      </c>
      <c r="K742" s="550"/>
      <c r="L742" s="552"/>
      <c r="M742" s="548"/>
      <c r="N742" s="551">
        <f t="shared" si="464"/>
        <v>0</v>
      </c>
      <c r="O742" s="550"/>
      <c r="P742" s="548"/>
      <c r="Q742" s="548"/>
      <c r="R742" s="551">
        <f t="shared" si="465"/>
        <v>0</v>
      </c>
      <c r="S742" s="550"/>
      <c r="T742" s="548"/>
      <c r="U742" s="548"/>
      <c r="V742" s="551">
        <f t="shared" si="466"/>
        <v>0</v>
      </c>
      <c r="W742" s="550"/>
      <c r="X742" s="548"/>
      <c r="Y742" s="548"/>
      <c r="Z742" s="551">
        <f t="shared" si="467"/>
        <v>0</v>
      </c>
      <c r="AA742" s="550"/>
      <c r="AB742" s="548"/>
      <c r="AC742" s="548"/>
      <c r="AD742" s="551">
        <f t="shared" si="468"/>
        <v>0</v>
      </c>
      <c r="AE742" s="24"/>
      <c r="AF742" s="29">
        <f>J742+F742+N742+R742+V742+Z742+AD742</f>
        <v>0</v>
      </c>
    </row>
    <row r="743" spans="2:32" ht="14.25">
      <c r="B743" s="554" t="s">
        <v>61</v>
      </c>
      <c r="C743" s="554"/>
      <c r="D743" s="548"/>
      <c r="E743" s="548"/>
      <c r="F743" s="549">
        <f t="shared" si="462"/>
        <v>0</v>
      </c>
      <c r="G743" s="550"/>
      <c r="H743" s="548"/>
      <c r="I743" s="548"/>
      <c r="J743" s="551">
        <f t="shared" si="463"/>
        <v>0</v>
      </c>
      <c r="K743" s="550"/>
      <c r="L743" s="552"/>
      <c r="M743" s="548"/>
      <c r="N743" s="551">
        <f t="shared" si="464"/>
        <v>0</v>
      </c>
      <c r="O743" s="550"/>
      <c r="P743" s="548"/>
      <c r="Q743" s="548"/>
      <c r="R743" s="551">
        <f t="shared" si="465"/>
        <v>0</v>
      </c>
      <c r="S743" s="550"/>
      <c r="T743" s="548"/>
      <c r="U743" s="548"/>
      <c r="V743" s="551">
        <f t="shared" si="466"/>
        <v>0</v>
      </c>
      <c r="W743" s="550"/>
      <c r="X743" s="548"/>
      <c r="Y743" s="548"/>
      <c r="Z743" s="551">
        <f t="shared" si="467"/>
        <v>0</v>
      </c>
      <c r="AA743" s="550"/>
      <c r="AB743" s="548"/>
      <c r="AC743" s="548"/>
      <c r="AD743" s="551">
        <f t="shared" si="468"/>
        <v>0</v>
      </c>
      <c r="AE743" s="24"/>
      <c r="AF743" s="29">
        <f>J743+F743+N743+R743+V743+Z743+AD743</f>
        <v>0</v>
      </c>
    </row>
    <row r="744" spans="2:32">
      <c r="B744" s="31" t="s">
        <v>577</v>
      </c>
      <c r="C744" s="31"/>
      <c r="D744" s="91"/>
      <c r="E744" s="91"/>
      <c r="F744" s="90"/>
      <c r="G744" s="91"/>
      <c r="H744" s="91"/>
      <c r="I744" s="91"/>
      <c r="J744" s="90"/>
      <c r="K744" s="91"/>
      <c r="L744" s="430"/>
      <c r="M744" s="91"/>
      <c r="N744" s="90"/>
      <c r="O744" s="91"/>
      <c r="P744" s="91"/>
      <c r="Q744" s="91"/>
      <c r="R744" s="90"/>
      <c r="S744" s="91"/>
      <c r="T744" s="91"/>
      <c r="U744" s="91"/>
      <c r="V744" s="90"/>
      <c r="W744" s="91"/>
      <c r="X744" s="91"/>
      <c r="Y744" s="91"/>
      <c r="Z744" s="90"/>
      <c r="AA744" s="91"/>
      <c r="AB744" s="91"/>
      <c r="AC744" s="91"/>
      <c r="AD744" s="91"/>
      <c r="AE744" s="352"/>
      <c r="AF744" s="28"/>
    </row>
    <row r="745" spans="2:32">
      <c r="B745" s="31" t="s">
        <v>578</v>
      </c>
      <c r="C745" s="31"/>
      <c r="D745" s="91"/>
      <c r="E745" s="91"/>
      <c r="F745" s="90"/>
      <c r="G745" s="91"/>
      <c r="H745" s="91"/>
      <c r="I745" s="91"/>
      <c r="J745" s="90"/>
      <c r="K745" s="91"/>
      <c r="L745" s="430"/>
      <c r="M745" s="91"/>
      <c r="N745" s="90"/>
      <c r="O745" s="91"/>
      <c r="P745" s="91"/>
      <c r="Q745" s="91"/>
      <c r="R745" s="90"/>
      <c r="S745" s="91"/>
      <c r="T745" s="91"/>
      <c r="U745" s="91"/>
      <c r="V745" s="90"/>
      <c r="W745" s="91"/>
      <c r="X745" s="91"/>
      <c r="Y745" s="91"/>
      <c r="Z745" s="90"/>
      <c r="AA745" s="91"/>
      <c r="AB745" s="91"/>
      <c r="AC745" s="91"/>
      <c r="AD745" s="91"/>
      <c r="AE745" s="352"/>
      <c r="AF745" s="28">
        <f>SUM(D745:AD745)</f>
        <v>0</v>
      </c>
    </row>
    <row r="746" spans="2:32" ht="14.25" thickBot="1">
      <c r="B746" s="74" t="s">
        <v>579</v>
      </c>
      <c r="C746" s="74"/>
      <c r="D746" s="95"/>
      <c r="E746" s="95"/>
      <c r="F746" s="96"/>
      <c r="G746" s="95"/>
      <c r="H746" s="95"/>
      <c r="I746" s="95"/>
      <c r="J746" s="96"/>
      <c r="K746" s="95"/>
      <c r="L746" s="431"/>
      <c r="M746" s="95"/>
      <c r="N746" s="96"/>
      <c r="O746" s="95"/>
      <c r="P746" s="95"/>
      <c r="Q746" s="95"/>
      <c r="R746" s="96"/>
      <c r="S746" s="95"/>
      <c r="T746" s="95"/>
      <c r="U746" s="95"/>
      <c r="V746" s="96"/>
      <c r="W746" s="97"/>
      <c r="X746" s="97"/>
      <c r="Y746" s="97"/>
      <c r="Z746" s="96"/>
      <c r="AA746" s="97"/>
      <c r="AB746" s="97"/>
      <c r="AC746" s="97"/>
      <c r="AD746" s="97"/>
      <c r="AE746" s="97"/>
      <c r="AF746" s="80">
        <f>SUM(D746:AD746)</f>
        <v>0</v>
      </c>
    </row>
    <row r="747" spans="2:32" ht="13.9" customHeight="1" thickTop="1">
      <c r="B747" s="1518" t="s">
        <v>18</v>
      </c>
      <c r="C747" s="1528" t="s">
        <v>571</v>
      </c>
      <c r="D747" s="1524">
        <v>45593</v>
      </c>
      <c r="E747" s="1524"/>
      <c r="F747" s="1524"/>
      <c r="G747" s="22"/>
      <c r="H747" s="1524">
        <f>D747+1</f>
        <v>45594</v>
      </c>
      <c r="I747" s="1524"/>
      <c r="J747" s="1524"/>
      <c r="K747" s="22"/>
      <c r="L747" s="1524">
        <f>H747+1</f>
        <v>45595</v>
      </c>
      <c r="M747" s="1524"/>
      <c r="N747" s="1524"/>
      <c r="P747" s="1524">
        <f>L747+1</f>
        <v>45596</v>
      </c>
      <c r="Q747" s="1524"/>
      <c r="R747" s="1524"/>
      <c r="T747" s="1524">
        <f>P747+1</f>
        <v>45597</v>
      </c>
      <c r="U747" s="1524"/>
      <c r="V747" s="1524"/>
      <c r="W747" s="22"/>
      <c r="X747" s="1524">
        <f>T747+1</f>
        <v>45598</v>
      </c>
      <c r="Y747" s="1524"/>
      <c r="Z747" s="1524"/>
      <c r="AB747" s="1524">
        <f>X747+1</f>
        <v>45599</v>
      </c>
      <c r="AC747" s="1524"/>
      <c r="AD747" s="1524"/>
      <c r="AE747" s="22"/>
      <c r="AF747" s="1517" t="s">
        <v>19</v>
      </c>
    </row>
    <row r="748" spans="2:32">
      <c r="B748" s="1518"/>
      <c r="C748" s="1528"/>
      <c r="D748" s="21" t="s">
        <v>23</v>
      </c>
      <c r="E748" s="21" t="s">
        <v>24</v>
      </c>
      <c r="F748" s="62" t="s">
        <v>25</v>
      </c>
      <c r="G748" s="23"/>
      <c r="H748" s="21" t="s">
        <v>23</v>
      </c>
      <c r="I748" s="21" t="s">
        <v>24</v>
      </c>
      <c r="J748" s="18" t="s">
        <v>25</v>
      </c>
      <c r="K748" s="23"/>
      <c r="L748" s="21" t="s">
        <v>23</v>
      </c>
      <c r="M748" s="21" t="s">
        <v>24</v>
      </c>
      <c r="N748" s="18" t="s">
        <v>25</v>
      </c>
      <c r="O748" s="23"/>
      <c r="P748" s="21" t="s">
        <v>23</v>
      </c>
      <c r="Q748" s="21" t="s">
        <v>24</v>
      </c>
      <c r="R748" s="18" t="s">
        <v>25</v>
      </c>
      <c r="S748" s="23"/>
      <c r="T748" s="21" t="s">
        <v>23</v>
      </c>
      <c r="U748" s="21" t="s">
        <v>24</v>
      </c>
      <c r="V748" s="18" t="s">
        <v>25</v>
      </c>
      <c r="W748" s="23"/>
      <c r="X748" s="21" t="s">
        <v>23</v>
      </c>
      <c r="Y748" s="21" t="s">
        <v>24</v>
      </c>
      <c r="Z748" s="18" t="s">
        <v>25</v>
      </c>
      <c r="AA748" s="23"/>
      <c r="AB748" s="21" t="s">
        <v>23</v>
      </c>
      <c r="AC748" s="21" t="s">
        <v>24</v>
      </c>
      <c r="AD748" s="18" t="s">
        <v>25</v>
      </c>
      <c r="AE748" s="23"/>
      <c r="AF748" s="1517"/>
    </row>
    <row r="749" spans="2:32" ht="14.25">
      <c r="B749" s="553" t="s">
        <v>42</v>
      </c>
      <c r="C749" s="547" t="s">
        <v>832</v>
      </c>
      <c r="D749" s="548">
        <v>0.375</v>
      </c>
      <c r="E749" s="548">
        <v>0.70833333333333337</v>
      </c>
      <c r="F749" s="549">
        <f t="shared" ref="F749:F760" si="469">(E749-D749)*24</f>
        <v>8</v>
      </c>
      <c r="G749" s="550"/>
      <c r="H749" s="548">
        <v>0.375</v>
      </c>
      <c r="I749" s="548">
        <v>0.54166666666666663</v>
      </c>
      <c r="J749" s="551">
        <f t="shared" ref="J749:J760" si="470">(I749-H749)*24</f>
        <v>3.9999999999999991</v>
      </c>
      <c r="K749" s="550"/>
      <c r="L749" s="552"/>
      <c r="M749" s="548"/>
      <c r="N749" s="551">
        <f t="shared" ref="N749:N760" si="471">(M749-L749)*24</f>
        <v>0</v>
      </c>
      <c r="O749" s="550"/>
      <c r="P749" s="548"/>
      <c r="Q749" s="548"/>
      <c r="R749" s="551">
        <f t="shared" ref="R749:R760" si="472">(Q749-P749)*24</f>
        <v>0</v>
      </c>
      <c r="S749" s="550"/>
      <c r="T749" s="548"/>
      <c r="U749" s="548"/>
      <c r="V749" s="551">
        <f t="shared" ref="V749:V760" si="473">(U749-T749)*24</f>
        <v>0</v>
      </c>
      <c r="W749" s="550"/>
      <c r="X749" s="548"/>
      <c r="Y749" s="548"/>
      <c r="Z749" s="551">
        <f t="shared" ref="Z749:Z760" si="474">(Y749-X749)*24</f>
        <v>0</v>
      </c>
      <c r="AA749" s="550"/>
      <c r="AB749" s="548"/>
      <c r="AC749" s="548"/>
      <c r="AD749" s="551">
        <f t="shared" ref="AD749:AD760" si="475">(AC749-AB749)*24</f>
        <v>0</v>
      </c>
      <c r="AE749" s="24"/>
      <c r="AF749" s="29">
        <f>J749+F749+N749+R749+V749+Z749+AD749</f>
        <v>12</v>
      </c>
    </row>
    <row r="750" spans="2:32" ht="14.25">
      <c r="B750" s="553" t="s">
        <v>54</v>
      </c>
      <c r="C750" s="547" t="s">
        <v>875</v>
      </c>
      <c r="D750" s="548">
        <v>0.38194444444444442</v>
      </c>
      <c r="E750" s="548">
        <v>0.71527777777777779</v>
      </c>
      <c r="F750" s="549">
        <f t="shared" si="469"/>
        <v>8</v>
      </c>
      <c r="G750" s="550"/>
      <c r="H750" s="548">
        <v>0.375</v>
      </c>
      <c r="I750" s="548">
        <v>0.70833333333333337</v>
      </c>
      <c r="J750" s="551">
        <f t="shared" si="470"/>
        <v>8</v>
      </c>
      <c r="K750" s="550"/>
      <c r="L750" s="548">
        <v>0.375</v>
      </c>
      <c r="M750" s="548">
        <v>0.70833333333333337</v>
      </c>
      <c r="N750" s="551">
        <f t="shared" si="471"/>
        <v>8</v>
      </c>
      <c r="O750" s="550"/>
      <c r="P750" s="548"/>
      <c r="Q750" s="548"/>
      <c r="R750" s="551">
        <f t="shared" si="472"/>
        <v>0</v>
      </c>
      <c r="S750" s="550"/>
      <c r="T750" s="548"/>
      <c r="U750" s="548"/>
      <c r="V750" s="551">
        <f t="shared" si="473"/>
        <v>0</v>
      </c>
      <c r="W750" s="550"/>
      <c r="X750" s="548"/>
      <c r="Y750" s="548"/>
      <c r="Z750" s="551">
        <f t="shared" si="474"/>
        <v>0</v>
      </c>
      <c r="AA750" s="550"/>
      <c r="AB750" s="548"/>
      <c r="AC750" s="548"/>
      <c r="AD750" s="551">
        <f t="shared" si="475"/>
        <v>0</v>
      </c>
      <c r="AE750" s="24"/>
      <c r="AF750" s="29">
        <f>J750+F750+N750+R750+V750+Z750+AD750</f>
        <v>24</v>
      </c>
    </row>
    <row r="751" spans="2:32" ht="14.25">
      <c r="B751" s="553" t="s">
        <v>576</v>
      </c>
      <c r="C751" s="547" t="s">
        <v>875</v>
      </c>
      <c r="D751" s="548">
        <v>0.3611111111111111</v>
      </c>
      <c r="E751" s="548">
        <v>0.71527777777777779</v>
      </c>
      <c r="F751" s="549">
        <f t="shared" si="469"/>
        <v>8.5</v>
      </c>
      <c r="G751" s="550"/>
      <c r="H751" s="548">
        <v>0.375</v>
      </c>
      <c r="I751" s="548">
        <v>0.70833333333333337</v>
      </c>
      <c r="J751" s="551">
        <f t="shared" si="470"/>
        <v>8</v>
      </c>
      <c r="K751" s="550"/>
      <c r="L751" s="548">
        <v>0.375</v>
      </c>
      <c r="M751" s="548">
        <v>0.70833333333333337</v>
      </c>
      <c r="N751" s="551">
        <f t="shared" si="471"/>
        <v>8</v>
      </c>
      <c r="O751" s="550"/>
      <c r="P751" s="548"/>
      <c r="Q751" s="548"/>
      <c r="R751" s="551">
        <f t="shared" si="472"/>
        <v>0</v>
      </c>
      <c r="S751" s="550"/>
      <c r="T751" s="548"/>
      <c r="U751" s="548"/>
      <c r="V751" s="551">
        <f t="shared" si="473"/>
        <v>0</v>
      </c>
      <c r="W751" s="550"/>
      <c r="X751" s="548"/>
      <c r="Y751" s="548"/>
      <c r="Z751" s="551">
        <f t="shared" si="474"/>
        <v>0</v>
      </c>
      <c r="AA751" s="550"/>
      <c r="AB751" s="548"/>
      <c r="AC751" s="548"/>
      <c r="AD751" s="551">
        <f t="shared" si="475"/>
        <v>0</v>
      </c>
      <c r="AE751" s="24"/>
      <c r="AF751" s="29">
        <f>J751+F751+N751+R751+V751+Z751+AD751</f>
        <v>24.5</v>
      </c>
    </row>
    <row r="752" spans="2:32" ht="14.25">
      <c r="B752" s="553" t="s">
        <v>572</v>
      </c>
      <c r="C752" s="547" t="s">
        <v>875</v>
      </c>
      <c r="D752" s="548">
        <v>0.35416666666666669</v>
      </c>
      <c r="E752" s="548">
        <v>0.71527777777777779</v>
      </c>
      <c r="F752" s="549">
        <f t="shared" si="469"/>
        <v>8.6666666666666661</v>
      </c>
      <c r="G752" s="550"/>
      <c r="H752" s="548">
        <v>0.35416666666666669</v>
      </c>
      <c r="I752" s="548">
        <v>0.70833333333333337</v>
      </c>
      <c r="J752" s="551">
        <f t="shared" si="470"/>
        <v>8.5</v>
      </c>
      <c r="K752" s="550"/>
      <c r="L752" s="548">
        <v>0.35416666666666669</v>
      </c>
      <c r="M752" s="548">
        <v>0.70833333333333337</v>
      </c>
      <c r="N752" s="551">
        <f t="shared" si="471"/>
        <v>8.5</v>
      </c>
      <c r="O752" s="550"/>
      <c r="P752" s="548"/>
      <c r="Q752" s="548"/>
      <c r="R752" s="551">
        <f t="shared" si="472"/>
        <v>0</v>
      </c>
      <c r="S752" s="550"/>
      <c r="T752" s="548"/>
      <c r="U752" s="548"/>
      <c r="V752" s="551">
        <f t="shared" si="473"/>
        <v>0</v>
      </c>
      <c r="W752" s="550"/>
      <c r="X752" s="548"/>
      <c r="Y752" s="548"/>
      <c r="Z752" s="551">
        <f t="shared" si="474"/>
        <v>0</v>
      </c>
      <c r="AA752" s="550"/>
      <c r="AB752" s="548"/>
      <c r="AC752" s="548"/>
      <c r="AD752" s="551">
        <f t="shared" si="475"/>
        <v>0</v>
      </c>
      <c r="AE752" s="24"/>
      <c r="AF752" s="29">
        <f>J752+F752+N752+R752+V752+Z752+AD752</f>
        <v>25.666666666666664</v>
      </c>
    </row>
    <row r="753" spans="2:32" ht="14.25">
      <c r="B753" s="553" t="s">
        <v>653</v>
      </c>
      <c r="C753" s="547" t="s">
        <v>876</v>
      </c>
      <c r="D753" s="548">
        <v>0.40277777777777779</v>
      </c>
      <c r="E753" s="548">
        <v>0.70833333333333337</v>
      </c>
      <c r="F753" s="549">
        <f t="shared" si="469"/>
        <v>7.3333333333333339</v>
      </c>
      <c r="G753" s="550"/>
      <c r="H753" s="548">
        <v>0.375</v>
      </c>
      <c r="I753" s="548">
        <v>0.70833333333333337</v>
      </c>
      <c r="J753" s="551">
        <f t="shared" si="470"/>
        <v>8</v>
      </c>
      <c r="K753" s="550"/>
      <c r="L753" s="548">
        <v>0.39583333333333331</v>
      </c>
      <c r="M753" s="548">
        <v>0.85624999999999996</v>
      </c>
      <c r="N753" s="551">
        <f t="shared" si="471"/>
        <v>11.049999999999999</v>
      </c>
      <c r="O753" s="550"/>
      <c r="P753" s="548"/>
      <c r="Q753" s="548"/>
      <c r="R753" s="551">
        <f t="shared" si="472"/>
        <v>0</v>
      </c>
      <c r="S753" s="550"/>
      <c r="T753" s="548"/>
      <c r="U753" s="548"/>
      <c r="V753" s="551">
        <f t="shared" si="473"/>
        <v>0</v>
      </c>
      <c r="W753" s="550"/>
      <c r="X753" s="548"/>
      <c r="Y753" s="548"/>
      <c r="Z753" s="551">
        <f t="shared" si="474"/>
        <v>0</v>
      </c>
      <c r="AA753" s="550"/>
      <c r="AB753" s="548"/>
      <c r="AC753" s="548"/>
      <c r="AD753" s="551">
        <f t="shared" si="475"/>
        <v>0</v>
      </c>
      <c r="AE753" s="24"/>
      <c r="AF753" s="29"/>
    </row>
    <row r="754" spans="2:32" ht="14.25">
      <c r="B754" s="553" t="s">
        <v>576</v>
      </c>
      <c r="C754" s="547" t="s">
        <v>877</v>
      </c>
      <c r="D754" s="548"/>
      <c r="E754" s="548"/>
      <c r="F754" s="549">
        <f t="shared" si="469"/>
        <v>0</v>
      </c>
      <c r="G754" s="550"/>
      <c r="H754" s="548"/>
      <c r="I754" s="548"/>
      <c r="J754" s="551">
        <f t="shared" si="470"/>
        <v>0</v>
      </c>
      <c r="K754" s="550"/>
      <c r="L754" s="552"/>
      <c r="M754" s="548"/>
      <c r="N754" s="551">
        <f t="shared" si="471"/>
        <v>0</v>
      </c>
      <c r="O754" s="550"/>
      <c r="P754" s="548"/>
      <c r="Q754" s="548"/>
      <c r="R754" s="551">
        <f t="shared" si="472"/>
        <v>0</v>
      </c>
      <c r="S754" s="550"/>
      <c r="T754" s="548"/>
      <c r="U754" s="548"/>
      <c r="V754" s="551">
        <f t="shared" si="473"/>
        <v>0</v>
      </c>
      <c r="W754" s="550"/>
      <c r="X754" s="548"/>
      <c r="Y754" s="548"/>
      <c r="Z754" s="551">
        <f t="shared" si="474"/>
        <v>0</v>
      </c>
      <c r="AA754" s="550"/>
      <c r="AB754" s="548"/>
      <c r="AC754" s="548"/>
      <c r="AD754" s="551">
        <f t="shared" si="475"/>
        <v>0</v>
      </c>
      <c r="AE754" s="24"/>
      <c r="AF754" s="29"/>
    </row>
    <row r="755" spans="2:32" ht="14.25">
      <c r="B755" s="553" t="s">
        <v>572</v>
      </c>
      <c r="C755" s="547" t="s">
        <v>877</v>
      </c>
      <c r="D755" s="548"/>
      <c r="E755" s="548"/>
      <c r="F755" s="549">
        <f t="shared" si="469"/>
        <v>0</v>
      </c>
      <c r="G755" s="550"/>
      <c r="H755" s="548"/>
      <c r="I755" s="548"/>
      <c r="J755" s="551">
        <f t="shared" si="470"/>
        <v>0</v>
      </c>
      <c r="K755" s="550"/>
      <c r="L755" s="552"/>
      <c r="M755" s="548"/>
      <c r="N755" s="551">
        <f t="shared" si="471"/>
        <v>0</v>
      </c>
      <c r="O755" s="550"/>
      <c r="P755" s="548"/>
      <c r="Q755" s="548"/>
      <c r="R755" s="551">
        <f t="shared" si="472"/>
        <v>0</v>
      </c>
      <c r="S755" s="550"/>
      <c r="T755" s="548"/>
      <c r="U755" s="548"/>
      <c r="V755" s="551">
        <f t="shared" si="473"/>
        <v>0</v>
      </c>
      <c r="W755" s="550"/>
      <c r="X755" s="548"/>
      <c r="Y755" s="548"/>
      <c r="Z755" s="551">
        <f t="shared" si="474"/>
        <v>0</v>
      </c>
      <c r="AA755" s="550"/>
      <c r="AB755" s="548"/>
      <c r="AC755" s="548"/>
      <c r="AD755" s="551">
        <f t="shared" si="475"/>
        <v>0</v>
      </c>
      <c r="AE755" s="24"/>
      <c r="AF755" s="29">
        <f>J755+F755+N755+R755+V755+Z755+AD755</f>
        <v>0</v>
      </c>
    </row>
    <row r="756" spans="2:32" ht="14.25">
      <c r="B756" s="553" t="s">
        <v>54</v>
      </c>
      <c r="C756" s="547" t="s">
        <v>850</v>
      </c>
      <c r="D756" s="548"/>
      <c r="E756" s="548"/>
      <c r="F756" s="549">
        <f t="shared" si="469"/>
        <v>0</v>
      </c>
      <c r="G756" s="550"/>
      <c r="H756" s="548"/>
      <c r="I756" s="548"/>
      <c r="J756" s="551">
        <f t="shared" si="470"/>
        <v>0</v>
      </c>
      <c r="K756" s="550"/>
      <c r="L756" s="552"/>
      <c r="M756" s="548"/>
      <c r="N756" s="551">
        <f t="shared" si="471"/>
        <v>0</v>
      </c>
      <c r="O756" s="550"/>
      <c r="P756" s="548">
        <v>0.375</v>
      </c>
      <c r="Q756" s="548">
        <v>0.66666666666666663</v>
      </c>
      <c r="R756" s="551">
        <f t="shared" si="472"/>
        <v>6.9999999999999991</v>
      </c>
      <c r="S756" s="550"/>
      <c r="T756" s="548"/>
      <c r="U756" s="548"/>
      <c r="V756" s="551">
        <f t="shared" si="473"/>
        <v>0</v>
      </c>
      <c r="W756" s="550"/>
      <c r="X756" s="548"/>
      <c r="Y756" s="548"/>
      <c r="Z756" s="551">
        <f t="shared" si="474"/>
        <v>0</v>
      </c>
      <c r="AA756" s="550"/>
      <c r="AB756" s="548"/>
      <c r="AC756" s="548"/>
      <c r="AD756" s="551">
        <f t="shared" si="475"/>
        <v>0</v>
      </c>
      <c r="AE756" s="24"/>
      <c r="AF756" s="29">
        <f>J756+F756+N756+R756+V756+Z756+AD756</f>
        <v>6.9999999999999991</v>
      </c>
    </row>
    <row r="757" spans="2:32" ht="14.25">
      <c r="B757" s="553" t="s">
        <v>653</v>
      </c>
      <c r="C757" s="547" t="s">
        <v>878</v>
      </c>
      <c r="D757" s="548"/>
      <c r="E757" s="548"/>
      <c r="F757" s="549">
        <f t="shared" si="469"/>
        <v>0</v>
      </c>
      <c r="G757" s="550"/>
      <c r="H757" s="548"/>
      <c r="I757" s="548"/>
      <c r="J757" s="551">
        <f t="shared" si="470"/>
        <v>0</v>
      </c>
      <c r="K757" s="550"/>
      <c r="L757" s="552"/>
      <c r="M757" s="548"/>
      <c r="N757" s="551">
        <f t="shared" si="471"/>
        <v>0</v>
      </c>
      <c r="O757" s="550"/>
      <c r="P757" s="548">
        <v>0.375</v>
      </c>
      <c r="Q757" s="548">
        <v>0.70833333333333337</v>
      </c>
      <c r="R757" s="551">
        <f t="shared" si="472"/>
        <v>8</v>
      </c>
      <c r="S757" s="550"/>
      <c r="T757" s="548"/>
      <c r="U757" s="548"/>
      <c r="V757" s="551">
        <f t="shared" si="473"/>
        <v>0</v>
      </c>
      <c r="W757" s="550"/>
      <c r="X757" s="548"/>
      <c r="Y757" s="548"/>
      <c r="Z757" s="551">
        <f t="shared" si="474"/>
        <v>0</v>
      </c>
      <c r="AA757" s="550"/>
      <c r="AB757" s="548"/>
      <c r="AC757" s="548"/>
      <c r="AD757" s="551">
        <f t="shared" si="475"/>
        <v>0</v>
      </c>
      <c r="AE757" s="24"/>
      <c r="AF757" s="29"/>
    </row>
    <row r="758" spans="2:32" ht="14.25">
      <c r="B758" s="553"/>
      <c r="C758" s="547"/>
      <c r="D758" s="548"/>
      <c r="E758" s="548"/>
      <c r="F758" s="549">
        <f t="shared" si="469"/>
        <v>0</v>
      </c>
      <c r="G758" s="550"/>
      <c r="H758" s="548"/>
      <c r="I758" s="548"/>
      <c r="J758" s="551">
        <f t="shared" si="470"/>
        <v>0</v>
      </c>
      <c r="K758" s="550"/>
      <c r="L758" s="552"/>
      <c r="M758" s="548"/>
      <c r="N758" s="551">
        <f t="shared" si="471"/>
        <v>0</v>
      </c>
      <c r="O758" s="550"/>
      <c r="P758" s="548"/>
      <c r="Q758" s="548"/>
      <c r="R758" s="551">
        <f t="shared" si="472"/>
        <v>0</v>
      </c>
      <c r="S758" s="550"/>
      <c r="T758" s="548"/>
      <c r="U758" s="548"/>
      <c r="V758" s="551">
        <f t="shared" si="473"/>
        <v>0</v>
      </c>
      <c r="W758" s="550"/>
      <c r="X758" s="548"/>
      <c r="Y758" s="548"/>
      <c r="Z758" s="551">
        <f t="shared" si="474"/>
        <v>0</v>
      </c>
      <c r="AA758" s="550"/>
      <c r="AB758" s="548"/>
      <c r="AC758" s="548"/>
      <c r="AD758" s="551">
        <f t="shared" si="475"/>
        <v>0</v>
      </c>
      <c r="AE758" s="24"/>
      <c r="AF758" s="29"/>
    </row>
    <row r="759" spans="2:32" ht="14.25">
      <c r="B759" s="272"/>
      <c r="C759" s="637"/>
      <c r="D759" s="548"/>
      <c r="E759" s="548"/>
      <c r="F759" s="549">
        <f t="shared" si="469"/>
        <v>0</v>
      </c>
      <c r="G759" s="550"/>
      <c r="H759" s="548"/>
      <c r="I759" s="548"/>
      <c r="J759" s="551">
        <f t="shared" si="470"/>
        <v>0</v>
      </c>
      <c r="K759" s="550"/>
      <c r="L759" s="552"/>
      <c r="M759" s="548"/>
      <c r="N759" s="551">
        <f t="shared" si="471"/>
        <v>0</v>
      </c>
      <c r="O759" s="550"/>
      <c r="P759" s="548"/>
      <c r="Q759" s="548"/>
      <c r="R759" s="551">
        <f t="shared" si="472"/>
        <v>0</v>
      </c>
      <c r="S759" s="550"/>
      <c r="T759" s="548"/>
      <c r="U759" s="548"/>
      <c r="V759" s="551">
        <f t="shared" si="473"/>
        <v>0</v>
      </c>
      <c r="W759" s="550"/>
      <c r="X759" s="548"/>
      <c r="Y759" s="548"/>
      <c r="Z759" s="551">
        <f t="shared" si="474"/>
        <v>0</v>
      </c>
      <c r="AA759" s="550"/>
      <c r="AB759" s="548"/>
      <c r="AC759" s="548"/>
      <c r="AD759" s="551">
        <f t="shared" si="475"/>
        <v>0</v>
      </c>
      <c r="AE759" s="24"/>
      <c r="AF759" s="29">
        <f>J759+F759+N759+R759+V759+Z759+AD759</f>
        <v>0</v>
      </c>
    </row>
    <row r="760" spans="2:32" ht="14.25">
      <c r="B760" s="554" t="s">
        <v>61</v>
      </c>
      <c r="C760" s="554"/>
      <c r="D760" s="548"/>
      <c r="E760" s="548"/>
      <c r="F760" s="549">
        <f t="shared" si="469"/>
        <v>0</v>
      </c>
      <c r="G760" s="550"/>
      <c r="H760" s="548"/>
      <c r="I760" s="548"/>
      <c r="J760" s="551">
        <f t="shared" si="470"/>
        <v>0</v>
      </c>
      <c r="K760" s="550"/>
      <c r="L760" s="552"/>
      <c r="M760" s="548"/>
      <c r="N760" s="551">
        <f t="shared" si="471"/>
        <v>0</v>
      </c>
      <c r="O760" s="550"/>
      <c r="P760" s="548"/>
      <c r="Q760" s="548"/>
      <c r="R760" s="551">
        <f t="shared" si="472"/>
        <v>0</v>
      </c>
      <c r="S760" s="550"/>
      <c r="T760" s="548"/>
      <c r="U760" s="548"/>
      <c r="V760" s="551">
        <f t="shared" si="473"/>
        <v>0</v>
      </c>
      <c r="W760" s="550"/>
      <c r="X760" s="548"/>
      <c r="Y760" s="548"/>
      <c r="Z760" s="551">
        <f t="shared" si="474"/>
        <v>0</v>
      </c>
      <c r="AA760" s="550"/>
      <c r="AB760" s="548"/>
      <c r="AC760" s="548"/>
      <c r="AD760" s="551">
        <f t="shared" si="475"/>
        <v>0</v>
      </c>
      <c r="AE760" s="24"/>
      <c r="AF760" s="29">
        <f>J760+F760+N760+R760+V760+Z760+AD760</f>
        <v>0</v>
      </c>
    </row>
    <row r="761" spans="2:32">
      <c r="B761" s="31" t="s">
        <v>577</v>
      </c>
      <c r="C761" s="31"/>
      <c r="D761" s="91"/>
      <c r="E761" s="91"/>
      <c r="F761" s="90"/>
      <c r="G761" s="91"/>
      <c r="H761" s="91"/>
      <c r="I761" s="91"/>
      <c r="J761" s="90"/>
      <c r="K761" s="91"/>
      <c r="L761" s="430"/>
      <c r="M761" s="91"/>
      <c r="N761" s="90"/>
      <c r="O761" s="91"/>
      <c r="P761" s="91"/>
      <c r="Q761" s="91"/>
      <c r="R761" s="90"/>
      <c r="S761" s="91"/>
      <c r="T761" s="91"/>
      <c r="U761" s="91"/>
      <c r="V761" s="90"/>
      <c r="W761" s="91"/>
      <c r="X761" s="91"/>
      <c r="Y761" s="91"/>
      <c r="Z761" s="90"/>
      <c r="AA761" s="91"/>
      <c r="AB761" s="91"/>
      <c r="AC761" s="91"/>
      <c r="AD761" s="91"/>
      <c r="AE761" s="352"/>
      <c r="AF761" s="28"/>
    </row>
    <row r="762" spans="2:32">
      <c r="B762" s="31" t="s">
        <v>578</v>
      </c>
      <c r="C762" s="31"/>
      <c r="D762" s="91"/>
      <c r="E762" s="91"/>
      <c r="F762" s="90"/>
      <c r="G762" s="91"/>
      <c r="H762" s="91"/>
      <c r="I762" s="91"/>
      <c r="J762" s="90"/>
      <c r="K762" s="91"/>
      <c r="L762" s="430"/>
      <c r="M762" s="91"/>
      <c r="N762" s="90"/>
      <c r="O762" s="91"/>
      <c r="P762" s="91"/>
      <c r="Q762" s="91"/>
      <c r="R762" s="90"/>
      <c r="S762" s="91"/>
      <c r="T762" s="91"/>
      <c r="U762" s="91"/>
      <c r="V762" s="90"/>
      <c r="W762" s="91"/>
      <c r="X762" s="91"/>
      <c r="Y762" s="91"/>
      <c r="Z762" s="90"/>
      <c r="AA762" s="91"/>
      <c r="AB762" s="91"/>
      <c r="AC762" s="91"/>
      <c r="AD762" s="91"/>
      <c r="AE762" s="352"/>
      <c r="AF762" s="28">
        <f>SUM(D762:AD762)</f>
        <v>0</v>
      </c>
    </row>
    <row r="763" spans="2:32" ht="14.25" thickBot="1">
      <c r="B763" s="74" t="s">
        <v>579</v>
      </c>
      <c r="C763" s="74"/>
      <c r="D763" s="95"/>
      <c r="E763" s="95"/>
      <c r="F763" s="96"/>
      <c r="G763" s="95"/>
      <c r="H763" s="95"/>
      <c r="I763" s="95"/>
      <c r="J763" s="96"/>
      <c r="K763" s="95"/>
      <c r="L763" s="431"/>
      <c r="M763" s="95"/>
      <c r="N763" s="96"/>
      <c r="O763" s="95"/>
      <c r="P763" s="95"/>
      <c r="Q763" s="95"/>
      <c r="R763" s="96"/>
      <c r="S763" s="95"/>
      <c r="T763" s="95"/>
      <c r="U763" s="95"/>
      <c r="V763" s="96"/>
      <c r="W763" s="97"/>
      <c r="X763" s="97"/>
      <c r="Y763" s="97"/>
      <c r="Z763" s="96"/>
      <c r="AA763" s="97"/>
      <c r="AB763" s="97"/>
      <c r="AC763" s="97"/>
      <c r="AD763" s="97"/>
      <c r="AE763" s="97"/>
      <c r="AF763" s="80">
        <f>SUM(D763:AD763)</f>
        <v>0</v>
      </c>
    </row>
    <row r="764" spans="2:32" ht="13.9" customHeight="1" thickTop="1">
      <c r="B764" s="1518" t="s">
        <v>18</v>
      </c>
      <c r="C764" s="1528" t="s">
        <v>571</v>
      </c>
      <c r="D764" s="1524">
        <v>45600</v>
      </c>
      <c r="E764" s="1524"/>
      <c r="F764" s="1524"/>
      <c r="G764" s="22"/>
      <c r="H764" s="1524">
        <f>D764+1</f>
        <v>45601</v>
      </c>
      <c r="I764" s="1524"/>
      <c r="J764" s="1524"/>
      <c r="K764" s="22"/>
      <c r="L764" s="1524">
        <f>H764+1</f>
        <v>45602</v>
      </c>
      <c r="M764" s="1524"/>
      <c r="N764" s="1524"/>
      <c r="P764" s="1524">
        <f>L764+1</f>
        <v>45603</v>
      </c>
      <c r="Q764" s="1524"/>
      <c r="R764" s="1524"/>
      <c r="T764" s="1524">
        <f>P764+1</f>
        <v>45604</v>
      </c>
      <c r="U764" s="1524"/>
      <c r="V764" s="1524"/>
      <c r="W764" s="22"/>
      <c r="X764" s="1524">
        <f>T764+1</f>
        <v>45605</v>
      </c>
      <c r="Y764" s="1524"/>
      <c r="Z764" s="1524"/>
      <c r="AB764" s="1524">
        <f>X764+1</f>
        <v>45606</v>
      </c>
      <c r="AC764" s="1524"/>
      <c r="AD764" s="1524"/>
      <c r="AE764" s="22"/>
      <c r="AF764" s="1517" t="s">
        <v>19</v>
      </c>
    </row>
    <row r="765" spans="2:32">
      <c r="B765" s="1518"/>
      <c r="C765" s="1528"/>
      <c r="D765" s="21" t="s">
        <v>23</v>
      </c>
      <c r="E765" s="21" t="s">
        <v>24</v>
      </c>
      <c r="F765" s="62" t="s">
        <v>25</v>
      </c>
      <c r="G765" s="23"/>
      <c r="H765" s="21" t="s">
        <v>23</v>
      </c>
      <c r="I765" s="21" t="s">
        <v>24</v>
      </c>
      <c r="J765" s="18" t="s">
        <v>25</v>
      </c>
      <c r="K765" s="23"/>
      <c r="L765" s="21" t="s">
        <v>23</v>
      </c>
      <c r="M765" s="21" t="s">
        <v>24</v>
      </c>
      <c r="N765" s="18" t="s">
        <v>25</v>
      </c>
      <c r="O765" s="23"/>
      <c r="P765" s="21" t="s">
        <v>23</v>
      </c>
      <c r="Q765" s="21" t="s">
        <v>24</v>
      </c>
      <c r="R765" s="18" t="s">
        <v>25</v>
      </c>
      <c r="S765" s="23"/>
      <c r="T765" s="21" t="s">
        <v>23</v>
      </c>
      <c r="U765" s="21" t="s">
        <v>24</v>
      </c>
      <c r="V765" s="18" t="s">
        <v>25</v>
      </c>
      <c r="W765" s="23"/>
      <c r="X765" s="21" t="s">
        <v>23</v>
      </c>
      <c r="Y765" s="21" t="s">
        <v>24</v>
      </c>
      <c r="Z765" s="18" t="s">
        <v>25</v>
      </c>
      <c r="AA765" s="23"/>
      <c r="AB765" s="21" t="s">
        <v>23</v>
      </c>
      <c r="AC765" s="21" t="s">
        <v>24</v>
      </c>
      <c r="AD765" s="18" t="s">
        <v>25</v>
      </c>
      <c r="AE765" s="23"/>
      <c r="AF765" s="1517"/>
    </row>
    <row r="766" spans="2:32" ht="14.25">
      <c r="B766" s="553" t="s">
        <v>54</v>
      </c>
      <c r="C766" s="547" t="s">
        <v>879</v>
      </c>
      <c r="D766" s="548">
        <v>0.35416666666666669</v>
      </c>
      <c r="E766" s="548">
        <v>0.6875</v>
      </c>
      <c r="F766" s="549">
        <f t="shared" ref="F766:F788" si="476">(E766-D766)*24</f>
        <v>8</v>
      </c>
      <c r="G766" s="550"/>
      <c r="H766" s="548"/>
      <c r="I766" s="548"/>
      <c r="J766" s="551">
        <f t="shared" ref="J766:J788" si="477">(I766-H766)*24</f>
        <v>0</v>
      </c>
      <c r="K766" s="550"/>
      <c r="L766" s="552"/>
      <c r="M766" s="548"/>
      <c r="N766" s="551">
        <f t="shared" ref="N766:N788" si="478">(M766-L766)*24</f>
        <v>0</v>
      </c>
      <c r="O766" s="550"/>
      <c r="P766" s="548"/>
      <c r="Q766" s="548"/>
      <c r="R766" s="551">
        <f t="shared" ref="R766:R788" si="479">(Q766-P766)*24</f>
        <v>0</v>
      </c>
      <c r="S766" s="550"/>
      <c r="T766" s="548"/>
      <c r="U766" s="548"/>
      <c r="V766" s="551">
        <f t="shared" ref="V766:V788" si="480">(U766-T766)*24</f>
        <v>0</v>
      </c>
      <c r="W766" s="550"/>
      <c r="X766" s="548"/>
      <c r="Y766" s="548"/>
      <c r="Z766" s="551">
        <f t="shared" ref="Z766:Z788" si="481">(Y766-X766)*24</f>
        <v>0</v>
      </c>
      <c r="AA766" s="550"/>
      <c r="AB766" s="548"/>
      <c r="AC766" s="548"/>
      <c r="AD766" s="551">
        <f t="shared" ref="AD766:AD788" si="482">(AC766-AB766)*24</f>
        <v>0</v>
      </c>
      <c r="AE766" s="24"/>
      <c r="AF766" s="29">
        <f>J766+F766+N766+R766+V766+Z766+AD766</f>
        <v>8</v>
      </c>
    </row>
    <row r="767" spans="2:32" ht="14.25">
      <c r="B767" s="553" t="s">
        <v>653</v>
      </c>
      <c r="C767" s="547" t="s">
        <v>878</v>
      </c>
      <c r="D767" s="548">
        <v>0.35416666666666669</v>
      </c>
      <c r="E767" s="548">
        <v>0.6875</v>
      </c>
      <c r="F767" s="549">
        <f t="shared" si="476"/>
        <v>8</v>
      </c>
      <c r="G767" s="550"/>
      <c r="H767" s="548"/>
      <c r="I767" s="548"/>
      <c r="J767" s="551">
        <f t="shared" si="477"/>
        <v>0</v>
      </c>
      <c r="K767" s="550"/>
      <c r="L767" s="552"/>
      <c r="M767" s="548"/>
      <c r="N767" s="551">
        <f t="shared" si="478"/>
        <v>0</v>
      </c>
      <c r="O767" s="550"/>
      <c r="P767" s="548"/>
      <c r="Q767" s="548"/>
      <c r="R767" s="551">
        <f t="shared" si="479"/>
        <v>0</v>
      </c>
      <c r="S767" s="550"/>
      <c r="T767" s="548"/>
      <c r="U767" s="548"/>
      <c r="V767" s="551">
        <f t="shared" si="480"/>
        <v>0</v>
      </c>
      <c r="W767" s="550"/>
      <c r="X767" s="548"/>
      <c r="Y767" s="548"/>
      <c r="Z767" s="551">
        <f t="shared" si="481"/>
        <v>0</v>
      </c>
      <c r="AA767" s="550"/>
      <c r="AB767" s="548"/>
      <c r="AC767" s="548"/>
      <c r="AD767" s="551">
        <f t="shared" si="482"/>
        <v>0</v>
      </c>
      <c r="AE767" s="24"/>
      <c r="AF767" s="29">
        <f>J767+F767+N767+R767+V767+Z767+AD767</f>
        <v>8</v>
      </c>
    </row>
    <row r="768" spans="2:32" ht="14.25">
      <c r="B768" s="553" t="s">
        <v>576</v>
      </c>
      <c r="C768" s="547" t="s">
        <v>880</v>
      </c>
      <c r="D768" s="548">
        <v>0.41666666666666669</v>
      </c>
      <c r="E768" s="548">
        <v>0.70833333333333337</v>
      </c>
      <c r="F768" s="549">
        <f t="shared" si="476"/>
        <v>7</v>
      </c>
      <c r="G768" s="550"/>
      <c r="H768" s="548"/>
      <c r="I768" s="548"/>
      <c r="J768" s="551">
        <f t="shared" si="477"/>
        <v>0</v>
      </c>
      <c r="K768" s="550"/>
      <c r="L768" s="552"/>
      <c r="M768" s="548"/>
      <c r="N768" s="551">
        <f t="shared" si="478"/>
        <v>0</v>
      </c>
      <c r="O768" s="550"/>
      <c r="P768" s="548"/>
      <c r="Q768" s="548"/>
      <c r="R768" s="551">
        <f t="shared" si="479"/>
        <v>0</v>
      </c>
      <c r="S768" s="550"/>
      <c r="T768" s="548"/>
      <c r="U768" s="548"/>
      <c r="V768" s="551">
        <f t="shared" si="480"/>
        <v>0</v>
      </c>
      <c r="W768" s="550"/>
      <c r="X768" s="548"/>
      <c r="Y768" s="548"/>
      <c r="Z768" s="551">
        <f t="shared" si="481"/>
        <v>0</v>
      </c>
      <c r="AA768" s="550"/>
      <c r="AB768" s="548"/>
      <c r="AC768" s="548"/>
      <c r="AD768" s="551">
        <f t="shared" si="482"/>
        <v>0</v>
      </c>
      <c r="AE768" s="24"/>
      <c r="AF768" s="29">
        <f>J768+F768+N768+R768+V768+Z768+AD768</f>
        <v>7</v>
      </c>
    </row>
    <row r="769" spans="2:32" ht="14.25">
      <c r="B769" s="553" t="s">
        <v>42</v>
      </c>
      <c r="C769" s="547" t="s">
        <v>881</v>
      </c>
      <c r="D769" s="548"/>
      <c r="E769" s="548"/>
      <c r="F769" s="549">
        <f t="shared" si="476"/>
        <v>0</v>
      </c>
      <c r="G769" s="550"/>
      <c r="H769" s="548">
        <v>0.375</v>
      </c>
      <c r="I769" s="548">
        <v>0.70833333333333337</v>
      </c>
      <c r="J769" s="551">
        <f t="shared" si="477"/>
        <v>8</v>
      </c>
      <c r="K769" s="550"/>
      <c r="L769" s="552"/>
      <c r="M769" s="548"/>
      <c r="N769" s="551">
        <f t="shared" si="478"/>
        <v>0</v>
      </c>
      <c r="O769" s="550"/>
      <c r="P769" s="548"/>
      <c r="Q769" s="548"/>
      <c r="R769" s="551">
        <f t="shared" si="479"/>
        <v>0</v>
      </c>
      <c r="S769" s="550"/>
      <c r="T769" s="548"/>
      <c r="U769" s="548"/>
      <c r="V769" s="551">
        <f t="shared" si="480"/>
        <v>0</v>
      </c>
      <c r="W769" s="550"/>
      <c r="X769" s="548"/>
      <c r="Y769" s="548"/>
      <c r="Z769" s="551">
        <f t="shared" si="481"/>
        <v>0</v>
      </c>
      <c r="AA769" s="550"/>
      <c r="AB769" s="548"/>
      <c r="AC769" s="548"/>
      <c r="AD769" s="551">
        <f t="shared" si="482"/>
        <v>0</v>
      </c>
      <c r="AE769" s="24"/>
      <c r="AF769" s="29">
        <f>J769+F769+N769+R769+V769+Z769+AD769</f>
        <v>8</v>
      </c>
    </row>
    <row r="770" spans="2:32" ht="14.25">
      <c r="B770" s="553" t="s">
        <v>54</v>
      </c>
      <c r="C770" s="547" t="s">
        <v>881</v>
      </c>
      <c r="D770" s="548"/>
      <c r="E770" s="548"/>
      <c r="F770" s="549">
        <f t="shared" si="476"/>
        <v>0</v>
      </c>
      <c r="G770" s="550"/>
      <c r="H770" s="548">
        <v>0.375</v>
      </c>
      <c r="I770" s="548">
        <v>0.70833333333333337</v>
      </c>
      <c r="J770" s="551">
        <f t="shared" si="477"/>
        <v>8</v>
      </c>
      <c r="K770" s="550"/>
      <c r="L770" s="552"/>
      <c r="M770" s="548"/>
      <c r="N770" s="551">
        <f t="shared" si="478"/>
        <v>0</v>
      </c>
      <c r="O770" s="550"/>
      <c r="P770" s="548"/>
      <c r="Q770" s="548"/>
      <c r="R770" s="551">
        <f t="shared" si="479"/>
        <v>0</v>
      </c>
      <c r="S770" s="550"/>
      <c r="T770" s="548"/>
      <c r="U770" s="548"/>
      <c r="V770" s="551">
        <f t="shared" si="480"/>
        <v>0</v>
      </c>
      <c r="W770" s="550"/>
      <c r="X770" s="548"/>
      <c r="Y770" s="548"/>
      <c r="Z770" s="551">
        <f t="shared" si="481"/>
        <v>0</v>
      </c>
      <c r="AA770" s="550"/>
      <c r="AB770" s="548"/>
      <c r="AC770" s="548"/>
      <c r="AD770" s="551">
        <f t="shared" si="482"/>
        <v>0</v>
      </c>
      <c r="AE770" s="24"/>
      <c r="AF770" s="29"/>
    </row>
    <row r="771" spans="2:32" ht="14.25">
      <c r="B771" s="553" t="s">
        <v>576</v>
      </c>
      <c r="C771" s="547" t="s">
        <v>881</v>
      </c>
      <c r="D771" s="548"/>
      <c r="E771" s="548"/>
      <c r="F771" s="549">
        <f t="shared" si="476"/>
        <v>0</v>
      </c>
      <c r="G771" s="550"/>
      <c r="H771" s="548">
        <v>0.375</v>
      </c>
      <c r="I771" s="548">
        <v>0.70833333333333337</v>
      </c>
      <c r="J771" s="551">
        <f t="shared" si="477"/>
        <v>8</v>
      </c>
      <c r="K771" s="550"/>
      <c r="L771" s="552"/>
      <c r="M771" s="548"/>
      <c r="N771" s="551">
        <f t="shared" si="478"/>
        <v>0</v>
      </c>
      <c r="O771" s="550"/>
      <c r="P771" s="548"/>
      <c r="Q771" s="548"/>
      <c r="R771" s="551">
        <f t="shared" si="479"/>
        <v>0</v>
      </c>
      <c r="S771" s="550"/>
      <c r="T771" s="548"/>
      <c r="U771" s="548"/>
      <c r="V771" s="551">
        <f t="shared" si="480"/>
        <v>0</v>
      </c>
      <c r="W771" s="550"/>
      <c r="X771" s="548"/>
      <c r="Y771" s="548"/>
      <c r="Z771" s="551">
        <f t="shared" si="481"/>
        <v>0</v>
      </c>
      <c r="AA771" s="550"/>
      <c r="AB771" s="548"/>
      <c r="AC771" s="548"/>
      <c r="AD771" s="551">
        <f t="shared" si="482"/>
        <v>0</v>
      </c>
      <c r="AE771" s="24"/>
      <c r="AF771" s="29"/>
    </row>
    <row r="772" spans="2:32" ht="14.25">
      <c r="B772" s="553" t="s">
        <v>653</v>
      </c>
      <c r="C772" s="547" t="s">
        <v>882</v>
      </c>
      <c r="D772" s="548"/>
      <c r="E772" s="548"/>
      <c r="F772" s="549">
        <f t="shared" si="476"/>
        <v>0</v>
      </c>
      <c r="G772" s="550"/>
      <c r="H772" s="548">
        <v>0.375</v>
      </c>
      <c r="I772" s="548">
        <v>0.625</v>
      </c>
      <c r="J772" s="551">
        <f t="shared" si="477"/>
        <v>6</v>
      </c>
      <c r="K772" s="550"/>
      <c r="L772" s="552"/>
      <c r="M772" s="548"/>
      <c r="N772" s="551">
        <f t="shared" si="478"/>
        <v>0</v>
      </c>
      <c r="O772" s="550"/>
      <c r="P772" s="548"/>
      <c r="Q772" s="548"/>
      <c r="R772" s="551">
        <f t="shared" si="479"/>
        <v>0</v>
      </c>
      <c r="S772" s="550"/>
      <c r="T772" s="548"/>
      <c r="U772" s="548"/>
      <c r="V772" s="551">
        <f t="shared" si="480"/>
        <v>0</v>
      </c>
      <c r="W772" s="550"/>
      <c r="X772" s="548"/>
      <c r="Y772" s="548"/>
      <c r="Z772" s="551">
        <f t="shared" si="481"/>
        <v>0</v>
      </c>
      <c r="AA772" s="550"/>
      <c r="AB772" s="548"/>
      <c r="AC772" s="548"/>
      <c r="AD772" s="551">
        <f t="shared" si="482"/>
        <v>0</v>
      </c>
      <c r="AE772" s="24"/>
      <c r="AF772" s="29">
        <f>J772+F772+N772+R772+V772+Z772+AD772</f>
        <v>6</v>
      </c>
    </row>
    <row r="773" spans="2:32" ht="14.25">
      <c r="B773" s="553" t="s">
        <v>54</v>
      </c>
      <c r="C773" s="547" t="s">
        <v>862</v>
      </c>
      <c r="D773" s="548"/>
      <c r="E773" s="548"/>
      <c r="F773" s="549">
        <f t="shared" ref="F773:F782" si="483">(E773-D773)*24</f>
        <v>0</v>
      </c>
      <c r="G773" s="550"/>
      <c r="H773" s="548"/>
      <c r="I773" s="548"/>
      <c r="J773" s="551">
        <f t="shared" ref="J773:J782" si="484">(I773-H773)*24</f>
        <v>0</v>
      </c>
      <c r="K773" s="550"/>
      <c r="L773" s="548">
        <v>0.375</v>
      </c>
      <c r="M773" s="548">
        <v>0.70833333333333337</v>
      </c>
      <c r="N773" s="551">
        <f t="shared" ref="N773:N782" si="485">(M773-L773)*24</f>
        <v>8</v>
      </c>
      <c r="O773" s="550"/>
      <c r="P773" s="548">
        <v>0.375</v>
      </c>
      <c r="Q773" s="548">
        <v>0.70833333333333337</v>
      </c>
      <c r="R773" s="551">
        <f t="shared" ref="R773:R782" si="486">(Q773-P773)*24</f>
        <v>8</v>
      </c>
      <c r="S773" s="550"/>
      <c r="T773" s="548">
        <v>0.375</v>
      </c>
      <c r="U773" s="548">
        <v>0.70833333333333337</v>
      </c>
      <c r="V773" s="551">
        <f t="shared" ref="V773:V782" si="487">(U773-T773)*24</f>
        <v>8</v>
      </c>
      <c r="W773" s="550"/>
      <c r="X773" s="548"/>
      <c r="Y773" s="548"/>
      <c r="Z773" s="551">
        <f t="shared" ref="Z773:Z782" si="488">(Y773-X773)*24</f>
        <v>0</v>
      </c>
      <c r="AA773" s="550"/>
      <c r="AB773" s="548"/>
      <c r="AC773" s="548"/>
      <c r="AD773" s="551">
        <f t="shared" ref="AD773:AD782" si="489">(AC773-AB773)*24</f>
        <v>0</v>
      </c>
      <c r="AE773" s="24"/>
      <c r="AF773" s="29">
        <f>J773+F773+N773+R773+V773+Z773+AD773</f>
        <v>24</v>
      </c>
    </row>
    <row r="774" spans="2:32" ht="14.25">
      <c r="B774" s="553" t="s">
        <v>653</v>
      </c>
      <c r="C774" s="547" t="s">
        <v>862</v>
      </c>
      <c r="D774" s="548"/>
      <c r="E774" s="548"/>
      <c r="F774" s="549">
        <f t="shared" si="483"/>
        <v>0</v>
      </c>
      <c r="G774" s="550"/>
      <c r="H774" s="548"/>
      <c r="I774" s="548"/>
      <c r="J774" s="551">
        <f t="shared" si="484"/>
        <v>0</v>
      </c>
      <c r="K774" s="550"/>
      <c r="L774" s="548">
        <v>0.375</v>
      </c>
      <c r="M774" s="548">
        <v>0.70833333333333337</v>
      </c>
      <c r="N774" s="551">
        <f t="shared" si="485"/>
        <v>8</v>
      </c>
      <c r="O774" s="550"/>
      <c r="P774" s="548">
        <v>0.375</v>
      </c>
      <c r="Q774" s="548">
        <v>0.70833333333333337</v>
      </c>
      <c r="R774" s="551">
        <f t="shared" si="486"/>
        <v>8</v>
      </c>
      <c r="S774" s="550"/>
      <c r="T774" s="548">
        <v>0.375</v>
      </c>
      <c r="U774" s="548">
        <v>0.70833333333333337</v>
      </c>
      <c r="V774" s="551">
        <f t="shared" si="487"/>
        <v>8</v>
      </c>
      <c r="W774" s="550"/>
      <c r="X774" s="548"/>
      <c r="Y774" s="548"/>
      <c r="Z774" s="551">
        <f t="shared" si="488"/>
        <v>0</v>
      </c>
      <c r="AA774" s="550"/>
      <c r="AB774" s="548"/>
      <c r="AC774" s="548"/>
      <c r="AD774" s="551">
        <f t="shared" si="489"/>
        <v>0</v>
      </c>
      <c r="AE774" s="24"/>
      <c r="AF774" s="29">
        <f>J774+F774+N774+R774+V774+Z774+AD774</f>
        <v>24</v>
      </c>
    </row>
    <row r="775" spans="2:32" ht="14.25">
      <c r="B775" s="553" t="s">
        <v>572</v>
      </c>
      <c r="C775" s="547" t="s">
        <v>862</v>
      </c>
      <c r="D775" s="548"/>
      <c r="E775" s="548"/>
      <c r="F775" s="549">
        <f t="shared" si="483"/>
        <v>0</v>
      </c>
      <c r="G775" s="550"/>
      <c r="H775" s="548"/>
      <c r="I775" s="548"/>
      <c r="J775" s="551">
        <f t="shared" si="484"/>
        <v>0</v>
      </c>
      <c r="K775" s="550"/>
      <c r="L775" s="548">
        <v>0.375</v>
      </c>
      <c r="M775" s="548">
        <v>0.70833333333333337</v>
      </c>
      <c r="N775" s="551">
        <f t="shared" si="485"/>
        <v>8</v>
      </c>
      <c r="O775" s="550"/>
      <c r="P775" s="548">
        <v>0.375</v>
      </c>
      <c r="Q775" s="548">
        <v>0.70833333333333337</v>
      </c>
      <c r="R775" s="551">
        <f t="shared" si="486"/>
        <v>8</v>
      </c>
      <c r="S775" s="550"/>
      <c r="T775" s="548">
        <v>0.375</v>
      </c>
      <c r="U775" s="548">
        <v>0.70833333333333337</v>
      </c>
      <c r="V775" s="551">
        <f t="shared" si="487"/>
        <v>8</v>
      </c>
      <c r="W775" s="550"/>
      <c r="X775" s="548"/>
      <c r="Y775" s="548"/>
      <c r="Z775" s="551">
        <f t="shared" si="488"/>
        <v>0</v>
      </c>
      <c r="AA775" s="550"/>
      <c r="AB775" s="548"/>
      <c r="AC775" s="548"/>
      <c r="AD775" s="551">
        <f t="shared" si="489"/>
        <v>0</v>
      </c>
      <c r="AE775" s="24"/>
      <c r="AF775" s="29"/>
    </row>
    <row r="776" spans="2:32" ht="14.25">
      <c r="B776" s="553" t="s">
        <v>42</v>
      </c>
      <c r="C776" s="547" t="s">
        <v>862</v>
      </c>
      <c r="D776" s="548"/>
      <c r="E776" s="548"/>
      <c r="F776" s="549">
        <f t="shared" si="483"/>
        <v>0</v>
      </c>
      <c r="G776" s="550"/>
      <c r="H776" s="548"/>
      <c r="I776" s="548"/>
      <c r="J776" s="551">
        <f t="shared" si="484"/>
        <v>0</v>
      </c>
      <c r="K776" s="550"/>
      <c r="L776" s="548">
        <v>0.375</v>
      </c>
      <c r="M776" s="548">
        <v>0.70833333333333337</v>
      </c>
      <c r="N776" s="551">
        <f t="shared" si="485"/>
        <v>8</v>
      </c>
      <c r="O776" s="550"/>
      <c r="P776" s="548">
        <v>0.375</v>
      </c>
      <c r="Q776" s="548">
        <v>0.70833333333333337</v>
      </c>
      <c r="R776" s="551">
        <f t="shared" si="486"/>
        <v>8</v>
      </c>
      <c r="S776" s="550"/>
      <c r="T776" s="548">
        <v>0.375</v>
      </c>
      <c r="U776" s="548">
        <v>0.70833333333333337</v>
      </c>
      <c r="V776" s="551">
        <f t="shared" si="487"/>
        <v>8</v>
      </c>
      <c r="W776" s="550"/>
      <c r="X776" s="548"/>
      <c r="Y776" s="548"/>
      <c r="Z776" s="551">
        <f t="shared" si="488"/>
        <v>0</v>
      </c>
      <c r="AA776" s="550"/>
      <c r="AB776" s="548"/>
      <c r="AC776" s="548"/>
      <c r="AD776" s="551">
        <f t="shared" si="489"/>
        <v>0</v>
      </c>
      <c r="AE776" s="24"/>
      <c r="AF776" s="29"/>
    </row>
    <row r="777" spans="2:32" ht="14.25">
      <c r="B777" s="676" t="s">
        <v>883</v>
      </c>
      <c r="C777" s="547" t="s">
        <v>862</v>
      </c>
      <c r="D777" s="548"/>
      <c r="E777" s="548"/>
      <c r="F777" s="549">
        <f t="shared" si="483"/>
        <v>0</v>
      </c>
      <c r="G777" s="550"/>
      <c r="H777" s="548"/>
      <c r="I777" s="548"/>
      <c r="J777" s="551">
        <f t="shared" si="484"/>
        <v>0</v>
      </c>
      <c r="K777" s="550"/>
      <c r="L777" s="552"/>
      <c r="M777" s="548"/>
      <c r="N777" s="551">
        <f t="shared" si="485"/>
        <v>0</v>
      </c>
      <c r="O777" s="550"/>
      <c r="P777" s="548"/>
      <c r="Q777" s="548"/>
      <c r="R777" s="551">
        <f t="shared" si="486"/>
        <v>0</v>
      </c>
      <c r="S777" s="550"/>
      <c r="T777" s="548"/>
      <c r="U777" s="548"/>
      <c r="V777" s="551">
        <f t="shared" si="487"/>
        <v>0</v>
      </c>
      <c r="W777" s="550"/>
      <c r="X777" s="548"/>
      <c r="Y777" s="548"/>
      <c r="Z777" s="551">
        <f t="shared" si="488"/>
        <v>0</v>
      </c>
      <c r="AA777" s="550"/>
      <c r="AB777" s="548"/>
      <c r="AC777" s="548"/>
      <c r="AD777" s="551">
        <f t="shared" si="489"/>
        <v>0</v>
      </c>
      <c r="AE777" s="24"/>
      <c r="AF777" s="29"/>
    </row>
    <row r="778" spans="2:32" ht="14.25">
      <c r="B778" s="676" t="s">
        <v>637</v>
      </c>
      <c r="C778" s="547" t="s">
        <v>862</v>
      </c>
      <c r="D778" s="548"/>
      <c r="E778" s="548"/>
      <c r="F778" s="549">
        <f t="shared" si="483"/>
        <v>0</v>
      </c>
      <c r="G778" s="550"/>
      <c r="H778" s="548"/>
      <c r="I778" s="548"/>
      <c r="J778" s="551">
        <f t="shared" si="484"/>
        <v>0</v>
      </c>
      <c r="K778" s="550"/>
      <c r="L778" s="552"/>
      <c r="M778" s="548"/>
      <c r="N778" s="551">
        <f t="shared" si="485"/>
        <v>0</v>
      </c>
      <c r="O778" s="550"/>
      <c r="P778" s="548"/>
      <c r="Q778" s="548"/>
      <c r="R778" s="551">
        <f t="shared" si="486"/>
        <v>0</v>
      </c>
      <c r="S778" s="550"/>
      <c r="T778" s="548"/>
      <c r="U778" s="548"/>
      <c r="V778" s="551">
        <f t="shared" si="487"/>
        <v>0</v>
      </c>
      <c r="W778" s="550"/>
      <c r="X778" s="548"/>
      <c r="Y778" s="548"/>
      <c r="Z778" s="551">
        <f t="shared" si="488"/>
        <v>0</v>
      </c>
      <c r="AA778" s="550"/>
      <c r="AB778" s="548"/>
      <c r="AC778" s="548"/>
      <c r="AD778" s="551">
        <f t="shared" si="489"/>
        <v>0</v>
      </c>
      <c r="AE778" s="24"/>
      <c r="AF778" s="29">
        <f>J778+F778+N778+R778+V778+Z778+AD778</f>
        <v>0</v>
      </c>
    </row>
    <row r="779" spans="2:32" ht="14.25">
      <c r="B779" s="676" t="s">
        <v>582</v>
      </c>
      <c r="C779" s="547" t="s">
        <v>862</v>
      </c>
      <c r="D779" s="548"/>
      <c r="E779" s="548"/>
      <c r="F779" s="549">
        <f t="shared" si="483"/>
        <v>0</v>
      </c>
      <c r="G779" s="550"/>
      <c r="H779" s="548"/>
      <c r="I779" s="548"/>
      <c r="J779" s="551">
        <f t="shared" si="484"/>
        <v>0</v>
      </c>
      <c r="K779" s="550"/>
      <c r="L779" s="552"/>
      <c r="M779" s="548"/>
      <c r="N779" s="551">
        <f t="shared" si="485"/>
        <v>0</v>
      </c>
      <c r="O779" s="550"/>
      <c r="P779" s="548"/>
      <c r="Q779" s="548"/>
      <c r="R779" s="551">
        <f t="shared" si="486"/>
        <v>0</v>
      </c>
      <c r="S779" s="550"/>
      <c r="T779" s="548"/>
      <c r="U779" s="548"/>
      <c r="V779" s="551">
        <f t="shared" si="487"/>
        <v>0</v>
      </c>
      <c r="W779" s="550"/>
      <c r="X779" s="548"/>
      <c r="Y779" s="548"/>
      <c r="Z779" s="551">
        <f t="shared" si="488"/>
        <v>0</v>
      </c>
      <c r="AA779" s="550"/>
      <c r="AB779" s="548"/>
      <c r="AC779" s="548"/>
      <c r="AD779" s="551">
        <f t="shared" si="489"/>
        <v>0</v>
      </c>
      <c r="AE779" s="24"/>
      <c r="AF779" s="29"/>
    </row>
    <row r="780" spans="2:32" ht="14.25">
      <c r="B780" s="553" t="s">
        <v>603</v>
      </c>
      <c r="C780" s="547" t="s">
        <v>884</v>
      </c>
      <c r="D780" s="548"/>
      <c r="E780" s="548"/>
      <c r="F780" s="549">
        <f t="shared" si="483"/>
        <v>0</v>
      </c>
      <c r="G780" s="550"/>
      <c r="H780" s="548"/>
      <c r="I780" s="548"/>
      <c r="J780" s="551">
        <f t="shared" si="484"/>
        <v>0</v>
      </c>
      <c r="K780" s="550"/>
      <c r="L780" s="552"/>
      <c r="M780" s="548"/>
      <c r="N780" s="551">
        <f t="shared" si="485"/>
        <v>0</v>
      </c>
      <c r="O780" s="550"/>
      <c r="P780" s="548"/>
      <c r="Q780" s="548"/>
      <c r="R780" s="551">
        <f t="shared" si="486"/>
        <v>0</v>
      </c>
      <c r="S780" s="550"/>
      <c r="T780" s="548">
        <v>0.41666666666666669</v>
      </c>
      <c r="U780" s="548"/>
      <c r="V780" s="551">
        <f t="shared" si="487"/>
        <v>-10</v>
      </c>
      <c r="W780" s="550"/>
      <c r="X780" s="548"/>
      <c r="Y780" s="548"/>
      <c r="Z780" s="551">
        <f t="shared" si="488"/>
        <v>0</v>
      </c>
      <c r="AA780" s="550"/>
      <c r="AB780" s="548"/>
      <c r="AC780" s="548"/>
      <c r="AD780" s="551">
        <f t="shared" si="489"/>
        <v>0</v>
      </c>
      <c r="AE780" s="24"/>
      <c r="AF780" s="29">
        <f>J780+F780+N780+R780+V780+Z780+AD780</f>
        <v>-10</v>
      </c>
    </row>
    <row r="781" spans="2:32" ht="14.25">
      <c r="B781" s="553" t="s">
        <v>54</v>
      </c>
      <c r="C781" s="547"/>
      <c r="D781" s="548"/>
      <c r="E781" s="548"/>
      <c r="F781" s="549">
        <f t="shared" si="483"/>
        <v>0</v>
      </c>
      <c r="G781" s="550"/>
      <c r="H781" s="548"/>
      <c r="I781" s="548"/>
      <c r="J781" s="551">
        <f t="shared" si="484"/>
        <v>0</v>
      </c>
      <c r="K781" s="550"/>
      <c r="L781" s="552"/>
      <c r="M781" s="548"/>
      <c r="N781" s="551">
        <f t="shared" si="485"/>
        <v>0</v>
      </c>
      <c r="O781" s="550"/>
      <c r="P781" s="548"/>
      <c r="Q781" s="548"/>
      <c r="R781" s="551">
        <f t="shared" si="486"/>
        <v>0</v>
      </c>
      <c r="S781" s="550"/>
      <c r="T781" s="548"/>
      <c r="U781" s="548"/>
      <c r="V781" s="551">
        <f t="shared" si="487"/>
        <v>0</v>
      </c>
      <c r="W781" s="550"/>
      <c r="X781" s="548"/>
      <c r="Y781" s="548"/>
      <c r="Z781" s="551">
        <f t="shared" si="488"/>
        <v>0</v>
      </c>
      <c r="AA781" s="550"/>
      <c r="AB781" s="548"/>
      <c r="AC781" s="548"/>
      <c r="AD781" s="551">
        <f t="shared" si="489"/>
        <v>0</v>
      </c>
      <c r="AE781" s="24"/>
      <c r="AF781" s="29"/>
    </row>
    <row r="782" spans="2:32" ht="14.25">
      <c r="B782" s="553" t="s">
        <v>572</v>
      </c>
      <c r="C782" s="637"/>
      <c r="D782" s="548"/>
      <c r="E782" s="548"/>
      <c r="F782" s="549">
        <f t="shared" si="483"/>
        <v>0</v>
      </c>
      <c r="G782" s="550"/>
      <c r="H782" s="548"/>
      <c r="I782" s="548"/>
      <c r="J782" s="551">
        <f t="shared" si="484"/>
        <v>0</v>
      </c>
      <c r="K782" s="550"/>
      <c r="L782" s="552"/>
      <c r="M782" s="548"/>
      <c r="N782" s="551">
        <f t="shared" si="485"/>
        <v>0</v>
      </c>
      <c r="O782" s="550"/>
      <c r="P782" s="548"/>
      <c r="Q782" s="548"/>
      <c r="R782" s="551">
        <f t="shared" si="486"/>
        <v>0</v>
      </c>
      <c r="S782" s="550"/>
      <c r="T782" s="548"/>
      <c r="U782" s="548"/>
      <c r="V782" s="551">
        <f t="shared" si="487"/>
        <v>0</v>
      </c>
      <c r="W782" s="550"/>
      <c r="X782" s="548"/>
      <c r="Y782" s="548"/>
      <c r="Z782" s="551">
        <f t="shared" si="488"/>
        <v>0</v>
      </c>
      <c r="AA782" s="550"/>
      <c r="AB782" s="548"/>
      <c r="AC782" s="548"/>
      <c r="AD782" s="551">
        <f t="shared" si="489"/>
        <v>0</v>
      </c>
      <c r="AE782" s="24"/>
      <c r="AF782" s="29">
        <f>J782+F782+N782+R782+V782+Z782+AD782</f>
        <v>0</v>
      </c>
    </row>
    <row r="783" spans="2:32" ht="14.25">
      <c r="B783" s="668" t="s">
        <v>72</v>
      </c>
      <c r="C783" s="669" t="s">
        <v>885</v>
      </c>
      <c r="D783" s="548"/>
      <c r="E783" s="548"/>
      <c r="F783" s="549">
        <f t="shared" si="476"/>
        <v>0</v>
      </c>
      <c r="G783" s="550"/>
      <c r="H783" s="548"/>
      <c r="I783" s="548"/>
      <c r="J783" s="551">
        <f t="shared" si="477"/>
        <v>0</v>
      </c>
      <c r="K783" s="550"/>
      <c r="L783" s="552"/>
      <c r="M783" s="548"/>
      <c r="N783" s="551">
        <f t="shared" si="478"/>
        <v>0</v>
      </c>
      <c r="O783" s="550"/>
      <c r="P783" s="548"/>
      <c r="Q783" s="548"/>
      <c r="R783" s="551">
        <f t="shared" si="479"/>
        <v>0</v>
      </c>
      <c r="S783" s="550"/>
      <c r="T783" s="548"/>
      <c r="U783" s="548"/>
      <c r="V783" s="551">
        <f t="shared" si="480"/>
        <v>0</v>
      </c>
      <c r="W783" s="550"/>
      <c r="X783" s="548"/>
      <c r="Y783" s="548"/>
      <c r="Z783" s="551">
        <f t="shared" si="481"/>
        <v>0</v>
      </c>
      <c r="AA783" s="550"/>
      <c r="AB783" s="548">
        <v>0.29166666666666669</v>
      </c>
      <c r="AC783" s="548">
        <v>0.58333333333333337</v>
      </c>
      <c r="AD783" s="551">
        <f t="shared" si="482"/>
        <v>7</v>
      </c>
      <c r="AE783" s="24"/>
      <c r="AF783" s="29">
        <f>J783+F783+N783+R783+V783+Z783+AD783</f>
        <v>7</v>
      </c>
    </row>
    <row r="784" spans="2:32" ht="14.25">
      <c r="B784" s="668" t="s">
        <v>52</v>
      </c>
      <c r="C784" s="669" t="s">
        <v>885</v>
      </c>
      <c r="D784" s="548"/>
      <c r="E784" s="548"/>
      <c r="F784" s="549">
        <f t="shared" si="476"/>
        <v>0</v>
      </c>
      <c r="G784" s="550"/>
      <c r="H784" s="548"/>
      <c r="I784" s="548"/>
      <c r="J784" s="551">
        <f t="shared" si="477"/>
        <v>0</v>
      </c>
      <c r="K784" s="550"/>
      <c r="L784" s="552"/>
      <c r="M784" s="548"/>
      <c r="N784" s="551">
        <f t="shared" si="478"/>
        <v>0</v>
      </c>
      <c r="O784" s="550"/>
      <c r="P784" s="548"/>
      <c r="Q784" s="548"/>
      <c r="R784" s="551">
        <f t="shared" si="479"/>
        <v>0</v>
      </c>
      <c r="S784" s="550"/>
      <c r="T784" s="548"/>
      <c r="U784" s="548"/>
      <c r="V784" s="551">
        <f t="shared" si="480"/>
        <v>0</v>
      </c>
      <c r="W784" s="550"/>
      <c r="X784" s="670">
        <v>0.5</v>
      </c>
      <c r="Y784" s="671">
        <v>0.83333333333333337</v>
      </c>
      <c r="Z784" s="551">
        <f t="shared" si="481"/>
        <v>8</v>
      </c>
      <c r="AA784" s="550"/>
      <c r="AB784" s="548"/>
      <c r="AC784" s="548"/>
      <c r="AD784" s="551">
        <f t="shared" si="482"/>
        <v>0</v>
      </c>
      <c r="AE784" s="24"/>
      <c r="AF784" s="29"/>
    </row>
    <row r="785" spans="2:32" ht="14.25">
      <c r="B785" s="553" t="s">
        <v>813</v>
      </c>
      <c r="C785" s="547"/>
      <c r="D785" s="548"/>
      <c r="E785" s="548"/>
      <c r="F785" s="549">
        <f t="shared" si="476"/>
        <v>0</v>
      </c>
      <c r="G785" s="550"/>
      <c r="H785" s="548"/>
      <c r="I785" s="548"/>
      <c r="J785" s="551">
        <f t="shared" si="477"/>
        <v>0</v>
      </c>
      <c r="K785" s="550"/>
      <c r="L785" s="552"/>
      <c r="M785" s="548"/>
      <c r="N785" s="551">
        <f t="shared" si="478"/>
        <v>0</v>
      </c>
      <c r="O785" s="550"/>
      <c r="P785" s="548"/>
      <c r="Q785" s="548"/>
      <c r="R785" s="551">
        <f t="shared" si="479"/>
        <v>0</v>
      </c>
      <c r="S785" s="550"/>
      <c r="T785" s="548"/>
      <c r="U785" s="548"/>
      <c r="V785" s="551">
        <f t="shared" si="480"/>
        <v>0</v>
      </c>
      <c r="W785" s="550"/>
      <c r="X785" s="548"/>
      <c r="Y785" s="548"/>
      <c r="Z785" s="551">
        <f t="shared" si="481"/>
        <v>0</v>
      </c>
      <c r="AA785" s="550"/>
      <c r="AB785" s="548"/>
      <c r="AC785" s="548"/>
      <c r="AD785" s="551">
        <f t="shared" si="482"/>
        <v>0</v>
      </c>
      <c r="AE785" s="24"/>
      <c r="AF785" s="29"/>
    </row>
    <row r="786" spans="2:32" ht="14.25">
      <c r="B786" s="553" t="s">
        <v>576</v>
      </c>
      <c r="C786" s="637"/>
      <c r="D786" s="548"/>
      <c r="E786" s="548"/>
      <c r="F786" s="549">
        <f>(E786-D786)*24</f>
        <v>0</v>
      </c>
      <c r="G786" s="550"/>
      <c r="H786" s="548"/>
      <c r="I786" s="548"/>
      <c r="J786" s="551">
        <f>(I786-H786)*24</f>
        <v>0</v>
      </c>
      <c r="K786" s="550"/>
      <c r="L786" s="552"/>
      <c r="M786" s="548"/>
      <c r="N786" s="551">
        <f>(M786-L786)*24</f>
        <v>0</v>
      </c>
      <c r="O786" s="550"/>
      <c r="P786" s="548"/>
      <c r="Q786" s="548"/>
      <c r="R786" s="551">
        <f>(Q786-P786)*24</f>
        <v>0</v>
      </c>
      <c r="S786" s="550"/>
      <c r="T786" s="548"/>
      <c r="U786" s="548"/>
      <c r="V786" s="551">
        <f>(U786-T786)*24</f>
        <v>0</v>
      </c>
      <c r="W786" s="550"/>
      <c r="X786" s="548"/>
      <c r="Y786" s="548"/>
      <c r="Z786" s="551">
        <f>(Y786-X786)*24</f>
        <v>0</v>
      </c>
      <c r="AA786" s="550"/>
      <c r="AB786" s="548"/>
      <c r="AC786" s="548"/>
      <c r="AD786" s="551">
        <f>(AC786-AB786)*24</f>
        <v>0</v>
      </c>
      <c r="AE786" s="24"/>
      <c r="AF786" s="29">
        <f>J786+F786+N786+R786+V786+Z786+AD786</f>
        <v>0</v>
      </c>
    </row>
    <row r="787" spans="2:32" ht="14.25">
      <c r="B787" s="553" t="s">
        <v>603</v>
      </c>
      <c r="C787" s="637"/>
      <c r="D787" s="548"/>
      <c r="E787" s="548"/>
      <c r="F787" s="549">
        <f t="shared" si="476"/>
        <v>0</v>
      </c>
      <c r="G787" s="550"/>
      <c r="H787" s="548"/>
      <c r="I787" s="548"/>
      <c r="J787" s="551">
        <f t="shared" si="477"/>
        <v>0</v>
      </c>
      <c r="K787" s="550"/>
      <c r="L787" s="552"/>
      <c r="M787" s="548"/>
      <c r="N787" s="551">
        <f t="shared" si="478"/>
        <v>0</v>
      </c>
      <c r="O787" s="550"/>
      <c r="P787" s="548"/>
      <c r="Q787" s="548"/>
      <c r="R787" s="551">
        <f t="shared" si="479"/>
        <v>0</v>
      </c>
      <c r="S787" s="550"/>
      <c r="T787" s="548"/>
      <c r="U787" s="548"/>
      <c r="V787" s="551">
        <f t="shared" si="480"/>
        <v>0</v>
      </c>
      <c r="W787" s="550"/>
      <c r="X787" s="548"/>
      <c r="Y787" s="548"/>
      <c r="Z787" s="551">
        <f t="shared" si="481"/>
        <v>0</v>
      </c>
      <c r="AA787" s="550"/>
      <c r="AB787" s="548"/>
      <c r="AC787" s="548"/>
      <c r="AD787" s="551">
        <f t="shared" si="482"/>
        <v>0</v>
      </c>
      <c r="AE787" s="24"/>
      <c r="AF787" s="29">
        <f>J787+F787+N787+R787+V787+Z787+AD787</f>
        <v>0</v>
      </c>
    </row>
    <row r="788" spans="2:32" ht="14.25">
      <c r="B788" s="554" t="s">
        <v>61</v>
      </c>
      <c r="C788" s="554"/>
      <c r="D788" s="548"/>
      <c r="E788" s="548"/>
      <c r="F788" s="549">
        <f t="shared" si="476"/>
        <v>0</v>
      </c>
      <c r="G788" s="550"/>
      <c r="H788" s="548"/>
      <c r="I788" s="548"/>
      <c r="J788" s="551">
        <f t="shared" si="477"/>
        <v>0</v>
      </c>
      <c r="K788" s="550"/>
      <c r="L788" s="552"/>
      <c r="M788" s="548"/>
      <c r="N788" s="551">
        <f t="shared" si="478"/>
        <v>0</v>
      </c>
      <c r="O788" s="550"/>
      <c r="P788" s="548"/>
      <c r="Q788" s="548"/>
      <c r="R788" s="551">
        <f t="shared" si="479"/>
        <v>0</v>
      </c>
      <c r="S788" s="550"/>
      <c r="T788" s="548"/>
      <c r="U788" s="548"/>
      <c r="V788" s="551">
        <f t="shared" si="480"/>
        <v>0</v>
      </c>
      <c r="W788" s="550"/>
      <c r="X788" s="548"/>
      <c r="Y788" s="548"/>
      <c r="Z788" s="551">
        <f t="shared" si="481"/>
        <v>0</v>
      </c>
      <c r="AA788" s="550"/>
      <c r="AB788" s="548"/>
      <c r="AC788" s="548"/>
      <c r="AD788" s="551">
        <f t="shared" si="482"/>
        <v>0</v>
      </c>
      <c r="AE788" s="24"/>
      <c r="AF788" s="29">
        <f>J788+F788+N788+R788+V788+Z788+AD788</f>
        <v>0</v>
      </c>
    </row>
    <row r="789" spans="2:32">
      <c r="B789" s="31" t="s">
        <v>577</v>
      </c>
      <c r="C789" s="31"/>
      <c r="D789" s="91"/>
      <c r="E789" s="91"/>
      <c r="F789" s="90"/>
      <c r="G789" s="91"/>
      <c r="H789" s="91"/>
      <c r="I789" s="91"/>
      <c r="J789" s="90"/>
      <c r="K789" s="91"/>
      <c r="L789" s="430"/>
      <c r="M789" s="91"/>
      <c r="N789" s="90"/>
      <c r="O789" s="91"/>
      <c r="P789" s="91"/>
      <c r="Q789" s="91"/>
      <c r="R789" s="90"/>
      <c r="S789" s="91"/>
      <c r="T789" s="91"/>
      <c r="U789" s="91"/>
      <c r="V789" s="90"/>
      <c r="W789" s="91"/>
      <c r="X789" s="91"/>
      <c r="Y789" s="91"/>
      <c r="Z789" s="90"/>
      <c r="AA789" s="91"/>
      <c r="AB789" s="91"/>
      <c r="AC789" s="91"/>
      <c r="AD789" s="91"/>
      <c r="AE789" s="352"/>
      <c r="AF789" s="28"/>
    </row>
    <row r="790" spans="2:32">
      <c r="B790" s="31" t="s">
        <v>578</v>
      </c>
      <c r="C790" s="31"/>
      <c r="D790" s="91"/>
      <c r="E790" s="91"/>
      <c r="F790" s="90"/>
      <c r="G790" s="91"/>
      <c r="H790" s="91"/>
      <c r="I790" s="91"/>
      <c r="J790" s="90"/>
      <c r="K790" s="91"/>
      <c r="L790" s="430"/>
      <c r="M790" s="91"/>
      <c r="N790" s="90"/>
      <c r="O790" s="91"/>
      <c r="P790" s="91"/>
      <c r="Q790" s="91"/>
      <c r="R790" s="90"/>
      <c r="S790" s="91"/>
      <c r="T790" s="91"/>
      <c r="U790" s="91"/>
      <c r="V790" s="90"/>
      <c r="W790" s="91"/>
      <c r="X790" s="91"/>
      <c r="Y790" s="91"/>
      <c r="Z790" s="90"/>
      <c r="AA790" s="91"/>
      <c r="AB790" s="91"/>
      <c r="AC790" s="91"/>
      <c r="AD790" s="91"/>
      <c r="AE790" s="352"/>
      <c r="AF790" s="28">
        <f>SUM(D790:AD790)</f>
        <v>0</v>
      </c>
    </row>
    <row r="791" spans="2:32" ht="14.25" thickBot="1">
      <c r="B791" s="74" t="s">
        <v>579</v>
      </c>
      <c r="C791" s="74"/>
      <c r="D791" s="95"/>
      <c r="E791" s="95"/>
      <c r="F791" s="96"/>
      <c r="G791" s="95"/>
      <c r="H791" s="95"/>
      <c r="I791" s="95"/>
      <c r="J791" s="96"/>
      <c r="K791" s="95"/>
      <c r="L791" s="431"/>
      <c r="M791" s="95"/>
      <c r="N791" s="96"/>
      <c r="O791" s="95"/>
      <c r="P791" s="95"/>
      <c r="Q791" s="95"/>
      <c r="R791" s="96"/>
      <c r="S791" s="95"/>
      <c r="T791" s="95"/>
      <c r="U791" s="95"/>
      <c r="V791" s="96"/>
      <c r="W791" s="97"/>
      <c r="X791" s="97"/>
      <c r="Y791" s="97"/>
      <c r="Z791" s="96"/>
      <c r="AA791" s="97"/>
      <c r="AB791" s="97"/>
      <c r="AC791" s="97"/>
      <c r="AD791" s="97"/>
      <c r="AE791" s="97"/>
      <c r="AF791" s="80">
        <f>SUM(D791:AD791)</f>
        <v>0</v>
      </c>
    </row>
    <row r="792" spans="2:32" ht="13.9" customHeight="1" thickTop="1">
      <c r="B792" s="1518" t="s">
        <v>18</v>
      </c>
      <c r="C792" s="1528" t="s">
        <v>571</v>
      </c>
      <c r="D792" s="1524">
        <v>45607</v>
      </c>
      <c r="E792" s="1524"/>
      <c r="F792" s="1524"/>
      <c r="G792" s="22"/>
      <c r="H792" s="1524">
        <f>D792+1</f>
        <v>45608</v>
      </c>
      <c r="I792" s="1524"/>
      <c r="J792" s="1524"/>
      <c r="K792" s="22"/>
      <c r="L792" s="1524">
        <f>H792+1</f>
        <v>45609</v>
      </c>
      <c r="M792" s="1524"/>
      <c r="N792" s="1524"/>
      <c r="P792" s="1524">
        <f>L792+1</f>
        <v>45610</v>
      </c>
      <c r="Q792" s="1524"/>
      <c r="R792" s="1524"/>
      <c r="T792" s="1524">
        <f>P792+1</f>
        <v>45611</v>
      </c>
      <c r="U792" s="1524"/>
      <c r="V792" s="1524"/>
      <c r="W792" s="22"/>
      <c r="X792" s="1524">
        <f>T792+1</f>
        <v>45612</v>
      </c>
      <c r="Y792" s="1524"/>
      <c r="Z792" s="1524"/>
      <c r="AB792" s="1524">
        <f>X792+1</f>
        <v>45613</v>
      </c>
      <c r="AC792" s="1524"/>
      <c r="AD792" s="1524"/>
      <c r="AE792" s="22"/>
      <c r="AF792" s="1517" t="s">
        <v>19</v>
      </c>
    </row>
    <row r="793" spans="2:32">
      <c r="B793" s="1518"/>
      <c r="C793" s="1528"/>
      <c r="D793" s="21" t="s">
        <v>23</v>
      </c>
      <c r="E793" s="21" t="s">
        <v>24</v>
      </c>
      <c r="F793" s="62" t="s">
        <v>25</v>
      </c>
      <c r="G793" s="23"/>
      <c r="H793" s="21" t="s">
        <v>23</v>
      </c>
      <c r="I793" s="21" t="s">
        <v>24</v>
      </c>
      <c r="J793" s="18" t="s">
        <v>25</v>
      </c>
      <c r="K793" s="23"/>
      <c r="L793" s="21" t="s">
        <v>23</v>
      </c>
      <c r="M793" s="21" t="s">
        <v>24</v>
      </c>
      <c r="N793" s="18" t="s">
        <v>25</v>
      </c>
      <c r="O793" s="23"/>
      <c r="P793" s="21" t="s">
        <v>23</v>
      </c>
      <c r="Q793" s="21" t="s">
        <v>24</v>
      </c>
      <c r="R793" s="18" t="s">
        <v>25</v>
      </c>
      <c r="S793" s="23"/>
      <c r="T793" s="21" t="s">
        <v>23</v>
      </c>
      <c r="U793" s="21" t="s">
        <v>24</v>
      </c>
      <c r="V793" s="18" t="s">
        <v>25</v>
      </c>
      <c r="W793" s="23"/>
      <c r="X793" s="21" t="s">
        <v>23</v>
      </c>
      <c r="Y793" s="21" t="s">
        <v>24</v>
      </c>
      <c r="Z793" s="18" t="s">
        <v>25</v>
      </c>
      <c r="AA793" s="23"/>
      <c r="AB793" s="21" t="s">
        <v>23</v>
      </c>
      <c r="AC793" s="21" t="s">
        <v>24</v>
      </c>
      <c r="AD793" s="18" t="s">
        <v>25</v>
      </c>
      <c r="AE793" s="23"/>
      <c r="AF793" s="1517"/>
    </row>
    <row r="794" spans="2:32" ht="14.25">
      <c r="B794" s="668" t="s">
        <v>72</v>
      </c>
      <c r="C794" s="669" t="s">
        <v>885</v>
      </c>
      <c r="D794" s="548"/>
      <c r="E794" s="548"/>
      <c r="F794" s="549">
        <f t="shared" ref="F794:F805" si="490">(E794-D794)*24</f>
        <v>0</v>
      </c>
      <c r="G794" s="550"/>
      <c r="H794" s="548"/>
      <c r="I794" s="548"/>
      <c r="J794" s="551">
        <f t="shared" ref="J794:J805" si="491">(I794-H794)*24</f>
        <v>0</v>
      </c>
      <c r="K794" s="550"/>
      <c r="L794" s="552"/>
      <c r="M794" s="548"/>
      <c r="N794" s="551">
        <f t="shared" ref="N794:N805" si="492">(M794-L794)*24</f>
        <v>0</v>
      </c>
      <c r="O794" s="550"/>
      <c r="P794" s="548"/>
      <c r="Q794" s="548"/>
      <c r="R794" s="551">
        <f t="shared" ref="R794:R805" si="493">(Q794-P794)*24</f>
        <v>0</v>
      </c>
      <c r="S794" s="550"/>
      <c r="T794" s="548"/>
      <c r="U794" s="548"/>
      <c r="V794" s="551">
        <f t="shared" ref="V794:V805" si="494">(U794-T794)*24</f>
        <v>0</v>
      </c>
      <c r="W794" s="550"/>
      <c r="X794" s="548"/>
      <c r="Y794" s="548"/>
      <c r="Z794" s="551">
        <f t="shared" ref="Z794:Z805" si="495">(Y794-X794)*24</f>
        <v>0</v>
      </c>
      <c r="AA794" s="550"/>
      <c r="AB794" s="548">
        <v>0.375</v>
      </c>
      <c r="AC794" s="548">
        <v>0.5</v>
      </c>
      <c r="AD794" s="551">
        <f t="shared" ref="AD794:AD805" si="496">(AC794-AB794)*24</f>
        <v>3</v>
      </c>
      <c r="AE794" s="24"/>
      <c r="AF794" s="29">
        <f>J794+F794+N794+R794+V794+Z794+AD794</f>
        <v>3</v>
      </c>
    </row>
    <row r="795" spans="2:32" ht="14.25">
      <c r="B795" s="668" t="s">
        <v>52</v>
      </c>
      <c r="C795" s="669" t="s">
        <v>885</v>
      </c>
      <c r="D795" s="548"/>
      <c r="E795" s="548"/>
      <c r="F795" s="549">
        <f t="shared" si="490"/>
        <v>0</v>
      </c>
      <c r="G795" s="550"/>
      <c r="H795" s="548"/>
      <c r="I795" s="548"/>
      <c r="J795" s="551">
        <f t="shared" si="491"/>
        <v>0</v>
      </c>
      <c r="K795" s="550"/>
      <c r="L795" s="552"/>
      <c r="M795" s="548"/>
      <c r="N795" s="551">
        <f t="shared" si="492"/>
        <v>0</v>
      </c>
      <c r="O795" s="550"/>
      <c r="P795" s="548"/>
      <c r="Q795" s="548"/>
      <c r="R795" s="551">
        <f t="shared" si="493"/>
        <v>0</v>
      </c>
      <c r="S795" s="550"/>
      <c r="T795" s="548"/>
      <c r="U795" s="548"/>
      <c r="V795" s="551">
        <f t="shared" si="494"/>
        <v>0</v>
      </c>
      <c r="W795" s="550"/>
      <c r="X795" s="670">
        <v>0.33333333333333331</v>
      </c>
      <c r="Y795" s="671">
        <v>0.75</v>
      </c>
      <c r="Z795" s="551">
        <f t="shared" si="495"/>
        <v>10</v>
      </c>
      <c r="AA795" s="550"/>
      <c r="AB795" s="548"/>
      <c r="AC795" s="548"/>
      <c r="AD795" s="551">
        <f t="shared" si="496"/>
        <v>0</v>
      </c>
      <c r="AE795" s="24"/>
      <c r="AF795" s="29">
        <f>J795+F795+N795+R795+V795+Z795+AD795</f>
        <v>10</v>
      </c>
    </row>
    <row r="796" spans="2:32" ht="14.25">
      <c r="B796" s="553"/>
      <c r="C796" s="547"/>
      <c r="D796" s="548"/>
      <c r="E796" s="548"/>
      <c r="F796" s="549">
        <f t="shared" si="490"/>
        <v>0</v>
      </c>
      <c r="G796" s="550"/>
      <c r="H796" s="548"/>
      <c r="I796" s="548"/>
      <c r="J796" s="551">
        <f t="shared" si="491"/>
        <v>0</v>
      </c>
      <c r="K796" s="550"/>
      <c r="L796" s="552"/>
      <c r="M796" s="548"/>
      <c r="N796" s="551">
        <f t="shared" si="492"/>
        <v>0</v>
      </c>
      <c r="O796" s="550"/>
      <c r="P796" s="548"/>
      <c r="Q796" s="548"/>
      <c r="R796" s="551">
        <f t="shared" si="493"/>
        <v>0</v>
      </c>
      <c r="S796" s="550"/>
      <c r="T796" s="548"/>
      <c r="U796" s="548"/>
      <c r="V796" s="551">
        <f t="shared" si="494"/>
        <v>0</v>
      </c>
      <c r="W796" s="550"/>
      <c r="X796" s="548"/>
      <c r="Y796" s="548"/>
      <c r="Z796" s="551">
        <f t="shared" si="495"/>
        <v>0</v>
      </c>
      <c r="AA796" s="550"/>
      <c r="AB796" s="548"/>
      <c r="AC796" s="548"/>
      <c r="AD796" s="551">
        <f t="shared" si="496"/>
        <v>0</v>
      </c>
      <c r="AE796" s="24"/>
      <c r="AF796" s="29">
        <f>J796+F796+N796+R796+V796+Z796+AD796</f>
        <v>0</v>
      </c>
    </row>
    <row r="797" spans="2:32" ht="14.25">
      <c r="B797" s="553"/>
      <c r="C797" s="547"/>
      <c r="D797" s="548"/>
      <c r="E797" s="548"/>
      <c r="F797" s="549">
        <f t="shared" si="490"/>
        <v>0</v>
      </c>
      <c r="G797" s="550"/>
      <c r="H797" s="548"/>
      <c r="I797" s="548"/>
      <c r="J797" s="551">
        <f t="shared" si="491"/>
        <v>0</v>
      </c>
      <c r="K797" s="550"/>
      <c r="L797" s="552"/>
      <c r="M797" s="548"/>
      <c r="N797" s="551">
        <f t="shared" si="492"/>
        <v>0</v>
      </c>
      <c r="O797" s="550"/>
      <c r="P797" s="548"/>
      <c r="Q797" s="548"/>
      <c r="R797" s="551">
        <f t="shared" si="493"/>
        <v>0</v>
      </c>
      <c r="S797" s="550"/>
      <c r="T797" s="548"/>
      <c r="U797" s="548"/>
      <c r="V797" s="551">
        <f t="shared" si="494"/>
        <v>0</v>
      </c>
      <c r="W797" s="550"/>
      <c r="X797" s="548"/>
      <c r="Y797" s="548"/>
      <c r="Z797" s="551">
        <f t="shared" si="495"/>
        <v>0</v>
      </c>
      <c r="AA797" s="550"/>
      <c r="AB797" s="548"/>
      <c r="AC797" s="548"/>
      <c r="AD797" s="551">
        <f t="shared" si="496"/>
        <v>0</v>
      </c>
      <c r="AE797" s="24"/>
      <c r="AF797" s="29">
        <f>J797+F797+N797+R797+V797+Z797+AD797</f>
        <v>0</v>
      </c>
    </row>
    <row r="798" spans="2:32" ht="14.25">
      <c r="B798" s="553"/>
      <c r="C798" s="547"/>
      <c r="D798" s="548"/>
      <c r="E798" s="548"/>
      <c r="F798" s="549">
        <f t="shared" si="490"/>
        <v>0</v>
      </c>
      <c r="G798" s="550"/>
      <c r="H798" s="548"/>
      <c r="I798" s="548"/>
      <c r="J798" s="551">
        <f t="shared" si="491"/>
        <v>0</v>
      </c>
      <c r="K798" s="550"/>
      <c r="L798" s="552"/>
      <c r="M798" s="548"/>
      <c r="N798" s="551">
        <f t="shared" si="492"/>
        <v>0</v>
      </c>
      <c r="O798" s="550"/>
      <c r="P798" s="548"/>
      <c r="Q798" s="548"/>
      <c r="R798" s="551">
        <f t="shared" si="493"/>
        <v>0</v>
      </c>
      <c r="S798" s="550"/>
      <c r="T798" s="548"/>
      <c r="U798" s="548"/>
      <c r="V798" s="551">
        <f t="shared" si="494"/>
        <v>0</v>
      </c>
      <c r="W798" s="550"/>
      <c r="X798" s="548"/>
      <c r="Y798" s="548"/>
      <c r="Z798" s="551">
        <f t="shared" si="495"/>
        <v>0</v>
      </c>
      <c r="AA798" s="550"/>
      <c r="AB798" s="548"/>
      <c r="AC798" s="548"/>
      <c r="AD798" s="551">
        <f t="shared" si="496"/>
        <v>0</v>
      </c>
      <c r="AE798" s="24"/>
      <c r="AF798" s="29"/>
    </row>
    <row r="799" spans="2:32" ht="14.25">
      <c r="B799" s="553"/>
      <c r="C799" s="547"/>
      <c r="D799" s="548"/>
      <c r="E799" s="548"/>
      <c r="F799" s="549">
        <f t="shared" si="490"/>
        <v>0</v>
      </c>
      <c r="G799" s="550"/>
      <c r="H799" s="548"/>
      <c r="I799" s="548"/>
      <c r="J799" s="551">
        <f t="shared" si="491"/>
        <v>0</v>
      </c>
      <c r="K799" s="550"/>
      <c r="L799" s="552"/>
      <c r="M799" s="548"/>
      <c r="N799" s="551">
        <f t="shared" si="492"/>
        <v>0</v>
      </c>
      <c r="O799" s="550"/>
      <c r="P799" s="548"/>
      <c r="Q799" s="548"/>
      <c r="R799" s="551">
        <f t="shared" si="493"/>
        <v>0</v>
      </c>
      <c r="S799" s="550"/>
      <c r="T799" s="548"/>
      <c r="U799" s="548"/>
      <c r="V799" s="551">
        <f t="shared" si="494"/>
        <v>0</v>
      </c>
      <c r="W799" s="550"/>
      <c r="X799" s="548"/>
      <c r="Y799" s="548"/>
      <c r="Z799" s="551">
        <f t="shared" si="495"/>
        <v>0</v>
      </c>
      <c r="AA799" s="550"/>
      <c r="AB799" s="548"/>
      <c r="AC799" s="548"/>
      <c r="AD799" s="551">
        <f t="shared" si="496"/>
        <v>0</v>
      </c>
      <c r="AE799" s="24"/>
      <c r="AF799" s="29"/>
    </row>
    <row r="800" spans="2:32" ht="14.25">
      <c r="B800" s="553"/>
      <c r="C800" s="547"/>
      <c r="D800" s="548"/>
      <c r="E800" s="548"/>
      <c r="F800" s="549">
        <f t="shared" si="490"/>
        <v>0</v>
      </c>
      <c r="G800" s="550"/>
      <c r="H800" s="548"/>
      <c r="I800" s="548"/>
      <c r="J800" s="551">
        <f t="shared" si="491"/>
        <v>0</v>
      </c>
      <c r="K800" s="550"/>
      <c r="L800" s="552"/>
      <c r="M800" s="548"/>
      <c r="N800" s="551">
        <f t="shared" si="492"/>
        <v>0</v>
      </c>
      <c r="O800" s="550"/>
      <c r="P800" s="548"/>
      <c r="Q800" s="548"/>
      <c r="R800" s="551">
        <f t="shared" si="493"/>
        <v>0</v>
      </c>
      <c r="S800" s="550"/>
      <c r="T800" s="548"/>
      <c r="U800" s="548"/>
      <c r="V800" s="551">
        <f t="shared" si="494"/>
        <v>0</v>
      </c>
      <c r="W800" s="550"/>
      <c r="X800" s="548"/>
      <c r="Y800" s="548"/>
      <c r="Z800" s="551">
        <f t="shared" si="495"/>
        <v>0</v>
      </c>
      <c r="AA800" s="550"/>
      <c r="AB800" s="548"/>
      <c r="AC800" s="548"/>
      <c r="AD800" s="551">
        <f t="shared" si="496"/>
        <v>0</v>
      </c>
      <c r="AE800" s="24"/>
      <c r="AF800" s="29">
        <f>J800+F800+N800+R800+V800+Z800+AD800</f>
        <v>0</v>
      </c>
    </row>
    <row r="801" spans="2:32" ht="14.25">
      <c r="B801" s="553"/>
      <c r="C801" s="547"/>
      <c r="D801" s="548"/>
      <c r="E801" s="548"/>
      <c r="F801" s="549">
        <f t="shared" si="490"/>
        <v>0</v>
      </c>
      <c r="G801" s="550"/>
      <c r="H801" s="548"/>
      <c r="I801" s="548"/>
      <c r="J801" s="551">
        <f t="shared" si="491"/>
        <v>0</v>
      </c>
      <c r="K801" s="550"/>
      <c r="L801" s="552"/>
      <c r="M801" s="548"/>
      <c r="N801" s="551">
        <f t="shared" si="492"/>
        <v>0</v>
      </c>
      <c r="O801" s="550"/>
      <c r="P801" s="548"/>
      <c r="Q801" s="548"/>
      <c r="R801" s="551">
        <f t="shared" si="493"/>
        <v>0</v>
      </c>
      <c r="S801" s="550"/>
      <c r="T801" s="548"/>
      <c r="U801" s="548"/>
      <c r="V801" s="551">
        <f t="shared" si="494"/>
        <v>0</v>
      </c>
      <c r="W801" s="550"/>
      <c r="X801" s="548"/>
      <c r="Y801" s="548"/>
      <c r="Z801" s="551">
        <f t="shared" si="495"/>
        <v>0</v>
      </c>
      <c r="AA801" s="550"/>
      <c r="AB801" s="548"/>
      <c r="AC801" s="548"/>
      <c r="AD801" s="551">
        <f t="shared" si="496"/>
        <v>0</v>
      </c>
      <c r="AE801" s="24"/>
      <c r="AF801" s="29">
        <f>J801+F801+N801+R801+V801+Z801+AD801</f>
        <v>0</v>
      </c>
    </row>
    <row r="802" spans="2:32" ht="14.25">
      <c r="B802" s="553"/>
      <c r="C802" s="547"/>
      <c r="D802" s="548"/>
      <c r="E802" s="548"/>
      <c r="F802" s="549">
        <f t="shared" si="490"/>
        <v>0</v>
      </c>
      <c r="G802" s="550"/>
      <c r="H802" s="548"/>
      <c r="I802" s="548"/>
      <c r="J802" s="551">
        <f t="shared" si="491"/>
        <v>0</v>
      </c>
      <c r="K802" s="550"/>
      <c r="L802" s="552"/>
      <c r="M802" s="548"/>
      <c r="N802" s="551">
        <f t="shared" si="492"/>
        <v>0</v>
      </c>
      <c r="O802" s="550"/>
      <c r="P802" s="548"/>
      <c r="Q802" s="548"/>
      <c r="R802" s="551">
        <f t="shared" si="493"/>
        <v>0</v>
      </c>
      <c r="S802" s="550"/>
      <c r="T802" s="548"/>
      <c r="U802" s="548"/>
      <c r="V802" s="551">
        <f t="shared" si="494"/>
        <v>0</v>
      </c>
      <c r="W802" s="550"/>
      <c r="X802" s="548"/>
      <c r="Y802" s="548"/>
      <c r="Z802" s="551">
        <f t="shared" si="495"/>
        <v>0</v>
      </c>
      <c r="AA802" s="550"/>
      <c r="AB802" s="548"/>
      <c r="AC802" s="548"/>
      <c r="AD802" s="551">
        <f t="shared" si="496"/>
        <v>0</v>
      </c>
      <c r="AE802" s="24"/>
      <c r="AF802" s="29"/>
    </row>
    <row r="803" spans="2:32" ht="14.25">
      <c r="B803" s="553"/>
      <c r="C803" s="547"/>
      <c r="D803" s="548"/>
      <c r="E803" s="548"/>
      <c r="F803" s="549">
        <f t="shared" si="490"/>
        <v>0</v>
      </c>
      <c r="G803" s="550"/>
      <c r="H803" s="548"/>
      <c r="I803" s="548"/>
      <c r="J803" s="551">
        <f t="shared" si="491"/>
        <v>0</v>
      </c>
      <c r="K803" s="550"/>
      <c r="L803" s="552"/>
      <c r="M803" s="548"/>
      <c r="N803" s="551">
        <f t="shared" si="492"/>
        <v>0</v>
      </c>
      <c r="O803" s="550"/>
      <c r="P803" s="548"/>
      <c r="Q803" s="548"/>
      <c r="R803" s="551">
        <f t="shared" si="493"/>
        <v>0</v>
      </c>
      <c r="S803" s="550"/>
      <c r="T803" s="548"/>
      <c r="U803" s="548"/>
      <c r="V803" s="551">
        <f t="shared" si="494"/>
        <v>0</v>
      </c>
      <c r="W803" s="550"/>
      <c r="X803" s="548"/>
      <c r="Y803" s="548"/>
      <c r="Z803" s="551">
        <f t="shared" si="495"/>
        <v>0</v>
      </c>
      <c r="AA803" s="550"/>
      <c r="AB803" s="548"/>
      <c r="AC803" s="548"/>
      <c r="AD803" s="551">
        <f t="shared" si="496"/>
        <v>0</v>
      </c>
      <c r="AE803" s="24"/>
      <c r="AF803" s="29"/>
    </row>
    <row r="804" spans="2:32" ht="14.25">
      <c r="B804" s="272"/>
      <c r="C804" s="637"/>
      <c r="D804" s="548"/>
      <c r="E804" s="548"/>
      <c r="F804" s="549">
        <f t="shared" si="490"/>
        <v>0</v>
      </c>
      <c r="G804" s="550"/>
      <c r="H804" s="548"/>
      <c r="I804" s="548"/>
      <c r="J804" s="551">
        <f t="shared" si="491"/>
        <v>0</v>
      </c>
      <c r="K804" s="550"/>
      <c r="L804" s="552"/>
      <c r="M804" s="548"/>
      <c r="N804" s="551">
        <f t="shared" si="492"/>
        <v>0</v>
      </c>
      <c r="O804" s="550"/>
      <c r="P804" s="548"/>
      <c r="Q804" s="548"/>
      <c r="R804" s="551">
        <f t="shared" si="493"/>
        <v>0</v>
      </c>
      <c r="S804" s="550"/>
      <c r="T804" s="548"/>
      <c r="U804" s="548"/>
      <c r="V804" s="551">
        <f t="shared" si="494"/>
        <v>0</v>
      </c>
      <c r="W804" s="550"/>
      <c r="X804" s="548"/>
      <c r="Y804" s="548"/>
      <c r="Z804" s="551">
        <f t="shared" si="495"/>
        <v>0</v>
      </c>
      <c r="AA804" s="550"/>
      <c r="AB804" s="548"/>
      <c r="AC804" s="548"/>
      <c r="AD804" s="551">
        <f t="shared" si="496"/>
        <v>0</v>
      </c>
      <c r="AE804" s="24"/>
      <c r="AF804" s="29">
        <f>J804+F804+N804+R804+V804+Z804+AD804</f>
        <v>0</v>
      </c>
    </row>
    <row r="805" spans="2:32" ht="14.25">
      <c r="B805" s="554" t="s">
        <v>61</v>
      </c>
      <c r="C805" s="554"/>
      <c r="D805" s="548"/>
      <c r="E805" s="548"/>
      <c r="F805" s="549">
        <f t="shared" si="490"/>
        <v>0</v>
      </c>
      <c r="G805" s="550"/>
      <c r="H805" s="548"/>
      <c r="I805" s="548"/>
      <c r="J805" s="551">
        <f t="shared" si="491"/>
        <v>0</v>
      </c>
      <c r="K805" s="550"/>
      <c r="L805" s="552"/>
      <c r="M805" s="548"/>
      <c r="N805" s="551">
        <f t="shared" si="492"/>
        <v>0</v>
      </c>
      <c r="O805" s="550"/>
      <c r="P805" s="548"/>
      <c r="Q805" s="548"/>
      <c r="R805" s="551">
        <f t="shared" si="493"/>
        <v>0</v>
      </c>
      <c r="S805" s="550"/>
      <c r="T805" s="548"/>
      <c r="U805" s="548"/>
      <c r="V805" s="551">
        <f t="shared" si="494"/>
        <v>0</v>
      </c>
      <c r="W805" s="550"/>
      <c r="X805" s="548"/>
      <c r="Y805" s="548"/>
      <c r="Z805" s="551">
        <f t="shared" si="495"/>
        <v>0</v>
      </c>
      <c r="AA805" s="550"/>
      <c r="AB805" s="548"/>
      <c r="AC805" s="548"/>
      <c r="AD805" s="551">
        <f t="shared" si="496"/>
        <v>0</v>
      </c>
      <c r="AE805" s="24"/>
      <c r="AF805" s="29">
        <f>J805+F805+N805+R805+V805+Z805+AD805</f>
        <v>0</v>
      </c>
    </row>
    <row r="806" spans="2:32">
      <c r="B806" s="31" t="s">
        <v>577</v>
      </c>
      <c r="C806" s="31"/>
      <c r="D806" s="91"/>
      <c r="E806" s="91"/>
      <c r="F806" s="90"/>
      <c r="G806" s="91"/>
      <c r="H806" s="91"/>
      <c r="I806" s="91"/>
      <c r="J806" s="90"/>
      <c r="K806" s="91"/>
      <c r="L806" s="430"/>
      <c r="M806" s="91"/>
      <c r="N806" s="90"/>
      <c r="O806" s="91"/>
      <c r="P806" s="91"/>
      <c r="Q806" s="91"/>
      <c r="R806" s="90"/>
      <c r="S806" s="91"/>
      <c r="T806" s="91"/>
      <c r="U806" s="91"/>
      <c r="V806" s="90"/>
      <c r="W806" s="91"/>
      <c r="X806" s="91"/>
      <c r="Y806" s="91"/>
      <c r="Z806" s="90"/>
      <c r="AA806" s="91"/>
      <c r="AB806" s="91"/>
      <c r="AC806" s="91"/>
      <c r="AD806" s="91"/>
      <c r="AE806" s="352"/>
      <c r="AF806" s="28"/>
    </row>
    <row r="807" spans="2:32">
      <c r="B807" s="31" t="s">
        <v>578</v>
      </c>
      <c r="C807" s="31"/>
      <c r="D807" s="91"/>
      <c r="E807" s="91"/>
      <c r="F807" s="90"/>
      <c r="G807" s="91"/>
      <c r="H807" s="91"/>
      <c r="I807" s="91"/>
      <c r="J807" s="90"/>
      <c r="K807" s="91"/>
      <c r="L807" s="430"/>
      <c r="M807" s="91"/>
      <c r="N807" s="90"/>
      <c r="O807" s="91"/>
      <c r="P807" s="91"/>
      <c r="Q807" s="91"/>
      <c r="R807" s="90"/>
      <c r="S807" s="91"/>
      <c r="T807" s="91"/>
      <c r="U807" s="91"/>
      <c r="V807" s="90"/>
      <c r="W807" s="91"/>
      <c r="X807" s="91"/>
      <c r="Y807" s="91"/>
      <c r="Z807" s="90"/>
      <c r="AA807" s="91"/>
      <c r="AB807" s="91"/>
      <c r="AC807" s="91"/>
      <c r="AD807" s="91"/>
      <c r="AE807" s="352"/>
      <c r="AF807" s="28">
        <f>SUM(D807:AD807)</f>
        <v>0</v>
      </c>
    </row>
    <row r="808" spans="2:32" ht="14.25" thickBot="1">
      <c r="B808" s="74" t="s">
        <v>579</v>
      </c>
      <c r="C808" s="74"/>
      <c r="D808" s="95"/>
      <c r="E808" s="95"/>
      <c r="F808" s="96"/>
      <c r="G808" s="95"/>
      <c r="H808" s="95"/>
      <c r="I808" s="95"/>
      <c r="J808" s="96"/>
      <c r="K808" s="95"/>
      <c r="L808" s="431"/>
      <c r="M808" s="95"/>
      <c r="N808" s="96"/>
      <c r="O808" s="95"/>
      <c r="P808" s="95"/>
      <c r="Q808" s="95"/>
      <c r="R808" s="96"/>
      <c r="S808" s="95"/>
      <c r="T808" s="95"/>
      <c r="U808" s="95"/>
      <c r="V808" s="96"/>
      <c r="W808" s="97"/>
      <c r="X808" s="97"/>
      <c r="Y808" s="97"/>
      <c r="Z808" s="96"/>
      <c r="AA808" s="97"/>
      <c r="AB808" s="97"/>
      <c r="AC808" s="97"/>
      <c r="AD808" s="97"/>
      <c r="AE808" s="97"/>
      <c r="AF808" s="80">
        <f>SUM(D808:AD808)</f>
        <v>0</v>
      </c>
    </row>
    <row r="809" spans="2:32" ht="13.9" customHeight="1" thickTop="1">
      <c r="B809" s="1518" t="s">
        <v>18</v>
      </c>
      <c r="C809" s="1528" t="s">
        <v>571</v>
      </c>
      <c r="D809" s="1524">
        <v>45614</v>
      </c>
      <c r="E809" s="1524"/>
      <c r="F809" s="1524"/>
      <c r="G809" s="22"/>
      <c r="H809" s="1524">
        <f>D809+1</f>
        <v>45615</v>
      </c>
      <c r="I809" s="1524"/>
      <c r="J809" s="1524"/>
      <c r="K809" s="22"/>
      <c r="L809" s="1524">
        <f>H809+1</f>
        <v>45616</v>
      </c>
      <c r="M809" s="1524"/>
      <c r="N809" s="1524"/>
      <c r="P809" s="1524">
        <f>L809+1</f>
        <v>45617</v>
      </c>
      <c r="Q809" s="1524"/>
      <c r="R809" s="1524"/>
      <c r="T809" s="1524">
        <f>P809+1</f>
        <v>45618</v>
      </c>
      <c r="U809" s="1524"/>
      <c r="V809" s="1524"/>
      <c r="W809" s="22"/>
      <c r="X809" s="1524">
        <f>T809+1</f>
        <v>45619</v>
      </c>
      <c r="Y809" s="1524"/>
      <c r="Z809" s="1524"/>
      <c r="AB809" s="1524">
        <f>X809+1</f>
        <v>45620</v>
      </c>
      <c r="AC809" s="1524"/>
      <c r="AD809" s="1524"/>
      <c r="AE809" s="22"/>
      <c r="AF809" s="1517" t="s">
        <v>19</v>
      </c>
    </row>
    <row r="810" spans="2:32">
      <c r="B810" s="1518"/>
      <c r="C810" s="1528"/>
      <c r="D810" s="21" t="s">
        <v>23</v>
      </c>
      <c r="E810" s="21" t="s">
        <v>24</v>
      </c>
      <c r="F810" s="62" t="s">
        <v>25</v>
      </c>
      <c r="G810" s="23"/>
      <c r="H810" s="21" t="s">
        <v>23</v>
      </c>
      <c r="I810" s="21" t="s">
        <v>24</v>
      </c>
      <c r="J810" s="18" t="s">
        <v>25</v>
      </c>
      <c r="K810" s="23"/>
      <c r="L810" s="21" t="s">
        <v>23</v>
      </c>
      <c r="M810" s="21" t="s">
        <v>24</v>
      </c>
      <c r="N810" s="18" t="s">
        <v>25</v>
      </c>
      <c r="O810" s="23"/>
      <c r="P810" s="21" t="s">
        <v>23</v>
      </c>
      <c r="Q810" s="21" t="s">
        <v>24</v>
      </c>
      <c r="R810" s="18" t="s">
        <v>25</v>
      </c>
      <c r="S810" s="23"/>
      <c r="T810" s="21" t="s">
        <v>23</v>
      </c>
      <c r="U810" s="21" t="s">
        <v>24</v>
      </c>
      <c r="V810" s="18" t="s">
        <v>25</v>
      </c>
      <c r="W810" s="23"/>
      <c r="X810" s="21" t="s">
        <v>23</v>
      </c>
      <c r="Y810" s="21" t="s">
        <v>24</v>
      </c>
      <c r="Z810" s="18" t="s">
        <v>25</v>
      </c>
      <c r="AA810" s="23"/>
      <c r="AB810" s="21" t="s">
        <v>23</v>
      </c>
      <c r="AC810" s="21" t="s">
        <v>24</v>
      </c>
      <c r="AD810" s="18" t="s">
        <v>25</v>
      </c>
      <c r="AE810" s="23"/>
      <c r="AF810" s="1517"/>
    </row>
    <row r="811" spans="2:32" ht="14.25">
      <c r="B811" s="668" t="s">
        <v>72</v>
      </c>
      <c r="C811" s="669" t="s">
        <v>885</v>
      </c>
      <c r="D811" s="548"/>
      <c r="E811" s="548"/>
      <c r="F811" s="549">
        <f t="shared" ref="F811:F822" si="497">(E811-D811)*24</f>
        <v>0</v>
      </c>
      <c r="G811" s="550"/>
      <c r="H811" s="548"/>
      <c r="I811" s="548"/>
      <c r="J811" s="551">
        <f t="shared" ref="J811:J822" si="498">(I811-H811)*24</f>
        <v>0</v>
      </c>
      <c r="K811" s="550"/>
      <c r="L811" s="552"/>
      <c r="M811" s="548"/>
      <c r="N811" s="551">
        <f t="shared" ref="N811:N822" si="499">(M811-L811)*24</f>
        <v>0</v>
      </c>
      <c r="O811" s="550"/>
      <c r="P811" s="548"/>
      <c r="Q811" s="548"/>
      <c r="R811" s="551">
        <f t="shared" ref="R811:R822" si="500">(Q811-P811)*24</f>
        <v>0</v>
      </c>
      <c r="S811" s="550"/>
      <c r="T811" s="548"/>
      <c r="U811" s="548"/>
      <c r="V811" s="551">
        <f t="shared" ref="V811:V822" si="501">(U811-T811)*24</f>
        <v>0</v>
      </c>
      <c r="W811" s="550"/>
      <c r="X811" s="548">
        <v>0.29166666666666669</v>
      </c>
      <c r="Y811" s="548">
        <v>0.8125</v>
      </c>
      <c r="Z811" s="551">
        <f t="shared" ref="Z811:Z822" si="502">(Y811-X811)*24</f>
        <v>12.499999999999998</v>
      </c>
      <c r="AA811" s="550"/>
      <c r="AB811" s="548">
        <v>0.29166666666666669</v>
      </c>
      <c r="AC811" s="548">
        <v>0.64583333333333337</v>
      </c>
      <c r="AD811" s="551">
        <f t="shared" ref="AD811:AD822" si="503">(AC811-AB811)*24</f>
        <v>8.5</v>
      </c>
      <c r="AE811" s="24"/>
      <c r="AF811" s="29">
        <f>J811+F811+N811+R811+V811+Z811+AD811</f>
        <v>21</v>
      </c>
    </row>
    <row r="812" spans="2:32" ht="14.25">
      <c r="B812" s="668" t="s">
        <v>52</v>
      </c>
      <c r="C812" s="669" t="s">
        <v>885</v>
      </c>
      <c r="D812" s="548"/>
      <c r="E812" s="548"/>
      <c r="F812" s="549">
        <f t="shared" si="497"/>
        <v>0</v>
      </c>
      <c r="G812" s="550"/>
      <c r="H812" s="548"/>
      <c r="I812" s="548"/>
      <c r="J812" s="551">
        <f t="shared" si="498"/>
        <v>0</v>
      </c>
      <c r="K812" s="550"/>
      <c r="L812" s="552"/>
      <c r="M812" s="548"/>
      <c r="N812" s="551">
        <f t="shared" si="499"/>
        <v>0</v>
      </c>
      <c r="O812" s="550"/>
      <c r="P812" s="548"/>
      <c r="Q812" s="548"/>
      <c r="R812" s="551">
        <f t="shared" si="500"/>
        <v>0</v>
      </c>
      <c r="S812" s="550"/>
      <c r="T812" s="548">
        <v>0.625</v>
      </c>
      <c r="U812" s="548">
        <v>0.77083333333333337</v>
      </c>
      <c r="V812" s="551">
        <f t="shared" si="501"/>
        <v>3.5000000000000009</v>
      </c>
      <c r="W812" s="550"/>
      <c r="X812" s="548">
        <v>0.29166666666666669</v>
      </c>
      <c r="Y812" s="548">
        <v>0.8125</v>
      </c>
      <c r="Z812" s="551">
        <f t="shared" si="502"/>
        <v>12.499999999999998</v>
      </c>
      <c r="AA812" s="550"/>
      <c r="AB812" s="548">
        <v>0.375</v>
      </c>
      <c r="AC812" s="548">
        <v>0.95833333333333337</v>
      </c>
      <c r="AD812" s="551">
        <f t="shared" si="503"/>
        <v>14</v>
      </c>
      <c r="AE812" s="24"/>
      <c r="AF812" s="29">
        <f>J812+F812+N812+R812+V812+Z812+AD812</f>
        <v>30</v>
      </c>
    </row>
    <row r="813" spans="2:32" ht="14.25">
      <c r="B813" s="553"/>
      <c r="C813" s="547"/>
      <c r="D813" s="548"/>
      <c r="E813" s="548"/>
      <c r="F813" s="549">
        <f t="shared" si="497"/>
        <v>0</v>
      </c>
      <c r="G813" s="550"/>
      <c r="H813" s="548"/>
      <c r="I813" s="548"/>
      <c r="J813" s="551">
        <f t="shared" si="498"/>
        <v>0</v>
      </c>
      <c r="K813" s="550"/>
      <c r="L813" s="552"/>
      <c r="M813" s="548"/>
      <c r="N813" s="551">
        <f t="shared" si="499"/>
        <v>0</v>
      </c>
      <c r="O813" s="550"/>
      <c r="P813" s="548"/>
      <c r="Q813" s="548"/>
      <c r="R813" s="551">
        <f t="shared" si="500"/>
        <v>0</v>
      </c>
      <c r="S813" s="550"/>
      <c r="T813" s="548"/>
      <c r="U813" s="548"/>
      <c r="V813" s="551">
        <f t="shared" si="501"/>
        <v>0</v>
      </c>
      <c r="W813" s="550"/>
      <c r="X813" s="548"/>
      <c r="Y813" s="548"/>
      <c r="Z813" s="551">
        <f t="shared" si="502"/>
        <v>0</v>
      </c>
      <c r="AA813" s="550"/>
      <c r="AB813" s="548"/>
      <c r="AC813" s="548"/>
      <c r="AD813" s="551">
        <f t="shared" si="503"/>
        <v>0</v>
      </c>
      <c r="AE813" s="24"/>
      <c r="AF813" s="29">
        <f>J813+F813+N813+R813+V813+Z813+AD813</f>
        <v>0</v>
      </c>
    </row>
    <row r="814" spans="2:32" ht="14.25">
      <c r="B814" s="553"/>
      <c r="C814" s="547"/>
      <c r="D814" s="548"/>
      <c r="E814" s="548"/>
      <c r="F814" s="549">
        <f t="shared" si="497"/>
        <v>0</v>
      </c>
      <c r="G814" s="550"/>
      <c r="H814" s="548"/>
      <c r="I814" s="548"/>
      <c r="J814" s="551">
        <f t="shared" si="498"/>
        <v>0</v>
      </c>
      <c r="K814" s="550"/>
      <c r="L814" s="552"/>
      <c r="M814" s="548"/>
      <c r="N814" s="551">
        <f t="shared" si="499"/>
        <v>0</v>
      </c>
      <c r="O814" s="550"/>
      <c r="P814" s="548"/>
      <c r="Q814" s="548"/>
      <c r="R814" s="551">
        <f t="shared" si="500"/>
        <v>0</v>
      </c>
      <c r="S814" s="550"/>
      <c r="T814" s="548"/>
      <c r="U814" s="548"/>
      <c r="V814" s="551">
        <f t="shared" si="501"/>
        <v>0</v>
      </c>
      <c r="W814" s="550"/>
      <c r="X814" s="548"/>
      <c r="Y814" s="548"/>
      <c r="Z814" s="551">
        <f t="shared" si="502"/>
        <v>0</v>
      </c>
      <c r="AA814" s="550"/>
      <c r="AB814" s="548"/>
      <c r="AC814" s="548"/>
      <c r="AD814" s="551">
        <f t="shared" si="503"/>
        <v>0</v>
      </c>
      <c r="AE814" s="24"/>
      <c r="AF814" s="29">
        <f>J814+F814+N814+R814+V814+Z814+AD814</f>
        <v>0</v>
      </c>
    </row>
    <row r="815" spans="2:32" ht="14.25">
      <c r="B815" s="553"/>
      <c r="C815" s="547"/>
      <c r="D815" s="548"/>
      <c r="E815" s="548"/>
      <c r="F815" s="549">
        <f t="shared" si="497"/>
        <v>0</v>
      </c>
      <c r="G815" s="550"/>
      <c r="H815" s="548"/>
      <c r="I815" s="548"/>
      <c r="J815" s="551">
        <f t="shared" si="498"/>
        <v>0</v>
      </c>
      <c r="K815" s="550"/>
      <c r="L815" s="552"/>
      <c r="M815" s="548"/>
      <c r="N815" s="551">
        <f t="shared" si="499"/>
        <v>0</v>
      </c>
      <c r="O815" s="550"/>
      <c r="P815" s="548"/>
      <c r="Q815" s="548"/>
      <c r="R815" s="551">
        <f t="shared" si="500"/>
        <v>0</v>
      </c>
      <c r="S815" s="550"/>
      <c r="T815" s="548"/>
      <c r="U815" s="548"/>
      <c r="V815" s="551">
        <f t="shared" si="501"/>
        <v>0</v>
      </c>
      <c r="W815" s="550"/>
      <c r="X815" s="548"/>
      <c r="Y815" s="548"/>
      <c r="Z815" s="551">
        <f t="shared" si="502"/>
        <v>0</v>
      </c>
      <c r="AA815" s="550"/>
      <c r="AB815" s="548"/>
      <c r="AC815" s="548"/>
      <c r="AD815" s="551">
        <f t="shared" si="503"/>
        <v>0</v>
      </c>
      <c r="AE815" s="24"/>
      <c r="AF815" s="29"/>
    </row>
    <row r="816" spans="2:32" ht="14.25">
      <c r="B816" s="553"/>
      <c r="C816" s="547"/>
      <c r="D816" s="548"/>
      <c r="E816" s="548"/>
      <c r="F816" s="549">
        <f t="shared" si="497"/>
        <v>0</v>
      </c>
      <c r="G816" s="550"/>
      <c r="H816" s="548"/>
      <c r="I816" s="548"/>
      <c r="J816" s="551">
        <f t="shared" si="498"/>
        <v>0</v>
      </c>
      <c r="K816" s="550"/>
      <c r="L816" s="552"/>
      <c r="M816" s="548"/>
      <c r="N816" s="551">
        <f t="shared" si="499"/>
        <v>0</v>
      </c>
      <c r="O816" s="550"/>
      <c r="P816" s="548"/>
      <c r="Q816" s="548"/>
      <c r="R816" s="551">
        <f t="shared" si="500"/>
        <v>0</v>
      </c>
      <c r="S816" s="550"/>
      <c r="T816" s="548"/>
      <c r="U816" s="548"/>
      <c r="V816" s="551">
        <f t="shared" si="501"/>
        <v>0</v>
      </c>
      <c r="W816" s="550"/>
      <c r="X816" s="548"/>
      <c r="Y816" s="548"/>
      <c r="Z816" s="551">
        <f t="shared" si="502"/>
        <v>0</v>
      </c>
      <c r="AA816" s="550"/>
      <c r="AB816" s="548"/>
      <c r="AC816" s="548"/>
      <c r="AD816" s="551">
        <f t="shared" si="503"/>
        <v>0</v>
      </c>
      <c r="AE816" s="24"/>
      <c r="AF816" s="29"/>
    </row>
    <row r="817" spans="2:32" ht="14.25">
      <c r="B817" s="553"/>
      <c r="C817" s="547"/>
      <c r="D817" s="548"/>
      <c r="E817" s="548"/>
      <c r="F817" s="549">
        <f t="shared" si="497"/>
        <v>0</v>
      </c>
      <c r="G817" s="550"/>
      <c r="H817" s="548"/>
      <c r="I817" s="548"/>
      <c r="J817" s="551">
        <f t="shared" si="498"/>
        <v>0</v>
      </c>
      <c r="K817" s="550"/>
      <c r="L817" s="552"/>
      <c r="M817" s="548"/>
      <c r="N817" s="551">
        <f t="shared" si="499"/>
        <v>0</v>
      </c>
      <c r="O817" s="550"/>
      <c r="P817" s="548"/>
      <c r="Q817" s="548"/>
      <c r="R817" s="551">
        <f t="shared" si="500"/>
        <v>0</v>
      </c>
      <c r="S817" s="550"/>
      <c r="T817" s="548"/>
      <c r="U817" s="548"/>
      <c r="V817" s="551">
        <f t="shared" si="501"/>
        <v>0</v>
      </c>
      <c r="W817" s="550"/>
      <c r="X817" s="548"/>
      <c r="Y817" s="548"/>
      <c r="Z817" s="551">
        <f t="shared" si="502"/>
        <v>0</v>
      </c>
      <c r="AA817" s="550"/>
      <c r="AB817" s="548"/>
      <c r="AC817" s="548"/>
      <c r="AD817" s="551">
        <f t="shared" si="503"/>
        <v>0</v>
      </c>
      <c r="AE817" s="24"/>
      <c r="AF817" s="29">
        <f>J817+F817+N817+R817+V817+Z817+AD817</f>
        <v>0</v>
      </c>
    </row>
    <row r="818" spans="2:32" ht="14.25">
      <c r="B818" s="553"/>
      <c r="C818" s="547"/>
      <c r="D818" s="548"/>
      <c r="E818" s="548"/>
      <c r="F818" s="549">
        <f t="shared" si="497"/>
        <v>0</v>
      </c>
      <c r="G818" s="550"/>
      <c r="H818" s="548"/>
      <c r="I818" s="548"/>
      <c r="J818" s="551">
        <f t="shared" si="498"/>
        <v>0</v>
      </c>
      <c r="K818" s="550"/>
      <c r="L818" s="552"/>
      <c r="M818" s="548"/>
      <c r="N818" s="551">
        <f t="shared" si="499"/>
        <v>0</v>
      </c>
      <c r="O818" s="550"/>
      <c r="P818" s="548"/>
      <c r="Q818" s="548"/>
      <c r="R818" s="551">
        <f t="shared" si="500"/>
        <v>0</v>
      </c>
      <c r="S818" s="550"/>
      <c r="T818" s="548"/>
      <c r="U818" s="548"/>
      <c r="V818" s="551">
        <f t="shared" si="501"/>
        <v>0</v>
      </c>
      <c r="W818" s="550"/>
      <c r="X818" s="548"/>
      <c r="Y818" s="548"/>
      <c r="Z818" s="551">
        <f t="shared" si="502"/>
        <v>0</v>
      </c>
      <c r="AA818" s="550"/>
      <c r="AB818" s="548"/>
      <c r="AC818" s="548"/>
      <c r="AD818" s="551">
        <f t="shared" si="503"/>
        <v>0</v>
      </c>
      <c r="AE818" s="24"/>
      <c r="AF818" s="29">
        <f>J818+F818+N818+R818+V818+Z818+AD818</f>
        <v>0</v>
      </c>
    </row>
    <row r="819" spans="2:32" ht="14.25">
      <c r="B819" s="553"/>
      <c r="C819" s="547"/>
      <c r="D819" s="548"/>
      <c r="E819" s="548"/>
      <c r="F819" s="549">
        <f t="shared" si="497"/>
        <v>0</v>
      </c>
      <c r="G819" s="550"/>
      <c r="H819" s="548"/>
      <c r="I819" s="548"/>
      <c r="J819" s="551">
        <f t="shared" si="498"/>
        <v>0</v>
      </c>
      <c r="K819" s="550"/>
      <c r="L819" s="552"/>
      <c r="M819" s="548"/>
      <c r="N819" s="551">
        <f t="shared" si="499"/>
        <v>0</v>
      </c>
      <c r="O819" s="550"/>
      <c r="P819" s="548"/>
      <c r="Q819" s="548"/>
      <c r="R819" s="551">
        <f t="shared" si="500"/>
        <v>0</v>
      </c>
      <c r="S819" s="550"/>
      <c r="T819" s="548"/>
      <c r="U819" s="548"/>
      <c r="V819" s="551">
        <f t="shared" si="501"/>
        <v>0</v>
      </c>
      <c r="W819" s="550"/>
      <c r="X819" s="548"/>
      <c r="Y819" s="548"/>
      <c r="Z819" s="551">
        <f t="shared" si="502"/>
        <v>0</v>
      </c>
      <c r="AA819" s="550"/>
      <c r="AB819" s="548"/>
      <c r="AC819" s="548"/>
      <c r="AD819" s="551">
        <f t="shared" si="503"/>
        <v>0</v>
      </c>
      <c r="AE819" s="24"/>
      <c r="AF819" s="29"/>
    </row>
    <row r="820" spans="2:32" ht="14.25">
      <c r="B820" s="553"/>
      <c r="C820" s="547"/>
      <c r="D820" s="548"/>
      <c r="E820" s="548"/>
      <c r="F820" s="549">
        <f t="shared" si="497"/>
        <v>0</v>
      </c>
      <c r="G820" s="550"/>
      <c r="H820" s="548"/>
      <c r="I820" s="548"/>
      <c r="J820" s="551">
        <f t="shared" si="498"/>
        <v>0</v>
      </c>
      <c r="K820" s="550"/>
      <c r="L820" s="552"/>
      <c r="M820" s="548"/>
      <c r="N820" s="551">
        <f t="shared" si="499"/>
        <v>0</v>
      </c>
      <c r="O820" s="550"/>
      <c r="P820" s="548"/>
      <c r="Q820" s="548"/>
      <c r="R820" s="551">
        <f t="shared" si="500"/>
        <v>0</v>
      </c>
      <c r="S820" s="550"/>
      <c r="T820" s="548"/>
      <c r="U820" s="548"/>
      <c r="V820" s="551">
        <f t="shared" si="501"/>
        <v>0</v>
      </c>
      <c r="W820" s="550"/>
      <c r="X820" s="548"/>
      <c r="Y820" s="548"/>
      <c r="Z820" s="551">
        <f t="shared" si="502"/>
        <v>0</v>
      </c>
      <c r="AA820" s="550"/>
      <c r="AB820" s="548"/>
      <c r="AC820" s="548"/>
      <c r="AD820" s="551">
        <f t="shared" si="503"/>
        <v>0</v>
      </c>
      <c r="AE820" s="24"/>
      <c r="AF820" s="29"/>
    </row>
    <row r="821" spans="2:32" ht="14.25">
      <c r="B821" s="272"/>
      <c r="C821" s="637"/>
      <c r="D821" s="548"/>
      <c r="E821" s="548"/>
      <c r="F821" s="549">
        <f t="shared" si="497"/>
        <v>0</v>
      </c>
      <c r="G821" s="550"/>
      <c r="H821" s="548"/>
      <c r="I821" s="548"/>
      <c r="J821" s="551">
        <f t="shared" si="498"/>
        <v>0</v>
      </c>
      <c r="K821" s="550"/>
      <c r="L821" s="552"/>
      <c r="M821" s="548"/>
      <c r="N821" s="551">
        <f t="shared" si="499"/>
        <v>0</v>
      </c>
      <c r="O821" s="550"/>
      <c r="P821" s="548"/>
      <c r="Q821" s="548"/>
      <c r="R821" s="551">
        <f t="shared" si="500"/>
        <v>0</v>
      </c>
      <c r="S821" s="550"/>
      <c r="T821" s="548"/>
      <c r="U821" s="548"/>
      <c r="V821" s="551">
        <f t="shared" si="501"/>
        <v>0</v>
      </c>
      <c r="W821" s="550"/>
      <c r="X821" s="548"/>
      <c r="Y821" s="548"/>
      <c r="Z821" s="551">
        <f t="shared" si="502"/>
        <v>0</v>
      </c>
      <c r="AA821" s="550"/>
      <c r="AB821" s="548"/>
      <c r="AC821" s="548"/>
      <c r="AD821" s="551">
        <f t="shared" si="503"/>
        <v>0</v>
      </c>
      <c r="AE821" s="24"/>
      <c r="AF821" s="29">
        <f>J821+F821+N821+R821+V821+Z821+AD821</f>
        <v>0</v>
      </c>
    </row>
    <row r="822" spans="2:32" ht="14.25">
      <c r="B822" s="554" t="s">
        <v>61</v>
      </c>
      <c r="C822" s="554"/>
      <c r="D822" s="548"/>
      <c r="E822" s="548"/>
      <c r="F822" s="549">
        <f t="shared" si="497"/>
        <v>0</v>
      </c>
      <c r="G822" s="550"/>
      <c r="H822" s="548"/>
      <c r="I822" s="548"/>
      <c r="J822" s="551">
        <f t="shared" si="498"/>
        <v>0</v>
      </c>
      <c r="K822" s="550"/>
      <c r="L822" s="552"/>
      <c r="M822" s="548"/>
      <c r="N822" s="551">
        <f t="shared" si="499"/>
        <v>0</v>
      </c>
      <c r="O822" s="550"/>
      <c r="P822" s="548"/>
      <c r="Q822" s="548"/>
      <c r="R822" s="551">
        <f t="shared" si="500"/>
        <v>0</v>
      </c>
      <c r="S822" s="550"/>
      <c r="T822" s="548"/>
      <c r="U822" s="548"/>
      <c r="V822" s="551">
        <f t="shared" si="501"/>
        <v>0</v>
      </c>
      <c r="W822" s="550"/>
      <c r="X822" s="548"/>
      <c r="Y822" s="548"/>
      <c r="Z822" s="551">
        <f t="shared" si="502"/>
        <v>0</v>
      </c>
      <c r="AA822" s="550"/>
      <c r="AB822" s="548"/>
      <c r="AC822" s="548"/>
      <c r="AD822" s="551">
        <f t="shared" si="503"/>
        <v>0</v>
      </c>
      <c r="AE822" s="24"/>
      <c r="AF822" s="29">
        <f>J822+F822+N822+R822+V822+Z822+AD822</f>
        <v>0</v>
      </c>
    </row>
    <row r="823" spans="2:32">
      <c r="B823" s="31" t="s">
        <v>577</v>
      </c>
      <c r="C823" s="31"/>
      <c r="D823" s="91"/>
      <c r="E823" s="91"/>
      <c r="F823" s="90"/>
      <c r="G823" s="91"/>
      <c r="H823" s="91"/>
      <c r="I823" s="91"/>
      <c r="J823" s="90"/>
      <c r="K823" s="91"/>
      <c r="L823" s="430"/>
      <c r="M823" s="91"/>
      <c r="N823" s="90"/>
      <c r="O823" s="91"/>
      <c r="P823" s="91"/>
      <c r="Q823" s="91"/>
      <c r="R823" s="90"/>
      <c r="S823" s="91"/>
      <c r="T823" s="91"/>
      <c r="U823" s="91"/>
      <c r="V823" s="90"/>
      <c r="W823" s="91"/>
      <c r="X823" s="91"/>
      <c r="Y823" s="91"/>
      <c r="Z823" s="90"/>
      <c r="AA823" s="91"/>
      <c r="AB823" s="91"/>
      <c r="AC823" s="91"/>
      <c r="AD823" s="91"/>
      <c r="AE823" s="352"/>
      <c r="AF823" s="28"/>
    </row>
    <row r="824" spans="2:32">
      <c r="B824" s="31" t="s">
        <v>578</v>
      </c>
      <c r="C824" s="31"/>
      <c r="D824" s="91"/>
      <c r="E824" s="91"/>
      <c r="F824" s="90"/>
      <c r="G824" s="91"/>
      <c r="H824" s="91"/>
      <c r="I824" s="91"/>
      <c r="J824" s="90"/>
      <c r="K824" s="91"/>
      <c r="L824" s="430"/>
      <c r="M824" s="91"/>
      <c r="N824" s="90"/>
      <c r="O824" s="91"/>
      <c r="P824" s="91"/>
      <c r="Q824" s="91"/>
      <c r="R824" s="90"/>
      <c r="S824" s="91"/>
      <c r="T824" s="91"/>
      <c r="U824" s="91"/>
      <c r="V824" s="90"/>
      <c r="W824" s="91"/>
      <c r="X824" s="91"/>
      <c r="Y824" s="91"/>
      <c r="Z824" s="90"/>
      <c r="AA824" s="91"/>
      <c r="AB824" s="91"/>
      <c r="AC824" s="91"/>
      <c r="AD824" s="91"/>
      <c r="AE824" s="352"/>
      <c r="AF824" s="28">
        <f>SUM(D824:AD824)</f>
        <v>0</v>
      </c>
    </row>
    <row r="825" spans="2:32" ht="14.25" thickBot="1">
      <c r="B825" s="74" t="s">
        <v>579</v>
      </c>
      <c r="C825" s="74"/>
      <c r="D825" s="95"/>
      <c r="E825" s="95"/>
      <c r="F825" s="96"/>
      <c r="G825" s="95"/>
      <c r="H825" s="95"/>
      <c r="I825" s="95"/>
      <c r="J825" s="96"/>
      <c r="K825" s="95"/>
      <c r="L825" s="431"/>
      <c r="M825" s="95"/>
      <c r="N825" s="96"/>
      <c r="O825" s="95"/>
      <c r="P825" s="95"/>
      <c r="Q825" s="95"/>
      <c r="R825" s="96"/>
      <c r="S825" s="95"/>
      <c r="T825" s="95"/>
      <c r="U825" s="95"/>
      <c r="V825" s="96"/>
      <c r="W825" s="97"/>
      <c r="X825" s="97"/>
      <c r="Y825" s="97"/>
      <c r="Z825" s="96"/>
      <c r="AA825" s="97"/>
      <c r="AB825" s="97"/>
      <c r="AC825" s="97"/>
      <c r="AD825" s="97"/>
      <c r="AE825" s="97"/>
      <c r="AF825" s="80">
        <f>SUM(D825:AD825)</f>
        <v>0</v>
      </c>
    </row>
    <row r="826" spans="2:32" ht="13.9" customHeight="1" thickTop="1">
      <c r="B826" s="1518" t="s">
        <v>18</v>
      </c>
      <c r="C826" s="1528" t="s">
        <v>571</v>
      </c>
      <c r="D826" s="1524">
        <v>45621</v>
      </c>
      <c r="E826" s="1524"/>
      <c r="F826" s="1524"/>
      <c r="G826" s="22"/>
      <c r="H826" s="1524">
        <f>D826+1</f>
        <v>45622</v>
      </c>
      <c r="I826" s="1524"/>
      <c r="J826" s="1524"/>
      <c r="K826" s="22"/>
      <c r="L826" s="1524">
        <f>H826+1</f>
        <v>45623</v>
      </c>
      <c r="M826" s="1524"/>
      <c r="N826" s="1524"/>
      <c r="P826" s="1524">
        <f>L826+1</f>
        <v>45624</v>
      </c>
      <c r="Q826" s="1524"/>
      <c r="R826" s="1524"/>
      <c r="T826" s="1524">
        <f>P826+1</f>
        <v>45625</v>
      </c>
      <c r="U826" s="1524"/>
      <c r="V826" s="1524"/>
      <c r="W826" s="22"/>
      <c r="X826" s="1524">
        <f>T826+1</f>
        <v>45626</v>
      </c>
      <c r="Y826" s="1524"/>
      <c r="Z826" s="1524"/>
      <c r="AB826" s="1524">
        <f>X826+1</f>
        <v>45627</v>
      </c>
      <c r="AC826" s="1524"/>
      <c r="AD826" s="1524"/>
      <c r="AE826" s="22"/>
      <c r="AF826" s="1517" t="s">
        <v>19</v>
      </c>
    </row>
    <row r="827" spans="2:32">
      <c r="B827" s="1518"/>
      <c r="C827" s="1528"/>
      <c r="D827" s="21" t="s">
        <v>23</v>
      </c>
      <c r="E827" s="21" t="s">
        <v>24</v>
      </c>
      <c r="F827" s="62" t="s">
        <v>25</v>
      </c>
      <c r="G827" s="23"/>
      <c r="H827" s="21" t="s">
        <v>23</v>
      </c>
      <c r="I827" s="21" t="s">
        <v>24</v>
      </c>
      <c r="J827" s="18" t="s">
        <v>25</v>
      </c>
      <c r="K827" s="23"/>
      <c r="L827" s="21" t="s">
        <v>23</v>
      </c>
      <c r="M827" s="21" t="s">
        <v>24</v>
      </c>
      <c r="N827" s="18" t="s">
        <v>25</v>
      </c>
      <c r="O827" s="23"/>
      <c r="P827" s="21" t="s">
        <v>23</v>
      </c>
      <c r="Q827" s="21" t="s">
        <v>24</v>
      </c>
      <c r="R827" s="18" t="s">
        <v>25</v>
      </c>
      <c r="S827" s="23"/>
      <c r="T827" s="21" t="s">
        <v>23</v>
      </c>
      <c r="U827" s="21" t="s">
        <v>24</v>
      </c>
      <c r="V827" s="18" t="s">
        <v>25</v>
      </c>
      <c r="W827" s="23"/>
      <c r="X827" s="21" t="s">
        <v>23</v>
      </c>
      <c r="Y827" s="21" t="s">
        <v>24</v>
      </c>
      <c r="Z827" s="18" t="s">
        <v>25</v>
      </c>
      <c r="AA827" s="23"/>
      <c r="AB827" s="21" t="s">
        <v>23</v>
      </c>
      <c r="AC827" s="21" t="s">
        <v>24</v>
      </c>
      <c r="AD827" s="18" t="s">
        <v>25</v>
      </c>
      <c r="AE827" s="23"/>
      <c r="AF827" s="1517"/>
    </row>
    <row r="828" spans="2:32" ht="14.25">
      <c r="B828" s="553"/>
      <c r="C828" s="547"/>
      <c r="D828" s="548"/>
      <c r="E828" s="548"/>
      <c r="F828" s="549">
        <f t="shared" ref="F828:F839" si="504">(E828-D828)*24</f>
        <v>0</v>
      </c>
      <c r="G828" s="550"/>
      <c r="H828" s="548"/>
      <c r="I828" s="548"/>
      <c r="J828" s="551">
        <f t="shared" ref="J828:J839" si="505">(I828-H828)*24</f>
        <v>0</v>
      </c>
      <c r="K828" s="550"/>
      <c r="L828" s="552"/>
      <c r="M828" s="548"/>
      <c r="N828" s="551">
        <f t="shared" ref="N828:N839" si="506">(M828-L828)*24</f>
        <v>0</v>
      </c>
      <c r="O828" s="550"/>
      <c r="P828" s="548"/>
      <c r="Q828" s="548"/>
      <c r="R828" s="551">
        <f t="shared" ref="R828:R839" si="507">(Q828-P828)*24</f>
        <v>0</v>
      </c>
      <c r="S828" s="550"/>
      <c r="T828" s="548"/>
      <c r="U828" s="548"/>
      <c r="V828" s="551">
        <f t="shared" ref="V828:V839" si="508">(U828-T828)*24</f>
        <v>0</v>
      </c>
      <c r="W828" s="550"/>
      <c r="X828" s="548"/>
      <c r="Y828" s="548"/>
      <c r="Z828" s="551">
        <f t="shared" ref="Z828:Z839" si="509">(Y828-X828)*24</f>
        <v>0</v>
      </c>
      <c r="AA828" s="550"/>
      <c r="AB828" s="548"/>
      <c r="AC828" s="548"/>
      <c r="AD828" s="551">
        <f t="shared" ref="AD828:AD839" si="510">(AC828-AB828)*24</f>
        <v>0</v>
      </c>
      <c r="AE828" s="24"/>
      <c r="AF828" s="29">
        <f>J828+F828+N828+R828+V828+Z828+AD828</f>
        <v>0</v>
      </c>
    </row>
    <row r="829" spans="2:32" ht="14.25">
      <c r="B829" s="553"/>
      <c r="C829" s="547"/>
      <c r="D829" s="548"/>
      <c r="E829" s="548"/>
      <c r="F829" s="549">
        <f t="shared" si="504"/>
        <v>0</v>
      </c>
      <c r="G829" s="550"/>
      <c r="H829" s="548"/>
      <c r="I829" s="548"/>
      <c r="J829" s="551">
        <f t="shared" si="505"/>
        <v>0</v>
      </c>
      <c r="K829" s="550"/>
      <c r="L829" s="552"/>
      <c r="M829" s="548"/>
      <c r="N829" s="551">
        <f t="shared" si="506"/>
        <v>0</v>
      </c>
      <c r="O829" s="550"/>
      <c r="P829" s="548"/>
      <c r="Q829" s="548"/>
      <c r="R829" s="551">
        <f t="shared" si="507"/>
        <v>0</v>
      </c>
      <c r="S829" s="550"/>
      <c r="T829" s="548"/>
      <c r="U829" s="548"/>
      <c r="V829" s="551">
        <f t="shared" si="508"/>
        <v>0</v>
      </c>
      <c r="W829" s="550"/>
      <c r="X829" s="548"/>
      <c r="Y829" s="548"/>
      <c r="Z829" s="551">
        <f t="shared" si="509"/>
        <v>0</v>
      </c>
      <c r="AA829" s="550"/>
      <c r="AB829" s="548"/>
      <c r="AC829" s="548"/>
      <c r="AD829" s="551">
        <f t="shared" si="510"/>
        <v>0</v>
      </c>
      <c r="AE829" s="24"/>
      <c r="AF829" s="29">
        <f>J829+F829+N829+R829+V829+Z829+AD829</f>
        <v>0</v>
      </c>
    </row>
    <row r="830" spans="2:32" ht="14.25">
      <c r="B830" s="553"/>
      <c r="C830" s="547"/>
      <c r="D830" s="548"/>
      <c r="E830" s="548"/>
      <c r="F830" s="549">
        <f t="shared" si="504"/>
        <v>0</v>
      </c>
      <c r="G830" s="550"/>
      <c r="H830" s="548"/>
      <c r="I830" s="548"/>
      <c r="J830" s="551">
        <f t="shared" si="505"/>
        <v>0</v>
      </c>
      <c r="K830" s="550"/>
      <c r="L830" s="552"/>
      <c r="M830" s="548"/>
      <c r="N830" s="551">
        <f t="shared" si="506"/>
        <v>0</v>
      </c>
      <c r="O830" s="550"/>
      <c r="P830" s="548"/>
      <c r="Q830" s="548"/>
      <c r="R830" s="551">
        <f t="shared" si="507"/>
        <v>0</v>
      </c>
      <c r="S830" s="550"/>
      <c r="T830" s="548"/>
      <c r="U830" s="548"/>
      <c r="V830" s="551">
        <f t="shared" si="508"/>
        <v>0</v>
      </c>
      <c r="W830" s="550"/>
      <c r="X830" s="548"/>
      <c r="Y830" s="548"/>
      <c r="Z830" s="551">
        <f t="shared" si="509"/>
        <v>0</v>
      </c>
      <c r="AA830" s="550"/>
      <c r="AB830" s="548"/>
      <c r="AC830" s="548"/>
      <c r="AD830" s="551">
        <f t="shared" si="510"/>
        <v>0</v>
      </c>
      <c r="AE830" s="24"/>
      <c r="AF830" s="29">
        <f>J830+F830+N830+R830+V830+Z830+AD830</f>
        <v>0</v>
      </c>
    </row>
    <row r="831" spans="2:32" ht="14.25">
      <c r="B831" s="553"/>
      <c r="C831" s="547"/>
      <c r="D831" s="548"/>
      <c r="E831" s="548"/>
      <c r="F831" s="549">
        <f t="shared" si="504"/>
        <v>0</v>
      </c>
      <c r="G831" s="550"/>
      <c r="H831" s="548"/>
      <c r="I831" s="548"/>
      <c r="J831" s="551">
        <f t="shared" si="505"/>
        <v>0</v>
      </c>
      <c r="K831" s="550"/>
      <c r="L831" s="552"/>
      <c r="M831" s="548"/>
      <c r="N831" s="551">
        <f t="shared" si="506"/>
        <v>0</v>
      </c>
      <c r="O831" s="550"/>
      <c r="P831" s="548"/>
      <c r="Q831" s="548"/>
      <c r="R831" s="551">
        <f t="shared" si="507"/>
        <v>0</v>
      </c>
      <c r="S831" s="550"/>
      <c r="T831" s="548"/>
      <c r="U831" s="548"/>
      <c r="V831" s="551">
        <f t="shared" si="508"/>
        <v>0</v>
      </c>
      <c r="W831" s="550"/>
      <c r="X831" s="548"/>
      <c r="Y831" s="548"/>
      <c r="Z831" s="551">
        <f t="shared" si="509"/>
        <v>0</v>
      </c>
      <c r="AA831" s="550"/>
      <c r="AB831" s="548"/>
      <c r="AC831" s="548"/>
      <c r="AD831" s="551">
        <f t="shared" si="510"/>
        <v>0</v>
      </c>
      <c r="AE831" s="24"/>
      <c r="AF831" s="29">
        <f>J831+F831+N831+R831+V831+Z831+AD831</f>
        <v>0</v>
      </c>
    </row>
    <row r="832" spans="2:32" ht="14.25">
      <c r="B832" s="553"/>
      <c r="C832" s="547"/>
      <c r="D832" s="548"/>
      <c r="E832" s="548"/>
      <c r="F832" s="549">
        <f t="shared" si="504"/>
        <v>0</v>
      </c>
      <c r="G832" s="550"/>
      <c r="H832" s="548"/>
      <c r="I832" s="548"/>
      <c r="J832" s="551">
        <f t="shared" si="505"/>
        <v>0</v>
      </c>
      <c r="K832" s="550"/>
      <c r="L832" s="552"/>
      <c r="M832" s="548"/>
      <c r="N832" s="551">
        <f t="shared" si="506"/>
        <v>0</v>
      </c>
      <c r="O832" s="550"/>
      <c r="P832" s="548"/>
      <c r="Q832" s="548"/>
      <c r="R832" s="551">
        <f t="shared" si="507"/>
        <v>0</v>
      </c>
      <c r="S832" s="550"/>
      <c r="T832" s="548"/>
      <c r="U832" s="548"/>
      <c r="V832" s="551">
        <f t="shared" si="508"/>
        <v>0</v>
      </c>
      <c r="W832" s="550"/>
      <c r="X832" s="548"/>
      <c r="Y832" s="548"/>
      <c r="Z832" s="551">
        <f t="shared" si="509"/>
        <v>0</v>
      </c>
      <c r="AA832" s="550"/>
      <c r="AB832" s="548"/>
      <c r="AC832" s="548"/>
      <c r="AD832" s="551">
        <f t="shared" si="510"/>
        <v>0</v>
      </c>
      <c r="AE832" s="24"/>
      <c r="AF832" s="29"/>
    </row>
    <row r="833" spans="2:32" ht="14.25">
      <c r="B833" s="553"/>
      <c r="C833" s="547"/>
      <c r="D833" s="548"/>
      <c r="E833" s="548"/>
      <c r="F833" s="549">
        <f t="shared" si="504"/>
        <v>0</v>
      </c>
      <c r="G833" s="550"/>
      <c r="H833" s="548"/>
      <c r="I833" s="548"/>
      <c r="J833" s="551">
        <f t="shared" si="505"/>
        <v>0</v>
      </c>
      <c r="K833" s="550"/>
      <c r="L833" s="552"/>
      <c r="M833" s="548"/>
      <c r="N833" s="551">
        <f t="shared" si="506"/>
        <v>0</v>
      </c>
      <c r="O833" s="550"/>
      <c r="P833" s="548"/>
      <c r="Q833" s="548"/>
      <c r="R833" s="551">
        <f t="shared" si="507"/>
        <v>0</v>
      </c>
      <c r="S833" s="550"/>
      <c r="T833" s="548"/>
      <c r="U833" s="548"/>
      <c r="V833" s="551">
        <f t="shared" si="508"/>
        <v>0</v>
      </c>
      <c r="W833" s="550"/>
      <c r="X833" s="548"/>
      <c r="Y833" s="548"/>
      <c r="Z833" s="551">
        <f t="shared" si="509"/>
        <v>0</v>
      </c>
      <c r="AA833" s="550"/>
      <c r="AB833" s="548"/>
      <c r="AC833" s="548"/>
      <c r="AD833" s="551">
        <f t="shared" si="510"/>
        <v>0</v>
      </c>
      <c r="AE833" s="24"/>
      <c r="AF833" s="29"/>
    </row>
    <row r="834" spans="2:32" ht="14.25">
      <c r="B834" s="553"/>
      <c r="C834" s="547"/>
      <c r="D834" s="548"/>
      <c r="E834" s="548"/>
      <c r="F834" s="549">
        <f t="shared" si="504"/>
        <v>0</v>
      </c>
      <c r="G834" s="550"/>
      <c r="H834" s="548"/>
      <c r="I834" s="548"/>
      <c r="J834" s="551">
        <f t="shared" si="505"/>
        <v>0</v>
      </c>
      <c r="K834" s="550"/>
      <c r="L834" s="552"/>
      <c r="M834" s="548"/>
      <c r="N834" s="551">
        <f t="shared" si="506"/>
        <v>0</v>
      </c>
      <c r="O834" s="550"/>
      <c r="P834" s="548"/>
      <c r="Q834" s="548"/>
      <c r="R834" s="551">
        <f t="shared" si="507"/>
        <v>0</v>
      </c>
      <c r="S834" s="550"/>
      <c r="T834" s="548"/>
      <c r="U834" s="548"/>
      <c r="V834" s="551">
        <f t="shared" si="508"/>
        <v>0</v>
      </c>
      <c r="W834" s="550"/>
      <c r="X834" s="548"/>
      <c r="Y834" s="548"/>
      <c r="Z834" s="551">
        <f t="shared" si="509"/>
        <v>0</v>
      </c>
      <c r="AA834" s="550"/>
      <c r="AB834" s="548"/>
      <c r="AC834" s="548"/>
      <c r="AD834" s="551">
        <f t="shared" si="510"/>
        <v>0</v>
      </c>
      <c r="AE834" s="24"/>
      <c r="AF834" s="29">
        <f>J834+F834+N834+R834+V834+Z834+AD834</f>
        <v>0</v>
      </c>
    </row>
    <row r="835" spans="2:32" ht="14.25">
      <c r="B835" s="553"/>
      <c r="C835" s="547"/>
      <c r="D835" s="548"/>
      <c r="E835" s="548"/>
      <c r="F835" s="549">
        <f t="shared" si="504"/>
        <v>0</v>
      </c>
      <c r="G835" s="550"/>
      <c r="H835" s="548"/>
      <c r="I835" s="548"/>
      <c r="J835" s="551">
        <f t="shared" si="505"/>
        <v>0</v>
      </c>
      <c r="K835" s="550"/>
      <c r="L835" s="552"/>
      <c r="M835" s="548"/>
      <c r="N835" s="551">
        <f t="shared" si="506"/>
        <v>0</v>
      </c>
      <c r="O835" s="550"/>
      <c r="P835" s="548"/>
      <c r="Q835" s="548"/>
      <c r="R835" s="551">
        <f t="shared" si="507"/>
        <v>0</v>
      </c>
      <c r="S835" s="550"/>
      <c r="T835" s="548"/>
      <c r="U835" s="548"/>
      <c r="V835" s="551">
        <f t="shared" si="508"/>
        <v>0</v>
      </c>
      <c r="W835" s="550"/>
      <c r="X835" s="548"/>
      <c r="Y835" s="548"/>
      <c r="Z835" s="551">
        <f t="shared" si="509"/>
        <v>0</v>
      </c>
      <c r="AA835" s="550"/>
      <c r="AB835" s="548"/>
      <c r="AC835" s="548"/>
      <c r="AD835" s="551">
        <f t="shared" si="510"/>
        <v>0</v>
      </c>
      <c r="AE835" s="24"/>
      <c r="AF835" s="29">
        <f>J835+F835+N835+R835+V835+Z835+AD835</f>
        <v>0</v>
      </c>
    </row>
    <row r="836" spans="2:32" ht="14.25">
      <c r="B836" s="553"/>
      <c r="C836" s="547"/>
      <c r="D836" s="548"/>
      <c r="E836" s="548"/>
      <c r="F836" s="549">
        <f t="shared" si="504"/>
        <v>0</v>
      </c>
      <c r="G836" s="550"/>
      <c r="H836" s="548"/>
      <c r="I836" s="548"/>
      <c r="J836" s="551">
        <f t="shared" si="505"/>
        <v>0</v>
      </c>
      <c r="K836" s="550"/>
      <c r="L836" s="552"/>
      <c r="M836" s="548"/>
      <c r="N836" s="551">
        <f t="shared" si="506"/>
        <v>0</v>
      </c>
      <c r="O836" s="550"/>
      <c r="P836" s="548"/>
      <c r="Q836" s="548"/>
      <c r="R836" s="551">
        <f t="shared" si="507"/>
        <v>0</v>
      </c>
      <c r="S836" s="550"/>
      <c r="T836" s="548"/>
      <c r="U836" s="548"/>
      <c r="V836" s="551">
        <f t="shared" si="508"/>
        <v>0</v>
      </c>
      <c r="W836" s="550"/>
      <c r="X836" s="548"/>
      <c r="Y836" s="548"/>
      <c r="Z836" s="551">
        <f t="shared" si="509"/>
        <v>0</v>
      </c>
      <c r="AA836" s="550"/>
      <c r="AB836" s="548"/>
      <c r="AC836" s="548"/>
      <c r="AD836" s="551">
        <f t="shared" si="510"/>
        <v>0</v>
      </c>
      <c r="AE836" s="24"/>
      <c r="AF836" s="29"/>
    </row>
    <row r="837" spans="2:32" ht="14.25">
      <c r="B837" s="553"/>
      <c r="C837" s="547"/>
      <c r="D837" s="548"/>
      <c r="E837" s="548"/>
      <c r="F837" s="549">
        <f t="shared" si="504"/>
        <v>0</v>
      </c>
      <c r="G837" s="550"/>
      <c r="H837" s="548"/>
      <c r="I837" s="548"/>
      <c r="J837" s="551">
        <f t="shared" si="505"/>
        <v>0</v>
      </c>
      <c r="K837" s="550"/>
      <c r="L837" s="552"/>
      <c r="M837" s="548"/>
      <c r="N837" s="551">
        <f t="shared" si="506"/>
        <v>0</v>
      </c>
      <c r="O837" s="550"/>
      <c r="P837" s="548"/>
      <c r="Q837" s="548"/>
      <c r="R837" s="551">
        <f t="shared" si="507"/>
        <v>0</v>
      </c>
      <c r="S837" s="550"/>
      <c r="T837" s="548"/>
      <c r="U837" s="548"/>
      <c r="V837" s="551">
        <f t="shared" si="508"/>
        <v>0</v>
      </c>
      <c r="W837" s="550"/>
      <c r="X837" s="548"/>
      <c r="Y837" s="548"/>
      <c r="Z837" s="551">
        <f t="shared" si="509"/>
        <v>0</v>
      </c>
      <c r="AA837" s="550"/>
      <c r="AB837" s="548"/>
      <c r="AC837" s="548"/>
      <c r="AD837" s="551">
        <f t="shared" si="510"/>
        <v>0</v>
      </c>
      <c r="AE837" s="24"/>
      <c r="AF837" s="29"/>
    </row>
    <row r="838" spans="2:32" ht="14.25">
      <c r="B838" s="272"/>
      <c r="C838" s="637"/>
      <c r="D838" s="548"/>
      <c r="E838" s="548"/>
      <c r="F838" s="549">
        <f t="shared" si="504"/>
        <v>0</v>
      </c>
      <c r="G838" s="550"/>
      <c r="H838" s="548"/>
      <c r="I838" s="548"/>
      <c r="J838" s="551">
        <f t="shared" si="505"/>
        <v>0</v>
      </c>
      <c r="K838" s="550"/>
      <c r="L838" s="552"/>
      <c r="M838" s="548"/>
      <c r="N838" s="551">
        <f t="shared" si="506"/>
        <v>0</v>
      </c>
      <c r="O838" s="550"/>
      <c r="P838" s="548"/>
      <c r="Q838" s="548"/>
      <c r="R838" s="551">
        <f t="shared" si="507"/>
        <v>0</v>
      </c>
      <c r="S838" s="550"/>
      <c r="T838" s="548"/>
      <c r="U838" s="548"/>
      <c r="V838" s="551">
        <f t="shared" si="508"/>
        <v>0</v>
      </c>
      <c r="W838" s="550"/>
      <c r="X838" s="548"/>
      <c r="Y838" s="548"/>
      <c r="Z838" s="551">
        <f t="shared" si="509"/>
        <v>0</v>
      </c>
      <c r="AA838" s="550"/>
      <c r="AB838" s="548"/>
      <c r="AC838" s="548"/>
      <c r="AD838" s="551">
        <f t="shared" si="510"/>
        <v>0</v>
      </c>
      <c r="AE838" s="24"/>
      <c r="AF838" s="29">
        <f>J838+F838+N838+R838+V838+Z838+AD838</f>
        <v>0</v>
      </c>
    </row>
    <row r="839" spans="2:32" ht="14.25">
      <c r="B839" s="554" t="s">
        <v>61</v>
      </c>
      <c r="C839" s="554"/>
      <c r="D839" s="548"/>
      <c r="E839" s="548"/>
      <c r="F839" s="549">
        <f t="shared" si="504"/>
        <v>0</v>
      </c>
      <c r="G839" s="550"/>
      <c r="H839" s="548"/>
      <c r="I839" s="548"/>
      <c r="J839" s="551">
        <f t="shared" si="505"/>
        <v>0</v>
      </c>
      <c r="K839" s="550"/>
      <c r="L839" s="552"/>
      <c r="M839" s="548"/>
      <c r="N839" s="551">
        <f t="shared" si="506"/>
        <v>0</v>
      </c>
      <c r="O839" s="550"/>
      <c r="P839" s="548"/>
      <c r="Q839" s="548"/>
      <c r="R839" s="551">
        <f t="shared" si="507"/>
        <v>0</v>
      </c>
      <c r="S839" s="550"/>
      <c r="T839" s="548"/>
      <c r="U839" s="548"/>
      <c r="V839" s="551">
        <f t="shared" si="508"/>
        <v>0</v>
      </c>
      <c r="W839" s="550"/>
      <c r="X839" s="548"/>
      <c r="Y839" s="548"/>
      <c r="Z839" s="551">
        <f t="shared" si="509"/>
        <v>0</v>
      </c>
      <c r="AA839" s="550"/>
      <c r="AB839" s="548"/>
      <c r="AC839" s="548"/>
      <c r="AD839" s="551">
        <f t="shared" si="510"/>
        <v>0</v>
      </c>
      <c r="AE839" s="24"/>
      <c r="AF839" s="29">
        <f>J839+F839+N839+R839+V839+Z839+AD839</f>
        <v>0</v>
      </c>
    </row>
    <row r="840" spans="2:32">
      <c r="B840" s="31" t="s">
        <v>577</v>
      </c>
      <c r="C840" s="31"/>
      <c r="D840" s="91"/>
      <c r="E840" s="91"/>
      <c r="F840" s="90"/>
      <c r="G840" s="91"/>
      <c r="H840" s="91"/>
      <c r="I840" s="91"/>
      <c r="J840" s="90"/>
      <c r="K840" s="91"/>
      <c r="L840" s="430"/>
      <c r="M840" s="91"/>
      <c r="N840" s="90"/>
      <c r="O840" s="91"/>
      <c r="P840" s="91"/>
      <c r="Q840" s="91"/>
      <c r="R840" s="90"/>
      <c r="S840" s="91"/>
      <c r="T840" s="91"/>
      <c r="U840" s="91"/>
      <c r="V840" s="90"/>
      <c r="W840" s="91"/>
      <c r="X840" s="91"/>
      <c r="Y840" s="91"/>
      <c r="Z840" s="90"/>
      <c r="AA840" s="91"/>
      <c r="AB840" s="91"/>
      <c r="AC840" s="91"/>
      <c r="AD840" s="91"/>
      <c r="AE840" s="352"/>
      <c r="AF840" s="28"/>
    </row>
    <row r="841" spans="2:32">
      <c r="B841" s="31" t="s">
        <v>578</v>
      </c>
      <c r="C841" s="31"/>
      <c r="D841" s="91"/>
      <c r="E841" s="91"/>
      <c r="F841" s="90"/>
      <c r="G841" s="91"/>
      <c r="H841" s="91"/>
      <c r="I841" s="91"/>
      <c r="J841" s="90"/>
      <c r="K841" s="91"/>
      <c r="L841" s="430"/>
      <c r="M841" s="91"/>
      <c r="N841" s="90"/>
      <c r="O841" s="91"/>
      <c r="P841" s="91"/>
      <c r="Q841" s="91"/>
      <c r="R841" s="90"/>
      <c r="S841" s="91"/>
      <c r="T841" s="91"/>
      <c r="U841" s="91"/>
      <c r="V841" s="90"/>
      <c r="W841" s="91"/>
      <c r="X841" s="91"/>
      <c r="Y841" s="91"/>
      <c r="Z841" s="90"/>
      <c r="AA841" s="91"/>
      <c r="AB841" s="91"/>
      <c r="AC841" s="91"/>
      <c r="AD841" s="91"/>
      <c r="AE841" s="352"/>
      <c r="AF841" s="28">
        <f>SUM(D841:AD841)</f>
        <v>0</v>
      </c>
    </row>
    <row r="842" spans="2:32" ht="14.25" thickBot="1">
      <c r="B842" s="74" t="s">
        <v>579</v>
      </c>
      <c r="C842" s="74"/>
      <c r="D842" s="95"/>
      <c r="E842" s="95"/>
      <c r="F842" s="96"/>
      <c r="G842" s="95"/>
      <c r="H842" s="95"/>
      <c r="I842" s="95"/>
      <c r="J842" s="96"/>
      <c r="K842" s="95"/>
      <c r="L842" s="431"/>
      <c r="M842" s="95"/>
      <c r="N842" s="96"/>
      <c r="O842" s="95"/>
      <c r="P842" s="95"/>
      <c r="Q842" s="95"/>
      <c r="R842" s="96"/>
      <c r="S842" s="95"/>
      <c r="T842" s="95"/>
      <c r="U842" s="95"/>
      <c r="V842" s="96"/>
      <c r="W842" s="97"/>
      <c r="X842" s="97"/>
      <c r="Y842" s="97"/>
      <c r="Z842" s="96"/>
      <c r="AA842" s="97"/>
      <c r="AB842" s="97"/>
      <c r="AC842" s="97"/>
      <c r="AD842" s="97"/>
      <c r="AE842" s="97"/>
      <c r="AF842" s="80">
        <f>SUM(D842:AD842)</f>
        <v>0</v>
      </c>
    </row>
    <row r="843" spans="2:32" ht="13.9" customHeight="1" thickTop="1">
      <c r="B843" s="1518" t="s">
        <v>18</v>
      </c>
      <c r="C843" s="1528" t="s">
        <v>571</v>
      </c>
      <c r="D843" s="1524">
        <v>45628</v>
      </c>
      <c r="E843" s="1524"/>
      <c r="F843" s="1524"/>
      <c r="G843" s="22"/>
      <c r="H843" s="1524">
        <f>D843+1</f>
        <v>45629</v>
      </c>
      <c r="I843" s="1524"/>
      <c r="J843" s="1524"/>
      <c r="K843" s="22"/>
      <c r="L843" s="1524">
        <f>H843+1</f>
        <v>45630</v>
      </c>
      <c r="M843" s="1524"/>
      <c r="N843" s="1524"/>
      <c r="P843" s="1524">
        <f>L843+1</f>
        <v>45631</v>
      </c>
      <c r="Q843" s="1524"/>
      <c r="R843" s="1524"/>
      <c r="T843" s="1524">
        <f>P843+1</f>
        <v>45632</v>
      </c>
      <c r="U843" s="1524"/>
      <c r="V843" s="1524"/>
      <c r="W843" s="22"/>
      <c r="X843" s="1524">
        <f>T843+1</f>
        <v>45633</v>
      </c>
      <c r="Y843" s="1524"/>
      <c r="Z843" s="1524"/>
      <c r="AB843" s="1524">
        <f>X843+1</f>
        <v>45634</v>
      </c>
      <c r="AC843" s="1524"/>
      <c r="AD843" s="1524"/>
      <c r="AE843" s="22"/>
      <c r="AF843" s="1517" t="s">
        <v>19</v>
      </c>
    </row>
    <row r="844" spans="2:32">
      <c r="B844" s="1518"/>
      <c r="C844" s="1528"/>
      <c r="D844" s="21" t="s">
        <v>23</v>
      </c>
      <c r="E844" s="21" t="s">
        <v>24</v>
      </c>
      <c r="F844" s="62" t="s">
        <v>25</v>
      </c>
      <c r="G844" s="23"/>
      <c r="H844" s="21" t="s">
        <v>23</v>
      </c>
      <c r="I844" s="21" t="s">
        <v>24</v>
      </c>
      <c r="J844" s="18" t="s">
        <v>25</v>
      </c>
      <c r="K844" s="23"/>
      <c r="L844" s="21" t="s">
        <v>23</v>
      </c>
      <c r="M844" s="21" t="s">
        <v>24</v>
      </c>
      <c r="N844" s="18" t="s">
        <v>25</v>
      </c>
      <c r="O844" s="23"/>
      <c r="P844" s="21" t="s">
        <v>23</v>
      </c>
      <c r="Q844" s="21" t="s">
        <v>24</v>
      </c>
      <c r="R844" s="18" t="s">
        <v>25</v>
      </c>
      <c r="S844" s="23"/>
      <c r="T844" s="21" t="s">
        <v>23</v>
      </c>
      <c r="U844" s="21" t="s">
        <v>24</v>
      </c>
      <c r="V844" s="18" t="s">
        <v>25</v>
      </c>
      <c r="W844" s="23"/>
      <c r="X844" s="21" t="s">
        <v>23</v>
      </c>
      <c r="Y844" s="21" t="s">
        <v>24</v>
      </c>
      <c r="Z844" s="18" t="s">
        <v>25</v>
      </c>
      <c r="AA844" s="23"/>
      <c r="AB844" s="21" t="s">
        <v>23</v>
      </c>
      <c r="AC844" s="21" t="s">
        <v>24</v>
      </c>
      <c r="AD844" s="18" t="s">
        <v>25</v>
      </c>
      <c r="AE844" s="23"/>
      <c r="AF844" s="1517"/>
    </row>
    <row r="845" spans="2:32" ht="14.25">
      <c r="B845" s="553" t="s">
        <v>572</v>
      </c>
      <c r="C845" s="669" t="s">
        <v>886</v>
      </c>
      <c r="D845" s="548"/>
      <c r="E845" s="548"/>
      <c r="F845" s="549">
        <f t="shared" ref="F845:F856" si="511">(E845-D845)*24</f>
        <v>0</v>
      </c>
      <c r="G845" s="550"/>
      <c r="H845" s="548">
        <v>0.20833333333333334</v>
      </c>
      <c r="I845" s="548">
        <v>0.33333333333333331</v>
      </c>
      <c r="J845" s="551">
        <f t="shared" ref="J845:J856" si="512">(I845-H845)*24</f>
        <v>2.9999999999999991</v>
      </c>
      <c r="K845" s="550"/>
      <c r="L845" s="552"/>
      <c r="M845" s="548"/>
      <c r="N845" s="551">
        <f t="shared" ref="N845:N856" si="513">(M845-L845)*24</f>
        <v>0</v>
      </c>
      <c r="O845" s="550"/>
      <c r="P845" s="548">
        <v>0.375</v>
      </c>
      <c r="Q845" s="548">
        <v>0.52083333333333337</v>
      </c>
      <c r="R845" s="551">
        <f t="shared" ref="R845:R856" si="514">(Q845-P845)*24</f>
        <v>3.5000000000000009</v>
      </c>
      <c r="S845" s="550"/>
      <c r="T845" s="548"/>
      <c r="U845" s="548"/>
      <c r="V845" s="551">
        <f t="shared" ref="V845:V856" si="515">(U845-T845)*24</f>
        <v>0</v>
      </c>
      <c r="W845" s="550"/>
      <c r="X845" s="548">
        <v>0.375</v>
      </c>
      <c r="Y845" s="548">
        <v>0.79166666666666663</v>
      </c>
      <c r="Z845" s="551">
        <f t="shared" ref="Z845:Z856" si="516">(Y845-X845)*24</f>
        <v>10</v>
      </c>
      <c r="AA845" s="550"/>
      <c r="AB845" s="548"/>
      <c r="AC845" s="548"/>
      <c r="AD845" s="551">
        <f t="shared" ref="AD845:AD856" si="517">(AC845-AB845)*24</f>
        <v>0</v>
      </c>
      <c r="AE845" s="24"/>
      <c r="AF845" s="29">
        <f>J845+F845+N845+R845+V845+Z845+AD845</f>
        <v>16.5</v>
      </c>
    </row>
    <row r="846" spans="2:32" ht="14.25">
      <c r="B846" s="553" t="s">
        <v>576</v>
      </c>
      <c r="C846" s="669" t="s">
        <v>885</v>
      </c>
      <c r="D846" s="548"/>
      <c r="E846" s="548"/>
      <c r="F846" s="549">
        <f t="shared" si="511"/>
        <v>0</v>
      </c>
      <c r="G846" s="550"/>
      <c r="H846" s="548"/>
      <c r="I846" s="548"/>
      <c r="J846" s="551">
        <f t="shared" si="512"/>
        <v>0</v>
      </c>
      <c r="K846" s="550"/>
      <c r="L846" s="552"/>
      <c r="M846" s="548"/>
      <c r="N846" s="551">
        <f t="shared" si="513"/>
        <v>0</v>
      </c>
      <c r="O846" s="550"/>
      <c r="P846" s="548"/>
      <c r="Q846" s="548"/>
      <c r="R846" s="551">
        <f t="shared" si="514"/>
        <v>0</v>
      </c>
      <c r="S846" s="550"/>
      <c r="T846" s="548"/>
      <c r="U846" s="548"/>
      <c r="V846" s="551">
        <f t="shared" si="515"/>
        <v>0</v>
      </c>
      <c r="W846" s="550"/>
      <c r="X846" s="548">
        <v>0.375</v>
      </c>
      <c r="Y846" s="548">
        <v>0.79166666666666663</v>
      </c>
      <c r="Z846" s="551">
        <f t="shared" si="516"/>
        <v>10</v>
      </c>
      <c r="AA846" s="550"/>
      <c r="AB846" s="548"/>
      <c r="AC846" s="548"/>
      <c r="AD846" s="551">
        <f t="shared" si="517"/>
        <v>0</v>
      </c>
      <c r="AE846" s="24"/>
      <c r="AF846" s="29">
        <f>J846+F846+N846+R846+V846+Z846+AD846</f>
        <v>10</v>
      </c>
    </row>
    <row r="847" spans="2:32" ht="14.25">
      <c r="B847" s="668" t="s">
        <v>52</v>
      </c>
      <c r="C847" s="669" t="s">
        <v>885</v>
      </c>
      <c r="D847" s="548"/>
      <c r="E847" s="548"/>
      <c r="F847" s="549">
        <f t="shared" si="511"/>
        <v>0</v>
      </c>
      <c r="G847" s="550"/>
      <c r="H847" s="548"/>
      <c r="I847" s="548"/>
      <c r="J847" s="551">
        <f t="shared" si="512"/>
        <v>0</v>
      </c>
      <c r="K847" s="550"/>
      <c r="L847" s="552"/>
      <c r="M847" s="548"/>
      <c r="N847" s="551">
        <f t="shared" si="513"/>
        <v>0</v>
      </c>
      <c r="O847" s="550"/>
      <c r="P847" s="548"/>
      <c r="Q847" s="548"/>
      <c r="R847" s="551">
        <f t="shared" si="514"/>
        <v>0</v>
      </c>
      <c r="S847" s="550"/>
      <c r="T847" s="548"/>
      <c r="U847" s="548"/>
      <c r="V847" s="551">
        <f t="shared" si="515"/>
        <v>0</v>
      </c>
      <c r="W847" s="550"/>
      <c r="X847" s="548">
        <v>0.375</v>
      </c>
      <c r="Y847" s="548">
        <v>0.79166666666666663</v>
      </c>
      <c r="Z847" s="551">
        <f t="shared" si="516"/>
        <v>10</v>
      </c>
      <c r="AA847" s="550"/>
      <c r="AB847" s="548"/>
      <c r="AC847" s="548"/>
      <c r="AD847" s="551">
        <f t="shared" si="517"/>
        <v>0</v>
      </c>
      <c r="AE847" s="24"/>
      <c r="AF847" s="29">
        <f>J847+F847+N847+R847+V847+Z847+AD847</f>
        <v>10</v>
      </c>
    </row>
    <row r="848" spans="2:32" ht="14.25">
      <c r="B848" s="553" t="s">
        <v>576</v>
      </c>
      <c r="C848" s="547"/>
      <c r="D848" s="548"/>
      <c r="E848" s="548"/>
      <c r="F848" s="549">
        <f t="shared" si="511"/>
        <v>0</v>
      </c>
      <c r="G848" s="550"/>
      <c r="H848" s="548"/>
      <c r="I848" s="548"/>
      <c r="J848" s="551">
        <f t="shared" si="512"/>
        <v>0</v>
      </c>
      <c r="K848" s="550"/>
      <c r="L848" s="552"/>
      <c r="M848" s="548"/>
      <c r="N848" s="551">
        <f t="shared" si="513"/>
        <v>0</v>
      </c>
      <c r="O848" s="550"/>
      <c r="P848" s="548"/>
      <c r="Q848" s="548"/>
      <c r="R848" s="551">
        <f t="shared" si="514"/>
        <v>0</v>
      </c>
      <c r="S848" s="550"/>
      <c r="T848" s="548">
        <v>0.77083333333333337</v>
      </c>
      <c r="U848" s="548">
        <v>0.9375</v>
      </c>
      <c r="V848" s="551">
        <f t="shared" si="515"/>
        <v>3.9999999999999991</v>
      </c>
      <c r="W848" s="550"/>
      <c r="X848" s="548"/>
      <c r="Y848" s="548"/>
      <c r="Z848" s="551">
        <f t="shared" si="516"/>
        <v>0</v>
      </c>
      <c r="AA848" s="550"/>
      <c r="AB848" s="548"/>
      <c r="AC848" s="548"/>
      <c r="AD848" s="551">
        <f t="shared" si="517"/>
        <v>0</v>
      </c>
      <c r="AE848" s="24"/>
      <c r="AF848" s="29">
        <f>J848+F848+N848+R848+V848+Z848+AD848</f>
        <v>3.9999999999999991</v>
      </c>
    </row>
    <row r="849" spans="2:32" ht="14.25">
      <c r="B849" s="553" t="s">
        <v>54</v>
      </c>
      <c r="C849" s="547"/>
      <c r="D849" s="548"/>
      <c r="E849" s="548"/>
      <c r="F849" s="549">
        <f t="shared" si="511"/>
        <v>0</v>
      </c>
      <c r="G849" s="550"/>
      <c r="H849" s="548"/>
      <c r="I849" s="548"/>
      <c r="J849" s="551">
        <f t="shared" si="512"/>
        <v>0</v>
      </c>
      <c r="K849" s="550"/>
      <c r="L849" s="552"/>
      <c r="M849" s="548"/>
      <c r="N849" s="551">
        <f t="shared" si="513"/>
        <v>0</v>
      </c>
      <c r="O849" s="550"/>
      <c r="P849" s="548"/>
      <c r="Q849" s="548"/>
      <c r="R849" s="551">
        <f t="shared" si="514"/>
        <v>0</v>
      </c>
      <c r="S849" s="550"/>
      <c r="T849" s="548">
        <v>0.77083333333333337</v>
      </c>
      <c r="U849" s="548">
        <v>0.9375</v>
      </c>
      <c r="V849" s="551">
        <f t="shared" si="515"/>
        <v>3.9999999999999991</v>
      </c>
      <c r="W849" s="550"/>
      <c r="X849" s="548"/>
      <c r="Y849" s="548"/>
      <c r="Z849" s="551">
        <f t="shared" si="516"/>
        <v>0</v>
      </c>
      <c r="AA849" s="550"/>
      <c r="AB849" s="548"/>
      <c r="AC849" s="548"/>
      <c r="AD849" s="551">
        <f t="shared" si="517"/>
        <v>0</v>
      </c>
      <c r="AE849" s="24"/>
      <c r="AF849" s="29"/>
    </row>
    <row r="850" spans="2:32" ht="14.25">
      <c r="B850" s="553"/>
      <c r="C850" s="547"/>
      <c r="D850" s="548"/>
      <c r="E850" s="548"/>
      <c r="F850" s="549">
        <f t="shared" si="511"/>
        <v>0</v>
      </c>
      <c r="G850" s="550"/>
      <c r="H850" s="548"/>
      <c r="I850" s="548"/>
      <c r="J850" s="551">
        <f t="shared" si="512"/>
        <v>0</v>
      </c>
      <c r="K850" s="550"/>
      <c r="L850" s="552"/>
      <c r="M850" s="548"/>
      <c r="N850" s="551">
        <f t="shared" si="513"/>
        <v>0</v>
      </c>
      <c r="O850" s="550"/>
      <c r="P850" s="548"/>
      <c r="Q850" s="548"/>
      <c r="R850" s="551">
        <f t="shared" si="514"/>
        <v>0</v>
      </c>
      <c r="S850" s="550"/>
      <c r="T850" s="548"/>
      <c r="U850" s="548"/>
      <c r="V850" s="551">
        <f t="shared" si="515"/>
        <v>0</v>
      </c>
      <c r="W850" s="550"/>
      <c r="X850" s="548"/>
      <c r="Y850" s="548"/>
      <c r="Z850" s="551">
        <f t="shared" si="516"/>
        <v>0</v>
      </c>
      <c r="AA850" s="550"/>
      <c r="AB850" s="548"/>
      <c r="AC850" s="548"/>
      <c r="AD850" s="551">
        <f t="shared" si="517"/>
        <v>0</v>
      </c>
      <c r="AE850" s="24"/>
      <c r="AF850" s="29"/>
    </row>
    <row r="851" spans="2:32" ht="14.25">
      <c r="B851" s="553"/>
      <c r="C851" s="547"/>
      <c r="D851" s="548"/>
      <c r="E851" s="548"/>
      <c r="F851" s="549">
        <f t="shared" si="511"/>
        <v>0</v>
      </c>
      <c r="G851" s="550"/>
      <c r="H851" s="548"/>
      <c r="I851" s="548"/>
      <c r="J851" s="551">
        <f t="shared" si="512"/>
        <v>0</v>
      </c>
      <c r="K851" s="550"/>
      <c r="L851" s="552"/>
      <c r="M851" s="548"/>
      <c r="N851" s="551">
        <f t="shared" si="513"/>
        <v>0</v>
      </c>
      <c r="O851" s="550"/>
      <c r="P851" s="548"/>
      <c r="Q851" s="548"/>
      <c r="R851" s="551">
        <f t="shared" si="514"/>
        <v>0</v>
      </c>
      <c r="S851" s="550"/>
      <c r="T851" s="548"/>
      <c r="U851" s="548"/>
      <c r="V851" s="551">
        <f t="shared" si="515"/>
        <v>0</v>
      </c>
      <c r="W851" s="550"/>
      <c r="X851" s="548"/>
      <c r="Y851" s="548"/>
      <c r="Z851" s="551">
        <f t="shared" si="516"/>
        <v>0</v>
      </c>
      <c r="AA851" s="550"/>
      <c r="AB851" s="548"/>
      <c r="AC851" s="548"/>
      <c r="AD851" s="551">
        <f t="shared" si="517"/>
        <v>0</v>
      </c>
      <c r="AE851" s="24"/>
      <c r="AF851" s="29">
        <f>J851+F851+N851+R851+V851+Z851+AD851</f>
        <v>0</v>
      </c>
    </row>
    <row r="852" spans="2:32" ht="14.25">
      <c r="B852" s="553"/>
      <c r="C852" s="547"/>
      <c r="D852" s="548"/>
      <c r="E852" s="548"/>
      <c r="F852" s="549">
        <f t="shared" si="511"/>
        <v>0</v>
      </c>
      <c r="G852" s="550"/>
      <c r="H852" s="548"/>
      <c r="I852" s="548"/>
      <c r="J852" s="551">
        <f t="shared" si="512"/>
        <v>0</v>
      </c>
      <c r="K852" s="550"/>
      <c r="L852" s="552"/>
      <c r="M852" s="548"/>
      <c r="N852" s="551">
        <f t="shared" si="513"/>
        <v>0</v>
      </c>
      <c r="O852" s="550"/>
      <c r="P852" s="548"/>
      <c r="Q852" s="548"/>
      <c r="R852" s="551">
        <f t="shared" si="514"/>
        <v>0</v>
      </c>
      <c r="S852" s="550"/>
      <c r="T852" s="548"/>
      <c r="U852" s="548"/>
      <c r="V852" s="551">
        <f t="shared" si="515"/>
        <v>0</v>
      </c>
      <c r="W852" s="550"/>
      <c r="X852" s="548"/>
      <c r="Y852" s="548"/>
      <c r="Z852" s="551">
        <f t="shared" si="516"/>
        <v>0</v>
      </c>
      <c r="AA852" s="550"/>
      <c r="AB852" s="548"/>
      <c r="AC852" s="548"/>
      <c r="AD852" s="551">
        <f t="shared" si="517"/>
        <v>0</v>
      </c>
      <c r="AE852" s="24"/>
      <c r="AF852" s="29">
        <f>J852+F852+N852+R852+V852+Z852+AD852</f>
        <v>0</v>
      </c>
    </row>
    <row r="853" spans="2:32" ht="14.25">
      <c r="B853" s="553"/>
      <c r="C853" s="547"/>
      <c r="D853" s="548"/>
      <c r="E853" s="548"/>
      <c r="F853" s="549">
        <f t="shared" si="511"/>
        <v>0</v>
      </c>
      <c r="G853" s="550"/>
      <c r="H853" s="548"/>
      <c r="I853" s="548"/>
      <c r="J853" s="551">
        <f t="shared" si="512"/>
        <v>0</v>
      </c>
      <c r="K853" s="550"/>
      <c r="L853" s="552"/>
      <c r="M853" s="548"/>
      <c r="N853" s="551">
        <f t="shared" si="513"/>
        <v>0</v>
      </c>
      <c r="O853" s="550"/>
      <c r="P853" s="548"/>
      <c r="Q853" s="548"/>
      <c r="R853" s="551">
        <f t="shared" si="514"/>
        <v>0</v>
      </c>
      <c r="S853" s="550"/>
      <c r="T853" s="548"/>
      <c r="U853" s="548"/>
      <c r="V853" s="551">
        <f t="shared" si="515"/>
        <v>0</v>
      </c>
      <c r="W853" s="550"/>
      <c r="X853" s="548"/>
      <c r="Y853" s="548"/>
      <c r="Z853" s="551">
        <f t="shared" si="516"/>
        <v>0</v>
      </c>
      <c r="AA853" s="550"/>
      <c r="AB853" s="548"/>
      <c r="AC853" s="548"/>
      <c r="AD853" s="551">
        <f t="shared" si="517"/>
        <v>0</v>
      </c>
      <c r="AE853" s="24"/>
      <c r="AF853" s="29"/>
    </row>
    <row r="854" spans="2:32" ht="14.25">
      <c r="B854" s="553"/>
      <c r="C854" s="547"/>
      <c r="D854" s="548"/>
      <c r="E854" s="548"/>
      <c r="F854" s="549">
        <f t="shared" si="511"/>
        <v>0</v>
      </c>
      <c r="G854" s="550"/>
      <c r="H854" s="548"/>
      <c r="I854" s="548"/>
      <c r="J854" s="551">
        <f t="shared" si="512"/>
        <v>0</v>
      </c>
      <c r="K854" s="550"/>
      <c r="L854" s="552"/>
      <c r="M854" s="548"/>
      <c r="N854" s="551">
        <f t="shared" si="513"/>
        <v>0</v>
      </c>
      <c r="O854" s="550"/>
      <c r="P854" s="548"/>
      <c r="Q854" s="548"/>
      <c r="R854" s="551">
        <f t="shared" si="514"/>
        <v>0</v>
      </c>
      <c r="S854" s="550"/>
      <c r="T854" s="548"/>
      <c r="U854" s="548"/>
      <c r="V854" s="551">
        <f t="shared" si="515"/>
        <v>0</v>
      </c>
      <c r="W854" s="550"/>
      <c r="X854" s="548"/>
      <c r="Y854" s="548"/>
      <c r="Z854" s="551">
        <f t="shared" si="516"/>
        <v>0</v>
      </c>
      <c r="AA854" s="550"/>
      <c r="AB854" s="548"/>
      <c r="AC854" s="548"/>
      <c r="AD854" s="551">
        <f t="shared" si="517"/>
        <v>0</v>
      </c>
      <c r="AE854" s="24"/>
      <c r="AF854" s="29"/>
    </row>
    <row r="855" spans="2:32" ht="14.25">
      <c r="B855" s="272"/>
      <c r="C855" s="637"/>
      <c r="D855" s="548"/>
      <c r="E855" s="548"/>
      <c r="F855" s="549">
        <f t="shared" si="511"/>
        <v>0</v>
      </c>
      <c r="G855" s="550"/>
      <c r="H855" s="548"/>
      <c r="I855" s="548"/>
      <c r="J855" s="551">
        <f t="shared" si="512"/>
        <v>0</v>
      </c>
      <c r="K855" s="550"/>
      <c r="L855" s="552"/>
      <c r="M855" s="548"/>
      <c r="N855" s="551">
        <f t="shared" si="513"/>
        <v>0</v>
      </c>
      <c r="O855" s="550"/>
      <c r="P855" s="548"/>
      <c r="Q855" s="548"/>
      <c r="R855" s="551">
        <f t="shared" si="514"/>
        <v>0</v>
      </c>
      <c r="S855" s="550"/>
      <c r="T855" s="548"/>
      <c r="U855" s="548"/>
      <c r="V855" s="551">
        <f t="shared" si="515"/>
        <v>0</v>
      </c>
      <c r="W855" s="550"/>
      <c r="X855" s="548"/>
      <c r="Y855" s="548"/>
      <c r="Z855" s="551">
        <f t="shared" si="516"/>
        <v>0</v>
      </c>
      <c r="AA855" s="550"/>
      <c r="AB855" s="548"/>
      <c r="AC855" s="548"/>
      <c r="AD855" s="551">
        <f t="shared" si="517"/>
        <v>0</v>
      </c>
      <c r="AE855" s="24"/>
      <c r="AF855" s="29">
        <f>J855+F855+N855+R855+V855+Z855+AD855</f>
        <v>0</v>
      </c>
    </row>
    <row r="856" spans="2:32" ht="14.25">
      <c r="B856" s="554" t="s">
        <v>61</v>
      </c>
      <c r="C856" s="554"/>
      <c r="D856" s="548"/>
      <c r="E856" s="548"/>
      <c r="F856" s="549">
        <f t="shared" si="511"/>
        <v>0</v>
      </c>
      <c r="G856" s="550"/>
      <c r="H856" s="548"/>
      <c r="I856" s="548"/>
      <c r="J856" s="551">
        <f t="shared" si="512"/>
        <v>0</v>
      </c>
      <c r="K856" s="550"/>
      <c r="L856" s="552"/>
      <c r="M856" s="548"/>
      <c r="N856" s="551">
        <f t="shared" si="513"/>
        <v>0</v>
      </c>
      <c r="O856" s="550"/>
      <c r="P856" s="548"/>
      <c r="Q856" s="548"/>
      <c r="R856" s="551">
        <f t="shared" si="514"/>
        <v>0</v>
      </c>
      <c r="S856" s="550"/>
      <c r="T856" s="548"/>
      <c r="U856" s="548"/>
      <c r="V856" s="551">
        <f t="shared" si="515"/>
        <v>0</v>
      </c>
      <c r="W856" s="550"/>
      <c r="X856" s="548"/>
      <c r="Y856" s="548"/>
      <c r="Z856" s="551">
        <f t="shared" si="516"/>
        <v>0</v>
      </c>
      <c r="AA856" s="550"/>
      <c r="AB856" s="548"/>
      <c r="AC856" s="548"/>
      <c r="AD856" s="551">
        <f t="shared" si="517"/>
        <v>0</v>
      </c>
      <c r="AE856" s="24"/>
      <c r="AF856" s="29">
        <f>J856+F856+N856+R856+V856+Z856+AD856</f>
        <v>0</v>
      </c>
    </row>
    <row r="857" spans="2:32">
      <c r="B857" s="31" t="s">
        <v>577</v>
      </c>
      <c r="C857" s="31"/>
      <c r="D857" s="91"/>
      <c r="E857" s="91"/>
      <c r="F857" s="90"/>
      <c r="G857" s="91"/>
      <c r="H857" s="91"/>
      <c r="I857" s="91"/>
      <c r="J857" s="90"/>
      <c r="K857" s="91"/>
      <c r="L857" s="430"/>
      <c r="M857" s="91"/>
      <c r="N857" s="90"/>
      <c r="O857" s="91"/>
      <c r="P857" s="91"/>
      <c r="Q857" s="91"/>
      <c r="R857" s="90"/>
      <c r="S857" s="91"/>
      <c r="T857" s="91"/>
      <c r="U857" s="91"/>
      <c r="V857" s="90"/>
      <c r="W857" s="91"/>
      <c r="X857" s="91"/>
      <c r="Y857" s="91"/>
      <c r="Z857" s="90"/>
      <c r="AA857" s="91"/>
      <c r="AB857" s="91"/>
      <c r="AC857" s="91"/>
      <c r="AD857" s="91"/>
      <c r="AE857" s="352"/>
      <c r="AF857" s="28"/>
    </row>
    <row r="858" spans="2:32">
      <c r="B858" s="31" t="s">
        <v>578</v>
      </c>
      <c r="C858" s="31"/>
      <c r="D858" s="91"/>
      <c r="E858" s="91"/>
      <c r="F858" s="90"/>
      <c r="G858" s="91"/>
      <c r="H858" s="91"/>
      <c r="I858" s="91"/>
      <c r="J858" s="90"/>
      <c r="K858" s="91"/>
      <c r="L858" s="430"/>
      <c r="M858" s="91"/>
      <c r="N858" s="90"/>
      <c r="O858" s="91"/>
      <c r="P858" s="91"/>
      <c r="Q858" s="91"/>
      <c r="R858" s="90"/>
      <c r="S858" s="91"/>
      <c r="T858" s="91"/>
      <c r="U858" s="91"/>
      <c r="V858" s="90"/>
      <c r="W858" s="91"/>
      <c r="X858" s="91"/>
      <c r="Y858" s="91"/>
      <c r="Z858" s="90"/>
      <c r="AA858" s="91"/>
      <c r="AB858" s="91"/>
      <c r="AC858" s="91"/>
      <c r="AD858" s="91"/>
      <c r="AE858" s="352"/>
      <c r="AF858" s="28">
        <f>SUM(D858:AD858)</f>
        <v>0</v>
      </c>
    </row>
    <row r="859" spans="2:32" ht="14.25" thickBot="1">
      <c r="B859" s="74" t="s">
        <v>579</v>
      </c>
      <c r="C859" s="74"/>
      <c r="D859" s="95"/>
      <c r="E859" s="95"/>
      <c r="F859" s="96"/>
      <c r="G859" s="95"/>
      <c r="H859" s="95"/>
      <c r="I859" s="95"/>
      <c r="J859" s="96"/>
      <c r="K859" s="95"/>
      <c r="L859" s="431"/>
      <c r="M859" s="95"/>
      <c r="N859" s="96"/>
      <c r="O859" s="95"/>
      <c r="P859" s="95"/>
      <c r="Q859" s="95"/>
      <c r="R859" s="96"/>
      <c r="S859" s="95"/>
      <c r="T859" s="95"/>
      <c r="U859" s="95"/>
      <c r="V859" s="96"/>
      <c r="W859" s="97"/>
      <c r="X859" s="97"/>
      <c r="Y859" s="97"/>
      <c r="Z859" s="96"/>
      <c r="AA859" s="97"/>
      <c r="AB859" s="97"/>
      <c r="AC859" s="97"/>
      <c r="AD859" s="97"/>
      <c r="AE859" s="97"/>
      <c r="AF859" s="80">
        <f>SUM(D859:AD859)</f>
        <v>0</v>
      </c>
    </row>
    <row r="860" spans="2:32" ht="14.25" customHeight="1" thickTop="1">
      <c r="B860" s="1518" t="s">
        <v>18</v>
      </c>
      <c r="C860" s="1528" t="s">
        <v>571</v>
      </c>
      <c r="D860" s="1524">
        <v>45635</v>
      </c>
      <c r="E860" s="1524"/>
      <c r="F860" s="1524"/>
      <c r="G860" s="22"/>
      <c r="H860" s="1524">
        <f>D860+1</f>
        <v>45636</v>
      </c>
      <c r="I860" s="1524"/>
      <c r="J860" s="1524"/>
      <c r="K860" s="22"/>
      <c r="L860" s="1524">
        <f>H860+1</f>
        <v>45637</v>
      </c>
      <c r="M860" s="1524"/>
      <c r="N860" s="1524"/>
      <c r="P860" s="1524">
        <f>L860+1</f>
        <v>45638</v>
      </c>
      <c r="Q860" s="1524"/>
      <c r="R860" s="1524"/>
      <c r="T860" s="1524">
        <f>P860+1</f>
        <v>45639</v>
      </c>
      <c r="U860" s="1524"/>
      <c r="V860" s="1524"/>
      <c r="W860" s="22"/>
      <c r="X860" s="1524">
        <f>T860+1</f>
        <v>45640</v>
      </c>
      <c r="Y860" s="1524"/>
      <c r="Z860" s="1524"/>
      <c r="AB860" s="1524">
        <f>X860+1</f>
        <v>45641</v>
      </c>
      <c r="AC860" s="1524"/>
      <c r="AD860" s="1524"/>
      <c r="AE860" s="22"/>
      <c r="AF860" s="1517" t="s">
        <v>19</v>
      </c>
    </row>
    <row r="861" spans="2:32">
      <c r="B861" s="1518"/>
      <c r="C861" s="1528"/>
      <c r="D861" s="21" t="s">
        <v>23</v>
      </c>
      <c r="E861" s="21" t="s">
        <v>24</v>
      </c>
      <c r="F861" s="62" t="s">
        <v>25</v>
      </c>
      <c r="G861" s="23"/>
      <c r="H861" s="21" t="s">
        <v>23</v>
      </c>
      <c r="I861" s="21" t="s">
        <v>24</v>
      </c>
      <c r="J861" s="18" t="s">
        <v>25</v>
      </c>
      <c r="K861" s="23"/>
      <c r="L861" s="21" t="s">
        <v>23</v>
      </c>
      <c r="M861" s="21" t="s">
        <v>24</v>
      </c>
      <c r="N861" s="18" t="s">
        <v>25</v>
      </c>
      <c r="O861" s="23"/>
      <c r="P861" s="21" t="s">
        <v>23</v>
      </c>
      <c r="Q861" s="21" t="s">
        <v>24</v>
      </c>
      <c r="R861" s="18" t="s">
        <v>25</v>
      </c>
      <c r="S861" s="23"/>
      <c r="T861" s="21" t="s">
        <v>23</v>
      </c>
      <c r="U861" s="21" t="s">
        <v>24</v>
      </c>
      <c r="V861" s="18" t="s">
        <v>25</v>
      </c>
      <c r="W861" s="23"/>
      <c r="X861" s="21" t="s">
        <v>23</v>
      </c>
      <c r="Y861" s="21" t="s">
        <v>24</v>
      </c>
      <c r="Z861" s="18" t="s">
        <v>25</v>
      </c>
      <c r="AA861" s="23"/>
      <c r="AB861" s="21" t="s">
        <v>23</v>
      </c>
      <c r="AC861" s="21" t="s">
        <v>24</v>
      </c>
      <c r="AD861" s="18" t="s">
        <v>25</v>
      </c>
      <c r="AE861" s="23"/>
      <c r="AF861" s="1517"/>
    </row>
    <row r="862" spans="2:32" ht="14.25">
      <c r="B862" s="553" t="s">
        <v>572</v>
      </c>
      <c r="C862" s="669" t="s">
        <v>887</v>
      </c>
      <c r="D862" s="548"/>
      <c r="E862" s="548"/>
      <c r="F862" s="549">
        <f t="shared" ref="F862:F873" si="518">(E862-D862)*24</f>
        <v>0</v>
      </c>
      <c r="G862" s="550"/>
      <c r="H862" s="548"/>
      <c r="I862" s="548"/>
      <c r="J862" s="551">
        <f t="shared" ref="J862:J873" si="519">(I862-H862)*24</f>
        <v>0</v>
      </c>
      <c r="K862" s="550"/>
      <c r="L862" s="552"/>
      <c r="M862" s="548"/>
      <c r="N862" s="551">
        <f t="shared" ref="N862:N873" si="520">(M862-L862)*24</f>
        <v>0</v>
      </c>
      <c r="O862" s="550"/>
      <c r="P862" s="548"/>
      <c r="Q862" s="548"/>
      <c r="R862" s="551">
        <f t="shared" ref="R862:R873" si="521">(Q862-P862)*24</f>
        <v>0</v>
      </c>
      <c r="S862" s="550"/>
      <c r="T862" s="548"/>
      <c r="U862" s="548"/>
      <c r="V862" s="551">
        <f t="shared" ref="V862:V873" si="522">(U862-T862)*24</f>
        <v>0</v>
      </c>
      <c r="W862" s="550"/>
      <c r="X862" s="548"/>
      <c r="Y862" s="548"/>
      <c r="Z862" s="551">
        <f t="shared" ref="Z862:Z873" si="523">(Y862-X862)*24</f>
        <v>0</v>
      </c>
      <c r="AA862" s="550"/>
      <c r="AB862" s="548"/>
      <c r="AC862" s="548"/>
      <c r="AD862" s="551">
        <f t="shared" ref="AD862:AD873" si="524">(AC862-AB862)*24</f>
        <v>0</v>
      </c>
      <c r="AE862" s="24"/>
      <c r="AF862" s="29">
        <f>J862+F862+N862+R862+V862+Z862+AD862</f>
        <v>0</v>
      </c>
    </row>
    <row r="863" spans="2:32" ht="14.25">
      <c r="B863" s="553" t="s">
        <v>572</v>
      </c>
      <c r="C863" s="669" t="s">
        <v>886</v>
      </c>
      <c r="D863" s="548">
        <v>0.625</v>
      </c>
      <c r="E863" s="548">
        <v>0.91666666666666663</v>
      </c>
      <c r="F863" s="549">
        <f t="shared" si="518"/>
        <v>6.9999999999999991</v>
      </c>
      <c r="G863" s="550"/>
      <c r="H863" s="548">
        <v>0.29166666666666669</v>
      </c>
      <c r="I863" s="548">
        <v>0.375</v>
      </c>
      <c r="J863" s="551">
        <f t="shared" si="519"/>
        <v>1.9999999999999996</v>
      </c>
      <c r="K863" s="550"/>
      <c r="L863" s="552"/>
      <c r="M863" s="548"/>
      <c r="N863" s="551">
        <f t="shared" si="520"/>
        <v>0</v>
      </c>
      <c r="O863" s="550"/>
      <c r="P863" s="548"/>
      <c r="Q863" s="548"/>
      <c r="R863" s="551">
        <f t="shared" si="521"/>
        <v>0</v>
      </c>
      <c r="S863" s="550"/>
      <c r="T863" s="548">
        <v>0.29166666666666669</v>
      </c>
      <c r="U863" s="548">
        <v>0.375</v>
      </c>
      <c r="V863" s="551">
        <f t="shared" si="522"/>
        <v>1.9999999999999996</v>
      </c>
      <c r="W863" s="550"/>
      <c r="X863" s="548"/>
      <c r="Y863" s="548"/>
      <c r="Z863" s="551">
        <f t="shared" si="523"/>
        <v>0</v>
      </c>
      <c r="AA863" s="550"/>
      <c r="AB863" s="548"/>
      <c r="AC863" s="548"/>
      <c r="AD863" s="551">
        <f t="shared" si="524"/>
        <v>0</v>
      </c>
      <c r="AE863" s="24"/>
      <c r="AF863" s="29">
        <f>J863+F863+N863+R863+V863+Z863+AD863</f>
        <v>10.999999999999998</v>
      </c>
    </row>
    <row r="864" spans="2:32" ht="14.25">
      <c r="B864" s="553" t="s">
        <v>572</v>
      </c>
      <c r="C864" s="669" t="s">
        <v>886</v>
      </c>
      <c r="D864" s="548"/>
      <c r="E864" s="548"/>
      <c r="F864" s="549">
        <f t="shared" si="518"/>
        <v>0</v>
      </c>
      <c r="G864" s="550"/>
      <c r="H864" s="548">
        <v>0.625</v>
      </c>
      <c r="I864" s="548">
        <v>0.95833333333333337</v>
      </c>
      <c r="J864" s="551">
        <f t="shared" si="519"/>
        <v>8</v>
      </c>
      <c r="K864" s="550"/>
      <c r="L864" s="548">
        <v>0.625</v>
      </c>
      <c r="M864" s="548">
        <v>0.95833333333333337</v>
      </c>
      <c r="N864" s="551">
        <f t="shared" si="520"/>
        <v>8</v>
      </c>
      <c r="O864" s="550"/>
      <c r="P864" s="548">
        <v>0.64583333333333337</v>
      </c>
      <c r="Q864" s="548">
        <v>0.95833333333333337</v>
      </c>
      <c r="R864" s="551">
        <f t="shared" si="521"/>
        <v>7.5</v>
      </c>
      <c r="S864" s="550"/>
      <c r="T864" s="548"/>
      <c r="U864" s="548"/>
      <c r="V864" s="551">
        <f t="shared" si="522"/>
        <v>0</v>
      </c>
      <c r="W864" s="550"/>
      <c r="X864" s="548"/>
      <c r="Y864" s="548"/>
      <c r="Z864" s="551">
        <f t="shared" si="523"/>
        <v>0</v>
      </c>
      <c r="AA864" s="550"/>
      <c r="AB864" s="548"/>
      <c r="AC864" s="548"/>
      <c r="AD864" s="551">
        <f t="shared" si="524"/>
        <v>0</v>
      </c>
      <c r="AE864" s="24"/>
      <c r="AF864" s="29">
        <f>J864+F864+N864+R864+V864+Z864+AD864</f>
        <v>23.5</v>
      </c>
    </row>
    <row r="865" spans="2:32" ht="14.25">
      <c r="B865" s="553" t="s">
        <v>576</v>
      </c>
      <c r="C865" s="669" t="s">
        <v>886</v>
      </c>
      <c r="D865" s="548"/>
      <c r="E865" s="548"/>
      <c r="F865" s="549">
        <f t="shared" si="518"/>
        <v>0</v>
      </c>
      <c r="G865" s="550"/>
      <c r="H865" s="548">
        <v>0.625</v>
      </c>
      <c r="I865" s="548">
        <v>0.95833333333333337</v>
      </c>
      <c r="J865" s="551">
        <f t="shared" si="519"/>
        <v>8</v>
      </c>
      <c r="K865" s="550"/>
      <c r="L865" s="548">
        <v>0.625</v>
      </c>
      <c r="M865" s="548">
        <v>0.95833333333333337</v>
      </c>
      <c r="N865" s="551">
        <f t="shared" si="520"/>
        <v>8</v>
      </c>
      <c r="O865" s="550"/>
      <c r="P865" s="548">
        <v>0.64583333333333337</v>
      </c>
      <c r="Q865" s="548">
        <v>0.95833333333333337</v>
      </c>
      <c r="R865" s="551">
        <f t="shared" si="521"/>
        <v>7.5</v>
      </c>
      <c r="S865" s="550"/>
      <c r="T865" s="548"/>
      <c r="U865" s="548"/>
      <c r="V865" s="551">
        <f t="shared" si="522"/>
        <v>0</v>
      </c>
      <c r="W865" s="550"/>
      <c r="X865" s="548"/>
      <c r="Y865" s="548"/>
      <c r="Z865" s="551">
        <f t="shared" si="523"/>
        <v>0</v>
      </c>
      <c r="AA865" s="550"/>
      <c r="AB865" s="548"/>
      <c r="AC865" s="548"/>
      <c r="AD865" s="551">
        <f t="shared" si="524"/>
        <v>0</v>
      </c>
      <c r="AE865" s="24"/>
      <c r="AF865" s="29">
        <f>J865+F865+N865+R865+V865+Z865+AD865</f>
        <v>23.5</v>
      </c>
    </row>
    <row r="866" spans="2:32" ht="14.25">
      <c r="B866" s="553"/>
      <c r="C866" s="547"/>
      <c r="D866" s="548"/>
      <c r="E866" s="548"/>
      <c r="F866" s="549">
        <f t="shared" si="518"/>
        <v>0</v>
      </c>
      <c r="G866" s="550"/>
      <c r="H866" s="548"/>
      <c r="I866" s="548"/>
      <c r="J866" s="551">
        <f t="shared" si="519"/>
        <v>0</v>
      </c>
      <c r="K866" s="550"/>
      <c r="L866" s="552"/>
      <c r="M866" s="548"/>
      <c r="N866" s="551">
        <f t="shared" si="520"/>
        <v>0</v>
      </c>
      <c r="O866" s="550"/>
      <c r="P866" s="548"/>
      <c r="Q866" s="548"/>
      <c r="R866" s="551">
        <f t="shared" si="521"/>
        <v>0</v>
      </c>
      <c r="S866" s="550"/>
      <c r="T866" s="548"/>
      <c r="U866" s="548"/>
      <c r="V866" s="551">
        <f t="shared" si="522"/>
        <v>0</v>
      </c>
      <c r="W866" s="550"/>
      <c r="X866" s="548"/>
      <c r="Y866" s="548"/>
      <c r="Z866" s="551">
        <f t="shared" si="523"/>
        <v>0</v>
      </c>
      <c r="AA866" s="550"/>
      <c r="AB866" s="548"/>
      <c r="AC866" s="548"/>
      <c r="AD866" s="551">
        <f t="shared" si="524"/>
        <v>0</v>
      </c>
      <c r="AE866" s="24"/>
      <c r="AF866" s="29"/>
    </row>
    <row r="867" spans="2:32" ht="14.25">
      <c r="B867" s="553"/>
      <c r="C867" s="547"/>
      <c r="D867" s="548"/>
      <c r="E867" s="548"/>
      <c r="F867" s="549">
        <f t="shared" si="518"/>
        <v>0</v>
      </c>
      <c r="G867" s="550"/>
      <c r="H867" s="548"/>
      <c r="I867" s="548"/>
      <c r="J867" s="551">
        <f t="shared" si="519"/>
        <v>0</v>
      </c>
      <c r="K867" s="550"/>
      <c r="L867" s="552"/>
      <c r="M867" s="548"/>
      <c r="N867" s="551">
        <f t="shared" si="520"/>
        <v>0</v>
      </c>
      <c r="O867" s="550"/>
      <c r="P867" s="548"/>
      <c r="Q867" s="548"/>
      <c r="R867" s="551">
        <f t="shared" si="521"/>
        <v>0</v>
      </c>
      <c r="S867" s="550"/>
      <c r="T867" s="548"/>
      <c r="U867" s="548"/>
      <c r="V867" s="551">
        <f t="shared" si="522"/>
        <v>0</v>
      </c>
      <c r="W867" s="550"/>
      <c r="X867" s="548"/>
      <c r="Y867" s="548"/>
      <c r="Z867" s="551">
        <f t="shared" si="523"/>
        <v>0</v>
      </c>
      <c r="AA867" s="550"/>
      <c r="AB867" s="548"/>
      <c r="AC867" s="548"/>
      <c r="AD867" s="551">
        <f t="shared" si="524"/>
        <v>0</v>
      </c>
      <c r="AE867" s="24"/>
      <c r="AF867" s="29"/>
    </row>
    <row r="868" spans="2:32" ht="14.25">
      <c r="B868" s="553"/>
      <c r="C868" s="547"/>
      <c r="D868" s="548"/>
      <c r="E868" s="548"/>
      <c r="F868" s="549">
        <f t="shared" si="518"/>
        <v>0</v>
      </c>
      <c r="G868" s="550"/>
      <c r="H868" s="548"/>
      <c r="I868" s="548"/>
      <c r="J868" s="551">
        <f t="shared" si="519"/>
        <v>0</v>
      </c>
      <c r="K868" s="550"/>
      <c r="L868" s="552"/>
      <c r="M868" s="548"/>
      <c r="N868" s="551">
        <f t="shared" si="520"/>
        <v>0</v>
      </c>
      <c r="O868" s="550"/>
      <c r="P868" s="548"/>
      <c r="Q868" s="548"/>
      <c r="R868" s="551">
        <f t="shared" si="521"/>
        <v>0</v>
      </c>
      <c r="S868" s="550"/>
      <c r="T868" s="548"/>
      <c r="U868" s="548"/>
      <c r="V868" s="551">
        <f t="shared" si="522"/>
        <v>0</v>
      </c>
      <c r="W868" s="550"/>
      <c r="X868" s="548"/>
      <c r="Y868" s="548"/>
      <c r="Z868" s="551">
        <f t="shared" si="523"/>
        <v>0</v>
      </c>
      <c r="AA868" s="550"/>
      <c r="AB868" s="548"/>
      <c r="AC868" s="548"/>
      <c r="AD868" s="551">
        <f t="shared" si="524"/>
        <v>0</v>
      </c>
      <c r="AE868" s="24"/>
      <c r="AF868" s="29">
        <f>J868+F868+N868+R868+V868+Z868+AD868</f>
        <v>0</v>
      </c>
    </row>
    <row r="869" spans="2:32" ht="14.25">
      <c r="B869" s="553"/>
      <c r="C869" s="547"/>
      <c r="D869" s="548"/>
      <c r="E869" s="548"/>
      <c r="F869" s="549">
        <f t="shared" si="518"/>
        <v>0</v>
      </c>
      <c r="G869" s="550"/>
      <c r="H869" s="548"/>
      <c r="I869" s="548"/>
      <c r="J869" s="551">
        <f t="shared" si="519"/>
        <v>0</v>
      </c>
      <c r="K869" s="550"/>
      <c r="L869" s="552"/>
      <c r="M869" s="548"/>
      <c r="N869" s="551">
        <f t="shared" si="520"/>
        <v>0</v>
      </c>
      <c r="O869" s="550"/>
      <c r="P869" s="548"/>
      <c r="Q869" s="548"/>
      <c r="R869" s="551">
        <f t="shared" si="521"/>
        <v>0</v>
      </c>
      <c r="S869" s="550"/>
      <c r="T869" s="548"/>
      <c r="U869" s="548"/>
      <c r="V869" s="551">
        <f t="shared" si="522"/>
        <v>0</v>
      </c>
      <c r="W869" s="550"/>
      <c r="X869" s="548"/>
      <c r="Y869" s="548"/>
      <c r="Z869" s="551">
        <f t="shared" si="523"/>
        <v>0</v>
      </c>
      <c r="AA869" s="550"/>
      <c r="AB869" s="548"/>
      <c r="AC869" s="548"/>
      <c r="AD869" s="551">
        <f t="shared" si="524"/>
        <v>0</v>
      </c>
      <c r="AE869" s="24"/>
      <c r="AF869" s="29">
        <f>J869+F869+N869+R869+V869+Z869+AD869</f>
        <v>0</v>
      </c>
    </row>
    <row r="870" spans="2:32" ht="14.25">
      <c r="B870" s="553"/>
      <c r="C870" s="547"/>
      <c r="D870" s="548"/>
      <c r="E870" s="548"/>
      <c r="F870" s="549">
        <f t="shared" si="518"/>
        <v>0</v>
      </c>
      <c r="G870" s="550"/>
      <c r="H870" s="548"/>
      <c r="I870" s="548"/>
      <c r="J870" s="551">
        <f t="shared" si="519"/>
        <v>0</v>
      </c>
      <c r="K870" s="550"/>
      <c r="L870" s="552"/>
      <c r="M870" s="548"/>
      <c r="N870" s="551">
        <f t="shared" si="520"/>
        <v>0</v>
      </c>
      <c r="O870" s="550"/>
      <c r="P870" s="548"/>
      <c r="Q870" s="548"/>
      <c r="R870" s="551">
        <f t="shared" si="521"/>
        <v>0</v>
      </c>
      <c r="S870" s="550"/>
      <c r="T870" s="548"/>
      <c r="U870" s="548"/>
      <c r="V870" s="551">
        <f t="shared" si="522"/>
        <v>0</v>
      </c>
      <c r="W870" s="550"/>
      <c r="X870" s="548"/>
      <c r="Y870" s="548"/>
      <c r="Z870" s="551">
        <f t="shared" si="523"/>
        <v>0</v>
      </c>
      <c r="AA870" s="550"/>
      <c r="AB870" s="548"/>
      <c r="AC870" s="548"/>
      <c r="AD870" s="551">
        <f t="shared" si="524"/>
        <v>0</v>
      </c>
      <c r="AE870" s="24"/>
      <c r="AF870" s="29"/>
    </row>
    <row r="871" spans="2:32" ht="14.25">
      <c r="B871" s="553"/>
      <c r="C871" s="547"/>
      <c r="D871" s="548"/>
      <c r="E871" s="548"/>
      <c r="F871" s="549">
        <f t="shared" si="518"/>
        <v>0</v>
      </c>
      <c r="G871" s="550"/>
      <c r="H871" s="548"/>
      <c r="I871" s="548"/>
      <c r="J871" s="551">
        <f t="shared" si="519"/>
        <v>0</v>
      </c>
      <c r="K871" s="550"/>
      <c r="L871" s="552"/>
      <c r="M871" s="548"/>
      <c r="N871" s="551">
        <f t="shared" si="520"/>
        <v>0</v>
      </c>
      <c r="O871" s="550"/>
      <c r="P871" s="548"/>
      <c r="Q871" s="548"/>
      <c r="R871" s="551">
        <f t="shared" si="521"/>
        <v>0</v>
      </c>
      <c r="S871" s="550"/>
      <c r="T871" s="548"/>
      <c r="U871" s="548"/>
      <c r="V871" s="551">
        <f t="shared" si="522"/>
        <v>0</v>
      </c>
      <c r="W871" s="550"/>
      <c r="X871" s="548"/>
      <c r="Y871" s="548"/>
      <c r="Z871" s="551">
        <f t="shared" si="523"/>
        <v>0</v>
      </c>
      <c r="AA871" s="550"/>
      <c r="AB871" s="548"/>
      <c r="AC871" s="548"/>
      <c r="AD871" s="551">
        <f t="shared" si="524"/>
        <v>0</v>
      </c>
      <c r="AE871" s="24"/>
      <c r="AF871" s="29"/>
    </row>
    <row r="872" spans="2:32" ht="14.25">
      <c r="B872" s="272"/>
      <c r="C872" s="637"/>
      <c r="D872" s="548"/>
      <c r="E872" s="548"/>
      <c r="F872" s="549">
        <f t="shared" si="518"/>
        <v>0</v>
      </c>
      <c r="G872" s="550"/>
      <c r="H872" s="548"/>
      <c r="I872" s="548"/>
      <c r="J872" s="551">
        <f t="shared" si="519"/>
        <v>0</v>
      </c>
      <c r="K872" s="550"/>
      <c r="L872" s="552"/>
      <c r="M872" s="548"/>
      <c r="N872" s="551">
        <f t="shared" si="520"/>
        <v>0</v>
      </c>
      <c r="O872" s="550"/>
      <c r="P872" s="548"/>
      <c r="Q872" s="548"/>
      <c r="R872" s="551">
        <f t="shared" si="521"/>
        <v>0</v>
      </c>
      <c r="S872" s="550"/>
      <c r="T872" s="548"/>
      <c r="U872" s="548"/>
      <c r="V872" s="551">
        <f t="shared" si="522"/>
        <v>0</v>
      </c>
      <c r="W872" s="550"/>
      <c r="X872" s="548"/>
      <c r="Y872" s="548"/>
      <c r="Z872" s="551">
        <f t="shared" si="523"/>
        <v>0</v>
      </c>
      <c r="AA872" s="550"/>
      <c r="AB872" s="548"/>
      <c r="AC872" s="548"/>
      <c r="AD872" s="551">
        <f t="shared" si="524"/>
        <v>0</v>
      </c>
      <c r="AE872" s="24"/>
      <c r="AF872" s="29">
        <f>J872+F872+N872+R872+V872+Z872+AD872</f>
        <v>0</v>
      </c>
    </row>
    <row r="873" spans="2:32" ht="14.25">
      <c r="B873" s="554" t="s">
        <v>61</v>
      </c>
      <c r="C873" s="554"/>
      <c r="D873" s="548"/>
      <c r="E873" s="548"/>
      <c r="F873" s="549">
        <f t="shared" si="518"/>
        <v>0</v>
      </c>
      <c r="G873" s="550"/>
      <c r="H873" s="548"/>
      <c r="I873" s="548"/>
      <c r="J873" s="551">
        <f t="shared" si="519"/>
        <v>0</v>
      </c>
      <c r="K873" s="550"/>
      <c r="L873" s="552"/>
      <c r="M873" s="548"/>
      <c r="N873" s="551">
        <f t="shared" si="520"/>
        <v>0</v>
      </c>
      <c r="O873" s="550"/>
      <c r="P873" s="548"/>
      <c r="Q873" s="548"/>
      <c r="R873" s="551">
        <f t="shared" si="521"/>
        <v>0</v>
      </c>
      <c r="S873" s="550"/>
      <c r="T873" s="548"/>
      <c r="U873" s="548"/>
      <c r="V873" s="551">
        <f t="shared" si="522"/>
        <v>0</v>
      </c>
      <c r="W873" s="550"/>
      <c r="X873" s="548"/>
      <c r="Y873" s="548"/>
      <c r="Z873" s="551">
        <f t="shared" si="523"/>
        <v>0</v>
      </c>
      <c r="AA873" s="550"/>
      <c r="AB873" s="548"/>
      <c r="AC873" s="548"/>
      <c r="AD873" s="551">
        <f t="shared" si="524"/>
        <v>0</v>
      </c>
      <c r="AE873" s="24"/>
      <c r="AF873" s="29">
        <f>J873+F873+N873+R873+V873+Z873+AD873</f>
        <v>0</v>
      </c>
    </row>
    <row r="874" spans="2:32">
      <c r="B874" s="31" t="s">
        <v>577</v>
      </c>
      <c r="C874" s="31"/>
      <c r="D874" s="91"/>
      <c r="E874" s="91"/>
      <c r="F874" s="90"/>
      <c r="G874" s="91"/>
      <c r="H874" s="91"/>
      <c r="I874" s="91"/>
      <c r="J874" s="90"/>
      <c r="K874" s="91"/>
      <c r="L874" s="430"/>
      <c r="M874" s="91"/>
      <c r="N874" s="90"/>
      <c r="O874" s="91"/>
      <c r="P874" s="91"/>
      <c r="Q874" s="91"/>
      <c r="R874" s="90"/>
      <c r="S874" s="91"/>
      <c r="T874" s="91"/>
      <c r="U874" s="91"/>
      <c r="V874" s="90"/>
      <c r="W874" s="91"/>
      <c r="X874" s="91"/>
      <c r="Y874" s="91"/>
      <c r="Z874" s="90"/>
      <c r="AA874" s="91"/>
      <c r="AB874" s="91"/>
      <c r="AC874" s="91"/>
      <c r="AD874" s="91"/>
      <c r="AE874" s="352"/>
      <c r="AF874" s="28"/>
    </row>
    <row r="875" spans="2:32">
      <c r="B875" s="31" t="s">
        <v>578</v>
      </c>
      <c r="C875" s="31"/>
      <c r="D875" s="91"/>
      <c r="E875" s="91"/>
      <c r="F875" s="90"/>
      <c r="G875" s="91"/>
      <c r="H875" s="91"/>
      <c r="I875" s="91"/>
      <c r="J875" s="90"/>
      <c r="K875" s="91"/>
      <c r="L875" s="430"/>
      <c r="M875" s="91"/>
      <c r="N875" s="90"/>
      <c r="O875" s="91"/>
      <c r="P875" s="91"/>
      <c r="Q875" s="91"/>
      <c r="R875" s="90"/>
      <c r="S875" s="91"/>
      <c r="T875" s="91"/>
      <c r="U875" s="91"/>
      <c r="V875" s="90"/>
      <c r="W875" s="91"/>
      <c r="X875" s="91"/>
      <c r="Y875" s="91"/>
      <c r="Z875" s="90"/>
      <c r="AA875" s="91"/>
      <c r="AB875" s="91"/>
      <c r="AC875" s="91"/>
      <c r="AD875" s="91"/>
      <c r="AE875" s="352"/>
      <c r="AF875" s="28">
        <f>SUM(D875:AD875)</f>
        <v>0</v>
      </c>
    </row>
    <row r="876" spans="2:32" ht="14.25" thickBot="1">
      <c r="B876" s="74" t="s">
        <v>579</v>
      </c>
      <c r="C876" s="74"/>
      <c r="D876" s="95"/>
      <c r="E876" s="95"/>
      <c r="F876" s="96"/>
      <c r="G876" s="95"/>
      <c r="H876" s="95"/>
      <c r="I876" s="95"/>
      <c r="J876" s="96"/>
      <c r="K876" s="95"/>
      <c r="L876" s="431"/>
      <c r="M876" s="95"/>
      <c r="N876" s="96"/>
      <c r="O876" s="95"/>
      <c r="P876" s="95"/>
      <c r="Q876" s="95"/>
      <c r="R876" s="96"/>
      <c r="S876" s="95"/>
      <c r="T876" s="95"/>
      <c r="U876" s="95"/>
      <c r="V876" s="96"/>
      <c r="W876" s="97"/>
      <c r="X876" s="97"/>
      <c r="Y876" s="97"/>
      <c r="Z876" s="96"/>
      <c r="AA876" s="97"/>
      <c r="AB876" s="97"/>
      <c r="AC876" s="97"/>
      <c r="AD876" s="97"/>
      <c r="AE876" s="97"/>
      <c r="AF876" s="80">
        <f>SUM(D876:AD876)</f>
        <v>0</v>
      </c>
    </row>
    <row r="877" spans="2:32" ht="14.25" customHeight="1" thickTop="1">
      <c r="B877" s="1518" t="s">
        <v>18</v>
      </c>
      <c r="C877" s="1528" t="s">
        <v>571</v>
      </c>
      <c r="D877" s="1524">
        <v>45642</v>
      </c>
      <c r="E877" s="1524"/>
      <c r="F877" s="1524"/>
      <c r="G877" s="22"/>
      <c r="H877" s="1524">
        <f>D877+1</f>
        <v>45643</v>
      </c>
      <c r="I877" s="1524"/>
      <c r="J877" s="1524"/>
      <c r="K877" s="22"/>
      <c r="L877" s="1524">
        <f>H877+1</f>
        <v>45644</v>
      </c>
      <c r="M877" s="1524"/>
      <c r="N877" s="1524"/>
      <c r="P877" s="1524">
        <f>L877+1</f>
        <v>45645</v>
      </c>
      <c r="Q877" s="1524"/>
      <c r="R877" s="1524"/>
      <c r="T877" s="1524">
        <f>P877+1</f>
        <v>45646</v>
      </c>
      <c r="U877" s="1524"/>
      <c r="V877" s="1524"/>
      <c r="W877" s="22"/>
      <c r="X877" s="1524">
        <f>T877+1</f>
        <v>45647</v>
      </c>
      <c r="Y877" s="1524"/>
      <c r="Z877" s="1524"/>
      <c r="AB877" s="1524">
        <f>X877+1</f>
        <v>45648</v>
      </c>
      <c r="AC877" s="1524"/>
      <c r="AD877" s="1524"/>
      <c r="AE877" s="22"/>
      <c r="AF877" s="1517" t="s">
        <v>19</v>
      </c>
    </row>
    <row r="878" spans="2:32">
      <c r="B878" s="1518"/>
      <c r="C878" s="1528"/>
      <c r="D878" s="21" t="s">
        <v>23</v>
      </c>
      <c r="E878" s="21" t="s">
        <v>24</v>
      </c>
      <c r="F878" s="62" t="s">
        <v>25</v>
      </c>
      <c r="G878" s="23"/>
      <c r="H878" s="21" t="s">
        <v>23</v>
      </c>
      <c r="I878" s="21" t="s">
        <v>24</v>
      </c>
      <c r="J878" s="18" t="s">
        <v>25</v>
      </c>
      <c r="K878" s="23"/>
      <c r="L878" s="21" t="s">
        <v>23</v>
      </c>
      <c r="M878" s="21" t="s">
        <v>24</v>
      </c>
      <c r="N878" s="18" t="s">
        <v>25</v>
      </c>
      <c r="O878" s="23"/>
      <c r="P878" s="21" t="s">
        <v>23</v>
      </c>
      <c r="Q878" s="21" t="s">
        <v>24</v>
      </c>
      <c r="R878" s="18" t="s">
        <v>25</v>
      </c>
      <c r="S878" s="23"/>
      <c r="T878" s="21" t="s">
        <v>23</v>
      </c>
      <c r="U878" s="21" t="s">
        <v>24</v>
      </c>
      <c r="V878" s="18" t="s">
        <v>25</v>
      </c>
      <c r="W878" s="23"/>
      <c r="X878" s="21" t="s">
        <v>23</v>
      </c>
      <c r="Y878" s="21" t="s">
        <v>24</v>
      </c>
      <c r="Z878" s="18" t="s">
        <v>25</v>
      </c>
      <c r="AA878" s="23"/>
      <c r="AB878" s="21" t="s">
        <v>23</v>
      </c>
      <c r="AC878" s="21" t="s">
        <v>24</v>
      </c>
      <c r="AD878" s="18" t="s">
        <v>25</v>
      </c>
      <c r="AE878" s="23"/>
      <c r="AF878" s="1517"/>
    </row>
    <row r="879" spans="2:32" ht="14.25">
      <c r="B879" s="553" t="s">
        <v>54</v>
      </c>
      <c r="C879" s="547" t="s">
        <v>862</v>
      </c>
      <c r="D879" s="548">
        <v>0.375</v>
      </c>
      <c r="E879" s="548">
        <v>0.70833333333333337</v>
      </c>
      <c r="F879" s="549">
        <f t="shared" ref="F879:F890" si="525">(E879-D879)*24</f>
        <v>8</v>
      </c>
      <c r="G879" s="550"/>
      <c r="H879" s="548">
        <v>0.375</v>
      </c>
      <c r="I879" s="548">
        <v>0.70833333333333337</v>
      </c>
      <c r="J879" s="551">
        <f t="shared" ref="J879:J890" si="526">(I879-H879)*24</f>
        <v>8</v>
      </c>
      <c r="K879" s="550"/>
      <c r="L879" s="548">
        <v>0.375</v>
      </c>
      <c r="M879" s="548">
        <v>0.70833333333333337</v>
      </c>
      <c r="N879" s="551">
        <f t="shared" ref="N879:N890" si="527">(M879-L879)*24</f>
        <v>8</v>
      </c>
      <c r="O879" s="550"/>
      <c r="P879" s="548"/>
      <c r="Q879" s="548"/>
      <c r="R879" s="551">
        <f t="shared" ref="R879:R890" si="528">(Q879-P879)*24</f>
        <v>0</v>
      </c>
      <c r="S879" s="550"/>
      <c r="T879" s="548"/>
      <c r="U879" s="548"/>
      <c r="V879" s="551">
        <f t="shared" ref="V879:V890" si="529">(U879-T879)*24</f>
        <v>0</v>
      </c>
      <c r="W879" s="550"/>
      <c r="X879" s="548"/>
      <c r="Y879" s="548"/>
      <c r="Z879" s="551">
        <f t="shared" ref="Z879:Z890" si="530">(Y879-X879)*24</f>
        <v>0</v>
      </c>
      <c r="AA879" s="550"/>
      <c r="AB879" s="548"/>
      <c r="AC879" s="548"/>
      <c r="AD879" s="551">
        <f t="shared" ref="AD879:AD890" si="531">(AC879-AB879)*24</f>
        <v>0</v>
      </c>
      <c r="AE879" s="24"/>
      <c r="AF879" s="29">
        <f>J879+F879+N879+R879+V879+Z879+AD879</f>
        <v>24</v>
      </c>
    </row>
    <row r="880" spans="2:32" ht="14.25">
      <c r="B880" s="553" t="s">
        <v>576</v>
      </c>
      <c r="C880" s="547" t="s">
        <v>862</v>
      </c>
      <c r="D880" s="548">
        <v>0.375</v>
      </c>
      <c r="E880" s="548">
        <v>0.66666666666666663</v>
      </c>
      <c r="F880" s="549">
        <f t="shared" si="525"/>
        <v>6.9999999999999991</v>
      </c>
      <c r="G880" s="550"/>
      <c r="H880" s="548">
        <v>0.375</v>
      </c>
      <c r="I880" s="548">
        <v>0.66666666666666663</v>
      </c>
      <c r="J880" s="551">
        <f t="shared" si="526"/>
        <v>6.9999999999999991</v>
      </c>
      <c r="K880" s="550"/>
      <c r="L880" s="548">
        <v>0.375</v>
      </c>
      <c r="M880" s="548">
        <v>0.66666666666666663</v>
      </c>
      <c r="N880" s="551">
        <f t="shared" si="527"/>
        <v>6.9999999999999991</v>
      </c>
      <c r="O880" s="550"/>
      <c r="P880" s="548">
        <v>0.375</v>
      </c>
      <c r="Q880" s="548">
        <v>0.66666666666666663</v>
      </c>
      <c r="R880" s="551">
        <f t="shared" si="528"/>
        <v>6.9999999999999991</v>
      </c>
      <c r="S880" s="550"/>
      <c r="T880" s="548">
        <v>0.375</v>
      </c>
      <c r="U880" s="548">
        <v>0.66666666666666663</v>
      </c>
      <c r="V880" s="551">
        <f t="shared" si="529"/>
        <v>6.9999999999999991</v>
      </c>
      <c r="W880" s="550"/>
      <c r="X880" s="548"/>
      <c r="Y880" s="548"/>
      <c r="Z880" s="551">
        <f t="shared" si="530"/>
        <v>0</v>
      </c>
      <c r="AA880" s="550"/>
      <c r="AB880" s="548"/>
      <c r="AC880" s="548"/>
      <c r="AD880" s="551">
        <f t="shared" si="531"/>
        <v>0</v>
      </c>
      <c r="AE880" s="24"/>
      <c r="AF880" s="29">
        <f>J880+F880+N880+R880+V880+Z880+AD880</f>
        <v>34.999999999999993</v>
      </c>
    </row>
    <row r="881" spans="2:32" ht="14.25">
      <c r="B881" s="553" t="s">
        <v>637</v>
      </c>
      <c r="C881" s="547" t="s">
        <v>862</v>
      </c>
      <c r="D881" s="548">
        <v>0.48958333333333331</v>
      </c>
      <c r="E881" s="548">
        <v>0.72916666666666663</v>
      </c>
      <c r="F881" s="549">
        <f t="shared" si="525"/>
        <v>5.75</v>
      </c>
      <c r="G881" s="550"/>
      <c r="H881" s="548">
        <v>0.375</v>
      </c>
      <c r="I881" s="548">
        <v>0.72916666666666663</v>
      </c>
      <c r="J881" s="551">
        <f t="shared" si="526"/>
        <v>8.5</v>
      </c>
      <c r="K881" s="550"/>
      <c r="L881" s="548">
        <v>0.375</v>
      </c>
      <c r="M881" s="548">
        <v>0.72916666666666663</v>
      </c>
      <c r="N881" s="551">
        <f t="shared" si="527"/>
        <v>8.5</v>
      </c>
      <c r="O881" s="550"/>
      <c r="P881" s="548"/>
      <c r="Q881" s="548"/>
      <c r="R881" s="551">
        <f t="shared" si="528"/>
        <v>0</v>
      </c>
      <c r="S881" s="550"/>
      <c r="T881" s="548"/>
      <c r="U881" s="548"/>
      <c r="V881" s="551">
        <f t="shared" si="529"/>
        <v>0</v>
      </c>
      <c r="W881" s="550"/>
      <c r="X881" s="548"/>
      <c r="Y881" s="548"/>
      <c r="Z881" s="551">
        <f t="shared" si="530"/>
        <v>0</v>
      </c>
      <c r="AA881" s="550"/>
      <c r="AB881" s="548"/>
      <c r="AC881" s="548"/>
      <c r="AD881" s="551">
        <f t="shared" si="531"/>
        <v>0</v>
      </c>
      <c r="AE881" s="24"/>
      <c r="AF881" s="29">
        <f>J881+F881+N881+R881+V881+Z881+AD881</f>
        <v>22.75</v>
      </c>
    </row>
    <row r="882" spans="2:32" ht="14.25">
      <c r="B882" s="553" t="s">
        <v>42</v>
      </c>
      <c r="C882" s="547" t="s">
        <v>862</v>
      </c>
      <c r="D882" s="548">
        <v>0.375</v>
      </c>
      <c r="E882" s="548">
        <v>0.70833333333333337</v>
      </c>
      <c r="F882" s="549">
        <f t="shared" si="525"/>
        <v>8</v>
      </c>
      <c r="G882" s="550"/>
      <c r="H882" s="548">
        <v>0.375</v>
      </c>
      <c r="I882" s="548">
        <v>0.70833333333333337</v>
      </c>
      <c r="J882" s="551">
        <f t="shared" si="526"/>
        <v>8</v>
      </c>
      <c r="K882" s="550"/>
      <c r="L882" s="548">
        <v>0.375</v>
      </c>
      <c r="M882" s="548">
        <v>0.70833333333333337</v>
      </c>
      <c r="N882" s="551">
        <f t="shared" si="527"/>
        <v>8</v>
      </c>
      <c r="O882" s="550"/>
      <c r="P882" s="548"/>
      <c r="Q882" s="548"/>
      <c r="R882" s="551">
        <f t="shared" si="528"/>
        <v>0</v>
      </c>
      <c r="S882" s="550"/>
      <c r="T882" s="548"/>
      <c r="U882" s="548"/>
      <c r="V882" s="551">
        <f t="shared" si="529"/>
        <v>0</v>
      </c>
      <c r="W882" s="550"/>
      <c r="X882" s="548"/>
      <c r="Y882" s="548"/>
      <c r="Z882" s="551">
        <f t="shared" si="530"/>
        <v>0</v>
      </c>
      <c r="AA882" s="550"/>
      <c r="AB882" s="548"/>
      <c r="AC882" s="548"/>
      <c r="AD882" s="551">
        <f t="shared" si="531"/>
        <v>0</v>
      </c>
      <c r="AE882" s="24"/>
      <c r="AF882" s="29">
        <f>J882+F882+N882+R882+V882+Z882+AD882</f>
        <v>24</v>
      </c>
    </row>
    <row r="883" spans="2:32" ht="14.25">
      <c r="B883" s="553" t="s">
        <v>810</v>
      </c>
      <c r="C883" s="547" t="s">
        <v>862</v>
      </c>
      <c r="D883" s="548">
        <v>0.375</v>
      </c>
      <c r="E883" s="548">
        <v>0.70833333333333337</v>
      </c>
      <c r="F883" s="549">
        <f t="shared" si="525"/>
        <v>8</v>
      </c>
      <c r="G883" s="550"/>
      <c r="H883" s="548">
        <v>0.375</v>
      </c>
      <c r="I883" s="548">
        <v>0.70833333333333337</v>
      </c>
      <c r="J883" s="551">
        <f t="shared" si="526"/>
        <v>8</v>
      </c>
      <c r="K883" s="550"/>
      <c r="L883" s="548">
        <v>0.375</v>
      </c>
      <c r="M883" s="548">
        <v>0.70833333333333337</v>
      </c>
      <c r="N883" s="551">
        <f t="shared" si="527"/>
        <v>8</v>
      </c>
      <c r="O883" s="550"/>
      <c r="P883" s="548"/>
      <c r="Q883" s="548"/>
      <c r="R883" s="551">
        <f t="shared" si="528"/>
        <v>0</v>
      </c>
      <c r="S883" s="550"/>
      <c r="T883" s="548"/>
      <c r="U883" s="548"/>
      <c r="V883" s="551">
        <f t="shared" si="529"/>
        <v>0</v>
      </c>
      <c r="W883" s="550"/>
      <c r="X883" s="548"/>
      <c r="Y883" s="548"/>
      <c r="Z883" s="551">
        <f t="shared" si="530"/>
        <v>0</v>
      </c>
      <c r="AA883" s="550"/>
      <c r="AB883" s="548"/>
      <c r="AC883" s="548"/>
      <c r="AD883" s="551">
        <f t="shared" si="531"/>
        <v>0</v>
      </c>
      <c r="AE883" s="24"/>
      <c r="AF883" s="29"/>
    </row>
    <row r="884" spans="2:32" ht="14.25">
      <c r="B884" s="553" t="s">
        <v>888</v>
      </c>
      <c r="C884" s="547" t="s">
        <v>862</v>
      </c>
      <c r="D884" s="548">
        <v>0.29166666666666669</v>
      </c>
      <c r="E884" s="548">
        <v>0.625</v>
      </c>
      <c r="F884" s="549">
        <f t="shared" si="525"/>
        <v>8</v>
      </c>
      <c r="G884" s="550"/>
      <c r="H884" s="548"/>
      <c r="I884" s="548"/>
      <c r="J884" s="551">
        <f t="shared" si="526"/>
        <v>0</v>
      </c>
      <c r="K884" s="550"/>
      <c r="L884" s="552"/>
      <c r="M884" s="548"/>
      <c r="N884" s="551">
        <f t="shared" si="527"/>
        <v>0</v>
      </c>
      <c r="O884" s="550"/>
      <c r="P884" s="548"/>
      <c r="Q884" s="548"/>
      <c r="R884" s="551">
        <f t="shared" si="528"/>
        <v>0</v>
      </c>
      <c r="S884" s="550"/>
      <c r="T884" s="548"/>
      <c r="U884" s="548"/>
      <c r="V884" s="551">
        <f t="shared" si="529"/>
        <v>0</v>
      </c>
      <c r="W884" s="550"/>
      <c r="X884" s="548"/>
      <c r="Y884" s="548"/>
      <c r="Z884" s="551">
        <f t="shared" si="530"/>
        <v>0</v>
      </c>
      <c r="AA884" s="550"/>
      <c r="AB884" s="548"/>
      <c r="AC884" s="548"/>
      <c r="AD884" s="551">
        <f t="shared" si="531"/>
        <v>0</v>
      </c>
      <c r="AE884" s="24"/>
      <c r="AF884" s="29"/>
    </row>
    <row r="885" spans="2:32" ht="14.25">
      <c r="B885" s="668" t="s">
        <v>52</v>
      </c>
      <c r="C885" s="669" t="s">
        <v>885</v>
      </c>
      <c r="D885" s="548"/>
      <c r="E885" s="548"/>
      <c r="F885" s="549">
        <f t="shared" si="525"/>
        <v>0</v>
      </c>
      <c r="G885" s="550"/>
      <c r="H885" s="548"/>
      <c r="I885" s="548"/>
      <c r="J885" s="551">
        <f t="shared" si="526"/>
        <v>0</v>
      </c>
      <c r="K885" s="550"/>
      <c r="L885" s="552"/>
      <c r="M885" s="548"/>
      <c r="N885" s="551">
        <f t="shared" si="527"/>
        <v>0</v>
      </c>
      <c r="O885" s="550"/>
      <c r="P885" s="548"/>
      <c r="Q885" s="548"/>
      <c r="R885" s="551">
        <f t="shared" si="528"/>
        <v>0</v>
      </c>
      <c r="S885" s="550"/>
      <c r="T885" s="548"/>
      <c r="U885" s="548"/>
      <c r="V885" s="551">
        <f t="shared" si="529"/>
        <v>0</v>
      </c>
      <c r="W885" s="550"/>
      <c r="X885" s="548">
        <v>0.29166666666666669</v>
      </c>
      <c r="Y885" s="548">
        <v>0.45833333333333331</v>
      </c>
      <c r="Z885" s="551">
        <f t="shared" si="530"/>
        <v>3.9999999999999991</v>
      </c>
      <c r="AA885" s="550"/>
      <c r="AB885" s="548"/>
      <c r="AC885" s="548"/>
      <c r="AD885" s="551">
        <f t="shared" si="531"/>
        <v>0</v>
      </c>
      <c r="AE885" s="24"/>
      <c r="AF885" s="29">
        <f>J885+F885+N885+R885+V885+Z885+AD885</f>
        <v>3.9999999999999991</v>
      </c>
    </row>
    <row r="886" spans="2:32" ht="14.25">
      <c r="B886" s="553" t="s">
        <v>54</v>
      </c>
      <c r="C886" s="669" t="s">
        <v>885</v>
      </c>
      <c r="D886" s="548"/>
      <c r="E886" s="548"/>
      <c r="F886" s="549">
        <f t="shared" si="525"/>
        <v>0</v>
      </c>
      <c r="G886" s="550"/>
      <c r="H886" s="548"/>
      <c r="I886" s="548"/>
      <c r="J886" s="551">
        <f t="shared" si="526"/>
        <v>0</v>
      </c>
      <c r="K886" s="550"/>
      <c r="L886" s="552"/>
      <c r="M886" s="548"/>
      <c r="N886" s="551">
        <f t="shared" si="527"/>
        <v>0</v>
      </c>
      <c r="O886" s="550"/>
      <c r="P886" s="548"/>
      <c r="Q886" s="548"/>
      <c r="R886" s="551">
        <f t="shared" si="528"/>
        <v>0</v>
      </c>
      <c r="S886" s="550"/>
      <c r="T886" s="548"/>
      <c r="U886" s="548"/>
      <c r="V886" s="551">
        <f t="shared" si="529"/>
        <v>0</v>
      </c>
      <c r="W886" s="550"/>
      <c r="X886" s="548">
        <v>0.35416666666666669</v>
      </c>
      <c r="Y886" s="548">
        <v>0.4375</v>
      </c>
      <c r="Z886" s="551">
        <f t="shared" si="530"/>
        <v>1.9999999999999996</v>
      </c>
      <c r="AA886" s="550"/>
      <c r="AB886" s="548"/>
      <c r="AC886" s="548"/>
      <c r="AD886" s="551">
        <f t="shared" si="531"/>
        <v>0</v>
      </c>
      <c r="AE886" s="24"/>
      <c r="AF886" s="29">
        <f>J886+F886+N886+R886+V886+Z886+AD886</f>
        <v>1.9999999999999996</v>
      </c>
    </row>
    <row r="887" spans="2:32" ht="14.25">
      <c r="B887" s="553"/>
      <c r="C887" s="547"/>
      <c r="D887" s="548"/>
      <c r="E887" s="548"/>
      <c r="F887" s="549">
        <f t="shared" si="525"/>
        <v>0</v>
      </c>
      <c r="G887" s="550"/>
      <c r="H887" s="548"/>
      <c r="I887" s="548"/>
      <c r="J887" s="551">
        <f t="shared" si="526"/>
        <v>0</v>
      </c>
      <c r="K887" s="550"/>
      <c r="L887" s="552"/>
      <c r="M887" s="548"/>
      <c r="N887" s="551">
        <f t="shared" si="527"/>
        <v>0</v>
      </c>
      <c r="O887" s="550"/>
      <c r="P887" s="548"/>
      <c r="Q887" s="548"/>
      <c r="R887" s="551">
        <f t="shared" si="528"/>
        <v>0</v>
      </c>
      <c r="S887" s="550"/>
      <c r="T887" s="548"/>
      <c r="U887" s="548"/>
      <c r="V887" s="551">
        <f t="shared" si="529"/>
        <v>0</v>
      </c>
      <c r="W887" s="550"/>
      <c r="X887" s="548"/>
      <c r="Y887" s="548"/>
      <c r="Z887" s="551">
        <f t="shared" si="530"/>
        <v>0</v>
      </c>
      <c r="AA887" s="550"/>
      <c r="AB887" s="548"/>
      <c r="AC887" s="548"/>
      <c r="AD887" s="551">
        <f t="shared" si="531"/>
        <v>0</v>
      </c>
      <c r="AE887" s="24"/>
      <c r="AF887" s="29"/>
    </row>
    <row r="888" spans="2:32" ht="14.25">
      <c r="B888" s="553"/>
      <c r="C888" s="547"/>
      <c r="D888" s="548"/>
      <c r="E888" s="548"/>
      <c r="F888" s="549">
        <f t="shared" si="525"/>
        <v>0</v>
      </c>
      <c r="G888" s="550"/>
      <c r="H888" s="548"/>
      <c r="I888" s="548"/>
      <c r="J888" s="551">
        <f t="shared" si="526"/>
        <v>0</v>
      </c>
      <c r="K888" s="550"/>
      <c r="L888" s="552"/>
      <c r="M888" s="548"/>
      <c r="N888" s="551">
        <f t="shared" si="527"/>
        <v>0</v>
      </c>
      <c r="O888" s="550"/>
      <c r="P888" s="548"/>
      <c r="Q888" s="548"/>
      <c r="R888" s="551">
        <f t="shared" si="528"/>
        <v>0</v>
      </c>
      <c r="S888" s="550"/>
      <c r="T888" s="548"/>
      <c r="U888" s="548"/>
      <c r="V888" s="551">
        <f t="shared" si="529"/>
        <v>0</v>
      </c>
      <c r="W888" s="550"/>
      <c r="X888" s="548"/>
      <c r="Y888" s="548"/>
      <c r="Z888" s="551">
        <f t="shared" si="530"/>
        <v>0</v>
      </c>
      <c r="AA888" s="550"/>
      <c r="AB888" s="548"/>
      <c r="AC888" s="548"/>
      <c r="AD888" s="551">
        <f t="shared" si="531"/>
        <v>0</v>
      </c>
      <c r="AE888" s="24"/>
      <c r="AF888" s="29"/>
    </row>
    <row r="889" spans="2:32" ht="14.25">
      <c r="B889" s="272"/>
      <c r="C889" s="637"/>
      <c r="D889" s="548"/>
      <c r="E889" s="548"/>
      <c r="F889" s="549">
        <f t="shared" si="525"/>
        <v>0</v>
      </c>
      <c r="G889" s="550"/>
      <c r="H889" s="548"/>
      <c r="I889" s="548"/>
      <c r="J889" s="551">
        <f t="shared" si="526"/>
        <v>0</v>
      </c>
      <c r="K889" s="550"/>
      <c r="L889" s="552"/>
      <c r="M889" s="548"/>
      <c r="N889" s="551">
        <f t="shared" si="527"/>
        <v>0</v>
      </c>
      <c r="O889" s="550"/>
      <c r="P889" s="548"/>
      <c r="Q889" s="548"/>
      <c r="R889" s="551">
        <f t="shared" si="528"/>
        <v>0</v>
      </c>
      <c r="S889" s="550"/>
      <c r="T889" s="548"/>
      <c r="U889" s="548"/>
      <c r="V889" s="551">
        <f t="shared" si="529"/>
        <v>0</v>
      </c>
      <c r="W889" s="550"/>
      <c r="X889" s="548"/>
      <c r="Y889" s="548"/>
      <c r="Z889" s="551">
        <f t="shared" si="530"/>
        <v>0</v>
      </c>
      <c r="AA889" s="550"/>
      <c r="AB889" s="548"/>
      <c r="AC889" s="548"/>
      <c r="AD889" s="551">
        <f t="shared" si="531"/>
        <v>0</v>
      </c>
      <c r="AE889" s="24"/>
      <c r="AF889" s="29">
        <f>J889+F889+N889+R889+V889+Z889+AD889</f>
        <v>0</v>
      </c>
    </row>
    <row r="890" spans="2:32" ht="14.25">
      <c r="B890" s="554" t="s">
        <v>61</v>
      </c>
      <c r="C890" s="554"/>
      <c r="D890" s="548"/>
      <c r="E890" s="548"/>
      <c r="F890" s="549">
        <f t="shared" si="525"/>
        <v>0</v>
      </c>
      <c r="G890" s="550"/>
      <c r="H890" s="548"/>
      <c r="I890" s="548"/>
      <c r="J890" s="551">
        <f t="shared" si="526"/>
        <v>0</v>
      </c>
      <c r="K890" s="550"/>
      <c r="L890" s="552"/>
      <c r="M890" s="548"/>
      <c r="N890" s="551">
        <f t="shared" si="527"/>
        <v>0</v>
      </c>
      <c r="O890" s="550"/>
      <c r="P890" s="548"/>
      <c r="Q890" s="548"/>
      <c r="R890" s="551">
        <f t="shared" si="528"/>
        <v>0</v>
      </c>
      <c r="S890" s="550"/>
      <c r="T890" s="548"/>
      <c r="U890" s="548"/>
      <c r="V890" s="551">
        <f t="shared" si="529"/>
        <v>0</v>
      </c>
      <c r="W890" s="550"/>
      <c r="X890" s="548"/>
      <c r="Y890" s="548"/>
      <c r="Z890" s="551">
        <f t="shared" si="530"/>
        <v>0</v>
      </c>
      <c r="AA890" s="550"/>
      <c r="AB890" s="548"/>
      <c r="AC890" s="548"/>
      <c r="AD890" s="551">
        <f t="shared" si="531"/>
        <v>0</v>
      </c>
      <c r="AE890" s="24"/>
      <c r="AF890" s="29">
        <f>J890+F890+N890+R890+V890+Z890+AD890</f>
        <v>0</v>
      </c>
    </row>
    <row r="891" spans="2:32">
      <c r="B891" s="31" t="s">
        <v>577</v>
      </c>
      <c r="C891" s="31"/>
      <c r="D891" s="91"/>
      <c r="E891" s="91"/>
      <c r="F891" s="90"/>
      <c r="G891" s="91"/>
      <c r="H891" s="91"/>
      <c r="I891" s="91"/>
      <c r="J891" s="90"/>
      <c r="K891" s="91"/>
      <c r="L891" s="430"/>
      <c r="M891" s="91"/>
      <c r="N891" s="90"/>
      <c r="O891" s="91"/>
      <c r="P891" s="91"/>
      <c r="Q891" s="91"/>
      <c r="R891" s="90"/>
      <c r="S891" s="91"/>
      <c r="T891" s="91"/>
      <c r="U891" s="91"/>
      <c r="V891" s="90"/>
      <c r="W891" s="91"/>
      <c r="X891" s="91"/>
      <c r="Y891" s="91"/>
      <c r="Z891" s="90"/>
      <c r="AA891" s="91"/>
      <c r="AB891" s="91"/>
      <c r="AC891" s="91"/>
      <c r="AD891" s="91"/>
      <c r="AE891" s="352"/>
      <c r="AF891" s="28"/>
    </row>
    <row r="892" spans="2:32">
      <c r="B892" s="31" t="s">
        <v>578</v>
      </c>
      <c r="C892" s="31"/>
      <c r="D892" s="91"/>
      <c r="E892" s="91"/>
      <c r="F892" s="90"/>
      <c r="G892" s="91"/>
      <c r="H892" s="91"/>
      <c r="I892" s="91"/>
      <c r="J892" s="90"/>
      <c r="K892" s="91"/>
      <c r="L892" s="430"/>
      <c r="M892" s="91"/>
      <c r="N892" s="90"/>
      <c r="O892" s="91"/>
      <c r="P892" s="91"/>
      <c r="Q892" s="91"/>
      <c r="R892" s="90"/>
      <c r="S892" s="91"/>
      <c r="T892" s="91"/>
      <c r="U892" s="91"/>
      <c r="V892" s="90"/>
      <c r="W892" s="91"/>
      <c r="X892" s="91"/>
      <c r="Y892" s="91"/>
      <c r="Z892" s="90"/>
      <c r="AA892" s="91"/>
      <c r="AB892" s="91"/>
      <c r="AC892" s="91"/>
      <c r="AD892" s="91"/>
      <c r="AE892" s="352"/>
      <c r="AF892" s="28">
        <f>SUM(D892:AD892)</f>
        <v>0</v>
      </c>
    </row>
    <row r="893" spans="2:32" ht="14.25" thickBot="1">
      <c r="B893" s="74" t="s">
        <v>579</v>
      </c>
      <c r="C893" s="74"/>
      <c r="D893" s="95"/>
      <c r="E893" s="95"/>
      <c r="F893" s="96"/>
      <c r="G893" s="95"/>
      <c r="H893" s="95"/>
      <c r="I893" s="95"/>
      <c r="J893" s="96"/>
      <c r="K893" s="95"/>
      <c r="L893" s="431"/>
      <c r="M893" s="95"/>
      <c r="N893" s="96"/>
      <c r="O893" s="95"/>
      <c r="P893" s="95"/>
      <c r="Q893" s="95"/>
      <c r="R893" s="96"/>
      <c r="S893" s="95"/>
      <c r="T893" s="95"/>
      <c r="U893" s="95"/>
      <c r="V893" s="96"/>
      <c r="W893" s="97"/>
      <c r="X893" s="97"/>
      <c r="Y893" s="97"/>
      <c r="Z893" s="96"/>
      <c r="AA893" s="97"/>
      <c r="AB893" s="97"/>
      <c r="AC893" s="97"/>
      <c r="AD893" s="97"/>
      <c r="AE893" s="97"/>
      <c r="AF893" s="80">
        <f>SUM(D893:AD893)</f>
        <v>0</v>
      </c>
    </row>
    <row r="894" spans="2:32" ht="14.25" customHeight="1" thickTop="1">
      <c r="B894" s="1518" t="s">
        <v>18</v>
      </c>
      <c r="C894" s="1528" t="s">
        <v>571</v>
      </c>
      <c r="D894" s="1524">
        <v>45649</v>
      </c>
      <c r="E894" s="1524"/>
      <c r="F894" s="1524"/>
      <c r="G894" s="22"/>
      <c r="H894" s="1524">
        <f>D894+1</f>
        <v>45650</v>
      </c>
      <c r="I894" s="1524"/>
      <c r="J894" s="1524"/>
      <c r="K894" s="22"/>
      <c r="L894" s="1524">
        <f>H894+1</f>
        <v>45651</v>
      </c>
      <c r="M894" s="1524"/>
      <c r="N894" s="1524"/>
      <c r="P894" s="1524">
        <f>L894+1</f>
        <v>45652</v>
      </c>
      <c r="Q894" s="1524"/>
      <c r="R894" s="1524"/>
      <c r="T894" s="1524">
        <f>P894+1</f>
        <v>45653</v>
      </c>
      <c r="U894" s="1524"/>
      <c r="V894" s="1524"/>
      <c r="W894" s="22"/>
      <c r="X894" s="1524">
        <f>T894+1</f>
        <v>45654</v>
      </c>
      <c r="Y894" s="1524"/>
      <c r="Z894" s="1524"/>
      <c r="AB894" s="1524">
        <f>X894+1</f>
        <v>45655</v>
      </c>
      <c r="AC894" s="1524"/>
      <c r="AD894" s="1524"/>
      <c r="AE894" s="22"/>
      <c r="AF894" s="1517" t="s">
        <v>19</v>
      </c>
    </row>
    <row r="895" spans="2:32">
      <c r="B895" s="1518"/>
      <c r="C895" s="1528"/>
      <c r="D895" s="21" t="s">
        <v>23</v>
      </c>
      <c r="E895" s="21" t="s">
        <v>24</v>
      </c>
      <c r="F895" s="62" t="s">
        <v>25</v>
      </c>
      <c r="G895" s="23"/>
      <c r="H895" s="21" t="s">
        <v>23</v>
      </c>
      <c r="I895" s="21" t="s">
        <v>24</v>
      </c>
      <c r="J895" s="18" t="s">
        <v>25</v>
      </c>
      <c r="K895" s="23"/>
      <c r="L895" s="21" t="s">
        <v>23</v>
      </c>
      <c r="M895" s="21" t="s">
        <v>24</v>
      </c>
      <c r="N895" s="18" t="s">
        <v>25</v>
      </c>
      <c r="O895" s="23"/>
      <c r="P895" s="21" t="s">
        <v>23</v>
      </c>
      <c r="Q895" s="21" t="s">
        <v>24</v>
      </c>
      <c r="R895" s="18" t="s">
        <v>25</v>
      </c>
      <c r="S895" s="23"/>
      <c r="T895" s="21" t="s">
        <v>23</v>
      </c>
      <c r="U895" s="21" t="s">
        <v>24</v>
      </c>
      <c r="V895" s="18" t="s">
        <v>25</v>
      </c>
      <c r="W895" s="23"/>
      <c r="X895" s="21" t="s">
        <v>23</v>
      </c>
      <c r="Y895" s="21" t="s">
        <v>24</v>
      </c>
      <c r="Z895" s="18" t="s">
        <v>25</v>
      </c>
      <c r="AA895" s="23"/>
      <c r="AB895" s="21" t="s">
        <v>23</v>
      </c>
      <c r="AC895" s="21" t="s">
        <v>24</v>
      </c>
      <c r="AD895" s="18" t="s">
        <v>25</v>
      </c>
      <c r="AE895" s="23"/>
      <c r="AF895" s="1517"/>
    </row>
    <row r="896" spans="2:32" ht="14.25">
      <c r="B896" s="553" t="s">
        <v>810</v>
      </c>
      <c r="C896" s="547" t="s">
        <v>889</v>
      </c>
      <c r="D896" s="548">
        <v>0.35416666666666669</v>
      </c>
      <c r="E896" s="548"/>
      <c r="F896" s="549">
        <f t="shared" ref="F896:F907" si="532">(E896-D896)*24</f>
        <v>-8.5</v>
      </c>
      <c r="G896" s="550"/>
      <c r="H896" s="548"/>
      <c r="I896" s="548"/>
      <c r="J896" s="551">
        <f t="shared" ref="J896:J907" si="533">(I896-H896)*24</f>
        <v>0</v>
      </c>
      <c r="K896" s="550"/>
      <c r="L896" s="548"/>
      <c r="M896" s="548"/>
      <c r="N896" s="551">
        <f t="shared" ref="N896:N907" si="534">(M896-L896)*24</f>
        <v>0</v>
      </c>
      <c r="O896" s="550"/>
      <c r="P896" s="548"/>
      <c r="Q896" s="548"/>
      <c r="R896" s="551">
        <f t="shared" ref="R896:R907" si="535">(Q896-P896)*24</f>
        <v>0</v>
      </c>
      <c r="S896" s="550"/>
      <c r="T896" s="548"/>
      <c r="U896" s="548"/>
      <c r="V896" s="551">
        <f t="shared" ref="V896:V907" si="536">(U896-T896)*24</f>
        <v>0</v>
      </c>
      <c r="W896" s="550"/>
      <c r="X896" s="548"/>
      <c r="Y896" s="548"/>
      <c r="Z896" s="551">
        <f t="shared" ref="Z896:Z907" si="537">(Y896-X896)*24</f>
        <v>0</v>
      </c>
      <c r="AA896" s="550"/>
      <c r="AB896" s="548"/>
      <c r="AC896" s="548"/>
      <c r="AD896" s="551">
        <f t="shared" ref="AD896:AD907" si="538">(AC896-AB896)*24</f>
        <v>0</v>
      </c>
      <c r="AE896" s="24"/>
      <c r="AF896" s="29">
        <f>J896+F896+N896+R896+V896+Z896+AD896</f>
        <v>-8.5</v>
      </c>
    </row>
    <row r="897" spans="2:32" ht="14.25">
      <c r="B897" s="553" t="s">
        <v>54</v>
      </c>
      <c r="C897" s="547" t="s">
        <v>889</v>
      </c>
      <c r="D897" s="548"/>
      <c r="E897" s="548"/>
      <c r="F897" s="549">
        <f t="shared" si="532"/>
        <v>0</v>
      </c>
      <c r="G897" s="550"/>
      <c r="H897" s="548"/>
      <c r="I897" s="548"/>
      <c r="J897" s="551">
        <f t="shared" si="533"/>
        <v>0</v>
      </c>
      <c r="K897" s="550"/>
      <c r="L897" s="548"/>
      <c r="M897" s="548"/>
      <c r="N897" s="551">
        <f t="shared" si="534"/>
        <v>0</v>
      </c>
      <c r="O897" s="550"/>
      <c r="P897" s="548"/>
      <c r="Q897" s="548"/>
      <c r="R897" s="551">
        <f t="shared" si="535"/>
        <v>0</v>
      </c>
      <c r="S897" s="550"/>
      <c r="T897" s="548"/>
      <c r="U897" s="548"/>
      <c r="V897" s="551">
        <f t="shared" si="536"/>
        <v>0</v>
      </c>
      <c r="W897" s="550"/>
      <c r="X897" s="548"/>
      <c r="Y897" s="548"/>
      <c r="Z897" s="551">
        <f t="shared" si="537"/>
        <v>0</v>
      </c>
      <c r="AA897" s="550"/>
      <c r="AB897" s="548"/>
      <c r="AC897" s="548"/>
      <c r="AD897" s="551">
        <f t="shared" si="538"/>
        <v>0</v>
      </c>
      <c r="AE897" s="24"/>
      <c r="AF897" s="29">
        <f>J897+F897+N897+R897+V897+Z897+AD897</f>
        <v>0</v>
      </c>
    </row>
    <row r="898" spans="2:32" ht="14.25">
      <c r="B898" s="553"/>
      <c r="C898" s="547"/>
      <c r="D898" s="548"/>
      <c r="E898" s="548"/>
      <c r="F898" s="549">
        <f t="shared" si="532"/>
        <v>0</v>
      </c>
      <c r="G898" s="550"/>
      <c r="H898" s="548"/>
      <c r="I898" s="548"/>
      <c r="J898" s="551">
        <f t="shared" si="533"/>
        <v>0</v>
      </c>
      <c r="K898" s="550"/>
      <c r="L898" s="548"/>
      <c r="M898" s="548"/>
      <c r="N898" s="551">
        <f t="shared" si="534"/>
        <v>0</v>
      </c>
      <c r="O898" s="550"/>
      <c r="P898" s="548"/>
      <c r="Q898" s="548"/>
      <c r="R898" s="551">
        <f t="shared" si="535"/>
        <v>0</v>
      </c>
      <c r="S898" s="550"/>
      <c r="T898" s="548"/>
      <c r="U898" s="548"/>
      <c r="V898" s="551">
        <f t="shared" si="536"/>
        <v>0</v>
      </c>
      <c r="W898" s="550"/>
      <c r="X898" s="548"/>
      <c r="Y898" s="548"/>
      <c r="Z898" s="551">
        <f t="shared" si="537"/>
        <v>0</v>
      </c>
      <c r="AA898" s="550"/>
      <c r="AB898" s="548"/>
      <c r="AC898" s="548"/>
      <c r="AD898" s="551">
        <f t="shared" si="538"/>
        <v>0</v>
      </c>
      <c r="AE898" s="24"/>
      <c r="AF898" s="29">
        <f>J898+F898+N898+R898+V898+Z898+AD898</f>
        <v>0</v>
      </c>
    </row>
    <row r="899" spans="2:32" ht="14.25">
      <c r="B899" s="553"/>
      <c r="C899" s="547"/>
      <c r="D899" s="548"/>
      <c r="E899" s="548"/>
      <c r="F899" s="549">
        <f t="shared" si="532"/>
        <v>0</v>
      </c>
      <c r="G899" s="550"/>
      <c r="H899" s="548"/>
      <c r="I899" s="548"/>
      <c r="J899" s="551">
        <f t="shared" si="533"/>
        <v>0</v>
      </c>
      <c r="K899" s="550"/>
      <c r="L899" s="548"/>
      <c r="M899" s="548"/>
      <c r="N899" s="551">
        <f t="shared" si="534"/>
        <v>0</v>
      </c>
      <c r="O899" s="550"/>
      <c r="P899" s="548"/>
      <c r="Q899" s="548"/>
      <c r="R899" s="551">
        <f t="shared" si="535"/>
        <v>0</v>
      </c>
      <c r="S899" s="550"/>
      <c r="T899" s="548"/>
      <c r="U899" s="548"/>
      <c r="V899" s="551">
        <f t="shared" si="536"/>
        <v>0</v>
      </c>
      <c r="W899" s="550"/>
      <c r="X899" s="548"/>
      <c r="Y899" s="548"/>
      <c r="Z899" s="551">
        <f t="shared" si="537"/>
        <v>0</v>
      </c>
      <c r="AA899" s="550"/>
      <c r="AB899" s="548"/>
      <c r="AC899" s="548"/>
      <c r="AD899" s="551">
        <f t="shared" si="538"/>
        <v>0</v>
      </c>
      <c r="AE899" s="24"/>
      <c r="AF899" s="29">
        <f>J899+F899+N899+R899+V899+Z899+AD899</f>
        <v>0</v>
      </c>
    </row>
    <row r="900" spans="2:32" ht="14.25">
      <c r="B900" s="553"/>
      <c r="C900" s="547"/>
      <c r="D900" s="548"/>
      <c r="E900" s="548"/>
      <c r="F900" s="549">
        <f t="shared" si="532"/>
        <v>0</v>
      </c>
      <c r="G900" s="550"/>
      <c r="H900" s="548"/>
      <c r="I900" s="548"/>
      <c r="J900" s="551">
        <f t="shared" si="533"/>
        <v>0</v>
      </c>
      <c r="K900" s="550"/>
      <c r="L900" s="548"/>
      <c r="M900" s="548"/>
      <c r="N900" s="551">
        <f t="shared" si="534"/>
        <v>0</v>
      </c>
      <c r="O900" s="550"/>
      <c r="P900" s="548"/>
      <c r="Q900" s="548"/>
      <c r="R900" s="551">
        <f t="shared" si="535"/>
        <v>0</v>
      </c>
      <c r="S900" s="550"/>
      <c r="T900" s="548"/>
      <c r="U900" s="548"/>
      <c r="V900" s="551">
        <f t="shared" si="536"/>
        <v>0</v>
      </c>
      <c r="W900" s="550"/>
      <c r="X900" s="548"/>
      <c r="Y900" s="548"/>
      <c r="Z900" s="551">
        <f t="shared" si="537"/>
        <v>0</v>
      </c>
      <c r="AA900" s="550"/>
      <c r="AB900" s="548"/>
      <c r="AC900" s="548"/>
      <c r="AD900" s="551">
        <f t="shared" si="538"/>
        <v>0</v>
      </c>
      <c r="AE900" s="24"/>
      <c r="AF900" s="29"/>
    </row>
    <row r="901" spans="2:32" ht="14.25">
      <c r="B901" s="553"/>
      <c r="C901" s="547"/>
      <c r="D901" s="548"/>
      <c r="E901" s="548"/>
      <c r="F901" s="549">
        <f t="shared" si="532"/>
        <v>0</v>
      </c>
      <c r="G901" s="550"/>
      <c r="H901" s="548"/>
      <c r="I901" s="548"/>
      <c r="J901" s="551">
        <f t="shared" si="533"/>
        <v>0</v>
      </c>
      <c r="K901" s="550"/>
      <c r="L901" s="552"/>
      <c r="M901" s="548"/>
      <c r="N901" s="551">
        <f t="shared" si="534"/>
        <v>0</v>
      </c>
      <c r="O901" s="550"/>
      <c r="P901" s="548"/>
      <c r="Q901" s="548"/>
      <c r="R901" s="551">
        <f t="shared" si="535"/>
        <v>0</v>
      </c>
      <c r="S901" s="550"/>
      <c r="T901" s="548"/>
      <c r="U901" s="548"/>
      <c r="V901" s="551">
        <f t="shared" si="536"/>
        <v>0</v>
      </c>
      <c r="W901" s="550"/>
      <c r="X901" s="548"/>
      <c r="Y901" s="548"/>
      <c r="Z901" s="551">
        <f t="shared" si="537"/>
        <v>0</v>
      </c>
      <c r="AA901" s="550"/>
      <c r="AB901" s="548"/>
      <c r="AC901" s="548"/>
      <c r="AD901" s="551">
        <f t="shared" si="538"/>
        <v>0</v>
      </c>
      <c r="AE901" s="24"/>
      <c r="AF901" s="29"/>
    </row>
    <row r="902" spans="2:32" ht="14.25">
      <c r="B902" s="677"/>
      <c r="C902" s="669"/>
      <c r="D902" s="548"/>
      <c r="E902" s="548"/>
      <c r="F902" s="549">
        <f t="shared" si="532"/>
        <v>0</v>
      </c>
      <c r="G902" s="550"/>
      <c r="H902" s="548"/>
      <c r="I902" s="548"/>
      <c r="J902" s="551">
        <f t="shared" si="533"/>
        <v>0</v>
      </c>
      <c r="K902" s="550"/>
      <c r="L902" s="552"/>
      <c r="M902" s="548"/>
      <c r="N902" s="551">
        <f t="shared" si="534"/>
        <v>0</v>
      </c>
      <c r="O902" s="550"/>
      <c r="P902" s="548"/>
      <c r="Q902" s="548"/>
      <c r="R902" s="551">
        <f t="shared" si="535"/>
        <v>0</v>
      </c>
      <c r="S902" s="550"/>
      <c r="T902" s="548"/>
      <c r="U902" s="548"/>
      <c r="V902" s="551">
        <f t="shared" si="536"/>
        <v>0</v>
      </c>
      <c r="W902" s="550"/>
      <c r="X902" s="548"/>
      <c r="Y902" s="548"/>
      <c r="Z902" s="551">
        <f t="shared" si="537"/>
        <v>0</v>
      </c>
      <c r="AA902" s="550"/>
      <c r="AB902" s="548"/>
      <c r="AC902" s="548"/>
      <c r="AD902" s="551">
        <f t="shared" si="538"/>
        <v>0</v>
      </c>
      <c r="AE902" s="24"/>
      <c r="AF902" s="29">
        <f>J902+F902+N902+R902+V902+Z902+AD902</f>
        <v>0</v>
      </c>
    </row>
    <row r="903" spans="2:32" ht="14.25">
      <c r="B903" s="553"/>
      <c r="C903" s="669"/>
      <c r="D903" s="548"/>
      <c r="E903" s="548"/>
      <c r="F903" s="549">
        <f t="shared" si="532"/>
        <v>0</v>
      </c>
      <c r="G903" s="550"/>
      <c r="H903" s="548"/>
      <c r="I903" s="548"/>
      <c r="J903" s="551">
        <f t="shared" si="533"/>
        <v>0</v>
      </c>
      <c r="K903" s="550"/>
      <c r="L903" s="552"/>
      <c r="M903" s="548"/>
      <c r="N903" s="551">
        <f t="shared" si="534"/>
        <v>0</v>
      </c>
      <c r="O903" s="550"/>
      <c r="P903" s="548"/>
      <c r="Q903" s="548"/>
      <c r="R903" s="551">
        <f t="shared" si="535"/>
        <v>0</v>
      </c>
      <c r="S903" s="550"/>
      <c r="T903" s="548"/>
      <c r="U903" s="548"/>
      <c r="V903" s="551">
        <f t="shared" si="536"/>
        <v>0</v>
      </c>
      <c r="W903" s="550"/>
      <c r="X903" s="548"/>
      <c r="Y903" s="548"/>
      <c r="Z903" s="551">
        <f t="shared" si="537"/>
        <v>0</v>
      </c>
      <c r="AA903" s="550"/>
      <c r="AB903" s="548"/>
      <c r="AC903" s="548"/>
      <c r="AD903" s="551">
        <f t="shared" si="538"/>
        <v>0</v>
      </c>
      <c r="AE903" s="24"/>
      <c r="AF903" s="29">
        <f>J903+F903+N903+R903+V903+Z903+AD903</f>
        <v>0</v>
      </c>
    </row>
    <row r="904" spans="2:32" ht="14.25">
      <c r="B904" s="553"/>
      <c r="C904" s="547"/>
      <c r="D904" s="548"/>
      <c r="E904" s="548"/>
      <c r="F904" s="549">
        <f t="shared" si="532"/>
        <v>0</v>
      </c>
      <c r="G904" s="550"/>
      <c r="H904" s="548"/>
      <c r="I904" s="548"/>
      <c r="J904" s="551">
        <f t="shared" si="533"/>
        <v>0</v>
      </c>
      <c r="K904" s="550"/>
      <c r="L904" s="552"/>
      <c r="M904" s="548"/>
      <c r="N904" s="551">
        <f t="shared" si="534"/>
        <v>0</v>
      </c>
      <c r="O904" s="550"/>
      <c r="P904" s="548"/>
      <c r="Q904" s="548"/>
      <c r="R904" s="551">
        <f t="shared" si="535"/>
        <v>0</v>
      </c>
      <c r="S904" s="550"/>
      <c r="T904" s="548"/>
      <c r="U904" s="548"/>
      <c r="V904" s="551">
        <f t="shared" si="536"/>
        <v>0</v>
      </c>
      <c r="W904" s="550"/>
      <c r="X904" s="548"/>
      <c r="Y904" s="548"/>
      <c r="Z904" s="551">
        <f t="shared" si="537"/>
        <v>0</v>
      </c>
      <c r="AA904" s="550"/>
      <c r="AB904" s="548"/>
      <c r="AC904" s="548"/>
      <c r="AD904" s="551">
        <f t="shared" si="538"/>
        <v>0</v>
      </c>
      <c r="AE904" s="24"/>
      <c r="AF904" s="29"/>
    </row>
    <row r="905" spans="2:32" ht="14.25">
      <c r="B905" s="553"/>
      <c r="C905" s="547"/>
      <c r="D905" s="548"/>
      <c r="E905" s="548"/>
      <c r="F905" s="549">
        <f t="shared" si="532"/>
        <v>0</v>
      </c>
      <c r="G905" s="550"/>
      <c r="H905" s="548"/>
      <c r="I905" s="548"/>
      <c r="J905" s="551">
        <f t="shared" si="533"/>
        <v>0</v>
      </c>
      <c r="K905" s="550"/>
      <c r="L905" s="552"/>
      <c r="M905" s="548"/>
      <c r="N905" s="551">
        <f t="shared" si="534"/>
        <v>0</v>
      </c>
      <c r="O905" s="550"/>
      <c r="P905" s="548"/>
      <c r="Q905" s="548"/>
      <c r="R905" s="551">
        <f t="shared" si="535"/>
        <v>0</v>
      </c>
      <c r="S905" s="550"/>
      <c r="T905" s="548"/>
      <c r="U905" s="548"/>
      <c r="V905" s="551">
        <f t="shared" si="536"/>
        <v>0</v>
      </c>
      <c r="W905" s="550"/>
      <c r="X905" s="548"/>
      <c r="Y905" s="548"/>
      <c r="Z905" s="551">
        <f t="shared" si="537"/>
        <v>0</v>
      </c>
      <c r="AA905" s="550"/>
      <c r="AB905" s="548"/>
      <c r="AC905" s="548"/>
      <c r="AD905" s="551">
        <f t="shared" si="538"/>
        <v>0</v>
      </c>
      <c r="AE905" s="24"/>
      <c r="AF905" s="29"/>
    </row>
    <row r="906" spans="2:32" ht="14.25">
      <c r="B906" s="272"/>
      <c r="C906" s="637"/>
      <c r="D906" s="548"/>
      <c r="E906" s="548"/>
      <c r="F906" s="549">
        <f t="shared" si="532"/>
        <v>0</v>
      </c>
      <c r="G906" s="550"/>
      <c r="H906" s="548"/>
      <c r="I906" s="548"/>
      <c r="J906" s="551">
        <f t="shared" si="533"/>
        <v>0</v>
      </c>
      <c r="K906" s="550"/>
      <c r="L906" s="552"/>
      <c r="M906" s="548"/>
      <c r="N906" s="551">
        <f t="shared" si="534"/>
        <v>0</v>
      </c>
      <c r="O906" s="550"/>
      <c r="P906" s="548"/>
      <c r="Q906" s="548"/>
      <c r="R906" s="551">
        <f t="shared" si="535"/>
        <v>0</v>
      </c>
      <c r="S906" s="550"/>
      <c r="T906" s="548"/>
      <c r="U906" s="548"/>
      <c r="V906" s="551">
        <f t="shared" si="536"/>
        <v>0</v>
      </c>
      <c r="W906" s="550"/>
      <c r="X906" s="548"/>
      <c r="Y906" s="548"/>
      <c r="Z906" s="551">
        <f t="shared" si="537"/>
        <v>0</v>
      </c>
      <c r="AA906" s="550"/>
      <c r="AB906" s="548"/>
      <c r="AC906" s="548"/>
      <c r="AD906" s="551">
        <f t="shared" si="538"/>
        <v>0</v>
      </c>
      <c r="AE906" s="24"/>
      <c r="AF906" s="29">
        <f>J906+F906+N906+R906+V906+Z906+AD906</f>
        <v>0</v>
      </c>
    </row>
    <row r="907" spans="2:32" ht="14.25">
      <c r="B907" s="554" t="s">
        <v>61</v>
      </c>
      <c r="C907" s="554"/>
      <c r="D907" s="548"/>
      <c r="E907" s="548"/>
      <c r="F907" s="549">
        <f t="shared" si="532"/>
        <v>0</v>
      </c>
      <c r="G907" s="550"/>
      <c r="H907" s="548"/>
      <c r="I907" s="548"/>
      <c r="J907" s="551">
        <f t="shared" si="533"/>
        <v>0</v>
      </c>
      <c r="K907" s="550"/>
      <c r="L907" s="552"/>
      <c r="M907" s="548"/>
      <c r="N907" s="551">
        <f t="shared" si="534"/>
        <v>0</v>
      </c>
      <c r="O907" s="550"/>
      <c r="P907" s="548"/>
      <c r="Q907" s="548"/>
      <c r="R907" s="551">
        <f t="shared" si="535"/>
        <v>0</v>
      </c>
      <c r="S907" s="550"/>
      <c r="T907" s="548"/>
      <c r="U907" s="548"/>
      <c r="V907" s="551">
        <f t="shared" si="536"/>
        <v>0</v>
      </c>
      <c r="W907" s="550"/>
      <c r="X907" s="548"/>
      <c r="Y907" s="548"/>
      <c r="Z907" s="551">
        <f t="shared" si="537"/>
        <v>0</v>
      </c>
      <c r="AA907" s="550"/>
      <c r="AB907" s="548"/>
      <c r="AC907" s="548"/>
      <c r="AD907" s="551">
        <f t="shared" si="538"/>
        <v>0</v>
      </c>
      <c r="AE907" s="24"/>
      <c r="AF907" s="29">
        <f>J907+F907+N907+R907+V907+Z907+AD907</f>
        <v>0</v>
      </c>
    </row>
    <row r="908" spans="2:32">
      <c r="B908" s="31" t="s">
        <v>577</v>
      </c>
      <c r="C908" s="31"/>
      <c r="D908" s="91"/>
      <c r="E908" s="91"/>
      <c r="F908" s="90"/>
      <c r="G908" s="91"/>
      <c r="H908" s="91"/>
      <c r="I908" s="91"/>
      <c r="J908" s="90"/>
      <c r="K908" s="91"/>
      <c r="L908" s="430"/>
      <c r="M908" s="91"/>
      <c r="N908" s="90"/>
      <c r="O908" s="91"/>
      <c r="P908" s="91"/>
      <c r="Q908" s="91"/>
      <c r="R908" s="90"/>
      <c r="S908" s="91"/>
      <c r="T908" s="91"/>
      <c r="U908" s="91"/>
      <c r="V908" s="90"/>
      <c r="W908" s="91"/>
      <c r="X908" s="91"/>
      <c r="Y908" s="91"/>
      <c r="Z908" s="90"/>
      <c r="AA908" s="91"/>
      <c r="AB908" s="91"/>
      <c r="AC908" s="91"/>
      <c r="AD908" s="91"/>
      <c r="AE908" s="352"/>
      <c r="AF908" s="28"/>
    </row>
    <row r="909" spans="2:32">
      <c r="B909" s="31" t="s">
        <v>578</v>
      </c>
      <c r="C909" s="31"/>
      <c r="D909" s="91"/>
      <c r="E909" s="91"/>
      <c r="F909" s="90"/>
      <c r="G909" s="91"/>
      <c r="H909" s="91"/>
      <c r="I909" s="91"/>
      <c r="J909" s="90"/>
      <c r="K909" s="91"/>
      <c r="L909" s="430"/>
      <c r="M909" s="91"/>
      <c r="N909" s="90"/>
      <c r="O909" s="91"/>
      <c r="P909" s="91"/>
      <c r="Q909" s="91"/>
      <c r="R909" s="90"/>
      <c r="S909" s="91"/>
      <c r="T909" s="91"/>
      <c r="U909" s="91"/>
      <c r="V909" s="90"/>
      <c r="W909" s="91"/>
      <c r="X909" s="91"/>
      <c r="Y909" s="91"/>
      <c r="Z909" s="90"/>
      <c r="AA909" s="91"/>
      <c r="AB909" s="91"/>
      <c r="AC909" s="91"/>
      <c r="AD909" s="91"/>
      <c r="AE909" s="352"/>
      <c r="AF909" s="28">
        <f>SUM(D909:AD909)</f>
        <v>0</v>
      </c>
    </row>
    <row r="910" spans="2:32" ht="14.25" thickBot="1">
      <c r="B910" s="74" t="s">
        <v>579</v>
      </c>
      <c r="C910" s="74"/>
      <c r="D910" s="95"/>
      <c r="E910" s="95"/>
      <c r="F910" s="96"/>
      <c r="G910" s="95"/>
      <c r="H910" s="95"/>
      <c r="I910" s="95"/>
      <c r="J910" s="96"/>
      <c r="K910" s="95"/>
      <c r="L910" s="431"/>
      <c r="M910" s="95"/>
      <c r="N910" s="96"/>
      <c r="O910" s="95"/>
      <c r="P910" s="95"/>
      <c r="Q910" s="95"/>
      <c r="R910" s="96"/>
      <c r="S910" s="95"/>
      <c r="T910" s="95"/>
      <c r="U910" s="95"/>
      <c r="V910" s="96"/>
      <c r="W910" s="97"/>
      <c r="X910" s="97"/>
      <c r="Y910" s="97"/>
      <c r="Z910" s="96"/>
      <c r="AA910" s="97"/>
      <c r="AB910" s="97"/>
      <c r="AC910" s="97"/>
      <c r="AD910" s="97"/>
      <c r="AE910" s="97"/>
      <c r="AF910" s="80">
        <f>SUM(D910:AD910)</f>
        <v>0</v>
      </c>
    </row>
    <row r="911" spans="2:32" ht="14.25" customHeight="1" thickTop="1"/>
  </sheetData>
  <autoFilter ref="A2:F178" xr:uid="{00000000-0009-0000-0000-00000D000000}"/>
  <mergeCells count="523">
    <mergeCell ref="AF843:AF844"/>
    <mergeCell ref="B843:B844"/>
    <mergeCell ref="C843:C844"/>
    <mergeCell ref="D843:F843"/>
    <mergeCell ref="H843:J843"/>
    <mergeCell ref="L843:N843"/>
    <mergeCell ref="P843:R843"/>
    <mergeCell ref="T843:V843"/>
    <mergeCell ref="X843:Z843"/>
    <mergeCell ref="AB843:AD843"/>
    <mergeCell ref="AF809:AF810"/>
    <mergeCell ref="B826:B827"/>
    <mergeCell ref="C826:C827"/>
    <mergeCell ref="D826:F826"/>
    <mergeCell ref="H826:J826"/>
    <mergeCell ref="L826:N826"/>
    <mergeCell ref="P826:R826"/>
    <mergeCell ref="T826:V826"/>
    <mergeCell ref="X826:Z826"/>
    <mergeCell ref="AB826:AD826"/>
    <mergeCell ref="AF826:AF827"/>
    <mergeCell ref="B809:B810"/>
    <mergeCell ref="C809:C810"/>
    <mergeCell ref="D809:F809"/>
    <mergeCell ref="H809:J809"/>
    <mergeCell ref="L809:N809"/>
    <mergeCell ref="P809:R809"/>
    <mergeCell ref="T809:V809"/>
    <mergeCell ref="X809:Z809"/>
    <mergeCell ref="AB809:AD809"/>
    <mergeCell ref="AF764:AF765"/>
    <mergeCell ref="B792:B793"/>
    <mergeCell ref="C792:C793"/>
    <mergeCell ref="D792:F792"/>
    <mergeCell ref="H792:J792"/>
    <mergeCell ref="L792:N792"/>
    <mergeCell ref="P792:R792"/>
    <mergeCell ref="T792:V792"/>
    <mergeCell ref="X792:Z792"/>
    <mergeCell ref="AB792:AD792"/>
    <mergeCell ref="AF792:AF793"/>
    <mergeCell ref="B764:B765"/>
    <mergeCell ref="C764:C765"/>
    <mergeCell ref="D764:F764"/>
    <mergeCell ref="H764:J764"/>
    <mergeCell ref="L764:N764"/>
    <mergeCell ref="P764:R764"/>
    <mergeCell ref="T764:V764"/>
    <mergeCell ref="X764:Z764"/>
    <mergeCell ref="AB764:AD764"/>
    <mergeCell ref="AF730:AF731"/>
    <mergeCell ref="B747:B748"/>
    <mergeCell ref="C747:C748"/>
    <mergeCell ref="D747:F747"/>
    <mergeCell ref="H747:J747"/>
    <mergeCell ref="L747:N747"/>
    <mergeCell ref="P747:R747"/>
    <mergeCell ref="T747:V747"/>
    <mergeCell ref="X747:Z747"/>
    <mergeCell ref="AB747:AD747"/>
    <mergeCell ref="AF747:AF748"/>
    <mergeCell ref="B730:B731"/>
    <mergeCell ref="C730:C731"/>
    <mergeCell ref="D730:F730"/>
    <mergeCell ref="H730:J730"/>
    <mergeCell ref="L730:N730"/>
    <mergeCell ref="P730:R730"/>
    <mergeCell ref="T730:V730"/>
    <mergeCell ref="X730:Z730"/>
    <mergeCell ref="AB730:AD730"/>
    <mergeCell ref="AF696:AF697"/>
    <mergeCell ref="B713:B714"/>
    <mergeCell ref="C713:C714"/>
    <mergeCell ref="D713:F713"/>
    <mergeCell ref="H713:J713"/>
    <mergeCell ref="L713:N713"/>
    <mergeCell ref="P713:R713"/>
    <mergeCell ref="T713:V713"/>
    <mergeCell ref="X713:Z713"/>
    <mergeCell ref="AB713:AD713"/>
    <mergeCell ref="AF713:AF714"/>
    <mergeCell ref="B696:B697"/>
    <mergeCell ref="C696:C697"/>
    <mergeCell ref="D696:F696"/>
    <mergeCell ref="H696:J696"/>
    <mergeCell ref="L696:N696"/>
    <mergeCell ref="P696:R696"/>
    <mergeCell ref="T696:V696"/>
    <mergeCell ref="X696:Z696"/>
    <mergeCell ref="AB696:AD696"/>
    <mergeCell ref="AF658:AF659"/>
    <mergeCell ref="B679:B680"/>
    <mergeCell ref="C679:C680"/>
    <mergeCell ref="D679:F679"/>
    <mergeCell ref="H679:J679"/>
    <mergeCell ref="L679:N679"/>
    <mergeCell ref="P679:R679"/>
    <mergeCell ref="T679:V679"/>
    <mergeCell ref="X679:Z679"/>
    <mergeCell ref="AB679:AD679"/>
    <mergeCell ref="AF679:AF680"/>
    <mergeCell ref="B658:B659"/>
    <mergeCell ref="C658:C659"/>
    <mergeCell ref="D658:F658"/>
    <mergeCell ref="H658:J658"/>
    <mergeCell ref="L658:N658"/>
    <mergeCell ref="P658:R658"/>
    <mergeCell ref="T658:V658"/>
    <mergeCell ref="X658:Z658"/>
    <mergeCell ref="AB658:AD658"/>
    <mergeCell ref="AF609:AF610"/>
    <mergeCell ref="B635:B636"/>
    <mergeCell ref="C635:C636"/>
    <mergeCell ref="D635:F635"/>
    <mergeCell ref="H635:J635"/>
    <mergeCell ref="L635:N635"/>
    <mergeCell ref="P635:R635"/>
    <mergeCell ref="T635:V635"/>
    <mergeCell ref="X635:Z635"/>
    <mergeCell ref="AB635:AD635"/>
    <mergeCell ref="AF635:AF636"/>
    <mergeCell ref="B609:B610"/>
    <mergeCell ref="C609:C610"/>
    <mergeCell ref="D609:F609"/>
    <mergeCell ref="H609:J609"/>
    <mergeCell ref="L609:N609"/>
    <mergeCell ref="P609:R609"/>
    <mergeCell ref="T609:V609"/>
    <mergeCell ref="X609:Z609"/>
    <mergeCell ref="AB609:AD609"/>
    <mergeCell ref="AF129:AF130"/>
    <mergeCell ref="B129:B130"/>
    <mergeCell ref="C129:C130"/>
    <mergeCell ref="D129:F129"/>
    <mergeCell ref="H129:J129"/>
    <mergeCell ref="L129:N129"/>
    <mergeCell ref="P129:R129"/>
    <mergeCell ref="T129:V129"/>
    <mergeCell ref="X129:Z129"/>
    <mergeCell ref="AB129:AD129"/>
    <mergeCell ref="AF99:AF100"/>
    <mergeCell ref="B114:B115"/>
    <mergeCell ref="C114:C115"/>
    <mergeCell ref="D114:F114"/>
    <mergeCell ref="H114:J114"/>
    <mergeCell ref="L114:N114"/>
    <mergeCell ref="P114:R114"/>
    <mergeCell ref="T114:V114"/>
    <mergeCell ref="X114:Z114"/>
    <mergeCell ref="AB114:AD114"/>
    <mergeCell ref="AF114:AF115"/>
    <mergeCell ref="H46:J46"/>
    <mergeCell ref="L46:N46"/>
    <mergeCell ref="P46:R46"/>
    <mergeCell ref="T46:V46"/>
    <mergeCell ref="X46:Z46"/>
    <mergeCell ref="AB46:AD46"/>
    <mergeCell ref="L99:N99"/>
    <mergeCell ref="P99:R99"/>
    <mergeCell ref="T99:V99"/>
    <mergeCell ref="X99:Z99"/>
    <mergeCell ref="AB99:AD99"/>
    <mergeCell ref="AF551:AF552"/>
    <mergeCell ref="B567:B568"/>
    <mergeCell ref="C567:C568"/>
    <mergeCell ref="D567:F567"/>
    <mergeCell ref="H567:J567"/>
    <mergeCell ref="L567:N567"/>
    <mergeCell ref="P567:R567"/>
    <mergeCell ref="T567:V567"/>
    <mergeCell ref="X583:Z583"/>
    <mergeCell ref="AB583:AD583"/>
    <mergeCell ref="AF583:AF584"/>
    <mergeCell ref="X567:Z567"/>
    <mergeCell ref="AB567:AD567"/>
    <mergeCell ref="AF567:AF568"/>
    <mergeCell ref="B583:B584"/>
    <mergeCell ref="C583:C584"/>
    <mergeCell ref="D583:F583"/>
    <mergeCell ref="H583:J583"/>
    <mergeCell ref="L583:N583"/>
    <mergeCell ref="P583:R583"/>
    <mergeCell ref="T583:V583"/>
    <mergeCell ref="B551:B552"/>
    <mergeCell ref="C551:C552"/>
    <mergeCell ref="D551:F551"/>
    <mergeCell ref="H551:J551"/>
    <mergeCell ref="L551:N551"/>
    <mergeCell ref="P551:R551"/>
    <mergeCell ref="T551:V551"/>
    <mergeCell ref="X551:Z551"/>
    <mergeCell ref="AB551:AD551"/>
    <mergeCell ref="AF517:AF518"/>
    <mergeCell ref="B534:B535"/>
    <mergeCell ref="C534:C535"/>
    <mergeCell ref="D534:F534"/>
    <mergeCell ref="H534:J534"/>
    <mergeCell ref="L534:N534"/>
    <mergeCell ref="P534:R534"/>
    <mergeCell ref="T534:V534"/>
    <mergeCell ref="X534:Z534"/>
    <mergeCell ref="AB534:AD534"/>
    <mergeCell ref="AF534:AF535"/>
    <mergeCell ref="B517:B518"/>
    <mergeCell ref="C517:C518"/>
    <mergeCell ref="D517:F517"/>
    <mergeCell ref="H517:J517"/>
    <mergeCell ref="L517:N517"/>
    <mergeCell ref="P517:R517"/>
    <mergeCell ref="T517:V517"/>
    <mergeCell ref="X517:Z517"/>
    <mergeCell ref="AB517:AD517"/>
    <mergeCell ref="AF493:AF494"/>
    <mergeCell ref="B505:B506"/>
    <mergeCell ref="C505:C506"/>
    <mergeCell ref="D505:F505"/>
    <mergeCell ref="H505:J505"/>
    <mergeCell ref="L505:N505"/>
    <mergeCell ref="P505:R505"/>
    <mergeCell ref="T505:V505"/>
    <mergeCell ref="X505:Z505"/>
    <mergeCell ref="AB505:AD505"/>
    <mergeCell ref="AF505:AF506"/>
    <mergeCell ref="B493:B494"/>
    <mergeCell ref="C493:C494"/>
    <mergeCell ref="D493:F493"/>
    <mergeCell ref="H493:J493"/>
    <mergeCell ref="L493:N493"/>
    <mergeCell ref="P493:R493"/>
    <mergeCell ref="T493:V493"/>
    <mergeCell ref="X493:Z493"/>
    <mergeCell ref="AB493:AD493"/>
    <mergeCell ref="AF459:AF460"/>
    <mergeCell ref="B479:B480"/>
    <mergeCell ref="C479:C480"/>
    <mergeCell ref="D479:F479"/>
    <mergeCell ref="H479:J479"/>
    <mergeCell ref="L479:N479"/>
    <mergeCell ref="P479:R479"/>
    <mergeCell ref="T479:V479"/>
    <mergeCell ref="X479:Z479"/>
    <mergeCell ref="AB479:AD479"/>
    <mergeCell ref="AF479:AF480"/>
    <mergeCell ref="B459:B460"/>
    <mergeCell ref="C459:C460"/>
    <mergeCell ref="D459:F459"/>
    <mergeCell ref="H459:J459"/>
    <mergeCell ref="L459:N459"/>
    <mergeCell ref="P459:R459"/>
    <mergeCell ref="T459:V459"/>
    <mergeCell ref="X459:Z459"/>
    <mergeCell ref="AB459:AD459"/>
    <mergeCell ref="AF425:AF426"/>
    <mergeCell ref="B443:B444"/>
    <mergeCell ref="C443:C444"/>
    <mergeCell ref="D443:F443"/>
    <mergeCell ref="H443:J443"/>
    <mergeCell ref="L443:N443"/>
    <mergeCell ref="P443:R443"/>
    <mergeCell ref="T443:V443"/>
    <mergeCell ref="X443:Z443"/>
    <mergeCell ref="AB443:AD443"/>
    <mergeCell ref="AF443:AF444"/>
    <mergeCell ref="B425:B426"/>
    <mergeCell ref="C425:C426"/>
    <mergeCell ref="D425:F425"/>
    <mergeCell ref="H425:J425"/>
    <mergeCell ref="L425:N425"/>
    <mergeCell ref="P425:R425"/>
    <mergeCell ref="T425:V425"/>
    <mergeCell ref="X425:Z425"/>
    <mergeCell ref="AB425:AD425"/>
    <mergeCell ref="AF384:AF385"/>
    <mergeCell ref="B401:B402"/>
    <mergeCell ref="C401:C402"/>
    <mergeCell ref="D401:F401"/>
    <mergeCell ref="H401:J401"/>
    <mergeCell ref="L401:N401"/>
    <mergeCell ref="P401:R401"/>
    <mergeCell ref="T401:V401"/>
    <mergeCell ref="X401:Z401"/>
    <mergeCell ref="AB401:AD401"/>
    <mergeCell ref="AF401:AF402"/>
    <mergeCell ref="B384:B385"/>
    <mergeCell ref="C384:C385"/>
    <mergeCell ref="D384:F384"/>
    <mergeCell ref="H384:J384"/>
    <mergeCell ref="L384:N384"/>
    <mergeCell ref="P384:R384"/>
    <mergeCell ref="T384:V384"/>
    <mergeCell ref="X384:Z384"/>
    <mergeCell ref="AB384:AD384"/>
    <mergeCell ref="AF354:AF355"/>
    <mergeCell ref="B366:B367"/>
    <mergeCell ref="C366:C367"/>
    <mergeCell ref="D366:F366"/>
    <mergeCell ref="H366:J366"/>
    <mergeCell ref="L366:N366"/>
    <mergeCell ref="P366:R366"/>
    <mergeCell ref="T366:V366"/>
    <mergeCell ref="X366:Z366"/>
    <mergeCell ref="AB366:AD366"/>
    <mergeCell ref="AF366:AF367"/>
    <mergeCell ref="B354:B355"/>
    <mergeCell ref="C354:C355"/>
    <mergeCell ref="D354:F354"/>
    <mergeCell ref="H354:J354"/>
    <mergeCell ref="L354:N354"/>
    <mergeCell ref="P354:R354"/>
    <mergeCell ref="T354:V354"/>
    <mergeCell ref="X354:Z354"/>
    <mergeCell ref="AB354:AD354"/>
    <mergeCell ref="AF327:AF328"/>
    <mergeCell ref="B343:B344"/>
    <mergeCell ref="C343:C344"/>
    <mergeCell ref="D343:F343"/>
    <mergeCell ref="H343:J343"/>
    <mergeCell ref="L343:N343"/>
    <mergeCell ref="P343:R343"/>
    <mergeCell ref="T343:V343"/>
    <mergeCell ref="X343:Z343"/>
    <mergeCell ref="AB343:AD343"/>
    <mergeCell ref="AF343:AF344"/>
    <mergeCell ref="B327:B328"/>
    <mergeCell ref="C327:C328"/>
    <mergeCell ref="D327:F327"/>
    <mergeCell ref="H327:J327"/>
    <mergeCell ref="L327:N327"/>
    <mergeCell ref="P327:R327"/>
    <mergeCell ref="T327:V327"/>
    <mergeCell ref="X327:Z327"/>
    <mergeCell ref="AB327:AD327"/>
    <mergeCell ref="AB292:AD292"/>
    <mergeCell ref="AF292:AF293"/>
    <mergeCell ref="B307:B308"/>
    <mergeCell ref="C307:C308"/>
    <mergeCell ref="D307:F307"/>
    <mergeCell ref="H307:J307"/>
    <mergeCell ref="L307:N307"/>
    <mergeCell ref="P307:R307"/>
    <mergeCell ref="T307:V307"/>
    <mergeCell ref="X307:Z307"/>
    <mergeCell ref="AB307:AD307"/>
    <mergeCell ref="AF307:AF308"/>
    <mergeCell ref="A300:A301"/>
    <mergeCell ref="B292:B293"/>
    <mergeCell ref="C292:C293"/>
    <mergeCell ref="D292:F292"/>
    <mergeCell ref="H292:J292"/>
    <mergeCell ref="L292:N292"/>
    <mergeCell ref="P292:R292"/>
    <mergeCell ref="T292:V292"/>
    <mergeCell ref="X292:Z292"/>
    <mergeCell ref="AF267:AF268"/>
    <mergeCell ref="B281:B282"/>
    <mergeCell ref="C281:C282"/>
    <mergeCell ref="D281:F281"/>
    <mergeCell ref="H281:J281"/>
    <mergeCell ref="L281:N281"/>
    <mergeCell ref="P281:R281"/>
    <mergeCell ref="T281:V281"/>
    <mergeCell ref="X281:Z281"/>
    <mergeCell ref="AB281:AD281"/>
    <mergeCell ref="AF281:AF282"/>
    <mergeCell ref="B267:B268"/>
    <mergeCell ref="C267:C268"/>
    <mergeCell ref="D267:F267"/>
    <mergeCell ref="H267:J267"/>
    <mergeCell ref="L267:N267"/>
    <mergeCell ref="P267:R267"/>
    <mergeCell ref="T267:V267"/>
    <mergeCell ref="X267:Z267"/>
    <mergeCell ref="AB267:AD267"/>
    <mergeCell ref="AF239:AF240"/>
    <mergeCell ref="B254:B255"/>
    <mergeCell ref="C254:C255"/>
    <mergeCell ref="D254:F254"/>
    <mergeCell ref="H254:J254"/>
    <mergeCell ref="L254:N254"/>
    <mergeCell ref="P254:R254"/>
    <mergeCell ref="T254:V254"/>
    <mergeCell ref="X254:Z254"/>
    <mergeCell ref="AB254:AD254"/>
    <mergeCell ref="AF254:AF255"/>
    <mergeCell ref="B239:B240"/>
    <mergeCell ref="C239:C240"/>
    <mergeCell ref="D239:F239"/>
    <mergeCell ref="H239:J239"/>
    <mergeCell ref="L239:N239"/>
    <mergeCell ref="P239:R239"/>
    <mergeCell ref="T239:V239"/>
    <mergeCell ref="X239:Z239"/>
    <mergeCell ref="AB239:AD239"/>
    <mergeCell ref="AF200:AF201"/>
    <mergeCell ref="B222:B223"/>
    <mergeCell ref="C222:C223"/>
    <mergeCell ref="D222:F222"/>
    <mergeCell ref="H222:J222"/>
    <mergeCell ref="L222:N222"/>
    <mergeCell ref="P222:R222"/>
    <mergeCell ref="T222:V222"/>
    <mergeCell ref="X222:Z222"/>
    <mergeCell ref="AB222:AD222"/>
    <mergeCell ref="AF222:AF223"/>
    <mergeCell ref="B200:B201"/>
    <mergeCell ref="C200:C201"/>
    <mergeCell ref="D200:F200"/>
    <mergeCell ref="H200:J200"/>
    <mergeCell ref="L200:N200"/>
    <mergeCell ref="P200:R200"/>
    <mergeCell ref="T200:V200"/>
    <mergeCell ref="X200:Z200"/>
    <mergeCell ref="AB200:AD200"/>
    <mergeCell ref="AF159:AF160"/>
    <mergeCell ref="B180:B181"/>
    <mergeCell ref="C180:C181"/>
    <mergeCell ref="D180:F180"/>
    <mergeCell ref="H180:J180"/>
    <mergeCell ref="L180:N180"/>
    <mergeCell ref="P180:R180"/>
    <mergeCell ref="T180:V180"/>
    <mergeCell ref="X180:Z180"/>
    <mergeCell ref="AB180:AD180"/>
    <mergeCell ref="AF180:AF181"/>
    <mergeCell ref="B159:B160"/>
    <mergeCell ref="C159:C160"/>
    <mergeCell ref="D159:F159"/>
    <mergeCell ref="H159:J159"/>
    <mergeCell ref="L159:N159"/>
    <mergeCell ref="P159:R159"/>
    <mergeCell ref="T159:V159"/>
    <mergeCell ref="X159:Z159"/>
    <mergeCell ref="AB159:AD159"/>
    <mergeCell ref="AF82:AF83"/>
    <mergeCell ref="B144:B145"/>
    <mergeCell ref="C144:C145"/>
    <mergeCell ref="D144:F144"/>
    <mergeCell ref="H144:J144"/>
    <mergeCell ref="L144:N144"/>
    <mergeCell ref="P144:R144"/>
    <mergeCell ref="T144:V144"/>
    <mergeCell ref="X144:Z144"/>
    <mergeCell ref="AB144:AD144"/>
    <mergeCell ref="AF144:AF145"/>
    <mergeCell ref="B82:B83"/>
    <mergeCell ref="C82:C83"/>
    <mergeCell ref="D82:F82"/>
    <mergeCell ref="H82:J82"/>
    <mergeCell ref="L82:N82"/>
    <mergeCell ref="P82:R82"/>
    <mergeCell ref="T82:V82"/>
    <mergeCell ref="X82:Z82"/>
    <mergeCell ref="AB82:AD82"/>
    <mergeCell ref="B99:B100"/>
    <mergeCell ref="C99:C100"/>
    <mergeCell ref="D99:F99"/>
    <mergeCell ref="H99:J99"/>
    <mergeCell ref="AF65:AF66"/>
    <mergeCell ref="AF19:AF20"/>
    <mergeCell ref="B19:B20"/>
    <mergeCell ref="C19:C20"/>
    <mergeCell ref="D19:F19"/>
    <mergeCell ref="H19:J19"/>
    <mergeCell ref="L19:N19"/>
    <mergeCell ref="P19:R19"/>
    <mergeCell ref="T19:V19"/>
    <mergeCell ref="X19:Z19"/>
    <mergeCell ref="AB19:AD19"/>
    <mergeCell ref="B65:B66"/>
    <mergeCell ref="C65:C66"/>
    <mergeCell ref="D65:F65"/>
    <mergeCell ref="H65:J65"/>
    <mergeCell ref="L65:N65"/>
    <mergeCell ref="P65:R65"/>
    <mergeCell ref="T65:V65"/>
    <mergeCell ref="X65:Z65"/>
    <mergeCell ref="AB65:AD65"/>
    <mergeCell ref="AF46:AF47"/>
    <mergeCell ref="B46:B47"/>
    <mergeCell ref="C46:C47"/>
    <mergeCell ref="D46:F46"/>
    <mergeCell ref="Q1:AG1"/>
    <mergeCell ref="A3:A4"/>
    <mergeCell ref="B3:B4"/>
    <mergeCell ref="C3:C4"/>
    <mergeCell ref="D3:F3"/>
    <mergeCell ref="H3:J3"/>
    <mergeCell ref="L3:N3"/>
    <mergeCell ref="P3:R3"/>
    <mergeCell ref="T3:V3"/>
    <mergeCell ref="X3:Z3"/>
    <mergeCell ref="AB3:AD3"/>
    <mergeCell ref="AF3:AF4"/>
    <mergeCell ref="AF860:AF861"/>
    <mergeCell ref="B877:B878"/>
    <mergeCell ref="C877:C878"/>
    <mergeCell ref="D877:F877"/>
    <mergeCell ref="H877:J877"/>
    <mergeCell ref="L877:N877"/>
    <mergeCell ref="P877:R877"/>
    <mergeCell ref="T877:V877"/>
    <mergeCell ref="X877:Z877"/>
    <mergeCell ref="AB877:AD877"/>
    <mergeCell ref="AF877:AF878"/>
    <mergeCell ref="B860:B861"/>
    <mergeCell ref="C860:C861"/>
    <mergeCell ref="D860:F860"/>
    <mergeCell ref="H860:J860"/>
    <mergeCell ref="L860:N860"/>
    <mergeCell ref="P860:R860"/>
    <mergeCell ref="T860:V860"/>
    <mergeCell ref="X860:Z860"/>
    <mergeCell ref="AB860:AD860"/>
    <mergeCell ref="AF894:AF895"/>
    <mergeCell ref="B894:B895"/>
    <mergeCell ref="C894:C895"/>
    <mergeCell ref="D894:F894"/>
    <mergeCell ref="H894:J894"/>
    <mergeCell ref="L894:N894"/>
    <mergeCell ref="P894:R894"/>
    <mergeCell ref="T894:V894"/>
    <mergeCell ref="X894:Z894"/>
    <mergeCell ref="AB894:AD894"/>
  </mergeCells>
  <phoneticPr fontId="9" type="noConversion"/>
  <pageMargins left="0.7" right="0.7" top="0.75" bottom="0.75" header="0.3" footer="0.3"/>
  <pageSetup orientation="portrait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3"/>
  <dimension ref="A1:U108"/>
  <sheetViews>
    <sheetView topLeftCell="A84" workbookViewId="0">
      <selection activeCell="D113" sqref="D113"/>
    </sheetView>
  </sheetViews>
  <sheetFormatPr defaultRowHeight="13.5"/>
  <cols>
    <col min="1" max="1" width="25.42578125" bestFit="1" customWidth="1"/>
    <col min="2" max="7" width="9.42578125" style="307"/>
    <col min="8" max="8" width="15.42578125" style="307" bestFit="1" customWidth="1"/>
    <col min="9" max="9" width="45.42578125" customWidth="1"/>
    <col min="11" max="11" width="15.42578125" bestFit="1" customWidth="1"/>
    <col min="12" max="12" width="15.5703125" customWidth="1"/>
    <col min="13" max="13" width="13.5703125" customWidth="1"/>
    <col min="14" max="14" width="20.42578125" bestFit="1" customWidth="1"/>
    <col min="15" max="17" width="20.42578125" customWidth="1"/>
    <col min="18" max="18" width="18.42578125" customWidth="1"/>
    <col min="19" max="19" width="14.42578125" bestFit="1" customWidth="1"/>
    <col min="21" max="21" width="17" customWidth="1"/>
  </cols>
  <sheetData>
    <row r="1" spans="1:21">
      <c r="A1" s="1554" t="s">
        <v>890</v>
      </c>
      <c r="B1" s="1554"/>
      <c r="C1" s="1554"/>
      <c r="D1" s="1554"/>
      <c r="E1" s="1554"/>
      <c r="F1" s="1554"/>
      <c r="G1" s="1554"/>
      <c r="H1" s="1554"/>
      <c r="I1" s="1554"/>
    </row>
    <row r="2" spans="1:21">
      <c r="A2" s="271" t="s">
        <v>891</v>
      </c>
      <c r="B2" s="306">
        <v>45117</v>
      </c>
      <c r="C2" s="306">
        <v>45118</v>
      </c>
      <c r="D2" s="306">
        <v>45119</v>
      </c>
      <c r="E2" s="306">
        <v>45120</v>
      </c>
      <c r="F2" s="306">
        <v>45121</v>
      </c>
      <c r="G2" s="274" t="s">
        <v>25</v>
      </c>
      <c r="H2" s="274" t="s">
        <v>892</v>
      </c>
      <c r="I2" s="271" t="s">
        <v>893</v>
      </c>
    </row>
    <row r="3" spans="1:21">
      <c r="A3" s="272" t="s">
        <v>894</v>
      </c>
      <c r="B3" s="322"/>
      <c r="C3" s="322"/>
      <c r="D3" s="322"/>
      <c r="E3" s="322"/>
      <c r="F3" s="387">
        <v>0.75</v>
      </c>
      <c r="G3" s="322">
        <f>SUM(B3:F3)</f>
        <v>0.75</v>
      </c>
      <c r="H3" s="322">
        <v>0</v>
      </c>
      <c r="I3" s="272" t="s">
        <v>895</v>
      </c>
    </row>
    <row r="4" spans="1:21">
      <c r="A4" s="272" t="s">
        <v>896</v>
      </c>
      <c r="B4" s="322"/>
      <c r="C4" s="322"/>
      <c r="D4" s="387">
        <v>0.5</v>
      </c>
      <c r="E4" s="322"/>
      <c r="F4" s="387">
        <v>0.75</v>
      </c>
      <c r="G4" s="322">
        <f>SUM(B4:F4)</f>
        <v>1.25</v>
      </c>
      <c r="H4" s="322">
        <v>0</v>
      </c>
      <c r="I4" s="272" t="s">
        <v>897</v>
      </c>
    </row>
    <row r="5" spans="1:21">
      <c r="A5" s="273"/>
      <c r="B5" s="275"/>
      <c r="C5" s="275"/>
      <c r="D5" s="275"/>
      <c r="E5" s="275"/>
      <c r="F5" s="275"/>
      <c r="G5" s="275"/>
      <c r="H5" s="275"/>
      <c r="I5" s="273"/>
    </row>
    <row r="6" spans="1:21" ht="14.25" thickBot="1">
      <c r="A6" s="1554" t="s">
        <v>898</v>
      </c>
      <c r="B6" s="1554"/>
      <c r="C6" s="1554"/>
      <c r="D6" s="1554"/>
      <c r="E6" s="1554"/>
      <c r="F6" s="1554"/>
      <c r="G6" s="1554"/>
      <c r="H6" s="1554"/>
      <c r="I6" s="1554"/>
      <c r="K6" s="341"/>
      <c r="L6" s="311" t="s">
        <v>899</v>
      </c>
      <c r="M6" s="311" t="s">
        <v>900</v>
      </c>
      <c r="N6" s="311" t="s">
        <v>901</v>
      </c>
      <c r="O6" s="311" t="s">
        <v>902</v>
      </c>
      <c r="P6" s="311" t="s">
        <v>903</v>
      </c>
      <c r="Q6" s="311" t="s">
        <v>904</v>
      </c>
      <c r="R6" s="311" t="s">
        <v>905</v>
      </c>
      <c r="S6" s="311" t="s">
        <v>906</v>
      </c>
      <c r="U6" s="342" t="s">
        <v>907</v>
      </c>
    </row>
    <row r="7" spans="1:21" ht="15" thickTop="1" thickBot="1">
      <c r="A7" s="271" t="s">
        <v>891</v>
      </c>
      <c r="B7" s="306">
        <v>45124</v>
      </c>
      <c r="C7" s="306">
        <v>45125</v>
      </c>
      <c r="D7" s="306">
        <v>45126</v>
      </c>
      <c r="E7" s="306">
        <v>45127</v>
      </c>
      <c r="F7" s="306">
        <v>45128</v>
      </c>
      <c r="G7" s="274" t="s">
        <v>25</v>
      </c>
      <c r="H7" s="274" t="s">
        <v>892</v>
      </c>
      <c r="I7" s="271" t="s">
        <v>893</v>
      </c>
      <c r="K7" s="341" t="s">
        <v>908</v>
      </c>
      <c r="L7" s="308">
        <f>SUM(G8:G11)+G16+G17+G18+G19+G24+G25+G32+G33+G34+G35+G40+G41+G42+G43+G48+G49+G50+G51+G56+G57+G58+G59+G65+G66+G67+G68+G74+G75+G76+G77+G83+G84+G85+G86+G92+G93+G94+G95+G101+G102+G103+G104</f>
        <v>520.5</v>
      </c>
      <c r="M7" s="206">
        <v>480</v>
      </c>
      <c r="N7" s="379">
        <v>29</v>
      </c>
      <c r="O7" s="380">
        <f>M7+N7</f>
        <v>509</v>
      </c>
      <c r="P7" s="380">
        <f>O7-L7</f>
        <v>-11.5</v>
      </c>
      <c r="Q7" s="380">
        <f>P7*50</f>
        <v>-575</v>
      </c>
      <c r="R7" s="206">
        <f>M7-L7</f>
        <v>-40.5</v>
      </c>
      <c r="S7" s="206">
        <f>((3*8)*2)+8</f>
        <v>56</v>
      </c>
      <c r="T7">
        <f>4</f>
        <v>4</v>
      </c>
      <c r="U7" s="343">
        <f>M7*50</f>
        <v>24000</v>
      </c>
    </row>
    <row r="8" spans="1:21" ht="14.25" thickBot="1">
      <c r="A8" s="272" t="s">
        <v>909</v>
      </c>
      <c r="B8" s="322"/>
      <c r="C8" s="322"/>
      <c r="D8" s="387">
        <v>1</v>
      </c>
      <c r="E8" s="322"/>
      <c r="F8" s="322"/>
      <c r="G8" s="322">
        <f>SUM(B8:F8)</f>
        <v>1</v>
      </c>
      <c r="H8" s="322">
        <v>0</v>
      </c>
      <c r="I8" s="272" t="s">
        <v>910</v>
      </c>
      <c r="K8" s="341" t="s">
        <v>911</v>
      </c>
      <c r="L8" s="308">
        <f>G3+G4+G12+G13+G20+G21+G28+G29+G36+G37+G44+G45+G52+G53+G60+G61+G69+G70+G78+G79+G87+G88+G96+G97+G105+G106</f>
        <v>166</v>
      </c>
      <c r="M8" s="206">
        <v>80</v>
      </c>
      <c r="N8" s="379">
        <v>105</v>
      </c>
      <c r="O8" s="380">
        <f>M8+N8</f>
        <v>185</v>
      </c>
      <c r="P8" s="380">
        <f>O8-L8</f>
        <v>19</v>
      </c>
      <c r="Q8" s="380">
        <f>P8*40</f>
        <v>760</v>
      </c>
      <c r="R8" s="206">
        <f>M8-L8</f>
        <v>-86</v>
      </c>
      <c r="S8" s="206">
        <f>40</f>
        <v>40</v>
      </c>
      <c r="T8">
        <f>N8+R8</f>
        <v>19</v>
      </c>
      <c r="U8" s="343">
        <f>M8*40</f>
        <v>3200</v>
      </c>
    </row>
    <row r="9" spans="1:21" ht="14.25" thickBot="1">
      <c r="A9" s="272" t="s">
        <v>912</v>
      </c>
      <c r="B9" s="322"/>
      <c r="C9" s="322"/>
      <c r="D9" s="387">
        <v>1</v>
      </c>
      <c r="E9" s="322"/>
      <c r="F9" s="322"/>
      <c r="G9" s="322">
        <f t="shared" ref="G9:G13" si="0">SUM(B9:F9)</f>
        <v>1</v>
      </c>
      <c r="H9" s="322">
        <v>0</v>
      </c>
      <c r="I9" s="272" t="s">
        <v>910</v>
      </c>
      <c r="K9" s="341" t="s">
        <v>892</v>
      </c>
      <c r="L9" s="308">
        <f>SUM(H16+H17+H18)+H24+H25+H32+H33+H34+H35+H40+H41+H42+H43+H48+H49+H50+H51+H57+H58+H66+H67+H74+H75+H76+H77+H83+H84+H85+H86+H92+H93+H94+H95+H101+H102+H103+H104</f>
        <v>68</v>
      </c>
      <c r="M9" s="206">
        <v>60</v>
      </c>
      <c r="N9" s="379">
        <v>8</v>
      </c>
      <c r="O9" s="380">
        <f>M9+N9</f>
        <v>68</v>
      </c>
      <c r="P9" s="380">
        <f>O9-L9</f>
        <v>0</v>
      </c>
      <c r="Q9" s="381">
        <f>P9*45</f>
        <v>0</v>
      </c>
      <c r="R9" s="206">
        <f>M9-L9</f>
        <v>-8</v>
      </c>
      <c r="S9" s="206">
        <v>8</v>
      </c>
      <c r="T9">
        <f>R9+N9</f>
        <v>0</v>
      </c>
      <c r="U9" s="343">
        <f>M9*45</f>
        <v>2700</v>
      </c>
    </row>
    <row r="10" spans="1:21">
      <c r="A10" s="272" t="s">
        <v>913</v>
      </c>
      <c r="B10" s="322"/>
      <c r="C10" s="322"/>
      <c r="D10" s="387">
        <v>1</v>
      </c>
      <c r="E10" s="322"/>
      <c r="F10" s="322"/>
      <c r="G10" s="322">
        <f t="shared" si="0"/>
        <v>1</v>
      </c>
      <c r="H10" s="322">
        <v>0</v>
      </c>
      <c r="I10" s="272" t="s">
        <v>910</v>
      </c>
      <c r="Q10" s="382">
        <f>(Q7+Q8+Q9)</f>
        <v>185</v>
      </c>
    </row>
    <row r="11" spans="1:21">
      <c r="A11" s="272" t="s">
        <v>914</v>
      </c>
      <c r="B11" s="322"/>
      <c r="C11" s="322"/>
      <c r="D11" s="387">
        <v>1</v>
      </c>
      <c r="E11" s="322"/>
      <c r="F11" s="322"/>
      <c r="G11" s="322">
        <f t="shared" si="0"/>
        <v>1</v>
      </c>
      <c r="H11" s="322">
        <v>0</v>
      </c>
      <c r="I11" s="272" t="s">
        <v>910</v>
      </c>
    </row>
    <row r="12" spans="1:21">
      <c r="A12" s="272" t="s">
        <v>894</v>
      </c>
      <c r="B12" s="322"/>
      <c r="C12" s="322"/>
      <c r="D12" s="387">
        <v>1</v>
      </c>
      <c r="E12" s="322"/>
      <c r="F12" s="387">
        <v>0.75</v>
      </c>
      <c r="G12" s="322">
        <f t="shared" si="0"/>
        <v>1.75</v>
      </c>
      <c r="H12" s="322">
        <v>0</v>
      </c>
      <c r="I12" s="272" t="s">
        <v>915</v>
      </c>
      <c r="T12">
        <f>21*40</f>
        <v>840</v>
      </c>
    </row>
    <row r="13" spans="1:21">
      <c r="A13" s="272" t="s">
        <v>896</v>
      </c>
      <c r="B13" s="387">
        <v>0.5</v>
      </c>
      <c r="C13" s="387">
        <v>0.5</v>
      </c>
      <c r="D13" s="387">
        <v>1</v>
      </c>
      <c r="E13" s="322"/>
      <c r="F13" s="387">
        <v>0.75</v>
      </c>
      <c r="G13" s="322">
        <f t="shared" si="0"/>
        <v>2.75</v>
      </c>
      <c r="H13" s="322">
        <v>0</v>
      </c>
      <c r="I13" s="272" t="s">
        <v>916</v>
      </c>
      <c r="T13">
        <f>4*50</f>
        <v>200</v>
      </c>
    </row>
    <row r="14" spans="1:21">
      <c r="A14" s="1554" t="s">
        <v>917</v>
      </c>
      <c r="B14" s="1554"/>
      <c r="C14" s="1554"/>
      <c r="D14" s="1554"/>
      <c r="E14" s="1554"/>
      <c r="F14" s="1554"/>
      <c r="G14" s="1554"/>
      <c r="H14" s="1554"/>
      <c r="I14" s="1554"/>
      <c r="T14">
        <f>45</f>
        <v>45</v>
      </c>
    </row>
    <row r="15" spans="1:21">
      <c r="A15" s="271" t="s">
        <v>891</v>
      </c>
      <c r="B15" s="306">
        <v>45131</v>
      </c>
      <c r="C15" s="306">
        <v>45132</v>
      </c>
      <c r="D15" s="306">
        <v>45133</v>
      </c>
      <c r="E15" s="306">
        <v>45134</v>
      </c>
      <c r="F15" s="306">
        <v>45135</v>
      </c>
      <c r="G15" s="274" t="s">
        <v>25</v>
      </c>
      <c r="H15" s="274" t="s">
        <v>892</v>
      </c>
      <c r="I15" s="271" t="s">
        <v>893</v>
      </c>
      <c r="T15">
        <f>(T12-(T13+T14))</f>
        <v>595</v>
      </c>
    </row>
    <row r="16" spans="1:21">
      <c r="A16" s="272" t="s">
        <v>909</v>
      </c>
      <c r="B16" s="322">
        <v>0</v>
      </c>
      <c r="C16" s="387">
        <v>1</v>
      </c>
      <c r="D16" s="387">
        <v>8</v>
      </c>
      <c r="E16" s="387">
        <v>4</v>
      </c>
      <c r="F16" s="387">
        <v>4</v>
      </c>
      <c r="G16" s="322">
        <f t="shared" ref="G16:G21" si="1">SUM(B16:F16)</f>
        <v>17</v>
      </c>
      <c r="H16" s="387">
        <v>3</v>
      </c>
      <c r="I16" s="272" t="s">
        <v>918</v>
      </c>
      <c r="T16">
        <f>8*50+(90)+80</f>
        <v>570</v>
      </c>
    </row>
    <row r="17" spans="1:9">
      <c r="A17" s="272" t="s">
        <v>912</v>
      </c>
      <c r="B17" s="322">
        <v>0</v>
      </c>
      <c r="C17" s="387">
        <v>1</v>
      </c>
      <c r="D17" s="387">
        <v>4</v>
      </c>
      <c r="E17" s="387">
        <v>4</v>
      </c>
      <c r="F17" s="387">
        <v>2</v>
      </c>
      <c r="G17" s="322">
        <f t="shared" si="1"/>
        <v>11</v>
      </c>
      <c r="H17" s="387">
        <v>3</v>
      </c>
      <c r="I17" s="272" t="s">
        <v>918</v>
      </c>
    </row>
    <row r="18" spans="1:9">
      <c r="A18" s="272" t="s">
        <v>913</v>
      </c>
      <c r="B18" s="322">
        <v>0</v>
      </c>
      <c r="C18" s="387">
        <v>1</v>
      </c>
      <c r="D18" s="387">
        <v>4</v>
      </c>
      <c r="E18" s="387">
        <v>0</v>
      </c>
      <c r="F18" s="387">
        <v>0</v>
      </c>
      <c r="G18" s="322">
        <f t="shared" si="1"/>
        <v>5</v>
      </c>
      <c r="H18" s="387">
        <v>1</v>
      </c>
      <c r="I18" s="272" t="s">
        <v>918</v>
      </c>
    </row>
    <row r="19" spans="1:9">
      <c r="A19" s="272" t="s">
        <v>914</v>
      </c>
      <c r="B19" s="322">
        <v>0</v>
      </c>
      <c r="C19" s="387">
        <v>0</v>
      </c>
      <c r="D19" s="387">
        <v>0</v>
      </c>
      <c r="E19" s="387">
        <v>0</v>
      </c>
      <c r="F19" s="387">
        <v>0</v>
      </c>
      <c r="G19" s="322">
        <f t="shared" si="1"/>
        <v>0</v>
      </c>
      <c r="H19" s="387">
        <v>0</v>
      </c>
      <c r="I19" s="272" t="s">
        <v>919</v>
      </c>
    </row>
    <row r="20" spans="1:9">
      <c r="A20" s="272" t="s">
        <v>894</v>
      </c>
      <c r="B20" s="387">
        <v>2</v>
      </c>
      <c r="C20" s="387">
        <v>2</v>
      </c>
      <c r="D20" s="387">
        <f>3</f>
        <v>3</v>
      </c>
      <c r="E20" s="387">
        <v>2</v>
      </c>
      <c r="F20" s="387">
        <v>2.5</v>
      </c>
      <c r="G20" s="322">
        <f t="shared" si="1"/>
        <v>11.5</v>
      </c>
      <c r="H20" s="387">
        <v>0</v>
      </c>
      <c r="I20" s="272" t="s">
        <v>920</v>
      </c>
    </row>
    <row r="21" spans="1:9">
      <c r="A21" s="272" t="s">
        <v>896</v>
      </c>
      <c r="B21" s="387">
        <v>2</v>
      </c>
      <c r="C21" s="387">
        <v>2</v>
      </c>
      <c r="D21" s="387">
        <f>3</f>
        <v>3</v>
      </c>
      <c r="E21" s="387">
        <v>2.5</v>
      </c>
      <c r="F21" s="387">
        <v>2.5</v>
      </c>
      <c r="G21" s="322">
        <f t="shared" si="1"/>
        <v>12</v>
      </c>
      <c r="H21" s="387">
        <v>0</v>
      </c>
      <c r="I21" s="272" t="s">
        <v>920</v>
      </c>
    </row>
    <row r="22" spans="1:9">
      <c r="A22" s="1553" t="s">
        <v>921</v>
      </c>
      <c r="B22" s="1553"/>
      <c r="C22" s="1553"/>
      <c r="D22" s="1553"/>
      <c r="E22" s="1553"/>
      <c r="F22" s="1553"/>
      <c r="G22" s="1553"/>
      <c r="H22" s="1553"/>
      <c r="I22" s="1553"/>
    </row>
    <row r="23" spans="1:9">
      <c r="A23" s="311" t="s">
        <v>891</v>
      </c>
      <c r="B23" s="312">
        <v>45138</v>
      </c>
      <c r="C23" s="312">
        <v>45139</v>
      </c>
      <c r="D23" s="312">
        <v>45140</v>
      </c>
      <c r="E23" s="312">
        <v>45141</v>
      </c>
      <c r="F23" s="312">
        <v>45142</v>
      </c>
      <c r="G23" s="308" t="s">
        <v>25</v>
      </c>
      <c r="H23" s="308" t="s">
        <v>892</v>
      </c>
      <c r="I23" s="311" t="s">
        <v>893</v>
      </c>
    </row>
    <row r="24" spans="1:9">
      <c r="A24" s="272" t="s">
        <v>909</v>
      </c>
      <c r="B24" s="385">
        <v>8</v>
      </c>
      <c r="C24" s="321">
        <v>0</v>
      </c>
      <c r="D24" s="385">
        <v>8</v>
      </c>
      <c r="E24" s="385">
        <v>8</v>
      </c>
      <c r="F24" s="385">
        <v>8</v>
      </c>
      <c r="G24" s="322">
        <f>SUM(B24:F24)</f>
        <v>32</v>
      </c>
      <c r="H24" s="385">
        <v>4</v>
      </c>
      <c r="I24" s="206" t="s">
        <v>922</v>
      </c>
    </row>
    <row r="25" spans="1:9">
      <c r="A25" s="272" t="s">
        <v>912</v>
      </c>
      <c r="B25" s="385">
        <v>8</v>
      </c>
      <c r="C25" s="385">
        <v>8</v>
      </c>
      <c r="D25" s="385">
        <v>8</v>
      </c>
      <c r="E25" s="385">
        <v>8</v>
      </c>
      <c r="F25" s="385">
        <v>8</v>
      </c>
      <c r="G25" s="322">
        <f t="shared" ref="G25:G27" si="2">SUM(B25:F25)</f>
        <v>40</v>
      </c>
      <c r="H25" s="385">
        <v>5</v>
      </c>
      <c r="I25" s="206" t="s">
        <v>922</v>
      </c>
    </row>
    <row r="26" spans="1:9">
      <c r="A26" s="272" t="s">
        <v>913</v>
      </c>
      <c r="B26" s="385">
        <v>0</v>
      </c>
      <c r="C26" s="385">
        <v>0</v>
      </c>
      <c r="D26" s="385">
        <v>0</v>
      </c>
      <c r="E26" s="385">
        <v>0</v>
      </c>
      <c r="F26" s="385">
        <v>0</v>
      </c>
      <c r="G26" s="323">
        <f t="shared" si="2"/>
        <v>0</v>
      </c>
      <c r="H26" s="321">
        <v>0</v>
      </c>
      <c r="I26" s="206"/>
    </row>
    <row r="27" spans="1:9">
      <c r="A27" s="272" t="s">
        <v>914</v>
      </c>
      <c r="B27" s="385">
        <v>0</v>
      </c>
      <c r="C27" s="385">
        <v>0</v>
      </c>
      <c r="D27" s="385">
        <v>0</v>
      </c>
      <c r="E27" s="385">
        <v>0</v>
      </c>
      <c r="F27" s="385">
        <v>0</v>
      </c>
      <c r="G27" s="323">
        <f t="shared" si="2"/>
        <v>0</v>
      </c>
      <c r="H27" s="321">
        <v>0</v>
      </c>
      <c r="I27" s="206"/>
    </row>
    <row r="28" spans="1:9">
      <c r="A28" s="273" t="s">
        <v>894</v>
      </c>
      <c r="B28" s="386">
        <v>2</v>
      </c>
      <c r="C28" s="386">
        <v>2</v>
      </c>
      <c r="D28" s="386">
        <v>3</v>
      </c>
      <c r="E28" s="386">
        <v>2</v>
      </c>
      <c r="F28" s="386">
        <v>3</v>
      </c>
      <c r="G28" s="324">
        <f>SUM(B28:F28)</f>
        <v>12</v>
      </c>
      <c r="H28" s="321">
        <v>0</v>
      </c>
      <c r="I28" s="272" t="s">
        <v>920</v>
      </c>
    </row>
    <row r="29" spans="1:9">
      <c r="A29" s="317" t="s">
        <v>896</v>
      </c>
      <c r="B29" s="385">
        <v>3</v>
      </c>
      <c r="C29" s="385">
        <v>3</v>
      </c>
      <c r="D29" s="385">
        <v>3</v>
      </c>
      <c r="E29" s="385">
        <v>3</v>
      </c>
      <c r="F29" s="385">
        <v>3</v>
      </c>
      <c r="G29" s="321">
        <f>SUM(B29:F29)</f>
        <v>15</v>
      </c>
      <c r="H29" s="325">
        <v>0</v>
      </c>
      <c r="I29" s="272" t="s">
        <v>920</v>
      </c>
    </row>
    <row r="30" spans="1:9">
      <c r="A30" s="1553" t="s">
        <v>923</v>
      </c>
      <c r="B30" s="1553"/>
      <c r="C30" s="1553"/>
      <c r="D30" s="1553"/>
      <c r="E30" s="1553"/>
      <c r="F30" s="1553"/>
      <c r="G30" s="1553"/>
      <c r="H30" s="1553"/>
      <c r="I30" s="1553"/>
    </row>
    <row r="31" spans="1:9">
      <c r="A31" s="311" t="s">
        <v>891</v>
      </c>
      <c r="B31" s="312">
        <v>45145</v>
      </c>
      <c r="C31" s="312">
        <v>45146</v>
      </c>
      <c r="D31" s="312">
        <v>45147</v>
      </c>
      <c r="E31" s="312">
        <v>45148</v>
      </c>
      <c r="F31" s="312">
        <v>45149</v>
      </c>
      <c r="G31" s="308" t="s">
        <v>25</v>
      </c>
      <c r="H31" s="308" t="s">
        <v>892</v>
      </c>
      <c r="I31" s="311" t="s">
        <v>893</v>
      </c>
    </row>
    <row r="32" spans="1:9">
      <c r="A32" s="272" t="s">
        <v>909</v>
      </c>
      <c r="B32" s="385">
        <v>8</v>
      </c>
      <c r="C32" s="385">
        <v>8</v>
      </c>
      <c r="D32" s="321">
        <v>8</v>
      </c>
      <c r="E32" s="385">
        <v>8</v>
      </c>
      <c r="F32" s="385">
        <v>8</v>
      </c>
      <c r="G32" s="321">
        <f t="shared" ref="G32:G37" si="3">SUM(B32:F32)</f>
        <v>40</v>
      </c>
      <c r="H32" s="385">
        <v>5</v>
      </c>
      <c r="I32" s="206"/>
    </row>
    <row r="33" spans="1:9">
      <c r="A33" s="272" t="s">
        <v>912</v>
      </c>
      <c r="B33" s="385">
        <v>8</v>
      </c>
      <c r="C33" s="385">
        <v>8</v>
      </c>
      <c r="D33" s="321">
        <v>8</v>
      </c>
      <c r="E33" s="385">
        <v>8</v>
      </c>
      <c r="F33" s="385">
        <v>8</v>
      </c>
      <c r="G33" s="321">
        <f t="shared" si="3"/>
        <v>40</v>
      </c>
      <c r="H33" s="385">
        <v>5</v>
      </c>
      <c r="I33" s="206"/>
    </row>
    <row r="34" spans="1:9">
      <c r="A34" s="272" t="s">
        <v>913</v>
      </c>
      <c r="B34" s="385">
        <v>8</v>
      </c>
      <c r="C34" s="385">
        <v>8</v>
      </c>
      <c r="D34" s="321">
        <v>8</v>
      </c>
      <c r="E34" s="385">
        <v>8</v>
      </c>
      <c r="F34" s="385">
        <v>8</v>
      </c>
      <c r="G34" s="321">
        <f t="shared" si="3"/>
        <v>40</v>
      </c>
      <c r="H34" s="385">
        <v>5</v>
      </c>
      <c r="I34" s="206"/>
    </row>
    <row r="35" spans="1:9">
      <c r="A35" s="272" t="s">
        <v>924</v>
      </c>
      <c r="B35" s="385">
        <v>8</v>
      </c>
      <c r="C35" s="385">
        <v>8</v>
      </c>
      <c r="D35" s="321">
        <v>8</v>
      </c>
      <c r="E35" s="385">
        <v>8</v>
      </c>
      <c r="F35" s="385">
        <v>8</v>
      </c>
      <c r="G35" s="321">
        <f t="shared" si="3"/>
        <v>40</v>
      </c>
      <c r="H35" s="385">
        <v>2</v>
      </c>
      <c r="I35" s="206"/>
    </row>
    <row r="36" spans="1:9">
      <c r="A36" s="273" t="s">
        <v>894</v>
      </c>
      <c r="B36" s="385">
        <v>4</v>
      </c>
      <c r="C36" s="385">
        <v>4</v>
      </c>
      <c r="D36" s="321">
        <v>3</v>
      </c>
      <c r="E36" s="385">
        <v>3</v>
      </c>
      <c r="F36" s="385">
        <v>4</v>
      </c>
      <c r="G36" s="321">
        <f>SUM(B36:F36)</f>
        <v>18</v>
      </c>
      <c r="H36" s="385">
        <v>0</v>
      </c>
      <c r="I36" s="272" t="s">
        <v>920</v>
      </c>
    </row>
    <row r="37" spans="1:9">
      <c r="A37" s="317" t="s">
        <v>896</v>
      </c>
      <c r="B37" s="385">
        <v>4</v>
      </c>
      <c r="C37" s="385">
        <v>3</v>
      </c>
      <c r="D37" s="321">
        <v>3</v>
      </c>
      <c r="E37" s="385">
        <v>4</v>
      </c>
      <c r="F37" s="385">
        <v>3</v>
      </c>
      <c r="G37" s="321">
        <f t="shared" si="3"/>
        <v>17</v>
      </c>
      <c r="H37" s="385">
        <v>0</v>
      </c>
      <c r="I37" s="272" t="s">
        <v>925</v>
      </c>
    </row>
    <row r="38" spans="1:9">
      <c r="A38" s="1553" t="s">
        <v>926</v>
      </c>
      <c r="B38" s="1553"/>
      <c r="C38" s="1553"/>
      <c r="D38" s="1553"/>
      <c r="E38" s="1553"/>
      <c r="F38" s="1553"/>
      <c r="G38" s="1553"/>
      <c r="H38" s="1553"/>
      <c r="I38" s="1553"/>
    </row>
    <row r="39" spans="1:9">
      <c r="A39" s="311" t="s">
        <v>891</v>
      </c>
      <c r="B39" s="312">
        <v>45152</v>
      </c>
      <c r="C39" s="312">
        <v>45153</v>
      </c>
      <c r="D39" s="312">
        <v>45154</v>
      </c>
      <c r="E39" s="312">
        <v>45155</v>
      </c>
      <c r="F39" s="312">
        <v>45156</v>
      </c>
      <c r="G39" s="308" t="s">
        <v>25</v>
      </c>
      <c r="H39" s="308" t="s">
        <v>892</v>
      </c>
      <c r="I39" s="311" t="s">
        <v>893</v>
      </c>
    </row>
    <row r="40" spans="1:9">
      <c r="A40" s="272" t="s">
        <v>909</v>
      </c>
      <c r="B40" s="384">
        <v>8</v>
      </c>
      <c r="C40" s="384">
        <v>8</v>
      </c>
      <c r="D40" s="384">
        <v>8</v>
      </c>
      <c r="E40" s="384">
        <v>4</v>
      </c>
      <c r="F40" s="384">
        <v>4</v>
      </c>
      <c r="G40" s="334">
        <f t="shared" ref="G40:G45" si="4">SUM(B40:F40)</f>
        <v>32</v>
      </c>
      <c r="H40" s="384">
        <v>5</v>
      </c>
      <c r="I40" s="311"/>
    </row>
    <row r="41" spans="1:9">
      <c r="A41" s="272" t="s">
        <v>912</v>
      </c>
      <c r="B41" s="384">
        <v>8</v>
      </c>
      <c r="C41" s="384">
        <v>8</v>
      </c>
      <c r="D41" s="384">
        <v>4</v>
      </c>
      <c r="E41" s="384">
        <v>8</v>
      </c>
      <c r="F41" s="384">
        <v>8</v>
      </c>
      <c r="G41" s="334">
        <f t="shared" si="4"/>
        <v>36</v>
      </c>
      <c r="H41" s="384">
        <v>5</v>
      </c>
      <c r="I41" s="206"/>
    </row>
    <row r="42" spans="1:9">
      <c r="A42" s="272" t="s">
        <v>913</v>
      </c>
      <c r="B42" s="384">
        <v>8</v>
      </c>
      <c r="C42" s="384">
        <v>8</v>
      </c>
      <c r="D42" s="384">
        <v>8</v>
      </c>
      <c r="E42" s="384">
        <v>8</v>
      </c>
      <c r="F42" s="384">
        <v>8</v>
      </c>
      <c r="G42" s="334">
        <f t="shared" si="4"/>
        <v>40</v>
      </c>
      <c r="H42" s="384">
        <v>5</v>
      </c>
      <c r="I42" s="206"/>
    </row>
    <row r="43" spans="1:9">
      <c r="A43" s="272" t="s">
        <v>924</v>
      </c>
      <c r="B43" s="384">
        <v>8</v>
      </c>
      <c r="C43" s="384">
        <v>8</v>
      </c>
      <c r="D43" s="384">
        <v>8</v>
      </c>
      <c r="E43" s="384">
        <v>0</v>
      </c>
      <c r="F43" s="384">
        <v>8</v>
      </c>
      <c r="G43" s="334">
        <f t="shared" si="4"/>
        <v>32</v>
      </c>
      <c r="H43" s="384">
        <v>4</v>
      </c>
      <c r="I43" s="206"/>
    </row>
    <row r="44" spans="1:9">
      <c r="A44" s="273" t="s">
        <v>894</v>
      </c>
      <c r="B44" s="384">
        <v>3</v>
      </c>
      <c r="C44" s="384">
        <v>3</v>
      </c>
      <c r="D44" s="384">
        <v>3</v>
      </c>
      <c r="E44" s="384">
        <v>3</v>
      </c>
      <c r="F44" s="384">
        <v>3</v>
      </c>
      <c r="G44" s="334">
        <f t="shared" si="4"/>
        <v>15</v>
      </c>
      <c r="H44" s="384">
        <v>0</v>
      </c>
      <c r="I44" s="272" t="s">
        <v>920</v>
      </c>
    </row>
    <row r="45" spans="1:9">
      <c r="A45" s="317" t="s">
        <v>896</v>
      </c>
      <c r="B45" s="384">
        <v>3</v>
      </c>
      <c r="C45" s="384">
        <v>3</v>
      </c>
      <c r="D45" s="384">
        <v>3</v>
      </c>
      <c r="E45" s="384">
        <v>2</v>
      </c>
      <c r="F45" s="384">
        <v>2</v>
      </c>
      <c r="G45" s="334">
        <f t="shared" si="4"/>
        <v>13</v>
      </c>
      <c r="H45" s="384">
        <v>0</v>
      </c>
      <c r="I45" s="272" t="s">
        <v>925</v>
      </c>
    </row>
    <row r="46" spans="1:9">
      <c r="A46" s="1553" t="s">
        <v>927</v>
      </c>
      <c r="B46" s="1553"/>
      <c r="C46" s="1553"/>
      <c r="D46" s="1553"/>
      <c r="E46" s="1553"/>
      <c r="F46" s="1553"/>
      <c r="G46" s="1553"/>
      <c r="H46" s="1553"/>
      <c r="I46" s="1553"/>
    </row>
    <row r="47" spans="1:9">
      <c r="A47" s="311" t="s">
        <v>891</v>
      </c>
      <c r="B47" s="312">
        <v>45159</v>
      </c>
      <c r="C47" s="312">
        <v>45160</v>
      </c>
      <c r="D47" s="312">
        <v>45161</v>
      </c>
      <c r="E47" s="312">
        <v>45162</v>
      </c>
      <c r="F47" s="312">
        <v>45163</v>
      </c>
      <c r="G47" s="308" t="s">
        <v>25</v>
      </c>
      <c r="H47" s="308" t="s">
        <v>892</v>
      </c>
      <c r="I47" s="311" t="s">
        <v>893</v>
      </c>
    </row>
    <row r="48" spans="1:9">
      <c r="A48" s="272" t="s">
        <v>909</v>
      </c>
      <c r="B48" s="334">
        <v>0</v>
      </c>
      <c r="C48" s="384">
        <v>4</v>
      </c>
      <c r="D48" s="334">
        <v>0</v>
      </c>
      <c r="E48" s="334">
        <v>0</v>
      </c>
      <c r="F48" s="334">
        <v>0</v>
      </c>
      <c r="G48" s="334">
        <f t="shared" ref="G48:G53" si="5">SUM(B48:F48)</f>
        <v>4</v>
      </c>
      <c r="H48" s="384">
        <v>1</v>
      </c>
      <c r="I48" s="206"/>
    </row>
    <row r="49" spans="1:10">
      <c r="A49" s="272" t="s">
        <v>912</v>
      </c>
      <c r="B49" s="334">
        <v>0</v>
      </c>
      <c r="C49" s="384">
        <v>8</v>
      </c>
      <c r="D49" s="334">
        <v>0</v>
      </c>
      <c r="E49" s="334">
        <v>0</v>
      </c>
      <c r="F49" s="384">
        <v>4</v>
      </c>
      <c r="G49" s="334">
        <f t="shared" si="5"/>
        <v>12</v>
      </c>
      <c r="H49" s="384">
        <v>2</v>
      </c>
      <c r="I49" s="206"/>
    </row>
    <row r="50" spans="1:10">
      <c r="A50" s="272" t="s">
        <v>913</v>
      </c>
      <c r="B50" s="334">
        <v>0</v>
      </c>
      <c r="C50" s="384">
        <v>4</v>
      </c>
      <c r="D50" s="334">
        <v>0</v>
      </c>
      <c r="E50" s="384">
        <v>4</v>
      </c>
      <c r="F50" s="334">
        <v>0</v>
      </c>
      <c r="G50" s="334">
        <f t="shared" si="5"/>
        <v>8</v>
      </c>
      <c r="H50" s="384">
        <v>2</v>
      </c>
      <c r="I50" s="206"/>
    </row>
    <row r="51" spans="1:10">
      <c r="A51" s="272" t="s">
        <v>924</v>
      </c>
      <c r="B51" s="384">
        <v>8</v>
      </c>
      <c r="C51" s="384">
        <v>8</v>
      </c>
      <c r="D51" s="334">
        <v>0</v>
      </c>
      <c r="E51" s="384">
        <v>4</v>
      </c>
      <c r="F51" s="334">
        <v>0</v>
      </c>
      <c r="G51" s="334">
        <f t="shared" si="5"/>
        <v>20</v>
      </c>
      <c r="H51" s="384">
        <v>3</v>
      </c>
      <c r="I51" s="206"/>
    </row>
    <row r="52" spans="1:10">
      <c r="A52" s="273" t="s">
        <v>894</v>
      </c>
      <c r="B52" s="384">
        <v>4</v>
      </c>
      <c r="C52" s="384">
        <v>4</v>
      </c>
      <c r="D52" s="384">
        <v>3</v>
      </c>
      <c r="E52" s="384">
        <v>3</v>
      </c>
      <c r="F52" s="384">
        <v>3</v>
      </c>
      <c r="G52" s="334">
        <f>SUM(B52:F52)</f>
        <v>17</v>
      </c>
      <c r="H52" s="384">
        <v>0</v>
      </c>
      <c r="I52" s="272" t="s">
        <v>928</v>
      </c>
    </row>
    <row r="53" spans="1:10">
      <c r="A53" s="317" t="s">
        <v>896</v>
      </c>
      <c r="B53" s="334">
        <v>0</v>
      </c>
      <c r="C53" s="334">
        <v>0</v>
      </c>
      <c r="D53" s="384">
        <v>3</v>
      </c>
      <c r="E53" s="384">
        <v>2</v>
      </c>
      <c r="F53" s="384">
        <v>3</v>
      </c>
      <c r="G53" s="334">
        <f t="shared" si="5"/>
        <v>8</v>
      </c>
      <c r="H53" s="384">
        <v>0</v>
      </c>
      <c r="I53" s="206"/>
    </row>
    <row r="54" spans="1:10">
      <c r="A54" s="1553" t="s">
        <v>929</v>
      </c>
      <c r="B54" s="1553"/>
      <c r="C54" s="1553"/>
      <c r="D54" s="1553"/>
      <c r="E54" s="1553"/>
      <c r="F54" s="1553"/>
      <c r="G54" s="1553"/>
      <c r="H54" s="1553"/>
      <c r="I54" s="1553"/>
    </row>
    <row r="55" spans="1:10">
      <c r="A55" s="311" t="s">
        <v>891</v>
      </c>
      <c r="B55" s="312">
        <v>45166</v>
      </c>
      <c r="C55" s="312">
        <v>45167</v>
      </c>
      <c r="D55" s="312">
        <v>45168</v>
      </c>
      <c r="E55" s="312">
        <v>45169</v>
      </c>
      <c r="F55" s="312">
        <v>45170</v>
      </c>
      <c r="G55" s="308" t="s">
        <v>25</v>
      </c>
      <c r="H55" s="308" t="s">
        <v>892</v>
      </c>
      <c r="I55" s="311" t="s">
        <v>893</v>
      </c>
    </row>
    <row r="56" spans="1:10">
      <c r="A56" s="206" t="s">
        <v>909</v>
      </c>
      <c r="B56" s="384">
        <v>0</v>
      </c>
      <c r="C56" s="384">
        <v>0</v>
      </c>
      <c r="D56" s="384">
        <v>0</v>
      </c>
      <c r="E56" s="384">
        <v>0</v>
      </c>
      <c r="F56" s="384">
        <v>0</v>
      </c>
      <c r="G56" s="334">
        <v>0</v>
      </c>
      <c r="H56" s="334">
        <v>0</v>
      </c>
      <c r="I56" s="360" t="s">
        <v>930</v>
      </c>
      <c r="J56" s="361"/>
    </row>
    <row r="57" spans="1:10">
      <c r="A57" s="206" t="s">
        <v>912</v>
      </c>
      <c r="B57" s="384">
        <v>0</v>
      </c>
      <c r="C57" s="384">
        <v>0</v>
      </c>
      <c r="D57" s="384">
        <v>0</v>
      </c>
      <c r="E57" s="384">
        <v>8</v>
      </c>
      <c r="F57" s="384">
        <v>8</v>
      </c>
      <c r="G57" s="334">
        <v>16</v>
      </c>
      <c r="H57" s="384">
        <v>2</v>
      </c>
      <c r="I57" s="360" t="s">
        <v>931</v>
      </c>
      <c r="J57" s="361"/>
    </row>
    <row r="58" spans="1:10">
      <c r="A58" s="206" t="s">
        <v>913</v>
      </c>
      <c r="B58" s="384">
        <v>0</v>
      </c>
      <c r="C58" s="384">
        <v>0</v>
      </c>
      <c r="D58" s="384">
        <v>0</v>
      </c>
      <c r="E58" s="384">
        <v>8</v>
      </c>
      <c r="F58" s="384">
        <v>8</v>
      </c>
      <c r="G58" s="334">
        <v>16</v>
      </c>
      <c r="H58" s="384">
        <v>2</v>
      </c>
      <c r="I58" s="206"/>
    </row>
    <row r="59" spans="1:10">
      <c r="A59" s="206" t="s">
        <v>924</v>
      </c>
      <c r="B59" s="384">
        <v>0</v>
      </c>
      <c r="C59" s="384">
        <v>0</v>
      </c>
      <c r="D59" s="384">
        <v>0</v>
      </c>
      <c r="E59" s="384">
        <v>0</v>
      </c>
      <c r="F59" s="384">
        <v>0</v>
      </c>
      <c r="G59" s="334">
        <v>0</v>
      </c>
      <c r="H59" s="334">
        <v>0</v>
      </c>
      <c r="I59" s="206"/>
    </row>
    <row r="60" spans="1:10">
      <c r="A60" s="206" t="s">
        <v>894</v>
      </c>
      <c r="B60" s="384">
        <v>2</v>
      </c>
      <c r="C60" s="384">
        <v>1</v>
      </c>
      <c r="D60" s="384">
        <v>1</v>
      </c>
      <c r="E60" s="384">
        <v>1</v>
      </c>
      <c r="F60" s="384">
        <v>3</v>
      </c>
      <c r="G60" s="334">
        <f>SUM(B60:F60)</f>
        <v>8</v>
      </c>
      <c r="H60" s="334">
        <v>0</v>
      </c>
      <c r="I60" s="206"/>
    </row>
    <row r="61" spans="1:10">
      <c r="A61" s="206" t="s">
        <v>896</v>
      </c>
      <c r="B61" s="384">
        <v>1.5</v>
      </c>
      <c r="C61" s="384">
        <v>1</v>
      </c>
      <c r="D61" s="384">
        <v>1</v>
      </c>
      <c r="E61" s="384">
        <v>1.5</v>
      </c>
      <c r="F61" s="384">
        <v>2</v>
      </c>
      <c r="G61" s="334">
        <f>SUM(B61:F61)</f>
        <v>7</v>
      </c>
      <c r="H61" s="334">
        <v>0</v>
      </c>
      <c r="I61" s="206"/>
    </row>
    <row r="63" spans="1:10">
      <c r="A63" s="1553" t="s">
        <v>932</v>
      </c>
      <c r="B63" s="1553"/>
      <c r="C63" s="1553"/>
      <c r="D63" s="1553"/>
      <c r="E63" s="1553"/>
      <c r="F63" s="1553"/>
      <c r="G63" s="1553"/>
      <c r="H63" s="1553"/>
      <c r="I63" s="1553"/>
    </row>
    <row r="64" spans="1:10">
      <c r="A64" s="311" t="s">
        <v>891</v>
      </c>
      <c r="B64" s="312">
        <v>45173</v>
      </c>
      <c r="C64" s="312">
        <v>45174</v>
      </c>
      <c r="D64" s="312">
        <v>45175</v>
      </c>
      <c r="E64" s="312">
        <v>45176</v>
      </c>
      <c r="F64" s="312">
        <v>45177</v>
      </c>
      <c r="G64" s="308" t="s">
        <v>25</v>
      </c>
      <c r="H64" s="308" t="s">
        <v>892</v>
      </c>
      <c r="I64" s="311" t="s">
        <v>893</v>
      </c>
    </row>
    <row r="65" spans="1:9">
      <c r="A65" s="206" t="s">
        <v>909</v>
      </c>
      <c r="B65" s="334">
        <v>0</v>
      </c>
      <c r="C65" s="334">
        <v>0</v>
      </c>
      <c r="D65" s="334">
        <v>0</v>
      </c>
      <c r="E65" s="334">
        <v>0</v>
      </c>
      <c r="F65" s="334">
        <v>0</v>
      </c>
      <c r="G65" s="334">
        <f t="shared" ref="G65:G70" si="6">SUM(B65:F65)</f>
        <v>0</v>
      </c>
      <c r="H65" s="334">
        <v>0</v>
      </c>
      <c r="I65" s="206"/>
    </row>
    <row r="66" spans="1:9">
      <c r="A66" s="206" t="s">
        <v>912</v>
      </c>
      <c r="B66" s="334">
        <v>0</v>
      </c>
      <c r="C66" s="384">
        <v>4</v>
      </c>
      <c r="D66" s="334">
        <v>0</v>
      </c>
      <c r="E66" s="384">
        <v>8</v>
      </c>
      <c r="F66" s="384">
        <v>4</v>
      </c>
      <c r="G66" s="334">
        <f t="shared" si="6"/>
        <v>16</v>
      </c>
      <c r="H66" s="384">
        <v>0</v>
      </c>
      <c r="I66" s="206"/>
    </row>
    <row r="67" spans="1:9">
      <c r="A67" s="206" t="s">
        <v>913</v>
      </c>
      <c r="B67" s="334">
        <v>0</v>
      </c>
      <c r="C67" s="384">
        <v>4</v>
      </c>
      <c r="D67" s="334">
        <v>0</v>
      </c>
      <c r="E67" s="334">
        <v>0</v>
      </c>
      <c r="F67" s="334">
        <v>0</v>
      </c>
      <c r="G67" s="334">
        <f t="shared" si="6"/>
        <v>4</v>
      </c>
      <c r="H67" s="384">
        <v>1</v>
      </c>
      <c r="I67" s="206"/>
    </row>
    <row r="68" spans="1:9">
      <c r="A68" s="206" t="s">
        <v>924</v>
      </c>
      <c r="B68" s="334">
        <v>0</v>
      </c>
      <c r="C68" s="334">
        <v>0</v>
      </c>
      <c r="D68" s="334">
        <v>0</v>
      </c>
      <c r="E68" s="334">
        <v>0</v>
      </c>
      <c r="F68" s="334">
        <v>0</v>
      </c>
      <c r="G68" s="334">
        <f t="shared" si="6"/>
        <v>0</v>
      </c>
      <c r="H68" s="334">
        <v>0</v>
      </c>
      <c r="I68" s="206"/>
    </row>
    <row r="69" spans="1:9">
      <c r="A69" s="206" t="s">
        <v>894</v>
      </c>
      <c r="B69" s="334">
        <v>0</v>
      </c>
      <c r="C69" s="334">
        <v>0</v>
      </c>
      <c r="D69" s="384">
        <v>0.5</v>
      </c>
      <c r="E69" s="334">
        <v>0</v>
      </c>
      <c r="F69" s="384">
        <v>0.5</v>
      </c>
      <c r="G69" s="334">
        <f t="shared" si="6"/>
        <v>1</v>
      </c>
      <c r="H69" s="334">
        <v>0</v>
      </c>
      <c r="I69" s="206"/>
    </row>
    <row r="70" spans="1:9">
      <c r="A70" s="206" t="s">
        <v>896</v>
      </c>
      <c r="B70" s="334">
        <v>0</v>
      </c>
      <c r="C70" s="384">
        <v>0.5</v>
      </c>
      <c r="D70" s="384">
        <v>0.5</v>
      </c>
      <c r="E70" s="384">
        <v>1</v>
      </c>
      <c r="F70" s="384">
        <v>1</v>
      </c>
      <c r="G70" s="334">
        <f t="shared" si="6"/>
        <v>3</v>
      </c>
      <c r="H70" s="334">
        <v>0</v>
      </c>
      <c r="I70" s="206" t="s">
        <v>933</v>
      </c>
    </row>
    <row r="72" spans="1:9">
      <c r="A72" s="1553" t="s">
        <v>934</v>
      </c>
      <c r="B72" s="1553"/>
      <c r="C72" s="1553"/>
      <c r="D72" s="1553"/>
      <c r="E72" s="1553"/>
      <c r="F72" s="1553"/>
      <c r="G72" s="1553"/>
      <c r="H72" s="1553"/>
      <c r="I72" s="1553"/>
    </row>
    <row r="73" spans="1:9">
      <c r="A73" s="311" t="s">
        <v>891</v>
      </c>
      <c r="B73" s="312">
        <v>45180</v>
      </c>
      <c r="C73" s="312">
        <v>45181</v>
      </c>
      <c r="D73" s="312">
        <v>45182</v>
      </c>
      <c r="E73" s="312">
        <v>45183</v>
      </c>
      <c r="F73" s="312">
        <v>45184</v>
      </c>
      <c r="G73" s="308" t="s">
        <v>25</v>
      </c>
      <c r="H73" s="308" t="s">
        <v>892</v>
      </c>
      <c r="I73" s="311" t="s">
        <v>893</v>
      </c>
    </row>
    <row r="74" spans="1:9">
      <c r="A74" s="206" t="s">
        <v>909</v>
      </c>
      <c r="B74" s="378">
        <v>0</v>
      </c>
      <c r="C74" s="378">
        <v>0</v>
      </c>
      <c r="D74" s="378">
        <v>0</v>
      </c>
      <c r="E74" s="378">
        <v>0</v>
      </c>
      <c r="F74" s="378">
        <v>0</v>
      </c>
      <c r="G74" s="378">
        <f t="shared" ref="G74:G79" si="7">SUM(B74:F74)</f>
        <v>0</v>
      </c>
      <c r="H74" s="378">
        <v>0</v>
      </c>
      <c r="I74" s="206"/>
    </row>
    <row r="75" spans="1:9">
      <c r="A75" s="206" t="s">
        <v>912</v>
      </c>
      <c r="B75" s="378">
        <v>0</v>
      </c>
      <c r="C75" s="378">
        <v>0</v>
      </c>
      <c r="D75" s="378">
        <v>0</v>
      </c>
      <c r="E75" s="378">
        <v>0</v>
      </c>
      <c r="F75" s="378">
        <v>8</v>
      </c>
      <c r="G75" s="383">
        <f t="shared" si="7"/>
        <v>8</v>
      </c>
      <c r="H75" s="383">
        <v>1</v>
      </c>
      <c r="I75" s="206"/>
    </row>
    <row r="76" spans="1:9">
      <c r="A76" s="206" t="s">
        <v>913</v>
      </c>
      <c r="B76" s="378">
        <v>0</v>
      </c>
      <c r="C76" s="378">
        <v>0</v>
      </c>
      <c r="D76" s="378">
        <v>0</v>
      </c>
      <c r="E76" s="378">
        <v>0</v>
      </c>
      <c r="F76" s="378">
        <v>0</v>
      </c>
      <c r="G76" s="378">
        <f t="shared" si="7"/>
        <v>0</v>
      </c>
      <c r="H76" s="378">
        <v>0</v>
      </c>
      <c r="I76" s="206"/>
    </row>
    <row r="77" spans="1:9">
      <c r="A77" s="206" t="s">
        <v>924</v>
      </c>
      <c r="B77" s="378">
        <v>0</v>
      </c>
      <c r="C77" s="378">
        <v>0</v>
      </c>
      <c r="D77" s="378">
        <v>0</v>
      </c>
      <c r="E77" s="378">
        <v>0</v>
      </c>
      <c r="F77" s="378">
        <v>0</v>
      </c>
      <c r="G77" s="378">
        <f t="shared" si="7"/>
        <v>0</v>
      </c>
      <c r="H77" s="378">
        <v>0</v>
      </c>
      <c r="I77" s="206"/>
    </row>
    <row r="78" spans="1:9">
      <c r="A78" s="206" t="s">
        <v>894</v>
      </c>
      <c r="B78" s="378">
        <v>0</v>
      </c>
      <c r="C78" s="378">
        <v>0</v>
      </c>
      <c r="D78" s="378">
        <v>0</v>
      </c>
      <c r="E78" s="378">
        <v>0</v>
      </c>
      <c r="F78" s="378">
        <v>0</v>
      </c>
      <c r="G78" s="378">
        <f t="shared" si="7"/>
        <v>0</v>
      </c>
      <c r="H78" s="378">
        <v>0</v>
      </c>
      <c r="I78" s="206"/>
    </row>
    <row r="79" spans="1:9">
      <c r="A79" s="206" t="s">
        <v>896</v>
      </c>
      <c r="B79" s="378">
        <v>0</v>
      </c>
      <c r="C79" s="378">
        <v>0</v>
      </c>
      <c r="D79" s="378">
        <v>0</v>
      </c>
      <c r="E79" s="378">
        <v>0</v>
      </c>
      <c r="F79" s="378">
        <v>0</v>
      </c>
      <c r="G79" s="378">
        <f t="shared" si="7"/>
        <v>0</v>
      </c>
      <c r="H79" s="378">
        <v>0</v>
      </c>
      <c r="I79" s="206"/>
    </row>
    <row r="81" spans="1:9">
      <c r="A81" s="1553" t="s">
        <v>935</v>
      </c>
      <c r="B81" s="1553"/>
      <c r="C81" s="1553"/>
      <c r="D81" s="1553"/>
      <c r="E81" s="1553"/>
      <c r="F81" s="1553"/>
      <c r="G81" s="1553"/>
      <c r="H81" s="1553"/>
      <c r="I81" s="1553"/>
    </row>
    <row r="82" spans="1:9">
      <c r="A82" s="311" t="s">
        <v>891</v>
      </c>
      <c r="B82" s="312">
        <v>45187</v>
      </c>
      <c r="C82" s="312">
        <v>45188</v>
      </c>
      <c r="D82" s="312">
        <v>45189</v>
      </c>
      <c r="E82" s="312">
        <v>45190</v>
      </c>
      <c r="F82" s="312">
        <v>45191</v>
      </c>
      <c r="G82" s="308" t="s">
        <v>25</v>
      </c>
      <c r="H82" s="308" t="s">
        <v>892</v>
      </c>
      <c r="I82" s="311" t="s">
        <v>893</v>
      </c>
    </row>
    <row r="83" spans="1:9">
      <c r="A83" s="206" t="s">
        <v>909</v>
      </c>
      <c r="B83" s="392">
        <v>0</v>
      </c>
      <c r="C83" s="392">
        <v>0</v>
      </c>
      <c r="D83" s="392">
        <v>0</v>
      </c>
      <c r="E83" s="392">
        <v>0</v>
      </c>
      <c r="F83" s="392">
        <v>0</v>
      </c>
      <c r="G83" s="392">
        <f>SUM(B83:F83)</f>
        <v>0</v>
      </c>
      <c r="H83" s="392">
        <v>0</v>
      </c>
      <c r="I83" s="206"/>
    </row>
    <row r="84" spans="1:9">
      <c r="A84" s="206" t="s">
        <v>912</v>
      </c>
      <c r="B84" s="392">
        <v>0</v>
      </c>
      <c r="C84" s="392">
        <v>0</v>
      </c>
      <c r="D84" s="392">
        <v>0</v>
      </c>
      <c r="E84" s="392">
        <v>0</v>
      </c>
      <c r="F84" s="392">
        <v>0</v>
      </c>
      <c r="G84" s="392">
        <f t="shared" ref="G84:G86" si="8">SUM(B84:F84)</f>
        <v>0</v>
      </c>
      <c r="H84" s="392">
        <v>0</v>
      </c>
      <c r="I84" s="206"/>
    </row>
    <row r="85" spans="1:9">
      <c r="A85" s="206" t="s">
        <v>913</v>
      </c>
      <c r="B85" s="392">
        <v>0</v>
      </c>
      <c r="C85" s="392">
        <v>0</v>
      </c>
      <c r="D85" s="392">
        <v>0</v>
      </c>
      <c r="E85" s="392">
        <v>0</v>
      </c>
      <c r="F85" s="392">
        <v>0</v>
      </c>
      <c r="G85" s="392">
        <f t="shared" si="8"/>
        <v>0</v>
      </c>
      <c r="H85" s="392">
        <v>0</v>
      </c>
      <c r="I85" s="206"/>
    </row>
    <row r="86" spans="1:9">
      <c r="A86" s="206" t="s">
        <v>924</v>
      </c>
      <c r="B86" s="392">
        <v>0</v>
      </c>
      <c r="C86" s="392">
        <v>0</v>
      </c>
      <c r="D86" s="392">
        <v>0</v>
      </c>
      <c r="E86" s="392">
        <v>0</v>
      </c>
      <c r="F86" s="392">
        <v>0</v>
      </c>
      <c r="G86" s="392">
        <f t="shared" si="8"/>
        <v>0</v>
      </c>
      <c r="H86" s="392">
        <v>0</v>
      </c>
      <c r="I86" s="206"/>
    </row>
    <row r="87" spans="1:9">
      <c r="A87" s="206" t="s">
        <v>894</v>
      </c>
      <c r="B87" s="392">
        <v>0</v>
      </c>
      <c r="C87" s="392">
        <v>0</v>
      </c>
      <c r="D87" s="392">
        <v>0</v>
      </c>
      <c r="E87" s="392">
        <v>0</v>
      </c>
      <c r="F87" s="392">
        <v>0</v>
      </c>
      <c r="G87" s="392">
        <f>SUM(B87:F87)</f>
        <v>0</v>
      </c>
      <c r="H87" s="392">
        <v>0</v>
      </c>
      <c r="I87" s="206"/>
    </row>
    <row r="88" spans="1:9">
      <c r="A88" s="206" t="s">
        <v>896</v>
      </c>
      <c r="B88" s="392">
        <v>0</v>
      </c>
      <c r="C88" s="393">
        <v>0.25</v>
      </c>
      <c r="D88" s="392">
        <v>0</v>
      </c>
      <c r="E88" s="392">
        <v>0</v>
      </c>
      <c r="F88" s="392">
        <v>0</v>
      </c>
      <c r="G88" s="392">
        <f>SUM(B88:F88)</f>
        <v>0.25</v>
      </c>
      <c r="H88" s="392">
        <v>0</v>
      </c>
      <c r="I88" s="206" t="s">
        <v>936</v>
      </c>
    </row>
    <row r="90" spans="1:9">
      <c r="A90" s="1553" t="s">
        <v>937</v>
      </c>
      <c r="B90" s="1553"/>
      <c r="C90" s="1553"/>
      <c r="D90" s="1553"/>
      <c r="E90" s="1553"/>
      <c r="F90" s="1553"/>
      <c r="G90" s="1553"/>
      <c r="H90" s="1553"/>
      <c r="I90" s="1553"/>
    </row>
    <row r="91" spans="1:9">
      <c r="A91" s="311" t="s">
        <v>891</v>
      </c>
      <c r="B91" s="312">
        <v>45194</v>
      </c>
      <c r="C91" s="312">
        <v>45195</v>
      </c>
      <c r="D91" s="312">
        <v>45196</v>
      </c>
      <c r="E91" s="312">
        <v>45197</v>
      </c>
      <c r="F91" s="312">
        <v>45198</v>
      </c>
      <c r="G91" s="308" t="s">
        <v>25</v>
      </c>
      <c r="H91" s="308" t="s">
        <v>892</v>
      </c>
      <c r="I91" s="311" t="s">
        <v>893</v>
      </c>
    </row>
    <row r="92" spans="1:9">
      <c r="A92" s="206" t="s">
        <v>909</v>
      </c>
      <c r="B92" s="392">
        <v>0</v>
      </c>
      <c r="C92" s="392">
        <v>0</v>
      </c>
      <c r="D92" s="392">
        <v>0</v>
      </c>
      <c r="E92" s="392">
        <v>0</v>
      </c>
      <c r="F92" s="392">
        <v>0</v>
      </c>
      <c r="G92" s="392">
        <f>SUM(B92:F92)</f>
        <v>0</v>
      </c>
      <c r="H92" s="392">
        <v>0</v>
      </c>
      <c r="I92" s="206"/>
    </row>
    <row r="93" spans="1:9">
      <c r="A93" s="206" t="s">
        <v>912</v>
      </c>
      <c r="B93" s="392">
        <v>0</v>
      </c>
      <c r="C93" s="392">
        <v>0</v>
      </c>
      <c r="D93" s="395">
        <v>5.5</v>
      </c>
      <c r="E93" s="392">
        <v>0</v>
      </c>
      <c r="F93" s="392">
        <v>0</v>
      </c>
      <c r="G93" s="392">
        <f t="shared" ref="G93:G95" si="9">SUM(B93:F93)</f>
        <v>5.5</v>
      </c>
      <c r="H93" s="393">
        <v>1</v>
      </c>
      <c r="I93" s="206"/>
    </row>
    <row r="94" spans="1:9">
      <c r="A94" s="206" t="s">
        <v>913</v>
      </c>
      <c r="B94" s="392">
        <v>0</v>
      </c>
      <c r="C94" s="392">
        <v>0</v>
      </c>
      <c r="D94" s="392">
        <v>0</v>
      </c>
      <c r="E94" s="392">
        <v>0</v>
      </c>
      <c r="F94" s="392">
        <v>0</v>
      </c>
      <c r="G94" s="392">
        <f t="shared" si="9"/>
        <v>0</v>
      </c>
      <c r="H94" s="392">
        <v>0</v>
      </c>
      <c r="I94" s="206"/>
    </row>
    <row r="95" spans="1:9">
      <c r="A95" s="206" t="s">
        <v>924</v>
      </c>
      <c r="B95" s="392">
        <v>0</v>
      </c>
      <c r="C95" s="392">
        <v>0</v>
      </c>
      <c r="D95" s="392">
        <v>0</v>
      </c>
      <c r="E95" s="392">
        <v>0</v>
      </c>
      <c r="F95" s="392">
        <v>0</v>
      </c>
      <c r="G95" s="392">
        <f t="shared" si="9"/>
        <v>0</v>
      </c>
      <c r="H95" s="392">
        <v>0</v>
      </c>
      <c r="I95" s="206"/>
    </row>
    <row r="96" spans="1:9">
      <c r="A96" s="206" t="s">
        <v>894</v>
      </c>
      <c r="B96" s="393">
        <v>0.5</v>
      </c>
      <c r="C96" s="392">
        <v>0</v>
      </c>
      <c r="D96" s="392">
        <v>0</v>
      </c>
      <c r="E96" s="392">
        <v>0</v>
      </c>
      <c r="F96" s="392">
        <v>0</v>
      </c>
      <c r="G96" s="392">
        <f>SUM(B96:F96)</f>
        <v>0.5</v>
      </c>
      <c r="H96" s="392">
        <v>0</v>
      </c>
      <c r="I96" s="206" t="s">
        <v>938</v>
      </c>
    </row>
    <row r="97" spans="1:9">
      <c r="A97" s="206" t="s">
        <v>896</v>
      </c>
      <c r="B97" s="392">
        <v>0</v>
      </c>
      <c r="C97" s="392">
        <v>0</v>
      </c>
      <c r="D97" s="392">
        <v>0</v>
      </c>
      <c r="E97" s="392">
        <v>0</v>
      </c>
      <c r="F97" s="393">
        <v>1</v>
      </c>
      <c r="G97" s="392">
        <f>SUM(B97:F97)</f>
        <v>1</v>
      </c>
      <c r="H97" s="392">
        <v>0</v>
      </c>
      <c r="I97" s="206" t="s">
        <v>939</v>
      </c>
    </row>
    <row r="99" spans="1:9">
      <c r="A99" s="1553" t="s">
        <v>940</v>
      </c>
      <c r="B99" s="1553"/>
      <c r="C99" s="1553"/>
      <c r="D99" s="1553"/>
      <c r="E99" s="1553"/>
      <c r="F99" s="1553"/>
      <c r="G99" s="1553"/>
      <c r="H99" s="1553"/>
      <c r="I99" s="1553"/>
    </row>
    <row r="100" spans="1:9">
      <c r="A100" s="311" t="s">
        <v>891</v>
      </c>
      <c r="B100" s="312">
        <v>45201</v>
      </c>
      <c r="C100" s="312">
        <v>45202</v>
      </c>
      <c r="D100" s="312">
        <v>45203</v>
      </c>
      <c r="E100" s="312">
        <v>45204</v>
      </c>
      <c r="F100" s="312">
        <v>45205</v>
      </c>
      <c r="G100" s="308" t="s">
        <v>25</v>
      </c>
      <c r="H100" s="308" t="s">
        <v>892</v>
      </c>
      <c r="I100" s="311" t="s">
        <v>893</v>
      </c>
    </row>
    <row r="101" spans="1:9">
      <c r="A101" s="206" t="s">
        <v>909</v>
      </c>
      <c r="B101" s="392">
        <v>0</v>
      </c>
      <c r="C101" s="392">
        <v>0</v>
      </c>
      <c r="D101" s="392">
        <v>0</v>
      </c>
      <c r="E101" s="392">
        <v>0</v>
      </c>
      <c r="F101" s="392">
        <v>0</v>
      </c>
      <c r="G101" s="392">
        <f>SUM(B101:F101)</f>
        <v>0</v>
      </c>
      <c r="H101" s="392">
        <v>0</v>
      </c>
      <c r="I101" s="206"/>
    </row>
    <row r="102" spans="1:9">
      <c r="A102" s="206" t="s">
        <v>912</v>
      </c>
      <c r="B102" s="392">
        <v>0</v>
      </c>
      <c r="C102" s="392">
        <v>0</v>
      </c>
      <c r="D102" s="394">
        <v>0</v>
      </c>
      <c r="E102" s="392">
        <v>0</v>
      </c>
      <c r="F102" s="395">
        <v>2</v>
      </c>
      <c r="G102" s="392">
        <f t="shared" ref="G102:G104" si="10">SUM(B102:F102)</f>
        <v>2</v>
      </c>
      <c r="H102" s="393">
        <v>1</v>
      </c>
      <c r="I102" s="206"/>
    </row>
    <row r="103" spans="1:9">
      <c r="A103" s="206" t="s">
        <v>913</v>
      </c>
      <c r="B103" s="392">
        <v>0</v>
      </c>
      <c r="C103" s="392">
        <v>0</v>
      </c>
      <c r="D103" s="392">
        <v>0</v>
      </c>
      <c r="E103" s="392">
        <v>0</v>
      </c>
      <c r="F103" s="392">
        <v>0</v>
      </c>
      <c r="G103" s="392">
        <f t="shared" si="10"/>
        <v>0</v>
      </c>
      <c r="H103" s="392">
        <v>0</v>
      </c>
      <c r="I103" s="206"/>
    </row>
    <row r="104" spans="1:9">
      <c r="A104" s="206" t="s">
        <v>924</v>
      </c>
      <c r="B104" s="392">
        <v>0</v>
      </c>
      <c r="C104" s="392">
        <v>0</v>
      </c>
      <c r="D104" s="392">
        <v>0</v>
      </c>
      <c r="E104" s="392">
        <v>0</v>
      </c>
      <c r="F104" s="392">
        <v>0</v>
      </c>
      <c r="G104" s="392">
        <f t="shared" si="10"/>
        <v>0</v>
      </c>
      <c r="H104" s="392">
        <v>0</v>
      </c>
      <c r="I104" s="206"/>
    </row>
    <row r="105" spans="1:9">
      <c r="A105" s="206" t="s">
        <v>894</v>
      </c>
      <c r="B105" s="392">
        <v>0</v>
      </c>
      <c r="C105" s="392">
        <v>0</v>
      </c>
      <c r="D105" s="392">
        <v>0</v>
      </c>
      <c r="E105" s="392">
        <v>0</v>
      </c>
      <c r="F105" s="393">
        <v>0.25</v>
      </c>
      <c r="G105" s="392">
        <f>SUM(B105:F105)</f>
        <v>0.25</v>
      </c>
      <c r="H105" s="392">
        <v>0</v>
      </c>
      <c r="I105" s="206"/>
    </row>
    <row r="106" spans="1:9">
      <c r="A106" s="206" t="s">
        <v>896</v>
      </c>
      <c r="B106" s="392">
        <v>0</v>
      </c>
      <c r="C106" s="392">
        <v>0</v>
      </c>
      <c r="D106" s="392">
        <v>0</v>
      </c>
      <c r="E106" s="392">
        <v>0</v>
      </c>
      <c r="F106" s="392">
        <v>0</v>
      </c>
      <c r="G106" s="392">
        <f>SUM(B106:F106)</f>
        <v>0</v>
      </c>
      <c r="H106" s="392">
        <v>0</v>
      </c>
      <c r="I106" s="206"/>
    </row>
    <row r="108" spans="1:9">
      <c r="A108" s="390" t="s">
        <v>941</v>
      </c>
    </row>
  </sheetData>
  <mergeCells count="13">
    <mergeCell ref="A99:I99"/>
    <mergeCell ref="A81:I81"/>
    <mergeCell ref="A90:I90"/>
    <mergeCell ref="A1:I1"/>
    <mergeCell ref="A6:I6"/>
    <mergeCell ref="A14:I14"/>
    <mergeCell ref="A22:I22"/>
    <mergeCell ref="A30:I30"/>
    <mergeCell ref="A72:I72"/>
    <mergeCell ref="A63:I63"/>
    <mergeCell ref="A54:I54"/>
    <mergeCell ref="A46:I46"/>
    <mergeCell ref="A38:I38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475E5-092D-4B77-A6E8-7C6C593A62D9}">
  <sheetPr codeName="Sheet14">
    <tabColor rgb="FF92D050"/>
  </sheetPr>
  <dimension ref="A1:AW736"/>
  <sheetViews>
    <sheetView topLeftCell="B665" zoomScaleNormal="100" workbookViewId="0">
      <pane xSplit="2" topLeftCell="F661" activePane="topRight" state="frozen"/>
      <selection pane="topRight" activeCell="C665" sqref="A665:XFD688"/>
      <selection activeCell="B304" sqref="B304"/>
    </sheetView>
  </sheetViews>
  <sheetFormatPr defaultColWidth="9.42578125" defaultRowHeight="13.5"/>
  <cols>
    <col min="1" max="1" width="12.5703125" style="313" hidden="1" customWidth="1"/>
    <col min="2" max="2" width="34.28515625" style="313" customWidth="1"/>
    <col min="3" max="3" width="7.85546875" style="180" customWidth="1"/>
    <col min="4" max="4" width="7.42578125" style="180" customWidth="1"/>
    <col min="5" max="6" width="6.42578125" style="374" customWidth="1"/>
    <col min="7" max="7" width="1" style="374" customWidth="1"/>
    <col min="8" max="9" width="6.42578125" style="180" customWidth="1"/>
    <col min="10" max="10" width="5.5703125" style="374" customWidth="1"/>
    <col min="11" max="11" width="6.42578125" style="374" customWidth="1"/>
    <col min="12" max="12" width="1" style="374" customWidth="1"/>
    <col min="13" max="14" width="7.42578125" style="180" customWidth="1"/>
    <col min="15" max="16" width="6.42578125" style="374" customWidth="1"/>
    <col min="17" max="17" width="1" style="4" customWidth="1"/>
    <col min="18" max="19" width="7.42578125" style="180" customWidth="1"/>
    <col min="20" max="21" width="6.42578125" style="374" customWidth="1"/>
    <col min="22" max="22" width="1" style="4" customWidth="1"/>
    <col min="23" max="24" width="6.42578125" style="180" customWidth="1"/>
    <col min="25" max="26" width="6.42578125" style="374" customWidth="1"/>
    <col min="27" max="27" width="9.42578125" style="374" customWidth="1"/>
    <col min="28" max="28" width="7.42578125" style="374" customWidth="1"/>
    <col min="29" max="29" width="1" style="374" customWidth="1"/>
    <col min="30" max="30" width="7.5703125" style="180" customWidth="1"/>
    <col min="31" max="31" width="9.28515625" style="180" customWidth="1"/>
    <col min="32" max="32" width="6.42578125" style="180" customWidth="1"/>
    <col min="33" max="33" width="7.5703125" style="180" customWidth="1"/>
    <col min="34" max="34" width="2.42578125" style="4" customWidth="1"/>
    <col min="35" max="35" width="2.42578125" style="255" customWidth="1"/>
    <col min="36" max="36" width="1.42578125" style="180" customWidth="1"/>
    <col min="37" max="37" width="13.5703125" style="193" bestFit="1" customWidth="1"/>
    <col min="38" max="38" width="13" style="193" customWidth="1"/>
    <col min="39" max="39" width="9.42578125" style="193" bestFit="1"/>
    <col min="40" max="40" width="10.7109375" style="193" customWidth="1"/>
    <col min="41" max="42" width="9.42578125" style="193"/>
    <col min="43" max="49" width="9.42578125" style="180"/>
    <col min="50" max="16384" width="9.42578125" style="313"/>
  </cols>
  <sheetData>
    <row r="1" spans="1:49" s="180" customFormat="1" ht="33" customHeight="1">
      <c r="E1" s="4"/>
      <c r="F1" s="4"/>
      <c r="G1" s="4"/>
      <c r="J1" s="4"/>
      <c r="K1" s="4"/>
      <c r="L1" s="4"/>
      <c r="O1" s="4"/>
      <c r="P1" s="4"/>
      <c r="Q1" s="4"/>
      <c r="S1" s="1520" t="s">
        <v>322</v>
      </c>
      <c r="T1" s="1520"/>
      <c r="U1" s="1520"/>
      <c r="V1" s="1520"/>
      <c r="W1" s="1520"/>
      <c r="X1" s="1520"/>
      <c r="Y1" s="1520"/>
      <c r="Z1" s="1520"/>
      <c r="AA1" s="1520"/>
      <c r="AB1" s="1520"/>
      <c r="AC1" s="1520"/>
      <c r="AD1" s="1520"/>
      <c r="AE1" s="1520"/>
      <c r="AF1" s="1520"/>
      <c r="AG1" s="1520"/>
      <c r="AH1" s="4"/>
      <c r="AI1" s="255"/>
      <c r="AK1" s="1517"/>
      <c r="AL1" s="1517"/>
      <c r="AM1" s="1517"/>
      <c r="AN1" s="1517"/>
      <c r="AO1" s="1517"/>
      <c r="AP1" s="1517"/>
    </row>
    <row r="2" spans="1:49" s="180" customFormat="1" ht="13.5" customHeight="1">
      <c r="E2" s="4"/>
      <c r="F2" s="4"/>
      <c r="G2" s="4"/>
      <c r="J2" s="4"/>
      <c r="K2" s="4"/>
      <c r="L2" s="4"/>
      <c r="O2" s="4"/>
      <c r="P2" s="4"/>
      <c r="Q2" s="4"/>
      <c r="S2" s="258"/>
      <c r="T2" s="258"/>
      <c r="U2" s="4"/>
      <c r="V2" s="258"/>
      <c r="W2" s="258"/>
      <c r="X2" s="258"/>
      <c r="Y2" s="258" t="s">
        <v>2</v>
      </c>
      <c r="Z2" s="4"/>
      <c r="AA2" s="260"/>
      <c r="AB2" s="4"/>
      <c r="AC2" s="258"/>
      <c r="AD2" s="266" t="s">
        <v>942</v>
      </c>
      <c r="AE2" s="262">
        <f>AA2-((3534.18)+(AA5+AE5))</f>
        <v>-3534.18</v>
      </c>
      <c r="AF2" s="262"/>
      <c r="AH2" s="4"/>
      <c r="AI2" s="255"/>
      <c r="AK2" s="1521" t="s">
        <v>943</v>
      </c>
      <c r="AL2" s="1521"/>
      <c r="AM2" s="1521"/>
      <c r="AN2" s="1521"/>
      <c r="AO2" s="1521"/>
      <c r="AP2" s="1521"/>
    </row>
    <row r="3" spans="1:49" s="180" customFormat="1" ht="13.5" customHeight="1">
      <c r="E3" s="4"/>
      <c r="F3" s="4"/>
      <c r="G3" s="4"/>
      <c r="J3" s="4"/>
      <c r="K3" s="4"/>
      <c r="L3" s="4"/>
      <c r="O3" s="4"/>
      <c r="P3" s="4"/>
      <c r="Q3" s="4"/>
      <c r="S3" s="258"/>
      <c r="T3" s="258"/>
      <c r="U3" s="4"/>
      <c r="V3" s="258"/>
      <c r="W3" s="258"/>
      <c r="X3" s="258"/>
      <c r="Y3" s="258" t="s">
        <v>5</v>
      </c>
      <c r="Z3" s="4"/>
      <c r="AA3" s="261"/>
      <c r="AB3" s="4"/>
      <c r="AC3" s="258"/>
      <c r="AD3" s="266" t="s">
        <v>944</v>
      </c>
      <c r="AE3" s="263">
        <f>AA3-((159.15)+(AA6+AE6))</f>
        <v>-159.15</v>
      </c>
      <c r="AH3" s="4"/>
      <c r="AI3" s="255"/>
      <c r="AK3" s="192" t="s">
        <v>6</v>
      </c>
      <c r="AL3" s="193"/>
      <c r="AM3" s="193"/>
      <c r="AN3" s="193"/>
      <c r="AO3" s="193"/>
      <c r="AP3" s="193"/>
    </row>
    <row r="4" spans="1:49" s="180" customFormat="1" ht="13.5" customHeight="1">
      <c r="E4" s="4"/>
      <c r="F4" s="4"/>
      <c r="G4" s="4"/>
      <c r="J4" s="4"/>
      <c r="K4" s="4"/>
      <c r="L4" s="4"/>
      <c r="O4" s="4"/>
      <c r="P4" s="4"/>
      <c r="Q4" s="4"/>
      <c r="S4" s="258"/>
      <c r="T4" s="258"/>
      <c r="U4" s="4"/>
      <c r="V4" s="258"/>
      <c r="W4" s="258"/>
      <c r="X4" s="258"/>
      <c r="Y4" s="258" t="s">
        <v>7</v>
      </c>
      <c r="Z4" s="4"/>
      <c r="AA4" s="260"/>
      <c r="AB4" s="4"/>
      <c r="AC4" s="258"/>
      <c r="AD4" s="266" t="s">
        <v>945</v>
      </c>
      <c r="AE4" s="262">
        <f>AA4-AA7</f>
        <v>0</v>
      </c>
      <c r="AH4" s="4"/>
      <c r="AI4" s="255"/>
      <c r="AK4" s="193" t="s">
        <v>8</v>
      </c>
      <c r="AL4" s="193"/>
      <c r="AM4" s="193"/>
      <c r="AN4" s="193"/>
      <c r="AO4" s="193"/>
      <c r="AP4" s="193"/>
    </row>
    <row r="5" spans="1:49" s="180" customFormat="1" ht="13.5" customHeight="1">
      <c r="E5" s="4"/>
      <c r="F5" s="4"/>
      <c r="G5" s="4"/>
      <c r="J5" s="4"/>
      <c r="K5" s="4"/>
      <c r="L5" s="4"/>
      <c r="O5" s="4"/>
      <c r="P5" s="263"/>
      <c r="Q5" s="4"/>
      <c r="S5" s="258"/>
      <c r="T5" s="258"/>
      <c r="U5" s="4"/>
      <c r="V5" s="258"/>
      <c r="W5" s="258"/>
      <c r="Y5" s="258" t="s">
        <v>9</v>
      </c>
      <c r="Z5" s="263">
        <f ca="1">AA18+AA27+AA37+AA45+AA53+AA61+AA69+AA77</f>
        <v>476</v>
      </c>
      <c r="AA5" s="265"/>
      <c r="AB5" s="4"/>
      <c r="AD5" s="264" t="s">
        <v>10</v>
      </c>
      <c r="AE5" s="263">
        <f>AG18</f>
        <v>0</v>
      </c>
      <c r="AH5" s="4"/>
      <c r="AI5" s="255"/>
      <c r="AK5" s="193" t="s">
        <v>11</v>
      </c>
      <c r="AL5" s="193"/>
      <c r="AM5" s="193"/>
      <c r="AN5" s="193"/>
      <c r="AO5" s="193"/>
      <c r="AP5" s="193"/>
    </row>
    <row r="6" spans="1:49" s="180" customFormat="1" ht="13.5" customHeight="1">
      <c r="E6" s="4"/>
      <c r="F6" s="4"/>
      <c r="G6" s="4"/>
      <c r="J6" s="4"/>
      <c r="K6" s="4"/>
      <c r="L6" s="4"/>
      <c r="O6" s="4"/>
      <c r="P6" s="4"/>
      <c r="Q6" s="4"/>
      <c r="S6" s="258"/>
      <c r="U6" s="4"/>
      <c r="V6" s="258"/>
      <c r="Y6" s="258"/>
      <c r="Z6" s="4"/>
      <c r="AA6" s="265"/>
      <c r="AB6" s="4"/>
      <c r="AD6" s="264"/>
      <c r="AE6" s="263"/>
      <c r="AH6" s="4"/>
      <c r="AI6" s="255"/>
      <c r="AK6" s="310" t="s">
        <v>14</v>
      </c>
      <c r="AL6" s="465" t="s">
        <v>325</v>
      </c>
      <c r="AM6" s="193"/>
      <c r="AN6" s="193"/>
      <c r="AO6" s="193"/>
      <c r="AP6" s="193"/>
    </row>
    <row r="7" spans="1:49" s="180" customFormat="1" ht="13.5" customHeight="1">
      <c r="E7" s="4"/>
      <c r="F7" s="4"/>
      <c r="G7" s="4"/>
      <c r="J7" s="4"/>
      <c r="K7" s="4"/>
      <c r="L7" s="4"/>
      <c r="O7" s="4"/>
      <c r="P7" s="4"/>
      <c r="Q7" s="4"/>
      <c r="S7" s="258"/>
      <c r="U7" s="4"/>
      <c r="V7" s="258"/>
      <c r="Y7" s="258"/>
      <c r="Z7" s="4"/>
      <c r="AA7" s="265"/>
      <c r="AB7" s="4"/>
      <c r="AE7" s="259"/>
      <c r="AH7" s="4"/>
      <c r="AI7" s="255"/>
      <c r="AK7" s="202" t="s">
        <v>16</v>
      </c>
      <c r="AL7" s="193"/>
      <c r="AM7" s="193"/>
      <c r="AN7" s="193"/>
      <c r="AO7" s="193"/>
      <c r="AP7" s="193"/>
    </row>
    <row r="8" spans="1:49" s="180" customFormat="1" ht="13.5" customHeight="1">
      <c r="E8" s="4"/>
      <c r="F8" s="4"/>
      <c r="G8" s="4"/>
      <c r="J8" s="4"/>
      <c r="K8" s="4"/>
      <c r="L8" s="4"/>
      <c r="O8" s="4"/>
      <c r="P8" s="4"/>
      <c r="Q8" s="4"/>
      <c r="S8" s="258"/>
      <c r="U8" s="4"/>
      <c r="V8" s="258"/>
      <c r="Z8" s="4"/>
      <c r="AA8" s="435"/>
      <c r="AB8" s="4"/>
      <c r="AH8" s="4"/>
      <c r="AI8" s="255"/>
      <c r="AK8" s="203" t="s">
        <v>17</v>
      </c>
      <c r="AL8" s="193"/>
      <c r="AM8" s="193"/>
      <c r="AN8" s="193"/>
      <c r="AO8" s="193"/>
      <c r="AP8" s="193"/>
    </row>
    <row r="9" spans="1:49" s="180" customFormat="1" ht="6.75" customHeight="1">
      <c r="E9" s="4"/>
      <c r="F9" s="4"/>
      <c r="G9" s="4"/>
      <c r="J9" s="4"/>
      <c r="K9" s="4"/>
      <c r="L9" s="4"/>
      <c r="O9" s="4"/>
      <c r="P9" s="4"/>
      <c r="Q9" s="4"/>
      <c r="S9" s="258"/>
      <c r="T9" s="258"/>
      <c r="U9" s="4"/>
      <c r="V9" s="258"/>
      <c r="X9" s="258"/>
      <c r="Y9" s="258"/>
      <c r="Z9" s="4"/>
      <c r="AA9" s="362"/>
      <c r="AB9" s="4"/>
      <c r="AC9" s="258"/>
      <c r="AD9" s="363"/>
      <c r="AG9" s="259"/>
      <c r="AH9" s="4"/>
      <c r="AI9" s="255"/>
      <c r="AK9" s="193"/>
      <c r="AL9" s="193"/>
      <c r="AM9" s="193"/>
      <c r="AN9" s="193"/>
      <c r="AO9" s="193"/>
      <c r="AP9" s="193"/>
    </row>
    <row r="10" spans="1:49" s="180" customFormat="1" ht="20.25" customHeight="1">
      <c r="A10" s="313"/>
      <c r="E10" s="4"/>
      <c r="F10" s="4"/>
      <c r="G10" s="4"/>
      <c r="J10" s="4"/>
      <c r="K10" s="4"/>
      <c r="L10" s="4"/>
      <c r="O10" s="4"/>
      <c r="P10" s="4"/>
      <c r="Q10" s="4"/>
      <c r="T10" s="4"/>
      <c r="U10" s="4"/>
      <c r="V10" s="4"/>
      <c r="Y10" s="4"/>
      <c r="Z10" s="4"/>
      <c r="AA10" s="4"/>
      <c r="AB10" s="4"/>
      <c r="AC10" s="4"/>
      <c r="AH10" s="4"/>
      <c r="AI10" s="255"/>
    </row>
    <row r="11" spans="1:49" hidden="1">
      <c r="A11" s="180"/>
      <c r="B11" s="229"/>
      <c r="C11" s="230"/>
      <c r="D11" s="230"/>
      <c r="E11" s="232"/>
      <c r="F11" s="232"/>
      <c r="G11" s="230"/>
      <c r="H11" s="232"/>
      <c r="I11" s="232"/>
      <c r="J11" s="232"/>
      <c r="K11" s="232"/>
      <c r="L11" s="230"/>
      <c r="M11" s="230"/>
      <c r="N11" s="230"/>
      <c r="O11" s="230"/>
      <c r="P11" s="232"/>
      <c r="Q11" s="230"/>
      <c r="R11" s="230"/>
      <c r="S11" s="230"/>
      <c r="T11" s="230"/>
      <c r="U11" s="232"/>
      <c r="V11" s="230"/>
      <c r="W11" s="230"/>
      <c r="X11" s="230"/>
      <c r="Y11" s="233"/>
      <c r="Z11" s="232"/>
      <c r="AA11" s="234"/>
      <c r="AB11" s="232"/>
      <c r="AC11" s="373"/>
      <c r="AD11" s="236"/>
      <c r="AE11" s="255"/>
      <c r="AF11" s="255"/>
      <c r="AG11" s="255"/>
      <c r="AH11" s="255"/>
      <c r="AJ11" s="255"/>
      <c r="AK11" s="255"/>
      <c r="AL11" s="255"/>
      <c r="AM11" s="255"/>
      <c r="AN11" s="255"/>
      <c r="AO11" s="255"/>
      <c r="AP11" s="255"/>
      <c r="AQ11" s="255"/>
      <c r="AR11" s="255"/>
      <c r="AS11" s="255"/>
      <c r="AT11" s="255"/>
      <c r="AU11" s="255"/>
      <c r="AV11" s="255"/>
      <c r="AW11" s="255"/>
    </row>
    <row r="12" spans="1:49" hidden="1">
      <c r="B12" s="180"/>
      <c r="E12" s="4"/>
      <c r="F12" s="4"/>
      <c r="G12" s="4"/>
      <c r="J12" s="4"/>
      <c r="K12" s="4"/>
      <c r="L12" s="4"/>
      <c r="O12" s="4"/>
      <c r="P12" s="4"/>
      <c r="T12" s="4"/>
      <c r="U12" s="4"/>
      <c r="Y12" s="4"/>
      <c r="Z12" s="4"/>
      <c r="AA12" s="4"/>
      <c r="AB12" s="4"/>
      <c r="AC12" s="4"/>
      <c r="AK12" s="180"/>
      <c r="AL12" s="180"/>
      <c r="AM12" s="180"/>
      <c r="AN12" s="180"/>
      <c r="AO12" s="180"/>
      <c r="AP12" s="180"/>
    </row>
    <row r="13" spans="1:49" hidden="1">
      <c r="A13" s="228"/>
      <c r="B13" s="1518" t="s">
        <v>18</v>
      </c>
      <c r="C13" s="1519">
        <v>45544</v>
      </c>
      <c r="D13" s="1519"/>
      <c r="E13" s="1519"/>
      <c r="F13" s="1519"/>
      <c r="G13" s="365"/>
      <c r="H13" s="1519">
        <v>45545</v>
      </c>
      <c r="I13" s="1519"/>
      <c r="J13" s="1519"/>
      <c r="K13" s="1519"/>
      <c r="L13" s="365"/>
      <c r="M13" s="1519">
        <v>45546</v>
      </c>
      <c r="N13" s="1519"/>
      <c r="O13" s="1519"/>
      <c r="P13" s="1519"/>
      <c r="Q13" s="365"/>
      <c r="R13" s="1519">
        <v>45547</v>
      </c>
      <c r="S13" s="1519"/>
      <c r="T13" s="1519"/>
      <c r="U13" s="1519"/>
      <c r="V13" s="365"/>
      <c r="W13" s="1519">
        <v>45548</v>
      </c>
      <c r="X13" s="1519"/>
      <c r="Y13" s="1519"/>
      <c r="Z13" s="1519"/>
      <c r="AA13" s="1517" t="s">
        <v>19</v>
      </c>
      <c r="AB13" s="1517" t="s">
        <v>20</v>
      </c>
      <c r="AC13" s="4"/>
      <c r="AD13" s="1519">
        <v>45549</v>
      </c>
      <c r="AE13" s="1519"/>
      <c r="AF13" s="1519"/>
      <c r="AG13" s="1517" t="s">
        <v>21</v>
      </c>
      <c r="AI13" s="368"/>
      <c r="AK13" s="194" t="s">
        <v>84</v>
      </c>
      <c r="AL13" s="366"/>
      <c r="AM13" s="366"/>
      <c r="AN13" s="366"/>
      <c r="AO13" s="366"/>
      <c r="AP13" s="366"/>
    </row>
    <row r="14" spans="1:49" hidden="1">
      <c r="A14" s="180"/>
      <c r="B14" s="1518"/>
      <c r="C14" s="21" t="s">
        <v>23</v>
      </c>
      <c r="D14" s="21" t="s">
        <v>24</v>
      </c>
      <c r="E14" s="205" t="s">
        <v>25</v>
      </c>
      <c r="F14" s="18" t="s">
        <v>14</v>
      </c>
      <c r="G14" s="4"/>
      <c r="H14" s="21" t="s">
        <v>23</v>
      </c>
      <c r="I14" s="21" t="s">
        <v>24</v>
      </c>
      <c r="J14" s="18" t="s">
        <v>25</v>
      </c>
      <c r="K14" s="18" t="s">
        <v>14</v>
      </c>
      <c r="L14" s="4"/>
      <c r="M14" s="21" t="s">
        <v>23</v>
      </c>
      <c r="N14" s="21" t="s">
        <v>24</v>
      </c>
      <c r="O14" s="18" t="s">
        <v>25</v>
      </c>
      <c r="P14" s="18" t="s">
        <v>14</v>
      </c>
      <c r="R14" s="21" t="s">
        <v>23</v>
      </c>
      <c r="S14" s="21" t="s">
        <v>24</v>
      </c>
      <c r="T14" s="18" t="s">
        <v>25</v>
      </c>
      <c r="U14" s="18" t="s">
        <v>14</v>
      </c>
      <c r="W14" s="21" t="s">
        <v>23</v>
      </c>
      <c r="X14" s="21" t="s">
        <v>24</v>
      </c>
      <c r="Y14" s="18" t="s">
        <v>25</v>
      </c>
      <c r="Z14" s="18" t="s">
        <v>14</v>
      </c>
      <c r="AA14" s="1517"/>
      <c r="AB14" s="1517"/>
      <c r="AC14" s="4"/>
      <c r="AD14" s="21" t="s">
        <v>23</v>
      </c>
      <c r="AE14" s="21" t="s">
        <v>24</v>
      </c>
      <c r="AF14" s="18" t="s">
        <v>25</v>
      </c>
      <c r="AG14" s="1517"/>
      <c r="AI14" s="368"/>
      <c r="AJ14" s="367"/>
      <c r="AK14" s="188" t="s">
        <v>26</v>
      </c>
      <c r="AL14" s="196">
        <f>AA18</f>
        <v>64</v>
      </c>
      <c r="AM14" s="511">
        <v>50.51</v>
      </c>
      <c r="AN14" s="510">
        <f>AL14*AM14</f>
        <v>3232.64</v>
      </c>
      <c r="AQ14" s="367"/>
      <c r="AR14" s="367"/>
      <c r="AS14" s="367"/>
      <c r="AT14" s="367"/>
      <c r="AU14" s="367"/>
      <c r="AV14" s="367"/>
      <c r="AW14" s="367"/>
    </row>
    <row r="15" spans="1:49" hidden="1">
      <c r="A15" s="180"/>
      <c r="B15" s="4" t="s">
        <v>60</v>
      </c>
      <c r="C15" s="441"/>
      <c r="D15" s="441"/>
      <c r="E15" s="319">
        <v>0</v>
      </c>
      <c r="F15" s="320"/>
      <c r="G15" s="4"/>
      <c r="H15" s="441" t="s">
        <v>75</v>
      </c>
      <c r="I15" s="441" t="s">
        <v>246</v>
      </c>
      <c r="J15" s="319">
        <v>8</v>
      </c>
      <c r="K15" s="320"/>
      <c r="L15" s="4"/>
      <c r="M15" s="441" t="s">
        <v>75</v>
      </c>
      <c r="N15" s="441" t="s">
        <v>246</v>
      </c>
      <c r="O15" s="319">
        <v>8</v>
      </c>
      <c r="P15" s="320"/>
      <c r="R15" s="441" t="s">
        <v>75</v>
      </c>
      <c r="S15" s="441" t="s">
        <v>246</v>
      </c>
      <c r="T15" s="319">
        <v>8</v>
      </c>
      <c r="U15" s="320"/>
      <c r="W15" s="441" t="s">
        <v>75</v>
      </c>
      <c r="X15" s="441" t="s">
        <v>246</v>
      </c>
      <c r="Y15" s="319">
        <v>8</v>
      </c>
      <c r="Z15" s="320"/>
      <c r="AA15" s="328">
        <f>Y15+T15+O15+J15+E15</f>
        <v>32</v>
      </c>
      <c r="AB15" s="298">
        <f>Z15+U15+P15+K15+F15</f>
        <v>0</v>
      </c>
      <c r="AC15" s="4"/>
      <c r="AD15" s="587"/>
      <c r="AE15" s="531"/>
      <c r="AF15" s="319"/>
      <c r="AG15" s="328">
        <f>AF15</f>
        <v>0</v>
      </c>
      <c r="AI15" s="368"/>
      <c r="AJ15" s="367"/>
      <c r="AK15" s="188" t="s">
        <v>30</v>
      </c>
      <c r="AL15" s="196">
        <f>AB18</f>
        <v>0</v>
      </c>
      <c r="AM15" s="511">
        <f>AM14*1.5</f>
        <v>75.765000000000001</v>
      </c>
      <c r="AN15" s="510">
        <f>AL15*AM15</f>
        <v>0</v>
      </c>
      <c r="AQ15" s="367"/>
      <c r="AR15" s="367"/>
      <c r="AS15" s="367"/>
      <c r="AT15" s="367"/>
      <c r="AU15" s="367"/>
      <c r="AV15" s="367"/>
      <c r="AW15" s="367"/>
    </row>
    <row r="16" spans="1:49" hidden="1">
      <c r="A16" s="367"/>
      <c r="B16" s="4" t="s">
        <v>59</v>
      </c>
      <c r="C16" s="441"/>
      <c r="D16" s="441"/>
      <c r="E16" s="319">
        <v>0</v>
      </c>
      <c r="F16" s="320"/>
      <c r="G16" s="4"/>
      <c r="H16" s="441" t="s">
        <v>75</v>
      </c>
      <c r="I16" s="441" t="s">
        <v>246</v>
      </c>
      <c r="J16" s="319">
        <v>8</v>
      </c>
      <c r="K16" s="320"/>
      <c r="L16" s="4"/>
      <c r="M16" s="441" t="s">
        <v>75</v>
      </c>
      <c r="N16" s="441" t="s">
        <v>246</v>
      </c>
      <c r="O16" s="319">
        <v>8</v>
      </c>
      <c r="P16" s="320"/>
      <c r="R16" s="441" t="s">
        <v>75</v>
      </c>
      <c r="S16" s="441" t="s">
        <v>246</v>
      </c>
      <c r="T16" s="319">
        <v>8</v>
      </c>
      <c r="U16" s="320"/>
      <c r="W16" s="441" t="s">
        <v>75</v>
      </c>
      <c r="X16" s="441" t="s">
        <v>246</v>
      </c>
      <c r="Y16" s="319">
        <v>8</v>
      </c>
      <c r="Z16" s="320"/>
      <c r="AA16" s="328">
        <f t="shared" ref="AA16:AA17" si="0">Y16+T16+O16+J16+E16</f>
        <v>32</v>
      </c>
      <c r="AB16" s="298">
        <f>Z16+U16+P16+K16+F16</f>
        <v>0</v>
      </c>
      <c r="AC16" s="4"/>
      <c r="AF16" s="319"/>
      <c r="AG16" s="328">
        <f>AF16</f>
        <v>0</v>
      </c>
      <c r="AH16" s="175"/>
      <c r="AI16" s="402"/>
      <c r="AJ16" s="367"/>
      <c r="AK16" s="188" t="s">
        <v>32</v>
      </c>
      <c r="AL16" s="196">
        <f>AG18</f>
        <v>0</v>
      </c>
      <c r="AM16" s="511">
        <v>75.77</v>
      </c>
      <c r="AN16" s="510">
        <f>AL16*AM16</f>
        <v>0</v>
      </c>
      <c r="AQ16" s="367"/>
      <c r="AR16" s="367"/>
      <c r="AS16" s="367"/>
      <c r="AT16" s="367"/>
      <c r="AU16" s="367"/>
      <c r="AV16" s="367"/>
      <c r="AW16" s="367"/>
    </row>
    <row r="17" spans="1:49" hidden="1">
      <c r="A17" s="401"/>
      <c r="B17" s="47"/>
      <c r="C17" s="441"/>
      <c r="D17" s="47"/>
      <c r="E17" s="319"/>
      <c r="F17" s="320"/>
      <c r="G17" s="4"/>
      <c r="H17" s="47"/>
      <c r="I17" s="47"/>
      <c r="J17" s="319"/>
      <c r="K17" s="320"/>
      <c r="L17" s="4"/>
      <c r="M17" s="47"/>
      <c r="N17" s="47"/>
      <c r="O17" s="319"/>
      <c r="P17" s="320"/>
      <c r="R17" s="441" t="s">
        <v>75</v>
      </c>
      <c r="S17" s="441" t="s">
        <v>246</v>
      </c>
      <c r="T17" s="319"/>
      <c r="U17" s="320"/>
      <c r="W17" s="47"/>
      <c r="X17" s="47"/>
      <c r="Y17" s="319"/>
      <c r="Z17" s="320"/>
      <c r="AA17" s="328">
        <f t="shared" si="0"/>
        <v>0</v>
      </c>
      <c r="AB17" s="298">
        <f>Z17+U17+P17+K17+F17</f>
        <v>0</v>
      </c>
      <c r="AC17" s="4"/>
      <c r="AD17" s="47"/>
      <c r="AE17" s="47"/>
      <c r="AF17" s="319"/>
      <c r="AG17" s="29"/>
      <c r="AJ17" s="367"/>
      <c r="AN17" s="510">
        <f>SUM(AN14:AN16)</f>
        <v>3232.64</v>
      </c>
      <c r="AQ17" s="367"/>
      <c r="AR17" s="367"/>
      <c r="AS17" s="367"/>
      <c r="AT17" s="367"/>
      <c r="AU17" s="367"/>
      <c r="AV17" s="367"/>
      <c r="AW17" s="367"/>
    </row>
    <row r="18" spans="1:49" s="193" customFormat="1" hidden="1">
      <c r="A18" s="180"/>
      <c r="B18" s="64" t="s">
        <v>61</v>
      </c>
      <c r="C18" s="31"/>
      <c r="D18" s="31"/>
      <c r="E18" s="439">
        <f>SUM(E15:E17)</f>
        <v>0</v>
      </c>
      <c r="F18" s="320">
        <f>SUM(F15:F17)</f>
        <v>0</v>
      </c>
      <c r="G18" s="31"/>
      <c r="H18" s="31"/>
      <c r="I18" s="31"/>
      <c r="J18" s="439">
        <f>SUM(J15:J17)</f>
        <v>16</v>
      </c>
      <c r="K18" s="320">
        <f>SUM(K15:K17)</f>
        <v>0</v>
      </c>
      <c r="L18" s="31"/>
      <c r="M18" s="31"/>
      <c r="N18" s="31"/>
      <c r="O18" s="439">
        <f>SUM(O15:O17)</f>
        <v>16</v>
      </c>
      <c r="P18" s="320">
        <f>SUM(P15:P17)</f>
        <v>0</v>
      </c>
      <c r="Q18" s="31"/>
      <c r="R18" s="31"/>
      <c r="S18" s="31"/>
      <c r="T18" s="439">
        <f>SUM(T15:T17)</f>
        <v>16</v>
      </c>
      <c r="U18" s="320">
        <f>SUM(U15:U17)</f>
        <v>0</v>
      </c>
      <c r="V18" s="31"/>
      <c r="W18" s="31"/>
      <c r="X18" s="31"/>
      <c r="Y18" s="439">
        <f>SUM(Y15:Y17)</f>
        <v>16</v>
      </c>
      <c r="Z18" s="320">
        <f>SUM(Z15:Z17)</f>
        <v>0</v>
      </c>
      <c r="AA18" s="370">
        <f>SUM(AA15:AA17)</f>
        <v>64</v>
      </c>
      <c r="AB18" s="370">
        <f>SUM(AB15:AB17)</f>
        <v>0</v>
      </c>
      <c r="AC18" s="4"/>
      <c r="AD18" s="64"/>
      <c r="AE18" s="64"/>
      <c r="AF18" s="370">
        <f>SUM(AF15:AF17)</f>
        <v>0</v>
      </c>
      <c r="AG18" s="370">
        <f>SUM(AG15:AG17)</f>
        <v>0</v>
      </c>
      <c r="AH18" s="4"/>
      <c r="AI18" s="255"/>
      <c r="AJ18" s="180"/>
      <c r="AK18" s="407"/>
      <c r="AQ18" s="180"/>
      <c r="AR18" s="180"/>
      <c r="AS18" s="180"/>
      <c r="AT18" s="180"/>
      <c r="AU18" s="180"/>
      <c r="AV18" s="180"/>
      <c r="AW18" s="180"/>
    </row>
    <row r="19" spans="1:49" s="4" customFormat="1" hidden="1">
      <c r="A19" s="180"/>
      <c r="B19" s="180"/>
      <c r="C19" s="180"/>
      <c r="D19" s="180"/>
      <c r="H19" s="180"/>
      <c r="I19" s="180"/>
      <c r="M19" s="180"/>
      <c r="N19" s="180"/>
      <c r="R19" s="180"/>
      <c r="S19" s="180"/>
      <c r="W19" s="180"/>
      <c r="X19" s="180"/>
      <c r="AD19" s="180"/>
      <c r="AE19" s="180"/>
      <c r="AF19" s="180"/>
      <c r="AG19" s="180"/>
      <c r="AI19" s="255"/>
      <c r="AJ19" s="180"/>
      <c r="AK19" s="193"/>
      <c r="AL19" s="193"/>
      <c r="AM19" s="193"/>
      <c r="AN19" s="193"/>
      <c r="AO19" s="193"/>
      <c r="AP19" s="193"/>
      <c r="AQ19" s="180"/>
      <c r="AR19" s="180"/>
      <c r="AS19" s="180"/>
      <c r="AT19" s="180"/>
      <c r="AU19" s="180"/>
      <c r="AV19" s="180"/>
      <c r="AW19" s="180"/>
    </row>
    <row r="20" spans="1:49" hidden="1">
      <c r="A20" s="180"/>
      <c r="B20" s="229"/>
      <c r="C20" s="230"/>
      <c r="D20" s="230"/>
      <c r="E20" s="232"/>
      <c r="F20" s="232"/>
      <c r="G20" s="230"/>
      <c r="H20" s="232"/>
      <c r="I20" s="232"/>
      <c r="J20" s="232"/>
      <c r="K20" s="232"/>
      <c r="L20" s="230"/>
      <c r="M20" s="230"/>
      <c r="N20" s="230"/>
      <c r="O20" s="230"/>
      <c r="P20" s="232"/>
      <c r="Q20" s="230"/>
      <c r="R20" s="230"/>
      <c r="S20" s="230"/>
      <c r="T20" s="230"/>
      <c r="U20" s="232"/>
      <c r="V20" s="230"/>
      <c r="W20" s="230"/>
      <c r="X20" s="230"/>
      <c r="Y20" s="233"/>
      <c r="Z20" s="232"/>
      <c r="AA20" s="234"/>
      <c r="AB20" s="232"/>
      <c r="AC20" s="373"/>
      <c r="AD20" s="236"/>
      <c r="AE20" s="255"/>
      <c r="AF20" s="255"/>
      <c r="AG20" s="255"/>
      <c r="AH20" s="255"/>
      <c r="AJ20" s="255"/>
      <c r="AK20" s="255"/>
      <c r="AL20" s="255"/>
      <c r="AM20" s="255"/>
      <c r="AN20" s="255"/>
      <c r="AO20" s="255"/>
      <c r="AP20" s="255"/>
      <c r="AQ20" s="255"/>
      <c r="AR20" s="255"/>
      <c r="AS20" s="255"/>
      <c r="AT20" s="255"/>
      <c r="AU20" s="255"/>
      <c r="AV20" s="255"/>
      <c r="AW20" s="255"/>
    </row>
    <row r="21" spans="1:49" hidden="1">
      <c r="B21" s="180"/>
      <c r="E21" s="4"/>
      <c r="F21" s="4"/>
      <c r="G21" s="4"/>
      <c r="J21" s="4"/>
      <c r="K21" s="4"/>
      <c r="L21" s="4"/>
      <c r="O21" s="4"/>
      <c r="P21" s="4"/>
      <c r="T21" s="4"/>
      <c r="U21" s="4"/>
      <c r="Y21" s="4"/>
      <c r="Z21" s="4"/>
      <c r="AA21" s="4"/>
      <c r="AB21" s="4"/>
      <c r="AC21" s="4"/>
      <c r="AK21" s="180"/>
      <c r="AL21" s="180"/>
      <c r="AM21" s="180"/>
      <c r="AN21" s="180"/>
      <c r="AO21" s="180"/>
      <c r="AP21" s="180"/>
    </row>
    <row r="22" spans="1:49" ht="13.5" hidden="1" customHeight="1">
      <c r="A22" s="228"/>
      <c r="B22" s="1518" t="s">
        <v>18</v>
      </c>
      <c r="C22" s="1519">
        <v>45551</v>
      </c>
      <c r="D22" s="1519"/>
      <c r="E22" s="1519"/>
      <c r="F22" s="1519"/>
      <c r="G22" s="365"/>
      <c r="H22" s="1519">
        <v>45552</v>
      </c>
      <c r="I22" s="1519"/>
      <c r="J22" s="1519"/>
      <c r="K22" s="1519"/>
      <c r="L22" s="365"/>
      <c r="M22" s="1519">
        <v>45553</v>
      </c>
      <c r="N22" s="1519"/>
      <c r="O22" s="1519"/>
      <c r="P22" s="1519"/>
      <c r="Q22" s="365"/>
      <c r="R22" s="1519">
        <v>45554</v>
      </c>
      <c r="S22" s="1519"/>
      <c r="T22" s="1519"/>
      <c r="U22" s="1519"/>
      <c r="V22" s="365"/>
      <c r="W22" s="1519">
        <v>45555</v>
      </c>
      <c r="X22" s="1519"/>
      <c r="Y22" s="1519"/>
      <c r="Z22" s="1519"/>
      <c r="AA22" s="1517" t="s">
        <v>19</v>
      </c>
      <c r="AB22" s="1517" t="s">
        <v>20</v>
      </c>
      <c r="AC22" s="4"/>
      <c r="AD22" s="1519">
        <v>45556</v>
      </c>
      <c r="AE22" s="1519"/>
      <c r="AF22" s="1519"/>
      <c r="AG22" s="1517" t="s">
        <v>21</v>
      </c>
      <c r="AI22" s="368"/>
      <c r="AK22" s="194" t="s">
        <v>84</v>
      </c>
      <c r="AL22" s="366"/>
      <c r="AM22" s="366"/>
      <c r="AN22" s="366"/>
      <c r="AO22" s="366"/>
      <c r="AP22" s="366"/>
    </row>
    <row r="23" spans="1:49" hidden="1">
      <c r="A23" s="180"/>
      <c r="B23" s="1518"/>
      <c r="C23" s="21" t="s">
        <v>23</v>
      </c>
      <c r="D23" s="21" t="s">
        <v>24</v>
      </c>
      <c r="E23" s="205" t="s">
        <v>25</v>
      </c>
      <c r="F23" s="18" t="s">
        <v>14</v>
      </c>
      <c r="G23" s="4"/>
      <c r="H23" s="21" t="s">
        <v>23</v>
      </c>
      <c r="I23" s="21" t="s">
        <v>24</v>
      </c>
      <c r="J23" s="18" t="s">
        <v>25</v>
      </c>
      <c r="K23" s="18" t="s">
        <v>14</v>
      </c>
      <c r="L23" s="4"/>
      <c r="M23" s="21" t="s">
        <v>23</v>
      </c>
      <c r="N23" s="21" t="s">
        <v>24</v>
      </c>
      <c r="O23" s="18" t="s">
        <v>25</v>
      </c>
      <c r="P23" s="18" t="s">
        <v>14</v>
      </c>
      <c r="R23" s="21" t="s">
        <v>23</v>
      </c>
      <c r="S23" s="21" t="s">
        <v>24</v>
      </c>
      <c r="T23" s="18" t="s">
        <v>25</v>
      </c>
      <c r="U23" s="18" t="s">
        <v>14</v>
      </c>
      <c r="W23" s="21" t="s">
        <v>23</v>
      </c>
      <c r="X23" s="21" t="s">
        <v>24</v>
      </c>
      <c r="Y23" s="18" t="s">
        <v>25</v>
      </c>
      <c r="Z23" s="18" t="s">
        <v>14</v>
      </c>
      <c r="AA23" s="1517"/>
      <c r="AB23" s="1517"/>
      <c r="AC23" s="4"/>
      <c r="AD23" s="21" t="s">
        <v>23</v>
      </c>
      <c r="AE23" s="21" t="s">
        <v>24</v>
      </c>
      <c r="AF23" s="18" t="s">
        <v>25</v>
      </c>
      <c r="AG23" s="1517"/>
      <c r="AI23" s="368"/>
      <c r="AJ23" s="367"/>
      <c r="AK23" s="188" t="s">
        <v>26</v>
      </c>
      <c r="AL23" s="196">
        <f>AA27</f>
        <v>80</v>
      </c>
      <c r="AM23" s="511">
        <v>50.51</v>
      </c>
      <c r="AN23" s="510">
        <f>AL23*AM23</f>
        <v>4040.7999999999997</v>
      </c>
      <c r="AQ23" s="367"/>
      <c r="AR23" s="367"/>
      <c r="AS23" s="367"/>
      <c r="AT23" s="367"/>
      <c r="AU23" s="367"/>
      <c r="AV23" s="367"/>
      <c r="AW23" s="367"/>
    </row>
    <row r="24" spans="1:49" hidden="1">
      <c r="A24" s="180"/>
      <c r="B24" s="4" t="s">
        <v>60</v>
      </c>
      <c r="C24" s="441" t="s">
        <v>75</v>
      </c>
      <c r="D24" s="441" t="s">
        <v>246</v>
      </c>
      <c r="E24" s="319">
        <v>8</v>
      </c>
      <c r="F24" s="320"/>
      <c r="G24" s="4"/>
      <c r="H24" s="441" t="s">
        <v>75</v>
      </c>
      <c r="I24" s="441" t="s">
        <v>246</v>
      </c>
      <c r="J24" s="319">
        <v>8</v>
      </c>
      <c r="K24" s="320"/>
      <c r="L24" s="4"/>
      <c r="M24" s="441" t="s">
        <v>75</v>
      </c>
      <c r="N24" s="441" t="s">
        <v>246</v>
      </c>
      <c r="O24" s="319">
        <v>8</v>
      </c>
      <c r="P24" s="320"/>
      <c r="R24" s="441" t="s">
        <v>75</v>
      </c>
      <c r="S24" s="47">
        <v>0.25</v>
      </c>
      <c r="T24" s="319">
        <v>8</v>
      </c>
      <c r="U24" s="320"/>
      <c r="W24" s="441" t="s">
        <v>75</v>
      </c>
      <c r="X24" s="47">
        <v>0.25</v>
      </c>
      <c r="Y24" s="319">
        <v>8</v>
      </c>
      <c r="Z24" s="320"/>
      <c r="AA24" s="328">
        <f>Y24+T24+O24+J24+E24</f>
        <v>40</v>
      </c>
      <c r="AB24" s="298">
        <f>Z24+U24+P24+K24+F24</f>
        <v>0</v>
      </c>
      <c r="AC24" s="4"/>
      <c r="AD24" s="587"/>
      <c r="AE24" s="531"/>
      <c r="AF24" s="319"/>
      <c r="AG24" s="328">
        <f>AF24</f>
        <v>0</v>
      </c>
      <c r="AI24" s="368"/>
      <c r="AJ24" s="367"/>
      <c r="AK24" s="188" t="s">
        <v>30</v>
      </c>
      <c r="AL24" s="196">
        <f>AB27</f>
        <v>0</v>
      </c>
      <c r="AM24" s="511">
        <f>AM23*1.5</f>
        <v>75.765000000000001</v>
      </c>
      <c r="AN24" s="510">
        <f>AL24*AM24</f>
        <v>0</v>
      </c>
      <c r="AQ24" s="367"/>
      <c r="AR24" s="367"/>
      <c r="AS24" s="367"/>
      <c r="AT24" s="367"/>
      <c r="AU24" s="367"/>
      <c r="AV24" s="367"/>
      <c r="AW24" s="367"/>
    </row>
    <row r="25" spans="1:49" hidden="1">
      <c r="A25" s="367"/>
      <c r="B25" s="4" t="s">
        <v>59</v>
      </c>
      <c r="C25" s="441" t="s">
        <v>75</v>
      </c>
      <c r="D25" s="441" t="s">
        <v>246</v>
      </c>
      <c r="E25" s="319">
        <v>8</v>
      </c>
      <c r="F25" s="320"/>
      <c r="G25" s="4"/>
      <c r="H25" s="441" t="s">
        <v>75</v>
      </c>
      <c r="I25" s="441" t="s">
        <v>246</v>
      </c>
      <c r="J25" s="319">
        <v>8</v>
      </c>
      <c r="K25" s="320"/>
      <c r="L25" s="4"/>
      <c r="M25" s="441" t="s">
        <v>75</v>
      </c>
      <c r="N25" s="441" t="s">
        <v>246</v>
      </c>
      <c r="O25" s="319">
        <v>8</v>
      </c>
      <c r="P25" s="320"/>
      <c r="R25" s="441" t="s">
        <v>75</v>
      </c>
      <c r="S25" s="47">
        <v>0.25</v>
      </c>
      <c r="T25" s="319">
        <v>8</v>
      </c>
      <c r="U25" s="320"/>
      <c r="W25" s="441" t="s">
        <v>75</v>
      </c>
      <c r="X25" s="47">
        <v>0.25</v>
      </c>
      <c r="Y25" s="319">
        <v>8</v>
      </c>
      <c r="Z25" s="320"/>
      <c r="AA25" s="328">
        <f t="shared" ref="AA25:AA26" si="1">Y25+T25+O25+J25+E25</f>
        <v>40</v>
      </c>
      <c r="AB25" s="298">
        <f>Z25+U25+P25+K25+F25</f>
        <v>0</v>
      </c>
      <c r="AC25" s="4"/>
      <c r="AF25" s="319"/>
      <c r="AG25" s="328">
        <f>AF25</f>
        <v>0</v>
      </c>
      <c r="AH25" s="175"/>
      <c r="AI25" s="402"/>
      <c r="AJ25" s="367"/>
      <c r="AK25" s="188" t="s">
        <v>32</v>
      </c>
      <c r="AL25" s="196">
        <f>AG27</f>
        <v>0</v>
      </c>
      <c r="AM25" s="511">
        <v>75.77</v>
      </c>
      <c r="AN25" s="510">
        <f>AL25*AM25</f>
        <v>0</v>
      </c>
      <c r="AQ25" s="367"/>
      <c r="AR25" s="367"/>
      <c r="AS25" s="367"/>
      <c r="AT25" s="367"/>
      <c r="AU25" s="367"/>
      <c r="AV25" s="367"/>
      <c r="AW25" s="367"/>
    </row>
    <row r="26" spans="1:49" hidden="1">
      <c r="A26" s="367"/>
      <c r="B26" s="47"/>
      <c r="C26" s="441"/>
      <c r="D26" s="47"/>
      <c r="E26" s="319"/>
      <c r="F26" s="320"/>
      <c r="G26" s="4"/>
      <c r="H26" s="47"/>
      <c r="I26" s="47"/>
      <c r="J26" s="319"/>
      <c r="K26" s="320"/>
      <c r="L26" s="4"/>
      <c r="M26" s="47"/>
      <c r="N26" s="47"/>
      <c r="O26" s="319"/>
      <c r="P26" s="320"/>
      <c r="R26" s="47"/>
      <c r="S26" s="47"/>
      <c r="T26" s="319"/>
      <c r="U26" s="320"/>
      <c r="W26" s="47"/>
      <c r="X26" s="47"/>
      <c r="Y26" s="319"/>
      <c r="Z26" s="320"/>
      <c r="AA26" s="328">
        <f t="shared" si="1"/>
        <v>0</v>
      </c>
      <c r="AB26" s="298"/>
      <c r="AC26" s="4"/>
      <c r="AD26" s="47"/>
      <c r="AE26" s="47"/>
      <c r="AF26" s="319"/>
      <c r="AG26" s="29"/>
      <c r="AJ26" s="367"/>
      <c r="AN26" s="510">
        <f>SUM(AN23:AN25)</f>
        <v>4040.7999999999997</v>
      </c>
      <c r="AQ26" s="367"/>
      <c r="AR26" s="367"/>
      <c r="AS26" s="367"/>
      <c r="AT26" s="367"/>
      <c r="AU26" s="367"/>
      <c r="AV26" s="367"/>
      <c r="AW26" s="367"/>
    </row>
    <row r="27" spans="1:49" hidden="1">
      <c r="A27" s="367"/>
      <c r="B27" s="64" t="s">
        <v>61</v>
      </c>
      <c r="C27" s="31"/>
      <c r="D27" s="31"/>
      <c r="E27" s="439">
        <f>SUM(E24:E26)</f>
        <v>16</v>
      </c>
      <c r="F27" s="320">
        <f>SUM(F24:F26)</f>
        <v>0</v>
      </c>
      <c r="G27" s="31"/>
      <c r="H27" s="31"/>
      <c r="I27" s="31"/>
      <c r="J27" s="439">
        <f>SUM(J24:J26)</f>
        <v>16</v>
      </c>
      <c r="K27" s="320">
        <f>SUM(K24:K26)</f>
        <v>0</v>
      </c>
      <c r="L27" s="31"/>
      <c r="M27" s="31"/>
      <c r="N27" s="31"/>
      <c r="O27" s="439">
        <f>SUM(O24:O26)</f>
        <v>16</v>
      </c>
      <c r="P27" s="320">
        <f>SUM(P24:P26)</f>
        <v>0</v>
      </c>
      <c r="Q27" s="31"/>
      <c r="R27" s="31"/>
      <c r="S27" s="31"/>
      <c r="T27" s="439">
        <f>SUM(T24:T26)</f>
        <v>16</v>
      </c>
      <c r="U27" s="320">
        <f>SUM(U24:U26)</f>
        <v>0</v>
      </c>
      <c r="V27" s="31"/>
      <c r="W27" s="31"/>
      <c r="X27" s="31"/>
      <c r="Y27" s="439">
        <f>SUM(Y24:Y26)</f>
        <v>16</v>
      </c>
      <c r="Z27" s="320">
        <f>SUM(Z24:Z26)</f>
        <v>0</v>
      </c>
      <c r="AA27" s="370">
        <f>SUM(AA24:AA26)</f>
        <v>80</v>
      </c>
      <c r="AB27" s="370">
        <f>SUM(AB24:AB26)</f>
        <v>0</v>
      </c>
      <c r="AC27" s="4"/>
      <c r="AD27" s="64"/>
      <c r="AE27" s="64"/>
      <c r="AF27" s="370">
        <f>SUM(AF24:AF26)</f>
        <v>0</v>
      </c>
      <c r="AG27" s="370">
        <f>SUM(AG24:AG26)</f>
        <v>0</v>
      </c>
      <c r="AK27" s="407"/>
      <c r="AQ27" s="401"/>
      <c r="AR27" s="401"/>
      <c r="AS27" s="401"/>
      <c r="AT27" s="401"/>
      <c r="AU27" s="401"/>
      <c r="AV27" s="401"/>
      <c r="AW27" s="401"/>
    </row>
    <row r="28" spans="1:49" s="4" customFormat="1" hidden="1">
      <c r="A28" s="180"/>
      <c r="B28" s="180"/>
      <c r="C28" s="180"/>
      <c r="D28" s="180"/>
      <c r="H28" s="180"/>
      <c r="I28" s="180"/>
      <c r="M28" s="180"/>
      <c r="N28" s="180"/>
      <c r="R28" s="180"/>
      <c r="S28" s="180"/>
      <c r="W28" s="180"/>
      <c r="X28" s="180"/>
      <c r="AD28" s="180"/>
      <c r="AE28" s="180"/>
      <c r="AF28" s="180"/>
      <c r="AG28" s="180"/>
      <c r="AI28" s="255"/>
      <c r="AJ28" s="180"/>
      <c r="AK28" s="193"/>
      <c r="AL28" s="193"/>
      <c r="AM28" s="193"/>
      <c r="AN28" s="193"/>
      <c r="AO28" s="193"/>
      <c r="AP28" s="193"/>
      <c r="AQ28" s="180"/>
      <c r="AR28" s="180"/>
      <c r="AS28" s="180"/>
      <c r="AT28" s="180"/>
      <c r="AU28" s="180"/>
      <c r="AV28" s="180"/>
      <c r="AW28" s="180"/>
    </row>
    <row r="29" spans="1:49" hidden="1">
      <c r="A29" s="180"/>
      <c r="B29" s="229"/>
      <c r="C29" s="230"/>
      <c r="D29" s="230"/>
      <c r="E29" s="232"/>
      <c r="F29" s="232"/>
      <c r="G29" s="230"/>
      <c r="H29" s="232"/>
      <c r="I29" s="232"/>
      <c r="J29" s="232"/>
      <c r="K29" s="232"/>
      <c r="L29" s="230"/>
      <c r="M29" s="230"/>
      <c r="N29" s="230"/>
      <c r="O29" s="230"/>
      <c r="P29" s="232"/>
      <c r="Q29" s="230"/>
      <c r="R29" s="230"/>
      <c r="S29" s="230"/>
      <c r="T29" s="230"/>
      <c r="U29" s="232"/>
      <c r="V29" s="230"/>
      <c r="W29" s="230"/>
      <c r="X29" s="230"/>
      <c r="Y29" s="233"/>
      <c r="Z29" s="232"/>
      <c r="AA29" s="234"/>
      <c r="AB29" s="232"/>
      <c r="AC29" s="373"/>
      <c r="AD29" s="236"/>
      <c r="AE29" s="255"/>
      <c r="AF29" s="255"/>
      <c r="AG29" s="255"/>
      <c r="AH29" s="255"/>
      <c r="AJ29" s="255"/>
      <c r="AK29" s="255"/>
      <c r="AL29" s="255"/>
      <c r="AM29" s="255"/>
      <c r="AN29" s="255"/>
      <c r="AO29" s="255"/>
      <c r="AP29" s="255"/>
      <c r="AQ29" s="255"/>
      <c r="AR29" s="255"/>
      <c r="AS29" s="255"/>
      <c r="AT29" s="255"/>
      <c r="AU29" s="255"/>
      <c r="AV29" s="255"/>
      <c r="AW29" s="255"/>
    </row>
    <row r="30" spans="1:49" hidden="1">
      <c r="A30" s="180"/>
      <c r="B30" s="229"/>
      <c r="C30" s="230"/>
      <c r="D30" s="230"/>
      <c r="E30" s="232"/>
      <c r="F30" s="232"/>
      <c r="G30" s="230"/>
      <c r="H30" s="232"/>
      <c r="I30" s="232"/>
      <c r="J30" s="232"/>
      <c r="K30" s="232"/>
      <c r="L30" s="230"/>
      <c r="M30" s="230"/>
      <c r="N30" s="230"/>
      <c r="O30" s="230"/>
      <c r="P30" s="232"/>
      <c r="Q30" s="230"/>
      <c r="R30" s="230"/>
      <c r="S30" s="230"/>
      <c r="T30" s="230"/>
      <c r="U30" s="232"/>
      <c r="V30" s="230"/>
      <c r="W30" s="230"/>
      <c r="X30" s="230"/>
      <c r="Y30" s="233"/>
      <c r="Z30" s="232"/>
      <c r="AA30" s="234"/>
      <c r="AB30" s="232"/>
      <c r="AC30" s="373"/>
      <c r="AD30" s="236"/>
      <c r="AE30" s="255"/>
      <c r="AF30" s="255"/>
      <c r="AG30" s="255"/>
      <c r="AH30" s="255"/>
      <c r="AJ30" s="255"/>
      <c r="AK30" s="255"/>
      <c r="AL30" s="255"/>
      <c r="AM30" s="255"/>
      <c r="AN30" s="255"/>
      <c r="AO30" s="255"/>
      <c r="AP30" s="255"/>
      <c r="AQ30" s="255"/>
      <c r="AR30" s="255"/>
      <c r="AS30" s="255"/>
      <c r="AT30" s="255"/>
      <c r="AU30" s="255"/>
      <c r="AV30" s="255"/>
      <c r="AW30" s="255"/>
    </row>
    <row r="31" spans="1:49" hidden="1">
      <c r="B31" s="180"/>
      <c r="E31" s="4"/>
      <c r="F31" s="4"/>
      <c r="G31" s="4"/>
      <c r="J31" s="4"/>
      <c r="K31" s="4"/>
      <c r="L31" s="4"/>
      <c r="O31" s="4"/>
      <c r="P31" s="4"/>
      <c r="T31" s="4"/>
      <c r="U31" s="4"/>
      <c r="Y31" s="4"/>
      <c r="Z31" s="4"/>
      <c r="AA31" s="4"/>
      <c r="AB31" s="4"/>
      <c r="AC31" s="4"/>
      <c r="AK31" s="180"/>
      <c r="AL31" s="180"/>
      <c r="AM31" s="180"/>
      <c r="AN31" s="180"/>
      <c r="AO31" s="180"/>
      <c r="AP31" s="180"/>
    </row>
    <row r="32" spans="1:49" ht="13.5" hidden="1" customHeight="1">
      <c r="A32" s="228"/>
      <c r="B32" s="1518" t="s">
        <v>18</v>
      </c>
      <c r="C32" s="1519">
        <v>45558</v>
      </c>
      <c r="D32" s="1519"/>
      <c r="E32" s="1519"/>
      <c r="F32" s="1519"/>
      <c r="G32" s="365"/>
      <c r="H32" s="1519">
        <v>45559</v>
      </c>
      <c r="I32" s="1519"/>
      <c r="J32" s="1519"/>
      <c r="K32" s="1519"/>
      <c r="L32" s="365"/>
      <c r="M32" s="1519">
        <v>45560</v>
      </c>
      <c r="N32" s="1519"/>
      <c r="O32" s="1519"/>
      <c r="P32" s="1519"/>
      <c r="Q32" s="365"/>
      <c r="R32" s="1519">
        <v>45561</v>
      </c>
      <c r="S32" s="1519"/>
      <c r="T32" s="1519"/>
      <c r="U32" s="1519"/>
      <c r="V32" s="365"/>
      <c r="W32" s="1519">
        <v>45562</v>
      </c>
      <c r="X32" s="1519"/>
      <c r="Y32" s="1519"/>
      <c r="Z32" s="1519"/>
      <c r="AA32" s="1517" t="s">
        <v>19</v>
      </c>
      <c r="AB32" s="1517" t="s">
        <v>20</v>
      </c>
      <c r="AC32" s="4"/>
      <c r="AD32" s="1519">
        <v>45563</v>
      </c>
      <c r="AE32" s="1519"/>
      <c r="AF32" s="1519"/>
      <c r="AG32" s="1517" t="s">
        <v>21</v>
      </c>
      <c r="AI32" s="368"/>
      <c r="AK32" s="194" t="s">
        <v>84</v>
      </c>
      <c r="AL32" s="366"/>
      <c r="AM32" s="366"/>
      <c r="AN32" s="366"/>
      <c r="AO32" s="366"/>
      <c r="AP32" s="366"/>
    </row>
    <row r="33" spans="1:49" hidden="1">
      <c r="A33" s="180"/>
      <c r="B33" s="1518"/>
      <c r="C33" s="21" t="s">
        <v>23</v>
      </c>
      <c r="D33" s="21" t="s">
        <v>24</v>
      </c>
      <c r="E33" s="205" t="s">
        <v>25</v>
      </c>
      <c r="F33" s="18" t="s">
        <v>14</v>
      </c>
      <c r="G33" s="4"/>
      <c r="H33" s="21" t="s">
        <v>23</v>
      </c>
      <c r="I33" s="21" t="s">
        <v>24</v>
      </c>
      <c r="J33" s="18" t="s">
        <v>25</v>
      </c>
      <c r="K33" s="18" t="s">
        <v>14</v>
      </c>
      <c r="L33" s="4"/>
      <c r="M33" s="21" t="s">
        <v>23</v>
      </c>
      <c r="N33" s="21" t="s">
        <v>24</v>
      </c>
      <c r="O33" s="18" t="s">
        <v>25</v>
      </c>
      <c r="P33" s="18" t="s">
        <v>14</v>
      </c>
      <c r="R33" s="21" t="s">
        <v>23</v>
      </c>
      <c r="S33" s="21" t="s">
        <v>24</v>
      </c>
      <c r="T33" s="18" t="s">
        <v>25</v>
      </c>
      <c r="U33" s="18" t="s">
        <v>14</v>
      </c>
      <c r="W33" s="21" t="s">
        <v>23</v>
      </c>
      <c r="X33" s="21" t="s">
        <v>24</v>
      </c>
      <c r="Y33" s="18" t="s">
        <v>25</v>
      </c>
      <c r="Z33" s="18" t="s">
        <v>14</v>
      </c>
      <c r="AA33" s="1517"/>
      <c r="AB33" s="1517"/>
      <c r="AC33" s="4"/>
      <c r="AD33" s="21" t="s">
        <v>23</v>
      </c>
      <c r="AE33" s="21" t="s">
        <v>24</v>
      </c>
      <c r="AF33" s="18" t="s">
        <v>25</v>
      </c>
      <c r="AG33" s="1517"/>
      <c r="AI33" s="368"/>
      <c r="AJ33" s="367"/>
      <c r="AK33" s="188" t="s">
        <v>26</v>
      </c>
      <c r="AL33" s="196">
        <f>AA37</f>
        <v>80</v>
      </c>
      <c r="AM33" s="511">
        <v>50.51</v>
      </c>
      <c r="AN33" s="510">
        <f>AL33*AM33</f>
        <v>4040.7999999999997</v>
      </c>
      <c r="AQ33" s="367"/>
      <c r="AR33" s="367"/>
      <c r="AS33" s="367"/>
      <c r="AT33" s="367"/>
      <c r="AU33" s="367"/>
      <c r="AV33" s="367"/>
      <c r="AW33" s="367"/>
    </row>
    <row r="34" spans="1:49" hidden="1">
      <c r="A34" s="180"/>
      <c r="B34" s="4" t="s">
        <v>60</v>
      </c>
      <c r="C34" s="441" t="s">
        <v>75</v>
      </c>
      <c r="D34" s="441" t="s">
        <v>246</v>
      </c>
      <c r="E34" s="319">
        <v>8</v>
      </c>
      <c r="F34" s="320"/>
      <c r="G34" s="4"/>
      <c r="H34" s="441" t="s">
        <v>75</v>
      </c>
      <c r="I34" s="441" t="s">
        <v>246</v>
      </c>
      <c r="J34" s="319">
        <v>8</v>
      </c>
      <c r="K34" s="320"/>
      <c r="L34" s="4"/>
      <c r="M34" s="441" t="s">
        <v>75</v>
      </c>
      <c r="N34" s="441" t="s">
        <v>246</v>
      </c>
      <c r="O34" s="319">
        <v>8</v>
      </c>
      <c r="P34" s="320"/>
      <c r="R34" s="441" t="s">
        <v>75</v>
      </c>
      <c r="S34" s="47">
        <v>0.25</v>
      </c>
      <c r="T34" s="319">
        <v>8</v>
      </c>
      <c r="U34" s="320"/>
      <c r="W34" s="441" t="s">
        <v>75</v>
      </c>
      <c r="X34" s="47">
        <v>0.25</v>
      </c>
      <c r="Y34" s="319">
        <v>8</v>
      </c>
      <c r="Z34" s="320"/>
      <c r="AA34" s="328">
        <f t="shared" ref="AA34:AA36" si="2">Y34+T34+O34+J34+E34</f>
        <v>40</v>
      </c>
      <c r="AB34" s="298">
        <f>Z34+U34+P34+K34+F34</f>
        <v>0</v>
      </c>
      <c r="AC34" s="4"/>
      <c r="AD34" s="587"/>
      <c r="AE34" s="531"/>
      <c r="AF34" s="319"/>
      <c r="AG34" s="328">
        <f>AF34</f>
        <v>0</v>
      </c>
      <c r="AI34" s="368"/>
      <c r="AJ34" s="367"/>
      <c r="AK34" s="188" t="s">
        <v>30</v>
      </c>
      <c r="AL34" s="196">
        <f>AB37</f>
        <v>0</v>
      </c>
      <c r="AM34" s="511">
        <f>AM33*1.5</f>
        <v>75.765000000000001</v>
      </c>
      <c r="AN34" s="510">
        <f>AL34*AM34</f>
        <v>0</v>
      </c>
      <c r="AQ34" s="367"/>
      <c r="AR34" s="367"/>
      <c r="AS34" s="367"/>
      <c r="AT34" s="367"/>
      <c r="AU34" s="367"/>
      <c r="AV34" s="367"/>
      <c r="AW34" s="367"/>
    </row>
    <row r="35" spans="1:49" hidden="1">
      <c r="A35" s="367"/>
      <c r="B35" s="4" t="s">
        <v>59</v>
      </c>
      <c r="C35" s="441" t="s">
        <v>75</v>
      </c>
      <c r="D35" s="441" t="s">
        <v>246</v>
      </c>
      <c r="E35" s="319">
        <v>8</v>
      </c>
      <c r="F35" s="320"/>
      <c r="G35" s="4"/>
      <c r="H35" s="441" t="s">
        <v>75</v>
      </c>
      <c r="I35" s="441" t="s">
        <v>246</v>
      </c>
      <c r="J35" s="319">
        <v>8</v>
      </c>
      <c r="K35" s="320"/>
      <c r="L35" s="4"/>
      <c r="M35" s="441" t="s">
        <v>75</v>
      </c>
      <c r="N35" s="441" t="s">
        <v>246</v>
      </c>
      <c r="O35" s="319">
        <v>8</v>
      </c>
      <c r="P35" s="320"/>
      <c r="R35" s="441" t="s">
        <v>75</v>
      </c>
      <c r="S35" s="47">
        <v>0.25</v>
      </c>
      <c r="T35" s="319">
        <v>8</v>
      </c>
      <c r="U35" s="320"/>
      <c r="W35" s="441" t="s">
        <v>75</v>
      </c>
      <c r="X35" s="47">
        <v>0.25</v>
      </c>
      <c r="Y35" s="319">
        <v>8</v>
      </c>
      <c r="Z35" s="320"/>
      <c r="AA35" s="328">
        <f t="shared" si="2"/>
        <v>40</v>
      </c>
      <c r="AB35" s="298">
        <f>Z35+U35+P35+K35+F35</f>
        <v>0</v>
      </c>
      <c r="AC35" s="4"/>
      <c r="AF35" s="319"/>
      <c r="AG35" s="328">
        <f>AF35</f>
        <v>0</v>
      </c>
      <c r="AH35" s="175"/>
      <c r="AI35" s="402"/>
      <c r="AJ35" s="367"/>
      <c r="AK35" s="188" t="s">
        <v>32</v>
      </c>
      <c r="AL35" s="196">
        <f>AG37</f>
        <v>0</v>
      </c>
      <c r="AM35" s="511">
        <v>75.77</v>
      </c>
      <c r="AN35" s="510">
        <f>AL35*AM35</f>
        <v>0</v>
      </c>
      <c r="AQ35" s="367"/>
      <c r="AR35" s="367"/>
      <c r="AS35" s="367"/>
      <c r="AT35" s="367"/>
      <c r="AU35" s="367"/>
      <c r="AV35" s="367"/>
      <c r="AW35" s="367"/>
    </row>
    <row r="36" spans="1:49" hidden="1">
      <c r="A36" s="367"/>
      <c r="B36" s="47"/>
      <c r="C36" s="441"/>
      <c r="D36" s="47"/>
      <c r="E36" s="319"/>
      <c r="F36" s="320"/>
      <c r="G36" s="4"/>
      <c r="H36" s="47"/>
      <c r="I36" s="47"/>
      <c r="J36" s="319"/>
      <c r="K36" s="320"/>
      <c r="L36" s="4"/>
      <c r="M36" s="47"/>
      <c r="N36" s="47"/>
      <c r="O36" s="319"/>
      <c r="P36" s="320"/>
      <c r="R36" s="47"/>
      <c r="S36" s="47"/>
      <c r="T36" s="319"/>
      <c r="U36" s="320"/>
      <c r="W36" s="47"/>
      <c r="X36" s="47"/>
      <c r="Y36" s="319"/>
      <c r="Z36" s="320"/>
      <c r="AA36" s="328">
        <f t="shared" si="2"/>
        <v>0</v>
      </c>
      <c r="AB36" s="298"/>
      <c r="AC36" s="4"/>
      <c r="AD36" s="47"/>
      <c r="AE36" s="47"/>
      <c r="AF36" s="319"/>
      <c r="AG36" s="29"/>
      <c r="AJ36" s="367"/>
      <c r="AN36" s="510">
        <f>SUM(AN33:AN35)</f>
        <v>4040.7999999999997</v>
      </c>
      <c r="AQ36" s="367"/>
      <c r="AR36" s="367"/>
      <c r="AS36" s="367"/>
      <c r="AT36" s="367"/>
      <c r="AU36" s="367"/>
      <c r="AV36" s="367"/>
      <c r="AW36" s="367"/>
    </row>
    <row r="37" spans="1:49" hidden="1">
      <c r="A37" s="367"/>
      <c r="B37" s="64" t="s">
        <v>61</v>
      </c>
      <c r="C37" s="31"/>
      <c r="D37" s="31"/>
      <c r="E37" s="439">
        <f>SUM(E34:E36)</f>
        <v>16</v>
      </c>
      <c r="F37" s="320">
        <f>SUM(F34:F36)</f>
        <v>0</v>
      </c>
      <c r="G37" s="31"/>
      <c r="H37" s="31"/>
      <c r="I37" s="31"/>
      <c r="J37" s="439">
        <f>SUM(J34:J36)</f>
        <v>16</v>
      </c>
      <c r="K37" s="320">
        <f>SUM(K34:K36)</f>
        <v>0</v>
      </c>
      <c r="L37" s="31"/>
      <c r="M37" s="31"/>
      <c r="N37" s="31"/>
      <c r="O37" s="439">
        <f>SUM(O34:O36)</f>
        <v>16</v>
      </c>
      <c r="P37" s="320">
        <f>SUM(P34:P36)</f>
        <v>0</v>
      </c>
      <c r="Q37" s="31"/>
      <c r="R37" s="31"/>
      <c r="S37" s="31"/>
      <c r="T37" s="439">
        <f>SUM(T34:T36)</f>
        <v>16</v>
      </c>
      <c r="U37" s="320">
        <f>SUM(U34:U36)</f>
        <v>0</v>
      </c>
      <c r="V37" s="31"/>
      <c r="W37" s="31"/>
      <c r="X37" s="31"/>
      <c r="Y37" s="439">
        <f>SUM(Y34:Y36)</f>
        <v>16</v>
      </c>
      <c r="Z37" s="320">
        <f>SUM(Z34:Z36)</f>
        <v>0</v>
      </c>
      <c r="AA37" s="370">
        <f>SUM(AA34:AA36)</f>
        <v>80</v>
      </c>
      <c r="AB37" s="370">
        <f>SUM(AB34:AB36)</f>
        <v>0</v>
      </c>
      <c r="AC37" s="4"/>
      <c r="AD37" s="64"/>
      <c r="AE37" s="64"/>
      <c r="AF37" s="370">
        <f>SUM(AF34:AF36)</f>
        <v>0</v>
      </c>
      <c r="AG37" s="370">
        <f>SUM(AG34:AG36)</f>
        <v>0</v>
      </c>
      <c r="AK37" s="407"/>
      <c r="AQ37" s="401"/>
      <c r="AR37" s="401"/>
      <c r="AS37" s="401"/>
      <c r="AT37" s="401"/>
      <c r="AU37" s="401"/>
      <c r="AV37" s="401"/>
      <c r="AW37" s="401"/>
    </row>
    <row r="38" spans="1:49" s="4" customFormat="1" hidden="1">
      <c r="A38" s="180"/>
      <c r="B38" s="180"/>
      <c r="C38" s="180"/>
      <c r="D38" s="180"/>
      <c r="H38" s="180"/>
      <c r="I38" s="180"/>
      <c r="M38" s="180"/>
      <c r="N38" s="180"/>
      <c r="R38" s="180"/>
      <c r="S38" s="180"/>
      <c r="W38" s="180"/>
      <c r="X38" s="180"/>
      <c r="AD38" s="180"/>
      <c r="AE38" s="180"/>
      <c r="AF38" s="180"/>
      <c r="AG38" s="180"/>
      <c r="AI38" s="255"/>
      <c r="AJ38" s="180"/>
      <c r="AK38" s="193"/>
      <c r="AL38" s="193"/>
      <c r="AM38" s="193"/>
      <c r="AN38" s="193"/>
      <c r="AO38" s="193"/>
      <c r="AP38" s="193"/>
      <c r="AQ38" s="180"/>
      <c r="AR38" s="180"/>
      <c r="AS38" s="180"/>
      <c r="AT38" s="180"/>
      <c r="AU38" s="180"/>
      <c r="AV38" s="180"/>
      <c r="AW38" s="180"/>
    </row>
    <row r="39" spans="1:49" hidden="1">
      <c r="A39" s="180"/>
      <c r="B39" s="229"/>
      <c r="C39" s="230"/>
      <c r="D39" s="230"/>
      <c r="E39" s="232"/>
      <c r="F39" s="232"/>
      <c r="G39" s="230"/>
      <c r="H39" s="232"/>
      <c r="I39" s="232"/>
      <c r="J39" s="232"/>
      <c r="K39" s="232"/>
      <c r="L39" s="230"/>
      <c r="M39" s="230"/>
      <c r="N39" s="230"/>
      <c r="O39" s="230"/>
      <c r="P39" s="232"/>
      <c r="Q39" s="230"/>
      <c r="R39" s="230"/>
      <c r="S39" s="230"/>
      <c r="T39" s="230"/>
      <c r="U39" s="232"/>
      <c r="V39" s="230"/>
      <c r="W39" s="230"/>
      <c r="X39" s="230"/>
      <c r="Y39" s="233"/>
      <c r="Z39" s="232"/>
      <c r="AA39" s="234"/>
      <c r="AB39" s="232"/>
      <c r="AC39" s="373"/>
      <c r="AD39" s="236"/>
      <c r="AE39" s="255"/>
      <c r="AF39" s="255"/>
      <c r="AG39" s="255"/>
      <c r="AH39" s="255"/>
      <c r="AJ39" s="255"/>
      <c r="AK39" s="255"/>
      <c r="AL39" s="255"/>
      <c r="AM39" s="255"/>
      <c r="AN39" s="255"/>
      <c r="AO39" s="255"/>
      <c r="AP39" s="255"/>
      <c r="AQ39" s="255"/>
      <c r="AR39" s="255"/>
      <c r="AS39" s="255"/>
      <c r="AT39" s="255"/>
      <c r="AU39" s="255"/>
      <c r="AV39" s="255"/>
      <c r="AW39" s="255"/>
    </row>
    <row r="40" spans="1:49" hidden="1">
      <c r="B40" s="180"/>
      <c r="E40" s="4"/>
      <c r="F40" s="4"/>
      <c r="G40" s="4"/>
      <c r="J40" s="4"/>
      <c r="K40" s="4"/>
      <c r="L40" s="4"/>
      <c r="O40" s="4"/>
      <c r="P40" s="4"/>
      <c r="T40" s="4"/>
      <c r="U40" s="4"/>
      <c r="Y40" s="4"/>
      <c r="Z40" s="4"/>
      <c r="AA40" s="4"/>
      <c r="AB40" s="4"/>
      <c r="AC40" s="4"/>
      <c r="AK40" s="180"/>
      <c r="AL40" s="180"/>
      <c r="AM40" s="180"/>
      <c r="AN40" s="180"/>
      <c r="AO40" s="180"/>
      <c r="AP40" s="180"/>
    </row>
    <row r="41" spans="1:49" ht="13.5" hidden="1" customHeight="1">
      <c r="A41" s="228"/>
      <c r="B41" s="1518" t="s">
        <v>18</v>
      </c>
      <c r="C41" s="1519">
        <v>45565</v>
      </c>
      <c r="D41" s="1519"/>
      <c r="E41" s="1519"/>
      <c r="F41" s="1519"/>
      <c r="G41" s="365"/>
      <c r="H41" s="1519">
        <v>45566</v>
      </c>
      <c r="I41" s="1519"/>
      <c r="J41" s="1519"/>
      <c r="K41" s="1519"/>
      <c r="L41" s="365"/>
      <c r="M41" s="1519">
        <v>45567</v>
      </c>
      <c r="N41" s="1519"/>
      <c r="O41" s="1519"/>
      <c r="P41" s="1519"/>
      <c r="Q41" s="365"/>
      <c r="R41" s="1519">
        <v>45568</v>
      </c>
      <c r="S41" s="1519"/>
      <c r="T41" s="1519"/>
      <c r="U41" s="1519"/>
      <c r="V41" s="365"/>
      <c r="W41" s="1519">
        <v>45569</v>
      </c>
      <c r="X41" s="1519"/>
      <c r="Y41" s="1519"/>
      <c r="Z41" s="1519"/>
      <c r="AA41" s="1517" t="s">
        <v>19</v>
      </c>
      <c r="AB41" s="1517" t="s">
        <v>20</v>
      </c>
      <c r="AC41" s="4"/>
      <c r="AD41" s="1519">
        <v>45570</v>
      </c>
      <c r="AE41" s="1519"/>
      <c r="AF41" s="1519"/>
      <c r="AG41" s="1517" t="s">
        <v>21</v>
      </c>
      <c r="AI41" s="368"/>
      <c r="AK41" s="194" t="s">
        <v>84</v>
      </c>
      <c r="AL41" s="366"/>
      <c r="AM41" s="366"/>
      <c r="AN41" s="366"/>
      <c r="AO41" s="366"/>
      <c r="AP41" s="366"/>
    </row>
    <row r="42" spans="1:49" hidden="1">
      <c r="A42" s="180"/>
      <c r="B42" s="1518"/>
      <c r="C42" s="21" t="s">
        <v>23</v>
      </c>
      <c r="D42" s="21" t="s">
        <v>24</v>
      </c>
      <c r="E42" s="205" t="s">
        <v>25</v>
      </c>
      <c r="F42" s="18" t="s">
        <v>14</v>
      </c>
      <c r="G42" s="4"/>
      <c r="H42" s="21" t="s">
        <v>23</v>
      </c>
      <c r="I42" s="21" t="s">
        <v>24</v>
      </c>
      <c r="J42" s="18" t="s">
        <v>25</v>
      </c>
      <c r="K42" s="18" t="s">
        <v>14</v>
      </c>
      <c r="L42" s="4"/>
      <c r="M42" s="21" t="s">
        <v>23</v>
      </c>
      <c r="N42" s="21" t="s">
        <v>24</v>
      </c>
      <c r="O42" s="18" t="s">
        <v>25</v>
      </c>
      <c r="P42" s="18" t="s">
        <v>14</v>
      </c>
      <c r="R42" s="21" t="s">
        <v>23</v>
      </c>
      <c r="S42" s="21" t="s">
        <v>24</v>
      </c>
      <c r="T42" s="18" t="s">
        <v>25</v>
      </c>
      <c r="U42" s="18" t="s">
        <v>14</v>
      </c>
      <c r="W42" s="21" t="s">
        <v>23</v>
      </c>
      <c r="X42" s="21" t="s">
        <v>24</v>
      </c>
      <c r="Y42" s="18" t="s">
        <v>25</v>
      </c>
      <c r="Z42" s="18" t="s">
        <v>14</v>
      </c>
      <c r="AA42" s="1517"/>
      <c r="AB42" s="1517"/>
      <c r="AC42" s="4"/>
      <c r="AD42" s="21" t="s">
        <v>23</v>
      </c>
      <c r="AE42" s="21" t="s">
        <v>24</v>
      </c>
      <c r="AF42" s="18" t="s">
        <v>25</v>
      </c>
      <c r="AG42" s="1517"/>
      <c r="AI42" s="368"/>
      <c r="AJ42" s="367"/>
      <c r="AK42" s="188" t="s">
        <v>26</v>
      </c>
      <c r="AL42" s="196">
        <f ca="1">AA45</f>
        <v>83</v>
      </c>
      <c r="AM42" s="511">
        <v>50.51</v>
      </c>
      <c r="AN42" s="510">
        <f ca="1">AL42*AM42</f>
        <v>4192.33</v>
      </c>
      <c r="AQ42" s="367"/>
      <c r="AR42" s="367"/>
      <c r="AS42" s="367"/>
      <c r="AT42" s="367"/>
      <c r="AU42" s="367"/>
      <c r="AV42" s="367"/>
      <c r="AW42" s="367"/>
    </row>
    <row r="43" spans="1:49" hidden="1">
      <c r="A43" s="180"/>
      <c r="B43" s="4" t="s">
        <v>60</v>
      </c>
      <c r="C43" s="441" t="s">
        <v>75</v>
      </c>
      <c r="D43" s="441" t="s">
        <v>246</v>
      </c>
      <c r="E43" s="319">
        <v>8</v>
      </c>
      <c r="F43" s="320"/>
      <c r="G43" s="4"/>
      <c r="H43" s="441" t="s">
        <v>75</v>
      </c>
      <c r="I43" s="441" t="s">
        <v>246</v>
      </c>
      <c r="J43" s="319">
        <v>8</v>
      </c>
      <c r="K43" s="320"/>
      <c r="L43" s="4"/>
      <c r="M43" s="441" t="s">
        <v>75</v>
      </c>
      <c r="N43" s="441" t="s">
        <v>246</v>
      </c>
      <c r="O43" s="319">
        <v>8</v>
      </c>
      <c r="P43" s="320"/>
      <c r="R43" s="441" t="s">
        <v>75</v>
      </c>
      <c r="S43" s="441" t="s">
        <v>246</v>
      </c>
      <c r="T43" s="319">
        <v>8</v>
      </c>
      <c r="U43" s="320"/>
      <c r="W43" s="441" t="s">
        <v>75</v>
      </c>
      <c r="X43" s="441" t="s">
        <v>246</v>
      </c>
      <c r="Y43" s="319">
        <v>8</v>
      </c>
      <c r="Z43" s="320"/>
      <c r="AA43" s="328">
        <f>Y43+T43+O43+J43+E43</f>
        <v>40</v>
      </c>
      <c r="AB43" s="298">
        <f>Z43+U43+P43+K43+F43</f>
        <v>0</v>
      </c>
      <c r="AC43" s="4"/>
      <c r="AD43" s="587"/>
      <c r="AE43" s="531"/>
      <c r="AF43" s="319"/>
      <c r="AG43" s="328">
        <f>AF43</f>
        <v>0</v>
      </c>
      <c r="AI43" s="368"/>
      <c r="AJ43" s="367"/>
      <c r="AK43" s="188" t="s">
        <v>30</v>
      </c>
      <c r="AL43" s="196">
        <f ca="1">AB45</f>
        <v>0</v>
      </c>
      <c r="AM43" s="511">
        <f>AM42*1.5</f>
        <v>75.765000000000001</v>
      </c>
      <c r="AN43" s="510">
        <f ca="1">AL43*AM43</f>
        <v>0</v>
      </c>
      <c r="AQ43" s="367"/>
      <c r="AR43" s="367"/>
      <c r="AS43" s="367"/>
      <c r="AT43" s="367"/>
      <c r="AU43" s="367"/>
      <c r="AV43" s="367"/>
      <c r="AW43" s="367"/>
    </row>
    <row r="44" spans="1:49" hidden="1">
      <c r="A44" s="367"/>
      <c r="B44" s="4" t="s">
        <v>59</v>
      </c>
      <c r="C44" s="441" t="s">
        <v>75</v>
      </c>
      <c r="D44" s="441" t="s">
        <v>246</v>
      </c>
      <c r="E44" s="319">
        <v>8</v>
      </c>
      <c r="F44" s="320"/>
      <c r="G44" s="4"/>
      <c r="H44" s="441" t="s">
        <v>246</v>
      </c>
      <c r="I44" s="441" t="s">
        <v>249</v>
      </c>
      <c r="J44" s="319">
        <v>4</v>
      </c>
      <c r="K44" s="320"/>
      <c r="L44" s="4"/>
      <c r="M44" s="441" t="s">
        <v>246</v>
      </c>
      <c r="N44" s="441" t="s">
        <v>249</v>
      </c>
      <c r="O44" s="319">
        <v>4</v>
      </c>
      <c r="P44" s="320"/>
      <c r="R44" s="441" t="s">
        <v>246</v>
      </c>
      <c r="S44" s="441" t="s">
        <v>249</v>
      </c>
      <c r="T44" s="319">
        <v>4</v>
      </c>
      <c r="U44" s="320"/>
      <c r="W44" s="441" t="s">
        <v>387</v>
      </c>
      <c r="X44" s="47">
        <v>0.41666666666666669</v>
      </c>
      <c r="Y44" s="319">
        <v>7</v>
      </c>
      <c r="Z44" s="320"/>
      <c r="AA44" s="328">
        <f>Y44+T44+O44+J44+E44</f>
        <v>27</v>
      </c>
      <c r="AB44" s="298">
        <f>Z44+U44+P44+K44+F44</f>
        <v>0</v>
      </c>
      <c r="AC44" s="4"/>
      <c r="AF44" s="319"/>
      <c r="AG44" s="328">
        <f>AF44</f>
        <v>0</v>
      </c>
      <c r="AH44" s="175"/>
      <c r="AI44" s="402"/>
      <c r="AJ44" s="367"/>
      <c r="AK44" s="188" t="s">
        <v>32</v>
      </c>
      <c r="AL44" s="196">
        <f ca="1">AG45</f>
        <v>0</v>
      </c>
      <c r="AM44" s="511">
        <v>75.77</v>
      </c>
      <c r="AN44" s="510">
        <f ca="1">AL44*AM44</f>
        <v>0</v>
      </c>
      <c r="AQ44" s="367"/>
      <c r="AR44" s="367"/>
      <c r="AS44" s="367"/>
      <c r="AT44" s="367"/>
      <c r="AU44" s="367"/>
      <c r="AV44" s="367"/>
      <c r="AW44" s="367"/>
    </row>
    <row r="45" spans="1:49" hidden="1">
      <c r="A45" s="367"/>
      <c r="B45" s="64" t="s">
        <v>61</v>
      </c>
      <c r="C45" s="31"/>
      <c r="D45" s="31"/>
      <c r="E45" s="439">
        <f ca="1">SUM(E43:E45)</f>
        <v>32</v>
      </c>
      <c r="F45" s="320">
        <f ca="1">SUM(F43:F45)</f>
        <v>0</v>
      </c>
      <c r="G45" s="31"/>
      <c r="H45" s="31"/>
      <c r="I45" s="31"/>
      <c r="J45" s="439">
        <f>SUM(J43:J44)</f>
        <v>12</v>
      </c>
      <c r="K45" s="320">
        <f ca="1">SUM(K43:K45)</f>
        <v>0</v>
      </c>
      <c r="L45" s="31"/>
      <c r="M45" s="31"/>
      <c r="N45" s="31"/>
      <c r="O45" s="439">
        <f>SUM(O43:O44)</f>
        <v>12</v>
      </c>
      <c r="P45" s="320">
        <f ca="1">SUM(P43:P45)</f>
        <v>0</v>
      </c>
      <c r="Q45" s="31"/>
      <c r="R45" s="31"/>
      <c r="S45" s="31"/>
      <c r="T45" s="439">
        <f>SUM(T43:T44)</f>
        <v>12</v>
      </c>
      <c r="U45" s="320">
        <f ca="1">SUM(U43:U45)</f>
        <v>0</v>
      </c>
      <c r="V45" s="31"/>
      <c r="W45" s="31"/>
      <c r="X45" s="31"/>
      <c r="Y45" s="439">
        <f>SUM(Y43:Y44)</f>
        <v>15</v>
      </c>
      <c r="Z45" s="320">
        <f ca="1">SUM(Z43:Z45)</f>
        <v>0</v>
      </c>
      <c r="AA45" s="370">
        <f ca="1">SUM(AA43:AA45)</f>
        <v>83</v>
      </c>
      <c r="AB45" s="370">
        <f ca="1">SUM(AB43:AB45)</f>
        <v>0</v>
      </c>
      <c r="AC45" s="4"/>
      <c r="AD45" s="64"/>
      <c r="AE45" s="64"/>
      <c r="AF45" s="370">
        <f ca="1">SUM(AF43:AF45)</f>
        <v>0</v>
      </c>
      <c r="AG45" s="370">
        <f ca="1">SUM(AG43:AG45)</f>
        <v>0</v>
      </c>
      <c r="AJ45" s="367"/>
      <c r="AN45" s="510">
        <f ca="1">SUM(AN42:AN44)</f>
        <v>4192.33</v>
      </c>
      <c r="AQ45" s="367"/>
      <c r="AR45" s="367"/>
      <c r="AS45" s="367"/>
      <c r="AT45" s="367"/>
      <c r="AU45" s="367"/>
      <c r="AV45" s="367"/>
      <c r="AW45" s="367"/>
    </row>
    <row r="46" spans="1:49" hidden="1">
      <c r="A46" s="367"/>
      <c r="B46" s="180"/>
      <c r="E46" s="4"/>
      <c r="F46" s="4"/>
      <c r="G46" s="4"/>
      <c r="J46" s="4"/>
      <c r="K46" s="4"/>
      <c r="L46" s="4"/>
      <c r="O46" s="4"/>
      <c r="P46" s="4"/>
      <c r="T46" s="4"/>
      <c r="U46" s="4"/>
      <c r="Y46" s="4"/>
      <c r="Z46" s="4"/>
      <c r="AA46" s="4"/>
      <c r="AB46" s="4"/>
      <c r="AC46" s="4"/>
      <c r="AK46" s="407"/>
      <c r="AQ46" s="401"/>
      <c r="AR46" s="401"/>
      <c r="AS46" s="401"/>
      <c r="AT46" s="401"/>
      <c r="AU46" s="401"/>
      <c r="AV46" s="401"/>
      <c r="AW46" s="401"/>
    </row>
    <row r="47" spans="1:49" hidden="1">
      <c r="A47" s="180"/>
      <c r="B47" s="229"/>
      <c r="C47" s="230"/>
      <c r="D47" s="230"/>
      <c r="E47" s="232"/>
      <c r="F47" s="232"/>
      <c r="G47" s="230"/>
      <c r="H47" s="232"/>
      <c r="I47" s="232"/>
      <c r="J47" s="232"/>
      <c r="K47" s="232"/>
      <c r="L47" s="230"/>
      <c r="M47" s="230"/>
      <c r="N47" s="230"/>
      <c r="O47" s="230"/>
      <c r="P47" s="232"/>
      <c r="Q47" s="230"/>
      <c r="R47" s="230"/>
      <c r="S47" s="230"/>
      <c r="T47" s="230"/>
      <c r="U47" s="232"/>
      <c r="V47" s="230"/>
      <c r="W47" s="230"/>
      <c r="X47" s="230"/>
      <c r="Y47" s="233"/>
      <c r="Z47" s="232"/>
      <c r="AA47" s="234"/>
      <c r="AB47" s="232"/>
      <c r="AC47" s="373"/>
      <c r="AD47" s="236"/>
      <c r="AE47" s="255"/>
      <c r="AF47" s="255"/>
      <c r="AG47" s="255"/>
      <c r="AH47" s="255"/>
      <c r="AJ47" s="255"/>
      <c r="AK47" s="255"/>
      <c r="AL47" s="255"/>
      <c r="AM47" s="255"/>
      <c r="AN47" s="255"/>
      <c r="AO47" s="255"/>
      <c r="AP47" s="255"/>
      <c r="AQ47" s="255"/>
      <c r="AR47" s="255"/>
      <c r="AS47" s="255"/>
      <c r="AT47" s="255"/>
      <c r="AU47" s="255"/>
      <c r="AV47" s="255"/>
      <c r="AW47" s="255"/>
    </row>
    <row r="48" spans="1:49" hidden="1">
      <c r="B48" s="180"/>
      <c r="E48" s="4"/>
      <c r="F48" s="4"/>
      <c r="G48" s="4"/>
      <c r="J48" s="4"/>
      <c r="K48" s="4"/>
      <c r="L48" s="4"/>
      <c r="O48" s="4"/>
      <c r="P48" s="4"/>
      <c r="T48" s="4"/>
      <c r="U48" s="4"/>
      <c r="Y48" s="4"/>
      <c r="Z48" s="4"/>
      <c r="AA48" s="4"/>
      <c r="AB48" s="4"/>
      <c r="AC48" s="4"/>
      <c r="AK48" s="180"/>
      <c r="AL48" s="180"/>
      <c r="AM48" s="180"/>
      <c r="AN48" s="180"/>
      <c r="AO48" s="180"/>
      <c r="AP48" s="180"/>
    </row>
    <row r="49" spans="1:49" hidden="1">
      <c r="A49" s="228"/>
      <c r="B49" s="1518" t="s">
        <v>18</v>
      </c>
      <c r="C49" s="1519">
        <v>45572</v>
      </c>
      <c r="D49" s="1519"/>
      <c r="E49" s="1519"/>
      <c r="F49" s="1519"/>
      <c r="G49" s="365"/>
      <c r="H49" s="1519">
        <v>45573</v>
      </c>
      <c r="I49" s="1519"/>
      <c r="J49" s="1519"/>
      <c r="K49" s="1519"/>
      <c r="L49" s="365"/>
      <c r="M49" s="1519">
        <v>45574</v>
      </c>
      <c r="N49" s="1519"/>
      <c r="O49" s="1519"/>
      <c r="P49" s="1519"/>
      <c r="Q49" s="365"/>
      <c r="R49" s="1519">
        <v>45575</v>
      </c>
      <c r="S49" s="1519"/>
      <c r="T49" s="1519"/>
      <c r="U49" s="1519"/>
      <c r="V49" s="365"/>
      <c r="W49" s="1519">
        <v>45576</v>
      </c>
      <c r="X49" s="1519"/>
      <c r="Y49" s="1519"/>
      <c r="Z49" s="1519"/>
      <c r="AA49" s="1517" t="s">
        <v>19</v>
      </c>
      <c r="AB49" s="1517" t="s">
        <v>20</v>
      </c>
      <c r="AC49" s="4"/>
      <c r="AD49" s="1519">
        <v>45577</v>
      </c>
      <c r="AE49" s="1519"/>
      <c r="AF49" s="1519"/>
      <c r="AG49" s="1517" t="s">
        <v>21</v>
      </c>
      <c r="AI49" s="368"/>
      <c r="AK49" s="194" t="s">
        <v>84</v>
      </c>
      <c r="AL49" s="366"/>
      <c r="AM49" s="366"/>
      <c r="AN49" s="366"/>
      <c r="AO49" s="366"/>
      <c r="AP49" s="366"/>
    </row>
    <row r="50" spans="1:49" hidden="1">
      <c r="A50" s="180"/>
      <c r="B50" s="1518"/>
      <c r="C50" s="21" t="s">
        <v>23</v>
      </c>
      <c r="D50" s="21" t="s">
        <v>24</v>
      </c>
      <c r="E50" s="205" t="s">
        <v>25</v>
      </c>
      <c r="F50" s="18" t="s">
        <v>14</v>
      </c>
      <c r="G50" s="4"/>
      <c r="H50" s="21" t="s">
        <v>23</v>
      </c>
      <c r="I50" s="21" t="s">
        <v>24</v>
      </c>
      <c r="J50" s="18" t="s">
        <v>25</v>
      </c>
      <c r="K50" s="18" t="s">
        <v>14</v>
      </c>
      <c r="L50" s="4"/>
      <c r="M50" s="21" t="s">
        <v>23</v>
      </c>
      <c r="N50" s="21" t="s">
        <v>24</v>
      </c>
      <c r="O50" s="18" t="s">
        <v>25</v>
      </c>
      <c r="P50" s="18" t="s">
        <v>14</v>
      </c>
      <c r="R50" s="21" t="s">
        <v>23</v>
      </c>
      <c r="S50" s="21" t="s">
        <v>24</v>
      </c>
      <c r="T50" s="18" t="s">
        <v>25</v>
      </c>
      <c r="U50" s="18" t="s">
        <v>14</v>
      </c>
      <c r="W50" s="21" t="s">
        <v>23</v>
      </c>
      <c r="X50" s="21" t="s">
        <v>24</v>
      </c>
      <c r="Y50" s="18" t="s">
        <v>25</v>
      </c>
      <c r="Z50" s="18" t="s">
        <v>14</v>
      </c>
      <c r="AA50" s="1517"/>
      <c r="AB50" s="1517"/>
      <c r="AC50" s="4"/>
      <c r="AD50" s="21" t="s">
        <v>23</v>
      </c>
      <c r="AE50" s="21" t="s">
        <v>24</v>
      </c>
      <c r="AF50" s="18" t="s">
        <v>25</v>
      </c>
      <c r="AG50" s="1517"/>
      <c r="AI50" s="368"/>
      <c r="AJ50" s="367"/>
      <c r="AK50" s="188" t="s">
        <v>26</v>
      </c>
      <c r="AL50" s="196">
        <f>AA53</f>
        <v>60</v>
      </c>
      <c r="AM50" s="511">
        <v>50.51</v>
      </c>
      <c r="AN50" s="510">
        <f>AL50*AM50</f>
        <v>3030.6</v>
      </c>
      <c r="AQ50" s="367"/>
      <c r="AR50" s="367"/>
      <c r="AS50" s="367"/>
      <c r="AT50" s="367"/>
      <c r="AU50" s="367"/>
      <c r="AV50" s="367"/>
      <c r="AW50" s="367"/>
    </row>
    <row r="51" spans="1:49" hidden="1">
      <c r="A51" s="180"/>
      <c r="B51" s="4" t="s">
        <v>60</v>
      </c>
      <c r="C51" s="441" t="s">
        <v>75</v>
      </c>
      <c r="D51" s="441" t="s">
        <v>246</v>
      </c>
      <c r="E51" s="319">
        <v>8</v>
      </c>
      <c r="F51" s="320"/>
      <c r="G51" s="4"/>
      <c r="H51" s="441" t="s">
        <v>75</v>
      </c>
      <c r="I51" s="441" t="s">
        <v>246</v>
      </c>
      <c r="J51" s="319">
        <v>8</v>
      </c>
      <c r="K51" s="320"/>
      <c r="L51" s="4"/>
      <c r="M51" s="441" t="s">
        <v>75</v>
      </c>
      <c r="N51" s="441" t="s">
        <v>246</v>
      </c>
      <c r="O51" s="319">
        <v>8</v>
      </c>
      <c r="P51" s="320"/>
      <c r="R51" s="441" t="s">
        <v>75</v>
      </c>
      <c r="S51" s="441" t="s">
        <v>246</v>
      </c>
      <c r="T51" s="319">
        <v>8</v>
      </c>
      <c r="U51" s="320"/>
      <c r="W51" s="441" t="s">
        <v>75</v>
      </c>
      <c r="X51" s="441" t="s">
        <v>246</v>
      </c>
      <c r="Y51" s="319">
        <v>8</v>
      </c>
      <c r="Z51" s="320"/>
      <c r="AA51" s="328">
        <f>Y51+T51+O51+J51+E51</f>
        <v>40</v>
      </c>
      <c r="AB51" s="298">
        <f>Z51+U51+P51+K51+F51</f>
        <v>0</v>
      </c>
      <c r="AC51" s="4"/>
      <c r="AD51" s="587"/>
      <c r="AE51" s="531"/>
      <c r="AF51" s="319"/>
      <c r="AG51" s="328">
        <f>AF51</f>
        <v>0</v>
      </c>
      <c r="AI51" s="368"/>
      <c r="AJ51" s="367"/>
      <c r="AK51" s="188" t="s">
        <v>30</v>
      </c>
      <c r="AL51" s="196">
        <f>AB53</f>
        <v>0</v>
      </c>
      <c r="AM51" s="511">
        <f>AM50*1.5</f>
        <v>75.765000000000001</v>
      </c>
      <c r="AN51" s="510">
        <f>AL51*AM51</f>
        <v>0</v>
      </c>
      <c r="AQ51" s="367"/>
      <c r="AR51" s="367"/>
      <c r="AS51" s="367"/>
      <c r="AT51" s="367"/>
      <c r="AU51" s="367"/>
      <c r="AV51" s="367"/>
      <c r="AW51" s="367"/>
    </row>
    <row r="52" spans="1:49" hidden="1">
      <c r="A52" s="367"/>
      <c r="B52" s="4" t="s">
        <v>59</v>
      </c>
      <c r="C52" s="441" t="s">
        <v>246</v>
      </c>
      <c r="D52" s="441" t="s">
        <v>249</v>
      </c>
      <c r="E52" s="319">
        <v>4</v>
      </c>
      <c r="F52" s="320"/>
      <c r="G52" s="4"/>
      <c r="H52" s="441" t="s">
        <v>246</v>
      </c>
      <c r="I52" s="441" t="s">
        <v>249</v>
      </c>
      <c r="J52" s="319">
        <v>4</v>
      </c>
      <c r="K52" s="320"/>
      <c r="L52" s="4"/>
      <c r="M52" s="441" t="s">
        <v>246</v>
      </c>
      <c r="N52" s="441" t="s">
        <v>249</v>
      </c>
      <c r="O52" s="319">
        <v>4</v>
      </c>
      <c r="P52" s="320"/>
      <c r="R52" s="441" t="s">
        <v>246</v>
      </c>
      <c r="S52" s="441" t="s">
        <v>249</v>
      </c>
      <c r="T52" s="319">
        <v>4</v>
      </c>
      <c r="U52" s="320"/>
      <c r="W52" s="441" t="s">
        <v>246</v>
      </c>
      <c r="X52" s="441" t="s">
        <v>249</v>
      </c>
      <c r="Y52" s="319">
        <v>4</v>
      </c>
      <c r="Z52" s="320"/>
      <c r="AA52" s="328">
        <f>Y52+T52+O52+J52+E52</f>
        <v>20</v>
      </c>
      <c r="AB52" s="298">
        <f>Z52+U52+P52+K52+F52</f>
        <v>0</v>
      </c>
      <c r="AC52" s="4"/>
      <c r="AF52" s="319"/>
      <c r="AG52" s="328">
        <f>AF52</f>
        <v>0</v>
      </c>
      <c r="AH52" s="175"/>
      <c r="AI52" s="402"/>
      <c r="AJ52" s="367"/>
      <c r="AK52" s="188" t="s">
        <v>32</v>
      </c>
      <c r="AL52" s="196">
        <f>AG53</f>
        <v>0</v>
      </c>
      <c r="AM52" s="511">
        <v>75.77</v>
      </c>
      <c r="AN52" s="510">
        <f>AL52*AM52</f>
        <v>0</v>
      </c>
      <c r="AQ52" s="367"/>
      <c r="AR52" s="367"/>
      <c r="AS52" s="367"/>
      <c r="AT52" s="367"/>
      <c r="AU52" s="367"/>
      <c r="AV52" s="367"/>
      <c r="AW52" s="367"/>
    </row>
    <row r="53" spans="1:49" hidden="1">
      <c r="A53" s="367"/>
      <c r="B53" s="64" t="s">
        <v>61</v>
      </c>
      <c r="C53" s="31"/>
      <c r="D53" s="31"/>
      <c r="E53" s="439">
        <f>SUM(E51:E52)</f>
        <v>12</v>
      </c>
      <c r="F53" s="320">
        <f>SUM(F51:F52)</f>
        <v>0</v>
      </c>
      <c r="G53" s="31"/>
      <c r="H53" s="31"/>
      <c r="I53" s="31"/>
      <c r="J53" s="439">
        <f>SUM(J51:J52)</f>
        <v>12</v>
      </c>
      <c r="K53" s="320">
        <f>SUM(K51:K52)</f>
        <v>0</v>
      </c>
      <c r="L53" s="31"/>
      <c r="M53" s="31"/>
      <c r="N53" s="31"/>
      <c r="O53" s="439">
        <f>SUM(O51:O52)</f>
        <v>12</v>
      </c>
      <c r="P53" s="320">
        <f>SUM(P51:P52)</f>
        <v>0</v>
      </c>
      <c r="Q53" s="31"/>
      <c r="R53" s="31"/>
      <c r="S53" s="31"/>
      <c r="T53" s="439">
        <f>SUM(T51:T52)</f>
        <v>12</v>
      </c>
      <c r="U53" s="320">
        <f>SUM(U51:U52)</f>
        <v>0</v>
      </c>
      <c r="V53" s="31"/>
      <c r="W53" s="31"/>
      <c r="X53" s="31"/>
      <c r="Y53" s="439">
        <f>SUM(Y51:Y52)</f>
        <v>12</v>
      </c>
      <c r="Z53" s="320">
        <f>SUM(Z51:Z52)</f>
        <v>0</v>
      </c>
      <c r="AA53" s="370">
        <f>SUM(AA51:AA52)</f>
        <v>60</v>
      </c>
      <c r="AB53" s="370">
        <f>SUM(AB51:AB52)</f>
        <v>0</v>
      </c>
      <c r="AC53" s="4"/>
      <c r="AD53" s="64"/>
      <c r="AE53" s="64"/>
      <c r="AF53" s="370">
        <f>SUM(AF51:AF52)</f>
        <v>0</v>
      </c>
      <c r="AG53" s="370">
        <f>SUM(AG51:AG52)</f>
        <v>0</v>
      </c>
      <c r="AJ53" s="367"/>
      <c r="AN53" s="510">
        <f>SUM(AN50:AN52)</f>
        <v>3030.6</v>
      </c>
      <c r="AQ53" s="367"/>
      <c r="AR53" s="367"/>
      <c r="AS53" s="367"/>
      <c r="AT53" s="367"/>
      <c r="AU53" s="367"/>
      <c r="AV53" s="367"/>
      <c r="AW53" s="367"/>
    </row>
    <row r="54" spans="1:49" hidden="1">
      <c r="A54" s="367"/>
      <c r="B54" s="180"/>
      <c r="E54" s="4"/>
      <c r="F54" s="4"/>
      <c r="G54" s="4"/>
      <c r="J54" s="4"/>
      <c r="K54" s="4"/>
      <c r="L54" s="4"/>
      <c r="O54" s="4"/>
      <c r="P54" s="4"/>
      <c r="T54" s="4"/>
      <c r="U54" s="4"/>
      <c r="Y54" s="4"/>
      <c r="Z54" s="4"/>
      <c r="AA54" s="4"/>
      <c r="AB54" s="4"/>
      <c r="AC54" s="4"/>
      <c r="AK54" s="407"/>
      <c r="AQ54" s="401"/>
      <c r="AR54" s="401"/>
      <c r="AS54" s="401"/>
      <c r="AT54" s="401"/>
      <c r="AU54" s="401"/>
      <c r="AV54" s="401"/>
      <c r="AW54" s="401"/>
    </row>
    <row r="55" spans="1:49" hidden="1">
      <c r="A55" s="180"/>
      <c r="B55" s="229"/>
      <c r="C55" s="230"/>
      <c r="D55" s="230"/>
      <c r="E55" s="232"/>
      <c r="F55" s="232"/>
      <c r="G55" s="230"/>
      <c r="H55" s="232"/>
      <c r="I55" s="232"/>
      <c r="J55" s="232"/>
      <c r="K55" s="232"/>
      <c r="L55" s="230"/>
      <c r="M55" s="230"/>
      <c r="N55" s="230"/>
      <c r="O55" s="230"/>
      <c r="P55" s="232"/>
      <c r="Q55" s="230"/>
      <c r="R55" s="230"/>
      <c r="S55" s="230"/>
      <c r="T55" s="230"/>
      <c r="U55" s="232"/>
      <c r="V55" s="230"/>
      <c r="W55" s="230"/>
      <c r="X55" s="230"/>
      <c r="Y55" s="233"/>
      <c r="Z55" s="232"/>
      <c r="AA55" s="234"/>
      <c r="AB55" s="232"/>
      <c r="AC55" s="373"/>
      <c r="AD55" s="236"/>
      <c r="AE55" s="255"/>
      <c r="AF55" s="255"/>
      <c r="AG55" s="255"/>
      <c r="AH55" s="255"/>
      <c r="AJ55" s="255"/>
      <c r="AK55" s="255"/>
      <c r="AL55" s="255"/>
      <c r="AM55" s="255"/>
      <c r="AN55" s="255"/>
      <c r="AO55" s="255"/>
      <c r="AP55" s="255"/>
      <c r="AQ55" s="255"/>
      <c r="AR55" s="255"/>
      <c r="AS55" s="255"/>
      <c r="AT55" s="255"/>
      <c r="AU55" s="255"/>
      <c r="AV55" s="255"/>
      <c r="AW55" s="255"/>
    </row>
    <row r="56" spans="1:49" hidden="1">
      <c r="B56" s="180"/>
      <c r="E56" s="4"/>
      <c r="F56" s="4"/>
      <c r="G56" s="4"/>
      <c r="J56" s="4"/>
      <c r="K56" s="4"/>
      <c r="L56" s="4"/>
      <c r="O56" s="4"/>
      <c r="P56" s="4"/>
      <c r="T56" s="4"/>
      <c r="U56" s="4"/>
      <c r="Y56" s="4"/>
      <c r="Z56" s="4"/>
      <c r="AA56" s="4"/>
      <c r="AB56" s="4"/>
      <c r="AC56" s="4"/>
      <c r="AK56" s="180"/>
      <c r="AL56" s="180"/>
      <c r="AM56" s="180"/>
      <c r="AN56" s="180"/>
      <c r="AO56" s="180"/>
      <c r="AP56" s="180"/>
    </row>
    <row r="57" spans="1:49" hidden="1">
      <c r="A57" s="228"/>
      <c r="B57" s="1518" t="s">
        <v>18</v>
      </c>
      <c r="C57" s="1519">
        <v>45579</v>
      </c>
      <c r="D57" s="1519"/>
      <c r="E57" s="1519"/>
      <c r="F57" s="1519"/>
      <c r="G57" s="365"/>
      <c r="H57" s="1519">
        <v>45580</v>
      </c>
      <c r="I57" s="1519"/>
      <c r="J57" s="1519"/>
      <c r="K57" s="1519"/>
      <c r="L57" s="365"/>
      <c r="M57" s="1519">
        <v>45581</v>
      </c>
      <c r="N57" s="1519"/>
      <c r="O57" s="1519"/>
      <c r="P57" s="1519"/>
      <c r="Q57" s="365"/>
      <c r="R57" s="1519">
        <v>45582</v>
      </c>
      <c r="S57" s="1519"/>
      <c r="T57" s="1519"/>
      <c r="U57" s="1519"/>
      <c r="V57" s="365"/>
      <c r="W57" s="1519">
        <v>45583</v>
      </c>
      <c r="X57" s="1519"/>
      <c r="Y57" s="1519"/>
      <c r="Z57" s="1519"/>
      <c r="AA57" s="1517" t="s">
        <v>19</v>
      </c>
      <c r="AB57" s="1517" t="s">
        <v>20</v>
      </c>
      <c r="AC57" s="4"/>
      <c r="AD57" s="1519">
        <v>45584</v>
      </c>
      <c r="AE57" s="1519"/>
      <c r="AF57" s="1519"/>
      <c r="AG57" s="1517" t="s">
        <v>21</v>
      </c>
      <c r="AI57" s="368"/>
      <c r="AK57" s="194" t="s">
        <v>84</v>
      </c>
      <c r="AL57" s="366"/>
      <c r="AM57" s="366"/>
      <c r="AN57" s="366"/>
      <c r="AO57" s="366"/>
      <c r="AP57" s="366"/>
    </row>
    <row r="58" spans="1:49" hidden="1">
      <c r="A58" s="180"/>
      <c r="B58" s="1518"/>
      <c r="C58" s="21" t="s">
        <v>23</v>
      </c>
      <c r="D58" s="21" t="s">
        <v>24</v>
      </c>
      <c r="E58" s="205" t="s">
        <v>25</v>
      </c>
      <c r="F58" s="18" t="s">
        <v>14</v>
      </c>
      <c r="G58" s="4"/>
      <c r="H58" s="21" t="s">
        <v>23</v>
      </c>
      <c r="I58" s="21" t="s">
        <v>24</v>
      </c>
      <c r="J58" s="18" t="s">
        <v>25</v>
      </c>
      <c r="K58" s="18" t="s">
        <v>14</v>
      </c>
      <c r="L58" s="4"/>
      <c r="M58" s="21" t="s">
        <v>23</v>
      </c>
      <c r="N58" s="21" t="s">
        <v>24</v>
      </c>
      <c r="O58" s="18" t="s">
        <v>25</v>
      </c>
      <c r="P58" s="18" t="s">
        <v>14</v>
      </c>
      <c r="R58" s="21" t="s">
        <v>23</v>
      </c>
      <c r="S58" s="21" t="s">
        <v>24</v>
      </c>
      <c r="T58" s="18" t="s">
        <v>25</v>
      </c>
      <c r="U58" s="18" t="s">
        <v>14</v>
      </c>
      <c r="W58" s="21" t="s">
        <v>23</v>
      </c>
      <c r="X58" s="21" t="s">
        <v>24</v>
      </c>
      <c r="Y58" s="18" t="s">
        <v>25</v>
      </c>
      <c r="Z58" s="18" t="s">
        <v>14</v>
      </c>
      <c r="AA58" s="1517"/>
      <c r="AB58" s="1517"/>
      <c r="AC58" s="4"/>
      <c r="AD58" s="21" t="s">
        <v>23</v>
      </c>
      <c r="AE58" s="21" t="s">
        <v>24</v>
      </c>
      <c r="AF58" s="18" t="s">
        <v>25</v>
      </c>
      <c r="AG58" s="1517"/>
      <c r="AI58" s="368"/>
      <c r="AJ58" s="367"/>
      <c r="AK58" s="188" t="s">
        <v>26</v>
      </c>
      <c r="AL58" s="196">
        <f>AA61</f>
        <v>64</v>
      </c>
      <c r="AM58" s="511">
        <v>50.51</v>
      </c>
      <c r="AN58" s="510">
        <f>AL58*AM58</f>
        <v>3232.64</v>
      </c>
      <c r="AQ58" s="367"/>
      <c r="AR58" s="367"/>
      <c r="AS58" s="367"/>
      <c r="AT58" s="367"/>
      <c r="AU58" s="367"/>
      <c r="AV58" s="367"/>
      <c r="AW58" s="367"/>
    </row>
    <row r="59" spans="1:49" hidden="1">
      <c r="A59" s="180"/>
      <c r="B59" s="4" t="s">
        <v>60</v>
      </c>
      <c r="C59" s="441" t="s">
        <v>75</v>
      </c>
      <c r="D59" s="441" t="s">
        <v>246</v>
      </c>
      <c r="E59" s="319">
        <v>8</v>
      </c>
      <c r="F59" s="320"/>
      <c r="G59" s="4"/>
      <c r="H59" s="441" t="s">
        <v>75</v>
      </c>
      <c r="I59" s="441" t="s">
        <v>246</v>
      </c>
      <c r="J59" s="319">
        <v>8</v>
      </c>
      <c r="K59" s="320"/>
      <c r="L59" s="4"/>
      <c r="M59" s="441" t="s">
        <v>75</v>
      </c>
      <c r="N59" s="441" t="s">
        <v>246</v>
      </c>
      <c r="O59" s="319">
        <v>8</v>
      </c>
      <c r="P59" s="320"/>
      <c r="R59" s="441" t="s">
        <v>75</v>
      </c>
      <c r="S59" s="441" t="s">
        <v>246</v>
      </c>
      <c r="T59" s="319">
        <v>8</v>
      </c>
      <c r="U59" s="320"/>
      <c r="W59" s="441" t="s">
        <v>75</v>
      </c>
      <c r="X59" s="441" t="s">
        <v>246</v>
      </c>
      <c r="Y59" s="319">
        <v>8</v>
      </c>
      <c r="Z59" s="320"/>
      <c r="AA59" s="328">
        <f>Y59+T59+O59+J59+E59</f>
        <v>40</v>
      </c>
      <c r="AB59" s="298">
        <f>Z59+U59+P59+K59+F59</f>
        <v>0</v>
      </c>
      <c r="AC59" s="4"/>
      <c r="AD59" s="587"/>
      <c r="AE59" s="531"/>
      <c r="AF59" s="319"/>
      <c r="AG59" s="328">
        <f>AF59</f>
        <v>0</v>
      </c>
      <c r="AI59" s="368"/>
      <c r="AJ59" s="367"/>
      <c r="AK59" s="188" t="s">
        <v>30</v>
      </c>
      <c r="AL59" s="196">
        <f>AB61</f>
        <v>0</v>
      </c>
      <c r="AM59" s="511">
        <f>AM58*1.5</f>
        <v>75.765000000000001</v>
      </c>
      <c r="AN59" s="510">
        <f>AL59*AM59</f>
        <v>0</v>
      </c>
      <c r="AQ59" s="367"/>
      <c r="AR59" s="367"/>
      <c r="AS59" s="367"/>
      <c r="AT59" s="367"/>
      <c r="AU59" s="367"/>
      <c r="AV59" s="367"/>
      <c r="AW59" s="367"/>
    </row>
    <row r="60" spans="1:49" hidden="1">
      <c r="A60" s="367"/>
      <c r="B60" s="4" t="s">
        <v>59</v>
      </c>
      <c r="C60" s="441" t="s">
        <v>75</v>
      </c>
      <c r="D60" s="441" t="s">
        <v>246</v>
      </c>
      <c r="E60" s="319">
        <v>8</v>
      </c>
      <c r="F60" s="320"/>
      <c r="G60" s="4"/>
      <c r="H60" s="441" t="s">
        <v>246</v>
      </c>
      <c r="I60" s="441" t="s">
        <v>249</v>
      </c>
      <c r="J60" s="319">
        <v>4</v>
      </c>
      <c r="K60" s="320"/>
      <c r="L60" s="4"/>
      <c r="M60" s="441" t="s">
        <v>246</v>
      </c>
      <c r="N60" s="441" t="s">
        <v>249</v>
      </c>
      <c r="O60" s="319">
        <v>4</v>
      </c>
      <c r="P60" s="320"/>
      <c r="R60" s="441" t="s">
        <v>246</v>
      </c>
      <c r="S60" s="441" t="s">
        <v>249</v>
      </c>
      <c r="T60" s="319">
        <v>4</v>
      </c>
      <c r="U60" s="320"/>
      <c r="W60" s="441" t="s">
        <v>246</v>
      </c>
      <c r="X60" s="441" t="s">
        <v>249</v>
      </c>
      <c r="Y60" s="319">
        <v>4</v>
      </c>
      <c r="Z60" s="320"/>
      <c r="AA60" s="328">
        <f>Y60+T60+O60+J60+E60</f>
        <v>24</v>
      </c>
      <c r="AB60" s="298">
        <f>Z60+U60+P60+K60+F60</f>
        <v>0</v>
      </c>
      <c r="AC60" s="4"/>
      <c r="AF60" s="319"/>
      <c r="AG60" s="328">
        <f>AF60</f>
        <v>0</v>
      </c>
      <c r="AH60" s="175"/>
      <c r="AI60" s="402"/>
      <c r="AJ60" s="367"/>
      <c r="AK60" s="188" t="s">
        <v>32</v>
      </c>
      <c r="AL60" s="196">
        <f>AG61</f>
        <v>0</v>
      </c>
      <c r="AM60" s="511">
        <v>75.77</v>
      </c>
      <c r="AN60" s="510">
        <f>AL60*AM60</f>
        <v>0</v>
      </c>
      <c r="AQ60" s="367"/>
      <c r="AR60" s="367"/>
      <c r="AS60" s="367"/>
      <c r="AT60" s="367"/>
      <c r="AU60" s="367"/>
      <c r="AV60" s="367"/>
      <c r="AW60" s="367"/>
    </row>
    <row r="61" spans="1:49" hidden="1">
      <c r="A61" s="367"/>
      <c r="B61" s="64" t="s">
        <v>61</v>
      </c>
      <c r="C61" s="31"/>
      <c r="D61" s="31"/>
      <c r="E61" s="439">
        <f>SUM(E59:E60)</f>
        <v>16</v>
      </c>
      <c r="F61" s="320">
        <f>SUM(F59:F60)</f>
        <v>0</v>
      </c>
      <c r="G61" s="31"/>
      <c r="H61" s="31"/>
      <c r="I61" s="31"/>
      <c r="J61" s="439">
        <f>SUM(J59:J60)</f>
        <v>12</v>
      </c>
      <c r="K61" s="320">
        <f>SUM(K59:K60)</f>
        <v>0</v>
      </c>
      <c r="L61" s="31"/>
      <c r="M61" s="31"/>
      <c r="N61" s="31"/>
      <c r="O61" s="439">
        <f>SUM(O59:O60)</f>
        <v>12</v>
      </c>
      <c r="P61" s="320">
        <f>SUM(P59:P60)</f>
        <v>0</v>
      </c>
      <c r="Q61" s="31"/>
      <c r="R61" s="31"/>
      <c r="S61" s="31"/>
      <c r="T61" s="439">
        <f>SUM(T59:T60)</f>
        <v>12</v>
      </c>
      <c r="U61" s="320">
        <f>SUM(U59:U60)</f>
        <v>0</v>
      </c>
      <c r="V61" s="31"/>
      <c r="W61" s="31"/>
      <c r="X61" s="31"/>
      <c r="Y61" s="439">
        <f>SUM(Y59:Y60)</f>
        <v>12</v>
      </c>
      <c r="Z61" s="320">
        <f>SUM(Z59:Z60)</f>
        <v>0</v>
      </c>
      <c r="AA61" s="370">
        <f>SUM(AA59:AA60)</f>
        <v>64</v>
      </c>
      <c r="AB61" s="370">
        <f>SUM(AB59:AB60)</f>
        <v>0</v>
      </c>
      <c r="AC61" s="4"/>
      <c r="AD61" s="64"/>
      <c r="AE61" s="64"/>
      <c r="AF61" s="370">
        <f>SUM(AF59:AF60)</f>
        <v>0</v>
      </c>
      <c r="AG61" s="370">
        <f>SUM(AG59:AG60)</f>
        <v>0</v>
      </c>
      <c r="AJ61" s="367"/>
      <c r="AN61" s="510">
        <f>SUM(AN58:AN60)</f>
        <v>3232.64</v>
      </c>
      <c r="AQ61" s="367"/>
      <c r="AR61" s="367"/>
      <c r="AS61" s="367"/>
      <c r="AT61" s="367"/>
      <c r="AU61" s="367"/>
      <c r="AV61" s="367"/>
      <c r="AW61" s="367"/>
    </row>
    <row r="62" spans="1:49" s="180" customFormat="1" hidden="1">
      <c r="A62" s="313"/>
      <c r="E62" s="4"/>
      <c r="F62" s="4"/>
      <c r="G62" s="4"/>
      <c r="J62" s="4"/>
      <c r="K62" s="4"/>
      <c r="L62" s="4"/>
      <c r="O62" s="4"/>
      <c r="P62" s="4"/>
      <c r="Q62" s="4"/>
      <c r="T62" s="4"/>
      <c r="U62" s="4"/>
      <c r="V62" s="4"/>
      <c r="Y62" s="4"/>
      <c r="Z62" s="4"/>
      <c r="AA62" s="4"/>
      <c r="AB62" s="4"/>
      <c r="AC62" s="4"/>
      <c r="AH62" s="4"/>
      <c r="AI62" s="255"/>
      <c r="AK62" s="193"/>
      <c r="AL62" s="193"/>
      <c r="AM62" s="193"/>
      <c r="AN62" s="193"/>
      <c r="AO62" s="193"/>
      <c r="AP62" s="193"/>
    </row>
    <row r="63" spans="1:49" hidden="1">
      <c r="A63" s="180"/>
      <c r="B63" s="229"/>
      <c r="C63" s="230"/>
      <c r="D63" s="230"/>
      <c r="E63" s="232"/>
      <c r="F63" s="232"/>
      <c r="G63" s="230"/>
      <c r="H63" s="232"/>
      <c r="I63" s="232"/>
      <c r="J63" s="232"/>
      <c r="K63" s="232"/>
      <c r="L63" s="230"/>
      <c r="M63" s="230"/>
      <c r="N63" s="230"/>
      <c r="O63" s="230"/>
      <c r="P63" s="232"/>
      <c r="Q63" s="230"/>
      <c r="R63" s="230"/>
      <c r="S63" s="230"/>
      <c r="T63" s="230"/>
      <c r="U63" s="232"/>
      <c r="V63" s="230"/>
      <c r="W63" s="230"/>
      <c r="X63" s="230"/>
      <c r="Y63" s="233"/>
      <c r="Z63" s="232"/>
      <c r="AA63" s="234"/>
      <c r="AB63" s="232"/>
      <c r="AC63" s="373"/>
      <c r="AD63" s="236"/>
      <c r="AE63" s="255"/>
      <c r="AF63" s="255"/>
      <c r="AG63" s="255"/>
      <c r="AH63" s="255"/>
      <c r="AJ63" s="255"/>
      <c r="AK63" s="255"/>
      <c r="AL63" s="255"/>
      <c r="AM63" s="255"/>
      <c r="AN63" s="255"/>
      <c r="AO63" s="255"/>
      <c r="AP63" s="255"/>
      <c r="AQ63" s="255"/>
      <c r="AR63" s="255"/>
      <c r="AS63" s="255"/>
      <c r="AT63" s="255"/>
      <c r="AU63" s="255"/>
      <c r="AV63" s="255"/>
      <c r="AW63" s="255"/>
    </row>
    <row r="64" spans="1:49" hidden="1">
      <c r="B64" s="180"/>
      <c r="E64" s="4"/>
      <c r="F64" s="4"/>
      <c r="G64" s="4"/>
      <c r="J64" s="4"/>
      <c r="K64" s="4"/>
      <c r="L64" s="4"/>
      <c r="O64" s="4"/>
      <c r="P64" s="4"/>
      <c r="T64" s="4"/>
      <c r="U64" s="4"/>
      <c r="Y64" s="4"/>
      <c r="Z64" s="4"/>
      <c r="AA64" s="4"/>
      <c r="AB64" s="4"/>
      <c r="AC64" s="4"/>
      <c r="AK64" s="180"/>
      <c r="AL64" s="180"/>
      <c r="AM64" s="180"/>
      <c r="AN64" s="180"/>
      <c r="AO64" s="180"/>
      <c r="AP64" s="180"/>
    </row>
    <row r="65" spans="1:49" hidden="1">
      <c r="A65" s="228"/>
      <c r="B65" s="1518" t="s">
        <v>18</v>
      </c>
      <c r="C65" s="1519">
        <v>45586</v>
      </c>
      <c r="D65" s="1519"/>
      <c r="E65" s="1519"/>
      <c r="F65" s="1519"/>
      <c r="G65" s="365"/>
      <c r="H65" s="1519">
        <v>45587</v>
      </c>
      <c r="I65" s="1519"/>
      <c r="J65" s="1519"/>
      <c r="K65" s="1519"/>
      <c r="L65" s="365"/>
      <c r="M65" s="1519">
        <v>45588</v>
      </c>
      <c r="N65" s="1519"/>
      <c r="O65" s="1519"/>
      <c r="P65" s="1519"/>
      <c r="Q65" s="365"/>
      <c r="R65" s="1519">
        <v>45589</v>
      </c>
      <c r="S65" s="1519"/>
      <c r="T65" s="1519"/>
      <c r="U65" s="1519"/>
      <c r="V65" s="365"/>
      <c r="W65" s="1519">
        <v>45590</v>
      </c>
      <c r="X65" s="1519"/>
      <c r="Y65" s="1519"/>
      <c r="Z65" s="1519"/>
      <c r="AA65" s="1517" t="s">
        <v>19</v>
      </c>
      <c r="AB65" s="1517" t="s">
        <v>20</v>
      </c>
      <c r="AC65" s="4"/>
      <c r="AD65" s="1519">
        <v>45591</v>
      </c>
      <c r="AE65" s="1519"/>
      <c r="AF65" s="1519"/>
      <c r="AG65" s="1517" t="s">
        <v>21</v>
      </c>
      <c r="AI65" s="368"/>
      <c r="AK65" s="194" t="s">
        <v>84</v>
      </c>
      <c r="AL65" s="366"/>
      <c r="AM65" s="366"/>
      <c r="AN65" s="366"/>
      <c r="AO65" s="366"/>
      <c r="AP65" s="366"/>
    </row>
    <row r="66" spans="1:49" hidden="1">
      <c r="A66" s="180"/>
      <c r="B66" s="1518"/>
      <c r="C66" s="21" t="s">
        <v>23</v>
      </c>
      <c r="D66" s="21" t="s">
        <v>24</v>
      </c>
      <c r="E66" s="205" t="s">
        <v>25</v>
      </c>
      <c r="F66" s="18" t="s">
        <v>14</v>
      </c>
      <c r="G66" s="4"/>
      <c r="H66" s="21" t="s">
        <v>23</v>
      </c>
      <c r="I66" s="21" t="s">
        <v>24</v>
      </c>
      <c r="J66" s="18" t="s">
        <v>25</v>
      </c>
      <c r="K66" s="18" t="s">
        <v>14</v>
      </c>
      <c r="L66" s="4"/>
      <c r="M66" s="21" t="s">
        <v>23</v>
      </c>
      <c r="N66" s="21" t="s">
        <v>24</v>
      </c>
      <c r="O66" s="18" t="s">
        <v>25</v>
      </c>
      <c r="P66" s="18" t="s">
        <v>14</v>
      </c>
      <c r="R66" s="21" t="s">
        <v>23</v>
      </c>
      <c r="S66" s="21" t="s">
        <v>24</v>
      </c>
      <c r="T66" s="18" t="s">
        <v>25</v>
      </c>
      <c r="U66" s="18" t="s">
        <v>14</v>
      </c>
      <c r="W66" s="21" t="s">
        <v>23</v>
      </c>
      <c r="X66" s="21" t="s">
        <v>24</v>
      </c>
      <c r="Y66" s="18" t="s">
        <v>25</v>
      </c>
      <c r="Z66" s="18" t="s">
        <v>14</v>
      </c>
      <c r="AA66" s="1517"/>
      <c r="AB66" s="1517"/>
      <c r="AC66" s="4"/>
      <c r="AD66" s="21" t="s">
        <v>23</v>
      </c>
      <c r="AE66" s="21" t="s">
        <v>24</v>
      </c>
      <c r="AF66" s="18" t="s">
        <v>25</v>
      </c>
      <c r="AG66" s="1517"/>
      <c r="AI66" s="368"/>
      <c r="AJ66" s="367"/>
      <c r="AK66" s="188" t="s">
        <v>26</v>
      </c>
      <c r="AL66" s="196">
        <f>AA69</f>
        <v>60</v>
      </c>
      <c r="AM66" s="511">
        <v>50.51</v>
      </c>
      <c r="AN66" s="510">
        <f>AL66*AM66</f>
        <v>3030.6</v>
      </c>
      <c r="AQ66" s="367"/>
      <c r="AR66" s="367"/>
      <c r="AS66" s="367"/>
      <c r="AT66" s="367"/>
      <c r="AU66" s="367"/>
      <c r="AV66" s="367"/>
      <c r="AW66" s="367"/>
    </row>
    <row r="67" spans="1:49" hidden="1">
      <c r="A67" s="180"/>
      <c r="B67" s="4" t="s">
        <v>60</v>
      </c>
      <c r="C67" s="441" t="s">
        <v>75</v>
      </c>
      <c r="D67" s="441" t="s">
        <v>246</v>
      </c>
      <c r="E67" s="319">
        <v>8</v>
      </c>
      <c r="F67" s="320"/>
      <c r="G67" s="4"/>
      <c r="H67" s="441" t="s">
        <v>75</v>
      </c>
      <c r="I67" s="441" t="s">
        <v>246</v>
      </c>
      <c r="J67" s="319">
        <v>8</v>
      </c>
      <c r="K67" s="320"/>
      <c r="L67" s="4"/>
      <c r="M67" s="441" t="s">
        <v>75</v>
      </c>
      <c r="N67" s="441" t="s">
        <v>246</v>
      </c>
      <c r="O67" s="319">
        <v>8</v>
      </c>
      <c r="P67" s="320"/>
      <c r="R67" s="441" t="s">
        <v>75</v>
      </c>
      <c r="S67" s="441" t="s">
        <v>246</v>
      </c>
      <c r="T67" s="319">
        <v>8</v>
      </c>
      <c r="U67" s="320"/>
      <c r="W67" s="441" t="s">
        <v>75</v>
      </c>
      <c r="X67" s="441" t="s">
        <v>246</v>
      </c>
      <c r="Y67" s="319">
        <v>8</v>
      </c>
      <c r="Z67" s="320"/>
      <c r="AA67" s="328">
        <f>Y67+T67+O67+J67+E67</f>
        <v>40</v>
      </c>
      <c r="AB67" s="298">
        <f>Z67+U67+P67+K67+F67</f>
        <v>0</v>
      </c>
      <c r="AC67" s="4"/>
      <c r="AD67" s="587"/>
      <c r="AE67" s="531"/>
      <c r="AF67" s="319"/>
      <c r="AG67" s="328">
        <f>AF67</f>
        <v>0</v>
      </c>
      <c r="AI67" s="368"/>
      <c r="AJ67" s="367"/>
      <c r="AK67" s="188" t="s">
        <v>30</v>
      </c>
      <c r="AL67" s="196">
        <f>AB69</f>
        <v>0</v>
      </c>
      <c r="AM67" s="511">
        <f>AM66*1.5</f>
        <v>75.765000000000001</v>
      </c>
      <c r="AN67" s="510">
        <f>AL67*AM67</f>
        <v>0</v>
      </c>
      <c r="AQ67" s="367"/>
      <c r="AR67" s="367"/>
      <c r="AS67" s="367"/>
      <c r="AT67" s="367"/>
      <c r="AU67" s="367"/>
      <c r="AV67" s="367"/>
      <c r="AW67" s="367"/>
    </row>
    <row r="68" spans="1:49" hidden="1">
      <c r="A68" s="367"/>
      <c r="B68" s="4" t="s">
        <v>59</v>
      </c>
      <c r="C68" s="441" t="s">
        <v>246</v>
      </c>
      <c r="D68" s="441" t="s">
        <v>249</v>
      </c>
      <c r="E68" s="319">
        <v>4</v>
      </c>
      <c r="F68" s="320"/>
      <c r="G68" s="4"/>
      <c r="H68" s="441" t="s">
        <v>246</v>
      </c>
      <c r="I68" s="441" t="s">
        <v>249</v>
      </c>
      <c r="J68" s="319">
        <v>4</v>
      </c>
      <c r="K68" s="320"/>
      <c r="L68" s="4"/>
      <c r="M68" s="441" t="s">
        <v>246</v>
      </c>
      <c r="N68" s="441" t="s">
        <v>249</v>
      </c>
      <c r="O68" s="319">
        <v>4</v>
      </c>
      <c r="P68" s="320"/>
      <c r="R68" s="441" t="s">
        <v>246</v>
      </c>
      <c r="S68" s="441" t="s">
        <v>249</v>
      </c>
      <c r="T68" s="319">
        <v>4</v>
      </c>
      <c r="U68" s="320"/>
      <c r="W68" s="441" t="s">
        <v>246</v>
      </c>
      <c r="X68" s="441" t="s">
        <v>249</v>
      </c>
      <c r="Y68" s="319">
        <v>4</v>
      </c>
      <c r="Z68" s="320"/>
      <c r="AA68" s="328">
        <f>Y68+T68+O68+J68+E68</f>
        <v>20</v>
      </c>
      <c r="AB68" s="298">
        <f>Z68+U68+P68+K68+F68</f>
        <v>0</v>
      </c>
      <c r="AC68" s="4"/>
      <c r="AF68" s="319"/>
      <c r="AG68" s="328">
        <f>AF68</f>
        <v>0</v>
      </c>
      <c r="AH68" s="175"/>
      <c r="AI68" s="402"/>
      <c r="AJ68" s="367"/>
      <c r="AK68" s="188" t="s">
        <v>32</v>
      </c>
      <c r="AL68" s="196">
        <f>AG69</f>
        <v>0</v>
      </c>
      <c r="AM68" s="511">
        <v>75.77</v>
      </c>
      <c r="AN68" s="510">
        <f>AL68*AM68</f>
        <v>0</v>
      </c>
      <c r="AQ68" s="367"/>
      <c r="AR68" s="367"/>
      <c r="AS68" s="367"/>
      <c r="AT68" s="367"/>
      <c r="AU68" s="367"/>
      <c r="AV68" s="367"/>
      <c r="AW68" s="367"/>
    </row>
    <row r="69" spans="1:49" hidden="1">
      <c r="A69" s="367"/>
      <c r="B69" s="64" t="s">
        <v>61</v>
      </c>
      <c r="C69" s="31"/>
      <c r="D69" s="31"/>
      <c r="E69" s="439">
        <f>SUM(E67:E68)</f>
        <v>12</v>
      </c>
      <c r="F69" s="320">
        <f>SUM(F67:F68)</f>
        <v>0</v>
      </c>
      <c r="G69" s="31"/>
      <c r="H69" s="31"/>
      <c r="I69" s="31"/>
      <c r="J69" s="439">
        <f>SUM(J67:J68)</f>
        <v>12</v>
      </c>
      <c r="K69" s="320">
        <f>SUM(K67:K68)</f>
        <v>0</v>
      </c>
      <c r="L69" s="31"/>
      <c r="M69" s="31"/>
      <c r="N69" s="31"/>
      <c r="O69" s="439">
        <f>SUM(O67:O68)</f>
        <v>12</v>
      </c>
      <c r="P69" s="320">
        <f>SUM(P67:P68)</f>
        <v>0</v>
      </c>
      <c r="Q69" s="31"/>
      <c r="R69" s="31"/>
      <c r="S69" s="31"/>
      <c r="T69" s="439">
        <f>SUM(T67:T68)</f>
        <v>12</v>
      </c>
      <c r="U69" s="320">
        <f>SUM(U67:U68)</f>
        <v>0</v>
      </c>
      <c r="V69" s="31"/>
      <c r="W69" s="31"/>
      <c r="X69" s="31"/>
      <c r="Y69" s="439">
        <f>SUM(Y67:Y68)</f>
        <v>12</v>
      </c>
      <c r="Z69" s="320">
        <f>SUM(Z67:Z68)</f>
        <v>0</v>
      </c>
      <c r="AA69" s="370">
        <f>SUM(AA67:AA68)</f>
        <v>60</v>
      </c>
      <c r="AB69" s="370">
        <f>SUM(AB67:AB68)</f>
        <v>0</v>
      </c>
      <c r="AC69" s="4"/>
      <c r="AD69" s="64"/>
      <c r="AE69" s="64"/>
      <c r="AF69" s="370">
        <f>SUM(AF67:AF68)</f>
        <v>0</v>
      </c>
      <c r="AG69" s="370">
        <f>SUM(AG67:AG68)</f>
        <v>0</v>
      </c>
      <c r="AJ69" s="367"/>
      <c r="AN69" s="510">
        <f>SUM(AN66:AN68)</f>
        <v>3030.6</v>
      </c>
      <c r="AQ69" s="367"/>
      <c r="AR69" s="367"/>
      <c r="AS69" s="367"/>
      <c r="AT69" s="367"/>
      <c r="AU69" s="367"/>
      <c r="AV69" s="367"/>
      <c r="AW69" s="367"/>
    </row>
    <row r="70" spans="1:49" s="180" customFormat="1" hidden="1">
      <c r="A70" s="313"/>
      <c r="E70" s="4"/>
      <c r="F70" s="4"/>
      <c r="G70" s="4"/>
      <c r="J70" s="4"/>
      <c r="K70" s="4"/>
      <c r="L70" s="4"/>
      <c r="O70" s="4"/>
      <c r="P70" s="4"/>
      <c r="Q70" s="4"/>
      <c r="T70" s="4"/>
      <c r="U70" s="4"/>
      <c r="V70" s="4"/>
      <c r="Y70" s="4"/>
      <c r="Z70" s="4"/>
      <c r="AA70" s="4"/>
      <c r="AB70" s="4"/>
      <c r="AC70" s="4"/>
      <c r="AH70" s="4"/>
      <c r="AI70" s="255"/>
      <c r="AK70" s="193"/>
      <c r="AL70" s="193"/>
      <c r="AM70" s="193"/>
      <c r="AN70" s="193"/>
      <c r="AO70" s="193"/>
      <c r="AP70" s="193"/>
    </row>
    <row r="71" spans="1:49" hidden="1">
      <c r="A71" s="180"/>
      <c r="B71" s="229"/>
      <c r="C71" s="230"/>
      <c r="D71" s="230"/>
      <c r="E71" s="232"/>
      <c r="F71" s="232"/>
      <c r="G71" s="230"/>
      <c r="H71" s="232"/>
      <c r="I71" s="232"/>
      <c r="J71" s="232"/>
      <c r="K71" s="232"/>
      <c r="L71" s="230"/>
      <c r="M71" s="230"/>
      <c r="N71" s="230"/>
      <c r="O71" s="230"/>
      <c r="P71" s="232"/>
      <c r="Q71" s="230"/>
      <c r="R71" s="230"/>
      <c r="S71" s="230"/>
      <c r="T71" s="230"/>
      <c r="U71" s="232"/>
      <c r="V71" s="230"/>
      <c r="W71" s="230"/>
      <c r="X71" s="230"/>
      <c r="Y71" s="233"/>
      <c r="Z71" s="232"/>
      <c r="AA71" s="234"/>
      <c r="AB71" s="232"/>
      <c r="AC71" s="373"/>
      <c r="AD71" s="236"/>
      <c r="AE71" s="255"/>
      <c r="AF71" s="255"/>
      <c r="AG71" s="255"/>
      <c r="AH71" s="255"/>
      <c r="AJ71" s="255"/>
      <c r="AK71" s="255"/>
      <c r="AL71" s="255"/>
      <c r="AM71" s="255"/>
      <c r="AN71" s="255"/>
      <c r="AO71" s="255"/>
      <c r="AP71" s="255"/>
      <c r="AQ71" s="255"/>
      <c r="AR71" s="255"/>
      <c r="AS71" s="255"/>
      <c r="AT71" s="255"/>
      <c r="AU71" s="255"/>
      <c r="AV71" s="255"/>
      <c r="AW71" s="255"/>
    </row>
    <row r="72" spans="1:49" hidden="1">
      <c r="B72" s="180"/>
      <c r="E72" s="4"/>
      <c r="F72" s="4"/>
      <c r="G72" s="4"/>
      <c r="J72" s="4"/>
      <c r="K72" s="4"/>
      <c r="L72" s="4"/>
      <c r="O72" s="4"/>
      <c r="P72" s="4"/>
      <c r="T72" s="4"/>
      <c r="U72" s="4"/>
      <c r="Y72" s="4"/>
      <c r="Z72" s="4"/>
      <c r="AA72" s="4"/>
      <c r="AB72" s="4"/>
      <c r="AC72" s="4"/>
      <c r="AK72" s="180"/>
      <c r="AL72" s="180"/>
      <c r="AM72" s="180"/>
      <c r="AN72" s="180"/>
      <c r="AO72" s="180"/>
      <c r="AP72" s="180"/>
    </row>
    <row r="73" spans="1:49" hidden="1">
      <c r="A73" s="228"/>
      <c r="B73" s="1518" t="s">
        <v>18</v>
      </c>
      <c r="C73" s="1519">
        <v>45593</v>
      </c>
      <c r="D73" s="1519"/>
      <c r="E73" s="1519"/>
      <c r="F73" s="1519"/>
      <c r="G73" s="365"/>
      <c r="H73" s="1519">
        <v>45594</v>
      </c>
      <c r="I73" s="1519"/>
      <c r="J73" s="1519"/>
      <c r="K73" s="1519"/>
      <c r="L73" s="365"/>
      <c r="M73" s="1519">
        <v>45595</v>
      </c>
      <c r="N73" s="1519"/>
      <c r="O73" s="1519"/>
      <c r="P73" s="1519"/>
      <c r="Q73" s="365"/>
      <c r="R73" s="1519">
        <v>45596</v>
      </c>
      <c r="S73" s="1519"/>
      <c r="T73" s="1519"/>
      <c r="U73" s="1519"/>
      <c r="V73" s="365"/>
      <c r="W73" s="1519">
        <v>45597</v>
      </c>
      <c r="X73" s="1519"/>
      <c r="Y73" s="1519"/>
      <c r="Z73" s="1519"/>
      <c r="AA73" s="1517" t="s">
        <v>19</v>
      </c>
      <c r="AB73" s="1517" t="s">
        <v>20</v>
      </c>
      <c r="AC73" s="4"/>
      <c r="AD73" s="1519">
        <v>45598</v>
      </c>
      <c r="AE73" s="1519"/>
      <c r="AF73" s="1519"/>
      <c r="AG73" s="1517" t="s">
        <v>21</v>
      </c>
      <c r="AI73" s="368"/>
      <c r="AK73" s="194" t="s">
        <v>84</v>
      </c>
      <c r="AL73" s="366"/>
      <c r="AM73" s="366"/>
      <c r="AN73" s="366"/>
      <c r="AO73" s="366"/>
      <c r="AP73" s="366"/>
    </row>
    <row r="74" spans="1:49" hidden="1">
      <c r="A74" s="180"/>
      <c r="B74" s="1518"/>
      <c r="C74" s="21" t="s">
        <v>23</v>
      </c>
      <c r="D74" s="21" t="s">
        <v>24</v>
      </c>
      <c r="E74" s="205" t="s">
        <v>25</v>
      </c>
      <c r="F74" s="18" t="s">
        <v>14</v>
      </c>
      <c r="G74" s="4"/>
      <c r="H74" s="21" t="s">
        <v>23</v>
      </c>
      <c r="I74" s="21" t="s">
        <v>24</v>
      </c>
      <c r="J74" s="18" t="s">
        <v>25</v>
      </c>
      <c r="K74" s="18" t="s">
        <v>14</v>
      </c>
      <c r="L74" s="4"/>
      <c r="M74" s="21" t="s">
        <v>23</v>
      </c>
      <c r="N74" s="21" t="s">
        <v>24</v>
      </c>
      <c r="O74" s="18" t="s">
        <v>25</v>
      </c>
      <c r="P74" s="18" t="s">
        <v>14</v>
      </c>
      <c r="R74" s="21" t="s">
        <v>23</v>
      </c>
      <c r="S74" s="21" t="s">
        <v>24</v>
      </c>
      <c r="T74" s="18" t="s">
        <v>25</v>
      </c>
      <c r="U74" s="18" t="s">
        <v>14</v>
      </c>
      <c r="W74" s="21" t="s">
        <v>23</v>
      </c>
      <c r="X74" s="21" t="s">
        <v>24</v>
      </c>
      <c r="Y74" s="18" t="s">
        <v>25</v>
      </c>
      <c r="Z74" s="18" t="s">
        <v>14</v>
      </c>
      <c r="AA74" s="1517"/>
      <c r="AB74" s="1517"/>
      <c r="AC74" s="4"/>
      <c r="AD74" s="21" t="s">
        <v>23</v>
      </c>
      <c r="AE74" s="21" t="s">
        <v>24</v>
      </c>
      <c r="AF74" s="18" t="s">
        <v>25</v>
      </c>
      <c r="AG74" s="1517"/>
      <c r="AI74" s="368"/>
      <c r="AJ74" s="367"/>
      <c r="AK74" s="188" t="s">
        <v>26</v>
      </c>
      <c r="AL74" s="196">
        <f>AA77</f>
        <v>52</v>
      </c>
      <c r="AM74" s="511">
        <v>50.51</v>
      </c>
      <c r="AN74" s="510">
        <f>AL74*AM74</f>
        <v>2626.52</v>
      </c>
      <c r="AQ74" s="367"/>
      <c r="AR74" s="367"/>
      <c r="AS74" s="367"/>
      <c r="AT74" s="367"/>
      <c r="AU74" s="367"/>
      <c r="AV74" s="367"/>
      <c r="AW74" s="367"/>
    </row>
    <row r="75" spans="1:49" hidden="1">
      <c r="A75" s="180"/>
      <c r="B75" s="4" t="s">
        <v>60</v>
      </c>
      <c r="C75" s="441" t="s">
        <v>75</v>
      </c>
      <c r="D75" s="441" t="s">
        <v>246</v>
      </c>
      <c r="E75" s="319">
        <v>8</v>
      </c>
      <c r="F75" s="320"/>
      <c r="G75" s="4"/>
      <c r="H75" s="441" t="s">
        <v>75</v>
      </c>
      <c r="I75" s="441" t="s">
        <v>246</v>
      </c>
      <c r="J75" s="319">
        <v>8</v>
      </c>
      <c r="K75" s="320"/>
      <c r="L75" s="4"/>
      <c r="M75" s="441" t="s">
        <v>75</v>
      </c>
      <c r="N75" s="441" t="s">
        <v>246</v>
      </c>
      <c r="O75" s="319">
        <v>8</v>
      </c>
      <c r="P75" s="320"/>
      <c r="R75" s="441" t="s">
        <v>75</v>
      </c>
      <c r="S75" s="441" t="s">
        <v>246</v>
      </c>
      <c r="T75" s="319">
        <v>8</v>
      </c>
      <c r="U75" s="320"/>
      <c r="W75" s="441" t="s">
        <v>75</v>
      </c>
      <c r="X75" s="441" t="s">
        <v>246</v>
      </c>
      <c r="Y75" s="319">
        <v>8</v>
      </c>
      <c r="Z75" s="320"/>
      <c r="AA75" s="328">
        <f>Y75+T75+O75+J75+E75</f>
        <v>40</v>
      </c>
      <c r="AB75" s="298">
        <f>Z75+U75+P75+K75+F75</f>
        <v>0</v>
      </c>
      <c r="AC75" s="4"/>
      <c r="AD75" s="587"/>
      <c r="AE75" s="531"/>
      <c r="AF75" s="319"/>
      <c r="AG75" s="328">
        <f>AF75</f>
        <v>0</v>
      </c>
      <c r="AI75" s="368"/>
      <c r="AJ75" s="367"/>
      <c r="AK75" s="188" t="s">
        <v>30</v>
      </c>
      <c r="AL75" s="196">
        <f>AB77</f>
        <v>0</v>
      </c>
      <c r="AM75" s="511">
        <f>AM74*1.5</f>
        <v>75.765000000000001</v>
      </c>
      <c r="AN75" s="510">
        <f>AL75*AM75</f>
        <v>0</v>
      </c>
      <c r="AQ75" s="367"/>
      <c r="AR75" s="367"/>
      <c r="AS75" s="367"/>
      <c r="AT75" s="367"/>
      <c r="AU75" s="367"/>
      <c r="AV75" s="367"/>
      <c r="AW75" s="367"/>
    </row>
    <row r="76" spans="1:49" hidden="1">
      <c r="A76" s="367"/>
      <c r="B76" s="4" t="s">
        <v>59</v>
      </c>
      <c r="C76" s="441" t="s">
        <v>246</v>
      </c>
      <c r="D76" s="441" t="s">
        <v>249</v>
      </c>
      <c r="E76" s="319">
        <v>4</v>
      </c>
      <c r="F76" s="320"/>
      <c r="G76" s="4"/>
      <c r="H76" s="441" t="s">
        <v>246</v>
      </c>
      <c r="I76" s="441" t="s">
        <v>249</v>
      </c>
      <c r="J76" s="319">
        <v>4</v>
      </c>
      <c r="K76" s="320"/>
      <c r="L76" s="4"/>
      <c r="M76" s="441" t="s">
        <v>246</v>
      </c>
      <c r="N76" s="441" t="s">
        <v>249</v>
      </c>
      <c r="O76" s="319">
        <v>4</v>
      </c>
      <c r="P76" s="320"/>
      <c r="R76" s="441" t="s">
        <v>154</v>
      </c>
      <c r="S76" s="441" t="s">
        <v>154</v>
      </c>
      <c r="T76" s="319">
        <v>0</v>
      </c>
      <c r="U76" s="320"/>
      <c r="W76" s="441" t="s">
        <v>154</v>
      </c>
      <c r="X76" s="441" t="s">
        <v>154</v>
      </c>
      <c r="Y76" s="319">
        <v>0</v>
      </c>
      <c r="Z76" s="320"/>
      <c r="AA76" s="328">
        <f>Y76+T76+O76+J76+E76</f>
        <v>12</v>
      </c>
      <c r="AB76" s="298">
        <v>0</v>
      </c>
      <c r="AC76" s="4"/>
      <c r="AF76" s="319"/>
      <c r="AG76" s="328">
        <f>AF76</f>
        <v>0</v>
      </c>
      <c r="AH76" s="175"/>
      <c r="AI76" s="402"/>
      <c r="AJ76" s="367"/>
      <c r="AK76" s="188" t="s">
        <v>32</v>
      </c>
      <c r="AL76" s="196">
        <f>AG77</f>
        <v>0</v>
      </c>
      <c r="AM76" s="511">
        <v>75.77</v>
      </c>
      <c r="AN76" s="510">
        <f>AL76*AM76</f>
        <v>0</v>
      </c>
      <c r="AQ76" s="367"/>
      <c r="AR76" s="367"/>
      <c r="AS76" s="367"/>
      <c r="AT76" s="367"/>
      <c r="AU76" s="367"/>
      <c r="AV76" s="367"/>
      <c r="AW76" s="367"/>
    </row>
    <row r="77" spans="1:49" hidden="1">
      <c r="A77" s="367"/>
      <c r="B77" s="64" t="s">
        <v>61</v>
      </c>
      <c r="C77" s="31"/>
      <c r="D77" s="31"/>
      <c r="E77" s="439">
        <f>SUM(E75:E76)</f>
        <v>12</v>
      </c>
      <c r="F77" s="320">
        <f>SUM(F75:F76)</f>
        <v>0</v>
      </c>
      <c r="G77" s="31"/>
      <c r="H77" s="31"/>
      <c r="I77" s="31"/>
      <c r="J77" s="439">
        <f>SUM(J75:J76)</f>
        <v>12</v>
      </c>
      <c r="K77" s="320">
        <f>SUM(K75:K76)</f>
        <v>0</v>
      </c>
      <c r="L77" s="31"/>
      <c r="M77" s="31"/>
      <c r="N77" s="31"/>
      <c r="O77" s="439">
        <f>SUM(O75:O76)</f>
        <v>12</v>
      </c>
      <c r="P77" s="320">
        <f>SUM(P75:P76)</f>
        <v>0</v>
      </c>
      <c r="Q77" s="31"/>
      <c r="R77" s="31"/>
      <c r="S77" s="31"/>
      <c r="T77" s="439">
        <f>SUM(T75:T76)</f>
        <v>8</v>
      </c>
      <c r="U77" s="320">
        <f>SUM(U75:U76)</f>
        <v>0</v>
      </c>
      <c r="V77" s="31"/>
      <c r="W77" s="31"/>
      <c r="X77" s="31"/>
      <c r="Y77" s="439">
        <f>SUM(Y75:Y76)</f>
        <v>8</v>
      </c>
      <c r="Z77" s="320">
        <f>SUM(Z75:Z76)</f>
        <v>0</v>
      </c>
      <c r="AA77" s="370">
        <f>SUM(AA75:AA76)</f>
        <v>52</v>
      </c>
      <c r="AB77" s="370">
        <f>SUM(AB75:AB76)</f>
        <v>0</v>
      </c>
      <c r="AC77" s="4"/>
      <c r="AD77" s="64"/>
      <c r="AE77" s="64"/>
      <c r="AF77" s="370">
        <f>SUM(AF75:AF76)</f>
        <v>0</v>
      </c>
      <c r="AG77" s="370">
        <f>SUM(AG75:AG76)</f>
        <v>0</v>
      </c>
      <c r="AJ77" s="367"/>
      <c r="AN77" s="510">
        <f>SUM(AN74:AN76)</f>
        <v>2626.52</v>
      </c>
      <c r="AQ77" s="367"/>
      <c r="AR77" s="367"/>
      <c r="AS77" s="367"/>
      <c r="AT77" s="367"/>
      <c r="AU77" s="367"/>
      <c r="AV77" s="367"/>
      <c r="AW77" s="367"/>
    </row>
    <row r="78" spans="1:49" s="180" customFormat="1" hidden="1">
      <c r="A78" s="313"/>
      <c r="E78" s="4"/>
      <c r="F78" s="4"/>
      <c r="G78" s="4"/>
      <c r="J78" s="4"/>
      <c r="K78" s="4"/>
      <c r="L78" s="4"/>
      <c r="O78" s="4"/>
      <c r="P78" s="4"/>
      <c r="Q78" s="4"/>
      <c r="T78" s="4"/>
      <c r="U78" s="4"/>
      <c r="V78" s="4"/>
      <c r="Y78" s="4"/>
      <c r="Z78" s="4"/>
      <c r="AA78" s="4"/>
      <c r="AB78" s="4"/>
      <c r="AC78" s="4"/>
      <c r="AH78" s="4"/>
      <c r="AI78" s="255"/>
      <c r="AK78" s="193"/>
      <c r="AL78" s="193"/>
      <c r="AM78" s="193"/>
      <c r="AN78" s="193"/>
      <c r="AO78" s="193"/>
      <c r="AP78" s="193"/>
    </row>
    <row r="79" spans="1:49" s="180" customFormat="1" hidden="1">
      <c r="A79" s="313"/>
      <c r="B79" s="229"/>
      <c r="C79" s="230"/>
      <c r="D79" s="230"/>
      <c r="E79" s="232"/>
      <c r="F79" s="232"/>
      <c r="G79" s="230"/>
      <c r="H79" s="232"/>
      <c r="I79" s="232"/>
      <c r="J79" s="232"/>
      <c r="K79" s="232"/>
      <c r="L79" s="230"/>
      <c r="M79" s="230"/>
      <c r="N79" s="230"/>
      <c r="O79" s="230"/>
      <c r="P79" s="232"/>
      <c r="Q79" s="230"/>
      <c r="R79" s="230"/>
      <c r="S79" s="230"/>
      <c r="T79" s="230"/>
      <c r="U79" s="232"/>
      <c r="V79" s="230"/>
      <c r="W79" s="230"/>
      <c r="X79" s="230"/>
      <c r="Y79" s="233"/>
      <c r="Z79" s="232"/>
      <c r="AA79" s="234"/>
      <c r="AB79" s="232"/>
      <c r="AC79" s="373"/>
      <c r="AD79" s="236"/>
      <c r="AE79" s="255"/>
      <c r="AF79" s="255"/>
      <c r="AG79" s="255"/>
      <c r="AH79" s="255"/>
      <c r="AI79" s="255"/>
      <c r="AJ79" s="255"/>
      <c r="AK79" s="255"/>
      <c r="AL79" s="255"/>
      <c r="AM79" s="255"/>
      <c r="AN79" s="255"/>
      <c r="AO79" s="255"/>
      <c r="AP79" s="255"/>
    </row>
    <row r="80" spans="1:49" s="180" customFormat="1" hidden="1">
      <c r="A80" s="313"/>
      <c r="E80" s="4"/>
      <c r="F80" s="4"/>
      <c r="G80" s="4"/>
      <c r="J80" s="4"/>
      <c r="K80" s="4"/>
      <c r="L80" s="4"/>
      <c r="O80" s="4"/>
      <c r="P80" s="4"/>
      <c r="Q80" s="4"/>
      <c r="T80" s="4"/>
      <c r="U80" s="4"/>
      <c r="V80" s="4"/>
      <c r="Y80" s="4"/>
      <c r="Z80" s="4"/>
      <c r="AA80" s="4"/>
      <c r="AB80" s="4"/>
      <c r="AC80" s="4"/>
      <c r="AH80" s="4"/>
      <c r="AI80" s="255"/>
    </row>
    <row r="81" spans="1:42" s="180" customFormat="1" ht="10.9" hidden="1" customHeight="1">
      <c r="A81" s="313"/>
      <c r="B81" s="1518" t="s">
        <v>18</v>
      </c>
      <c r="C81" s="1519">
        <v>45600</v>
      </c>
      <c r="D81" s="1519"/>
      <c r="E81" s="1519"/>
      <c r="F81" s="1519"/>
      <c r="G81" s="365"/>
      <c r="H81" s="1519">
        <v>45601</v>
      </c>
      <c r="I81" s="1519"/>
      <c r="J81" s="1519"/>
      <c r="K81" s="1519"/>
      <c r="L81" s="365"/>
      <c r="M81" s="1519">
        <v>45602</v>
      </c>
      <c r="N81" s="1519"/>
      <c r="O81" s="1519"/>
      <c r="P81" s="1519"/>
      <c r="Q81" s="365"/>
      <c r="R81" s="1519">
        <v>45603</v>
      </c>
      <c r="S81" s="1519"/>
      <c r="T81" s="1519"/>
      <c r="U81" s="1519"/>
      <c r="V81" s="365"/>
      <c r="W81" s="1519">
        <v>45604</v>
      </c>
      <c r="X81" s="1519"/>
      <c r="Y81" s="1519"/>
      <c r="Z81" s="1519"/>
      <c r="AA81" s="1517" t="s">
        <v>19</v>
      </c>
      <c r="AB81" s="1517" t="s">
        <v>20</v>
      </c>
      <c r="AC81" s="4"/>
      <c r="AD81" s="1519">
        <v>45605</v>
      </c>
      <c r="AE81" s="1519"/>
      <c r="AF81" s="1519"/>
      <c r="AG81" s="1517" t="s">
        <v>21</v>
      </c>
      <c r="AH81" s="4"/>
      <c r="AI81" s="368"/>
      <c r="AK81" s="194" t="s">
        <v>84</v>
      </c>
      <c r="AL81" s="366"/>
      <c r="AM81" s="366"/>
      <c r="AN81" s="366"/>
      <c r="AO81" s="366"/>
      <c r="AP81" s="366"/>
    </row>
    <row r="82" spans="1:42" s="180" customFormat="1" hidden="1">
      <c r="A82" s="313"/>
      <c r="B82" s="1518"/>
      <c r="C82" s="21" t="s">
        <v>23</v>
      </c>
      <c r="D82" s="21" t="s">
        <v>24</v>
      </c>
      <c r="E82" s="205" t="s">
        <v>25</v>
      </c>
      <c r="F82" s="18" t="s">
        <v>14</v>
      </c>
      <c r="G82" s="4"/>
      <c r="H82" s="21" t="s">
        <v>23</v>
      </c>
      <c r="I82" s="21" t="s">
        <v>24</v>
      </c>
      <c r="J82" s="18" t="s">
        <v>25</v>
      </c>
      <c r="K82" s="18" t="s">
        <v>14</v>
      </c>
      <c r="L82" s="4"/>
      <c r="M82" s="21" t="s">
        <v>23</v>
      </c>
      <c r="N82" s="21" t="s">
        <v>24</v>
      </c>
      <c r="O82" s="18" t="s">
        <v>25</v>
      </c>
      <c r="P82" s="18" t="s">
        <v>14</v>
      </c>
      <c r="Q82" s="4"/>
      <c r="R82" s="21" t="s">
        <v>23</v>
      </c>
      <c r="S82" s="21" t="s">
        <v>24</v>
      </c>
      <c r="T82" s="18" t="s">
        <v>25</v>
      </c>
      <c r="U82" s="18" t="s">
        <v>14</v>
      </c>
      <c r="V82" s="4"/>
      <c r="W82" s="21" t="s">
        <v>23</v>
      </c>
      <c r="X82" s="21" t="s">
        <v>24</v>
      </c>
      <c r="Y82" s="18" t="s">
        <v>25</v>
      </c>
      <c r="Z82" s="18" t="s">
        <v>14</v>
      </c>
      <c r="AA82" s="1517"/>
      <c r="AB82" s="1517"/>
      <c r="AC82" s="4"/>
      <c r="AD82" s="21" t="s">
        <v>23</v>
      </c>
      <c r="AE82" s="21" t="s">
        <v>24</v>
      </c>
      <c r="AF82" s="18" t="s">
        <v>25</v>
      </c>
      <c r="AG82" s="1517"/>
      <c r="AH82" s="4"/>
      <c r="AI82" s="368"/>
      <c r="AJ82" s="367"/>
      <c r="AK82" s="188" t="s">
        <v>26</v>
      </c>
      <c r="AL82" s="196">
        <f>AA85</f>
        <v>52</v>
      </c>
      <c r="AM82" s="511">
        <v>50.51</v>
      </c>
      <c r="AN82" s="510">
        <f>AL82*AM82</f>
        <v>2626.52</v>
      </c>
      <c r="AO82" s="193"/>
      <c r="AP82" s="193"/>
    </row>
    <row r="83" spans="1:42" s="180" customFormat="1" hidden="1">
      <c r="A83" s="313"/>
      <c r="B83" s="4" t="s">
        <v>60</v>
      </c>
      <c r="C83" s="441" t="s">
        <v>75</v>
      </c>
      <c r="D83" s="441" t="s">
        <v>246</v>
      </c>
      <c r="E83" s="319">
        <v>8</v>
      </c>
      <c r="F83" s="320"/>
      <c r="G83" s="4"/>
      <c r="H83" s="441" t="s">
        <v>75</v>
      </c>
      <c r="I83" s="441" t="s">
        <v>246</v>
      </c>
      <c r="J83" s="319">
        <v>8</v>
      </c>
      <c r="K83" s="320"/>
      <c r="L83" s="4"/>
      <c r="M83" s="441" t="s">
        <v>75</v>
      </c>
      <c r="N83" s="441" t="s">
        <v>246</v>
      </c>
      <c r="O83" s="319">
        <v>8</v>
      </c>
      <c r="P83" s="320"/>
      <c r="Q83" s="4"/>
      <c r="R83" s="441" t="s">
        <v>75</v>
      </c>
      <c r="S83" s="441" t="s">
        <v>246</v>
      </c>
      <c r="T83" s="319">
        <v>8</v>
      </c>
      <c r="U83" s="320"/>
      <c r="V83" s="4"/>
      <c r="W83" s="441" t="s">
        <v>75</v>
      </c>
      <c r="X83" s="441" t="s">
        <v>246</v>
      </c>
      <c r="Y83" s="319">
        <v>8</v>
      </c>
      <c r="Z83" s="320"/>
      <c r="AA83" s="328">
        <f>Y83+T83+O83+J83+E83</f>
        <v>40</v>
      </c>
      <c r="AB83" s="298">
        <f>Z83+U83+P83+K83+F83</f>
        <v>0</v>
      </c>
      <c r="AC83" s="4"/>
      <c r="AD83" s="587"/>
      <c r="AE83" s="531"/>
      <c r="AF83" s="319"/>
      <c r="AG83" s="328">
        <f>AF83</f>
        <v>0</v>
      </c>
      <c r="AH83" s="4"/>
      <c r="AI83" s="368"/>
      <c r="AJ83" s="367"/>
      <c r="AK83" s="188" t="s">
        <v>30</v>
      </c>
      <c r="AL83" s="196">
        <f>AB85</f>
        <v>0</v>
      </c>
      <c r="AM83" s="511">
        <f>AM82*1.5</f>
        <v>75.765000000000001</v>
      </c>
      <c r="AN83" s="510">
        <f>AL83*AM83</f>
        <v>0</v>
      </c>
      <c r="AO83" s="193"/>
      <c r="AP83" s="193"/>
    </row>
    <row r="84" spans="1:42" s="180" customFormat="1" hidden="1">
      <c r="A84" s="313"/>
      <c r="B84" s="4" t="s">
        <v>59</v>
      </c>
      <c r="C84" s="441" t="s">
        <v>246</v>
      </c>
      <c r="D84" s="441" t="s">
        <v>249</v>
      </c>
      <c r="E84" s="319">
        <v>4</v>
      </c>
      <c r="F84" s="320"/>
      <c r="G84" s="4"/>
      <c r="H84" s="441" t="s">
        <v>75</v>
      </c>
      <c r="I84" s="441" t="s">
        <v>127</v>
      </c>
      <c r="J84" s="319">
        <v>4</v>
      </c>
      <c r="K84" s="320"/>
      <c r="L84" s="4"/>
      <c r="M84" s="441" t="s">
        <v>246</v>
      </c>
      <c r="N84" s="441" t="s">
        <v>249</v>
      </c>
      <c r="O84" s="319">
        <v>4</v>
      </c>
      <c r="P84" s="320"/>
      <c r="Q84" s="4"/>
      <c r="R84" s="441" t="s">
        <v>154</v>
      </c>
      <c r="S84" s="441" t="s">
        <v>154</v>
      </c>
      <c r="T84" s="319">
        <v>0</v>
      </c>
      <c r="U84" s="320"/>
      <c r="V84" s="4"/>
      <c r="W84" s="441" t="s">
        <v>154</v>
      </c>
      <c r="X84" s="441" t="s">
        <v>154</v>
      </c>
      <c r="Y84" s="319">
        <v>0</v>
      </c>
      <c r="Z84" s="320"/>
      <c r="AA84" s="328">
        <f>Y84+T84+O84+J84+E84</f>
        <v>12</v>
      </c>
      <c r="AB84" s="298">
        <f>Z84+U84+P84+K84+F84</f>
        <v>0</v>
      </c>
      <c r="AC84" s="4"/>
      <c r="AF84" s="319"/>
      <c r="AG84" s="328">
        <f>AF84</f>
        <v>0</v>
      </c>
      <c r="AH84" s="175"/>
      <c r="AI84" s="402"/>
      <c r="AJ84" s="367"/>
      <c r="AK84" s="188" t="s">
        <v>32</v>
      </c>
      <c r="AL84" s="196">
        <f>AG85</f>
        <v>0</v>
      </c>
      <c r="AM84" s="511">
        <v>75.77</v>
      </c>
      <c r="AN84" s="510">
        <f>AL84*AM84</f>
        <v>0</v>
      </c>
      <c r="AO84" s="193"/>
      <c r="AP84" s="193"/>
    </row>
    <row r="85" spans="1:42" s="180" customFormat="1" hidden="1">
      <c r="A85" s="313"/>
      <c r="B85" s="64" t="s">
        <v>61</v>
      </c>
      <c r="C85" s="31"/>
      <c r="D85" s="31"/>
      <c r="E85" s="439">
        <f>SUM(E83:E84)</f>
        <v>12</v>
      </c>
      <c r="F85" s="320">
        <f>SUM(F83:F84)</f>
        <v>0</v>
      </c>
      <c r="G85" s="31"/>
      <c r="H85" s="31"/>
      <c r="I85" s="31"/>
      <c r="J85" s="439">
        <f>SUM(J83:J84)</f>
        <v>12</v>
      </c>
      <c r="K85" s="320">
        <f>SUM(K83:K84)</f>
        <v>0</v>
      </c>
      <c r="L85" s="31"/>
      <c r="M85" s="31"/>
      <c r="N85" s="31"/>
      <c r="O85" s="439">
        <f>SUM(O83:O84)</f>
        <v>12</v>
      </c>
      <c r="P85" s="320">
        <f>SUM(P83:P84)</f>
        <v>0</v>
      </c>
      <c r="Q85" s="31"/>
      <c r="R85" s="31"/>
      <c r="S85" s="31"/>
      <c r="T85" s="439">
        <f>SUM(T83:T84)</f>
        <v>8</v>
      </c>
      <c r="U85" s="320">
        <f>SUM(U83:U84)</f>
        <v>0</v>
      </c>
      <c r="V85" s="31"/>
      <c r="W85" s="31"/>
      <c r="X85" s="31"/>
      <c r="Y85" s="439">
        <f>SUM(Y83:Y84)</f>
        <v>8</v>
      </c>
      <c r="Z85" s="320">
        <f>SUM(Z83:Z84)</f>
        <v>0</v>
      </c>
      <c r="AA85" s="370">
        <f>SUM(AA83:AA84)</f>
        <v>52</v>
      </c>
      <c r="AB85" s="370">
        <f>SUM(AB83:AB84)</f>
        <v>0</v>
      </c>
      <c r="AC85" s="4"/>
      <c r="AD85" s="64"/>
      <c r="AE85" s="64"/>
      <c r="AF85" s="370">
        <f>SUM(AF83:AF84)</f>
        <v>0</v>
      </c>
      <c r="AG85" s="370">
        <f>SUM(AG83:AG84)</f>
        <v>0</v>
      </c>
      <c r="AH85" s="4"/>
      <c r="AI85" s="255"/>
      <c r="AJ85" s="367"/>
      <c r="AK85" s="193"/>
      <c r="AL85" s="193"/>
      <c r="AM85" s="193"/>
      <c r="AN85" s="510">
        <f>SUM(AN82:AN84)</f>
        <v>2626.52</v>
      </c>
      <c r="AO85" s="193"/>
      <c r="AP85" s="193"/>
    </row>
    <row r="86" spans="1:42" s="180" customFormat="1" hidden="1">
      <c r="A86" s="313"/>
      <c r="E86" s="4"/>
      <c r="F86" s="4"/>
      <c r="G86" s="4"/>
      <c r="J86" s="4"/>
      <c r="K86" s="4"/>
      <c r="L86" s="4"/>
      <c r="O86" s="4"/>
      <c r="P86" s="4"/>
      <c r="Q86" s="4"/>
      <c r="T86" s="4"/>
      <c r="U86" s="4"/>
      <c r="V86" s="4"/>
      <c r="Y86" s="4"/>
      <c r="Z86" s="4"/>
      <c r="AA86" s="4"/>
      <c r="AB86" s="4"/>
      <c r="AC86" s="4"/>
      <c r="AH86" s="4"/>
      <c r="AI86" s="255"/>
      <c r="AK86" s="193"/>
      <c r="AL86" s="193"/>
      <c r="AM86" s="193"/>
      <c r="AN86" s="193"/>
      <c r="AO86" s="193"/>
      <c r="AP86" s="193"/>
    </row>
    <row r="87" spans="1:42" s="180" customFormat="1" hidden="1">
      <c r="A87" s="313"/>
      <c r="B87" s="229"/>
      <c r="C87" s="230"/>
      <c r="D87" s="230"/>
      <c r="E87" s="232"/>
      <c r="F87" s="232"/>
      <c r="G87" s="230"/>
      <c r="H87" s="232"/>
      <c r="I87" s="232"/>
      <c r="J87" s="232"/>
      <c r="K87" s="232"/>
      <c r="L87" s="230"/>
      <c r="M87" s="230"/>
      <c r="N87" s="230"/>
      <c r="O87" s="230"/>
      <c r="P87" s="232"/>
      <c r="Q87" s="230"/>
      <c r="R87" s="230"/>
      <c r="S87" s="230"/>
      <c r="T87" s="230"/>
      <c r="U87" s="232"/>
      <c r="V87" s="230"/>
      <c r="W87" s="230"/>
      <c r="X87" s="230"/>
      <c r="Y87" s="233"/>
      <c r="Z87" s="232"/>
      <c r="AA87" s="234"/>
      <c r="AB87" s="232"/>
      <c r="AC87" s="373"/>
      <c r="AD87" s="236"/>
      <c r="AE87" s="255"/>
      <c r="AF87" s="255"/>
      <c r="AG87" s="255"/>
      <c r="AH87" s="255"/>
      <c r="AI87" s="255"/>
      <c r="AJ87" s="255"/>
      <c r="AK87" s="255"/>
      <c r="AL87" s="255"/>
      <c r="AM87" s="255"/>
      <c r="AN87" s="255"/>
      <c r="AO87" s="255"/>
      <c r="AP87" s="255"/>
    </row>
    <row r="88" spans="1:42" s="180" customFormat="1" hidden="1">
      <c r="A88" s="313"/>
      <c r="E88" s="4"/>
      <c r="F88" s="4"/>
      <c r="G88" s="4"/>
      <c r="J88" s="4"/>
      <c r="K88" s="4"/>
      <c r="L88" s="4"/>
      <c r="O88" s="4"/>
      <c r="P88" s="4"/>
      <c r="Q88" s="4"/>
      <c r="T88" s="4"/>
      <c r="U88" s="4"/>
      <c r="V88" s="4"/>
      <c r="Y88" s="4"/>
      <c r="Z88" s="4"/>
      <c r="AA88" s="4"/>
      <c r="AB88" s="4"/>
      <c r="AC88" s="4"/>
      <c r="AH88" s="4"/>
      <c r="AI88" s="255"/>
    </row>
    <row r="89" spans="1:42" s="180" customFormat="1" ht="10.9" hidden="1" customHeight="1">
      <c r="A89" s="313"/>
      <c r="B89" s="1518" t="s">
        <v>18</v>
      </c>
      <c r="C89" s="1519">
        <v>45607</v>
      </c>
      <c r="D89" s="1519"/>
      <c r="E89" s="1519"/>
      <c r="F89" s="1519"/>
      <c r="G89" s="365"/>
      <c r="H89" s="1519">
        <v>45608</v>
      </c>
      <c r="I89" s="1519"/>
      <c r="J89" s="1519"/>
      <c r="K89" s="1519"/>
      <c r="L89" s="365"/>
      <c r="M89" s="1519">
        <v>45609</v>
      </c>
      <c r="N89" s="1519"/>
      <c r="O89" s="1519"/>
      <c r="P89" s="1519"/>
      <c r="Q89" s="365"/>
      <c r="R89" s="1519">
        <v>45610</v>
      </c>
      <c r="S89" s="1519"/>
      <c r="T89" s="1519"/>
      <c r="U89" s="1519"/>
      <c r="V89" s="365"/>
      <c r="W89" s="1519">
        <v>45611</v>
      </c>
      <c r="X89" s="1519"/>
      <c r="Y89" s="1519"/>
      <c r="Z89" s="1519"/>
      <c r="AA89" s="1517" t="s">
        <v>19</v>
      </c>
      <c r="AB89" s="1517" t="s">
        <v>20</v>
      </c>
      <c r="AC89" s="4"/>
      <c r="AD89" s="1519">
        <v>45612</v>
      </c>
      <c r="AE89" s="1519"/>
      <c r="AF89" s="1519"/>
      <c r="AG89" s="1517" t="s">
        <v>21</v>
      </c>
      <c r="AH89" s="4"/>
      <c r="AI89" s="368"/>
      <c r="AK89" s="194" t="s">
        <v>84</v>
      </c>
      <c r="AL89" s="366"/>
      <c r="AM89" s="366"/>
      <c r="AN89" s="366"/>
      <c r="AO89" s="366"/>
      <c r="AP89" s="366"/>
    </row>
    <row r="90" spans="1:42" s="180" customFormat="1" hidden="1">
      <c r="A90" s="313"/>
      <c r="B90" s="1518"/>
      <c r="C90" s="21" t="s">
        <v>23</v>
      </c>
      <c r="D90" s="21" t="s">
        <v>24</v>
      </c>
      <c r="E90" s="205" t="s">
        <v>25</v>
      </c>
      <c r="F90" s="18" t="s">
        <v>14</v>
      </c>
      <c r="G90" s="4"/>
      <c r="H90" s="21" t="s">
        <v>23</v>
      </c>
      <c r="I90" s="21" t="s">
        <v>24</v>
      </c>
      <c r="J90" s="18" t="s">
        <v>25</v>
      </c>
      <c r="K90" s="18" t="s">
        <v>14</v>
      </c>
      <c r="L90" s="4"/>
      <c r="M90" s="21" t="s">
        <v>23</v>
      </c>
      <c r="N90" s="21" t="s">
        <v>24</v>
      </c>
      <c r="O90" s="18" t="s">
        <v>25</v>
      </c>
      <c r="P90" s="18" t="s">
        <v>14</v>
      </c>
      <c r="Q90" s="4"/>
      <c r="R90" s="21" t="s">
        <v>23</v>
      </c>
      <c r="S90" s="21" t="s">
        <v>24</v>
      </c>
      <c r="T90" s="18" t="s">
        <v>25</v>
      </c>
      <c r="U90" s="18" t="s">
        <v>14</v>
      </c>
      <c r="V90" s="4"/>
      <c r="W90" s="21" t="s">
        <v>23</v>
      </c>
      <c r="X90" s="21" t="s">
        <v>24</v>
      </c>
      <c r="Y90" s="18" t="s">
        <v>25</v>
      </c>
      <c r="Z90" s="18" t="s">
        <v>14</v>
      </c>
      <c r="AA90" s="1517"/>
      <c r="AB90" s="1517"/>
      <c r="AC90" s="4"/>
      <c r="AD90" s="21" t="s">
        <v>23</v>
      </c>
      <c r="AE90" s="21" t="s">
        <v>24</v>
      </c>
      <c r="AF90" s="18" t="s">
        <v>25</v>
      </c>
      <c r="AG90" s="1517"/>
      <c r="AH90" s="4"/>
      <c r="AI90" s="368"/>
      <c r="AJ90" s="367"/>
      <c r="AK90" s="188" t="s">
        <v>26</v>
      </c>
      <c r="AL90" s="196">
        <f>AA93</f>
        <v>60</v>
      </c>
      <c r="AM90" s="511">
        <v>51.5</v>
      </c>
      <c r="AN90" s="510">
        <f>AL90*AM90</f>
        <v>3090</v>
      </c>
      <c r="AO90" s="193"/>
      <c r="AP90" s="193"/>
    </row>
    <row r="91" spans="1:42" s="180" customFormat="1" hidden="1">
      <c r="A91" s="313"/>
      <c r="B91" s="4" t="s">
        <v>60</v>
      </c>
      <c r="C91" s="441" t="s">
        <v>75</v>
      </c>
      <c r="D91" s="441" t="s">
        <v>246</v>
      </c>
      <c r="E91" s="319">
        <v>8</v>
      </c>
      <c r="F91" s="320"/>
      <c r="G91" s="4"/>
      <c r="H91" s="441" t="s">
        <v>75</v>
      </c>
      <c r="I91" s="441" t="s">
        <v>246</v>
      </c>
      <c r="J91" s="319">
        <v>8</v>
      </c>
      <c r="K91" s="320"/>
      <c r="L91" s="4"/>
      <c r="M91" s="441" t="s">
        <v>75</v>
      </c>
      <c r="N91" s="441" t="s">
        <v>246</v>
      </c>
      <c r="O91" s="319">
        <v>8</v>
      </c>
      <c r="P91" s="320"/>
      <c r="Q91" s="4"/>
      <c r="R91" s="441" t="s">
        <v>75</v>
      </c>
      <c r="S91" s="441" t="s">
        <v>246</v>
      </c>
      <c r="T91" s="319">
        <v>8</v>
      </c>
      <c r="U91" s="320"/>
      <c r="V91" s="4"/>
      <c r="W91" s="441" t="s">
        <v>75</v>
      </c>
      <c r="X91" s="441" t="s">
        <v>246</v>
      </c>
      <c r="Y91" s="319">
        <v>8</v>
      </c>
      <c r="Z91" s="320"/>
      <c r="AA91" s="328">
        <f>Y91+T91+O91+J91+E91</f>
        <v>40</v>
      </c>
      <c r="AB91" s="298">
        <f>Z91+U91+P91+K91+F91</f>
        <v>0</v>
      </c>
      <c r="AC91" s="4"/>
      <c r="AD91" s="587"/>
      <c r="AE91" s="531"/>
      <c r="AF91" s="319"/>
      <c r="AG91" s="328">
        <f>AF91</f>
        <v>0</v>
      </c>
      <c r="AH91" s="4"/>
      <c r="AI91" s="368"/>
      <c r="AJ91" s="367"/>
      <c r="AK91" s="188" t="s">
        <v>30</v>
      </c>
      <c r="AL91" s="196">
        <f>AB93</f>
        <v>0</v>
      </c>
      <c r="AM91" s="511">
        <f>AM90*1.5</f>
        <v>77.25</v>
      </c>
      <c r="AN91" s="510">
        <f>AL91*AM91</f>
        <v>0</v>
      </c>
      <c r="AO91" s="193"/>
      <c r="AP91" s="193"/>
    </row>
    <row r="92" spans="1:42" s="180" customFormat="1" hidden="1">
      <c r="A92" s="313"/>
      <c r="B92" s="4" t="s">
        <v>59</v>
      </c>
      <c r="C92" s="441" t="s">
        <v>246</v>
      </c>
      <c r="D92" s="441" t="s">
        <v>249</v>
      </c>
      <c r="E92" s="319">
        <v>4</v>
      </c>
      <c r="F92" s="320"/>
      <c r="G92" s="4"/>
      <c r="H92" s="441" t="s">
        <v>246</v>
      </c>
      <c r="I92" s="441" t="s">
        <v>249</v>
      </c>
      <c r="J92" s="319">
        <v>4</v>
      </c>
      <c r="K92" s="320"/>
      <c r="L92" s="4"/>
      <c r="M92" s="441" t="s">
        <v>246</v>
      </c>
      <c r="N92" s="441" t="s">
        <v>249</v>
      </c>
      <c r="O92" s="319">
        <v>4</v>
      </c>
      <c r="P92" s="320"/>
      <c r="Q92" s="4"/>
      <c r="R92" s="441" t="s">
        <v>246</v>
      </c>
      <c r="S92" s="441" t="s">
        <v>249</v>
      </c>
      <c r="T92" s="319">
        <v>4</v>
      </c>
      <c r="U92" s="320"/>
      <c r="V92" s="4"/>
      <c r="W92" s="441" t="s">
        <v>246</v>
      </c>
      <c r="X92" s="441" t="s">
        <v>249</v>
      </c>
      <c r="Y92" s="319">
        <v>4</v>
      </c>
      <c r="Z92" s="320"/>
      <c r="AA92" s="328">
        <f>Y92+T92+O92+J92+E92</f>
        <v>20</v>
      </c>
      <c r="AB92" s="298">
        <f>Z92+U92+P92+K92+F92</f>
        <v>0</v>
      </c>
      <c r="AC92" s="4"/>
      <c r="AF92" s="319"/>
      <c r="AG92" s="328">
        <f>AF92</f>
        <v>0</v>
      </c>
      <c r="AH92" s="175"/>
      <c r="AI92" s="402"/>
      <c r="AJ92" s="367"/>
      <c r="AK92" s="188" t="s">
        <v>32</v>
      </c>
      <c r="AL92" s="196">
        <f>AG93</f>
        <v>0</v>
      </c>
      <c r="AM92" s="511">
        <v>75.77</v>
      </c>
      <c r="AN92" s="510">
        <f>AL92*AM92</f>
        <v>0</v>
      </c>
      <c r="AO92" s="193"/>
      <c r="AP92" s="193"/>
    </row>
    <row r="93" spans="1:42" s="180" customFormat="1" hidden="1">
      <c r="A93" s="313"/>
      <c r="B93" s="64" t="s">
        <v>61</v>
      </c>
      <c r="C93" s="31"/>
      <c r="D93" s="31"/>
      <c r="E93" s="439">
        <f>SUM(E91:E92)</f>
        <v>12</v>
      </c>
      <c r="F93" s="320">
        <f>SUM(F91:F92)</f>
        <v>0</v>
      </c>
      <c r="G93" s="31"/>
      <c r="H93" s="31"/>
      <c r="I93" s="31"/>
      <c r="J93" s="439">
        <f>SUM(J91:J92)</f>
        <v>12</v>
      </c>
      <c r="K93" s="320">
        <f>SUM(K91:K92)</f>
        <v>0</v>
      </c>
      <c r="L93" s="31"/>
      <c r="M93" s="31"/>
      <c r="N93" s="31"/>
      <c r="O93" s="439">
        <f>SUM(O91:O92)</f>
        <v>12</v>
      </c>
      <c r="P93" s="320">
        <f>SUM(P91:P92)</f>
        <v>0</v>
      </c>
      <c r="Q93" s="31"/>
      <c r="R93" s="31"/>
      <c r="S93" s="31"/>
      <c r="T93" s="439">
        <f>SUM(T91:T92)</f>
        <v>12</v>
      </c>
      <c r="U93" s="320">
        <f>SUM(U91:U92)</f>
        <v>0</v>
      </c>
      <c r="V93" s="31"/>
      <c r="W93" s="31"/>
      <c r="X93" s="31"/>
      <c r="Y93" s="439">
        <f>SUM(Y91:Y92)</f>
        <v>12</v>
      </c>
      <c r="Z93" s="320">
        <f>SUM(Z91:Z92)</f>
        <v>0</v>
      </c>
      <c r="AA93" s="370">
        <f>SUM(AA91:AA92)</f>
        <v>60</v>
      </c>
      <c r="AB93" s="370">
        <f>SUM(AB91:AB92)</f>
        <v>0</v>
      </c>
      <c r="AC93" s="4"/>
      <c r="AD93" s="64"/>
      <c r="AE93" s="64"/>
      <c r="AF93" s="370">
        <f>SUM(AF91:AF92)</f>
        <v>0</v>
      </c>
      <c r="AG93" s="370">
        <f>SUM(AG91:AG92)</f>
        <v>0</v>
      </c>
      <c r="AH93" s="4"/>
      <c r="AI93" s="255"/>
      <c r="AJ93" s="367"/>
      <c r="AK93" s="193"/>
      <c r="AL93" s="193"/>
      <c r="AM93" s="193"/>
      <c r="AN93" s="510">
        <f>SUM(AN90:AN92)</f>
        <v>3090</v>
      </c>
      <c r="AO93" s="193"/>
      <c r="AP93" s="193"/>
    </row>
    <row r="94" spans="1:42" s="180" customFormat="1" hidden="1">
      <c r="A94" s="313"/>
      <c r="E94" s="4"/>
      <c r="F94" s="4"/>
      <c r="G94" s="4"/>
      <c r="J94" s="4"/>
      <c r="K94" s="4"/>
      <c r="L94" s="4"/>
      <c r="O94" s="4"/>
      <c r="P94" s="4"/>
      <c r="Q94" s="4"/>
      <c r="T94" s="4"/>
      <c r="U94" s="4"/>
      <c r="V94" s="4"/>
      <c r="Y94" s="4"/>
      <c r="Z94" s="4"/>
      <c r="AA94" s="4"/>
      <c r="AB94" s="4"/>
      <c r="AC94" s="4"/>
      <c r="AH94" s="4"/>
      <c r="AI94" s="255"/>
      <c r="AK94" s="193"/>
      <c r="AL94" s="193"/>
      <c r="AM94" s="193"/>
      <c r="AN94" s="193"/>
      <c r="AO94" s="193"/>
      <c r="AP94" s="193"/>
    </row>
    <row r="95" spans="1:42" s="180" customFormat="1" hidden="1">
      <c r="A95" s="313"/>
      <c r="B95" s="229"/>
      <c r="C95" s="230"/>
      <c r="D95" s="230"/>
      <c r="E95" s="232"/>
      <c r="F95" s="232"/>
      <c r="G95" s="230"/>
      <c r="H95" s="232"/>
      <c r="I95" s="232"/>
      <c r="J95" s="232"/>
      <c r="K95" s="232"/>
      <c r="L95" s="230"/>
      <c r="M95" s="230"/>
      <c r="N95" s="230"/>
      <c r="O95" s="230"/>
      <c r="P95" s="232"/>
      <c r="Q95" s="230"/>
      <c r="R95" s="230"/>
      <c r="S95" s="230"/>
      <c r="T95" s="230"/>
      <c r="U95" s="232"/>
      <c r="V95" s="230"/>
      <c r="W95" s="230"/>
      <c r="X95" s="230"/>
      <c r="Y95" s="233"/>
      <c r="Z95" s="232"/>
      <c r="AA95" s="234"/>
      <c r="AB95" s="232"/>
      <c r="AC95" s="373"/>
      <c r="AD95" s="236"/>
      <c r="AE95" s="255"/>
      <c r="AF95" s="255"/>
      <c r="AG95" s="255"/>
      <c r="AH95" s="255"/>
      <c r="AI95" s="255"/>
      <c r="AJ95" s="255"/>
      <c r="AK95" s="255"/>
      <c r="AL95" s="255"/>
      <c r="AM95" s="255"/>
      <c r="AN95" s="255"/>
      <c r="AO95" s="255"/>
      <c r="AP95" s="255"/>
    </row>
    <row r="96" spans="1:42" s="180" customFormat="1" hidden="1">
      <c r="A96" s="313"/>
      <c r="E96" s="4"/>
      <c r="F96" s="4"/>
      <c r="G96" s="4"/>
      <c r="J96" s="4"/>
      <c r="K96" s="4"/>
      <c r="L96" s="4"/>
      <c r="O96" s="4"/>
      <c r="P96" s="4"/>
      <c r="Q96" s="4"/>
      <c r="T96" s="4"/>
      <c r="U96" s="4"/>
      <c r="V96" s="4"/>
      <c r="Y96" s="4"/>
      <c r="Z96" s="4"/>
      <c r="AA96" s="4"/>
      <c r="AB96" s="4"/>
      <c r="AC96" s="4"/>
      <c r="AH96" s="4"/>
      <c r="AI96" s="255"/>
    </row>
    <row r="97" spans="1:42" s="180" customFormat="1" hidden="1">
      <c r="A97" s="313"/>
      <c r="B97" s="1518" t="s">
        <v>18</v>
      </c>
      <c r="C97" s="1519">
        <v>45614</v>
      </c>
      <c r="D97" s="1519"/>
      <c r="E97" s="1519"/>
      <c r="F97" s="1519"/>
      <c r="G97" s="365">
        <v>0</v>
      </c>
      <c r="H97" s="1519">
        <v>45615</v>
      </c>
      <c r="I97" s="1519"/>
      <c r="J97" s="1519"/>
      <c r="K97" s="1519"/>
      <c r="L97" s="365"/>
      <c r="M97" s="1519">
        <v>45616</v>
      </c>
      <c r="N97" s="1519"/>
      <c r="O97" s="1519"/>
      <c r="P97" s="1519"/>
      <c r="Q97" s="365"/>
      <c r="R97" s="1519">
        <v>45617</v>
      </c>
      <c r="S97" s="1519"/>
      <c r="T97" s="1519"/>
      <c r="U97" s="1519"/>
      <c r="V97" s="365"/>
      <c r="W97" s="1519">
        <v>45618</v>
      </c>
      <c r="X97" s="1519"/>
      <c r="Y97" s="1519"/>
      <c r="Z97" s="1519"/>
      <c r="AA97" s="1517" t="s">
        <v>19</v>
      </c>
      <c r="AB97" s="1517" t="s">
        <v>20</v>
      </c>
      <c r="AC97" s="4"/>
      <c r="AD97" s="1519">
        <v>45619</v>
      </c>
      <c r="AE97" s="1519"/>
      <c r="AF97" s="1519"/>
      <c r="AG97" s="1517" t="s">
        <v>21</v>
      </c>
      <c r="AH97" s="4"/>
      <c r="AI97" s="368"/>
      <c r="AK97" s="194" t="s">
        <v>84</v>
      </c>
      <c r="AL97" s="366"/>
      <c r="AM97" s="366"/>
      <c r="AN97" s="366"/>
      <c r="AO97" s="366"/>
      <c r="AP97" s="366"/>
    </row>
    <row r="98" spans="1:42" s="180" customFormat="1" hidden="1">
      <c r="A98" s="313"/>
      <c r="B98" s="1518"/>
      <c r="C98" s="21" t="s">
        <v>23</v>
      </c>
      <c r="D98" s="21" t="s">
        <v>24</v>
      </c>
      <c r="E98" s="205" t="s">
        <v>25</v>
      </c>
      <c r="F98" s="18" t="s">
        <v>14</v>
      </c>
      <c r="G98" s="4"/>
      <c r="H98" s="21" t="s">
        <v>23</v>
      </c>
      <c r="I98" s="21" t="s">
        <v>24</v>
      </c>
      <c r="J98" s="18" t="s">
        <v>25</v>
      </c>
      <c r="K98" s="18" t="s">
        <v>14</v>
      </c>
      <c r="L98" s="4"/>
      <c r="M98" s="21" t="s">
        <v>23</v>
      </c>
      <c r="N98" s="21" t="s">
        <v>24</v>
      </c>
      <c r="O98" s="18" t="s">
        <v>25</v>
      </c>
      <c r="P98" s="18" t="s">
        <v>14</v>
      </c>
      <c r="Q98" s="4"/>
      <c r="R98" s="21" t="s">
        <v>23</v>
      </c>
      <c r="S98" s="21" t="s">
        <v>24</v>
      </c>
      <c r="T98" s="18" t="s">
        <v>25</v>
      </c>
      <c r="U98" s="18" t="s">
        <v>14</v>
      </c>
      <c r="V98" s="4"/>
      <c r="W98" s="21" t="s">
        <v>23</v>
      </c>
      <c r="X98" s="21" t="s">
        <v>24</v>
      </c>
      <c r="Y98" s="18" t="s">
        <v>25</v>
      </c>
      <c r="Z98" s="18" t="s">
        <v>14</v>
      </c>
      <c r="AA98" s="1517"/>
      <c r="AB98" s="1517"/>
      <c r="AC98" s="4"/>
      <c r="AD98" s="21" t="s">
        <v>23</v>
      </c>
      <c r="AE98" s="21" t="s">
        <v>24</v>
      </c>
      <c r="AF98" s="18" t="s">
        <v>25</v>
      </c>
      <c r="AG98" s="1517"/>
      <c r="AH98" s="4"/>
      <c r="AI98" s="368"/>
      <c r="AJ98" s="367"/>
      <c r="AK98" s="188" t="s">
        <v>26</v>
      </c>
      <c r="AL98" s="196">
        <f>AA101</f>
        <v>58</v>
      </c>
      <c r="AM98" s="511">
        <v>51.5</v>
      </c>
      <c r="AN98" s="510">
        <f>AL98*AM98</f>
        <v>2987</v>
      </c>
      <c r="AO98" s="193"/>
      <c r="AP98" s="193"/>
    </row>
    <row r="99" spans="1:42" s="180" customFormat="1" hidden="1">
      <c r="A99" s="313"/>
      <c r="B99" s="4" t="s">
        <v>60</v>
      </c>
      <c r="C99" s="441" t="s">
        <v>75</v>
      </c>
      <c r="D99" s="441" t="s">
        <v>246</v>
      </c>
      <c r="E99" s="319">
        <v>8</v>
      </c>
      <c r="F99" s="320"/>
      <c r="G99" s="4"/>
      <c r="H99" s="441" t="s">
        <v>75</v>
      </c>
      <c r="I99" s="441" t="s">
        <v>246</v>
      </c>
      <c r="J99" s="319">
        <v>8</v>
      </c>
      <c r="K99" s="320"/>
      <c r="L99" s="4"/>
      <c r="M99" s="441" t="s">
        <v>75</v>
      </c>
      <c r="N99" s="441" t="s">
        <v>246</v>
      </c>
      <c r="O99" s="319">
        <v>8</v>
      </c>
      <c r="P99" s="320"/>
      <c r="Q99" s="4"/>
      <c r="R99" s="441" t="s">
        <v>75</v>
      </c>
      <c r="S99" s="441" t="s">
        <v>246</v>
      </c>
      <c r="T99" s="319">
        <v>8</v>
      </c>
      <c r="U99" s="320"/>
      <c r="V99" s="4"/>
      <c r="W99" s="441" t="s">
        <v>75</v>
      </c>
      <c r="X99" s="441" t="s">
        <v>246</v>
      </c>
      <c r="Y99" s="319">
        <v>8</v>
      </c>
      <c r="Z99" s="320"/>
      <c r="AA99" s="328">
        <f>Y99+T99+O99+J99+E99</f>
        <v>40</v>
      </c>
      <c r="AB99" s="298">
        <f>Z99+U99+P99+K99+F99</f>
        <v>0</v>
      </c>
      <c r="AC99" s="4"/>
      <c r="AD99" s="587"/>
      <c r="AE99" s="531"/>
      <c r="AF99" s="319"/>
      <c r="AG99" s="328">
        <f>AF99</f>
        <v>0</v>
      </c>
      <c r="AH99" s="4"/>
      <c r="AI99" s="368"/>
      <c r="AJ99" s="367"/>
      <c r="AK99" s="188" t="s">
        <v>30</v>
      </c>
      <c r="AL99" s="196">
        <f>AB101</f>
        <v>0</v>
      </c>
      <c r="AM99" s="511">
        <f>AM98*1.5</f>
        <v>77.25</v>
      </c>
      <c r="AN99" s="510">
        <f>AL99*AM99</f>
        <v>0</v>
      </c>
      <c r="AO99" s="193"/>
      <c r="AP99" s="193"/>
    </row>
    <row r="100" spans="1:42" s="180" customFormat="1" hidden="1">
      <c r="A100" s="313"/>
      <c r="B100" s="4" t="s">
        <v>59</v>
      </c>
      <c r="C100" s="441" t="s">
        <v>246</v>
      </c>
      <c r="D100" s="441" t="s">
        <v>249</v>
      </c>
      <c r="E100" s="319">
        <v>4</v>
      </c>
      <c r="F100" s="320"/>
      <c r="G100" s="4"/>
      <c r="H100" s="441" t="s">
        <v>246</v>
      </c>
      <c r="I100" s="441" t="s">
        <v>249</v>
      </c>
      <c r="J100" s="319">
        <v>4</v>
      </c>
      <c r="K100" s="320"/>
      <c r="L100" s="4"/>
      <c r="M100" s="441" t="s">
        <v>246</v>
      </c>
      <c r="N100" s="441" t="s">
        <v>249</v>
      </c>
      <c r="O100" s="319">
        <v>4</v>
      </c>
      <c r="P100" s="320"/>
      <c r="Q100" s="4"/>
      <c r="R100" s="441" t="s">
        <v>246</v>
      </c>
      <c r="S100" s="441" t="s">
        <v>125</v>
      </c>
      <c r="T100" s="319">
        <v>2</v>
      </c>
      <c r="U100" s="320"/>
      <c r="V100" s="4"/>
      <c r="W100" s="441" t="s">
        <v>246</v>
      </c>
      <c r="X100" s="441" t="s">
        <v>249</v>
      </c>
      <c r="Y100" s="319">
        <v>4</v>
      </c>
      <c r="Z100" s="320"/>
      <c r="AA100" s="328">
        <f>Y100+T100+O100+J100+E100</f>
        <v>18</v>
      </c>
      <c r="AB100" s="298">
        <f>Z100+U100+P100+K100+F100</f>
        <v>0</v>
      </c>
      <c r="AC100" s="4"/>
      <c r="AF100" s="319"/>
      <c r="AG100" s="328">
        <f>AF100</f>
        <v>0</v>
      </c>
      <c r="AH100" s="175"/>
      <c r="AI100" s="402"/>
      <c r="AJ100" s="367"/>
      <c r="AK100" s="188" t="s">
        <v>32</v>
      </c>
      <c r="AL100" s="196">
        <f>AG101</f>
        <v>0</v>
      </c>
      <c r="AM100" s="511">
        <v>75.77</v>
      </c>
      <c r="AN100" s="510">
        <f>AL100*AM100</f>
        <v>0</v>
      </c>
      <c r="AO100" s="193"/>
      <c r="AP100" s="193"/>
    </row>
    <row r="101" spans="1:42" s="180" customFormat="1" hidden="1">
      <c r="A101" s="313"/>
      <c r="B101" s="64" t="s">
        <v>61</v>
      </c>
      <c r="C101" s="31"/>
      <c r="D101" s="31"/>
      <c r="E101" s="439">
        <f>SUM(E99:E100)</f>
        <v>12</v>
      </c>
      <c r="F101" s="320">
        <f>SUM(F99:F100)</f>
        <v>0</v>
      </c>
      <c r="G101" s="31"/>
      <c r="H101" s="31"/>
      <c r="I101" s="31"/>
      <c r="J101" s="439">
        <f>SUM(J99:J100)</f>
        <v>12</v>
      </c>
      <c r="K101" s="320">
        <f>SUM(K99:K100)</f>
        <v>0</v>
      </c>
      <c r="L101" s="31"/>
      <c r="M101" s="31"/>
      <c r="N101" s="31"/>
      <c r="O101" s="439">
        <f>SUM(O99:O100)</f>
        <v>12</v>
      </c>
      <c r="P101" s="320">
        <f>SUM(P99:P100)</f>
        <v>0</v>
      </c>
      <c r="Q101" s="31"/>
      <c r="R101" s="31"/>
      <c r="S101" s="31"/>
      <c r="T101" s="439">
        <f>SUM(T99:T100)</f>
        <v>10</v>
      </c>
      <c r="U101" s="320">
        <f>SUM(U99:U100)</f>
        <v>0</v>
      </c>
      <c r="V101" s="31"/>
      <c r="W101" s="31"/>
      <c r="X101" s="31"/>
      <c r="Y101" s="439">
        <f>SUM(Y99:Y100)</f>
        <v>12</v>
      </c>
      <c r="Z101" s="320">
        <f>SUM(Z99:Z100)</f>
        <v>0</v>
      </c>
      <c r="AA101" s="370">
        <f>SUM(AA99:AA100)</f>
        <v>58</v>
      </c>
      <c r="AB101" s="370">
        <f>SUM(AB99:AB100)</f>
        <v>0</v>
      </c>
      <c r="AC101" s="4"/>
      <c r="AD101" s="64"/>
      <c r="AE101" s="64"/>
      <c r="AF101" s="370">
        <f>SUM(AF99:AF100)</f>
        <v>0</v>
      </c>
      <c r="AG101" s="370">
        <f>SUM(AG99:AG100)</f>
        <v>0</v>
      </c>
      <c r="AH101" s="4"/>
      <c r="AI101" s="255"/>
      <c r="AJ101" s="367"/>
      <c r="AK101" s="193"/>
      <c r="AL101" s="193"/>
      <c r="AM101" s="193"/>
      <c r="AN101" s="510">
        <f>SUM(AN98:AN100)</f>
        <v>2987</v>
      </c>
      <c r="AO101" s="193"/>
      <c r="AP101" s="193"/>
    </row>
    <row r="102" spans="1:42" s="180" customFormat="1" hidden="1">
      <c r="A102" s="313"/>
      <c r="E102" s="4"/>
      <c r="F102" s="4"/>
      <c r="G102" s="4"/>
      <c r="J102" s="4"/>
      <c r="K102" s="4"/>
      <c r="L102" s="4"/>
      <c r="O102" s="4"/>
      <c r="P102" s="4"/>
      <c r="Q102" s="4"/>
      <c r="T102" s="4"/>
      <c r="U102" s="4"/>
      <c r="V102" s="4"/>
      <c r="Y102" s="4"/>
      <c r="Z102" s="4"/>
      <c r="AA102" s="4"/>
      <c r="AB102" s="4"/>
      <c r="AC102" s="4"/>
      <c r="AH102" s="4"/>
      <c r="AI102" s="255"/>
      <c r="AK102" s="193"/>
      <c r="AL102" s="193"/>
      <c r="AM102" s="193"/>
      <c r="AN102" s="193"/>
      <c r="AO102" s="193"/>
      <c r="AP102" s="193"/>
    </row>
    <row r="103" spans="1:42" s="180" customFormat="1" hidden="1">
      <c r="A103" s="313"/>
      <c r="B103" s="229"/>
      <c r="C103" s="230"/>
      <c r="D103" s="230"/>
      <c r="E103" s="232"/>
      <c r="F103" s="232"/>
      <c r="G103" s="230"/>
      <c r="H103" s="232"/>
      <c r="I103" s="232"/>
      <c r="J103" s="232"/>
      <c r="K103" s="232"/>
      <c r="L103" s="230"/>
      <c r="M103" s="230"/>
      <c r="N103" s="230"/>
      <c r="O103" s="230"/>
      <c r="P103" s="232"/>
      <c r="Q103" s="230"/>
      <c r="R103" s="230"/>
      <c r="S103" s="230"/>
      <c r="T103" s="230"/>
      <c r="U103" s="232"/>
      <c r="V103" s="230"/>
      <c r="W103" s="230"/>
      <c r="X103" s="230"/>
      <c r="Y103" s="233"/>
      <c r="Z103" s="232"/>
      <c r="AA103" s="234"/>
      <c r="AB103" s="232"/>
      <c r="AC103" s="373"/>
      <c r="AD103" s="236"/>
      <c r="AE103" s="255"/>
      <c r="AF103" s="255"/>
      <c r="AG103" s="255"/>
      <c r="AH103" s="255"/>
      <c r="AI103" s="255"/>
      <c r="AJ103" s="255"/>
      <c r="AK103" s="255"/>
      <c r="AL103" s="255"/>
      <c r="AM103" s="255"/>
      <c r="AN103" s="255"/>
      <c r="AO103" s="255"/>
      <c r="AP103" s="255"/>
    </row>
    <row r="104" spans="1:42" s="180" customFormat="1" hidden="1">
      <c r="A104" s="313"/>
      <c r="E104" s="4"/>
      <c r="F104" s="4"/>
      <c r="G104" s="4"/>
      <c r="J104" s="4"/>
      <c r="K104" s="4"/>
      <c r="L104" s="4"/>
      <c r="O104" s="4"/>
      <c r="P104" s="4"/>
      <c r="Q104" s="4"/>
      <c r="T104" s="4"/>
      <c r="U104" s="4"/>
      <c r="V104" s="4"/>
      <c r="Y104" s="4"/>
      <c r="Z104" s="4"/>
      <c r="AA104" s="4"/>
      <c r="AB104" s="4"/>
      <c r="AC104" s="4"/>
      <c r="AH104" s="4"/>
      <c r="AI104" s="255"/>
    </row>
    <row r="105" spans="1:42" s="180" customFormat="1" hidden="1">
      <c r="A105" s="313"/>
      <c r="B105" s="1518" t="s">
        <v>18</v>
      </c>
      <c r="C105" s="1519">
        <v>45621</v>
      </c>
      <c r="D105" s="1519"/>
      <c r="E105" s="1519"/>
      <c r="F105" s="1519"/>
      <c r="G105" s="365"/>
      <c r="H105" s="1519">
        <v>45622</v>
      </c>
      <c r="I105" s="1519"/>
      <c r="J105" s="1519"/>
      <c r="K105" s="1519"/>
      <c r="L105" s="365"/>
      <c r="M105" s="1519">
        <v>45623</v>
      </c>
      <c r="N105" s="1519"/>
      <c r="O105" s="1519"/>
      <c r="P105" s="1519"/>
      <c r="Q105" s="365"/>
      <c r="R105" s="1519">
        <v>45624</v>
      </c>
      <c r="S105" s="1519"/>
      <c r="T105" s="1519"/>
      <c r="U105" s="1519"/>
      <c r="V105" s="365"/>
      <c r="W105" s="1519">
        <v>45625</v>
      </c>
      <c r="X105" s="1519"/>
      <c r="Y105" s="1519"/>
      <c r="Z105" s="1519"/>
      <c r="AA105" s="1517" t="s">
        <v>19</v>
      </c>
      <c r="AB105" s="1517" t="s">
        <v>20</v>
      </c>
      <c r="AC105" s="4"/>
      <c r="AD105" s="1519">
        <v>45626</v>
      </c>
      <c r="AE105" s="1519"/>
      <c r="AF105" s="1519"/>
      <c r="AG105" s="1517" t="s">
        <v>21</v>
      </c>
      <c r="AH105" s="4"/>
      <c r="AI105" s="368"/>
      <c r="AK105" s="194" t="s">
        <v>84</v>
      </c>
      <c r="AL105" s="366"/>
      <c r="AM105" s="366"/>
      <c r="AN105" s="366"/>
      <c r="AO105" s="366"/>
      <c r="AP105" s="366"/>
    </row>
    <row r="106" spans="1:42" s="180" customFormat="1" hidden="1">
      <c r="A106" s="313"/>
      <c r="B106" s="1518"/>
      <c r="C106" s="21" t="s">
        <v>23</v>
      </c>
      <c r="D106" s="21" t="s">
        <v>24</v>
      </c>
      <c r="E106" s="205" t="s">
        <v>25</v>
      </c>
      <c r="F106" s="18" t="s">
        <v>14</v>
      </c>
      <c r="G106" s="4"/>
      <c r="H106" s="21" t="s">
        <v>23</v>
      </c>
      <c r="I106" s="21" t="s">
        <v>24</v>
      </c>
      <c r="J106" s="18" t="s">
        <v>25</v>
      </c>
      <c r="K106" s="18" t="s">
        <v>14</v>
      </c>
      <c r="L106" s="4"/>
      <c r="M106" s="21" t="s">
        <v>23</v>
      </c>
      <c r="N106" s="21" t="s">
        <v>24</v>
      </c>
      <c r="O106" s="18" t="s">
        <v>25</v>
      </c>
      <c r="P106" s="18" t="s">
        <v>14</v>
      </c>
      <c r="Q106" s="4"/>
      <c r="R106" s="21" t="s">
        <v>23</v>
      </c>
      <c r="S106" s="21" t="s">
        <v>24</v>
      </c>
      <c r="T106" s="18" t="s">
        <v>25</v>
      </c>
      <c r="U106" s="18" t="s">
        <v>14</v>
      </c>
      <c r="V106" s="4"/>
      <c r="W106" s="21" t="s">
        <v>23</v>
      </c>
      <c r="X106" s="21" t="s">
        <v>24</v>
      </c>
      <c r="Y106" s="18" t="s">
        <v>25</v>
      </c>
      <c r="Z106" s="18" t="s">
        <v>14</v>
      </c>
      <c r="AA106" s="1517"/>
      <c r="AB106" s="1517"/>
      <c r="AC106" s="4"/>
      <c r="AD106" s="21" t="s">
        <v>23</v>
      </c>
      <c r="AE106" s="21" t="s">
        <v>24</v>
      </c>
      <c r="AF106" s="18" t="s">
        <v>25</v>
      </c>
      <c r="AG106" s="1517"/>
      <c r="AH106" s="4"/>
      <c r="AI106" s="368"/>
      <c r="AJ106" s="367"/>
      <c r="AK106" s="188" t="s">
        <v>26</v>
      </c>
      <c r="AL106" s="196">
        <f>AA109</f>
        <v>35</v>
      </c>
      <c r="AM106" s="511">
        <v>51.5</v>
      </c>
      <c r="AN106" s="510">
        <f>AL106*AM106</f>
        <v>1802.5</v>
      </c>
      <c r="AO106" s="193"/>
      <c r="AP106" s="193"/>
    </row>
    <row r="107" spans="1:42" s="180" customFormat="1" hidden="1">
      <c r="A107" s="313"/>
      <c r="B107" s="4" t="s">
        <v>60</v>
      </c>
      <c r="C107" s="441" t="s">
        <v>75</v>
      </c>
      <c r="D107" s="441" t="s">
        <v>246</v>
      </c>
      <c r="E107" s="319">
        <v>8</v>
      </c>
      <c r="F107" s="320"/>
      <c r="G107" s="4"/>
      <c r="H107" s="441" t="s">
        <v>75</v>
      </c>
      <c r="I107" s="441" t="s">
        <v>246</v>
      </c>
      <c r="J107" s="319">
        <v>8</v>
      </c>
      <c r="K107" s="320"/>
      <c r="L107" s="4"/>
      <c r="M107" s="441" t="s">
        <v>75</v>
      </c>
      <c r="N107" s="441" t="s">
        <v>246</v>
      </c>
      <c r="O107" s="319">
        <v>8</v>
      </c>
      <c r="P107" s="320"/>
      <c r="Q107" s="4"/>
      <c r="R107" s="441"/>
      <c r="S107" s="441"/>
      <c r="T107" s="319"/>
      <c r="U107" s="320"/>
      <c r="V107" s="4"/>
      <c r="W107" s="441"/>
      <c r="X107" s="441"/>
      <c r="Y107" s="319"/>
      <c r="Z107" s="320"/>
      <c r="AA107" s="328">
        <f>Y107+T107+O107+J107+E107</f>
        <v>24</v>
      </c>
      <c r="AB107" s="298">
        <f>Z107+U107+P107+K107+F107</f>
        <v>0</v>
      </c>
      <c r="AC107" s="4"/>
      <c r="AD107" s="587"/>
      <c r="AE107" s="531"/>
      <c r="AF107" s="319"/>
      <c r="AG107" s="328">
        <f>AF107</f>
        <v>0</v>
      </c>
      <c r="AH107" s="4"/>
      <c r="AI107" s="368"/>
      <c r="AJ107" s="367"/>
      <c r="AK107" s="188" t="s">
        <v>30</v>
      </c>
      <c r="AL107" s="196">
        <f>AB109</f>
        <v>0</v>
      </c>
      <c r="AM107" s="511">
        <f>AM106*1.5</f>
        <v>77.25</v>
      </c>
      <c r="AN107" s="510">
        <f>AL107*AM107</f>
        <v>0</v>
      </c>
      <c r="AO107" s="193"/>
      <c r="AP107" s="193"/>
    </row>
    <row r="108" spans="1:42" s="180" customFormat="1" hidden="1">
      <c r="A108" s="313"/>
      <c r="B108" s="4" t="s">
        <v>59</v>
      </c>
      <c r="C108" s="441" t="s">
        <v>246</v>
      </c>
      <c r="D108" s="441" t="s">
        <v>75</v>
      </c>
      <c r="E108" s="319">
        <v>3</v>
      </c>
      <c r="F108" s="320"/>
      <c r="G108" s="4"/>
      <c r="H108" s="441" t="s">
        <v>246</v>
      </c>
      <c r="I108" s="441" t="s">
        <v>249</v>
      </c>
      <c r="J108" s="319">
        <v>4</v>
      </c>
      <c r="K108" s="320"/>
      <c r="L108" s="4"/>
      <c r="M108" s="441" t="s">
        <v>246</v>
      </c>
      <c r="N108" s="441" t="s">
        <v>249</v>
      </c>
      <c r="O108" s="319">
        <v>4</v>
      </c>
      <c r="P108" s="320"/>
      <c r="Q108" s="4"/>
      <c r="R108" s="441"/>
      <c r="S108" s="441"/>
      <c r="T108" s="319"/>
      <c r="U108" s="320"/>
      <c r="V108" s="4"/>
      <c r="W108" s="441"/>
      <c r="X108" s="441"/>
      <c r="Y108" s="319"/>
      <c r="Z108" s="320"/>
      <c r="AA108" s="328">
        <f>Y108+T108+O108+J108+E108</f>
        <v>11</v>
      </c>
      <c r="AB108" s="298">
        <f>Z108+U108+P108+K108+F108</f>
        <v>0</v>
      </c>
      <c r="AC108" s="4"/>
      <c r="AF108" s="319"/>
      <c r="AG108" s="328">
        <f>AF108</f>
        <v>0</v>
      </c>
      <c r="AH108" s="175"/>
      <c r="AI108" s="402"/>
      <c r="AJ108" s="367"/>
      <c r="AK108" s="188" t="s">
        <v>32</v>
      </c>
      <c r="AL108" s="196">
        <f>AG109</f>
        <v>0</v>
      </c>
      <c r="AM108" s="511">
        <v>75.77</v>
      </c>
      <c r="AN108" s="510">
        <f>AL108*AM108</f>
        <v>0</v>
      </c>
      <c r="AO108" s="193"/>
      <c r="AP108" s="193"/>
    </row>
    <row r="109" spans="1:42" s="180" customFormat="1" hidden="1">
      <c r="A109" s="313"/>
      <c r="B109" s="64" t="s">
        <v>61</v>
      </c>
      <c r="C109" s="31"/>
      <c r="D109" s="31"/>
      <c r="E109" s="439">
        <f>SUM(E107:E108)</f>
        <v>11</v>
      </c>
      <c r="F109" s="320">
        <f>SUM(F107:F108)</f>
        <v>0</v>
      </c>
      <c r="G109" s="31"/>
      <c r="H109" s="31"/>
      <c r="I109" s="31"/>
      <c r="J109" s="439">
        <f>SUM(J107:J108)</f>
        <v>12</v>
      </c>
      <c r="K109" s="320">
        <f>SUM(K107:K108)</f>
        <v>0</v>
      </c>
      <c r="L109" s="31"/>
      <c r="M109" s="31"/>
      <c r="N109" s="31"/>
      <c r="O109" s="439">
        <f>SUM(O107:O108)</f>
        <v>12</v>
      </c>
      <c r="P109" s="320">
        <f>SUM(P107:P108)</f>
        <v>0</v>
      </c>
      <c r="Q109" s="31"/>
      <c r="R109" s="31"/>
      <c r="S109" s="31"/>
      <c r="T109" s="439">
        <f>SUM(T107:T108)</f>
        <v>0</v>
      </c>
      <c r="U109" s="320">
        <f>SUM(U107:U108)</f>
        <v>0</v>
      </c>
      <c r="V109" s="31"/>
      <c r="W109" s="31"/>
      <c r="X109" s="31"/>
      <c r="Y109" s="439">
        <f>SUM(Y107:Y108)</f>
        <v>0</v>
      </c>
      <c r="Z109" s="320">
        <f>SUM(Z107:Z108)</f>
        <v>0</v>
      </c>
      <c r="AA109" s="370">
        <f>SUM(AA107:AA108)</f>
        <v>35</v>
      </c>
      <c r="AB109" s="370">
        <f>SUM(AB107:AB108)</f>
        <v>0</v>
      </c>
      <c r="AC109" s="4"/>
      <c r="AD109" s="64"/>
      <c r="AE109" s="64"/>
      <c r="AF109" s="370">
        <f>SUM(AF107:AF108)</f>
        <v>0</v>
      </c>
      <c r="AG109" s="370">
        <f>SUM(AG107:AG108)</f>
        <v>0</v>
      </c>
      <c r="AH109" s="4"/>
      <c r="AI109" s="255"/>
      <c r="AJ109" s="367"/>
      <c r="AK109" s="193"/>
      <c r="AL109" s="193"/>
      <c r="AM109" s="193"/>
      <c r="AN109" s="510">
        <f>SUM(AN106:AN108)</f>
        <v>1802.5</v>
      </c>
      <c r="AO109" s="193"/>
      <c r="AP109" s="193"/>
    </row>
    <row r="110" spans="1:42" s="180" customFormat="1" hidden="1">
      <c r="A110" s="313"/>
      <c r="E110" s="4"/>
      <c r="F110" s="4"/>
      <c r="G110" s="4"/>
      <c r="J110" s="4"/>
      <c r="K110" s="4"/>
      <c r="L110" s="4"/>
      <c r="O110" s="4"/>
      <c r="P110" s="4"/>
      <c r="Q110" s="4"/>
      <c r="T110" s="4"/>
      <c r="U110" s="4"/>
      <c r="V110" s="4"/>
      <c r="Y110" s="4"/>
      <c r="Z110" s="4"/>
      <c r="AA110" s="4"/>
      <c r="AB110" s="4"/>
      <c r="AC110" s="4"/>
      <c r="AH110" s="4"/>
      <c r="AI110" s="255"/>
      <c r="AK110" s="193"/>
      <c r="AL110" s="193"/>
      <c r="AM110" s="193"/>
      <c r="AN110" s="193"/>
      <c r="AO110" s="193"/>
      <c r="AP110" s="193"/>
    </row>
    <row r="111" spans="1:42" s="180" customFormat="1" hidden="1">
      <c r="A111" s="313"/>
      <c r="B111" s="229"/>
      <c r="C111" s="230"/>
      <c r="D111" s="230"/>
      <c r="E111" s="232"/>
      <c r="F111" s="232"/>
      <c r="G111" s="230"/>
      <c r="H111" s="232"/>
      <c r="I111" s="232"/>
      <c r="J111" s="232"/>
      <c r="K111" s="232"/>
      <c r="L111" s="230"/>
      <c r="M111" s="230"/>
      <c r="N111" s="230"/>
      <c r="O111" s="230"/>
      <c r="P111" s="232"/>
      <c r="Q111" s="230"/>
      <c r="R111" s="230"/>
      <c r="S111" s="230"/>
      <c r="T111" s="230"/>
      <c r="U111" s="232"/>
      <c r="V111" s="230"/>
      <c r="W111" s="230"/>
      <c r="X111" s="230"/>
      <c r="Y111" s="233"/>
      <c r="Z111" s="232"/>
      <c r="AA111" s="234"/>
      <c r="AB111" s="232"/>
      <c r="AC111" s="373"/>
      <c r="AD111" s="236"/>
      <c r="AE111" s="255"/>
      <c r="AF111" s="255"/>
      <c r="AG111" s="255"/>
      <c r="AH111" s="255"/>
      <c r="AI111" s="255"/>
      <c r="AJ111" s="255"/>
      <c r="AK111" s="255"/>
      <c r="AL111" s="255"/>
      <c r="AM111" s="255"/>
      <c r="AN111" s="255"/>
      <c r="AO111" s="255"/>
      <c r="AP111" s="255"/>
    </row>
    <row r="112" spans="1:42" s="180" customFormat="1" hidden="1">
      <c r="A112" s="313"/>
      <c r="E112" s="4"/>
      <c r="F112" s="4"/>
      <c r="G112" s="4"/>
      <c r="J112" s="4"/>
      <c r="K112" s="4"/>
      <c r="L112" s="4"/>
      <c r="O112" s="4"/>
      <c r="P112" s="4"/>
      <c r="Q112" s="4"/>
      <c r="T112" s="4"/>
      <c r="U112" s="4"/>
      <c r="V112" s="4"/>
      <c r="Y112" s="4"/>
      <c r="Z112" s="4"/>
      <c r="AA112" s="4"/>
      <c r="AB112" s="4"/>
      <c r="AC112" s="4"/>
      <c r="AH112" s="4"/>
      <c r="AI112" s="255"/>
    </row>
    <row r="113" spans="1:42" s="180" customFormat="1" hidden="1">
      <c r="A113" s="313"/>
      <c r="B113" s="1518" t="s">
        <v>18</v>
      </c>
      <c r="C113" s="1519">
        <v>45628</v>
      </c>
      <c r="D113" s="1519"/>
      <c r="E113" s="1519"/>
      <c r="F113" s="1519"/>
      <c r="G113" s="365"/>
      <c r="H113" s="1519">
        <v>45629</v>
      </c>
      <c r="I113" s="1519"/>
      <c r="J113" s="1519"/>
      <c r="K113" s="1519"/>
      <c r="L113" s="365"/>
      <c r="M113" s="1519">
        <v>45630</v>
      </c>
      <c r="N113" s="1519"/>
      <c r="O113" s="1519"/>
      <c r="P113" s="1519"/>
      <c r="Q113" s="365"/>
      <c r="R113" s="1519">
        <v>45631</v>
      </c>
      <c r="S113" s="1519"/>
      <c r="T113" s="1519"/>
      <c r="U113" s="1519"/>
      <c r="V113" s="365"/>
      <c r="W113" s="1519">
        <v>45632</v>
      </c>
      <c r="X113" s="1519"/>
      <c r="Y113" s="1519"/>
      <c r="Z113" s="1519"/>
      <c r="AA113" s="1517" t="s">
        <v>19</v>
      </c>
      <c r="AB113" s="1517" t="s">
        <v>20</v>
      </c>
      <c r="AC113" s="4"/>
      <c r="AD113" s="1519">
        <v>45633</v>
      </c>
      <c r="AE113" s="1519"/>
      <c r="AF113" s="1519"/>
      <c r="AG113" s="1517" t="s">
        <v>21</v>
      </c>
      <c r="AH113" s="4"/>
      <c r="AI113" s="368"/>
      <c r="AK113" s="194" t="s">
        <v>84</v>
      </c>
      <c r="AL113" s="366"/>
      <c r="AM113" s="366"/>
      <c r="AN113" s="366"/>
      <c r="AO113" s="366"/>
      <c r="AP113" s="366"/>
    </row>
    <row r="114" spans="1:42" s="180" customFormat="1" hidden="1">
      <c r="A114" s="313"/>
      <c r="B114" s="1518"/>
      <c r="C114" s="21" t="s">
        <v>23</v>
      </c>
      <c r="D114" s="21" t="s">
        <v>24</v>
      </c>
      <c r="E114" s="205" t="s">
        <v>25</v>
      </c>
      <c r="F114" s="18" t="s">
        <v>14</v>
      </c>
      <c r="G114" s="4"/>
      <c r="H114" s="21" t="s">
        <v>23</v>
      </c>
      <c r="I114" s="21" t="s">
        <v>24</v>
      </c>
      <c r="J114" s="18" t="s">
        <v>25</v>
      </c>
      <c r="K114" s="18" t="s">
        <v>14</v>
      </c>
      <c r="L114" s="4"/>
      <c r="M114" s="21" t="s">
        <v>23</v>
      </c>
      <c r="N114" s="21" t="s">
        <v>24</v>
      </c>
      <c r="O114" s="18" t="s">
        <v>25</v>
      </c>
      <c r="P114" s="18" t="s">
        <v>14</v>
      </c>
      <c r="Q114" s="4"/>
      <c r="R114" s="21" t="s">
        <v>23</v>
      </c>
      <c r="S114" s="21" t="s">
        <v>24</v>
      </c>
      <c r="T114" s="18" t="s">
        <v>25</v>
      </c>
      <c r="U114" s="18" t="s">
        <v>14</v>
      </c>
      <c r="V114" s="4"/>
      <c r="W114" s="21" t="s">
        <v>23</v>
      </c>
      <c r="X114" s="21" t="s">
        <v>24</v>
      </c>
      <c r="Y114" s="18" t="s">
        <v>25</v>
      </c>
      <c r="Z114" s="18" t="s">
        <v>14</v>
      </c>
      <c r="AA114" s="1517"/>
      <c r="AB114" s="1517"/>
      <c r="AC114" s="4"/>
      <c r="AD114" s="21" t="s">
        <v>23</v>
      </c>
      <c r="AE114" s="21" t="s">
        <v>24</v>
      </c>
      <c r="AF114" s="18" t="s">
        <v>25</v>
      </c>
      <c r="AG114" s="1517"/>
      <c r="AH114" s="4"/>
      <c r="AI114" s="368"/>
      <c r="AJ114" s="367"/>
      <c r="AK114" s="188" t="s">
        <v>26</v>
      </c>
      <c r="AL114" s="196">
        <f>AA117</f>
        <v>60</v>
      </c>
      <c r="AM114" s="511">
        <v>51.5</v>
      </c>
      <c r="AN114" s="510">
        <f>AL114*AM114</f>
        <v>3090</v>
      </c>
      <c r="AO114" s="193"/>
      <c r="AP114" s="193"/>
    </row>
    <row r="115" spans="1:42" s="180" customFormat="1" hidden="1">
      <c r="A115" s="313"/>
      <c r="B115" s="4" t="s">
        <v>60</v>
      </c>
      <c r="C115" s="441" t="s">
        <v>75</v>
      </c>
      <c r="D115" s="441" t="s">
        <v>246</v>
      </c>
      <c r="E115" s="319">
        <v>8</v>
      </c>
      <c r="F115" s="320"/>
      <c r="G115" s="4"/>
      <c r="H115" s="441" t="s">
        <v>75</v>
      </c>
      <c r="I115" s="441" t="s">
        <v>246</v>
      </c>
      <c r="J115" s="319">
        <v>8</v>
      </c>
      <c r="K115" s="320"/>
      <c r="L115" s="4"/>
      <c r="M115" s="441" t="s">
        <v>75</v>
      </c>
      <c r="N115" s="441" t="s">
        <v>246</v>
      </c>
      <c r="O115" s="319">
        <v>8</v>
      </c>
      <c r="P115" s="320"/>
      <c r="Q115" s="4"/>
      <c r="R115" s="441" t="s">
        <v>75</v>
      </c>
      <c r="S115" s="441" t="s">
        <v>246</v>
      </c>
      <c r="T115" s="319">
        <v>8</v>
      </c>
      <c r="U115" s="320"/>
      <c r="V115" s="4"/>
      <c r="W115" s="441" t="s">
        <v>75</v>
      </c>
      <c r="X115" s="441" t="s">
        <v>246</v>
      </c>
      <c r="Y115" s="319">
        <v>8</v>
      </c>
      <c r="Z115" s="320"/>
      <c r="AA115" s="328">
        <f>Y115+T115+O115+J115+E115</f>
        <v>40</v>
      </c>
      <c r="AB115" s="298">
        <f>Z115+U115+P115+K115+F115</f>
        <v>0</v>
      </c>
      <c r="AC115" s="4"/>
      <c r="AD115" s="587"/>
      <c r="AE115" s="531"/>
      <c r="AF115" s="319"/>
      <c r="AG115" s="328">
        <f>AF115</f>
        <v>0</v>
      </c>
      <c r="AH115" s="4"/>
      <c r="AI115" s="368"/>
      <c r="AJ115" s="367"/>
      <c r="AK115" s="188" t="s">
        <v>30</v>
      </c>
      <c r="AL115" s="196">
        <f>AB117</f>
        <v>0</v>
      </c>
      <c r="AM115" s="511">
        <f>AM114*1.5</f>
        <v>77.25</v>
      </c>
      <c r="AN115" s="510">
        <f>AL115*AM115</f>
        <v>0</v>
      </c>
      <c r="AO115" s="193"/>
      <c r="AP115" s="193"/>
    </row>
    <row r="116" spans="1:42" s="180" customFormat="1" hidden="1">
      <c r="A116" s="313"/>
      <c r="B116" s="4" t="s">
        <v>59</v>
      </c>
      <c r="C116" s="441" t="s">
        <v>246</v>
      </c>
      <c r="D116" s="441" t="s">
        <v>249</v>
      </c>
      <c r="E116" s="319">
        <v>4</v>
      </c>
      <c r="F116" s="320"/>
      <c r="G116" s="4"/>
      <c r="H116" s="441" t="s">
        <v>246</v>
      </c>
      <c r="I116" s="441" t="s">
        <v>249</v>
      </c>
      <c r="J116" s="319">
        <v>4</v>
      </c>
      <c r="K116" s="320"/>
      <c r="L116" s="4"/>
      <c r="M116" s="441" t="s">
        <v>246</v>
      </c>
      <c r="N116" s="441" t="s">
        <v>249</v>
      </c>
      <c r="O116" s="319">
        <v>4</v>
      </c>
      <c r="P116" s="320"/>
      <c r="Q116" s="4"/>
      <c r="R116" s="441" t="s">
        <v>246</v>
      </c>
      <c r="S116" s="441" t="s">
        <v>249</v>
      </c>
      <c r="T116" s="319">
        <v>4</v>
      </c>
      <c r="U116" s="320"/>
      <c r="V116" s="4"/>
      <c r="W116" s="441" t="s">
        <v>246</v>
      </c>
      <c r="X116" s="441" t="s">
        <v>249</v>
      </c>
      <c r="Y116" s="319">
        <v>4</v>
      </c>
      <c r="Z116" s="320"/>
      <c r="AA116" s="328">
        <f>Y116+T116+O116+J116+E116</f>
        <v>20</v>
      </c>
      <c r="AB116" s="298">
        <f>Z116+U116+P116+K116+F116</f>
        <v>0</v>
      </c>
      <c r="AC116" s="4"/>
      <c r="AF116" s="319"/>
      <c r="AG116" s="328">
        <f>AF116</f>
        <v>0</v>
      </c>
      <c r="AH116" s="175"/>
      <c r="AI116" s="402"/>
      <c r="AJ116" s="367"/>
      <c r="AK116" s="188" t="s">
        <v>32</v>
      </c>
      <c r="AL116" s="196">
        <f>AG117</f>
        <v>0</v>
      </c>
      <c r="AM116" s="511">
        <v>75.77</v>
      </c>
      <c r="AN116" s="510">
        <f>AL116*AM116</f>
        <v>0</v>
      </c>
      <c r="AO116" s="193"/>
      <c r="AP116" s="193"/>
    </row>
    <row r="117" spans="1:42" s="180" customFormat="1" hidden="1">
      <c r="A117" s="313"/>
      <c r="B117" s="64" t="s">
        <v>61</v>
      </c>
      <c r="C117" s="31"/>
      <c r="D117" s="31"/>
      <c r="E117" s="439">
        <f>SUM(E115:E116)</f>
        <v>12</v>
      </c>
      <c r="F117" s="320">
        <f>SUM(F115:F116)</f>
        <v>0</v>
      </c>
      <c r="G117" s="31"/>
      <c r="H117" s="31"/>
      <c r="I117" s="31"/>
      <c r="J117" s="439">
        <f>SUM(J115:J116)</f>
        <v>12</v>
      </c>
      <c r="K117" s="320">
        <f>SUM(K115:K116)</f>
        <v>0</v>
      </c>
      <c r="L117" s="31"/>
      <c r="M117" s="31"/>
      <c r="N117" s="31"/>
      <c r="O117" s="439">
        <f>SUM(O115:O116)</f>
        <v>12</v>
      </c>
      <c r="P117" s="320">
        <f>SUM(P115:P116)</f>
        <v>0</v>
      </c>
      <c r="Q117" s="31"/>
      <c r="R117" s="31"/>
      <c r="S117" s="31"/>
      <c r="T117" s="439">
        <f>SUM(T115:T116)</f>
        <v>12</v>
      </c>
      <c r="U117" s="320">
        <f>SUM(U115:U116)</f>
        <v>0</v>
      </c>
      <c r="V117" s="31"/>
      <c r="W117" s="31"/>
      <c r="X117" s="31"/>
      <c r="Y117" s="439">
        <f>SUM(Y115:Y116)</f>
        <v>12</v>
      </c>
      <c r="Z117" s="320">
        <f>SUM(Z115:Z116)</f>
        <v>0</v>
      </c>
      <c r="AA117" s="370">
        <f>SUM(AA115:AA116)</f>
        <v>60</v>
      </c>
      <c r="AB117" s="370">
        <f>SUM(AB115:AB116)</f>
        <v>0</v>
      </c>
      <c r="AC117" s="4"/>
      <c r="AD117" s="64"/>
      <c r="AE117" s="64"/>
      <c r="AF117" s="370">
        <f>SUM(AF115:AF116)</f>
        <v>0</v>
      </c>
      <c r="AG117" s="370">
        <f>SUM(AG115:AG116)</f>
        <v>0</v>
      </c>
      <c r="AH117" s="4"/>
      <c r="AI117" s="255"/>
      <c r="AJ117" s="367"/>
      <c r="AK117" s="193"/>
      <c r="AL117" s="193"/>
      <c r="AM117" s="193"/>
      <c r="AN117" s="510">
        <f>SUM(AN114:AN116)</f>
        <v>3090</v>
      </c>
      <c r="AO117" s="193"/>
      <c r="AP117" s="193"/>
    </row>
    <row r="118" spans="1:42" s="180" customFormat="1" hidden="1">
      <c r="A118" s="313"/>
      <c r="E118" s="4"/>
      <c r="F118" s="4"/>
      <c r="G118" s="4"/>
      <c r="J118" s="4"/>
      <c r="K118" s="4"/>
      <c r="L118" s="4"/>
      <c r="O118" s="4"/>
      <c r="P118" s="4"/>
      <c r="Q118" s="4"/>
      <c r="T118" s="4"/>
      <c r="U118" s="4"/>
      <c r="V118" s="4"/>
      <c r="Y118" s="4"/>
      <c r="Z118" s="4"/>
      <c r="AA118" s="4"/>
      <c r="AB118" s="4"/>
      <c r="AC118" s="4"/>
      <c r="AH118" s="4"/>
      <c r="AI118" s="255"/>
      <c r="AK118" s="193"/>
      <c r="AL118" s="193"/>
      <c r="AM118" s="193"/>
      <c r="AN118" s="193"/>
      <c r="AO118" s="193"/>
      <c r="AP118" s="193"/>
    </row>
    <row r="119" spans="1:42" s="180" customFormat="1" hidden="1">
      <c r="A119" s="313"/>
      <c r="B119" s="229"/>
      <c r="C119" s="230"/>
      <c r="D119" s="230"/>
      <c r="E119" s="232"/>
      <c r="F119" s="232"/>
      <c r="G119" s="230"/>
      <c r="H119" s="232"/>
      <c r="I119" s="232"/>
      <c r="J119" s="232"/>
      <c r="K119" s="232"/>
      <c r="L119" s="230"/>
      <c r="M119" s="230"/>
      <c r="N119" s="230"/>
      <c r="O119" s="230"/>
      <c r="P119" s="232"/>
      <c r="Q119" s="230"/>
      <c r="R119" s="230"/>
      <c r="S119" s="230"/>
      <c r="T119" s="230"/>
      <c r="U119" s="232"/>
      <c r="V119" s="230"/>
      <c r="W119" s="230"/>
      <c r="X119" s="230"/>
      <c r="Y119" s="233"/>
      <c r="Z119" s="232"/>
      <c r="AA119" s="234"/>
      <c r="AB119" s="232"/>
      <c r="AC119" s="373"/>
      <c r="AD119" s="236"/>
      <c r="AE119" s="255"/>
      <c r="AF119" s="255"/>
      <c r="AG119" s="255"/>
      <c r="AH119" s="255"/>
      <c r="AI119" s="255"/>
      <c r="AJ119" s="255"/>
      <c r="AK119" s="255"/>
      <c r="AL119" s="255"/>
      <c r="AM119" s="255"/>
      <c r="AN119" s="255"/>
      <c r="AO119" s="255"/>
      <c r="AP119" s="255"/>
    </row>
    <row r="120" spans="1:42" s="180" customFormat="1" hidden="1">
      <c r="A120" s="313"/>
      <c r="E120" s="4"/>
      <c r="F120" s="4"/>
      <c r="G120" s="4"/>
      <c r="J120" s="4"/>
      <c r="K120" s="4"/>
      <c r="L120" s="4"/>
      <c r="O120" s="4"/>
      <c r="P120" s="4"/>
      <c r="Q120" s="4"/>
      <c r="T120" s="4"/>
      <c r="U120" s="4"/>
      <c r="V120" s="4"/>
      <c r="Y120" s="4"/>
      <c r="Z120" s="4"/>
      <c r="AA120" s="4"/>
      <c r="AB120" s="4"/>
      <c r="AC120" s="4"/>
      <c r="AH120" s="4"/>
      <c r="AI120" s="255"/>
    </row>
    <row r="121" spans="1:42" s="180" customFormat="1" ht="13.5" hidden="1" customHeight="1">
      <c r="A121" s="313"/>
      <c r="B121" s="1518" t="s">
        <v>18</v>
      </c>
      <c r="C121" s="1519">
        <v>45635</v>
      </c>
      <c r="D121" s="1519"/>
      <c r="E121" s="1519"/>
      <c r="F121" s="1519"/>
      <c r="G121" s="365"/>
      <c r="H121" s="1519">
        <v>45636</v>
      </c>
      <c r="I121" s="1519"/>
      <c r="J121" s="1519"/>
      <c r="K121" s="1519"/>
      <c r="L121" s="365"/>
      <c r="M121" s="1519">
        <v>45637</v>
      </c>
      <c r="N121" s="1519"/>
      <c r="O121" s="1519"/>
      <c r="P121" s="1519"/>
      <c r="Q121" s="365"/>
      <c r="R121" s="1519">
        <v>45638</v>
      </c>
      <c r="S121" s="1519"/>
      <c r="T121" s="1519"/>
      <c r="U121" s="1519"/>
      <c r="V121" s="365"/>
      <c r="W121" s="1519">
        <v>45639</v>
      </c>
      <c r="X121" s="1519"/>
      <c r="Y121" s="1519"/>
      <c r="Z121" s="1519"/>
      <c r="AA121" s="1517" t="s">
        <v>19</v>
      </c>
      <c r="AB121" s="1517" t="s">
        <v>20</v>
      </c>
      <c r="AC121" s="4"/>
      <c r="AD121" s="1519">
        <v>45640</v>
      </c>
      <c r="AE121" s="1519"/>
      <c r="AF121" s="1519"/>
      <c r="AG121" s="1517" t="s">
        <v>21</v>
      </c>
      <c r="AH121" s="4"/>
      <c r="AI121" s="368"/>
      <c r="AK121" s="194" t="s">
        <v>84</v>
      </c>
      <c r="AL121" s="366"/>
      <c r="AM121" s="366"/>
      <c r="AN121" s="366"/>
      <c r="AO121" s="366"/>
      <c r="AP121" s="366"/>
    </row>
    <row r="122" spans="1:42" s="180" customFormat="1" hidden="1">
      <c r="A122" s="313"/>
      <c r="B122" s="1518"/>
      <c r="C122" s="21" t="s">
        <v>23</v>
      </c>
      <c r="D122" s="21" t="s">
        <v>24</v>
      </c>
      <c r="E122" s="205" t="s">
        <v>25</v>
      </c>
      <c r="F122" s="18" t="s">
        <v>14</v>
      </c>
      <c r="G122" s="4"/>
      <c r="H122" s="21" t="s">
        <v>23</v>
      </c>
      <c r="I122" s="21" t="s">
        <v>24</v>
      </c>
      <c r="J122" s="18" t="s">
        <v>25</v>
      </c>
      <c r="K122" s="18" t="s">
        <v>14</v>
      </c>
      <c r="L122" s="4"/>
      <c r="M122" s="21" t="s">
        <v>23</v>
      </c>
      <c r="N122" s="21" t="s">
        <v>24</v>
      </c>
      <c r="O122" s="18" t="s">
        <v>25</v>
      </c>
      <c r="P122" s="18" t="s">
        <v>14</v>
      </c>
      <c r="Q122" s="4"/>
      <c r="R122" s="21" t="s">
        <v>23</v>
      </c>
      <c r="S122" s="21" t="s">
        <v>24</v>
      </c>
      <c r="T122" s="18" t="s">
        <v>25</v>
      </c>
      <c r="U122" s="18" t="s">
        <v>14</v>
      </c>
      <c r="V122" s="4"/>
      <c r="W122" s="21" t="s">
        <v>23</v>
      </c>
      <c r="X122" s="21" t="s">
        <v>24</v>
      </c>
      <c r="Y122" s="18" t="s">
        <v>25</v>
      </c>
      <c r="Z122" s="18" t="s">
        <v>14</v>
      </c>
      <c r="AA122" s="1517"/>
      <c r="AB122" s="1517"/>
      <c r="AC122" s="4"/>
      <c r="AD122" s="21" t="s">
        <v>23</v>
      </c>
      <c r="AE122" s="21" t="s">
        <v>24</v>
      </c>
      <c r="AF122" s="18" t="s">
        <v>25</v>
      </c>
      <c r="AG122" s="1517"/>
      <c r="AH122" s="4"/>
      <c r="AI122" s="368"/>
      <c r="AJ122" s="367"/>
      <c r="AK122" s="188" t="s">
        <v>26</v>
      </c>
      <c r="AL122" s="196">
        <f>AA125</f>
        <v>58</v>
      </c>
      <c r="AM122" s="511">
        <v>51.5</v>
      </c>
      <c r="AN122" s="510">
        <f>AL122*AM122</f>
        <v>2987</v>
      </c>
      <c r="AO122" s="193"/>
      <c r="AP122" s="193"/>
    </row>
    <row r="123" spans="1:42" s="180" customFormat="1" hidden="1">
      <c r="A123" s="313"/>
      <c r="B123" s="4" t="s">
        <v>60</v>
      </c>
      <c r="C123" s="441" t="s">
        <v>75</v>
      </c>
      <c r="D123" s="441" t="s">
        <v>246</v>
      </c>
      <c r="E123" s="319">
        <v>8</v>
      </c>
      <c r="F123" s="320"/>
      <c r="G123" s="4"/>
      <c r="H123" s="441" t="s">
        <v>75</v>
      </c>
      <c r="I123" s="441" t="s">
        <v>246</v>
      </c>
      <c r="J123" s="319">
        <v>8</v>
      </c>
      <c r="K123" s="320"/>
      <c r="L123" s="4"/>
      <c r="M123" s="441" t="s">
        <v>75</v>
      </c>
      <c r="N123" s="441" t="s">
        <v>246</v>
      </c>
      <c r="O123" s="319">
        <v>8</v>
      </c>
      <c r="P123" s="320"/>
      <c r="Q123" s="4"/>
      <c r="R123" s="441" t="s">
        <v>75</v>
      </c>
      <c r="S123" s="441" t="s">
        <v>246</v>
      </c>
      <c r="T123" s="319">
        <v>8</v>
      </c>
      <c r="U123" s="320"/>
      <c r="V123" s="4"/>
      <c r="W123" s="441" t="s">
        <v>75</v>
      </c>
      <c r="X123" s="441" t="s">
        <v>246</v>
      </c>
      <c r="Y123" s="319">
        <v>8</v>
      </c>
      <c r="Z123" s="320"/>
      <c r="AA123" s="328">
        <f>Y123+T123+O123+J123+E123</f>
        <v>40</v>
      </c>
      <c r="AB123" s="298">
        <f>Z123+U123+P123+K123+F123</f>
        <v>0</v>
      </c>
      <c r="AC123" s="4"/>
      <c r="AD123" s="587"/>
      <c r="AE123" s="531"/>
      <c r="AF123" s="319"/>
      <c r="AG123" s="328">
        <f>AF123</f>
        <v>0</v>
      </c>
      <c r="AH123" s="4"/>
      <c r="AI123" s="368"/>
      <c r="AJ123" s="367"/>
      <c r="AK123" s="188" t="s">
        <v>30</v>
      </c>
      <c r="AL123" s="196">
        <f>AB125</f>
        <v>0</v>
      </c>
      <c r="AM123" s="511">
        <f>AM122*1.5</f>
        <v>77.25</v>
      </c>
      <c r="AN123" s="510">
        <f>AL123*AM123</f>
        <v>0</v>
      </c>
      <c r="AO123" s="193"/>
      <c r="AP123" s="193"/>
    </row>
    <row r="124" spans="1:42" s="180" customFormat="1" hidden="1">
      <c r="A124" s="313"/>
      <c r="B124" s="4" t="s">
        <v>59</v>
      </c>
      <c r="C124" s="441" t="s">
        <v>246</v>
      </c>
      <c r="D124" s="441" t="s">
        <v>249</v>
      </c>
      <c r="E124" s="319">
        <v>4</v>
      </c>
      <c r="F124" s="320"/>
      <c r="G124" s="4"/>
      <c r="H124" s="441" t="s">
        <v>246</v>
      </c>
      <c r="I124" s="441" t="s">
        <v>249</v>
      </c>
      <c r="J124" s="319">
        <v>4</v>
      </c>
      <c r="K124" s="320"/>
      <c r="L124" s="4"/>
      <c r="M124" s="441" t="s">
        <v>246</v>
      </c>
      <c r="N124" s="441" t="s">
        <v>249</v>
      </c>
      <c r="O124" s="319">
        <v>4</v>
      </c>
      <c r="P124" s="320"/>
      <c r="Q124" s="4"/>
      <c r="R124" s="441" t="s">
        <v>246</v>
      </c>
      <c r="S124" s="441" t="s">
        <v>249</v>
      </c>
      <c r="T124" s="319">
        <v>4</v>
      </c>
      <c r="U124" s="320"/>
      <c r="V124" s="4"/>
      <c r="W124" s="441" t="s">
        <v>246</v>
      </c>
      <c r="X124" s="441" t="s">
        <v>125</v>
      </c>
      <c r="Y124" s="319">
        <v>2</v>
      </c>
      <c r="Z124" s="320"/>
      <c r="AA124" s="328">
        <f>Y124+T124+O124+J124+E124</f>
        <v>18</v>
      </c>
      <c r="AB124" s="298">
        <f>Z124+U124+P124+K124+F124</f>
        <v>0</v>
      </c>
      <c r="AC124" s="4"/>
      <c r="AF124" s="319"/>
      <c r="AG124" s="328">
        <f>AF124</f>
        <v>0</v>
      </c>
      <c r="AH124" s="175"/>
      <c r="AI124" s="402"/>
      <c r="AJ124" s="367"/>
      <c r="AK124" s="188" t="s">
        <v>32</v>
      </c>
      <c r="AL124" s="196">
        <f>AG125</f>
        <v>0</v>
      </c>
      <c r="AM124" s="511">
        <v>75.77</v>
      </c>
      <c r="AN124" s="510">
        <f>AL124*AM124</f>
        <v>0</v>
      </c>
      <c r="AO124" s="193"/>
      <c r="AP124" s="193"/>
    </row>
    <row r="125" spans="1:42" s="180" customFormat="1" hidden="1">
      <c r="A125" s="313"/>
      <c r="B125" s="64" t="s">
        <v>61</v>
      </c>
      <c r="C125" s="31"/>
      <c r="D125" s="31"/>
      <c r="E125" s="439">
        <f>SUM(E123:E124)</f>
        <v>12</v>
      </c>
      <c r="F125" s="320">
        <f>SUM(F123:F124)</f>
        <v>0</v>
      </c>
      <c r="G125" s="31"/>
      <c r="H125" s="31"/>
      <c r="I125" s="31"/>
      <c r="J125" s="439">
        <f>SUM(J123:J124)</f>
        <v>12</v>
      </c>
      <c r="K125" s="320">
        <f>SUM(K123:K124)</f>
        <v>0</v>
      </c>
      <c r="L125" s="31"/>
      <c r="M125" s="31"/>
      <c r="N125" s="31"/>
      <c r="O125" s="439">
        <f>SUM(O123:O124)</f>
        <v>12</v>
      </c>
      <c r="P125" s="320">
        <f>SUM(P123:P124)</f>
        <v>0</v>
      </c>
      <c r="Q125" s="31"/>
      <c r="R125" s="31"/>
      <c r="S125" s="31"/>
      <c r="T125" s="439">
        <f>SUM(T123:T124)</f>
        <v>12</v>
      </c>
      <c r="U125" s="320">
        <f>SUM(U123:U124)</f>
        <v>0</v>
      </c>
      <c r="V125" s="31"/>
      <c r="W125" s="31"/>
      <c r="X125" s="31"/>
      <c r="Y125" s="439">
        <f>SUM(Y123:Y124)</f>
        <v>10</v>
      </c>
      <c r="Z125" s="320">
        <f>SUM(Z123:Z124)</f>
        <v>0</v>
      </c>
      <c r="AA125" s="370">
        <f>SUM(AA123:AA124)</f>
        <v>58</v>
      </c>
      <c r="AB125" s="370">
        <f>SUM(AB123:AB124)</f>
        <v>0</v>
      </c>
      <c r="AC125" s="4"/>
      <c r="AD125" s="64"/>
      <c r="AE125" s="64"/>
      <c r="AF125" s="370">
        <f>SUM(AF123:AF124)</f>
        <v>0</v>
      </c>
      <c r="AG125" s="370">
        <f>SUM(AG123:AG124)</f>
        <v>0</v>
      </c>
      <c r="AH125" s="4"/>
      <c r="AI125" s="255"/>
      <c r="AJ125" s="367"/>
      <c r="AK125" s="193"/>
      <c r="AL125" s="193"/>
      <c r="AM125" s="193"/>
      <c r="AN125" s="510">
        <f>SUM(AN122:AN124)</f>
        <v>2987</v>
      </c>
      <c r="AO125" s="193"/>
      <c r="AP125" s="193"/>
    </row>
    <row r="126" spans="1:42" s="180" customFormat="1" hidden="1">
      <c r="A126" s="313"/>
      <c r="E126" s="4"/>
      <c r="F126" s="4"/>
      <c r="G126" s="4"/>
      <c r="J126" s="4"/>
      <c r="K126" s="4"/>
      <c r="L126" s="4"/>
      <c r="O126" s="4"/>
      <c r="P126" s="4"/>
      <c r="Q126" s="4"/>
      <c r="T126" s="4"/>
      <c r="U126" s="4"/>
      <c r="V126" s="4"/>
      <c r="Y126" s="4"/>
      <c r="Z126" s="4"/>
      <c r="AA126" s="4"/>
      <c r="AB126" s="4"/>
      <c r="AC126" s="4"/>
      <c r="AH126" s="4"/>
      <c r="AI126" s="255"/>
      <c r="AK126" s="193"/>
      <c r="AL126" s="193"/>
      <c r="AM126" s="193"/>
      <c r="AN126" s="193"/>
      <c r="AO126" s="193"/>
      <c r="AP126" s="193"/>
    </row>
    <row r="127" spans="1:42" s="180" customFormat="1" ht="13.5" hidden="1" customHeight="1">
      <c r="A127" s="313"/>
      <c r="B127" s="229"/>
      <c r="C127" s="230"/>
      <c r="D127" s="230"/>
      <c r="E127" s="232"/>
      <c r="F127" s="232"/>
      <c r="G127" s="230"/>
      <c r="H127" s="232"/>
      <c r="I127" s="232"/>
      <c r="J127" s="232"/>
      <c r="K127" s="232"/>
      <c r="L127" s="230"/>
      <c r="M127" s="230"/>
      <c r="N127" s="230"/>
      <c r="O127" s="230"/>
      <c r="P127" s="232"/>
      <c r="Q127" s="230"/>
      <c r="R127" s="230"/>
      <c r="S127" s="230"/>
      <c r="T127" s="230"/>
      <c r="U127" s="232"/>
      <c r="V127" s="230"/>
      <c r="W127" s="230"/>
      <c r="X127" s="230"/>
      <c r="Y127" s="233"/>
      <c r="Z127" s="232"/>
      <c r="AA127" s="234"/>
      <c r="AB127" s="232"/>
      <c r="AC127" s="373"/>
      <c r="AD127" s="236"/>
      <c r="AE127" s="255"/>
      <c r="AF127" s="255"/>
      <c r="AG127" s="255"/>
      <c r="AH127" s="255"/>
      <c r="AI127" s="255"/>
      <c r="AJ127" s="255"/>
      <c r="AK127" s="255"/>
      <c r="AL127" s="255"/>
      <c r="AM127" s="255"/>
      <c r="AN127" s="255"/>
      <c r="AO127" s="255"/>
      <c r="AP127" s="255"/>
    </row>
    <row r="128" spans="1:42" s="180" customFormat="1" hidden="1">
      <c r="A128" s="313"/>
      <c r="E128" s="4"/>
      <c r="F128" s="4"/>
      <c r="G128" s="4"/>
      <c r="J128" s="4"/>
      <c r="K128" s="4"/>
      <c r="L128" s="4"/>
      <c r="O128" s="4"/>
      <c r="P128" s="4"/>
      <c r="Q128" s="4"/>
      <c r="T128" s="4"/>
      <c r="U128" s="4"/>
      <c r="V128" s="4"/>
      <c r="Y128" s="4"/>
      <c r="Z128" s="4"/>
      <c r="AA128" s="4"/>
      <c r="AB128" s="4"/>
      <c r="AC128" s="4"/>
      <c r="AH128" s="4"/>
      <c r="AI128" s="255"/>
    </row>
    <row r="129" spans="1:42" s="180" customFormat="1" ht="13.5" hidden="1" customHeight="1">
      <c r="A129" s="313"/>
      <c r="B129" s="1518" t="s">
        <v>18</v>
      </c>
      <c r="C129" s="1519">
        <v>45642</v>
      </c>
      <c r="D129" s="1519"/>
      <c r="E129" s="1519"/>
      <c r="F129" s="1519"/>
      <c r="G129" s="365"/>
      <c r="H129" s="1519">
        <v>45643</v>
      </c>
      <c r="I129" s="1519"/>
      <c r="J129" s="1519"/>
      <c r="K129" s="1519"/>
      <c r="L129" s="365"/>
      <c r="M129" s="1519">
        <v>45644</v>
      </c>
      <c r="N129" s="1519"/>
      <c r="O129" s="1519"/>
      <c r="P129" s="1519"/>
      <c r="Q129" s="365"/>
      <c r="R129" s="1519">
        <v>45645</v>
      </c>
      <c r="S129" s="1519"/>
      <c r="T129" s="1519"/>
      <c r="U129" s="1519"/>
      <c r="V129" s="365"/>
      <c r="W129" s="1519">
        <v>45646</v>
      </c>
      <c r="X129" s="1519"/>
      <c r="Y129" s="1519"/>
      <c r="Z129" s="1519"/>
      <c r="AA129" s="1517" t="s">
        <v>19</v>
      </c>
      <c r="AB129" s="1517" t="s">
        <v>20</v>
      </c>
      <c r="AC129" s="4"/>
      <c r="AD129" s="1519">
        <v>45647</v>
      </c>
      <c r="AE129" s="1519"/>
      <c r="AF129" s="1519"/>
      <c r="AG129" s="1517" t="s">
        <v>21</v>
      </c>
      <c r="AH129" s="4"/>
      <c r="AI129" s="368"/>
      <c r="AK129" s="194" t="s">
        <v>84</v>
      </c>
      <c r="AL129" s="366"/>
      <c r="AM129" s="366"/>
      <c r="AN129" s="366"/>
      <c r="AO129" s="366"/>
      <c r="AP129" s="366"/>
    </row>
    <row r="130" spans="1:42" s="180" customFormat="1" hidden="1">
      <c r="A130" s="313"/>
      <c r="B130" s="1518"/>
      <c r="C130" s="21" t="s">
        <v>23</v>
      </c>
      <c r="D130" s="21" t="s">
        <v>24</v>
      </c>
      <c r="E130" s="205" t="s">
        <v>25</v>
      </c>
      <c r="F130" s="18" t="s">
        <v>14</v>
      </c>
      <c r="G130" s="4"/>
      <c r="H130" s="21" t="s">
        <v>23</v>
      </c>
      <c r="I130" s="21" t="s">
        <v>24</v>
      </c>
      <c r="J130" s="18" t="s">
        <v>25</v>
      </c>
      <c r="K130" s="18" t="s">
        <v>14</v>
      </c>
      <c r="L130" s="4"/>
      <c r="M130" s="21" t="s">
        <v>23</v>
      </c>
      <c r="N130" s="21" t="s">
        <v>24</v>
      </c>
      <c r="O130" s="18" t="s">
        <v>25</v>
      </c>
      <c r="P130" s="18" t="s">
        <v>14</v>
      </c>
      <c r="Q130" s="4"/>
      <c r="R130" s="21" t="s">
        <v>23</v>
      </c>
      <c r="S130" s="21" t="s">
        <v>24</v>
      </c>
      <c r="T130" s="18" t="s">
        <v>25</v>
      </c>
      <c r="U130" s="18" t="s">
        <v>14</v>
      </c>
      <c r="V130" s="4"/>
      <c r="W130" s="21" t="s">
        <v>23</v>
      </c>
      <c r="X130" s="21" t="s">
        <v>24</v>
      </c>
      <c r="Y130" s="18" t="s">
        <v>25</v>
      </c>
      <c r="Z130" s="18" t="s">
        <v>14</v>
      </c>
      <c r="AA130" s="1517"/>
      <c r="AB130" s="1517"/>
      <c r="AC130" s="4"/>
      <c r="AD130" s="21" t="s">
        <v>23</v>
      </c>
      <c r="AE130" s="21" t="s">
        <v>24</v>
      </c>
      <c r="AF130" s="18" t="s">
        <v>25</v>
      </c>
      <c r="AG130" s="1517"/>
      <c r="AH130" s="4"/>
      <c r="AI130" s="368"/>
      <c r="AJ130" s="367"/>
      <c r="AK130" s="188" t="s">
        <v>26</v>
      </c>
      <c r="AL130" s="196">
        <f>AA133</f>
        <v>60</v>
      </c>
      <c r="AM130" s="511">
        <v>51.5</v>
      </c>
      <c r="AN130" s="510">
        <f>AL130*AM130</f>
        <v>3090</v>
      </c>
      <c r="AO130" s="193"/>
      <c r="AP130" s="193"/>
    </row>
    <row r="131" spans="1:42" s="180" customFormat="1" hidden="1">
      <c r="A131" s="313"/>
      <c r="B131" s="4" t="s">
        <v>60</v>
      </c>
      <c r="C131" s="441" t="s">
        <v>75</v>
      </c>
      <c r="D131" s="441" t="s">
        <v>246</v>
      </c>
      <c r="E131" s="319">
        <v>8</v>
      </c>
      <c r="F131" s="320"/>
      <c r="G131" s="4"/>
      <c r="H131" s="441" t="s">
        <v>75</v>
      </c>
      <c r="I131" s="441" t="s">
        <v>246</v>
      </c>
      <c r="J131" s="319">
        <v>8</v>
      </c>
      <c r="K131" s="320"/>
      <c r="L131" s="4"/>
      <c r="M131" s="441" t="s">
        <v>75</v>
      </c>
      <c r="N131" s="441" t="s">
        <v>246</v>
      </c>
      <c r="O131" s="319">
        <v>8</v>
      </c>
      <c r="P131" s="320"/>
      <c r="Q131" s="4"/>
      <c r="R131" s="441" t="s">
        <v>75</v>
      </c>
      <c r="S131" s="441" t="s">
        <v>246</v>
      </c>
      <c r="T131" s="319">
        <v>8</v>
      </c>
      <c r="U131" s="320"/>
      <c r="V131" s="4"/>
      <c r="W131" s="441" t="s">
        <v>75</v>
      </c>
      <c r="X131" s="441" t="s">
        <v>246</v>
      </c>
      <c r="Y131" s="319">
        <v>8</v>
      </c>
      <c r="Z131" s="320"/>
      <c r="AA131" s="328">
        <f>Y131+T131+O131+J131+E131</f>
        <v>40</v>
      </c>
      <c r="AB131" s="298">
        <f>Z131+U131+P131+K131+F131</f>
        <v>0</v>
      </c>
      <c r="AC131" s="4"/>
      <c r="AD131" s="587"/>
      <c r="AE131" s="531"/>
      <c r="AF131" s="319"/>
      <c r="AG131" s="328">
        <f>AF131</f>
        <v>0</v>
      </c>
      <c r="AH131" s="4"/>
      <c r="AI131" s="368"/>
      <c r="AJ131" s="367"/>
      <c r="AK131" s="188" t="s">
        <v>30</v>
      </c>
      <c r="AL131" s="196">
        <f>AB133</f>
        <v>0</v>
      </c>
      <c r="AM131" s="511">
        <f>AM130*1.5</f>
        <v>77.25</v>
      </c>
      <c r="AN131" s="510">
        <f>AL131*AM131</f>
        <v>0</v>
      </c>
      <c r="AO131" s="193"/>
      <c r="AP131" s="193"/>
    </row>
    <row r="132" spans="1:42" s="180" customFormat="1" hidden="1">
      <c r="A132" s="313"/>
      <c r="B132" s="4" t="s">
        <v>59</v>
      </c>
      <c r="C132" s="441" t="s">
        <v>246</v>
      </c>
      <c r="D132" s="441" t="s">
        <v>249</v>
      </c>
      <c r="E132" s="319">
        <v>4</v>
      </c>
      <c r="F132" s="320"/>
      <c r="G132" s="4"/>
      <c r="H132" s="441" t="s">
        <v>246</v>
      </c>
      <c r="I132" s="441" t="s">
        <v>249</v>
      </c>
      <c r="J132" s="319">
        <v>4</v>
      </c>
      <c r="K132" s="320"/>
      <c r="L132" s="4"/>
      <c r="M132" s="441" t="s">
        <v>246</v>
      </c>
      <c r="N132" s="441" t="s">
        <v>249</v>
      </c>
      <c r="O132" s="319">
        <v>4</v>
      </c>
      <c r="P132" s="320"/>
      <c r="Q132" s="4"/>
      <c r="R132" s="441" t="s">
        <v>246</v>
      </c>
      <c r="S132" s="441" t="s">
        <v>249</v>
      </c>
      <c r="T132" s="319">
        <v>4</v>
      </c>
      <c r="U132" s="320"/>
      <c r="V132" s="4"/>
      <c r="W132" s="441" t="s">
        <v>246</v>
      </c>
      <c r="X132" s="441" t="s">
        <v>249</v>
      </c>
      <c r="Y132" s="319">
        <v>4</v>
      </c>
      <c r="Z132" s="320"/>
      <c r="AA132" s="328">
        <f>Y132+T132+O132+J132+E132</f>
        <v>20</v>
      </c>
      <c r="AB132" s="298">
        <f>Z132+U132+P132+K132+F132</f>
        <v>0</v>
      </c>
      <c r="AC132" s="4"/>
      <c r="AF132" s="319"/>
      <c r="AG132" s="328">
        <f>AF132</f>
        <v>0</v>
      </c>
      <c r="AH132" s="175"/>
      <c r="AI132" s="402"/>
      <c r="AJ132" s="367"/>
      <c r="AK132" s="188" t="s">
        <v>32</v>
      </c>
      <c r="AL132" s="196">
        <f>AG133</f>
        <v>0</v>
      </c>
      <c r="AM132" s="511">
        <v>75.77</v>
      </c>
      <c r="AN132" s="510">
        <f>AL132*AM132</f>
        <v>0</v>
      </c>
      <c r="AO132" s="193"/>
      <c r="AP132" s="193"/>
    </row>
    <row r="133" spans="1:42" s="180" customFormat="1" ht="13.5" hidden="1" customHeight="1">
      <c r="A133" s="313"/>
      <c r="B133" s="64" t="s">
        <v>61</v>
      </c>
      <c r="C133" s="31"/>
      <c r="D133" s="31"/>
      <c r="E133" s="439">
        <f>SUM(E131:E132)</f>
        <v>12</v>
      </c>
      <c r="F133" s="320">
        <f>SUM(F131:F132)</f>
        <v>0</v>
      </c>
      <c r="G133" s="31"/>
      <c r="H133" s="31"/>
      <c r="I133" s="31"/>
      <c r="J133" s="439">
        <f>SUM(J131:J132)</f>
        <v>12</v>
      </c>
      <c r="K133" s="320">
        <f>SUM(K131:K132)</f>
        <v>0</v>
      </c>
      <c r="L133" s="31"/>
      <c r="M133" s="31"/>
      <c r="N133" s="31"/>
      <c r="O133" s="439">
        <f>SUM(O131:O132)</f>
        <v>12</v>
      </c>
      <c r="P133" s="320">
        <f>SUM(P131:P132)</f>
        <v>0</v>
      </c>
      <c r="Q133" s="31"/>
      <c r="R133" s="31"/>
      <c r="S133" s="31"/>
      <c r="T133" s="439">
        <f>SUM(T131:T132)</f>
        <v>12</v>
      </c>
      <c r="U133" s="320">
        <f>SUM(U131:U132)</f>
        <v>0</v>
      </c>
      <c r="V133" s="31"/>
      <c r="W133" s="31"/>
      <c r="X133" s="31"/>
      <c r="Y133" s="439">
        <f>SUM(Y131:Y132)</f>
        <v>12</v>
      </c>
      <c r="Z133" s="320">
        <f>SUM(Z131:Z132)</f>
        <v>0</v>
      </c>
      <c r="AA133" s="370">
        <f>SUM(AA131:AA132)</f>
        <v>60</v>
      </c>
      <c r="AB133" s="370">
        <f>SUM(AB131:AB132)</f>
        <v>0</v>
      </c>
      <c r="AC133" s="4"/>
      <c r="AD133" s="64"/>
      <c r="AE133" s="64"/>
      <c r="AF133" s="370">
        <f>SUM(AF131:AF132)</f>
        <v>0</v>
      </c>
      <c r="AG133" s="370">
        <f>SUM(AG131:AG132)</f>
        <v>0</v>
      </c>
      <c r="AH133" s="4"/>
      <c r="AI133" s="255"/>
      <c r="AJ133" s="367"/>
      <c r="AK133" s="193"/>
      <c r="AL133" s="193"/>
      <c r="AM133" s="193"/>
      <c r="AN133" s="510">
        <f>SUM(AN130:AN132)</f>
        <v>3090</v>
      </c>
      <c r="AO133" s="193"/>
      <c r="AP133" s="193"/>
    </row>
    <row r="134" spans="1:42" s="180" customFormat="1" hidden="1">
      <c r="A134" s="313"/>
      <c r="E134" s="4"/>
      <c r="F134" s="4"/>
      <c r="G134" s="4"/>
      <c r="J134" s="4"/>
      <c r="K134" s="4"/>
      <c r="L134" s="4"/>
      <c r="O134" s="4"/>
      <c r="P134" s="4"/>
      <c r="Q134" s="4"/>
      <c r="T134" s="4"/>
      <c r="U134" s="4"/>
      <c r="V134" s="4"/>
      <c r="Y134" s="4"/>
      <c r="Z134" s="4"/>
      <c r="AA134" s="4"/>
      <c r="AB134" s="4"/>
      <c r="AC134" s="4"/>
      <c r="AH134" s="4"/>
      <c r="AI134" s="255"/>
      <c r="AK134" s="193"/>
      <c r="AL134" s="193"/>
      <c r="AM134" s="193"/>
      <c r="AN134" s="193"/>
      <c r="AO134" s="193"/>
      <c r="AP134" s="193"/>
    </row>
    <row r="135" spans="1:42" s="180" customFormat="1" hidden="1">
      <c r="A135" s="313"/>
      <c r="B135" s="229"/>
      <c r="C135" s="230"/>
      <c r="D135" s="230"/>
      <c r="E135" s="232"/>
      <c r="F135" s="232"/>
      <c r="G135" s="230"/>
      <c r="H135" s="232"/>
      <c r="I135" s="232"/>
      <c r="J135" s="232"/>
      <c r="K135" s="232"/>
      <c r="L135" s="230"/>
      <c r="M135" s="230"/>
      <c r="N135" s="230"/>
      <c r="O135" s="230"/>
      <c r="P135" s="232"/>
      <c r="Q135" s="230"/>
      <c r="R135" s="230"/>
      <c r="S135" s="230"/>
      <c r="T135" s="230"/>
      <c r="U135" s="232"/>
      <c r="V135" s="230"/>
      <c r="W135" s="230"/>
      <c r="X135" s="230"/>
      <c r="Y135" s="233"/>
      <c r="Z135" s="232"/>
      <c r="AA135" s="234"/>
      <c r="AB135" s="232"/>
      <c r="AC135" s="373"/>
      <c r="AD135" s="236"/>
      <c r="AE135" s="255"/>
      <c r="AF135" s="255"/>
      <c r="AG135" s="255"/>
      <c r="AH135" s="255"/>
      <c r="AI135" s="255"/>
      <c r="AJ135" s="255"/>
      <c r="AK135" s="255"/>
      <c r="AL135" s="255"/>
      <c r="AM135" s="255"/>
      <c r="AN135" s="255"/>
      <c r="AO135" s="255"/>
      <c r="AP135" s="255"/>
    </row>
    <row r="136" spans="1:42" s="180" customFormat="1" ht="13.5" hidden="1" customHeight="1">
      <c r="A136" s="313"/>
      <c r="E136" s="4"/>
      <c r="F136" s="4"/>
      <c r="G136" s="4"/>
      <c r="J136" s="4"/>
      <c r="K136" s="4"/>
      <c r="L136" s="4"/>
      <c r="O136" s="4"/>
      <c r="P136" s="4"/>
      <c r="Q136" s="4"/>
      <c r="T136" s="4"/>
      <c r="U136" s="4"/>
      <c r="V136" s="4"/>
      <c r="Y136" s="4"/>
      <c r="Z136" s="4"/>
      <c r="AA136" s="4"/>
      <c r="AB136" s="4"/>
      <c r="AC136" s="4"/>
      <c r="AH136" s="4"/>
      <c r="AI136" s="255"/>
    </row>
    <row r="137" spans="1:42" s="180" customFormat="1" ht="13.5" hidden="1" customHeight="1">
      <c r="A137" s="313"/>
      <c r="B137" s="1518" t="s">
        <v>18</v>
      </c>
      <c r="C137" s="1519">
        <v>45649</v>
      </c>
      <c r="D137" s="1519"/>
      <c r="E137" s="1519"/>
      <c r="F137" s="1519"/>
      <c r="G137" s="365"/>
      <c r="H137" s="1519">
        <v>45650</v>
      </c>
      <c r="I137" s="1519"/>
      <c r="J137" s="1519"/>
      <c r="K137" s="1519"/>
      <c r="L137" s="365"/>
      <c r="M137" s="1519">
        <v>45651</v>
      </c>
      <c r="N137" s="1519"/>
      <c r="O137" s="1519"/>
      <c r="P137" s="1519"/>
      <c r="Q137" s="365"/>
      <c r="R137" s="1519">
        <v>45652</v>
      </c>
      <c r="S137" s="1519"/>
      <c r="T137" s="1519"/>
      <c r="U137" s="1519"/>
      <c r="V137" s="365"/>
      <c r="W137" s="1519">
        <v>45653</v>
      </c>
      <c r="X137" s="1519"/>
      <c r="Y137" s="1519"/>
      <c r="Z137" s="1519"/>
      <c r="AA137" s="1517" t="s">
        <v>19</v>
      </c>
      <c r="AB137" s="1517" t="s">
        <v>20</v>
      </c>
      <c r="AC137" s="4"/>
      <c r="AD137" s="1519">
        <v>45654</v>
      </c>
      <c r="AE137" s="1519"/>
      <c r="AF137" s="1519"/>
      <c r="AG137" s="1517" t="s">
        <v>21</v>
      </c>
      <c r="AH137" s="4"/>
      <c r="AI137" s="368"/>
      <c r="AK137" s="194" t="s">
        <v>84</v>
      </c>
      <c r="AL137" s="366"/>
      <c r="AM137" s="366"/>
      <c r="AN137" s="366"/>
      <c r="AO137" s="366"/>
      <c r="AP137" s="366"/>
    </row>
    <row r="138" spans="1:42" s="180" customFormat="1" hidden="1">
      <c r="A138" s="313"/>
      <c r="B138" s="1518"/>
      <c r="C138" s="21" t="s">
        <v>23</v>
      </c>
      <c r="D138" s="21" t="s">
        <v>24</v>
      </c>
      <c r="E138" s="205" t="s">
        <v>25</v>
      </c>
      <c r="F138" s="18" t="s">
        <v>14</v>
      </c>
      <c r="G138" s="4"/>
      <c r="H138" s="21" t="s">
        <v>23</v>
      </c>
      <c r="I138" s="21" t="s">
        <v>24</v>
      </c>
      <c r="J138" s="18" t="s">
        <v>25</v>
      </c>
      <c r="K138" s="18" t="s">
        <v>14</v>
      </c>
      <c r="L138" s="4"/>
      <c r="M138" s="21" t="s">
        <v>23</v>
      </c>
      <c r="N138" s="21" t="s">
        <v>24</v>
      </c>
      <c r="O138" s="18" t="s">
        <v>25</v>
      </c>
      <c r="P138" s="18" t="s">
        <v>14</v>
      </c>
      <c r="Q138" s="4"/>
      <c r="R138" s="21" t="s">
        <v>23</v>
      </c>
      <c r="S138" s="21" t="s">
        <v>24</v>
      </c>
      <c r="T138" s="18" t="s">
        <v>25</v>
      </c>
      <c r="U138" s="18" t="s">
        <v>14</v>
      </c>
      <c r="V138" s="4"/>
      <c r="W138" s="21" t="s">
        <v>23</v>
      </c>
      <c r="X138" s="21" t="s">
        <v>24</v>
      </c>
      <c r="Y138" s="18" t="s">
        <v>25</v>
      </c>
      <c r="Z138" s="18" t="s">
        <v>14</v>
      </c>
      <c r="AA138" s="1517"/>
      <c r="AB138" s="1517"/>
      <c r="AC138" s="4"/>
      <c r="AD138" s="21" t="s">
        <v>23</v>
      </c>
      <c r="AE138" s="21" t="s">
        <v>24</v>
      </c>
      <c r="AF138" s="18" t="s">
        <v>25</v>
      </c>
      <c r="AG138" s="1517"/>
      <c r="AH138" s="4"/>
      <c r="AI138" s="368"/>
      <c r="AJ138" s="367"/>
      <c r="AK138" s="188" t="s">
        <v>26</v>
      </c>
      <c r="AL138" s="196">
        <f>AA141</f>
        <v>43</v>
      </c>
      <c r="AM138" s="511">
        <v>51.5</v>
      </c>
      <c r="AN138" s="510">
        <f>AL138*AM138</f>
        <v>2214.5</v>
      </c>
      <c r="AO138" s="193"/>
      <c r="AP138" s="193"/>
    </row>
    <row r="139" spans="1:42" s="180" customFormat="1" ht="13.5" hidden="1" customHeight="1">
      <c r="A139" s="313"/>
      <c r="B139" s="4" t="s">
        <v>60</v>
      </c>
      <c r="C139" s="441" t="s">
        <v>75</v>
      </c>
      <c r="D139" s="441" t="s">
        <v>246</v>
      </c>
      <c r="E139" s="319">
        <v>8</v>
      </c>
      <c r="F139" s="320"/>
      <c r="G139" s="4"/>
      <c r="H139" s="441" t="s">
        <v>75</v>
      </c>
      <c r="I139" s="441" t="s">
        <v>246</v>
      </c>
      <c r="J139" s="319">
        <v>8</v>
      </c>
      <c r="K139" s="320"/>
      <c r="L139" s="4"/>
      <c r="M139" s="441"/>
      <c r="N139" s="441"/>
      <c r="O139" s="319"/>
      <c r="P139" s="320"/>
      <c r="Q139" s="4"/>
      <c r="R139" s="441" t="s">
        <v>75</v>
      </c>
      <c r="S139" s="441" t="s">
        <v>246</v>
      </c>
      <c r="T139" s="319">
        <v>8</v>
      </c>
      <c r="U139" s="320"/>
      <c r="V139" s="4"/>
      <c r="W139" s="441" t="s">
        <v>75</v>
      </c>
      <c r="X139" s="441" t="s">
        <v>246</v>
      </c>
      <c r="Y139" s="319">
        <v>8</v>
      </c>
      <c r="Z139" s="320"/>
      <c r="AA139" s="328">
        <f>Y139+T139+O139+J139+E139</f>
        <v>32</v>
      </c>
      <c r="AB139" s="298">
        <f>Z139+U139+P139+K139+F139</f>
        <v>0</v>
      </c>
      <c r="AC139" s="4"/>
      <c r="AD139" s="587"/>
      <c r="AE139" s="531"/>
      <c r="AF139" s="319"/>
      <c r="AG139" s="328">
        <f>AF139</f>
        <v>0</v>
      </c>
      <c r="AH139" s="4"/>
      <c r="AI139" s="368"/>
      <c r="AJ139" s="367"/>
      <c r="AK139" s="188" t="s">
        <v>30</v>
      </c>
      <c r="AL139" s="196">
        <f>AB141</f>
        <v>0</v>
      </c>
      <c r="AM139" s="511">
        <f>AM138*1.5</f>
        <v>77.25</v>
      </c>
      <c r="AN139" s="510">
        <f>AL139*AM139</f>
        <v>0</v>
      </c>
      <c r="AO139" s="193"/>
      <c r="AP139" s="193"/>
    </row>
    <row r="140" spans="1:42" s="180" customFormat="1" hidden="1">
      <c r="A140" s="313"/>
      <c r="B140" s="4" t="s">
        <v>59</v>
      </c>
      <c r="C140" s="441" t="s">
        <v>946</v>
      </c>
      <c r="D140" s="441" t="s">
        <v>947</v>
      </c>
      <c r="E140" s="319">
        <v>4</v>
      </c>
      <c r="F140" s="320"/>
      <c r="G140" s="4"/>
      <c r="H140" s="441" t="s">
        <v>427</v>
      </c>
      <c r="I140" s="441" t="s">
        <v>222</v>
      </c>
      <c r="J140" s="319">
        <v>4</v>
      </c>
      <c r="K140" s="320"/>
      <c r="L140" s="4"/>
      <c r="M140" s="441"/>
      <c r="N140" s="441"/>
      <c r="O140" s="319"/>
      <c r="P140" s="320"/>
      <c r="Q140" s="4"/>
      <c r="R140" s="441" t="s">
        <v>116</v>
      </c>
      <c r="S140" s="441"/>
      <c r="T140" s="319"/>
      <c r="U140" s="320"/>
      <c r="V140" s="4"/>
      <c r="W140" s="441" t="s">
        <v>948</v>
      </c>
      <c r="X140" s="441" t="s">
        <v>949</v>
      </c>
      <c r="Y140" s="319">
        <v>3</v>
      </c>
      <c r="Z140" s="320"/>
      <c r="AA140" s="328">
        <f>Y140+T140+O140+J140+E140</f>
        <v>11</v>
      </c>
      <c r="AB140" s="298">
        <f>Z140+U140+P140+K140+F140</f>
        <v>0</v>
      </c>
      <c r="AC140" s="4"/>
      <c r="AF140" s="319"/>
      <c r="AG140" s="328">
        <f>AF140</f>
        <v>0</v>
      </c>
      <c r="AH140" s="175"/>
      <c r="AI140" s="402"/>
      <c r="AJ140" s="367"/>
      <c r="AK140" s="188" t="s">
        <v>32</v>
      </c>
      <c r="AL140" s="196">
        <f>AG141</f>
        <v>0</v>
      </c>
      <c r="AM140" s="511">
        <v>75.77</v>
      </c>
      <c r="AN140" s="510">
        <f>AL140*AM140</f>
        <v>0</v>
      </c>
      <c r="AO140" s="193"/>
      <c r="AP140" s="193"/>
    </row>
    <row r="141" spans="1:42" s="180" customFormat="1" hidden="1">
      <c r="A141" s="313"/>
      <c r="B141" s="64" t="s">
        <v>61</v>
      </c>
      <c r="C141" s="31"/>
      <c r="D141" s="31"/>
      <c r="E141" s="439">
        <f>SUM(E139:E140)</f>
        <v>12</v>
      </c>
      <c r="F141" s="320">
        <f>SUM(F139:F140)</f>
        <v>0</v>
      </c>
      <c r="G141" s="31"/>
      <c r="H141" s="31"/>
      <c r="I141" s="31"/>
      <c r="J141" s="439">
        <f>SUM(J139:J140)</f>
        <v>12</v>
      </c>
      <c r="K141" s="320">
        <f>SUM(K139:K140)</f>
        <v>0</v>
      </c>
      <c r="L141" s="31"/>
      <c r="M141" s="31"/>
      <c r="N141" s="31"/>
      <c r="O141" s="439">
        <f>SUM(O139:O140)</f>
        <v>0</v>
      </c>
      <c r="P141" s="320">
        <f>SUM(P139:P140)</f>
        <v>0</v>
      </c>
      <c r="Q141" s="31"/>
      <c r="R141" s="31"/>
      <c r="S141" s="31"/>
      <c r="T141" s="439">
        <f>SUM(T139:T140)</f>
        <v>8</v>
      </c>
      <c r="U141" s="320">
        <f>SUM(U139:U140)</f>
        <v>0</v>
      </c>
      <c r="V141" s="31"/>
      <c r="W141" s="31"/>
      <c r="X141" s="31"/>
      <c r="Y141" s="439">
        <f>SUM(Y139:Y140)</f>
        <v>11</v>
      </c>
      <c r="Z141" s="320">
        <f>SUM(Z139:Z140)</f>
        <v>0</v>
      </c>
      <c r="AA141" s="370">
        <f>SUM(AA139:AA140)</f>
        <v>43</v>
      </c>
      <c r="AB141" s="370">
        <f>SUM(AB139:AB140)</f>
        <v>0</v>
      </c>
      <c r="AC141" s="4"/>
      <c r="AD141" s="64"/>
      <c r="AE141" s="64"/>
      <c r="AF141" s="370">
        <f>SUM(AF139:AF140)</f>
        <v>0</v>
      </c>
      <c r="AG141" s="370">
        <f>SUM(AG139:AG140)</f>
        <v>0</v>
      </c>
      <c r="AH141" s="4"/>
      <c r="AI141" s="255"/>
      <c r="AJ141" s="367"/>
      <c r="AK141" s="193"/>
      <c r="AL141" s="193"/>
      <c r="AM141" s="193"/>
      <c r="AN141" s="510">
        <f>SUM(AN138:AN140)</f>
        <v>2214.5</v>
      </c>
      <c r="AO141" s="193"/>
      <c r="AP141" s="193"/>
    </row>
    <row r="142" spans="1:42" s="180" customFormat="1" hidden="1">
      <c r="A142" s="313"/>
      <c r="E142" s="4"/>
      <c r="F142" s="4"/>
      <c r="G142" s="4"/>
      <c r="J142" s="4"/>
      <c r="K142" s="4"/>
      <c r="L142" s="4"/>
      <c r="O142" s="4"/>
      <c r="P142" s="4"/>
      <c r="Q142" s="4"/>
      <c r="T142" s="4"/>
      <c r="U142" s="4"/>
      <c r="V142" s="4"/>
      <c r="Y142" s="4"/>
      <c r="Z142" s="4"/>
      <c r="AA142" s="4"/>
      <c r="AB142" s="4"/>
      <c r="AC142" s="4"/>
      <c r="AH142" s="4"/>
      <c r="AI142" s="255"/>
      <c r="AK142" s="193"/>
      <c r="AL142" s="193"/>
      <c r="AM142" s="193"/>
      <c r="AN142" s="193"/>
      <c r="AO142" s="193"/>
      <c r="AP142" s="193"/>
    </row>
    <row r="143" spans="1:42" s="180" customFormat="1" hidden="1">
      <c r="A143" s="313"/>
      <c r="B143" s="229"/>
      <c r="C143" s="230"/>
      <c r="D143" s="230"/>
      <c r="E143" s="232"/>
      <c r="F143" s="232"/>
      <c r="G143" s="230"/>
      <c r="H143" s="232"/>
      <c r="I143" s="232"/>
      <c r="J143" s="232"/>
      <c r="K143" s="232"/>
      <c r="L143" s="230"/>
      <c r="M143" s="230"/>
      <c r="N143" s="230"/>
      <c r="O143" s="230"/>
      <c r="P143" s="232"/>
      <c r="Q143" s="230"/>
      <c r="R143" s="230"/>
      <c r="S143" s="230"/>
      <c r="T143" s="230"/>
      <c r="U143" s="232"/>
      <c r="V143" s="230"/>
      <c r="W143" s="230"/>
      <c r="X143" s="230"/>
      <c r="Y143" s="233"/>
      <c r="Z143" s="232"/>
      <c r="AA143" s="234"/>
      <c r="AB143" s="232"/>
      <c r="AC143" s="373"/>
      <c r="AD143" s="236"/>
      <c r="AE143" s="255"/>
      <c r="AF143" s="255"/>
      <c r="AG143" s="255"/>
      <c r="AH143" s="255"/>
      <c r="AI143" s="255"/>
      <c r="AJ143" s="255"/>
      <c r="AK143" s="255"/>
      <c r="AL143" s="255"/>
      <c r="AM143" s="255"/>
      <c r="AN143" s="255"/>
      <c r="AO143" s="255"/>
      <c r="AP143" s="255"/>
    </row>
    <row r="144" spans="1:42" s="180" customFormat="1" hidden="1">
      <c r="A144" s="313"/>
      <c r="E144" s="4"/>
      <c r="F144" s="4"/>
      <c r="G144" s="4"/>
      <c r="J144" s="4"/>
      <c r="K144" s="4"/>
      <c r="L144" s="4"/>
      <c r="O144" s="4"/>
      <c r="P144" s="4"/>
      <c r="Q144" s="4"/>
      <c r="T144" s="4"/>
      <c r="U144" s="4"/>
      <c r="V144" s="4"/>
      <c r="Y144" s="4"/>
      <c r="Z144" s="4"/>
      <c r="AA144" s="4"/>
      <c r="AB144" s="4"/>
      <c r="AC144" s="4"/>
      <c r="AH144" s="4"/>
      <c r="AI144" s="255"/>
    </row>
    <row r="145" spans="1:42" s="180" customFormat="1" ht="13.5" hidden="1" customHeight="1">
      <c r="A145" s="313"/>
      <c r="B145" s="1518" t="s">
        <v>18</v>
      </c>
      <c r="C145" s="1519">
        <v>45656</v>
      </c>
      <c r="D145" s="1519"/>
      <c r="E145" s="1519"/>
      <c r="F145" s="1519"/>
      <c r="G145" s="365"/>
      <c r="H145" s="1519">
        <v>45657</v>
      </c>
      <c r="I145" s="1519"/>
      <c r="J145" s="1519"/>
      <c r="K145" s="1519"/>
      <c r="L145" s="365"/>
      <c r="M145" s="1519">
        <v>45658</v>
      </c>
      <c r="N145" s="1519"/>
      <c r="O145" s="1519"/>
      <c r="P145" s="1519"/>
      <c r="Q145" s="365"/>
      <c r="R145" s="1519">
        <v>45659</v>
      </c>
      <c r="S145" s="1519"/>
      <c r="T145" s="1519"/>
      <c r="U145" s="1519"/>
      <c r="V145" s="365"/>
      <c r="W145" s="1519">
        <v>45660</v>
      </c>
      <c r="X145" s="1519"/>
      <c r="Y145" s="1519"/>
      <c r="Z145" s="1519"/>
      <c r="AA145" s="1517" t="s">
        <v>19</v>
      </c>
      <c r="AB145" s="1517" t="s">
        <v>20</v>
      </c>
      <c r="AC145" s="4"/>
      <c r="AD145" s="1519">
        <v>45661</v>
      </c>
      <c r="AE145" s="1519"/>
      <c r="AF145" s="1519"/>
      <c r="AG145" s="1517" t="s">
        <v>21</v>
      </c>
      <c r="AH145" s="4"/>
      <c r="AI145" s="368"/>
      <c r="AK145" s="194" t="s">
        <v>84</v>
      </c>
      <c r="AL145" s="366"/>
      <c r="AM145" s="366"/>
      <c r="AN145" s="366"/>
      <c r="AO145" s="366"/>
      <c r="AP145" s="366"/>
    </row>
    <row r="146" spans="1:42" s="180" customFormat="1" hidden="1">
      <c r="A146" s="313"/>
      <c r="B146" s="1518"/>
      <c r="C146" s="21" t="s">
        <v>23</v>
      </c>
      <c r="D146" s="21" t="s">
        <v>24</v>
      </c>
      <c r="E146" s="205" t="s">
        <v>25</v>
      </c>
      <c r="F146" s="18" t="s">
        <v>14</v>
      </c>
      <c r="G146" s="4"/>
      <c r="H146" s="21" t="s">
        <v>23</v>
      </c>
      <c r="I146" s="21" t="s">
        <v>24</v>
      </c>
      <c r="J146" s="18" t="s">
        <v>25</v>
      </c>
      <c r="K146" s="18" t="s">
        <v>14</v>
      </c>
      <c r="L146" s="4"/>
      <c r="M146" s="21" t="s">
        <v>23</v>
      </c>
      <c r="N146" s="21" t="s">
        <v>24</v>
      </c>
      <c r="O146" s="18" t="s">
        <v>25</v>
      </c>
      <c r="P146" s="18" t="s">
        <v>14</v>
      </c>
      <c r="Q146" s="4"/>
      <c r="R146" s="21" t="s">
        <v>23</v>
      </c>
      <c r="S146" s="21" t="s">
        <v>24</v>
      </c>
      <c r="T146" s="18" t="s">
        <v>25</v>
      </c>
      <c r="U146" s="18" t="s">
        <v>14</v>
      </c>
      <c r="V146" s="4"/>
      <c r="W146" s="21" t="s">
        <v>23</v>
      </c>
      <c r="X146" s="21" t="s">
        <v>24</v>
      </c>
      <c r="Y146" s="18" t="s">
        <v>25</v>
      </c>
      <c r="Z146" s="18" t="s">
        <v>14</v>
      </c>
      <c r="AA146" s="1517"/>
      <c r="AB146" s="1517"/>
      <c r="AC146" s="4"/>
      <c r="AD146" s="21" t="s">
        <v>23</v>
      </c>
      <c r="AE146" s="21" t="s">
        <v>24</v>
      </c>
      <c r="AF146" s="18" t="s">
        <v>25</v>
      </c>
      <c r="AG146" s="1517"/>
      <c r="AH146" s="4"/>
      <c r="AI146" s="368"/>
      <c r="AJ146" s="367"/>
      <c r="AK146" s="188" t="s">
        <v>26</v>
      </c>
      <c r="AL146" s="196">
        <f>AA149</f>
        <v>52</v>
      </c>
      <c r="AM146" s="511">
        <v>51.5</v>
      </c>
      <c r="AN146" s="510">
        <f>AL146*AM146</f>
        <v>2678</v>
      </c>
      <c r="AO146" s="193"/>
      <c r="AP146" s="193"/>
    </row>
    <row r="147" spans="1:42" s="180" customFormat="1" hidden="1">
      <c r="A147" s="313"/>
      <c r="B147" s="4" t="s">
        <v>60</v>
      </c>
      <c r="C147" s="441" t="s">
        <v>75</v>
      </c>
      <c r="D147" s="441" t="s">
        <v>246</v>
      </c>
      <c r="E147" s="319">
        <v>8</v>
      </c>
      <c r="F147" s="320"/>
      <c r="G147" s="4"/>
      <c r="H147" s="441" t="s">
        <v>75</v>
      </c>
      <c r="I147" s="441" t="s">
        <v>246</v>
      </c>
      <c r="J147" s="319">
        <v>8</v>
      </c>
      <c r="K147" s="320"/>
      <c r="L147" s="4"/>
      <c r="M147" s="441"/>
      <c r="N147" s="441"/>
      <c r="O147" s="319"/>
      <c r="P147" s="320"/>
      <c r="Q147" s="4"/>
      <c r="R147" s="441" t="s">
        <v>75</v>
      </c>
      <c r="S147" s="441" t="s">
        <v>246</v>
      </c>
      <c r="T147" s="319">
        <v>8</v>
      </c>
      <c r="U147" s="320"/>
      <c r="V147" s="4"/>
      <c r="W147" s="441" t="s">
        <v>75</v>
      </c>
      <c r="X147" s="441" t="s">
        <v>246</v>
      </c>
      <c r="Y147" s="319">
        <v>8</v>
      </c>
      <c r="Z147" s="320"/>
      <c r="AA147" s="328">
        <f>Y147+T147+O147+J147+E147</f>
        <v>32</v>
      </c>
      <c r="AB147" s="298">
        <f>Z147+U147+P147+K147+F147</f>
        <v>0</v>
      </c>
      <c r="AC147" s="4"/>
      <c r="AD147" s="587"/>
      <c r="AE147" s="531"/>
      <c r="AF147" s="319"/>
      <c r="AG147" s="328">
        <f>AF147</f>
        <v>0</v>
      </c>
      <c r="AH147" s="4"/>
      <c r="AI147" s="368"/>
      <c r="AJ147" s="367"/>
      <c r="AK147" s="188" t="s">
        <v>30</v>
      </c>
      <c r="AL147" s="196">
        <f>AB149</f>
        <v>0</v>
      </c>
      <c r="AM147" s="511">
        <f>AM146*1.5</f>
        <v>77.25</v>
      </c>
      <c r="AN147" s="510">
        <f>AL147*AM147</f>
        <v>0</v>
      </c>
      <c r="AO147" s="193"/>
      <c r="AP147" s="193"/>
    </row>
    <row r="148" spans="1:42" s="180" customFormat="1" hidden="1">
      <c r="A148" s="313"/>
      <c r="B148" s="4" t="s">
        <v>59</v>
      </c>
      <c r="C148" s="441" t="s">
        <v>222</v>
      </c>
      <c r="D148" s="441" t="s">
        <v>125</v>
      </c>
      <c r="E148" s="319">
        <v>4</v>
      </c>
      <c r="F148" s="320"/>
      <c r="G148" s="4"/>
      <c r="H148" s="441" t="s">
        <v>222</v>
      </c>
      <c r="I148" s="441" t="s">
        <v>125</v>
      </c>
      <c r="J148" s="319">
        <v>4</v>
      </c>
      <c r="K148" s="320"/>
      <c r="L148" s="4"/>
      <c r="M148" s="441" t="s">
        <v>222</v>
      </c>
      <c r="N148" s="441" t="s">
        <v>125</v>
      </c>
      <c r="O148" s="319">
        <v>4</v>
      </c>
      <c r="P148" s="320"/>
      <c r="Q148" s="4"/>
      <c r="R148" s="441" t="s">
        <v>222</v>
      </c>
      <c r="S148" s="441" t="s">
        <v>125</v>
      </c>
      <c r="T148" s="319">
        <v>4</v>
      </c>
      <c r="U148" s="320"/>
      <c r="V148" s="4"/>
      <c r="W148" s="441" t="s">
        <v>222</v>
      </c>
      <c r="X148" s="441" t="s">
        <v>125</v>
      </c>
      <c r="Y148" s="319">
        <v>4</v>
      </c>
      <c r="Z148" s="320"/>
      <c r="AA148" s="328">
        <f>Y148+T148+O148+J148+E148</f>
        <v>20</v>
      </c>
      <c r="AB148" s="298">
        <f>Z148+U148+P148+K148+F148</f>
        <v>0</v>
      </c>
      <c r="AC148" s="4"/>
      <c r="AF148" s="319"/>
      <c r="AG148" s="328">
        <f>AF148</f>
        <v>0</v>
      </c>
      <c r="AH148" s="175"/>
      <c r="AI148" s="402"/>
      <c r="AJ148" s="367"/>
      <c r="AK148" s="188" t="s">
        <v>32</v>
      </c>
      <c r="AL148" s="196">
        <f>AG149</f>
        <v>0</v>
      </c>
      <c r="AM148" s="511">
        <v>75.77</v>
      </c>
      <c r="AN148" s="510">
        <f>AL148*AM148</f>
        <v>0</v>
      </c>
      <c r="AO148" s="193"/>
      <c r="AP148" s="193"/>
    </row>
    <row r="149" spans="1:42" s="180" customFormat="1" hidden="1">
      <c r="A149" s="313"/>
      <c r="B149" s="64" t="s">
        <v>61</v>
      </c>
      <c r="C149" s="31"/>
      <c r="D149" s="31"/>
      <c r="E149" s="439">
        <f>SUM(E147:E148)</f>
        <v>12</v>
      </c>
      <c r="F149" s="320">
        <f>SUM(F147:F148)</f>
        <v>0</v>
      </c>
      <c r="G149" s="31"/>
      <c r="H149" s="31"/>
      <c r="I149" s="31"/>
      <c r="J149" s="439">
        <f>SUM(J147:J148)</f>
        <v>12</v>
      </c>
      <c r="K149" s="320">
        <f>SUM(K147:K148)</f>
        <v>0</v>
      </c>
      <c r="L149" s="31"/>
      <c r="M149" s="31"/>
      <c r="N149" s="31"/>
      <c r="O149" s="439">
        <f>SUM(O147:O148)</f>
        <v>4</v>
      </c>
      <c r="P149" s="320">
        <f>SUM(P147:P148)</f>
        <v>0</v>
      </c>
      <c r="Q149" s="31"/>
      <c r="R149" s="31"/>
      <c r="S149" s="31"/>
      <c r="T149" s="439">
        <f>SUM(T147:T148)</f>
        <v>12</v>
      </c>
      <c r="U149" s="320">
        <f>SUM(U147:U148)</f>
        <v>0</v>
      </c>
      <c r="V149" s="31"/>
      <c r="W149" s="31"/>
      <c r="X149" s="31"/>
      <c r="Y149" s="439">
        <f>SUM(Y147:Y148)</f>
        <v>12</v>
      </c>
      <c r="Z149" s="320">
        <f>SUM(Z147:Z148)</f>
        <v>0</v>
      </c>
      <c r="AA149" s="370">
        <f>SUM(AA147:AA148)</f>
        <v>52</v>
      </c>
      <c r="AB149" s="370">
        <f>SUM(AB147:AB148)</f>
        <v>0</v>
      </c>
      <c r="AC149" s="4"/>
      <c r="AD149" s="64"/>
      <c r="AE149" s="64"/>
      <c r="AF149" s="370">
        <f>SUM(AF147:AF148)</f>
        <v>0</v>
      </c>
      <c r="AG149" s="370">
        <f>SUM(AG147:AG148)</f>
        <v>0</v>
      </c>
      <c r="AH149" s="4"/>
      <c r="AI149" s="255"/>
      <c r="AJ149" s="367"/>
      <c r="AK149" s="193"/>
      <c r="AL149" s="193"/>
      <c r="AM149" s="193"/>
      <c r="AN149" s="510">
        <f>SUM(AN146:AN148)</f>
        <v>2678</v>
      </c>
      <c r="AO149" s="193"/>
      <c r="AP149" s="193"/>
    </row>
    <row r="150" spans="1:42" s="180" customFormat="1" hidden="1">
      <c r="A150" s="313"/>
      <c r="E150" s="4"/>
      <c r="F150" s="4"/>
      <c r="G150" s="4"/>
      <c r="J150" s="4"/>
      <c r="K150" s="4"/>
      <c r="L150" s="4"/>
      <c r="O150" s="4"/>
      <c r="P150" s="4"/>
      <c r="Q150" s="4"/>
      <c r="T150" s="4"/>
      <c r="U150" s="4"/>
      <c r="V150" s="4"/>
      <c r="Y150" s="4"/>
      <c r="Z150" s="4"/>
      <c r="AA150" s="4"/>
      <c r="AB150" s="4"/>
      <c r="AC150" s="4"/>
      <c r="AH150" s="4"/>
      <c r="AI150" s="255"/>
      <c r="AK150" s="193"/>
      <c r="AL150" s="193"/>
      <c r="AM150" s="193"/>
      <c r="AN150" s="193"/>
      <c r="AO150" s="193"/>
      <c r="AP150" s="193"/>
    </row>
    <row r="151" spans="1:42" s="180" customFormat="1" hidden="1">
      <c r="A151" s="313"/>
      <c r="B151" s="229"/>
      <c r="C151" s="230"/>
      <c r="D151" s="230"/>
      <c r="E151" s="232"/>
      <c r="F151" s="232"/>
      <c r="G151" s="230"/>
      <c r="H151" s="232"/>
      <c r="I151" s="232"/>
      <c r="J151" s="232"/>
      <c r="K151" s="232"/>
      <c r="L151" s="230"/>
      <c r="M151" s="230"/>
      <c r="N151" s="230"/>
      <c r="O151" s="230"/>
      <c r="P151" s="232"/>
      <c r="Q151" s="230"/>
      <c r="R151" s="230"/>
      <c r="S151" s="230"/>
      <c r="T151" s="230"/>
      <c r="U151" s="232"/>
      <c r="V151" s="230"/>
      <c r="W151" s="230"/>
      <c r="X151" s="230"/>
      <c r="Y151" s="233"/>
      <c r="Z151" s="232"/>
      <c r="AA151" s="234"/>
      <c r="AB151" s="232"/>
      <c r="AC151" s="373"/>
      <c r="AD151" s="236"/>
      <c r="AE151" s="255"/>
      <c r="AF151" s="255"/>
      <c r="AG151" s="255"/>
      <c r="AH151" s="255"/>
      <c r="AI151" s="255"/>
      <c r="AJ151" s="255"/>
      <c r="AK151" s="255"/>
      <c r="AL151" s="255"/>
      <c r="AM151" s="255"/>
      <c r="AN151" s="255"/>
      <c r="AO151" s="255"/>
      <c r="AP151" s="255"/>
    </row>
    <row r="152" spans="1:42" s="180" customFormat="1" hidden="1">
      <c r="A152" s="313"/>
      <c r="E152" s="4"/>
      <c r="F152" s="4"/>
      <c r="G152" s="4"/>
      <c r="J152" s="4"/>
      <c r="K152" s="4"/>
      <c r="L152" s="4"/>
      <c r="O152" s="4"/>
      <c r="P152" s="4"/>
      <c r="Q152" s="4"/>
      <c r="T152" s="4"/>
      <c r="U152" s="4"/>
      <c r="V152" s="4"/>
      <c r="Y152" s="4"/>
      <c r="Z152" s="4"/>
      <c r="AA152" s="4"/>
      <c r="AB152" s="4"/>
      <c r="AC152" s="4"/>
      <c r="AH152" s="4"/>
      <c r="AI152" s="255"/>
      <c r="AK152" s="193"/>
      <c r="AL152" s="193"/>
      <c r="AM152" s="193"/>
      <c r="AN152" s="193"/>
      <c r="AO152" s="193"/>
      <c r="AP152" s="193"/>
    </row>
    <row r="153" spans="1:42" s="180" customFormat="1" ht="13.5" hidden="1" customHeight="1">
      <c r="A153" s="313"/>
      <c r="B153" s="1518" t="s">
        <v>18</v>
      </c>
      <c r="C153" s="1519">
        <v>45663</v>
      </c>
      <c r="D153" s="1519"/>
      <c r="E153" s="1519"/>
      <c r="F153" s="1519"/>
      <c r="G153" s="365"/>
      <c r="H153" s="1519">
        <v>45664</v>
      </c>
      <c r="I153" s="1519"/>
      <c r="J153" s="1519"/>
      <c r="K153" s="1519"/>
      <c r="L153" s="365"/>
      <c r="M153" s="1519">
        <v>45665</v>
      </c>
      <c r="N153" s="1519"/>
      <c r="O153" s="1519"/>
      <c r="P153" s="1519"/>
      <c r="Q153" s="365"/>
      <c r="R153" s="1519">
        <v>45666</v>
      </c>
      <c r="S153" s="1519"/>
      <c r="T153" s="1519"/>
      <c r="U153" s="1519"/>
      <c r="V153" s="365"/>
      <c r="W153" s="1519">
        <v>45667</v>
      </c>
      <c r="X153" s="1519"/>
      <c r="Y153" s="1519"/>
      <c r="Z153" s="1519"/>
      <c r="AA153" s="1517" t="s">
        <v>19</v>
      </c>
      <c r="AB153" s="1517" t="s">
        <v>20</v>
      </c>
      <c r="AC153" s="4"/>
      <c r="AD153" s="1519">
        <v>45668</v>
      </c>
      <c r="AE153" s="1519"/>
      <c r="AF153" s="1519"/>
      <c r="AG153" s="1517" t="s">
        <v>21</v>
      </c>
      <c r="AH153" s="4"/>
      <c r="AI153" s="368"/>
      <c r="AK153" s="194" t="s">
        <v>84</v>
      </c>
      <c r="AL153" s="366"/>
      <c r="AM153" s="366"/>
      <c r="AN153" s="366"/>
      <c r="AO153" s="366"/>
      <c r="AP153" s="366"/>
    </row>
    <row r="154" spans="1:42" s="180" customFormat="1" hidden="1">
      <c r="A154" s="313"/>
      <c r="B154" s="1518"/>
      <c r="C154" s="21" t="s">
        <v>23</v>
      </c>
      <c r="D154" s="21" t="s">
        <v>24</v>
      </c>
      <c r="E154" s="205" t="s">
        <v>25</v>
      </c>
      <c r="F154" s="18" t="s">
        <v>14</v>
      </c>
      <c r="G154" s="4"/>
      <c r="H154" s="21" t="s">
        <v>23</v>
      </c>
      <c r="I154" s="21" t="s">
        <v>24</v>
      </c>
      <c r="J154" s="18" t="s">
        <v>25</v>
      </c>
      <c r="K154" s="18" t="s">
        <v>14</v>
      </c>
      <c r="L154" s="4"/>
      <c r="M154" s="21" t="s">
        <v>23</v>
      </c>
      <c r="N154" s="21" t="s">
        <v>24</v>
      </c>
      <c r="O154" s="18" t="s">
        <v>25</v>
      </c>
      <c r="P154" s="18" t="s">
        <v>14</v>
      </c>
      <c r="Q154" s="4"/>
      <c r="R154" s="21" t="s">
        <v>23</v>
      </c>
      <c r="S154" s="21" t="s">
        <v>24</v>
      </c>
      <c r="T154" s="18" t="s">
        <v>25</v>
      </c>
      <c r="U154" s="18" t="s">
        <v>14</v>
      </c>
      <c r="V154" s="4"/>
      <c r="W154" s="21" t="s">
        <v>23</v>
      </c>
      <c r="X154" s="21" t="s">
        <v>24</v>
      </c>
      <c r="Y154" s="18" t="s">
        <v>25</v>
      </c>
      <c r="Z154" s="18" t="s">
        <v>14</v>
      </c>
      <c r="AA154" s="1517"/>
      <c r="AB154" s="1517"/>
      <c r="AC154" s="4"/>
      <c r="AD154" s="21" t="s">
        <v>23</v>
      </c>
      <c r="AE154" s="21" t="s">
        <v>24</v>
      </c>
      <c r="AF154" s="18" t="s">
        <v>25</v>
      </c>
      <c r="AG154" s="1517"/>
      <c r="AH154" s="4"/>
      <c r="AI154" s="368"/>
      <c r="AJ154" s="367"/>
      <c r="AK154" s="188" t="s">
        <v>26</v>
      </c>
      <c r="AL154" s="196">
        <f>AA157</f>
        <v>52</v>
      </c>
      <c r="AM154" s="511">
        <v>51.5</v>
      </c>
      <c r="AN154" s="510">
        <f>AL154*AM154</f>
        <v>2678</v>
      </c>
      <c r="AO154" s="193"/>
      <c r="AP154" s="193"/>
    </row>
    <row r="155" spans="1:42" s="180" customFormat="1" hidden="1">
      <c r="A155" s="313"/>
      <c r="B155" s="4" t="s">
        <v>60</v>
      </c>
      <c r="C155" s="441" t="s">
        <v>75</v>
      </c>
      <c r="D155" s="441" t="s">
        <v>246</v>
      </c>
      <c r="E155" s="319">
        <v>8</v>
      </c>
      <c r="F155" s="320"/>
      <c r="G155" s="4"/>
      <c r="H155" s="441" t="s">
        <v>75</v>
      </c>
      <c r="I155" s="441" t="s">
        <v>246</v>
      </c>
      <c r="J155" s="319">
        <v>8</v>
      </c>
      <c r="K155" s="320"/>
      <c r="L155" s="4"/>
      <c r="M155" s="441" t="s">
        <v>75</v>
      </c>
      <c r="N155" s="441" t="s">
        <v>246</v>
      </c>
      <c r="O155" s="319">
        <v>8</v>
      </c>
      <c r="P155" s="320"/>
      <c r="Q155" s="4"/>
      <c r="R155" s="441" t="s">
        <v>75</v>
      </c>
      <c r="S155" s="441" t="s">
        <v>246</v>
      </c>
      <c r="T155" s="319">
        <v>8</v>
      </c>
      <c r="U155" s="320"/>
      <c r="V155" s="4"/>
      <c r="W155" s="441" t="s">
        <v>75</v>
      </c>
      <c r="X155" s="441" t="s">
        <v>246</v>
      </c>
      <c r="Y155" s="319">
        <v>8</v>
      </c>
      <c r="Z155" s="320"/>
      <c r="AA155" s="328">
        <f>Y155+T155+O155+J155+E155</f>
        <v>40</v>
      </c>
      <c r="AB155" s="298">
        <f>Z155+U155+P155+K155+F155</f>
        <v>0</v>
      </c>
      <c r="AC155" s="4"/>
      <c r="AD155" s="587"/>
      <c r="AE155" s="531"/>
      <c r="AF155" s="319"/>
      <c r="AG155" s="328">
        <f>AF155</f>
        <v>0</v>
      </c>
      <c r="AH155" s="4"/>
      <c r="AI155" s="368"/>
      <c r="AJ155" s="367"/>
      <c r="AK155" s="188" t="s">
        <v>30</v>
      </c>
      <c r="AL155" s="196">
        <f>AB157</f>
        <v>0</v>
      </c>
      <c r="AM155" s="511">
        <f>AM154*1.5</f>
        <v>77.25</v>
      </c>
      <c r="AN155" s="510">
        <f>AL155*AM155</f>
        <v>0</v>
      </c>
      <c r="AO155" s="193"/>
      <c r="AP155" s="193"/>
    </row>
    <row r="156" spans="1:42" s="180" customFormat="1" hidden="1">
      <c r="A156" s="313"/>
      <c r="B156" s="4" t="s">
        <v>59</v>
      </c>
      <c r="C156" s="441" t="s">
        <v>116</v>
      </c>
      <c r="D156" s="441"/>
      <c r="E156" s="319"/>
      <c r="F156" s="320"/>
      <c r="G156" s="4"/>
      <c r="H156" s="441" t="s">
        <v>222</v>
      </c>
      <c r="I156" s="441" t="s">
        <v>125</v>
      </c>
      <c r="J156" s="319">
        <v>4</v>
      </c>
      <c r="K156" s="320"/>
      <c r="L156" s="4"/>
      <c r="M156" s="441" t="s">
        <v>222</v>
      </c>
      <c r="N156" s="441" t="s">
        <v>125</v>
      </c>
      <c r="O156" s="319">
        <v>4</v>
      </c>
      <c r="P156" s="320"/>
      <c r="Q156" s="4"/>
      <c r="R156" s="441" t="s">
        <v>222</v>
      </c>
      <c r="S156" s="441" t="s">
        <v>125</v>
      </c>
      <c r="T156" s="319">
        <v>4</v>
      </c>
      <c r="U156" s="320"/>
      <c r="V156" s="4"/>
      <c r="W156" s="441" t="s">
        <v>116</v>
      </c>
      <c r="X156" s="441"/>
      <c r="Y156" s="319"/>
      <c r="Z156" s="320"/>
      <c r="AA156" s="328">
        <f>Y156+T156+O156+J156+E156</f>
        <v>12</v>
      </c>
      <c r="AB156" s="298">
        <f>Z156+U156+P156+K156+F156</f>
        <v>0</v>
      </c>
      <c r="AC156" s="4"/>
      <c r="AF156" s="319"/>
      <c r="AG156" s="328">
        <f>AF156</f>
        <v>0</v>
      </c>
      <c r="AH156" s="175"/>
      <c r="AI156" s="402"/>
      <c r="AJ156" s="367"/>
      <c r="AK156" s="188" t="s">
        <v>32</v>
      </c>
      <c r="AL156" s="196">
        <f>AG157</f>
        <v>0</v>
      </c>
      <c r="AM156" s="511">
        <v>75.77</v>
      </c>
      <c r="AN156" s="510">
        <f>AL156*AM156</f>
        <v>0</v>
      </c>
      <c r="AO156" s="193"/>
      <c r="AP156" s="193"/>
    </row>
    <row r="157" spans="1:42" s="180" customFormat="1" hidden="1">
      <c r="A157" s="313"/>
      <c r="B157" s="64" t="s">
        <v>61</v>
      </c>
      <c r="C157" s="31"/>
      <c r="D157" s="31"/>
      <c r="E157" s="439">
        <f>SUM(E155:E156)</f>
        <v>8</v>
      </c>
      <c r="F157" s="320">
        <f>SUM(F155:F156)</f>
        <v>0</v>
      </c>
      <c r="G157" s="31"/>
      <c r="H157" s="31"/>
      <c r="I157" s="31"/>
      <c r="J157" s="439">
        <f>SUM(J155:J156)</f>
        <v>12</v>
      </c>
      <c r="K157" s="320">
        <f>SUM(K155:K156)</f>
        <v>0</v>
      </c>
      <c r="L157" s="31"/>
      <c r="M157" s="31"/>
      <c r="N157" s="31"/>
      <c r="O157" s="439">
        <f>SUM(O155:O156)</f>
        <v>12</v>
      </c>
      <c r="P157" s="320">
        <f>SUM(P155:P156)</f>
        <v>0</v>
      </c>
      <c r="Q157" s="31"/>
      <c r="R157" s="31"/>
      <c r="S157" s="31"/>
      <c r="T157" s="439">
        <f>SUM(T155:T156)</f>
        <v>12</v>
      </c>
      <c r="U157" s="320">
        <f>SUM(U155:U156)</f>
        <v>0</v>
      </c>
      <c r="V157" s="31"/>
      <c r="W157" s="31"/>
      <c r="X157" s="31"/>
      <c r="Y157" s="439">
        <f>SUM(Y155:Y156)</f>
        <v>8</v>
      </c>
      <c r="Z157" s="320">
        <f>SUM(Z155:Z156)</f>
        <v>0</v>
      </c>
      <c r="AA157" s="370">
        <f>SUM(AA155:AA156)</f>
        <v>52</v>
      </c>
      <c r="AB157" s="370">
        <f>SUM(AB155:AB156)</f>
        <v>0</v>
      </c>
      <c r="AC157" s="4"/>
      <c r="AD157" s="64"/>
      <c r="AE157" s="64"/>
      <c r="AF157" s="370">
        <f>SUM(AF155:AF156)</f>
        <v>0</v>
      </c>
      <c r="AG157" s="370">
        <f>SUM(AG155:AG156)</f>
        <v>0</v>
      </c>
      <c r="AH157" s="4"/>
      <c r="AI157" s="255"/>
      <c r="AJ157" s="367"/>
      <c r="AK157" s="193"/>
      <c r="AL157" s="193"/>
      <c r="AM157" s="193"/>
      <c r="AN157" s="510">
        <f>SUM(AN154:AN156)</f>
        <v>2678</v>
      </c>
      <c r="AO157" s="193"/>
      <c r="AP157" s="193"/>
    </row>
    <row r="158" spans="1:42" s="180" customFormat="1" hidden="1">
      <c r="A158" s="313"/>
      <c r="E158" s="4"/>
      <c r="F158" s="4"/>
      <c r="G158" s="4"/>
      <c r="J158" s="4"/>
      <c r="K158" s="4"/>
      <c r="L158" s="4"/>
      <c r="O158" s="4"/>
      <c r="P158" s="4"/>
      <c r="Q158" s="4"/>
      <c r="T158" s="4"/>
      <c r="U158" s="4"/>
      <c r="V158" s="4"/>
      <c r="Y158" s="4"/>
      <c r="Z158" s="4"/>
      <c r="AA158" s="4"/>
      <c r="AB158" s="4"/>
      <c r="AC158" s="4"/>
      <c r="AH158" s="4"/>
      <c r="AI158" s="255"/>
      <c r="AK158" s="193"/>
      <c r="AL158" s="193"/>
      <c r="AM158" s="193"/>
      <c r="AN158" s="193"/>
      <c r="AO158" s="193"/>
      <c r="AP158" s="193"/>
    </row>
    <row r="159" spans="1:42" s="180" customFormat="1" hidden="1">
      <c r="A159" s="313"/>
      <c r="B159" s="229"/>
      <c r="C159" s="230"/>
      <c r="D159" s="230"/>
      <c r="E159" s="232"/>
      <c r="F159" s="232"/>
      <c r="G159" s="230"/>
      <c r="H159" s="232"/>
      <c r="I159" s="232"/>
      <c r="J159" s="232"/>
      <c r="K159" s="232"/>
      <c r="L159" s="230"/>
      <c r="M159" s="230"/>
      <c r="N159" s="230"/>
      <c r="O159" s="230"/>
      <c r="P159" s="232"/>
      <c r="Q159" s="230"/>
      <c r="R159" s="230"/>
      <c r="S159" s="230"/>
      <c r="T159" s="230"/>
      <c r="U159" s="232"/>
      <c r="V159" s="230"/>
      <c r="W159" s="230"/>
      <c r="X159" s="230"/>
      <c r="Y159" s="233"/>
      <c r="Z159" s="232"/>
      <c r="AA159" s="234"/>
      <c r="AB159" s="232"/>
      <c r="AC159" s="373"/>
      <c r="AD159" s="236"/>
      <c r="AE159" s="255"/>
      <c r="AF159" s="255"/>
      <c r="AG159" s="255"/>
      <c r="AH159" s="255"/>
      <c r="AI159" s="255"/>
      <c r="AJ159" s="255"/>
      <c r="AK159" s="255"/>
      <c r="AL159" s="255"/>
      <c r="AM159" s="255"/>
      <c r="AN159" s="255"/>
      <c r="AO159" s="255"/>
      <c r="AP159" s="255"/>
    </row>
    <row r="160" spans="1:42" s="180" customFormat="1" hidden="1">
      <c r="A160" s="313"/>
      <c r="E160" s="4"/>
      <c r="F160" s="4"/>
      <c r="G160" s="4"/>
      <c r="J160" s="4"/>
      <c r="K160" s="4"/>
      <c r="L160" s="4"/>
      <c r="O160" s="4"/>
      <c r="P160" s="4"/>
      <c r="Q160" s="4"/>
      <c r="T160" s="4"/>
      <c r="U160" s="4"/>
      <c r="V160" s="4"/>
      <c r="Y160" s="4"/>
      <c r="Z160" s="4"/>
      <c r="AA160" s="4"/>
      <c r="AB160" s="4"/>
      <c r="AC160" s="4"/>
      <c r="AH160" s="4"/>
      <c r="AI160" s="255"/>
      <c r="AK160" s="193"/>
      <c r="AL160" s="193"/>
      <c r="AM160" s="193"/>
      <c r="AN160" s="193"/>
      <c r="AO160" s="193"/>
      <c r="AP160" s="193"/>
    </row>
    <row r="161" spans="1:42" s="180" customFormat="1" ht="13.5" hidden="1" customHeight="1">
      <c r="A161" s="313"/>
      <c r="B161" s="1518" t="s">
        <v>18</v>
      </c>
      <c r="C161" s="1519">
        <v>45670</v>
      </c>
      <c r="D161" s="1519"/>
      <c r="E161" s="1519"/>
      <c r="F161" s="1519"/>
      <c r="G161" s="365"/>
      <c r="H161" s="1519">
        <v>45671</v>
      </c>
      <c r="I161" s="1519"/>
      <c r="J161" s="1519"/>
      <c r="K161" s="1519"/>
      <c r="L161" s="365"/>
      <c r="M161" s="1519">
        <v>45672</v>
      </c>
      <c r="N161" s="1519"/>
      <c r="O161" s="1519"/>
      <c r="P161" s="1519"/>
      <c r="Q161" s="365"/>
      <c r="R161" s="1519">
        <v>45673</v>
      </c>
      <c r="S161" s="1519"/>
      <c r="T161" s="1519"/>
      <c r="U161" s="1519"/>
      <c r="V161" s="365"/>
      <c r="W161" s="1519">
        <v>45674</v>
      </c>
      <c r="X161" s="1519"/>
      <c r="Y161" s="1519"/>
      <c r="Z161" s="1519"/>
      <c r="AA161" s="1517" t="s">
        <v>19</v>
      </c>
      <c r="AB161" s="1517" t="s">
        <v>20</v>
      </c>
      <c r="AC161" s="4"/>
      <c r="AD161" s="1519">
        <v>45675</v>
      </c>
      <c r="AE161" s="1519"/>
      <c r="AF161" s="1519"/>
      <c r="AG161" s="1517" t="s">
        <v>21</v>
      </c>
      <c r="AH161" s="4"/>
      <c r="AI161" s="368"/>
      <c r="AK161" s="194" t="s">
        <v>84</v>
      </c>
      <c r="AL161" s="366"/>
      <c r="AM161" s="366"/>
      <c r="AN161" s="366"/>
      <c r="AO161" s="366"/>
      <c r="AP161" s="366"/>
    </row>
    <row r="162" spans="1:42" s="180" customFormat="1" hidden="1">
      <c r="A162" s="313"/>
      <c r="B162" s="1518"/>
      <c r="C162" s="21" t="s">
        <v>23</v>
      </c>
      <c r="D162" s="21" t="s">
        <v>24</v>
      </c>
      <c r="E162" s="205" t="s">
        <v>25</v>
      </c>
      <c r="F162" s="18" t="s">
        <v>14</v>
      </c>
      <c r="G162" s="4"/>
      <c r="H162" s="21" t="s">
        <v>23</v>
      </c>
      <c r="I162" s="21" t="s">
        <v>24</v>
      </c>
      <c r="J162" s="18" t="s">
        <v>25</v>
      </c>
      <c r="K162" s="18" t="s">
        <v>14</v>
      </c>
      <c r="L162" s="4"/>
      <c r="M162" s="21" t="s">
        <v>23</v>
      </c>
      <c r="N162" s="21" t="s">
        <v>24</v>
      </c>
      <c r="O162" s="18" t="s">
        <v>25</v>
      </c>
      <c r="P162" s="18" t="s">
        <v>14</v>
      </c>
      <c r="Q162" s="4"/>
      <c r="R162" s="21" t="s">
        <v>23</v>
      </c>
      <c r="S162" s="21" t="s">
        <v>24</v>
      </c>
      <c r="T162" s="18" t="s">
        <v>25</v>
      </c>
      <c r="U162" s="18" t="s">
        <v>14</v>
      </c>
      <c r="V162" s="4"/>
      <c r="W162" s="21" t="s">
        <v>23</v>
      </c>
      <c r="X162" s="21" t="s">
        <v>24</v>
      </c>
      <c r="Y162" s="18" t="s">
        <v>25</v>
      </c>
      <c r="Z162" s="18" t="s">
        <v>14</v>
      </c>
      <c r="AA162" s="1517"/>
      <c r="AB162" s="1517"/>
      <c r="AC162" s="4"/>
      <c r="AD162" s="21" t="s">
        <v>23</v>
      </c>
      <c r="AE162" s="21" t="s">
        <v>24</v>
      </c>
      <c r="AF162" s="18" t="s">
        <v>25</v>
      </c>
      <c r="AG162" s="1517"/>
      <c r="AH162" s="4"/>
      <c r="AI162" s="368"/>
      <c r="AJ162" s="367"/>
      <c r="AK162" s="188" t="s">
        <v>26</v>
      </c>
      <c r="AL162" s="196">
        <f>AA165</f>
        <v>60</v>
      </c>
      <c r="AM162" s="511">
        <v>51.5</v>
      </c>
      <c r="AN162" s="510">
        <f>AL162*AM162</f>
        <v>3090</v>
      </c>
      <c r="AO162" s="193"/>
      <c r="AP162" s="193"/>
    </row>
    <row r="163" spans="1:42" s="180" customFormat="1" hidden="1">
      <c r="A163" s="313"/>
      <c r="B163" s="4" t="s">
        <v>60</v>
      </c>
      <c r="C163" s="441" t="s">
        <v>75</v>
      </c>
      <c r="D163" s="441" t="s">
        <v>246</v>
      </c>
      <c r="E163" s="319">
        <v>8</v>
      </c>
      <c r="F163" s="320"/>
      <c r="G163" s="4"/>
      <c r="H163" s="441" t="s">
        <v>75</v>
      </c>
      <c r="I163" s="441" t="s">
        <v>246</v>
      </c>
      <c r="J163" s="319">
        <v>8</v>
      </c>
      <c r="K163" s="320"/>
      <c r="L163" s="4"/>
      <c r="M163" s="441" t="s">
        <v>75</v>
      </c>
      <c r="N163" s="441" t="s">
        <v>246</v>
      </c>
      <c r="O163" s="319">
        <v>8</v>
      </c>
      <c r="P163" s="320"/>
      <c r="Q163" s="4"/>
      <c r="R163" s="441" t="s">
        <v>75</v>
      </c>
      <c r="S163" s="441" t="s">
        <v>246</v>
      </c>
      <c r="T163" s="319">
        <v>8</v>
      </c>
      <c r="U163" s="320"/>
      <c r="V163" s="4"/>
      <c r="W163" s="441" t="s">
        <v>137</v>
      </c>
      <c r="X163" s="441"/>
      <c r="Y163" s="319">
        <v>8</v>
      </c>
      <c r="Z163" s="320"/>
      <c r="AA163" s="328">
        <f>Y163+T163+O163+J163+E163</f>
        <v>40</v>
      </c>
      <c r="AB163" s="298">
        <f>Z163+U163+P163+K163+F163</f>
        <v>0</v>
      </c>
      <c r="AC163" s="4"/>
      <c r="AD163" s="587"/>
      <c r="AE163" s="531"/>
      <c r="AF163" s="319"/>
      <c r="AG163" s="328">
        <f>AF163</f>
        <v>0</v>
      </c>
      <c r="AH163" s="4"/>
      <c r="AI163" s="368"/>
      <c r="AJ163" s="367"/>
      <c r="AK163" s="188" t="s">
        <v>30</v>
      </c>
      <c r="AL163" s="196">
        <f>AB165</f>
        <v>0</v>
      </c>
      <c r="AM163" s="511">
        <f>AM162*1.5</f>
        <v>77.25</v>
      </c>
      <c r="AN163" s="510">
        <f>AL163*AM163</f>
        <v>0</v>
      </c>
      <c r="AO163" s="193"/>
      <c r="AP163" s="193"/>
    </row>
    <row r="164" spans="1:42" s="180" customFormat="1" hidden="1">
      <c r="A164" s="313"/>
      <c r="B164" s="4" t="s">
        <v>59</v>
      </c>
      <c r="C164" s="441" t="s">
        <v>222</v>
      </c>
      <c r="D164" s="441" t="s">
        <v>125</v>
      </c>
      <c r="E164" s="319">
        <v>4</v>
      </c>
      <c r="F164" s="320"/>
      <c r="G164" s="4"/>
      <c r="H164" s="441" t="s">
        <v>222</v>
      </c>
      <c r="I164" s="441" t="s">
        <v>125</v>
      </c>
      <c r="J164" s="319">
        <v>4</v>
      </c>
      <c r="K164" s="320"/>
      <c r="L164" s="4"/>
      <c r="M164" s="441" t="s">
        <v>222</v>
      </c>
      <c r="N164" s="441" t="s">
        <v>125</v>
      </c>
      <c r="O164" s="319">
        <v>4</v>
      </c>
      <c r="P164" s="320"/>
      <c r="Q164" s="4"/>
      <c r="R164" s="441" t="s">
        <v>222</v>
      </c>
      <c r="S164" s="441" t="s">
        <v>125</v>
      </c>
      <c r="T164" s="319">
        <v>4</v>
      </c>
      <c r="U164" s="320"/>
      <c r="V164" s="4"/>
      <c r="W164" s="441" t="s">
        <v>222</v>
      </c>
      <c r="X164" s="441" t="s">
        <v>125</v>
      </c>
      <c r="Y164" s="319">
        <v>4</v>
      </c>
      <c r="Z164" s="320"/>
      <c r="AA164" s="328">
        <f>Y164+T164+O164+J164+E164</f>
        <v>20</v>
      </c>
      <c r="AB164" s="298">
        <f>Z164+U164+P164+K164+F164</f>
        <v>0</v>
      </c>
      <c r="AC164" s="4"/>
      <c r="AF164" s="319"/>
      <c r="AG164" s="328">
        <f>AF164</f>
        <v>0</v>
      </c>
      <c r="AH164" s="175"/>
      <c r="AI164" s="402"/>
      <c r="AJ164" s="367"/>
      <c r="AK164" s="188" t="s">
        <v>32</v>
      </c>
      <c r="AL164" s="196">
        <f>AG165</f>
        <v>0</v>
      </c>
      <c r="AM164" s="511">
        <v>75.77</v>
      </c>
      <c r="AN164" s="510">
        <f>AL164*AM164</f>
        <v>0</v>
      </c>
      <c r="AO164" s="193"/>
      <c r="AP164" s="193"/>
    </row>
    <row r="165" spans="1:42" s="180" customFormat="1" hidden="1">
      <c r="A165" s="313"/>
      <c r="B165" s="64" t="s">
        <v>61</v>
      </c>
      <c r="C165" s="31"/>
      <c r="D165" s="31"/>
      <c r="E165" s="439">
        <f>SUM(E163:E164)</f>
        <v>12</v>
      </c>
      <c r="F165" s="320">
        <f>SUM(F163:F164)</f>
        <v>0</v>
      </c>
      <c r="G165" s="31"/>
      <c r="H165" s="31"/>
      <c r="I165" s="31"/>
      <c r="J165" s="439">
        <f>SUM(J163:J164)</f>
        <v>12</v>
      </c>
      <c r="K165" s="320">
        <f>SUM(K163:K164)</f>
        <v>0</v>
      </c>
      <c r="L165" s="31"/>
      <c r="M165" s="31"/>
      <c r="N165" s="31"/>
      <c r="O165" s="439">
        <f>SUM(O163:O164)</f>
        <v>12</v>
      </c>
      <c r="P165" s="320">
        <f>SUM(P163:P164)</f>
        <v>0</v>
      </c>
      <c r="Q165" s="31"/>
      <c r="R165" s="31"/>
      <c r="S165" s="31"/>
      <c r="T165" s="439">
        <f>SUM(T163:T164)</f>
        <v>12</v>
      </c>
      <c r="U165" s="320">
        <f>SUM(U163:U164)</f>
        <v>0</v>
      </c>
      <c r="V165" s="31"/>
      <c r="W165" s="31"/>
      <c r="X165" s="31"/>
      <c r="Y165" s="439">
        <f>SUM(Y163:Y164)</f>
        <v>12</v>
      </c>
      <c r="Z165" s="320">
        <f>SUM(Z163:Z164)</f>
        <v>0</v>
      </c>
      <c r="AA165" s="370">
        <f>SUM(AA163:AA164)</f>
        <v>60</v>
      </c>
      <c r="AB165" s="370">
        <f>SUM(AB163:AB164)</f>
        <v>0</v>
      </c>
      <c r="AC165" s="4"/>
      <c r="AD165" s="64"/>
      <c r="AE165" s="64"/>
      <c r="AF165" s="370">
        <f>SUM(AF163:AF164)</f>
        <v>0</v>
      </c>
      <c r="AG165" s="370">
        <f>SUM(AG163:AG164)</f>
        <v>0</v>
      </c>
      <c r="AH165" s="4"/>
      <c r="AI165" s="255"/>
      <c r="AJ165" s="367"/>
      <c r="AK165" s="193"/>
      <c r="AL165" s="193"/>
      <c r="AM165" s="193"/>
      <c r="AN165" s="510">
        <f>SUM(AN162:AN164)</f>
        <v>3090</v>
      </c>
      <c r="AO165" s="193"/>
      <c r="AP165" s="193"/>
    </row>
    <row r="166" spans="1:42" s="180" customFormat="1" hidden="1">
      <c r="A166" s="313"/>
      <c r="E166" s="4"/>
      <c r="F166" s="4"/>
      <c r="G166" s="4"/>
      <c r="J166" s="4"/>
      <c r="K166" s="4"/>
      <c r="L166" s="4"/>
      <c r="O166" s="4"/>
      <c r="P166" s="4"/>
      <c r="Q166" s="4"/>
      <c r="T166" s="4"/>
      <c r="U166" s="4"/>
      <c r="V166" s="4"/>
      <c r="Y166" s="4"/>
      <c r="Z166" s="4"/>
      <c r="AA166" s="4"/>
      <c r="AB166" s="4"/>
      <c r="AC166" s="4"/>
      <c r="AH166" s="4"/>
      <c r="AI166" s="255"/>
      <c r="AK166" s="193"/>
      <c r="AL166" s="193"/>
      <c r="AM166" s="193"/>
      <c r="AN166" s="193"/>
      <c r="AO166" s="193"/>
      <c r="AP166" s="193"/>
    </row>
    <row r="167" spans="1:42" s="180" customFormat="1" hidden="1">
      <c r="A167" s="313"/>
      <c r="B167" s="229"/>
      <c r="C167" s="230"/>
      <c r="D167" s="230"/>
      <c r="E167" s="232"/>
      <c r="F167" s="232"/>
      <c r="G167" s="230"/>
      <c r="H167" s="232"/>
      <c r="I167" s="232"/>
      <c r="J167" s="232"/>
      <c r="K167" s="232"/>
      <c r="L167" s="230"/>
      <c r="M167" s="230"/>
      <c r="N167" s="230"/>
      <c r="O167" s="230"/>
      <c r="P167" s="232"/>
      <c r="Q167" s="230"/>
      <c r="R167" s="230"/>
      <c r="S167" s="230"/>
      <c r="T167" s="230"/>
      <c r="U167" s="232"/>
      <c r="V167" s="230"/>
      <c r="W167" s="230"/>
      <c r="X167" s="230"/>
      <c r="Y167" s="233"/>
      <c r="Z167" s="232"/>
      <c r="AA167" s="234"/>
      <c r="AB167" s="232"/>
      <c r="AC167" s="373"/>
      <c r="AD167" s="236"/>
      <c r="AE167" s="255"/>
      <c r="AF167" s="255"/>
      <c r="AG167" s="255"/>
      <c r="AH167" s="255"/>
      <c r="AI167" s="255"/>
      <c r="AJ167" s="255"/>
      <c r="AK167" s="255"/>
      <c r="AL167" s="255"/>
      <c r="AM167" s="255"/>
      <c r="AN167" s="255"/>
      <c r="AO167" s="255"/>
      <c r="AP167" s="255"/>
    </row>
    <row r="168" spans="1:42" s="180" customFormat="1" hidden="1">
      <c r="A168" s="313"/>
      <c r="E168" s="4"/>
      <c r="F168" s="4"/>
      <c r="G168" s="4"/>
      <c r="J168" s="4"/>
      <c r="K168" s="4"/>
      <c r="L168" s="4"/>
      <c r="O168" s="4"/>
      <c r="P168" s="4"/>
      <c r="Q168" s="4"/>
      <c r="T168" s="4"/>
      <c r="U168" s="4"/>
      <c r="V168" s="4"/>
      <c r="Y168" s="4"/>
      <c r="Z168" s="4"/>
      <c r="AA168" s="4"/>
      <c r="AB168" s="4"/>
      <c r="AC168" s="4"/>
      <c r="AH168" s="4"/>
      <c r="AI168" s="255"/>
      <c r="AK168" s="193"/>
      <c r="AL168" s="193"/>
      <c r="AM168" s="193"/>
      <c r="AN168" s="193"/>
      <c r="AO168" s="193"/>
      <c r="AP168" s="193"/>
    </row>
    <row r="169" spans="1:42" s="180" customFormat="1" ht="13.5" hidden="1" customHeight="1">
      <c r="A169" s="313"/>
      <c r="B169" s="1518" t="s">
        <v>18</v>
      </c>
      <c r="C169" s="1519">
        <v>45677</v>
      </c>
      <c r="D169" s="1519"/>
      <c r="E169" s="1519"/>
      <c r="F169" s="1519"/>
      <c r="G169" s="365"/>
      <c r="H169" s="1519">
        <v>45678</v>
      </c>
      <c r="I169" s="1519"/>
      <c r="J169" s="1519"/>
      <c r="K169" s="1519"/>
      <c r="L169" s="365"/>
      <c r="M169" s="1519">
        <v>45679</v>
      </c>
      <c r="N169" s="1519"/>
      <c r="O169" s="1519"/>
      <c r="P169" s="1519"/>
      <c r="Q169" s="365"/>
      <c r="R169" s="1519">
        <v>45680</v>
      </c>
      <c r="S169" s="1519"/>
      <c r="T169" s="1519"/>
      <c r="U169" s="1519"/>
      <c r="V169" s="365"/>
      <c r="W169" s="1519">
        <v>45681</v>
      </c>
      <c r="X169" s="1519"/>
      <c r="Y169" s="1519"/>
      <c r="Z169" s="1519"/>
      <c r="AA169" s="1517" t="s">
        <v>19</v>
      </c>
      <c r="AB169" s="1517" t="s">
        <v>20</v>
      </c>
      <c r="AC169" s="4"/>
      <c r="AD169" s="1519">
        <v>45682</v>
      </c>
      <c r="AE169" s="1519"/>
      <c r="AF169" s="1519"/>
      <c r="AG169" s="1517" t="s">
        <v>21</v>
      </c>
      <c r="AH169" s="4"/>
      <c r="AI169" s="368"/>
      <c r="AK169" s="194" t="s">
        <v>84</v>
      </c>
      <c r="AL169" s="366"/>
      <c r="AM169" s="366"/>
      <c r="AN169" s="366"/>
      <c r="AO169" s="366"/>
      <c r="AP169" s="366"/>
    </row>
    <row r="170" spans="1:42" s="180" customFormat="1" hidden="1">
      <c r="A170" s="313"/>
      <c r="B170" s="1518"/>
      <c r="C170" s="21" t="s">
        <v>23</v>
      </c>
      <c r="D170" s="21" t="s">
        <v>24</v>
      </c>
      <c r="E170" s="205" t="s">
        <v>25</v>
      </c>
      <c r="F170" s="18" t="s">
        <v>14</v>
      </c>
      <c r="G170" s="4"/>
      <c r="H170" s="21" t="s">
        <v>23</v>
      </c>
      <c r="I170" s="21" t="s">
        <v>24</v>
      </c>
      <c r="J170" s="18" t="s">
        <v>25</v>
      </c>
      <c r="K170" s="18" t="s">
        <v>14</v>
      </c>
      <c r="L170" s="4"/>
      <c r="M170" s="21" t="s">
        <v>23</v>
      </c>
      <c r="N170" s="21" t="s">
        <v>24</v>
      </c>
      <c r="O170" s="18" t="s">
        <v>25</v>
      </c>
      <c r="P170" s="18" t="s">
        <v>14</v>
      </c>
      <c r="Q170" s="4"/>
      <c r="R170" s="21" t="s">
        <v>23</v>
      </c>
      <c r="S170" s="21" t="s">
        <v>24</v>
      </c>
      <c r="T170" s="18" t="s">
        <v>25</v>
      </c>
      <c r="U170" s="18" t="s">
        <v>14</v>
      </c>
      <c r="V170" s="4"/>
      <c r="W170" s="21" t="s">
        <v>23</v>
      </c>
      <c r="X170" s="21" t="s">
        <v>24</v>
      </c>
      <c r="Y170" s="18" t="s">
        <v>25</v>
      </c>
      <c r="Z170" s="18" t="s">
        <v>14</v>
      </c>
      <c r="AA170" s="1517"/>
      <c r="AB170" s="1517"/>
      <c r="AC170" s="4"/>
      <c r="AD170" s="21" t="s">
        <v>23</v>
      </c>
      <c r="AE170" s="21" t="s">
        <v>24</v>
      </c>
      <c r="AF170" s="18" t="s">
        <v>25</v>
      </c>
      <c r="AG170" s="1517"/>
      <c r="AH170" s="4"/>
      <c r="AI170" s="368"/>
      <c r="AJ170" s="367"/>
      <c r="AK170" s="188" t="s">
        <v>26</v>
      </c>
      <c r="AL170" s="196">
        <f>AA173</f>
        <v>56</v>
      </c>
      <c r="AM170" s="511">
        <v>51.5</v>
      </c>
      <c r="AN170" s="510">
        <f>AL170*AM170</f>
        <v>2884</v>
      </c>
      <c r="AO170" s="193"/>
      <c r="AP170" s="193"/>
    </row>
    <row r="171" spans="1:42" s="180" customFormat="1" hidden="1">
      <c r="A171" s="313"/>
      <c r="B171" s="4" t="s">
        <v>60</v>
      </c>
      <c r="C171" s="441" t="s">
        <v>28</v>
      </c>
      <c r="D171" s="441"/>
      <c r="E171" s="319">
        <v>8</v>
      </c>
      <c r="F171" s="320"/>
      <c r="G171" s="4"/>
      <c r="H171" s="441" t="s">
        <v>75</v>
      </c>
      <c r="I171" s="441" t="s">
        <v>246</v>
      </c>
      <c r="J171" s="319">
        <v>8</v>
      </c>
      <c r="K171" s="320"/>
      <c r="L171" s="4"/>
      <c r="M171" s="441" t="s">
        <v>75</v>
      </c>
      <c r="N171" s="441" t="s">
        <v>246</v>
      </c>
      <c r="O171" s="319">
        <v>8</v>
      </c>
      <c r="P171" s="320"/>
      <c r="Q171" s="4"/>
      <c r="R171" s="441" t="s">
        <v>75</v>
      </c>
      <c r="S171" s="441" t="s">
        <v>246</v>
      </c>
      <c r="T171" s="319">
        <v>8</v>
      </c>
      <c r="U171" s="320"/>
      <c r="V171" s="4"/>
      <c r="W171" s="441" t="s">
        <v>75</v>
      </c>
      <c r="X171" s="441" t="s">
        <v>246</v>
      </c>
      <c r="Y171" s="319">
        <v>8</v>
      </c>
      <c r="Z171" s="320"/>
      <c r="AA171" s="328">
        <f>Y171+T171+O171+J171+E171</f>
        <v>40</v>
      </c>
      <c r="AB171" s="298">
        <f>Z171+U171+P171+K171+F171</f>
        <v>0</v>
      </c>
      <c r="AC171" s="4"/>
      <c r="AD171" s="587"/>
      <c r="AE171" s="531"/>
      <c r="AF171" s="319"/>
      <c r="AG171" s="328">
        <f>AF171</f>
        <v>0</v>
      </c>
      <c r="AH171" s="4"/>
      <c r="AI171" s="368"/>
      <c r="AJ171" s="367"/>
      <c r="AK171" s="188" t="s">
        <v>30</v>
      </c>
      <c r="AL171" s="196">
        <f>AB173</f>
        <v>0</v>
      </c>
      <c r="AM171" s="511">
        <f>AM170*1.5</f>
        <v>77.25</v>
      </c>
      <c r="AN171" s="510">
        <f>AL171*AM171</f>
        <v>0</v>
      </c>
      <c r="AO171" s="193"/>
      <c r="AP171" s="193"/>
    </row>
    <row r="172" spans="1:42" s="180" customFormat="1" hidden="1">
      <c r="A172" s="313"/>
      <c r="B172" s="4" t="s">
        <v>59</v>
      </c>
      <c r="C172" s="441"/>
      <c r="D172" s="441"/>
      <c r="E172" s="319"/>
      <c r="F172" s="320"/>
      <c r="G172" s="4"/>
      <c r="H172" s="441" t="s">
        <v>222</v>
      </c>
      <c r="I172" s="441" t="s">
        <v>125</v>
      </c>
      <c r="J172" s="319">
        <v>4</v>
      </c>
      <c r="K172" s="320"/>
      <c r="L172" s="4"/>
      <c r="M172" s="441" t="s">
        <v>222</v>
      </c>
      <c r="N172" s="441" t="s">
        <v>125</v>
      </c>
      <c r="O172" s="319">
        <v>4</v>
      </c>
      <c r="P172" s="320"/>
      <c r="Q172" s="4"/>
      <c r="R172" s="441" t="s">
        <v>222</v>
      </c>
      <c r="S172" s="441" t="s">
        <v>125</v>
      </c>
      <c r="T172" s="319">
        <v>4</v>
      </c>
      <c r="U172" s="320"/>
      <c r="V172" s="4"/>
      <c r="W172" s="441" t="s">
        <v>947</v>
      </c>
      <c r="X172" s="441" t="s">
        <v>950</v>
      </c>
      <c r="Y172" s="319">
        <v>4</v>
      </c>
      <c r="Z172" s="320"/>
      <c r="AA172" s="328">
        <f>Y172+T172+O172+J172+E172</f>
        <v>16</v>
      </c>
      <c r="AB172" s="298">
        <f>Z172+U172+P172+K172+F172</f>
        <v>0</v>
      </c>
      <c r="AC172" s="4"/>
      <c r="AF172" s="319"/>
      <c r="AG172" s="328">
        <f>AF172</f>
        <v>0</v>
      </c>
      <c r="AH172" s="175"/>
      <c r="AI172" s="402"/>
      <c r="AJ172" s="367"/>
      <c r="AK172" s="188" t="s">
        <v>32</v>
      </c>
      <c r="AL172" s="196">
        <f>AG173</f>
        <v>0</v>
      </c>
      <c r="AM172" s="511">
        <v>75.77</v>
      </c>
      <c r="AN172" s="510">
        <f>AL172*AM172</f>
        <v>0</v>
      </c>
      <c r="AO172" s="193"/>
      <c r="AP172" s="193"/>
    </row>
    <row r="173" spans="1:42" s="180" customFormat="1" hidden="1">
      <c r="A173" s="313"/>
      <c r="B173" s="64" t="s">
        <v>61</v>
      </c>
      <c r="C173" s="31"/>
      <c r="D173" s="31"/>
      <c r="E173" s="439">
        <f>SUM(E171:E172)</f>
        <v>8</v>
      </c>
      <c r="F173" s="320">
        <f>SUM(F171:F172)</f>
        <v>0</v>
      </c>
      <c r="G173" s="31"/>
      <c r="H173" s="31"/>
      <c r="I173" s="31"/>
      <c r="J173" s="439">
        <f>SUM(J171:J172)</f>
        <v>12</v>
      </c>
      <c r="K173" s="320">
        <f>SUM(K171:K172)</f>
        <v>0</v>
      </c>
      <c r="L173" s="31"/>
      <c r="M173" s="31"/>
      <c r="N173" s="31"/>
      <c r="O173" s="439">
        <f>SUM(O171:O172)</f>
        <v>12</v>
      </c>
      <c r="P173" s="320">
        <f>SUM(P171:P172)</f>
        <v>0</v>
      </c>
      <c r="Q173" s="31"/>
      <c r="R173" s="31"/>
      <c r="S173" s="31"/>
      <c r="T173" s="439">
        <f>SUM(T171:T172)</f>
        <v>12</v>
      </c>
      <c r="U173" s="320">
        <f>SUM(U171:U172)</f>
        <v>0</v>
      </c>
      <c r="V173" s="31"/>
      <c r="W173" s="31"/>
      <c r="X173" s="31"/>
      <c r="Y173" s="439">
        <f>SUM(Y171:Y172)</f>
        <v>12</v>
      </c>
      <c r="Z173" s="320">
        <f>SUM(Z171:Z172)</f>
        <v>0</v>
      </c>
      <c r="AA173" s="370">
        <f>SUM(AA171:AA172)</f>
        <v>56</v>
      </c>
      <c r="AB173" s="370">
        <f>SUM(AB171:AB172)</f>
        <v>0</v>
      </c>
      <c r="AC173" s="4"/>
      <c r="AD173" s="64"/>
      <c r="AE173" s="64"/>
      <c r="AF173" s="370">
        <f>SUM(AF171:AF172)</f>
        <v>0</v>
      </c>
      <c r="AG173" s="370">
        <f>SUM(AG171:AG172)</f>
        <v>0</v>
      </c>
      <c r="AH173" s="4"/>
      <c r="AI173" s="255"/>
      <c r="AJ173" s="367"/>
      <c r="AK173" s="193"/>
      <c r="AL173" s="193"/>
      <c r="AM173" s="193"/>
      <c r="AN173" s="510">
        <f>SUM(AN170:AN172)</f>
        <v>2884</v>
      </c>
      <c r="AO173" s="193"/>
      <c r="AP173" s="193"/>
    </row>
    <row r="174" spans="1:42" s="180" customFormat="1" hidden="1">
      <c r="A174" s="313"/>
      <c r="E174" s="4"/>
      <c r="F174" s="4"/>
      <c r="G174" s="4"/>
      <c r="J174" s="4"/>
      <c r="K174" s="4"/>
      <c r="L174" s="4"/>
      <c r="O174" s="4"/>
      <c r="P174" s="4"/>
      <c r="Q174" s="4"/>
      <c r="T174" s="4"/>
      <c r="U174" s="4"/>
      <c r="V174" s="4"/>
      <c r="Y174" s="4"/>
      <c r="Z174" s="4"/>
      <c r="AA174" s="4"/>
      <c r="AB174" s="4"/>
      <c r="AC174" s="4"/>
      <c r="AH174" s="4"/>
      <c r="AI174" s="255"/>
      <c r="AK174" s="193"/>
      <c r="AL174" s="193"/>
      <c r="AM174" s="193"/>
      <c r="AN174" s="193"/>
      <c r="AO174" s="193"/>
      <c r="AP174" s="193"/>
    </row>
    <row r="175" spans="1:42" s="180" customFormat="1" hidden="1">
      <c r="A175" s="313"/>
      <c r="B175" s="229"/>
      <c r="C175" s="230"/>
      <c r="D175" s="230"/>
      <c r="E175" s="232"/>
      <c r="F175" s="232"/>
      <c r="G175" s="230"/>
      <c r="H175" s="232"/>
      <c r="I175" s="232"/>
      <c r="J175" s="232"/>
      <c r="K175" s="232"/>
      <c r="L175" s="230"/>
      <c r="M175" s="230"/>
      <c r="N175" s="230"/>
      <c r="O175" s="230"/>
      <c r="P175" s="232"/>
      <c r="Q175" s="230"/>
      <c r="R175" s="230"/>
      <c r="S175" s="230"/>
      <c r="T175" s="230"/>
      <c r="U175" s="232"/>
      <c r="V175" s="230"/>
      <c r="W175" s="230"/>
      <c r="X175" s="230"/>
      <c r="Y175" s="233"/>
      <c r="Z175" s="232"/>
      <c r="AA175" s="234"/>
      <c r="AB175" s="232"/>
      <c r="AC175" s="373"/>
      <c r="AD175" s="236"/>
      <c r="AE175" s="255"/>
      <c r="AF175" s="255"/>
      <c r="AG175" s="255"/>
      <c r="AH175" s="255"/>
      <c r="AI175" s="255"/>
      <c r="AJ175" s="255"/>
      <c r="AK175" s="255"/>
      <c r="AL175" s="255"/>
      <c r="AM175" s="255"/>
      <c r="AN175" s="255"/>
      <c r="AO175" s="255"/>
      <c r="AP175" s="255"/>
    </row>
    <row r="176" spans="1:42" s="180" customFormat="1" hidden="1">
      <c r="A176" s="313"/>
      <c r="E176" s="4"/>
      <c r="F176" s="4"/>
      <c r="G176" s="4"/>
      <c r="J176" s="4"/>
      <c r="K176" s="4"/>
      <c r="L176" s="4"/>
      <c r="O176" s="4"/>
      <c r="P176" s="4"/>
      <c r="Q176" s="4"/>
      <c r="T176" s="4"/>
      <c r="U176" s="4"/>
      <c r="V176" s="4"/>
      <c r="Y176" s="4"/>
      <c r="Z176" s="4"/>
      <c r="AA176" s="4"/>
      <c r="AB176" s="4"/>
      <c r="AC176" s="4"/>
      <c r="AH176" s="4"/>
      <c r="AI176" s="255"/>
      <c r="AK176" s="193"/>
      <c r="AL176" s="193"/>
      <c r="AM176" s="193"/>
      <c r="AN176" s="193"/>
      <c r="AO176" s="193"/>
      <c r="AP176" s="193"/>
    </row>
    <row r="177" spans="1:42" s="180" customFormat="1" ht="13.5" hidden="1" customHeight="1">
      <c r="A177" s="313"/>
      <c r="B177" s="1518" t="s">
        <v>18</v>
      </c>
      <c r="C177" s="1519">
        <v>45684</v>
      </c>
      <c r="D177" s="1519"/>
      <c r="E177" s="1519"/>
      <c r="F177" s="1519"/>
      <c r="G177" s="365"/>
      <c r="H177" s="1519">
        <v>45685</v>
      </c>
      <c r="I177" s="1519"/>
      <c r="J177" s="1519"/>
      <c r="K177" s="1519"/>
      <c r="L177" s="365"/>
      <c r="M177" s="1519">
        <v>45686</v>
      </c>
      <c r="N177" s="1519"/>
      <c r="O177" s="1519"/>
      <c r="P177" s="1519"/>
      <c r="Q177" s="365"/>
      <c r="R177" s="1519">
        <v>45687</v>
      </c>
      <c r="S177" s="1519"/>
      <c r="T177" s="1519"/>
      <c r="U177" s="1519"/>
      <c r="V177" s="365"/>
      <c r="W177" s="1519">
        <v>45688</v>
      </c>
      <c r="X177" s="1519"/>
      <c r="Y177" s="1519"/>
      <c r="Z177" s="1519"/>
      <c r="AA177" s="1517" t="s">
        <v>19</v>
      </c>
      <c r="AB177" s="1517" t="s">
        <v>20</v>
      </c>
      <c r="AC177" s="4"/>
      <c r="AD177" s="1519">
        <v>45689</v>
      </c>
      <c r="AE177" s="1519"/>
      <c r="AF177" s="1519"/>
      <c r="AG177" s="1517" t="s">
        <v>21</v>
      </c>
      <c r="AH177" s="4"/>
      <c r="AI177" s="368"/>
      <c r="AK177" s="194" t="s">
        <v>84</v>
      </c>
      <c r="AL177" s="366"/>
      <c r="AM177" s="366"/>
      <c r="AN177" s="366"/>
      <c r="AO177" s="366"/>
      <c r="AP177" s="366"/>
    </row>
    <row r="178" spans="1:42" s="180" customFormat="1" hidden="1">
      <c r="A178" s="313"/>
      <c r="B178" s="1518"/>
      <c r="C178" s="21" t="s">
        <v>23</v>
      </c>
      <c r="D178" s="21" t="s">
        <v>24</v>
      </c>
      <c r="E178" s="205" t="s">
        <v>25</v>
      </c>
      <c r="F178" s="18" t="s">
        <v>14</v>
      </c>
      <c r="G178" s="4"/>
      <c r="H178" s="21" t="s">
        <v>23</v>
      </c>
      <c r="I178" s="21" t="s">
        <v>24</v>
      </c>
      <c r="J178" s="18" t="s">
        <v>25</v>
      </c>
      <c r="K178" s="18" t="s">
        <v>14</v>
      </c>
      <c r="L178" s="4"/>
      <c r="M178" s="21" t="s">
        <v>23</v>
      </c>
      <c r="N178" s="21" t="s">
        <v>24</v>
      </c>
      <c r="O178" s="18" t="s">
        <v>25</v>
      </c>
      <c r="P178" s="18" t="s">
        <v>14</v>
      </c>
      <c r="Q178" s="4"/>
      <c r="R178" s="21" t="s">
        <v>23</v>
      </c>
      <c r="S178" s="21" t="s">
        <v>24</v>
      </c>
      <c r="T178" s="18" t="s">
        <v>25</v>
      </c>
      <c r="U178" s="18" t="s">
        <v>14</v>
      </c>
      <c r="V178" s="4"/>
      <c r="W178" s="21" t="s">
        <v>23</v>
      </c>
      <c r="X178" s="21" t="s">
        <v>24</v>
      </c>
      <c r="Y178" s="18" t="s">
        <v>25</v>
      </c>
      <c r="Z178" s="18" t="s">
        <v>14</v>
      </c>
      <c r="AA178" s="1517"/>
      <c r="AB178" s="1517"/>
      <c r="AC178" s="4"/>
      <c r="AD178" s="21" t="s">
        <v>23</v>
      </c>
      <c r="AE178" s="21" t="s">
        <v>24</v>
      </c>
      <c r="AF178" s="18" t="s">
        <v>25</v>
      </c>
      <c r="AG178" s="1517"/>
      <c r="AH178" s="4"/>
      <c r="AI178" s="368"/>
      <c r="AJ178" s="367"/>
      <c r="AK178" s="188" t="s">
        <v>26</v>
      </c>
      <c r="AL178" s="196">
        <f>AA181</f>
        <v>56</v>
      </c>
      <c r="AM178" s="511">
        <v>51.5</v>
      </c>
      <c r="AN178" s="510">
        <f>AL178*AM178</f>
        <v>2884</v>
      </c>
      <c r="AO178" s="193"/>
      <c r="AP178" s="193"/>
    </row>
    <row r="179" spans="1:42" s="180" customFormat="1" hidden="1">
      <c r="A179" s="313"/>
      <c r="B179" s="4" t="s">
        <v>60</v>
      </c>
      <c r="C179" s="441" t="s">
        <v>75</v>
      </c>
      <c r="D179" s="441" t="s">
        <v>246</v>
      </c>
      <c r="E179" s="319">
        <v>8</v>
      </c>
      <c r="F179" s="320"/>
      <c r="G179" s="4"/>
      <c r="H179" s="441" t="s">
        <v>75</v>
      </c>
      <c r="I179" s="441" t="s">
        <v>246</v>
      </c>
      <c r="J179" s="319">
        <v>8</v>
      </c>
      <c r="K179" s="320"/>
      <c r="L179" s="4"/>
      <c r="M179" s="441" t="s">
        <v>75</v>
      </c>
      <c r="N179" s="441" t="s">
        <v>246</v>
      </c>
      <c r="O179" s="319">
        <v>8</v>
      </c>
      <c r="P179" s="320"/>
      <c r="Q179" s="4"/>
      <c r="R179" s="441" t="s">
        <v>75</v>
      </c>
      <c r="S179" s="441" t="s">
        <v>246</v>
      </c>
      <c r="T179" s="319">
        <v>8</v>
      </c>
      <c r="U179" s="320"/>
      <c r="V179" s="4"/>
      <c r="W179" s="441" t="s">
        <v>75</v>
      </c>
      <c r="X179" s="441" t="s">
        <v>246</v>
      </c>
      <c r="Y179" s="319">
        <v>8</v>
      </c>
      <c r="Z179" s="320"/>
      <c r="AA179" s="328">
        <f>Y179+T179+O179+J179+E179</f>
        <v>40</v>
      </c>
      <c r="AB179" s="298">
        <f>Z179+U179+P179+K179+F179</f>
        <v>0</v>
      </c>
      <c r="AC179" s="4"/>
      <c r="AD179" s="587"/>
      <c r="AE179" s="531"/>
      <c r="AF179" s="319"/>
      <c r="AG179" s="328">
        <f>AF179</f>
        <v>0</v>
      </c>
      <c r="AH179" s="4"/>
      <c r="AI179" s="368"/>
      <c r="AJ179" s="367"/>
      <c r="AK179" s="188" t="s">
        <v>30</v>
      </c>
      <c r="AL179" s="196">
        <f>AB181</f>
        <v>0</v>
      </c>
      <c r="AM179" s="511">
        <f>AM178*1.5</f>
        <v>77.25</v>
      </c>
      <c r="AN179" s="510">
        <f>AL179*AM179</f>
        <v>0</v>
      </c>
      <c r="AO179" s="193"/>
      <c r="AP179" s="193"/>
    </row>
    <row r="180" spans="1:42" s="180" customFormat="1" hidden="1">
      <c r="A180" s="313"/>
      <c r="B180" s="4" t="s">
        <v>59</v>
      </c>
      <c r="C180" s="441" t="s">
        <v>116</v>
      </c>
      <c r="D180" s="441"/>
      <c r="E180" s="319"/>
      <c r="F180" s="320"/>
      <c r="G180" s="4"/>
      <c r="H180" s="441" t="s">
        <v>222</v>
      </c>
      <c r="I180" s="441" t="s">
        <v>125</v>
      </c>
      <c r="J180" s="319">
        <v>4</v>
      </c>
      <c r="K180" s="320"/>
      <c r="L180" s="4"/>
      <c r="M180" s="441" t="s">
        <v>222</v>
      </c>
      <c r="N180" s="441" t="s">
        <v>125</v>
      </c>
      <c r="O180" s="319">
        <v>4</v>
      </c>
      <c r="P180" s="320"/>
      <c r="Q180" s="4"/>
      <c r="R180" s="441" t="s">
        <v>222</v>
      </c>
      <c r="S180" s="441" t="s">
        <v>125</v>
      </c>
      <c r="T180" s="319">
        <v>4</v>
      </c>
      <c r="U180" s="320"/>
      <c r="V180" s="4"/>
      <c r="W180" s="441" t="s">
        <v>222</v>
      </c>
      <c r="X180" s="441" t="s">
        <v>125</v>
      </c>
      <c r="Y180" s="319">
        <v>4</v>
      </c>
      <c r="Z180" s="320"/>
      <c r="AA180" s="328">
        <f>Y180+T180+O180+J180+E180</f>
        <v>16</v>
      </c>
      <c r="AB180" s="298">
        <f>Z180+U180+P180+K180+F180</f>
        <v>0</v>
      </c>
      <c r="AC180" s="4"/>
      <c r="AF180" s="319"/>
      <c r="AG180" s="328">
        <f>AF180</f>
        <v>0</v>
      </c>
      <c r="AH180" s="175"/>
      <c r="AI180" s="402"/>
      <c r="AJ180" s="367"/>
      <c r="AK180" s="188" t="s">
        <v>32</v>
      </c>
      <c r="AL180" s="196">
        <f>AG181</f>
        <v>0</v>
      </c>
      <c r="AM180" s="511">
        <v>75.77</v>
      </c>
      <c r="AN180" s="510">
        <f>AL180*AM180</f>
        <v>0</v>
      </c>
      <c r="AO180" s="193"/>
      <c r="AP180" s="193"/>
    </row>
    <row r="181" spans="1:42" s="180" customFormat="1" hidden="1">
      <c r="A181" s="313"/>
      <c r="B181" s="64" t="s">
        <v>61</v>
      </c>
      <c r="C181" s="31"/>
      <c r="D181" s="31"/>
      <c r="E181" s="439">
        <f>SUM(E179:E180)</f>
        <v>8</v>
      </c>
      <c r="F181" s="320">
        <f>SUM(F179:F180)</f>
        <v>0</v>
      </c>
      <c r="G181" s="31"/>
      <c r="H181" s="31"/>
      <c r="I181" s="31"/>
      <c r="J181" s="439">
        <f>SUM(J179:J180)</f>
        <v>12</v>
      </c>
      <c r="K181" s="320">
        <f>SUM(K179:K180)</f>
        <v>0</v>
      </c>
      <c r="L181" s="31"/>
      <c r="M181" s="31"/>
      <c r="N181" s="31"/>
      <c r="O181" s="439">
        <f>SUM(O179:O180)</f>
        <v>12</v>
      </c>
      <c r="P181" s="320">
        <f>SUM(P179:P180)</f>
        <v>0</v>
      </c>
      <c r="Q181" s="31"/>
      <c r="R181" s="31"/>
      <c r="S181" s="31"/>
      <c r="T181" s="439">
        <f>SUM(T179:T180)</f>
        <v>12</v>
      </c>
      <c r="U181" s="320">
        <f>SUM(U179:U180)</f>
        <v>0</v>
      </c>
      <c r="V181" s="31"/>
      <c r="W181" s="31"/>
      <c r="X181" s="31"/>
      <c r="Y181" s="439">
        <f>SUM(Y179:Y180)</f>
        <v>12</v>
      </c>
      <c r="Z181" s="320">
        <f>SUM(Z179:Z180)</f>
        <v>0</v>
      </c>
      <c r="AA181" s="370">
        <f>SUM(AA179:AA180)</f>
        <v>56</v>
      </c>
      <c r="AB181" s="370">
        <f>SUM(AB179:AB180)</f>
        <v>0</v>
      </c>
      <c r="AC181" s="4"/>
      <c r="AD181" s="64"/>
      <c r="AE181" s="64"/>
      <c r="AF181" s="370">
        <f>SUM(AF179:AF180)</f>
        <v>0</v>
      </c>
      <c r="AG181" s="370">
        <f>SUM(AG179:AG180)</f>
        <v>0</v>
      </c>
      <c r="AH181" s="4"/>
      <c r="AI181" s="255"/>
      <c r="AJ181" s="367"/>
      <c r="AK181" s="193"/>
      <c r="AL181" s="193"/>
      <c r="AM181" s="193"/>
      <c r="AN181" s="510">
        <f>SUM(AN178:AN180)</f>
        <v>2884</v>
      </c>
      <c r="AO181" s="193"/>
      <c r="AP181" s="193"/>
    </row>
    <row r="182" spans="1:42" s="180" customFormat="1" hidden="1">
      <c r="A182" s="313"/>
      <c r="E182" s="4"/>
      <c r="F182" s="4"/>
      <c r="G182" s="4"/>
      <c r="J182" s="4"/>
      <c r="K182" s="4"/>
      <c r="L182" s="4"/>
      <c r="O182" s="4"/>
      <c r="P182" s="4"/>
      <c r="Q182" s="4"/>
      <c r="T182" s="4"/>
      <c r="U182" s="4"/>
      <c r="V182" s="4"/>
      <c r="Y182" s="4"/>
      <c r="Z182" s="4"/>
      <c r="AA182" s="4"/>
      <c r="AB182" s="4"/>
      <c r="AC182" s="4"/>
      <c r="AH182" s="4"/>
      <c r="AI182" s="255"/>
      <c r="AK182" s="193"/>
      <c r="AL182" s="193"/>
      <c r="AM182" s="193"/>
      <c r="AN182" s="193"/>
      <c r="AO182" s="193"/>
      <c r="AP182" s="193"/>
    </row>
    <row r="183" spans="1:42" s="180" customFormat="1" hidden="1">
      <c r="A183" s="313"/>
      <c r="B183" s="229"/>
      <c r="C183" s="230"/>
      <c r="D183" s="230"/>
      <c r="E183" s="232"/>
      <c r="F183" s="232"/>
      <c r="G183" s="230"/>
      <c r="H183" s="232"/>
      <c r="I183" s="232"/>
      <c r="J183" s="232"/>
      <c r="K183" s="232"/>
      <c r="L183" s="230"/>
      <c r="M183" s="230"/>
      <c r="N183" s="230"/>
      <c r="O183" s="230"/>
      <c r="P183" s="232"/>
      <c r="Q183" s="230"/>
      <c r="R183" s="230"/>
      <c r="S183" s="230"/>
      <c r="T183" s="230"/>
      <c r="U183" s="232"/>
      <c r="V183" s="230"/>
      <c r="W183" s="230"/>
      <c r="X183" s="230"/>
      <c r="Y183" s="233"/>
      <c r="Z183" s="232"/>
      <c r="AA183" s="234"/>
      <c r="AB183" s="232"/>
      <c r="AC183" s="373"/>
      <c r="AD183" s="236"/>
      <c r="AE183" s="255"/>
      <c r="AF183" s="255"/>
      <c r="AG183" s="255"/>
      <c r="AH183" s="255"/>
      <c r="AI183" s="255"/>
      <c r="AJ183" s="255"/>
      <c r="AK183" s="255"/>
      <c r="AL183" s="255"/>
      <c r="AM183" s="255"/>
      <c r="AN183" s="255"/>
      <c r="AO183" s="255"/>
      <c r="AP183" s="255"/>
    </row>
    <row r="184" spans="1:42" s="180" customFormat="1" hidden="1">
      <c r="A184" s="313"/>
      <c r="E184" s="4"/>
      <c r="F184" s="4"/>
      <c r="G184" s="4"/>
      <c r="J184" s="4"/>
      <c r="K184" s="4"/>
      <c r="L184" s="4"/>
      <c r="O184" s="4"/>
      <c r="P184" s="4"/>
      <c r="Q184" s="4"/>
      <c r="T184" s="4"/>
      <c r="U184" s="4"/>
      <c r="V184" s="4"/>
      <c r="Y184" s="4"/>
      <c r="Z184" s="4"/>
      <c r="AA184" s="4"/>
      <c r="AB184" s="4"/>
      <c r="AC184" s="4"/>
      <c r="AH184" s="4"/>
      <c r="AI184" s="255"/>
      <c r="AK184" s="193"/>
      <c r="AL184" s="193"/>
      <c r="AM184" s="193"/>
      <c r="AN184" s="193"/>
      <c r="AO184" s="193"/>
      <c r="AP184" s="193"/>
    </row>
    <row r="185" spans="1:42" s="180" customFormat="1" ht="13.5" hidden="1" customHeight="1">
      <c r="A185" s="313"/>
      <c r="B185" s="1518" t="s">
        <v>18</v>
      </c>
      <c r="C185" s="1519">
        <v>45691</v>
      </c>
      <c r="D185" s="1519"/>
      <c r="E185" s="1519"/>
      <c r="F185" s="1519"/>
      <c r="G185" s="365"/>
      <c r="H185" s="1519">
        <v>45692</v>
      </c>
      <c r="I185" s="1519"/>
      <c r="J185" s="1519"/>
      <c r="K185" s="1519"/>
      <c r="L185" s="365"/>
      <c r="M185" s="1519">
        <v>45693</v>
      </c>
      <c r="N185" s="1519"/>
      <c r="O185" s="1519"/>
      <c r="P185" s="1519"/>
      <c r="Q185" s="365"/>
      <c r="R185" s="1519">
        <v>45694</v>
      </c>
      <c r="S185" s="1519"/>
      <c r="T185" s="1519"/>
      <c r="U185" s="1519"/>
      <c r="V185" s="365"/>
      <c r="W185" s="1519">
        <v>45695</v>
      </c>
      <c r="X185" s="1519"/>
      <c r="Y185" s="1519"/>
      <c r="Z185" s="1519"/>
      <c r="AA185" s="1517" t="s">
        <v>19</v>
      </c>
      <c r="AB185" s="1517" t="s">
        <v>20</v>
      </c>
      <c r="AC185" s="4"/>
      <c r="AD185" s="1519">
        <v>45696</v>
      </c>
      <c r="AE185" s="1519"/>
      <c r="AF185" s="1519"/>
      <c r="AG185" s="1517" t="s">
        <v>21</v>
      </c>
      <c r="AH185" s="4"/>
      <c r="AI185" s="368"/>
      <c r="AK185" s="194" t="s">
        <v>84</v>
      </c>
      <c r="AL185" s="366"/>
      <c r="AM185" s="366"/>
      <c r="AN185" s="366"/>
      <c r="AO185" s="366"/>
      <c r="AP185" s="366"/>
    </row>
    <row r="186" spans="1:42" s="180" customFormat="1" hidden="1">
      <c r="A186" s="313"/>
      <c r="B186" s="1518"/>
      <c r="C186" s="21" t="s">
        <v>23</v>
      </c>
      <c r="D186" s="21" t="s">
        <v>24</v>
      </c>
      <c r="E186" s="205" t="s">
        <v>25</v>
      </c>
      <c r="F186" s="18" t="s">
        <v>14</v>
      </c>
      <c r="G186" s="4"/>
      <c r="H186" s="21" t="s">
        <v>23</v>
      </c>
      <c r="I186" s="21" t="s">
        <v>24</v>
      </c>
      <c r="J186" s="18" t="s">
        <v>25</v>
      </c>
      <c r="K186" s="18" t="s">
        <v>14</v>
      </c>
      <c r="L186" s="4"/>
      <c r="M186" s="21" t="s">
        <v>23</v>
      </c>
      <c r="N186" s="21" t="s">
        <v>24</v>
      </c>
      <c r="O186" s="18" t="s">
        <v>25</v>
      </c>
      <c r="P186" s="18" t="s">
        <v>14</v>
      </c>
      <c r="Q186" s="4"/>
      <c r="R186" s="21" t="s">
        <v>23</v>
      </c>
      <c r="S186" s="21" t="s">
        <v>24</v>
      </c>
      <c r="T186" s="18" t="s">
        <v>25</v>
      </c>
      <c r="U186" s="18" t="s">
        <v>14</v>
      </c>
      <c r="V186" s="4"/>
      <c r="W186" s="21" t="s">
        <v>23</v>
      </c>
      <c r="X186" s="21" t="s">
        <v>24</v>
      </c>
      <c r="Y186" s="18" t="s">
        <v>25</v>
      </c>
      <c r="Z186" s="18" t="s">
        <v>14</v>
      </c>
      <c r="AA186" s="1517"/>
      <c r="AB186" s="1517"/>
      <c r="AC186" s="4"/>
      <c r="AD186" s="21" t="s">
        <v>23</v>
      </c>
      <c r="AE186" s="21" t="s">
        <v>24</v>
      </c>
      <c r="AF186" s="18" t="s">
        <v>25</v>
      </c>
      <c r="AG186" s="1517"/>
      <c r="AH186" s="4"/>
      <c r="AI186" s="368"/>
      <c r="AJ186" s="367"/>
      <c r="AK186" s="188" t="s">
        <v>26</v>
      </c>
      <c r="AL186" s="196">
        <f>AA189</f>
        <v>60</v>
      </c>
      <c r="AM186" s="511">
        <v>51.5</v>
      </c>
      <c r="AN186" s="510">
        <f>AL186*AM186</f>
        <v>3090</v>
      </c>
      <c r="AO186" s="193"/>
      <c r="AP186" s="193"/>
    </row>
    <row r="187" spans="1:42" s="180" customFormat="1" hidden="1">
      <c r="A187" s="313"/>
      <c r="B187" s="4" t="s">
        <v>60</v>
      </c>
      <c r="C187" s="441" t="s">
        <v>75</v>
      </c>
      <c r="D187" s="441" t="s">
        <v>246</v>
      </c>
      <c r="E187" s="319">
        <v>8</v>
      </c>
      <c r="F187" s="320"/>
      <c r="G187" s="4"/>
      <c r="H187" s="441" t="s">
        <v>75</v>
      </c>
      <c r="I187" s="441" t="s">
        <v>246</v>
      </c>
      <c r="J187" s="319">
        <v>8</v>
      </c>
      <c r="K187" s="320"/>
      <c r="L187" s="4"/>
      <c r="M187" s="441" t="s">
        <v>75</v>
      </c>
      <c r="N187" s="441" t="s">
        <v>246</v>
      </c>
      <c r="O187" s="319">
        <v>8</v>
      </c>
      <c r="P187" s="320"/>
      <c r="Q187" s="4"/>
      <c r="R187" s="441" t="s">
        <v>75</v>
      </c>
      <c r="S187" s="441" t="s">
        <v>246</v>
      </c>
      <c r="T187" s="319">
        <v>8</v>
      </c>
      <c r="U187" s="320"/>
      <c r="V187" s="4"/>
      <c r="W187" s="441" t="s">
        <v>75</v>
      </c>
      <c r="X187" s="441" t="s">
        <v>246</v>
      </c>
      <c r="Y187" s="319">
        <v>8</v>
      </c>
      <c r="Z187" s="320"/>
      <c r="AA187" s="328">
        <f>Y187+T187+O187+J187+E187</f>
        <v>40</v>
      </c>
      <c r="AB187" s="298">
        <f>Z187+U187+P187+K187+F187</f>
        <v>0</v>
      </c>
      <c r="AC187" s="4"/>
      <c r="AD187" s="587"/>
      <c r="AE187" s="531"/>
      <c r="AF187" s="319"/>
      <c r="AG187" s="328">
        <f>AF187</f>
        <v>0</v>
      </c>
      <c r="AH187" s="4"/>
      <c r="AI187" s="368"/>
      <c r="AJ187" s="367"/>
      <c r="AK187" s="188" t="s">
        <v>30</v>
      </c>
      <c r="AL187" s="196">
        <f>AB189</f>
        <v>0</v>
      </c>
      <c r="AM187" s="511">
        <f>AM186*1.5</f>
        <v>77.25</v>
      </c>
      <c r="AN187" s="510">
        <f>AL187*AM187</f>
        <v>0</v>
      </c>
      <c r="AO187" s="193"/>
      <c r="AP187" s="193"/>
    </row>
    <row r="188" spans="1:42" s="180" customFormat="1" hidden="1">
      <c r="A188" s="313"/>
      <c r="B188" s="4" t="s">
        <v>59</v>
      </c>
      <c r="C188" s="441" t="s">
        <v>222</v>
      </c>
      <c r="D188" s="441" t="s">
        <v>125</v>
      </c>
      <c r="E188" s="319">
        <v>4</v>
      </c>
      <c r="F188" s="320"/>
      <c r="G188" s="4"/>
      <c r="H188" s="441" t="s">
        <v>222</v>
      </c>
      <c r="I188" s="441" t="s">
        <v>125</v>
      </c>
      <c r="J188" s="319">
        <v>4</v>
      </c>
      <c r="K188" s="320"/>
      <c r="L188" s="4"/>
      <c r="M188" s="441" t="s">
        <v>222</v>
      </c>
      <c r="N188" s="441" t="s">
        <v>125</v>
      </c>
      <c r="O188" s="319">
        <v>4</v>
      </c>
      <c r="P188" s="320"/>
      <c r="Q188" s="4"/>
      <c r="R188" s="441" t="s">
        <v>222</v>
      </c>
      <c r="S188" s="441" t="s">
        <v>125</v>
      </c>
      <c r="T188" s="319">
        <v>4</v>
      </c>
      <c r="U188" s="320"/>
      <c r="V188" s="4"/>
      <c r="W188" s="441" t="s">
        <v>222</v>
      </c>
      <c r="X188" s="441" t="s">
        <v>125</v>
      </c>
      <c r="Y188" s="319">
        <v>4</v>
      </c>
      <c r="Z188" s="320"/>
      <c r="AA188" s="328">
        <f>Y188+T188+O188+J188+E188</f>
        <v>20</v>
      </c>
      <c r="AB188" s="298">
        <f>Z188+U188+P188+K188+F188</f>
        <v>0</v>
      </c>
      <c r="AC188" s="4"/>
      <c r="AF188" s="319"/>
      <c r="AG188" s="328">
        <f>AF188</f>
        <v>0</v>
      </c>
      <c r="AH188" s="175"/>
      <c r="AI188" s="402"/>
      <c r="AJ188" s="367"/>
      <c r="AK188" s="188" t="s">
        <v>32</v>
      </c>
      <c r="AL188" s="196">
        <f>AG189</f>
        <v>0</v>
      </c>
      <c r="AM188" s="511">
        <v>75.77</v>
      </c>
      <c r="AN188" s="510">
        <f>AL188*AM188</f>
        <v>0</v>
      </c>
      <c r="AO188" s="193"/>
      <c r="AP188" s="193"/>
    </row>
    <row r="189" spans="1:42" s="180" customFormat="1" hidden="1">
      <c r="A189" s="313"/>
      <c r="B189" s="64" t="s">
        <v>61</v>
      </c>
      <c r="C189" s="31"/>
      <c r="D189" s="31"/>
      <c r="E189" s="439">
        <f>SUM(E187:E188)</f>
        <v>12</v>
      </c>
      <c r="F189" s="320">
        <f>SUM(F187:F188)</f>
        <v>0</v>
      </c>
      <c r="G189" s="31"/>
      <c r="H189" s="31"/>
      <c r="I189" s="31"/>
      <c r="J189" s="439">
        <f>SUM(J187:J188)</f>
        <v>12</v>
      </c>
      <c r="K189" s="320">
        <f>SUM(K187:K188)</f>
        <v>0</v>
      </c>
      <c r="L189" s="31"/>
      <c r="M189" s="31"/>
      <c r="N189" s="31"/>
      <c r="O189" s="439">
        <f>SUM(O187:O188)</f>
        <v>12</v>
      </c>
      <c r="P189" s="320">
        <f>SUM(P187:P188)</f>
        <v>0</v>
      </c>
      <c r="Q189" s="31"/>
      <c r="R189" s="31"/>
      <c r="S189" s="31"/>
      <c r="T189" s="439">
        <f>SUM(T187:T188)</f>
        <v>12</v>
      </c>
      <c r="U189" s="320">
        <f>SUM(U187:U188)</f>
        <v>0</v>
      </c>
      <c r="V189" s="31"/>
      <c r="W189" s="31"/>
      <c r="X189" s="31"/>
      <c r="Y189" s="439">
        <f>SUM(Y187:Y188)</f>
        <v>12</v>
      </c>
      <c r="Z189" s="320">
        <f>SUM(Z187:Z188)</f>
        <v>0</v>
      </c>
      <c r="AA189" s="370">
        <f>SUM(AA187:AA188)</f>
        <v>60</v>
      </c>
      <c r="AB189" s="370">
        <f>SUM(AB187:AB188)</f>
        <v>0</v>
      </c>
      <c r="AC189" s="4"/>
      <c r="AD189" s="64"/>
      <c r="AE189" s="64"/>
      <c r="AF189" s="370">
        <f>SUM(AF187:AF188)</f>
        <v>0</v>
      </c>
      <c r="AG189" s="370">
        <f>SUM(AG187:AG188)</f>
        <v>0</v>
      </c>
      <c r="AH189" s="4"/>
      <c r="AI189" s="255"/>
      <c r="AJ189" s="367"/>
      <c r="AK189" s="193"/>
      <c r="AL189" s="193"/>
      <c r="AM189" s="193"/>
      <c r="AN189" s="510">
        <f>SUM(AN186:AN188)</f>
        <v>3090</v>
      </c>
      <c r="AO189" s="193"/>
      <c r="AP189" s="193"/>
    </row>
    <row r="190" spans="1:42" s="180" customFormat="1" hidden="1">
      <c r="A190" s="313"/>
      <c r="E190" s="4"/>
      <c r="F190" s="4"/>
      <c r="G190" s="4"/>
      <c r="J190" s="4"/>
      <c r="K190" s="4"/>
      <c r="L190" s="4"/>
      <c r="O190" s="4"/>
      <c r="P190" s="4"/>
      <c r="Q190" s="4"/>
      <c r="T190" s="4"/>
      <c r="U190" s="4"/>
      <c r="V190" s="4"/>
      <c r="Y190" s="4"/>
      <c r="Z190" s="4"/>
      <c r="AA190" s="4"/>
      <c r="AB190" s="4"/>
      <c r="AC190" s="4"/>
      <c r="AH190" s="4"/>
      <c r="AI190" s="255"/>
      <c r="AK190" s="193"/>
      <c r="AL190" s="193"/>
      <c r="AM190" s="193"/>
      <c r="AN190" s="193"/>
      <c r="AO190" s="193"/>
      <c r="AP190" s="193"/>
    </row>
    <row r="191" spans="1:42" s="180" customFormat="1" hidden="1">
      <c r="A191" s="313"/>
      <c r="B191" s="229"/>
      <c r="C191" s="230"/>
      <c r="D191" s="230"/>
      <c r="E191" s="232"/>
      <c r="F191" s="232"/>
      <c r="G191" s="230"/>
      <c r="H191" s="232"/>
      <c r="I191" s="232"/>
      <c r="J191" s="232"/>
      <c r="K191" s="232"/>
      <c r="L191" s="230"/>
      <c r="M191" s="230"/>
      <c r="N191" s="230"/>
      <c r="O191" s="230"/>
      <c r="P191" s="232"/>
      <c r="Q191" s="230"/>
      <c r="R191" s="230"/>
      <c r="S191" s="230"/>
      <c r="T191" s="230"/>
      <c r="U191" s="232"/>
      <c r="V191" s="230"/>
      <c r="W191" s="230"/>
      <c r="X191" s="230"/>
      <c r="Y191" s="233"/>
      <c r="Z191" s="232"/>
      <c r="AA191" s="234"/>
      <c r="AB191" s="232"/>
      <c r="AC191" s="373"/>
      <c r="AD191" s="236"/>
      <c r="AE191" s="255"/>
      <c r="AF191" s="255"/>
      <c r="AG191" s="255"/>
      <c r="AH191" s="255"/>
      <c r="AI191" s="255"/>
      <c r="AJ191" s="255"/>
      <c r="AK191" s="255"/>
      <c r="AL191" s="255"/>
      <c r="AM191" s="255"/>
      <c r="AN191" s="255"/>
      <c r="AO191" s="255"/>
      <c r="AP191" s="255"/>
    </row>
    <row r="192" spans="1:42" s="180" customFormat="1" hidden="1">
      <c r="A192" s="313"/>
      <c r="E192" s="4"/>
      <c r="F192" s="4"/>
      <c r="G192" s="4"/>
      <c r="J192" s="4"/>
      <c r="K192" s="4"/>
      <c r="L192" s="4"/>
      <c r="O192" s="4"/>
      <c r="P192" s="4"/>
      <c r="Q192" s="4"/>
      <c r="T192" s="4"/>
      <c r="U192" s="4"/>
      <c r="V192" s="4"/>
      <c r="Y192" s="4"/>
      <c r="Z192" s="4"/>
      <c r="AA192" s="4"/>
      <c r="AB192" s="4"/>
      <c r="AC192" s="4"/>
      <c r="AH192" s="4"/>
      <c r="AI192" s="255"/>
      <c r="AK192" s="193"/>
      <c r="AL192" s="193"/>
      <c r="AM192" s="193"/>
      <c r="AN192" s="193"/>
      <c r="AO192" s="193"/>
      <c r="AP192" s="193"/>
    </row>
    <row r="193" spans="1:42" s="180" customFormat="1" ht="13.5" hidden="1" customHeight="1">
      <c r="A193" s="313"/>
      <c r="B193" s="1518" t="s">
        <v>18</v>
      </c>
      <c r="C193" s="1519">
        <v>45698</v>
      </c>
      <c r="D193" s="1519"/>
      <c r="E193" s="1519"/>
      <c r="F193" s="1519"/>
      <c r="G193" s="365"/>
      <c r="H193" s="1519">
        <v>45699</v>
      </c>
      <c r="I193" s="1519"/>
      <c r="J193" s="1519"/>
      <c r="K193" s="1519"/>
      <c r="L193" s="365"/>
      <c r="M193" s="1519">
        <v>45700</v>
      </c>
      <c r="N193" s="1519"/>
      <c r="O193" s="1519"/>
      <c r="P193" s="1519"/>
      <c r="Q193" s="365"/>
      <c r="R193" s="1519">
        <v>45701</v>
      </c>
      <c r="S193" s="1519"/>
      <c r="T193" s="1519"/>
      <c r="U193" s="1519"/>
      <c r="V193" s="365"/>
      <c r="W193" s="1519">
        <v>45702</v>
      </c>
      <c r="X193" s="1519"/>
      <c r="Y193" s="1519"/>
      <c r="Z193" s="1519"/>
      <c r="AA193" s="1517" t="s">
        <v>19</v>
      </c>
      <c r="AB193" s="1517" t="s">
        <v>20</v>
      </c>
      <c r="AC193" s="4"/>
      <c r="AD193" s="1519">
        <v>45703</v>
      </c>
      <c r="AE193" s="1519"/>
      <c r="AF193" s="1519"/>
      <c r="AG193" s="1517" t="s">
        <v>21</v>
      </c>
      <c r="AH193" s="4"/>
      <c r="AI193" s="368"/>
      <c r="AK193" s="194" t="s">
        <v>84</v>
      </c>
      <c r="AL193" s="366"/>
      <c r="AM193" s="366"/>
      <c r="AN193" s="366"/>
      <c r="AO193" s="366"/>
      <c r="AP193" s="366"/>
    </row>
    <row r="194" spans="1:42" s="180" customFormat="1" hidden="1">
      <c r="A194" s="313"/>
      <c r="B194" s="1518"/>
      <c r="C194" s="21" t="s">
        <v>23</v>
      </c>
      <c r="D194" s="21" t="s">
        <v>24</v>
      </c>
      <c r="E194" s="205" t="s">
        <v>25</v>
      </c>
      <c r="F194" s="18" t="s">
        <v>14</v>
      </c>
      <c r="G194" s="4"/>
      <c r="H194" s="21" t="s">
        <v>23</v>
      </c>
      <c r="I194" s="21" t="s">
        <v>24</v>
      </c>
      <c r="J194" s="18" t="s">
        <v>25</v>
      </c>
      <c r="K194" s="18" t="s">
        <v>14</v>
      </c>
      <c r="L194" s="4"/>
      <c r="M194" s="21" t="s">
        <v>23</v>
      </c>
      <c r="N194" s="21" t="s">
        <v>24</v>
      </c>
      <c r="O194" s="18" t="s">
        <v>25</v>
      </c>
      <c r="P194" s="18" t="s">
        <v>14</v>
      </c>
      <c r="Q194" s="4"/>
      <c r="R194" s="21" t="s">
        <v>23</v>
      </c>
      <c r="S194" s="21" t="s">
        <v>24</v>
      </c>
      <c r="T194" s="18" t="s">
        <v>25</v>
      </c>
      <c r="U194" s="18" t="s">
        <v>14</v>
      </c>
      <c r="V194" s="4"/>
      <c r="W194" s="21" t="s">
        <v>23</v>
      </c>
      <c r="X194" s="21" t="s">
        <v>24</v>
      </c>
      <c r="Y194" s="18" t="s">
        <v>25</v>
      </c>
      <c r="Z194" s="18" t="s">
        <v>14</v>
      </c>
      <c r="AA194" s="1517"/>
      <c r="AB194" s="1517"/>
      <c r="AC194" s="4"/>
      <c r="AD194" s="21" t="s">
        <v>23</v>
      </c>
      <c r="AE194" s="21" t="s">
        <v>24</v>
      </c>
      <c r="AF194" s="18" t="s">
        <v>25</v>
      </c>
      <c r="AG194" s="1517"/>
      <c r="AH194" s="4"/>
      <c r="AI194" s="368"/>
      <c r="AJ194" s="367"/>
      <c r="AK194" s="188" t="s">
        <v>26</v>
      </c>
      <c r="AL194" s="196">
        <f>AA197</f>
        <v>60</v>
      </c>
      <c r="AM194" s="511">
        <v>51.5</v>
      </c>
      <c r="AN194" s="510">
        <f>AL194*AM194</f>
        <v>3090</v>
      </c>
      <c r="AO194" s="193"/>
      <c r="AP194" s="193"/>
    </row>
    <row r="195" spans="1:42" s="180" customFormat="1" hidden="1">
      <c r="A195" s="313"/>
      <c r="B195" s="4" t="s">
        <v>60</v>
      </c>
      <c r="C195" s="441" t="s">
        <v>75</v>
      </c>
      <c r="D195" s="441" t="s">
        <v>246</v>
      </c>
      <c r="E195" s="319">
        <v>8</v>
      </c>
      <c r="F195" s="320"/>
      <c r="G195" s="4"/>
      <c r="H195" s="441" t="s">
        <v>75</v>
      </c>
      <c r="I195" s="441" t="s">
        <v>246</v>
      </c>
      <c r="J195" s="319">
        <v>8</v>
      </c>
      <c r="K195" s="320"/>
      <c r="L195" s="4"/>
      <c r="M195" s="441" t="s">
        <v>75</v>
      </c>
      <c r="N195" s="441" t="s">
        <v>246</v>
      </c>
      <c r="O195" s="319">
        <v>8</v>
      </c>
      <c r="P195" s="320"/>
      <c r="Q195" s="4"/>
      <c r="R195" s="441" t="s">
        <v>75</v>
      </c>
      <c r="S195" s="441" t="s">
        <v>246</v>
      </c>
      <c r="T195" s="319">
        <v>8</v>
      </c>
      <c r="U195" s="320"/>
      <c r="V195" s="4"/>
      <c r="W195" s="441" t="s">
        <v>75</v>
      </c>
      <c r="X195" s="441" t="s">
        <v>246</v>
      </c>
      <c r="Y195" s="319">
        <v>8</v>
      </c>
      <c r="Z195" s="320"/>
      <c r="AA195" s="328">
        <f>Y195+T195+O195+J195+E195</f>
        <v>40</v>
      </c>
      <c r="AB195" s="298">
        <f>Z195+U195+P195+K195+F195</f>
        <v>0</v>
      </c>
      <c r="AC195" s="4"/>
      <c r="AD195" s="587"/>
      <c r="AE195" s="531"/>
      <c r="AF195" s="319"/>
      <c r="AG195" s="328">
        <f>AF195</f>
        <v>0</v>
      </c>
      <c r="AH195" s="4"/>
      <c r="AI195" s="368"/>
      <c r="AJ195" s="367"/>
      <c r="AK195" s="188" t="s">
        <v>30</v>
      </c>
      <c r="AL195" s="196">
        <f>AB197</f>
        <v>0</v>
      </c>
      <c r="AM195" s="511">
        <f>AM194*1.5</f>
        <v>77.25</v>
      </c>
      <c r="AN195" s="510">
        <f>AL195*AM195</f>
        <v>0</v>
      </c>
      <c r="AO195" s="193"/>
      <c r="AP195" s="193"/>
    </row>
    <row r="196" spans="1:42" s="180" customFormat="1" hidden="1">
      <c r="A196" s="313"/>
      <c r="B196" s="4" t="s">
        <v>59</v>
      </c>
      <c r="C196" s="441" t="s">
        <v>222</v>
      </c>
      <c r="D196" s="441" t="s">
        <v>125</v>
      </c>
      <c r="E196" s="319">
        <v>4</v>
      </c>
      <c r="F196" s="320"/>
      <c r="G196" s="4"/>
      <c r="H196" s="441" t="s">
        <v>222</v>
      </c>
      <c r="I196" s="441" t="s">
        <v>125</v>
      </c>
      <c r="J196" s="319">
        <v>4</v>
      </c>
      <c r="K196" s="320"/>
      <c r="L196" s="4"/>
      <c r="M196" s="441" t="s">
        <v>222</v>
      </c>
      <c r="N196" s="441" t="s">
        <v>125</v>
      </c>
      <c r="O196" s="319">
        <v>4</v>
      </c>
      <c r="P196" s="320"/>
      <c r="Q196" s="4"/>
      <c r="R196" s="441" t="s">
        <v>222</v>
      </c>
      <c r="S196" s="441" t="s">
        <v>125</v>
      </c>
      <c r="T196" s="319">
        <v>4</v>
      </c>
      <c r="U196" s="320"/>
      <c r="V196" s="4"/>
      <c r="W196" s="441" t="s">
        <v>222</v>
      </c>
      <c r="X196" s="441" t="s">
        <v>125</v>
      </c>
      <c r="Y196" s="319">
        <v>4</v>
      </c>
      <c r="Z196" s="320"/>
      <c r="AA196" s="328">
        <f>Y196+T196+O196+J196+E196</f>
        <v>20</v>
      </c>
      <c r="AB196" s="298">
        <f>Z196+U196+P196+K196+F196</f>
        <v>0</v>
      </c>
      <c r="AC196" s="4"/>
      <c r="AF196" s="319"/>
      <c r="AG196" s="328">
        <f>AF196</f>
        <v>0</v>
      </c>
      <c r="AH196" s="175"/>
      <c r="AI196" s="402"/>
      <c r="AJ196" s="367"/>
      <c r="AK196" s="188" t="s">
        <v>32</v>
      </c>
      <c r="AL196" s="196">
        <f>AG197</f>
        <v>0</v>
      </c>
      <c r="AM196" s="511">
        <v>75.77</v>
      </c>
      <c r="AN196" s="510">
        <f>AL196*AM196</f>
        <v>0</v>
      </c>
      <c r="AO196" s="193"/>
      <c r="AP196" s="193"/>
    </row>
    <row r="197" spans="1:42" s="180" customFormat="1" hidden="1">
      <c r="A197" s="313"/>
      <c r="B197" s="64" t="s">
        <v>61</v>
      </c>
      <c r="C197" s="31"/>
      <c r="D197" s="31"/>
      <c r="E197" s="439">
        <f>SUM(E195:E196)</f>
        <v>12</v>
      </c>
      <c r="F197" s="320">
        <f>SUM(F195:F196)</f>
        <v>0</v>
      </c>
      <c r="G197" s="31"/>
      <c r="H197" s="31"/>
      <c r="I197" s="31"/>
      <c r="J197" s="439">
        <f>SUM(J195:J196)</f>
        <v>12</v>
      </c>
      <c r="K197" s="320">
        <f>SUM(K195:K196)</f>
        <v>0</v>
      </c>
      <c r="L197" s="31"/>
      <c r="M197" s="31"/>
      <c r="N197" s="31"/>
      <c r="O197" s="439">
        <f>SUM(O195:O196)</f>
        <v>12</v>
      </c>
      <c r="P197" s="320">
        <f>SUM(P195:P196)</f>
        <v>0</v>
      </c>
      <c r="Q197" s="31"/>
      <c r="R197" s="31"/>
      <c r="S197" s="31"/>
      <c r="T197" s="439">
        <f>SUM(T195:T196)</f>
        <v>12</v>
      </c>
      <c r="U197" s="320">
        <f>SUM(U195:U196)</f>
        <v>0</v>
      </c>
      <c r="V197" s="31"/>
      <c r="W197" s="31"/>
      <c r="X197" s="31"/>
      <c r="Y197" s="439">
        <f>SUM(Y195:Y196)</f>
        <v>12</v>
      </c>
      <c r="Z197" s="320">
        <f>SUM(Z195:Z196)</f>
        <v>0</v>
      </c>
      <c r="AA197" s="370">
        <f>SUM(AA195:AA196)</f>
        <v>60</v>
      </c>
      <c r="AB197" s="370">
        <f>SUM(AB195:AB196)</f>
        <v>0</v>
      </c>
      <c r="AC197" s="4"/>
      <c r="AD197" s="64"/>
      <c r="AE197" s="64"/>
      <c r="AF197" s="370">
        <f>SUM(AF195:AF196)</f>
        <v>0</v>
      </c>
      <c r="AG197" s="370">
        <f>SUM(AG195:AG196)</f>
        <v>0</v>
      </c>
      <c r="AH197" s="4"/>
      <c r="AI197" s="255"/>
      <c r="AJ197" s="367"/>
      <c r="AK197" s="193"/>
      <c r="AL197" s="193"/>
      <c r="AM197" s="193"/>
      <c r="AN197" s="510">
        <f>SUM(AN194:AN196)</f>
        <v>3090</v>
      </c>
      <c r="AO197" s="193"/>
      <c r="AP197" s="193"/>
    </row>
    <row r="198" spans="1:42" s="180" customFormat="1" hidden="1">
      <c r="A198" s="313"/>
      <c r="E198" s="4"/>
      <c r="F198" s="4"/>
      <c r="G198" s="4"/>
      <c r="J198" s="4"/>
      <c r="K198" s="4"/>
      <c r="L198" s="4"/>
      <c r="O198" s="4"/>
      <c r="P198" s="4"/>
      <c r="Q198" s="4"/>
      <c r="T198" s="4"/>
      <c r="U198" s="4"/>
      <c r="V198" s="4"/>
      <c r="Y198" s="4"/>
      <c r="Z198" s="4"/>
      <c r="AA198" s="4"/>
      <c r="AB198" s="4"/>
      <c r="AC198" s="4"/>
      <c r="AH198" s="4"/>
      <c r="AI198" s="255"/>
      <c r="AK198" s="193"/>
      <c r="AL198" s="193"/>
      <c r="AM198" s="193"/>
      <c r="AN198" s="193"/>
      <c r="AO198" s="193"/>
      <c r="AP198" s="193"/>
    </row>
    <row r="199" spans="1:42" s="180" customFormat="1" hidden="1">
      <c r="A199" s="313"/>
      <c r="B199" s="229"/>
      <c r="C199" s="230"/>
      <c r="D199" s="230"/>
      <c r="E199" s="232"/>
      <c r="F199" s="232"/>
      <c r="G199" s="230"/>
      <c r="H199" s="232"/>
      <c r="I199" s="232"/>
      <c r="J199" s="232"/>
      <c r="K199" s="232"/>
      <c r="L199" s="230"/>
      <c r="M199" s="230"/>
      <c r="N199" s="230"/>
      <c r="O199" s="230"/>
      <c r="P199" s="232"/>
      <c r="Q199" s="230"/>
      <c r="R199" s="230"/>
      <c r="S199" s="230"/>
      <c r="T199" s="230"/>
      <c r="U199" s="232"/>
      <c r="V199" s="230"/>
      <c r="W199" s="230"/>
      <c r="X199" s="230"/>
      <c r="Y199" s="233"/>
      <c r="Z199" s="232"/>
      <c r="AA199" s="234"/>
      <c r="AB199" s="232"/>
      <c r="AC199" s="373"/>
      <c r="AD199" s="236"/>
      <c r="AE199" s="255"/>
      <c r="AF199" s="255"/>
      <c r="AG199" s="255"/>
      <c r="AH199" s="255"/>
      <c r="AI199" s="255"/>
      <c r="AJ199" s="255"/>
      <c r="AK199" s="255"/>
      <c r="AL199" s="255"/>
      <c r="AM199" s="255"/>
      <c r="AN199" s="255"/>
      <c r="AO199" s="255"/>
      <c r="AP199" s="255"/>
    </row>
    <row r="200" spans="1:42" s="180" customFormat="1" hidden="1">
      <c r="A200" s="313"/>
      <c r="E200" s="4"/>
      <c r="F200" s="4"/>
      <c r="G200" s="4"/>
      <c r="J200" s="4"/>
      <c r="K200" s="4"/>
      <c r="L200" s="4"/>
      <c r="O200" s="4"/>
      <c r="P200" s="4"/>
      <c r="Q200" s="4"/>
      <c r="T200" s="4"/>
      <c r="U200" s="4"/>
      <c r="V200" s="4"/>
      <c r="Y200" s="4"/>
      <c r="Z200" s="4"/>
      <c r="AA200" s="4"/>
      <c r="AB200" s="4"/>
      <c r="AC200" s="4"/>
      <c r="AH200" s="4"/>
      <c r="AI200" s="255"/>
      <c r="AK200" s="193"/>
      <c r="AL200" s="193"/>
      <c r="AM200" s="193"/>
      <c r="AN200" s="193"/>
      <c r="AO200" s="193"/>
      <c r="AP200" s="193"/>
    </row>
    <row r="201" spans="1:42" s="180" customFormat="1" ht="13.5" hidden="1" customHeight="1">
      <c r="A201" s="313"/>
      <c r="B201" s="1518" t="s">
        <v>18</v>
      </c>
      <c r="C201" s="1519">
        <v>45705</v>
      </c>
      <c r="D201" s="1519"/>
      <c r="E201" s="1519"/>
      <c r="F201" s="1519"/>
      <c r="G201" s="365"/>
      <c r="H201" s="1519">
        <v>45706</v>
      </c>
      <c r="I201" s="1519"/>
      <c r="J201" s="1519"/>
      <c r="K201" s="1519"/>
      <c r="L201" s="365"/>
      <c r="M201" s="1519">
        <v>45707</v>
      </c>
      <c r="N201" s="1519"/>
      <c r="O201" s="1519"/>
      <c r="P201" s="1519"/>
      <c r="Q201" s="365"/>
      <c r="R201" s="1519">
        <v>45708</v>
      </c>
      <c r="S201" s="1519"/>
      <c r="T201" s="1519"/>
      <c r="U201" s="1519"/>
      <c r="V201" s="365"/>
      <c r="W201" s="1519">
        <v>45709</v>
      </c>
      <c r="X201" s="1519"/>
      <c r="Y201" s="1519"/>
      <c r="Z201" s="1519"/>
      <c r="AA201" s="1517" t="s">
        <v>19</v>
      </c>
      <c r="AB201" s="1517" t="s">
        <v>20</v>
      </c>
      <c r="AC201" s="4"/>
      <c r="AD201" s="1519">
        <v>45710</v>
      </c>
      <c r="AE201" s="1519"/>
      <c r="AF201" s="1519"/>
      <c r="AG201" s="1517" t="s">
        <v>21</v>
      </c>
      <c r="AH201" s="4"/>
      <c r="AI201" s="368"/>
      <c r="AK201" s="194" t="s">
        <v>84</v>
      </c>
      <c r="AL201" s="366"/>
      <c r="AM201" s="366"/>
      <c r="AN201" s="366"/>
      <c r="AO201" s="366"/>
      <c r="AP201" s="366"/>
    </row>
    <row r="202" spans="1:42" s="180" customFormat="1" hidden="1">
      <c r="A202" s="313"/>
      <c r="B202" s="1518"/>
      <c r="C202" s="21" t="s">
        <v>23</v>
      </c>
      <c r="D202" s="21" t="s">
        <v>24</v>
      </c>
      <c r="E202" s="205" t="s">
        <v>25</v>
      </c>
      <c r="F202" s="18" t="s">
        <v>14</v>
      </c>
      <c r="G202" s="4"/>
      <c r="H202" s="21" t="s">
        <v>23</v>
      </c>
      <c r="I202" s="21" t="s">
        <v>24</v>
      </c>
      <c r="J202" s="18" t="s">
        <v>25</v>
      </c>
      <c r="K202" s="18" t="s">
        <v>14</v>
      </c>
      <c r="L202" s="4"/>
      <c r="M202" s="21" t="s">
        <v>23</v>
      </c>
      <c r="N202" s="21" t="s">
        <v>24</v>
      </c>
      <c r="O202" s="18" t="s">
        <v>25</v>
      </c>
      <c r="P202" s="18" t="s">
        <v>14</v>
      </c>
      <c r="Q202" s="4"/>
      <c r="R202" s="21" t="s">
        <v>23</v>
      </c>
      <c r="S202" s="21" t="s">
        <v>24</v>
      </c>
      <c r="T202" s="18" t="s">
        <v>25</v>
      </c>
      <c r="U202" s="18" t="s">
        <v>14</v>
      </c>
      <c r="V202" s="4"/>
      <c r="W202" s="21" t="s">
        <v>23</v>
      </c>
      <c r="X202" s="21" t="s">
        <v>24</v>
      </c>
      <c r="Y202" s="18" t="s">
        <v>25</v>
      </c>
      <c r="Z202" s="18" t="s">
        <v>14</v>
      </c>
      <c r="AA202" s="1517"/>
      <c r="AB202" s="1517"/>
      <c r="AC202" s="4"/>
      <c r="AD202" s="21" t="s">
        <v>23</v>
      </c>
      <c r="AE202" s="21" t="s">
        <v>24</v>
      </c>
      <c r="AF202" s="18" t="s">
        <v>25</v>
      </c>
      <c r="AG202" s="1517"/>
      <c r="AH202" s="4"/>
      <c r="AI202" s="368"/>
      <c r="AJ202" s="367"/>
      <c r="AK202" s="188" t="s">
        <v>26</v>
      </c>
      <c r="AL202" s="196">
        <f>AA205</f>
        <v>56</v>
      </c>
      <c r="AM202" s="511">
        <v>51.5</v>
      </c>
      <c r="AN202" s="510">
        <f>AL202*AM202</f>
        <v>2884</v>
      </c>
      <c r="AO202" s="193"/>
      <c r="AP202" s="193"/>
    </row>
    <row r="203" spans="1:42" s="180" customFormat="1" hidden="1">
      <c r="A203" s="313"/>
      <c r="B203" s="4" t="s">
        <v>60</v>
      </c>
      <c r="C203" s="441" t="s">
        <v>28</v>
      </c>
      <c r="D203" s="441"/>
      <c r="E203" s="319">
        <v>8</v>
      </c>
      <c r="F203" s="320"/>
      <c r="G203" s="4"/>
      <c r="H203" s="441" t="s">
        <v>75</v>
      </c>
      <c r="I203" s="441" t="s">
        <v>246</v>
      </c>
      <c r="J203" s="319">
        <v>8</v>
      </c>
      <c r="K203" s="320"/>
      <c r="L203" s="4"/>
      <c r="M203" s="441" t="s">
        <v>75</v>
      </c>
      <c r="N203" s="441" t="s">
        <v>246</v>
      </c>
      <c r="O203" s="319">
        <v>8</v>
      </c>
      <c r="P203" s="320"/>
      <c r="Q203" s="4"/>
      <c r="R203" s="441" t="s">
        <v>75</v>
      </c>
      <c r="S203" s="441" t="s">
        <v>246</v>
      </c>
      <c r="T203" s="319">
        <v>8</v>
      </c>
      <c r="U203" s="320"/>
      <c r="V203" s="4"/>
      <c r="W203" s="441" t="s">
        <v>75</v>
      </c>
      <c r="X203" s="441" t="s">
        <v>246</v>
      </c>
      <c r="Y203" s="319">
        <v>8</v>
      </c>
      <c r="Z203" s="320"/>
      <c r="AA203" s="328">
        <f>Y203+T203+O203+J203+E203</f>
        <v>40</v>
      </c>
      <c r="AB203" s="298">
        <f>Z203+U203+P203+K203+F203</f>
        <v>0</v>
      </c>
      <c r="AC203" s="4"/>
      <c r="AD203" s="587"/>
      <c r="AE203" s="531"/>
      <c r="AF203" s="319"/>
      <c r="AG203" s="328">
        <f>AF203</f>
        <v>0</v>
      </c>
      <c r="AH203" s="4"/>
      <c r="AI203" s="368"/>
      <c r="AJ203" s="367"/>
      <c r="AK203" s="188" t="s">
        <v>30</v>
      </c>
      <c r="AL203" s="196">
        <f>AB205</f>
        <v>0</v>
      </c>
      <c r="AM203" s="511">
        <f>AM202*1.5</f>
        <v>77.25</v>
      </c>
      <c r="AN203" s="510">
        <f>AL203*AM203</f>
        <v>0</v>
      </c>
      <c r="AO203" s="193"/>
      <c r="AP203" s="193"/>
    </row>
    <row r="204" spans="1:42" s="180" customFormat="1" hidden="1">
      <c r="A204" s="313"/>
      <c r="B204" s="4" t="s">
        <v>59</v>
      </c>
      <c r="C204" s="441"/>
      <c r="D204" s="441"/>
      <c r="E204" s="319"/>
      <c r="F204" s="320"/>
      <c r="G204" s="4"/>
      <c r="H204" s="441" t="s">
        <v>222</v>
      </c>
      <c r="I204" s="441" t="s">
        <v>125</v>
      </c>
      <c r="J204" s="319">
        <v>4</v>
      </c>
      <c r="K204" s="320"/>
      <c r="L204" s="4"/>
      <c r="M204" s="441" t="s">
        <v>951</v>
      </c>
      <c r="N204" s="441" t="s">
        <v>125</v>
      </c>
      <c r="O204" s="319">
        <v>4</v>
      </c>
      <c r="P204" s="320"/>
      <c r="Q204" s="4"/>
      <c r="R204" s="441" t="s">
        <v>222</v>
      </c>
      <c r="S204" s="441" t="s">
        <v>125</v>
      </c>
      <c r="T204" s="319">
        <v>4</v>
      </c>
      <c r="U204" s="320"/>
      <c r="V204" s="4"/>
      <c r="W204" s="441" t="s">
        <v>222</v>
      </c>
      <c r="X204" s="441" t="s">
        <v>125</v>
      </c>
      <c r="Y204" s="319">
        <v>4</v>
      </c>
      <c r="Z204" s="320"/>
      <c r="AA204" s="328">
        <f>Y204+T204+O204+J204+E204</f>
        <v>16</v>
      </c>
      <c r="AB204" s="298">
        <f>Z204+U204+P204+K204+F204</f>
        <v>0</v>
      </c>
      <c r="AC204" s="4"/>
      <c r="AF204" s="319"/>
      <c r="AG204" s="328">
        <f>AF204</f>
        <v>0</v>
      </c>
      <c r="AH204" s="175"/>
      <c r="AI204" s="402"/>
      <c r="AJ204" s="367"/>
      <c r="AK204" s="188" t="s">
        <v>32</v>
      </c>
      <c r="AL204" s="196">
        <f>AG205</f>
        <v>0</v>
      </c>
      <c r="AM204" s="511">
        <v>75.77</v>
      </c>
      <c r="AN204" s="510">
        <f>AL204*AM204</f>
        <v>0</v>
      </c>
      <c r="AO204" s="193"/>
      <c r="AP204" s="193"/>
    </row>
    <row r="205" spans="1:42" s="180" customFormat="1" hidden="1">
      <c r="A205" s="313"/>
      <c r="B205" s="64" t="s">
        <v>61</v>
      </c>
      <c r="C205" s="31"/>
      <c r="D205" s="31"/>
      <c r="E205" s="439">
        <f>SUM(E203:E204)</f>
        <v>8</v>
      </c>
      <c r="F205" s="320">
        <f>SUM(F203:F204)</f>
        <v>0</v>
      </c>
      <c r="G205" s="31"/>
      <c r="H205" s="31"/>
      <c r="I205" s="31"/>
      <c r="J205" s="439">
        <f>SUM(J203:J204)</f>
        <v>12</v>
      </c>
      <c r="K205" s="320">
        <f>SUM(K203:K204)</f>
        <v>0</v>
      </c>
      <c r="L205" s="31"/>
      <c r="M205" s="31"/>
      <c r="N205" s="31"/>
      <c r="O205" s="439">
        <f>SUM(O203:O204)</f>
        <v>12</v>
      </c>
      <c r="P205" s="320">
        <f>SUM(P203:P204)</f>
        <v>0</v>
      </c>
      <c r="Q205" s="31"/>
      <c r="R205" s="31"/>
      <c r="S205" s="31"/>
      <c r="T205" s="439">
        <f>SUM(T203:T204)</f>
        <v>12</v>
      </c>
      <c r="U205" s="320">
        <f>SUM(U203:U204)</f>
        <v>0</v>
      </c>
      <c r="V205" s="31"/>
      <c r="W205" s="31"/>
      <c r="X205" s="31"/>
      <c r="Y205" s="439">
        <f>SUM(Y203:Y204)</f>
        <v>12</v>
      </c>
      <c r="Z205" s="320">
        <f>SUM(Z203:Z204)</f>
        <v>0</v>
      </c>
      <c r="AA205" s="370">
        <f>SUM(AA203:AA204)</f>
        <v>56</v>
      </c>
      <c r="AB205" s="370">
        <f>SUM(AB203:AB204)</f>
        <v>0</v>
      </c>
      <c r="AC205" s="4"/>
      <c r="AD205" s="64"/>
      <c r="AE205" s="64"/>
      <c r="AF205" s="370">
        <f>SUM(AF203:AF204)</f>
        <v>0</v>
      </c>
      <c r="AG205" s="370">
        <f>SUM(AG203:AG204)</f>
        <v>0</v>
      </c>
      <c r="AH205" s="4"/>
      <c r="AI205" s="255"/>
      <c r="AJ205" s="367"/>
      <c r="AK205" s="193"/>
      <c r="AL205" s="193"/>
      <c r="AM205" s="193"/>
      <c r="AN205" s="510">
        <f>SUM(AN202:AN204)</f>
        <v>2884</v>
      </c>
      <c r="AO205" s="193"/>
      <c r="AP205" s="193"/>
    </row>
    <row r="206" spans="1:42" s="180" customFormat="1" hidden="1">
      <c r="A206" s="313"/>
      <c r="E206" s="4"/>
      <c r="F206" s="4"/>
      <c r="G206" s="4"/>
      <c r="J206" s="4"/>
      <c r="K206" s="4"/>
      <c r="L206" s="4"/>
      <c r="O206" s="4"/>
      <c r="P206" s="4"/>
      <c r="Q206" s="4"/>
      <c r="T206" s="4"/>
      <c r="U206" s="4"/>
      <c r="V206" s="4"/>
      <c r="Y206" s="4"/>
      <c r="Z206" s="4"/>
      <c r="AA206" s="4"/>
      <c r="AB206" s="4"/>
      <c r="AC206" s="4"/>
      <c r="AH206" s="4"/>
      <c r="AI206" s="255"/>
      <c r="AK206" s="193"/>
      <c r="AL206" s="193"/>
      <c r="AM206" s="193"/>
      <c r="AN206" s="193"/>
      <c r="AO206" s="193"/>
      <c r="AP206" s="193"/>
    </row>
    <row r="207" spans="1:42" s="180" customFormat="1" hidden="1">
      <c r="A207" s="313"/>
      <c r="B207" s="229"/>
      <c r="C207" s="230"/>
      <c r="D207" s="230"/>
      <c r="E207" s="232"/>
      <c r="F207" s="232"/>
      <c r="G207" s="230"/>
      <c r="H207" s="232"/>
      <c r="I207" s="232"/>
      <c r="J207" s="232"/>
      <c r="K207" s="232"/>
      <c r="L207" s="230"/>
      <c r="M207" s="230"/>
      <c r="N207" s="230"/>
      <c r="O207" s="230"/>
      <c r="P207" s="232"/>
      <c r="Q207" s="230"/>
      <c r="R207" s="230"/>
      <c r="S207" s="230"/>
      <c r="T207" s="230"/>
      <c r="U207" s="232"/>
      <c r="V207" s="230"/>
      <c r="W207" s="230"/>
      <c r="X207" s="230"/>
      <c r="Y207" s="233"/>
      <c r="Z207" s="232"/>
      <c r="AA207" s="234"/>
      <c r="AB207" s="232"/>
      <c r="AC207" s="373"/>
      <c r="AD207" s="236"/>
      <c r="AE207" s="255"/>
      <c r="AF207" s="255"/>
      <c r="AG207" s="255"/>
      <c r="AH207" s="255"/>
      <c r="AI207" s="255"/>
      <c r="AJ207" s="255"/>
      <c r="AK207" s="255"/>
      <c r="AL207" s="255"/>
      <c r="AM207" s="255"/>
      <c r="AN207" s="255"/>
      <c r="AO207" s="255"/>
      <c r="AP207" s="255"/>
    </row>
    <row r="208" spans="1:42" s="180" customFormat="1" hidden="1">
      <c r="A208" s="313"/>
      <c r="E208" s="4"/>
      <c r="F208" s="4"/>
      <c r="G208" s="4"/>
      <c r="J208" s="4"/>
      <c r="K208" s="4"/>
      <c r="L208" s="4"/>
      <c r="O208" s="4"/>
      <c r="P208" s="4"/>
      <c r="Q208" s="4"/>
      <c r="T208" s="4"/>
      <c r="U208" s="4"/>
      <c r="V208" s="4"/>
      <c r="Y208" s="4"/>
      <c r="Z208" s="4"/>
      <c r="AA208" s="4"/>
      <c r="AB208" s="4"/>
      <c r="AC208" s="4"/>
      <c r="AH208" s="4"/>
      <c r="AI208" s="255"/>
      <c r="AK208" s="193"/>
      <c r="AL208" s="193"/>
      <c r="AM208" s="193"/>
      <c r="AN208" s="193"/>
      <c r="AO208" s="193"/>
      <c r="AP208" s="193"/>
    </row>
    <row r="209" spans="1:42" s="180" customFormat="1" ht="13.5" hidden="1" customHeight="1">
      <c r="A209" s="313"/>
      <c r="B209" s="1518" t="s">
        <v>18</v>
      </c>
      <c r="C209" s="1519">
        <v>45712</v>
      </c>
      <c r="D209" s="1519"/>
      <c r="E209" s="1519"/>
      <c r="F209" s="1519"/>
      <c r="G209" s="365"/>
      <c r="H209" s="1519">
        <v>45713</v>
      </c>
      <c r="I209" s="1519"/>
      <c r="J209" s="1519"/>
      <c r="K209" s="1519"/>
      <c r="L209" s="365"/>
      <c r="M209" s="1519">
        <v>45714</v>
      </c>
      <c r="N209" s="1519"/>
      <c r="O209" s="1519"/>
      <c r="P209" s="1519"/>
      <c r="Q209" s="365"/>
      <c r="R209" s="1519">
        <v>45715</v>
      </c>
      <c r="S209" s="1519"/>
      <c r="T209" s="1519"/>
      <c r="U209" s="1519"/>
      <c r="V209" s="365"/>
      <c r="W209" s="1519">
        <v>45716</v>
      </c>
      <c r="X209" s="1519"/>
      <c r="Y209" s="1519"/>
      <c r="Z209" s="1519"/>
      <c r="AA209" s="1517" t="s">
        <v>19</v>
      </c>
      <c r="AB209" s="1517" t="s">
        <v>20</v>
      </c>
      <c r="AC209" s="4"/>
      <c r="AD209" s="1519">
        <v>45717</v>
      </c>
      <c r="AE209" s="1519"/>
      <c r="AF209" s="1519"/>
      <c r="AG209" s="1517" t="s">
        <v>21</v>
      </c>
      <c r="AH209" s="4"/>
      <c r="AI209" s="368"/>
      <c r="AK209" s="194" t="s">
        <v>84</v>
      </c>
      <c r="AL209" s="366"/>
      <c r="AM209" s="366"/>
      <c r="AN209" s="366"/>
      <c r="AO209" s="366"/>
      <c r="AP209" s="366"/>
    </row>
    <row r="210" spans="1:42" s="180" customFormat="1" hidden="1">
      <c r="A210" s="313"/>
      <c r="B210" s="1518"/>
      <c r="C210" s="21" t="s">
        <v>23</v>
      </c>
      <c r="D210" s="21" t="s">
        <v>24</v>
      </c>
      <c r="E210" s="205" t="s">
        <v>25</v>
      </c>
      <c r="F210" s="18" t="s">
        <v>14</v>
      </c>
      <c r="G210" s="4"/>
      <c r="H210" s="21" t="s">
        <v>23</v>
      </c>
      <c r="I210" s="21" t="s">
        <v>24</v>
      </c>
      <c r="J210" s="18" t="s">
        <v>25</v>
      </c>
      <c r="K210" s="18" t="s">
        <v>14</v>
      </c>
      <c r="L210" s="4"/>
      <c r="M210" s="21" t="s">
        <v>23</v>
      </c>
      <c r="N210" s="21" t="s">
        <v>24</v>
      </c>
      <c r="O210" s="18" t="s">
        <v>25</v>
      </c>
      <c r="P210" s="18" t="s">
        <v>14</v>
      </c>
      <c r="Q210" s="4"/>
      <c r="R210" s="21" t="s">
        <v>23</v>
      </c>
      <c r="S210" s="21" t="s">
        <v>24</v>
      </c>
      <c r="T210" s="18" t="s">
        <v>25</v>
      </c>
      <c r="U210" s="18" t="s">
        <v>14</v>
      </c>
      <c r="V210" s="4"/>
      <c r="W210" s="21" t="s">
        <v>23</v>
      </c>
      <c r="X210" s="21" t="s">
        <v>24</v>
      </c>
      <c r="Y210" s="18" t="s">
        <v>25</v>
      </c>
      <c r="Z210" s="18" t="s">
        <v>14</v>
      </c>
      <c r="AA210" s="1517"/>
      <c r="AB210" s="1517"/>
      <c r="AC210" s="4"/>
      <c r="AD210" s="21" t="s">
        <v>23</v>
      </c>
      <c r="AE210" s="21" t="s">
        <v>24</v>
      </c>
      <c r="AF210" s="18" t="s">
        <v>25</v>
      </c>
      <c r="AG210" s="1517"/>
      <c r="AH210" s="4"/>
      <c r="AI210" s="368"/>
      <c r="AJ210" s="367"/>
      <c r="AK210" s="188" t="s">
        <v>26</v>
      </c>
      <c r="AL210" s="196">
        <f>AA213</f>
        <v>60</v>
      </c>
      <c r="AM210" s="511">
        <v>51.5</v>
      </c>
      <c r="AN210" s="510">
        <f>AL210*AM210</f>
        <v>3090</v>
      </c>
      <c r="AO210" s="193"/>
      <c r="AP210" s="193"/>
    </row>
    <row r="211" spans="1:42" s="180" customFormat="1" hidden="1">
      <c r="A211" s="313"/>
      <c r="B211" s="4" t="s">
        <v>60</v>
      </c>
      <c r="C211" s="441" t="s">
        <v>75</v>
      </c>
      <c r="D211" s="441" t="s">
        <v>246</v>
      </c>
      <c r="E211" s="319">
        <v>8</v>
      </c>
      <c r="F211" s="320"/>
      <c r="G211" s="4"/>
      <c r="H211" s="441" t="s">
        <v>75</v>
      </c>
      <c r="I211" s="441" t="s">
        <v>246</v>
      </c>
      <c r="J211" s="319">
        <v>8</v>
      </c>
      <c r="K211" s="320"/>
      <c r="L211" s="4"/>
      <c r="M211" s="441" t="s">
        <v>75</v>
      </c>
      <c r="N211" s="441" t="s">
        <v>246</v>
      </c>
      <c r="O211" s="319">
        <v>8</v>
      </c>
      <c r="P211" s="320"/>
      <c r="Q211" s="4"/>
      <c r="R211" s="441" t="s">
        <v>75</v>
      </c>
      <c r="S211" s="441" t="s">
        <v>246</v>
      </c>
      <c r="T211" s="319">
        <v>8</v>
      </c>
      <c r="U211" s="320"/>
      <c r="V211" s="4"/>
      <c r="W211" s="441" t="s">
        <v>75</v>
      </c>
      <c r="X211" s="441" t="s">
        <v>246</v>
      </c>
      <c r="Y211" s="319">
        <v>8</v>
      </c>
      <c r="Z211" s="320"/>
      <c r="AA211" s="328">
        <f>Y211+T211+O211+J211+E211</f>
        <v>40</v>
      </c>
      <c r="AB211" s="298">
        <f>Z211+U211+P211+K211+F211</f>
        <v>0</v>
      </c>
      <c r="AC211" s="4"/>
      <c r="AD211" s="587"/>
      <c r="AE211" s="531"/>
      <c r="AF211" s="319"/>
      <c r="AG211" s="328">
        <f>AF211</f>
        <v>0</v>
      </c>
      <c r="AH211" s="4"/>
      <c r="AI211" s="368"/>
      <c r="AJ211" s="367"/>
      <c r="AK211" s="188" t="s">
        <v>30</v>
      </c>
      <c r="AL211" s="196">
        <f>AB213</f>
        <v>0</v>
      </c>
      <c r="AM211" s="511">
        <f>AM210*1.5</f>
        <v>77.25</v>
      </c>
      <c r="AN211" s="510">
        <f>AL211*AM211</f>
        <v>0</v>
      </c>
      <c r="AO211" s="193"/>
      <c r="AP211" s="193"/>
    </row>
    <row r="212" spans="1:42" s="180" customFormat="1" hidden="1">
      <c r="A212" s="313"/>
      <c r="B212" s="4" t="s">
        <v>59</v>
      </c>
      <c r="C212" s="441" t="s">
        <v>222</v>
      </c>
      <c r="D212" s="441" t="s">
        <v>125</v>
      </c>
      <c r="E212" s="319">
        <v>4</v>
      </c>
      <c r="F212" s="320"/>
      <c r="G212" s="4"/>
      <c r="H212" s="441" t="s">
        <v>222</v>
      </c>
      <c r="I212" s="441" t="s">
        <v>125</v>
      </c>
      <c r="J212" s="319">
        <v>4</v>
      </c>
      <c r="K212" s="320"/>
      <c r="L212" s="4"/>
      <c r="M212" s="441" t="s">
        <v>222</v>
      </c>
      <c r="N212" s="441" t="s">
        <v>125</v>
      </c>
      <c r="O212" s="319">
        <v>4</v>
      </c>
      <c r="P212" s="320"/>
      <c r="Q212" s="4"/>
      <c r="R212" s="441" t="s">
        <v>222</v>
      </c>
      <c r="S212" s="441" t="s">
        <v>125</v>
      </c>
      <c r="T212" s="319">
        <v>4</v>
      </c>
      <c r="U212" s="320"/>
      <c r="V212" s="4"/>
      <c r="W212" s="441" t="s">
        <v>222</v>
      </c>
      <c r="X212" s="441" t="s">
        <v>125</v>
      </c>
      <c r="Y212" s="319">
        <v>4</v>
      </c>
      <c r="Z212" s="320"/>
      <c r="AA212" s="328">
        <f>Y212+T212+O212+J212+E212</f>
        <v>20</v>
      </c>
      <c r="AB212" s="298">
        <f>Z212+U212+P212+K212+F212</f>
        <v>0</v>
      </c>
      <c r="AC212" s="4"/>
      <c r="AF212" s="319"/>
      <c r="AG212" s="328">
        <f>AF212</f>
        <v>0</v>
      </c>
      <c r="AH212" s="175"/>
      <c r="AI212" s="402"/>
      <c r="AJ212" s="367"/>
      <c r="AK212" s="188" t="s">
        <v>32</v>
      </c>
      <c r="AL212" s="196">
        <f>AG213</f>
        <v>0</v>
      </c>
      <c r="AM212" s="511">
        <v>75.77</v>
      </c>
      <c r="AN212" s="510">
        <f>AL212*AM212</f>
        <v>0</v>
      </c>
      <c r="AO212" s="193"/>
      <c r="AP212" s="193"/>
    </row>
    <row r="213" spans="1:42" s="180" customFormat="1" hidden="1">
      <c r="A213" s="313"/>
      <c r="B213" s="64" t="s">
        <v>61</v>
      </c>
      <c r="C213" s="31"/>
      <c r="D213" s="31"/>
      <c r="E213" s="439">
        <f>SUM(E211:E212)</f>
        <v>12</v>
      </c>
      <c r="F213" s="320">
        <f>SUM(F211:F212)</f>
        <v>0</v>
      </c>
      <c r="G213" s="31"/>
      <c r="H213" s="31"/>
      <c r="I213" s="31"/>
      <c r="J213" s="439">
        <f>SUM(J211:J212)</f>
        <v>12</v>
      </c>
      <c r="K213" s="320">
        <f>SUM(K211:K212)</f>
        <v>0</v>
      </c>
      <c r="L213" s="31"/>
      <c r="M213" s="31"/>
      <c r="N213" s="31"/>
      <c r="O213" s="439">
        <f>SUM(O211:O212)</f>
        <v>12</v>
      </c>
      <c r="P213" s="320">
        <f>SUM(P211:P212)</f>
        <v>0</v>
      </c>
      <c r="Q213" s="31"/>
      <c r="R213" s="31"/>
      <c r="S213" s="31"/>
      <c r="T213" s="439">
        <f>SUM(T211:T212)</f>
        <v>12</v>
      </c>
      <c r="U213" s="320">
        <f>SUM(U211:U212)</f>
        <v>0</v>
      </c>
      <c r="V213" s="31"/>
      <c r="W213" s="31"/>
      <c r="X213" s="31"/>
      <c r="Y213" s="439">
        <f>SUM(Y211:Y212)</f>
        <v>12</v>
      </c>
      <c r="Z213" s="320">
        <f>SUM(Z211:Z212)</f>
        <v>0</v>
      </c>
      <c r="AA213" s="370">
        <f>SUM(AA211:AA212)</f>
        <v>60</v>
      </c>
      <c r="AB213" s="370">
        <f>SUM(AB211:AB212)</f>
        <v>0</v>
      </c>
      <c r="AC213" s="4"/>
      <c r="AD213" s="64"/>
      <c r="AE213" s="64"/>
      <c r="AF213" s="370">
        <f>SUM(AF211:AF212)</f>
        <v>0</v>
      </c>
      <c r="AG213" s="370">
        <f>SUM(AG211:AG212)</f>
        <v>0</v>
      </c>
      <c r="AH213" s="4"/>
      <c r="AI213" s="255"/>
      <c r="AJ213" s="367"/>
      <c r="AK213" s="193"/>
      <c r="AL213" s="193"/>
      <c r="AM213" s="193"/>
      <c r="AN213" s="510">
        <f>SUM(AN210:AN212)</f>
        <v>3090</v>
      </c>
      <c r="AO213" s="193"/>
      <c r="AP213" s="193"/>
    </row>
    <row r="214" spans="1:42" s="180" customFormat="1" hidden="1">
      <c r="A214" s="313"/>
      <c r="E214" s="4"/>
      <c r="F214" s="4"/>
      <c r="G214" s="4"/>
      <c r="J214" s="4"/>
      <c r="K214" s="4"/>
      <c r="L214" s="4"/>
      <c r="O214" s="4"/>
      <c r="P214" s="4"/>
      <c r="Q214" s="4"/>
      <c r="T214" s="4"/>
      <c r="U214" s="4"/>
      <c r="V214" s="4"/>
      <c r="Y214" s="4"/>
      <c r="Z214" s="4"/>
      <c r="AA214" s="4"/>
      <c r="AB214" s="4"/>
      <c r="AC214" s="4"/>
      <c r="AH214" s="4"/>
      <c r="AI214" s="255"/>
      <c r="AK214" s="193"/>
      <c r="AL214" s="193"/>
      <c r="AM214" s="193"/>
      <c r="AN214" s="193"/>
      <c r="AO214" s="193"/>
      <c r="AP214" s="193"/>
    </row>
    <row r="215" spans="1:42" s="180" customFormat="1" hidden="1">
      <c r="A215" s="313"/>
      <c r="B215" s="229"/>
      <c r="C215" s="230"/>
      <c r="D215" s="230"/>
      <c r="E215" s="232"/>
      <c r="F215" s="232"/>
      <c r="G215" s="230"/>
      <c r="H215" s="232"/>
      <c r="I215" s="232"/>
      <c r="J215" s="232"/>
      <c r="K215" s="232"/>
      <c r="L215" s="230"/>
      <c r="M215" s="230"/>
      <c r="N215" s="230"/>
      <c r="O215" s="230"/>
      <c r="P215" s="232"/>
      <c r="Q215" s="230"/>
      <c r="R215" s="230"/>
      <c r="S215" s="230"/>
      <c r="T215" s="230"/>
      <c r="U215" s="232"/>
      <c r="V215" s="230"/>
      <c r="W215" s="230"/>
      <c r="X215" s="230"/>
      <c r="Y215" s="233"/>
      <c r="Z215" s="232"/>
      <c r="AA215" s="234"/>
      <c r="AB215" s="232"/>
      <c r="AC215" s="373"/>
      <c r="AD215" s="236"/>
      <c r="AE215" s="255"/>
      <c r="AF215" s="255"/>
      <c r="AG215" s="255"/>
      <c r="AH215" s="255"/>
      <c r="AI215" s="255"/>
      <c r="AJ215" s="255"/>
      <c r="AK215" s="255"/>
      <c r="AL215" s="255"/>
      <c r="AM215" s="255"/>
      <c r="AN215" s="255"/>
      <c r="AO215" s="255"/>
      <c r="AP215" s="255"/>
    </row>
    <row r="216" spans="1:42" s="180" customFormat="1" hidden="1">
      <c r="A216" s="313"/>
      <c r="E216" s="4"/>
      <c r="F216" s="4"/>
      <c r="G216" s="4"/>
      <c r="J216" s="4"/>
      <c r="K216" s="4"/>
      <c r="L216" s="4"/>
      <c r="O216" s="4"/>
      <c r="P216" s="4"/>
      <c r="Q216" s="4"/>
      <c r="T216" s="4"/>
      <c r="U216" s="4"/>
      <c r="V216" s="4"/>
      <c r="Y216" s="4"/>
      <c r="Z216" s="4"/>
      <c r="AA216" s="4"/>
      <c r="AB216" s="4"/>
      <c r="AC216" s="4"/>
      <c r="AH216" s="4"/>
      <c r="AI216" s="255"/>
      <c r="AK216" s="193"/>
      <c r="AL216" s="193"/>
      <c r="AM216" s="193"/>
      <c r="AN216" s="193"/>
      <c r="AO216" s="193"/>
      <c r="AP216" s="193"/>
    </row>
    <row r="217" spans="1:42" s="180" customFormat="1" ht="13.5" hidden="1" customHeight="1">
      <c r="A217" s="313"/>
      <c r="B217" s="1518" t="s">
        <v>18</v>
      </c>
      <c r="C217" s="1519">
        <v>45719</v>
      </c>
      <c r="D217" s="1519"/>
      <c r="E217" s="1519"/>
      <c r="F217" s="1519"/>
      <c r="G217" s="365"/>
      <c r="H217" s="1519">
        <v>45720</v>
      </c>
      <c r="I217" s="1519"/>
      <c r="J217" s="1519"/>
      <c r="K217" s="1519"/>
      <c r="L217" s="365"/>
      <c r="M217" s="1519">
        <v>45721</v>
      </c>
      <c r="N217" s="1519"/>
      <c r="O217" s="1519"/>
      <c r="P217" s="1519"/>
      <c r="Q217" s="365"/>
      <c r="R217" s="1519">
        <v>45722</v>
      </c>
      <c r="S217" s="1519"/>
      <c r="T217" s="1519"/>
      <c r="U217" s="1519"/>
      <c r="V217" s="365"/>
      <c r="W217" s="1519">
        <v>45723</v>
      </c>
      <c r="X217" s="1519"/>
      <c r="Y217" s="1519"/>
      <c r="Z217" s="1519"/>
      <c r="AA217" s="1517" t="s">
        <v>19</v>
      </c>
      <c r="AB217" s="1517" t="s">
        <v>20</v>
      </c>
      <c r="AC217" s="4"/>
      <c r="AD217" s="1519">
        <v>45724</v>
      </c>
      <c r="AE217" s="1519"/>
      <c r="AF217" s="1519"/>
      <c r="AG217" s="1517" t="s">
        <v>21</v>
      </c>
      <c r="AH217" s="4"/>
      <c r="AI217" s="368"/>
      <c r="AK217" s="194" t="s">
        <v>84</v>
      </c>
      <c r="AL217" s="366"/>
      <c r="AM217" s="366"/>
      <c r="AN217" s="366"/>
      <c r="AO217" s="366"/>
      <c r="AP217" s="366"/>
    </row>
    <row r="218" spans="1:42" s="180" customFormat="1" hidden="1">
      <c r="A218" s="313"/>
      <c r="B218" s="1518"/>
      <c r="C218" s="21" t="s">
        <v>23</v>
      </c>
      <c r="D218" s="21" t="s">
        <v>24</v>
      </c>
      <c r="E218" s="205" t="s">
        <v>25</v>
      </c>
      <c r="F218" s="18" t="s">
        <v>14</v>
      </c>
      <c r="G218" s="4"/>
      <c r="H218" s="21" t="s">
        <v>23</v>
      </c>
      <c r="I218" s="21" t="s">
        <v>24</v>
      </c>
      <c r="J218" s="18" t="s">
        <v>25</v>
      </c>
      <c r="K218" s="18" t="s">
        <v>14</v>
      </c>
      <c r="L218" s="4"/>
      <c r="M218" s="21" t="s">
        <v>23</v>
      </c>
      <c r="N218" s="21" t="s">
        <v>24</v>
      </c>
      <c r="O218" s="18" t="s">
        <v>25</v>
      </c>
      <c r="P218" s="18" t="s">
        <v>14</v>
      </c>
      <c r="Q218" s="4"/>
      <c r="R218" s="21" t="s">
        <v>23</v>
      </c>
      <c r="S218" s="21" t="s">
        <v>24</v>
      </c>
      <c r="T218" s="18" t="s">
        <v>25</v>
      </c>
      <c r="U218" s="18" t="s">
        <v>14</v>
      </c>
      <c r="V218" s="4"/>
      <c r="W218" s="21" t="s">
        <v>23</v>
      </c>
      <c r="X218" s="21" t="s">
        <v>24</v>
      </c>
      <c r="Y218" s="18" t="s">
        <v>25</v>
      </c>
      <c r="Z218" s="18" t="s">
        <v>14</v>
      </c>
      <c r="AA218" s="1517"/>
      <c r="AB218" s="1517"/>
      <c r="AC218" s="4"/>
      <c r="AD218" s="21" t="s">
        <v>23</v>
      </c>
      <c r="AE218" s="21" t="s">
        <v>24</v>
      </c>
      <c r="AF218" s="18" t="s">
        <v>25</v>
      </c>
      <c r="AG218" s="1517"/>
      <c r="AH218" s="4"/>
      <c r="AI218" s="368"/>
      <c r="AJ218" s="367"/>
      <c r="AK218" s="188" t="s">
        <v>26</v>
      </c>
      <c r="AL218" s="196">
        <f>AA221</f>
        <v>56</v>
      </c>
      <c r="AM218" s="511">
        <v>51.5</v>
      </c>
      <c r="AN218" s="510">
        <f>AL218*AM218</f>
        <v>2884</v>
      </c>
      <c r="AO218" s="193"/>
      <c r="AP218" s="193"/>
    </row>
    <row r="219" spans="1:42" s="180" customFormat="1" hidden="1">
      <c r="A219" s="313"/>
      <c r="B219" s="4" t="s">
        <v>60</v>
      </c>
      <c r="C219" s="441" t="s">
        <v>75</v>
      </c>
      <c r="D219" s="441" t="s">
        <v>246</v>
      </c>
      <c r="E219" s="319">
        <v>8</v>
      </c>
      <c r="F219" s="320"/>
      <c r="G219" s="4"/>
      <c r="H219" s="441" t="s">
        <v>75</v>
      </c>
      <c r="I219" s="441" t="s">
        <v>246</v>
      </c>
      <c r="J219" s="319">
        <v>8</v>
      </c>
      <c r="K219" s="320"/>
      <c r="L219" s="4"/>
      <c r="M219" s="441" t="s">
        <v>75</v>
      </c>
      <c r="N219" s="441" t="s">
        <v>246</v>
      </c>
      <c r="O219" s="319">
        <v>8</v>
      </c>
      <c r="P219" s="320"/>
      <c r="Q219" s="4"/>
      <c r="R219" s="441" t="s">
        <v>76</v>
      </c>
      <c r="S219" s="441" t="s">
        <v>211</v>
      </c>
      <c r="T219" s="319">
        <v>8</v>
      </c>
      <c r="U219" s="320"/>
      <c r="V219" s="4"/>
      <c r="W219" s="441" t="s">
        <v>75</v>
      </c>
      <c r="X219" s="441" t="s">
        <v>246</v>
      </c>
      <c r="Y219" s="319">
        <v>8</v>
      </c>
      <c r="Z219" s="320"/>
      <c r="AA219" s="328">
        <f>Y219+T219+O219+J219+E219</f>
        <v>40</v>
      </c>
      <c r="AB219" s="298">
        <f>Z219+U219+P219+K219+F219</f>
        <v>0</v>
      </c>
      <c r="AC219" s="4"/>
      <c r="AD219" s="587"/>
      <c r="AE219" s="531"/>
      <c r="AF219" s="319"/>
      <c r="AG219" s="328">
        <f>AF219</f>
        <v>0</v>
      </c>
      <c r="AH219" s="4"/>
      <c r="AI219" s="368"/>
      <c r="AJ219" s="367"/>
      <c r="AK219" s="188" t="s">
        <v>30</v>
      </c>
      <c r="AL219" s="196">
        <f>AB221</f>
        <v>0</v>
      </c>
      <c r="AM219" s="511">
        <f>AM218*1.5</f>
        <v>77.25</v>
      </c>
      <c r="AN219" s="510">
        <f>AL219*AM219</f>
        <v>0</v>
      </c>
      <c r="AO219" s="193"/>
      <c r="AP219" s="193"/>
    </row>
    <row r="220" spans="1:42" s="180" customFormat="1" hidden="1">
      <c r="A220" s="313"/>
      <c r="B220" s="4" t="s">
        <v>59</v>
      </c>
      <c r="C220" s="441" t="s">
        <v>222</v>
      </c>
      <c r="D220" s="441" t="s">
        <v>125</v>
      </c>
      <c r="E220" s="319">
        <v>4</v>
      </c>
      <c r="F220" s="320"/>
      <c r="G220" s="4"/>
      <c r="H220" s="441" t="s">
        <v>222</v>
      </c>
      <c r="I220" s="441" t="s">
        <v>125</v>
      </c>
      <c r="J220" s="319">
        <v>4</v>
      </c>
      <c r="K220" s="320"/>
      <c r="L220" s="4"/>
      <c r="M220" s="441" t="s">
        <v>116</v>
      </c>
      <c r="N220" s="441"/>
      <c r="O220" s="319"/>
      <c r="P220" s="320"/>
      <c r="Q220" s="4"/>
      <c r="R220" s="441" t="s">
        <v>222</v>
      </c>
      <c r="S220" s="441" t="s">
        <v>125</v>
      </c>
      <c r="T220" s="319">
        <v>4</v>
      </c>
      <c r="U220" s="320"/>
      <c r="V220" s="4"/>
      <c r="W220" s="441" t="s">
        <v>222</v>
      </c>
      <c r="X220" s="441" t="s">
        <v>125</v>
      </c>
      <c r="Y220" s="319">
        <v>4</v>
      </c>
      <c r="Z220" s="320"/>
      <c r="AA220" s="328">
        <f>Y220+T220+O220+J220+E220</f>
        <v>16</v>
      </c>
      <c r="AB220" s="298">
        <f>Z220+U220+P220+K220+F220</f>
        <v>0</v>
      </c>
      <c r="AC220" s="4"/>
      <c r="AF220" s="319"/>
      <c r="AG220" s="328">
        <f>AF220</f>
        <v>0</v>
      </c>
      <c r="AH220" s="175"/>
      <c r="AI220" s="402"/>
      <c r="AJ220" s="367"/>
      <c r="AK220" s="188" t="s">
        <v>32</v>
      </c>
      <c r="AL220" s="196">
        <f>AG221</f>
        <v>0</v>
      </c>
      <c r="AM220" s="511">
        <v>75.77</v>
      </c>
      <c r="AN220" s="510">
        <f>AL220*AM220</f>
        <v>0</v>
      </c>
      <c r="AO220" s="193"/>
      <c r="AP220" s="193"/>
    </row>
    <row r="221" spans="1:42" s="180" customFormat="1" hidden="1">
      <c r="A221" s="313"/>
      <c r="B221" s="64" t="s">
        <v>61</v>
      </c>
      <c r="C221" s="31"/>
      <c r="D221" s="31"/>
      <c r="E221" s="439">
        <f>SUM(E219:E220)</f>
        <v>12</v>
      </c>
      <c r="F221" s="320">
        <f>SUM(F219:F220)</f>
        <v>0</v>
      </c>
      <c r="G221" s="31"/>
      <c r="H221" s="31"/>
      <c r="I221" s="31"/>
      <c r="J221" s="439">
        <f>SUM(J219:J220)</f>
        <v>12</v>
      </c>
      <c r="K221" s="320">
        <f>SUM(K219:K220)</f>
        <v>0</v>
      </c>
      <c r="L221" s="31"/>
      <c r="M221" s="31"/>
      <c r="N221" s="31"/>
      <c r="O221" s="439">
        <f>SUM(O219:O220)</f>
        <v>8</v>
      </c>
      <c r="P221" s="320">
        <f>SUM(P219:P220)</f>
        <v>0</v>
      </c>
      <c r="Q221" s="31"/>
      <c r="R221" s="31"/>
      <c r="S221" s="31"/>
      <c r="T221" s="439">
        <f>SUM(T219:T220)</f>
        <v>12</v>
      </c>
      <c r="U221" s="320">
        <f>SUM(U219:U220)</f>
        <v>0</v>
      </c>
      <c r="V221" s="31"/>
      <c r="W221" s="31"/>
      <c r="X221" s="31"/>
      <c r="Y221" s="439">
        <f>SUM(Y219:Y220)</f>
        <v>12</v>
      </c>
      <c r="Z221" s="320">
        <f>SUM(Z219:Z220)</f>
        <v>0</v>
      </c>
      <c r="AA221" s="370">
        <f>SUM(AA219:AA220)</f>
        <v>56</v>
      </c>
      <c r="AB221" s="370">
        <f>SUM(AB219:AB220)</f>
        <v>0</v>
      </c>
      <c r="AC221" s="4"/>
      <c r="AD221" s="64"/>
      <c r="AE221" s="64"/>
      <c r="AF221" s="370">
        <f>SUM(AF219:AF220)</f>
        <v>0</v>
      </c>
      <c r="AG221" s="370">
        <f>SUM(AG219:AG220)</f>
        <v>0</v>
      </c>
      <c r="AH221" s="4"/>
      <c r="AI221" s="255"/>
      <c r="AJ221" s="367"/>
      <c r="AK221" s="193"/>
      <c r="AL221" s="193"/>
      <c r="AM221" s="193"/>
      <c r="AN221" s="510">
        <f>SUM(AN218:AN220)</f>
        <v>2884</v>
      </c>
      <c r="AO221" s="193"/>
      <c r="AP221" s="193"/>
    </row>
    <row r="222" spans="1:42" s="180" customFormat="1" hidden="1">
      <c r="A222" s="313"/>
      <c r="E222" s="4"/>
      <c r="F222" s="4"/>
      <c r="G222" s="4"/>
      <c r="J222" s="4"/>
      <c r="K222" s="4"/>
      <c r="L222" s="4"/>
      <c r="O222" s="4"/>
      <c r="P222" s="4"/>
      <c r="Q222" s="4"/>
      <c r="T222" s="4"/>
      <c r="U222" s="4"/>
      <c r="V222" s="4"/>
      <c r="Y222" s="4"/>
      <c r="Z222" s="4"/>
      <c r="AA222" s="4"/>
      <c r="AB222" s="4"/>
      <c r="AC222" s="4"/>
      <c r="AH222" s="4"/>
      <c r="AI222" s="255"/>
      <c r="AK222" s="193"/>
      <c r="AL222" s="193"/>
      <c r="AM222" s="193"/>
      <c r="AN222" s="193"/>
      <c r="AO222" s="193"/>
      <c r="AP222" s="193"/>
    </row>
    <row r="223" spans="1:42" s="180" customFormat="1" hidden="1">
      <c r="A223" s="313"/>
      <c r="B223" s="229"/>
      <c r="C223" s="230"/>
      <c r="D223" s="230"/>
      <c r="E223" s="232"/>
      <c r="F223" s="232"/>
      <c r="G223" s="230"/>
      <c r="H223" s="232"/>
      <c r="I223" s="232"/>
      <c r="J223" s="232"/>
      <c r="K223" s="232"/>
      <c r="L223" s="230"/>
      <c r="M223" s="230"/>
      <c r="N223" s="230"/>
      <c r="O223" s="230"/>
      <c r="P223" s="232"/>
      <c r="Q223" s="230"/>
      <c r="R223" s="230"/>
      <c r="S223" s="230"/>
      <c r="T223" s="230"/>
      <c r="U223" s="232"/>
      <c r="V223" s="230"/>
      <c r="W223" s="230"/>
      <c r="X223" s="230"/>
      <c r="Y223" s="233"/>
      <c r="Z223" s="232"/>
      <c r="AA223" s="234"/>
      <c r="AB223" s="232"/>
      <c r="AC223" s="373"/>
      <c r="AD223" s="236"/>
      <c r="AE223" s="255"/>
      <c r="AF223" s="255"/>
      <c r="AG223" s="255"/>
      <c r="AH223" s="255"/>
      <c r="AI223" s="255"/>
      <c r="AJ223" s="255"/>
      <c r="AK223" s="255"/>
      <c r="AL223" s="255"/>
      <c r="AM223" s="255"/>
      <c r="AN223" s="255"/>
      <c r="AO223" s="255"/>
      <c r="AP223" s="255"/>
    </row>
    <row r="224" spans="1:42" s="180" customFormat="1" hidden="1">
      <c r="A224" s="313"/>
      <c r="E224" s="4"/>
      <c r="F224" s="4"/>
      <c r="G224" s="4"/>
      <c r="J224" s="4"/>
      <c r="K224" s="4"/>
      <c r="L224" s="4"/>
      <c r="O224" s="4"/>
      <c r="P224" s="4"/>
      <c r="Q224" s="4"/>
      <c r="T224" s="4"/>
      <c r="U224" s="4"/>
      <c r="V224" s="4"/>
      <c r="Y224" s="4"/>
      <c r="Z224" s="4"/>
      <c r="AA224" s="4"/>
      <c r="AB224" s="4"/>
      <c r="AC224" s="4"/>
      <c r="AH224" s="4"/>
      <c r="AI224" s="255"/>
      <c r="AK224" s="193"/>
      <c r="AL224" s="193"/>
      <c r="AM224" s="193"/>
      <c r="AN224" s="193"/>
      <c r="AO224" s="193"/>
      <c r="AP224" s="193"/>
    </row>
    <row r="225" spans="1:42" s="180" customFormat="1" ht="13.5" hidden="1" customHeight="1">
      <c r="A225" s="313"/>
      <c r="B225" s="1518" t="s">
        <v>18</v>
      </c>
      <c r="C225" s="1519">
        <v>45726</v>
      </c>
      <c r="D225" s="1519"/>
      <c r="E225" s="1519"/>
      <c r="F225" s="1519"/>
      <c r="G225" s="365"/>
      <c r="H225" s="1519">
        <v>45727</v>
      </c>
      <c r="I225" s="1519"/>
      <c r="J225" s="1519"/>
      <c r="K225" s="1519"/>
      <c r="L225" s="365"/>
      <c r="M225" s="1519">
        <v>45728</v>
      </c>
      <c r="N225" s="1519"/>
      <c r="O225" s="1519"/>
      <c r="P225" s="1519"/>
      <c r="Q225" s="365"/>
      <c r="R225" s="1519">
        <v>45729</v>
      </c>
      <c r="S225" s="1519"/>
      <c r="T225" s="1519"/>
      <c r="U225" s="1519"/>
      <c r="V225" s="365"/>
      <c r="W225" s="1519">
        <v>45730</v>
      </c>
      <c r="X225" s="1519"/>
      <c r="Y225" s="1519"/>
      <c r="Z225" s="1519"/>
      <c r="AA225" s="1517" t="s">
        <v>19</v>
      </c>
      <c r="AB225" s="1517" t="s">
        <v>20</v>
      </c>
      <c r="AC225" s="4"/>
      <c r="AD225" s="1519">
        <v>45731</v>
      </c>
      <c r="AE225" s="1519"/>
      <c r="AF225" s="1519"/>
      <c r="AG225" s="1517" t="s">
        <v>21</v>
      </c>
      <c r="AH225" s="4"/>
      <c r="AI225" s="368"/>
      <c r="AK225" s="194" t="s">
        <v>84</v>
      </c>
      <c r="AL225" s="366"/>
      <c r="AM225" s="366"/>
      <c r="AN225" s="366"/>
      <c r="AO225" s="366"/>
      <c r="AP225" s="366"/>
    </row>
    <row r="226" spans="1:42" s="180" customFormat="1" hidden="1">
      <c r="A226" s="313"/>
      <c r="B226" s="1518"/>
      <c r="C226" s="21" t="s">
        <v>23</v>
      </c>
      <c r="D226" s="21" t="s">
        <v>24</v>
      </c>
      <c r="E226" s="205" t="s">
        <v>25</v>
      </c>
      <c r="F226" s="18" t="s">
        <v>14</v>
      </c>
      <c r="G226" s="4"/>
      <c r="H226" s="21" t="s">
        <v>23</v>
      </c>
      <c r="I226" s="21" t="s">
        <v>24</v>
      </c>
      <c r="J226" s="18" t="s">
        <v>25</v>
      </c>
      <c r="K226" s="18" t="s">
        <v>14</v>
      </c>
      <c r="L226" s="4"/>
      <c r="M226" s="21" t="s">
        <v>23</v>
      </c>
      <c r="N226" s="21" t="s">
        <v>24</v>
      </c>
      <c r="O226" s="18" t="s">
        <v>25</v>
      </c>
      <c r="P226" s="18" t="s">
        <v>14</v>
      </c>
      <c r="Q226" s="4"/>
      <c r="R226" s="21" t="s">
        <v>23</v>
      </c>
      <c r="S226" s="21" t="s">
        <v>24</v>
      </c>
      <c r="T226" s="18" t="s">
        <v>25</v>
      </c>
      <c r="U226" s="18" t="s">
        <v>14</v>
      </c>
      <c r="V226" s="4"/>
      <c r="W226" s="21" t="s">
        <v>23</v>
      </c>
      <c r="X226" s="21" t="s">
        <v>24</v>
      </c>
      <c r="Y226" s="18" t="s">
        <v>25</v>
      </c>
      <c r="Z226" s="18" t="s">
        <v>14</v>
      </c>
      <c r="AA226" s="1517"/>
      <c r="AB226" s="1517"/>
      <c r="AC226" s="4"/>
      <c r="AD226" s="21" t="s">
        <v>23</v>
      </c>
      <c r="AE226" s="21" t="s">
        <v>24</v>
      </c>
      <c r="AF226" s="18" t="s">
        <v>25</v>
      </c>
      <c r="AG226" s="1517"/>
      <c r="AH226" s="4"/>
      <c r="AI226" s="368"/>
      <c r="AJ226" s="367"/>
      <c r="AK226" s="188" t="s">
        <v>26</v>
      </c>
      <c r="AL226" s="196">
        <f>AA229</f>
        <v>60</v>
      </c>
      <c r="AM226" s="511">
        <v>51.5</v>
      </c>
      <c r="AN226" s="510">
        <f>AL226*AM226</f>
        <v>3090</v>
      </c>
      <c r="AO226" s="193"/>
      <c r="AP226" s="193"/>
    </row>
    <row r="227" spans="1:42" s="180" customFormat="1" hidden="1">
      <c r="A227" s="313"/>
      <c r="B227" s="4" t="s">
        <v>60</v>
      </c>
      <c r="C227" s="441" t="s">
        <v>75</v>
      </c>
      <c r="D227" s="441" t="s">
        <v>246</v>
      </c>
      <c r="E227" s="319">
        <v>8</v>
      </c>
      <c r="F227" s="320"/>
      <c r="G227" s="4"/>
      <c r="H227" s="441" t="s">
        <v>75</v>
      </c>
      <c r="I227" s="441" t="s">
        <v>246</v>
      </c>
      <c r="J227" s="319">
        <v>8</v>
      </c>
      <c r="K227" s="320"/>
      <c r="L227" s="4"/>
      <c r="M227" s="441" t="s">
        <v>75</v>
      </c>
      <c r="N227" s="441" t="s">
        <v>246</v>
      </c>
      <c r="O227" s="319">
        <v>8</v>
      </c>
      <c r="P227" s="320"/>
      <c r="Q227" s="4"/>
      <c r="R227" s="441" t="s">
        <v>125</v>
      </c>
      <c r="S227" s="441" t="s">
        <v>136</v>
      </c>
      <c r="T227" s="319">
        <v>8</v>
      </c>
      <c r="U227" s="320"/>
      <c r="V227" s="4"/>
      <c r="W227" s="441" t="s">
        <v>75</v>
      </c>
      <c r="X227" s="441" t="s">
        <v>246</v>
      </c>
      <c r="Y227" s="319">
        <v>8</v>
      </c>
      <c r="Z227" s="320"/>
      <c r="AA227" s="328">
        <f>Y227+T227+O227+J227+E227</f>
        <v>40</v>
      </c>
      <c r="AB227" s="298">
        <f>Z227+U227+P227+K227+F227</f>
        <v>0</v>
      </c>
      <c r="AC227" s="4"/>
      <c r="AD227" s="587"/>
      <c r="AE227" s="531"/>
      <c r="AF227" s="319"/>
      <c r="AG227" s="328">
        <f>AF227</f>
        <v>0</v>
      </c>
      <c r="AH227" s="4"/>
      <c r="AI227" s="368"/>
      <c r="AJ227" s="367"/>
      <c r="AK227" s="188" t="s">
        <v>30</v>
      </c>
      <c r="AL227" s="196">
        <f>AB229</f>
        <v>0</v>
      </c>
      <c r="AM227" s="511">
        <f>AM226*1.5</f>
        <v>77.25</v>
      </c>
      <c r="AN227" s="510">
        <f>AL227*AM227</f>
        <v>0</v>
      </c>
      <c r="AO227" s="193"/>
      <c r="AP227" s="193"/>
    </row>
    <row r="228" spans="1:42" s="180" customFormat="1" hidden="1">
      <c r="A228" s="313"/>
      <c r="B228" s="4" t="s">
        <v>59</v>
      </c>
      <c r="C228" s="441" t="s">
        <v>222</v>
      </c>
      <c r="D228" s="441" t="s">
        <v>125</v>
      </c>
      <c r="E228" s="319">
        <v>4</v>
      </c>
      <c r="F228" s="320"/>
      <c r="G228" s="4"/>
      <c r="H228" s="441" t="s">
        <v>222</v>
      </c>
      <c r="I228" s="441" t="s">
        <v>125</v>
      </c>
      <c r="J228" s="319">
        <v>4</v>
      </c>
      <c r="K228" s="320"/>
      <c r="L228" s="4"/>
      <c r="M228" s="441" t="s">
        <v>222</v>
      </c>
      <c r="N228" s="441" t="s">
        <v>125</v>
      </c>
      <c r="O228" s="319">
        <v>4</v>
      </c>
      <c r="P228" s="320"/>
      <c r="Q228" s="4"/>
      <c r="R228" s="441" t="s">
        <v>222</v>
      </c>
      <c r="S228" s="441" t="s">
        <v>125</v>
      </c>
      <c r="T228" s="319">
        <v>4</v>
      </c>
      <c r="U228" s="320"/>
      <c r="V228" s="4"/>
      <c r="W228" s="441" t="s">
        <v>222</v>
      </c>
      <c r="X228" s="441" t="s">
        <v>125</v>
      </c>
      <c r="Y228" s="319">
        <v>4</v>
      </c>
      <c r="Z228" s="320"/>
      <c r="AA228" s="328">
        <f>Y228+T228+O228+J228+E228</f>
        <v>20</v>
      </c>
      <c r="AB228" s="298">
        <f>Z228+U228+P228+K228+F228</f>
        <v>0</v>
      </c>
      <c r="AC228" s="4"/>
      <c r="AF228" s="319"/>
      <c r="AG228" s="328">
        <f>AF228</f>
        <v>0</v>
      </c>
      <c r="AH228" s="175"/>
      <c r="AI228" s="402"/>
      <c r="AJ228" s="367"/>
      <c r="AK228" s="188" t="s">
        <v>32</v>
      </c>
      <c r="AL228" s="196">
        <f>AG229</f>
        <v>0</v>
      </c>
      <c r="AM228" s="511">
        <v>75.77</v>
      </c>
      <c r="AN228" s="510">
        <f>AL228*AM228</f>
        <v>0</v>
      </c>
      <c r="AO228" s="193"/>
      <c r="AP228" s="193"/>
    </row>
    <row r="229" spans="1:42" s="180" customFormat="1" hidden="1">
      <c r="A229" s="313"/>
      <c r="B229" s="64" t="s">
        <v>61</v>
      </c>
      <c r="C229" s="31"/>
      <c r="D229" s="31"/>
      <c r="E229" s="439">
        <f>SUM(E227:E228)</f>
        <v>12</v>
      </c>
      <c r="F229" s="320">
        <f>SUM(F227:F228)</f>
        <v>0</v>
      </c>
      <c r="G229" s="31"/>
      <c r="H229" s="31"/>
      <c r="I229" s="31"/>
      <c r="J229" s="439">
        <f>SUM(J227:J228)</f>
        <v>12</v>
      </c>
      <c r="K229" s="320">
        <f>SUM(K227:K228)</f>
        <v>0</v>
      </c>
      <c r="L229" s="31"/>
      <c r="M229" s="31"/>
      <c r="N229" s="31"/>
      <c r="O229" s="439">
        <f>SUM(O227:O228)</f>
        <v>12</v>
      </c>
      <c r="P229" s="320">
        <f>SUM(P227:P228)</f>
        <v>0</v>
      </c>
      <c r="Q229" s="31"/>
      <c r="R229" s="31"/>
      <c r="S229" s="31"/>
      <c r="T229" s="439">
        <f>SUM(T227:T228)</f>
        <v>12</v>
      </c>
      <c r="U229" s="320">
        <f>SUM(U227:U228)</f>
        <v>0</v>
      </c>
      <c r="V229" s="31"/>
      <c r="W229" s="31"/>
      <c r="X229" s="31"/>
      <c r="Y229" s="439">
        <f>SUM(Y227:Y228)</f>
        <v>12</v>
      </c>
      <c r="Z229" s="320">
        <f>SUM(Z227:Z228)</f>
        <v>0</v>
      </c>
      <c r="AA229" s="370">
        <f>SUM(AA227:AA228)</f>
        <v>60</v>
      </c>
      <c r="AB229" s="370">
        <f>SUM(AB227:AB228)</f>
        <v>0</v>
      </c>
      <c r="AC229" s="4"/>
      <c r="AD229" s="64"/>
      <c r="AE229" s="64"/>
      <c r="AF229" s="370">
        <f>SUM(AF227:AF228)</f>
        <v>0</v>
      </c>
      <c r="AG229" s="370">
        <f>SUM(AG227:AG228)</f>
        <v>0</v>
      </c>
      <c r="AH229" s="4"/>
      <c r="AI229" s="255"/>
      <c r="AJ229" s="367"/>
      <c r="AK229" s="193"/>
      <c r="AL229" s="193"/>
      <c r="AM229" s="193"/>
      <c r="AN229" s="510">
        <f>SUM(AN226:AN228)</f>
        <v>3090</v>
      </c>
      <c r="AO229" s="193"/>
      <c r="AP229" s="193"/>
    </row>
    <row r="230" spans="1:42" s="180" customFormat="1" hidden="1">
      <c r="A230" s="313"/>
      <c r="E230" s="4"/>
      <c r="F230" s="4"/>
      <c r="G230" s="4"/>
      <c r="J230" s="4"/>
      <c r="K230" s="4"/>
      <c r="L230" s="4"/>
      <c r="O230" s="4"/>
      <c r="P230" s="4"/>
      <c r="Q230" s="4"/>
      <c r="T230" s="4"/>
      <c r="U230" s="4"/>
      <c r="V230" s="4"/>
      <c r="Y230" s="4"/>
      <c r="Z230" s="4"/>
      <c r="AA230" s="4"/>
      <c r="AB230" s="4"/>
      <c r="AC230" s="4"/>
      <c r="AH230" s="4"/>
      <c r="AI230" s="255"/>
      <c r="AK230" s="193"/>
      <c r="AL230" s="193"/>
      <c r="AM230" s="193"/>
      <c r="AN230" s="193"/>
      <c r="AO230" s="193"/>
      <c r="AP230" s="193"/>
    </row>
    <row r="231" spans="1:42" s="180" customFormat="1" hidden="1">
      <c r="A231" s="313"/>
      <c r="B231" s="229"/>
      <c r="C231" s="230"/>
      <c r="D231" s="230"/>
      <c r="E231" s="232"/>
      <c r="F231" s="232"/>
      <c r="G231" s="230"/>
      <c r="H231" s="232"/>
      <c r="I231" s="232"/>
      <c r="J231" s="232"/>
      <c r="K231" s="232"/>
      <c r="L231" s="230"/>
      <c r="M231" s="230"/>
      <c r="N231" s="230"/>
      <c r="O231" s="230"/>
      <c r="P231" s="232"/>
      <c r="Q231" s="230"/>
      <c r="R231" s="230"/>
      <c r="S231" s="230"/>
      <c r="T231" s="230"/>
      <c r="U231" s="232"/>
      <c r="V231" s="230"/>
      <c r="W231" s="230"/>
      <c r="X231" s="230"/>
      <c r="Y231" s="233"/>
      <c r="Z231" s="232"/>
      <c r="AA231" s="234"/>
      <c r="AB231" s="232"/>
      <c r="AC231" s="373"/>
      <c r="AD231" s="236"/>
      <c r="AE231" s="255"/>
      <c r="AF231" s="255"/>
      <c r="AG231" s="255"/>
      <c r="AH231" s="255"/>
      <c r="AI231" s="255"/>
      <c r="AJ231" s="255"/>
      <c r="AK231" s="255"/>
      <c r="AL231" s="255"/>
      <c r="AM231" s="255"/>
      <c r="AN231" s="255"/>
      <c r="AO231" s="255"/>
      <c r="AP231" s="255"/>
    </row>
    <row r="232" spans="1:42" s="180" customFormat="1" hidden="1">
      <c r="A232" s="313"/>
      <c r="E232" s="4"/>
      <c r="F232" s="4"/>
      <c r="G232" s="4"/>
      <c r="J232" s="4"/>
      <c r="K232" s="4"/>
      <c r="L232" s="4"/>
      <c r="O232" s="4"/>
      <c r="P232" s="4"/>
      <c r="Q232" s="4"/>
      <c r="T232" s="4"/>
      <c r="U232" s="4"/>
      <c r="V232" s="4"/>
      <c r="Y232" s="4"/>
      <c r="Z232" s="4"/>
      <c r="AA232" s="4"/>
      <c r="AB232" s="4"/>
      <c r="AC232" s="4"/>
      <c r="AH232" s="4"/>
      <c r="AI232" s="255"/>
      <c r="AK232" s="193"/>
      <c r="AL232" s="193"/>
      <c r="AM232" s="193"/>
      <c r="AN232" s="193"/>
      <c r="AO232" s="193"/>
      <c r="AP232" s="193"/>
    </row>
    <row r="233" spans="1:42" s="180" customFormat="1" ht="10.9" hidden="1" customHeight="1">
      <c r="A233" s="313"/>
      <c r="B233" s="1518" t="s">
        <v>18</v>
      </c>
      <c r="C233" s="1519">
        <v>45733</v>
      </c>
      <c r="D233" s="1519"/>
      <c r="E233" s="1519"/>
      <c r="F233" s="1519"/>
      <c r="G233" s="365"/>
      <c r="H233" s="1519">
        <v>45734</v>
      </c>
      <c r="I233" s="1519"/>
      <c r="J233" s="1519"/>
      <c r="K233" s="1519"/>
      <c r="L233" s="365"/>
      <c r="M233" s="1519">
        <v>45735</v>
      </c>
      <c r="N233" s="1519"/>
      <c r="O233" s="1519"/>
      <c r="P233" s="1519"/>
      <c r="Q233" s="365"/>
      <c r="R233" s="1519">
        <v>45736</v>
      </c>
      <c r="S233" s="1519"/>
      <c r="T233" s="1519"/>
      <c r="U233" s="1519"/>
      <c r="V233" s="365"/>
      <c r="W233" s="1519">
        <v>45737</v>
      </c>
      <c r="X233" s="1519"/>
      <c r="Y233" s="1519"/>
      <c r="Z233" s="1519"/>
      <c r="AA233" s="1517" t="s">
        <v>19</v>
      </c>
      <c r="AB233" s="1517" t="s">
        <v>20</v>
      </c>
      <c r="AC233" s="4"/>
      <c r="AD233" s="1519">
        <v>45738</v>
      </c>
      <c r="AE233" s="1519"/>
      <c r="AF233" s="1519"/>
      <c r="AG233" s="1517" t="s">
        <v>21</v>
      </c>
      <c r="AH233" s="4"/>
      <c r="AI233" s="368"/>
      <c r="AK233" s="194" t="s">
        <v>84</v>
      </c>
      <c r="AL233" s="366"/>
      <c r="AM233" s="366"/>
      <c r="AN233" s="366"/>
      <c r="AO233" s="366"/>
      <c r="AP233" s="366"/>
    </row>
    <row r="234" spans="1:42" s="180" customFormat="1" hidden="1">
      <c r="A234" s="313"/>
      <c r="B234" s="1518"/>
      <c r="C234" s="21" t="s">
        <v>23</v>
      </c>
      <c r="D234" s="21" t="s">
        <v>24</v>
      </c>
      <c r="E234" s="205" t="s">
        <v>25</v>
      </c>
      <c r="F234" s="18" t="s">
        <v>14</v>
      </c>
      <c r="G234" s="4"/>
      <c r="H234" s="21" t="s">
        <v>23</v>
      </c>
      <c r="I234" s="21" t="s">
        <v>24</v>
      </c>
      <c r="J234" s="18" t="s">
        <v>25</v>
      </c>
      <c r="K234" s="18" t="s">
        <v>14</v>
      </c>
      <c r="L234" s="4"/>
      <c r="M234" s="21" t="s">
        <v>23</v>
      </c>
      <c r="N234" s="21" t="s">
        <v>24</v>
      </c>
      <c r="O234" s="18" t="s">
        <v>25</v>
      </c>
      <c r="P234" s="18" t="s">
        <v>14</v>
      </c>
      <c r="Q234" s="4"/>
      <c r="R234" s="21" t="s">
        <v>23</v>
      </c>
      <c r="S234" s="21" t="s">
        <v>24</v>
      </c>
      <c r="T234" s="18" t="s">
        <v>25</v>
      </c>
      <c r="U234" s="18" t="s">
        <v>14</v>
      </c>
      <c r="V234" s="4"/>
      <c r="W234" s="21" t="s">
        <v>23</v>
      </c>
      <c r="X234" s="21" t="s">
        <v>24</v>
      </c>
      <c r="Y234" s="18" t="s">
        <v>25</v>
      </c>
      <c r="Z234" s="18" t="s">
        <v>14</v>
      </c>
      <c r="AA234" s="1517"/>
      <c r="AB234" s="1517"/>
      <c r="AC234" s="4"/>
      <c r="AD234" s="21" t="s">
        <v>23</v>
      </c>
      <c r="AE234" s="21" t="s">
        <v>24</v>
      </c>
      <c r="AF234" s="18" t="s">
        <v>25</v>
      </c>
      <c r="AG234" s="1517"/>
      <c r="AH234" s="4"/>
      <c r="AI234" s="368"/>
      <c r="AJ234" s="367"/>
      <c r="AK234" s="188" t="s">
        <v>26</v>
      </c>
      <c r="AL234" s="196">
        <f>AA237</f>
        <v>56</v>
      </c>
      <c r="AM234" s="511">
        <v>51.5</v>
      </c>
      <c r="AN234" s="510">
        <f>AL234*AM234</f>
        <v>2884</v>
      </c>
      <c r="AO234" s="193"/>
      <c r="AP234" s="193"/>
    </row>
    <row r="235" spans="1:42" s="180" customFormat="1" hidden="1">
      <c r="A235" s="313"/>
      <c r="B235" s="4" t="s">
        <v>60</v>
      </c>
      <c r="C235" s="441" t="s">
        <v>75</v>
      </c>
      <c r="D235" s="441" t="s">
        <v>246</v>
      </c>
      <c r="E235" s="319">
        <v>8</v>
      </c>
      <c r="F235" s="320"/>
      <c r="G235" s="4"/>
      <c r="H235" s="441" t="s">
        <v>75</v>
      </c>
      <c r="I235" s="441" t="s">
        <v>246</v>
      </c>
      <c r="J235" s="319">
        <v>8</v>
      </c>
      <c r="K235" s="320"/>
      <c r="L235" s="4"/>
      <c r="M235" s="441" t="s">
        <v>125</v>
      </c>
      <c r="N235" s="441" t="s">
        <v>136</v>
      </c>
      <c r="O235" s="319">
        <v>8</v>
      </c>
      <c r="P235" s="320"/>
      <c r="Q235" s="4"/>
      <c r="R235" s="441" t="s">
        <v>75</v>
      </c>
      <c r="S235" s="441" t="s">
        <v>246</v>
      </c>
      <c r="T235" s="319">
        <v>8</v>
      </c>
      <c r="U235" s="320"/>
      <c r="V235" s="4"/>
      <c r="W235" s="441" t="s">
        <v>75</v>
      </c>
      <c r="X235" s="441" t="s">
        <v>246</v>
      </c>
      <c r="Y235" s="319">
        <v>8</v>
      </c>
      <c r="Z235" s="320"/>
      <c r="AA235" s="328">
        <f>Y235+T235+O235+J235+E235</f>
        <v>40</v>
      </c>
      <c r="AB235" s="298">
        <f>Z235+U235+P235+K235+F235</f>
        <v>0</v>
      </c>
      <c r="AC235" s="4"/>
      <c r="AD235" s="587"/>
      <c r="AE235" s="531"/>
      <c r="AF235" s="319"/>
      <c r="AG235" s="328">
        <f>AF235</f>
        <v>0</v>
      </c>
      <c r="AH235" s="4"/>
      <c r="AI235" s="368"/>
      <c r="AJ235" s="367"/>
      <c r="AK235" s="188" t="s">
        <v>30</v>
      </c>
      <c r="AL235" s="196">
        <f>AB237</f>
        <v>0</v>
      </c>
      <c r="AM235" s="511">
        <f>AM234*1.5</f>
        <v>77.25</v>
      </c>
      <c r="AN235" s="510">
        <f>AL235*AM235</f>
        <v>0</v>
      </c>
      <c r="AO235" s="193"/>
      <c r="AP235" s="193"/>
    </row>
    <row r="236" spans="1:42" s="180" customFormat="1" hidden="1">
      <c r="A236" s="313"/>
      <c r="B236" s="4" t="s">
        <v>59</v>
      </c>
      <c r="C236" s="441" t="s">
        <v>222</v>
      </c>
      <c r="D236" s="441" t="s">
        <v>125</v>
      </c>
      <c r="E236" s="319">
        <v>4</v>
      </c>
      <c r="F236" s="320"/>
      <c r="G236" s="4"/>
      <c r="H236" s="441" t="s">
        <v>222</v>
      </c>
      <c r="I236" s="441" t="s">
        <v>125</v>
      </c>
      <c r="J236" s="319">
        <v>4</v>
      </c>
      <c r="K236" s="320"/>
      <c r="L236" s="4"/>
      <c r="P236" s="320"/>
      <c r="Q236" s="4"/>
      <c r="R236" s="441" t="s">
        <v>222</v>
      </c>
      <c r="S236" s="441" t="s">
        <v>125</v>
      </c>
      <c r="T236" s="319">
        <v>4</v>
      </c>
      <c r="U236" s="320"/>
      <c r="V236" s="4"/>
      <c r="W236" s="441" t="s">
        <v>116</v>
      </c>
      <c r="X236" s="441"/>
      <c r="Y236" s="319"/>
      <c r="Z236" s="320"/>
      <c r="AA236" s="328">
        <f>Y236+T236+T244+J236+E236</f>
        <v>16</v>
      </c>
      <c r="AB236" s="298">
        <f>Z236+U236+P236+K236+F236</f>
        <v>0</v>
      </c>
      <c r="AC236" s="4"/>
      <c r="AF236" s="319"/>
      <c r="AG236" s="328">
        <f>AF236</f>
        <v>0</v>
      </c>
      <c r="AH236" s="175"/>
      <c r="AI236" s="402"/>
      <c r="AJ236" s="367"/>
      <c r="AK236" s="188" t="s">
        <v>32</v>
      </c>
      <c r="AL236" s="196">
        <f>AG237</f>
        <v>0</v>
      </c>
      <c r="AM236" s="511">
        <v>75.77</v>
      </c>
      <c r="AN236" s="510">
        <f>AL236*AM236</f>
        <v>0</v>
      </c>
      <c r="AO236" s="193"/>
      <c r="AP236" s="193"/>
    </row>
    <row r="237" spans="1:42" s="180" customFormat="1" hidden="1">
      <c r="A237" s="313"/>
      <c r="B237" s="64" t="s">
        <v>61</v>
      </c>
      <c r="C237" s="31"/>
      <c r="D237" s="31"/>
      <c r="E237" s="439">
        <f>SUM(E235:E236)</f>
        <v>12</v>
      </c>
      <c r="F237" s="320">
        <f>SUM(F235:F236)</f>
        <v>0</v>
      </c>
      <c r="G237" s="31"/>
      <c r="H237" s="31"/>
      <c r="I237" s="31"/>
      <c r="J237" s="439">
        <f>SUM(J235:J236)</f>
        <v>12</v>
      </c>
      <c r="K237" s="320">
        <f>SUM(K235:K236)</f>
        <v>0</v>
      </c>
      <c r="L237" s="31"/>
      <c r="M237" s="31"/>
      <c r="N237" s="31"/>
      <c r="O237" s="439">
        <f>SUM(O235:O236)</f>
        <v>8</v>
      </c>
      <c r="P237" s="320">
        <f>SUM(P235:P236)</f>
        <v>0</v>
      </c>
      <c r="Q237" s="31"/>
      <c r="R237" s="31"/>
      <c r="S237" s="31"/>
      <c r="T237" s="439">
        <f>SUM(T235:T236)</f>
        <v>12</v>
      </c>
      <c r="U237" s="320">
        <f>SUM(U235:U236)</f>
        <v>0</v>
      </c>
      <c r="V237" s="31"/>
      <c r="W237" s="31"/>
      <c r="X237" s="31"/>
      <c r="Y237" s="439">
        <f>SUM(Y235:Y236)</f>
        <v>8</v>
      </c>
      <c r="Z237" s="320">
        <f>SUM(Z235:Z236)</f>
        <v>0</v>
      </c>
      <c r="AA237" s="370">
        <f>SUM(AA235:AA236)</f>
        <v>56</v>
      </c>
      <c r="AB237" s="370">
        <f>SUM(AB235:AB236)</f>
        <v>0</v>
      </c>
      <c r="AC237" s="4"/>
      <c r="AD237" s="64"/>
      <c r="AE237" s="64"/>
      <c r="AF237" s="370">
        <f>SUM(AF235:AF236)</f>
        <v>0</v>
      </c>
      <c r="AG237" s="370">
        <f>SUM(AG235:AG236)</f>
        <v>0</v>
      </c>
      <c r="AH237" s="4"/>
      <c r="AI237" s="255"/>
      <c r="AJ237" s="367"/>
      <c r="AK237" s="193"/>
      <c r="AL237" s="193"/>
      <c r="AM237" s="193"/>
      <c r="AN237" s="510">
        <f>SUM(AN234:AN236)</f>
        <v>2884</v>
      </c>
      <c r="AO237" s="193"/>
      <c r="AP237" s="193"/>
    </row>
    <row r="238" spans="1:42" s="180" customFormat="1" hidden="1">
      <c r="A238" s="313"/>
      <c r="E238" s="4"/>
      <c r="F238" s="4"/>
      <c r="G238" s="4"/>
      <c r="J238" s="4"/>
      <c r="K238" s="4"/>
      <c r="L238" s="4"/>
      <c r="O238" s="4"/>
      <c r="P238" s="4"/>
      <c r="Q238" s="4"/>
      <c r="T238" s="4"/>
      <c r="U238" s="4"/>
      <c r="V238" s="4"/>
      <c r="Y238" s="4"/>
      <c r="Z238" s="4"/>
      <c r="AA238" s="4"/>
      <c r="AB238" s="4"/>
      <c r="AC238" s="4"/>
      <c r="AH238" s="4"/>
      <c r="AI238" s="255"/>
      <c r="AK238" s="193"/>
      <c r="AL238" s="193"/>
      <c r="AM238" s="193"/>
      <c r="AN238" s="193"/>
      <c r="AO238" s="193"/>
      <c r="AP238" s="193"/>
    </row>
    <row r="239" spans="1:42" s="180" customFormat="1" hidden="1">
      <c r="A239" s="313"/>
      <c r="B239" s="229"/>
      <c r="C239" s="230"/>
      <c r="D239" s="230"/>
      <c r="E239" s="232"/>
      <c r="F239" s="232"/>
      <c r="G239" s="230"/>
      <c r="H239" s="232"/>
      <c r="I239" s="232"/>
      <c r="J239" s="232"/>
      <c r="K239" s="232"/>
      <c r="L239" s="230"/>
      <c r="M239" s="230"/>
      <c r="N239" s="230"/>
      <c r="O239" s="230"/>
      <c r="P239" s="232"/>
      <c r="Q239" s="230"/>
      <c r="R239" s="230"/>
      <c r="S239" s="230"/>
      <c r="T239" s="230"/>
      <c r="U239" s="232"/>
      <c r="V239" s="230"/>
      <c r="W239" s="230"/>
      <c r="X239" s="230"/>
      <c r="Y239" s="233"/>
      <c r="Z239" s="232"/>
      <c r="AA239" s="234"/>
      <c r="AB239" s="232"/>
      <c r="AC239" s="373"/>
      <c r="AD239" s="236"/>
      <c r="AE239" s="255"/>
      <c r="AF239" s="255"/>
      <c r="AG239" s="255"/>
      <c r="AH239" s="255"/>
      <c r="AI239" s="255"/>
      <c r="AJ239" s="255"/>
      <c r="AK239" s="255"/>
      <c r="AL239" s="255"/>
      <c r="AM239" s="255"/>
      <c r="AN239" s="255"/>
      <c r="AO239" s="255"/>
      <c r="AP239" s="255"/>
    </row>
    <row r="240" spans="1:42" s="180" customFormat="1" hidden="1">
      <c r="A240" s="313"/>
      <c r="E240" s="4"/>
      <c r="F240" s="4"/>
      <c r="G240" s="4"/>
      <c r="J240" s="4"/>
      <c r="K240" s="4"/>
      <c r="L240" s="4"/>
      <c r="O240" s="4"/>
      <c r="P240" s="4"/>
      <c r="Q240" s="4"/>
      <c r="T240" s="4"/>
      <c r="U240" s="4"/>
      <c r="V240" s="4"/>
      <c r="Y240" s="4"/>
      <c r="Z240" s="4"/>
      <c r="AA240" s="4"/>
      <c r="AB240" s="4"/>
      <c r="AC240" s="4"/>
      <c r="AH240" s="4"/>
      <c r="AI240" s="255"/>
      <c r="AK240" s="193"/>
      <c r="AL240" s="193"/>
      <c r="AM240" s="193"/>
      <c r="AN240" s="193"/>
      <c r="AO240" s="193"/>
      <c r="AP240" s="193"/>
    </row>
    <row r="241" spans="1:42" s="180" customFormat="1" ht="10.9" hidden="1" customHeight="1">
      <c r="A241" s="313"/>
      <c r="B241" s="1518" t="s">
        <v>18</v>
      </c>
      <c r="C241" s="1519">
        <v>45740</v>
      </c>
      <c r="D241" s="1519"/>
      <c r="E241" s="1519"/>
      <c r="F241" s="1519"/>
      <c r="G241" s="365"/>
      <c r="H241" s="1519">
        <v>45741</v>
      </c>
      <c r="I241" s="1519"/>
      <c r="J241" s="1519"/>
      <c r="K241" s="1519"/>
      <c r="L241" s="365"/>
      <c r="M241" s="1519">
        <v>45742</v>
      </c>
      <c r="N241" s="1519"/>
      <c r="O241" s="1519"/>
      <c r="P241" s="1519"/>
      <c r="Q241" s="365"/>
      <c r="R241" s="1519">
        <v>45743</v>
      </c>
      <c r="S241" s="1519"/>
      <c r="T241" s="1519"/>
      <c r="U241" s="1519"/>
      <c r="V241" s="365"/>
      <c r="W241" s="1519">
        <v>45744</v>
      </c>
      <c r="X241" s="1519"/>
      <c r="Y241" s="1519"/>
      <c r="Z241" s="1519"/>
      <c r="AA241" s="1517" t="s">
        <v>19</v>
      </c>
      <c r="AB241" s="1517" t="s">
        <v>20</v>
      </c>
      <c r="AC241" s="4"/>
      <c r="AD241" s="1519">
        <v>45744</v>
      </c>
      <c r="AE241" s="1519"/>
      <c r="AF241" s="1519"/>
      <c r="AG241" s="1517" t="s">
        <v>21</v>
      </c>
      <c r="AH241" s="4"/>
      <c r="AI241" s="368"/>
      <c r="AK241" s="194" t="s">
        <v>84</v>
      </c>
      <c r="AL241" s="366"/>
      <c r="AM241" s="366"/>
      <c r="AN241" s="366"/>
      <c r="AO241" s="366"/>
      <c r="AP241" s="366"/>
    </row>
    <row r="242" spans="1:42" s="180" customFormat="1" hidden="1">
      <c r="A242" s="313"/>
      <c r="B242" s="1518"/>
      <c r="C242" s="21" t="s">
        <v>23</v>
      </c>
      <c r="D242" s="21" t="s">
        <v>24</v>
      </c>
      <c r="E242" s="205" t="s">
        <v>25</v>
      </c>
      <c r="F242" s="18" t="s">
        <v>14</v>
      </c>
      <c r="G242" s="4"/>
      <c r="H242" s="21" t="s">
        <v>23</v>
      </c>
      <c r="I242" s="21" t="s">
        <v>24</v>
      </c>
      <c r="J242" s="18" t="s">
        <v>25</v>
      </c>
      <c r="K242" s="18" t="s">
        <v>14</v>
      </c>
      <c r="L242" s="4"/>
      <c r="M242" s="21" t="s">
        <v>23</v>
      </c>
      <c r="N242" s="21" t="s">
        <v>24</v>
      </c>
      <c r="O242" s="18" t="s">
        <v>25</v>
      </c>
      <c r="P242" s="18" t="s">
        <v>14</v>
      </c>
      <c r="Q242" s="4"/>
      <c r="R242" s="21" t="s">
        <v>23</v>
      </c>
      <c r="S242" s="21" t="s">
        <v>24</v>
      </c>
      <c r="T242" s="18" t="s">
        <v>25</v>
      </c>
      <c r="U242" s="18" t="s">
        <v>14</v>
      </c>
      <c r="V242" s="4"/>
      <c r="W242" s="21" t="s">
        <v>23</v>
      </c>
      <c r="X242" s="21" t="s">
        <v>24</v>
      </c>
      <c r="Y242" s="18" t="s">
        <v>25</v>
      </c>
      <c r="Z242" s="18" t="s">
        <v>14</v>
      </c>
      <c r="AA242" s="1517"/>
      <c r="AB242" s="1517"/>
      <c r="AC242" s="4"/>
      <c r="AD242" s="21" t="s">
        <v>23</v>
      </c>
      <c r="AE242" s="21" t="s">
        <v>24</v>
      </c>
      <c r="AF242" s="18" t="s">
        <v>25</v>
      </c>
      <c r="AG242" s="1517"/>
      <c r="AH242" s="4"/>
      <c r="AI242" s="368"/>
      <c r="AJ242" s="367"/>
      <c r="AK242" s="188" t="s">
        <v>26</v>
      </c>
      <c r="AL242" s="196">
        <f>AA245</f>
        <v>48</v>
      </c>
      <c r="AM242" s="511">
        <v>51.5</v>
      </c>
      <c r="AN242" s="510">
        <f>AL242*AM242</f>
        <v>2472</v>
      </c>
      <c r="AO242" s="193"/>
      <c r="AP242" s="193"/>
    </row>
    <row r="243" spans="1:42" s="180" customFormat="1" hidden="1">
      <c r="A243" s="313"/>
      <c r="B243" s="4" t="s">
        <v>60</v>
      </c>
      <c r="C243" s="441" t="s">
        <v>75</v>
      </c>
      <c r="D243" s="441" t="s">
        <v>246</v>
      </c>
      <c r="E243" s="319">
        <v>8</v>
      </c>
      <c r="F243" s="320"/>
      <c r="G243" s="4"/>
      <c r="H243" s="441" t="s">
        <v>125</v>
      </c>
      <c r="I243" s="441" t="s">
        <v>246</v>
      </c>
      <c r="J243" s="319">
        <v>9</v>
      </c>
      <c r="K243" s="320"/>
      <c r="L243" s="4"/>
      <c r="M243" s="441" t="s">
        <v>75</v>
      </c>
      <c r="N243" s="441" t="s">
        <v>246</v>
      </c>
      <c r="O243" s="319">
        <v>8</v>
      </c>
      <c r="P243" s="320"/>
      <c r="Q243" s="4"/>
      <c r="R243" s="441" t="s">
        <v>75</v>
      </c>
      <c r="S243" s="441" t="s">
        <v>246</v>
      </c>
      <c r="T243" s="319">
        <v>8</v>
      </c>
      <c r="U243" s="320"/>
      <c r="V243" s="4"/>
      <c r="W243" s="441" t="s">
        <v>75</v>
      </c>
      <c r="X243" s="441" t="s">
        <v>136</v>
      </c>
      <c r="Y243" s="319">
        <v>7</v>
      </c>
      <c r="Z243" s="320"/>
      <c r="AA243" s="328">
        <f>Y243+T243+O243+J243+E243</f>
        <v>40</v>
      </c>
      <c r="AB243" s="298">
        <f>Z243+U243+P243+K243+F243</f>
        <v>0</v>
      </c>
      <c r="AC243" s="4"/>
      <c r="AD243" s="587"/>
      <c r="AE243" s="531"/>
      <c r="AF243" s="319"/>
      <c r="AG243" s="328">
        <f>AF243</f>
        <v>0</v>
      </c>
      <c r="AH243" s="4"/>
      <c r="AI243" s="368"/>
      <c r="AJ243" s="367"/>
      <c r="AK243" s="188" t="s">
        <v>30</v>
      </c>
      <c r="AL243" s="196">
        <f>AB245</f>
        <v>0</v>
      </c>
      <c r="AM243" s="511">
        <f>AM242*1.5</f>
        <v>77.25</v>
      </c>
      <c r="AN243" s="510">
        <f>AL243*AM243</f>
        <v>0</v>
      </c>
      <c r="AO243" s="193"/>
      <c r="AP243" s="193"/>
    </row>
    <row r="244" spans="1:42" s="180" customFormat="1" hidden="1">
      <c r="A244" s="313"/>
      <c r="B244" s="4" t="s">
        <v>59</v>
      </c>
      <c r="C244" s="441" t="s">
        <v>116</v>
      </c>
      <c r="D244" s="441"/>
      <c r="E244" s="319"/>
      <c r="F244" s="320"/>
      <c r="G244" s="4"/>
      <c r="H244" s="441" t="s">
        <v>116</v>
      </c>
      <c r="I244" s="441"/>
      <c r="J244" s="319"/>
      <c r="K244" s="320"/>
      <c r="L244" s="4"/>
      <c r="M244" s="441" t="s">
        <v>116</v>
      </c>
      <c r="N244" s="441"/>
      <c r="O244" s="319"/>
      <c r="P244" s="320"/>
      <c r="Q244" s="4"/>
      <c r="R244" s="441" t="s">
        <v>222</v>
      </c>
      <c r="S244" s="441" t="s">
        <v>125</v>
      </c>
      <c r="T244" s="319">
        <v>4</v>
      </c>
      <c r="U244" s="320"/>
      <c r="V244" s="4"/>
      <c r="W244" s="441" t="s">
        <v>222</v>
      </c>
      <c r="X244" s="441" t="s">
        <v>125</v>
      </c>
      <c r="Y244" s="319">
        <v>4</v>
      </c>
      <c r="Z244" s="320"/>
      <c r="AA244" s="328">
        <f>Y244+T244+O244+J244+E244</f>
        <v>8</v>
      </c>
      <c r="AB244" s="298">
        <f>Z244+U244+P244+K244+F244</f>
        <v>0</v>
      </c>
      <c r="AC244" s="4"/>
      <c r="AF244" s="319"/>
      <c r="AG244" s="328">
        <f>AF244</f>
        <v>0</v>
      </c>
      <c r="AH244" s="175"/>
      <c r="AI244" s="402"/>
      <c r="AJ244" s="367"/>
      <c r="AK244" s="188" t="s">
        <v>32</v>
      </c>
      <c r="AL244" s="196">
        <f>AG245</f>
        <v>0</v>
      </c>
      <c r="AM244" s="511">
        <v>75.77</v>
      </c>
      <c r="AN244" s="510">
        <f>AL244*AM244</f>
        <v>0</v>
      </c>
      <c r="AO244" s="193"/>
      <c r="AP244" s="193"/>
    </row>
    <row r="245" spans="1:42" s="180" customFormat="1" hidden="1">
      <c r="A245" s="313"/>
      <c r="B245" s="64" t="s">
        <v>61</v>
      </c>
      <c r="C245" s="31"/>
      <c r="D245" s="31"/>
      <c r="E245" s="439">
        <f>SUM(E243:E244)</f>
        <v>8</v>
      </c>
      <c r="F245" s="320">
        <f>SUM(F243:F244)</f>
        <v>0</v>
      </c>
      <c r="G245" s="31"/>
      <c r="H245" s="31"/>
      <c r="I245" s="31"/>
      <c r="J245" s="439">
        <f>SUM(J243:J244)</f>
        <v>9</v>
      </c>
      <c r="K245" s="320">
        <f>SUM(K243:K244)</f>
        <v>0</v>
      </c>
      <c r="L245" s="31"/>
      <c r="M245" s="31"/>
      <c r="N245" s="31"/>
      <c r="O245" s="439">
        <f>SUM(O243:O244)</f>
        <v>8</v>
      </c>
      <c r="P245" s="320">
        <f>SUM(P243:P244)</f>
        <v>0</v>
      </c>
      <c r="Q245" s="31"/>
      <c r="R245" s="31"/>
      <c r="S245" s="31"/>
      <c r="T245" s="439">
        <f>SUM(T243:T244)</f>
        <v>12</v>
      </c>
      <c r="U245" s="320">
        <f>SUM(U243:U244)</f>
        <v>0</v>
      </c>
      <c r="V245" s="31"/>
      <c r="W245" s="31"/>
      <c r="X245" s="31"/>
      <c r="Y245" s="439">
        <f>SUM(Y243:Y244)</f>
        <v>11</v>
      </c>
      <c r="Z245" s="320">
        <f>SUM(Z243:Z244)</f>
        <v>0</v>
      </c>
      <c r="AA245" s="370">
        <f>SUM(AA243:AA244)</f>
        <v>48</v>
      </c>
      <c r="AB245" s="370">
        <f>SUM(AB243:AB244)</f>
        <v>0</v>
      </c>
      <c r="AC245" s="4"/>
      <c r="AD245" s="64"/>
      <c r="AE245" s="64"/>
      <c r="AF245" s="370">
        <f>SUM(AF243:AF244)</f>
        <v>0</v>
      </c>
      <c r="AG245" s="370">
        <f>SUM(AG243:AG244)</f>
        <v>0</v>
      </c>
      <c r="AH245" s="4"/>
      <c r="AI245" s="255"/>
      <c r="AJ245" s="367"/>
      <c r="AK245" s="193"/>
      <c r="AL245" s="193"/>
      <c r="AM245" s="193"/>
      <c r="AN245" s="510">
        <f>SUM(AN242:AN244)</f>
        <v>2472</v>
      </c>
      <c r="AO245" s="193"/>
      <c r="AP245" s="193"/>
    </row>
    <row r="246" spans="1:42" s="180" customFormat="1" hidden="1">
      <c r="A246" s="313"/>
      <c r="E246" s="4"/>
      <c r="F246" s="4"/>
      <c r="G246" s="4"/>
      <c r="J246" s="4"/>
      <c r="K246" s="4"/>
      <c r="L246" s="4"/>
      <c r="O246" s="4"/>
      <c r="P246" s="4"/>
      <c r="Q246" s="4"/>
      <c r="T246" s="4"/>
      <c r="U246" s="4"/>
      <c r="V246" s="4"/>
      <c r="Y246" s="4"/>
      <c r="Z246" s="4"/>
      <c r="AA246" s="4"/>
      <c r="AB246" s="4"/>
      <c r="AC246" s="4"/>
      <c r="AH246" s="4"/>
      <c r="AI246" s="255"/>
      <c r="AK246" s="193"/>
      <c r="AL246" s="193"/>
      <c r="AM246" s="193"/>
      <c r="AN246" s="193"/>
      <c r="AO246" s="193"/>
      <c r="AP246" s="193"/>
    </row>
    <row r="247" spans="1:42" s="180" customFormat="1" hidden="1">
      <c r="A247" s="313"/>
      <c r="B247" s="229"/>
      <c r="C247" s="230"/>
      <c r="D247" s="230"/>
      <c r="E247" s="232"/>
      <c r="F247" s="232"/>
      <c r="G247" s="230"/>
      <c r="H247" s="232"/>
      <c r="I247" s="232"/>
      <c r="J247" s="232"/>
      <c r="K247" s="232"/>
      <c r="L247" s="230"/>
      <c r="M247" s="230"/>
      <c r="N247" s="230"/>
      <c r="O247" s="230"/>
      <c r="P247" s="232"/>
      <c r="Q247" s="230"/>
      <c r="R247" s="230"/>
      <c r="S247" s="230"/>
      <c r="T247" s="230"/>
      <c r="U247" s="232"/>
      <c r="V247" s="230"/>
      <c r="W247" s="230"/>
      <c r="X247" s="230"/>
      <c r="Y247" s="233"/>
      <c r="Z247" s="232"/>
      <c r="AA247" s="234"/>
      <c r="AB247" s="232"/>
      <c r="AC247" s="373"/>
      <c r="AD247" s="236"/>
      <c r="AE247" s="255"/>
      <c r="AF247" s="255"/>
      <c r="AG247" s="255"/>
      <c r="AH247" s="255"/>
      <c r="AI247" s="255"/>
      <c r="AJ247" s="255"/>
      <c r="AK247" s="255"/>
      <c r="AL247" s="255"/>
      <c r="AM247" s="255"/>
      <c r="AN247" s="255"/>
      <c r="AO247" s="255"/>
      <c r="AP247" s="255"/>
    </row>
    <row r="248" spans="1:42" s="180" customFormat="1" hidden="1">
      <c r="A248" s="313"/>
      <c r="E248" s="4"/>
      <c r="F248" s="4"/>
      <c r="G248" s="4"/>
      <c r="J248" s="4"/>
      <c r="K248" s="4"/>
      <c r="L248" s="4"/>
      <c r="O248" s="4"/>
      <c r="P248" s="4"/>
      <c r="Q248" s="4"/>
      <c r="T248" s="4"/>
      <c r="U248" s="4"/>
      <c r="V248" s="4"/>
      <c r="Y248" s="4"/>
      <c r="Z248" s="4"/>
      <c r="AA248" s="4"/>
      <c r="AB248" s="4"/>
      <c r="AC248" s="4"/>
      <c r="AH248" s="4"/>
      <c r="AI248" s="255"/>
      <c r="AK248" s="193"/>
      <c r="AL248" s="193"/>
      <c r="AM248" s="193"/>
      <c r="AN248" s="193"/>
      <c r="AO248" s="193"/>
      <c r="AP248" s="193"/>
    </row>
    <row r="249" spans="1:42" s="180" customFormat="1" ht="10.9" hidden="1" customHeight="1">
      <c r="A249" s="313"/>
      <c r="B249" s="1518" t="s">
        <v>18</v>
      </c>
      <c r="C249" s="1519">
        <v>45747</v>
      </c>
      <c r="D249" s="1519"/>
      <c r="E249" s="1519"/>
      <c r="F249" s="1519"/>
      <c r="G249" s="365"/>
      <c r="H249" s="1519">
        <v>45748</v>
      </c>
      <c r="I249" s="1519"/>
      <c r="J249" s="1519"/>
      <c r="K249" s="1519"/>
      <c r="L249" s="365"/>
      <c r="M249" s="1519">
        <v>45749</v>
      </c>
      <c r="N249" s="1519"/>
      <c r="O249" s="1519"/>
      <c r="P249" s="1519"/>
      <c r="Q249" s="365"/>
      <c r="R249" s="1519">
        <v>45750</v>
      </c>
      <c r="S249" s="1519"/>
      <c r="T249" s="1519"/>
      <c r="U249" s="1519"/>
      <c r="V249" s="365"/>
      <c r="W249" s="1519">
        <v>45751</v>
      </c>
      <c r="X249" s="1519"/>
      <c r="Y249" s="1519"/>
      <c r="Z249" s="1519"/>
      <c r="AA249" s="1517" t="s">
        <v>19</v>
      </c>
      <c r="AB249" s="1517" t="s">
        <v>20</v>
      </c>
      <c r="AC249" s="4"/>
      <c r="AD249" s="1519">
        <v>45752</v>
      </c>
      <c r="AE249" s="1519"/>
      <c r="AF249" s="1519"/>
      <c r="AG249" s="1517" t="s">
        <v>21</v>
      </c>
      <c r="AH249" s="4"/>
      <c r="AI249" s="368"/>
      <c r="AK249" s="194" t="s">
        <v>84</v>
      </c>
      <c r="AL249" s="366"/>
      <c r="AM249" s="366"/>
      <c r="AN249" s="366"/>
      <c r="AO249" s="366"/>
      <c r="AP249" s="366"/>
    </row>
    <row r="250" spans="1:42" s="180" customFormat="1" hidden="1">
      <c r="A250" s="313"/>
      <c r="B250" s="1518"/>
      <c r="C250" s="21" t="s">
        <v>23</v>
      </c>
      <c r="D250" s="21" t="s">
        <v>24</v>
      </c>
      <c r="E250" s="205" t="s">
        <v>25</v>
      </c>
      <c r="F250" s="18" t="s">
        <v>14</v>
      </c>
      <c r="G250" s="4"/>
      <c r="H250" s="21" t="s">
        <v>23</v>
      </c>
      <c r="I250" s="21" t="s">
        <v>24</v>
      </c>
      <c r="J250" s="18" t="s">
        <v>25</v>
      </c>
      <c r="K250" s="18" t="s">
        <v>14</v>
      </c>
      <c r="L250" s="4"/>
      <c r="M250" s="21" t="s">
        <v>23</v>
      </c>
      <c r="N250" s="21" t="s">
        <v>24</v>
      </c>
      <c r="O250" s="18" t="s">
        <v>25</v>
      </c>
      <c r="P250" s="18" t="s">
        <v>14</v>
      </c>
      <c r="Q250" s="4"/>
      <c r="R250" s="21" t="s">
        <v>23</v>
      </c>
      <c r="S250" s="21" t="s">
        <v>24</v>
      </c>
      <c r="T250" s="18" t="s">
        <v>25</v>
      </c>
      <c r="U250" s="18" t="s">
        <v>14</v>
      </c>
      <c r="V250" s="4"/>
      <c r="W250" s="21" t="s">
        <v>23</v>
      </c>
      <c r="X250" s="21" t="s">
        <v>24</v>
      </c>
      <c r="Y250" s="18" t="s">
        <v>25</v>
      </c>
      <c r="Z250" s="18" t="s">
        <v>14</v>
      </c>
      <c r="AA250" s="1517"/>
      <c r="AB250" s="1517"/>
      <c r="AC250" s="4"/>
      <c r="AD250" s="21" t="s">
        <v>23</v>
      </c>
      <c r="AE250" s="21" t="s">
        <v>24</v>
      </c>
      <c r="AF250" s="18" t="s">
        <v>25</v>
      </c>
      <c r="AG250" s="1517"/>
      <c r="AH250" s="4"/>
      <c r="AI250" s="368"/>
      <c r="AJ250" s="367"/>
      <c r="AK250" s="188" t="s">
        <v>26</v>
      </c>
      <c r="AL250" s="196">
        <f>AA253</f>
        <v>60</v>
      </c>
      <c r="AM250" s="511">
        <v>51.5</v>
      </c>
      <c r="AN250" s="510">
        <f>AL250*AM250</f>
        <v>3090</v>
      </c>
      <c r="AO250" s="193"/>
      <c r="AP250" s="193"/>
    </row>
    <row r="251" spans="1:42" s="180" customFormat="1" hidden="1">
      <c r="A251" s="313"/>
      <c r="B251" s="4" t="s">
        <v>60</v>
      </c>
      <c r="C251" s="441" t="s">
        <v>75</v>
      </c>
      <c r="D251" s="441" t="s">
        <v>246</v>
      </c>
      <c r="E251" s="319">
        <v>8</v>
      </c>
      <c r="F251" s="320"/>
      <c r="G251" s="4"/>
      <c r="H251" s="441" t="s">
        <v>75</v>
      </c>
      <c r="I251" s="441" t="s">
        <v>246</v>
      </c>
      <c r="J251" s="319">
        <v>8</v>
      </c>
      <c r="K251" s="320"/>
      <c r="L251" s="4"/>
      <c r="M251" s="441" t="s">
        <v>75</v>
      </c>
      <c r="N251" s="441" t="s">
        <v>246</v>
      </c>
      <c r="O251" s="319">
        <v>8</v>
      </c>
      <c r="P251" s="320"/>
      <c r="Q251" s="4"/>
      <c r="R251" s="441" t="s">
        <v>75</v>
      </c>
      <c r="S251" s="441" t="s">
        <v>246</v>
      </c>
      <c r="T251" s="319">
        <v>8</v>
      </c>
      <c r="U251" s="320"/>
      <c r="V251" s="4"/>
      <c r="W251" s="441" t="s">
        <v>75</v>
      </c>
      <c r="X251" s="441" t="s">
        <v>246</v>
      </c>
      <c r="Y251" s="319">
        <v>8</v>
      </c>
      <c r="Z251" s="320"/>
      <c r="AA251" s="328">
        <f>Y251+T251+O251+J251+E251</f>
        <v>40</v>
      </c>
      <c r="AB251" s="298">
        <f>Z251+U251+P251+K251+F251</f>
        <v>0</v>
      </c>
      <c r="AC251" s="4"/>
      <c r="AD251" s="587"/>
      <c r="AE251" s="531"/>
      <c r="AF251" s="319"/>
      <c r="AG251" s="328">
        <f>AF251</f>
        <v>0</v>
      </c>
      <c r="AH251" s="4"/>
      <c r="AI251" s="368"/>
      <c r="AJ251" s="367"/>
      <c r="AK251" s="188" t="s">
        <v>30</v>
      </c>
      <c r="AL251" s="196">
        <f>AB253</f>
        <v>0</v>
      </c>
      <c r="AM251" s="511">
        <f>AM250*1.5</f>
        <v>77.25</v>
      </c>
      <c r="AN251" s="510">
        <f>AL251*AM251</f>
        <v>0</v>
      </c>
      <c r="AO251" s="193"/>
      <c r="AP251" s="193"/>
    </row>
    <row r="252" spans="1:42" s="180" customFormat="1" hidden="1">
      <c r="A252" s="313"/>
      <c r="B252" s="4" t="s">
        <v>59</v>
      </c>
      <c r="C252" s="441" t="s">
        <v>222</v>
      </c>
      <c r="D252" s="441" t="s">
        <v>125</v>
      </c>
      <c r="E252" s="319">
        <v>4</v>
      </c>
      <c r="F252" s="320"/>
      <c r="G252" s="4"/>
      <c r="H252" s="441" t="s">
        <v>222</v>
      </c>
      <c r="I252" s="441" t="s">
        <v>125</v>
      </c>
      <c r="J252" s="319">
        <v>4</v>
      </c>
      <c r="K252" s="320"/>
      <c r="L252" s="4"/>
      <c r="M252" s="441" t="s">
        <v>222</v>
      </c>
      <c r="N252" s="441" t="s">
        <v>125</v>
      </c>
      <c r="O252" s="319">
        <v>4</v>
      </c>
      <c r="P252" s="320"/>
      <c r="Q252" s="4"/>
      <c r="R252" s="441" t="s">
        <v>222</v>
      </c>
      <c r="S252" s="441" t="s">
        <v>125</v>
      </c>
      <c r="T252" s="319">
        <v>4</v>
      </c>
      <c r="U252" s="320"/>
      <c r="V252" s="4"/>
      <c r="W252" s="441" t="s">
        <v>222</v>
      </c>
      <c r="X252" s="441" t="s">
        <v>125</v>
      </c>
      <c r="Y252" s="319">
        <v>4</v>
      </c>
      <c r="Z252" s="320"/>
      <c r="AA252" s="328">
        <f>Y252+T252+O252+J252+E252</f>
        <v>20</v>
      </c>
      <c r="AB252" s="298">
        <f>Z252+U252+P252+K252+F252</f>
        <v>0</v>
      </c>
      <c r="AC252" s="4"/>
      <c r="AF252" s="319"/>
      <c r="AG252" s="328">
        <f>AF252</f>
        <v>0</v>
      </c>
      <c r="AH252" s="175"/>
      <c r="AI252" s="402"/>
      <c r="AJ252" s="367"/>
      <c r="AK252" s="188" t="s">
        <v>32</v>
      </c>
      <c r="AL252" s="196">
        <f>AG253</f>
        <v>0</v>
      </c>
      <c r="AM252" s="511">
        <v>75.77</v>
      </c>
      <c r="AN252" s="510">
        <f>AL252*AM252</f>
        <v>0</v>
      </c>
      <c r="AO252" s="193"/>
      <c r="AP252" s="193"/>
    </row>
    <row r="253" spans="1:42" s="180" customFormat="1" hidden="1">
      <c r="A253" s="313"/>
      <c r="B253" s="64" t="s">
        <v>61</v>
      </c>
      <c r="C253" s="31"/>
      <c r="D253" s="31"/>
      <c r="E253" s="439">
        <f>SUM(E251:E252)</f>
        <v>12</v>
      </c>
      <c r="F253" s="320">
        <f>SUM(F251:F252)</f>
        <v>0</v>
      </c>
      <c r="G253" s="31"/>
      <c r="H253" s="31"/>
      <c r="I253" s="31"/>
      <c r="J253" s="439">
        <f>SUM(J251:J252)</f>
        <v>12</v>
      </c>
      <c r="K253" s="320">
        <f>SUM(K251:K252)</f>
        <v>0</v>
      </c>
      <c r="L253" s="31"/>
      <c r="M253" s="31"/>
      <c r="N253" s="31"/>
      <c r="O253" s="439">
        <f>SUM(O251:O252)</f>
        <v>12</v>
      </c>
      <c r="P253" s="320">
        <f>SUM(P251:P252)</f>
        <v>0</v>
      </c>
      <c r="Q253" s="31"/>
      <c r="R253" s="31"/>
      <c r="S253" s="31"/>
      <c r="T253" s="439">
        <f>SUM(T251:T252)</f>
        <v>12</v>
      </c>
      <c r="U253" s="320">
        <f>SUM(U251:U252)</f>
        <v>0</v>
      </c>
      <c r="V253" s="31"/>
      <c r="W253" s="31"/>
      <c r="X253" s="31"/>
      <c r="Y253" s="439">
        <f>SUM(Y251:Y252)</f>
        <v>12</v>
      </c>
      <c r="Z253" s="320">
        <f>SUM(Z251:Z252)</f>
        <v>0</v>
      </c>
      <c r="AA253" s="370">
        <f>SUM(AA251:AA252)</f>
        <v>60</v>
      </c>
      <c r="AB253" s="370">
        <f>SUM(AB251:AB252)</f>
        <v>0</v>
      </c>
      <c r="AC253" s="4"/>
      <c r="AD253" s="64"/>
      <c r="AE253" s="64"/>
      <c r="AF253" s="370">
        <f>SUM(AF251:AF252)</f>
        <v>0</v>
      </c>
      <c r="AG253" s="370">
        <f>SUM(AG251:AG252)</f>
        <v>0</v>
      </c>
      <c r="AH253" s="4"/>
      <c r="AI253" s="255"/>
      <c r="AJ253" s="367"/>
      <c r="AK253" s="193"/>
      <c r="AL253" s="193"/>
      <c r="AM253" s="193"/>
      <c r="AN253" s="510">
        <f>SUM(AN250:AN252)</f>
        <v>3090</v>
      </c>
      <c r="AO253" s="193"/>
      <c r="AP253" s="193"/>
    </row>
    <row r="254" spans="1:42" s="180" customFormat="1" hidden="1">
      <c r="A254" s="313"/>
      <c r="E254" s="4"/>
      <c r="F254" s="4"/>
      <c r="G254" s="4"/>
      <c r="J254" s="4"/>
      <c r="K254" s="4"/>
      <c r="L254" s="4"/>
      <c r="O254" s="4"/>
      <c r="P254" s="4"/>
      <c r="Q254" s="4"/>
      <c r="T254" s="4"/>
      <c r="U254" s="4"/>
      <c r="V254" s="4"/>
      <c r="Y254" s="4"/>
      <c r="Z254" s="4"/>
      <c r="AA254" s="4"/>
      <c r="AB254" s="4"/>
      <c r="AC254" s="4"/>
      <c r="AH254" s="4"/>
      <c r="AI254" s="255"/>
      <c r="AK254" s="193"/>
      <c r="AL254" s="193"/>
      <c r="AM254" s="193"/>
      <c r="AN254" s="193"/>
      <c r="AO254" s="193"/>
      <c r="AP254" s="193"/>
    </row>
    <row r="255" spans="1:42" s="180" customFormat="1" hidden="1">
      <c r="A255" s="313"/>
      <c r="B255" s="229"/>
      <c r="C255" s="230"/>
      <c r="D255" s="230"/>
      <c r="E255" s="232"/>
      <c r="F255" s="232"/>
      <c r="G255" s="230"/>
      <c r="H255" s="232"/>
      <c r="I255" s="232"/>
      <c r="J255" s="232"/>
      <c r="K255" s="232"/>
      <c r="L255" s="230"/>
      <c r="M255" s="230"/>
      <c r="N255" s="230"/>
      <c r="O255" s="230"/>
      <c r="P255" s="232"/>
      <c r="Q255" s="230"/>
      <c r="R255" s="230"/>
      <c r="S255" s="230"/>
      <c r="T255" s="230"/>
      <c r="U255" s="232"/>
      <c r="V255" s="230"/>
      <c r="W255" s="230"/>
      <c r="X255" s="230"/>
      <c r="Y255" s="233"/>
      <c r="Z255" s="232"/>
      <c r="AA255" s="234"/>
      <c r="AB255" s="232"/>
      <c r="AC255" s="373"/>
      <c r="AD255" s="236"/>
      <c r="AE255" s="255"/>
      <c r="AF255" s="255"/>
      <c r="AG255" s="255"/>
      <c r="AH255" s="255"/>
      <c r="AI255" s="255"/>
      <c r="AJ255" s="255"/>
      <c r="AK255" s="255"/>
      <c r="AL255" s="255"/>
      <c r="AM255" s="255"/>
      <c r="AN255" s="255"/>
      <c r="AO255" s="255"/>
      <c r="AP255" s="255"/>
    </row>
    <row r="256" spans="1:42" s="180" customFormat="1" hidden="1">
      <c r="A256" s="313"/>
      <c r="E256" s="4"/>
      <c r="F256" s="4"/>
      <c r="G256" s="4"/>
      <c r="J256" s="4"/>
      <c r="K256" s="4"/>
      <c r="L256" s="4"/>
      <c r="O256" s="4"/>
      <c r="P256" s="4"/>
      <c r="Q256" s="4"/>
      <c r="T256" s="4"/>
      <c r="U256" s="4"/>
      <c r="V256" s="4"/>
      <c r="Y256" s="4"/>
      <c r="Z256" s="4"/>
      <c r="AA256" s="4"/>
      <c r="AB256" s="4"/>
      <c r="AC256" s="4"/>
      <c r="AH256" s="4"/>
      <c r="AI256" s="255"/>
      <c r="AK256" s="193"/>
      <c r="AL256" s="193"/>
      <c r="AM256" s="193"/>
      <c r="AN256" s="193"/>
      <c r="AO256" s="193"/>
      <c r="AP256" s="193"/>
    </row>
    <row r="257" spans="1:42" s="180" customFormat="1" ht="10.9" hidden="1" customHeight="1">
      <c r="A257" s="313"/>
      <c r="B257" s="1518" t="s">
        <v>18</v>
      </c>
      <c r="C257" s="1519">
        <v>45754</v>
      </c>
      <c r="D257" s="1519"/>
      <c r="E257" s="1519"/>
      <c r="F257" s="1519"/>
      <c r="G257" s="365"/>
      <c r="H257" s="1519">
        <v>45755</v>
      </c>
      <c r="I257" s="1519"/>
      <c r="J257" s="1519"/>
      <c r="K257" s="1519"/>
      <c r="L257" s="365"/>
      <c r="M257" s="1519">
        <v>45756</v>
      </c>
      <c r="N257" s="1519"/>
      <c r="O257" s="1519"/>
      <c r="P257" s="1519"/>
      <c r="Q257" s="365"/>
      <c r="R257" s="1519">
        <v>45757</v>
      </c>
      <c r="S257" s="1519"/>
      <c r="T257" s="1519"/>
      <c r="U257" s="1519"/>
      <c r="V257" s="365"/>
      <c r="W257" s="1519">
        <v>45758</v>
      </c>
      <c r="X257" s="1519"/>
      <c r="Y257" s="1519"/>
      <c r="Z257" s="1519"/>
      <c r="AA257" s="1517" t="s">
        <v>19</v>
      </c>
      <c r="AB257" s="1517" t="s">
        <v>20</v>
      </c>
      <c r="AC257" s="4"/>
      <c r="AD257" s="1519">
        <v>45759</v>
      </c>
      <c r="AE257" s="1519"/>
      <c r="AF257" s="1519"/>
      <c r="AG257" s="1517" t="s">
        <v>21</v>
      </c>
      <c r="AH257" s="4"/>
      <c r="AI257" s="368"/>
      <c r="AK257" s="194" t="s">
        <v>84</v>
      </c>
      <c r="AL257" s="366"/>
      <c r="AM257" s="366"/>
      <c r="AN257" s="366"/>
      <c r="AO257" s="366"/>
      <c r="AP257" s="366"/>
    </row>
    <row r="258" spans="1:42" s="180" customFormat="1" hidden="1">
      <c r="A258" s="313"/>
      <c r="B258" s="1518"/>
      <c r="C258" s="21" t="s">
        <v>23</v>
      </c>
      <c r="D258" s="21" t="s">
        <v>24</v>
      </c>
      <c r="E258" s="205" t="s">
        <v>25</v>
      </c>
      <c r="F258" s="18" t="s">
        <v>14</v>
      </c>
      <c r="G258" s="4"/>
      <c r="H258" s="21" t="s">
        <v>23</v>
      </c>
      <c r="I258" s="21" t="s">
        <v>24</v>
      </c>
      <c r="J258" s="18" t="s">
        <v>25</v>
      </c>
      <c r="K258" s="18" t="s">
        <v>14</v>
      </c>
      <c r="L258" s="4"/>
      <c r="M258" s="21" t="s">
        <v>23</v>
      </c>
      <c r="N258" s="21" t="s">
        <v>24</v>
      </c>
      <c r="O258" s="18" t="s">
        <v>25</v>
      </c>
      <c r="P258" s="18" t="s">
        <v>14</v>
      </c>
      <c r="Q258" s="4"/>
      <c r="R258" s="21" t="s">
        <v>23</v>
      </c>
      <c r="S258" s="21" t="s">
        <v>24</v>
      </c>
      <c r="T258" s="18" t="s">
        <v>25</v>
      </c>
      <c r="U258" s="18" t="s">
        <v>14</v>
      </c>
      <c r="V258" s="4"/>
      <c r="W258" s="21" t="s">
        <v>23</v>
      </c>
      <c r="X258" s="21" t="s">
        <v>24</v>
      </c>
      <c r="Y258" s="18" t="s">
        <v>25</v>
      </c>
      <c r="Z258" s="18" t="s">
        <v>14</v>
      </c>
      <c r="AA258" s="1517"/>
      <c r="AB258" s="1517"/>
      <c r="AC258" s="4"/>
      <c r="AD258" s="21" t="s">
        <v>23</v>
      </c>
      <c r="AE258" s="21" t="s">
        <v>24</v>
      </c>
      <c r="AF258" s="18" t="s">
        <v>25</v>
      </c>
      <c r="AG258" s="1517"/>
      <c r="AH258" s="4"/>
      <c r="AI258" s="368"/>
      <c r="AJ258" s="367"/>
      <c r="AK258" s="188" t="s">
        <v>26</v>
      </c>
      <c r="AL258" s="196">
        <f>AA261</f>
        <v>40</v>
      </c>
      <c r="AM258" s="511">
        <v>51.5</v>
      </c>
      <c r="AN258" s="510">
        <f>AL258*AM258</f>
        <v>2060</v>
      </c>
      <c r="AO258" s="193"/>
      <c r="AP258" s="193"/>
    </row>
    <row r="259" spans="1:42" s="180" customFormat="1" hidden="1">
      <c r="A259" s="313"/>
      <c r="B259" s="4" t="s">
        <v>60</v>
      </c>
      <c r="C259" s="441" t="s">
        <v>75</v>
      </c>
      <c r="D259" s="441" t="s">
        <v>246</v>
      </c>
      <c r="E259" s="319">
        <v>8</v>
      </c>
      <c r="F259" s="320"/>
      <c r="G259" s="4"/>
      <c r="H259" s="441" t="s">
        <v>75</v>
      </c>
      <c r="I259" s="441" t="s">
        <v>246</v>
      </c>
      <c r="J259" s="319">
        <v>8</v>
      </c>
      <c r="K259" s="320"/>
      <c r="L259" s="4"/>
      <c r="M259" s="441" t="s">
        <v>75</v>
      </c>
      <c r="N259" s="441" t="s">
        <v>246</v>
      </c>
      <c r="O259" s="319">
        <v>8</v>
      </c>
      <c r="P259" s="320"/>
      <c r="Q259" s="4"/>
      <c r="R259" s="441" t="s">
        <v>75</v>
      </c>
      <c r="S259" s="441" t="s">
        <v>246</v>
      </c>
      <c r="T259" s="319">
        <v>8</v>
      </c>
      <c r="U259" s="320"/>
      <c r="V259" s="4"/>
      <c r="W259" s="441" t="s">
        <v>75</v>
      </c>
      <c r="X259" s="441" t="s">
        <v>246</v>
      </c>
      <c r="Y259" s="319">
        <v>8</v>
      </c>
      <c r="Z259" s="320"/>
      <c r="AA259" s="328">
        <f>Y259+T259+O259+J259+E259</f>
        <v>40</v>
      </c>
      <c r="AB259" s="298">
        <f>Z259+U259+P259+K259+F259</f>
        <v>0</v>
      </c>
      <c r="AC259" s="4"/>
      <c r="AD259" s="587"/>
      <c r="AE259" s="531"/>
      <c r="AF259" s="319"/>
      <c r="AG259" s="328">
        <f>AF259</f>
        <v>0</v>
      </c>
      <c r="AH259" s="4"/>
      <c r="AI259" s="368"/>
      <c r="AJ259" s="367"/>
      <c r="AK259" s="188" t="s">
        <v>30</v>
      </c>
      <c r="AL259" s="196">
        <f>AB261</f>
        <v>0</v>
      </c>
      <c r="AM259" s="511">
        <f>AM258*1.5</f>
        <v>77.25</v>
      </c>
      <c r="AN259" s="510">
        <f>AL259*AM259</f>
        <v>0</v>
      </c>
      <c r="AO259" s="193"/>
      <c r="AP259" s="193"/>
    </row>
    <row r="260" spans="1:42" s="180" customFormat="1" hidden="1">
      <c r="A260" s="313"/>
      <c r="B260" s="4" t="s">
        <v>59</v>
      </c>
      <c r="C260" s="441" t="s">
        <v>116</v>
      </c>
      <c r="D260" s="441"/>
      <c r="E260" s="319"/>
      <c r="F260" s="320"/>
      <c r="G260" s="4"/>
      <c r="H260" s="441" t="s">
        <v>116</v>
      </c>
      <c r="I260" s="441"/>
      <c r="J260" s="319"/>
      <c r="K260" s="320"/>
      <c r="L260" s="4"/>
      <c r="M260" s="441" t="s">
        <v>116</v>
      </c>
      <c r="N260" s="441"/>
      <c r="O260" s="319"/>
      <c r="P260" s="320"/>
      <c r="Q260" s="4"/>
      <c r="R260" s="441" t="s">
        <v>116</v>
      </c>
      <c r="S260" s="441"/>
      <c r="T260" s="319"/>
      <c r="U260" s="320"/>
      <c r="V260" s="4"/>
      <c r="W260" s="441" t="s">
        <v>116</v>
      </c>
      <c r="X260" s="441"/>
      <c r="Y260" s="319"/>
      <c r="Z260" s="320"/>
      <c r="AA260" s="328">
        <f>Y260+T260+O260+J260+E260</f>
        <v>0</v>
      </c>
      <c r="AB260" s="298">
        <f>Z260+U260+P260+K260+F260</f>
        <v>0</v>
      </c>
      <c r="AC260" s="4"/>
      <c r="AF260" s="319"/>
      <c r="AG260" s="328">
        <f>AF260</f>
        <v>0</v>
      </c>
      <c r="AH260" s="175"/>
      <c r="AI260" s="402"/>
      <c r="AJ260" s="367"/>
      <c r="AK260" s="188" t="s">
        <v>32</v>
      </c>
      <c r="AL260" s="196">
        <f>AG261</f>
        <v>0</v>
      </c>
      <c r="AM260" s="511">
        <v>75.77</v>
      </c>
      <c r="AN260" s="510">
        <f>AL260*AM260</f>
        <v>0</v>
      </c>
      <c r="AO260" s="193"/>
      <c r="AP260" s="193"/>
    </row>
    <row r="261" spans="1:42" s="180" customFormat="1" hidden="1">
      <c r="A261" s="313"/>
      <c r="B261" s="64" t="s">
        <v>61</v>
      </c>
      <c r="C261" s="31"/>
      <c r="D261" s="31"/>
      <c r="E261" s="439">
        <f>SUM(E259:E260)</f>
        <v>8</v>
      </c>
      <c r="F261" s="320">
        <f>SUM(F259:F260)</f>
        <v>0</v>
      </c>
      <c r="G261" s="31"/>
      <c r="H261" s="31"/>
      <c r="I261" s="31"/>
      <c r="J261" s="439">
        <f>SUM(J259:J260)</f>
        <v>8</v>
      </c>
      <c r="K261" s="320">
        <f>SUM(K259:K260)</f>
        <v>0</v>
      </c>
      <c r="L261" s="31"/>
      <c r="M261" s="31"/>
      <c r="N261" s="31"/>
      <c r="O261" s="439">
        <f>SUM(O259:O260)</f>
        <v>8</v>
      </c>
      <c r="P261" s="320">
        <f>SUM(P259:P260)</f>
        <v>0</v>
      </c>
      <c r="Q261" s="31"/>
      <c r="R261" s="31"/>
      <c r="S261" s="31"/>
      <c r="T261" s="439">
        <f>SUM(T259:T260)</f>
        <v>8</v>
      </c>
      <c r="U261" s="320">
        <f>SUM(U259:U260)</f>
        <v>0</v>
      </c>
      <c r="V261" s="31"/>
      <c r="W261" s="31"/>
      <c r="X261" s="31"/>
      <c r="Y261" s="439">
        <f>SUM(Y259:Y260)</f>
        <v>8</v>
      </c>
      <c r="Z261" s="320">
        <f>SUM(Z259:Z260)</f>
        <v>0</v>
      </c>
      <c r="AA261" s="370">
        <f>SUM(AA259:AA260)</f>
        <v>40</v>
      </c>
      <c r="AB261" s="370">
        <f>SUM(AB259:AB260)</f>
        <v>0</v>
      </c>
      <c r="AC261" s="4"/>
      <c r="AD261" s="64"/>
      <c r="AE261" s="64"/>
      <c r="AF261" s="370">
        <f>SUM(AF259:AF260)</f>
        <v>0</v>
      </c>
      <c r="AG261" s="370">
        <f>SUM(AG259:AG260)</f>
        <v>0</v>
      </c>
      <c r="AH261" s="4"/>
      <c r="AI261" s="255"/>
      <c r="AJ261" s="367"/>
      <c r="AK261" s="193"/>
      <c r="AL261" s="193"/>
      <c r="AM261" s="193"/>
      <c r="AN261" s="510">
        <f>SUM(AN258:AN260)</f>
        <v>2060</v>
      </c>
      <c r="AO261" s="193"/>
      <c r="AP261" s="193"/>
    </row>
    <row r="262" spans="1:42" s="180" customFormat="1" hidden="1">
      <c r="A262" s="313"/>
      <c r="E262" s="4"/>
      <c r="F262" s="4"/>
      <c r="G262" s="4"/>
      <c r="J262" s="4"/>
      <c r="K262" s="4"/>
      <c r="L262" s="4"/>
      <c r="O262" s="4"/>
      <c r="P262" s="4"/>
      <c r="Q262" s="4"/>
      <c r="T262" s="4"/>
      <c r="U262" s="4"/>
      <c r="V262" s="4"/>
      <c r="Y262" s="4"/>
      <c r="Z262" s="4"/>
      <c r="AA262" s="4"/>
      <c r="AB262" s="4"/>
      <c r="AC262" s="4"/>
      <c r="AH262" s="4"/>
      <c r="AI262" s="255"/>
      <c r="AK262" s="193"/>
      <c r="AL262" s="193"/>
      <c r="AM262" s="193"/>
      <c r="AN262" s="193"/>
      <c r="AO262" s="193"/>
      <c r="AP262" s="193"/>
    </row>
    <row r="263" spans="1:42" s="180" customFormat="1" hidden="1">
      <c r="A263" s="313"/>
      <c r="B263" s="229"/>
      <c r="C263" s="230"/>
      <c r="D263" s="230"/>
      <c r="E263" s="232"/>
      <c r="F263" s="232"/>
      <c r="G263" s="230"/>
      <c r="H263" s="232"/>
      <c r="I263" s="232"/>
      <c r="J263" s="232"/>
      <c r="K263" s="232"/>
      <c r="L263" s="230"/>
      <c r="M263" s="230"/>
      <c r="N263" s="230"/>
      <c r="O263" s="230"/>
      <c r="P263" s="232"/>
      <c r="Q263" s="230"/>
      <c r="R263" s="230"/>
      <c r="S263" s="230"/>
      <c r="T263" s="230"/>
      <c r="U263" s="232"/>
      <c r="V263" s="230"/>
      <c r="W263" s="230"/>
      <c r="X263" s="230"/>
      <c r="Y263" s="233"/>
      <c r="Z263" s="232"/>
      <c r="AA263" s="234"/>
      <c r="AB263" s="232"/>
      <c r="AC263" s="373"/>
      <c r="AD263" s="236"/>
      <c r="AE263" s="255"/>
      <c r="AF263" s="255"/>
      <c r="AG263" s="255"/>
      <c r="AH263" s="255"/>
      <c r="AI263" s="255"/>
      <c r="AJ263" s="255"/>
      <c r="AK263" s="255"/>
      <c r="AL263" s="255"/>
      <c r="AM263" s="255"/>
      <c r="AN263" s="255"/>
      <c r="AO263" s="255"/>
      <c r="AP263" s="255"/>
    </row>
    <row r="264" spans="1:42" s="180" customFormat="1" hidden="1">
      <c r="A264" s="313"/>
      <c r="E264" s="4"/>
      <c r="F264" s="4"/>
      <c r="G264" s="4"/>
      <c r="J264" s="4"/>
      <c r="K264" s="4"/>
      <c r="L264" s="4"/>
      <c r="O264" s="4"/>
      <c r="P264" s="4"/>
      <c r="Q264" s="4"/>
      <c r="T264" s="4"/>
      <c r="U264" s="4"/>
      <c r="V264" s="4"/>
      <c r="Y264" s="4"/>
      <c r="Z264" s="4"/>
      <c r="AA264" s="4"/>
      <c r="AB264" s="4"/>
      <c r="AC264" s="4"/>
      <c r="AH264" s="4"/>
      <c r="AI264" s="255"/>
      <c r="AK264" s="193"/>
      <c r="AL264" s="193"/>
      <c r="AM264" s="193"/>
      <c r="AN264" s="193"/>
      <c r="AO264" s="193"/>
      <c r="AP264" s="193"/>
    </row>
    <row r="265" spans="1:42" s="180" customFormat="1" ht="10.9" hidden="1" customHeight="1">
      <c r="A265" s="313"/>
      <c r="B265" s="1518" t="s">
        <v>18</v>
      </c>
      <c r="C265" s="1519">
        <v>45761</v>
      </c>
      <c r="D265" s="1519"/>
      <c r="E265" s="1519"/>
      <c r="F265" s="1519"/>
      <c r="G265" s="365"/>
      <c r="H265" s="1519">
        <v>45762</v>
      </c>
      <c r="I265" s="1519"/>
      <c r="J265" s="1519"/>
      <c r="K265" s="1519"/>
      <c r="L265" s="365"/>
      <c r="M265" s="1519">
        <v>45763</v>
      </c>
      <c r="N265" s="1519"/>
      <c r="O265" s="1519"/>
      <c r="P265" s="1519"/>
      <c r="Q265" s="365"/>
      <c r="R265" s="1519">
        <v>45764</v>
      </c>
      <c r="S265" s="1519"/>
      <c r="T265" s="1519"/>
      <c r="U265" s="1519"/>
      <c r="V265" s="365"/>
      <c r="W265" s="1519">
        <v>45765</v>
      </c>
      <c r="X265" s="1519"/>
      <c r="Y265" s="1519"/>
      <c r="Z265" s="1519"/>
      <c r="AA265" s="1517" t="s">
        <v>19</v>
      </c>
      <c r="AB265" s="1517" t="s">
        <v>20</v>
      </c>
      <c r="AC265" s="4"/>
      <c r="AD265" s="1519">
        <v>45766</v>
      </c>
      <c r="AE265" s="1519"/>
      <c r="AF265" s="1519"/>
      <c r="AG265" s="1517" t="s">
        <v>21</v>
      </c>
      <c r="AH265" s="4"/>
      <c r="AI265" s="368"/>
      <c r="AK265" s="194" t="s">
        <v>84</v>
      </c>
      <c r="AL265" s="366"/>
      <c r="AM265" s="366"/>
      <c r="AN265" s="366"/>
      <c r="AO265" s="366"/>
      <c r="AP265" s="366"/>
    </row>
    <row r="266" spans="1:42" s="180" customFormat="1" hidden="1">
      <c r="A266" s="313"/>
      <c r="B266" s="1518"/>
      <c r="C266" s="21" t="s">
        <v>23</v>
      </c>
      <c r="D266" s="21" t="s">
        <v>24</v>
      </c>
      <c r="E266" s="205" t="s">
        <v>25</v>
      </c>
      <c r="F266" s="18" t="s">
        <v>14</v>
      </c>
      <c r="G266" s="4"/>
      <c r="H266" s="21" t="s">
        <v>23</v>
      </c>
      <c r="I266" s="21" t="s">
        <v>24</v>
      </c>
      <c r="J266" s="18" t="s">
        <v>25</v>
      </c>
      <c r="K266" s="18" t="s">
        <v>14</v>
      </c>
      <c r="L266" s="4"/>
      <c r="M266" s="21" t="s">
        <v>23</v>
      </c>
      <c r="N266" s="21" t="s">
        <v>24</v>
      </c>
      <c r="O266" s="18" t="s">
        <v>25</v>
      </c>
      <c r="P266" s="18" t="s">
        <v>14</v>
      </c>
      <c r="Q266" s="4"/>
      <c r="R266" s="21" t="s">
        <v>23</v>
      </c>
      <c r="S266" s="21" t="s">
        <v>24</v>
      </c>
      <c r="T266" s="18" t="s">
        <v>25</v>
      </c>
      <c r="U266" s="18" t="s">
        <v>14</v>
      </c>
      <c r="V266" s="4"/>
      <c r="W266" s="21" t="s">
        <v>23</v>
      </c>
      <c r="X266" s="21" t="s">
        <v>24</v>
      </c>
      <c r="Y266" s="18" t="s">
        <v>25</v>
      </c>
      <c r="Z266" s="18" t="s">
        <v>14</v>
      </c>
      <c r="AA266" s="1517"/>
      <c r="AB266" s="1517"/>
      <c r="AC266" s="4"/>
      <c r="AD266" s="21" t="s">
        <v>23</v>
      </c>
      <c r="AE266" s="21" t="s">
        <v>24</v>
      </c>
      <c r="AF266" s="18" t="s">
        <v>25</v>
      </c>
      <c r="AG266" s="1517"/>
      <c r="AH266" s="4"/>
      <c r="AI266" s="368"/>
      <c r="AJ266" s="367"/>
      <c r="AK266" s="188" t="s">
        <v>26</v>
      </c>
      <c r="AL266" s="196">
        <f>AA269</f>
        <v>56</v>
      </c>
      <c r="AM266" s="511">
        <v>51.5</v>
      </c>
      <c r="AN266" s="510">
        <f>AL266*AM266</f>
        <v>2884</v>
      </c>
      <c r="AO266" s="193"/>
      <c r="AP266" s="193"/>
    </row>
    <row r="267" spans="1:42" s="180" customFormat="1" hidden="1">
      <c r="A267" s="313"/>
      <c r="B267" s="4" t="s">
        <v>60</v>
      </c>
      <c r="C267" s="441" t="s">
        <v>75</v>
      </c>
      <c r="D267" s="441" t="s">
        <v>246</v>
      </c>
      <c r="E267" s="319">
        <v>8</v>
      </c>
      <c r="F267" s="320"/>
      <c r="G267" s="4"/>
      <c r="H267" s="441" t="s">
        <v>75</v>
      </c>
      <c r="I267" s="441" t="s">
        <v>246</v>
      </c>
      <c r="J267" s="319">
        <v>8</v>
      </c>
      <c r="K267" s="320"/>
      <c r="L267" s="4"/>
      <c r="M267" s="441" t="s">
        <v>75</v>
      </c>
      <c r="N267" s="441" t="s">
        <v>246</v>
      </c>
      <c r="O267" s="319">
        <v>8</v>
      </c>
      <c r="P267" s="320"/>
      <c r="Q267" s="4"/>
      <c r="R267" s="441" t="s">
        <v>75</v>
      </c>
      <c r="S267" s="441" t="s">
        <v>246</v>
      </c>
      <c r="T267" s="319">
        <v>8</v>
      </c>
      <c r="U267" s="320"/>
      <c r="V267" s="4"/>
      <c r="W267" s="441" t="s">
        <v>75</v>
      </c>
      <c r="X267" s="441" t="s">
        <v>246</v>
      </c>
      <c r="Y267" s="319">
        <v>8</v>
      </c>
      <c r="Z267" s="320"/>
      <c r="AA267" s="328">
        <f>Y267+T267+O267+J267+E267</f>
        <v>40</v>
      </c>
      <c r="AB267" s="298">
        <f>Z267+U267+P267+K267+F267</f>
        <v>0</v>
      </c>
      <c r="AC267" s="4"/>
      <c r="AD267" s="587"/>
      <c r="AE267" s="531"/>
      <c r="AF267" s="319"/>
      <c r="AG267" s="328">
        <f>AF267</f>
        <v>0</v>
      </c>
      <c r="AH267" s="4"/>
      <c r="AI267" s="368"/>
      <c r="AJ267" s="367"/>
      <c r="AK267" s="188" t="s">
        <v>30</v>
      </c>
      <c r="AL267" s="196">
        <f>AB269</f>
        <v>0</v>
      </c>
      <c r="AM267" s="511">
        <f>AM266*1.5</f>
        <v>77.25</v>
      </c>
      <c r="AN267" s="510">
        <f>AL267*AM267</f>
        <v>0</v>
      </c>
      <c r="AO267" s="193"/>
      <c r="AP267" s="193"/>
    </row>
    <row r="268" spans="1:42" s="180" customFormat="1" hidden="1">
      <c r="A268" s="313"/>
      <c r="B268" s="4" t="s">
        <v>59</v>
      </c>
      <c r="C268" s="441" t="s">
        <v>116</v>
      </c>
      <c r="D268" s="441"/>
      <c r="E268" s="319"/>
      <c r="F268" s="320"/>
      <c r="G268" s="4"/>
      <c r="H268" s="441" t="s">
        <v>222</v>
      </c>
      <c r="I268" s="441" t="s">
        <v>125</v>
      </c>
      <c r="J268" s="319">
        <v>4</v>
      </c>
      <c r="K268" s="320"/>
      <c r="L268" s="4"/>
      <c r="M268" s="441" t="s">
        <v>222</v>
      </c>
      <c r="N268" s="441" t="s">
        <v>125</v>
      </c>
      <c r="O268" s="319">
        <v>4</v>
      </c>
      <c r="P268" s="320"/>
      <c r="Q268" s="4"/>
      <c r="R268" s="441" t="s">
        <v>222</v>
      </c>
      <c r="S268" s="441" t="s">
        <v>125</v>
      </c>
      <c r="T268" s="319">
        <v>4</v>
      </c>
      <c r="U268" s="320"/>
      <c r="V268" s="4"/>
      <c r="W268" s="441" t="s">
        <v>222</v>
      </c>
      <c r="X268" s="441" t="s">
        <v>125</v>
      </c>
      <c r="Y268" s="319">
        <v>4</v>
      </c>
      <c r="Z268" s="320"/>
      <c r="AA268" s="328">
        <f>Y268+T268+O268+J268+E268</f>
        <v>16</v>
      </c>
      <c r="AB268" s="298">
        <f>Z268+U268+P268+K268+F268</f>
        <v>0</v>
      </c>
      <c r="AC268" s="4"/>
      <c r="AF268" s="319"/>
      <c r="AG268" s="328">
        <f>AF268</f>
        <v>0</v>
      </c>
      <c r="AH268" s="175"/>
      <c r="AI268" s="402"/>
      <c r="AJ268" s="367"/>
      <c r="AK268" s="188" t="s">
        <v>32</v>
      </c>
      <c r="AL268" s="196">
        <f>AG269</f>
        <v>0</v>
      </c>
      <c r="AM268" s="511">
        <v>75.77</v>
      </c>
      <c r="AN268" s="510">
        <f>AL268*AM268</f>
        <v>0</v>
      </c>
      <c r="AO268" s="193"/>
      <c r="AP268" s="193"/>
    </row>
    <row r="269" spans="1:42" s="180" customFormat="1" hidden="1">
      <c r="A269" s="313"/>
      <c r="B269" s="64" t="s">
        <v>61</v>
      </c>
      <c r="C269" s="31"/>
      <c r="D269" s="31"/>
      <c r="E269" s="439">
        <f>SUM(E267:E268)</f>
        <v>8</v>
      </c>
      <c r="F269" s="320">
        <f>SUM(F267:F268)</f>
        <v>0</v>
      </c>
      <c r="G269" s="31"/>
      <c r="H269" s="31"/>
      <c r="I269" s="31"/>
      <c r="J269" s="439">
        <f>SUM(J267:J268)</f>
        <v>12</v>
      </c>
      <c r="K269" s="320">
        <f>SUM(K267:K268)</f>
        <v>0</v>
      </c>
      <c r="L269" s="31"/>
      <c r="M269" s="31"/>
      <c r="N269" s="31"/>
      <c r="O269" s="439">
        <f>SUM(O267:O268)</f>
        <v>12</v>
      </c>
      <c r="P269" s="320">
        <f>SUM(P267:P268)</f>
        <v>0</v>
      </c>
      <c r="Q269" s="31"/>
      <c r="R269" s="31"/>
      <c r="S269" s="31"/>
      <c r="T269" s="439">
        <f>SUM(T267:T268)</f>
        <v>12</v>
      </c>
      <c r="U269" s="320">
        <f>SUM(U267:U268)</f>
        <v>0</v>
      </c>
      <c r="V269" s="31"/>
      <c r="W269" s="31"/>
      <c r="X269" s="31"/>
      <c r="Y269" s="439">
        <f>SUM(Y267:Y268)</f>
        <v>12</v>
      </c>
      <c r="Z269" s="320">
        <f>SUM(Z267:Z268)</f>
        <v>0</v>
      </c>
      <c r="AA269" s="370">
        <f>SUM(AA267:AA268)</f>
        <v>56</v>
      </c>
      <c r="AB269" s="370">
        <f>SUM(AB267:AB268)</f>
        <v>0</v>
      </c>
      <c r="AC269" s="4"/>
      <c r="AD269" s="64"/>
      <c r="AE269" s="64"/>
      <c r="AF269" s="370">
        <f>SUM(AF267:AF268)</f>
        <v>0</v>
      </c>
      <c r="AG269" s="370">
        <f>SUM(AG267:AG268)</f>
        <v>0</v>
      </c>
      <c r="AH269" s="4"/>
      <c r="AI269" s="255"/>
      <c r="AJ269" s="367"/>
      <c r="AK269" s="193"/>
      <c r="AL269" s="193"/>
      <c r="AM269" s="193"/>
      <c r="AN269" s="510">
        <f>SUM(AN266:AN268)</f>
        <v>2884</v>
      </c>
      <c r="AO269" s="193"/>
      <c r="AP269" s="193"/>
    </row>
    <row r="270" spans="1:42" s="180" customFormat="1" hidden="1">
      <c r="A270" s="313"/>
      <c r="E270" s="4"/>
      <c r="F270" s="4"/>
      <c r="G270" s="4"/>
      <c r="J270" s="4"/>
      <c r="K270" s="4"/>
      <c r="L270" s="4"/>
      <c r="O270" s="4"/>
      <c r="P270" s="4"/>
      <c r="Q270" s="4"/>
      <c r="T270" s="4"/>
      <c r="U270" s="4"/>
      <c r="V270" s="4"/>
      <c r="Y270" s="4"/>
      <c r="Z270" s="4"/>
      <c r="AA270" s="4"/>
      <c r="AB270" s="4"/>
      <c r="AC270" s="4"/>
      <c r="AH270" s="4"/>
      <c r="AI270" s="255"/>
      <c r="AK270" s="193"/>
      <c r="AL270" s="193"/>
      <c r="AM270" s="193"/>
      <c r="AN270" s="193"/>
      <c r="AO270" s="193"/>
      <c r="AP270" s="193"/>
    </row>
    <row r="271" spans="1:42" s="180" customFormat="1" hidden="1">
      <c r="A271" s="313"/>
      <c r="B271" s="229"/>
      <c r="C271" s="230"/>
      <c r="D271" s="230"/>
      <c r="E271" s="232"/>
      <c r="F271" s="232"/>
      <c r="G271" s="230"/>
      <c r="H271" s="232"/>
      <c r="I271" s="232"/>
      <c r="J271" s="232"/>
      <c r="K271" s="232"/>
      <c r="L271" s="230"/>
      <c r="M271" s="230"/>
      <c r="N271" s="230"/>
      <c r="O271" s="230"/>
      <c r="P271" s="232"/>
      <c r="Q271" s="230"/>
      <c r="R271" s="230"/>
      <c r="S271" s="230"/>
      <c r="T271" s="230"/>
      <c r="U271" s="232"/>
      <c r="V271" s="230"/>
      <c r="W271" s="230"/>
      <c r="X271" s="230"/>
      <c r="Y271" s="233"/>
      <c r="Z271" s="232"/>
      <c r="AA271" s="234"/>
      <c r="AB271" s="232"/>
      <c r="AC271" s="373"/>
      <c r="AD271" s="236"/>
      <c r="AE271" s="255"/>
      <c r="AF271" s="255"/>
      <c r="AG271" s="255"/>
      <c r="AH271" s="255"/>
      <c r="AI271" s="255"/>
      <c r="AJ271" s="255"/>
      <c r="AK271" s="255"/>
      <c r="AL271" s="255"/>
      <c r="AM271" s="255"/>
      <c r="AN271" s="255"/>
      <c r="AO271" s="255"/>
      <c r="AP271" s="255"/>
    </row>
    <row r="272" spans="1:42" s="180" customFormat="1" hidden="1">
      <c r="A272" s="313"/>
      <c r="E272" s="4"/>
      <c r="F272" s="4"/>
      <c r="G272" s="4"/>
      <c r="J272" s="4"/>
      <c r="K272" s="4"/>
      <c r="L272" s="4"/>
      <c r="O272" s="4"/>
      <c r="P272" s="4"/>
      <c r="Q272" s="4"/>
      <c r="T272" s="4"/>
      <c r="U272" s="4"/>
      <c r="V272" s="4"/>
      <c r="Y272" s="4"/>
      <c r="Z272" s="4"/>
      <c r="AA272" s="4"/>
      <c r="AB272" s="4"/>
      <c r="AC272" s="4"/>
      <c r="AH272" s="4"/>
      <c r="AI272" s="255"/>
      <c r="AK272" s="193"/>
      <c r="AL272" s="193"/>
      <c r="AM272" s="193"/>
      <c r="AN272" s="193"/>
      <c r="AO272" s="193"/>
      <c r="AP272" s="193"/>
    </row>
    <row r="273" spans="1:42" s="180" customFormat="1" ht="10.9" hidden="1" customHeight="1">
      <c r="A273" s="313"/>
      <c r="B273" s="1518" t="s">
        <v>18</v>
      </c>
      <c r="C273" s="1519">
        <v>45768</v>
      </c>
      <c r="D273" s="1519"/>
      <c r="E273" s="1519"/>
      <c r="F273" s="1519"/>
      <c r="G273" s="365"/>
      <c r="H273" s="1519">
        <v>45769</v>
      </c>
      <c r="I273" s="1519"/>
      <c r="J273" s="1519"/>
      <c r="K273" s="1519"/>
      <c r="L273" s="365"/>
      <c r="M273" s="1519">
        <v>45770</v>
      </c>
      <c r="N273" s="1519"/>
      <c r="O273" s="1519"/>
      <c r="P273" s="1519"/>
      <c r="Q273" s="365"/>
      <c r="R273" s="1519">
        <v>45771</v>
      </c>
      <c r="S273" s="1519"/>
      <c r="T273" s="1519"/>
      <c r="U273" s="1519"/>
      <c r="V273" s="365"/>
      <c r="W273" s="1519">
        <v>45772</v>
      </c>
      <c r="X273" s="1519"/>
      <c r="Y273" s="1519"/>
      <c r="Z273" s="1519"/>
      <c r="AA273" s="1517" t="s">
        <v>19</v>
      </c>
      <c r="AB273" s="1517" t="s">
        <v>20</v>
      </c>
      <c r="AC273" s="4"/>
      <c r="AD273" s="1519">
        <v>45773</v>
      </c>
      <c r="AE273" s="1519"/>
      <c r="AF273" s="1519"/>
      <c r="AG273" s="1517" t="s">
        <v>21</v>
      </c>
      <c r="AH273" s="4"/>
      <c r="AI273" s="368"/>
      <c r="AK273" s="194" t="s">
        <v>84</v>
      </c>
      <c r="AL273" s="366"/>
      <c r="AM273" s="366"/>
      <c r="AN273" s="366"/>
      <c r="AO273" s="366"/>
      <c r="AP273" s="366"/>
    </row>
    <row r="274" spans="1:42" s="180" customFormat="1" hidden="1">
      <c r="A274" s="313"/>
      <c r="B274" s="1518"/>
      <c r="C274" s="21" t="s">
        <v>23</v>
      </c>
      <c r="D274" s="21" t="s">
        <v>24</v>
      </c>
      <c r="E274" s="205" t="s">
        <v>25</v>
      </c>
      <c r="F274" s="18" t="s">
        <v>14</v>
      </c>
      <c r="G274" s="4"/>
      <c r="H274" s="21" t="s">
        <v>23</v>
      </c>
      <c r="I274" s="21" t="s">
        <v>24</v>
      </c>
      <c r="J274" s="18" t="s">
        <v>25</v>
      </c>
      <c r="K274" s="18" t="s">
        <v>14</v>
      </c>
      <c r="L274" s="4"/>
      <c r="M274" s="21" t="s">
        <v>23</v>
      </c>
      <c r="N274" s="21" t="s">
        <v>24</v>
      </c>
      <c r="O274" s="18" t="s">
        <v>25</v>
      </c>
      <c r="P274" s="18" t="s">
        <v>14</v>
      </c>
      <c r="Q274" s="4"/>
      <c r="R274" s="21" t="s">
        <v>23</v>
      </c>
      <c r="S274" s="21" t="s">
        <v>24</v>
      </c>
      <c r="T274" s="18" t="s">
        <v>25</v>
      </c>
      <c r="U274" s="18" t="s">
        <v>14</v>
      </c>
      <c r="V274" s="4"/>
      <c r="W274" s="21" t="s">
        <v>23</v>
      </c>
      <c r="X274" s="21" t="s">
        <v>24</v>
      </c>
      <c r="Y274" s="18" t="s">
        <v>25</v>
      </c>
      <c r="Z274" s="18" t="s">
        <v>14</v>
      </c>
      <c r="AA274" s="1517"/>
      <c r="AB274" s="1517"/>
      <c r="AC274" s="4"/>
      <c r="AD274" s="21" t="s">
        <v>23</v>
      </c>
      <c r="AE274" s="21" t="s">
        <v>24</v>
      </c>
      <c r="AF274" s="18" t="s">
        <v>25</v>
      </c>
      <c r="AG274" s="1517"/>
      <c r="AH274" s="4"/>
      <c r="AI274" s="368"/>
      <c r="AJ274" s="367"/>
      <c r="AK274" s="188" t="s">
        <v>26</v>
      </c>
      <c r="AL274" s="196">
        <f>AA277</f>
        <v>60</v>
      </c>
      <c r="AM274" s="511">
        <v>51.5</v>
      </c>
      <c r="AN274" s="510">
        <f>AL274*AM274</f>
        <v>3090</v>
      </c>
      <c r="AO274" s="193"/>
      <c r="AP274" s="193"/>
    </row>
    <row r="275" spans="1:42" s="180" customFormat="1" hidden="1">
      <c r="A275" s="313"/>
      <c r="B275" s="4" t="s">
        <v>60</v>
      </c>
      <c r="C275" s="441" t="s">
        <v>75</v>
      </c>
      <c r="D275" s="441" t="s">
        <v>246</v>
      </c>
      <c r="E275" s="319">
        <v>8</v>
      </c>
      <c r="F275" s="320"/>
      <c r="G275" s="4"/>
      <c r="H275" s="441" t="s">
        <v>75</v>
      </c>
      <c r="I275" s="441" t="s">
        <v>246</v>
      </c>
      <c r="J275" s="319">
        <v>8</v>
      </c>
      <c r="K275" s="320"/>
      <c r="L275" s="4"/>
      <c r="M275" s="441" t="s">
        <v>75</v>
      </c>
      <c r="N275" s="441" t="s">
        <v>246</v>
      </c>
      <c r="O275" s="319">
        <v>8</v>
      </c>
      <c r="P275" s="320"/>
      <c r="Q275" s="4"/>
      <c r="R275" s="441" t="s">
        <v>75</v>
      </c>
      <c r="S275" s="441" t="s">
        <v>246</v>
      </c>
      <c r="T275" s="319">
        <v>8</v>
      </c>
      <c r="U275" s="320"/>
      <c r="V275" s="4"/>
      <c r="W275" s="441" t="s">
        <v>75</v>
      </c>
      <c r="X275" s="441" t="s">
        <v>246</v>
      </c>
      <c r="Y275" s="319">
        <v>8</v>
      </c>
      <c r="Z275" s="320"/>
      <c r="AA275" s="328">
        <f>Y275+T275+O275+J275+E275</f>
        <v>40</v>
      </c>
      <c r="AB275" s="298">
        <f>Z275+U275+P275+K275+F275</f>
        <v>0</v>
      </c>
      <c r="AC275" s="4"/>
      <c r="AD275" s="587"/>
      <c r="AE275" s="531"/>
      <c r="AF275" s="319"/>
      <c r="AG275" s="328">
        <f>AF275</f>
        <v>0</v>
      </c>
      <c r="AH275" s="4"/>
      <c r="AI275" s="368"/>
      <c r="AJ275" s="367"/>
      <c r="AK275" s="188" t="s">
        <v>30</v>
      </c>
      <c r="AL275" s="196">
        <f>AB277</f>
        <v>0</v>
      </c>
      <c r="AM275" s="511">
        <f>AM274*1.5</f>
        <v>77.25</v>
      </c>
      <c r="AN275" s="510">
        <f>AL275*AM275</f>
        <v>0</v>
      </c>
      <c r="AO275" s="193"/>
      <c r="AP275" s="193"/>
    </row>
    <row r="276" spans="1:42" s="180" customFormat="1" hidden="1">
      <c r="A276" s="313"/>
      <c r="B276" s="4" t="s">
        <v>59</v>
      </c>
      <c r="C276" s="441" t="s">
        <v>222</v>
      </c>
      <c r="D276" s="441" t="s">
        <v>125</v>
      </c>
      <c r="E276" s="319">
        <v>4</v>
      </c>
      <c r="F276" s="320"/>
      <c r="G276" s="4"/>
      <c r="H276" s="441" t="s">
        <v>222</v>
      </c>
      <c r="I276" s="441" t="s">
        <v>125</v>
      </c>
      <c r="J276" s="319">
        <v>4</v>
      </c>
      <c r="K276" s="320"/>
      <c r="L276" s="4"/>
      <c r="M276" s="441" t="s">
        <v>222</v>
      </c>
      <c r="N276" s="441" t="s">
        <v>125</v>
      </c>
      <c r="O276" s="319">
        <v>4</v>
      </c>
      <c r="P276" s="320"/>
      <c r="Q276" s="4"/>
      <c r="R276" s="441" t="s">
        <v>222</v>
      </c>
      <c r="S276" s="441" t="s">
        <v>125</v>
      </c>
      <c r="T276" s="319">
        <v>4</v>
      </c>
      <c r="U276" s="320"/>
      <c r="V276" s="4"/>
      <c r="W276" s="441" t="s">
        <v>222</v>
      </c>
      <c r="X276" s="441" t="s">
        <v>125</v>
      </c>
      <c r="Y276" s="319">
        <v>4</v>
      </c>
      <c r="Z276" s="320"/>
      <c r="AA276" s="328">
        <f>Y276+T276+O276+J276+E276</f>
        <v>20</v>
      </c>
      <c r="AB276" s="298">
        <f>Z276+U276+P276+K276+F276</f>
        <v>0</v>
      </c>
      <c r="AC276" s="4"/>
      <c r="AF276" s="319"/>
      <c r="AG276" s="328">
        <f>AF276</f>
        <v>0</v>
      </c>
      <c r="AH276" s="175"/>
      <c r="AI276" s="402"/>
      <c r="AJ276" s="367"/>
      <c r="AK276" s="188" t="s">
        <v>32</v>
      </c>
      <c r="AL276" s="196">
        <f>AG277</f>
        <v>0</v>
      </c>
      <c r="AM276" s="511">
        <v>75.77</v>
      </c>
      <c r="AN276" s="510">
        <f>AL276*AM276</f>
        <v>0</v>
      </c>
      <c r="AO276" s="193"/>
      <c r="AP276" s="193"/>
    </row>
    <row r="277" spans="1:42" s="180" customFormat="1" hidden="1">
      <c r="A277" s="313"/>
      <c r="B277" s="64" t="s">
        <v>61</v>
      </c>
      <c r="C277" s="31"/>
      <c r="D277" s="31"/>
      <c r="E277" s="439">
        <f>SUM(E275:E276)</f>
        <v>12</v>
      </c>
      <c r="F277" s="320">
        <f>SUM(F275:F276)</f>
        <v>0</v>
      </c>
      <c r="G277" s="31"/>
      <c r="H277" s="31"/>
      <c r="I277" s="31"/>
      <c r="J277" s="439">
        <f>SUM(J275:J276)</f>
        <v>12</v>
      </c>
      <c r="K277" s="320">
        <f>SUM(K275:K276)</f>
        <v>0</v>
      </c>
      <c r="L277" s="31"/>
      <c r="M277" s="31"/>
      <c r="N277" s="31"/>
      <c r="O277" s="439">
        <f>SUM(O275:O276)</f>
        <v>12</v>
      </c>
      <c r="P277" s="320">
        <f>SUM(P275:P276)</f>
        <v>0</v>
      </c>
      <c r="Q277" s="31"/>
      <c r="R277" s="31"/>
      <c r="S277" s="31"/>
      <c r="T277" s="439">
        <f>SUM(T275:T276)</f>
        <v>12</v>
      </c>
      <c r="U277" s="320">
        <f>SUM(U275:U276)</f>
        <v>0</v>
      </c>
      <c r="V277" s="31"/>
      <c r="W277" s="31"/>
      <c r="X277" s="31"/>
      <c r="Y277" s="439">
        <f>SUM(Y275:Y276)</f>
        <v>12</v>
      </c>
      <c r="Z277" s="320">
        <f>SUM(Z275:Z276)</f>
        <v>0</v>
      </c>
      <c r="AA277" s="370">
        <f>SUM(AA275:AA276)</f>
        <v>60</v>
      </c>
      <c r="AB277" s="370">
        <f>SUM(AB275:AB276)</f>
        <v>0</v>
      </c>
      <c r="AC277" s="4"/>
      <c r="AD277" s="64"/>
      <c r="AE277" s="64"/>
      <c r="AF277" s="370">
        <f>SUM(AF275:AF276)</f>
        <v>0</v>
      </c>
      <c r="AG277" s="370">
        <f>SUM(AG275:AG276)</f>
        <v>0</v>
      </c>
      <c r="AH277" s="4"/>
      <c r="AI277" s="255"/>
      <c r="AJ277" s="367"/>
      <c r="AK277" s="193"/>
      <c r="AL277" s="193"/>
      <c r="AM277" s="193"/>
      <c r="AN277" s="510">
        <f>SUM(AN274:AN276)</f>
        <v>3090</v>
      </c>
      <c r="AO277" s="193"/>
      <c r="AP277" s="193"/>
    </row>
    <row r="278" spans="1:42" s="180" customFormat="1" hidden="1">
      <c r="A278" s="313"/>
      <c r="E278" s="4"/>
      <c r="F278" s="4"/>
      <c r="G278" s="4"/>
      <c r="J278" s="4"/>
      <c r="K278" s="4"/>
      <c r="L278" s="4"/>
      <c r="O278" s="4"/>
      <c r="P278" s="4"/>
      <c r="Q278" s="4"/>
      <c r="T278" s="4"/>
      <c r="U278" s="4"/>
      <c r="V278" s="4"/>
      <c r="Y278" s="4"/>
      <c r="Z278" s="4"/>
      <c r="AA278" s="4"/>
      <c r="AB278" s="4"/>
      <c r="AC278" s="4"/>
      <c r="AH278" s="4"/>
      <c r="AI278" s="255"/>
      <c r="AK278" s="193"/>
      <c r="AL278" s="193"/>
      <c r="AM278" s="193"/>
      <c r="AN278" s="193"/>
      <c r="AO278" s="193"/>
      <c r="AP278" s="193"/>
    </row>
    <row r="279" spans="1:42" s="180" customFormat="1" hidden="1">
      <c r="A279" s="313"/>
      <c r="B279" s="229"/>
      <c r="C279" s="230"/>
      <c r="D279" s="230"/>
      <c r="E279" s="232"/>
      <c r="F279" s="232"/>
      <c r="G279" s="230"/>
      <c r="H279" s="232"/>
      <c r="I279" s="232"/>
      <c r="J279" s="232"/>
      <c r="K279" s="232"/>
      <c r="L279" s="230"/>
      <c r="M279" s="230"/>
      <c r="N279" s="230"/>
      <c r="O279" s="230"/>
      <c r="P279" s="232"/>
      <c r="Q279" s="230"/>
      <c r="R279" s="230"/>
      <c r="S279" s="230"/>
      <c r="T279" s="230"/>
      <c r="U279" s="232"/>
      <c r="V279" s="230"/>
      <c r="W279" s="230"/>
      <c r="X279" s="230"/>
      <c r="Y279" s="233"/>
      <c r="Z279" s="232"/>
      <c r="AA279" s="234"/>
      <c r="AB279" s="232"/>
      <c r="AC279" s="373"/>
      <c r="AD279" s="236"/>
      <c r="AE279" s="255"/>
      <c r="AF279" s="255"/>
      <c r="AG279" s="255"/>
      <c r="AH279" s="255"/>
      <c r="AI279" s="255"/>
      <c r="AJ279" s="255"/>
      <c r="AK279" s="255"/>
      <c r="AL279" s="255"/>
      <c r="AM279" s="255"/>
      <c r="AN279" s="255"/>
      <c r="AO279" s="255"/>
      <c r="AP279" s="255"/>
    </row>
    <row r="280" spans="1:42" s="180" customFormat="1" hidden="1">
      <c r="A280" s="313"/>
      <c r="E280" s="4"/>
      <c r="F280" s="4"/>
      <c r="G280" s="4"/>
      <c r="J280" s="4"/>
      <c r="K280" s="4"/>
      <c r="L280" s="4"/>
      <c r="O280" s="4"/>
      <c r="P280" s="4"/>
      <c r="Q280" s="4"/>
      <c r="T280" s="4"/>
      <c r="U280" s="4"/>
      <c r="V280" s="4"/>
      <c r="Y280" s="4"/>
      <c r="Z280" s="4"/>
      <c r="AA280" s="4"/>
      <c r="AB280" s="4"/>
      <c r="AC280" s="4"/>
      <c r="AH280" s="4"/>
      <c r="AI280" s="255"/>
      <c r="AK280" s="193"/>
      <c r="AL280" s="193"/>
      <c r="AM280" s="193"/>
      <c r="AN280" s="193"/>
      <c r="AO280" s="193"/>
      <c r="AP280" s="193"/>
    </row>
    <row r="281" spans="1:42" s="180" customFormat="1" ht="10.9" hidden="1" customHeight="1">
      <c r="A281" s="313"/>
      <c r="B281" s="1518" t="s">
        <v>18</v>
      </c>
      <c r="C281" s="1519">
        <v>45775</v>
      </c>
      <c r="D281" s="1519"/>
      <c r="E281" s="1519"/>
      <c r="F281" s="1519"/>
      <c r="G281" s="365"/>
      <c r="H281" s="1519">
        <v>45776</v>
      </c>
      <c r="I281" s="1519"/>
      <c r="J281" s="1519"/>
      <c r="K281" s="1519"/>
      <c r="L281" s="365"/>
      <c r="M281" s="1519">
        <v>45777</v>
      </c>
      <c r="N281" s="1519"/>
      <c r="O281" s="1519"/>
      <c r="P281" s="1519"/>
      <c r="Q281" s="365"/>
      <c r="R281" s="1519">
        <v>45778</v>
      </c>
      <c r="S281" s="1519"/>
      <c r="T281" s="1519"/>
      <c r="U281" s="1519"/>
      <c r="V281" s="365"/>
      <c r="W281" s="1519">
        <v>45779</v>
      </c>
      <c r="X281" s="1519"/>
      <c r="Y281" s="1519"/>
      <c r="Z281" s="1519"/>
      <c r="AA281" s="1517" t="s">
        <v>19</v>
      </c>
      <c r="AB281" s="1517" t="s">
        <v>20</v>
      </c>
      <c r="AC281" s="4"/>
      <c r="AD281" s="1519">
        <v>45780</v>
      </c>
      <c r="AE281" s="1519"/>
      <c r="AF281" s="1519"/>
      <c r="AG281" s="1517" t="s">
        <v>21</v>
      </c>
      <c r="AH281" s="4"/>
      <c r="AI281" s="368"/>
      <c r="AK281" s="194" t="s">
        <v>84</v>
      </c>
      <c r="AL281" s="366"/>
      <c r="AM281" s="366"/>
      <c r="AN281" s="366"/>
      <c r="AO281" s="366"/>
      <c r="AP281" s="366"/>
    </row>
    <row r="282" spans="1:42" s="180" customFormat="1" ht="10.9" hidden="1" customHeight="1">
      <c r="A282" s="313"/>
      <c r="B282" s="1518"/>
      <c r="C282" s="21" t="s">
        <v>23</v>
      </c>
      <c r="D282" s="21" t="s">
        <v>24</v>
      </c>
      <c r="E282" s="205" t="s">
        <v>25</v>
      </c>
      <c r="F282" s="18" t="s">
        <v>14</v>
      </c>
      <c r="G282" s="4"/>
      <c r="H282" s="21" t="s">
        <v>23</v>
      </c>
      <c r="I282" s="21" t="s">
        <v>24</v>
      </c>
      <c r="J282" s="18" t="s">
        <v>25</v>
      </c>
      <c r="K282" s="18" t="s">
        <v>14</v>
      </c>
      <c r="L282" s="4"/>
      <c r="M282" s="21" t="s">
        <v>23</v>
      </c>
      <c r="N282" s="21" t="s">
        <v>24</v>
      </c>
      <c r="O282" s="18" t="s">
        <v>25</v>
      </c>
      <c r="P282" s="18" t="s">
        <v>14</v>
      </c>
      <c r="Q282" s="4"/>
      <c r="R282" s="21" t="s">
        <v>23</v>
      </c>
      <c r="S282" s="21" t="s">
        <v>24</v>
      </c>
      <c r="T282" s="18" t="s">
        <v>25</v>
      </c>
      <c r="U282" s="18" t="s">
        <v>14</v>
      </c>
      <c r="V282" s="4"/>
      <c r="W282" s="21" t="s">
        <v>23</v>
      </c>
      <c r="X282" s="21" t="s">
        <v>24</v>
      </c>
      <c r="Y282" s="18" t="s">
        <v>25</v>
      </c>
      <c r="Z282" s="18" t="s">
        <v>14</v>
      </c>
      <c r="AA282" s="1517"/>
      <c r="AB282" s="1517"/>
      <c r="AC282" s="4"/>
      <c r="AD282" s="21" t="s">
        <v>23</v>
      </c>
      <c r="AE282" s="21" t="s">
        <v>24</v>
      </c>
      <c r="AF282" s="18" t="s">
        <v>25</v>
      </c>
      <c r="AG282" s="1517"/>
      <c r="AH282" s="4"/>
      <c r="AI282" s="368"/>
      <c r="AJ282" s="367"/>
      <c r="AK282" s="188" t="s">
        <v>26</v>
      </c>
      <c r="AL282" s="196">
        <f>AA285</f>
        <v>56</v>
      </c>
      <c r="AM282" s="511">
        <v>51.5</v>
      </c>
      <c r="AN282" s="510">
        <f>AL282*AM282</f>
        <v>2884</v>
      </c>
      <c r="AO282" s="193"/>
      <c r="AP282" s="193"/>
    </row>
    <row r="283" spans="1:42" s="180" customFormat="1" hidden="1">
      <c r="A283" s="313"/>
      <c r="B283" s="4" t="s">
        <v>60</v>
      </c>
      <c r="C283" s="441" t="s">
        <v>75</v>
      </c>
      <c r="D283" s="441" t="s">
        <v>246</v>
      </c>
      <c r="E283" s="319">
        <v>8</v>
      </c>
      <c r="F283" s="320"/>
      <c r="G283" s="4"/>
      <c r="H283" s="441" t="s">
        <v>76</v>
      </c>
      <c r="I283" s="441" t="s">
        <v>246</v>
      </c>
      <c r="J283" s="319">
        <v>8</v>
      </c>
      <c r="K283" s="320"/>
      <c r="L283" s="4"/>
      <c r="M283" s="441" t="s">
        <v>75</v>
      </c>
      <c r="N283" s="441" t="s">
        <v>246</v>
      </c>
      <c r="O283" s="319">
        <v>8</v>
      </c>
      <c r="P283" s="320"/>
      <c r="Q283" s="4"/>
      <c r="R283" s="441" t="s">
        <v>75</v>
      </c>
      <c r="S283" s="441" t="s">
        <v>246</v>
      </c>
      <c r="T283" s="319">
        <v>8</v>
      </c>
      <c r="U283" s="320"/>
      <c r="V283" s="4"/>
      <c r="W283" s="441" t="s">
        <v>75</v>
      </c>
      <c r="X283" s="441" t="s">
        <v>246</v>
      </c>
      <c r="Y283" s="319">
        <v>8</v>
      </c>
      <c r="Z283" s="320"/>
      <c r="AA283" s="328">
        <f>Y283+T283+O283+J283+E283</f>
        <v>40</v>
      </c>
      <c r="AB283" s="298">
        <f>Z283+U283+P283+K283+F283</f>
        <v>0</v>
      </c>
      <c r="AC283" s="4"/>
      <c r="AD283" s="587"/>
      <c r="AE283" s="531"/>
      <c r="AF283" s="319"/>
      <c r="AG283" s="328">
        <f>AF283</f>
        <v>0</v>
      </c>
      <c r="AH283" s="4"/>
      <c r="AI283" s="368"/>
      <c r="AJ283" s="367"/>
      <c r="AK283" s="188" t="s">
        <v>30</v>
      </c>
      <c r="AL283" s="196">
        <f>AB285</f>
        <v>0</v>
      </c>
      <c r="AM283" s="511">
        <f>AM282*1.5</f>
        <v>77.25</v>
      </c>
      <c r="AN283" s="510">
        <f>AL283*AM283</f>
        <v>0</v>
      </c>
      <c r="AO283" s="193"/>
      <c r="AP283" s="193"/>
    </row>
    <row r="284" spans="1:42" s="180" customFormat="1" hidden="1">
      <c r="A284" s="313"/>
      <c r="B284" s="4" t="s">
        <v>59</v>
      </c>
      <c r="C284" s="441" t="s">
        <v>222</v>
      </c>
      <c r="D284" s="441" t="s">
        <v>125</v>
      </c>
      <c r="E284" s="319">
        <v>4</v>
      </c>
      <c r="F284" s="320"/>
      <c r="G284" s="4"/>
      <c r="H284" s="441" t="s">
        <v>222</v>
      </c>
      <c r="I284" s="441" t="s">
        <v>125</v>
      </c>
      <c r="J284" s="319">
        <v>4</v>
      </c>
      <c r="K284" s="320"/>
      <c r="L284" s="4"/>
      <c r="M284" s="441" t="s">
        <v>222</v>
      </c>
      <c r="N284" s="441" t="s">
        <v>125</v>
      </c>
      <c r="O284" s="319">
        <v>4</v>
      </c>
      <c r="P284" s="320"/>
      <c r="Q284" s="4"/>
      <c r="R284" s="719" t="s">
        <v>222</v>
      </c>
      <c r="S284" s="719" t="s">
        <v>125</v>
      </c>
      <c r="T284" s="544">
        <v>4</v>
      </c>
      <c r="U284" s="320"/>
      <c r="V284" s="4"/>
      <c r="W284" s="719" t="s">
        <v>24</v>
      </c>
      <c r="X284" s="719"/>
      <c r="Y284" s="544">
        <v>0</v>
      </c>
      <c r="Z284" s="320"/>
      <c r="AA284" s="328">
        <f>Y284+T284+O284+J284+E284</f>
        <v>16</v>
      </c>
      <c r="AB284" s="298">
        <f>Z284+U284+P284+K284+F284</f>
        <v>0</v>
      </c>
      <c r="AC284" s="4"/>
      <c r="AF284" s="319"/>
      <c r="AG284" s="328">
        <f>AF284</f>
        <v>0</v>
      </c>
      <c r="AH284" s="175"/>
      <c r="AI284" s="402"/>
      <c r="AJ284" s="367"/>
      <c r="AK284" s="188" t="s">
        <v>32</v>
      </c>
      <c r="AL284" s="196">
        <f>AG285</f>
        <v>0</v>
      </c>
      <c r="AM284" s="511">
        <v>75.77</v>
      </c>
      <c r="AN284" s="510">
        <f>AL284*AM284</f>
        <v>0</v>
      </c>
      <c r="AO284" s="193"/>
      <c r="AP284" s="193"/>
    </row>
    <row r="285" spans="1:42" s="180" customFormat="1" hidden="1">
      <c r="A285" s="313"/>
      <c r="B285" s="64" t="s">
        <v>61</v>
      </c>
      <c r="C285" s="31"/>
      <c r="D285" s="31"/>
      <c r="E285" s="439">
        <f>SUM(E283:E284)</f>
        <v>12</v>
      </c>
      <c r="F285" s="320">
        <f>SUM(F283:F284)</f>
        <v>0</v>
      </c>
      <c r="G285" s="31"/>
      <c r="H285" s="31"/>
      <c r="I285" s="31"/>
      <c r="J285" s="439">
        <f>SUM(J283:J284)</f>
        <v>12</v>
      </c>
      <c r="K285" s="320">
        <f>SUM(K283:K284)</f>
        <v>0</v>
      </c>
      <c r="L285" s="31"/>
      <c r="M285" s="31"/>
      <c r="N285" s="31"/>
      <c r="O285" s="439">
        <f>SUM(O283:O284)</f>
        <v>12</v>
      </c>
      <c r="P285" s="320">
        <f>SUM(P283:P284)</f>
        <v>0</v>
      </c>
      <c r="Q285" s="31"/>
      <c r="R285" s="31"/>
      <c r="S285" s="31"/>
      <c r="T285" s="439">
        <f>SUM(T283:T284)</f>
        <v>12</v>
      </c>
      <c r="U285" s="320">
        <f>SUM(U283:U284)</f>
        <v>0</v>
      </c>
      <c r="V285" s="31"/>
      <c r="W285" s="31"/>
      <c r="X285" s="31"/>
      <c r="Y285" s="439">
        <f>SUM(Y283:Y284)</f>
        <v>8</v>
      </c>
      <c r="Z285" s="320">
        <f>SUM(Z283:Z284)</f>
        <v>0</v>
      </c>
      <c r="AA285" s="370">
        <f>SUM(AA283:AA284)</f>
        <v>56</v>
      </c>
      <c r="AB285" s="370">
        <f>SUM(AB283:AB284)</f>
        <v>0</v>
      </c>
      <c r="AC285" s="4"/>
      <c r="AD285" s="64"/>
      <c r="AE285" s="64"/>
      <c r="AF285" s="370">
        <f>SUM(AF283:AF284)</f>
        <v>0</v>
      </c>
      <c r="AG285" s="370">
        <f>SUM(AG283:AG284)</f>
        <v>0</v>
      </c>
      <c r="AH285" s="4"/>
      <c r="AI285" s="255"/>
      <c r="AJ285" s="367"/>
      <c r="AK285" s="193"/>
      <c r="AL285" s="193"/>
      <c r="AM285" s="193"/>
      <c r="AN285" s="510">
        <f>SUM(AN282:AN284)</f>
        <v>2884</v>
      </c>
      <c r="AO285" s="193"/>
      <c r="AP285" s="193"/>
    </row>
    <row r="286" spans="1:42" s="180" customFormat="1" hidden="1">
      <c r="A286" s="313"/>
      <c r="E286" s="4"/>
      <c r="F286" s="4"/>
      <c r="G286" s="4"/>
      <c r="J286" s="4"/>
      <c r="K286" s="4"/>
      <c r="L286" s="4"/>
      <c r="O286" s="4"/>
      <c r="P286" s="4"/>
      <c r="Q286" s="4"/>
      <c r="T286" s="4"/>
      <c r="U286" s="4"/>
      <c r="V286" s="4"/>
      <c r="Y286" s="4"/>
      <c r="Z286" s="4"/>
      <c r="AA286" s="4"/>
      <c r="AB286" s="4"/>
      <c r="AC286" s="4"/>
      <c r="AH286" s="4"/>
      <c r="AI286" s="255"/>
      <c r="AK286" s="193"/>
      <c r="AL286" s="193"/>
      <c r="AM286" s="193"/>
      <c r="AN286" s="193"/>
      <c r="AO286" s="193"/>
      <c r="AP286" s="193"/>
    </row>
    <row r="287" spans="1:42" s="180" customFormat="1" hidden="1">
      <c r="A287" s="313"/>
      <c r="B287" s="229"/>
      <c r="C287" s="230"/>
      <c r="D287" s="230"/>
      <c r="E287" s="232"/>
      <c r="F287" s="232"/>
      <c r="G287" s="230"/>
      <c r="H287" s="232"/>
      <c r="I287" s="232"/>
      <c r="J287" s="232"/>
      <c r="K287" s="232"/>
      <c r="L287" s="230"/>
      <c r="M287" s="230"/>
      <c r="N287" s="230"/>
      <c r="O287" s="230"/>
      <c r="P287" s="232"/>
      <c r="Q287" s="230"/>
      <c r="R287" s="230"/>
      <c r="S287" s="230"/>
      <c r="T287" s="230"/>
      <c r="U287" s="232"/>
      <c r="V287" s="230"/>
      <c r="W287" s="230"/>
      <c r="X287" s="230"/>
      <c r="Y287" s="233"/>
      <c r="Z287" s="232"/>
      <c r="AA287" s="234"/>
      <c r="AB287" s="232"/>
      <c r="AC287" s="373"/>
      <c r="AD287" s="236"/>
      <c r="AE287" s="255"/>
      <c r="AF287" s="255"/>
      <c r="AG287" s="255"/>
      <c r="AH287" s="255"/>
      <c r="AI287" s="255"/>
      <c r="AJ287" s="255"/>
      <c r="AK287" s="255"/>
      <c r="AL287" s="255"/>
      <c r="AM287" s="255"/>
      <c r="AN287" s="255"/>
      <c r="AO287" s="255"/>
      <c r="AP287" s="255"/>
    </row>
    <row r="288" spans="1:42" s="180" customFormat="1" ht="11.45" hidden="1" customHeight="1">
      <c r="A288" s="313"/>
      <c r="E288" s="4"/>
      <c r="F288" s="4"/>
      <c r="G288" s="4"/>
      <c r="J288" s="4"/>
      <c r="K288" s="4"/>
      <c r="L288" s="4"/>
      <c r="O288" s="4"/>
      <c r="P288" s="4"/>
      <c r="Q288" s="4"/>
      <c r="T288" s="4"/>
      <c r="U288" s="4"/>
      <c r="V288" s="4"/>
      <c r="Y288" s="4"/>
      <c r="Z288" s="4"/>
      <c r="AA288" s="4"/>
      <c r="AB288" s="4"/>
      <c r="AC288" s="4"/>
      <c r="AH288" s="4"/>
      <c r="AI288" s="255"/>
      <c r="AK288" s="193"/>
      <c r="AL288" s="193"/>
      <c r="AM288" s="193"/>
      <c r="AN288" s="193"/>
      <c r="AO288" s="193"/>
      <c r="AP288" s="193"/>
    </row>
    <row r="289" spans="1:42" s="180" customFormat="1" hidden="1">
      <c r="A289" s="313"/>
      <c r="B289" s="1518" t="s">
        <v>18</v>
      </c>
      <c r="C289" s="1519">
        <v>45782</v>
      </c>
      <c r="D289" s="1519"/>
      <c r="E289" s="1519"/>
      <c r="F289" s="1519"/>
      <c r="G289" s="365"/>
      <c r="H289" s="1519">
        <v>45783</v>
      </c>
      <c r="I289" s="1519"/>
      <c r="J289" s="1519"/>
      <c r="K289" s="1519"/>
      <c r="L289" s="365"/>
      <c r="M289" s="1519">
        <v>45784</v>
      </c>
      <c r="N289" s="1519"/>
      <c r="O289" s="1519"/>
      <c r="P289" s="1519"/>
      <c r="Q289" s="365"/>
      <c r="R289" s="1519">
        <v>45785</v>
      </c>
      <c r="S289" s="1519"/>
      <c r="T289" s="1519"/>
      <c r="U289" s="1519"/>
      <c r="V289" s="365"/>
      <c r="W289" s="1519">
        <v>45786</v>
      </c>
      <c r="X289" s="1519"/>
      <c r="Y289" s="1519"/>
      <c r="Z289" s="1519"/>
      <c r="AA289" s="1517" t="s">
        <v>19</v>
      </c>
      <c r="AB289" s="1517" t="s">
        <v>20</v>
      </c>
      <c r="AC289" s="4"/>
      <c r="AD289" s="1519">
        <v>45787</v>
      </c>
      <c r="AE289" s="1519"/>
      <c r="AF289" s="1519"/>
      <c r="AG289" s="1517" t="s">
        <v>21</v>
      </c>
      <c r="AH289" s="4"/>
      <c r="AI289" s="368"/>
      <c r="AK289" s="194" t="s">
        <v>84</v>
      </c>
      <c r="AL289" s="366"/>
      <c r="AM289" s="366"/>
      <c r="AN289" s="366"/>
      <c r="AO289" s="366"/>
      <c r="AP289" s="366"/>
    </row>
    <row r="290" spans="1:42" s="180" customFormat="1" ht="11.45" hidden="1" customHeight="1">
      <c r="A290" s="313"/>
      <c r="B290" s="1518"/>
      <c r="C290" s="21" t="s">
        <v>23</v>
      </c>
      <c r="D290" s="21" t="s">
        <v>24</v>
      </c>
      <c r="E290" s="205" t="s">
        <v>25</v>
      </c>
      <c r="F290" s="18" t="s">
        <v>14</v>
      </c>
      <c r="G290" s="4"/>
      <c r="H290" s="21" t="s">
        <v>23</v>
      </c>
      <c r="I290" s="21" t="s">
        <v>24</v>
      </c>
      <c r="J290" s="18" t="s">
        <v>25</v>
      </c>
      <c r="K290" s="18" t="s">
        <v>14</v>
      </c>
      <c r="L290" s="4"/>
      <c r="M290" s="21" t="s">
        <v>23</v>
      </c>
      <c r="N290" s="21" t="s">
        <v>24</v>
      </c>
      <c r="O290" s="18" t="s">
        <v>25</v>
      </c>
      <c r="P290" s="18" t="s">
        <v>14</v>
      </c>
      <c r="Q290" s="4"/>
      <c r="R290" s="21" t="s">
        <v>23</v>
      </c>
      <c r="S290" s="21" t="s">
        <v>24</v>
      </c>
      <c r="T290" s="18" t="s">
        <v>25</v>
      </c>
      <c r="U290" s="18" t="s">
        <v>14</v>
      </c>
      <c r="V290" s="4"/>
      <c r="W290" s="21" t="s">
        <v>23</v>
      </c>
      <c r="X290" s="21" t="s">
        <v>24</v>
      </c>
      <c r="Y290" s="18" t="s">
        <v>25</v>
      </c>
      <c r="Z290" s="18" t="s">
        <v>14</v>
      </c>
      <c r="AA290" s="1517"/>
      <c r="AB290" s="1517"/>
      <c r="AC290" s="4"/>
      <c r="AD290" s="21" t="s">
        <v>23</v>
      </c>
      <c r="AE290" s="21" t="s">
        <v>24</v>
      </c>
      <c r="AF290" s="18" t="s">
        <v>25</v>
      </c>
      <c r="AG290" s="1517"/>
      <c r="AH290" s="4"/>
      <c r="AI290" s="368"/>
      <c r="AJ290" s="367"/>
      <c r="AK290" s="188" t="s">
        <v>26</v>
      </c>
      <c r="AL290" s="196">
        <f>AA293</f>
        <v>60</v>
      </c>
      <c r="AM290" s="511">
        <v>51.5</v>
      </c>
      <c r="AN290" s="510">
        <f>AL290*AM290</f>
        <v>3090</v>
      </c>
      <c r="AO290" s="193"/>
      <c r="AP290" s="193"/>
    </row>
    <row r="291" spans="1:42" s="180" customFormat="1" ht="13.5" hidden="1" customHeight="1">
      <c r="A291" s="313"/>
      <c r="B291" s="4" t="s">
        <v>60</v>
      </c>
      <c r="C291" s="441" t="s">
        <v>75</v>
      </c>
      <c r="D291" s="441" t="s">
        <v>246</v>
      </c>
      <c r="E291" s="319">
        <v>8</v>
      </c>
      <c r="F291" s="320"/>
      <c r="G291" s="4"/>
      <c r="H291" s="441" t="s">
        <v>75</v>
      </c>
      <c r="I291" s="441" t="s">
        <v>246</v>
      </c>
      <c r="J291" s="319">
        <v>8</v>
      </c>
      <c r="K291" s="320"/>
      <c r="L291" s="4"/>
      <c r="M291" s="441" t="s">
        <v>75</v>
      </c>
      <c r="N291" s="441" t="s">
        <v>246</v>
      </c>
      <c r="O291" s="319">
        <v>8</v>
      </c>
      <c r="P291" s="320"/>
      <c r="Q291" s="4"/>
      <c r="R291" s="441" t="s">
        <v>75</v>
      </c>
      <c r="S291" s="441" t="s">
        <v>246</v>
      </c>
      <c r="T291" s="319">
        <v>8</v>
      </c>
      <c r="U291" s="320"/>
      <c r="V291" s="4"/>
      <c r="W291" s="441" t="s">
        <v>75</v>
      </c>
      <c r="X291" s="441" t="s">
        <v>246</v>
      </c>
      <c r="Y291" s="319">
        <v>8</v>
      </c>
      <c r="Z291" s="320"/>
      <c r="AA291" s="328">
        <f>Y291+T291+O291+J291+E291</f>
        <v>40</v>
      </c>
      <c r="AB291" s="298">
        <f>Z291+U291+P291+K291+F291</f>
        <v>0</v>
      </c>
      <c r="AC291" s="4"/>
      <c r="AD291" s="587"/>
      <c r="AE291" s="531"/>
      <c r="AF291" s="319"/>
      <c r="AG291" s="328">
        <f>AF291</f>
        <v>0</v>
      </c>
      <c r="AH291" s="4"/>
      <c r="AI291" s="368"/>
      <c r="AJ291" s="367"/>
      <c r="AK291" s="188" t="s">
        <v>30</v>
      </c>
      <c r="AL291" s="196">
        <f>AB293</f>
        <v>0</v>
      </c>
      <c r="AM291" s="511">
        <f>AM290*1.5</f>
        <v>77.25</v>
      </c>
      <c r="AN291" s="510">
        <f>AL291*AM291</f>
        <v>0</v>
      </c>
      <c r="AO291" s="193"/>
      <c r="AP291" s="193"/>
    </row>
    <row r="292" spans="1:42" s="180" customFormat="1" hidden="1">
      <c r="A292" s="313"/>
      <c r="B292" s="4" t="s">
        <v>59</v>
      </c>
      <c r="C292" s="441" t="s">
        <v>222</v>
      </c>
      <c r="D292" s="441" t="s">
        <v>125</v>
      </c>
      <c r="E292" s="319">
        <v>4</v>
      </c>
      <c r="F292" s="320"/>
      <c r="G292" s="4"/>
      <c r="H292" s="441" t="s">
        <v>222</v>
      </c>
      <c r="I292" s="441" t="s">
        <v>125</v>
      </c>
      <c r="J292" s="319">
        <v>4</v>
      </c>
      <c r="K292" s="320"/>
      <c r="L292" s="4"/>
      <c r="M292" s="441" t="s">
        <v>222</v>
      </c>
      <c r="N292" s="441" t="s">
        <v>125</v>
      </c>
      <c r="O292" s="319">
        <v>4</v>
      </c>
      <c r="P292" s="320"/>
      <c r="Q292" s="4"/>
      <c r="R292" s="441" t="s">
        <v>222</v>
      </c>
      <c r="S292" s="441" t="s">
        <v>125</v>
      </c>
      <c r="T292" s="319">
        <v>4</v>
      </c>
      <c r="U292" s="320"/>
      <c r="V292" s="4"/>
      <c r="W292" s="441" t="s">
        <v>222</v>
      </c>
      <c r="X292" s="441" t="s">
        <v>125</v>
      </c>
      <c r="Y292" s="319">
        <v>4</v>
      </c>
      <c r="Z292" s="320"/>
      <c r="AA292" s="328">
        <f>Y292+T292+O292+J292+E292</f>
        <v>20</v>
      </c>
      <c r="AB292" s="298">
        <f>Z292+U292+P292+K292+F292</f>
        <v>0</v>
      </c>
      <c r="AC292" s="4"/>
      <c r="AF292" s="319"/>
      <c r="AG292" s="328">
        <f>AF292</f>
        <v>0</v>
      </c>
      <c r="AH292" s="175"/>
      <c r="AI292" s="402"/>
      <c r="AJ292" s="367"/>
      <c r="AK292" s="188" t="s">
        <v>32</v>
      </c>
      <c r="AL292" s="196">
        <f>AG293</f>
        <v>0</v>
      </c>
      <c r="AM292" s="511">
        <v>75.77</v>
      </c>
      <c r="AN292" s="510">
        <f>AL292*AM292</f>
        <v>0</v>
      </c>
      <c r="AO292" s="193"/>
      <c r="AP292" s="193"/>
    </row>
    <row r="293" spans="1:42" s="180" customFormat="1" hidden="1">
      <c r="A293" s="313"/>
      <c r="B293" s="64" t="s">
        <v>61</v>
      </c>
      <c r="C293" s="31"/>
      <c r="D293" s="31"/>
      <c r="E293" s="439">
        <f>SUM(E291:E292)</f>
        <v>12</v>
      </c>
      <c r="F293" s="320">
        <f>SUM(F291:F292)</f>
        <v>0</v>
      </c>
      <c r="G293" s="31"/>
      <c r="H293" s="31"/>
      <c r="I293" s="31"/>
      <c r="J293" s="439">
        <f>SUM(J291:J292)</f>
        <v>12</v>
      </c>
      <c r="K293" s="320">
        <f>SUM(K291:K292)</f>
        <v>0</v>
      </c>
      <c r="L293" s="31"/>
      <c r="M293" s="31"/>
      <c r="N293" s="31"/>
      <c r="O293" s="439">
        <f>SUM(O291:O292)</f>
        <v>12</v>
      </c>
      <c r="P293" s="320">
        <f>SUM(P291:P292)</f>
        <v>0</v>
      </c>
      <c r="Q293" s="31"/>
      <c r="R293" s="31"/>
      <c r="S293" s="31"/>
      <c r="T293" s="439">
        <f>SUM(T291:T292)</f>
        <v>12</v>
      </c>
      <c r="U293" s="320">
        <f>SUM(U291:U292)</f>
        <v>0</v>
      </c>
      <c r="V293" s="31"/>
      <c r="W293" s="31"/>
      <c r="X293" s="31"/>
      <c r="Y293" s="439">
        <f>SUM(Y291:Y292)</f>
        <v>12</v>
      </c>
      <c r="Z293" s="320">
        <f>SUM(Z291:Z292)</f>
        <v>0</v>
      </c>
      <c r="AA293" s="370">
        <f>SUM(AA291:AA292)</f>
        <v>60</v>
      </c>
      <c r="AB293" s="370">
        <f>SUM(AB291:AB292)</f>
        <v>0</v>
      </c>
      <c r="AC293" s="4"/>
      <c r="AD293" s="64"/>
      <c r="AE293" s="64"/>
      <c r="AF293" s="370">
        <f>SUM(AF291:AF292)</f>
        <v>0</v>
      </c>
      <c r="AG293" s="370">
        <f>SUM(AG291:AG292)</f>
        <v>0</v>
      </c>
      <c r="AH293" s="4"/>
      <c r="AI293" s="255"/>
      <c r="AJ293" s="367"/>
      <c r="AK293" s="193"/>
      <c r="AL293" s="193"/>
      <c r="AM293" s="193"/>
      <c r="AN293" s="510">
        <f>SUM(AN290:AN292)</f>
        <v>3090</v>
      </c>
      <c r="AO293" s="193"/>
      <c r="AP293" s="193"/>
    </row>
    <row r="294" spans="1:42" s="180" customFormat="1" hidden="1">
      <c r="A294" s="313"/>
      <c r="E294" s="4"/>
      <c r="F294" s="4"/>
      <c r="G294" s="4"/>
      <c r="J294" s="4"/>
      <c r="K294" s="4"/>
      <c r="L294" s="4"/>
      <c r="O294" s="4"/>
      <c r="P294" s="4"/>
      <c r="Q294" s="4"/>
      <c r="T294" s="4"/>
      <c r="U294" s="4"/>
      <c r="V294" s="4"/>
      <c r="Y294" s="4"/>
      <c r="Z294" s="4"/>
      <c r="AA294" s="4"/>
      <c r="AB294" s="4"/>
      <c r="AC294" s="4"/>
      <c r="AH294" s="4"/>
      <c r="AI294" s="255"/>
      <c r="AK294" s="193"/>
      <c r="AL294" s="193"/>
      <c r="AM294" s="193"/>
      <c r="AN294" s="193"/>
      <c r="AO294" s="193"/>
      <c r="AP294" s="193"/>
    </row>
    <row r="295" spans="1:42" s="180" customFormat="1" hidden="1">
      <c r="A295" s="313"/>
      <c r="B295" s="229"/>
      <c r="C295" s="230"/>
      <c r="D295" s="230"/>
      <c r="E295" s="232"/>
      <c r="F295" s="232"/>
      <c r="G295" s="230"/>
      <c r="H295" s="232"/>
      <c r="I295" s="232"/>
      <c r="J295" s="232"/>
      <c r="K295" s="232"/>
      <c r="L295" s="230"/>
      <c r="M295" s="230"/>
      <c r="N295" s="230"/>
      <c r="O295" s="230"/>
      <c r="P295" s="232"/>
      <c r="Q295" s="230"/>
      <c r="R295" s="230"/>
      <c r="S295" s="230"/>
      <c r="T295" s="230"/>
      <c r="U295" s="232"/>
      <c r="V295" s="230"/>
      <c r="W295" s="230"/>
      <c r="X295" s="230"/>
      <c r="Y295" s="233"/>
      <c r="Z295" s="232"/>
      <c r="AA295" s="234"/>
      <c r="AB295" s="232"/>
      <c r="AC295" s="373"/>
      <c r="AD295" s="236"/>
      <c r="AE295" s="255"/>
      <c r="AF295" s="255"/>
      <c r="AG295" s="255"/>
      <c r="AH295" s="255"/>
      <c r="AI295" s="255"/>
      <c r="AJ295" s="255"/>
      <c r="AK295" s="255"/>
      <c r="AL295" s="255"/>
      <c r="AM295" s="255"/>
      <c r="AN295" s="255"/>
      <c r="AO295" s="255"/>
      <c r="AP295" s="255"/>
    </row>
    <row r="296" spans="1:42" s="180" customFormat="1" ht="11.45" hidden="1" customHeight="1">
      <c r="A296" s="313"/>
      <c r="E296" s="4"/>
      <c r="F296" s="4"/>
      <c r="G296" s="4"/>
      <c r="J296" s="4"/>
      <c r="K296" s="4"/>
      <c r="L296" s="4"/>
      <c r="O296" s="4"/>
      <c r="P296" s="4"/>
      <c r="Q296" s="4"/>
      <c r="T296" s="4"/>
      <c r="U296" s="4"/>
      <c r="V296" s="4"/>
      <c r="Y296" s="4"/>
      <c r="Z296" s="4"/>
      <c r="AA296" s="4"/>
      <c r="AB296" s="4"/>
      <c r="AC296" s="4"/>
      <c r="AH296" s="4"/>
      <c r="AI296" s="255"/>
      <c r="AK296" s="193"/>
      <c r="AL296" s="193"/>
      <c r="AM296" s="193"/>
      <c r="AN296" s="193"/>
      <c r="AO296" s="193"/>
      <c r="AP296" s="193"/>
    </row>
    <row r="297" spans="1:42" s="180" customFormat="1" hidden="1">
      <c r="A297" s="313"/>
      <c r="B297" s="1518" t="s">
        <v>18</v>
      </c>
      <c r="C297" s="1519">
        <v>45789</v>
      </c>
      <c r="D297" s="1519"/>
      <c r="E297" s="1519"/>
      <c r="F297" s="1519"/>
      <c r="G297" s="365"/>
      <c r="H297" s="1519">
        <v>45790</v>
      </c>
      <c r="I297" s="1519"/>
      <c r="J297" s="1519"/>
      <c r="K297" s="1519"/>
      <c r="L297" s="365"/>
      <c r="M297" s="1519">
        <v>45791</v>
      </c>
      <c r="N297" s="1519"/>
      <c r="O297" s="1519"/>
      <c r="P297" s="1519"/>
      <c r="Q297" s="365"/>
      <c r="R297" s="1519">
        <v>45792</v>
      </c>
      <c r="S297" s="1519"/>
      <c r="T297" s="1519"/>
      <c r="U297" s="1519"/>
      <c r="V297" s="365"/>
      <c r="W297" s="1519">
        <v>45793</v>
      </c>
      <c r="X297" s="1519"/>
      <c r="Y297" s="1519"/>
      <c r="Z297" s="1519"/>
      <c r="AA297" s="1517" t="s">
        <v>19</v>
      </c>
      <c r="AB297" s="1517" t="s">
        <v>20</v>
      </c>
      <c r="AC297" s="4"/>
      <c r="AD297" s="1519">
        <v>45794</v>
      </c>
      <c r="AE297" s="1519"/>
      <c r="AF297" s="1519"/>
      <c r="AG297" s="1517" t="s">
        <v>21</v>
      </c>
      <c r="AH297" s="4"/>
      <c r="AI297" s="368"/>
      <c r="AK297" s="194" t="s">
        <v>84</v>
      </c>
      <c r="AL297" s="366"/>
      <c r="AM297" s="366"/>
      <c r="AN297" s="366"/>
      <c r="AO297" s="366"/>
      <c r="AP297" s="366"/>
    </row>
    <row r="298" spans="1:42" s="180" customFormat="1" hidden="1">
      <c r="A298" s="313"/>
      <c r="B298" s="1518"/>
      <c r="C298" s="21" t="s">
        <v>23</v>
      </c>
      <c r="D298" s="21" t="s">
        <v>24</v>
      </c>
      <c r="E298" s="205" t="s">
        <v>25</v>
      </c>
      <c r="F298" s="18" t="s">
        <v>14</v>
      </c>
      <c r="G298" s="4"/>
      <c r="H298" s="21" t="s">
        <v>23</v>
      </c>
      <c r="I298" s="21" t="s">
        <v>24</v>
      </c>
      <c r="J298" s="18" t="s">
        <v>25</v>
      </c>
      <c r="K298" s="18" t="s">
        <v>14</v>
      </c>
      <c r="L298" s="4"/>
      <c r="M298" s="21" t="s">
        <v>23</v>
      </c>
      <c r="N298" s="21" t="s">
        <v>24</v>
      </c>
      <c r="O298" s="18" t="s">
        <v>25</v>
      </c>
      <c r="P298" s="18" t="s">
        <v>14</v>
      </c>
      <c r="Q298" s="4"/>
      <c r="R298" s="21" t="s">
        <v>23</v>
      </c>
      <c r="S298" s="21" t="s">
        <v>24</v>
      </c>
      <c r="T298" s="18" t="s">
        <v>25</v>
      </c>
      <c r="U298" s="18" t="s">
        <v>14</v>
      </c>
      <c r="V298" s="4"/>
      <c r="W298" s="21" t="s">
        <v>23</v>
      </c>
      <c r="X298" s="21" t="s">
        <v>24</v>
      </c>
      <c r="Y298" s="18" t="s">
        <v>25</v>
      </c>
      <c r="Z298" s="18" t="s">
        <v>14</v>
      </c>
      <c r="AA298" s="1517"/>
      <c r="AB298" s="1517"/>
      <c r="AC298" s="4"/>
      <c r="AD298" s="21" t="s">
        <v>23</v>
      </c>
      <c r="AE298" s="21" t="s">
        <v>24</v>
      </c>
      <c r="AF298" s="18" t="s">
        <v>25</v>
      </c>
      <c r="AG298" s="1517"/>
      <c r="AH298" s="4"/>
      <c r="AI298" s="368"/>
      <c r="AJ298" s="367"/>
      <c r="AK298" s="188" t="s">
        <v>26</v>
      </c>
      <c r="AL298" s="196">
        <f>AA301</f>
        <v>60</v>
      </c>
      <c r="AM298" s="511">
        <v>51.5</v>
      </c>
      <c r="AN298" s="510">
        <f>AL298*AM298</f>
        <v>3090</v>
      </c>
      <c r="AO298" s="193"/>
      <c r="AP298" s="193"/>
    </row>
    <row r="299" spans="1:42" s="180" customFormat="1" hidden="1">
      <c r="A299" s="313"/>
      <c r="B299" s="4" t="s">
        <v>60</v>
      </c>
      <c r="C299" s="441" t="s">
        <v>75</v>
      </c>
      <c r="D299" s="441" t="s">
        <v>246</v>
      </c>
      <c r="E299" s="319">
        <v>8</v>
      </c>
      <c r="F299" s="320"/>
      <c r="G299" s="4"/>
      <c r="H299" s="441" t="s">
        <v>75</v>
      </c>
      <c r="I299" s="441" t="s">
        <v>246</v>
      </c>
      <c r="J299" s="319">
        <v>8</v>
      </c>
      <c r="K299" s="320"/>
      <c r="L299" s="4"/>
      <c r="M299" s="441" t="s">
        <v>75</v>
      </c>
      <c r="N299" s="441" t="s">
        <v>246</v>
      </c>
      <c r="O299" s="319">
        <v>8</v>
      </c>
      <c r="P299" s="320"/>
      <c r="Q299" s="4"/>
      <c r="R299" s="441" t="s">
        <v>75</v>
      </c>
      <c r="S299" s="441" t="s">
        <v>246</v>
      </c>
      <c r="T299" s="319">
        <v>8</v>
      </c>
      <c r="U299" s="320"/>
      <c r="V299" s="4"/>
      <c r="W299" s="441" t="s">
        <v>75</v>
      </c>
      <c r="X299" s="441" t="s">
        <v>246</v>
      </c>
      <c r="Y299" s="319">
        <v>8</v>
      </c>
      <c r="Z299" s="320"/>
      <c r="AA299" s="328">
        <f>Y299+T299+O299+J299+E299</f>
        <v>40</v>
      </c>
      <c r="AB299" s="298">
        <f>Z299+U299+P299+K299+F299</f>
        <v>0</v>
      </c>
      <c r="AC299" s="4"/>
      <c r="AD299" s="587"/>
      <c r="AE299" s="531"/>
      <c r="AF299" s="319"/>
      <c r="AG299" s="328">
        <f>AF299</f>
        <v>0</v>
      </c>
      <c r="AH299" s="4"/>
      <c r="AI299" s="368"/>
      <c r="AJ299" s="367"/>
      <c r="AK299" s="188" t="s">
        <v>30</v>
      </c>
      <c r="AL299" s="196">
        <f>AB301</f>
        <v>0</v>
      </c>
      <c r="AM299" s="511">
        <f>AM298*1.5</f>
        <v>77.25</v>
      </c>
      <c r="AN299" s="510">
        <f>AL299*AM299</f>
        <v>0</v>
      </c>
      <c r="AO299" s="193"/>
      <c r="AP299" s="193"/>
    </row>
    <row r="300" spans="1:42" s="180" customFormat="1" hidden="1">
      <c r="A300" s="313"/>
      <c r="B300" s="4" t="s">
        <v>59</v>
      </c>
      <c r="C300" s="441" t="s">
        <v>222</v>
      </c>
      <c r="D300" s="441" t="s">
        <v>125</v>
      </c>
      <c r="E300" s="319">
        <v>4</v>
      </c>
      <c r="F300" s="320"/>
      <c r="G300" s="4"/>
      <c r="H300" s="441" t="s">
        <v>222</v>
      </c>
      <c r="I300" s="441" t="s">
        <v>125</v>
      </c>
      <c r="J300" s="319">
        <v>4</v>
      </c>
      <c r="K300" s="320"/>
      <c r="L300" s="4"/>
      <c r="M300" s="441" t="s">
        <v>222</v>
      </c>
      <c r="N300" s="441" t="s">
        <v>125</v>
      </c>
      <c r="O300" s="319">
        <v>4</v>
      </c>
      <c r="P300" s="320"/>
      <c r="Q300" s="4"/>
      <c r="R300" s="441" t="s">
        <v>222</v>
      </c>
      <c r="S300" s="441" t="s">
        <v>125</v>
      </c>
      <c r="T300" s="319">
        <v>4</v>
      </c>
      <c r="U300" s="320"/>
      <c r="V300" s="4"/>
      <c r="W300" s="441" t="s">
        <v>222</v>
      </c>
      <c r="X300" s="441" t="s">
        <v>125</v>
      </c>
      <c r="Y300" s="319">
        <v>4</v>
      </c>
      <c r="Z300" s="320"/>
      <c r="AA300" s="328">
        <f>Y300+T300+O300+J300+E300</f>
        <v>20</v>
      </c>
      <c r="AB300" s="298">
        <f>Z300+U300+P300+K300+F300</f>
        <v>0</v>
      </c>
      <c r="AC300" s="4"/>
      <c r="AF300" s="319"/>
      <c r="AG300" s="328">
        <f>AF300</f>
        <v>0</v>
      </c>
      <c r="AH300" s="175"/>
      <c r="AI300" s="402"/>
      <c r="AJ300" s="367"/>
      <c r="AK300" s="188" t="s">
        <v>32</v>
      </c>
      <c r="AL300" s="196">
        <f>AG301</f>
        <v>0</v>
      </c>
      <c r="AM300" s="511">
        <v>75.77</v>
      </c>
      <c r="AN300" s="510">
        <f>AL300*AM300</f>
        <v>0</v>
      </c>
      <c r="AO300" s="193"/>
      <c r="AP300" s="193"/>
    </row>
    <row r="301" spans="1:42" s="180" customFormat="1" hidden="1">
      <c r="A301" s="313"/>
      <c r="B301" s="64" t="s">
        <v>61</v>
      </c>
      <c r="C301" s="31"/>
      <c r="D301" s="31"/>
      <c r="E301" s="439">
        <f>SUM(E299:E300)</f>
        <v>12</v>
      </c>
      <c r="F301" s="320">
        <f>SUM(F299:F300)</f>
        <v>0</v>
      </c>
      <c r="G301" s="31"/>
      <c r="H301" s="31"/>
      <c r="I301" s="31"/>
      <c r="J301" s="439">
        <f>SUM(J299:J300)</f>
        <v>12</v>
      </c>
      <c r="K301" s="320">
        <f>SUM(K299:K300)</f>
        <v>0</v>
      </c>
      <c r="L301" s="31"/>
      <c r="M301" s="31"/>
      <c r="N301" s="31"/>
      <c r="O301" s="439">
        <f>SUM(O299:O300)</f>
        <v>12</v>
      </c>
      <c r="P301" s="320">
        <f>SUM(P299:P300)</f>
        <v>0</v>
      </c>
      <c r="Q301" s="31"/>
      <c r="R301" s="31"/>
      <c r="S301" s="31"/>
      <c r="T301" s="439">
        <f>SUM(T299:T300)</f>
        <v>12</v>
      </c>
      <c r="U301" s="320">
        <f>SUM(U299:U300)</f>
        <v>0</v>
      </c>
      <c r="V301" s="31"/>
      <c r="W301" s="31"/>
      <c r="X301" s="31"/>
      <c r="Y301" s="439">
        <f>SUM(Y299:Y300)</f>
        <v>12</v>
      </c>
      <c r="Z301" s="320">
        <f>SUM(Z299:Z300)</f>
        <v>0</v>
      </c>
      <c r="AA301" s="370">
        <f>SUM(AA299:AA300)</f>
        <v>60</v>
      </c>
      <c r="AB301" s="370">
        <f>SUM(AB299:AB300)</f>
        <v>0</v>
      </c>
      <c r="AC301" s="4"/>
      <c r="AD301" s="64"/>
      <c r="AE301" s="64"/>
      <c r="AF301" s="370">
        <f>SUM(AF299:AF300)</f>
        <v>0</v>
      </c>
      <c r="AG301" s="370">
        <f>SUM(AG299:AG300)</f>
        <v>0</v>
      </c>
      <c r="AH301" s="4"/>
      <c r="AI301" s="255"/>
      <c r="AJ301" s="367"/>
      <c r="AK301" s="193"/>
      <c r="AL301" s="193"/>
      <c r="AM301" s="193"/>
      <c r="AN301" s="510">
        <f>SUM(AN298:AN300)</f>
        <v>3090</v>
      </c>
      <c r="AO301" s="193"/>
      <c r="AP301" s="193"/>
    </row>
    <row r="302" spans="1:42" s="180" customFormat="1" hidden="1">
      <c r="A302" s="313"/>
      <c r="E302" s="4"/>
      <c r="F302" s="4"/>
      <c r="G302" s="4"/>
      <c r="J302" s="4"/>
      <c r="K302" s="4"/>
      <c r="L302" s="4"/>
      <c r="O302" s="4"/>
      <c r="P302" s="4"/>
      <c r="Q302" s="4"/>
      <c r="T302" s="4"/>
      <c r="U302" s="4"/>
      <c r="V302" s="4"/>
      <c r="Y302" s="4"/>
      <c r="Z302" s="4"/>
      <c r="AA302" s="4"/>
      <c r="AB302" s="4"/>
      <c r="AC302" s="4"/>
      <c r="AH302" s="4"/>
      <c r="AI302" s="255"/>
      <c r="AK302" s="193"/>
      <c r="AL302" s="193"/>
      <c r="AM302" s="193"/>
      <c r="AN302" s="193"/>
      <c r="AO302" s="193"/>
      <c r="AP302" s="193"/>
    </row>
    <row r="303" spans="1:42" s="180" customFormat="1" hidden="1">
      <c r="A303" s="313"/>
      <c r="B303" s="229"/>
      <c r="C303" s="230"/>
      <c r="D303" s="230"/>
      <c r="E303" s="232"/>
      <c r="F303" s="232"/>
      <c r="G303" s="230"/>
      <c r="H303" s="232"/>
      <c r="I303" s="232"/>
      <c r="J303" s="232"/>
      <c r="K303" s="232"/>
      <c r="L303" s="230"/>
      <c r="M303" s="230"/>
      <c r="N303" s="230"/>
      <c r="O303" s="230"/>
      <c r="P303" s="232"/>
      <c r="Q303" s="230"/>
      <c r="R303" s="230"/>
      <c r="S303" s="230"/>
      <c r="T303" s="230"/>
      <c r="U303" s="232"/>
      <c r="V303" s="230"/>
      <c r="W303" s="230"/>
      <c r="X303" s="230"/>
      <c r="Y303" s="233"/>
      <c r="Z303" s="232"/>
      <c r="AA303" s="234"/>
      <c r="AB303" s="232"/>
      <c r="AC303" s="373"/>
      <c r="AD303" s="236"/>
      <c r="AE303" s="255"/>
      <c r="AF303" s="255"/>
      <c r="AG303" s="255"/>
      <c r="AH303" s="255"/>
      <c r="AI303" s="255"/>
      <c r="AJ303" s="255"/>
      <c r="AK303" s="255"/>
      <c r="AL303" s="255"/>
      <c r="AM303" s="255"/>
      <c r="AN303" s="255"/>
      <c r="AO303" s="255"/>
      <c r="AP303" s="255"/>
    </row>
    <row r="304" spans="1:42" s="180" customFormat="1" hidden="1">
      <c r="A304" s="313"/>
      <c r="E304" s="4"/>
      <c r="F304" s="4"/>
      <c r="G304" s="4"/>
      <c r="J304" s="4"/>
      <c r="K304" s="4"/>
      <c r="L304" s="4"/>
      <c r="O304" s="4"/>
      <c r="P304" s="4"/>
      <c r="Q304" s="4"/>
      <c r="T304" s="4"/>
      <c r="U304" s="4"/>
      <c r="V304" s="4"/>
      <c r="Y304" s="4"/>
      <c r="Z304" s="4"/>
      <c r="AA304" s="4"/>
      <c r="AB304" s="4"/>
      <c r="AC304" s="4"/>
      <c r="AH304" s="4"/>
      <c r="AI304" s="255"/>
      <c r="AK304" s="193"/>
      <c r="AL304" s="193"/>
      <c r="AM304" s="193"/>
      <c r="AN304" s="193"/>
      <c r="AO304" s="193"/>
      <c r="AP304" s="193"/>
    </row>
    <row r="305" spans="1:42" s="180" customFormat="1" hidden="1">
      <c r="A305" s="313"/>
      <c r="B305" s="1518" t="s">
        <v>18</v>
      </c>
      <c r="C305" s="1519">
        <v>45796</v>
      </c>
      <c r="D305" s="1519"/>
      <c r="E305" s="1519"/>
      <c r="F305" s="1519"/>
      <c r="G305" s="365"/>
      <c r="H305" s="1519">
        <v>45797</v>
      </c>
      <c r="I305" s="1519"/>
      <c r="J305" s="1519"/>
      <c r="K305" s="1519"/>
      <c r="L305" s="365"/>
      <c r="M305" s="1519">
        <v>45798</v>
      </c>
      <c r="N305" s="1519"/>
      <c r="O305" s="1519"/>
      <c r="P305" s="1519"/>
      <c r="Q305" s="365"/>
      <c r="R305" s="1519">
        <v>45799</v>
      </c>
      <c r="S305" s="1519"/>
      <c r="T305" s="1519"/>
      <c r="U305" s="1519"/>
      <c r="V305" s="365"/>
      <c r="W305" s="1519">
        <v>45800</v>
      </c>
      <c r="X305" s="1519"/>
      <c r="Y305" s="1519"/>
      <c r="Z305" s="1519"/>
      <c r="AA305" s="1517" t="s">
        <v>19</v>
      </c>
      <c r="AB305" s="1517" t="s">
        <v>20</v>
      </c>
      <c r="AC305" s="4"/>
      <c r="AD305" s="1519">
        <v>45801</v>
      </c>
      <c r="AE305" s="1519"/>
      <c r="AF305" s="1519"/>
      <c r="AG305" s="1517" t="s">
        <v>21</v>
      </c>
      <c r="AH305" s="4"/>
      <c r="AI305" s="368"/>
      <c r="AK305" s="194" t="s">
        <v>84</v>
      </c>
      <c r="AL305" s="366"/>
      <c r="AM305" s="366"/>
      <c r="AN305" s="366"/>
      <c r="AO305" s="366"/>
      <c r="AP305" s="366"/>
    </row>
    <row r="306" spans="1:42" s="180" customFormat="1" hidden="1">
      <c r="A306" s="313"/>
      <c r="B306" s="1518"/>
      <c r="C306" s="21" t="s">
        <v>23</v>
      </c>
      <c r="D306" s="21" t="s">
        <v>24</v>
      </c>
      <c r="E306" s="205" t="s">
        <v>25</v>
      </c>
      <c r="F306" s="18" t="s">
        <v>14</v>
      </c>
      <c r="G306" s="4"/>
      <c r="H306" s="21" t="s">
        <v>23</v>
      </c>
      <c r="I306" s="21" t="s">
        <v>24</v>
      </c>
      <c r="J306" s="18" t="s">
        <v>25</v>
      </c>
      <c r="K306" s="18" t="s">
        <v>14</v>
      </c>
      <c r="L306" s="4"/>
      <c r="M306" s="21" t="s">
        <v>23</v>
      </c>
      <c r="N306" s="21" t="s">
        <v>24</v>
      </c>
      <c r="O306" s="18" t="s">
        <v>25</v>
      </c>
      <c r="P306" s="18" t="s">
        <v>14</v>
      </c>
      <c r="Q306" s="4"/>
      <c r="R306" s="21" t="s">
        <v>23</v>
      </c>
      <c r="S306" s="21" t="s">
        <v>24</v>
      </c>
      <c r="T306" s="18" t="s">
        <v>25</v>
      </c>
      <c r="U306" s="18" t="s">
        <v>14</v>
      </c>
      <c r="V306" s="4"/>
      <c r="W306" s="21" t="s">
        <v>23</v>
      </c>
      <c r="X306" s="21" t="s">
        <v>24</v>
      </c>
      <c r="Y306" s="18" t="s">
        <v>25</v>
      </c>
      <c r="Z306" s="18" t="s">
        <v>14</v>
      </c>
      <c r="AA306" s="1517"/>
      <c r="AB306" s="1517"/>
      <c r="AC306" s="4"/>
      <c r="AD306" s="21" t="s">
        <v>23</v>
      </c>
      <c r="AE306" s="21" t="s">
        <v>24</v>
      </c>
      <c r="AF306" s="18" t="s">
        <v>25</v>
      </c>
      <c r="AG306" s="1517"/>
      <c r="AH306" s="4"/>
      <c r="AI306" s="368"/>
      <c r="AJ306" s="367"/>
      <c r="AK306" s="188" t="s">
        <v>26</v>
      </c>
      <c r="AL306" s="196">
        <f>AA309</f>
        <v>60</v>
      </c>
      <c r="AM306" s="511">
        <v>51.5</v>
      </c>
      <c r="AN306" s="510">
        <f>AL306*AM306</f>
        <v>3090</v>
      </c>
      <c r="AO306" s="193"/>
      <c r="AP306" s="193"/>
    </row>
    <row r="307" spans="1:42" s="180" customFormat="1" ht="67.5" hidden="1">
      <c r="A307" s="313"/>
      <c r="B307" s="4" t="s">
        <v>60</v>
      </c>
      <c r="C307" s="441" t="s">
        <v>75</v>
      </c>
      <c r="D307" s="441" t="s">
        <v>246</v>
      </c>
      <c r="E307" s="319">
        <v>8</v>
      </c>
      <c r="F307" s="320"/>
      <c r="G307" s="4"/>
      <c r="H307" s="441" t="s">
        <v>75</v>
      </c>
      <c r="I307" s="441" t="s">
        <v>246</v>
      </c>
      <c r="J307" s="319">
        <v>8</v>
      </c>
      <c r="K307" s="320"/>
      <c r="L307" s="4"/>
      <c r="M307" s="441" t="s">
        <v>75</v>
      </c>
      <c r="N307" s="441" t="s">
        <v>246</v>
      </c>
      <c r="O307" s="319">
        <v>8</v>
      </c>
      <c r="P307" s="320"/>
      <c r="Q307" s="4"/>
      <c r="R307" s="441" t="s">
        <v>75</v>
      </c>
      <c r="S307" s="441" t="s">
        <v>246</v>
      </c>
      <c r="T307" s="319">
        <v>8</v>
      </c>
      <c r="U307" s="320"/>
      <c r="V307" s="4"/>
      <c r="W307" s="731" t="s">
        <v>952</v>
      </c>
      <c r="X307" s="441" t="s">
        <v>246</v>
      </c>
      <c r="Y307" s="319">
        <v>8</v>
      </c>
      <c r="Z307" s="320"/>
      <c r="AA307" s="328">
        <f>Y307+T307+O307+J307+E307</f>
        <v>40</v>
      </c>
      <c r="AB307" s="298">
        <f>Z307+U307+P307+K307+F307</f>
        <v>0</v>
      </c>
      <c r="AC307" s="4"/>
      <c r="AD307" s="587"/>
      <c r="AE307" s="531"/>
      <c r="AF307" s="319"/>
      <c r="AG307" s="328">
        <f>AF307</f>
        <v>0</v>
      </c>
      <c r="AH307" s="4"/>
      <c r="AI307" s="368"/>
      <c r="AJ307" s="367"/>
      <c r="AK307" s="188" t="s">
        <v>30</v>
      </c>
      <c r="AL307" s="196">
        <f>AB309</f>
        <v>0</v>
      </c>
      <c r="AM307" s="511">
        <f>AM306*1.5</f>
        <v>77.25</v>
      </c>
      <c r="AN307" s="510">
        <f>AL307*AM307</f>
        <v>0</v>
      </c>
      <c r="AO307" s="193"/>
      <c r="AP307" s="193"/>
    </row>
    <row r="308" spans="1:42" s="180" customFormat="1" hidden="1">
      <c r="A308" s="313"/>
      <c r="B308" s="4" t="s">
        <v>59</v>
      </c>
      <c r="C308" s="441" t="s">
        <v>222</v>
      </c>
      <c r="D308" s="441" t="s">
        <v>125</v>
      </c>
      <c r="E308" s="319">
        <v>4</v>
      </c>
      <c r="F308" s="320"/>
      <c r="G308" s="4"/>
      <c r="H308" s="441" t="s">
        <v>222</v>
      </c>
      <c r="I308" s="441" t="s">
        <v>125</v>
      </c>
      <c r="J308" s="319">
        <v>4</v>
      </c>
      <c r="K308" s="320"/>
      <c r="L308" s="4"/>
      <c r="M308" s="441" t="s">
        <v>222</v>
      </c>
      <c r="N308" s="441" t="s">
        <v>125</v>
      </c>
      <c r="O308" s="319">
        <v>4</v>
      </c>
      <c r="P308" s="320"/>
      <c r="Q308" s="4"/>
      <c r="R308" s="441" t="s">
        <v>222</v>
      </c>
      <c r="S308" s="441" t="s">
        <v>125</v>
      </c>
      <c r="T308" s="319">
        <v>4</v>
      </c>
      <c r="U308" s="320"/>
      <c r="V308" s="4"/>
      <c r="W308" s="441" t="s">
        <v>222</v>
      </c>
      <c r="X308" s="441" t="s">
        <v>125</v>
      </c>
      <c r="Y308" s="319">
        <v>4</v>
      </c>
      <c r="Z308" s="320"/>
      <c r="AA308" s="328">
        <f>Y308+T308+O308+J308+E308</f>
        <v>20</v>
      </c>
      <c r="AB308" s="298">
        <f>Z308+U308+P308+K308+F308</f>
        <v>0</v>
      </c>
      <c r="AC308" s="4"/>
      <c r="AF308" s="319"/>
      <c r="AG308" s="328">
        <f>AF308</f>
        <v>0</v>
      </c>
      <c r="AH308" s="175"/>
      <c r="AI308" s="402"/>
      <c r="AJ308" s="367"/>
      <c r="AK308" s="188" t="s">
        <v>32</v>
      </c>
      <c r="AL308" s="196">
        <f>AG309</f>
        <v>0</v>
      </c>
      <c r="AM308" s="511">
        <v>75.77</v>
      </c>
      <c r="AN308" s="510">
        <f>AL308*AM308</f>
        <v>0</v>
      </c>
      <c r="AO308" s="193"/>
      <c r="AP308" s="193"/>
    </row>
    <row r="309" spans="1:42" s="180" customFormat="1" hidden="1">
      <c r="A309" s="313"/>
      <c r="B309" s="64" t="s">
        <v>61</v>
      </c>
      <c r="C309" s="31"/>
      <c r="D309" s="31"/>
      <c r="E309" s="439">
        <f>SUM(E307:E308)</f>
        <v>12</v>
      </c>
      <c r="F309" s="320">
        <f>SUM(F307:F308)</f>
        <v>0</v>
      </c>
      <c r="G309" s="31"/>
      <c r="H309" s="31"/>
      <c r="I309" s="31"/>
      <c r="J309" s="439">
        <f>SUM(J307:J308)</f>
        <v>12</v>
      </c>
      <c r="K309" s="320">
        <f>SUM(K307:K308)</f>
        <v>0</v>
      </c>
      <c r="L309" s="31"/>
      <c r="M309" s="31"/>
      <c r="N309" s="31"/>
      <c r="O309" s="439">
        <f>SUM(O307:O308)</f>
        <v>12</v>
      </c>
      <c r="P309" s="320">
        <f>SUM(P307:P308)</f>
        <v>0</v>
      </c>
      <c r="Q309" s="31"/>
      <c r="R309" s="31"/>
      <c r="S309" s="31"/>
      <c r="T309" s="439">
        <f>SUM(T307:T308)</f>
        <v>12</v>
      </c>
      <c r="U309" s="320">
        <f>SUM(U307:U308)</f>
        <v>0</v>
      </c>
      <c r="V309" s="31"/>
      <c r="W309" s="31"/>
      <c r="X309" s="31"/>
      <c r="Y309" s="439">
        <f>SUM(Y307:Y308)</f>
        <v>12</v>
      </c>
      <c r="Z309" s="320">
        <f>SUM(Z307:Z308)</f>
        <v>0</v>
      </c>
      <c r="AA309" s="370">
        <f>SUM(AA307:AA308)</f>
        <v>60</v>
      </c>
      <c r="AB309" s="370">
        <f>SUM(AB307:AB308)</f>
        <v>0</v>
      </c>
      <c r="AC309" s="4"/>
      <c r="AD309" s="64"/>
      <c r="AE309" s="64"/>
      <c r="AF309" s="370">
        <f>SUM(AF307:AF308)</f>
        <v>0</v>
      </c>
      <c r="AG309" s="370">
        <f>SUM(AG307:AG308)</f>
        <v>0</v>
      </c>
      <c r="AH309" s="4"/>
      <c r="AI309" s="255"/>
      <c r="AJ309" s="367"/>
      <c r="AK309" s="193"/>
      <c r="AL309" s="193"/>
      <c r="AM309" s="193"/>
      <c r="AN309" s="510">
        <f>SUM(AN306:AN308)</f>
        <v>3090</v>
      </c>
      <c r="AO309" s="193"/>
      <c r="AP309" s="193"/>
    </row>
    <row r="310" spans="1:42" s="180" customFormat="1" hidden="1">
      <c r="A310" s="313"/>
      <c r="E310" s="4"/>
      <c r="F310" s="4"/>
      <c r="G310" s="4"/>
      <c r="J310" s="4"/>
      <c r="K310" s="4"/>
      <c r="L310" s="4"/>
      <c r="O310" s="4"/>
      <c r="P310" s="4"/>
      <c r="Q310" s="4"/>
      <c r="T310" s="4"/>
      <c r="U310" s="4"/>
      <c r="V310" s="4"/>
      <c r="Y310" s="4"/>
      <c r="Z310" s="4"/>
      <c r="AA310" s="4"/>
      <c r="AB310" s="4"/>
      <c r="AC310" s="4"/>
      <c r="AH310" s="4"/>
      <c r="AI310" s="255"/>
      <c r="AK310" s="193"/>
      <c r="AL310" s="193"/>
      <c r="AM310" s="193"/>
      <c r="AN310" s="193"/>
      <c r="AO310" s="193"/>
      <c r="AP310" s="193"/>
    </row>
    <row r="311" spans="1:42" s="180" customFormat="1" hidden="1">
      <c r="A311" s="313"/>
      <c r="B311" s="229"/>
      <c r="C311" s="230"/>
      <c r="D311" s="230"/>
      <c r="E311" s="232"/>
      <c r="F311" s="232"/>
      <c r="G311" s="230"/>
      <c r="H311" s="232"/>
      <c r="I311" s="232"/>
      <c r="J311" s="232"/>
      <c r="K311" s="232"/>
      <c r="L311" s="230"/>
      <c r="M311" s="230"/>
      <c r="N311" s="230"/>
      <c r="O311" s="230"/>
      <c r="P311" s="232"/>
      <c r="Q311" s="230"/>
      <c r="R311" s="230"/>
      <c r="S311" s="230"/>
      <c r="T311" s="230"/>
      <c r="U311" s="232"/>
      <c r="V311" s="230"/>
      <c r="W311" s="230"/>
      <c r="X311" s="230"/>
      <c r="Y311" s="233"/>
      <c r="Z311" s="232"/>
      <c r="AA311" s="234"/>
      <c r="AB311" s="232"/>
      <c r="AC311" s="373"/>
      <c r="AD311" s="236"/>
      <c r="AE311" s="255"/>
      <c r="AF311" s="255"/>
      <c r="AG311" s="255"/>
      <c r="AH311" s="255"/>
      <c r="AI311" s="255"/>
      <c r="AJ311" s="255"/>
      <c r="AK311" s="255"/>
      <c r="AL311" s="255"/>
      <c r="AM311" s="255"/>
      <c r="AN311" s="255"/>
      <c r="AO311" s="255"/>
      <c r="AP311" s="255"/>
    </row>
    <row r="312" spans="1:42" s="180" customFormat="1" hidden="1">
      <c r="A312" s="313"/>
      <c r="E312" s="4"/>
      <c r="F312" s="4"/>
      <c r="G312" s="4"/>
      <c r="J312" s="4"/>
      <c r="K312" s="4"/>
      <c r="L312" s="4"/>
      <c r="O312" s="4"/>
      <c r="P312" s="4"/>
      <c r="Q312" s="4"/>
      <c r="T312" s="4"/>
      <c r="U312" s="4"/>
      <c r="V312" s="4"/>
      <c r="Y312" s="4"/>
      <c r="Z312" s="4"/>
      <c r="AA312" s="4"/>
      <c r="AB312" s="4"/>
      <c r="AC312" s="4"/>
      <c r="AH312" s="4"/>
      <c r="AI312" s="255"/>
      <c r="AK312" s="193"/>
      <c r="AL312" s="193"/>
      <c r="AM312" s="193"/>
      <c r="AN312" s="193"/>
      <c r="AO312" s="193"/>
      <c r="AP312" s="193"/>
    </row>
    <row r="313" spans="1:42" s="180" customFormat="1" hidden="1">
      <c r="A313" s="313"/>
      <c r="B313" s="1518" t="s">
        <v>18</v>
      </c>
      <c r="C313" s="1519">
        <v>45803</v>
      </c>
      <c r="D313" s="1519"/>
      <c r="E313" s="1519"/>
      <c r="F313" s="1519"/>
      <c r="G313" s="365"/>
      <c r="H313" s="1519">
        <v>45804</v>
      </c>
      <c r="I313" s="1519"/>
      <c r="J313" s="1519"/>
      <c r="K313" s="1519"/>
      <c r="L313" s="365"/>
      <c r="M313" s="1519">
        <v>45805</v>
      </c>
      <c r="N313" s="1519"/>
      <c r="O313" s="1519"/>
      <c r="P313" s="1519"/>
      <c r="Q313" s="365"/>
      <c r="R313" s="1519">
        <v>45806</v>
      </c>
      <c r="S313" s="1519"/>
      <c r="T313" s="1519"/>
      <c r="U313" s="1519"/>
      <c r="V313" s="365"/>
      <c r="W313" s="1519">
        <v>45807</v>
      </c>
      <c r="X313" s="1519"/>
      <c r="Y313" s="1519"/>
      <c r="Z313" s="1519"/>
      <c r="AA313" s="1517" t="s">
        <v>19</v>
      </c>
      <c r="AB313" s="1517" t="s">
        <v>20</v>
      </c>
      <c r="AC313" s="4"/>
      <c r="AD313" s="1519">
        <v>45808</v>
      </c>
      <c r="AE313" s="1519"/>
      <c r="AF313" s="1519"/>
      <c r="AG313" s="1517" t="s">
        <v>21</v>
      </c>
      <c r="AH313" s="4"/>
      <c r="AI313" s="368"/>
      <c r="AK313" s="194" t="s">
        <v>84</v>
      </c>
      <c r="AL313" s="366"/>
      <c r="AM313" s="366"/>
      <c r="AN313" s="366"/>
      <c r="AO313" s="366"/>
      <c r="AP313" s="366"/>
    </row>
    <row r="314" spans="1:42" s="180" customFormat="1" hidden="1">
      <c r="A314" s="313"/>
      <c r="B314" s="1518"/>
      <c r="C314" s="21" t="s">
        <v>23</v>
      </c>
      <c r="D314" s="21" t="s">
        <v>24</v>
      </c>
      <c r="E314" s="205" t="s">
        <v>25</v>
      </c>
      <c r="F314" s="18" t="s">
        <v>14</v>
      </c>
      <c r="G314" s="4"/>
      <c r="H314" s="21" t="s">
        <v>23</v>
      </c>
      <c r="I314" s="21" t="s">
        <v>24</v>
      </c>
      <c r="J314" s="18" t="s">
        <v>25</v>
      </c>
      <c r="K314" s="18" t="s">
        <v>14</v>
      </c>
      <c r="L314" s="4"/>
      <c r="M314" s="21" t="s">
        <v>23</v>
      </c>
      <c r="N314" s="21" t="s">
        <v>24</v>
      </c>
      <c r="O314" s="18" t="s">
        <v>25</v>
      </c>
      <c r="P314" s="18" t="s">
        <v>14</v>
      </c>
      <c r="Q314" s="4"/>
      <c r="R314" s="21" t="s">
        <v>23</v>
      </c>
      <c r="S314" s="21" t="s">
        <v>24</v>
      </c>
      <c r="T314" s="18" t="s">
        <v>25</v>
      </c>
      <c r="U314" s="18" t="s">
        <v>14</v>
      </c>
      <c r="V314" s="4"/>
      <c r="W314" s="21" t="s">
        <v>23</v>
      </c>
      <c r="X314" s="21" t="s">
        <v>24</v>
      </c>
      <c r="Y314" s="18" t="s">
        <v>25</v>
      </c>
      <c r="Z314" s="18" t="s">
        <v>14</v>
      </c>
      <c r="AA314" s="1517"/>
      <c r="AB314" s="1517"/>
      <c r="AC314" s="4"/>
      <c r="AD314" s="21" t="s">
        <v>23</v>
      </c>
      <c r="AE314" s="21" t="s">
        <v>24</v>
      </c>
      <c r="AF314" s="18" t="s">
        <v>25</v>
      </c>
      <c r="AG314" s="1517"/>
      <c r="AH314" s="4"/>
      <c r="AI314" s="368"/>
      <c r="AJ314" s="367"/>
      <c r="AK314" s="188" t="s">
        <v>26</v>
      </c>
      <c r="AL314" s="196">
        <f>AA317</f>
        <v>48</v>
      </c>
      <c r="AM314" s="511">
        <v>51.5</v>
      </c>
      <c r="AN314" s="510">
        <f>AL314*AM314</f>
        <v>2472</v>
      </c>
      <c r="AO314" s="193"/>
      <c r="AP314" s="193"/>
    </row>
    <row r="315" spans="1:42" s="180" customFormat="1" hidden="1">
      <c r="A315" s="313"/>
      <c r="B315" s="4" t="s">
        <v>60</v>
      </c>
      <c r="C315" s="441" t="s">
        <v>28</v>
      </c>
      <c r="D315" s="441"/>
      <c r="E315" s="319">
        <v>0</v>
      </c>
      <c r="F315" s="320"/>
      <c r="G315" s="4"/>
      <c r="H315" s="441" t="s">
        <v>75</v>
      </c>
      <c r="I315" s="441" t="s">
        <v>246</v>
      </c>
      <c r="J315" s="319">
        <v>8</v>
      </c>
      <c r="K315" s="320"/>
      <c r="L315" s="4"/>
      <c r="M315" s="441" t="s">
        <v>75</v>
      </c>
      <c r="N315" s="441" t="s">
        <v>246</v>
      </c>
      <c r="O315" s="319">
        <v>8</v>
      </c>
      <c r="P315" s="320"/>
      <c r="Q315" s="4"/>
      <c r="R315" s="441" t="s">
        <v>75</v>
      </c>
      <c r="S315" s="441" t="s">
        <v>246</v>
      </c>
      <c r="T315" s="319">
        <v>8</v>
      </c>
      <c r="U315" s="320"/>
      <c r="V315" s="4"/>
      <c r="W315" s="441" t="s">
        <v>75</v>
      </c>
      <c r="X315" s="441" t="s">
        <v>246</v>
      </c>
      <c r="Y315" s="319">
        <v>8</v>
      </c>
      <c r="Z315" s="320"/>
      <c r="AA315" s="328">
        <f>Y315+T315+O315+J315+E315</f>
        <v>32</v>
      </c>
      <c r="AB315" s="298">
        <f>Z315+U315+P315+K315+F315</f>
        <v>0</v>
      </c>
      <c r="AC315" s="4"/>
      <c r="AD315" s="587"/>
      <c r="AE315" s="531"/>
      <c r="AF315" s="319"/>
      <c r="AG315" s="328">
        <f>AF315</f>
        <v>0</v>
      </c>
      <c r="AH315" s="4"/>
      <c r="AI315" s="368"/>
      <c r="AJ315" s="367"/>
      <c r="AK315" s="188" t="s">
        <v>30</v>
      </c>
      <c r="AL315" s="196">
        <f>AB317</f>
        <v>0</v>
      </c>
      <c r="AM315" s="511">
        <f>AM314*1.5</f>
        <v>77.25</v>
      </c>
      <c r="AN315" s="510">
        <f>AL315*AM315</f>
        <v>0</v>
      </c>
      <c r="AO315" s="193"/>
      <c r="AP315" s="193"/>
    </row>
    <row r="316" spans="1:42" s="180" customFormat="1" hidden="1">
      <c r="A316" s="313"/>
      <c r="B316" s="4" t="s">
        <v>59</v>
      </c>
      <c r="C316" s="441" t="s">
        <v>28</v>
      </c>
      <c r="D316" s="441"/>
      <c r="E316" s="319">
        <v>0</v>
      </c>
      <c r="F316" s="320"/>
      <c r="G316" s="4"/>
      <c r="H316" s="441" t="s">
        <v>222</v>
      </c>
      <c r="I316" s="441" t="s">
        <v>125</v>
      </c>
      <c r="J316" s="319">
        <v>4</v>
      </c>
      <c r="K316" s="320"/>
      <c r="L316" s="4"/>
      <c r="M316" s="441" t="s">
        <v>222</v>
      </c>
      <c r="N316" s="441" t="s">
        <v>125</v>
      </c>
      <c r="O316" s="319">
        <v>4</v>
      </c>
      <c r="P316" s="320"/>
      <c r="Q316" s="4"/>
      <c r="R316" s="441" t="s">
        <v>222</v>
      </c>
      <c r="S316" s="441" t="s">
        <v>125</v>
      </c>
      <c r="T316" s="319">
        <v>4</v>
      </c>
      <c r="U316" s="320"/>
      <c r="V316" s="4"/>
      <c r="W316" s="441" t="s">
        <v>222</v>
      </c>
      <c r="X316" s="441" t="s">
        <v>125</v>
      </c>
      <c r="Y316" s="319">
        <v>4</v>
      </c>
      <c r="Z316" s="320"/>
      <c r="AA316" s="328">
        <f>Y316+T316+O316+J316+E316</f>
        <v>16</v>
      </c>
      <c r="AB316" s="298">
        <f>Z316+U316+P316+K316+F316</f>
        <v>0</v>
      </c>
      <c r="AC316" s="4"/>
      <c r="AF316" s="319"/>
      <c r="AG316" s="328">
        <f>AF316</f>
        <v>0</v>
      </c>
      <c r="AH316" s="175"/>
      <c r="AI316" s="402"/>
      <c r="AJ316" s="367"/>
      <c r="AK316" s="188" t="s">
        <v>32</v>
      </c>
      <c r="AL316" s="196">
        <f>AG317</f>
        <v>0</v>
      </c>
      <c r="AM316" s="511">
        <v>75.77</v>
      </c>
      <c r="AN316" s="510">
        <f>AL316*AM316</f>
        <v>0</v>
      </c>
      <c r="AO316" s="193"/>
      <c r="AP316" s="193"/>
    </row>
    <row r="317" spans="1:42" s="180" customFormat="1" hidden="1">
      <c r="A317" s="313"/>
      <c r="B317" s="64" t="s">
        <v>61</v>
      </c>
      <c r="C317" s="31"/>
      <c r="D317" s="31"/>
      <c r="E317" s="439">
        <f>SUM(E315:E316)</f>
        <v>0</v>
      </c>
      <c r="F317" s="320">
        <f>SUM(F315:F316)</f>
        <v>0</v>
      </c>
      <c r="G317" s="31"/>
      <c r="H317" s="31"/>
      <c r="I317" s="31"/>
      <c r="J317" s="439">
        <f>SUM(J315:J316)</f>
        <v>12</v>
      </c>
      <c r="K317" s="320">
        <f>SUM(K315:K316)</f>
        <v>0</v>
      </c>
      <c r="L317" s="31"/>
      <c r="M317" s="31"/>
      <c r="N317" s="31"/>
      <c r="O317" s="439">
        <f>SUM(O315:O316)</f>
        <v>12</v>
      </c>
      <c r="P317" s="320">
        <f>SUM(P315:P316)</f>
        <v>0</v>
      </c>
      <c r="Q317" s="31"/>
      <c r="R317" s="31"/>
      <c r="S317" s="31"/>
      <c r="T317" s="439">
        <f>SUM(T315:T316)</f>
        <v>12</v>
      </c>
      <c r="U317" s="320">
        <f>SUM(U315:U316)</f>
        <v>0</v>
      </c>
      <c r="V317" s="31"/>
      <c r="W317" s="31"/>
      <c r="X317" s="31"/>
      <c r="Y317" s="439">
        <f>SUM(Y315:Y316)</f>
        <v>12</v>
      </c>
      <c r="Z317" s="320">
        <f>SUM(Z315:Z316)</f>
        <v>0</v>
      </c>
      <c r="AA317" s="370">
        <f>SUM(AA315:AA316)</f>
        <v>48</v>
      </c>
      <c r="AB317" s="370">
        <f>SUM(AB315:AB316)</f>
        <v>0</v>
      </c>
      <c r="AC317" s="4"/>
      <c r="AD317" s="64"/>
      <c r="AE317" s="64"/>
      <c r="AF317" s="370">
        <f>SUM(AF315:AF316)</f>
        <v>0</v>
      </c>
      <c r="AG317" s="370">
        <f>SUM(AG315:AG316)</f>
        <v>0</v>
      </c>
      <c r="AH317" s="4"/>
      <c r="AI317" s="255"/>
      <c r="AJ317" s="367"/>
      <c r="AK317" s="193"/>
      <c r="AL317" s="193"/>
      <c r="AM317" s="193"/>
      <c r="AN317" s="510">
        <f>SUM(AN314:AN316)</f>
        <v>2472</v>
      </c>
      <c r="AO317" s="193"/>
      <c r="AP317" s="193"/>
    </row>
    <row r="318" spans="1:42" s="180" customFormat="1" hidden="1">
      <c r="A318" s="313"/>
      <c r="E318" s="4"/>
      <c r="F318" s="4"/>
      <c r="G318" s="4"/>
      <c r="J318" s="4"/>
      <c r="K318" s="4"/>
      <c r="L318" s="4"/>
      <c r="O318" s="4"/>
      <c r="P318" s="4"/>
      <c r="Q318" s="4"/>
      <c r="T318" s="4"/>
      <c r="U318" s="4"/>
      <c r="V318" s="4"/>
      <c r="Y318" s="4"/>
      <c r="Z318" s="4"/>
      <c r="AA318" s="4"/>
      <c r="AB318" s="4"/>
      <c r="AC318" s="4"/>
      <c r="AH318" s="4"/>
      <c r="AI318" s="255"/>
      <c r="AK318" s="193"/>
      <c r="AL318" s="193"/>
      <c r="AM318" s="193"/>
      <c r="AN318" s="193"/>
      <c r="AO318" s="193"/>
      <c r="AP318" s="193"/>
    </row>
    <row r="319" spans="1:42" s="180" customFormat="1" hidden="1">
      <c r="A319" s="313"/>
      <c r="B319" s="229"/>
      <c r="C319" s="230"/>
      <c r="D319" s="230"/>
      <c r="E319" s="232"/>
      <c r="F319" s="232"/>
      <c r="G319" s="230"/>
      <c r="H319" s="232"/>
      <c r="I319" s="232"/>
      <c r="J319" s="232"/>
      <c r="K319" s="232"/>
      <c r="L319" s="230"/>
      <c r="M319" s="230"/>
      <c r="N319" s="230"/>
      <c r="O319" s="230"/>
      <c r="P319" s="232"/>
      <c r="Q319" s="230"/>
      <c r="R319" s="230"/>
      <c r="S319" s="230"/>
      <c r="T319" s="230"/>
      <c r="U319" s="232"/>
      <c r="V319" s="230"/>
      <c r="W319" s="230"/>
      <c r="X319" s="230"/>
      <c r="Y319" s="233"/>
      <c r="Z319" s="232"/>
      <c r="AA319" s="234"/>
      <c r="AB319" s="232"/>
      <c r="AC319" s="373"/>
      <c r="AD319" s="236"/>
      <c r="AE319" s="255"/>
      <c r="AF319" s="255"/>
      <c r="AG319" s="255"/>
      <c r="AH319" s="255"/>
      <c r="AI319" s="255"/>
      <c r="AJ319" s="255"/>
      <c r="AK319" s="255"/>
      <c r="AL319" s="255"/>
      <c r="AM319" s="255"/>
      <c r="AN319" s="255"/>
      <c r="AO319" s="255"/>
      <c r="AP319" s="255"/>
    </row>
    <row r="320" spans="1:42" s="180" customFormat="1" hidden="1">
      <c r="A320" s="313"/>
      <c r="E320" s="4"/>
      <c r="F320" s="4"/>
      <c r="G320" s="4"/>
      <c r="J320" s="4"/>
      <c r="K320" s="4"/>
      <c r="L320" s="4"/>
      <c r="O320" s="4"/>
      <c r="P320" s="4"/>
      <c r="Q320" s="4"/>
      <c r="T320" s="4"/>
      <c r="U320" s="4"/>
      <c r="V320" s="4"/>
      <c r="Y320" s="4"/>
      <c r="Z320" s="4"/>
      <c r="AA320" s="4"/>
      <c r="AB320" s="4"/>
      <c r="AC320" s="4"/>
      <c r="AH320" s="4"/>
      <c r="AI320" s="255"/>
      <c r="AK320" s="193"/>
      <c r="AL320" s="193"/>
      <c r="AM320" s="193"/>
      <c r="AN320" s="193"/>
      <c r="AO320" s="193"/>
      <c r="AP320" s="193"/>
    </row>
    <row r="321" spans="1:42" s="180" customFormat="1" hidden="1">
      <c r="A321" s="313"/>
      <c r="B321" s="1518" t="s">
        <v>18</v>
      </c>
      <c r="C321" s="1519">
        <v>45810</v>
      </c>
      <c r="D321" s="1519"/>
      <c r="E321" s="1519"/>
      <c r="F321" s="1519"/>
      <c r="G321" s="365"/>
      <c r="H321" s="1519">
        <v>45811</v>
      </c>
      <c r="I321" s="1519"/>
      <c r="J321" s="1519"/>
      <c r="K321" s="1519"/>
      <c r="L321" s="365"/>
      <c r="M321" s="1519">
        <v>45812</v>
      </c>
      <c r="N321" s="1519"/>
      <c r="O321" s="1519"/>
      <c r="P321" s="1519"/>
      <c r="Q321" s="365"/>
      <c r="R321" s="1519">
        <v>45813</v>
      </c>
      <c r="S321" s="1519"/>
      <c r="T321" s="1519"/>
      <c r="U321" s="1519"/>
      <c r="V321" s="365"/>
      <c r="W321" s="1519">
        <v>45814</v>
      </c>
      <c r="X321" s="1519"/>
      <c r="Y321" s="1519"/>
      <c r="Z321" s="1519"/>
      <c r="AA321" s="1517" t="s">
        <v>19</v>
      </c>
      <c r="AB321" s="1517" t="s">
        <v>20</v>
      </c>
      <c r="AC321" s="4"/>
      <c r="AD321" s="1519">
        <v>45815</v>
      </c>
      <c r="AE321" s="1519"/>
      <c r="AF321" s="1519"/>
      <c r="AG321" s="1517" t="s">
        <v>21</v>
      </c>
      <c r="AH321" s="4"/>
      <c r="AI321" s="368"/>
      <c r="AK321" s="194" t="s">
        <v>84</v>
      </c>
      <c r="AL321" s="366"/>
      <c r="AM321" s="366"/>
      <c r="AN321" s="366"/>
      <c r="AO321" s="366"/>
      <c r="AP321" s="366"/>
    </row>
    <row r="322" spans="1:42" s="180" customFormat="1" hidden="1">
      <c r="A322" s="313"/>
      <c r="B322" s="1518"/>
      <c r="C322" s="21" t="s">
        <v>23</v>
      </c>
      <c r="D322" s="21" t="s">
        <v>24</v>
      </c>
      <c r="E322" s="205" t="s">
        <v>25</v>
      </c>
      <c r="F322" s="18" t="s">
        <v>14</v>
      </c>
      <c r="G322" s="4"/>
      <c r="H322" s="21" t="s">
        <v>23</v>
      </c>
      <c r="I322" s="21" t="s">
        <v>24</v>
      </c>
      <c r="J322" s="18" t="s">
        <v>25</v>
      </c>
      <c r="K322" s="18" t="s">
        <v>14</v>
      </c>
      <c r="L322" s="4"/>
      <c r="M322" s="21" t="s">
        <v>23</v>
      </c>
      <c r="N322" s="21" t="s">
        <v>24</v>
      </c>
      <c r="O322" s="18" t="s">
        <v>25</v>
      </c>
      <c r="P322" s="18" t="s">
        <v>14</v>
      </c>
      <c r="Q322" s="4"/>
      <c r="R322" s="21" t="s">
        <v>23</v>
      </c>
      <c r="S322" s="21" t="s">
        <v>24</v>
      </c>
      <c r="T322" s="18" t="s">
        <v>25</v>
      </c>
      <c r="U322" s="18" t="s">
        <v>14</v>
      </c>
      <c r="V322" s="4"/>
      <c r="W322" s="21" t="s">
        <v>23</v>
      </c>
      <c r="X322" s="21" t="s">
        <v>24</v>
      </c>
      <c r="Y322" s="18" t="s">
        <v>25</v>
      </c>
      <c r="Z322" s="18" t="s">
        <v>14</v>
      </c>
      <c r="AA322" s="1517"/>
      <c r="AB322" s="1517"/>
      <c r="AC322" s="4"/>
      <c r="AD322" s="21" t="s">
        <v>23</v>
      </c>
      <c r="AE322" s="21" t="s">
        <v>24</v>
      </c>
      <c r="AF322" s="18" t="s">
        <v>25</v>
      </c>
      <c r="AG322" s="1517"/>
      <c r="AH322" s="4"/>
      <c r="AI322" s="368"/>
      <c r="AJ322" s="367"/>
      <c r="AK322" s="188" t="s">
        <v>26</v>
      </c>
      <c r="AL322" s="196">
        <f>AA325</f>
        <v>60</v>
      </c>
      <c r="AM322" s="511">
        <v>51.5</v>
      </c>
      <c r="AN322" s="510">
        <f>AL322*AM322</f>
        <v>3090</v>
      </c>
      <c r="AO322" s="193"/>
      <c r="AP322" s="193"/>
    </row>
    <row r="323" spans="1:42" s="180" customFormat="1" hidden="1">
      <c r="A323" s="313"/>
      <c r="B323" s="4" t="s">
        <v>60</v>
      </c>
      <c r="C323" s="441" t="s">
        <v>137</v>
      </c>
      <c r="D323" s="441" t="s">
        <v>137</v>
      </c>
      <c r="E323" s="319">
        <v>8</v>
      </c>
      <c r="F323" s="320"/>
      <c r="G323" s="4"/>
      <c r="H323" s="441" t="s">
        <v>137</v>
      </c>
      <c r="I323" s="441" t="s">
        <v>137</v>
      </c>
      <c r="J323" s="319">
        <v>8</v>
      </c>
      <c r="K323" s="320"/>
      <c r="L323" s="4"/>
      <c r="M323" s="441" t="s">
        <v>137</v>
      </c>
      <c r="N323" s="441" t="s">
        <v>137</v>
      </c>
      <c r="O323" s="319">
        <v>8</v>
      </c>
      <c r="P323" s="320"/>
      <c r="Q323" s="4"/>
      <c r="R323" s="441" t="s">
        <v>137</v>
      </c>
      <c r="S323" s="441" t="s">
        <v>137</v>
      </c>
      <c r="T323" s="319">
        <v>8</v>
      </c>
      <c r="U323" s="320"/>
      <c r="V323" s="4"/>
      <c r="W323" s="441" t="s">
        <v>137</v>
      </c>
      <c r="X323" s="441" t="s">
        <v>137</v>
      </c>
      <c r="Y323" s="319">
        <v>8</v>
      </c>
      <c r="Z323" s="320"/>
      <c r="AA323" s="328">
        <f>Y323+T323+O323+J323+E323</f>
        <v>40</v>
      </c>
      <c r="AB323" s="298">
        <f>Z323+U323+P323+K323+F323</f>
        <v>0</v>
      </c>
      <c r="AC323" s="4"/>
      <c r="AD323" s="587"/>
      <c r="AE323" s="531"/>
      <c r="AF323" s="319"/>
      <c r="AG323" s="328">
        <f>AF323</f>
        <v>0</v>
      </c>
      <c r="AH323" s="4"/>
      <c r="AI323" s="368"/>
      <c r="AJ323" s="367"/>
      <c r="AK323" s="188" t="s">
        <v>30</v>
      </c>
      <c r="AL323" s="196">
        <f>AB325</f>
        <v>0</v>
      </c>
      <c r="AM323" s="511">
        <f>AM322*1.5</f>
        <v>77.25</v>
      </c>
      <c r="AN323" s="510">
        <f>AL323*AM323</f>
        <v>0</v>
      </c>
      <c r="AO323" s="193"/>
      <c r="AP323" s="193"/>
    </row>
    <row r="324" spans="1:42" s="180" customFormat="1" hidden="1">
      <c r="A324" s="313"/>
      <c r="B324" s="4" t="s">
        <v>59</v>
      </c>
      <c r="C324" s="441" t="s">
        <v>222</v>
      </c>
      <c r="D324" s="441" t="s">
        <v>125</v>
      </c>
      <c r="E324" s="319">
        <v>4</v>
      </c>
      <c r="F324" s="320"/>
      <c r="G324" s="4"/>
      <c r="H324" s="441" t="s">
        <v>222</v>
      </c>
      <c r="I324" s="441" t="s">
        <v>125</v>
      </c>
      <c r="J324" s="319">
        <v>4</v>
      </c>
      <c r="K324" s="320"/>
      <c r="L324" s="4"/>
      <c r="M324" s="441" t="s">
        <v>222</v>
      </c>
      <c r="N324" s="441" t="s">
        <v>125</v>
      </c>
      <c r="O324" s="319">
        <v>4</v>
      </c>
      <c r="P324" s="320"/>
      <c r="Q324" s="4"/>
      <c r="R324" s="441" t="s">
        <v>222</v>
      </c>
      <c r="S324" s="441" t="s">
        <v>125</v>
      </c>
      <c r="T324" s="319">
        <v>4</v>
      </c>
      <c r="U324" s="320"/>
      <c r="V324" s="4"/>
      <c r="W324" s="441" t="s">
        <v>222</v>
      </c>
      <c r="X324" s="441" t="s">
        <v>125</v>
      </c>
      <c r="Y324" s="319">
        <v>4</v>
      </c>
      <c r="Z324" s="320"/>
      <c r="AA324" s="328">
        <f>Y324+T324+O324+J324+E324</f>
        <v>20</v>
      </c>
      <c r="AB324" s="298">
        <f>Z324+U324+P324+K324+F324</f>
        <v>0</v>
      </c>
      <c r="AC324" s="4"/>
      <c r="AF324" s="319"/>
      <c r="AG324" s="328">
        <f>AF324</f>
        <v>0</v>
      </c>
      <c r="AH324" s="175"/>
      <c r="AI324" s="402"/>
      <c r="AJ324" s="367"/>
      <c r="AK324" s="188" t="s">
        <v>32</v>
      </c>
      <c r="AL324" s="196">
        <f>AG325</f>
        <v>0</v>
      </c>
      <c r="AM324" s="511">
        <v>75.77</v>
      </c>
      <c r="AN324" s="510">
        <f>AL324*AM324</f>
        <v>0</v>
      </c>
      <c r="AO324" s="193"/>
      <c r="AP324" s="193"/>
    </row>
    <row r="325" spans="1:42" s="180" customFormat="1" hidden="1">
      <c r="A325" s="313"/>
      <c r="B325" s="64" t="s">
        <v>61</v>
      </c>
      <c r="C325" s="31"/>
      <c r="D325" s="31"/>
      <c r="E325" s="439">
        <f>SUM(E323:E324)</f>
        <v>12</v>
      </c>
      <c r="F325" s="320">
        <f>SUM(F323:F324)</f>
        <v>0</v>
      </c>
      <c r="G325" s="31"/>
      <c r="H325" s="31"/>
      <c r="I325" s="31"/>
      <c r="J325" s="439">
        <f>SUM(J323:J324)</f>
        <v>12</v>
      </c>
      <c r="K325" s="320">
        <f>SUM(K323:K324)</f>
        <v>0</v>
      </c>
      <c r="L325" s="31"/>
      <c r="M325" s="31"/>
      <c r="N325" s="31"/>
      <c r="O325" s="439">
        <f>SUM(O323:O324)</f>
        <v>12</v>
      </c>
      <c r="P325" s="320">
        <f>SUM(P323:P324)</f>
        <v>0</v>
      </c>
      <c r="Q325" s="31"/>
      <c r="R325" s="31"/>
      <c r="S325" s="31"/>
      <c r="T325" s="439">
        <f>SUM(T323:T324)</f>
        <v>12</v>
      </c>
      <c r="U325" s="320">
        <f>SUM(U323:U324)</f>
        <v>0</v>
      </c>
      <c r="V325" s="31"/>
      <c r="W325" s="31"/>
      <c r="X325" s="31"/>
      <c r="Y325" s="439">
        <f>SUM(Y323:Y324)</f>
        <v>12</v>
      </c>
      <c r="Z325" s="320">
        <f>SUM(Z323:Z324)</f>
        <v>0</v>
      </c>
      <c r="AA325" s="370">
        <f>SUM(AA323:AA324)</f>
        <v>60</v>
      </c>
      <c r="AB325" s="370">
        <f>SUM(AB323:AB324)</f>
        <v>0</v>
      </c>
      <c r="AC325" s="4"/>
      <c r="AD325" s="64"/>
      <c r="AE325" s="64"/>
      <c r="AF325" s="370">
        <f>SUM(AF323:AF324)</f>
        <v>0</v>
      </c>
      <c r="AG325" s="370">
        <f>SUM(AG323:AG324)</f>
        <v>0</v>
      </c>
      <c r="AH325" s="4"/>
      <c r="AI325" s="255"/>
      <c r="AJ325" s="367"/>
      <c r="AK325" s="193"/>
      <c r="AL325" s="193"/>
      <c r="AM325" s="193"/>
      <c r="AN325" s="510">
        <f>SUM(AN322:AN324)</f>
        <v>3090</v>
      </c>
      <c r="AO325" s="193"/>
      <c r="AP325" s="193"/>
    </row>
    <row r="326" spans="1:42" s="180" customFormat="1" hidden="1">
      <c r="A326" s="313"/>
      <c r="E326" s="4"/>
      <c r="F326" s="4"/>
      <c r="G326" s="4"/>
      <c r="J326" s="4"/>
      <c r="K326" s="4"/>
      <c r="L326" s="4"/>
      <c r="O326" s="4"/>
      <c r="P326" s="4"/>
      <c r="Q326" s="4"/>
      <c r="T326" s="4"/>
      <c r="U326" s="4"/>
      <c r="V326" s="4"/>
      <c r="Y326" s="4"/>
      <c r="Z326" s="4"/>
      <c r="AA326" s="4"/>
      <c r="AB326" s="4"/>
      <c r="AC326" s="4"/>
      <c r="AH326" s="4"/>
      <c r="AI326" s="255"/>
      <c r="AK326" s="193"/>
      <c r="AL326" s="193"/>
      <c r="AM326" s="193"/>
      <c r="AN326" s="193"/>
      <c r="AO326" s="193"/>
      <c r="AP326" s="193"/>
    </row>
    <row r="327" spans="1:42" s="180" customFormat="1" hidden="1">
      <c r="A327" s="313"/>
      <c r="B327" s="229"/>
      <c r="C327" s="230"/>
      <c r="D327" s="230"/>
      <c r="E327" s="232"/>
      <c r="F327" s="232"/>
      <c r="G327" s="230"/>
      <c r="H327" s="232"/>
      <c r="I327" s="232"/>
      <c r="J327" s="232"/>
      <c r="K327" s="232"/>
      <c r="L327" s="230"/>
      <c r="M327" s="230"/>
      <c r="N327" s="230"/>
      <c r="O327" s="230"/>
      <c r="P327" s="232"/>
      <c r="Q327" s="230"/>
      <c r="R327" s="230"/>
      <c r="S327" s="230"/>
      <c r="T327" s="230"/>
      <c r="U327" s="232"/>
      <c r="V327" s="230"/>
      <c r="W327" s="230"/>
      <c r="X327" s="230"/>
      <c r="Y327" s="233"/>
      <c r="Z327" s="232"/>
      <c r="AA327" s="234"/>
      <c r="AB327" s="232"/>
      <c r="AC327" s="373"/>
      <c r="AD327" s="236"/>
      <c r="AE327" s="255"/>
      <c r="AF327" s="255"/>
      <c r="AG327" s="255"/>
      <c r="AH327" s="255"/>
      <c r="AI327" s="255"/>
      <c r="AJ327" s="255"/>
      <c r="AK327" s="255"/>
      <c r="AL327" s="255"/>
      <c r="AM327" s="255"/>
      <c r="AN327" s="255"/>
      <c r="AO327" s="255"/>
      <c r="AP327" s="255"/>
    </row>
    <row r="328" spans="1:42" s="180" customFormat="1" hidden="1">
      <c r="A328" s="313"/>
      <c r="E328" s="4"/>
      <c r="F328" s="4"/>
      <c r="G328" s="4"/>
      <c r="J328" s="4"/>
      <c r="K328" s="4"/>
      <c r="L328" s="4"/>
      <c r="O328" s="4"/>
      <c r="P328" s="4"/>
      <c r="Q328" s="4"/>
      <c r="T328" s="4"/>
      <c r="U328" s="4"/>
      <c r="V328" s="4"/>
      <c r="Y328" s="4"/>
      <c r="Z328" s="4"/>
      <c r="AA328" s="4"/>
      <c r="AB328" s="4"/>
      <c r="AC328" s="4"/>
      <c r="AH328" s="4"/>
      <c r="AI328" s="255"/>
      <c r="AK328" s="193"/>
      <c r="AL328" s="193"/>
      <c r="AM328" s="193"/>
      <c r="AN328" s="193"/>
      <c r="AO328" s="193"/>
      <c r="AP328" s="193"/>
    </row>
    <row r="329" spans="1:42" s="180" customFormat="1" hidden="1">
      <c r="A329" s="313"/>
      <c r="B329" s="1518" t="s">
        <v>18</v>
      </c>
      <c r="C329" s="1519">
        <v>45817</v>
      </c>
      <c r="D329" s="1519"/>
      <c r="E329" s="1519"/>
      <c r="F329" s="1519"/>
      <c r="G329" s="365"/>
      <c r="H329" s="1519">
        <v>45818</v>
      </c>
      <c r="I329" s="1519"/>
      <c r="J329" s="1519"/>
      <c r="K329" s="1519"/>
      <c r="L329" s="365"/>
      <c r="M329" s="1519">
        <v>45819</v>
      </c>
      <c r="N329" s="1519"/>
      <c r="O329" s="1519"/>
      <c r="P329" s="1519"/>
      <c r="Q329" s="365"/>
      <c r="R329" s="1519">
        <v>45820</v>
      </c>
      <c r="S329" s="1519"/>
      <c r="T329" s="1519"/>
      <c r="U329" s="1519"/>
      <c r="V329" s="365"/>
      <c r="W329" s="1519">
        <v>45821</v>
      </c>
      <c r="X329" s="1519"/>
      <c r="Y329" s="1519"/>
      <c r="Z329" s="1519"/>
      <c r="AA329" s="1517" t="s">
        <v>19</v>
      </c>
      <c r="AB329" s="1517" t="s">
        <v>20</v>
      </c>
      <c r="AC329" s="4"/>
      <c r="AD329" s="1519">
        <v>45822</v>
      </c>
      <c r="AE329" s="1519"/>
      <c r="AF329" s="1519"/>
      <c r="AG329" s="1517" t="s">
        <v>21</v>
      </c>
      <c r="AH329" s="4"/>
      <c r="AI329" s="368"/>
      <c r="AK329" s="194" t="s">
        <v>84</v>
      </c>
      <c r="AL329" s="366"/>
      <c r="AM329" s="366"/>
      <c r="AN329" s="366"/>
      <c r="AO329" s="366"/>
      <c r="AP329" s="366"/>
    </row>
    <row r="330" spans="1:42" s="180" customFormat="1" hidden="1">
      <c r="A330" s="313"/>
      <c r="B330" s="1518"/>
      <c r="C330" s="21" t="s">
        <v>23</v>
      </c>
      <c r="D330" s="21" t="s">
        <v>24</v>
      </c>
      <c r="E330" s="205" t="s">
        <v>25</v>
      </c>
      <c r="F330" s="18" t="s">
        <v>14</v>
      </c>
      <c r="G330" s="4"/>
      <c r="H330" s="21" t="s">
        <v>23</v>
      </c>
      <c r="I330" s="21" t="s">
        <v>24</v>
      </c>
      <c r="J330" s="18" t="s">
        <v>25</v>
      </c>
      <c r="K330" s="18" t="s">
        <v>14</v>
      </c>
      <c r="L330" s="4"/>
      <c r="M330" s="21" t="s">
        <v>23</v>
      </c>
      <c r="N330" s="21" t="s">
        <v>24</v>
      </c>
      <c r="O330" s="18" t="s">
        <v>25</v>
      </c>
      <c r="P330" s="18" t="s">
        <v>14</v>
      </c>
      <c r="Q330" s="4"/>
      <c r="R330" s="21" t="s">
        <v>23</v>
      </c>
      <c r="S330" s="21" t="s">
        <v>24</v>
      </c>
      <c r="T330" s="18" t="s">
        <v>25</v>
      </c>
      <c r="U330" s="18" t="s">
        <v>14</v>
      </c>
      <c r="V330" s="4"/>
      <c r="W330" s="21" t="s">
        <v>23</v>
      </c>
      <c r="X330" s="21" t="s">
        <v>24</v>
      </c>
      <c r="Y330" s="18" t="s">
        <v>25</v>
      </c>
      <c r="Z330" s="18" t="s">
        <v>14</v>
      </c>
      <c r="AA330" s="1517"/>
      <c r="AB330" s="1517"/>
      <c r="AC330" s="4"/>
      <c r="AD330" s="21" t="s">
        <v>23</v>
      </c>
      <c r="AE330" s="21" t="s">
        <v>24</v>
      </c>
      <c r="AF330" s="18" t="s">
        <v>25</v>
      </c>
      <c r="AG330" s="1517"/>
      <c r="AH330" s="4"/>
      <c r="AI330" s="368"/>
      <c r="AJ330" s="367"/>
      <c r="AK330" s="188" t="s">
        <v>26</v>
      </c>
      <c r="AL330" s="196">
        <f>AA333</f>
        <v>60</v>
      </c>
      <c r="AM330" s="511">
        <v>51.5</v>
      </c>
      <c r="AN330" s="510">
        <f>AL330*AM330</f>
        <v>3090</v>
      </c>
      <c r="AO330" s="193"/>
      <c r="AP330" s="193"/>
    </row>
    <row r="331" spans="1:42" s="180" customFormat="1" hidden="1">
      <c r="A331" s="313"/>
      <c r="B331" s="4" t="s">
        <v>60</v>
      </c>
      <c r="C331" s="441" t="s">
        <v>137</v>
      </c>
      <c r="D331" s="441" t="s">
        <v>137</v>
      </c>
      <c r="E331" s="319">
        <v>8</v>
      </c>
      <c r="F331" s="320"/>
      <c r="G331" s="4"/>
      <c r="H331" s="441" t="s">
        <v>137</v>
      </c>
      <c r="I331" s="441" t="s">
        <v>137</v>
      </c>
      <c r="J331" s="319">
        <v>8</v>
      </c>
      <c r="K331" s="320"/>
      <c r="L331" s="4"/>
      <c r="M331" s="441" t="s">
        <v>75</v>
      </c>
      <c r="N331" s="441" t="s">
        <v>246</v>
      </c>
      <c r="O331" s="319">
        <v>8</v>
      </c>
      <c r="P331" s="320"/>
      <c r="Q331" s="4"/>
      <c r="R331" s="441" t="s">
        <v>75</v>
      </c>
      <c r="S331" s="441" t="s">
        <v>246</v>
      </c>
      <c r="T331" s="319">
        <v>8</v>
      </c>
      <c r="U331" s="320"/>
      <c r="V331" s="4"/>
      <c r="W331" s="441" t="s">
        <v>75</v>
      </c>
      <c r="X331" s="441" t="s">
        <v>246</v>
      </c>
      <c r="Y331" s="319">
        <v>8</v>
      </c>
      <c r="Z331" s="320"/>
      <c r="AA331" s="328">
        <f>Y331+T331+O331+J331+E331</f>
        <v>40</v>
      </c>
      <c r="AB331" s="298">
        <f>Z331+U331+P331+K331+F331</f>
        <v>0</v>
      </c>
      <c r="AC331" s="4"/>
      <c r="AD331" s="587"/>
      <c r="AE331" s="531"/>
      <c r="AF331" s="319"/>
      <c r="AG331" s="328">
        <f>AF331</f>
        <v>0</v>
      </c>
      <c r="AH331" s="4"/>
      <c r="AI331" s="368"/>
      <c r="AJ331" s="367"/>
      <c r="AK331" s="188" t="s">
        <v>30</v>
      </c>
      <c r="AL331" s="196">
        <f>AB333</f>
        <v>0</v>
      </c>
      <c r="AM331" s="511">
        <f>AM330*1.5</f>
        <v>77.25</v>
      </c>
      <c r="AN331" s="510">
        <f>AL331*AM331</f>
        <v>0</v>
      </c>
      <c r="AO331" s="193"/>
      <c r="AP331" s="193"/>
    </row>
    <row r="332" spans="1:42" s="180" customFormat="1" hidden="1">
      <c r="A332" s="313"/>
      <c r="B332" s="4" t="s">
        <v>59</v>
      </c>
      <c r="C332" s="441" t="s">
        <v>222</v>
      </c>
      <c r="D332" s="441" t="s">
        <v>125</v>
      </c>
      <c r="E332" s="319">
        <v>4</v>
      </c>
      <c r="F332" s="320"/>
      <c r="G332" s="4"/>
      <c r="H332" s="441" t="s">
        <v>222</v>
      </c>
      <c r="I332" s="441" t="s">
        <v>125</v>
      </c>
      <c r="J332" s="319">
        <v>4</v>
      </c>
      <c r="K332" s="320"/>
      <c r="L332" s="4"/>
      <c r="M332" s="441" t="s">
        <v>222</v>
      </c>
      <c r="N332" s="441" t="s">
        <v>125</v>
      </c>
      <c r="O332" s="319">
        <v>4</v>
      </c>
      <c r="P332" s="320"/>
      <c r="Q332" s="4"/>
      <c r="R332" s="441" t="s">
        <v>222</v>
      </c>
      <c r="S332" s="441" t="s">
        <v>125</v>
      </c>
      <c r="T332" s="319">
        <v>4</v>
      </c>
      <c r="U332" s="320"/>
      <c r="V332" s="4"/>
      <c r="W332" s="441" t="s">
        <v>24</v>
      </c>
      <c r="X332" s="441"/>
      <c r="Y332" s="319">
        <v>4</v>
      </c>
      <c r="Z332" s="320"/>
      <c r="AA332" s="328">
        <f>Y332+T332+O332+J332+E332</f>
        <v>20</v>
      </c>
      <c r="AB332" s="298">
        <f>Z332+U332+P332+K332+F332</f>
        <v>0</v>
      </c>
      <c r="AC332" s="4"/>
      <c r="AF332" s="319"/>
      <c r="AG332" s="328">
        <f>AF332</f>
        <v>0</v>
      </c>
      <c r="AH332" s="175"/>
      <c r="AI332" s="402"/>
      <c r="AJ332" s="367"/>
      <c r="AK332" s="188" t="s">
        <v>32</v>
      </c>
      <c r="AL332" s="196">
        <f>AG333</f>
        <v>0</v>
      </c>
      <c r="AM332" s="511">
        <v>75.77</v>
      </c>
      <c r="AN332" s="510">
        <f>AL332*AM332</f>
        <v>0</v>
      </c>
      <c r="AO332" s="193"/>
      <c r="AP332" s="193"/>
    </row>
    <row r="333" spans="1:42" s="180" customFormat="1" hidden="1">
      <c r="A333" s="313"/>
      <c r="B333" s="64" t="s">
        <v>61</v>
      </c>
      <c r="C333" s="31"/>
      <c r="D333" s="31"/>
      <c r="E333" s="439">
        <f>SUM(E331:E332)</f>
        <v>12</v>
      </c>
      <c r="F333" s="320">
        <f>SUM(F331:F332)</f>
        <v>0</v>
      </c>
      <c r="G333" s="31"/>
      <c r="H333" s="31"/>
      <c r="I333" s="31"/>
      <c r="J333" s="439">
        <f>SUM(J331:J332)</f>
        <v>12</v>
      </c>
      <c r="K333" s="320">
        <f>SUM(K331:K332)</f>
        <v>0</v>
      </c>
      <c r="L333" s="31"/>
      <c r="M333" s="31"/>
      <c r="N333" s="31"/>
      <c r="O333" s="439">
        <f>SUM(O331:O332)</f>
        <v>12</v>
      </c>
      <c r="P333" s="320">
        <f>SUM(P331:P332)</f>
        <v>0</v>
      </c>
      <c r="Q333" s="31"/>
      <c r="R333" s="31"/>
      <c r="S333" s="31"/>
      <c r="T333" s="439">
        <f>SUM(T331:T332)</f>
        <v>12</v>
      </c>
      <c r="U333" s="320">
        <f>SUM(U331:U332)</f>
        <v>0</v>
      </c>
      <c r="V333" s="31"/>
      <c r="W333" s="31"/>
      <c r="X333" s="31"/>
      <c r="Y333" s="439">
        <f>SUM(Y331:Y332)</f>
        <v>12</v>
      </c>
      <c r="Z333" s="320">
        <f>SUM(Z331:Z332)</f>
        <v>0</v>
      </c>
      <c r="AA333" s="370">
        <f>SUM(AA331:AA332)</f>
        <v>60</v>
      </c>
      <c r="AB333" s="370">
        <f>SUM(AB331:AB332)</f>
        <v>0</v>
      </c>
      <c r="AC333" s="4"/>
      <c r="AD333" s="64"/>
      <c r="AE333" s="64"/>
      <c r="AF333" s="370">
        <f>SUM(AF331:AF332)</f>
        <v>0</v>
      </c>
      <c r="AG333" s="370">
        <f>SUM(AG331:AG332)</f>
        <v>0</v>
      </c>
      <c r="AH333" s="4"/>
      <c r="AI333" s="255"/>
      <c r="AJ333" s="367"/>
      <c r="AK333" s="193"/>
      <c r="AL333" s="193"/>
      <c r="AM333" s="193"/>
      <c r="AN333" s="510">
        <f>SUM(AN330:AN332)</f>
        <v>3090</v>
      </c>
      <c r="AO333" s="193"/>
      <c r="AP333" s="193"/>
    </row>
    <row r="334" spans="1:42" s="180" customFormat="1" hidden="1">
      <c r="A334" s="313"/>
      <c r="E334" s="4"/>
      <c r="F334" s="4"/>
      <c r="G334" s="4"/>
      <c r="J334" s="4"/>
      <c r="K334" s="4"/>
      <c r="L334" s="4"/>
      <c r="O334" s="4"/>
      <c r="P334" s="4"/>
      <c r="Q334" s="4"/>
      <c r="T334" s="4"/>
      <c r="U334" s="4"/>
      <c r="V334" s="4"/>
      <c r="Y334" s="4"/>
      <c r="Z334" s="4"/>
      <c r="AA334" s="4"/>
      <c r="AB334" s="4"/>
      <c r="AC334" s="4"/>
      <c r="AH334" s="4"/>
      <c r="AI334" s="255"/>
      <c r="AK334" s="193"/>
      <c r="AL334" s="193"/>
      <c r="AM334" s="193"/>
      <c r="AN334" s="193"/>
      <c r="AO334" s="193"/>
      <c r="AP334" s="193"/>
    </row>
    <row r="335" spans="1:42" s="180" customFormat="1" hidden="1">
      <c r="A335" s="313"/>
      <c r="B335" s="229"/>
      <c r="C335" s="230"/>
      <c r="D335" s="230"/>
      <c r="E335" s="232"/>
      <c r="F335" s="232"/>
      <c r="G335" s="230"/>
      <c r="H335" s="232"/>
      <c r="I335" s="232"/>
      <c r="J335" s="232"/>
      <c r="K335" s="232"/>
      <c r="L335" s="230"/>
      <c r="M335" s="230"/>
      <c r="N335" s="230"/>
      <c r="O335" s="230"/>
      <c r="P335" s="232"/>
      <c r="Q335" s="230"/>
      <c r="R335" s="230"/>
      <c r="S335" s="230"/>
      <c r="T335" s="230"/>
      <c r="U335" s="232"/>
      <c r="V335" s="230"/>
      <c r="W335" s="230"/>
      <c r="X335" s="230"/>
      <c r="Y335" s="233"/>
      <c r="Z335" s="232"/>
      <c r="AA335" s="234"/>
      <c r="AB335" s="232"/>
      <c r="AC335" s="373"/>
      <c r="AD335" s="236"/>
      <c r="AE335" s="255"/>
      <c r="AF335" s="255"/>
      <c r="AG335" s="255"/>
      <c r="AH335" s="255"/>
      <c r="AI335" s="255"/>
      <c r="AJ335" s="255"/>
      <c r="AK335" s="255"/>
      <c r="AL335" s="255"/>
      <c r="AM335" s="255"/>
      <c r="AN335" s="255"/>
      <c r="AO335" s="255"/>
      <c r="AP335" s="255"/>
    </row>
    <row r="336" spans="1:42" s="180" customFormat="1" hidden="1">
      <c r="A336" s="313"/>
      <c r="E336" s="4"/>
      <c r="F336" s="4"/>
      <c r="G336" s="4"/>
      <c r="J336" s="4"/>
      <c r="K336" s="4"/>
      <c r="L336" s="4"/>
      <c r="O336" s="4"/>
      <c r="P336" s="4"/>
      <c r="Q336" s="4"/>
      <c r="T336" s="4"/>
      <c r="U336" s="4"/>
      <c r="V336" s="4"/>
      <c r="Y336" s="4"/>
      <c r="Z336" s="4"/>
      <c r="AA336" s="4"/>
      <c r="AB336" s="4"/>
      <c r="AC336" s="4"/>
      <c r="AH336" s="4"/>
      <c r="AI336" s="255"/>
      <c r="AK336" s="193"/>
      <c r="AL336" s="193"/>
      <c r="AM336" s="193"/>
      <c r="AN336" s="193"/>
      <c r="AO336" s="193"/>
      <c r="AP336" s="193"/>
    </row>
    <row r="337" spans="1:42" s="180" customFormat="1" hidden="1">
      <c r="A337" s="313"/>
      <c r="B337" s="1518" t="s">
        <v>18</v>
      </c>
      <c r="C337" s="1519">
        <v>45824</v>
      </c>
      <c r="D337" s="1519"/>
      <c r="E337" s="1519"/>
      <c r="F337" s="1519"/>
      <c r="G337" s="365"/>
      <c r="H337" s="1519">
        <v>45825</v>
      </c>
      <c r="I337" s="1519"/>
      <c r="J337" s="1519"/>
      <c r="K337" s="1519"/>
      <c r="L337" s="365"/>
      <c r="M337" s="1519">
        <v>45826</v>
      </c>
      <c r="N337" s="1519"/>
      <c r="O337" s="1519"/>
      <c r="P337" s="1519"/>
      <c r="Q337" s="365"/>
      <c r="R337" s="1519">
        <v>45827</v>
      </c>
      <c r="S337" s="1519"/>
      <c r="T337" s="1519"/>
      <c r="U337" s="1519"/>
      <c r="V337" s="365"/>
      <c r="W337" s="1519">
        <v>45828</v>
      </c>
      <c r="X337" s="1519"/>
      <c r="Y337" s="1519"/>
      <c r="Z337" s="1519"/>
      <c r="AA337" s="1517" t="s">
        <v>19</v>
      </c>
      <c r="AB337" s="1517" t="s">
        <v>20</v>
      </c>
      <c r="AC337" s="4"/>
      <c r="AD337" s="1519">
        <v>45829</v>
      </c>
      <c r="AE337" s="1519"/>
      <c r="AF337" s="1519"/>
      <c r="AG337" s="1517" t="s">
        <v>21</v>
      </c>
      <c r="AH337" s="4"/>
      <c r="AI337" s="368"/>
      <c r="AK337" s="194" t="s">
        <v>84</v>
      </c>
      <c r="AL337" s="366"/>
      <c r="AM337" s="366"/>
      <c r="AN337" s="366"/>
      <c r="AO337" s="366"/>
      <c r="AP337" s="366"/>
    </row>
    <row r="338" spans="1:42" s="180" customFormat="1" hidden="1">
      <c r="A338" s="313"/>
      <c r="B338" s="1518"/>
      <c r="C338" s="21" t="s">
        <v>23</v>
      </c>
      <c r="D338" s="21" t="s">
        <v>24</v>
      </c>
      <c r="E338" s="205" t="s">
        <v>25</v>
      </c>
      <c r="F338" s="18" t="s">
        <v>14</v>
      </c>
      <c r="G338" s="4"/>
      <c r="H338" s="21" t="s">
        <v>23</v>
      </c>
      <c r="I338" s="21" t="s">
        <v>24</v>
      </c>
      <c r="J338" s="18" t="s">
        <v>25</v>
      </c>
      <c r="K338" s="18" t="s">
        <v>14</v>
      </c>
      <c r="L338" s="4"/>
      <c r="M338" s="21" t="s">
        <v>23</v>
      </c>
      <c r="N338" s="21" t="s">
        <v>24</v>
      </c>
      <c r="O338" s="18" t="s">
        <v>25</v>
      </c>
      <c r="P338" s="18" t="s">
        <v>14</v>
      </c>
      <c r="Q338" s="4"/>
      <c r="R338" s="21" t="s">
        <v>23</v>
      </c>
      <c r="S338" s="21" t="s">
        <v>24</v>
      </c>
      <c r="T338" s="18" t="s">
        <v>25</v>
      </c>
      <c r="U338" s="18" t="s">
        <v>14</v>
      </c>
      <c r="V338" s="4"/>
      <c r="W338" s="21" t="s">
        <v>23</v>
      </c>
      <c r="X338" s="21" t="s">
        <v>24</v>
      </c>
      <c r="Y338" s="18" t="s">
        <v>25</v>
      </c>
      <c r="Z338" s="18" t="s">
        <v>14</v>
      </c>
      <c r="AA338" s="1517"/>
      <c r="AB338" s="1517"/>
      <c r="AC338" s="4"/>
      <c r="AD338" s="21" t="s">
        <v>23</v>
      </c>
      <c r="AE338" s="21" t="s">
        <v>24</v>
      </c>
      <c r="AF338" s="18" t="s">
        <v>25</v>
      </c>
      <c r="AG338" s="1517"/>
      <c r="AH338" s="4"/>
      <c r="AI338" s="368"/>
      <c r="AJ338" s="367"/>
      <c r="AK338" s="188" t="s">
        <v>26</v>
      </c>
      <c r="AL338" s="196">
        <f>AA341</f>
        <v>60</v>
      </c>
      <c r="AM338" s="511">
        <v>51.5</v>
      </c>
      <c r="AN338" s="510">
        <f>AL338*AM338</f>
        <v>3090</v>
      </c>
      <c r="AO338" s="193"/>
      <c r="AP338" s="193"/>
    </row>
    <row r="339" spans="1:42" s="180" customFormat="1" hidden="1">
      <c r="A339" s="313"/>
      <c r="B339" s="4" t="s">
        <v>60</v>
      </c>
      <c r="C339" s="441" t="s">
        <v>75</v>
      </c>
      <c r="D339" s="441" t="s">
        <v>246</v>
      </c>
      <c r="E339" s="319">
        <v>8</v>
      </c>
      <c r="F339" s="320"/>
      <c r="G339" s="4"/>
      <c r="H339" s="441" t="s">
        <v>75</v>
      </c>
      <c r="I339" s="441" t="s">
        <v>246</v>
      </c>
      <c r="J339" s="319">
        <v>8</v>
      </c>
      <c r="K339" s="320"/>
      <c r="L339" s="4"/>
      <c r="M339" s="441" t="s">
        <v>75</v>
      </c>
      <c r="N339" s="441" t="s">
        <v>246</v>
      </c>
      <c r="O339" s="319">
        <v>8</v>
      </c>
      <c r="P339" s="320"/>
      <c r="Q339" s="4"/>
      <c r="R339" s="441" t="s">
        <v>75</v>
      </c>
      <c r="S339" s="441" t="s">
        <v>246</v>
      </c>
      <c r="T339" s="319">
        <v>8</v>
      </c>
      <c r="U339" s="320"/>
      <c r="V339" s="4"/>
      <c r="W339" s="441" t="s">
        <v>75</v>
      </c>
      <c r="X339" s="441" t="s">
        <v>246</v>
      </c>
      <c r="Y339" s="319">
        <v>8</v>
      </c>
      <c r="Z339" s="320"/>
      <c r="AA339" s="328">
        <f>Y339+T339+O339+J339+E339</f>
        <v>40</v>
      </c>
      <c r="AB339" s="298">
        <f>Z339+U339+P339+K339+F339</f>
        <v>0</v>
      </c>
      <c r="AC339" s="4"/>
      <c r="AD339" s="587"/>
      <c r="AE339" s="531"/>
      <c r="AF339" s="319"/>
      <c r="AG339" s="328">
        <f>AF339</f>
        <v>0</v>
      </c>
      <c r="AH339" s="4"/>
      <c r="AI339" s="368"/>
      <c r="AJ339" s="367"/>
      <c r="AK339" s="188" t="s">
        <v>30</v>
      </c>
      <c r="AL339" s="196">
        <f>AB341</f>
        <v>0</v>
      </c>
      <c r="AM339" s="511">
        <f>AM338*1.5</f>
        <v>77.25</v>
      </c>
      <c r="AN339" s="510">
        <f>AL339*AM339</f>
        <v>0</v>
      </c>
      <c r="AO339" s="193"/>
      <c r="AP339" s="193"/>
    </row>
    <row r="340" spans="1:42" s="180" customFormat="1" hidden="1">
      <c r="A340" s="313"/>
      <c r="B340" s="4" t="s">
        <v>59</v>
      </c>
      <c r="C340" s="441" t="s">
        <v>222</v>
      </c>
      <c r="D340" s="441" t="s">
        <v>125</v>
      </c>
      <c r="E340" s="319">
        <v>4</v>
      </c>
      <c r="F340" s="320"/>
      <c r="G340" s="4"/>
      <c r="H340" s="441" t="s">
        <v>222</v>
      </c>
      <c r="I340" s="441" t="s">
        <v>125</v>
      </c>
      <c r="J340" s="319">
        <v>4</v>
      </c>
      <c r="K340" s="320"/>
      <c r="L340" s="4"/>
      <c r="M340" s="441" t="s">
        <v>222</v>
      </c>
      <c r="N340" s="441" t="s">
        <v>125</v>
      </c>
      <c r="O340" s="319">
        <v>4</v>
      </c>
      <c r="P340" s="320"/>
      <c r="Q340" s="4"/>
      <c r="R340" s="441" t="s">
        <v>222</v>
      </c>
      <c r="S340" s="441" t="s">
        <v>125</v>
      </c>
      <c r="T340" s="319">
        <v>4</v>
      </c>
      <c r="U340" s="320"/>
      <c r="V340" s="4"/>
      <c r="W340" s="441" t="s">
        <v>222</v>
      </c>
      <c r="X340" s="441" t="s">
        <v>125</v>
      </c>
      <c r="Y340" s="319">
        <v>4</v>
      </c>
      <c r="Z340" s="320"/>
      <c r="AA340" s="328">
        <f>Y340+T340+O340+J340+E340</f>
        <v>20</v>
      </c>
      <c r="AB340" s="298">
        <f>Z340+U340+P340+K340+F340</f>
        <v>0</v>
      </c>
      <c r="AC340" s="4"/>
      <c r="AF340" s="319"/>
      <c r="AG340" s="328">
        <f>AF340</f>
        <v>0</v>
      </c>
      <c r="AH340" s="175"/>
      <c r="AI340" s="402"/>
      <c r="AJ340" s="367"/>
      <c r="AK340" s="188" t="s">
        <v>32</v>
      </c>
      <c r="AL340" s="196">
        <f>AG341</f>
        <v>0</v>
      </c>
      <c r="AM340" s="511">
        <v>75.77</v>
      </c>
      <c r="AN340" s="510">
        <f>AL340*AM340</f>
        <v>0</v>
      </c>
      <c r="AO340" s="193"/>
      <c r="AP340" s="193"/>
    </row>
    <row r="341" spans="1:42" s="180" customFormat="1" hidden="1">
      <c r="A341" s="313"/>
      <c r="B341" s="64" t="s">
        <v>61</v>
      </c>
      <c r="C341" s="31"/>
      <c r="D341" s="31"/>
      <c r="E341" s="439">
        <f>SUM(E339:E340)</f>
        <v>12</v>
      </c>
      <c r="F341" s="320">
        <f>SUM(F339:F340)</f>
        <v>0</v>
      </c>
      <c r="G341" s="31"/>
      <c r="H341" s="31"/>
      <c r="I341" s="31"/>
      <c r="J341" s="439">
        <f>SUM(J339:J340)</f>
        <v>12</v>
      </c>
      <c r="K341" s="320">
        <f>SUM(K339:K340)</f>
        <v>0</v>
      </c>
      <c r="L341" s="31"/>
      <c r="M341" s="31"/>
      <c r="N341" s="31"/>
      <c r="O341" s="439">
        <f>SUM(O339:O340)</f>
        <v>12</v>
      </c>
      <c r="P341" s="320">
        <f>SUM(P339:P340)</f>
        <v>0</v>
      </c>
      <c r="Q341" s="31"/>
      <c r="R341" s="31"/>
      <c r="S341" s="31"/>
      <c r="T341" s="439">
        <f>SUM(T339:T340)</f>
        <v>12</v>
      </c>
      <c r="U341" s="320">
        <f>SUM(U339:U340)</f>
        <v>0</v>
      </c>
      <c r="V341" s="31"/>
      <c r="W341" s="31"/>
      <c r="X341" s="31"/>
      <c r="Y341" s="439">
        <f>SUM(Y339:Y340)</f>
        <v>12</v>
      </c>
      <c r="Z341" s="320">
        <f>SUM(Z339:Z340)</f>
        <v>0</v>
      </c>
      <c r="AA341" s="370">
        <f>SUM(AA339:AA340)</f>
        <v>60</v>
      </c>
      <c r="AB341" s="370">
        <f>SUM(AB339:AB340)</f>
        <v>0</v>
      </c>
      <c r="AC341" s="4"/>
      <c r="AD341" s="64"/>
      <c r="AE341" s="64"/>
      <c r="AF341" s="370">
        <f>SUM(AF339:AF340)</f>
        <v>0</v>
      </c>
      <c r="AG341" s="370">
        <f>SUM(AG339:AG340)</f>
        <v>0</v>
      </c>
      <c r="AH341" s="4"/>
      <c r="AI341" s="255"/>
      <c r="AJ341" s="367"/>
      <c r="AK341" s="193"/>
      <c r="AL341" s="193"/>
      <c r="AM341" s="193"/>
      <c r="AN341" s="510">
        <f>SUM(AN338:AN340)</f>
        <v>3090</v>
      </c>
      <c r="AO341" s="193"/>
      <c r="AP341" s="193"/>
    </row>
    <row r="342" spans="1:42" s="180" customFormat="1" hidden="1">
      <c r="A342" s="313"/>
      <c r="E342" s="4"/>
      <c r="F342" s="4"/>
      <c r="G342" s="4"/>
      <c r="J342" s="4"/>
      <c r="K342" s="4"/>
      <c r="L342" s="4"/>
      <c r="O342" s="4"/>
      <c r="P342" s="4"/>
      <c r="Q342" s="4"/>
      <c r="T342" s="4"/>
      <c r="U342" s="4"/>
      <c r="V342" s="4"/>
      <c r="Y342" s="4"/>
      <c r="Z342" s="4"/>
      <c r="AA342" s="4"/>
      <c r="AB342" s="4"/>
      <c r="AC342" s="4"/>
      <c r="AH342" s="4"/>
      <c r="AI342" s="255"/>
      <c r="AK342" s="193"/>
      <c r="AL342" s="193"/>
      <c r="AM342" s="193"/>
      <c r="AN342" s="193"/>
      <c r="AO342" s="193"/>
      <c r="AP342" s="193"/>
    </row>
    <row r="343" spans="1:42" s="180" customFormat="1" hidden="1">
      <c r="A343" s="313"/>
      <c r="B343" s="229"/>
      <c r="C343" s="230"/>
      <c r="D343" s="230"/>
      <c r="E343" s="232"/>
      <c r="F343" s="232"/>
      <c r="G343" s="230"/>
      <c r="H343" s="232"/>
      <c r="I343" s="232"/>
      <c r="J343" s="232"/>
      <c r="K343" s="232"/>
      <c r="L343" s="230"/>
      <c r="M343" s="230"/>
      <c r="N343" s="230"/>
      <c r="O343" s="230"/>
      <c r="P343" s="232"/>
      <c r="Q343" s="230"/>
      <c r="R343" s="230"/>
      <c r="S343" s="230"/>
      <c r="T343" s="230"/>
      <c r="U343" s="232"/>
      <c r="V343" s="230"/>
      <c r="W343" s="230"/>
      <c r="X343" s="230"/>
      <c r="Y343" s="233"/>
      <c r="Z343" s="232"/>
      <c r="AA343" s="234"/>
      <c r="AB343" s="232"/>
      <c r="AC343" s="373"/>
      <c r="AD343" s="236"/>
      <c r="AE343" s="255"/>
      <c r="AF343" s="255"/>
      <c r="AG343" s="255"/>
      <c r="AH343" s="255"/>
      <c r="AI343" s="255"/>
      <c r="AJ343" s="255"/>
      <c r="AK343" s="255"/>
      <c r="AL343" s="255"/>
      <c r="AM343" s="255"/>
      <c r="AN343" s="255"/>
      <c r="AO343" s="255"/>
      <c r="AP343" s="255"/>
    </row>
    <row r="344" spans="1:42" s="180" customFormat="1" hidden="1">
      <c r="A344" s="313"/>
      <c r="E344" s="4"/>
      <c r="F344" s="4"/>
      <c r="G344" s="4"/>
      <c r="J344" s="4"/>
      <c r="K344" s="4"/>
      <c r="L344" s="4"/>
      <c r="O344" s="4"/>
      <c r="P344" s="4"/>
      <c r="Q344" s="4"/>
      <c r="T344" s="4"/>
      <c r="U344" s="4"/>
      <c r="V344" s="4"/>
      <c r="Y344" s="4"/>
      <c r="Z344" s="4"/>
      <c r="AA344" s="4"/>
      <c r="AB344" s="4"/>
      <c r="AC344" s="4"/>
      <c r="AH344" s="4"/>
      <c r="AI344" s="255"/>
      <c r="AK344" s="193"/>
      <c r="AL344" s="193"/>
      <c r="AM344" s="193"/>
      <c r="AN344" s="193"/>
      <c r="AO344" s="193"/>
      <c r="AP344" s="193"/>
    </row>
    <row r="345" spans="1:42" s="180" customFormat="1" hidden="1">
      <c r="A345" s="313"/>
      <c r="B345" s="1518" t="s">
        <v>18</v>
      </c>
      <c r="C345" s="1519">
        <v>45831</v>
      </c>
      <c r="D345" s="1519"/>
      <c r="E345" s="1519"/>
      <c r="F345" s="1519"/>
      <c r="G345" s="365"/>
      <c r="H345" s="1519">
        <v>45832</v>
      </c>
      <c r="I345" s="1519"/>
      <c r="J345" s="1519"/>
      <c r="K345" s="1519"/>
      <c r="L345" s="365"/>
      <c r="M345" s="1519">
        <v>45833</v>
      </c>
      <c r="N345" s="1519"/>
      <c r="O345" s="1519"/>
      <c r="P345" s="1519"/>
      <c r="Q345" s="365"/>
      <c r="R345" s="1519">
        <v>45834</v>
      </c>
      <c r="S345" s="1519"/>
      <c r="T345" s="1519"/>
      <c r="U345" s="1519"/>
      <c r="V345" s="365"/>
      <c r="W345" s="1519">
        <v>45835</v>
      </c>
      <c r="X345" s="1519"/>
      <c r="Y345" s="1519"/>
      <c r="Z345" s="1519"/>
      <c r="AA345" s="1517" t="s">
        <v>19</v>
      </c>
      <c r="AB345" s="1517" t="s">
        <v>20</v>
      </c>
      <c r="AC345" s="4"/>
      <c r="AD345" s="1519">
        <v>45836</v>
      </c>
      <c r="AE345" s="1519"/>
      <c r="AF345" s="1519"/>
      <c r="AG345" s="1517" t="s">
        <v>21</v>
      </c>
      <c r="AH345" s="4"/>
      <c r="AI345" s="368"/>
      <c r="AK345" s="194" t="s">
        <v>84</v>
      </c>
      <c r="AL345" s="366"/>
      <c r="AM345" s="366"/>
      <c r="AN345" s="366"/>
      <c r="AO345" s="366"/>
      <c r="AP345" s="366"/>
    </row>
    <row r="346" spans="1:42" s="180" customFormat="1" hidden="1">
      <c r="A346" s="313"/>
      <c r="B346" s="1518"/>
      <c r="C346" s="21" t="s">
        <v>23</v>
      </c>
      <c r="D346" s="21" t="s">
        <v>24</v>
      </c>
      <c r="E346" s="205" t="s">
        <v>25</v>
      </c>
      <c r="F346" s="18" t="s">
        <v>14</v>
      </c>
      <c r="G346" s="4"/>
      <c r="H346" s="21" t="s">
        <v>23</v>
      </c>
      <c r="I346" s="21" t="s">
        <v>24</v>
      </c>
      <c r="J346" s="18" t="s">
        <v>25</v>
      </c>
      <c r="K346" s="18" t="s">
        <v>14</v>
      </c>
      <c r="L346" s="4"/>
      <c r="M346" s="21" t="s">
        <v>23</v>
      </c>
      <c r="N346" s="21" t="s">
        <v>24</v>
      </c>
      <c r="O346" s="18" t="s">
        <v>25</v>
      </c>
      <c r="P346" s="18" t="s">
        <v>14</v>
      </c>
      <c r="Q346" s="4"/>
      <c r="R346" s="21" t="s">
        <v>23</v>
      </c>
      <c r="S346" s="21" t="s">
        <v>24</v>
      </c>
      <c r="T346" s="18" t="s">
        <v>25</v>
      </c>
      <c r="U346" s="18" t="s">
        <v>14</v>
      </c>
      <c r="V346" s="4"/>
      <c r="W346" s="21" t="s">
        <v>23</v>
      </c>
      <c r="X346" s="21" t="s">
        <v>24</v>
      </c>
      <c r="Y346" s="18" t="s">
        <v>25</v>
      </c>
      <c r="Z346" s="18" t="s">
        <v>14</v>
      </c>
      <c r="AA346" s="1517"/>
      <c r="AB346" s="1517"/>
      <c r="AC346" s="4"/>
      <c r="AD346" s="21" t="s">
        <v>23</v>
      </c>
      <c r="AE346" s="21" t="s">
        <v>24</v>
      </c>
      <c r="AF346" s="18" t="s">
        <v>25</v>
      </c>
      <c r="AG346" s="1517"/>
      <c r="AH346" s="4"/>
      <c r="AI346" s="368"/>
      <c r="AJ346" s="367"/>
      <c r="AK346" s="188" t="s">
        <v>26</v>
      </c>
      <c r="AL346" s="196">
        <f>AA349</f>
        <v>60</v>
      </c>
      <c r="AM346" s="511">
        <v>51.5</v>
      </c>
      <c r="AN346" s="510">
        <f>AL346*AM346</f>
        <v>3090</v>
      </c>
      <c r="AO346" s="193"/>
      <c r="AP346" s="193"/>
    </row>
    <row r="347" spans="1:42" s="180" customFormat="1" hidden="1">
      <c r="A347" s="313"/>
      <c r="B347" s="4" t="s">
        <v>60</v>
      </c>
      <c r="C347" s="441" t="s">
        <v>75</v>
      </c>
      <c r="D347" s="441" t="s">
        <v>246</v>
      </c>
      <c r="E347" s="319">
        <v>8</v>
      </c>
      <c r="F347" s="320"/>
      <c r="G347" s="4"/>
      <c r="H347" s="441" t="s">
        <v>75</v>
      </c>
      <c r="I347" s="441" t="s">
        <v>246</v>
      </c>
      <c r="J347" s="319">
        <v>8</v>
      </c>
      <c r="K347" s="320"/>
      <c r="L347" s="4"/>
      <c r="M347" s="441" t="s">
        <v>75</v>
      </c>
      <c r="N347" s="441" t="s">
        <v>246</v>
      </c>
      <c r="O347" s="319">
        <v>8</v>
      </c>
      <c r="P347" s="320"/>
      <c r="Q347" s="4"/>
      <c r="R347" s="441" t="s">
        <v>75</v>
      </c>
      <c r="S347" s="441" t="s">
        <v>246</v>
      </c>
      <c r="T347" s="319">
        <v>8</v>
      </c>
      <c r="U347" s="320"/>
      <c r="V347" s="4"/>
      <c r="W347" s="441" t="s">
        <v>75</v>
      </c>
      <c r="X347" s="441" t="s">
        <v>246</v>
      </c>
      <c r="Y347" s="319">
        <v>8</v>
      </c>
      <c r="Z347" s="320"/>
      <c r="AA347" s="328">
        <f>Y347+T347+O347+J347+E347</f>
        <v>40</v>
      </c>
      <c r="AB347" s="298">
        <f>Z347+U347+P347+K347+F347</f>
        <v>0</v>
      </c>
      <c r="AC347" s="4"/>
      <c r="AD347" s="587"/>
      <c r="AE347" s="531"/>
      <c r="AF347" s="319"/>
      <c r="AG347" s="328">
        <f>AF347</f>
        <v>0</v>
      </c>
      <c r="AH347" s="4"/>
      <c r="AI347" s="368"/>
      <c r="AJ347" s="367"/>
      <c r="AK347" s="188" t="s">
        <v>30</v>
      </c>
      <c r="AL347" s="196">
        <f>AB349</f>
        <v>0</v>
      </c>
      <c r="AM347" s="511">
        <f>AM346*1.5</f>
        <v>77.25</v>
      </c>
      <c r="AN347" s="510">
        <f>AL347*AM347</f>
        <v>0</v>
      </c>
      <c r="AO347" s="193"/>
      <c r="AP347" s="193"/>
    </row>
    <row r="348" spans="1:42" s="180" customFormat="1" hidden="1">
      <c r="A348" s="313"/>
      <c r="B348" s="4" t="s">
        <v>59</v>
      </c>
      <c r="C348" s="441" t="s">
        <v>222</v>
      </c>
      <c r="D348" s="441" t="s">
        <v>125</v>
      </c>
      <c r="E348" s="319">
        <v>4</v>
      </c>
      <c r="F348" s="320"/>
      <c r="G348" s="4"/>
      <c r="H348" s="441" t="s">
        <v>222</v>
      </c>
      <c r="I348" s="441" t="s">
        <v>125</v>
      </c>
      <c r="J348" s="319">
        <v>4</v>
      </c>
      <c r="K348" s="320"/>
      <c r="L348" s="4"/>
      <c r="M348" s="441" t="s">
        <v>116</v>
      </c>
      <c r="N348" s="441"/>
      <c r="O348" s="319">
        <v>4</v>
      </c>
      <c r="P348" s="320"/>
      <c r="Q348" s="4"/>
      <c r="R348" s="441" t="s">
        <v>222</v>
      </c>
      <c r="S348" s="441" t="s">
        <v>125</v>
      </c>
      <c r="T348" s="319">
        <v>4</v>
      </c>
      <c r="U348" s="320"/>
      <c r="V348" s="4"/>
      <c r="W348" s="441" t="s">
        <v>222</v>
      </c>
      <c r="X348" s="441" t="s">
        <v>125</v>
      </c>
      <c r="Y348" s="319">
        <v>4</v>
      </c>
      <c r="Z348" s="320"/>
      <c r="AA348" s="328">
        <f>Y348+T348+O348+J348+E348</f>
        <v>20</v>
      </c>
      <c r="AB348" s="298">
        <f>Z348+U348+P348+K348+F348</f>
        <v>0</v>
      </c>
      <c r="AC348" s="4"/>
      <c r="AF348" s="319"/>
      <c r="AG348" s="328">
        <f>AF348</f>
        <v>0</v>
      </c>
      <c r="AH348" s="175"/>
      <c r="AI348" s="402"/>
      <c r="AJ348" s="367"/>
      <c r="AK348" s="188" t="s">
        <v>32</v>
      </c>
      <c r="AL348" s="196">
        <f>AG349</f>
        <v>0</v>
      </c>
      <c r="AM348" s="511">
        <v>75.77</v>
      </c>
      <c r="AN348" s="510">
        <f>AL348*AM348</f>
        <v>0</v>
      </c>
      <c r="AO348" s="193"/>
      <c r="AP348" s="193"/>
    </row>
    <row r="349" spans="1:42" s="180" customFormat="1" hidden="1">
      <c r="A349" s="313"/>
      <c r="B349" s="64" t="s">
        <v>61</v>
      </c>
      <c r="C349" s="31"/>
      <c r="D349" s="31"/>
      <c r="E349" s="439">
        <f>SUM(E347:E348)</f>
        <v>12</v>
      </c>
      <c r="F349" s="320">
        <f>SUM(F347:F348)</f>
        <v>0</v>
      </c>
      <c r="G349" s="31"/>
      <c r="H349" s="31"/>
      <c r="I349" s="31"/>
      <c r="J349" s="439">
        <f>SUM(J347:J348)</f>
        <v>12</v>
      </c>
      <c r="K349" s="320">
        <f>SUM(K347:K348)</f>
        <v>0</v>
      </c>
      <c r="L349" s="31"/>
      <c r="M349" s="31"/>
      <c r="N349" s="31"/>
      <c r="O349" s="439">
        <f>SUM(O347:O348)</f>
        <v>12</v>
      </c>
      <c r="P349" s="320">
        <f>SUM(P347:P348)</f>
        <v>0</v>
      </c>
      <c r="Q349" s="31"/>
      <c r="R349" s="31"/>
      <c r="S349" s="31"/>
      <c r="T349" s="439">
        <f>SUM(T347:T348)</f>
        <v>12</v>
      </c>
      <c r="U349" s="320">
        <f>SUM(U347:U348)</f>
        <v>0</v>
      </c>
      <c r="V349" s="31"/>
      <c r="W349" s="31"/>
      <c r="X349" s="31"/>
      <c r="Y349" s="439">
        <f>SUM(Y347:Y348)</f>
        <v>12</v>
      </c>
      <c r="Z349" s="320">
        <f>SUM(Z347:Z348)</f>
        <v>0</v>
      </c>
      <c r="AA349" s="370">
        <f>SUM(AA347:AA348)</f>
        <v>60</v>
      </c>
      <c r="AB349" s="370">
        <f>SUM(AB347:AB348)</f>
        <v>0</v>
      </c>
      <c r="AC349" s="4"/>
      <c r="AD349" s="64"/>
      <c r="AE349" s="64"/>
      <c r="AF349" s="370">
        <f>SUM(AF347:AF348)</f>
        <v>0</v>
      </c>
      <c r="AG349" s="370">
        <f>SUM(AG347:AG348)</f>
        <v>0</v>
      </c>
      <c r="AH349" s="4"/>
      <c r="AI349" s="255"/>
      <c r="AJ349" s="367"/>
      <c r="AK349" s="193"/>
      <c r="AL349" s="193"/>
      <c r="AM349" s="193"/>
      <c r="AN349" s="510">
        <f>SUM(AN346:AN348)</f>
        <v>3090</v>
      </c>
      <c r="AO349" s="193"/>
      <c r="AP349" s="193"/>
    </row>
    <row r="350" spans="1:42" s="180" customFormat="1" hidden="1">
      <c r="A350" s="313"/>
      <c r="E350" s="4"/>
      <c r="F350" s="4"/>
      <c r="G350" s="4"/>
      <c r="J350" s="4"/>
      <c r="K350" s="4"/>
      <c r="L350" s="4"/>
      <c r="O350" s="4"/>
      <c r="P350" s="4"/>
      <c r="Q350" s="4"/>
      <c r="T350" s="4"/>
      <c r="U350" s="4"/>
      <c r="V350" s="4"/>
      <c r="Y350" s="4"/>
      <c r="Z350" s="4"/>
      <c r="AA350" s="4"/>
      <c r="AB350" s="4"/>
      <c r="AC350" s="4"/>
      <c r="AH350" s="4"/>
      <c r="AI350" s="255"/>
      <c r="AK350" s="193"/>
      <c r="AL350" s="193"/>
      <c r="AM350" s="193"/>
      <c r="AN350" s="193"/>
      <c r="AO350" s="193"/>
      <c r="AP350" s="193"/>
    </row>
    <row r="351" spans="1:42" s="180" customFormat="1" hidden="1">
      <c r="A351" s="313"/>
      <c r="B351" s="229"/>
      <c r="C351" s="230"/>
      <c r="D351" s="230"/>
      <c r="E351" s="232"/>
      <c r="F351" s="232"/>
      <c r="G351" s="230"/>
      <c r="H351" s="232"/>
      <c r="I351" s="232"/>
      <c r="J351" s="232"/>
      <c r="K351" s="232"/>
      <c r="L351" s="230"/>
      <c r="M351" s="230"/>
      <c r="N351" s="230"/>
      <c r="O351" s="230"/>
      <c r="P351" s="232"/>
      <c r="Q351" s="230"/>
      <c r="R351" s="230"/>
      <c r="S351" s="230"/>
      <c r="T351" s="230"/>
      <c r="U351" s="232"/>
      <c r="V351" s="230"/>
      <c r="W351" s="230"/>
      <c r="X351" s="230"/>
      <c r="Y351" s="233"/>
      <c r="Z351" s="232"/>
      <c r="AA351" s="234"/>
      <c r="AB351" s="232"/>
      <c r="AC351" s="373"/>
      <c r="AD351" s="236"/>
      <c r="AE351" s="255"/>
      <c r="AF351" s="255"/>
      <c r="AG351" s="255"/>
      <c r="AH351" s="255"/>
      <c r="AI351" s="255"/>
      <c r="AJ351" s="255"/>
      <c r="AK351" s="255"/>
      <c r="AL351" s="255"/>
      <c r="AM351" s="255"/>
      <c r="AN351" s="255"/>
      <c r="AO351" s="255"/>
      <c r="AP351" s="255"/>
    </row>
    <row r="352" spans="1:42" s="180" customFormat="1" hidden="1">
      <c r="A352" s="313"/>
      <c r="E352" s="4"/>
      <c r="F352" s="4"/>
      <c r="G352" s="4"/>
      <c r="J352" s="4"/>
      <c r="K352" s="4"/>
      <c r="L352" s="4"/>
      <c r="O352" s="4"/>
      <c r="P352" s="4"/>
      <c r="Q352" s="4"/>
      <c r="T352" s="4"/>
      <c r="U352" s="4"/>
      <c r="V352" s="4"/>
      <c r="Y352" s="4"/>
      <c r="Z352" s="4"/>
      <c r="AA352" s="4"/>
      <c r="AB352" s="4"/>
      <c r="AC352" s="4"/>
      <c r="AH352" s="4"/>
      <c r="AI352" s="255"/>
      <c r="AK352" s="193"/>
      <c r="AL352" s="193"/>
      <c r="AM352" s="193"/>
      <c r="AN352" s="193"/>
      <c r="AO352" s="193"/>
      <c r="AP352" s="193"/>
    </row>
    <row r="353" spans="1:42" s="180" customFormat="1" hidden="1">
      <c r="A353" s="313"/>
      <c r="B353" s="1518" t="s">
        <v>18</v>
      </c>
      <c r="C353" s="1519">
        <v>45838</v>
      </c>
      <c r="D353" s="1519"/>
      <c r="E353" s="1519"/>
      <c r="F353" s="1519"/>
      <c r="G353" s="365"/>
      <c r="H353" s="1519">
        <v>45839</v>
      </c>
      <c r="I353" s="1519"/>
      <c r="J353" s="1519"/>
      <c r="K353" s="1519"/>
      <c r="L353" s="365"/>
      <c r="M353" s="1519">
        <v>45840</v>
      </c>
      <c r="N353" s="1519"/>
      <c r="O353" s="1519"/>
      <c r="P353" s="1519"/>
      <c r="Q353" s="365"/>
      <c r="R353" s="1519">
        <v>45841</v>
      </c>
      <c r="S353" s="1519"/>
      <c r="T353" s="1519"/>
      <c r="U353" s="1519"/>
      <c r="V353" s="365"/>
      <c r="W353" s="1519">
        <v>45842</v>
      </c>
      <c r="X353" s="1519"/>
      <c r="Y353" s="1519"/>
      <c r="Z353" s="1519"/>
      <c r="AA353" s="1517" t="s">
        <v>19</v>
      </c>
      <c r="AB353" s="1517" t="s">
        <v>20</v>
      </c>
      <c r="AC353" s="4"/>
      <c r="AD353" s="1519">
        <v>45843</v>
      </c>
      <c r="AE353" s="1519"/>
      <c r="AF353" s="1519"/>
      <c r="AG353" s="1517" t="s">
        <v>21</v>
      </c>
      <c r="AH353" s="4"/>
      <c r="AI353" s="368"/>
      <c r="AK353" s="194" t="s">
        <v>84</v>
      </c>
      <c r="AL353" s="366"/>
      <c r="AM353" s="366"/>
      <c r="AN353" s="366"/>
      <c r="AO353" s="366"/>
      <c r="AP353" s="366"/>
    </row>
    <row r="354" spans="1:42" s="180" customFormat="1" hidden="1">
      <c r="A354" s="313"/>
      <c r="B354" s="1518"/>
      <c r="C354" s="21" t="s">
        <v>23</v>
      </c>
      <c r="D354" s="21" t="s">
        <v>24</v>
      </c>
      <c r="E354" s="205" t="s">
        <v>25</v>
      </c>
      <c r="F354" s="18" t="s">
        <v>14</v>
      </c>
      <c r="G354" s="4"/>
      <c r="H354" s="21" t="s">
        <v>23</v>
      </c>
      <c r="I354" s="21" t="s">
        <v>24</v>
      </c>
      <c r="J354" s="18" t="s">
        <v>25</v>
      </c>
      <c r="K354" s="18" t="s">
        <v>14</v>
      </c>
      <c r="L354" s="4"/>
      <c r="M354" s="21" t="s">
        <v>23</v>
      </c>
      <c r="N354" s="21" t="s">
        <v>24</v>
      </c>
      <c r="O354" s="18" t="s">
        <v>25</v>
      </c>
      <c r="P354" s="18" t="s">
        <v>14</v>
      </c>
      <c r="Q354" s="4"/>
      <c r="R354" s="21" t="s">
        <v>23</v>
      </c>
      <c r="S354" s="21" t="s">
        <v>24</v>
      </c>
      <c r="T354" s="18" t="s">
        <v>25</v>
      </c>
      <c r="U354" s="18" t="s">
        <v>14</v>
      </c>
      <c r="V354" s="4"/>
      <c r="W354" s="21" t="s">
        <v>23</v>
      </c>
      <c r="X354" s="21" t="s">
        <v>24</v>
      </c>
      <c r="Y354" s="18" t="s">
        <v>25</v>
      </c>
      <c r="Z354" s="18" t="s">
        <v>14</v>
      </c>
      <c r="AA354" s="1517"/>
      <c r="AB354" s="1517"/>
      <c r="AC354" s="4"/>
      <c r="AD354" s="21" t="s">
        <v>23</v>
      </c>
      <c r="AE354" s="21" t="s">
        <v>24</v>
      </c>
      <c r="AF354" s="18" t="s">
        <v>25</v>
      </c>
      <c r="AG354" s="1517"/>
      <c r="AH354" s="4"/>
      <c r="AI354" s="368"/>
      <c r="AJ354" s="367"/>
      <c r="AK354" s="188" t="s">
        <v>26</v>
      </c>
      <c r="AL354" s="196">
        <f>AA357</f>
        <v>52</v>
      </c>
      <c r="AM354" s="511">
        <v>51.5</v>
      </c>
      <c r="AN354" s="510">
        <f>AL354*AM354</f>
        <v>2678</v>
      </c>
      <c r="AO354" s="193"/>
      <c r="AP354" s="193"/>
    </row>
    <row r="355" spans="1:42" s="180" customFormat="1" hidden="1">
      <c r="A355" s="313"/>
      <c r="B355" s="4" t="s">
        <v>60</v>
      </c>
      <c r="C355" s="441" t="s">
        <v>75</v>
      </c>
      <c r="D355" s="441" t="s">
        <v>246</v>
      </c>
      <c r="E355" s="319">
        <v>8</v>
      </c>
      <c r="F355" s="320"/>
      <c r="G355" s="4"/>
      <c r="H355" s="441" t="s">
        <v>75</v>
      </c>
      <c r="I355" s="441" t="s">
        <v>246</v>
      </c>
      <c r="J355" s="319">
        <v>8</v>
      </c>
      <c r="K355" s="320"/>
      <c r="L355" s="4"/>
      <c r="M355" s="441" t="s">
        <v>75</v>
      </c>
      <c r="N355" s="441" t="s">
        <v>246</v>
      </c>
      <c r="O355" s="319">
        <v>8</v>
      </c>
      <c r="P355" s="320"/>
      <c r="Q355" s="4"/>
      <c r="R355" s="441" t="s">
        <v>75</v>
      </c>
      <c r="S355" s="441" t="s">
        <v>246</v>
      </c>
      <c r="T355" s="319">
        <v>8</v>
      </c>
      <c r="U355" s="320"/>
      <c r="V355" s="4"/>
      <c r="W355" s="441" t="s">
        <v>28</v>
      </c>
      <c r="X355" s="441"/>
      <c r="Y355" s="319">
        <v>8</v>
      </c>
      <c r="Z355" s="320"/>
      <c r="AA355" s="328">
        <f>Y355+T355+O355+J355+E355</f>
        <v>40</v>
      </c>
      <c r="AB355" s="298">
        <f>Z355+U355+P355+K355+F355</f>
        <v>0</v>
      </c>
      <c r="AC355" s="4"/>
      <c r="AD355" s="587"/>
      <c r="AE355" s="531"/>
      <c r="AF355" s="319"/>
      <c r="AG355" s="328">
        <f>AF355</f>
        <v>0</v>
      </c>
      <c r="AH355" s="4"/>
      <c r="AI355" s="368"/>
      <c r="AJ355" s="367"/>
      <c r="AK355" s="188" t="s">
        <v>30</v>
      </c>
      <c r="AL355" s="196">
        <f>AB357</f>
        <v>0</v>
      </c>
      <c r="AM355" s="511">
        <f>AM354*1.5</f>
        <v>77.25</v>
      </c>
      <c r="AN355" s="510">
        <f>AL355*AM355</f>
        <v>0</v>
      </c>
      <c r="AO355" s="193"/>
      <c r="AP355" s="193"/>
    </row>
    <row r="356" spans="1:42" s="180" customFormat="1" ht="12.75" hidden="1" customHeight="1">
      <c r="A356" s="313"/>
      <c r="B356" s="4" t="s">
        <v>59</v>
      </c>
      <c r="C356" s="441" t="s">
        <v>222</v>
      </c>
      <c r="D356" s="441" t="s">
        <v>125</v>
      </c>
      <c r="E356" s="319">
        <v>4</v>
      </c>
      <c r="F356" s="320"/>
      <c r="G356" s="4"/>
      <c r="H356" s="441" t="s">
        <v>222</v>
      </c>
      <c r="I356" s="441" t="s">
        <v>125</v>
      </c>
      <c r="J356" s="319">
        <v>4</v>
      </c>
      <c r="K356" s="320"/>
      <c r="L356" s="4"/>
      <c r="M356" s="441" t="s">
        <v>222</v>
      </c>
      <c r="N356" s="441" t="s">
        <v>125</v>
      </c>
      <c r="O356" s="319">
        <v>4</v>
      </c>
      <c r="P356" s="320"/>
      <c r="Q356" s="4"/>
      <c r="R356" s="441" t="s">
        <v>24</v>
      </c>
      <c r="S356" s="441"/>
      <c r="T356" s="319"/>
      <c r="U356" s="320"/>
      <c r="V356" s="4"/>
      <c r="W356" s="731" t="s">
        <v>28</v>
      </c>
      <c r="X356" s="441"/>
      <c r="Y356" s="319"/>
      <c r="Z356" s="320"/>
      <c r="AA356" s="328">
        <f>Y356+T356+O356+J356+E356</f>
        <v>12</v>
      </c>
      <c r="AB356" s="298">
        <f>Z356+U356+P356+K356+F356</f>
        <v>0</v>
      </c>
      <c r="AC356" s="4"/>
      <c r="AF356" s="319"/>
      <c r="AG356" s="328">
        <f>AF356</f>
        <v>0</v>
      </c>
      <c r="AH356" s="175"/>
      <c r="AI356" s="402"/>
      <c r="AJ356" s="367"/>
      <c r="AK356" s="188" t="s">
        <v>32</v>
      </c>
      <c r="AL356" s="196">
        <f>AG357</f>
        <v>0</v>
      </c>
      <c r="AM356" s="511">
        <v>75.77</v>
      </c>
      <c r="AN356" s="510">
        <f>AL356*AM356</f>
        <v>0</v>
      </c>
      <c r="AO356" s="193"/>
      <c r="AP356" s="193"/>
    </row>
    <row r="357" spans="1:42" s="180" customFormat="1" hidden="1">
      <c r="A357" s="313"/>
      <c r="B357" s="64" t="s">
        <v>61</v>
      </c>
      <c r="C357" s="31"/>
      <c r="D357" s="31"/>
      <c r="E357" s="439">
        <f>SUM(E355:E356)</f>
        <v>12</v>
      </c>
      <c r="F357" s="320">
        <f>SUM(F355:F356)</f>
        <v>0</v>
      </c>
      <c r="G357" s="31"/>
      <c r="H357" s="31"/>
      <c r="I357" s="31"/>
      <c r="J357" s="439">
        <f>SUM(J355:J356)</f>
        <v>12</v>
      </c>
      <c r="K357" s="320">
        <f>SUM(K355:K356)</f>
        <v>0</v>
      </c>
      <c r="L357" s="31"/>
      <c r="M357" s="31"/>
      <c r="N357" s="31"/>
      <c r="O357" s="439">
        <f>SUM(O355:O356)</f>
        <v>12</v>
      </c>
      <c r="P357" s="320">
        <f>SUM(P355:P356)</f>
        <v>0</v>
      </c>
      <c r="Q357" s="31"/>
      <c r="R357" s="31"/>
      <c r="S357" s="31"/>
      <c r="T357" s="439">
        <f>SUM(T355:T356)</f>
        <v>8</v>
      </c>
      <c r="U357" s="320">
        <f>SUM(U355:U356)</f>
        <v>0</v>
      </c>
      <c r="V357" s="31"/>
      <c r="W357" s="31"/>
      <c r="X357" s="31"/>
      <c r="Y357" s="439">
        <f>SUM(Y355:Y356)</f>
        <v>8</v>
      </c>
      <c r="Z357" s="320">
        <f>SUM(Z355:Z356)</f>
        <v>0</v>
      </c>
      <c r="AA357" s="370">
        <f>SUM(AA355:AA356)</f>
        <v>52</v>
      </c>
      <c r="AB357" s="370">
        <f>SUM(AB355:AB356)</f>
        <v>0</v>
      </c>
      <c r="AC357" s="4"/>
      <c r="AD357" s="64"/>
      <c r="AE357" s="64"/>
      <c r="AF357" s="370">
        <f>SUM(AF355:AF356)</f>
        <v>0</v>
      </c>
      <c r="AG357" s="370">
        <f>SUM(AG355:AG356)</f>
        <v>0</v>
      </c>
      <c r="AH357" s="4"/>
      <c r="AI357" s="255"/>
      <c r="AJ357" s="367"/>
      <c r="AK357" s="193"/>
      <c r="AL357" s="193"/>
      <c r="AM357" s="193"/>
      <c r="AN357" s="510">
        <f>SUM(AN354:AN356)</f>
        <v>2678</v>
      </c>
      <c r="AO357" s="193"/>
      <c r="AP357" s="193"/>
    </row>
    <row r="358" spans="1:42" s="180" customFormat="1" hidden="1">
      <c r="A358" s="313"/>
      <c r="E358" s="4"/>
      <c r="F358" s="4"/>
      <c r="G358" s="4"/>
      <c r="J358" s="4"/>
      <c r="K358" s="4"/>
      <c r="L358" s="4"/>
      <c r="O358" s="4"/>
      <c r="P358" s="4"/>
      <c r="Q358" s="4"/>
      <c r="T358" s="4"/>
      <c r="U358" s="4"/>
      <c r="V358" s="4"/>
      <c r="Y358" s="4"/>
      <c r="Z358" s="4"/>
      <c r="AA358" s="4"/>
      <c r="AB358" s="4"/>
      <c r="AC358" s="4"/>
      <c r="AH358" s="4"/>
      <c r="AI358" s="255"/>
      <c r="AK358" s="193"/>
      <c r="AL358" s="193"/>
      <c r="AM358" s="193"/>
      <c r="AN358" s="193"/>
      <c r="AO358" s="193"/>
      <c r="AP358" s="193"/>
    </row>
    <row r="359" spans="1:42" s="180" customFormat="1" hidden="1">
      <c r="A359" s="313"/>
      <c r="B359" s="229"/>
      <c r="C359" s="230"/>
      <c r="D359" s="230"/>
      <c r="E359" s="232"/>
      <c r="F359" s="232"/>
      <c r="G359" s="230"/>
      <c r="H359" s="232"/>
      <c r="I359" s="232"/>
      <c r="J359" s="232"/>
      <c r="K359" s="232"/>
      <c r="L359" s="230"/>
      <c r="M359" s="230"/>
      <c r="N359" s="230"/>
      <c r="O359" s="230"/>
      <c r="P359" s="232"/>
      <c r="Q359" s="230"/>
      <c r="R359" s="230"/>
      <c r="S359" s="230"/>
      <c r="T359" s="230"/>
      <c r="U359" s="232"/>
      <c r="V359" s="230"/>
      <c r="W359" s="230"/>
      <c r="X359" s="230"/>
      <c r="Y359" s="233"/>
      <c r="Z359" s="232"/>
      <c r="AA359" s="234"/>
      <c r="AB359" s="232"/>
      <c r="AC359" s="373"/>
      <c r="AD359" s="236"/>
      <c r="AE359" s="255"/>
      <c r="AF359" s="255"/>
      <c r="AG359" s="255"/>
      <c r="AH359" s="255"/>
      <c r="AI359" s="255"/>
      <c r="AJ359" s="255"/>
      <c r="AK359" s="255"/>
      <c r="AL359" s="255"/>
      <c r="AM359" s="255"/>
      <c r="AN359" s="255"/>
      <c r="AO359" s="255"/>
      <c r="AP359" s="255"/>
    </row>
    <row r="360" spans="1:42" s="180" customFormat="1" hidden="1">
      <c r="A360" s="313"/>
      <c r="E360" s="4"/>
      <c r="F360" s="4"/>
      <c r="G360" s="4"/>
      <c r="J360" s="4"/>
      <c r="K360" s="4"/>
      <c r="L360" s="4"/>
      <c r="O360" s="4"/>
      <c r="P360" s="4"/>
      <c r="Q360" s="4"/>
      <c r="T360" s="4"/>
      <c r="U360" s="4"/>
      <c r="V360" s="4"/>
      <c r="Y360" s="4"/>
      <c r="Z360" s="4"/>
      <c r="AA360" s="4"/>
      <c r="AB360" s="4"/>
      <c r="AC360" s="4"/>
      <c r="AH360" s="4"/>
      <c r="AI360" s="255"/>
      <c r="AK360" s="193"/>
      <c r="AL360" s="193"/>
      <c r="AM360" s="193"/>
      <c r="AN360" s="193"/>
      <c r="AO360" s="193"/>
      <c r="AP360" s="193"/>
    </row>
    <row r="361" spans="1:42" s="180" customFormat="1" ht="13.5" hidden="1" customHeight="1">
      <c r="A361" s="313"/>
      <c r="B361" s="1518" t="s">
        <v>18</v>
      </c>
      <c r="C361" s="1519">
        <v>45845</v>
      </c>
      <c r="D361" s="1519"/>
      <c r="E361" s="1519"/>
      <c r="F361" s="1519"/>
      <c r="G361" s="365"/>
      <c r="H361" s="1519">
        <v>45846</v>
      </c>
      <c r="I361" s="1519"/>
      <c r="J361" s="1519"/>
      <c r="K361" s="1519"/>
      <c r="L361" s="365"/>
      <c r="M361" s="1519">
        <v>45847</v>
      </c>
      <c r="N361" s="1519"/>
      <c r="O361" s="1519"/>
      <c r="P361" s="1519"/>
      <c r="Q361" s="365"/>
      <c r="R361" s="1519">
        <v>45848</v>
      </c>
      <c r="S361" s="1519"/>
      <c r="T361" s="1519"/>
      <c r="U361" s="1519"/>
      <c r="V361" s="365"/>
      <c r="W361" s="1519">
        <v>45849</v>
      </c>
      <c r="X361" s="1519"/>
      <c r="Y361" s="1519"/>
      <c r="Z361" s="1519"/>
      <c r="AA361" s="1517" t="s">
        <v>19</v>
      </c>
      <c r="AB361" s="1517" t="s">
        <v>20</v>
      </c>
      <c r="AC361" s="4"/>
      <c r="AD361" s="1519">
        <v>45850</v>
      </c>
      <c r="AE361" s="1519"/>
      <c r="AF361" s="1519"/>
      <c r="AG361" s="1517" t="s">
        <v>21</v>
      </c>
      <c r="AH361" s="4"/>
      <c r="AI361" s="368"/>
      <c r="AK361" s="194" t="s">
        <v>84</v>
      </c>
      <c r="AL361" s="366"/>
      <c r="AM361" s="366"/>
      <c r="AN361" s="366"/>
      <c r="AO361" s="366"/>
      <c r="AP361" s="366"/>
    </row>
    <row r="362" spans="1:42" s="180" customFormat="1" hidden="1">
      <c r="A362" s="313"/>
      <c r="B362" s="1518"/>
      <c r="C362" s="21" t="s">
        <v>23</v>
      </c>
      <c r="D362" s="21" t="s">
        <v>24</v>
      </c>
      <c r="E362" s="205" t="s">
        <v>25</v>
      </c>
      <c r="F362" s="18" t="s">
        <v>14</v>
      </c>
      <c r="G362" s="4"/>
      <c r="H362" s="21" t="s">
        <v>23</v>
      </c>
      <c r="I362" s="21" t="s">
        <v>24</v>
      </c>
      <c r="J362" s="18" t="s">
        <v>25</v>
      </c>
      <c r="K362" s="18" t="s">
        <v>14</v>
      </c>
      <c r="L362" s="4"/>
      <c r="M362" s="21" t="s">
        <v>23</v>
      </c>
      <c r="N362" s="21" t="s">
        <v>24</v>
      </c>
      <c r="O362" s="18" t="s">
        <v>25</v>
      </c>
      <c r="P362" s="18" t="s">
        <v>14</v>
      </c>
      <c r="Q362" s="4"/>
      <c r="R362" s="21" t="s">
        <v>23</v>
      </c>
      <c r="S362" s="21" t="s">
        <v>24</v>
      </c>
      <c r="T362" s="18" t="s">
        <v>25</v>
      </c>
      <c r="U362" s="18" t="s">
        <v>14</v>
      </c>
      <c r="V362" s="4"/>
      <c r="W362" s="21" t="s">
        <v>23</v>
      </c>
      <c r="X362" s="21" t="s">
        <v>24</v>
      </c>
      <c r="Y362" s="18" t="s">
        <v>25</v>
      </c>
      <c r="Z362" s="18" t="s">
        <v>14</v>
      </c>
      <c r="AA362" s="1517"/>
      <c r="AB362" s="1517"/>
      <c r="AC362" s="4"/>
      <c r="AD362" s="21" t="s">
        <v>23</v>
      </c>
      <c r="AE362" s="21" t="s">
        <v>24</v>
      </c>
      <c r="AF362" s="18" t="s">
        <v>25</v>
      </c>
      <c r="AG362" s="1517"/>
      <c r="AH362" s="4"/>
      <c r="AI362" s="368"/>
      <c r="AJ362" s="367"/>
      <c r="AK362" s="188" t="s">
        <v>26</v>
      </c>
      <c r="AL362" s="196">
        <f>AA365</f>
        <v>52</v>
      </c>
      <c r="AM362" s="511">
        <v>51.5</v>
      </c>
      <c r="AN362" s="510">
        <f>AL362*AM362</f>
        <v>2678</v>
      </c>
      <c r="AO362" s="193"/>
      <c r="AP362" s="193"/>
    </row>
    <row r="363" spans="1:42" s="180" customFormat="1" hidden="1">
      <c r="A363" s="313"/>
      <c r="B363" s="4" t="s">
        <v>60</v>
      </c>
      <c r="C363" s="441" t="s">
        <v>75</v>
      </c>
      <c r="D363" s="441" t="s">
        <v>246</v>
      </c>
      <c r="E363" s="319">
        <v>8</v>
      </c>
      <c r="F363" s="320"/>
      <c r="G363" s="4"/>
      <c r="H363" s="441" t="s">
        <v>75</v>
      </c>
      <c r="I363" s="441" t="s">
        <v>246</v>
      </c>
      <c r="J363" s="319">
        <v>8</v>
      </c>
      <c r="K363" s="320"/>
      <c r="L363" s="4"/>
      <c r="M363" s="441" t="s">
        <v>75</v>
      </c>
      <c r="N363" s="441" t="s">
        <v>246</v>
      </c>
      <c r="O363" s="319">
        <v>8</v>
      </c>
      <c r="P363" s="320"/>
      <c r="Q363" s="4"/>
      <c r="R363" s="441" t="s">
        <v>75</v>
      </c>
      <c r="S363" s="441" t="s">
        <v>246</v>
      </c>
      <c r="T363" s="319">
        <v>8</v>
      </c>
      <c r="U363" s="320"/>
      <c r="V363" s="4"/>
      <c r="W363" s="441" t="s">
        <v>75</v>
      </c>
      <c r="X363" s="441" t="s">
        <v>246</v>
      </c>
      <c r="Y363" s="319">
        <v>8</v>
      </c>
      <c r="Z363" s="320"/>
      <c r="AA363" s="328">
        <f>Y363+T363+O363+J363+E363</f>
        <v>40</v>
      </c>
      <c r="AB363" s="298">
        <f>Z363+U363+P363+K363+F363</f>
        <v>0</v>
      </c>
      <c r="AC363" s="4"/>
      <c r="AD363" s="587"/>
      <c r="AE363" s="531"/>
      <c r="AF363" s="319"/>
      <c r="AG363" s="328">
        <f>AF363</f>
        <v>0</v>
      </c>
      <c r="AH363" s="4"/>
      <c r="AI363" s="368"/>
      <c r="AJ363" s="367"/>
      <c r="AK363" s="188" t="s">
        <v>30</v>
      </c>
      <c r="AL363" s="196">
        <f>AB365</f>
        <v>0</v>
      </c>
      <c r="AM363" s="511">
        <f>AM362*1.5</f>
        <v>77.25</v>
      </c>
      <c r="AN363" s="510">
        <f>AL363*AM363</f>
        <v>0</v>
      </c>
      <c r="AO363" s="193"/>
      <c r="AP363" s="193"/>
    </row>
    <row r="364" spans="1:42" s="180" customFormat="1" hidden="1">
      <c r="A364" s="313"/>
      <c r="B364" s="4" t="s">
        <v>59</v>
      </c>
      <c r="C364" s="441" t="s">
        <v>222</v>
      </c>
      <c r="D364" s="441" t="s">
        <v>125</v>
      </c>
      <c r="E364" s="319">
        <v>4</v>
      </c>
      <c r="F364" s="320"/>
      <c r="G364" s="4"/>
      <c r="H364" s="441" t="s">
        <v>24</v>
      </c>
      <c r="I364" s="441"/>
      <c r="J364" s="319"/>
      <c r="K364" s="320"/>
      <c r="L364" s="4"/>
      <c r="M364" s="441" t="s">
        <v>116</v>
      </c>
      <c r="N364" s="441"/>
      <c r="O364" s="319"/>
      <c r="P364" s="320"/>
      <c r="Q364" s="4"/>
      <c r="R364" s="441" t="s">
        <v>222</v>
      </c>
      <c r="S364" s="441" t="s">
        <v>125</v>
      </c>
      <c r="T364" s="319">
        <v>4</v>
      </c>
      <c r="U364" s="320"/>
      <c r="V364" s="4"/>
      <c r="W364" s="441" t="s">
        <v>222</v>
      </c>
      <c r="X364" s="441" t="s">
        <v>125</v>
      </c>
      <c r="Y364" s="319">
        <v>4</v>
      </c>
      <c r="Z364" s="320"/>
      <c r="AA364" s="328">
        <f>Y364+T364+O364+J364+E364</f>
        <v>12</v>
      </c>
      <c r="AB364" s="298">
        <f>Z364+U364+P364+K364+F364</f>
        <v>0</v>
      </c>
      <c r="AC364" s="4"/>
      <c r="AF364" s="319"/>
      <c r="AG364" s="328">
        <f>AF364</f>
        <v>0</v>
      </c>
      <c r="AH364" s="175"/>
      <c r="AI364" s="402"/>
      <c r="AJ364" s="367"/>
      <c r="AK364" s="188" t="s">
        <v>32</v>
      </c>
      <c r="AL364" s="196">
        <f>AG365</f>
        <v>0</v>
      </c>
      <c r="AM364" s="511">
        <v>75.77</v>
      </c>
      <c r="AN364" s="510">
        <f>AL364*AM364</f>
        <v>0</v>
      </c>
      <c r="AO364" s="193"/>
      <c r="AP364" s="193"/>
    </row>
    <row r="365" spans="1:42" s="180" customFormat="1" hidden="1">
      <c r="A365" s="313"/>
      <c r="B365" s="64" t="s">
        <v>61</v>
      </c>
      <c r="C365" s="31"/>
      <c r="D365" s="31"/>
      <c r="E365" s="439">
        <f>SUM(E363:E364)</f>
        <v>12</v>
      </c>
      <c r="F365" s="320">
        <f>SUM(F363:F364)</f>
        <v>0</v>
      </c>
      <c r="G365" s="31"/>
      <c r="H365" s="31"/>
      <c r="I365" s="31"/>
      <c r="J365" s="439">
        <f>SUM(J363:J364)</f>
        <v>8</v>
      </c>
      <c r="K365" s="320">
        <f>SUM(K363:K364)</f>
        <v>0</v>
      </c>
      <c r="L365" s="31"/>
      <c r="M365" s="31"/>
      <c r="N365" s="31"/>
      <c r="O365" s="439">
        <f>SUM(O363:O364)</f>
        <v>8</v>
      </c>
      <c r="P365" s="320">
        <f>SUM(P363:P364)</f>
        <v>0</v>
      </c>
      <c r="Q365" s="31"/>
      <c r="R365" s="31"/>
      <c r="S365" s="31"/>
      <c r="T365" s="439">
        <f>SUM(T363:T364)</f>
        <v>12</v>
      </c>
      <c r="U365" s="320">
        <f>SUM(U363:U364)</f>
        <v>0</v>
      </c>
      <c r="V365" s="31"/>
      <c r="W365" s="31"/>
      <c r="X365" s="31"/>
      <c r="Y365" s="439">
        <f>SUM(Y363:Y364)</f>
        <v>12</v>
      </c>
      <c r="Z365" s="320">
        <f>SUM(Z363:Z364)</f>
        <v>0</v>
      </c>
      <c r="AA365" s="370">
        <f>SUM(AA363:AA364)</f>
        <v>52</v>
      </c>
      <c r="AB365" s="370">
        <f>SUM(AB363:AB364)</f>
        <v>0</v>
      </c>
      <c r="AC365" s="4"/>
      <c r="AD365" s="64"/>
      <c r="AE365" s="64"/>
      <c r="AF365" s="370">
        <f>SUM(AF363:AF364)</f>
        <v>0</v>
      </c>
      <c r="AG365" s="370">
        <f>SUM(AG363:AG364)</f>
        <v>0</v>
      </c>
      <c r="AH365" s="4"/>
      <c r="AI365" s="255"/>
      <c r="AJ365" s="367"/>
      <c r="AK365" s="193"/>
      <c r="AL365" s="193"/>
      <c r="AM365" s="193"/>
      <c r="AN365" s="510">
        <f>SUM(AN362:AN364)</f>
        <v>2678</v>
      </c>
      <c r="AO365" s="193"/>
      <c r="AP365" s="193"/>
    </row>
    <row r="366" spans="1:42" s="180" customFormat="1" hidden="1">
      <c r="A366" s="313"/>
      <c r="E366" s="4"/>
      <c r="F366" s="4"/>
      <c r="G366" s="4"/>
      <c r="J366" s="4"/>
      <c r="K366" s="4"/>
      <c r="L366" s="4"/>
      <c r="O366" s="4"/>
      <c r="P366" s="4"/>
      <c r="Q366" s="4"/>
      <c r="T366" s="4"/>
      <c r="U366" s="4"/>
      <c r="V366" s="4"/>
      <c r="Y366" s="4"/>
      <c r="Z366" s="4"/>
      <c r="AA366" s="4"/>
      <c r="AB366" s="4"/>
      <c r="AC366" s="4"/>
      <c r="AH366" s="4"/>
      <c r="AI366" s="255"/>
      <c r="AK366" s="193"/>
      <c r="AL366" s="193"/>
      <c r="AM366" s="193"/>
      <c r="AN366" s="193"/>
      <c r="AO366" s="193"/>
      <c r="AP366" s="193"/>
    </row>
    <row r="367" spans="1:42" s="180" customFormat="1" hidden="1">
      <c r="A367" s="313"/>
      <c r="B367" s="229"/>
      <c r="C367" s="230"/>
      <c r="D367" s="230"/>
      <c r="E367" s="232"/>
      <c r="F367" s="232"/>
      <c r="G367" s="230"/>
      <c r="H367" s="232"/>
      <c r="I367" s="232"/>
      <c r="J367" s="232"/>
      <c r="K367" s="232"/>
      <c r="L367" s="230"/>
      <c r="M367" s="230"/>
      <c r="N367" s="230"/>
      <c r="O367" s="230"/>
      <c r="P367" s="232"/>
      <c r="Q367" s="230"/>
      <c r="R367" s="230"/>
      <c r="S367" s="230"/>
      <c r="T367" s="230"/>
      <c r="U367" s="232"/>
      <c r="V367" s="230"/>
      <c r="W367" s="230"/>
      <c r="X367" s="230"/>
      <c r="Y367" s="233"/>
      <c r="Z367" s="232"/>
      <c r="AA367" s="234"/>
      <c r="AB367" s="232"/>
      <c r="AC367" s="373"/>
      <c r="AD367" s="236"/>
      <c r="AE367" s="255"/>
      <c r="AF367" s="255"/>
      <c r="AG367" s="255"/>
      <c r="AH367" s="255"/>
      <c r="AI367" s="255"/>
      <c r="AJ367" s="255"/>
      <c r="AK367" s="255"/>
      <c r="AL367" s="255"/>
      <c r="AM367" s="255"/>
      <c r="AN367" s="255"/>
      <c r="AO367" s="255"/>
      <c r="AP367" s="255"/>
    </row>
    <row r="368" spans="1:42" s="180" customFormat="1" hidden="1">
      <c r="A368" s="313"/>
      <c r="E368" s="4"/>
      <c r="F368" s="4"/>
      <c r="G368" s="4"/>
      <c r="J368" s="4"/>
      <c r="K368" s="4"/>
      <c r="L368" s="4"/>
      <c r="O368" s="4"/>
      <c r="P368" s="4"/>
      <c r="Q368" s="4"/>
      <c r="T368" s="4"/>
      <c r="U368" s="4"/>
      <c r="V368" s="4"/>
      <c r="Y368" s="4"/>
      <c r="Z368" s="4"/>
      <c r="AA368" s="4"/>
      <c r="AB368" s="4"/>
      <c r="AC368" s="4"/>
      <c r="AH368" s="4"/>
      <c r="AI368" s="255"/>
      <c r="AK368" s="193"/>
      <c r="AL368" s="193"/>
      <c r="AM368" s="193"/>
      <c r="AN368" s="193"/>
      <c r="AO368" s="193"/>
      <c r="AP368" s="193"/>
    </row>
    <row r="369" spans="1:42" s="180" customFormat="1" ht="13.5" hidden="1" customHeight="1">
      <c r="A369" s="313"/>
      <c r="B369" s="1518" t="s">
        <v>18</v>
      </c>
      <c r="C369" s="1519">
        <v>45852</v>
      </c>
      <c r="D369" s="1519"/>
      <c r="E369" s="1519"/>
      <c r="F369" s="1519"/>
      <c r="G369" s="365"/>
      <c r="H369" s="1519">
        <v>45853</v>
      </c>
      <c r="I369" s="1519"/>
      <c r="J369" s="1519"/>
      <c r="K369" s="1519"/>
      <c r="L369" s="365"/>
      <c r="M369" s="1519">
        <v>45854</v>
      </c>
      <c r="N369" s="1519"/>
      <c r="O369" s="1519"/>
      <c r="P369" s="1519"/>
      <c r="Q369" s="365"/>
      <c r="R369" s="1519">
        <v>45855</v>
      </c>
      <c r="S369" s="1519"/>
      <c r="T369" s="1519"/>
      <c r="U369" s="1519"/>
      <c r="V369" s="365"/>
      <c r="W369" s="1519">
        <v>45856</v>
      </c>
      <c r="X369" s="1519"/>
      <c r="Y369" s="1519"/>
      <c r="Z369" s="1519"/>
      <c r="AA369" s="1517" t="s">
        <v>19</v>
      </c>
      <c r="AB369" s="1517" t="s">
        <v>20</v>
      </c>
      <c r="AC369" s="4"/>
      <c r="AD369" s="1519">
        <v>45857</v>
      </c>
      <c r="AE369" s="1519"/>
      <c r="AF369" s="1519"/>
      <c r="AG369" s="1517" t="s">
        <v>21</v>
      </c>
      <c r="AH369" s="4"/>
      <c r="AI369" s="368"/>
      <c r="AK369" s="194" t="s">
        <v>84</v>
      </c>
      <c r="AL369" s="366"/>
      <c r="AM369" s="366"/>
      <c r="AN369" s="366"/>
      <c r="AO369" s="366"/>
      <c r="AP369" s="366"/>
    </row>
    <row r="370" spans="1:42" s="180" customFormat="1" hidden="1">
      <c r="A370" s="313"/>
      <c r="B370" s="1518"/>
      <c r="C370" s="21" t="s">
        <v>23</v>
      </c>
      <c r="D370" s="21" t="s">
        <v>24</v>
      </c>
      <c r="E370" s="205" t="s">
        <v>25</v>
      </c>
      <c r="F370" s="18" t="s">
        <v>14</v>
      </c>
      <c r="G370" s="4"/>
      <c r="H370" s="21" t="s">
        <v>23</v>
      </c>
      <c r="I370" s="21" t="s">
        <v>24</v>
      </c>
      <c r="J370" s="18" t="s">
        <v>25</v>
      </c>
      <c r="K370" s="18" t="s">
        <v>14</v>
      </c>
      <c r="L370" s="4"/>
      <c r="M370" s="21" t="s">
        <v>23</v>
      </c>
      <c r="N370" s="21" t="s">
        <v>24</v>
      </c>
      <c r="O370" s="18" t="s">
        <v>25</v>
      </c>
      <c r="P370" s="18" t="s">
        <v>14</v>
      </c>
      <c r="Q370" s="4"/>
      <c r="R370" s="21" t="s">
        <v>23</v>
      </c>
      <c r="S370" s="21" t="s">
        <v>24</v>
      </c>
      <c r="T370" s="18" t="s">
        <v>25</v>
      </c>
      <c r="U370" s="18" t="s">
        <v>14</v>
      </c>
      <c r="V370" s="4"/>
      <c r="W370" s="21" t="s">
        <v>23</v>
      </c>
      <c r="X370" s="21" t="s">
        <v>24</v>
      </c>
      <c r="Y370" s="18" t="s">
        <v>25</v>
      </c>
      <c r="Z370" s="18" t="s">
        <v>14</v>
      </c>
      <c r="AA370" s="1517"/>
      <c r="AB370" s="1517"/>
      <c r="AC370" s="4"/>
      <c r="AD370" s="21" t="s">
        <v>23</v>
      </c>
      <c r="AE370" s="21" t="s">
        <v>24</v>
      </c>
      <c r="AF370" s="18" t="s">
        <v>25</v>
      </c>
      <c r="AG370" s="1517"/>
      <c r="AH370" s="4"/>
      <c r="AI370" s="368"/>
      <c r="AJ370" s="367"/>
      <c r="AK370" s="188" t="s">
        <v>26</v>
      </c>
      <c r="AL370" s="196">
        <f>AA373</f>
        <v>60</v>
      </c>
      <c r="AM370" s="511">
        <v>51.5</v>
      </c>
      <c r="AN370" s="510">
        <f>AL370*AM370</f>
        <v>3090</v>
      </c>
      <c r="AO370" s="193"/>
      <c r="AP370" s="193"/>
    </row>
    <row r="371" spans="1:42" s="180" customFormat="1" hidden="1">
      <c r="A371" s="313"/>
      <c r="B371" s="4" t="s">
        <v>60</v>
      </c>
      <c r="C371" s="441" t="s">
        <v>75</v>
      </c>
      <c r="D371" s="441" t="s">
        <v>246</v>
      </c>
      <c r="E371" s="319">
        <v>8</v>
      </c>
      <c r="F371" s="320"/>
      <c r="G371" s="4"/>
      <c r="H371" s="441" t="s">
        <v>75</v>
      </c>
      <c r="I371" s="441" t="s">
        <v>246</v>
      </c>
      <c r="J371" s="319">
        <v>8</v>
      </c>
      <c r="K371" s="320"/>
      <c r="L371" s="4"/>
      <c r="M371" s="441" t="s">
        <v>75</v>
      </c>
      <c r="N371" s="441" t="s">
        <v>246</v>
      </c>
      <c r="O371" s="319">
        <v>8</v>
      </c>
      <c r="P371" s="320"/>
      <c r="Q371" s="4"/>
      <c r="R371" s="441" t="s">
        <v>75</v>
      </c>
      <c r="S371" s="441" t="s">
        <v>246</v>
      </c>
      <c r="T371" s="319">
        <v>8</v>
      </c>
      <c r="U371" s="320"/>
      <c r="V371" s="4"/>
      <c r="W371" s="441" t="s">
        <v>75</v>
      </c>
      <c r="X371" s="441" t="s">
        <v>246</v>
      </c>
      <c r="Y371" s="319">
        <v>8</v>
      </c>
      <c r="Z371" s="320"/>
      <c r="AA371" s="328">
        <f>Y371+T371+O371+J371+E371</f>
        <v>40</v>
      </c>
      <c r="AB371" s="298">
        <f>Z371+U371+P371+K371+F371</f>
        <v>0</v>
      </c>
      <c r="AC371" s="4"/>
      <c r="AD371" s="587"/>
      <c r="AE371" s="531"/>
      <c r="AF371" s="319"/>
      <c r="AG371" s="328">
        <f>AF371</f>
        <v>0</v>
      </c>
      <c r="AH371" s="4"/>
      <c r="AI371" s="368"/>
      <c r="AJ371" s="367"/>
      <c r="AK371" s="188" t="s">
        <v>30</v>
      </c>
      <c r="AL371" s="196">
        <f>AB373</f>
        <v>0</v>
      </c>
      <c r="AM371" s="511">
        <f>AM370*1.5</f>
        <v>77.25</v>
      </c>
      <c r="AN371" s="510">
        <f>AL371*AM371</f>
        <v>0</v>
      </c>
      <c r="AO371" s="193"/>
      <c r="AP371" s="193"/>
    </row>
    <row r="372" spans="1:42" s="180" customFormat="1" hidden="1">
      <c r="A372" s="313"/>
      <c r="B372" s="4" t="s">
        <v>59</v>
      </c>
      <c r="C372" s="441" t="s">
        <v>222</v>
      </c>
      <c r="D372" s="441" t="s">
        <v>125</v>
      </c>
      <c r="E372" s="319">
        <v>4</v>
      </c>
      <c r="F372" s="320"/>
      <c r="G372" s="4"/>
      <c r="H372" s="441" t="s">
        <v>222</v>
      </c>
      <c r="I372" s="441" t="s">
        <v>125</v>
      </c>
      <c r="J372" s="319">
        <v>4</v>
      </c>
      <c r="K372" s="320"/>
      <c r="L372" s="4"/>
      <c r="M372" s="441" t="s">
        <v>222</v>
      </c>
      <c r="N372" s="441" t="s">
        <v>125</v>
      </c>
      <c r="O372" s="319">
        <v>4</v>
      </c>
      <c r="P372" s="320"/>
      <c r="Q372" s="4"/>
      <c r="R372" s="441" t="s">
        <v>222</v>
      </c>
      <c r="S372" s="441" t="s">
        <v>125</v>
      </c>
      <c r="T372" s="319">
        <v>4</v>
      </c>
      <c r="U372" s="320"/>
      <c r="V372" s="4"/>
      <c r="W372" s="441" t="s">
        <v>222</v>
      </c>
      <c r="X372" s="441" t="s">
        <v>125</v>
      </c>
      <c r="Y372" s="319">
        <v>4</v>
      </c>
      <c r="Z372" s="320"/>
      <c r="AA372" s="328">
        <f>Y372+T372+O372+J372+E372</f>
        <v>20</v>
      </c>
      <c r="AB372" s="298">
        <f>Z372+U372+P372+K372+F372</f>
        <v>0</v>
      </c>
      <c r="AC372" s="4"/>
      <c r="AF372" s="319"/>
      <c r="AG372" s="328">
        <f>AF372</f>
        <v>0</v>
      </c>
      <c r="AH372" s="175"/>
      <c r="AI372" s="402"/>
      <c r="AJ372" s="367"/>
      <c r="AK372" s="188" t="s">
        <v>32</v>
      </c>
      <c r="AL372" s="196">
        <f>AG373</f>
        <v>0</v>
      </c>
      <c r="AM372" s="511">
        <v>75.77</v>
      </c>
      <c r="AN372" s="510">
        <f>AL372*AM372</f>
        <v>0</v>
      </c>
      <c r="AO372" s="193"/>
      <c r="AP372" s="193"/>
    </row>
    <row r="373" spans="1:42" s="180" customFormat="1" hidden="1">
      <c r="A373" s="313"/>
      <c r="B373" s="64" t="s">
        <v>61</v>
      </c>
      <c r="C373" s="31"/>
      <c r="D373" s="31"/>
      <c r="E373" s="439">
        <f>SUM(E371:E372)</f>
        <v>12</v>
      </c>
      <c r="F373" s="320">
        <f>SUM(F371:F372)</f>
        <v>0</v>
      </c>
      <c r="G373" s="31"/>
      <c r="H373" s="31"/>
      <c r="I373" s="31"/>
      <c r="J373" s="439">
        <f>SUM(J371:J372)</f>
        <v>12</v>
      </c>
      <c r="K373" s="320">
        <f>SUM(K371:K372)</f>
        <v>0</v>
      </c>
      <c r="L373" s="31"/>
      <c r="M373" s="31"/>
      <c r="N373" s="31"/>
      <c r="O373" s="439">
        <f>SUM(O371:O372)</f>
        <v>12</v>
      </c>
      <c r="P373" s="320">
        <f>SUM(P371:P372)</f>
        <v>0</v>
      </c>
      <c r="Q373" s="31"/>
      <c r="R373" s="31"/>
      <c r="S373" s="31"/>
      <c r="T373" s="439">
        <f>SUM(T371:T372)</f>
        <v>12</v>
      </c>
      <c r="U373" s="320">
        <f>SUM(U371:U372)</f>
        <v>0</v>
      </c>
      <c r="V373" s="31"/>
      <c r="W373" s="31"/>
      <c r="X373" s="31"/>
      <c r="Y373" s="439">
        <f>SUM(Y371:Y372)</f>
        <v>12</v>
      </c>
      <c r="Z373" s="320">
        <f>SUM(Z371:Z372)</f>
        <v>0</v>
      </c>
      <c r="AA373" s="370">
        <f>SUM(AA371:AA372)</f>
        <v>60</v>
      </c>
      <c r="AB373" s="370">
        <f>SUM(AB371:AB372)</f>
        <v>0</v>
      </c>
      <c r="AC373" s="4"/>
      <c r="AD373" s="64"/>
      <c r="AE373" s="64"/>
      <c r="AF373" s="370">
        <f>SUM(AF371:AF372)</f>
        <v>0</v>
      </c>
      <c r="AG373" s="370">
        <f>SUM(AG371:AG372)</f>
        <v>0</v>
      </c>
      <c r="AH373" s="4"/>
      <c r="AI373" s="255"/>
      <c r="AJ373" s="367"/>
      <c r="AK373" s="193"/>
      <c r="AL373" s="193"/>
      <c r="AM373" s="193"/>
      <c r="AN373" s="510">
        <f>SUM(AN370:AN372)</f>
        <v>3090</v>
      </c>
      <c r="AO373" s="193"/>
      <c r="AP373" s="193"/>
    </row>
    <row r="374" spans="1:42" s="180" customFormat="1" hidden="1">
      <c r="A374" s="313"/>
      <c r="E374" s="4"/>
      <c r="F374" s="4"/>
      <c r="G374" s="4"/>
      <c r="J374" s="4"/>
      <c r="K374" s="4"/>
      <c r="L374" s="4"/>
      <c r="O374" s="4"/>
      <c r="P374" s="4"/>
      <c r="Q374" s="4"/>
      <c r="T374" s="4"/>
      <c r="U374" s="4"/>
      <c r="V374" s="4"/>
      <c r="Y374" s="4"/>
      <c r="Z374" s="4"/>
      <c r="AA374" s="4"/>
      <c r="AB374" s="4"/>
      <c r="AC374" s="4"/>
      <c r="AH374" s="4"/>
      <c r="AI374" s="255"/>
      <c r="AK374" s="193"/>
      <c r="AL374" s="193"/>
      <c r="AM374" s="193"/>
      <c r="AN374" s="193"/>
      <c r="AO374" s="193"/>
      <c r="AP374" s="193"/>
    </row>
    <row r="375" spans="1:42" s="180" customFormat="1" hidden="1">
      <c r="A375" s="313"/>
      <c r="B375" s="229"/>
      <c r="C375" s="230"/>
      <c r="D375" s="230"/>
      <c r="E375" s="232"/>
      <c r="F375" s="232"/>
      <c r="G375" s="230"/>
      <c r="H375" s="232"/>
      <c r="I375" s="232"/>
      <c r="J375" s="232"/>
      <c r="K375" s="232"/>
      <c r="L375" s="230"/>
      <c r="M375" s="230"/>
      <c r="N375" s="230"/>
      <c r="O375" s="230"/>
      <c r="P375" s="232"/>
      <c r="Q375" s="230"/>
      <c r="R375" s="230"/>
      <c r="S375" s="230"/>
      <c r="T375" s="230"/>
      <c r="U375" s="232"/>
      <c r="V375" s="230"/>
      <c r="W375" s="230"/>
      <c r="X375" s="230"/>
      <c r="Y375" s="233"/>
      <c r="Z375" s="232"/>
      <c r="AA375" s="234"/>
      <c r="AB375" s="232"/>
      <c r="AC375" s="373"/>
      <c r="AD375" s="236"/>
      <c r="AE375" s="255"/>
      <c r="AF375" s="255"/>
      <c r="AG375" s="255"/>
      <c r="AH375" s="255"/>
      <c r="AI375" s="255"/>
      <c r="AJ375" s="255"/>
      <c r="AK375" s="255"/>
      <c r="AL375" s="255"/>
      <c r="AM375" s="255"/>
      <c r="AN375" s="255"/>
      <c r="AO375" s="255"/>
      <c r="AP375" s="255"/>
    </row>
    <row r="376" spans="1:42" s="180" customFormat="1" hidden="1">
      <c r="A376" s="313"/>
      <c r="E376" s="4"/>
      <c r="F376" s="4"/>
      <c r="G376" s="4"/>
      <c r="J376" s="4"/>
      <c r="K376" s="4"/>
      <c r="L376" s="4"/>
      <c r="O376" s="4"/>
      <c r="P376" s="4"/>
      <c r="Q376" s="4"/>
      <c r="T376" s="4"/>
      <c r="U376" s="4"/>
      <c r="V376" s="4"/>
      <c r="Y376" s="4"/>
      <c r="Z376" s="4"/>
      <c r="AA376" s="4"/>
      <c r="AB376" s="4"/>
      <c r="AC376" s="4"/>
      <c r="AH376" s="4"/>
      <c r="AI376" s="255"/>
      <c r="AK376" s="193"/>
      <c r="AL376" s="193"/>
      <c r="AM376" s="193"/>
      <c r="AN376" s="193"/>
      <c r="AO376" s="193"/>
      <c r="AP376" s="193"/>
    </row>
    <row r="377" spans="1:42" s="180" customFormat="1" ht="13.5" hidden="1" customHeight="1">
      <c r="A377" s="313"/>
      <c r="B377" s="1518" t="s">
        <v>18</v>
      </c>
      <c r="C377" s="1519">
        <v>45859</v>
      </c>
      <c r="D377" s="1519"/>
      <c r="E377" s="1519"/>
      <c r="F377" s="1519"/>
      <c r="G377" s="365"/>
      <c r="H377" s="1519">
        <v>45860</v>
      </c>
      <c r="I377" s="1519"/>
      <c r="J377" s="1519"/>
      <c r="K377" s="1519"/>
      <c r="L377" s="365"/>
      <c r="M377" s="1519">
        <v>45861</v>
      </c>
      <c r="N377" s="1519"/>
      <c r="O377" s="1519"/>
      <c r="P377" s="1519"/>
      <c r="Q377" s="365"/>
      <c r="R377" s="1519">
        <v>45862</v>
      </c>
      <c r="S377" s="1519"/>
      <c r="T377" s="1519"/>
      <c r="U377" s="1519"/>
      <c r="V377" s="365"/>
      <c r="W377" s="1519">
        <v>45863</v>
      </c>
      <c r="X377" s="1519"/>
      <c r="Y377" s="1519"/>
      <c r="Z377" s="1519"/>
      <c r="AA377" s="1517" t="s">
        <v>19</v>
      </c>
      <c r="AB377" s="1517" t="s">
        <v>20</v>
      </c>
      <c r="AC377" s="4"/>
      <c r="AD377" s="1519">
        <v>45864</v>
      </c>
      <c r="AE377" s="1519"/>
      <c r="AF377" s="1519"/>
      <c r="AG377" s="1517" t="s">
        <v>21</v>
      </c>
      <c r="AH377" s="4"/>
      <c r="AI377" s="368"/>
      <c r="AK377" s="194" t="s">
        <v>84</v>
      </c>
      <c r="AL377" s="366"/>
      <c r="AM377" s="366"/>
      <c r="AN377" s="366"/>
      <c r="AO377" s="366"/>
      <c r="AP377" s="366"/>
    </row>
    <row r="378" spans="1:42" s="180" customFormat="1" hidden="1">
      <c r="A378" s="313"/>
      <c r="B378" s="1518"/>
      <c r="C378" s="21" t="s">
        <v>23</v>
      </c>
      <c r="D378" s="21" t="s">
        <v>24</v>
      </c>
      <c r="E378" s="205" t="s">
        <v>25</v>
      </c>
      <c r="F378" s="18" t="s">
        <v>14</v>
      </c>
      <c r="G378" s="4"/>
      <c r="H378" s="21" t="s">
        <v>23</v>
      </c>
      <c r="I378" s="21" t="s">
        <v>24</v>
      </c>
      <c r="J378" s="18" t="s">
        <v>25</v>
      </c>
      <c r="K378" s="18" t="s">
        <v>14</v>
      </c>
      <c r="L378" s="4"/>
      <c r="M378" s="21" t="s">
        <v>23</v>
      </c>
      <c r="N378" s="21" t="s">
        <v>24</v>
      </c>
      <c r="O378" s="18" t="s">
        <v>25</v>
      </c>
      <c r="P378" s="18" t="s">
        <v>14</v>
      </c>
      <c r="Q378" s="4"/>
      <c r="R378" s="21" t="s">
        <v>23</v>
      </c>
      <c r="S378" s="21" t="s">
        <v>24</v>
      </c>
      <c r="T378" s="18" t="s">
        <v>25</v>
      </c>
      <c r="U378" s="18" t="s">
        <v>14</v>
      </c>
      <c r="V378" s="4"/>
      <c r="W378" s="21" t="s">
        <v>23</v>
      </c>
      <c r="X378" s="21" t="s">
        <v>24</v>
      </c>
      <c r="Y378" s="18" t="s">
        <v>25</v>
      </c>
      <c r="Z378" s="18" t="s">
        <v>14</v>
      </c>
      <c r="AA378" s="1517"/>
      <c r="AB378" s="1517"/>
      <c r="AC378" s="4"/>
      <c r="AD378" s="21" t="s">
        <v>23</v>
      </c>
      <c r="AE378" s="21" t="s">
        <v>24</v>
      </c>
      <c r="AF378" s="18" t="s">
        <v>25</v>
      </c>
      <c r="AG378" s="1517"/>
      <c r="AH378" s="4"/>
      <c r="AI378" s="368"/>
      <c r="AJ378" s="367"/>
      <c r="AK378" s="188" t="s">
        <v>26</v>
      </c>
      <c r="AL378" s="196">
        <f>AA381</f>
        <v>60</v>
      </c>
      <c r="AM378" s="511">
        <v>51.5</v>
      </c>
      <c r="AN378" s="510">
        <f>AL378*AM378</f>
        <v>3090</v>
      </c>
      <c r="AO378" s="193"/>
      <c r="AP378" s="193"/>
    </row>
    <row r="379" spans="1:42" s="180" customFormat="1" hidden="1">
      <c r="A379" s="313"/>
      <c r="B379" s="4" t="s">
        <v>60</v>
      </c>
      <c r="C379" s="441" t="s">
        <v>75</v>
      </c>
      <c r="D379" s="441" t="s">
        <v>246</v>
      </c>
      <c r="E379" s="319">
        <v>8</v>
      </c>
      <c r="F379" s="320"/>
      <c r="G379" s="4"/>
      <c r="H379" s="441" t="s">
        <v>75</v>
      </c>
      <c r="I379" s="441" t="s">
        <v>246</v>
      </c>
      <c r="J379" s="319">
        <v>8</v>
      </c>
      <c r="K379" s="320"/>
      <c r="L379" s="4"/>
      <c r="M379" s="441" t="s">
        <v>75</v>
      </c>
      <c r="N379" s="441" t="s">
        <v>246</v>
      </c>
      <c r="O379" s="319">
        <v>8</v>
      </c>
      <c r="P379" s="320"/>
      <c r="Q379" s="4"/>
      <c r="R379" s="441" t="s">
        <v>75</v>
      </c>
      <c r="S379" s="441" t="s">
        <v>246</v>
      </c>
      <c r="T379" s="319">
        <v>8</v>
      </c>
      <c r="U379" s="320"/>
      <c r="V379" s="4"/>
      <c r="W379" s="441" t="s">
        <v>75</v>
      </c>
      <c r="X379" s="441" t="s">
        <v>246</v>
      </c>
      <c r="Y379" s="319">
        <v>8</v>
      </c>
      <c r="Z379" s="320"/>
      <c r="AA379" s="328">
        <f>Y379+T379+O379+J379+E379</f>
        <v>40</v>
      </c>
      <c r="AB379" s="298">
        <f>Z379+U379+P379+K379+F379</f>
        <v>0</v>
      </c>
      <c r="AC379" s="4"/>
      <c r="AD379" s="587"/>
      <c r="AE379" s="531"/>
      <c r="AF379" s="319"/>
      <c r="AG379" s="328">
        <f>AF379</f>
        <v>0</v>
      </c>
      <c r="AH379" s="4"/>
      <c r="AI379" s="368"/>
      <c r="AJ379" s="367"/>
      <c r="AK379" s="188" t="s">
        <v>30</v>
      </c>
      <c r="AL379" s="196">
        <f>AB381</f>
        <v>0</v>
      </c>
      <c r="AM379" s="511">
        <f>AM378*1.5</f>
        <v>77.25</v>
      </c>
      <c r="AN379" s="510">
        <f>AL379*AM379</f>
        <v>0</v>
      </c>
      <c r="AO379" s="193"/>
      <c r="AP379" s="193"/>
    </row>
    <row r="380" spans="1:42" s="180" customFormat="1" hidden="1">
      <c r="A380" s="313"/>
      <c r="B380" s="4" t="s">
        <v>59</v>
      </c>
      <c r="C380" s="441" t="s">
        <v>222</v>
      </c>
      <c r="D380" s="441" t="s">
        <v>125</v>
      </c>
      <c r="E380" s="319">
        <v>4</v>
      </c>
      <c r="F380" s="320"/>
      <c r="G380" s="4"/>
      <c r="H380" s="441" t="s">
        <v>222</v>
      </c>
      <c r="I380" s="441" t="s">
        <v>125</v>
      </c>
      <c r="J380" s="319">
        <v>4</v>
      </c>
      <c r="K380" s="320"/>
      <c r="L380" s="4"/>
      <c r="M380" s="441" t="s">
        <v>222</v>
      </c>
      <c r="N380" s="441" t="s">
        <v>125</v>
      </c>
      <c r="O380" s="319">
        <v>4</v>
      </c>
      <c r="P380" s="320"/>
      <c r="Q380" s="4"/>
      <c r="R380" s="441" t="s">
        <v>222</v>
      </c>
      <c r="S380" s="441" t="s">
        <v>125</v>
      </c>
      <c r="T380" s="319">
        <v>4</v>
      </c>
      <c r="U380" s="320"/>
      <c r="V380" s="4"/>
      <c r="W380" s="441" t="s">
        <v>222</v>
      </c>
      <c r="X380" s="441" t="s">
        <v>125</v>
      </c>
      <c r="Y380" s="319">
        <v>4</v>
      </c>
      <c r="Z380" s="320"/>
      <c r="AA380" s="328">
        <f>Y380+T380+O380+J380+E380</f>
        <v>20</v>
      </c>
      <c r="AB380" s="298">
        <f>Z380+U380+P380+K380+F380</f>
        <v>0</v>
      </c>
      <c r="AC380" s="4"/>
      <c r="AF380" s="319"/>
      <c r="AG380" s="328">
        <f>AF380</f>
        <v>0</v>
      </c>
      <c r="AH380" s="175"/>
      <c r="AI380" s="402"/>
      <c r="AJ380" s="367"/>
      <c r="AK380" s="188" t="s">
        <v>32</v>
      </c>
      <c r="AL380" s="196">
        <f>AG381</f>
        <v>0</v>
      </c>
      <c r="AM380" s="511">
        <v>75.77</v>
      </c>
      <c r="AN380" s="510">
        <f>AL380*AM380</f>
        <v>0</v>
      </c>
      <c r="AO380" s="193"/>
      <c r="AP380" s="193"/>
    </row>
    <row r="381" spans="1:42" s="180" customFormat="1" hidden="1">
      <c r="A381" s="313"/>
      <c r="B381" s="64" t="s">
        <v>61</v>
      </c>
      <c r="C381" s="31"/>
      <c r="D381" s="31"/>
      <c r="E381" s="439">
        <f>SUM(E379:E380)</f>
        <v>12</v>
      </c>
      <c r="F381" s="320">
        <f>SUM(F379:F380)</f>
        <v>0</v>
      </c>
      <c r="G381" s="31"/>
      <c r="H381" s="31"/>
      <c r="I381" s="31"/>
      <c r="J381" s="439">
        <f>SUM(J379:J380)</f>
        <v>12</v>
      </c>
      <c r="K381" s="320">
        <f>SUM(K379:K380)</f>
        <v>0</v>
      </c>
      <c r="L381" s="31"/>
      <c r="M381" s="31"/>
      <c r="N381" s="31"/>
      <c r="O381" s="439">
        <f>SUM(O379:O380)</f>
        <v>12</v>
      </c>
      <c r="P381" s="320">
        <f>SUM(P379:P380)</f>
        <v>0</v>
      </c>
      <c r="Q381" s="31"/>
      <c r="R381" s="31"/>
      <c r="S381" s="31"/>
      <c r="T381" s="439">
        <f>SUM(T379:T380)</f>
        <v>12</v>
      </c>
      <c r="U381" s="320">
        <f>SUM(U379:U380)</f>
        <v>0</v>
      </c>
      <c r="V381" s="31"/>
      <c r="W381" s="31"/>
      <c r="X381" s="31"/>
      <c r="Y381" s="439">
        <f>SUM(Y379:Y380)</f>
        <v>12</v>
      </c>
      <c r="Z381" s="320">
        <f>SUM(Z379:Z380)</f>
        <v>0</v>
      </c>
      <c r="AA381" s="370">
        <f>SUM(AA379:AA380)</f>
        <v>60</v>
      </c>
      <c r="AB381" s="370">
        <f>SUM(AB379:AB380)</f>
        <v>0</v>
      </c>
      <c r="AC381" s="4"/>
      <c r="AD381" s="64"/>
      <c r="AE381" s="64"/>
      <c r="AF381" s="370">
        <f>SUM(AF379:AF380)</f>
        <v>0</v>
      </c>
      <c r="AG381" s="370">
        <f>SUM(AG379:AG380)</f>
        <v>0</v>
      </c>
      <c r="AH381" s="4"/>
      <c r="AI381" s="255"/>
      <c r="AJ381" s="367"/>
      <c r="AK381" s="193"/>
      <c r="AL381" s="193"/>
      <c r="AM381" s="193"/>
      <c r="AN381" s="510">
        <f>SUM(AN378:AN380)</f>
        <v>3090</v>
      </c>
      <c r="AO381" s="193"/>
      <c r="AP381" s="193"/>
    </row>
    <row r="382" spans="1:42" s="180" customFormat="1" hidden="1">
      <c r="A382" s="313"/>
      <c r="E382" s="4"/>
      <c r="F382" s="4"/>
      <c r="G382" s="4"/>
      <c r="J382" s="4"/>
      <c r="K382" s="4"/>
      <c r="L382" s="4"/>
      <c r="O382" s="4"/>
      <c r="P382" s="4"/>
      <c r="Q382" s="4"/>
      <c r="T382" s="4"/>
      <c r="U382" s="4"/>
      <c r="V382" s="4"/>
      <c r="Y382" s="4"/>
      <c r="Z382" s="4"/>
      <c r="AA382" s="4"/>
      <c r="AB382" s="4"/>
      <c r="AC382" s="4"/>
      <c r="AH382" s="4"/>
      <c r="AI382" s="255"/>
      <c r="AK382" s="193"/>
      <c r="AL382" s="193"/>
      <c r="AM382" s="193"/>
      <c r="AN382" s="193"/>
      <c r="AO382" s="193"/>
      <c r="AP382" s="193"/>
    </row>
    <row r="383" spans="1:42" s="180" customFormat="1" hidden="1">
      <c r="A383" s="313"/>
      <c r="B383" s="229"/>
      <c r="C383" s="230"/>
      <c r="D383" s="230"/>
      <c r="E383" s="232"/>
      <c r="F383" s="232"/>
      <c r="G383" s="230"/>
      <c r="H383" s="232"/>
      <c r="I383" s="232"/>
      <c r="J383" s="232"/>
      <c r="K383" s="232"/>
      <c r="L383" s="230"/>
      <c r="M383" s="230"/>
      <c r="N383" s="230"/>
      <c r="O383" s="230"/>
      <c r="P383" s="232"/>
      <c r="Q383" s="230"/>
      <c r="R383" s="230"/>
      <c r="S383" s="230"/>
      <c r="T383" s="230"/>
      <c r="U383" s="232"/>
      <c r="V383" s="230"/>
      <c r="W383" s="230"/>
      <c r="X383" s="230"/>
      <c r="Y383" s="233"/>
      <c r="Z383" s="232"/>
      <c r="AA383" s="234"/>
      <c r="AB383" s="232"/>
      <c r="AC383" s="373"/>
      <c r="AD383" s="236"/>
      <c r="AE383" s="255"/>
      <c r="AF383" s="255"/>
      <c r="AG383" s="255"/>
      <c r="AH383" s="255"/>
      <c r="AI383" s="255"/>
      <c r="AJ383" s="255"/>
      <c r="AK383" s="255"/>
      <c r="AL383" s="255"/>
      <c r="AM383" s="255"/>
      <c r="AN383" s="255"/>
      <c r="AO383" s="255"/>
      <c r="AP383" s="255"/>
    </row>
    <row r="384" spans="1:42" s="180" customFormat="1" hidden="1">
      <c r="A384" s="313"/>
      <c r="E384" s="4"/>
      <c r="F384" s="4"/>
      <c r="G384" s="4"/>
      <c r="J384" s="4"/>
      <c r="K384" s="4"/>
      <c r="L384" s="4"/>
      <c r="O384" s="4"/>
      <c r="P384" s="4"/>
      <c r="Q384" s="4"/>
      <c r="T384" s="4"/>
      <c r="U384" s="4"/>
      <c r="V384" s="4"/>
      <c r="Y384" s="4"/>
      <c r="Z384" s="4"/>
      <c r="AA384" s="4"/>
      <c r="AB384" s="4"/>
      <c r="AC384" s="4"/>
      <c r="AH384" s="4"/>
      <c r="AI384" s="255"/>
      <c r="AK384" s="193"/>
      <c r="AL384" s="193"/>
      <c r="AM384" s="193"/>
      <c r="AN384" s="193"/>
      <c r="AO384" s="193"/>
      <c r="AP384" s="193"/>
    </row>
    <row r="385" spans="1:42" s="180" customFormat="1" ht="13.5" hidden="1" customHeight="1">
      <c r="A385" s="313"/>
      <c r="B385" s="1518" t="s">
        <v>18</v>
      </c>
      <c r="C385" s="1519">
        <v>45866</v>
      </c>
      <c r="D385" s="1519"/>
      <c r="E385" s="1519"/>
      <c r="F385" s="1519"/>
      <c r="G385" s="365"/>
      <c r="H385" s="1519">
        <v>45867</v>
      </c>
      <c r="I385" s="1519"/>
      <c r="J385" s="1519"/>
      <c r="K385" s="1519"/>
      <c r="L385" s="365"/>
      <c r="M385" s="1519">
        <v>45868</v>
      </c>
      <c r="N385" s="1519"/>
      <c r="O385" s="1519"/>
      <c r="P385" s="1519"/>
      <c r="Q385" s="365"/>
      <c r="R385" s="1519">
        <v>45869</v>
      </c>
      <c r="S385" s="1519"/>
      <c r="T385" s="1519"/>
      <c r="U385" s="1519"/>
      <c r="V385" s="365"/>
      <c r="W385" s="1519">
        <v>45870</v>
      </c>
      <c r="X385" s="1519"/>
      <c r="Y385" s="1519"/>
      <c r="Z385" s="1519"/>
      <c r="AA385" s="1517" t="s">
        <v>19</v>
      </c>
      <c r="AB385" s="1517" t="s">
        <v>20</v>
      </c>
      <c r="AC385" s="4"/>
      <c r="AD385" s="1519">
        <v>45871</v>
      </c>
      <c r="AE385" s="1519"/>
      <c r="AF385" s="1519"/>
      <c r="AG385" s="1517" t="s">
        <v>21</v>
      </c>
      <c r="AH385" s="4"/>
      <c r="AI385" s="368"/>
      <c r="AK385" s="194" t="s">
        <v>84</v>
      </c>
      <c r="AL385" s="366"/>
      <c r="AM385" s="366"/>
      <c r="AN385" s="366"/>
      <c r="AO385" s="366"/>
      <c r="AP385" s="366"/>
    </row>
    <row r="386" spans="1:42" s="180" customFormat="1" hidden="1">
      <c r="A386" s="313"/>
      <c r="B386" s="1518"/>
      <c r="C386" s="21" t="s">
        <v>23</v>
      </c>
      <c r="D386" s="21" t="s">
        <v>24</v>
      </c>
      <c r="E386" s="205" t="s">
        <v>25</v>
      </c>
      <c r="F386" s="18" t="s">
        <v>14</v>
      </c>
      <c r="G386" s="4"/>
      <c r="H386" s="21" t="s">
        <v>23</v>
      </c>
      <c r="I386" s="21" t="s">
        <v>24</v>
      </c>
      <c r="J386" s="18" t="s">
        <v>25</v>
      </c>
      <c r="K386" s="18" t="s">
        <v>14</v>
      </c>
      <c r="L386" s="4"/>
      <c r="M386" s="21" t="s">
        <v>23</v>
      </c>
      <c r="N386" s="21" t="s">
        <v>24</v>
      </c>
      <c r="O386" s="18" t="s">
        <v>25</v>
      </c>
      <c r="P386" s="18" t="s">
        <v>14</v>
      </c>
      <c r="Q386" s="4"/>
      <c r="R386" s="21" t="s">
        <v>23</v>
      </c>
      <c r="S386" s="21" t="s">
        <v>24</v>
      </c>
      <c r="T386" s="18" t="s">
        <v>25</v>
      </c>
      <c r="U386" s="18" t="s">
        <v>14</v>
      </c>
      <c r="V386" s="4"/>
      <c r="W386" s="21" t="s">
        <v>23</v>
      </c>
      <c r="X386" s="21" t="s">
        <v>24</v>
      </c>
      <c r="Y386" s="18" t="s">
        <v>25</v>
      </c>
      <c r="Z386" s="18" t="s">
        <v>14</v>
      </c>
      <c r="AA386" s="1517"/>
      <c r="AB386" s="1517"/>
      <c r="AC386" s="4"/>
      <c r="AD386" s="21" t="s">
        <v>23</v>
      </c>
      <c r="AE386" s="21" t="s">
        <v>24</v>
      </c>
      <c r="AF386" s="18" t="s">
        <v>25</v>
      </c>
      <c r="AG386" s="1517"/>
      <c r="AH386" s="4"/>
      <c r="AI386" s="368"/>
      <c r="AJ386" s="367"/>
      <c r="AK386" s="188" t="s">
        <v>26</v>
      </c>
      <c r="AL386" s="196">
        <f>AA389</f>
        <v>44</v>
      </c>
      <c r="AM386" s="511">
        <v>51.5</v>
      </c>
      <c r="AN386" s="510">
        <f>AL386*AM386</f>
        <v>2266</v>
      </c>
      <c r="AO386" s="193"/>
      <c r="AP386" s="193"/>
    </row>
    <row r="387" spans="1:42" s="180" customFormat="1" hidden="1">
      <c r="A387" s="313"/>
      <c r="B387" s="4" t="s">
        <v>60</v>
      </c>
      <c r="C387" s="441" t="s">
        <v>75</v>
      </c>
      <c r="D387" s="441" t="s">
        <v>246</v>
      </c>
      <c r="E387" s="319">
        <v>8</v>
      </c>
      <c r="F387" s="320"/>
      <c r="G387" s="4"/>
      <c r="H387" s="441" t="s">
        <v>75</v>
      </c>
      <c r="I387" s="441" t="s">
        <v>246</v>
      </c>
      <c r="J387" s="319">
        <v>8</v>
      </c>
      <c r="K387" s="320"/>
      <c r="L387" s="4"/>
      <c r="M387" s="441" t="s">
        <v>75</v>
      </c>
      <c r="N387" s="441" t="s">
        <v>246</v>
      </c>
      <c r="O387" s="319">
        <v>8</v>
      </c>
      <c r="P387" s="320"/>
      <c r="Q387" s="4"/>
      <c r="R387" s="441" t="s">
        <v>137</v>
      </c>
      <c r="S387" s="441"/>
      <c r="T387" s="319">
        <v>0</v>
      </c>
      <c r="U387" s="320"/>
      <c r="V387" s="4"/>
      <c r="W387" s="441" t="s">
        <v>137</v>
      </c>
      <c r="X387" s="441"/>
      <c r="Y387" s="319">
        <v>0</v>
      </c>
      <c r="Z387" s="320"/>
      <c r="AA387" s="328">
        <f>Y387+T387+O387+J387+E387</f>
        <v>24</v>
      </c>
      <c r="AB387" s="298">
        <f>Z387+U387+P387+K387+F387</f>
        <v>0</v>
      </c>
      <c r="AC387" s="4"/>
      <c r="AD387" s="587"/>
      <c r="AE387" s="531"/>
      <c r="AF387" s="319"/>
      <c r="AG387" s="328">
        <f>AF387</f>
        <v>0</v>
      </c>
      <c r="AH387" s="4"/>
      <c r="AI387" s="368"/>
      <c r="AJ387" s="367"/>
      <c r="AK387" s="188" t="s">
        <v>30</v>
      </c>
      <c r="AL387" s="196">
        <f>AB389</f>
        <v>0</v>
      </c>
      <c r="AM387" s="511">
        <f>AM386*1.5</f>
        <v>77.25</v>
      </c>
      <c r="AN387" s="510">
        <f>AL387*AM387</f>
        <v>0</v>
      </c>
      <c r="AO387" s="193"/>
      <c r="AP387" s="193"/>
    </row>
    <row r="388" spans="1:42" s="180" customFormat="1" hidden="1">
      <c r="A388" s="313"/>
      <c r="B388" s="4" t="s">
        <v>59</v>
      </c>
      <c r="C388" s="441" t="s">
        <v>222</v>
      </c>
      <c r="D388" s="441" t="s">
        <v>125</v>
      </c>
      <c r="E388" s="319">
        <v>4</v>
      </c>
      <c r="F388" s="320"/>
      <c r="G388" s="4"/>
      <c r="H388" s="441" t="s">
        <v>222</v>
      </c>
      <c r="I388" s="441" t="s">
        <v>125</v>
      </c>
      <c r="J388" s="319">
        <v>4</v>
      </c>
      <c r="K388" s="320"/>
      <c r="L388" s="4"/>
      <c r="M388" s="441" t="s">
        <v>222</v>
      </c>
      <c r="N388" s="441" t="s">
        <v>125</v>
      </c>
      <c r="O388" s="319">
        <v>4</v>
      </c>
      <c r="P388" s="320"/>
      <c r="Q388" s="4"/>
      <c r="R388" s="441" t="s">
        <v>222</v>
      </c>
      <c r="S388" s="441" t="s">
        <v>125</v>
      </c>
      <c r="T388" s="319">
        <v>4</v>
      </c>
      <c r="U388" s="320"/>
      <c r="V388" s="4"/>
      <c r="W388" s="441" t="s">
        <v>222</v>
      </c>
      <c r="X388" s="441" t="s">
        <v>125</v>
      </c>
      <c r="Y388" s="319">
        <v>4</v>
      </c>
      <c r="Z388" s="320"/>
      <c r="AA388" s="328">
        <f>Y388+T388+O388+J388+E388</f>
        <v>20</v>
      </c>
      <c r="AB388" s="298">
        <f>Z388+U388+P388+K388+F388</f>
        <v>0</v>
      </c>
      <c r="AC388" s="4"/>
      <c r="AF388" s="319"/>
      <c r="AG388" s="328">
        <f>AF388</f>
        <v>0</v>
      </c>
      <c r="AH388" s="175"/>
      <c r="AI388" s="402"/>
      <c r="AJ388" s="367"/>
      <c r="AK388" s="188" t="s">
        <v>32</v>
      </c>
      <c r="AL388" s="196">
        <f>AG389</f>
        <v>0</v>
      </c>
      <c r="AM388" s="511">
        <v>75.77</v>
      </c>
      <c r="AN388" s="510">
        <f>AL388*AM388</f>
        <v>0</v>
      </c>
      <c r="AO388" s="193"/>
      <c r="AP388" s="193"/>
    </row>
    <row r="389" spans="1:42" s="180" customFormat="1" hidden="1">
      <c r="A389" s="313"/>
      <c r="B389" s="64" t="s">
        <v>61</v>
      </c>
      <c r="C389" s="31"/>
      <c r="D389" s="31"/>
      <c r="E389" s="439">
        <f>SUM(E387:E388)</f>
        <v>12</v>
      </c>
      <c r="F389" s="320">
        <f>SUM(F387:F388)</f>
        <v>0</v>
      </c>
      <c r="G389" s="31"/>
      <c r="H389" s="31"/>
      <c r="I389" s="31"/>
      <c r="J389" s="439">
        <f>SUM(J387:J388)</f>
        <v>12</v>
      </c>
      <c r="K389" s="320">
        <f>SUM(K387:K388)</f>
        <v>0</v>
      </c>
      <c r="L389" s="31"/>
      <c r="M389" s="31"/>
      <c r="N389" s="31"/>
      <c r="O389" s="439">
        <f>SUM(O387:O388)</f>
        <v>12</v>
      </c>
      <c r="P389" s="320">
        <f>SUM(P387:P388)</f>
        <v>0</v>
      </c>
      <c r="Q389" s="31"/>
      <c r="R389" s="31"/>
      <c r="S389" s="31"/>
      <c r="T389" s="439">
        <f>SUM(T387:T388)</f>
        <v>4</v>
      </c>
      <c r="U389" s="320">
        <f>SUM(U387:U388)</f>
        <v>0</v>
      </c>
      <c r="V389" s="31"/>
      <c r="W389" s="31"/>
      <c r="X389" s="31"/>
      <c r="Y389" s="439">
        <f>SUM(Y387:Y388)</f>
        <v>4</v>
      </c>
      <c r="Z389" s="320">
        <f>SUM(Z387:Z388)</f>
        <v>0</v>
      </c>
      <c r="AA389" s="370">
        <f>SUM(AA387:AA388)</f>
        <v>44</v>
      </c>
      <c r="AB389" s="370">
        <f>SUM(AB387:AB388)</f>
        <v>0</v>
      </c>
      <c r="AC389" s="4"/>
      <c r="AD389" s="64"/>
      <c r="AE389" s="64"/>
      <c r="AF389" s="370">
        <f>SUM(AF387:AF388)</f>
        <v>0</v>
      </c>
      <c r="AG389" s="370">
        <f>SUM(AG387:AG388)</f>
        <v>0</v>
      </c>
      <c r="AH389" s="4"/>
      <c r="AI389" s="255"/>
      <c r="AJ389" s="367"/>
      <c r="AK389" s="193"/>
      <c r="AL389" s="193"/>
      <c r="AM389" s="193"/>
      <c r="AN389" s="510">
        <f>SUM(AN386:AN388)</f>
        <v>2266</v>
      </c>
      <c r="AO389" s="193"/>
      <c r="AP389" s="193"/>
    </row>
    <row r="390" spans="1:42" s="180" customFormat="1" hidden="1">
      <c r="A390" s="313"/>
      <c r="E390" s="4"/>
      <c r="F390" s="4"/>
      <c r="G390" s="4"/>
      <c r="J390" s="4"/>
      <c r="K390" s="4"/>
      <c r="L390" s="4"/>
      <c r="O390" s="4"/>
      <c r="P390" s="4"/>
      <c r="Q390" s="4"/>
      <c r="T390" s="4"/>
      <c r="U390" s="4"/>
      <c r="V390" s="4"/>
      <c r="Y390" s="4"/>
      <c r="Z390" s="4"/>
      <c r="AA390" s="4"/>
      <c r="AB390" s="4"/>
      <c r="AC390" s="4"/>
      <c r="AH390" s="4"/>
      <c r="AI390" s="255"/>
      <c r="AK390" s="193"/>
      <c r="AL390" s="193"/>
      <c r="AM390" s="193"/>
      <c r="AN390" s="193"/>
      <c r="AO390" s="193"/>
      <c r="AP390" s="193"/>
    </row>
    <row r="391" spans="1:42" s="180" customFormat="1" hidden="1">
      <c r="A391" s="313"/>
      <c r="B391" s="229"/>
      <c r="C391" s="230"/>
      <c r="D391" s="230"/>
      <c r="E391" s="232"/>
      <c r="F391" s="232"/>
      <c r="G391" s="230"/>
      <c r="H391" s="232"/>
      <c r="I391" s="232"/>
      <c r="J391" s="232"/>
      <c r="K391" s="232"/>
      <c r="L391" s="230"/>
      <c r="M391" s="230"/>
      <c r="N391" s="230"/>
      <c r="O391" s="230"/>
      <c r="P391" s="232"/>
      <c r="Q391" s="230"/>
      <c r="R391" s="230"/>
      <c r="S391" s="230"/>
      <c r="T391" s="230"/>
      <c r="U391" s="232"/>
      <c r="V391" s="230"/>
      <c r="W391" s="230"/>
      <c r="X391" s="230"/>
      <c r="Y391" s="233"/>
      <c r="Z391" s="232"/>
      <c r="AA391" s="234"/>
      <c r="AB391" s="232"/>
      <c r="AC391" s="373"/>
      <c r="AD391" s="236"/>
      <c r="AE391" s="255"/>
      <c r="AF391" s="255"/>
      <c r="AG391" s="255"/>
      <c r="AH391" s="255"/>
      <c r="AI391" s="255"/>
      <c r="AJ391" s="255"/>
      <c r="AK391" s="255"/>
      <c r="AL391" s="255"/>
      <c r="AM391" s="255"/>
      <c r="AN391" s="255"/>
      <c r="AO391" s="255"/>
      <c r="AP391" s="255"/>
    </row>
    <row r="392" spans="1:42" s="180" customFormat="1" hidden="1">
      <c r="A392" s="313"/>
      <c r="E392" s="4"/>
      <c r="F392" s="4"/>
      <c r="G392" s="4"/>
      <c r="J392" s="4"/>
      <c r="K392" s="4"/>
      <c r="L392" s="4"/>
      <c r="O392" s="4"/>
      <c r="P392" s="4"/>
      <c r="Q392" s="4"/>
      <c r="T392" s="4"/>
      <c r="U392" s="4"/>
      <c r="V392" s="4"/>
      <c r="Y392" s="4"/>
      <c r="Z392" s="4"/>
      <c r="AA392" s="4"/>
      <c r="AB392" s="4"/>
      <c r="AC392" s="4"/>
      <c r="AH392" s="4"/>
      <c r="AI392" s="255"/>
      <c r="AK392" s="193"/>
      <c r="AL392" s="193"/>
      <c r="AM392" s="193"/>
      <c r="AN392" s="193"/>
      <c r="AO392" s="193"/>
      <c r="AP392" s="193"/>
    </row>
    <row r="393" spans="1:42" s="180" customFormat="1" ht="13.5" hidden="1" customHeight="1">
      <c r="A393" s="313"/>
      <c r="B393" s="1518" t="s">
        <v>18</v>
      </c>
      <c r="C393" s="1519">
        <v>45873</v>
      </c>
      <c r="D393" s="1519"/>
      <c r="E393" s="1519"/>
      <c r="F393" s="1519"/>
      <c r="G393" s="365"/>
      <c r="H393" s="1519">
        <v>45874</v>
      </c>
      <c r="I393" s="1519"/>
      <c r="J393" s="1519"/>
      <c r="K393" s="1519"/>
      <c r="L393" s="365"/>
      <c r="M393" s="1519">
        <v>45875</v>
      </c>
      <c r="N393" s="1519"/>
      <c r="O393" s="1519"/>
      <c r="P393" s="1519"/>
      <c r="Q393" s="365"/>
      <c r="R393" s="1519">
        <v>45876</v>
      </c>
      <c r="S393" s="1519"/>
      <c r="T393" s="1519"/>
      <c r="U393" s="1519"/>
      <c r="V393" s="365"/>
      <c r="W393" s="1519">
        <v>45877</v>
      </c>
      <c r="X393" s="1519"/>
      <c r="Y393" s="1519"/>
      <c r="Z393" s="1519"/>
      <c r="AA393" s="1517" t="s">
        <v>19</v>
      </c>
      <c r="AB393" s="1517" t="s">
        <v>20</v>
      </c>
      <c r="AC393" s="4"/>
      <c r="AD393" s="1519">
        <v>45878</v>
      </c>
      <c r="AE393" s="1519"/>
      <c r="AF393" s="1519"/>
      <c r="AG393" s="1517" t="s">
        <v>21</v>
      </c>
      <c r="AH393" s="4"/>
      <c r="AI393" s="368"/>
      <c r="AK393" s="194" t="s">
        <v>84</v>
      </c>
      <c r="AL393" s="366"/>
      <c r="AM393" s="366"/>
      <c r="AN393" s="366"/>
      <c r="AO393" s="366"/>
      <c r="AP393" s="366"/>
    </row>
    <row r="394" spans="1:42" s="180" customFormat="1" hidden="1">
      <c r="A394" s="313"/>
      <c r="B394" s="1518"/>
      <c r="C394" s="21" t="s">
        <v>23</v>
      </c>
      <c r="D394" s="21" t="s">
        <v>24</v>
      </c>
      <c r="E394" s="205" t="s">
        <v>25</v>
      </c>
      <c r="F394" s="18" t="s">
        <v>14</v>
      </c>
      <c r="G394" s="4"/>
      <c r="H394" s="21" t="s">
        <v>23</v>
      </c>
      <c r="I394" s="21" t="s">
        <v>24</v>
      </c>
      <c r="J394" s="18" t="s">
        <v>25</v>
      </c>
      <c r="K394" s="18" t="s">
        <v>14</v>
      </c>
      <c r="L394" s="4"/>
      <c r="M394" s="21" t="s">
        <v>23</v>
      </c>
      <c r="N394" s="21" t="s">
        <v>24</v>
      </c>
      <c r="O394" s="18" t="s">
        <v>25</v>
      </c>
      <c r="P394" s="18" t="s">
        <v>14</v>
      </c>
      <c r="Q394" s="4"/>
      <c r="R394" s="21" t="s">
        <v>23</v>
      </c>
      <c r="S394" s="21" t="s">
        <v>24</v>
      </c>
      <c r="T394" s="18" t="s">
        <v>25</v>
      </c>
      <c r="U394" s="18" t="s">
        <v>14</v>
      </c>
      <c r="V394" s="4"/>
      <c r="W394" s="21" t="s">
        <v>23</v>
      </c>
      <c r="X394" s="21" t="s">
        <v>24</v>
      </c>
      <c r="Y394" s="18" t="s">
        <v>25</v>
      </c>
      <c r="Z394" s="18" t="s">
        <v>14</v>
      </c>
      <c r="AA394" s="1517"/>
      <c r="AB394" s="1517"/>
      <c r="AC394" s="4"/>
      <c r="AD394" s="21" t="s">
        <v>23</v>
      </c>
      <c r="AE394" s="21" t="s">
        <v>24</v>
      </c>
      <c r="AF394" s="18" t="s">
        <v>25</v>
      </c>
      <c r="AG394" s="1517"/>
      <c r="AH394" s="4"/>
      <c r="AI394" s="368"/>
      <c r="AJ394" s="367"/>
      <c r="AK394" s="188" t="s">
        <v>26</v>
      </c>
      <c r="AL394" s="196">
        <f>AA397</f>
        <v>60</v>
      </c>
      <c r="AM394" s="511">
        <v>51.5</v>
      </c>
      <c r="AN394" s="510">
        <f>AL394*AM394</f>
        <v>3090</v>
      </c>
      <c r="AO394" s="193"/>
      <c r="AP394" s="193"/>
    </row>
    <row r="395" spans="1:42" s="180" customFormat="1" hidden="1">
      <c r="A395" s="313"/>
      <c r="B395" s="4" t="s">
        <v>60</v>
      </c>
      <c r="C395" s="441" t="s">
        <v>75</v>
      </c>
      <c r="D395" s="441" t="s">
        <v>246</v>
      </c>
      <c r="E395" s="319">
        <v>8</v>
      </c>
      <c r="F395" s="320"/>
      <c r="G395" s="4"/>
      <c r="H395" s="441" t="s">
        <v>75</v>
      </c>
      <c r="I395" s="441" t="s">
        <v>246</v>
      </c>
      <c r="J395" s="319">
        <v>8</v>
      </c>
      <c r="K395" s="320"/>
      <c r="L395" s="4"/>
      <c r="M395" s="441" t="s">
        <v>75</v>
      </c>
      <c r="N395" s="441" t="s">
        <v>246</v>
      </c>
      <c r="O395" s="319">
        <v>8</v>
      </c>
      <c r="P395" s="320"/>
      <c r="Q395" s="4"/>
      <c r="R395" s="441" t="s">
        <v>75</v>
      </c>
      <c r="S395" s="441" t="s">
        <v>246</v>
      </c>
      <c r="T395" s="319">
        <v>8</v>
      </c>
      <c r="U395" s="320"/>
      <c r="V395" s="4"/>
      <c r="W395" s="441" t="s">
        <v>75</v>
      </c>
      <c r="X395" s="441" t="s">
        <v>246</v>
      </c>
      <c r="Y395" s="319">
        <v>8</v>
      </c>
      <c r="Z395" s="320"/>
      <c r="AA395" s="328">
        <f>Y395+T395+O395+J395+E395</f>
        <v>40</v>
      </c>
      <c r="AB395" s="298">
        <f>Z395+U395+P395+K395+F395</f>
        <v>0</v>
      </c>
      <c r="AC395" s="4"/>
      <c r="AD395" s="587"/>
      <c r="AE395" s="531"/>
      <c r="AF395" s="319"/>
      <c r="AG395" s="328">
        <f>AF395</f>
        <v>0</v>
      </c>
      <c r="AH395" s="4"/>
      <c r="AI395" s="368"/>
      <c r="AJ395" s="367"/>
      <c r="AK395" s="188" t="s">
        <v>30</v>
      </c>
      <c r="AL395" s="196">
        <f>AB397</f>
        <v>0</v>
      </c>
      <c r="AM395" s="511">
        <f>AM394*1.5</f>
        <v>77.25</v>
      </c>
      <c r="AN395" s="510">
        <f>AL395*AM395</f>
        <v>0</v>
      </c>
      <c r="AO395" s="193"/>
      <c r="AP395" s="193"/>
    </row>
    <row r="396" spans="1:42" s="180" customFormat="1" hidden="1">
      <c r="A396" s="313"/>
      <c r="B396" s="4" t="s">
        <v>59</v>
      </c>
      <c r="C396" s="441" t="s">
        <v>222</v>
      </c>
      <c r="D396" s="441" t="s">
        <v>125</v>
      </c>
      <c r="E396" s="319">
        <v>4</v>
      </c>
      <c r="F396" s="320"/>
      <c r="G396" s="4"/>
      <c r="H396" s="441" t="s">
        <v>222</v>
      </c>
      <c r="I396" s="441" t="s">
        <v>125</v>
      </c>
      <c r="J396" s="319">
        <v>4</v>
      </c>
      <c r="K396" s="320"/>
      <c r="L396" s="4"/>
      <c r="M396" s="441" t="s">
        <v>222</v>
      </c>
      <c r="N396" s="441" t="s">
        <v>125</v>
      </c>
      <c r="O396" s="319">
        <v>4</v>
      </c>
      <c r="P396" s="320"/>
      <c r="Q396" s="4"/>
      <c r="R396" s="441" t="s">
        <v>222</v>
      </c>
      <c r="S396" s="441" t="s">
        <v>125</v>
      </c>
      <c r="T396" s="319">
        <v>4</v>
      </c>
      <c r="U396" s="320"/>
      <c r="V396" s="4"/>
      <c r="W396" s="441" t="s">
        <v>222</v>
      </c>
      <c r="X396" s="441" t="s">
        <v>125</v>
      </c>
      <c r="Y396" s="319">
        <v>4</v>
      </c>
      <c r="Z396" s="320"/>
      <c r="AA396" s="328">
        <f>Y396+T396+O396+J396+E396</f>
        <v>20</v>
      </c>
      <c r="AB396" s="298">
        <f>Z396+U396+P396+K396+F396</f>
        <v>0</v>
      </c>
      <c r="AC396" s="4"/>
      <c r="AF396" s="319"/>
      <c r="AG396" s="328">
        <f>AF396</f>
        <v>0</v>
      </c>
      <c r="AH396" s="175"/>
      <c r="AI396" s="402"/>
      <c r="AJ396" s="367"/>
      <c r="AK396" s="188" t="s">
        <v>32</v>
      </c>
      <c r="AL396" s="196">
        <f>AG397</f>
        <v>0</v>
      </c>
      <c r="AM396" s="511">
        <v>75.77</v>
      </c>
      <c r="AN396" s="510">
        <f>AL396*AM396</f>
        <v>0</v>
      </c>
      <c r="AO396" s="193"/>
      <c r="AP396" s="193"/>
    </row>
    <row r="397" spans="1:42" s="180" customFormat="1" hidden="1">
      <c r="A397" s="313"/>
      <c r="B397" s="64" t="s">
        <v>61</v>
      </c>
      <c r="C397" s="31"/>
      <c r="D397" s="31"/>
      <c r="E397" s="439">
        <f>SUM(E395:E396)</f>
        <v>12</v>
      </c>
      <c r="F397" s="320">
        <f>SUM(F395:F396)</f>
        <v>0</v>
      </c>
      <c r="G397" s="31"/>
      <c r="H397" s="31"/>
      <c r="I397" s="31"/>
      <c r="J397" s="439">
        <f>SUM(J395:J396)</f>
        <v>12</v>
      </c>
      <c r="K397" s="320">
        <f>SUM(K395:K396)</f>
        <v>0</v>
      </c>
      <c r="L397" s="31"/>
      <c r="M397" s="31"/>
      <c r="N397" s="31"/>
      <c r="O397" s="439">
        <f>SUM(O395:O396)</f>
        <v>12</v>
      </c>
      <c r="P397" s="320">
        <f>SUM(P395:P396)</f>
        <v>0</v>
      </c>
      <c r="Q397" s="31"/>
      <c r="R397" s="31"/>
      <c r="S397" s="31"/>
      <c r="T397" s="439">
        <f>SUM(T395:T396)</f>
        <v>12</v>
      </c>
      <c r="U397" s="320">
        <f>SUM(U395:U396)</f>
        <v>0</v>
      </c>
      <c r="V397" s="31"/>
      <c r="W397" s="31"/>
      <c r="X397" s="31"/>
      <c r="Y397" s="439">
        <f>SUM(Y395:Y396)</f>
        <v>12</v>
      </c>
      <c r="Z397" s="320">
        <f>SUM(Z395:Z396)</f>
        <v>0</v>
      </c>
      <c r="AA397" s="370">
        <f>SUM(AA395:AA396)</f>
        <v>60</v>
      </c>
      <c r="AB397" s="370">
        <f>SUM(AB395:AB396)</f>
        <v>0</v>
      </c>
      <c r="AC397" s="4"/>
      <c r="AD397" s="64"/>
      <c r="AE397" s="64"/>
      <c r="AF397" s="370">
        <f>SUM(AF395:AF396)</f>
        <v>0</v>
      </c>
      <c r="AG397" s="370">
        <f>SUM(AG395:AG396)</f>
        <v>0</v>
      </c>
      <c r="AH397" s="4"/>
      <c r="AI397" s="255"/>
      <c r="AJ397" s="367"/>
      <c r="AK397" s="193"/>
      <c r="AL397" s="193"/>
      <c r="AM397" s="193"/>
      <c r="AN397" s="510">
        <f>SUM(AN394:AN396)</f>
        <v>3090</v>
      </c>
      <c r="AO397" s="193"/>
      <c r="AP397" s="193"/>
    </row>
    <row r="398" spans="1:42" s="180" customFormat="1" hidden="1">
      <c r="A398" s="313"/>
      <c r="E398" s="4"/>
      <c r="F398" s="4"/>
      <c r="G398" s="4"/>
      <c r="J398" s="4"/>
      <c r="K398" s="4"/>
      <c r="L398" s="4"/>
      <c r="O398" s="4"/>
      <c r="P398" s="4"/>
      <c r="Q398" s="4"/>
      <c r="T398" s="4"/>
      <c r="U398" s="4"/>
      <c r="V398" s="4"/>
      <c r="Y398" s="4"/>
      <c r="Z398" s="4"/>
      <c r="AA398" s="4"/>
      <c r="AB398" s="4"/>
      <c r="AC398" s="4"/>
      <c r="AH398" s="4"/>
      <c r="AI398" s="255"/>
      <c r="AK398" s="193"/>
      <c r="AL398" s="193"/>
      <c r="AM398" s="193"/>
      <c r="AN398" s="193"/>
      <c r="AO398" s="193"/>
      <c r="AP398" s="193"/>
    </row>
    <row r="399" spans="1:42" s="180" customFormat="1" hidden="1">
      <c r="A399" s="313"/>
      <c r="B399" s="229"/>
      <c r="C399" s="230"/>
      <c r="D399" s="230"/>
      <c r="E399" s="232"/>
      <c r="F399" s="232"/>
      <c r="G399" s="230"/>
      <c r="H399" s="232"/>
      <c r="I399" s="232"/>
      <c r="J399" s="232"/>
      <c r="K399" s="232"/>
      <c r="L399" s="230"/>
      <c r="M399" s="230"/>
      <c r="N399" s="230"/>
      <c r="O399" s="230"/>
      <c r="P399" s="232"/>
      <c r="Q399" s="230"/>
      <c r="R399" s="230"/>
      <c r="S399" s="230"/>
      <c r="T399" s="230"/>
      <c r="U399" s="232"/>
      <c r="V399" s="230"/>
      <c r="W399" s="230"/>
      <c r="X399" s="230"/>
      <c r="Y399" s="233"/>
      <c r="Z399" s="232"/>
      <c r="AA399" s="234"/>
      <c r="AB399" s="232"/>
      <c r="AC399" s="373"/>
      <c r="AD399" s="236"/>
      <c r="AE399" s="255"/>
      <c r="AF399" s="255"/>
      <c r="AG399" s="255"/>
      <c r="AH399" s="255"/>
      <c r="AI399" s="255"/>
      <c r="AJ399" s="255"/>
      <c r="AK399" s="255"/>
      <c r="AL399" s="255"/>
      <c r="AM399" s="255"/>
      <c r="AN399" s="255"/>
      <c r="AO399" s="255"/>
      <c r="AP399" s="255"/>
    </row>
    <row r="400" spans="1:42" s="180" customFormat="1" hidden="1">
      <c r="A400" s="313"/>
      <c r="E400" s="4"/>
      <c r="F400" s="4"/>
      <c r="G400" s="4"/>
      <c r="J400" s="4"/>
      <c r="K400" s="4"/>
      <c r="L400" s="4"/>
      <c r="O400" s="4"/>
      <c r="P400" s="4"/>
      <c r="Q400" s="4"/>
      <c r="T400" s="4"/>
      <c r="U400" s="4"/>
      <c r="V400" s="4"/>
      <c r="Y400" s="4"/>
      <c r="Z400" s="4"/>
      <c r="AA400" s="4"/>
      <c r="AB400" s="4"/>
      <c r="AC400" s="4"/>
      <c r="AH400" s="4"/>
      <c r="AI400" s="255"/>
      <c r="AK400" s="193"/>
      <c r="AL400" s="193"/>
      <c r="AM400" s="193"/>
      <c r="AN400" s="193"/>
      <c r="AO400" s="193"/>
      <c r="AP400" s="193"/>
    </row>
    <row r="401" spans="1:42" s="180" customFormat="1" ht="13.5" hidden="1" customHeight="1">
      <c r="A401" s="313"/>
      <c r="B401" s="1518" t="s">
        <v>18</v>
      </c>
      <c r="C401" s="1519">
        <v>45880</v>
      </c>
      <c r="D401" s="1519"/>
      <c r="E401" s="1519"/>
      <c r="F401" s="1519"/>
      <c r="G401" s="365"/>
      <c r="H401" s="1519">
        <v>45881</v>
      </c>
      <c r="I401" s="1519"/>
      <c r="J401" s="1519"/>
      <c r="K401" s="1519"/>
      <c r="L401" s="365"/>
      <c r="M401" s="1519">
        <v>45882</v>
      </c>
      <c r="N401" s="1519"/>
      <c r="O401" s="1519"/>
      <c r="P401" s="1519"/>
      <c r="Q401" s="365"/>
      <c r="R401" s="1519">
        <v>45883</v>
      </c>
      <c r="S401" s="1519"/>
      <c r="T401" s="1519"/>
      <c r="U401" s="1519"/>
      <c r="V401" s="365"/>
      <c r="W401" s="1519">
        <v>45884</v>
      </c>
      <c r="X401" s="1519"/>
      <c r="Y401" s="1519"/>
      <c r="Z401" s="1519"/>
      <c r="AA401" s="1517" t="s">
        <v>19</v>
      </c>
      <c r="AB401" s="1517" t="s">
        <v>20</v>
      </c>
      <c r="AC401" s="4"/>
      <c r="AD401" s="1519">
        <v>45885</v>
      </c>
      <c r="AE401" s="1519"/>
      <c r="AF401" s="1519"/>
      <c r="AG401" s="1517" t="s">
        <v>21</v>
      </c>
      <c r="AH401" s="4"/>
      <c r="AI401" s="368"/>
      <c r="AK401" s="194" t="s">
        <v>84</v>
      </c>
      <c r="AL401" s="366"/>
      <c r="AM401" s="366"/>
      <c r="AN401" s="366"/>
      <c r="AO401" s="366"/>
      <c r="AP401" s="366"/>
    </row>
    <row r="402" spans="1:42" s="180" customFormat="1" hidden="1">
      <c r="A402" s="313"/>
      <c r="B402" s="1518"/>
      <c r="C402" s="21" t="s">
        <v>23</v>
      </c>
      <c r="D402" s="21" t="s">
        <v>24</v>
      </c>
      <c r="E402" s="205" t="s">
        <v>25</v>
      </c>
      <c r="F402" s="18" t="s">
        <v>14</v>
      </c>
      <c r="G402" s="4"/>
      <c r="H402" s="21" t="s">
        <v>23</v>
      </c>
      <c r="I402" s="21" t="s">
        <v>24</v>
      </c>
      <c r="J402" s="18" t="s">
        <v>25</v>
      </c>
      <c r="K402" s="18" t="s">
        <v>14</v>
      </c>
      <c r="L402" s="4"/>
      <c r="M402" s="21" t="s">
        <v>23</v>
      </c>
      <c r="N402" s="21" t="s">
        <v>24</v>
      </c>
      <c r="O402" s="18" t="s">
        <v>25</v>
      </c>
      <c r="P402" s="18" t="s">
        <v>14</v>
      </c>
      <c r="Q402" s="4"/>
      <c r="R402" s="21" t="s">
        <v>23</v>
      </c>
      <c r="S402" s="21" t="s">
        <v>24</v>
      </c>
      <c r="T402" s="18" t="s">
        <v>25</v>
      </c>
      <c r="U402" s="18" t="s">
        <v>14</v>
      </c>
      <c r="V402" s="4"/>
      <c r="W402" s="21" t="s">
        <v>23</v>
      </c>
      <c r="X402" s="21" t="s">
        <v>24</v>
      </c>
      <c r="Y402" s="18" t="s">
        <v>25</v>
      </c>
      <c r="Z402" s="18" t="s">
        <v>14</v>
      </c>
      <c r="AA402" s="1517"/>
      <c r="AB402" s="1517"/>
      <c r="AC402" s="4"/>
      <c r="AD402" s="21" t="s">
        <v>23</v>
      </c>
      <c r="AE402" s="21" t="s">
        <v>24</v>
      </c>
      <c r="AF402" s="18" t="s">
        <v>25</v>
      </c>
      <c r="AG402" s="1517"/>
      <c r="AH402" s="4"/>
      <c r="AI402" s="368"/>
      <c r="AJ402" s="367"/>
      <c r="AK402" s="188" t="s">
        <v>26</v>
      </c>
      <c r="AL402" s="196">
        <f>AA405</f>
        <v>60</v>
      </c>
      <c r="AM402" s="511">
        <v>51.5</v>
      </c>
      <c r="AN402" s="510">
        <f>AL402*AM402</f>
        <v>3090</v>
      </c>
      <c r="AO402" s="193"/>
      <c r="AP402" s="193"/>
    </row>
    <row r="403" spans="1:42" s="180" customFormat="1" hidden="1">
      <c r="A403" s="313"/>
      <c r="B403" s="4" t="s">
        <v>60</v>
      </c>
      <c r="C403" s="441" t="s">
        <v>75</v>
      </c>
      <c r="D403" s="441" t="s">
        <v>246</v>
      </c>
      <c r="E403" s="319">
        <v>8</v>
      </c>
      <c r="F403" s="320"/>
      <c r="G403" s="4"/>
      <c r="H403" s="441" t="s">
        <v>75</v>
      </c>
      <c r="I403" s="441" t="s">
        <v>246</v>
      </c>
      <c r="J403" s="319">
        <v>8</v>
      </c>
      <c r="K403" s="320"/>
      <c r="L403" s="4"/>
      <c r="M403" s="441" t="s">
        <v>75</v>
      </c>
      <c r="N403" s="441" t="s">
        <v>246</v>
      </c>
      <c r="O403" s="319">
        <v>8</v>
      </c>
      <c r="P403" s="320"/>
      <c r="Q403" s="4"/>
      <c r="R403" s="441" t="s">
        <v>75</v>
      </c>
      <c r="S403" s="441" t="s">
        <v>246</v>
      </c>
      <c r="T403" s="319">
        <v>8</v>
      </c>
      <c r="U403" s="320"/>
      <c r="V403" s="4"/>
      <c r="W403" s="441" t="s">
        <v>75</v>
      </c>
      <c r="X403" s="441" t="s">
        <v>246</v>
      </c>
      <c r="Y403" s="319">
        <v>8</v>
      </c>
      <c r="Z403" s="320"/>
      <c r="AA403" s="328">
        <f>Y403+T403+O403+J403+E403</f>
        <v>40</v>
      </c>
      <c r="AB403" s="298">
        <f>Z403+U403+P403+K403+F403</f>
        <v>0</v>
      </c>
      <c r="AC403" s="4"/>
      <c r="AD403" s="587"/>
      <c r="AE403" s="531"/>
      <c r="AF403" s="319"/>
      <c r="AG403" s="328">
        <f>AF403</f>
        <v>0</v>
      </c>
      <c r="AH403" s="4"/>
      <c r="AI403" s="368"/>
      <c r="AJ403" s="367"/>
      <c r="AK403" s="188" t="s">
        <v>30</v>
      </c>
      <c r="AL403" s="196">
        <f>AB405</f>
        <v>0</v>
      </c>
      <c r="AM403" s="511">
        <f>AM402*1.5</f>
        <v>77.25</v>
      </c>
      <c r="AN403" s="510">
        <f>AL403*AM403</f>
        <v>0</v>
      </c>
      <c r="AO403" s="193"/>
      <c r="AP403" s="193"/>
    </row>
    <row r="404" spans="1:42" s="180" customFormat="1" hidden="1">
      <c r="A404" s="313"/>
      <c r="B404" s="4" t="s">
        <v>59</v>
      </c>
      <c r="C404" s="441" t="s">
        <v>222</v>
      </c>
      <c r="D404" s="441" t="s">
        <v>125</v>
      </c>
      <c r="E404" s="319">
        <v>4</v>
      </c>
      <c r="F404" s="320"/>
      <c r="G404" s="4"/>
      <c r="H404" s="441" t="s">
        <v>222</v>
      </c>
      <c r="I404" s="441" t="s">
        <v>125</v>
      </c>
      <c r="J404" s="319">
        <v>4</v>
      </c>
      <c r="K404" s="320"/>
      <c r="L404" s="4"/>
      <c r="M404" s="441" t="s">
        <v>222</v>
      </c>
      <c r="N404" s="441" t="s">
        <v>125</v>
      </c>
      <c r="O404" s="319">
        <v>4</v>
      </c>
      <c r="P404" s="320"/>
      <c r="Q404" s="4"/>
      <c r="R404" s="441" t="s">
        <v>222</v>
      </c>
      <c r="S404" s="441" t="s">
        <v>125</v>
      </c>
      <c r="T404" s="319">
        <v>4</v>
      </c>
      <c r="U404" s="320"/>
      <c r="V404" s="4"/>
      <c r="W404" s="441" t="s">
        <v>222</v>
      </c>
      <c r="X404" s="441" t="s">
        <v>125</v>
      </c>
      <c r="Y404" s="319">
        <v>4</v>
      </c>
      <c r="Z404" s="320"/>
      <c r="AA404" s="328">
        <f>Y404+T404+O404+J404+E404</f>
        <v>20</v>
      </c>
      <c r="AB404" s="298">
        <f>Z404+U404+P404+K404+F404</f>
        <v>0</v>
      </c>
      <c r="AC404" s="4"/>
      <c r="AF404" s="319"/>
      <c r="AG404" s="328">
        <f>AF404</f>
        <v>0</v>
      </c>
      <c r="AH404" s="175"/>
      <c r="AI404" s="402"/>
      <c r="AJ404" s="367"/>
      <c r="AK404" s="188" t="s">
        <v>32</v>
      </c>
      <c r="AL404" s="196">
        <f>AG405</f>
        <v>0</v>
      </c>
      <c r="AM404" s="511">
        <v>75.77</v>
      </c>
      <c r="AN404" s="510">
        <f>AL404*AM404</f>
        <v>0</v>
      </c>
      <c r="AO404" s="193"/>
      <c r="AP404" s="193"/>
    </row>
    <row r="405" spans="1:42" s="180" customFormat="1" hidden="1">
      <c r="A405" s="313"/>
      <c r="B405" s="64" t="s">
        <v>61</v>
      </c>
      <c r="C405" s="31"/>
      <c r="D405" s="31"/>
      <c r="E405" s="439">
        <f>SUM(E403:E404)</f>
        <v>12</v>
      </c>
      <c r="F405" s="320">
        <f>SUM(F403:F404)</f>
        <v>0</v>
      </c>
      <c r="G405" s="31"/>
      <c r="H405" s="31"/>
      <c r="I405" s="31"/>
      <c r="J405" s="439">
        <f>SUM(J403:J404)</f>
        <v>12</v>
      </c>
      <c r="K405" s="320">
        <f>SUM(K403:K404)</f>
        <v>0</v>
      </c>
      <c r="L405" s="31"/>
      <c r="M405" s="31"/>
      <c r="N405" s="31"/>
      <c r="O405" s="439">
        <f>SUM(O403:O404)</f>
        <v>12</v>
      </c>
      <c r="P405" s="320">
        <f>SUM(P403:P404)</f>
        <v>0</v>
      </c>
      <c r="Q405" s="31"/>
      <c r="R405" s="31"/>
      <c r="S405" s="31"/>
      <c r="T405" s="439">
        <f>SUM(T403:T404)</f>
        <v>12</v>
      </c>
      <c r="U405" s="320">
        <f>SUM(U403:U404)</f>
        <v>0</v>
      </c>
      <c r="V405" s="31"/>
      <c r="W405" s="31"/>
      <c r="X405" s="31"/>
      <c r="Y405" s="439">
        <f>SUM(Y403:Y404)</f>
        <v>12</v>
      </c>
      <c r="Z405" s="320">
        <f>SUM(Z403:Z404)</f>
        <v>0</v>
      </c>
      <c r="AA405" s="370">
        <f>SUM(AA403:AA404)</f>
        <v>60</v>
      </c>
      <c r="AB405" s="370">
        <f>SUM(AB403:AB404)</f>
        <v>0</v>
      </c>
      <c r="AC405" s="4"/>
      <c r="AD405" s="64"/>
      <c r="AE405" s="64"/>
      <c r="AF405" s="370">
        <f>SUM(AF403:AF404)</f>
        <v>0</v>
      </c>
      <c r="AG405" s="370">
        <f>SUM(AG403:AG404)</f>
        <v>0</v>
      </c>
      <c r="AH405" s="4"/>
      <c r="AI405" s="255"/>
      <c r="AJ405" s="367"/>
      <c r="AK405" s="193"/>
      <c r="AL405" s="193"/>
      <c r="AM405" s="193"/>
      <c r="AN405" s="510">
        <f>SUM(AN402:AN404)</f>
        <v>3090</v>
      </c>
      <c r="AO405" s="193"/>
      <c r="AP405" s="193"/>
    </row>
    <row r="406" spans="1:42" s="180" customFormat="1" hidden="1">
      <c r="A406" s="313"/>
      <c r="E406" s="4"/>
      <c r="F406" s="4"/>
      <c r="G406" s="4"/>
      <c r="J406" s="4"/>
      <c r="K406" s="4"/>
      <c r="L406" s="4"/>
      <c r="O406" s="4"/>
      <c r="P406" s="4"/>
      <c r="Q406" s="4"/>
      <c r="T406" s="4"/>
      <c r="U406" s="4"/>
      <c r="V406" s="4"/>
      <c r="Y406" s="4"/>
      <c r="Z406" s="4"/>
      <c r="AA406" s="4"/>
      <c r="AB406" s="4"/>
      <c r="AC406" s="4"/>
      <c r="AH406" s="4"/>
      <c r="AI406" s="255"/>
      <c r="AK406" s="193"/>
      <c r="AL406" s="193"/>
      <c r="AM406" s="193"/>
      <c r="AN406" s="193"/>
      <c r="AO406" s="193"/>
      <c r="AP406" s="193"/>
    </row>
    <row r="407" spans="1:42" s="180" customFormat="1" hidden="1">
      <c r="A407" s="313"/>
      <c r="B407" s="229"/>
      <c r="C407" s="230"/>
      <c r="D407" s="230"/>
      <c r="E407" s="232"/>
      <c r="F407" s="232"/>
      <c r="G407" s="230"/>
      <c r="H407" s="232"/>
      <c r="I407" s="232"/>
      <c r="J407" s="232"/>
      <c r="K407" s="232"/>
      <c r="L407" s="230"/>
      <c r="M407" s="230"/>
      <c r="N407" s="230"/>
      <c r="O407" s="230"/>
      <c r="P407" s="232"/>
      <c r="Q407" s="230"/>
      <c r="R407" s="230"/>
      <c r="S407" s="230"/>
      <c r="T407" s="230"/>
      <c r="U407" s="232"/>
      <c r="V407" s="230"/>
      <c r="W407" s="230"/>
      <c r="X407" s="230"/>
      <c r="Y407" s="233"/>
      <c r="Z407" s="232"/>
      <c r="AA407" s="234"/>
      <c r="AB407" s="232"/>
      <c r="AC407" s="373"/>
      <c r="AD407" s="236"/>
      <c r="AE407" s="255"/>
      <c r="AF407" s="255"/>
      <c r="AG407" s="255"/>
      <c r="AH407" s="255"/>
      <c r="AI407" s="255"/>
      <c r="AJ407" s="255"/>
      <c r="AK407" s="255"/>
      <c r="AL407" s="255"/>
      <c r="AM407" s="255"/>
      <c r="AN407" s="255"/>
      <c r="AO407" s="255"/>
      <c r="AP407" s="255"/>
    </row>
    <row r="408" spans="1:42" s="180" customFormat="1" hidden="1">
      <c r="A408" s="313"/>
      <c r="E408" s="4"/>
      <c r="F408" s="4"/>
      <c r="G408" s="4"/>
      <c r="J408" s="4"/>
      <c r="K408" s="4"/>
      <c r="L408" s="4"/>
      <c r="O408" s="4"/>
      <c r="P408" s="4"/>
      <c r="Q408" s="4"/>
      <c r="T408" s="4"/>
      <c r="U408" s="4"/>
      <c r="V408" s="4"/>
      <c r="Y408" s="4"/>
      <c r="Z408" s="4"/>
      <c r="AA408" s="4"/>
      <c r="AB408" s="4"/>
      <c r="AC408" s="4"/>
      <c r="AH408" s="4"/>
      <c r="AI408" s="255"/>
      <c r="AK408" s="193"/>
      <c r="AL408" s="193"/>
      <c r="AM408" s="193"/>
      <c r="AN408" s="193"/>
      <c r="AO408" s="193"/>
      <c r="AP408" s="193"/>
    </row>
    <row r="409" spans="1:42" s="180" customFormat="1" ht="13.5" hidden="1" customHeight="1">
      <c r="A409" s="313"/>
      <c r="B409" s="1518" t="s">
        <v>18</v>
      </c>
      <c r="C409" s="1519">
        <v>45887</v>
      </c>
      <c r="D409" s="1519"/>
      <c r="E409" s="1519"/>
      <c r="F409" s="1519"/>
      <c r="G409" s="365"/>
      <c r="H409" s="1519">
        <v>45888</v>
      </c>
      <c r="I409" s="1519"/>
      <c r="J409" s="1519"/>
      <c r="K409" s="1519"/>
      <c r="L409" s="365"/>
      <c r="M409" s="1519">
        <v>45889</v>
      </c>
      <c r="N409" s="1519"/>
      <c r="O409" s="1519"/>
      <c r="P409" s="1519"/>
      <c r="Q409" s="365"/>
      <c r="R409" s="1519">
        <v>45890</v>
      </c>
      <c r="S409" s="1519"/>
      <c r="T409" s="1519"/>
      <c r="U409" s="1519"/>
      <c r="V409" s="365"/>
      <c r="W409" s="1519">
        <v>45891</v>
      </c>
      <c r="X409" s="1519"/>
      <c r="Y409" s="1519"/>
      <c r="Z409" s="1519"/>
      <c r="AA409" s="1517" t="s">
        <v>19</v>
      </c>
      <c r="AB409" s="1517" t="s">
        <v>20</v>
      </c>
      <c r="AC409" s="4"/>
      <c r="AD409" s="1519">
        <v>45892</v>
      </c>
      <c r="AE409" s="1519"/>
      <c r="AF409" s="1519"/>
      <c r="AG409" s="1517" t="s">
        <v>21</v>
      </c>
      <c r="AH409" s="4"/>
      <c r="AI409" s="368"/>
      <c r="AK409" s="194" t="s">
        <v>84</v>
      </c>
      <c r="AL409" s="366"/>
      <c r="AM409" s="366"/>
      <c r="AN409" s="366"/>
      <c r="AO409" s="366"/>
      <c r="AP409" s="366"/>
    </row>
    <row r="410" spans="1:42" s="180" customFormat="1" hidden="1">
      <c r="A410" s="313"/>
      <c r="B410" s="1518"/>
      <c r="C410" s="21" t="s">
        <v>23</v>
      </c>
      <c r="D410" s="21" t="s">
        <v>24</v>
      </c>
      <c r="E410" s="205" t="s">
        <v>25</v>
      </c>
      <c r="F410" s="18" t="s">
        <v>14</v>
      </c>
      <c r="G410" s="4"/>
      <c r="H410" s="21" t="s">
        <v>23</v>
      </c>
      <c r="I410" s="21" t="s">
        <v>24</v>
      </c>
      <c r="J410" s="18" t="s">
        <v>25</v>
      </c>
      <c r="K410" s="18" t="s">
        <v>14</v>
      </c>
      <c r="L410" s="4"/>
      <c r="M410" s="21" t="s">
        <v>23</v>
      </c>
      <c r="N410" s="21" t="s">
        <v>24</v>
      </c>
      <c r="O410" s="18" t="s">
        <v>25</v>
      </c>
      <c r="P410" s="18" t="s">
        <v>14</v>
      </c>
      <c r="Q410" s="4"/>
      <c r="R410" s="21" t="s">
        <v>23</v>
      </c>
      <c r="S410" s="21" t="s">
        <v>24</v>
      </c>
      <c r="T410" s="18" t="s">
        <v>25</v>
      </c>
      <c r="U410" s="18" t="s">
        <v>14</v>
      </c>
      <c r="V410" s="4"/>
      <c r="W410" s="21" t="s">
        <v>23</v>
      </c>
      <c r="X410" s="21" t="s">
        <v>24</v>
      </c>
      <c r="Y410" s="18" t="s">
        <v>25</v>
      </c>
      <c r="Z410" s="18" t="s">
        <v>14</v>
      </c>
      <c r="AA410" s="1517"/>
      <c r="AB410" s="1517"/>
      <c r="AC410" s="4"/>
      <c r="AD410" s="21" t="s">
        <v>23</v>
      </c>
      <c r="AE410" s="21" t="s">
        <v>24</v>
      </c>
      <c r="AF410" s="18" t="s">
        <v>25</v>
      </c>
      <c r="AG410" s="1517"/>
      <c r="AH410" s="4"/>
      <c r="AI410" s="368"/>
      <c r="AJ410" s="367"/>
      <c r="AK410" s="188" t="s">
        <v>26</v>
      </c>
      <c r="AL410" s="196">
        <f>AA413</f>
        <v>52</v>
      </c>
      <c r="AM410" s="511">
        <v>51.5</v>
      </c>
      <c r="AN410" s="510">
        <f>AL410*AM410</f>
        <v>2678</v>
      </c>
      <c r="AO410" s="193"/>
      <c r="AP410" s="193"/>
    </row>
    <row r="411" spans="1:42" s="180" customFormat="1" hidden="1">
      <c r="A411" s="313"/>
      <c r="B411" s="4" t="s">
        <v>60</v>
      </c>
      <c r="C411" s="441" t="s">
        <v>75</v>
      </c>
      <c r="D411" s="441" t="s">
        <v>246</v>
      </c>
      <c r="E411" s="319">
        <v>8</v>
      </c>
      <c r="F411" s="320"/>
      <c r="G411" s="4"/>
      <c r="H411" s="441" t="s">
        <v>75</v>
      </c>
      <c r="I411" s="441" t="s">
        <v>246</v>
      </c>
      <c r="J411" s="319">
        <v>8</v>
      </c>
      <c r="K411" s="320"/>
      <c r="L411" s="4"/>
      <c r="M411" s="441" t="s">
        <v>75</v>
      </c>
      <c r="N411" s="441" t="s">
        <v>246</v>
      </c>
      <c r="O411" s="319">
        <v>8</v>
      </c>
      <c r="P411" s="320"/>
      <c r="Q411" s="4"/>
      <c r="R411" s="441" t="s">
        <v>75</v>
      </c>
      <c r="S411" s="441" t="s">
        <v>246</v>
      </c>
      <c r="T411" s="319">
        <v>8</v>
      </c>
      <c r="U411" s="320"/>
      <c r="V411" s="4"/>
      <c r="W411" s="441" t="s">
        <v>75</v>
      </c>
      <c r="X411" s="441" t="s">
        <v>246</v>
      </c>
      <c r="Y411" s="319">
        <v>8</v>
      </c>
      <c r="Z411" s="320"/>
      <c r="AA411" s="328">
        <f>Y411+T411+O411+J411+E411</f>
        <v>40</v>
      </c>
      <c r="AB411" s="298">
        <f>Z411+U411+P411+K411+F411</f>
        <v>0</v>
      </c>
      <c r="AC411" s="4"/>
      <c r="AD411" s="587"/>
      <c r="AE411" s="531"/>
      <c r="AF411" s="319"/>
      <c r="AG411" s="328">
        <f>AF411</f>
        <v>0</v>
      </c>
      <c r="AH411" s="4"/>
      <c r="AI411" s="368"/>
      <c r="AJ411" s="367"/>
      <c r="AK411" s="188" t="s">
        <v>30</v>
      </c>
      <c r="AL411" s="196">
        <f>AB413</f>
        <v>0</v>
      </c>
      <c r="AM411" s="511">
        <f>AM410*1.5</f>
        <v>77.25</v>
      </c>
      <c r="AN411" s="510">
        <f>AL411*AM411</f>
        <v>0</v>
      </c>
      <c r="AO411" s="193"/>
      <c r="AP411" s="193"/>
    </row>
    <row r="412" spans="1:42" s="180" customFormat="1" hidden="1">
      <c r="A412" s="313"/>
      <c r="B412" s="4" t="s">
        <v>59</v>
      </c>
      <c r="C412" s="441" t="s">
        <v>222</v>
      </c>
      <c r="D412" s="441" t="s">
        <v>125</v>
      </c>
      <c r="E412" s="319">
        <v>4</v>
      </c>
      <c r="F412" s="320"/>
      <c r="G412" s="4"/>
      <c r="H412" s="441" t="s">
        <v>222</v>
      </c>
      <c r="I412" s="441" t="s">
        <v>125</v>
      </c>
      <c r="J412" s="319">
        <v>4</v>
      </c>
      <c r="K412" s="320"/>
      <c r="L412" s="4"/>
      <c r="M412" s="441" t="s">
        <v>222</v>
      </c>
      <c r="N412" s="441" t="s">
        <v>125</v>
      </c>
      <c r="O412" s="319">
        <v>4</v>
      </c>
      <c r="P412" s="320"/>
      <c r="Q412" s="4"/>
      <c r="R412" s="441" t="s">
        <v>24</v>
      </c>
      <c r="S412" s="441"/>
      <c r="T412" s="319"/>
      <c r="U412" s="320"/>
      <c r="V412" s="4"/>
      <c r="W412" s="441"/>
      <c r="X412" s="441"/>
      <c r="Y412" s="319"/>
      <c r="Z412" s="320"/>
      <c r="AA412" s="328">
        <f>Y412+T412+O412+J412+E412</f>
        <v>12</v>
      </c>
      <c r="AB412" s="298">
        <f>Z412+U412+P412+K412+F412</f>
        <v>0</v>
      </c>
      <c r="AC412" s="4"/>
      <c r="AF412" s="319"/>
      <c r="AG412" s="328">
        <f>AF412</f>
        <v>0</v>
      </c>
      <c r="AH412" s="175"/>
      <c r="AI412" s="402"/>
      <c r="AJ412" s="367"/>
      <c r="AK412" s="188" t="s">
        <v>32</v>
      </c>
      <c r="AL412" s="196">
        <f>AG413</f>
        <v>0</v>
      </c>
      <c r="AM412" s="511">
        <v>75.77</v>
      </c>
      <c r="AN412" s="510">
        <f>AL412*AM412</f>
        <v>0</v>
      </c>
      <c r="AO412" s="193"/>
      <c r="AP412" s="193"/>
    </row>
    <row r="413" spans="1:42" s="180" customFormat="1" hidden="1">
      <c r="A413" s="313"/>
      <c r="B413" s="64" t="s">
        <v>61</v>
      </c>
      <c r="C413" s="31"/>
      <c r="D413" s="31"/>
      <c r="E413" s="439">
        <f>SUM(E411:E412)</f>
        <v>12</v>
      </c>
      <c r="F413" s="320">
        <f>SUM(F411:F412)</f>
        <v>0</v>
      </c>
      <c r="G413" s="31"/>
      <c r="H413" s="31"/>
      <c r="I413" s="31"/>
      <c r="J413" s="439">
        <f>SUM(J411:J412)</f>
        <v>12</v>
      </c>
      <c r="K413" s="320">
        <f>SUM(K411:K412)</f>
        <v>0</v>
      </c>
      <c r="L413" s="31"/>
      <c r="M413" s="31"/>
      <c r="N413" s="31"/>
      <c r="O413" s="439">
        <f>SUM(O411:O412)</f>
        <v>12</v>
      </c>
      <c r="P413" s="320">
        <f>SUM(P411:P412)</f>
        <v>0</v>
      </c>
      <c r="Q413" s="31"/>
      <c r="R413" s="31"/>
      <c r="S413" s="31"/>
      <c r="T413" s="439">
        <f>SUM(T411:T412)</f>
        <v>8</v>
      </c>
      <c r="U413" s="320">
        <f>SUM(U411:U412)</f>
        <v>0</v>
      </c>
      <c r="V413" s="31"/>
      <c r="W413" s="31"/>
      <c r="X413" s="31"/>
      <c r="Y413" s="439">
        <f>SUM(Y411:Y412)</f>
        <v>8</v>
      </c>
      <c r="Z413" s="320">
        <f>SUM(Z411:Z412)</f>
        <v>0</v>
      </c>
      <c r="AA413" s="370">
        <f>SUM(AA411:AA412)</f>
        <v>52</v>
      </c>
      <c r="AB413" s="370">
        <f>SUM(AB411:AB412)</f>
        <v>0</v>
      </c>
      <c r="AC413" s="4"/>
      <c r="AD413" s="64"/>
      <c r="AE413" s="64"/>
      <c r="AF413" s="370">
        <f>SUM(AF411:AF412)</f>
        <v>0</v>
      </c>
      <c r="AG413" s="370">
        <f>SUM(AG411:AG412)</f>
        <v>0</v>
      </c>
      <c r="AH413" s="4"/>
      <c r="AI413" s="255"/>
      <c r="AJ413" s="367"/>
      <c r="AK413" s="193"/>
      <c r="AL413" s="193"/>
      <c r="AM413" s="193"/>
      <c r="AN413" s="510">
        <f>SUM(AN410:AN412)</f>
        <v>2678</v>
      </c>
      <c r="AO413" s="193"/>
      <c r="AP413" s="193"/>
    </row>
    <row r="414" spans="1:42" s="180" customFormat="1" hidden="1">
      <c r="A414" s="313"/>
      <c r="E414" s="4"/>
      <c r="F414" s="4"/>
      <c r="G414" s="4"/>
      <c r="J414" s="4"/>
      <c r="K414" s="4"/>
      <c r="L414" s="4"/>
      <c r="O414" s="4"/>
      <c r="P414" s="4"/>
      <c r="Q414" s="4"/>
      <c r="T414" s="4"/>
      <c r="U414" s="4"/>
      <c r="V414" s="4"/>
      <c r="Y414" s="4"/>
      <c r="Z414" s="4"/>
      <c r="AA414" s="4"/>
      <c r="AB414" s="4"/>
      <c r="AC414" s="4"/>
      <c r="AH414" s="4"/>
      <c r="AI414" s="255"/>
      <c r="AK414" s="193"/>
      <c r="AL414" s="193"/>
      <c r="AM414" s="193"/>
      <c r="AN414" s="193"/>
      <c r="AO414" s="193"/>
      <c r="AP414" s="193"/>
    </row>
    <row r="415" spans="1:42" s="180" customFormat="1" hidden="1">
      <c r="A415" s="313"/>
      <c r="B415" s="229"/>
      <c r="C415" s="230"/>
      <c r="D415" s="230"/>
      <c r="E415" s="232"/>
      <c r="F415" s="232"/>
      <c r="G415" s="230"/>
      <c r="H415" s="232"/>
      <c r="I415" s="232"/>
      <c r="J415" s="232"/>
      <c r="K415" s="232"/>
      <c r="L415" s="230"/>
      <c r="M415" s="230"/>
      <c r="N415" s="230"/>
      <c r="O415" s="230"/>
      <c r="P415" s="232"/>
      <c r="Q415" s="230"/>
      <c r="R415" s="230"/>
      <c r="S415" s="230"/>
      <c r="T415" s="230"/>
      <c r="U415" s="232"/>
      <c r="V415" s="230"/>
      <c r="W415" s="230"/>
      <c r="X415" s="230"/>
      <c r="Y415" s="233"/>
      <c r="Z415" s="232"/>
      <c r="AA415" s="234"/>
      <c r="AB415" s="232"/>
      <c r="AC415" s="373"/>
      <c r="AD415" s="236"/>
      <c r="AE415" s="255"/>
      <c r="AF415" s="255"/>
      <c r="AG415" s="255"/>
      <c r="AH415" s="255"/>
      <c r="AI415" s="255"/>
      <c r="AJ415" s="255"/>
      <c r="AK415" s="255"/>
      <c r="AL415" s="255"/>
      <c r="AM415" s="255"/>
      <c r="AN415" s="255"/>
      <c r="AO415" s="255"/>
      <c r="AP415" s="255"/>
    </row>
    <row r="416" spans="1:42" s="180" customFormat="1" hidden="1">
      <c r="A416" s="313"/>
      <c r="E416" s="4"/>
      <c r="F416" s="4"/>
      <c r="G416" s="4"/>
      <c r="J416" s="4"/>
      <c r="K416" s="4"/>
      <c r="L416" s="4"/>
      <c r="O416" s="4"/>
      <c r="P416" s="4"/>
      <c r="Q416" s="4"/>
      <c r="T416" s="4"/>
      <c r="U416" s="4"/>
      <c r="V416" s="4"/>
      <c r="Y416" s="4"/>
      <c r="Z416" s="4"/>
      <c r="AA416" s="4"/>
      <c r="AB416" s="4"/>
      <c r="AC416" s="4"/>
      <c r="AH416" s="4"/>
      <c r="AI416" s="255"/>
      <c r="AK416" s="193"/>
      <c r="AL416" s="193"/>
      <c r="AM416" s="193"/>
      <c r="AN416" s="193"/>
      <c r="AO416" s="193"/>
      <c r="AP416" s="193"/>
    </row>
    <row r="417" spans="1:42" s="180" customFormat="1" ht="13.5" hidden="1" customHeight="1">
      <c r="A417" s="313"/>
      <c r="B417" s="1518" t="s">
        <v>18</v>
      </c>
      <c r="C417" s="1519">
        <v>45894</v>
      </c>
      <c r="D417" s="1519"/>
      <c r="E417" s="1519"/>
      <c r="F417" s="1519"/>
      <c r="G417" s="365"/>
      <c r="H417" s="1519">
        <v>45895</v>
      </c>
      <c r="I417" s="1519"/>
      <c r="J417" s="1519"/>
      <c r="K417" s="1519"/>
      <c r="L417" s="365"/>
      <c r="M417" s="1519">
        <v>45896</v>
      </c>
      <c r="N417" s="1519"/>
      <c r="O417" s="1519"/>
      <c r="P417" s="1519"/>
      <c r="Q417" s="365"/>
      <c r="R417" s="1519">
        <v>45897</v>
      </c>
      <c r="S417" s="1519"/>
      <c r="T417" s="1519"/>
      <c r="U417" s="1519"/>
      <c r="V417" s="365"/>
      <c r="W417" s="1519">
        <v>45898</v>
      </c>
      <c r="X417" s="1519"/>
      <c r="Y417" s="1519"/>
      <c r="Z417" s="1519"/>
      <c r="AA417" s="1517" t="s">
        <v>19</v>
      </c>
      <c r="AB417" s="1517" t="s">
        <v>20</v>
      </c>
      <c r="AC417" s="4"/>
      <c r="AD417" s="1519">
        <v>45899</v>
      </c>
      <c r="AE417" s="1519"/>
      <c r="AF417" s="1519"/>
      <c r="AG417" s="1517" t="s">
        <v>21</v>
      </c>
      <c r="AH417" s="4"/>
      <c r="AI417" s="368"/>
      <c r="AK417" s="194" t="s">
        <v>84</v>
      </c>
      <c r="AL417" s="366"/>
      <c r="AM417" s="366"/>
      <c r="AN417" s="366"/>
      <c r="AO417" s="366"/>
      <c r="AP417" s="366"/>
    </row>
    <row r="418" spans="1:42" s="180" customFormat="1" hidden="1">
      <c r="A418" s="313"/>
      <c r="B418" s="1518"/>
      <c r="C418" s="21" t="s">
        <v>23</v>
      </c>
      <c r="D418" s="21" t="s">
        <v>24</v>
      </c>
      <c r="E418" s="205" t="s">
        <v>25</v>
      </c>
      <c r="F418" s="18" t="s">
        <v>14</v>
      </c>
      <c r="G418" s="4"/>
      <c r="H418" s="21" t="s">
        <v>23</v>
      </c>
      <c r="I418" s="21" t="s">
        <v>24</v>
      </c>
      <c r="J418" s="18" t="s">
        <v>25</v>
      </c>
      <c r="K418" s="18" t="s">
        <v>14</v>
      </c>
      <c r="L418" s="4"/>
      <c r="M418" s="21" t="s">
        <v>23</v>
      </c>
      <c r="N418" s="21" t="s">
        <v>24</v>
      </c>
      <c r="O418" s="18" t="s">
        <v>25</v>
      </c>
      <c r="P418" s="18" t="s">
        <v>14</v>
      </c>
      <c r="Q418" s="4"/>
      <c r="R418" s="21" t="s">
        <v>23</v>
      </c>
      <c r="S418" s="21" t="s">
        <v>24</v>
      </c>
      <c r="T418" s="18" t="s">
        <v>25</v>
      </c>
      <c r="U418" s="18" t="s">
        <v>14</v>
      </c>
      <c r="V418" s="4"/>
      <c r="W418" s="21" t="s">
        <v>23</v>
      </c>
      <c r="X418" s="21" t="s">
        <v>24</v>
      </c>
      <c r="Y418" s="18" t="s">
        <v>25</v>
      </c>
      <c r="Z418" s="18" t="s">
        <v>14</v>
      </c>
      <c r="AA418" s="1517"/>
      <c r="AB418" s="1517"/>
      <c r="AC418" s="4"/>
      <c r="AD418" s="21" t="s">
        <v>23</v>
      </c>
      <c r="AE418" s="21" t="s">
        <v>24</v>
      </c>
      <c r="AF418" s="18" t="s">
        <v>25</v>
      </c>
      <c r="AG418" s="1517"/>
      <c r="AH418" s="4"/>
      <c r="AI418" s="368"/>
      <c r="AJ418" s="367"/>
      <c r="AK418" s="188" t="s">
        <v>26</v>
      </c>
      <c r="AL418" s="196">
        <f>AA421</f>
        <v>56</v>
      </c>
      <c r="AM418" s="511">
        <v>51.5</v>
      </c>
      <c r="AN418" s="510">
        <f>AL418*AM418</f>
        <v>2884</v>
      </c>
      <c r="AO418" s="193"/>
      <c r="AP418" s="193"/>
    </row>
    <row r="419" spans="1:42" s="180" customFormat="1" hidden="1">
      <c r="A419" s="313"/>
      <c r="B419" s="4" t="s">
        <v>60</v>
      </c>
      <c r="C419" s="441" t="s">
        <v>75</v>
      </c>
      <c r="D419" s="441" t="s">
        <v>246</v>
      </c>
      <c r="E419" s="319">
        <v>8</v>
      </c>
      <c r="F419" s="320"/>
      <c r="G419" s="4"/>
      <c r="H419" s="441" t="s">
        <v>75</v>
      </c>
      <c r="I419" s="441" t="s">
        <v>246</v>
      </c>
      <c r="J419" s="319">
        <v>8</v>
      </c>
      <c r="K419" s="320"/>
      <c r="L419" s="4"/>
      <c r="M419" s="441" t="s">
        <v>75</v>
      </c>
      <c r="N419" s="441" t="s">
        <v>246</v>
      </c>
      <c r="O419" s="319">
        <v>8</v>
      </c>
      <c r="P419" s="320"/>
      <c r="Q419" s="4"/>
      <c r="R419" s="441" t="s">
        <v>75</v>
      </c>
      <c r="S419" s="441" t="s">
        <v>246</v>
      </c>
      <c r="T419" s="319">
        <v>8</v>
      </c>
      <c r="U419" s="320"/>
      <c r="V419" s="4"/>
      <c r="W419" s="441" t="s">
        <v>75</v>
      </c>
      <c r="X419" s="441" t="s">
        <v>246</v>
      </c>
      <c r="Y419" s="319">
        <v>8</v>
      </c>
      <c r="Z419" s="320"/>
      <c r="AA419" s="328">
        <f>Y419+T419+O419+J419+E419</f>
        <v>40</v>
      </c>
      <c r="AB419" s="298">
        <f>Z419+U419+P419+K419+F419</f>
        <v>0</v>
      </c>
      <c r="AC419" s="4"/>
      <c r="AD419" s="587"/>
      <c r="AE419" s="531"/>
      <c r="AF419" s="319"/>
      <c r="AG419" s="328">
        <f>AF419</f>
        <v>0</v>
      </c>
      <c r="AH419" s="4"/>
      <c r="AI419" s="368"/>
      <c r="AJ419" s="367"/>
      <c r="AK419" s="188" t="s">
        <v>30</v>
      </c>
      <c r="AL419" s="196">
        <f>AB421</f>
        <v>0</v>
      </c>
      <c r="AM419" s="511">
        <f>AM418*1.5</f>
        <v>77.25</v>
      </c>
      <c r="AN419" s="510">
        <f>AL419*AM419</f>
        <v>0</v>
      </c>
      <c r="AO419" s="193"/>
      <c r="AP419" s="193"/>
    </row>
    <row r="420" spans="1:42" s="180" customFormat="1" hidden="1">
      <c r="A420" s="313"/>
      <c r="B420" s="4" t="s">
        <v>59</v>
      </c>
      <c r="C420" s="441" t="s">
        <v>116</v>
      </c>
      <c r="D420" s="441"/>
      <c r="E420" s="319"/>
      <c r="F420" s="320"/>
      <c r="G420" s="4"/>
      <c r="H420" s="441" t="s">
        <v>222</v>
      </c>
      <c r="I420" s="441" t="s">
        <v>125</v>
      </c>
      <c r="J420" s="319">
        <v>4</v>
      </c>
      <c r="K420" s="320"/>
      <c r="L420" s="4"/>
      <c r="M420" s="441" t="s">
        <v>222</v>
      </c>
      <c r="N420" s="441" t="s">
        <v>125</v>
      </c>
      <c r="O420" s="319">
        <v>4</v>
      </c>
      <c r="P420" s="320"/>
      <c r="Q420" s="4"/>
      <c r="R420" s="441" t="s">
        <v>222</v>
      </c>
      <c r="S420" s="441" t="s">
        <v>125</v>
      </c>
      <c r="T420" s="319">
        <v>4</v>
      </c>
      <c r="U420" s="320"/>
      <c r="V420" s="4"/>
      <c r="W420" s="441" t="s">
        <v>222</v>
      </c>
      <c r="X420" s="441" t="s">
        <v>125</v>
      </c>
      <c r="Y420" s="319">
        <v>4</v>
      </c>
      <c r="Z420" s="320"/>
      <c r="AA420" s="328">
        <f>Y420+T420+O420+J420+E420</f>
        <v>16</v>
      </c>
      <c r="AB420" s="298">
        <f>Z420+U420+P420+K420+F420</f>
        <v>0</v>
      </c>
      <c r="AC420" s="4"/>
      <c r="AF420" s="319"/>
      <c r="AG420" s="328">
        <f>AF420</f>
        <v>0</v>
      </c>
      <c r="AH420" s="175"/>
      <c r="AI420" s="402"/>
      <c r="AJ420" s="367"/>
      <c r="AK420" s="188" t="s">
        <v>32</v>
      </c>
      <c r="AL420" s="196">
        <f>AG421</f>
        <v>0</v>
      </c>
      <c r="AM420" s="511">
        <v>75.77</v>
      </c>
      <c r="AN420" s="510">
        <f>AL420*AM420</f>
        <v>0</v>
      </c>
      <c r="AO420" s="193"/>
      <c r="AP420" s="193"/>
    </row>
    <row r="421" spans="1:42" s="180" customFormat="1" hidden="1">
      <c r="A421" s="313"/>
      <c r="B421" s="64" t="s">
        <v>61</v>
      </c>
      <c r="C421" s="31"/>
      <c r="D421" s="31"/>
      <c r="E421" s="439">
        <f>SUM(E419:E420)</f>
        <v>8</v>
      </c>
      <c r="F421" s="320">
        <f>SUM(F419:F420)</f>
        <v>0</v>
      </c>
      <c r="G421" s="31"/>
      <c r="H421" s="31"/>
      <c r="I421" s="31"/>
      <c r="J421" s="439">
        <f>SUM(J419:J420)</f>
        <v>12</v>
      </c>
      <c r="K421" s="320">
        <f>SUM(K419:K420)</f>
        <v>0</v>
      </c>
      <c r="L421" s="31"/>
      <c r="M421" s="31"/>
      <c r="N421" s="31"/>
      <c r="O421" s="439">
        <f>SUM(O419:O420)</f>
        <v>12</v>
      </c>
      <c r="P421" s="320">
        <f>SUM(P419:P420)</f>
        <v>0</v>
      </c>
      <c r="Q421" s="31"/>
      <c r="R421" s="31"/>
      <c r="S421" s="31"/>
      <c r="T421" s="439">
        <f>SUM(T419:T420)</f>
        <v>12</v>
      </c>
      <c r="U421" s="320">
        <f>SUM(U419:U420)</f>
        <v>0</v>
      </c>
      <c r="V421" s="31"/>
      <c r="W421" s="31"/>
      <c r="X421" s="31"/>
      <c r="Y421" s="439">
        <f>SUM(Y419:Y420)</f>
        <v>12</v>
      </c>
      <c r="Z421" s="320">
        <f>SUM(Z419:Z420)</f>
        <v>0</v>
      </c>
      <c r="AA421" s="370">
        <f>SUM(AA419:AA420)</f>
        <v>56</v>
      </c>
      <c r="AB421" s="370">
        <f>SUM(AB419:AB420)</f>
        <v>0</v>
      </c>
      <c r="AC421" s="4"/>
      <c r="AD421" s="64"/>
      <c r="AE421" s="64"/>
      <c r="AF421" s="370">
        <f>SUM(AF419:AF420)</f>
        <v>0</v>
      </c>
      <c r="AG421" s="370">
        <f>SUM(AG419:AG420)</f>
        <v>0</v>
      </c>
      <c r="AH421" s="4"/>
      <c r="AI421" s="255"/>
      <c r="AJ421" s="367"/>
      <c r="AK421" s="193"/>
      <c r="AL421" s="193"/>
      <c r="AM421" s="193"/>
      <c r="AN421" s="510">
        <f>SUM(AN418:AN420)</f>
        <v>2884</v>
      </c>
      <c r="AO421" s="193"/>
      <c r="AP421" s="193"/>
    </row>
    <row r="422" spans="1:42" s="180" customFormat="1" hidden="1">
      <c r="A422" s="313"/>
      <c r="E422" s="4"/>
      <c r="F422" s="4"/>
      <c r="G422" s="4"/>
      <c r="J422" s="4"/>
      <c r="K422" s="4"/>
      <c r="L422" s="4"/>
      <c r="O422" s="4"/>
      <c r="P422" s="4"/>
      <c r="Q422" s="4"/>
      <c r="T422" s="4"/>
      <c r="U422" s="4"/>
      <c r="V422" s="4"/>
      <c r="Y422" s="4"/>
      <c r="Z422" s="4"/>
      <c r="AA422" s="4"/>
      <c r="AB422" s="4"/>
      <c r="AC422" s="4"/>
      <c r="AH422" s="4"/>
      <c r="AI422" s="255"/>
      <c r="AK422" s="193"/>
      <c r="AL422" s="193"/>
      <c r="AM422" s="193"/>
      <c r="AN422" s="193"/>
      <c r="AO422" s="193"/>
      <c r="AP422" s="193"/>
    </row>
    <row r="423" spans="1:42" s="180" customFormat="1" hidden="1">
      <c r="A423" s="313"/>
      <c r="B423" s="229"/>
      <c r="C423" s="230"/>
      <c r="D423" s="230"/>
      <c r="E423" s="232"/>
      <c r="F423" s="232"/>
      <c r="G423" s="230"/>
      <c r="H423" s="232"/>
      <c r="I423" s="232"/>
      <c r="J423" s="232"/>
      <c r="K423" s="232"/>
      <c r="L423" s="230"/>
      <c r="M423" s="230"/>
      <c r="N423" s="230"/>
      <c r="O423" s="230"/>
      <c r="P423" s="232"/>
      <c r="Q423" s="230"/>
      <c r="R423" s="230"/>
      <c r="S423" s="230"/>
      <c r="T423" s="230"/>
      <c r="U423" s="232"/>
      <c r="V423" s="230"/>
      <c r="W423" s="230"/>
      <c r="X423" s="230"/>
      <c r="Y423" s="233"/>
      <c r="Z423" s="232"/>
      <c r="AA423" s="234"/>
      <c r="AB423" s="232"/>
      <c r="AC423" s="373"/>
      <c r="AD423" s="236"/>
      <c r="AE423" s="255"/>
      <c r="AF423" s="255"/>
      <c r="AG423" s="255"/>
      <c r="AH423" s="255"/>
      <c r="AI423" s="255"/>
      <c r="AJ423" s="255"/>
      <c r="AK423" s="255"/>
      <c r="AL423" s="255"/>
      <c r="AM423" s="255"/>
      <c r="AN423" s="255"/>
      <c r="AO423" s="255"/>
      <c r="AP423" s="255"/>
    </row>
    <row r="424" spans="1:42" s="180" customFormat="1" hidden="1">
      <c r="A424" s="313"/>
      <c r="E424" s="4"/>
      <c r="F424" s="4"/>
      <c r="G424" s="4"/>
      <c r="J424" s="4"/>
      <c r="K424" s="4"/>
      <c r="L424" s="4"/>
      <c r="O424" s="4"/>
      <c r="P424" s="4"/>
      <c r="Q424" s="4"/>
      <c r="T424" s="4"/>
      <c r="U424" s="4"/>
      <c r="V424" s="4"/>
      <c r="Y424" s="4"/>
      <c r="Z424" s="4"/>
      <c r="AA424" s="4"/>
      <c r="AB424" s="4"/>
      <c r="AC424" s="4"/>
      <c r="AH424" s="4"/>
      <c r="AI424" s="255"/>
      <c r="AK424" s="193"/>
      <c r="AL424" s="193"/>
      <c r="AM424" s="193"/>
      <c r="AN424" s="193"/>
      <c r="AO424" s="193"/>
      <c r="AP424" s="193"/>
    </row>
    <row r="425" spans="1:42" s="180" customFormat="1" ht="13.5" hidden="1" customHeight="1">
      <c r="A425" s="313"/>
      <c r="B425" s="1518" t="s">
        <v>18</v>
      </c>
      <c r="C425" s="1519">
        <v>45901</v>
      </c>
      <c r="D425" s="1519"/>
      <c r="E425" s="1519"/>
      <c r="F425" s="1519"/>
      <c r="G425" s="365"/>
      <c r="H425" s="1519">
        <v>45902</v>
      </c>
      <c r="I425" s="1519"/>
      <c r="J425" s="1519"/>
      <c r="K425" s="1519"/>
      <c r="L425" s="365"/>
      <c r="M425" s="1519">
        <v>45903</v>
      </c>
      <c r="N425" s="1519"/>
      <c r="O425" s="1519"/>
      <c r="P425" s="1519"/>
      <c r="Q425" s="365"/>
      <c r="R425" s="1519">
        <v>45904</v>
      </c>
      <c r="S425" s="1519"/>
      <c r="T425" s="1519"/>
      <c r="U425" s="1519"/>
      <c r="V425" s="365"/>
      <c r="W425" s="1519">
        <v>45905</v>
      </c>
      <c r="X425" s="1519"/>
      <c r="Y425" s="1519"/>
      <c r="Z425" s="1519"/>
      <c r="AA425" s="1517" t="s">
        <v>19</v>
      </c>
      <c r="AB425" s="1517" t="s">
        <v>20</v>
      </c>
      <c r="AC425" s="4"/>
      <c r="AD425" s="1519">
        <v>45906</v>
      </c>
      <c r="AE425" s="1519"/>
      <c r="AF425" s="1519"/>
      <c r="AG425" s="1517" t="s">
        <v>21</v>
      </c>
      <c r="AH425" s="4"/>
      <c r="AI425" s="368"/>
      <c r="AK425" s="194" t="s">
        <v>84</v>
      </c>
      <c r="AL425" s="366"/>
      <c r="AM425" s="366"/>
      <c r="AN425" s="366"/>
      <c r="AO425" s="366"/>
      <c r="AP425" s="366"/>
    </row>
    <row r="426" spans="1:42" s="180" customFormat="1" hidden="1">
      <c r="A426" s="313"/>
      <c r="B426" s="1518"/>
      <c r="C426" s="21" t="s">
        <v>23</v>
      </c>
      <c r="D426" s="21" t="s">
        <v>24</v>
      </c>
      <c r="E426" s="205" t="s">
        <v>25</v>
      </c>
      <c r="F426" s="18" t="s">
        <v>14</v>
      </c>
      <c r="G426" s="4"/>
      <c r="H426" s="21" t="s">
        <v>23</v>
      </c>
      <c r="I426" s="21" t="s">
        <v>24</v>
      </c>
      <c r="J426" s="18" t="s">
        <v>25</v>
      </c>
      <c r="K426" s="18" t="s">
        <v>14</v>
      </c>
      <c r="L426" s="4"/>
      <c r="M426" s="21" t="s">
        <v>23</v>
      </c>
      <c r="N426" s="21" t="s">
        <v>24</v>
      </c>
      <c r="O426" s="18" t="s">
        <v>25</v>
      </c>
      <c r="P426" s="18" t="s">
        <v>14</v>
      </c>
      <c r="Q426" s="4"/>
      <c r="R426" s="21" t="s">
        <v>23</v>
      </c>
      <c r="S426" s="21" t="s">
        <v>24</v>
      </c>
      <c r="T426" s="18" t="s">
        <v>25</v>
      </c>
      <c r="U426" s="18" t="s">
        <v>14</v>
      </c>
      <c r="V426" s="4"/>
      <c r="W426" s="21" t="s">
        <v>23</v>
      </c>
      <c r="X426" s="21" t="s">
        <v>24</v>
      </c>
      <c r="Y426" s="18" t="s">
        <v>25</v>
      </c>
      <c r="Z426" s="18" t="s">
        <v>14</v>
      </c>
      <c r="AA426" s="1517"/>
      <c r="AB426" s="1517"/>
      <c r="AC426" s="4"/>
      <c r="AD426" s="21" t="s">
        <v>23</v>
      </c>
      <c r="AE426" s="21" t="s">
        <v>24</v>
      </c>
      <c r="AF426" s="18" t="s">
        <v>25</v>
      </c>
      <c r="AG426" s="1517"/>
      <c r="AH426" s="4"/>
      <c r="AI426" s="368"/>
      <c r="AJ426" s="367"/>
      <c r="AK426" s="188" t="s">
        <v>26</v>
      </c>
      <c r="AL426" s="196">
        <f>AA429</f>
        <v>56</v>
      </c>
      <c r="AM426" s="511">
        <v>51.5</v>
      </c>
      <c r="AN426" s="510">
        <f>AL426*AM426</f>
        <v>2884</v>
      </c>
      <c r="AO426" s="193"/>
      <c r="AP426" s="193"/>
    </row>
    <row r="427" spans="1:42" s="180" customFormat="1" hidden="1">
      <c r="A427" s="313"/>
      <c r="B427" s="4" t="s">
        <v>60</v>
      </c>
      <c r="C427" s="441" t="s">
        <v>28</v>
      </c>
      <c r="D427" s="441"/>
      <c r="E427" s="319">
        <v>8</v>
      </c>
      <c r="F427" s="320"/>
      <c r="G427" s="4"/>
      <c r="H427" s="441" t="s">
        <v>125</v>
      </c>
      <c r="I427" s="441" t="s">
        <v>246</v>
      </c>
      <c r="J427" s="319">
        <v>8</v>
      </c>
      <c r="K427" s="320"/>
      <c r="L427" s="4"/>
      <c r="M427" s="441" t="s">
        <v>75</v>
      </c>
      <c r="N427" s="441" t="s">
        <v>246</v>
      </c>
      <c r="O427" s="319">
        <v>8</v>
      </c>
      <c r="P427" s="320"/>
      <c r="Q427" s="4"/>
      <c r="R427" s="441" t="s">
        <v>75</v>
      </c>
      <c r="S427" s="441" t="s">
        <v>246</v>
      </c>
      <c r="T427" s="319">
        <v>8</v>
      </c>
      <c r="U427" s="320"/>
      <c r="V427" s="4"/>
      <c r="W427" s="441" t="s">
        <v>75</v>
      </c>
      <c r="X427" s="441" t="s">
        <v>136</v>
      </c>
      <c r="Y427" s="319">
        <v>8</v>
      </c>
      <c r="Z427" s="320"/>
      <c r="AA427" s="328">
        <f>Y427+T427+O427+J427+E427</f>
        <v>40</v>
      </c>
      <c r="AB427" s="298">
        <f>Z427+U427+P427+K427+F427</f>
        <v>0</v>
      </c>
      <c r="AC427" s="4"/>
      <c r="AD427" s="587"/>
      <c r="AE427" s="531"/>
      <c r="AF427" s="319"/>
      <c r="AG427" s="328">
        <f>AF427</f>
        <v>0</v>
      </c>
      <c r="AH427" s="4"/>
      <c r="AI427" s="368"/>
      <c r="AJ427" s="367"/>
      <c r="AK427" s="188" t="s">
        <v>30</v>
      </c>
      <c r="AL427" s="196">
        <f>AB429</f>
        <v>0</v>
      </c>
      <c r="AM427" s="511">
        <f>AM426*1.5</f>
        <v>77.25</v>
      </c>
      <c r="AN427" s="510">
        <f>AL427*AM427</f>
        <v>0</v>
      </c>
      <c r="AO427" s="193"/>
      <c r="AP427" s="193"/>
    </row>
    <row r="428" spans="1:42" s="180" customFormat="1" hidden="1">
      <c r="A428" s="313"/>
      <c r="B428" s="4" t="s">
        <v>59</v>
      </c>
      <c r="C428" s="731" t="s">
        <v>28</v>
      </c>
      <c r="D428" s="441"/>
      <c r="E428" s="319"/>
      <c r="F428" s="320"/>
      <c r="G428" s="4"/>
      <c r="H428" s="441" t="s">
        <v>222</v>
      </c>
      <c r="I428" s="441" t="s">
        <v>125</v>
      </c>
      <c r="J428" s="319">
        <v>4</v>
      </c>
      <c r="K428" s="320"/>
      <c r="L428" s="4"/>
      <c r="M428" s="441" t="s">
        <v>222</v>
      </c>
      <c r="N428" s="441" t="s">
        <v>125</v>
      </c>
      <c r="O428" s="319">
        <v>4</v>
      </c>
      <c r="P428" s="320"/>
      <c r="Q428" s="4"/>
      <c r="R428" s="441" t="s">
        <v>222</v>
      </c>
      <c r="S428" s="441" t="s">
        <v>125</v>
      </c>
      <c r="T428" s="319">
        <v>4</v>
      </c>
      <c r="U428" s="320"/>
      <c r="V428" s="4"/>
      <c r="W428" s="441" t="s">
        <v>222</v>
      </c>
      <c r="X428" s="441" t="s">
        <v>125</v>
      </c>
      <c r="Y428" s="319">
        <v>4</v>
      </c>
      <c r="Z428" s="320"/>
      <c r="AA428" s="328">
        <f>Y428+T428+O428+J428+E428</f>
        <v>16</v>
      </c>
      <c r="AB428" s="298">
        <f>Z428+U428+P428+K428+F428</f>
        <v>0</v>
      </c>
      <c r="AC428" s="4"/>
      <c r="AF428" s="319"/>
      <c r="AG428" s="328">
        <f>AF428</f>
        <v>0</v>
      </c>
      <c r="AH428" s="175"/>
      <c r="AI428" s="402"/>
      <c r="AJ428" s="367"/>
      <c r="AK428" s="188" t="s">
        <v>32</v>
      </c>
      <c r="AL428" s="196">
        <f>AG429</f>
        <v>0</v>
      </c>
      <c r="AM428" s="511">
        <v>75.77</v>
      </c>
      <c r="AN428" s="510">
        <f>AL428*AM428</f>
        <v>0</v>
      </c>
      <c r="AO428" s="193"/>
      <c r="AP428" s="193"/>
    </row>
    <row r="429" spans="1:42" s="180" customFormat="1" hidden="1">
      <c r="A429" s="313"/>
      <c r="B429" s="64" t="s">
        <v>61</v>
      </c>
      <c r="C429" s="31"/>
      <c r="D429" s="31"/>
      <c r="E429" s="439">
        <f>SUM(E427:E428)</f>
        <v>8</v>
      </c>
      <c r="F429" s="320">
        <f>SUM(F427:F428)</f>
        <v>0</v>
      </c>
      <c r="G429" s="31"/>
      <c r="H429" s="31"/>
      <c r="I429" s="31"/>
      <c r="J429" s="439">
        <f>SUM(J427:J428)</f>
        <v>12</v>
      </c>
      <c r="K429" s="320">
        <f>SUM(K427:K428)</f>
        <v>0</v>
      </c>
      <c r="L429" s="31"/>
      <c r="M429" s="31"/>
      <c r="N429" s="31"/>
      <c r="O429" s="439">
        <f>SUM(O427:O428)</f>
        <v>12</v>
      </c>
      <c r="P429" s="320">
        <f>SUM(P427:P428)</f>
        <v>0</v>
      </c>
      <c r="Q429" s="31"/>
      <c r="R429" s="31"/>
      <c r="S429" s="31"/>
      <c r="T429" s="439">
        <f>SUM(T427:T428)</f>
        <v>12</v>
      </c>
      <c r="U429" s="320">
        <f>SUM(U427:U428)</f>
        <v>0</v>
      </c>
      <c r="V429" s="31"/>
      <c r="W429" s="31"/>
      <c r="X429" s="31"/>
      <c r="Y429" s="439">
        <f>SUM(Y427:Y428)</f>
        <v>12</v>
      </c>
      <c r="Z429" s="320">
        <f>SUM(Z427:Z428)</f>
        <v>0</v>
      </c>
      <c r="AA429" s="370">
        <f>SUM(AA427:AA428)</f>
        <v>56</v>
      </c>
      <c r="AB429" s="370">
        <f>SUM(AB427:AB428)</f>
        <v>0</v>
      </c>
      <c r="AC429" s="4"/>
      <c r="AD429" s="64"/>
      <c r="AE429" s="64"/>
      <c r="AF429" s="370">
        <f>SUM(AF427:AF428)</f>
        <v>0</v>
      </c>
      <c r="AG429" s="370">
        <f>SUM(AG427:AG428)</f>
        <v>0</v>
      </c>
      <c r="AH429" s="4"/>
      <c r="AI429" s="255"/>
      <c r="AJ429" s="367"/>
      <c r="AK429" s="193"/>
      <c r="AL429" s="193"/>
      <c r="AM429" s="193"/>
      <c r="AN429" s="510">
        <f>SUM(AN426:AN428)</f>
        <v>2884</v>
      </c>
      <c r="AO429" s="193"/>
      <c r="AP429" s="193"/>
    </row>
    <row r="430" spans="1:42" s="180" customFormat="1" hidden="1">
      <c r="A430" s="313"/>
      <c r="E430" s="4"/>
      <c r="F430" s="4"/>
      <c r="G430" s="4"/>
      <c r="J430" s="4"/>
      <c r="K430" s="4"/>
      <c r="L430" s="4"/>
      <c r="O430" s="4"/>
      <c r="P430" s="4"/>
      <c r="Q430" s="4"/>
      <c r="T430" s="4"/>
      <c r="U430" s="4"/>
      <c r="V430" s="4"/>
      <c r="Y430" s="4"/>
      <c r="Z430" s="4"/>
      <c r="AA430" s="4"/>
      <c r="AB430" s="4"/>
      <c r="AC430" s="4"/>
      <c r="AH430" s="4"/>
      <c r="AI430" s="255"/>
      <c r="AK430" s="193"/>
      <c r="AL430" s="193"/>
      <c r="AM430" s="193"/>
      <c r="AN430" s="193"/>
      <c r="AO430" s="193"/>
      <c r="AP430" s="193"/>
    </row>
    <row r="431" spans="1:42" s="180" customFormat="1" hidden="1">
      <c r="A431" s="313"/>
      <c r="B431" s="229"/>
      <c r="C431" s="230"/>
      <c r="D431" s="230"/>
      <c r="E431" s="232"/>
      <c r="F431" s="232"/>
      <c r="G431" s="230"/>
      <c r="H431" s="232"/>
      <c r="I431" s="232"/>
      <c r="J431" s="232"/>
      <c r="K431" s="232"/>
      <c r="L431" s="230"/>
      <c r="M431" s="230"/>
      <c r="N431" s="230"/>
      <c r="O431" s="230"/>
      <c r="P431" s="232"/>
      <c r="Q431" s="230"/>
      <c r="R431" s="230"/>
      <c r="S431" s="230"/>
      <c r="T431" s="230"/>
      <c r="U431" s="232"/>
      <c r="V431" s="230"/>
      <c r="W431" s="230"/>
      <c r="X431" s="230"/>
      <c r="Y431" s="233"/>
      <c r="Z431" s="232"/>
      <c r="AA431" s="234"/>
      <c r="AB431" s="232"/>
      <c r="AC431" s="373"/>
      <c r="AD431" s="236"/>
      <c r="AE431" s="255"/>
      <c r="AF431" s="255"/>
      <c r="AG431" s="255"/>
      <c r="AH431" s="255"/>
      <c r="AI431" s="255"/>
      <c r="AJ431" s="255"/>
      <c r="AK431" s="255"/>
      <c r="AL431" s="255"/>
      <c r="AM431" s="255"/>
      <c r="AN431" s="255"/>
      <c r="AO431" s="255"/>
      <c r="AP431" s="255"/>
    </row>
    <row r="432" spans="1:42" s="180" customFormat="1" hidden="1">
      <c r="A432" s="313"/>
      <c r="E432" s="4"/>
      <c r="F432" s="4"/>
      <c r="G432" s="4"/>
      <c r="J432" s="4"/>
      <c r="K432" s="4"/>
      <c r="L432" s="4"/>
      <c r="O432" s="4"/>
      <c r="P432" s="4"/>
      <c r="Q432" s="4"/>
      <c r="T432" s="4"/>
      <c r="U432" s="4"/>
      <c r="V432" s="4"/>
      <c r="Y432" s="4"/>
      <c r="Z432" s="4"/>
      <c r="AA432" s="4"/>
      <c r="AB432" s="4"/>
      <c r="AC432" s="4"/>
      <c r="AH432" s="4"/>
      <c r="AI432" s="255"/>
      <c r="AK432" s="193"/>
      <c r="AL432" s="193"/>
      <c r="AM432" s="193"/>
      <c r="AN432" s="193"/>
      <c r="AO432" s="193"/>
      <c r="AP432" s="193"/>
    </row>
    <row r="433" spans="1:42" s="180" customFormat="1" ht="13.5" hidden="1" customHeight="1">
      <c r="A433" s="313"/>
      <c r="B433" s="1518" t="s">
        <v>18</v>
      </c>
      <c r="C433" s="1519">
        <v>45908</v>
      </c>
      <c r="D433" s="1519"/>
      <c r="E433" s="1519"/>
      <c r="F433" s="1519"/>
      <c r="G433" s="365"/>
      <c r="H433" s="1519">
        <v>45909</v>
      </c>
      <c r="I433" s="1519"/>
      <c r="J433" s="1519"/>
      <c r="K433" s="1519"/>
      <c r="L433" s="365"/>
      <c r="M433" s="1519">
        <v>45910</v>
      </c>
      <c r="N433" s="1519"/>
      <c r="O433" s="1519"/>
      <c r="P433" s="1519"/>
      <c r="Q433" s="365"/>
      <c r="R433" s="1519">
        <v>45911</v>
      </c>
      <c r="S433" s="1519"/>
      <c r="T433" s="1519"/>
      <c r="U433" s="1519"/>
      <c r="V433" s="365"/>
      <c r="W433" s="1519">
        <v>45912</v>
      </c>
      <c r="X433" s="1519"/>
      <c r="Y433" s="1519"/>
      <c r="Z433" s="1519"/>
      <c r="AA433" s="1517" t="s">
        <v>19</v>
      </c>
      <c r="AB433" s="1517" t="s">
        <v>20</v>
      </c>
      <c r="AC433" s="4"/>
      <c r="AD433" s="1519">
        <v>45913</v>
      </c>
      <c r="AE433" s="1519"/>
      <c r="AF433" s="1519"/>
      <c r="AG433" s="1517" t="s">
        <v>21</v>
      </c>
      <c r="AH433" s="4"/>
      <c r="AI433" s="368"/>
      <c r="AK433" s="194" t="s">
        <v>84</v>
      </c>
      <c r="AL433" s="366"/>
      <c r="AM433" s="366"/>
      <c r="AN433" s="366"/>
      <c r="AO433" s="366"/>
      <c r="AP433" s="366"/>
    </row>
    <row r="434" spans="1:42" s="180" customFormat="1" hidden="1">
      <c r="A434" s="313"/>
      <c r="B434" s="1518"/>
      <c r="C434" s="21" t="s">
        <v>23</v>
      </c>
      <c r="D434" s="21" t="s">
        <v>24</v>
      </c>
      <c r="E434" s="205" t="s">
        <v>25</v>
      </c>
      <c r="F434" s="18" t="s">
        <v>14</v>
      </c>
      <c r="G434" s="4"/>
      <c r="H434" s="21" t="s">
        <v>23</v>
      </c>
      <c r="I434" s="21" t="s">
        <v>24</v>
      </c>
      <c r="J434" s="18" t="s">
        <v>25</v>
      </c>
      <c r="K434" s="18" t="s">
        <v>14</v>
      </c>
      <c r="L434" s="4"/>
      <c r="M434" s="21" t="s">
        <v>23</v>
      </c>
      <c r="N434" s="21" t="s">
        <v>24</v>
      </c>
      <c r="O434" s="18" t="s">
        <v>25</v>
      </c>
      <c r="P434" s="18" t="s">
        <v>14</v>
      </c>
      <c r="Q434" s="4"/>
      <c r="R434" s="21" t="s">
        <v>23</v>
      </c>
      <c r="S434" s="21" t="s">
        <v>24</v>
      </c>
      <c r="T434" s="18" t="s">
        <v>25</v>
      </c>
      <c r="U434" s="18" t="s">
        <v>14</v>
      </c>
      <c r="V434" s="4"/>
      <c r="W434" s="21" t="s">
        <v>23</v>
      </c>
      <c r="X434" s="21" t="s">
        <v>24</v>
      </c>
      <c r="Y434" s="18" t="s">
        <v>25</v>
      </c>
      <c r="Z434" s="18" t="s">
        <v>14</v>
      </c>
      <c r="AA434" s="1517"/>
      <c r="AB434" s="1517"/>
      <c r="AC434" s="4"/>
      <c r="AD434" s="21" t="s">
        <v>23</v>
      </c>
      <c r="AE434" s="21" t="s">
        <v>24</v>
      </c>
      <c r="AF434" s="18" t="s">
        <v>25</v>
      </c>
      <c r="AG434" s="1517"/>
      <c r="AH434" s="4"/>
      <c r="AI434" s="368"/>
      <c r="AJ434" s="367"/>
      <c r="AK434" s="188" t="s">
        <v>26</v>
      </c>
      <c r="AL434" s="196">
        <f>AA437</f>
        <v>56</v>
      </c>
      <c r="AM434" s="511">
        <v>51.5</v>
      </c>
      <c r="AN434" s="510">
        <f>AL434*AM434</f>
        <v>2884</v>
      </c>
      <c r="AO434" s="193"/>
      <c r="AP434" s="193"/>
    </row>
    <row r="435" spans="1:42" s="180" customFormat="1" hidden="1">
      <c r="A435" s="313"/>
      <c r="B435" s="4" t="s">
        <v>60</v>
      </c>
      <c r="C435" s="441" t="s">
        <v>125</v>
      </c>
      <c r="D435" s="441" t="s">
        <v>136</v>
      </c>
      <c r="E435" s="319">
        <v>8</v>
      </c>
      <c r="F435" s="320"/>
      <c r="G435" s="4"/>
      <c r="H435" s="441" t="s">
        <v>75</v>
      </c>
      <c r="I435" s="441" t="s">
        <v>246</v>
      </c>
      <c r="J435" s="319">
        <v>8</v>
      </c>
      <c r="K435" s="320"/>
      <c r="L435" s="4"/>
      <c r="M435" s="441" t="s">
        <v>75</v>
      </c>
      <c r="N435" s="441" t="s">
        <v>246</v>
      </c>
      <c r="O435" s="319">
        <v>8</v>
      </c>
      <c r="P435" s="320"/>
      <c r="Q435" s="4"/>
      <c r="R435" s="441" t="s">
        <v>75</v>
      </c>
      <c r="S435" s="441" t="s">
        <v>246</v>
      </c>
      <c r="T435" s="319">
        <v>8</v>
      </c>
      <c r="U435" s="320"/>
      <c r="V435" s="4"/>
      <c r="W435" s="441" t="s">
        <v>75</v>
      </c>
      <c r="X435" s="441" t="s">
        <v>246</v>
      </c>
      <c r="Y435" s="319">
        <v>8</v>
      </c>
      <c r="Z435" s="320"/>
      <c r="AA435" s="328">
        <f>Y435+T435+O435+J435+E435</f>
        <v>40</v>
      </c>
      <c r="AB435" s="298">
        <f>Z435+U435+P435+K435+F435</f>
        <v>0</v>
      </c>
      <c r="AC435" s="4"/>
      <c r="AD435" s="587"/>
      <c r="AE435" s="531"/>
      <c r="AF435" s="319"/>
      <c r="AG435" s="328">
        <f>AF435</f>
        <v>0</v>
      </c>
      <c r="AH435" s="4"/>
      <c r="AI435" s="368"/>
      <c r="AJ435" s="367"/>
      <c r="AK435" s="188" t="s">
        <v>30</v>
      </c>
      <c r="AL435" s="196">
        <f>AB437</f>
        <v>0</v>
      </c>
      <c r="AM435" s="511">
        <f>AM434*1.5</f>
        <v>77.25</v>
      </c>
      <c r="AN435" s="510">
        <f>AL435*AM435</f>
        <v>0</v>
      </c>
      <c r="AO435" s="193"/>
      <c r="AP435" s="193"/>
    </row>
    <row r="436" spans="1:42" s="180" customFormat="1" hidden="1">
      <c r="A436" s="313"/>
      <c r="B436" s="4" t="s">
        <v>59</v>
      </c>
      <c r="C436" s="441" t="s">
        <v>222</v>
      </c>
      <c r="D436" s="441" t="s">
        <v>125</v>
      </c>
      <c r="E436" s="319">
        <v>4</v>
      </c>
      <c r="F436" s="320"/>
      <c r="G436" s="4"/>
      <c r="H436" s="441" t="s">
        <v>222</v>
      </c>
      <c r="I436" s="441" t="s">
        <v>125</v>
      </c>
      <c r="J436" s="319">
        <v>4</v>
      </c>
      <c r="K436" s="320"/>
      <c r="L436" s="4"/>
      <c r="M436" s="441" t="s">
        <v>222</v>
      </c>
      <c r="N436" s="441" t="s">
        <v>125</v>
      </c>
      <c r="O436" s="319">
        <v>4</v>
      </c>
      <c r="P436" s="320"/>
      <c r="Q436" s="4"/>
      <c r="R436" s="441" t="s">
        <v>116</v>
      </c>
      <c r="S436" s="441"/>
      <c r="T436" s="319"/>
      <c r="U436" s="320"/>
      <c r="V436" s="4"/>
      <c r="W436" s="441" t="s">
        <v>222</v>
      </c>
      <c r="X436" s="441" t="s">
        <v>125</v>
      </c>
      <c r="Y436" s="319">
        <v>4</v>
      </c>
      <c r="Z436" s="320"/>
      <c r="AA436" s="328">
        <f>Y436+T436+O436+J436+E436</f>
        <v>16</v>
      </c>
      <c r="AB436" s="298">
        <f>Z436+U436+P436+K436+F436</f>
        <v>0</v>
      </c>
      <c r="AC436" s="4"/>
      <c r="AF436" s="319"/>
      <c r="AG436" s="328">
        <f>AF436</f>
        <v>0</v>
      </c>
      <c r="AH436" s="175"/>
      <c r="AI436" s="402"/>
      <c r="AJ436" s="367"/>
      <c r="AK436" s="188" t="s">
        <v>32</v>
      </c>
      <c r="AL436" s="196">
        <f>AG437</f>
        <v>0</v>
      </c>
      <c r="AM436" s="511">
        <v>75.77</v>
      </c>
      <c r="AN436" s="510">
        <f>AL436*AM436</f>
        <v>0</v>
      </c>
      <c r="AO436" s="193"/>
      <c r="AP436" s="193"/>
    </row>
    <row r="437" spans="1:42" s="180" customFormat="1" hidden="1">
      <c r="A437" s="313"/>
      <c r="B437" s="64" t="s">
        <v>61</v>
      </c>
      <c r="C437" s="31"/>
      <c r="D437" s="31"/>
      <c r="E437" s="439">
        <f>SUM(E435:E436)</f>
        <v>12</v>
      </c>
      <c r="F437" s="320">
        <f>SUM(F435:F436)</f>
        <v>0</v>
      </c>
      <c r="G437" s="31"/>
      <c r="H437" s="31"/>
      <c r="I437" s="31"/>
      <c r="J437" s="439">
        <f>SUM(J435:J436)</f>
        <v>12</v>
      </c>
      <c r="K437" s="320">
        <f>SUM(K435:K436)</f>
        <v>0</v>
      </c>
      <c r="L437" s="31"/>
      <c r="M437" s="31"/>
      <c r="N437" s="31"/>
      <c r="O437" s="439">
        <f>SUM(O435:O436)</f>
        <v>12</v>
      </c>
      <c r="P437" s="320">
        <f>SUM(P435:P436)</f>
        <v>0</v>
      </c>
      <c r="Q437" s="31"/>
      <c r="R437" s="31"/>
      <c r="S437" s="31"/>
      <c r="T437" s="439">
        <f>SUM(T435:T436)</f>
        <v>8</v>
      </c>
      <c r="U437" s="320">
        <f>SUM(U435:U436)</f>
        <v>0</v>
      </c>
      <c r="V437" s="31"/>
      <c r="W437" s="31"/>
      <c r="X437" s="31"/>
      <c r="Y437" s="439">
        <f>SUM(Y435:Y436)</f>
        <v>12</v>
      </c>
      <c r="Z437" s="320">
        <f>SUM(Z435:Z436)</f>
        <v>0</v>
      </c>
      <c r="AA437" s="370">
        <f>SUM(AA435:AA436)</f>
        <v>56</v>
      </c>
      <c r="AB437" s="370">
        <f>SUM(AB435:AB436)</f>
        <v>0</v>
      </c>
      <c r="AC437" s="4"/>
      <c r="AD437" s="64"/>
      <c r="AE437" s="64"/>
      <c r="AF437" s="370">
        <f>SUM(AF435:AF436)</f>
        <v>0</v>
      </c>
      <c r="AG437" s="370">
        <f>SUM(AG435:AG436)</f>
        <v>0</v>
      </c>
      <c r="AH437" s="4"/>
      <c r="AI437" s="255"/>
      <c r="AJ437" s="367"/>
      <c r="AK437" s="193"/>
      <c r="AL437" s="193"/>
      <c r="AM437" s="193"/>
      <c r="AN437" s="510">
        <f>SUM(AN434:AN436)</f>
        <v>2884</v>
      </c>
      <c r="AO437" s="193"/>
      <c r="AP437" s="193"/>
    </row>
    <row r="438" spans="1:42" s="180" customFormat="1" hidden="1">
      <c r="A438" s="313"/>
      <c r="E438" s="4"/>
      <c r="F438" s="4"/>
      <c r="G438" s="4"/>
      <c r="J438" s="4"/>
      <c r="K438" s="4"/>
      <c r="L438" s="4"/>
      <c r="O438" s="4"/>
      <c r="P438" s="4"/>
      <c r="Q438" s="4"/>
      <c r="T438" s="4"/>
      <c r="U438" s="4"/>
      <c r="V438" s="4"/>
      <c r="Y438" s="4"/>
      <c r="Z438" s="4"/>
      <c r="AA438" s="4"/>
      <c r="AB438" s="4"/>
      <c r="AC438" s="4"/>
      <c r="AH438" s="4"/>
      <c r="AI438" s="255"/>
      <c r="AK438" s="193"/>
      <c r="AL438" s="193"/>
      <c r="AM438" s="193"/>
      <c r="AN438" s="193"/>
      <c r="AO438" s="193"/>
      <c r="AP438" s="193"/>
    </row>
    <row r="439" spans="1:42" s="180" customFormat="1" hidden="1">
      <c r="A439" s="313"/>
      <c r="B439" s="229"/>
      <c r="C439" s="230"/>
      <c r="D439" s="230"/>
      <c r="E439" s="232"/>
      <c r="F439" s="232"/>
      <c r="G439" s="230"/>
      <c r="H439" s="232"/>
      <c r="I439" s="232"/>
      <c r="J439" s="232"/>
      <c r="K439" s="232"/>
      <c r="L439" s="230"/>
      <c r="M439" s="230"/>
      <c r="N439" s="230"/>
      <c r="O439" s="230"/>
      <c r="P439" s="232"/>
      <c r="Q439" s="230"/>
      <c r="R439" s="230"/>
      <c r="S439" s="230"/>
      <c r="T439" s="230"/>
      <c r="U439" s="232"/>
      <c r="V439" s="230"/>
      <c r="W439" s="230"/>
      <c r="X439" s="230"/>
      <c r="Y439" s="233"/>
      <c r="Z439" s="232"/>
      <c r="AA439" s="234"/>
      <c r="AB439" s="232"/>
      <c r="AC439" s="373"/>
      <c r="AD439" s="236"/>
      <c r="AE439" s="255"/>
      <c r="AF439" s="255"/>
      <c r="AG439" s="255"/>
      <c r="AH439" s="255"/>
      <c r="AI439" s="255"/>
      <c r="AJ439" s="255"/>
      <c r="AK439" s="255"/>
      <c r="AL439" s="255"/>
      <c r="AM439" s="255"/>
      <c r="AN439" s="255"/>
      <c r="AO439" s="255"/>
      <c r="AP439" s="255"/>
    </row>
    <row r="440" spans="1:42" s="180" customFormat="1" hidden="1">
      <c r="A440" s="313"/>
      <c r="E440" s="4"/>
      <c r="F440" s="4"/>
      <c r="G440" s="4"/>
      <c r="J440" s="4"/>
      <c r="K440" s="4"/>
      <c r="L440" s="4"/>
      <c r="O440" s="4"/>
      <c r="P440" s="4"/>
      <c r="Q440" s="4"/>
      <c r="T440" s="4"/>
      <c r="U440" s="4"/>
      <c r="V440" s="4"/>
      <c r="Y440" s="4"/>
      <c r="Z440" s="4"/>
      <c r="AA440" s="4"/>
      <c r="AB440" s="4"/>
      <c r="AC440" s="4"/>
      <c r="AH440" s="4"/>
      <c r="AI440" s="255"/>
      <c r="AK440" s="193"/>
      <c r="AL440" s="193"/>
      <c r="AM440" s="193"/>
      <c r="AN440" s="193"/>
      <c r="AO440" s="193"/>
      <c r="AP440" s="193"/>
    </row>
    <row r="441" spans="1:42" s="180" customFormat="1" ht="13.5" hidden="1" customHeight="1">
      <c r="A441" s="313"/>
      <c r="B441" s="1518" t="s">
        <v>18</v>
      </c>
      <c r="C441" s="1519">
        <v>45915</v>
      </c>
      <c r="D441" s="1519"/>
      <c r="E441" s="1519"/>
      <c r="F441" s="1519"/>
      <c r="G441" s="365"/>
      <c r="H441" s="1519">
        <v>45916</v>
      </c>
      <c r="I441" s="1519"/>
      <c r="J441" s="1519"/>
      <c r="K441" s="1519"/>
      <c r="L441" s="365"/>
      <c r="M441" s="1519">
        <v>45917</v>
      </c>
      <c r="N441" s="1519"/>
      <c r="O441" s="1519"/>
      <c r="P441" s="1519"/>
      <c r="Q441" s="365"/>
      <c r="R441" s="1519">
        <v>45918</v>
      </c>
      <c r="S441" s="1519"/>
      <c r="T441" s="1519"/>
      <c r="U441" s="1519"/>
      <c r="V441" s="365"/>
      <c r="W441" s="1519">
        <v>45918</v>
      </c>
      <c r="X441" s="1519"/>
      <c r="Y441" s="1519"/>
      <c r="Z441" s="1519"/>
      <c r="AA441" s="1517" t="s">
        <v>19</v>
      </c>
      <c r="AB441" s="1517" t="s">
        <v>20</v>
      </c>
      <c r="AC441" s="4"/>
      <c r="AD441" s="1519">
        <v>45919</v>
      </c>
      <c r="AE441" s="1519"/>
      <c r="AF441" s="1519"/>
      <c r="AG441" s="1517" t="s">
        <v>21</v>
      </c>
      <c r="AH441" s="4"/>
      <c r="AI441" s="368"/>
      <c r="AK441" s="194" t="s">
        <v>84</v>
      </c>
      <c r="AL441" s="366"/>
      <c r="AM441" s="366"/>
      <c r="AN441" s="366"/>
      <c r="AO441" s="366"/>
      <c r="AP441" s="366"/>
    </row>
    <row r="442" spans="1:42" s="180" customFormat="1" hidden="1">
      <c r="A442" s="313"/>
      <c r="B442" s="1518"/>
      <c r="C442" s="21" t="s">
        <v>23</v>
      </c>
      <c r="D442" s="21" t="s">
        <v>24</v>
      </c>
      <c r="E442" s="205" t="s">
        <v>25</v>
      </c>
      <c r="F442" s="18" t="s">
        <v>14</v>
      </c>
      <c r="G442" s="4"/>
      <c r="H442" s="21" t="s">
        <v>23</v>
      </c>
      <c r="I442" s="21" t="s">
        <v>24</v>
      </c>
      <c r="J442" s="18" t="s">
        <v>25</v>
      </c>
      <c r="K442" s="18" t="s">
        <v>14</v>
      </c>
      <c r="L442" s="4"/>
      <c r="M442" s="21" t="s">
        <v>23</v>
      </c>
      <c r="N442" s="21" t="s">
        <v>24</v>
      </c>
      <c r="O442" s="18" t="s">
        <v>25</v>
      </c>
      <c r="P442" s="18" t="s">
        <v>14</v>
      </c>
      <c r="Q442" s="4"/>
      <c r="R442" s="21" t="s">
        <v>23</v>
      </c>
      <c r="S442" s="21" t="s">
        <v>24</v>
      </c>
      <c r="T442" s="18" t="s">
        <v>25</v>
      </c>
      <c r="U442" s="18" t="s">
        <v>14</v>
      </c>
      <c r="V442" s="4"/>
      <c r="W442" s="21" t="s">
        <v>23</v>
      </c>
      <c r="X442" s="21" t="s">
        <v>24</v>
      </c>
      <c r="Y442" s="18" t="s">
        <v>25</v>
      </c>
      <c r="Z442" s="18" t="s">
        <v>14</v>
      </c>
      <c r="AA442" s="1517"/>
      <c r="AB442" s="1517"/>
      <c r="AC442" s="4"/>
      <c r="AD442" s="21" t="s">
        <v>23</v>
      </c>
      <c r="AE442" s="21" t="s">
        <v>24</v>
      </c>
      <c r="AF442" s="18" t="s">
        <v>25</v>
      </c>
      <c r="AG442" s="1517"/>
      <c r="AH442" s="4"/>
      <c r="AI442" s="368"/>
      <c r="AJ442" s="367"/>
      <c r="AK442" s="188" t="s">
        <v>26</v>
      </c>
      <c r="AL442" s="196">
        <f>AA445</f>
        <v>60</v>
      </c>
      <c r="AM442" s="511">
        <v>51.5</v>
      </c>
      <c r="AN442" s="510">
        <f>AL442*AM442</f>
        <v>3090</v>
      </c>
      <c r="AO442" s="193"/>
      <c r="AP442" s="193"/>
    </row>
    <row r="443" spans="1:42" s="180" customFormat="1" hidden="1">
      <c r="A443" s="313"/>
      <c r="B443" s="4" t="s">
        <v>60</v>
      </c>
      <c r="C443" s="441" t="s">
        <v>75</v>
      </c>
      <c r="D443" s="441" t="s">
        <v>246</v>
      </c>
      <c r="E443" s="319">
        <v>8</v>
      </c>
      <c r="F443" s="320"/>
      <c r="G443" s="4"/>
      <c r="H443" s="441" t="s">
        <v>75</v>
      </c>
      <c r="I443" s="441" t="s">
        <v>246</v>
      </c>
      <c r="J443" s="319">
        <v>8</v>
      </c>
      <c r="K443" s="320"/>
      <c r="L443" s="4"/>
      <c r="M443" s="441" t="s">
        <v>75</v>
      </c>
      <c r="N443" s="441" t="s">
        <v>246</v>
      </c>
      <c r="O443" s="319">
        <v>8</v>
      </c>
      <c r="P443" s="320"/>
      <c r="Q443" s="4"/>
      <c r="R443" s="441" t="s">
        <v>75</v>
      </c>
      <c r="S443" s="441" t="s">
        <v>246</v>
      </c>
      <c r="T443" s="319">
        <v>8</v>
      </c>
      <c r="U443" s="320"/>
      <c r="V443" s="4"/>
      <c r="W443" s="441" t="s">
        <v>75</v>
      </c>
      <c r="X443" s="441" t="s">
        <v>246</v>
      </c>
      <c r="Y443" s="319">
        <v>8</v>
      </c>
      <c r="Z443" s="320"/>
      <c r="AA443" s="328">
        <f>Y443+T443+O443+J443+E443</f>
        <v>40</v>
      </c>
      <c r="AB443" s="298">
        <f>Z443+U443+P443+K443+F443</f>
        <v>0</v>
      </c>
      <c r="AC443" s="4"/>
      <c r="AD443" s="587"/>
      <c r="AE443" s="531"/>
      <c r="AF443" s="319"/>
      <c r="AG443" s="328">
        <f>AF443</f>
        <v>0</v>
      </c>
      <c r="AH443" s="4"/>
      <c r="AI443" s="368"/>
      <c r="AJ443" s="367"/>
      <c r="AK443" s="188" t="s">
        <v>30</v>
      </c>
      <c r="AL443" s="196">
        <f>AB445</f>
        <v>0</v>
      </c>
      <c r="AM443" s="511">
        <f>AM442*1.5</f>
        <v>77.25</v>
      </c>
      <c r="AN443" s="510">
        <f>AL443*AM443</f>
        <v>0</v>
      </c>
      <c r="AO443" s="193"/>
      <c r="AP443" s="193"/>
    </row>
    <row r="444" spans="1:42" s="180" customFormat="1" hidden="1">
      <c r="A444" s="313"/>
      <c r="B444" s="4" t="s">
        <v>59</v>
      </c>
      <c r="C444" s="441" t="s">
        <v>222</v>
      </c>
      <c r="D444" s="441" t="s">
        <v>125</v>
      </c>
      <c r="E444" s="319">
        <v>4</v>
      </c>
      <c r="F444" s="320"/>
      <c r="G444" s="4"/>
      <c r="H444" s="441" t="s">
        <v>222</v>
      </c>
      <c r="I444" s="441" t="s">
        <v>125</v>
      </c>
      <c r="J444" s="319">
        <v>4</v>
      </c>
      <c r="K444" s="320"/>
      <c r="L444" s="4"/>
      <c r="M444" s="441" t="s">
        <v>222</v>
      </c>
      <c r="N444" s="441" t="s">
        <v>125</v>
      </c>
      <c r="O444" s="319">
        <v>4</v>
      </c>
      <c r="P444" s="320"/>
      <c r="Q444" s="4"/>
      <c r="R444" s="441" t="s">
        <v>222</v>
      </c>
      <c r="S444" s="441" t="s">
        <v>125</v>
      </c>
      <c r="T444" s="319">
        <v>4</v>
      </c>
      <c r="U444" s="320"/>
      <c r="V444" s="4"/>
      <c r="W444" s="441" t="s">
        <v>222</v>
      </c>
      <c r="X444" s="441" t="s">
        <v>125</v>
      </c>
      <c r="Y444" s="319">
        <v>4</v>
      </c>
      <c r="Z444" s="320"/>
      <c r="AA444" s="328">
        <f>Y444+T444+O444+J444+E444</f>
        <v>20</v>
      </c>
      <c r="AB444" s="298">
        <f>Z444+U444+P444+K444+F444</f>
        <v>0</v>
      </c>
      <c r="AC444" s="4"/>
      <c r="AF444" s="319"/>
      <c r="AG444" s="328">
        <f>AF444</f>
        <v>0</v>
      </c>
      <c r="AH444" s="175"/>
      <c r="AI444" s="402"/>
      <c r="AJ444" s="367"/>
      <c r="AK444" s="188" t="s">
        <v>32</v>
      </c>
      <c r="AL444" s="196">
        <f>AG445</f>
        <v>0</v>
      </c>
      <c r="AM444" s="511">
        <v>75.77</v>
      </c>
      <c r="AN444" s="510">
        <f>AL444*AM444</f>
        <v>0</v>
      </c>
      <c r="AO444" s="193"/>
      <c r="AP444" s="193"/>
    </row>
    <row r="445" spans="1:42" s="180" customFormat="1" hidden="1">
      <c r="A445" s="313"/>
      <c r="B445" s="64" t="s">
        <v>61</v>
      </c>
      <c r="C445" s="31"/>
      <c r="D445" s="31"/>
      <c r="E445" s="439">
        <f>SUM(E443:E444)</f>
        <v>12</v>
      </c>
      <c r="F445" s="320">
        <f>SUM(F443:F444)</f>
        <v>0</v>
      </c>
      <c r="G445" s="31"/>
      <c r="H445" s="31"/>
      <c r="I445" s="31"/>
      <c r="J445" s="439">
        <f>SUM(J443:J444)</f>
        <v>12</v>
      </c>
      <c r="K445" s="320">
        <f>SUM(K443:K444)</f>
        <v>0</v>
      </c>
      <c r="L445" s="31"/>
      <c r="M445" s="31"/>
      <c r="N445" s="31"/>
      <c r="O445" s="439">
        <f>SUM(O443:O444)</f>
        <v>12</v>
      </c>
      <c r="P445" s="320">
        <f>SUM(P443:P444)</f>
        <v>0</v>
      </c>
      <c r="Q445" s="31"/>
      <c r="R445" s="31"/>
      <c r="S445" s="31"/>
      <c r="T445" s="439">
        <f>SUM(T443:T444)</f>
        <v>12</v>
      </c>
      <c r="U445" s="320">
        <f>SUM(U443:U444)</f>
        <v>0</v>
      </c>
      <c r="V445" s="31"/>
      <c r="W445" s="31"/>
      <c r="X445" s="31"/>
      <c r="Y445" s="439">
        <f>SUM(Y443:Y444)</f>
        <v>12</v>
      </c>
      <c r="Z445" s="320">
        <f>SUM(Z443:Z444)</f>
        <v>0</v>
      </c>
      <c r="AA445" s="370">
        <f>SUM(AA443:AA444)</f>
        <v>60</v>
      </c>
      <c r="AB445" s="370">
        <f>SUM(AB443:AB444)</f>
        <v>0</v>
      </c>
      <c r="AC445" s="4"/>
      <c r="AD445" s="64"/>
      <c r="AE445" s="64"/>
      <c r="AF445" s="370">
        <f>SUM(AF443:AF444)</f>
        <v>0</v>
      </c>
      <c r="AG445" s="370">
        <f>SUM(AG443:AG444)</f>
        <v>0</v>
      </c>
      <c r="AH445" s="4"/>
      <c r="AI445" s="255"/>
      <c r="AJ445" s="367"/>
      <c r="AK445" s="193"/>
      <c r="AL445" s="193"/>
      <c r="AM445" s="193"/>
      <c r="AN445" s="510">
        <f>SUM(AN442:AN444)</f>
        <v>3090</v>
      </c>
      <c r="AO445" s="193"/>
      <c r="AP445" s="193"/>
    </row>
    <row r="446" spans="1:42" s="180" customFormat="1" hidden="1">
      <c r="A446" s="313"/>
      <c r="E446" s="4"/>
      <c r="F446" s="4"/>
      <c r="G446" s="4"/>
      <c r="J446" s="4"/>
      <c r="K446" s="4"/>
      <c r="L446" s="4"/>
      <c r="O446" s="4"/>
      <c r="P446" s="4"/>
      <c r="Q446" s="4"/>
      <c r="T446" s="4"/>
      <c r="U446" s="4"/>
      <c r="V446" s="4"/>
      <c r="Y446" s="4"/>
      <c r="Z446" s="4"/>
      <c r="AA446" s="4"/>
      <c r="AB446" s="4"/>
      <c r="AC446" s="4"/>
      <c r="AH446" s="4"/>
      <c r="AI446" s="255"/>
      <c r="AK446" s="193"/>
      <c r="AL446" s="193"/>
      <c r="AM446" s="193"/>
      <c r="AN446" s="193"/>
      <c r="AO446" s="193"/>
      <c r="AP446" s="193"/>
    </row>
    <row r="447" spans="1:42" s="180" customFormat="1" hidden="1">
      <c r="A447" s="313"/>
      <c r="B447" s="229"/>
      <c r="C447" s="230"/>
      <c r="D447" s="230"/>
      <c r="E447" s="232"/>
      <c r="F447" s="232"/>
      <c r="G447" s="230"/>
      <c r="H447" s="232"/>
      <c r="I447" s="232"/>
      <c r="J447" s="232"/>
      <c r="K447" s="232"/>
      <c r="L447" s="230"/>
      <c r="M447" s="230"/>
      <c r="N447" s="230"/>
      <c r="O447" s="230"/>
      <c r="P447" s="232"/>
      <c r="Q447" s="230"/>
      <c r="R447" s="230"/>
      <c r="S447" s="230"/>
      <c r="T447" s="230"/>
      <c r="U447" s="232"/>
      <c r="V447" s="230"/>
      <c r="W447" s="230"/>
      <c r="X447" s="230"/>
      <c r="Y447" s="233"/>
      <c r="Z447" s="232"/>
      <c r="AA447" s="234"/>
      <c r="AB447" s="232"/>
      <c r="AC447" s="373"/>
      <c r="AD447" s="236"/>
      <c r="AE447" s="255"/>
      <c r="AF447" s="255"/>
      <c r="AG447" s="255"/>
      <c r="AH447" s="255"/>
      <c r="AI447" s="255"/>
      <c r="AJ447" s="255"/>
      <c r="AK447" s="255"/>
      <c r="AL447" s="255"/>
      <c r="AM447" s="255"/>
      <c r="AN447" s="255"/>
      <c r="AO447" s="255"/>
      <c r="AP447" s="255"/>
    </row>
    <row r="448" spans="1:42" s="180" customFormat="1" hidden="1">
      <c r="A448" s="313"/>
      <c r="E448" s="4"/>
      <c r="F448" s="4"/>
      <c r="G448" s="4"/>
      <c r="J448" s="4"/>
      <c r="K448" s="4"/>
      <c r="L448" s="4"/>
      <c r="O448" s="4"/>
      <c r="P448" s="4"/>
      <c r="Q448" s="4"/>
      <c r="T448" s="4"/>
      <c r="U448" s="4"/>
      <c r="V448" s="4"/>
      <c r="Y448" s="4"/>
      <c r="Z448" s="4"/>
      <c r="AA448" s="4"/>
      <c r="AB448" s="4"/>
      <c r="AC448" s="4"/>
      <c r="AH448" s="4"/>
      <c r="AI448" s="255"/>
      <c r="AK448" s="193"/>
      <c r="AL448" s="193"/>
      <c r="AM448" s="193"/>
      <c r="AN448" s="193"/>
      <c r="AO448" s="193"/>
      <c r="AP448" s="193"/>
    </row>
    <row r="449" spans="1:42" s="180" customFormat="1" ht="13.5" hidden="1" customHeight="1">
      <c r="A449" s="313"/>
      <c r="B449" s="1518" t="s">
        <v>18</v>
      </c>
      <c r="C449" s="1519">
        <v>45922</v>
      </c>
      <c r="D449" s="1519"/>
      <c r="E449" s="1519"/>
      <c r="F449" s="1519"/>
      <c r="G449" s="365"/>
      <c r="H449" s="1519">
        <v>45923</v>
      </c>
      <c r="I449" s="1519"/>
      <c r="J449" s="1519"/>
      <c r="K449" s="1519"/>
      <c r="L449" s="365"/>
      <c r="M449" s="1519">
        <v>45924</v>
      </c>
      <c r="N449" s="1519"/>
      <c r="O449" s="1519"/>
      <c r="P449" s="1519"/>
      <c r="Q449" s="365"/>
      <c r="R449" s="1519">
        <v>45925</v>
      </c>
      <c r="S449" s="1519"/>
      <c r="T449" s="1519"/>
      <c r="U449" s="1519"/>
      <c r="V449" s="365"/>
      <c r="W449" s="1519">
        <v>45926</v>
      </c>
      <c r="X449" s="1519"/>
      <c r="Y449" s="1519"/>
      <c r="Z449" s="1519"/>
      <c r="AA449" s="1517" t="s">
        <v>19</v>
      </c>
      <c r="AB449" s="1517" t="s">
        <v>20</v>
      </c>
      <c r="AC449" s="4"/>
      <c r="AD449" s="1519">
        <v>45927</v>
      </c>
      <c r="AE449" s="1519"/>
      <c r="AF449" s="1519"/>
      <c r="AG449" s="1517" t="s">
        <v>21</v>
      </c>
      <c r="AH449" s="4"/>
      <c r="AI449" s="368"/>
      <c r="AK449" s="194" t="s">
        <v>84</v>
      </c>
      <c r="AL449" s="366"/>
      <c r="AM449" s="366"/>
      <c r="AN449" s="366"/>
      <c r="AO449" s="366"/>
      <c r="AP449" s="366"/>
    </row>
    <row r="450" spans="1:42" s="180" customFormat="1" hidden="1">
      <c r="A450" s="313"/>
      <c r="B450" s="1518"/>
      <c r="C450" s="21" t="s">
        <v>23</v>
      </c>
      <c r="D450" s="21" t="s">
        <v>24</v>
      </c>
      <c r="E450" s="205" t="s">
        <v>25</v>
      </c>
      <c r="F450" s="18" t="s">
        <v>14</v>
      </c>
      <c r="G450" s="4"/>
      <c r="H450" s="21" t="s">
        <v>23</v>
      </c>
      <c r="I450" s="21" t="s">
        <v>24</v>
      </c>
      <c r="J450" s="18" t="s">
        <v>25</v>
      </c>
      <c r="K450" s="18" t="s">
        <v>14</v>
      </c>
      <c r="L450" s="4"/>
      <c r="M450" s="21" t="s">
        <v>23</v>
      </c>
      <c r="N450" s="21" t="s">
        <v>24</v>
      </c>
      <c r="O450" s="18" t="s">
        <v>25</v>
      </c>
      <c r="P450" s="18" t="s">
        <v>14</v>
      </c>
      <c r="Q450" s="4"/>
      <c r="R450" s="21" t="s">
        <v>23</v>
      </c>
      <c r="S450" s="21" t="s">
        <v>24</v>
      </c>
      <c r="T450" s="18" t="s">
        <v>25</v>
      </c>
      <c r="U450" s="18" t="s">
        <v>14</v>
      </c>
      <c r="V450" s="4"/>
      <c r="W450" s="21" t="s">
        <v>23</v>
      </c>
      <c r="X450" s="21" t="s">
        <v>24</v>
      </c>
      <c r="Y450" s="18" t="s">
        <v>25</v>
      </c>
      <c r="Z450" s="18" t="s">
        <v>14</v>
      </c>
      <c r="AA450" s="1517"/>
      <c r="AB450" s="1517"/>
      <c r="AC450" s="4"/>
      <c r="AD450" s="21" t="s">
        <v>23</v>
      </c>
      <c r="AE450" s="21" t="s">
        <v>24</v>
      </c>
      <c r="AF450" s="18" t="s">
        <v>25</v>
      </c>
      <c r="AG450" s="1517"/>
      <c r="AH450" s="4"/>
      <c r="AI450" s="368"/>
      <c r="AJ450" s="367"/>
      <c r="AK450" s="188" t="s">
        <v>26</v>
      </c>
      <c r="AL450" s="196">
        <f>AA453</f>
        <v>60</v>
      </c>
      <c r="AM450" s="511">
        <v>51.5</v>
      </c>
      <c r="AN450" s="510">
        <f>AL450*AM450</f>
        <v>3090</v>
      </c>
      <c r="AO450" s="193"/>
      <c r="AP450" s="193"/>
    </row>
    <row r="451" spans="1:42" s="180" customFormat="1" hidden="1">
      <c r="A451" s="313"/>
      <c r="B451" s="4" t="s">
        <v>60</v>
      </c>
      <c r="C451" s="441" t="s">
        <v>75</v>
      </c>
      <c r="D451" s="441" t="s">
        <v>246</v>
      </c>
      <c r="E451" s="319">
        <v>8</v>
      </c>
      <c r="F451" s="320"/>
      <c r="G451" s="4"/>
      <c r="H451" s="441" t="s">
        <v>75</v>
      </c>
      <c r="I451" s="441" t="s">
        <v>246</v>
      </c>
      <c r="J451" s="319">
        <v>8</v>
      </c>
      <c r="K451" s="320"/>
      <c r="L451" s="4"/>
      <c r="M451" s="441" t="s">
        <v>75</v>
      </c>
      <c r="N451" s="441" t="s">
        <v>246</v>
      </c>
      <c r="O451" s="319">
        <v>8</v>
      </c>
      <c r="P451" s="320"/>
      <c r="Q451" s="4"/>
      <c r="R451" s="441" t="s">
        <v>75</v>
      </c>
      <c r="S451" s="441" t="s">
        <v>246</v>
      </c>
      <c r="T451" s="319">
        <v>8</v>
      </c>
      <c r="U451" s="320"/>
      <c r="V451" s="4"/>
      <c r="W451" s="441" t="s">
        <v>75</v>
      </c>
      <c r="X451" s="441" t="s">
        <v>246</v>
      </c>
      <c r="Y451" s="319">
        <v>8</v>
      </c>
      <c r="Z451" s="320"/>
      <c r="AA451" s="328">
        <f>Y451+T451+O451+J451+E451</f>
        <v>40</v>
      </c>
      <c r="AB451" s="298">
        <f>Z451+U451+P451+K451+F451</f>
        <v>0</v>
      </c>
      <c r="AC451" s="4"/>
      <c r="AD451" s="587"/>
      <c r="AE451" s="531"/>
      <c r="AF451" s="319"/>
      <c r="AG451" s="328">
        <f>AF451</f>
        <v>0</v>
      </c>
      <c r="AH451" s="4"/>
      <c r="AI451" s="368"/>
      <c r="AJ451" s="367"/>
      <c r="AK451" s="188" t="s">
        <v>30</v>
      </c>
      <c r="AL451" s="196">
        <f>AB453</f>
        <v>0</v>
      </c>
      <c r="AM451" s="511">
        <f>AM450*1.5</f>
        <v>77.25</v>
      </c>
      <c r="AN451" s="510">
        <f>AL451*AM451</f>
        <v>0</v>
      </c>
      <c r="AO451" s="193"/>
      <c r="AP451" s="193"/>
    </row>
    <row r="452" spans="1:42" s="180" customFormat="1" hidden="1">
      <c r="A452" s="313"/>
      <c r="B452" s="4" t="s">
        <v>59</v>
      </c>
      <c r="C452" s="441" t="s">
        <v>222</v>
      </c>
      <c r="D452" s="441" t="s">
        <v>125</v>
      </c>
      <c r="E452" s="319">
        <v>4</v>
      </c>
      <c r="F452" s="320"/>
      <c r="G452" s="4"/>
      <c r="H452" s="441" t="s">
        <v>222</v>
      </c>
      <c r="I452" s="441" t="s">
        <v>125</v>
      </c>
      <c r="J452" s="319">
        <v>4</v>
      </c>
      <c r="K452" s="320"/>
      <c r="L452" s="4"/>
      <c r="M452" s="441" t="s">
        <v>222</v>
      </c>
      <c r="N452" s="441" t="s">
        <v>125</v>
      </c>
      <c r="O452" s="319">
        <v>4</v>
      </c>
      <c r="P452" s="320"/>
      <c r="Q452" s="4"/>
      <c r="R452" s="441" t="s">
        <v>222</v>
      </c>
      <c r="S452" s="441" t="s">
        <v>125</v>
      </c>
      <c r="T452" s="319">
        <v>4</v>
      </c>
      <c r="U452" s="320"/>
      <c r="V452" s="4"/>
      <c r="W452" s="441" t="s">
        <v>222</v>
      </c>
      <c r="X452" s="441" t="s">
        <v>125</v>
      </c>
      <c r="Y452" s="319">
        <v>4</v>
      </c>
      <c r="Z452" s="320"/>
      <c r="AA452" s="328">
        <f>Y452+T452+O452+J452+E452</f>
        <v>20</v>
      </c>
      <c r="AB452" s="298">
        <f>Z452+U452+P452+K452+F452</f>
        <v>0</v>
      </c>
      <c r="AC452" s="4"/>
      <c r="AF452" s="319"/>
      <c r="AG452" s="328">
        <f>AF452</f>
        <v>0</v>
      </c>
      <c r="AH452" s="175"/>
      <c r="AI452" s="402"/>
      <c r="AJ452" s="367"/>
      <c r="AK452" s="188" t="s">
        <v>32</v>
      </c>
      <c r="AL452" s="196">
        <f>AG453</f>
        <v>0</v>
      </c>
      <c r="AM452" s="511">
        <v>75.77</v>
      </c>
      <c r="AN452" s="510">
        <f>AL452*AM452</f>
        <v>0</v>
      </c>
      <c r="AO452" s="193"/>
      <c r="AP452" s="193"/>
    </row>
    <row r="453" spans="1:42" s="180" customFormat="1" hidden="1">
      <c r="A453" s="313"/>
      <c r="B453" s="64" t="s">
        <v>61</v>
      </c>
      <c r="C453" s="31"/>
      <c r="D453" s="31"/>
      <c r="E453" s="439">
        <f>SUM(E451:E452)</f>
        <v>12</v>
      </c>
      <c r="F453" s="320">
        <f>SUM(F451:F452)</f>
        <v>0</v>
      </c>
      <c r="G453" s="31"/>
      <c r="H453" s="31"/>
      <c r="I453" s="31"/>
      <c r="J453" s="439">
        <f>SUM(J451:J452)</f>
        <v>12</v>
      </c>
      <c r="K453" s="320">
        <f>SUM(K451:K452)</f>
        <v>0</v>
      </c>
      <c r="L453" s="31"/>
      <c r="M453" s="31"/>
      <c r="N453" s="31"/>
      <c r="O453" s="439">
        <f>SUM(O451:O452)</f>
        <v>12</v>
      </c>
      <c r="P453" s="320">
        <f>SUM(P451:P452)</f>
        <v>0</v>
      </c>
      <c r="Q453" s="31"/>
      <c r="R453" s="31"/>
      <c r="S453" s="31"/>
      <c r="T453" s="439">
        <f>SUM(T451:T452)</f>
        <v>12</v>
      </c>
      <c r="U453" s="320">
        <f>SUM(U451:U452)</f>
        <v>0</v>
      </c>
      <c r="V453" s="31"/>
      <c r="W453" s="31"/>
      <c r="X453" s="31"/>
      <c r="Y453" s="439">
        <f>SUM(Y451:Y452)</f>
        <v>12</v>
      </c>
      <c r="Z453" s="320">
        <f>SUM(Z451:Z452)</f>
        <v>0</v>
      </c>
      <c r="AA453" s="370">
        <f>SUM(AA451:AA452)</f>
        <v>60</v>
      </c>
      <c r="AB453" s="370">
        <f>SUM(AB451:AB452)</f>
        <v>0</v>
      </c>
      <c r="AC453" s="4"/>
      <c r="AD453" s="64"/>
      <c r="AE453" s="64"/>
      <c r="AF453" s="370">
        <f>SUM(AF451:AF452)</f>
        <v>0</v>
      </c>
      <c r="AG453" s="370">
        <f>SUM(AG451:AG452)</f>
        <v>0</v>
      </c>
      <c r="AH453" s="4"/>
      <c r="AI453" s="255"/>
      <c r="AJ453" s="367"/>
      <c r="AK453" s="193"/>
      <c r="AL453" s="193"/>
      <c r="AM453" s="193"/>
      <c r="AN453" s="510">
        <f>SUM(AN450:AN452)</f>
        <v>3090</v>
      </c>
      <c r="AO453" s="193"/>
      <c r="AP453" s="193"/>
    </row>
    <row r="454" spans="1:42" s="180" customFormat="1" hidden="1">
      <c r="A454" s="313"/>
      <c r="E454" s="4"/>
      <c r="F454" s="4"/>
      <c r="G454" s="4"/>
      <c r="J454" s="4"/>
      <c r="K454" s="4"/>
      <c r="L454" s="4"/>
      <c r="O454" s="4"/>
      <c r="P454" s="4"/>
      <c r="Q454" s="4"/>
      <c r="T454" s="4"/>
      <c r="U454" s="4"/>
      <c r="V454" s="4"/>
      <c r="Y454" s="4"/>
      <c r="Z454" s="4"/>
      <c r="AA454" s="4"/>
      <c r="AB454" s="4"/>
      <c r="AC454" s="4"/>
      <c r="AH454" s="4"/>
      <c r="AI454" s="255"/>
      <c r="AK454" s="193"/>
      <c r="AL454" s="193"/>
      <c r="AM454" s="193"/>
      <c r="AN454" s="193"/>
      <c r="AO454" s="193"/>
      <c r="AP454" s="193"/>
    </row>
    <row r="455" spans="1:42" s="180" customFormat="1" hidden="1">
      <c r="A455" s="313"/>
      <c r="B455" s="229"/>
      <c r="C455" s="230"/>
      <c r="D455" s="230"/>
      <c r="E455" s="232"/>
      <c r="F455" s="232"/>
      <c r="G455" s="230"/>
      <c r="H455" s="232"/>
      <c r="I455" s="232"/>
      <c r="J455" s="232"/>
      <c r="K455" s="232"/>
      <c r="L455" s="230"/>
      <c r="M455" s="230"/>
      <c r="N455" s="230"/>
      <c r="O455" s="230"/>
      <c r="P455" s="232"/>
      <c r="Q455" s="230"/>
      <c r="R455" s="230"/>
      <c r="S455" s="230"/>
      <c r="T455" s="230"/>
      <c r="U455" s="232"/>
      <c r="V455" s="230"/>
      <c r="W455" s="230"/>
      <c r="X455" s="230"/>
      <c r="Y455" s="233"/>
      <c r="Z455" s="232"/>
      <c r="AA455" s="234"/>
      <c r="AB455" s="232"/>
      <c r="AC455" s="373"/>
      <c r="AD455" s="236"/>
      <c r="AE455" s="255"/>
      <c r="AF455" s="255"/>
      <c r="AG455" s="255"/>
      <c r="AH455" s="255"/>
      <c r="AI455" s="255"/>
      <c r="AJ455" s="255"/>
      <c r="AK455" s="255"/>
      <c r="AL455" s="255"/>
      <c r="AM455" s="255"/>
      <c r="AN455" s="255"/>
      <c r="AO455" s="255"/>
      <c r="AP455" s="255"/>
    </row>
    <row r="456" spans="1:42" s="180" customFormat="1" hidden="1">
      <c r="A456" s="313"/>
      <c r="B456" s="1268"/>
      <c r="C456" s="1268"/>
      <c r="D456" s="1268"/>
      <c r="E456" s="539"/>
      <c r="F456" s="539"/>
      <c r="G456" s="539"/>
      <c r="H456" s="1268"/>
      <c r="I456" s="1268"/>
      <c r="J456" s="539"/>
      <c r="K456" s="539"/>
      <c r="L456" s="539"/>
      <c r="M456" s="1268"/>
      <c r="N456" s="1268"/>
      <c r="O456" s="539"/>
      <c r="P456" s="539"/>
      <c r="Q456" s="539"/>
      <c r="R456" s="1268"/>
      <c r="S456" s="1268"/>
      <c r="T456" s="539"/>
      <c r="U456" s="539"/>
      <c r="V456" s="539"/>
      <c r="W456" s="1268"/>
      <c r="X456" s="1268"/>
      <c r="Y456" s="539"/>
      <c r="Z456" s="539"/>
      <c r="AA456" s="539"/>
      <c r="AB456" s="539"/>
      <c r="AC456" s="4"/>
      <c r="AH456" s="4"/>
      <c r="AI456" s="255"/>
      <c r="AK456" s="193"/>
      <c r="AL456" s="193"/>
      <c r="AM456" s="193"/>
      <c r="AN456" s="193"/>
      <c r="AO456" s="193"/>
      <c r="AP456" s="193"/>
    </row>
    <row r="457" spans="1:42" s="180" customFormat="1" ht="13.5" hidden="1" customHeight="1">
      <c r="A457" s="313"/>
      <c r="B457" s="1555" t="s">
        <v>18</v>
      </c>
      <c r="C457" s="1556">
        <v>45929</v>
      </c>
      <c r="D457" s="1556"/>
      <c r="E457" s="1556"/>
      <c r="F457" s="1556"/>
      <c r="G457" s="1269"/>
      <c r="H457" s="1556">
        <v>45930</v>
      </c>
      <c r="I457" s="1556"/>
      <c r="J457" s="1556"/>
      <c r="K457" s="1556"/>
      <c r="L457" s="1269"/>
      <c r="M457" s="1556">
        <v>45931</v>
      </c>
      <c r="N457" s="1556"/>
      <c r="O457" s="1556"/>
      <c r="P457" s="1556"/>
      <c r="Q457" s="1269"/>
      <c r="R457" s="1556">
        <v>45932</v>
      </c>
      <c r="S457" s="1556"/>
      <c r="T457" s="1556"/>
      <c r="U457" s="1556"/>
      <c r="V457" s="1269"/>
      <c r="W457" s="1556">
        <v>45933</v>
      </c>
      <c r="X457" s="1556"/>
      <c r="Y457" s="1556"/>
      <c r="Z457" s="1556"/>
      <c r="AA457" s="1557" t="s">
        <v>19</v>
      </c>
      <c r="AB457" s="1557" t="s">
        <v>20</v>
      </c>
      <c r="AC457" s="4"/>
      <c r="AD457" s="1519">
        <v>45934</v>
      </c>
      <c r="AE457" s="1519"/>
      <c r="AF457" s="1519"/>
      <c r="AG457" s="1517" t="s">
        <v>21</v>
      </c>
      <c r="AH457" s="4"/>
      <c r="AI457" s="368"/>
      <c r="AK457" s="194" t="s">
        <v>84</v>
      </c>
      <c r="AL457" s="366"/>
      <c r="AM457" s="366"/>
      <c r="AN457" s="366"/>
      <c r="AO457" s="366"/>
      <c r="AP457" s="366"/>
    </row>
    <row r="458" spans="1:42" s="180" customFormat="1" hidden="1">
      <c r="A458" s="313"/>
      <c r="B458" s="1555"/>
      <c r="C458" s="1270" t="s">
        <v>23</v>
      </c>
      <c r="D458" s="1270" t="s">
        <v>24</v>
      </c>
      <c r="E458" s="1271" t="s">
        <v>25</v>
      </c>
      <c r="F458" s="1272" t="s">
        <v>14</v>
      </c>
      <c r="G458" s="539"/>
      <c r="H458" s="1270" t="s">
        <v>23</v>
      </c>
      <c r="I458" s="1270" t="s">
        <v>24</v>
      </c>
      <c r="J458" s="1272" t="s">
        <v>25</v>
      </c>
      <c r="K458" s="1272" t="s">
        <v>14</v>
      </c>
      <c r="L458" s="539"/>
      <c r="M458" s="1270" t="s">
        <v>23</v>
      </c>
      <c r="N458" s="1270" t="s">
        <v>24</v>
      </c>
      <c r="O458" s="1272" t="s">
        <v>25</v>
      </c>
      <c r="P458" s="1272" t="s">
        <v>14</v>
      </c>
      <c r="Q458" s="539"/>
      <c r="R458" s="1270" t="s">
        <v>23</v>
      </c>
      <c r="S458" s="1270" t="s">
        <v>24</v>
      </c>
      <c r="T458" s="1272" t="s">
        <v>25</v>
      </c>
      <c r="U458" s="1272" t="s">
        <v>14</v>
      </c>
      <c r="V458" s="539"/>
      <c r="W458" s="1270" t="s">
        <v>23</v>
      </c>
      <c r="X458" s="1270" t="s">
        <v>24</v>
      </c>
      <c r="Y458" s="1272" t="s">
        <v>25</v>
      </c>
      <c r="Z458" s="1272" t="s">
        <v>14</v>
      </c>
      <c r="AA458" s="1557"/>
      <c r="AB458" s="1557"/>
      <c r="AC458" s="4"/>
      <c r="AD458" s="21" t="s">
        <v>23</v>
      </c>
      <c r="AE458" s="21" t="s">
        <v>24</v>
      </c>
      <c r="AF458" s="18" t="s">
        <v>25</v>
      </c>
      <c r="AG458" s="1517"/>
      <c r="AH458" s="4"/>
      <c r="AI458" s="368"/>
      <c r="AJ458" s="367"/>
      <c r="AK458" s="188" t="s">
        <v>26</v>
      </c>
      <c r="AL458" s="196">
        <f>AA461</f>
        <v>60</v>
      </c>
      <c r="AM458" s="511">
        <v>51.5</v>
      </c>
      <c r="AN458" s="510">
        <f>AL458*AM458</f>
        <v>3090</v>
      </c>
      <c r="AO458" s="193"/>
      <c r="AP458" s="193"/>
    </row>
    <row r="459" spans="1:42" s="180" customFormat="1" hidden="1">
      <c r="A459" s="313"/>
      <c r="B459" s="539" t="s">
        <v>60</v>
      </c>
      <c r="C459" s="540" t="s">
        <v>75</v>
      </c>
      <c r="D459" s="540" t="s">
        <v>953</v>
      </c>
      <c r="E459" s="1273">
        <v>9</v>
      </c>
      <c r="F459" s="538"/>
      <c r="G459" s="539"/>
      <c r="H459" s="540" t="s">
        <v>125</v>
      </c>
      <c r="I459" s="540" t="s">
        <v>246</v>
      </c>
      <c r="J459" s="1273">
        <v>9</v>
      </c>
      <c r="K459" s="538"/>
      <c r="L459" s="539"/>
      <c r="M459" s="540" t="s">
        <v>125</v>
      </c>
      <c r="N459" s="540" t="s">
        <v>246</v>
      </c>
      <c r="O459" s="1273">
        <v>9</v>
      </c>
      <c r="P459" s="538"/>
      <c r="Q459" s="539"/>
      <c r="R459" s="540" t="s">
        <v>125</v>
      </c>
      <c r="S459" s="540" t="s">
        <v>246</v>
      </c>
      <c r="T459" s="1273">
        <v>9</v>
      </c>
      <c r="U459" s="538"/>
      <c r="V459" s="539"/>
      <c r="W459" s="540" t="s">
        <v>75</v>
      </c>
      <c r="X459" s="540" t="s">
        <v>387</v>
      </c>
      <c r="Y459" s="1273">
        <v>4</v>
      </c>
      <c r="Z459" s="538"/>
      <c r="AA459" s="1274">
        <f>Y459+T459+O459+J459+E459</f>
        <v>40</v>
      </c>
      <c r="AB459" s="1275">
        <f>Z459+U459+P459+K459+F459</f>
        <v>0</v>
      </c>
      <c r="AC459" s="4"/>
      <c r="AD459" s="587"/>
      <c r="AE459" s="531"/>
      <c r="AF459" s="319"/>
      <c r="AG459" s="328">
        <f>AF459</f>
        <v>0</v>
      </c>
      <c r="AH459" s="4"/>
      <c r="AI459" s="368"/>
      <c r="AJ459" s="367"/>
      <c r="AK459" s="188" t="s">
        <v>30</v>
      </c>
      <c r="AL459" s="196">
        <f>AB461</f>
        <v>0</v>
      </c>
      <c r="AM459" s="511">
        <f>AM458*1.5</f>
        <v>77.25</v>
      </c>
      <c r="AN459" s="510">
        <f>AL459*AM459</f>
        <v>0</v>
      </c>
      <c r="AO459" s="193"/>
      <c r="AP459" s="193"/>
    </row>
    <row r="460" spans="1:42" s="180" customFormat="1" hidden="1">
      <c r="A460" s="313"/>
      <c r="B460" s="539" t="s">
        <v>59</v>
      </c>
      <c r="C460" s="540" t="s">
        <v>222</v>
      </c>
      <c r="D460" s="540" t="s">
        <v>125</v>
      </c>
      <c r="E460" s="1273">
        <v>4</v>
      </c>
      <c r="F460" s="538"/>
      <c r="G460" s="539"/>
      <c r="H460" s="540" t="s">
        <v>222</v>
      </c>
      <c r="I460" s="540" t="s">
        <v>125</v>
      </c>
      <c r="J460" s="1273">
        <v>4</v>
      </c>
      <c r="K460" s="538"/>
      <c r="L460" s="539"/>
      <c r="M460" s="540" t="s">
        <v>222</v>
      </c>
      <c r="N460" s="540" t="s">
        <v>125</v>
      </c>
      <c r="O460" s="1273">
        <v>4</v>
      </c>
      <c r="P460" s="538"/>
      <c r="Q460" s="539"/>
      <c r="R460" s="540" t="s">
        <v>222</v>
      </c>
      <c r="S460" s="540" t="s">
        <v>125</v>
      </c>
      <c r="T460" s="1273">
        <v>4</v>
      </c>
      <c r="U460" s="538"/>
      <c r="V460" s="539"/>
      <c r="W460" s="540" t="s">
        <v>222</v>
      </c>
      <c r="X460" s="540" t="s">
        <v>125</v>
      </c>
      <c r="Y460" s="1273">
        <v>4</v>
      </c>
      <c r="Z460" s="538"/>
      <c r="AA460" s="1274">
        <f>Y460+T460+O460+J460+E460</f>
        <v>20</v>
      </c>
      <c r="AB460" s="1275">
        <f>Z460+U460+P460+K460+F460</f>
        <v>0</v>
      </c>
      <c r="AC460" s="4"/>
      <c r="AF460" s="319"/>
      <c r="AG460" s="328">
        <f>AF460</f>
        <v>0</v>
      </c>
      <c r="AH460" s="175"/>
      <c r="AI460" s="402"/>
      <c r="AJ460" s="367"/>
      <c r="AK460" s="188" t="s">
        <v>32</v>
      </c>
      <c r="AL460" s="196">
        <f>AG461</f>
        <v>0</v>
      </c>
      <c r="AM460" s="511">
        <v>75.77</v>
      </c>
      <c r="AN460" s="510">
        <f>AL460*AM460</f>
        <v>0</v>
      </c>
      <c r="AO460" s="193"/>
      <c r="AP460" s="193"/>
    </row>
    <row r="461" spans="1:42" s="180" customFormat="1" hidden="1">
      <c r="A461" s="313"/>
      <c r="B461" s="1276" t="s">
        <v>61</v>
      </c>
      <c r="C461" s="1276"/>
      <c r="D461" s="1276"/>
      <c r="E461" s="1277">
        <f>SUM(E459:E460)</f>
        <v>13</v>
      </c>
      <c r="F461" s="538">
        <f>SUM(F459:F460)</f>
        <v>0</v>
      </c>
      <c r="G461" s="1276"/>
      <c r="H461" s="1276"/>
      <c r="I461" s="1276"/>
      <c r="J461" s="1277">
        <f>SUM(J459:J460)</f>
        <v>13</v>
      </c>
      <c r="K461" s="538">
        <f>SUM(K459:K460)</f>
        <v>0</v>
      </c>
      <c r="L461" s="1276"/>
      <c r="M461" s="1276"/>
      <c r="N461" s="1276"/>
      <c r="O461" s="1277">
        <f>SUM(O459:O460)</f>
        <v>13</v>
      </c>
      <c r="P461" s="538">
        <f>SUM(P459:P460)</f>
        <v>0</v>
      </c>
      <c r="Q461" s="1276"/>
      <c r="R461" s="1276"/>
      <c r="S461" s="1276"/>
      <c r="T461" s="1277">
        <f>SUM(T459:T460)</f>
        <v>13</v>
      </c>
      <c r="U461" s="538">
        <f>SUM(U459:U460)</f>
        <v>0</v>
      </c>
      <c r="V461" s="1276"/>
      <c r="W461" s="1276"/>
      <c r="X461" s="1276"/>
      <c r="Y461" s="1277">
        <f>SUM(Y459:Y460)</f>
        <v>8</v>
      </c>
      <c r="Z461" s="538">
        <f>SUM(Z459:Z460)</f>
        <v>0</v>
      </c>
      <c r="AA461" s="1274">
        <f>SUM(AA459:AA460)</f>
        <v>60</v>
      </c>
      <c r="AB461" s="1274">
        <f>SUM(AB459:AB460)</f>
        <v>0</v>
      </c>
      <c r="AC461" s="4"/>
      <c r="AD461" s="64"/>
      <c r="AE461" s="64"/>
      <c r="AF461" s="370">
        <f>SUM(AF459:AF460)</f>
        <v>0</v>
      </c>
      <c r="AG461" s="370">
        <f>SUM(AG459:AG460)</f>
        <v>0</v>
      </c>
      <c r="AH461" s="4"/>
      <c r="AI461" s="255"/>
      <c r="AJ461" s="367"/>
      <c r="AK461" s="193"/>
      <c r="AL461" s="193"/>
      <c r="AM461" s="193"/>
      <c r="AN461" s="510">
        <f>SUM(AN458:AN460)</f>
        <v>3090</v>
      </c>
      <c r="AO461" s="193"/>
      <c r="AP461" s="193"/>
    </row>
    <row r="462" spans="1:42" s="180" customFormat="1" hidden="1">
      <c r="A462" s="313"/>
      <c r="B462" s="1268"/>
      <c r="C462" s="1268"/>
      <c r="D462" s="1268"/>
      <c r="E462" s="539"/>
      <c r="F462" s="539"/>
      <c r="G462" s="539"/>
      <c r="H462" s="1268"/>
      <c r="I462" s="1268"/>
      <c r="J462" s="539"/>
      <c r="K462" s="539"/>
      <c r="L462" s="539"/>
      <c r="M462" s="1268"/>
      <c r="N462" s="1268"/>
      <c r="O462" s="539"/>
      <c r="P462" s="539"/>
      <c r="Q462" s="539"/>
      <c r="R462" s="1268"/>
      <c r="S462" s="1268"/>
      <c r="T462" s="539"/>
      <c r="U462" s="539"/>
      <c r="V462" s="539"/>
      <c r="W462" s="1268"/>
      <c r="X462" s="1268"/>
      <c r="Y462" s="539"/>
      <c r="Z462" s="539"/>
      <c r="AA462" s="539"/>
      <c r="AB462" s="539"/>
      <c r="AC462" s="4"/>
      <c r="AH462" s="4"/>
      <c r="AI462" s="255"/>
      <c r="AK462" s="193"/>
      <c r="AL462" s="193"/>
      <c r="AM462" s="193"/>
      <c r="AN462" s="193"/>
      <c r="AO462" s="193"/>
      <c r="AP462" s="193"/>
    </row>
    <row r="463" spans="1:42" s="180" customFormat="1" hidden="1">
      <c r="A463" s="313"/>
      <c r="B463" s="1278"/>
      <c r="C463" s="1279"/>
      <c r="D463" s="1279"/>
      <c r="E463" s="1280"/>
      <c r="F463" s="1280"/>
      <c r="G463" s="1279"/>
      <c r="H463" s="1280"/>
      <c r="I463" s="1280"/>
      <c r="J463" s="1280"/>
      <c r="K463" s="1280"/>
      <c r="L463" s="1279"/>
      <c r="M463" s="1279"/>
      <c r="N463" s="1279"/>
      <c r="O463" s="1279"/>
      <c r="P463" s="1280"/>
      <c r="Q463" s="1279"/>
      <c r="R463" s="1279"/>
      <c r="S463" s="1279"/>
      <c r="T463" s="1279"/>
      <c r="U463" s="1280"/>
      <c r="V463" s="1279"/>
      <c r="W463" s="1279"/>
      <c r="X463" s="1279"/>
      <c r="Y463" s="1281"/>
      <c r="Z463" s="1280"/>
      <c r="AA463" s="1282"/>
      <c r="AB463" s="1280"/>
      <c r="AC463" s="373"/>
      <c r="AD463" s="236"/>
      <c r="AE463" s="255"/>
      <c r="AF463" s="255"/>
      <c r="AG463" s="255"/>
      <c r="AH463" s="255"/>
      <c r="AI463" s="255"/>
      <c r="AJ463" s="255"/>
      <c r="AK463" s="255"/>
      <c r="AL463" s="255"/>
      <c r="AM463" s="255"/>
      <c r="AN463" s="255"/>
      <c r="AO463" s="255"/>
      <c r="AP463" s="255"/>
    </row>
    <row r="464" spans="1:42" s="180" customFormat="1" hidden="1">
      <c r="A464" s="313"/>
      <c r="B464" s="1268"/>
      <c r="C464" s="1268"/>
      <c r="D464" s="1268"/>
      <c r="E464" s="539"/>
      <c r="F464" s="539"/>
      <c r="G464" s="539"/>
      <c r="H464" s="1268"/>
      <c r="I464" s="1268"/>
      <c r="J464" s="539"/>
      <c r="K464" s="539"/>
      <c r="L464" s="539"/>
      <c r="M464" s="1268"/>
      <c r="N464" s="1268"/>
      <c r="O464" s="539"/>
      <c r="P464" s="539"/>
      <c r="Q464" s="539"/>
      <c r="R464" s="1268"/>
      <c r="S464" s="1268"/>
      <c r="T464" s="539"/>
      <c r="U464" s="539"/>
      <c r="V464" s="539"/>
      <c r="W464" s="1268"/>
      <c r="X464" s="1268"/>
      <c r="Y464" s="539"/>
      <c r="Z464" s="539"/>
      <c r="AA464" s="539"/>
      <c r="AB464" s="539"/>
      <c r="AC464" s="4"/>
      <c r="AH464" s="4"/>
      <c r="AI464" s="255"/>
      <c r="AK464" s="193"/>
      <c r="AL464" s="193"/>
      <c r="AM464" s="193"/>
      <c r="AN464" s="193"/>
      <c r="AO464" s="193"/>
      <c r="AP464" s="193"/>
    </row>
    <row r="465" spans="1:42" s="180" customFormat="1" hidden="1">
      <c r="A465" s="313"/>
      <c r="B465" s="1555" t="s">
        <v>18</v>
      </c>
      <c r="C465" s="1556">
        <v>45936</v>
      </c>
      <c r="D465" s="1556"/>
      <c r="E465" s="1556"/>
      <c r="F465" s="1556"/>
      <c r="G465" s="1269"/>
      <c r="H465" s="1556">
        <v>45937</v>
      </c>
      <c r="I465" s="1556"/>
      <c r="J465" s="1556"/>
      <c r="K465" s="1556"/>
      <c r="L465" s="1269"/>
      <c r="M465" s="1556">
        <v>45938</v>
      </c>
      <c r="N465" s="1556"/>
      <c r="O465" s="1556"/>
      <c r="P465" s="1556"/>
      <c r="Q465" s="1269"/>
      <c r="R465" s="1556">
        <v>45939</v>
      </c>
      <c r="S465" s="1556"/>
      <c r="T465" s="1556"/>
      <c r="U465" s="1556"/>
      <c r="V465" s="1269"/>
      <c r="W465" s="1556">
        <v>45940</v>
      </c>
      <c r="X465" s="1556"/>
      <c r="Y465" s="1556"/>
      <c r="Z465" s="1556"/>
      <c r="AA465" s="1557" t="s">
        <v>19</v>
      </c>
      <c r="AB465" s="1557" t="s">
        <v>20</v>
      </c>
      <c r="AC465" s="4"/>
      <c r="AD465" s="1519">
        <v>45941</v>
      </c>
      <c r="AE465" s="1519"/>
      <c r="AF465" s="1519"/>
      <c r="AG465" s="1517" t="s">
        <v>21</v>
      </c>
      <c r="AH465" s="4"/>
      <c r="AI465" s="368"/>
      <c r="AK465" s="194" t="s">
        <v>84</v>
      </c>
      <c r="AL465" s="366"/>
      <c r="AM465" s="366"/>
      <c r="AN465" s="366"/>
      <c r="AO465" s="366"/>
      <c r="AP465" s="366"/>
    </row>
    <row r="466" spans="1:42" s="180" customFormat="1" hidden="1">
      <c r="A466" s="313"/>
      <c r="B466" s="1555"/>
      <c r="C466" s="1270" t="s">
        <v>23</v>
      </c>
      <c r="D466" s="1270" t="s">
        <v>24</v>
      </c>
      <c r="E466" s="1271" t="s">
        <v>25</v>
      </c>
      <c r="F466" s="1272" t="s">
        <v>14</v>
      </c>
      <c r="G466" s="539"/>
      <c r="H466" s="1270" t="s">
        <v>23</v>
      </c>
      <c r="I466" s="1270" t="s">
        <v>24</v>
      </c>
      <c r="J466" s="1272" t="s">
        <v>25</v>
      </c>
      <c r="K466" s="1272" t="s">
        <v>14</v>
      </c>
      <c r="L466" s="539"/>
      <c r="M466" s="1270" t="s">
        <v>23</v>
      </c>
      <c r="N466" s="1270" t="s">
        <v>24</v>
      </c>
      <c r="O466" s="1272" t="s">
        <v>25</v>
      </c>
      <c r="P466" s="1272" t="s">
        <v>14</v>
      </c>
      <c r="Q466" s="539"/>
      <c r="R466" s="1270" t="s">
        <v>23</v>
      </c>
      <c r="S466" s="1270" t="s">
        <v>24</v>
      </c>
      <c r="T466" s="1272" t="s">
        <v>25</v>
      </c>
      <c r="U466" s="1272" t="s">
        <v>14</v>
      </c>
      <c r="V466" s="539"/>
      <c r="W466" s="1270" t="s">
        <v>23</v>
      </c>
      <c r="X466" s="1270" t="s">
        <v>24</v>
      </c>
      <c r="Y466" s="1272" t="s">
        <v>25</v>
      </c>
      <c r="Z466" s="1272" t="s">
        <v>14</v>
      </c>
      <c r="AA466" s="1557"/>
      <c r="AB466" s="1557"/>
      <c r="AC466" s="4"/>
      <c r="AD466" s="21" t="s">
        <v>23</v>
      </c>
      <c r="AE466" s="21" t="s">
        <v>24</v>
      </c>
      <c r="AF466" s="18" t="s">
        <v>25</v>
      </c>
      <c r="AG466" s="1517"/>
      <c r="AH466" s="4"/>
      <c r="AI466" s="368"/>
      <c r="AJ466" s="367"/>
      <c r="AK466" s="188" t="s">
        <v>26</v>
      </c>
      <c r="AL466" s="196">
        <f>AA469</f>
        <v>56</v>
      </c>
      <c r="AM466" s="511">
        <v>51.5</v>
      </c>
      <c r="AN466" s="510">
        <f>AL466*AM466</f>
        <v>2884</v>
      </c>
      <c r="AO466" s="193"/>
      <c r="AP466" s="193"/>
    </row>
    <row r="467" spans="1:42" s="180" customFormat="1" hidden="1">
      <c r="A467" s="313"/>
      <c r="B467" s="539" t="s">
        <v>60</v>
      </c>
      <c r="C467" s="540" t="s">
        <v>75</v>
      </c>
      <c r="D467" s="540" t="s">
        <v>246</v>
      </c>
      <c r="E467" s="1273">
        <v>8</v>
      </c>
      <c r="F467" s="538"/>
      <c r="G467" s="539"/>
      <c r="H467" s="540" t="s">
        <v>75</v>
      </c>
      <c r="I467" s="540" t="s">
        <v>246</v>
      </c>
      <c r="J467" s="1273">
        <v>8</v>
      </c>
      <c r="K467" s="538"/>
      <c r="L467" s="539"/>
      <c r="M467" s="540" t="s">
        <v>75</v>
      </c>
      <c r="N467" s="540" t="s">
        <v>246</v>
      </c>
      <c r="O467" s="1273">
        <v>8</v>
      </c>
      <c r="P467" s="538"/>
      <c r="Q467" s="539"/>
      <c r="R467" s="540" t="s">
        <v>75</v>
      </c>
      <c r="S467" s="540" t="s">
        <v>246</v>
      </c>
      <c r="T467" s="1273">
        <v>8</v>
      </c>
      <c r="U467" s="538"/>
      <c r="V467" s="539"/>
      <c r="W467" s="540" t="s">
        <v>75</v>
      </c>
      <c r="X467" s="540" t="s">
        <v>246</v>
      </c>
      <c r="Y467" s="1273">
        <v>8</v>
      </c>
      <c r="Z467" s="538"/>
      <c r="AA467" s="1274">
        <f>Y467+T467+O467+J467+E467</f>
        <v>40</v>
      </c>
      <c r="AB467" s="1275">
        <f>Z467+U467+P467+K467+F467</f>
        <v>0</v>
      </c>
      <c r="AC467" s="4"/>
      <c r="AD467" s="587"/>
      <c r="AE467" s="531"/>
      <c r="AF467" s="319"/>
      <c r="AG467" s="328">
        <f>AF467</f>
        <v>0</v>
      </c>
      <c r="AH467" s="4"/>
      <c r="AI467" s="368"/>
      <c r="AJ467" s="367"/>
      <c r="AK467" s="188" t="s">
        <v>30</v>
      </c>
      <c r="AL467" s="196">
        <f>AB469</f>
        <v>0</v>
      </c>
      <c r="AM467" s="511">
        <f>AM466*1.5</f>
        <v>77.25</v>
      </c>
      <c r="AN467" s="510">
        <f>AL467*AM467</f>
        <v>0</v>
      </c>
      <c r="AO467" s="193"/>
      <c r="AP467" s="193"/>
    </row>
    <row r="468" spans="1:42" s="180" customFormat="1" hidden="1">
      <c r="A468" s="313"/>
      <c r="B468" s="539" t="s">
        <v>59</v>
      </c>
      <c r="C468" s="540" t="s">
        <v>222</v>
      </c>
      <c r="D468" s="540" t="s">
        <v>125</v>
      </c>
      <c r="E468" s="1273">
        <v>4</v>
      </c>
      <c r="F468" s="538"/>
      <c r="G468" s="539"/>
      <c r="H468" s="540" t="s">
        <v>222</v>
      </c>
      <c r="I468" s="540" t="s">
        <v>125</v>
      </c>
      <c r="J468" s="1273">
        <v>4</v>
      </c>
      <c r="K468" s="538"/>
      <c r="L468" s="539"/>
      <c r="M468" s="540" t="s">
        <v>222</v>
      </c>
      <c r="N468" s="540" t="s">
        <v>125</v>
      </c>
      <c r="O468" s="1273">
        <v>4</v>
      </c>
      <c r="P468" s="538"/>
      <c r="Q468" s="539"/>
      <c r="R468" s="540" t="s">
        <v>222</v>
      </c>
      <c r="S468" s="540" t="s">
        <v>125</v>
      </c>
      <c r="T468" s="1273">
        <v>4</v>
      </c>
      <c r="U468" s="538"/>
      <c r="V468" s="539"/>
      <c r="W468" s="540" t="s">
        <v>24</v>
      </c>
      <c r="X468" s="540"/>
      <c r="Y468" s="1273"/>
      <c r="Z468" s="538"/>
      <c r="AA468" s="1274">
        <f>Y468+T468+O468+J468+E468</f>
        <v>16</v>
      </c>
      <c r="AB468" s="1275">
        <f>Z468+U468+P468+K468+F468</f>
        <v>0</v>
      </c>
      <c r="AC468" s="4"/>
      <c r="AF468" s="319"/>
      <c r="AG468" s="328">
        <f>AF468</f>
        <v>0</v>
      </c>
      <c r="AH468" s="175"/>
      <c r="AI468" s="402"/>
      <c r="AJ468" s="367"/>
      <c r="AK468" s="188" t="s">
        <v>32</v>
      </c>
      <c r="AL468" s="196">
        <f>AG469</f>
        <v>0</v>
      </c>
      <c r="AM468" s="511">
        <v>75.77</v>
      </c>
      <c r="AN468" s="510">
        <f>AL468*AM468</f>
        <v>0</v>
      </c>
      <c r="AO468" s="193"/>
      <c r="AP468" s="193"/>
    </row>
    <row r="469" spans="1:42" s="180" customFormat="1" hidden="1">
      <c r="A469" s="313"/>
      <c r="B469" s="1276" t="s">
        <v>61</v>
      </c>
      <c r="C469" s="1276"/>
      <c r="D469" s="1276"/>
      <c r="E469" s="1277">
        <f>SUM(E467:E468)</f>
        <v>12</v>
      </c>
      <c r="F469" s="538">
        <f>SUM(F467:F468)</f>
        <v>0</v>
      </c>
      <c r="G469" s="1276"/>
      <c r="H469" s="1276"/>
      <c r="I469" s="1276"/>
      <c r="J469" s="1277">
        <f>SUM(J467:J468)</f>
        <v>12</v>
      </c>
      <c r="K469" s="538">
        <f>SUM(K467:K468)</f>
        <v>0</v>
      </c>
      <c r="L469" s="1276"/>
      <c r="M469" s="1276"/>
      <c r="N469" s="1276"/>
      <c r="O469" s="1277">
        <f>SUM(O467:O468)</f>
        <v>12</v>
      </c>
      <c r="P469" s="538">
        <f>SUM(P467:P468)</f>
        <v>0</v>
      </c>
      <c r="Q469" s="1276"/>
      <c r="R469" s="1276"/>
      <c r="S469" s="1276"/>
      <c r="T469" s="1277">
        <f>SUM(T467:T468)</f>
        <v>12</v>
      </c>
      <c r="U469" s="538">
        <f>SUM(U467:U468)</f>
        <v>0</v>
      </c>
      <c r="V469" s="1276"/>
      <c r="W469" s="1276"/>
      <c r="X469" s="1276"/>
      <c r="Y469" s="1277">
        <f>SUM(Y467:Y468)</f>
        <v>8</v>
      </c>
      <c r="Z469" s="538">
        <f>SUM(Z467:Z468)</f>
        <v>0</v>
      </c>
      <c r="AA469" s="1274">
        <f>SUM(AA467:AA468)</f>
        <v>56</v>
      </c>
      <c r="AB469" s="1274">
        <f>SUM(AB467:AB468)</f>
        <v>0</v>
      </c>
      <c r="AC469" s="4"/>
      <c r="AD469" s="64"/>
      <c r="AE469" s="64"/>
      <c r="AF469" s="370">
        <f>SUM(AF467:AF468)</f>
        <v>0</v>
      </c>
      <c r="AG469" s="370">
        <f>SUM(AG467:AG468)</f>
        <v>0</v>
      </c>
      <c r="AH469" s="4"/>
      <c r="AI469" s="255"/>
      <c r="AJ469" s="367"/>
      <c r="AK469" s="193"/>
      <c r="AL469" s="193"/>
      <c r="AM469" s="193"/>
      <c r="AN469" s="510">
        <f>SUM(AN466:AN468)</f>
        <v>2884</v>
      </c>
      <c r="AO469" s="193"/>
      <c r="AP469" s="193"/>
    </row>
    <row r="470" spans="1:42" s="180" customFormat="1" hidden="1">
      <c r="A470" s="313"/>
      <c r="B470" s="1268"/>
      <c r="C470" s="1268"/>
      <c r="D470" s="1268"/>
      <c r="E470" s="539"/>
      <c r="F470" s="539"/>
      <c r="G470" s="539"/>
      <c r="H470" s="1268"/>
      <c r="I470" s="1268"/>
      <c r="J470" s="539"/>
      <c r="K470" s="539"/>
      <c r="L470" s="539"/>
      <c r="M470" s="1268"/>
      <c r="N470" s="1268"/>
      <c r="O470" s="539"/>
      <c r="P470" s="539"/>
      <c r="Q470" s="539"/>
      <c r="R470" s="1268"/>
      <c r="S470" s="1268"/>
      <c r="T470" s="539"/>
      <c r="U470" s="539"/>
      <c r="V470" s="539"/>
      <c r="W470" s="1268"/>
      <c r="X470" s="1268"/>
      <c r="Y470" s="539"/>
      <c r="Z470" s="539"/>
      <c r="AA470" s="539"/>
      <c r="AB470" s="539"/>
      <c r="AC470" s="4"/>
      <c r="AH470" s="4"/>
      <c r="AI470" s="255"/>
      <c r="AK470" s="193"/>
      <c r="AL470" s="193"/>
      <c r="AM470" s="193"/>
      <c r="AN470" s="193"/>
      <c r="AO470" s="193"/>
      <c r="AP470" s="193"/>
    </row>
    <row r="471" spans="1:42" s="180" customFormat="1" hidden="1">
      <c r="A471" s="313"/>
      <c r="B471" s="1278"/>
      <c r="C471" s="1279"/>
      <c r="D471" s="1279"/>
      <c r="E471" s="1280"/>
      <c r="F471" s="1280"/>
      <c r="G471" s="1279"/>
      <c r="H471" s="1280"/>
      <c r="I471" s="1280"/>
      <c r="J471" s="1280"/>
      <c r="K471" s="1280"/>
      <c r="L471" s="1279"/>
      <c r="M471" s="1279"/>
      <c r="N471" s="1279"/>
      <c r="O471" s="1279"/>
      <c r="P471" s="1280"/>
      <c r="Q471" s="1279"/>
      <c r="R471" s="1279"/>
      <c r="S471" s="1279"/>
      <c r="T471" s="1279"/>
      <c r="U471" s="1280"/>
      <c r="V471" s="1279"/>
      <c r="W471" s="1279"/>
      <c r="X471" s="1279"/>
      <c r="Y471" s="1281"/>
      <c r="Z471" s="1280"/>
      <c r="AA471" s="1282"/>
      <c r="AB471" s="1280"/>
      <c r="AC471" s="373"/>
      <c r="AD471" s="236"/>
      <c r="AE471" s="255"/>
      <c r="AF471" s="255"/>
      <c r="AG471" s="255"/>
      <c r="AH471" s="255"/>
      <c r="AI471" s="255"/>
      <c r="AJ471" s="255"/>
      <c r="AK471" s="255"/>
      <c r="AL471" s="255"/>
      <c r="AM471" s="255"/>
      <c r="AN471" s="255"/>
      <c r="AO471" s="255"/>
      <c r="AP471" s="255"/>
    </row>
    <row r="472" spans="1:42" s="180" customFormat="1" hidden="1">
      <c r="A472" s="313"/>
      <c r="B472" s="1268"/>
      <c r="C472" s="1268"/>
      <c r="D472" s="1268"/>
      <c r="E472" s="539"/>
      <c r="F472" s="539"/>
      <c r="G472" s="539"/>
      <c r="H472" s="1268"/>
      <c r="I472" s="1268"/>
      <c r="J472" s="539"/>
      <c r="K472" s="539"/>
      <c r="L472" s="539"/>
      <c r="M472" s="1268"/>
      <c r="N472" s="1268"/>
      <c r="O472" s="539"/>
      <c r="P472" s="539"/>
      <c r="Q472" s="539"/>
      <c r="R472" s="1268"/>
      <c r="S472" s="1268"/>
      <c r="T472" s="539"/>
      <c r="U472" s="539"/>
      <c r="V472" s="539"/>
      <c r="W472" s="1268"/>
      <c r="X472" s="1268"/>
      <c r="Y472" s="539"/>
      <c r="Z472" s="539"/>
      <c r="AA472" s="539"/>
      <c r="AB472" s="539"/>
      <c r="AC472" s="4"/>
      <c r="AH472" s="4"/>
      <c r="AI472" s="255"/>
      <c r="AK472" s="193"/>
      <c r="AL472" s="193"/>
      <c r="AM472" s="193"/>
      <c r="AN472" s="193"/>
      <c r="AO472" s="193"/>
      <c r="AP472" s="193"/>
    </row>
    <row r="473" spans="1:42" s="180" customFormat="1" ht="13.5" hidden="1" customHeight="1">
      <c r="A473" s="313"/>
      <c r="B473" s="1555" t="s">
        <v>18</v>
      </c>
      <c r="C473" s="1556">
        <v>45943</v>
      </c>
      <c r="D473" s="1556"/>
      <c r="E473" s="1556"/>
      <c r="F473" s="1556"/>
      <c r="G473" s="1269"/>
      <c r="H473" s="1556">
        <v>45944</v>
      </c>
      <c r="I473" s="1556"/>
      <c r="J473" s="1556"/>
      <c r="K473" s="1556"/>
      <c r="L473" s="1269"/>
      <c r="M473" s="1556">
        <v>45945</v>
      </c>
      <c r="N473" s="1556"/>
      <c r="O473" s="1556"/>
      <c r="P473" s="1556"/>
      <c r="Q473" s="1269"/>
      <c r="R473" s="1556">
        <v>45946</v>
      </c>
      <c r="S473" s="1556"/>
      <c r="T473" s="1556"/>
      <c r="U473" s="1556"/>
      <c r="V473" s="1269"/>
      <c r="W473" s="1556">
        <v>45947</v>
      </c>
      <c r="X473" s="1556"/>
      <c r="Y473" s="1556"/>
      <c r="Z473" s="1556"/>
      <c r="AA473" s="1557" t="s">
        <v>19</v>
      </c>
      <c r="AB473" s="1557" t="s">
        <v>20</v>
      </c>
      <c r="AC473" s="4"/>
      <c r="AD473" s="1519">
        <v>45948</v>
      </c>
      <c r="AE473" s="1519"/>
      <c r="AF473" s="1519"/>
      <c r="AG473" s="1517" t="s">
        <v>21</v>
      </c>
      <c r="AH473" s="4"/>
      <c r="AI473" s="368"/>
      <c r="AK473" s="194" t="s">
        <v>84</v>
      </c>
      <c r="AL473" s="366"/>
      <c r="AM473" s="366"/>
      <c r="AN473" s="366"/>
      <c r="AO473" s="366"/>
      <c r="AP473" s="366"/>
    </row>
    <row r="474" spans="1:42" s="180" customFormat="1" hidden="1">
      <c r="A474" s="313"/>
      <c r="B474" s="1555"/>
      <c r="C474" s="1270" t="s">
        <v>23</v>
      </c>
      <c r="D474" s="1270" t="s">
        <v>24</v>
      </c>
      <c r="E474" s="1271" t="s">
        <v>25</v>
      </c>
      <c r="F474" s="1272" t="s">
        <v>14</v>
      </c>
      <c r="G474" s="539"/>
      <c r="H474" s="1270" t="s">
        <v>23</v>
      </c>
      <c r="I474" s="1270" t="s">
        <v>24</v>
      </c>
      <c r="J474" s="1272" t="s">
        <v>25</v>
      </c>
      <c r="K474" s="1272" t="s">
        <v>14</v>
      </c>
      <c r="L474" s="539"/>
      <c r="M474" s="1270" t="s">
        <v>23</v>
      </c>
      <c r="N474" s="1270" t="s">
        <v>24</v>
      </c>
      <c r="O474" s="1272" t="s">
        <v>25</v>
      </c>
      <c r="P474" s="1272" t="s">
        <v>14</v>
      </c>
      <c r="Q474" s="539"/>
      <c r="R474" s="1270" t="s">
        <v>23</v>
      </c>
      <c r="S474" s="1270" t="s">
        <v>24</v>
      </c>
      <c r="T474" s="1272" t="s">
        <v>25</v>
      </c>
      <c r="U474" s="1272" t="s">
        <v>14</v>
      </c>
      <c r="V474" s="539"/>
      <c r="W474" s="1270" t="s">
        <v>23</v>
      </c>
      <c r="X474" s="1270" t="s">
        <v>24</v>
      </c>
      <c r="Y474" s="1272" t="s">
        <v>25</v>
      </c>
      <c r="Z474" s="1272" t="s">
        <v>14</v>
      </c>
      <c r="AA474" s="1557"/>
      <c r="AB474" s="1557"/>
      <c r="AC474" s="4"/>
      <c r="AD474" s="21" t="s">
        <v>23</v>
      </c>
      <c r="AE474" s="21" t="s">
        <v>24</v>
      </c>
      <c r="AF474" s="18" t="s">
        <v>25</v>
      </c>
      <c r="AG474" s="1517"/>
      <c r="AH474" s="4"/>
      <c r="AI474" s="368"/>
      <c r="AJ474" s="367"/>
      <c r="AK474" s="188" t="s">
        <v>26</v>
      </c>
      <c r="AL474" s="196">
        <f>AA477</f>
        <v>60</v>
      </c>
      <c r="AM474" s="511">
        <v>51.5</v>
      </c>
      <c r="AN474" s="510">
        <f>AL474*AM474</f>
        <v>3090</v>
      </c>
      <c r="AO474" s="193"/>
      <c r="AP474" s="193"/>
    </row>
    <row r="475" spans="1:42" s="180" customFormat="1" hidden="1">
      <c r="A475" s="313"/>
      <c r="B475" s="539" t="s">
        <v>60</v>
      </c>
      <c r="C475" s="540" t="s">
        <v>75</v>
      </c>
      <c r="D475" s="540" t="s">
        <v>246</v>
      </c>
      <c r="E475" s="1273">
        <v>8</v>
      </c>
      <c r="F475" s="538"/>
      <c r="G475" s="539"/>
      <c r="H475" s="540" t="s">
        <v>75</v>
      </c>
      <c r="I475" s="540" t="s">
        <v>246</v>
      </c>
      <c r="J475" s="1273">
        <v>8</v>
      </c>
      <c r="K475" s="538"/>
      <c r="L475" s="539"/>
      <c r="M475" s="540" t="s">
        <v>75</v>
      </c>
      <c r="N475" s="540" t="s">
        <v>246</v>
      </c>
      <c r="O475" s="1273">
        <v>8</v>
      </c>
      <c r="P475" s="538"/>
      <c r="Q475" s="539"/>
      <c r="R475" s="540" t="s">
        <v>75</v>
      </c>
      <c r="S475" s="540" t="s">
        <v>246</v>
      </c>
      <c r="T475" s="1273">
        <v>8</v>
      </c>
      <c r="U475" s="538"/>
      <c r="V475" s="539"/>
      <c r="W475" s="540" t="s">
        <v>75</v>
      </c>
      <c r="X475" s="540" t="s">
        <v>246</v>
      </c>
      <c r="Y475" s="1273">
        <v>8</v>
      </c>
      <c r="Z475" s="538"/>
      <c r="AA475" s="1274">
        <f>Y475+T475+O475+J475+E475</f>
        <v>40</v>
      </c>
      <c r="AB475" s="1275">
        <f>Z475+U475+P475+K475+F475</f>
        <v>0</v>
      </c>
      <c r="AC475" s="4"/>
      <c r="AD475" s="587"/>
      <c r="AE475" s="531"/>
      <c r="AF475" s="319"/>
      <c r="AG475" s="328">
        <f>AF475</f>
        <v>0</v>
      </c>
      <c r="AH475" s="4"/>
      <c r="AI475" s="368"/>
      <c r="AJ475" s="367"/>
      <c r="AK475" s="188" t="s">
        <v>30</v>
      </c>
      <c r="AL475" s="196">
        <f>AB477</f>
        <v>0</v>
      </c>
      <c r="AM475" s="511">
        <f>AM474*1.5</f>
        <v>77.25</v>
      </c>
      <c r="AN475" s="510">
        <f>AL475*AM475</f>
        <v>0</v>
      </c>
      <c r="AO475" s="193"/>
      <c r="AP475" s="193"/>
    </row>
    <row r="476" spans="1:42" s="180" customFormat="1" hidden="1">
      <c r="A476" s="313"/>
      <c r="B476" s="539" t="s">
        <v>59</v>
      </c>
      <c r="C476" s="540" t="s">
        <v>222</v>
      </c>
      <c r="D476" s="540" t="s">
        <v>125</v>
      </c>
      <c r="E476" s="1273">
        <v>4</v>
      </c>
      <c r="F476" s="538"/>
      <c r="G476" s="539"/>
      <c r="H476" s="540" t="s">
        <v>222</v>
      </c>
      <c r="I476" s="540" t="s">
        <v>125</v>
      </c>
      <c r="J476" s="1273">
        <v>4</v>
      </c>
      <c r="K476" s="538"/>
      <c r="L476" s="539"/>
      <c r="M476" s="540" t="s">
        <v>222</v>
      </c>
      <c r="N476" s="540" t="s">
        <v>125</v>
      </c>
      <c r="O476" s="1273">
        <v>4</v>
      </c>
      <c r="P476" s="538"/>
      <c r="Q476" s="539"/>
      <c r="R476" s="540" t="s">
        <v>222</v>
      </c>
      <c r="S476" s="540" t="s">
        <v>125</v>
      </c>
      <c r="T476" s="1273">
        <v>4</v>
      </c>
      <c r="U476" s="538"/>
      <c r="V476" s="539"/>
      <c r="W476" s="540" t="s">
        <v>222</v>
      </c>
      <c r="X476" s="540" t="s">
        <v>125</v>
      </c>
      <c r="Y476" s="1273">
        <v>4</v>
      </c>
      <c r="Z476" s="538"/>
      <c r="AA476" s="1274">
        <f>Y476+T476+O476+J476+E476</f>
        <v>20</v>
      </c>
      <c r="AB476" s="1275">
        <f>Z476+U476+P476+K476+F476</f>
        <v>0</v>
      </c>
      <c r="AC476" s="4"/>
      <c r="AF476" s="319"/>
      <c r="AG476" s="328">
        <f>AF476</f>
        <v>0</v>
      </c>
      <c r="AH476" s="175"/>
      <c r="AI476" s="402"/>
      <c r="AJ476" s="367"/>
      <c r="AK476" s="188" t="s">
        <v>32</v>
      </c>
      <c r="AL476" s="196">
        <f>AG477</f>
        <v>0</v>
      </c>
      <c r="AM476" s="511">
        <v>75.77</v>
      </c>
      <c r="AN476" s="510">
        <f>AL476*AM476</f>
        <v>0</v>
      </c>
      <c r="AO476" s="193"/>
      <c r="AP476" s="193"/>
    </row>
    <row r="477" spans="1:42" s="180" customFormat="1" hidden="1">
      <c r="A477" s="313"/>
      <c r="B477" s="1276" t="s">
        <v>61</v>
      </c>
      <c r="C477" s="1276"/>
      <c r="D477" s="1276"/>
      <c r="E477" s="1277">
        <f>SUM(E475:E476)</f>
        <v>12</v>
      </c>
      <c r="F477" s="538">
        <f>SUM(F475:F476)</f>
        <v>0</v>
      </c>
      <c r="G477" s="1276"/>
      <c r="H477" s="1276"/>
      <c r="I477" s="1276"/>
      <c r="J477" s="1277">
        <f>SUM(J475:J476)</f>
        <v>12</v>
      </c>
      <c r="K477" s="538">
        <f>SUM(K475:K476)</f>
        <v>0</v>
      </c>
      <c r="L477" s="1276"/>
      <c r="M477" s="1276"/>
      <c r="N477" s="1276"/>
      <c r="O477" s="1277">
        <f>SUM(O475:O476)</f>
        <v>12</v>
      </c>
      <c r="P477" s="538">
        <f>SUM(P475:P476)</f>
        <v>0</v>
      </c>
      <c r="Q477" s="1276"/>
      <c r="R477" s="1276"/>
      <c r="S477" s="1276"/>
      <c r="T477" s="1277">
        <f>SUM(T475:T476)</f>
        <v>12</v>
      </c>
      <c r="U477" s="538">
        <f>SUM(U475:U476)</f>
        <v>0</v>
      </c>
      <c r="V477" s="1276"/>
      <c r="W477" s="1276"/>
      <c r="X477" s="1276"/>
      <c r="Y477" s="1277">
        <f>SUM(Y475:Y476)</f>
        <v>12</v>
      </c>
      <c r="Z477" s="538">
        <f>SUM(Z475:Z476)</f>
        <v>0</v>
      </c>
      <c r="AA477" s="1274">
        <f>SUM(AA475:AA476)</f>
        <v>60</v>
      </c>
      <c r="AB477" s="1274">
        <f>SUM(AB475:AB476)</f>
        <v>0</v>
      </c>
      <c r="AC477" s="4"/>
      <c r="AD477" s="64"/>
      <c r="AE477" s="64"/>
      <c r="AF477" s="370">
        <f>SUM(AF475:AF476)</f>
        <v>0</v>
      </c>
      <c r="AG477" s="370">
        <f>SUM(AG475:AG476)</f>
        <v>0</v>
      </c>
      <c r="AH477" s="4"/>
      <c r="AI477" s="255"/>
      <c r="AJ477" s="367"/>
      <c r="AK477" s="193"/>
      <c r="AL477" s="193"/>
      <c r="AM477" s="193"/>
      <c r="AN477" s="510">
        <f>SUM(AN474:AN476)</f>
        <v>3090</v>
      </c>
      <c r="AO477" s="193"/>
      <c r="AP477" s="193"/>
    </row>
    <row r="478" spans="1:42" s="180" customFormat="1" hidden="1">
      <c r="A478" s="313"/>
      <c r="B478" s="1268"/>
      <c r="C478" s="1268"/>
      <c r="D478" s="1268"/>
      <c r="E478" s="539"/>
      <c r="F478" s="539"/>
      <c r="G478" s="539"/>
      <c r="H478" s="1268"/>
      <c r="I478" s="1268"/>
      <c r="J478" s="539"/>
      <c r="K478" s="539"/>
      <c r="L478" s="539"/>
      <c r="M478" s="1268"/>
      <c r="N478" s="1268"/>
      <c r="O478" s="539"/>
      <c r="P478" s="539"/>
      <c r="Q478" s="539"/>
      <c r="R478" s="1268"/>
      <c r="S478" s="1268"/>
      <c r="T478" s="539"/>
      <c r="U478" s="539"/>
      <c r="V478" s="539"/>
      <c r="W478" s="1268"/>
      <c r="X478" s="1268"/>
      <c r="Y478" s="539"/>
      <c r="Z478" s="539"/>
      <c r="AA478" s="539"/>
      <c r="AB478" s="539"/>
      <c r="AC478" s="4"/>
      <c r="AH478" s="4"/>
      <c r="AI478" s="255"/>
      <c r="AK478" s="193"/>
      <c r="AL478" s="193"/>
      <c r="AM478" s="193"/>
      <c r="AN478" s="193"/>
      <c r="AO478" s="193"/>
      <c r="AP478" s="193"/>
    </row>
    <row r="479" spans="1:42" s="180" customFormat="1" hidden="1">
      <c r="A479" s="313"/>
      <c r="B479" s="1278"/>
      <c r="C479" s="1279"/>
      <c r="D479" s="1279"/>
      <c r="E479" s="1280"/>
      <c r="F479" s="1280"/>
      <c r="G479" s="1279"/>
      <c r="H479" s="1280"/>
      <c r="I479" s="1280"/>
      <c r="J479" s="1280"/>
      <c r="K479" s="1280"/>
      <c r="L479" s="1279"/>
      <c r="M479" s="1279"/>
      <c r="N479" s="1279"/>
      <c r="O479" s="1279"/>
      <c r="P479" s="1280"/>
      <c r="Q479" s="1279"/>
      <c r="R479" s="1279"/>
      <c r="S479" s="1279"/>
      <c r="T479" s="1279"/>
      <c r="U479" s="1280"/>
      <c r="V479" s="1279"/>
      <c r="W479" s="1279"/>
      <c r="X479" s="1279"/>
      <c r="Y479" s="1281"/>
      <c r="Z479" s="1280"/>
      <c r="AA479" s="1282"/>
      <c r="AB479" s="1280"/>
      <c r="AC479" s="373"/>
      <c r="AD479" s="236"/>
      <c r="AE479" s="255"/>
      <c r="AF479" s="255"/>
      <c r="AG479" s="255"/>
      <c r="AH479" s="255"/>
      <c r="AI479" s="255"/>
      <c r="AJ479" s="255"/>
      <c r="AK479" s="255"/>
      <c r="AL479" s="255"/>
      <c r="AM479" s="255"/>
      <c r="AN479" s="255"/>
      <c r="AO479" s="255"/>
      <c r="AP479" s="255"/>
    </row>
    <row r="480" spans="1:42" s="180" customFormat="1" hidden="1">
      <c r="A480" s="313"/>
      <c r="B480" s="1268"/>
      <c r="C480" s="1268"/>
      <c r="D480" s="1268"/>
      <c r="E480" s="539"/>
      <c r="F480" s="539"/>
      <c r="G480" s="539"/>
      <c r="H480" s="1268"/>
      <c r="I480" s="1268"/>
      <c r="J480" s="539"/>
      <c r="K480" s="539"/>
      <c r="L480" s="539"/>
      <c r="M480" s="1268"/>
      <c r="N480" s="1268"/>
      <c r="O480" s="539"/>
      <c r="P480" s="539"/>
      <c r="Q480" s="539"/>
      <c r="R480" s="1268"/>
      <c r="S480" s="1268"/>
      <c r="T480" s="539"/>
      <c r="U480" s="539"/>
      <c r="V480" s="539"/>
      <c r="W480" s="1268"/>
      <c r="X480" s="1268"/>
      <c r="Y480" s="539"/>
      <c r="Z480" s="539"/>
      <c r="AA480" s="539"/>
      <c r="AB480" s="539"/>
      <c r="AC480" s="4"/>
      <c r="AH480" s="4"/>
      <c r="AI480" s="255"/>
      <c r="AK480" s="193"/>
      <c r="AL480" s="193"/>
      <c r="AM480" s="193"/>
      <c r="AN480" s="193"/>
      <c r="AO480" s="193"/>
      <c r="AP480" s="193"/>
    </row>
    <row r="481" spans="1:42" s="180" customFormat="1" ht="13.5" hidden="1" customHeight="1">
      <c r="A481" s="313"/>
      <c r="B481" s="1555" t="s">
        <v>18</v>
      </c>
      <c r="C481" s="1556">
        <v>45950</v>
      </c>
      <c r="D481" s="1556"/>
      <c r="E481" s="1556"/>
      <c r="F481" s="1556"/>
      <c r="G481" s="1269"/>
      <c r="H481" s="1556">
        <v>45951</v>
      </c>
      <c r="I481" s="1556"/>
      <c r="J481" s="1556"/>
      <c r="K481" s="1556"/>
      <c r="L481" s="1269"/>
      <c r="M481" s="1556">
        <v>45952</v>
      </c>
      <c r="N481" s="1556"/>
      <c r="O481" s="1556"/>
      <c r="P481" s="1556"/>
      <c r="Q481" s="1269"/>
      <c r="R481" s="1556">
        <v>45953</v>
      </c>
      <c r="S481" s="1556"/>
      <c r="T481" s="1556"/>
      <c r="U481" s="1556"/>
      <c r="V481" s="1269"/>
      <c r="W481" s="1556">
        <v>45954</v>
      </c>
      <c r="X481" s="1556"/>
      <c r="Y481" s="1556"/>
      <c r="Z481" s="1556"/>
      <c r="AA481" s="1557" t="s">
        <v>19</v>
      </c>
      <c r="AB481" s="1557" t="s">
        <v>20</v>
      </c>
      <c r="AC481" s="4"/>
      <c r="AD481" s="1519">
        <v>45955</v>
      </c>
      <c r="AE481" s="1519"/>
      <c r="AF481" s="1519"/>
      <c r="AG481" s="1517" t="s">
        <v>21</v>
      </c>
      <c r="AH481" s="4"/>
      <c r="AI481" s="368"/>
      <c r="AK481" s="194" t="s">
        <v>84</v>
      </c>
      <c r="AL481" s="366"/>
      <c r="AM481" s="366"/>
      <c r="AN481" s="366"/>
      <c r="AO481" s="366"/>
      <c r="AP481" s="366"/>
    </row>
    <row r="482" spans="1:42" s="180" customFormat="1" hidden="1">
      <c r="A482" s="313"/>
      <c r="B482" s="1555"/>
      <c r="C482" s="1270" t="s">
        <v>23</v>
      </c>
      <c r="D482" s="1270" t="s">
        <v>24</v>
      </c>
      <c r="E482" s="1271" t="s">
        <v>25</v>
      </c>
      <c r="F482" s="1272" t="s">
        <v>14</v>
      </c>
      <c r="G482" s="539"/>
      <c r="H482" s="1270" t="s">
        <v>23</v>
      </c>
      <c r="I482" s="1270" t="s">
        <v>24</v>
      </c>
      <c r="J482" s="1272" t="s">
        <v>25</v>
      </c>
      <c r="K482" s="1272" t="s">
        <v>14</v>
      </c>
      <c r="L482" s="539"/>
      <c r="M482" s="1270" t="s">
        <v>23</v>
      </c>
      <c r="N482" s="1270" t="s">
        <v>24</v>
      </c>
      <c r="O482" s="1272" t="s">
        <v>25</v>
      </c>
      <c r="P482" s="1272" t="s">
        <v>14</v>
      </c>
      <c r="Q482" s="539"/>
      <c r="R482" s="1270" t="s">
        <v>23</v>
      </c>
      <c r="S482" s="1270" t="s">
        <v>24</v>
      </c>
      <c r="T482" s="1272" t="s">
        <v>25</v>
      </c>
      <c r="U482" s="1272" t="s">
        <v>14</v>
      </c>
      <c r="V482" s="539"/>
      <c r="W482" s="1270" t="s">
        <v>23</v>
      </c>
      <c r="X482" s="1270" t="s">
        <v>24</v>
      </c>
      <c r="Y482" s="1272" t="s">
        <v>25</v>
      </c>
      <c r="Z482" s="1272" t="s">
        <v>14</v>
      </c>
      <c r="AA482" s="1557"/>
      <c r="AB482" s="1557"/>
      <c r="AC482" s="4"/>
      <c r="AD482" s="21" t="s">
        <v>23</v>
      </c>
      <c r="AE482" s="21" t="s">
        <v>24</v>
      </c>
      <c r="AF482" s="18" t="s">
        <v>25</v>
      </c>
      <c r="AG482" s="1517"/>
      <c r="AH482" s="4"/>
      <c r="AI482" s="368"/>
      <c r="AJ482" s="367"/>
      <c r="AK482" s="188" t="s">
        <v>26</v>
      </c>
      <c r="AL482" s="196">
        <f>AA485</f>
        <v>60</v>
      </c>
      <c r="AM482" s="511">
        <v>51.5</v>
      </c>
      <c r="AN482" s="510">
        <f>AL482*AM482</f>
        <v>3090</v>
      </c>
      <c r="AO482" s="193"/>
      <c r="AP482" s="193"/>
    </row>
    <row r="483" spans="1:42" s="180" customFormat="1" hidden="1">
      <c r="A483" s="313"/>
      <c r="B483" s="539" t="s">
        <v>60</v>
      </c>
      <c r="C483" s="540" t="s">
        <v>75</v>
      </c>
      <c r="D483" s="540" t="s">
        <v>246</v>
      </c>
      <c r="E483" s="1273">
        <v>8</v>
      </c>
      <c r="F483" s="538"/>
      <c r="G483" s="539"/>
      <c r="H483" s="540" t="s">
        <v>75</v>
      </c>
      <c r="I483" s="540" t="s">
        <v>246</v>
      </c>
      <c r="J483" s="1273">
        <v>8</v>
      </c>
      <c r="K483" s="538"/>
      <c r="L483" s="539"/>
      <c r="M483" s="540" t="s">
        <v>75</v>
      </c>
      <c r="N483" s="540" t="s">
        <v>246</v>
      </c>
      <c r="O483" s="1273">
        <v>8</v>
      </c>
      <c r="P483" s="538"/>
      <c r="Q483" s="539"/>
      <c r="R483" s="540" t="s">
        <v>75</v>
      </c>
      <c r="S483" s="540" t="s">
        <v>246</v>
      </c>
      <c r="T483" s="1273">
        <v>8</v>
      </c>
      <c r="U483" s="538"/>
      <c r="V483" s="539"/>
      <c r="W483" s="540" t="s">
        <v>75</v>
      </c>
      <c r="X483" s="540" t="s">
        <v>246</v>
      </c>
      <c r="Y483" s="1273">
        <v>8</v>
      </c>
      <c r="Z483" s="538"/>
      <c r="AA483" s="1274">
        <f>Y483+T483+O483+J483+E483</f>
        <v>40</v>
      </c>
      <c r="AB483" s="1275">
        <f>Z483+U483+P483+K483+F483</f>
        <v>0</v>
      </c>
      <c r="AC483" s="4"/>
      <c r="AD483" s="587"/>
      <c r="AE483" s="531"/>
      <c r="AF483" s="319"/>
      <c r="AG483" s="328">
        <f>AF483</f>
        <v>0</v>
      </c>
      <c r="AH483" s="4"/>
      <c r="AI483" s="368"/>
      <c r="AJ483" s="367"/>
      <c r="AK483" s="188" t="s">
        <v>30</v>
      </c>
      <c r="AL483" s="196">
        <f>AB485</f>
        <v>0</v>
      </c>
      <c r="AM483" s="511">
        <f>AM482*1.5</f>
        <v>77.25</v>
      </c>
      <c r="AN483" s="510">
        <f>AL483*AM483</f>
        <v>0</v>
      </c>
      <c r="AO483" s="193"/>
      <c r="AP483" s="193"/>
    </row>
    <row r="484" spans="1:42" s="180" customFormat="1" hidden="1">
      <c r="A484" s="313"/>
      <c r="B484" s="539" t="s">
        <v>59</v>
      </c>
      <c r="C484" s="540" t="s">
        <v>222</v>
      </c>
      <c r="D484" s="540" t="s">
        <v>125</v>
      </c>
      <c r="E484" s="1273">
        <v>4</v>
      </c>
      <c r="F484" s="538"/>
      <c r="G484" s="539"/>
      <c r="H484" s="540" t="s">
        <v>222</v>
      </c>
      <c r="I484" s="540" t="s">
        <v>125</v>
      </c>
      <c r="J484" s="1273">
        <v>4</v>
      </c>
      <c r="K484" s="538"/>
      <c r="L484" s="539"/>
      <c r="M484" s="540" t="s">
        <v>222</v>
      </c>
      <c r="N484" s="540" t="s">
        <v>125</v>
      </c>
      <c r="O484" s="1273">
        <v>4</v>
      </c>
      <c r="P484" s="538"/>
      <c r="Q484" s="539"/>
      <c r="R484" s="540" t="s">
        <v>222</v>
      </c>
      <c r="S484" s="540" t="s">
        <v>125</v>
      </c>
      <c r="T484" s="1273">
        <v>4</v>
      </c>
      <c r="U484" s="538"/>
      <c r="V484" s="539"/>
      <c r="W484" s="540" t="s">
        <v>222</v>
      </c>
      <c r="X484" s="540" t="s">
        <v>125</v>
      </c>
      <c r="Y484" s="1273">
        <v>4</v>
      </c>
      <c r="Z484" s="538"/>
      <c r="AA484" s="1274">
        <f>Y484+T484+O484+J484+E484</f>
        <v>20</v>
      </c>
      <c r="AB484" s="1275">
        <f>Z484+U484+P484+K484+F484</f>
        <v>0</v>
      </c>
      <c r="AC484" s="4"/>
      <c r="AF484" s="319"/>
      <c r="AG484" s="328">
        <f>AF484</f>
        <v>0</v>
      </c>
      <c r="AH484" s="175"/>
      <c r="AI484" s="402"/>
      <c r="AJ484" s="367"/>
      <c r="AK484" s="188" t="s">
        <v>32</v>
      </c>
      <c r="AL484" s="196">
        <f>AG485</f>
        <v>0</v>
      </c>
      <c r="AM484" s="511">
        <v>75.77</v>
      </c>
      <c r="AN484" s="510">
        <f>AL484*AM484</f>
        <v>0</v>
      </c>
      <c r="AO484" s="193"/>
      <c r="AP484" s="193"/>
    </row>
    <row r="485" spans="1:42" s="180" customFormat="1" hidden="1">
      <c r="A485" s="313"/>
      <c r="B485" s="1276" t="s">
        <v>61</v>
      </c>
      <c r="C485" s="1276"/>
      <c r="D485" s="1276"/>
      <c r="E485" s="1277">
        <f>SUM(E483:E484)</f>
        <v>12</v>
      </c>
      <c r="F485" s="538">
        <f>SUM(F483:F484)</f>
        <v>0</v>
      </c>
      <c r="G485" s="1276"/>
      <c r="H485" s="1276"/>
      <c r="I485" s="1276"/>
      <c r="J485" s="1277">
        <f>SUM(J483:J484)</f>
        <v>12</v>
      </c>
      <c r="K485" s="538">
        <f>SUM(K483:K484)</f>
        <v>0</v>
      </c>
      <c r="L485" s="1276"/>
      <c r="M485" s="1276"/>
      <c r="N485" s="1276"/>
      <c r="O485" s="1277">
        <f>SUM(O483:O484)</f>
        <v>12</v>
      </c>
      <c r="P485" s="538">
        <f>SUM(P483:P484)</f>
        <v>0</v>
      </c>
      <c r="Q485" s="1276"/>
      <c r="R485" s="1276"/>
      <c r="S485" s="1276"/>
      <c r="T485" s="1277">
        <f>SUM(T483:T484)</f>
        <v>12</v>
      </c>
      <c r="U485" s="538">
        <f>SUM(U483:U484)</f>
        <v>0</v>
      </c>
      <c r="V485" s="1276"/>
      <c r="W485" s="1276"/>
      <c r="X485" s="1276"/>
      <c r="Y485" s="1277">
        <f>SUM(Y483:Y484)</f>
        <v>12</v>
      </c>
      <c r="Z485" s="538">
        <f>SUM(Z483:Z484)</f>
        <v>0</v>
      </c>
      <c r="AA485" s="1274">
        <f>SUM(AA483:AA484)</f>
        <v>60</v>
      </c>
      <c r="AB485" s="1274">
        <f>SUM(AB483:AB484)</f>
        <v>0</v>
      </c>
      <c r="AC485" s="4"/>
      <c r="AD485" s="64"/>
      <c r="AE485" s="64"/>
      <c r="AF485" s="370">
        <f>SUM(AF483:AF484)</f>
        <v>0</v>
      </c>
      <c r="AG485" s="370">
        <f>SUM(AG483:AG484)</f>
        <v>0</v>
      </c>
      <c r="AH485" s="4"/>
      <c r="AI485" s="255"/>
      <c r="AJ485" s="367"/>
      <c r="AK485" s="193"/>
      <c r="AL485" s="193"/>
      <c r="AM485" s="193"/>
      <c r="AN485" s="510">
        <f>SUM(AN482:AN484)</f>
        <v>3090</v>
      </c>
      <c r="AO485" s="193"/>
      <c r="AP485" s="193"/>
    </row>
    <row r="486" spans="1:42" s="180" customFormat="1" hidden="1">
      <c r="A486" s="313"/>
      <c r="B486" s="1268"/>
      <c r="C486" s="1268"/>
      <c r="D486" s="1268"/>
      <c r="E486" s="539"/>
      <c r="F486" s="539"/>
      <c r="G486" s="539"/>
      <c r="H486" s="1268"/>
      <c r="I486" s="1268"/>
      <c r="J486" s="539"/>
      <c r="K486" s="539"/>
      <c r="L486" s="539"/>
      <c r="M486" s="1268"/>
      <c r="N486" s="1268"/>
      <c r="O486" s="539"/>
      <c r="P486" s="539"/>
      <c r="Q486" s="539"/>
      <c r="R486" s="1268"/>
      <c r="S486" s="1268"/>
      <c r="T486" s="539"/>
      <c r="U486" s="539"/>
      <c r="V486" s="539"/>
      <c r="W486" s="1268"/>
      <c r="X486" s="1268"/>
      <c r="Y486" s="539"/>
      <c r="Z486" s="539"/>
      <c r="AA486" s="539"/>
      <c r="AB486" s="539"/>
      <c r="AC486" s="4"/>
      <c r="AH486" s="4"/>
      <c r="AI486" s="255"/>
      <c r="AK486" s="193"/>
      <c r="AL486" s="193"/>
      <c r="AM486" s="193"/>
      <c r="AN486" s="193"/>
      <c r="AO486" s="193"/>
      <c r="AP486" s="193"/>
    </row>
    <row r="487" spans="1:42" s="180" customFormat="1" hidden="1">
      <c r="A487" s="313"/>
      <c r="B487" s="1278"/>
      <c r="C487" s="1279"/>
      <c r="D487" s="1279"/>
      <c r="E487" s="1280"/>
      <c r="F487" s="1280"/>
      <c r="G487" s="1279"/>
      <c r="H487" s="1280"/>
      <c r="I487" s="1280"/>
      <c r="J487" s="1280"/>
      <c r="K487" s="1280"/>
      <c r="L487" s="1279"/>
      <c r="M487" s="1279"/>
      <c r="N487" s="1279"/>
      <c r="O487" s="1279"/>
      <c r="P487" s="1280"/>
      <c r="Q487" s="1279"/>
      <c r="R487" s="1279"/>
      <c r="S487" s="1279"/>
      <c r="T487" s="1279"/>
      <c r="U487" s="1280"/>
      <c r="V487" s="1279"/>
      <c r="W487" s="1279"/>
      <c r="X487" s="1279"/>
      <c r="Y487" s="1281"/>
      <c r="Z487" s="1280"/>
      <c r="AA487" s="1282"/>
      <c r="AB487" s="1280"/>
      <c r="AC487" s="373"/>
      <c r="AD487" s="236"/>
      <c r="AE487" s="255"/>
      <c r="AF487" s="255"/>
      <c r="AG487" s="255"/>
      <c r="AH487" s="255"/>
      <c r="AI487" s="255"/>
      <c r="AJ487" s="255"/>
      <c r="AK487" s="255"/>
      <c r="AL487" s="255"/>
      <c r="AM487" s="255"/>
      <c r="AN487" s="255"/>
      <c r="AO487" s="255"/>
      <c r="AP487" s="255"/>
    </row>
    <row r="488" spans="1:42" s="180" customFormat="1" hidden="1">
      <c r="A488" s="313"/>
      <c r="B488" s="1268"/>
      <c r="C488" s="1268"/>
      <c r="D488" s="1268"/>
      <c r="E488" s="539"/>
      <c r="F488" s="539"/>
      <c r="G488" s="539"/>
      <c r="H488" s="1268"/>
      <c r="I488" s="1268"/>
      <c r="J488" s="539"/>
      <c r="K488" s="539"/>
      <c r="L488" s="539"/>
      <c r="M488" s="1268"/>
      <c r="N488" s="1268"/>
      <c r="O488" s="539"/>
      <c r="P488" s="539"/>
      <c r="Q488" s="539"/>
      <c r="R488" s="1268"/>
      <c r="S488" s="1268"/>
      <c r="T488" s="539"/>
      <c r="U488" s="539"/>
      <c r="V488" s="539"/>
      <c r="W488" s="1268"/>
      <c r="X488" s="1268"/>
      <c r="Y488" s="539"/>
      <c r="Z488" s="539"/>
      <c r="AA488" s="539"/>
      <c r="AB488" s="539"/>
      <c r="AC488" s="4"/>
      <c r="AH488" s="4"/>
      <c r="AI488" s="255"/>
      <c r="AK488" s="193"/>
      <c r="AL488" s="193"/>
      <c r="AM488" s="193"/>
      <c r="AN488" s="193"/>
      <c r="AO488" s="193"/>
      <c r="AP488" s="193"/>
    </row>
    <row r="489" spans="1:42" s="180" customFormat="1" ht="13.5" hidden="1" customHeight="1">
      <c r="A489" s="313"/>
      <c r="B489" s="1555" t="s">
        <v>18</v>
      </c>
      <c r="C489" s="1556">
        <v>45957</v>
      </c>
      <c r="D489" s="1556"/>
      <c r="E489" s="1556"/>
      <c r="F489" s="1556"/>
      <c r="G489" s="1269"/>
      <c r="H489" s="1556">
        <v>45958</v>
      </c>
      <c r="I489" s="1556"/>
      <c r="J489" s="1556"/>
      <c r="K489" s="1556"/>
      <c r="L489" s="1269"/>
      <c r="M489" s="1556">
        <v>45959</v>
      </c>
      <c r="N489" s="1556"/>
      <c r="O489" s="1556"/>
      <c r="P489" s="1556"/>
      <c r="Q489" s="1269"/>
      <c r="R489" s="1556">
        <v>45960</v>
      </c>
      <c r="S489" s="1556"/>
      <c r="T489" s="1556"/>
      <c r="U489" s="1556"/>
      <c r="V489" s="1269"/>
      <c r="W489" s="1556">
        <v>45961</v>
      </c>
      <c r="X489" s="1556"/>
      <c r="Y489" s="1556"/>
      <c r="Z489" s="1556"/>
      <c r="AA489" s="1557" t="s">
        <v>19</v>
      </c>
      <c r="AB489" s="1557" t="s">
        <v>20</v>
      </c>
      <c r="AC489" s="4"/>
      <c r="AD489" s="1519">
        <v>45962</v>
      </c>
      <c r="AE489" s="1519"/>
      <c r="AF489" s="1519"/>
      <c r="AG489" s="1517" t="s">
        <v>21</v>
      </c>
      <c r="AH489" s="4"/>
      <c r="AI489" s="368"/>
      <c r="AK489" s="194" t="s">
        <v>84</v>
      </c>
      <c r="AL489" s="366"/>
      <c r="AM489" s="366"/>
      <c r="AN489" s="366"/>
      <c r="AO489" s="366"/>
      <c r="AP489" s="366"/>
    </row>
    <row r="490" spans="1:42" s="180" customFormat="1" hidden="1">
      <c r="A490" s="313"/>
      <c r="B490" s="1555"/>
      <c r="C490" s="1270" t="s">
        <v>23</v>
      </c>
      <c r="D490" s="1270" t="s">
        <v>24</v>
      </c>
      <c r="E490" s="1271" t="s">
        <v>25</v>
      </c>
      <c r="F490" s="1272" t="s">
        <v>14</v>
      </c>
      <c r="G490" s="539"/>
      <c r="H490" s="1270" t="s">
        <v>23</v>
      </c>
      <c r="I490" s="1270" t="s">
        <v>24</v>
      </c>
      <c r="J490" s="1272" t="s">
        <v>25</v>
      </c>
      <c r="K490" s="1272" t="s">
        <v>14</v>
      </c>
      <c r="L490" s="539"/>
      <c r="M490" s="1270" t="s">
        <v>23</v>
      </c>
      <c r="N490" s="1270" t="s">
        <v>24</v>
      </c>
      <c r="O490" s="1272" t="s">
        <v>25</v>
      </c>
      <c r="P490" s="1272" t="s">
        <v>14</v>
      </c>
      <c r="Q490" s="539"/>
      <c r="R490" s="1270" t="s">
        <v>23</v>
      </c>
      <c r="S490" s="1270" t="s">
        <v>24</v>
      </c>
      <c r="T490" s="1272" t="s">
        <v>25</v>
      </c>
      <c r="U490" s="1272" t="s">
        <v>14</v>
      </c>
      <c r="V490" s="539"/>
      <c r="W490" s="1270" t="s">
        <v>23</v>
      </c>
      <c r="X490" s="1270" t="s">
        <v>24</v>
      </c>
      <c r="Y490" s="1272" t="s">
        <v>25</v>
      </c>
      <c r="Z490" s="1272" t="s">
        <v>14</v>
      </c>
      <c r="AA490" s="1557"/>
      <c r="AB490" s="1557"/>
      <c r="AC490" s="4"/>
      <c r="AD490" s="21" t="s">
        <v>23</v>
      </c>
      <c r="AE490" s="21" t="s">
        <v>24</v>
      </c>
      <c r="AF490" s="18" t="s">
        <v>25</v>
      </c>
      <c r="AG490" s="1517"/>
      <c r="AH490" s="4"/>
      <c r="AI490" s="368"/>
      <c r="AJ490" s="367"/>
      <c r="AK490" s="188" t="s">
        <v>26</v>
      </c>
      <c r="AL490" s="196">
        <f>AA493</f>
        <v>60</v>
      </c>
      <c r="AM490" s="511">
        <v>51.5</v>
      </c>
      <c r="AN490" s="510">
        <f>AL490*AM490</f>
        <v>3090</v>
      </c>
      <c r="AO490" s="193"/>
      <c r="AP490" s="193"/>
    </row>
    <row r="491" spans="1:42" s="180" customFormat="1" hidden="1">
      <c r="A491" s="313"/>
      <c r="B491" s="539" t="s">
        <v>60</v>
      </c>
      <c r="C491" s="540" t="s">
        <v>75</v>
      </c>
      <c r="D491" s="540" t="s">
        <v>246</v>
      </c>
      <c r="E491" s="1273">
        <v>8</v>
      </c>
      <c r="F491" s="538"/>
      <c r="G491" s="539"/>
      <c r="H491" s="540" t="s">
        <v>75</v>
      </c>
      <c r="I491" s="540" t="s">
        <v>246</v>
      </c>
      <c r="J491" s="1273">
        <v>8</v>
      </c>
      <c r="K491" s="538"/>
      <c r="L491" s="539"/>
      <c r="M491" s="540" t="s">
        <v>137</v>
      </c>
      <c r="N491" s="540" t="s">
        <v>137</v>
      </c>
      <c r="O491" s="1273">
        <v>8</v>
      </c>
      <c r="P491" s="538"/>
      <c r="Q491" s="539"/>
      <c r="R491" s="540" t="s">
        <v>137</v>
      </c>
      <c r="S491" s="540" t="s">
        <v>137</v>
      </c>
      <c r="T491" s="1273">
        <v>8</v>
      </c>
      <c r="U491" s="538"/>
      <c r="V491" s="539"/>
      <c r="W491" s="540" t="s">
        <v>137</v>
      </c>
      <c r="X491" s="540" t="s">
        <v>137</v>
      </c>
      <c r="Y491" s="1273">
        <v>8</v>
      </c>
      <c r="Z491" s="538"/>
      <c r="AA491" s="1274">
        <f>Y491+T491+O491+J491+E491</f>
        <v>40</v>
      </c>
      <c r="AB491" s="1275">
        <f>Z491+U491+P491+K491+F491</f>
        <v>0</v>
      </c>
      <c r="AC491" s="4"/>
      <c r="AD491" s="587"/>
      <c r="AE491" s="531"/>
      <c r="AF491" s="319"/>
      <c r="AG491" s="328">
        <f>AF491</f>
        <v>0</v>
      </c>
      <c r="AH491" s="4"/>
      <c r="AI491" s="368"/>
      <c r="AJ491" s="367"/>
      <c r="AK491" s="188" t="s">
        <v>30</v>
      </c>
      <c r="AL491" s="196">
        <f>AB493</f>
        <v>0</v>
      </c>
      <c r="AM491" s="511">
        <f>AM490*1.5</f>
        <v>77.25</v>
      </c>
      <c r="AN491" s="510">
        <f>AL491*AM491</f>
        <v>0</v>
      </c>
      <c r="AO491" s="193"/>
      <c r="AP491" s="193"/>
    </row>
    <row r="492" spans="1:42" s="180" customFormat="1" hidden="1">
      <c r="A492" s="313"/>
      <c r="B492" s="539" t="s">
        <v>59</v>
      </c>
      <c r="C492" s="540" t="s">
        <v>222</v>
      </c>
      <c r="D492" s="540" t="s">
        <v>125</v>
      </c>
      <c r="E492" s="1273">
        <v>4</v>
      </c>
      <c r="F492" s="538"/>
      <c r="G492" s="539"/>
      <c r="H492" s="540" t="s">
        <v>222</v>
      </c>
      <c r="I492" s="540" t="s">
        <v>125</v>
      </c>
      <c r="J492" s="1273">
        <v>4</v>
      </c>
      <c r="K492" s="538"/>
      <c r="L492" s="539"/>
      <c r="M492" s="540" t="s">
        <v>222</v>
      </c>
      <c r="N492" s="540" t="s">
        <v>125</v>
      </c>
      <c r="O492" s="1273">
        <v>4</v>
      </c>
      <c r="P492" s="538"/>
      <c r="Q492" s="539"/>
      <c r="R492" s="540" t="s">
        <v>222</v>
      </c>
      <c r="S492" s="540" t="s">
        <v>125</v>
      </c>
      <c r="T492" s="1273">
        <v>4</v>
      </c>
      <c r="U492" s="538"/>
      <c r="V492" s="539"/>
      <c r="W492" s="540" t="s">
        <v>222</v>
      </c>
      <c r="X492" s="540" t="s">
        <v>125</v>
      </c>
      <c r="Y492" s="1273">
        <v>4</v>
      </c>
      <c r="Z492" s="538"/>
      <c r="AA492" s="1274">
        <f>Y492+T492+O492+J492+E492</f>
        <v>20</v>
      </c>
      <c r="AB492" s="1275">
        <f>Z492+U492+P492+K492+F492</f>
        <v>0</v>
      </c>
      <c r="AC492" s="4"/>
      <c r="AF492" s="319"/>
      <c r="AG492" s="328">
        <f>AF492</f>
        <v>0</v>
      </c>
      <c r="AH492" s="175"/>
      <c r="AI492" s="402"/>
      <c r="AJ492" s="367"/>
      <c r="AK492" s="188" t="s">
        <v>32</v>
      </c>
      <c r="AL492" s="196">
        <f>AG493</f>
        <v>0</v>
      </c>
      <c r="AM492" s="511">
        <v>75.77</v>
      </c>
      <c r="AN492" s="510">
        <f>AL492*AM492</f>
        <v>0</v>
      </c>
      <c r="AO492" s="193"/>
      <c r="AP492" s="193"/>
    </row>
    <row r="493" spans="1:42" s="180" customFormat="1" hidden="1">
      <c r="A493" s="313"/>
      <c r="B493" s="1276" t="s">
        <v>61</v>
      </c>
      <c r="C493" s="1276"/>
      <c r="D493" s="1276"/>
      <c r="E493" s="1277">
        <f>SUM(E491:E492)</f>
        <v>12</v>
      </c>
      <c r="F493" s="538">
        <f>SUM(F491:F492)</f>
        <v>0</v>
      </c>
      <c r="G493" s="1276"/>
      <c r="H493" s="1276"/>
      <c r="I493" s="1276"/>
      <c r="J493" s="1277">
        <f>SUM(J491:J492)</f>
        <v>12</v>
      </c>
      <c r="K493" s="538">
        <f>SUM(K491:K492)</f>
        <v>0</v>
      </c>
      <c r="L493" s="1276"/>
      <c r="M493" s="1276"/>
      <c r="N493" s="1276"/>
      <c r="O493" s="1277">
        <f>SUM(O491:O492)</f>
        <v>12</v>
      </c>
      <c r="P493" s="538">
        <f>SUM(P491:P492)</f>
        <v>0</v>
      </c>
      <c r="Q493" s="1276"/>
      <c r="R493" s="1276"/>
      <c r="S493" s="1276"/>
      <c r="T493" s="1277">
        <f>SUM(T491:T492)</f>
        <v>12</v>
      </c>
      <c r="U493" s="538">
        <f>SUM(U491:U492)</f>
        <v>0</v>
      </c>
      <c r="V493" s="1276"/>
      <c r="W493" s="1276"/>
      <c r="X493" s="1276"/>
      <c r="Y493" s="1277">
        <f>SUM(Y491:Y492)</f>
        <v>12</v>
      </c>
      <c r="Z493" s="538">
        <f>SUM(Z491:Z492)</f>
        <v>0</v>
      </c>
      <c r="AA493" s="1274">
        <f>SUM(AA491:AA492)</f>
        <v>60</v>
      </c>
      <c r="AB493" s="1274">
        <f>SUM(AB491:AB492)</f>
        <v>0</v>
      </c>
      <c r="AC493" s="4"/>
      <c r="AD493" s="64"/>
      <c r="AE493" s="64"/>
      <c r="AF493" s="370">
        <f>SUM(AF491:AF492)</f>
        <v>0</v>
      </c>
      <c r="AG493" s="370">
        <f>SUM(AG491:AG492)</f>
        <v>0</v>
      </c>
      <c r="AH493" s="4"/>
      <c r="AI493" s="255"/>
      <c r="AJ493" s="367"/>
      <c r="AK493" s="193"/>
      <c r="AL493" s="193"/>
      <c r="AM493" s="193"/>
      <c r="AN493" s="510">
        <f>SUM(AN490:AN492)</f>
        <v>3090</v>
      </c>
      <c r="AO493" s="193"/>
      <c r="AP493" s="193"/>
    </row>
    <row r="494" spans="1:42" s="180" customFormat="1" hidden="1">
      <c r="A494" s="313"/>
      <c r="B494" s="1268"/>
      <c r="C494" s="1268"/>
      <c r="D494" s="1268"/>
      <c r="E494" s="539"/>
      <c r="F494" s="539"/>
      <c r="G494" s="539"/>
      <c r="H494" s="1268"/>
      <c r="I494" s="1268"/>
      <c r="J494" s="539"/>
      <c r="K494" s="539"/>
      <c r="L494" s="539"/>
      <c r="M494" s="1268"/>
      <c r="N494" s="1268"/>
      <c r="O494" s="539"/>
      <c r="P494" s="539"/>
      <c r="Q494" s="539"/>
      <c r="R494" s="1268"/>
      <c r="S494" s="1268"/>
      <c r="T494" s="539"/>
      <c r="U494" s="539"/>
      <c r="V494" s="539"/>
      <c r="W494" s="1268"/>
      <c r="X494" s="1268"/>
      <c r="Y494" s="539"/>
      <c r="Z494" s="539"/>
      <c r="AA494" s="539"/>
      <c r="AB494" s="539"/>
      <c r="AC494" s="4"/>
      <c r="AH494" s="4"/>
      <c r="AI494" s="255"/>
      <c r="AK494" s="193"/>
      <c r="AL494" s="193"/>
      <c r="AM494" s="193"/>
      <c r="AN494" s="193"/>
      <c r="AO494" s="193"/>
      <c r="AP494" s="193"/>
    </row>
    <row r="495" spans="1:42" s="180" customFormat="1" hidden="1">
      <c r="A495" s="313"/>
      <c r="B495" s="1278"/>
      <c r="C495" s="1279"/>
      <c r="D495" s="1279"/>
      <c r="E495" s="1280"/>
      <c r="F495" s="1280"/>
      <c r="G495" s="1279"/>
      <c r="H495" s="1280"/>
      <c r="I495" s="1280"/>
      <c r="J495" s="1280"/>
      <c r="K495" s="1280"/>
      <c r="L495" s="1279"/>
      <c r="M495" s="1279"/>
      <c r="N495" s="1279"/>
      <c r="O495" s="1279"/>
      <c r="P495" s="1280"/>
      <c r="Q495" s="1279"/>
      <c r="R495" s="1279"/>
      <c r="S495" s="1279"/>
      <c r="T495" s="1279"/>
      <c r="U495" s="1280"/>
      <c r="V495" s="1279"/>
      <c r="W495" s="1279"/>
      <c r="X495" s="1279"/>
      <c r="Y495" s="1281"/>
      <c r="Z495" s="1280"/>
      <c r="AA495" s="1282"/>
      <c r="AB495" s="1280"/>
      <c r="AC495" s="373"/>
      <c r="AD495" s="236"/>
      <c r="AE495" s="255"/>
      <c r="AF495" s="255"/>
      <c r="AG495" s="255"/>
      <c r="AH495" s="255"/>
      <c r="AI495" s="255"/>
      <c r="AJ495" s="255"/>
      <c r="AK495" s="255"/>
      <c r="AL495" s="255"/>
      <c r="AM495" s="255"/>
      <c r="AN495" s="255"/>
      <c r="AO495" s="255"/>
      <c r="AP495" s="255"/>
    </row>
    <row r="496" spans="1:42" s="180" customFormat="1" hidden="1">
      <c r="A496" s="313"/>
      <c r="B496" s="1268"/>
      <c r="C496" s="1268"/>
      <c r="D496" s="1268"/>
      <c r="E496" s="539"/>
      <c r="F496" s="539"/>
      <c r="G496" s="539"/>
      <c r="H496" s="1268"/>
      <c r="I496" s="1268"/>
      <c r="J496" s="539"/>
      <c r="K496" s="539"/>
      <c r="L496" s="539"/>
      <c r="M496" s="1268"/>
      <c r="N496" s="1268"/>
      <c r="O496" s="539"/>
      <c r="P496" s="539"/>
      <c r="Q496" s="539"/>
      <c r="R496" s="1268"/>
      <c r="S496" s="1268"/>
      <c r="T496" s="539"/>
      <c r="U496" s="539"/>
      <c r="V496" s="539"/>
      <c r="W496" s="1268"/>
      <c r="X496" s="1268"/>
      <c r="Y496" s="539"/>
      <c r="Z496" s="539"/>
      <c r="AA496" s="539"/>
      <c r="AB496" s="539"/>
      <c r="AC496" s="4"/>
      <c r="AH496" s="4"/>
      <c r="AI496" s="255"/>
      <c r="AK496" s="193"/>
      <c r="AL496" s="193"/>
      <c r="AM496" s="193"/>
      <c r="AN496" s="193"/>
      <c r="AO496" s="193"/>
      <c r="AP496" s="193"/>
    </row>
    <row r="497" spans="1:42" s="180" customFormat="1" ht="13.5" hidden="1" customHeight="1">
      <c r="A497" s="313"/>
      <c r="B497" s="1555" t="s">
        <v>18</v>
      </c>
      <c r="C497" s="1556">
        <v>45964</v>
      </c>
      <c r="D497" s="1556"/>
      <c r="E497" s="1556"/>
      <c r="F497" s="1556"/>
      <c r="G497" s="1269"/>
      <c r="H497" s="1556">
        <v>45965</v>
      </c>
      <c r="I497" s="1556"/>
      <c r="J497" s="1556"/>
      <c r="K497" s="1556"/>
      <c r="L497" s="1269"/>
      <c r="M497" s="1556">
        <v>45966</v>
      </c>
      <c r="N497" s="1556"/>
      <c r="O497" s="1556"/>
      <c r="P497" s="1556"/>
      <c r="Q497" s="1269"/>
      <c r="R497" s="1556">
        <v>45967</v>
      </c>
      <c r="S497" s="1556"/>
      <c r="T497" s="1556"/>
      <c r="U497" s="1556"/>
      <c r="V497" s="1269"/>
      <c r="W497" s="1556">
        <v>45968</v>
      </c>
      <c r="X497" s="1556"/>
      <c r="Y497" s="1556"/>
      <c r="Z497" s="1556"/>
      <c r="AA497" s="1557" t="s">
        <v>19</v>
      </c>
      <c r="AB497" s="1557" t="s">
        <v>20</v>
      </c>
      <c r="AC497" s="4"/>
      <c r="AD497" s="1519">
        <v>45969</v>
      </c>
      <c r="AE497" s="1519"/>
      <c r="AF497" s="1519"/>
      <c r="AG497" s="1517" t="s">
        <v>21</v>
      </c>
      <c r="AH497" s="4"/>
      <c r="AI497" s="368"/>
      <c r="AK497" s="194" t="s">
        <v>84</v>
      </c>
      <c r="AL497" s="366"/>
      <c r="AM497" s="366"/>
      <c r="AN497" s="366"/>
      <c r="AO497" s="366"/>
      <c r="AP497" s="366"/>
    </row>
    <row r="498" spans="1:42" s="180" customFormat="1" hidden="1">
      <c r="A498" s="313"/>
      <c r="B498" s="1555"/>
      <c r="C498" s="1270" t="s">
        <v>23</v>
      </c>
      <c r="D498" s="1270" t="s">
        <v>24</v>
      </c>
      <c r="E498" s="1271" t="s">
        <v>25</v>
      </c>
      <c r="F498" s="1272" t="s">
        <v>14</v>
      </c>
      <c r="G498" s="539"/>
      <c r="H498" s="1270" t="s">
        <v>23</v>
      </c>
      <c r="I498" s="1270" t="s">
        <v>24</v>
      </c>
      <c r="J498" s="1272" t="s">
        <v>25</v>
      </c>
      <c r="K498" s="1272" t="s">
        <v>14</v>
      </c>
      <c r="L498" s="539"/>
      <c r="M498" s="1270" t="s">
        <v>23</v>
      </c>
      <c r="N498" s="1270" t="s">
        <v>24</v>
      </c>
      <c r="O498" s="1272" t="s">
        <v>25</v>
      </c>
      <c r="P498" s="1272" t="s">
        <v>14</v>
      </c>
      <c r="Q498" s="539"/>
      <c r="R498" s="1270" t="s">
        <v>23</v>
      </c>
      <c r="S498" s="1270" t="s">
        <v>24</v>
      </c>
      <c r="T498" s="1272" t="s">
        <v>25</v>
      </c>
      <c r="U498" s="1272" t="s">
        <v>14</v>
      </c>
      <c r="V498" s="539"/>
      <c r="W498" s="1270" t="s">
        <v>23</v>
      </c>
      <c r="X498" s="1270" t="s">
        <v>24</v>
      </c>
      <c r="Y498" s="1272" t="s">
        <v>25</v>
      </c>
      <c r="Z498" s="1272" t="s">
        <v>14</v>
      </c>
      <c r="AA498" s="1557"/>
      <c r="AB498" s="1557"/>
      <c r="AC498" s="4"/>
      <c r="AD498" s="21" t="s">
        <v>23</v>
      </c>
      <c r="AE498" s="21" t="s">
        <v>24</v>
      </c>
      <c r="AF498" s="18" t="s">
        <v>25</v>
      </c>
      <c r="AG498" s="1517"/>
      <c r="AH498" s="4"/>
      <c r="AI498" s="368"/>
      <c r="AJ498" s="367"/>
      <c r="AK498" s="188" t="s">
        <v>26</v>
      </c>
      <c r="AL498" s="196">
        <f>AA501</f>
        <v>56</v>
      </c>
      <c r="AM498" s="511">
        <v>51.5</v>
      </c>
      <c r="AN498" s="510">
        <f>AL498*AM498</f>
        <v>2884</v>
      </c>
      <c r="AO498" s="193"/>
      <c r="AP498" s="193"/>
    </row>
    <row r="499" spans="1:42" s="180" customFormat="1" hidden="1">
      <c r="A499" s="313"/>
      <c r="B499" s="539" t="s">
        <v>60</v>
      </c>
      <c r="C499" s="540" t="s">
        <v>75</v>
      </c>
      <c r="D499" s="540" t="s">
        <v>246</v>
      </c>
      <c r="E499" s="1273">
        <v>8</v>
      </c>
      <c r="F499" s="538"/>
      <c r="G499" s="539"/>
      <c r="H499" s="540" t="s">
        <v>75</v>
      </c>
      <c r="I499" s="540" t="s">
        <v>246</v>
      </c>
      <c r="J499" s="1273">
        <v>8</v>
      </c>
      <c r="K499" s="538"/>
      <c r="L499" s="539"/>
      <c r="M499" s="540" t="s">
        <v>75</v>
      </c>
      <c r="N499" s="540" t="s">
        <v>246</v>
      </c>
      <c r="O499" s="1273">
        <v>8</v>
      </c>
      <c r="P499" s="538"/>
      <c r="Q499" s="539"/>
      <c r="R499" s="540" t="s">
        <v>75</v>
      </c>
      <c r="S499" s="540" t="s">
        <v>246</v>
      </c>
      <c r="T499" s="1273">
        <v>8</v>
      </c>
      <c r="U499" s="538"/>
      <c r="V499" s="539"/>
      <c r="W499" s="540" t="s">
        <v>75</v>
      </c>
      <c r="X499" s="540" t="s">
        <v>246</v>
      </c>
      <c r="Y499" s="1273">
        <v>8</v>
      </c>
      <c r="Z499" s="538"/>
      <c r="AA499" s="1274">
        <f>Y499+T499+O499+J499+E499</f>
        <v>40</v>
      </c>
      <c r="AB499" s="1275">
        <f>Z499+U499+P499+K499+F499</f>
        <v>0</v>
      </c>
      <c r="AC499" s="4"/>
      <c r="AD499" s="587"/>
      <c r="AE499" s="531"/>
      <c r="AF499" s="319"/>
      <c r="AG499" s="328">
        <f>AF499</f>
        <v>0</v>
      </c>
      <c r="AH499" s="4"/>
      <c r="AI499" s="368"/>
      <c r="AJ499" s="367"/>
      <c r="AK499" s="188" t="s">
        <v>30</v>
      </c>
      <c r="AL499" s="196">
        <f>AB501</f>
        <v>0</v>
      </c>
      <c r="AM499" s="511">
        <f>AM498*1.5</f>
        <v>77.25</v>
      </c>
      <c r="AN499" s="510">
        <f>AL499*AM499</f>
        <v>0</v>
      </c>
      <c r="AO499" s="193"/>
      <c r="AP499" s="193"/>
    </row>
    <row r="500" spans="1:42" s="180" customFormat="1" hidden="1">
      <c r="A500" s="313"/>
      <c r="B500" s="539" t="s">
        <v>59</v>
      </c>
      <c r="C500" s="540" t="s">
        <v>222</v>
      </c>
      <c r="D500" s="540" t="s">
        <v>125</v>
      </c>
      <c r="E500" s="1273">
        <v>4</v>
      </c>
      <c r="F500" s="538"/>
      <c r="G500" s="539"/>
      <c r="H500" s="540" t="s">
        <v>24</v>
      </c>
      <c r="I500" s="540"/>
      <c r="J500" s="1273"/>
      <c r="K500" s="538"/>
      <c r="L500" s="539"/>
      <c r="M500" s="540" t="s">
        <v>222</v>
      </c>
      <c r="N500" s="540" t="s">
        <v>125</v>
      </c>
      <c r="O500" s="1273">
        <v>4</v>
      </c>
      <c r="P500" s="538"/>
      <c r="Q500" s="539"/>
      <c r="R500" s="540" t="s">
        <v>222</v>
      </c>
      <c r="S500" s="540" t="s">
        <v>125</v>
      </c>
      <c r="T500" s="1273">
        <v>4</v>
      </c>
      <c r="U500" s="538"/>
      <c r="V500" s="539"/>
      <c r="W500" s="540" t="s">
        <v>222</v>
      </c>
      <c r="X500" s="540" t="s">
        <v>125</v>
      </c>
      <c r="Y500" s="1273">
        <v>4</v>
      </c>
      <c r="Z500" s="538"/>
      <c r="AA500" s="1274">
        <f>Y500+T500+O500+J500+E500</f>
        <v>16</v>
      </c>
      <c r="AB500" s="1275">
        <f>Z500+U500+P500+K500+F500</f>
        <v>0</v>
      </c>
      <c r="AC500" s="4"/>
      <c r="AF500" s="319"/>
      <c r="AG500" s="328">
        <f>AF500</f>
        <v>0</v>
      </c>
      <c r="AH500" s="175"/>
      <c r="AI500" s="402"/>
      <c r="AJ500" s="367"/>
      <c r="AK500" s="188" t="s">
        <v>32</v>
      </c>
      <c r="AL500" s="196">
        <f>AG501</f>
        <v>0</v>
      </c>
      <c r="AM500" s="511">
        <v>75.77</v>
      </c>
      <c r="AN500" s="510">
        <f>AL500*AM500</f>
        <v>0</v>
      </c>
      <c r="AO500" s="193"/>
      <c r="AP500" s="193"/>
    </row>
    <row r="501" spans="1:42" s="180" customFormat="1" hidden="1">
      <c r="A501" s="313"/>
      <c r="B501" s="1276" t="s">
        <v>61</v>
      </c>
      <c r="C501" s="1276"/>
      <c r="D501" s="1276"/>
      <c r="E501" s="1277">
        <f>SUM(E499:E500)</f>
        <v>12</v>
      </c>
      <c r="F501" s="538">
        <f>SUM(F499:F500)</f>
        <v>0</v>
      </c>
      <c r="G501" s="1276"/>
      <c r="H501" s="1276"/>
      <c r="I501" s="1276"/>
      <c r="J501" s="1277">
        <f>SUM(J499:J500)</f>
        <v>8</v>
      </c>
      <c r="K501" s="538">
        <f>SUM(K499:K500)</f>
        <v>0</v>
      </c>
      <c r="L501" s="1276"/>
      <c r="M501" s="1276"/>
      <c r="N501" s="1276"/>
      <c r="O501" s="1277">
        <f>SUM(O499:O500)</f>
        <v>12</v>
      </c>
      <c r="P501" s="538">
        <f>SUM(P499:P500)</f>
        <v>0</v>
      </c>
      <c r="Q501" s="1276"/>
      <c r="R501" s="1276"/>
      <c r="S501" s="1276"/>
      <c r="T501" s="1277">
        <f>SUM(T499:T500)</f>
        <v>12</v>
      </c>
      <c r="U501" s="538">
        <f>SUM(U499:U500)</f>
        <v>0</v>
      </c>
      <c r="V501" s="1276"/>
      <c r="W501" s="1276"/>
      <c r="X501" s="1276"/>
      <c r="Y501" s="1277">
        <f>SUM(Y499:Y500)</f>
        <v>12</v>
      </c>
      <c r="Z501" s="538">
        <f>SUM(Z499:Z500)</f>
        <v>0</v>
      </c>
      <c r="AA501" s="1274">
        <f>SUM(AA499:AA500)</f>
        <v>56</v>
      </c>
      <c r="AB501" s="1274">
        <f>SUM(AB499:AB500)</f>
        <v>0</v>
      </c>
      <c r="AC501" s="4"/>
      <c r="AD501" s="64"/>
      <c r="AE501" s="64"/>
      <c r="AF501" s="370">
        <f>SUM(AF499:AF500)</f>
        <v>0</v>
      </c>
      <c r="AG501" s="370">
        <f>SUM(AG499:AG500)</f>
        <v>0</v>
      </c>
      <c r="AH501" s="4"/>
      <c r="AI501" s="255"/>
      <c r="AJ501" s="367"/>
      <c r="AK501" s="193"/>
      <c r="AL501" s="193"/>
      <c r="AM501" s="193"/>
      <c r="AN501" s="510">
        <f>SUM(AN498:AN500)</f>
        <v>2884</v>
      </c>
      <c r="AO501" s="193"/>
      <c r="AP501" s="193"/>
    </row>
    <row r="502" spans="1:42" s="180" customFormat="1" hidden="1">
      <c r="A502" s="313"/>
      <c r="B502" s="1268"/>
      <c r="C502" s="1268"/>
      <c r="D502" s="1268"/>
      <c r="E502" s="539"/>
      <c r="F502" s="539"/>
      <c r="G502" s="539"/>
      <c r="H502" s="1268"/>
      <c r="I502" s="1268"/>
      <c r="J502" s="539"/>
      <c r="K502" s="539"/>
      <c r="L502" s="539"/>
      <c r="M502" s="1268"/>
      <c r="N502" s="1268"/>
      <c r="O502" s="539"/>
      <c r="P502" s="539"/>
      <c r="Q502" s="539"/>
      <c r="R502" s="1268"/>
      <c r="S502" s="1268"/>
      <c r="T502" s="539"/>
      <c r="U502" s="539"/>
      <c r="V502" s="539"/>
      <c r="W502" s="1268"/>
      <c r="X502" s="1268"/>
      <c r="Y502" s="539"/>
      <c r="Z502" s="539"/>
      <c r="AA502" s="539"/>
      <c r="AB502" s="539"/>
      <c r="AC502" s="4"/>
      <c r="AH502" s="4"/>
      <c r="AI502" s="255"/>
      <c r="AK502" s="193"/>
      <c r="AL502" s="193"/>
      <c r="AM502" s="193"/>
      <c r="AN502" s="193"/>
      <c r="AO502" s="193"/>
      <c r="AP502" s="193"/>
    </row>
    <row r="503" spans="1:42" s="180" customFormat="1" hidden="1">
      <c r="A503" s="313"/>
      <c r="B503" s="1278"/>
      <c r="C503" s="1279"/>
      <c r="D503" s="1279"/>
      <c r="E503" s="1280"/>
      <c r="F503" s="1280"/>
      <c r="G503" s="1279"/>
      <c r="H503" s="1280"/>
      <c r="I503" s="1280"/>
      <c r="J503" s="1280"/>
      <c r="K503" s="1280"/>
      <c r="L503" s="1279"/>
      <c r="M503" s="1279"/>
      <c r="N503" s="1279"/>
      <c r="O503" s="1279"/>
      <c r="P503" s="1280"/>
      <c r="Q503" s="1279"/>
      <c r="R503" s="1279"/>
      <c r="S503" s="1279"/>
      <c r="T503" s="1279"/>
      <c r="U503" s="1280"/>
      <c r="V503" s="1279"/>
      <c r="W503" s="1279"/>
      <c r="X503" s="1279"/>
      <c r="Y503" s="1281"/>
      <c r="Z503" s="1280"/>
      <c r="AA503" s="1282"/>
      <c r="AB503" s="1280"/>
      <c r="AC503" s="373"/>
      <c r="AD503" s="236"/>
      <c r="AE503" s="255"/>
      <c r="AF503" s="255"/>
      <c r="AG503" s="255"/>
      <c r="AH503" s="255"/>
      <c r="AI503" s="255"/>
      <c r="AJ503" s="255"/>
      <c r="AK503" s="255"/>
      <c r="AL503" s="255"/>
      <c r="AM503" s="255"/>
      <c r="AN503" s="255"/>
      <c r="AO503" s="255"/>
      <c r="AP503" s="255"/>
    </row>
    <row r="504" spans="1:42" s="180" customFormat="1" hidden="1">
      <c r="A504" s="313"/>
      <c r="B504" s="1268"/>
      <c r="C504" s="1268"/>
      <c r="D504" s="1268"/>
      <c r="E504" s="539"/>
      <c r="F504" s="539"/>
      <c r="G504" s="539"/>
      <c r="H504" s="1268"/>
      <c r="I504" s="1268"/>
      <c r="J504" s="539"/>
      <c r="K504" s="539"/>
      <c r="L504" s="539"/>
      <c r="M504" s="1268"/>
      <c r="N504" s="1268"/>
      <c r="O504" s="539"/>
      <c r="P504" s="539"/>
      <c r="Q504" s="539"/>
      <c r="R504" s="1268"/>
      <c r="S504" s="1268"/>
      <c r="T504" s="539"/>
      <c r="U504" s="539"/>
      <c r="V504" s="539"/>
      <c r="W504" s="1268"/>
      <c r="X504" s="1268"/>
      <c r="Y504" s="539"/>
      <c r="Z504" s="539"/>
      <c r="AA504" s="539"/>
      <c r="AB504" s="539"/>
      <c r="AC504" s="4"/>
      <c r="AH504" s="4"/>
      <c r="AI504" s="255"/>
      <c r="AK504" s="193"/>
      <c r="AL504" s="193"/>
      <c r="AM504" s="193"/>
      <c r="AN504" s="193"/>
      <c r="AO504" s="193"/>
      <c r="AP504" s="193"/>
    </row>
    <row r="505" spans="1:42" s="180" customFormat="1" ht="13.5" hidden="1" customHeight="1">
      <c r="A505" s="313"/>
      <c r="B505" s="1555" t="s">
        <v>18</v>
      </c>
      <c r="C505" s="1556">
        <v>45971</v>
      </c>
      <c r="D505" s="1556"/>
      <c r="E505" s="1556"/>
      <c r="F505" s="1556"/>
      <c r="G505" s="1269"/>
      <c r="H505" s="1556">
        <v>45972</v>
      </c>
      <c r="I505" s="1556"/>
      <c r="J505" s="1556"/>
      <c r="K505" s="1556"/>
      <c r="L505" s="1269"/>
      <c r="M505" s="1556">
        <v>45973</v>
      </c>
      <c r="N505" s="1556"/>
      <c r="O505" s="1556"/>
      <c r="P505" s="1556"/>
      <c r="Q505" s="1269"/>
      <c r="R505" s="1556">
        <v>45974</v>
      </c>
      <c r="S505" s="1556"/>
      <c r="T505" s="1556"/>
      <c r="U505" s="1556"/>
      <c r="V505" s="1269"/>
      <c r="W505" s="1556">
        <v>45975</v>
      </c>
      <c r="X505" s="1556"/>
      <c r="Y505" s="1556"/>
      <c r="Z505" s="1556"/>
      <c r="AA505" s="1557" t="s">
        <v>19</v>
      </c>
      <c r="AB505" s="1557" t="s">
        <v>20</v>
      </c>
      <c r="AC505" s="4"/>
      <c r="AD505" s="1519">
        <v>45976</v>
      </c>
      <c r="AE505" s="1519"/>
      <c r="AF505" s="1519"/>
      <c r="AG505" s="1517" t="s">
        <v>21</v>
      </c>
      <c r="AH505" s="4"/>
      <c r="AI505" s="368"/>
      <c r="AK505" s="194" t="s">
        <v>84</v>
      </c>
      <c r="AL505" s="366"/>
      <c r="AM505" s="366"/>
      <c r="AN505" s="366"/>
      <c r="AO505" s="366"/>
      <c r="AP505" s="366"/>
    </row>
    <row r="506" spans="1:42" s="180" customFormat="1" hidden="1">
      <c r="A506" s="313"/>
      <c r="B506" s="1555"/>
      <c r="C506" s="1270" t="s">
        <v>23</v>
      </c>
      <c r="D506" s="1270" t="s">
        <v>24</v>
      </c>
      <c r="E506" s="1271" t="s">
        <v>25</v>
      </c>
      <c r="F506" s="1272" t="s">
        <v>14</v>
      </c>
      <c r="G506" s="539"/>
      <c r="H506" s="1270" t="s">
        <v>23</v>
      </c>
      <c r="I506" s="1270" t="s">
        <v>24</v>
      </c>
      <c r="J506" s="1272" t="s">
        <v>25</v>
      </c>
      <c r="K506" s="1272" t="s">
        <v>14</v>
      </c>
      <c r="L506" s="539"/>
      <c r="M506" s="1270" t="s">
        <v>23</v>
      </c>
      <c r="N506" s="1270" t="s">
        <v>24</v>
      </c>
      <c r="O506" s="1272" t="s">
        <v>25</v>
      </c>
      <c r="P506" s="1272" t="s">
        <v>14</v>
      </c>
      <c r="Q506" s="539"/>
      <c r="R506" s="1270" t="s">
        <v>23</v>
      </c>
      <c r="S506" s="1270" t="s">
        <v>24</v>
      </c>
      <c r="T506" s="1272" t="s">
        <v>25</v>
      </c>
      <c r="U506" s="1272" t="s">
        <v>14</v>
      </c>
      <c r="V506" s="539"/>
      <c r="W506" s="1270" t="s">
        <v>23</v>
      </c>
      <c r="X506" s="1270" t="s">
        <v>24</v>
      </c>
      <c r="Y506" s="1272" t="s">
        <v>25</v>
      </c>
      <c r="Z506" s="1272" t="s">
        <v>14</v>
      </c>
      <c r="AA506" s="1557"/>
      <c r="AB506" s="1557"/>
      <c r="AC506" s="4"/>
      <c r="AD506" s="21" t="s">
        <v>23</v>
      </c>
      <c r="AE506" s="21" t="s">
        <v>24</v>
      </c>
      <c r="AF506" s="18" t="s">
        <v>25</v>
      </c>
      <c r="AG506" s="1517"/>
      <c r="AH506" s="4"/>
      <c r="AI506" s="368"/>
      <c r="AJ506" s="367"/>
      <c r="AK506" s="188" t="s">
        <v>26</v>
      </c>
      <c r="AL506" s="196">
        <f>AA509</f>
        <v>60</v>
      </c>
      <c r="AM506" s="511">
        <v>51.5</v>
      </c>
      <c r="AN506" s="510">
        <f>AL506*AM506</f>
        <v>3090</v>
      </c>
      <c r="AO506" s="193"/>
      <c r="AP506" s="193"/>
    </row>
    <row r="507" spans="1:42" s="180" customFormat="1" hidden="1">
      <c r="A507" s="313"/>
      <c r="B507" s="539" t="s">
        <v>60</v>
      </c>
      <c r="C507" s="540" t="s">
        <v>75</v>
      </c>
      <c r="D507" s="540" t="s">
        <v>246</v>
      </c>
      <c r="E507" s="1273">
        <v>8</v>
      </c>
      <c r="F507" s="538"/>
      <c r="G507" s="539"/>
      <c r="H507" s="540" t="s">
        <v>75</v>
      </c>
      <c r="I507" s="540" t="s">
        <v>246</v>
      </c>
      <c r="J507" s="1273">
        <v>8</v>
      </c>
      <c r="K507" s="538"/>
      <c r="L507" s="539"/>
      <c r="M507" s="540" t="s">
        <v>75</v>
      </c>
      <c r="N507" s="540" t="s">
        <v>246</v>
      </c>
      <c r="O507" s="1273">
        <v>8</v>
      </c>
      <c r="P507" s="538"/>
      <c r="Q507" s="539"/>
      <c r="R507" s="540" t="s">
        <v>75</v>
      </c>
      <c r="S507" s="540" t="s">
        <v>246</v>
      </c>
      <c r="T507" s="1273">
        <v>8</v>
      </c>
      <c r="U507" s="538"/>
      <c r="V507" s="539"/>
      <c r="W507" s="540" t="s">
        <v>75</v>
      </c>
      <c r="X507" s="540" t="s">
        <v>246</v>
      </c>
      <c r="Y507" s="1273">
        <v>8</v>
      </c>
      <c r="Z507" s="538"/>
      <c r="AA507" s="1274">
        <f>Y507+T507+O507+J507+E507</f>
        <v>40</v>
      </c>
      <c r="AB507" s="1275">
        <f>Z507+U507+P507+K507+F507</f>
        <v>0</v>
      </c>
      <c r="AC507" s="4"/>
      <c r="AD507" s="587"/>
      <c r="AE507" s="531"/>
      <c r="AF507" s="319"/>
      <c r="AG507" s="328">
        <f>AF507</f>
        <v>0</v>
      </c>
      <c r="AH507" s="4"/>
      <c r="AI507" s="368"/>
      <c r="AJ507" s="367"/>
      <c r="AK507" s="188" t="s">
        <v>30</v>
      </c>
      <c r="AL507" s="196">
        <f>AB509</f>
        <v>0</v>
      </c>
      <c r="AM507" s="511">
        <f>AM506*1.5</f>
        <v>77.25</v>
      </c>
      <c r="AN507" s="510">
        <f>AL507*AM507</f>
        <v>0</v>
      </c>
      <c r="AO507" s="193"/>
      <c r="AP507" s="193"/>
    </row>
    <row r="508" spans="1:42" s="180" customFormat="1" hidden="1">
      <c r="A508" s="313"/>
      <c r="B508" s="539" t="s">
        <v>59</v>
      </c>
      <c r="C508" s="540" t="s">
        <v>222</v>
      </c>
      <c r="D508" s="540" t="s">
        <v>125</v>
      </c>
      <c r="E508" s="1273">
        <v>4</v>
      </c>
      <c r="F508" s="538"/>
      <c r="G508" s="539"/>
      <c r="H508" s="540" t="s">
        <v>222</v>
      </c>
      <c r="I508" s="540" t="s">
        <v>125</v>
      </c>
      <c r="J508" s="1273">
        <v>4</v>
      </c>
      <c r="K508" s="538"/>
      <c r="L508" s="539"/>
      <c r="M508" s="540" t="s">
        <v>222</v>
      </c>
      <c r="N508" s="540" t="s">
        <v>125</v>
      </c>
      <c r="O508" s="1273">
        <v>4</v>
      </c>
      <c r="P508" s="538"/>
      <c r="Q508" s="539"/>
      <c r="R508" s="540" t="s">
        <v>222</v>
      </c>
      <c r="S508" s="540" t="s">
        <v>125</v>
      </c>
      <c r="T508" s="1273">
        <v>4</v>
      </c>
      <c r="U508" s="538"/>
      <c r="V508" s="539"/>
      <c r="W508" s="540" t="s">
        <v>222</v>
      </c>
      <c r="X508" s="540" t="s">
        <v>125</v>
      </c>
      <c r="Y508" s="1273">
        <v>4</v>
      </c>
      <c r="Z508" s="538"/>
      <c r="AA508" s="1274">
        <f>Y508+T508+O508+J508+E508</f>
        <v>20</v>
      </c>
      <c r="AB508" s="1275">
        <f>Z508+U508+P508+K508+F508</f>
        <v>0</v>
      </c>
      <c r="AC508" s="4"/>
      <c r="AF508" s="319"/>
      <c r="AG508" s="328">
        <f>AF508</f>
        <v>0</v>
      </c>
      <c r="AH508" s="175"/>
      <c r="AI508" s="402"/>
      <c r="AJ508" s="367"/>
      <c r="AK508" s="188" t="s">
        <v>32</v>
      </c>
      <c r="AL508" s="196">
        <f>AG509</f>
        <v>0</v>
      </c>
      <c r="AM508" s="511">
        <v>75.77</v>
      </c>
      <c r="AN508" s="510">
        <f>AL508*AM508</f>
        <v>0</v>
      </c>
      <c r="AO508" s="193"/>
      <c r="AP508" s="193"/>
    </row>
    <row r="509" spans="1:42" s="180" customFormat="1" hidden="1">
      <c r="A509" s="313"/>
      <c r="B509" s="1276" t="s">
        <v>61</v>
      </c>
      <c r="C509" s="1276"/>
      <c r="D509" s="1276"/>
      <c r="E509" s="1277">
        <f>SUM(E507:E508)</f>
        <v>12</v>
      </c>
      <c r="F509" s="538">
        <f>SUM(F507:F508)</f>
        <v>0</v>
      </c>
      <c r="G509" s="1276"/>
      <c r="H509" s="1276"/>
      <c r="I509" s="1276"/>
      <c r="J509" s="1277">
        <f>SUM(J507:J508)</f>
        <v>12</v>
      </c>
      <c r="K509" s="538">
        <f>SUM(K507:K508)</f>
        <v>0</v>
      </c>
      <c r="L509" s="1276"/>
      <c r="M509" s="1276"/>
      <c r="N509" s="1276"/>
      <c r="O509" s="1277">
        <f>SUM(O507:O508)</f>
        <v>12</v>
      </c>
      <c r="P509" s="538">
        <f>SUM(P507:P508)</f>
        <v>0</v>
      </c>
      <c r="Q509" s="1276"/>
      <c r="R509" s="1276"/>
      <c r="S509" s="1276"/>
      <c r="T509" s="1277">
        <f>SUM(T507:T508)</f>
        <v>12</v>
      </c>
      <c r="U509" s="538">
        <f>SUM(U507:U508)</f>
        <v>0</v>
      </c>
      <c r="V509" s="1276"/>
      <c r="W509" s="1276"/>
      <c r="X509" s="1276"/>
      <c r="Y509" s="1277">
        <f>SUM(Y507:Y508)</f>
        <v>12</v>
      </c>
      <c r="Z509" s="538">
        <f>SUM(Z507:Z508)</f>
        <v>0</v>
      </c>
      <c r="AA509" s="1274">
        <f>SUM(AA507:AA508)</f>
        <v>60</v>
      </c>
      <c r="AB509" s="1274">
        <f>SUM(AB507:AB508)</f>
        <v>0</v>
      </c>
      <c r="AC509" s="4"/>
      <c r="AD509" s="64"/>
      <c r="AE509" s="64"/>
      <c r="AF509" s="370">
        <f>SUM(AF507:AF508)</f>
        <v>0</v>
      </c>
      <c r="AG509" s="370">
        <f>SUM(AG507:AG508)</f>
        <v>0</v>
      </c>
      <c r="AH509" s="4"/>
      <c r="AI509" s="255"/>
      <c r="AJ509" s="367"/>
      <c r="AK509" s="193"/>
      <c r="AL509" s="193"/>
      <c r="AM509" s="193"/>
      <c r="AN509" s="510">
        <f>SUM(AN506:AN508)</f>
        <v>3090</v>
      </c>
      <c r="AO509" s="193"/>
      <c r="AP509" s="193"/>
    </row>
    <row r="510" spans="1:42" s="180" customFormat="1" hidden="1">
      <c r="A510" s="313"/>
      <c r="B510" s="1268"/>
      <c r="C510" s="1268"/>
      <c r="D510" s="1268"/>
      <c r="E510" s="539"/>
      <c r="F510" s="539"/>
      <c r="G510" s="539"/>
      <c r="H510" s="1268"/>
      <c r="I510" s="1268"/>
      <c r="J510" s="539"/>
      <c r="K510" s="539"/>
      <c r="L510" s="539"/>
      <c r="M510" s="1268"/>
      <c r="N510" s="1268"/>
      <c r="O510" s="539"/>
      <c r="P510" s="539"/>
      <c r="Q510" s="539"/>
      <c r="R510" s="1268"/>
      <c r="S510" s="1268"/>
      <c r="T510" s="539"/>
      <c r="U510" s="539"/>
      <c r="V510" s="539"/>
      <c r="W510" s="1268"/>
      <c r="X510" s="1268"/>
      <c r="Y510" s="539"/>
      <c r="Z510" s="539"/>
      <c r="AA510" s="539"/>
      <c r="AB510" s="539"/>
      <c r="AC510" s="4"/>
      <c r="AH510" s="4"/>
      <c r="AI510" s="255"/>
      <c r="AK510" s="193"/>
      <c r="AL510" s="193"/>
      <c r="AM510" s="193"/>
      <c r="AN510" s="193"/>
      <c r="AO510" s="193"/>
      <c r="AP510" s="193"/>
    </row>
    <row r="511" spans="1:42" s="180" customFormat="1" hidden="1">
      <c r="A511" s="313"/>
      <c r="B511" s="1278"/>
      <c r="C511" s="1279"/>
      <c r="D511" s="1279"/>
      <c r="E511" s="1280"/>
      <c r="F511" s="1280"/>
      <c r="G511" s="1279"/>
      <c r="H511" s="1280"/>
      <c r="I511" s="1280"/>
      <c r="J511" s="1280"/>
      <c r="K511" s="1280"/>
      <c r="L511" s="1279"/>
      <c r="M511" s="1279"/>
      <c r="N511" s="1279"/>
      <c r="O511" s="1279"/>
      <c r="P511" s="1280"/>
      <c r="Q511" s="1279"/>
      <c r="R511" s="1279"/>
      <c r="S511" s="1279"/>
      <c r="T511" s="1279"/>
      <c r="U511" s="1280"/>
      <c r="V511" s="1279"/>
      <c r="W511" s="1279"/>
      <c r="X511" s="1279"/>
      <c r="Y511" s="1281"/>
      <c r="Z511" s="1280"/>
      <c r="AA511" s="1282"/>
      <c r="AB511" s="1280"/>
      <c r="AC511" s="373"/>
      <c r="AD511" s="236"/>
      <c r="AE511" s="255"/>
      <c r="AF511" s="255"/>
      <c r="AG511" s="255"/>
      <c r="AH511" s="255"/>
      <c r="AI511" s="255"/>
      <c r="AJ511" s="255"/>
      <c r="AK511" s="255"/>
      <c r="AL511" s="255"/>
      <c r="AM511" s="255"/>
      <c r="AN511" s="255"/>
      <c r="AO511" s="255"/>
      <c r="AP511" s="255"/>
    </row>
    <row r="512" spans="1:42" s="180" customFormat="1" hidden="1">
      <c r="A512" s="313"/>
      <c r="B512" s="1268"/>
      <c r="C512" s="1268"/>
      <c r="D512" s="1268"/>
      <c r="E512" s="539"/>
      <c r="F512" s="539"/>
      <c r="G512" s="539"/>
      <c r="H512" s="1268"/>
      <c r="I512" s="1268"/>
      <c r="J512" s="539"/>
      <c r="K512" s="539"/>
      <c r="L512" s="539"/>
      <c r="M512" s="1268"/>
      <c r="N512" s="1268"/>
      <c r="O512" s="539"/>
      <c r="P512" s="539"/>
      <c r="Q512" s="539"/>
      <c r="R512" s="1268"/>
      <c r="S512" s="1268"/>
      <c r="T512" s="539"/>
      <c r="U512" s="539"/>
      <c r="V512" s="539"/>
      <c r="W512" s="1268"/>
      <c r="X512" s="1268"/>
      <c r="Y512" s="539"/>
      <c r="Z512" s="539"/>
      <c r="AA512" s="539"/>
      <c r="AB512" s="539"/>
      <c r="AC512" s="4"/>
      <c r="AH512" s="4"/>
      <c r="AI512" s="255"/>
      <c r="AK512" s="193"/>
      <c r="AL512" s="193"/>
      <c r="AM512" s="193"/>
      <c r="AN512" s="193"/>
      <c r="AO512" s="193"/>
      <c r="AP512" s="193"/>
    </row>
    <row r="513" spans="1:42" s="180" customFormat="1" ht="13.5" hidden="1" customHeight="1">
      <c r="A513" s="313"/>
      <c r="B513" s="1555" t="s">
        <v>18</v>
      </c>
      <c r="C513" s="1556">
        <v>45978</v>
      </c>
      <c r="D513" s="1556"/>
      <c r="E513" s="1556"/>
      <c r="F513" s="1556"/>
      <c r="G513" s="1269"/>
      <c r="H513" s="1556">
        <v>45979</v>
      </c>
      <c r="I513" s="1556"/>
      <c r="J513" s="1556"/>
      <c r="K513" s="1556"/>
      <c r="L513" s="1269"/>
      <c r="M513" s="1556">
        <v>45980</v>
      </c>
      <c r="N513" s="1556"/>
      <c r="O513" s="1556"/>
      <c r="P513" s="1556"/>
      <c r="Q513" s="1269"/>
      <c r="R513" s="1556">
        <v>45981</v>
      </c>
      <c r="S513" s="1556"/>
      <c r="T513" s="1556"/>
      <c r="U513" s="1556"/>
      <c r="V513" s="1269"/>
      <c r="W513" s="1556">
        <v>45982</v>
      </c>
      <c r="X513" s="1556"/>
      <c r="Y513" s="1556"/>
      <c r="Z513" s="1556"/>
      <c r="AA513" s="1557" t="s">
        <v>19</v>
      </c>
      <c r="AB513" s="1557" t="s">
        <v>20</v>
      </c>
      <c r="AC513" s="4"/>
      <c r="AD513" s="1519">
        <v>45983</v>
      </c>
      <c r="AE513" s="1519"/>
      <c r="AF513" s="1519"/>
      <c r="AG513" s="1517" t="s">
        <v>21</v>
      </c>
      <c r="AH513" s="4"/>
      <c r="AI513" s="368"/>
      <c r="AK513" s="194" t="s">
        <v>84</v>
      </c>
      <c r="AL513" s="366"/>
      <c r="AM513" s="366"/>
      <c r="AN513" s="366"/>
      <c r="AO513" s="366"/>
      <c r="AP513" s="366"/>
    </row>
    <row r="514" spans="1:42" s="180" customFormat="1" hidden="1">
      <c r="A514" s="313"/>
      <c r="B514" s="1555"/>
      <c r="C514" s="1270" t="s">
        <v>23</v>
      </c>
      <c r="D514" s="1270" t="s">
        <v>24</v>
      </c>
      <c r="E514" s="1271" t="s">
        <v>25</v>
      </c>
      <c r="F514" s="1272" t="s">
        <v>14</v>
      </c>
      <c r="G514" s="539"/>
      <c r="H514" s="1270" t="s">
        <v>23</v>
      </c>
      <c r="I514" s="1270" t="s">
        <v>24</v>
      </c>
      <c r="J514" s="1272" t="s">
        <v>25</v>
      </c>
      <c r="K514" s="1272" t="s">
        <v>14</v>
      </c>
      <c r="L514" s="539"/>
      <c r="M514" s="1270" t="s">
        <v>23</v>
      </c>
      <c r="N514" s="1270" t="s">
        <v>24</v>
      </c>
      <c r="O514" s="1272" t="s">
        <v>25</v>
      </c>
      <c r="P514" s="1272" t="s">
        <v>14</v>
      </c>
      <c r="Q514" s="539"/>
      <c r="R514" s="1270" t="s">
        <v>23</v>
      </c>
      <c r="S514" s="1270" t="s">
        <v>24</v>
      </c>
      <c r="T514" s="1272" t="s">
        <v>25</v>
      </c>
      <c r="U514" s="1272" t="s">
        <v>14</v>
      </c>
      <c r="V514" s="539"/>
      <c r="W514" s="1270" t="s">
        <v>23</v>
      </c>
      <c r="X514" s="1270" t="s">
        <v>24</v>
      </c>
      <c r="Y514" s="1272" t="s">
        <v>25</v>
      </c>
      <c r="Z514" s="1272" t="s">
        <v>14</v>
      </c>
      <c r="AA514" s="1557"/>
      <c r="AB514" s="1557"/>
      <c r="AC514" s="4"/>
      <c r="AD514" s="21" t="s">
        <v>23</v>
      </c>
      <c r="AE514" s="21" t="s">
        <v>24</v>
      </c>
      <c r="AF514" s="18" t="s">
        <v>25</v>
      </c>
      <c r="AG514" s="1517"/>
      <c r="AH514" s="4"/>
      <c r="AI514" s="368"/>
      <c r="AJ514" s="367"/>
      <c r="AK514" s="188" t="s">
        <v>26</v>
      </c>
      <c r="AL514" s="196">
        <f>AA517</f>
        <v>60</v>
      </c>
      <c r="AM514" s="511">
        <v>51.5</v>
      </c>
      <c r="AN514" s="510">
        <f>AL514*AM514</f>
        <v>3090</v>
      </c>
      <c r="AO514" s="193"/>
      <c r="AP514" s="193"/>
    </row>
    <row r="515" spans="1:42" s="180" customFormat="1" hidden="1">
      <c r="A515" s="313"/>
      <c r="B515" s="539" t="s">
        <v>60</v>
      </c>
      <c r="C515" s="540" t="s">
        <v>75</v>
      </c>
      <c r="D515" s="540" t="s">
        <v>246</v>
      </c>
      <c r="E515" s="1273">
        <v>8</v>
      </c>
      <c r="F515" s="538"/>
      <c r="G515" s="539"/>
      <c r="H515" s="540" t="s">
        <v>75</v>
      </c>
      <c r="I515" s="540" t="s">
        <v>246</v>
      </c>
      <c r="J515" s="1273">
        <v>8</v>
      </c>
      <c r="K515" s="538"/>
      <c r="L515" s="539"/>
      <c r="M515" s="540" t="s">
        <v>75</v>
      </c>
      <c r="N515" s="540" t="s">
        <v>246</v>
      </c>
      <c r="O515" s="1273">
        <v>8</v>
      </c>
      <c r="P515" s="538"/>
      <c r="Q515" s="539"/>
      <c r="R515" s="540" t="s">
        <v>75</v>
      </c>
      <c r="S515" s="540" t="s">
        <v>246</v>
      </c>
      <c r="T515" s="1273">
        <v>8</v>
      </c>
      <c r="U515" s="538"/>
      <c r="V515" s="539"/>
      <c r="W515" s="540" t="s">
        <v>75</v>
      </c>
      <c r="X515" s="540" t="s">
        <v>246</v>
      </c>
      <c r="Y515" s="1273">
        <v>8</v>
      </c>
      <c r="Z515" s="538"/>
      <c r="AA515" s="1274">
        <f>Y515+T515+O515+J515+E515</f>
        <v>40</v>
      </c>
      <c r="AB515" s="1275">
        <f>Z515+U515+P515+K515+F515</f>
        <v>0</v>
      </c>
      <c r="AC515" s="4"/>
      <c r="AD515" s="587"/>
      <c r="AE515" s="531"/>
      <c r="AF515" s="319"/>
      <c r="AG515" s="328">
        <f>AF515</f>
        <v>0</v>
      </c>
      <c r="AH515" s="4"/>
      <c r="AI515" s="368"/>
      <c r="AJ515" s="367"/>
      <c r="AK515" s="188" t="s">
        <v>30</v>
      </c>
      <c r="AL515" s="196">
        <f>AB517</f>
        <v>0</v>
      </c>
      <c r="AM515" s="511">
        <f>AM514*1.5</f>
        <v>77.25</v>
      </c>
      <c r="AN515" s="510">
        <f>AL515*AM515</f>
        <v>0</v>
      </c>
      <c r="AO515" s="193"/>
      <c r="AP515" s="193"/>
    </row>
    <row r="516" spans="1:42" s="180" customFormat="1" hidden="1">
      <c r="A516" s="313"/>
      <c r="B516" s="539" t="s">
        <v>59</v>
      </c>
      <c r="C516" s="540" t="s">
        <v>222</v>
      </c>
      <c r="D516" s="540" t="s">
        <v>125</v>
      </c>
      <c r="E516" s="1273">
        <v>4</v>
      </c>
      <c r="F516" s="538"/>
      <c r="G516" s="539"/>
      <c r="H516" s="540" t="s">
        <v>222</v>
      </c>
      <c r="I516" s="540" t="s">
        <v>125</v>
      </c>
      <c r="J516" s="1273">
        <v>4</v>
      </c>
      <c r="K516" s="538"/>
      <c r="L516" s="539"/>
      <c r="M516" s="540" t="s">
        <v>222</v>
      </c>
      <c r="N516" s="540" t="s">
        <v>125</v>
      </c>
      <c r="O516" s="1273">
        <v>4</v>
      </c>
      <c r="P516" s="538"/>
      <c r="Q516" s="539"/>
      <c r="R516" s="540" t="s">
        <v>222</v>
      </c>
      <c r="S516" s="540" t="s">
        <v>125</v>
      </c>
      <c r="T516" s="1273">
        <v>4</v>
      </c>
      <c r="U516" s="538"/>
      <c r="V516" s="539"/>
      <c r="W516" s="540" t="s">
        <v>222</v>
      </c>
      <c r="X516" s="540" t="s">
        <v>125</v>
      </c>
      <c r="Y516" s="1273">
        <v>4</v>
      </c>
      <c r="Z516" s="538"/>
      <c r="AA516" s="1274">
        <f>Y516+T516+O516+J516+E516</f>
        <v>20</v>
      </c>
      <c r="AB516" s="1275">
        <f>Z516+U516+P516+K516+F516</f>
        <v>0</v>
      </c>
      <c r="AC516" s="4"/>
      <c r="AF516" s="319"/>
      <c r="AG516" s="328">
        <f>AF516</f>
        <v>0</v>
      </c>
      <c r="AH516" s="175"/>
      <c r="AI516" s="402"/>
      <c r="AJ516" s="367"/>
      <c r="AK516" s="188" t="s">
        <v>32</v>
      </c>
      <c r="AL516" s="196">
        <f>AG517</f>
        <v>0</v>
      </c>
      <c r="AM516" s="511">
        <v>75.77</v>
      </c>
      <c r="AN516" s="510">
        <f>AL516*AM516</f>
        <v>0</v>
      </c>
      <c r="AO516" s="193"/>
      <c r="AP516" s="193"/>
    </row>
    <row r="517" spans="1:42" s="180" customFormat="1" hidden="1">
      <c r="A517" s="313"/>
      <c r="B517" s="1276" t="s">
        <v>61</v>
      </c>
      <c r="C517" s="1276"/>
      <c r="D517" s="1276"/>
      <c r="E517" s="1277">
        <f>SUM(E515:E516)</f>
        <v>12</v>
      </c>
      <c r="F517" s="538">
        <f>SUM(F515:F516)</f>
        <v>0</v>
      </c>
      <c r="G517" s="1276"/>
      <c r="H517" s="1276"/>
      <c r="I517" s="1276"/>
      <c r="J517" s="1277">
        <f>SUM(J515:J516)</f>
        <v>12</v>
      </c>
      <c r="K517" s="538">
        <f>SUM(K515:K516)</f>
        <v>0</v>
      </c>
      <c r="L517" s="1276"/>
      <c r="M517" s="1276"/>
      <c r="N517" s="1276"/>
      <c r="O517" s="1277">
        <f>SUM(O515:O516)</f>
        <v>12</v>
      </c>
      <c r="P517" s="538">
        <f>SUM(P515:P516)</f>
        <v>0</v>
      </c>
      <c r="Q517" s="1276"/>
      <c r="R517" s="1276"/>
      <c r="S517" s="1276"/>
      <c r="T517" s="1277">
        <f>SUM(T515:T516)</f>
        <v>12</v>
      </c>
      <c r="U517" s="538">
        <f>SUM(U515:U516)</f>
        <v>0</v>
      </c>
      <c r="V517" s="1276"/>
      <c r="W517" s="1276"/>
      <c r="X517" s="1276"/>
      <c r="Y517" s="1277">
        <f>SUM(Y515:Y516)</f>
        <v>12</v>
      </c>
      <c r="Z517" s="538">
        <f>SUM(Z515:Z516)</f>
        <v>0</v>
      </c>
      <c r="AA517" s="1274">
        <f>SUM(AA515:AA516)</f>
        <v>60</v>
      </c>
      <c r="AB517" s="1274">
        <f>SUM(AB515:AB516)</f>
        <v>0</v>
      </c>
      <c r="AC517" s="4"/>
      <c r="AD517" s="64"/>
      <c r="AE517" s="64"/>
      <c r="AF517" s="370">
        <f>SUM(AF515:AF516)</f>
        <v>0</v>
      </c>
      <c r="AG517" s="370">
        <f>SUM(AG515:AG516)</f>
        <v>0</v>
      </c>
      <c r="AH517" s="4"/>
      <c r="AI517" s="255"/>
      <c r="AJ517" s="367"/>
      <c r="AK517" s="193"/>
      <c r="AL517" s="193"/>
      <c r="AM517" s="193"/>
      <c r="AN517" s="510">
        <f>SUM(AN514:AN516)</f>
        <v>3090</v>
      </c>
      <c r="AO517" s="193"/>
      <c r="AP517" s="193"/>
    </row>
    <row r="518" spans="1:42" s="180" customFormat="1" hidden="1">
      <c r="A518" s="313"/>
      <c r="B518" s="1268"/>
      <c r="C518" s="1268"/>
      <c r="D518" s="1268"/>
      <c r="E518" s="539"/>
      <c r="F518" s="539"/>
      <c r="G518" s="539"/>
      <c r="H518" s="1268"/>
      <c r="I518" s="1268"/>
      <c r="J518" s="539"/>
      <c r="K518" s="539"/>
      <c r="L518" s="539"/>
      <c r="M518" s="1268"/>
      <c r="N518" s="1268"/>
      <c r="O518" s="539"/>
      <c r="P518" s="539"/>
      <c r="Q518" s="539"/>
      <c r="R518" s="1268"/>
      <c r="S518" s="1268"/>
      <c r="T518" s="539"/>
      <c r="U518" s="539"/>
      <c r="V518" s="539"/>
      <c r="W518" s="1268"/>
      <c r="X518" s="1268"/>
      <c r="Y518" s="539"/>
      <c r="Z518" s="539"/>
      <c r="AA518" s="539"/>
      <c r="AB518" s="539"/>
      <c r="AC518" s="4"/>
      <c r="AH518" s="4"/>
      <c r="AI518" s="255"/>
      <c r="AK518" s="193"/>
      <c r="AL518" s="193"/>
      <c r="AM518" s="193"/>
      <c r="AN518" s="193"/>
      <c r="AO518" s="193"/>
      <c r="AP518" s="193"/>
    </row>
    <row r="519" spans="1:42" s="180" customFormat="1" hidden="1">
      <c r="A519" s="313"/>
      <c r="B519" s="1278"/>
      <c r="C519" s="1279"/>
      <c r="D519" s="1279"/>
      <c r="E519" s="1280"/>
      <c r="F519" s="1280"/>
      <c r="G519" s="1279"/>
      <c r="H519" s="1280"/>
      <c r="I519" s="1280"/>
      <c r="J519" s="1280"/>
      <c r="K519" s="1280"/>
      <c r="L519" s="1279"/>
      <c r="M519" s="1279"/>
      <c r="N519" s="1279"/>
      <c r="O519" s="1279"/>
      <c r="P519" s="1280"/>
      <c r="Q519" s="1279"/>
      <c r="R519" s="1279"/>
      <c r="S519" s="1279"/>
      <c r="T519" s="1279"/>
      <c r="U519" s="1280"/>
      <c r="V519" s="1279"/>
      <c r="W519" s="1279"/>
      <c r="X519" s="1279"/>
      <c r="Y519" s="1281"/>
      <c r="Z519" s="1280"/>
      <c r="AA519" s="1282"/>
      <c r="AB519" s="1280"/>
      <c r="AC519" s="373"/>
      <c r="AD519" s="236"/>
      <c r="AE519" s="255"/>
      <c r="AF519" s="255"/>
      <c r="AG519" s="255"/>
      <c r="AH519" s="255"/>
      <c r="AI519" s="255"/>
      <c r="AJ519" s="255"/>
      <c r="AK519" s="255"/>
      <c r="AL519" s="255"/>
      <c r="AM519" s="255"/>
      <c r="AN519" s="255"/>
      <c r="AO519" s="255"/>
      <c r="AP519" s="255"/>
    </row>
    <row r="520" spans="1:42" s="180" customFormat="1" hidden="1">
      <c r="A520" s="313"/>
      <c r="B520" s="1268"/>
      <c r="C520" s="1268"/>
      <c r="D520" s="1268"/>
      <c r="E520" s="539"/>
      <c r="F520" s="539"/>
      <c r="G520" s="539"/>
      <c r="H520" s="1268"/>
      <c r="I520" s="1268"/>
      <c r="J520" s="539"/>
      <c r="K520" s="539"/>
      <c r="L520" s="539"/>
      <c r="M520" s="1268"/>
      <c r="N520" s="1268"/>
      <c r="O520" s="539"/>
      <c r="P520" s="539"/>
      <c r="Q520" s="539"/>
      <c r="R520" s="1268"/>
      <c r="S520" s="1268"/>
      <c r="T520" s="539"/>
      <c r="U520" s="539"/>
      <c r="V520" s="539"/>
      <c r="W520" s="1268"/>
      <c r="X520" s="1268"/>
      <c r="Y520" s="539"/>
      <c r="Z520" s="539"/>
      <c r="AA520" s="539"/>
      <c r="AB520" s="539"/>
      <c r="AC520" s="4"/>
      <c r="AH520" s="4"/>
      <c r="AI520" s="255"/>
      <c r="AK520" s="193"/>
      <c r="AL520" s="193"/>
      <c r="AM520" s="193"/>
      <c r="AN520" s="193"/>
      <c r="AO520" s="193"/>
      <c r="AP520" s="193"/>
    </row>
    <row r="521" spans="1:42" s="180" customFormat="1" ht="13.5" hidden="1" customHeight="1">
      <c r="A521" s="313"/>
      <c r="B521" s="1555" t="s">
        <v>18</v>
      </c>
      <c r="C521" s="1556">
        <v>45985</v>
      </c>
      <c r="D521" s="1556"/>
      <c r="E521" s="1556"/>
      <c r="F521" s="1556"/>
      <c r="G521" s="1269"/>
      <c r="H521" s="1556">
        <v>45986</v>
      </c>
      <c r="I521" s="1556"/>
      <c r="J521" s="1556"/>
      <c r="K521" s="1556"/>
      <c r="L521" s="1269"/>
      <c r="M521" s="1556">
        <v>45987</v>
      </c>
      <c r="N521" s="1556"/>
      <c r="O521" s="1556"/>
      <c r="P521" s="1556"/>
      <c r="Q521" s="1269"/>
      <c r="R521" s="1556">
        <v>45988</v>
      </c>
      <c r="S521" s="1556"/>
      <c r="T521" s="1556"/>
      <c r="U521" s="1556"/>
      <c r="V521" s="1269"/>
      <c r="W521" s="1556">
        <v>45989</v>
      </c>
      <c r="X521" s="1556"/>
      <c r="Y521" s="1556"/>
      <c r="Z521" s="1556"/>
      <c r="AA521" s="1557" t="s">
        <v>19</v>
      </c>
      <c r="AB521" s="1557" t="s">
        <v>20</v>
      </c>
      <c r="AC521" s="4"/>
      <c r="AD521" s="1519">
        <v>45990</v>
      </c>
      <c r="AE521" s="1519"/>
      <c r="AF521" s="1519"/>
      <c r="AG521" s="1517" t="s">
        <v>21</v>
      </c>
      <c r="AH521" s="4"/>
      <c r="AI521" s="368"/>
      <c r="AK521" s="194" t="s">
        <v>84</v>
      </c>
      <c r="AL521" s="366"/>
      <c r="AM521" s="366"/>
      <c r="AN521" s="366"/>
      <c r="AO521" s="366"/>
      <c r="AP521" s="366"/>
    </row>
    <row r="522" spans="1:42" s="180" customFormat="1" hidden="1">
      <c r="A522" s="313"/>
      <c r="B522" s="1555"/>
      <c r="C522" s="1270" t="s">
        <v>23</v>
      </c>
      <c r="D522" s="1270" t="s">
        <v>24</v>
      </c>
      <c r="E522" s="1271" t="s">
        <v>25</v>
      </c>
      <c r="F522" s="1272" t="s">
        <v>14</v>
      </c>
      <c r="G522" s="539"/>
      <c r="H522" s="1270" t="s">
        <v>23</v>
      </c>
      <c r="I522" s="1270" t="s">
        <v>24</v>
      </c>
      <c r="J522" s="1272" t="s">
        <v>25</v>
      </c>
      <c r="K522" s="1272" t="s">
        <v>14</v>
      </c>
      <c r="L522" s="539"/>
      <c r="M522" s="1270" t="s">
        <v>23</v>
      </c>
      <c r="N522" s="1270" t="s">
        <v>24</v>
      </c>
      <c r="O522" s="1272" t="s">
        <v>25</v>
      </c>
      <c r="P522" s="1272" t="s">
        <v>14</v>
      </c>
      <c r="Q522" s="539"/>
      <c r="R522" s="1270" t="s">
        <v>23</v>
      </c>
      <c r="S522" s="1270" t="s">
        <v>24</v>
      </c>
      <c r="T522" s="1272" t="s">
        <v>25</v>
      </c>
      <c r="U522" s="1272" t="s">
        <v>14</v>
      </c>
      <c r="V522" s="539"/>
      <c r="W522" s="1270" t="s">
        <v>23</v>
      </c>
      <c r="X522" s="1270" t="s">
        <v>24</v>
      </c>
      <c r="Y522" s="1272" t="s">
        <v>25</v>
      </c>
      <c r="Z522" s="1272" t="s">
        <v>14</v>
      </c>
      <c r="AA522" s="1557"/>
      <c r="AB522" s="1557"/>
      <c r="AC522" s="4"/>
      <c r="AD522" s="21" t="s">
        <v>23</v>
      </c>
      <c r="AE522" s="21" t="s">
        <v>24</v>
      </c>
      <c r="AF522" s="18" t="s">
        <v>25</v>
      </c>
      <c r="AG522" s="1517"/>
      <c r="AH522" s="4"/>
      <c r="AI522" s="368"/>
      <c r="AJ522" s="367"/>
      <c r="AK522" s="188" t="s">
        <v>26</v>
      </c>
      <c r="AL522" s="196">
        <f>AA525</f>
        <v>44</v>
      </c>
      <c r="AM522" s="511">
        <v>51.5</v>
      </c>
      <c r="AN522" s="510">
        <f>AL522*AM522</f>
        <v>2266</v>
      </c>
      <c r="AO522" s="193"/>
      <c r="AP522" s="193"/>
    </row>
    <row r="523" spans="1:42" s="180" customFormat="1" hidden="1">
      <c r="A523" s="313"/>
      <c r="B523" s="539" t="s">
        <v>60</v>
      </c>
      <c r="C523" s="540" t="s">
        <v>75</v>
      </c>
      <c r="D523" s="540" t="s">
        <v>246</v>
      </c>
      <c r="E523" s="1273">
        <v>8</v>
      </c>
      <c r="F523" s="538"/>
      <c r="G523" s="539"/>
      <c r="H523" s="540" t="s">
        <v>75</v>
      </c>
      <c r="I523" s="540" t="s">
        <v>246</v>
      </c>
      <c r="J523" s="1273">
        <v>8</v>
      </c>
      <c r="K523" s="538"/>
      <c r="L523" s="539"/>
      <c r="M523" s="540" t="s">
        <v>75</v>
      </c>
      <c r="N523" s="540" t="s">
        <v>246</v>
      </c>
      <c r="O523" s="1273">
        <v>8</v>
      </c>
      <c r="P523" s="538"/>
      <c r="Q523" s="539"/>
      <c r="R523" s="540" t="s">
        <v>28</v>
      </c>
      <c r="S523" s="540"/>
      <c r="T523" s="1273">
        <v>8</v>
      </c>
      <c r="U523" s="538"/>
      <c r="V523" s="539"/>
      <c r="W523" s="540" t="s">
        <v>28</v>
      </c>
      <c r="X523" s="540"/>
      <c r="Y523" s="1273"/>
      <c r="Z523" s="538"/>
      <c r="AA523" s="1274">
        <f>Y523+T523+O523+J523+E523</f>
        <v>32</v>
      </c>
      <c r="AB523" s="1275">
        <f>Z523+U523+P523+K523+F523</f>
        <v>0</v>
      </c>
      <c r="AC523" s="4"/>
      <c r="AD523" s="587"/>
      <c r="AE523" s="531"/>
      <c r="AF523" s="319"/>
      <c r="AG523" s="328">
        <f>AF523</f>
        <v>0</v>
      </c>
      <c r="AH523" s="4"/>
      <c r="AI523" s="368"/>
      <c r="AJ523" s="367"/>
      <c r="AK523" s="188" t="s">
        <v>30</v>
      </c>
      <c r="AL523" s="196">
        <f>AB525</f>
        <v>0</v>
      </c>
      <c r="AM523" s="511">
        <f>AM522*1.5</f>
        <v>77.25</v>
      </c>
      <c r="AN523" s="510">
        <f>AL523*AM523</f>
        <v>0</v>
      </c>
      <c r="AO523" s="193"/>
      <c r="AP523" s="193"/>
    </row>
    <row r="524" spans="1:42" s="180" customFormat="1" hidden="1">
      <c r="A524" s="313"/>
      <c r="B524" s="539" t="s">
        <v>59</v>
      </c>
      <c r="C524" s="540" t="s">
        <v>222</v>
      </c>
      <c r="D524" s="540" t="s">
        <v>125</v>
      </c>
      <c r="E524" s="1273">
        <v>4</v>
      </c>
      <c r="F524" s="538"/>
      <c r="G524" s="539"/>
      <c r="H524" s="540" t="s">
        <v>222</v>
      </c>
      <c r="I524" s="540" t="s">
        <v>125</v>
      </c>
      <c r="J524" s="1273">
        <v>4</v>
      </c>
      <c r="K524" s="538"/>
      <c r="L524" s="539"/>
      <c r="M524" s="540" t="s">
        <v>222</v>
      </c>
      <c r="N524" s="540" t="s">
        <v>125</v>
      </c>
      <c r="O524" s="1273">
        <v>4</v>
      </c>
      <c r="P524" s="538"/>
      <c r="Q524" s="539"/>
      <c r="R524" s="540" t="s">
        <v>28</v>
      </c>
      <c r="S524" s="540"/>
      <c r="T524" s="1273"/>
      <c r="U524" s="538"/>
      <c r="V524" s="539"/>
      <c r="W524" s="540" t="s">
        <v>28</v>
      </c>
      <c r="X524" s="540"/>
      <c r="Y524" s="1273"/>
      <c r="Z524" s="538"/>
      <c r="AA524" s="1274">
        <f>Y524+T524+O524+J524+E524</f>
        <v>12</v>
      </c>
      <c r="AB524" s="1275">
        <f>Z524+U524+P524+K524+F524</f>
        <v>0</v>
      </c>
      <c r="AC524" s="4"/>
      <c r="AF524" s="319"/>
      <c r="AG524" s="328">
        <f>AF524</f>
        <v>0</v>
      </c>
      <c r="AH524" s="175"/>
      <c r="AI524" s="402"/>
      <c r="AJ524" s="367"/>
      <c r="AK524" s="188" t="s">
        <v>32</v>
      </c>
      <c r="AL524" s="196">
        <f>AG525</f>
        <v>0</v>
      </c>
      <c r="AM524" s="511">
        <v>75.77</v>
      </c>
      <c r="AN524" s="510">
        <f>AL524*AM524</f>
        <v>0</v>
      </c>
      <c r="AO524" s="193"/>
      <c r="AP524" s="193"/>
    </row>
    <row r="525" spans="1:42" s="180" customFormat="1" hidden="1">
      <c r="A525" s="313"/>
      <c r="B525" s="1276" t="s">
        <v>61</v>
      </c>
      <c r="C525" s="1276"/>
      <c r="D525" s="1276"/>
      <c r="E525" s="1277">
        <f>SUM(E523:E524)</f>
        <v>12</v>
      </c>
      <c r="F525" s="538">
        <f>SUM(F523:F524)</f>
        <v>0</v>
      </c>
      <c r="G525" s="1276"/>
      <c r="H525" s="1276"/>
      <c r="I525" s="1276"/>
      <c r="J525" s="1277">
        <f>SUM(J523:J524)</f>
        <v>12</v>
      </c>
      <c r="K525" s="538">
        <f>SUM(K523:K524)</f>
        <v>0</v>
      </c>
      <c r="L525" s="1276"/>
      <c r="M525" s="1276"/>
      <c r="N525" s="1276"/>
      <c r="O525" s="1277">
        <f>SUM(O523:O524)</f>
        <v>12</v>
      </c>
      <c r="P525" s="538">
        <f>SUM(P523:P524)</f>
        <v>0</v>
      </c>
      <c r="Q525" s="1276"/>
      <c r="R525" s="1276"/>
      <c r="S525" s="1276"/>
      <c r="T525" s="1277">
        <f>SUM(T523:T524)</f>
        <v>8</v>
      </c>
      <c r="U525" s="538">
        <f>SUM(U523:U524)</f>
        <v>0</v>
      </c>
      <c r="V525" s="1276"/>
      <c r="W525" s="1276"/>
      <c r="X525" s="1276"/>
      <c r="Y525" s="1277">
        <f>SUM(Y523:Y524)</f>
        <v>0</v>
      </c>
      <c r="Z525" s="538">
        <f>SUM(Z523:Z524)</f>
        <v>0</v>
      </c>
      <c r="AA525" s="1274">
        <f>SUM(AA523:AA524)</f>
        <v>44</v>
      </c>
      <c r="AB525" s="1274">
        <f>SUM(AB523:AB524)</f>
        <v>0</v>
      </c>
      <c r="AC525" s="4"/>
      <c r="AD525" s="64"/>
      <c r="AE525" s="64"/>
      <c r="AF525" s="370">
        <f>SUM(AF523:AF524)</f>
        <v>0</v>
      </c>
      <c r="AG525" s="370">
        <f>SUM(AG523:AG524)</f>
        <v>0</v>
      </c>
      <c r="AH525" s="4"/>
      <c r="AI525" s="255"/>
      <c r="AJ525" s="367"/>
      <c r="AK525" s="193"/>
      <c r="AL525" s="193"/>
      <c r="AM525" s="193"/>
      <c r="AN525" s="510">
        <f>SUM(AN522:AN524)</f>
        <v>2266</v>
      </c>
      <c r="AO525" s="193"/>
      <c r="AP525" s="193"/>
    </row>
    <row r="526" spans="1:42" s="180" customFormat="1" hidden="1">
      <c r="A526" s="313"/>
      <c r="E526" s="4"/>
      <c r="F526" s="4"/>
      <c r="G526" s="4"/>
      <c r="J526" s="4"/>
      <c r="K526" s="4"/>
      <c r="L526" s="4"/>
      <c r="O526" s="4"/>
      <c r="P526" s="4"/>
      <c r="Q526" s="4"/>
      <c r="T526" s="4"/>
      <c r="U526" s="4"/>
      <c r="V526" s="4"/>
      <c r="Y526" s="4"/>
      <c r="Z526" s="4"/>
      <c r="AA526" s="4"/>
      <c r="AB526" s="4"/>
      <c r="AC526" s="4"/>
      <c r="AH526" s="4"/>
      <c r="AI526" s="255"/>
      <c r="AK526" s="193"/>
      <c r="AL526" s="193"/>
      <c r="AM526" s="193"/>
      <c r="AN526" s="193"/>
      <c r="AO526" s="193"/>
      <c r="AP526" s="193"/>
    </row>
    <row r="527" spans="1:42" s="180" customFormat="1" hidden="1">
      <c r="A527" s="313"/>
      <c r="B527" s="229"/>
      <c r="C527" s="230"/>
      <c r="D527" s="230"/>
      <c r="E527" s="232"/>
      <c r="F527" s="232"/>
      <c r="G527" s="230"/>
      <c r="H527" s="232"/>
      <c r="I527" s="232"/>
      <c r="J527" s="232"/>
      <c r="K527" s="232"/>
      <c r="L527" s="230"/>
      <c r="M527" s="230"/>
      <c r="N527" s="230"/>
      <c r="O527" s="230"/>
      <c r="P527" s="232"/>
      <c r="Q527" s="230"/>
      <c r="R527" s="230"/>
      <c r="S527" s="230"/>
      <c r="T527" s="230"/>
      <c r="U527" s="232"/>
      <c r="V527" s="230"/>
      <c r="W527" s="230"/>
      <c r="X527" s="230"/>
      <c r="Y527" s="233"/>
      <c r="Z527" s="232"/>
      <c r="AA527" s="234"/>
      <c r="AB527" s="232"/>
      <c r="AC527" s="373"/>
      <c r="AD527" s="236"/>
      <c r="AE527" s="255"/>
      <c r="AF527" s="255"/>
      <c r="AG527" s="255"/>
      <c r="AH527" s="255"/>
      <c r="AI527" s="255"/>
      <c r="AJ527" s="255"/>
      <c r="AK527" s="255"/>
      <c r="AL527" s="255"/>
      <c r="AM527" s="255"/>
      <c r="AN527" s="255"/>
      <c r="AO527" s="255"/>
      <c r="AP527" s="255"/>
    </row>
    <row r="528" spans="1:42" s="180" customFormat="1" hidden="1">
      <c r="A528" s="313"/>
      <c r="E528" s="4"/>
      <c r="F528" s="4"/>
      <c r="G528" s="4"/>
      <c r="J528" s="4"/>
      <c r="K528" s="4"/>
      <c r="L528" s="4"/>
      <c r="O528" s="4"/>
      <c r="P528" s="4"/>
      <c r="Q528" s="4"/>
      <c r="T528" s="4"/>
      <c r="U528" s="4"/>
      <c r="V528" s="4"/>
      <c r="Y528" s="4"/>
      <c r="Z528" s="4"/>
      <c r="AA528" s="4"/>
      <c r="AB528" s="4"/>
      <c r="AC528" s="4"/>
      <c r="AH528" s="4"/>
      <c r="AI528" s="255"/>
      <c r="AK528" s="193"/>
      <c r="AL528" s="193"/>
      <c r="AM528" s="193"/>
      <c r="AN528" s="193"/>
      <c r="AO528" s="193"/>
      <c r="AP528" s="193"/>
    </row>
    <row r="529" spans="1:42" s="180" customFormat="1" ht="13.5" hidden="1" customHeight="1">
      <c r="A529" s="313"/>
      <c r="B529" s="1518" t="s">
        <v>18</v>
      </c>
      <c r="C529" s="1519">
        <v>45992</v>
      </c>
      <c r="D529" s="1519"/>
      <c r="E529" s="1519"/>
      <c r="F529" s="1519"/>
      <c r="G529" s="365"/>
      <c r="H529" s="1519">
        <v>45993</v>
      </c>
      <c r="I529" s="1519"/>
      <c r="J529" s="1519"/>
      <c r="K529" s="1519"/>
      <c r="L529" s="365"/>
      <c r="M529" s="1519">
        <v>45994</v>
      </c>
      <c r="N529" s="1519"/>
      <c r="O529" s="1519"/>
      <c r="P529" s="1519"/>
      <c r="Q529" s="365"/>
      <c r="R529" s="1519">
        <v>45995</v>
      </c>
      <c r="S529" s="1519"/>
      <c r="T529" s="1519"/>
      <c r="U529" s="1519"/>
      <c r="V529" s="365"/>
      <c r="W529" s="1519">
        <v>45996</v>
      </c>
      <c r="X529" s="1519"/>
      <c r="Y529" s="1519"/>
      <c r="Z529" s="1519"/>
      <c r="AA529" s="1517" t="s">
        <v>19</v>
      </c>
      <c r="AB529" s="1517" t="s">
        <v>20</v>
      </c>
      <c r="AC529" s="4"/>
      <c r="AD529" s="1519">
        <v>45997</v>
      </c>
      <c r="AE529" s="1519"/>
      <c r="AF529" s="1519"/>
      <c r="AG529" s="1517" t="s">
        <v>21</v>
      </c>
      <c r="AH529" s="4"/>
      <c r="AI529" s="368"/>
      <c r="AK529" s="194" t="s">
        <v>84</v>
      </c>
      <c r="AL529" s="366"/>
      <c r="AM529" s="366"/>
      <c r="AN529" s="366"/>
      <c r="AO529" s="366"/>
      <c r="AP529" s="366"/>
    </row>
    <row r="530" spans="1:42" s="180" customFormat="1" hidden="1">
      <c r="A530" s="313"/>
      <c r="B530" s="1518"/>
      <c r="C530" s="21" t="s">
        <v>23</v>
      </c>
      <c r="D530" s="21" t="s">
        <v>24</v>
      </c>
      <c r="E530" s="205" t="s">
        <v>25</v>
      </c>
      <c r="F530" s="18" t="s">
        <v>14</v>
      </c>
      <c r="G530" s="4"/>
      <c r="H530" s="21" t="s">
        <v>23</v>
      </c>
      <c r="I530" s="21" t="s">
        <v>24</v>
      </c>
      <c r="J530" s="18" t="s">
        <v>25</v>
      </c>
      <c r="K530" s="18" t="s">
        <v>14</v>
      </c>
      <c r="L530" s="4"/>
      <c r="M530" s="21" t="s">
        <v>23</v>
      </c>
      <c r="N530" s="21" t="s">
        <v>24</v>
      </c>
      <c r="O530" s="18" t="s">
        <v>25</v>
      </c>
      <c r="P530" s="18" t="s">
        <v>14</v>
      </c>
      <c r="Q530" s="4"/>
      <c r="R530" s="21" t="s">
        <v>23</v>
      </c>
      <c r="S530" s="21" t="s">
        <v>24</v>
      </c>
      <c r="T530" s="18" t="s">
        <v>25</v>
      </c>
      <c r="U530" s="18" t="s">
        <v>14</v>
      </c>
      <c r="V530" s="4"/>
      <c r="W530" s="21" t="s">
        <v>23</v>
      </c>
      <c r="X530" s="21" t="s">
        <v>24</v>
      </c>
      <c r="Y530" s="18" t="s">
        <v>25</v>
      </c>
      <c r="Z530" s="18" t="s">
        <v>14</v>
      </c>
      <c r="AA530" s="1517"/>
      <c r="AB530" s="1517"/>
      <c r="AC530" s="4"/>
      <c r="AD530" s="21" t="s">
        <v>23</v>
      </c>
      <c r="AE530" s="21" t="s">
        <v>24</v>
      </c>
      <c r="AF530" s="18" t="s">
        <v>25</v>
      </c>
      <c r="AG530" s="1517"/>
      <c r="AH530" s="4"/>
      <c r="AI530" s="368"/>
      <c r="AJ530" s="367"/>
      <c r="AK530" s="188" t="s">
        <v>26</v>
      </c>
      <c r="AL530" s="196">
        <f>AA533</f>
        <v>60</v>
      </c>
      <c r="AM530" s="511">
        <v>51.5</v>
      </c>
      <c r="AN530" s="510">
        <f>AL530*AM530</f>
        <v>3090</v>
      </c>
      <c r="AO530" s="193"/>
      <c r="AP530" s="193"/>
    </row>
    <row r="531" spans="1:42" s="180" customFormat="1" hidden="1">
      <c r="A531" s="313"/>
      <c r="B531" s="4" t="s">
        <v>60</v>
      </c>
      <c r="C531" s="441" t="s">
        <v>75</v>
      </c>
      <c r="D531" s="441" t="s">
        <v>246</v>
      </c>
      <c r="E531" s="319">
        <v>8</v>
      </c>
      <c r="F531" s="320"/>
      <c r="G531" s="4"/>
      <c r="H531" s="441" t="s">
        <v>75</v>
      </c>
      <c r="I531" s="441" t="s">
        <v>246</v>
      </c>
      <c r="J531" s="319">
        <v>8</v>
      </c>
      <c r="K531" s="320"/>
      <c r="L531" s="4"/>
      <c r="M531" s="441" t="s">
        <v>75</v>
      </c>
      <c r="N531" s="441" t="s">
        <v>246</v>
      </c>
      <c r="O531" s="319">
        <v>8</v>
      </c>
      <c r="P531" s="320"/>
      <c r="Q531" s="4"/>
      <c r="R531" s="441" t="s">
        <v>75</v>
      </c>
      <c r="S531" s="441" t="s">
        <v>246</v>
      </c>
      <c r="T531" s="319">
        <v>8</v>
      </c>
      <c r="U531" s="320"/>
      <c r="V531" s="4"/>
      <c r="W531" s="441" t="s">
        <v>75</v>
      </c>
      <c r="X531" s="441" t="s">
        <v>246</v>
      </c>
      <c r="Y531" s="319">
        <v>8</v>
      </c>
      <c r="Z531" s="320"/>
      <c r="AA531" s="328">
        <f>Y531+T531+O531+J531+E531</f>
        <v>40</v>
      </c>
      <c r="AB531" s="298">
        <f>Z531+U531+P531+K531+F531</f>
        <v>0</v>
      </c>
      <c r="AC531" s="4"/>
      <c r="AD531" s="587"/>
      <c r="AE531" s="531"/>
      <c r="AF531" s="319"/>
      <c r="AG531" s="328">
        <f>AF531</f>
        <v>0</v>
      </c>
      <c r="AH531" s="4"/>
      <c r="AI531" s="368"/>
      <c r="AJ531" s="367"/>
      <c r="AK531" s="188" t="s">
        <v>30</v>
      </c>
      <c r="AL531" s="196">
        <f>AB533</f>
        <v>0</v>
      </c>
      <c r="AM531" s="511">
        <f>AM530*1.5</f>
        <v>77.25</v>
      </c>
      <c r="AN531" s="510">
        <f>AL531*AM531</f>
        <v>0</v>
      </c>
      <c r="AO531" s="193"/>
      <c r="AP531" s="193"/>
    </row>
    <row r="532" spans="1:42" s="180" customFormat="1" hidden="1">
      <c r="A532" s="313"/>
      <c r="B532" s="4" t="s">
        <v>59</v>
      </c>
      <c r="C532" s="441" t="s">
        <v>222</v>
      </c>
      <c r="D532" s="441" t="s">
        <v>125</v>
      </c>
      <c r="E532" s="319">
        <v>4</v>
      </c>
      <c r="F532" s="320"/>
      <c r="G532" s="4"/>
      <c r="H532" s="441" t="s">
        <v>222</v>
      </c>
      <c r="I532" s="441" t="s">
        <v>125</v>
      </c>
      <c r="J532" s="319">
        <v>4</v>
      </c>
      <c r="K532" s="320"/>
      <c r="L532" s="4"/>
      <c r="M532" s="441" t="s">
        <v>222</v>
      </c>
      <c r="N532" s="441" t="s">
        <v>125</v>
      </c>
      <c r="O532" s="319">
        <v>4</v>
      </c>
      <c r="P532" s="320"/>
      <c r="Q532" s="4"/>
      <c r="R532" s="441" t="s">
        <v>222</v>
      </c>
      <c r="S532" s="441" t="s">
        <v>125</v>
      </c>
      <c r="T532" s="319">
        <v>4</v>
      </c>
      <c r="U532" s="320"/>
      <c r="V532" s="4"/>
      <c r="W532" s="441" t="s">
        <v>222</v>
      </c>
      <c r="X532" s="441" t="s">
        <v>125</v>
      </c>
      <c r="Y532" s="319">
        <v>4</v>
      </c>
      <c r="Z532" s="320"/>
      <c r="AA532" s="328">
        <f>Y532+T532+O532+J532+E532</f>
        <v>20</v>
      </c>
      <c r="AB532" s="298">
        <f>Z532+U532+P532+K532+F532</f>
        <v>0</v>
      </c>
      <c r="AC532" s="4"/>
      <c r="AF532" s="319"/>
      <c r="AG532" s="328">
        <f>AF532</f>
        <v>0</v>
      </c>
      <c r="AH532" s="175"/>
      <c r="AI532" s="402"/>
      <c r="AJ532" s="367"/>
      <c r="AK532" s="188" t="s">
        <v>32</v>
      </c>
      <c r="AL532" s="196">
        <f>AG533</f>
        <v>0</v>
      </c>
      <c r="AM532" s="511">
        <v>75.77</v>
      </c>
      <c r="AN532" s="510">
        <f>AL532*AM532</f>
        <v>0</v>
      </c>
      <c r="AO532" s="193"/>
      <c r="AP532" s="193"/>
    </row>
    <row r="533" spans="1:42" s="180" customFormat="1" hidden="1">
      <c r="A533" s="313"/>
      <c r="B533" s="64" t="s">
        <v>61</v>
      </c>
      <c r="C533" s="31"/>
      <c r="D533" s="31"/>
      <c r="E533" s="439">
        <f>SUM(E531:E532)</f>
        <v>12</v>
      </c>
      <c r="F533" s="320">
        <f>SUM(F531:F532)</f>
        <v>0</v>
      </c>
      <c r="G533" s="31"/>
      <c r="H533" s="31"/>
      <c r="I533" s="31"/>
      <c r="J533" s="439">
        <f>SUM(J531:J532)</f>
        <v>12</v>
      </c>
      <c r="K533" s="320">
        <f>SUM(K531:K532)</f>
        <v>0</v>
      </c>
      <c r="L533" s="31"/>
      <c r="M533" s="31"/>
      <c r="N533" s="31"/>
      <c r="O533" s="439">
        <f>SUM(O531:O532)</f>
        <v>12</v>
      </c>
      <c r="P533" s="320">
        <f>SUM(P531:P532)</f>
        <v>0</v>
      </c>
      <c r="Q533" s="31"/>
      <c r="R533" s="31"/>
      <c r="S533" s="31"/>
      <c r="T533" s="439">
        <f>SUM(T531:T532)</f>
        <v>12</v>
      </c>
      <c r="U533" s="320">
        <f>SUM(U531:U532)</f>
        <v>0</v>
      </c>
      <c r="V533" s="31"/>
      <c r="W533" s="31"/>
      <c r="X533" s="31"/>
      <c r="Y533" s="439">
        <f>SUM(Y531:Y532)</f>
        <v>12</v>
      </c>
      <c r="Z533" s="320">
        <f>SUM(Z531:Z532)</f>
        <v>0</v>
      </c>
      <c r="AA533" s="370">
        <f>SUM(AA531:AA532)</f>
        <v>60</v>
      </c>
      <c r="AB533" s="370">
        <f>SUM(AB531:AB532)</f>
        <v>0</v>
      </c>
      <c r="AC533" s="4"/>
      <c r="AD533" s="64"/>
      <c r="AE533" s="64"/>
      <c r="AF533" s="370">
        <f>SUM(AF531:AF532)</f>
        <v>0</v>
      </c>
      <c r="AG533" s="370">
        <f>SUM(AG531:AG532)</f>
        <v>0</v>
      </c>
      <c r="AH533" s="4"/>
      <c r="AI533" s="255"/>
      <c r="AJ533" s="367"/>
      <c r="AK533" s="193"/>
      <c r="AL533" s="193"/>
      <c r="AM533" s="193"/>
      <c r="AN533" s="510">
        <f>SUM(AN530:AN532)</f>
        <v>3090</v>
      </c>
      <c r="AO533" s="193"/>
      <c r="AP533" s="193"/>
    </row>
    <row r="534" spans="1:42" s="180" customFormat="1" hidden="1">
      <c r="A534" s="313"/>
      <c r="E534" s="4"/>
      <c r="F534" s="4"/>
      <c r="G534" s="4"/>
      <c r="J534" s="4"/>
      <c r="K534" s="4"/>
      <c r="L534" s="4"/>
      <c r="O534" s="4"/>
      <c r="P534" s="4"/>
      <c r="Q534" s="4"/>
      <c r="T534" s="4"/>
      <c r="U534" s="4"/>
      <c r="V534" s="4"/>
      <c r="Y534" s="4"/>
      <c r="Z534" s="4"/>
      <c r="AA534" s="4"/>
      <c r="AB534" s="4"/>
      <c r="AC534" s="4"/>
      <c r="AH534" s="4"/>
      <c r="AI534" s="255"/>
      <c r="AK534" s="193"/>
      <c r="AL534" s="193"/>
      <c r="AM534" s="193"/>
      <c r="AN534" s="193"/>
      <c r="AO534" s="193"/>
      <c r="AP534" s="193"/>
    </row>
    <row r="535" spans="1:42" s="180" customFormat="1" hidden="1">
      <c r="A535" s="313"/>
      <c r="B535" s="229"/>
      <c r="C535" s="230"/>
      <c r="D535" s="230"/>
      <c r="E535" s="232"/>
      <c r="F535" s="232"/>
      <c r="G535" s="230"/>
      <c r="H535" s="232"/>
      <c r="I535" s="232"/>
      <c r="J535" s="232"/>
      <c r="K535" s="232"/>
      <c r="L535" s="230"/>
      <c r="M535" s="230"/>
      <c r="N535" s="230"/>
      <c r="O535" s="230"/>
      <c r="P535" s="232"/>
      <c r="Q535" s="230"/>
      <c r="R535" s="230"/>
      <c r="S535" s="230"/>
      <c r="T535" s="230"/>
      <c r="U535" s="232"/>
      <c r="V535" s="230"/>
      <c r="W535" s="230"/>
      <c r="X535" s="230"/>
      <c r="Y535" s="233"/>
      <c r="Z535" s="232"/>
      <c r="AA535" s="234"/>
      <c r="AB535" s="232"/>
      <c r="AC535" s="373"/>
      <c r="AD535" s="236"/>
      <c r="AE535" s="255"/>
      <c r="AF535" s="255"/>
      <c r="AG535" s="255"/>
      <c r="AH535" s="255"/>
      <c r="AI535" s="255"/>
      <c r="AJ535" s="255"/>
      <c r="AK535" s="255"/>
      <c r="AL535" s="255"/>
      <c r="AM535" s="255"/>
      <c r="AN535" s="255"/>
      <c r="AO535" s="255"/>
      <c r="AP535" s="255"/>
    </row>
    <row r="536" spans="1:42" s="180" customFormat="1" hidden="1">
      <c r="A536" s="313"/>
      <c r="E536" s="4"/>
      <c r="F536" s="4"/>
      <c r="G536" s="4"/>
      <c r="J536" s="4"/>
      <c r="K536" s="4"/>
      <c r="L536" s="4"/>
      <c r="O536" s="4"/>
      <c r="P536" s="4"/>
      <c r="Q536" s="4"/>
      <c r="T536" s="4"/>
      <c r="U536" s="4"/>
      <c r="V536" s="4"/>
      <c r="Y536" s="4"/>
      <c r="Z536" s="4"/>
      <c r="AA536" s="4"/>
      <c r="AB536" s="4"/>
      <c r="AC536" s="4"/>
      <c r="AH536" s="4"/>
      <c r="AI536" s="255"/>
      <c r="AK536" s="193"/>
      <c r="AL536" s="193"/>
      <c r="AM536" s="193"/>
      <c r="AN536" s="193"/>
      <c r="AO536" s="193"/>
      <c r="AP536" s="193"/>
    </row>
    <row r="537" spans="1:42" s="180" customFormat="1" ht="13.5" hidden="1" customHeight="1">
      <c r="A537" s="313"/>
      <c r="B537" s="1518" t="s">
        <v>18</v>
      </c>
      <c r="C537" s="1519">
        <v>45999</v>
      </c>
      <c r="D537" s="1519"/>
      <c r="E537" s="1519"/>
      <c r="F537" s="1519"/>
      <c r="G537" s="365"/>
      <c r="H537" s="1519">
        <v>46000</v>
      </c>
      <c r="I537" s="1519"/>
      <c r="J537" s="1519"/>
      <c r="K537" s="1519"/>
      <c r="L537" s="365"/>
      <c r="M537" s="1519">
        <v>46001</v>
      </c>
      <c r="N537" s="1519"/>
      <c r="O537" s="1519"/>
      <c r="P537" s="1519"/>
      <c r="Q537" s="365"/>
      <c r="R537" s="1519">
        <v>46002</v>
      </c>
      <c r="S537" s="1519"/>
      <c r="T537" s="1519"/>
      <c r="U537" s="1519"/>
      <c r="V537" s="365"/>
      <c r="W537" s="1519">
        <v>46003</v>
      </c>
      <c r="X537" s="1519"/>
      <c r="Y537" s="1519"/>
      <c r="Z537" s="1519"/>
      <c r="AA537" s="1517" t="s">
        <v>19</v>
      </c>
      <c r="AB537" s="1517" t="s">
        <v>20</v>
      </c>
      <c r="AC537" s="4"/>
      <c r="AD537" s="1519">
        <v>46004</v>
      </c>
      <c r="AE537" s="1519"/>
      <c r="AF537" s="1519"/>
      <c r="AG537" s="1517" t="s">
        <v>21</v>
      </c>
      <c r="AH537" s="4"/>
      <c r="AI537" s="368"/>
      <c r="AK537" s="194" t="s">
        <v>84</v>
      </c>
      <c r="AL537" s="366"/>
      <c r="AM537" s="366"/>
      <c r="AN537" s="366"/>
      <c r="AO537" s="366"/>
      <c r="AP537" s="366"/>
    </row>
    <row r="538" spans="1:42" s="180" customFormat="1" hidden="1">
      <c r="A538" s="313"/>
      <c r="B538" s="1518"/>
      <c r="C538" s="21" t="s">
        <v>23</v>
      </c>
      <c r="D538" s="21" t="s">
        <v>24</v>
      </c>
      <c r="E538" s="205" t="s">
        <v>25</v>
      </c>
      <c r="F538" s="18" t="s">
        <v>14</v>
      </c>
      <c r="G538" s="4"/>
      <c r="H538" s="21" t="s">
        <v>23</v>
      </c>
      <c r="I538" s="21" t="s">
        <v>24</v>
      </c>
      <c r="J538" s="18" t="s">
        <v>25</v>
      </c>
      <c r="K538" s="18" t="s">
        <v>14</v>
      </c>
      <c r="L538" s="4"/>
      <c r="M538" s="21" t="s">
        <v>23</v>
      </c>
      <c r="N538" s="21" t="s">
        <v>24</v>
      </c>
      <c r="O538" s="18" t="s">
        <v>25</v>
      </c>
      <c r="P538" s="18" t="s">
        <v>14</v>
      </c>
      <c r="Q538" s="4"/>
      <c r="R538" s="21" t="s">
        <v>23</v>
      </c>
      <c r="S538" s="21" t="s">
        <v>24</v>
      </c>
      <c r="T538" s="18" t="s">
        <v>25</v>
      </c>
      <c r="U538" s="18" t="s">
        <v>14</v>
      </c>
      <c r="V538" s="4"/>
      <c r="W538" s="21" t="s">
        <v>23</v>
      </c>
      <c r="X538" s="21" t="s">
        <v>24</v>
      </c>
      <c r="Y538" s="18" t="s">
        <v>25</v>
      </c>
      <c r="Z538" s="18" t="s">
        <v>14</v>
      </c>
      <c r="AA538" s="1517"/>
      <c r="AB538" s="1517"/>
      <c r="AC538" s="4"/>
      <c r="AD538" s="21" t="s">
        <v>23</v>
      </c>
      <c r="AE538" s="21" t="s">
        <v>24</v>
      </c>
      <c r="AF538" s="18" t="s">
        <v>25</v>
      </c>
      <c r="AG538" s="1517"/>
      <c r="AH538" s="4"/>
      <c r="AI538" s="368"/>
      <c r="AJ538" s="367"/>
      <c r="AK538" s="188" t="s">
        <v>26</v>
      </c>
      <c r="AL538" s="196">
        <f>AA541</f>
        <v>60</v>
      </c>
      <c r="AM538" s="511">
        <v>51.5</v>
      </c>
      <c r="AN538" s="510">
        <f>AL538*AM538</f>
        <v>3090</v>
      </c>
      <c r="AO538" s="193"/>
      <c r="AP538" s="193"/>
    </row>
    <row r="539" spans="1:42" s="180" customFormat="1" hidden="1">
      <c r="A539" s="313"/>
      <c r="B539" s="4" t="s">
        <v>60</v>
      </c>
      <c r="C539" s="441" t="s">
        <v>75</v>
      </c>
      <c r="D539" s="441" t="s">
        <v>246</v>
      </c>
      <c r="E539" s="319">
        <v>8</v>
      </c>
      <c r="F539" s="320"/>
      <c r="G539" s="4"/>
      <c r="H539" s="441" t="s">
        <v>75</v>
      </c>
      <c r="I539" s="441" t="s">
        <v>246</v>
      </c>
      <c r="J539" s="319">
        <v>8</v>
      </c>
      <c r="K539" s="320"/>
      <c r="L539" s="4"/>
      <c r="M539" s="441" t="s">
        <v>75</v>
      </c>
      <c r="N539" s="441" t="s">
        <v>246</v>
      </c>
      <c r="O539" s="319">
        <v>8</v>
      </c>
      <c r="P539" s="320"/>
      <c r="Q539" s="4"/>
      <c r="R539" s="441" t="s">
        <v>75</v>
      </c>
      <c r="S539" s="441" t="s">
        <v>246</v>
      </c>
      <c r="T539" s="319">
        <v>8</v>
      </c>
      <c r="U539" s="320"/>
      <c r="V539" s="4"/>
      <c r="W539" s="441" t="s">
        <v>75</v>
      </c>
      <c r="X539" s="441" t="s">
        <v>246</v>
      </c>
      <c r="Y539" s="319">
        <v>8</v>
      </c>
      <c r="Z539" s="320"/>
      <c r="AA539" s="328">
        <f>Y539+T539+O539+J539+E539</f>
        <v>40</v>
      </c>
      <c r="AB539" s="298">
        <f>Z539+U539+P539+K539+F539</f>
        <v>0</v>
      </c>
      <c r="AC539" s="4"/>
      <c r="AD539" s="587"/>
      <c r="AE539" s="531"/>
      <c r="AF539" s="319"/>
      <c r="AG539" s="328">
        <f>AF539</f>
        <v>0</v>
      </c>
      <c r="AH539" s="4"/>
      <c r="AI539" s="368"/>
      <c r="AJ539" s="367"/>
      <c r="AK539" s="188" t="s">
        <v>30</v>
      </c>
      <c r="AL539" s="196">
        <f>AB541</f>
        <v>0</v>
      </c>
      <c r="AM539" s="511">
        <f>AM538*1.5</f>
        <v>77.25</v>
      </c>
      <c r="AN539" s="510">
        <f>AL539*AM539</f>
        <v>0</v>
      </c>
      <c r="AO539" s="193"/>
      <c r="AP539" s="193"/>
    </row>
    <row r="540" spans="1:42" s="180" customFormat="1" hidden="1">
      <c r="A540" s="313"/>
      <c r="B540" s="4" t="s">
        <v>59</v>
      </c>
      <c r="C540" s="441" t="s">
        <v>222</v>
      </c>
      <c r="D540" s="441" t="s">
        <v>125</v>
      </c>
      <c r="E540" s="319">
        <v>4</v>
      </c>
      <c r="F540" s="320"/>
      <c r="G540" s="4"/>
      <c r="H540" s="441" t="s">
        <v>222</v>
      </c>
      <c r="I540" s="441" t="s">
        <v>125</v>
      </c>
      <c r="J540" s="319">
        <v>4</v>
      </c>
      <c r="K540" s="320"/>
      <c r="L540" s="4"/>
      <c r="M540" s="441" t="s">
        <v>222</v>
      </c>
      <c r="N540" s="441" t="s">
        <v>125</v>
      </c>
      <c r="O540" s="319">
        <v>4</v>
      </c>
      <c r="P540" s="320"/>
      <c r="Q540" s="4"/>
      <c r="R540" s="441" t="s">
        <v>222</v>
      </c>
      <c r="S540" s="441" t="s">
        <v>125</v>
      </c>
      <c r="T540" s="319">
        <v>4</v>
      </c>
      <c r="U540" s="320"/>
      <c r="V540" s="4"/>
      <c r="W540" s="441" t="s">
        <v>222</v>
      </c>
      <c r="X540" s="441" t="s">
        <v>125</v>
      </c>
      <c r="Y540" s="319">
        <v>4</v>
      </c>
      <c r="Z540" s="320"/>
      <c r="AA540" s="328">
        <f>Y540+T540+O540+J540+E540</f>
        <v>20</v>
      </c>
      <c r="AB540" s="298">
        <f>Z540+U540+P540+K540+F540</f>
        <v>0</v>
      </c>
      <c r="AC540" s="4"/>
      <c r="AF540" s="319"/>
      <c r="AG540" s="328">
        <f>AF540</f>
        <v>0</v>
      </c>
      <c r="AH540" s="175"/>
      <c r="AI540" s="402"/>
      <c r="AJ540" s="367"/>
      <c r="AK540" s="188" t="s">
        <v>32</v>
      </c>
      <c r="AL540" s="196">
        <f>AG541</f>
        <v>0</v>
      </c>
      <c r="AM540" s="511">
        <v>75.77</v>
      </c>
      <c r="AN540" s="510">
        <f>AL540*AM540</f>
        <v>0</v>
      </c>
      <c r="AO540" s="193"/>
      <c r="AP540" s="193"/>
    </row>
    <row r="541" spans="1:42" s="180" customFormat="1" hidden="1">
      <c r="A541" s="313"/>
      <c r="B541" s="64" t="s">
        <v>61</v>
      </c>
      <c r="C541" s="31"/>
      <c r="D541" s="31"/>
      <c r="E541" s="439">
        <f>SUM(E539:E540)</f>
        <v>12</v>
      </c>
      <c r="F541" s="320">
        <f>SUM(F539:F540)</f>
        <v>0</v>
      </c>
      <c r="G541" s="31"/>
      <c r="H541" s="31"/>
      <c r="I541" s="31"/>
      <c r="J541" s="439">
        <f>SUM(J539:J540)</f>
        <v>12</v>
      </c>
      <c r="K541" s="320">
        <f>SUM(K539:K540)</f>
        <v>0</v>
      </c>
      <c r="L541" s="31"/>
      <c r="M541" s="31"/>
      <c r="N541" s="31"/>
      <c r="O541" s="439">
        <f>SUM(O539:O540)</f>
        <v>12</v>
      </c>
      <c r="P541" s="320">
        <f>SUM(P539:P540)</f>
        <v>0</v>
      </c>
      <c r="Q541" s="31"/>
      <c r="R541" s="31"/>
      <c r="S541" s="31"/>
      <c r="T541" s="439">
        <f>SUM(T539:T540)</f>
        <v>12</v>
      </c>
      <c r="U541" s="320">
        <f>SUM(U539:U540)</f>
        <v>0</v>
      </c>
      <c r="V541" s="31"/>
      <c r="W541" s="31"/>
      <c r="X541" s="31"/>
      <c r="Y541" s="439">
        <f>SUM(Y539:Y540)</f>
        <v>12</v>
      </c>
      <c r="Z541" s="320">
        <f>SUM(Z539:Z540)</f>
        <v>0</v>
      </c>
      <c r="AA541" s="370">
        <f>SUM(AA539:AA540)</f>
        <v>60</v>
      </c>
      <c r="AB541" s="370">
        <f>SUM(AB539:AB540)</f>
        <v>0</v>
      </c>
      <c r="AC541" s="4"/>
      <c r="AD541" s="64"/>
      <c r="AE541" s="64"/>
      <c r="AF541" s="370">
        <f>SUM(AF539:AF540)</f>
        <v>0</v>
      </c>
      <c r="AG541" s="370">
        <f>SUM(AG539:AG540)</f>
        <v>0</v>
      </c>
      <c r="AH541" s="4"/>
      <c r="AI541" s="255"/>
      <c r="AJ541" s="367"/>
      <c r="AK541" s="193"/>
      <c r="AL541" s="193"/>
      <c r="AM541" s="193"/>
      <c r="AN541" s="510">
        <f>SUM(AN538:AN540)</f>
        <v>3090</v>
      </c>
      <c r="AO541" s="193"/>
      <c r="AP541" s="193"/>
    </row>
    <row r="542" spans="1:42" s="180" customFormat="1" hidden="1">
      <c r="A542" s="313"/>
      <c r="E542" s="4"/>
      <c r="F542" s="4"/>
      <c r="G542" s="4"/>
      <c r="J542" s="4"/>
      <c r="K542" s="4"/>
      <c r="L542" s="4"/>
      <c r="O542" s="4"/>
      <c r="P542" s="4"/>
      <c r="Q542" s="4"/>
      <c r="T542" s="4"/>
      <c r="U542" s="4"/>
      <c r="V542" s="4"/>
      <c r="Y542" s="4"/>
      <c r="Z542" s="4"/>
      <c r="AA542" s="4"/>
      <c r="AB542" s="4"/>
      <c r="AC542" s="4"/>
      <c r="AH542" s="4"/>
      <c r="AI542" s="255"/>
      <c r="AK542" s="193"/>
      <c r="AL542" s="193"/>
      <c r="AM542" s="193"/>
      <c r="AN542" s="193"/>
      <c r="AO542" s="193"/>
      <c r="AP542" s="193"/>
    </row>
    <row r="543" spans="1:42" s="180" customFormat="1" hidden="1">
      <c r="A543" s="313"/>
      <c r="B543" s="229"/>
      <c r="C543" s="230"/>
      <c r="D543" s="230"/>
      <c r="E543" s="232"/>
      <c r="F543" s="232"/>
      <c r="G543" s="230"/>
      <c r="H543" s="232"/>
      <c r="I543" s="232"/>
      <c r="J543" s="232"/>
      <c r="K543" s="232"/>
      <c r="L543" s="230"/>
      <c r="M543" s="230"/>
      <c r="N543" s="230"/>
      <c r="O543" s="230"/>
      <c r="P543" s="232"/>
      <c r="Q543" s="230"/>
      <c r="R543" s="230"/>
      <c r="S543" s="230"/>
      <c r="T543" s="230"/>
      <c r="U543" s="232"/>
      <c r="V543" s="230"/>
      <c r="W543" s="230"/>
      <c r="X543" s="230"/>
      <c r="Y543" s="233"/>
      <c r="Z543" s="232"/>
      <c r="AA543" s="234"/>
      <c r="AB543" s="232"/>
      <c r="AC543" s="373"/>
      <c r="AD543" s="236"/>
      <c r="AE543" s="255"/>
      <c r="AF543" s="255"/>
      <c r="AG543" s="255"/>
      <c r="AH543" s="255"/>
      <c r="AI543" s="255"/>
      <c r="AJ543" s="255"/>
      <c r="AK543" s="255"/>
      <c r="AL543" s="255"/>
      <c r="AM543" s="255"/>
      <c r="AN543" s="255"/>
      <c r="AO543" s="255"/>
      <c r="AP543" s="255"/>
    </row>
    <row r="544" spans="1:42" s="180" customFormat="1" hidden="1">
      <c r="A544" s="313"/>
      <c r="E544" s="4"/>
      <c r="F544" s="4"/>
      <c r="G544" s="4"/>
      <c r="J544" s="4"/>
      <c r="K544" s="4"/>
      <c r="L544" s="4"/>
      <c r="O544" s="4"/>
      <c r="P544" s="4"/>
      <c r="Q544" s="4"/>
      <c r="T544" s="4"/>
      <c r="U544" s="4"/>
      <c r="V544" s="4"/>
      <c r="Y544" s="4"/>
      <c r="Z544" s="4"/>
      <c r="AA544" s="4"/>
      <c r="AB544" s="4"/>
      <c r="AC544" s="4"/>
      <c r="AH544" s="4"/>
      <c r="AI544" s="255"/>
      <c r="AK544" s="193"/>
      <c r="AL544" s="193"/>
      <c r="AM544" s="193"/>
      <c r="AN544" s="193"/>
      <c r="AO544" s="193"/>
      <c r="AP544" s="193"/>
    </row>
    <row r="545" spans="1:42" s="180" customFormat="1" ht="13.5" hidden="1" customHeight="1">
      <c r="A545" s="313"/>
      <c r="B545" s="1518" t="s">
        <v>18</v>
      </c>
      <c r="C545" s="1519">
        <v>46006</v>
      </c>
      <c r="D545" s="1519"/>
      <c r="E545" s="1519"/>
      <c r="F545" s="1519"/>
      <c r="G545" s="365"/>
      <c r="H545" s="1519">
        <v>46007</v>
      </c>
      <c r="I545" s="1519"/>
      <c r="J545" s="1519"/>
      <c r="K545" s="1519"/>
      <c r="L545" s="365"/>
      <c r="M545" s="1519">
        <v>46008</v>
      </c>
      <c r="N545" s="1519"/>
      <c r="O545" s="1519"/>
      <c r="P545" s="1519"/>
      <c r="Q545" s="365"/>
      <c r="R545" s="1519">
        <v>46009</v>
      </c>
      <c r="S545" s="1519"/>
      <c r="T545" s="1519"/>
      <c r="U545" s="1519"/>
      <c r="V545" s="365"/>
      <c r="W545" s="1519">
        <v>46010</v>
      </c>
      <c r="X545" s="1519"/>
      <c r="Y545" s="1519"/>
      <c r="Z545" s="1519"/>
      <c r="AA545" s="1517" t="s">
        <v>19</v>
      </c>
      <c r="AB545" s="1517" t="s">
        <v>20</v>
      </c>
      <c r="AC545" s="4"/>
      <c r="AD545" s="1519">
        <v>46011</v>
      </c>
      <c r="AE545" s="1519"/>
      <c r="AF545" s="1519"/>
      <c r="AG545" s="1517" t="s">
        <v>21</v>
      </c>
      <c r="AH545" s="4"/>
      <c r="AI545" s="368"/>
      <c r="AK545" s="194" t="s">
        <v>84</v>
      </c>
      <c r="AL545" s="366"/>
      <c r="AM545" s="366"/>
      <c r="AN545" s="366"/>
      <c r="AO545" s="366"/>
      <c r="AP545" s="366"/>
    </row>
    <row r="546" spans="1:42" s="180" customFormat="1" hidden="1">
      <c r="A546" s="313"/>
      <c r="B546" s="1518"/>
      <c r="C546" s="21" t="s">
        <v>23</v>
      </c>
      <c r="D546" s="21" t="s">
        <v>24</v>
      </c>
      <c r="E546" s="205" t="s">
        <v>25</v>
      </c>
      <c r="F546" s="18" t="s">
        <v>14</v>
      </c>
      <c r="G546" s="4"/>
      <c r="H546" s="21" t="s">
        <v>23</v>
      </c>
      <c r="I546" s="21" t="s">
        <v>24</v>
      </c>
      <c r="J546" s="18" t="s">
        <v>25</v>
      </c>
      <c r="K546" s="18" t="s">
        <v>14</v>
      </c>
      <c r="L546" s="4"/>
      <c r="M546" s="21" t="s">
        <v>23</v>
      </c>
      <c r="N546" s="21" t="s">
        <v>24</v>
      </c>
      <c r="O546" s="18" t="s">
        <v>25</v>
      </c>
      <c r="P546" s="18" t="s">
        <v>14</v>
      </c>
      <c r="Q546" s="4"/>
      <c r="R546" s="21" t="s">
        <v>23</v>
      </c>
      <c r="S546" s="21" t="s">
        <v>24</v>
      </c>
      <c r="T546" s="18" t="s">
        <v>25</v>
      </c>
      <c r="U546" s="18" t="s">
        <v>14</v>
      </c>
      <c r="V546" s="4"/>
      <c r="W546" s="21" t="s">
        <v>23</v>
      </c>
      <c r="X546" s="21" t="s">
        <v>24</v>
      </c>
      <c r="Y546" s="18" t="s">
        <v>25</v>
      </c>
      <c r="Z546" s="18" t="s">
        <v>14</v>
      </c>
      <c r="AA546" s="1517"/>
      <c r="AB546" s="1517"/>
      <c r="AC546" s="4"/>
      <c r="AD546" s="21" t="s">
        <v>23</v>
      </c>
      <c r="AE546" s="21" t="s">
        <v>24</v>
      </c>
      <c r="AF546" s="18" t="s">
        <v>25</v>
      </c>
      <c r="AG546" s="1517"/>
      <c r="AH546" s="4"/>
      <c r="AI546" s="368"/>
      <c r="AJ546" s="367"/>
      <c r="AK546" s="188" t="s">
        <v>26</v>
      </c>
      <c r="AL546" s="196">
        <f>AA549</f>
        <v>20</v>
      </c>
      <c r="AM546" s="511">
        <v>51.5</v>
      </c>
      <c r="AN546" s="510">
        <f>AL546*AM546</f>
        <v>1030</v>
      </c>
      <c r="AO546" s="193"/>
      <c r="AP546" s="193"/>
    </row>
    <row r="547" spans="1:42" s="180" customFormat="1" hidden="1">
      <c r="A547" s="313"/>
      <c r="B547" s="4" t="s">
        <v>60</v>
      </c>
      <c r="C547" s="441" t="s">
        <v>24</v>
      </c>
      <c r="D547" s="441"/>
      <c r="E547" s="319"/>
      <c r="F547" s="320"/>
      <c r="G547" s="4"/>
      <c r="H547" s="441" t="s">
        <v>137</v>
      </c>
      <c r="I547" s="441"/>
      <c r="J547" s="319"/>
      <c r="K547" s="320"/>
      <c r="L547" s="4"/>
      <c r="M547" s="441" t="s">
        <v>137</v>
      </c>
      <c r="N547" s="441"/>
      <c r="O547" s="319"/>
      <c r="P547" s="320"/>
      <c r="Q547" s="4"/>
      <c r="R547" s="441" t="s">
        <v>137</v>
      </c>
      <c r="S547" s="441"/>
      <c r="T547" s="319"/>
      <c r="U547" s="320"/>
      <c r="V547" s="4"/>
      <c r="W547" s="441" t="s">
        <v>137</v>
      </c>
      <c r="X547" s="441"/>
      <c r="Y547" s="319"/>
      <c r="Z547" s="320"/>
      <c r="AA547" s="328">
        <f>Y547+T547+O547+J547+E547</f>
        <v>0</v>
      </c>
      <c r="AB547" s="298">
        <f>Z547+U547+P547+K547+F547</f>
        <v>0</v>
      </c>
      <c r="AC547" s="4"/>
      <c r="AD547" s="441" t="s">
        <v>954</v>
      </c>
      <c r="AE547" s="441" t="s">
        <v>955</v>
      </c>
      <c r="AF547" s="319">
        <v>8</v>
      </c>
      <c r="AG547" s="328">
        <f>AF547</f>
        <v>8</v>
      </c>
      <c r="AH547" s="4"/>
      <c r="AI547" s="368"/>
      <c r="AJ547" s="367"/>
      <c r="AK547" s="188" t="s">
        <v>30</v>
      </c>
      <c r="AL547" s="196">
        <f>AB549</f>
        <v>0</v>
      </c>
      <c r="AM547" s="511">
        <f>AM546*1.5</f>
        <v>77.25</v>
      </c>
      <c r="AN547" s="510">
        <f>AL547*AM547</f>
        <v>0</v>
      </c>
      <c r="AO547" s="193"/>
      <c r="AP547" s="193"/>
    </row>
    <row r="548" spans="1:42" s="180" customFormat="1" hidden="1">
      <c r="A548" s="313"/>
      <c r="B548" s="4" t="s">
        <v>59</v>
      </c>
      <c r="C548" s="441" t="s">
        <v>222</v>
      </c>
      <c r="D548" s="441" t="s">
        <v>125</v>
      </c>
      <c r="E548" s="319">
        <v>4</v>
      </c>
      <c r="F548" s="320"/>
      <c r="G548" s="4"/>
      <c r="H548" s="441" t="s">
        <v>222</v>
      </c>
      <c r="I548" s="441" t="s">
        <v>125</v>
      </c>
      <c r="J548" s="319">
        <v>4</v>
      </c>
      <c r="K548" s="320"/>
      <c r="L548" s="4"/>
      <c r="M548" s="441" t="s">
        <v>222</v>
      </c>
      <c r="N548" s="441" t="s">
        <v>125</v>
      </c>
      <c r="O548" s="319">
        <v>4</v>
      </c>
      <c r="P548" s="320"/>
      <c r="Q548" s="4"/>
      <c r="R548" s="441" t="s">
        <v>222</v>
      </c>
      <c r="S548" s="441" t="s">
        <v>125</v>
      </c>
      <c r="T548" s="319">
        <v>4</v>
      </c>
      <c r="U548" s="320"/>
      <c r="V548" s="4"/>
      <c r="W548" s="441" t="s">
        <v>222</v>
      </c>
      <c r="X548" s="441" t="s">
        <v>125</v>
      </c>
      <c r="Y548" s="319">
        <v>4</v>
      </c>
      <c r="Z548" s="320"/>
      <c r="AA548" s="328">
        <f>Y548+T548+O548+J548+E548</f>
        <v>20</v>
      </c>
      <c r="AB548" s="298">
        <f>Z548+U548+P548+K548+F548</f>
        <v>0</v>
      </c>
      <c r="AC548" s="4"/>
      <c r="AF548" s="319"/>
      <c r="AG548" s="328">
        <f>AF548</f>
        <v>0</v>
      </c>
      <c r="AH548" s="175"/>
      <c r="AI548" s="402"/>
      <c r="AJ548" s="367"/>
      <c r="AK548" s="188" t="s">
        <v>32</v>
      </c>
      <c r="AL548" s="196">
        <f>AG549</f>
        <v>8</v>
      </c>
      <c r="AM548" s="511">
        <v>75.77</v>
      </c>
      <c r="AN548" s="510">
        <f>AL548*AM548</f>
        <v>606.16</v>
      </c>
      <c r="AO548" s="193"/>
      <c r="AP548" s="193"/>
    </row>
    <row r="549" spans="1:42" s="180" customFormat="1" hidden="1">
      <c r="A549" s="313"/>
      <c r="B549" s="64" t="s">
        <v>61</v>
      </c>
      <c r="C549" s="31"/>
      <c r="D549" s="31"/>
      <c r="E549" s="439">
        <f>SUM(E547:E548)</f>
        <v>4</v>
      </c>
      <c r="F549" s="320">
        <f>SUM(F547:F548)</f>
        <v>0</v>
      </c>
      <c r="G549" s="31"/>
      <c r="H549" s="31"/>
      <c r="I549" s="31"/>
      <c r="J549" s="439">
        <f>SUM(J547:J548)</f>
        <v>4</v>
      </c>
      <c r="K549" s="320">
        <f>SUM(K547:K548)</f>
        <v>0</v>
      </c>
      <c r="L549" s="31"/>
      <c r="M549" s="31"/>
      <c r="N549" s="31"/>
      <c r="O549" s="439">
        <f>SUM(O547:O548)</f>
        <v>4</v>
      </c>
      <c r="P549" s="320">
        <f>SUM(P547:P548)</f>
        <v>0</v>
      </c>
      <c r="Q549" s="31"/>
      <c r="R549" s="31"/>
      <c r="S549" s="31"/>
      <c r="T549" s="439">
        <f>SUM(T547:T548)</f>
        <v>4</v>
      </c>
      <c r="U549" s="320">
        <f>SUM(U547:U548)</f>
        <v>0</v>
      </c>
      <c r="V549" s="31"/>
      <c r="W549" s="31"/>
      <c r="X549" s="31"/>
      <c r="Y549" s="439">
        <f>SUM(Y547:Y548)</f>
        <v>4</v>
      </c>
      <c r="Z549" s="320">
        <f>SUM(Z547:Z548)</f>
        <v>0</v>
      </c>
      <c r="AA549" s="370">
        <f>SUM(AA547:AA548)</f>
        <v>20</v>
      </c>
      <c r="AB549" s="370">
        <f>SUM(AB547:AB548)</f>
        <v>0</v>
      </c>
      <c r="AC549" s="4"/>
      <c r="AD549" s="64"/>
      <c r="AE549" s="64"/>
      <c r="AF549" s="370">
        <f>SUM(AF547:AF548)</f>
        <v>8</v>
      </c>
      <c r="AG549" s="370">
        <f>SUM(AG547:AG548)</f>
        <v>8</v>
      </c>
      <c r="AH549" s="4"/>
      <c r="AI549" s="255"/>
      <c r="AJ549" s="367"/>
      <c r="AK549" s="193"/>
      <c r="AL549" s="193"/>
      <c r="AM549" s="193"/>
      <c r="AN549" s="510">
        <f>SUM(AN546:AN548)</f>
        <v>1636.1599999999999</v>
      </c>
      <c r="AO549" s="193"/>
      <c r="AP549" s="193"/>
    </row>
    <row r="550" spans="1:42" s="180" customFormat="1" hidden="1">
      <c r="A550" s="313"/>
      <c r="E550" s="4"/>
      <c r="F550" s="4"/>
      <c r="G550" s="4"/>
      <c r="J550" s="4"/>
      <c r="K550" s="4"/>
      <c r="L550" s="4"/>
      <c r="O550" s="4"/>
      <c r="P550" s="4"/>
      <c r="Q550" s="4"/>
      <c r="T550" s="4"/>
      <c r="U550" s="4"/>
      <c r="V550" s="4"/>
      <c r="Y550" s="4"/>
      <c r="Z550" s="4"/>
      <c r="AA550" s="4"/>
      <c r="AB550" s="4"/>
      <c r="AC550" s="4"/>
      <c r="AH550" s="4"/>
      <c r="AI550" s="255"/>
      <c r="AK550" s="193"/>
      <c r="AL550" s="193"/>
      <c r="AM550" s="193"/>
      <c r="AN550" s="193"/>
      <c r="AO550" s="193"/>
      <c r="AP550" s="193"/>
    </row>
    <row r="551" spans="1:42" s="180" customFormat="1" hidden="1">
      <c r="A551" s="313"/>
      <c r="B551" s="229"/>
      <c r="C551" s="230"/>
      <c r="D551" s="230"/>
      <c r="E551" s="232"/>
      <c r="F551" s="232"/>
      <c r="G551" s="230"/>
      <c r="H551" s="232"/>
      <c r="I551" s="232"/>
      <c r="J551" s="232"/>
      <c r="K551" s="232"/>
      <c r="L551" s="230"/>
      <c r="M551" s="230"/>
      <c r="N551" s="230"/>
      <c r="O551" s="230"/>
      <c r="P551" s="232"/>
      <c r="Q551" s="230"/>
      <c r="R551" s="230"/>
      <c r="S551" s="230"/>
      <c r="T551" s="230"/>
      <c r="U551" s="232"/>
      <c r="V551" s="230"/>
      <c r="W551" s="230"/>
      <c r="X551" s="230"/>
      <c r="Y551" s="233"/>
      <c r="Z551" s="232"/>
      <c r="AA551" s="234"/>
      <c r="AB551" s="232"/>
      <c r="AC551" s="373"/>
      <c r="AD551" s="236"/>
      <c r="AE551" s="255"/>
      <c r="AF551" s="255"/>
      <c r="AG551" s="255"/>
      <c r="AH551" s="255"/>
      <c r="AI551" s="255"/>
      <c r="AJ551" s="255"/>
      <c r="AK551" s="255"/>
      <c r="AL551" s="255"/>
      <c r="AM551" s="255"/>
      <c r="AN551" s="255"/>
      <c r="AO551" s="255"/>
      <c r="AP551" s="255"/>
    </row>
    <row r="552" spans="1:42" s="180" customFormat="1" hidden="1">
      <c r="A552" s="313"/>
      <c r="E552" s="4"/>
      <c r="F552" s="4"/>
      <c r="G552" s="4"/>
      <c r="J552" s="4"/>
      <c r="K552" s="4"/>
      <c r="L552" s="4"/>
      <c r="O552" s="4"/>
      <c r="P552" s="4"/>
      <c r="Q552" s="4"/>
      <c r="T552" s="4"/>
      <c r="U552" s="4"/>
      <c r="V552" s="4"/>
      <c r="Y552" s="4"/>
      <c r="Z552" s="4"/>
      <c r="AA552" s="4"/>
      <c r="AB552" s="4"/>
      <c r="AC552" s="4"/>
      <c r="AH552" s="4"/>
      <c r="AI552" s="255"/>
      <c r="AK552" s="193"/>
      <c r="AL552" s="193"/>
      <c r="AM552" s="193"/>
      <c r="AN552" s="193"/>
      <c r="AO552" s="193"/>
      <c r="AP552" s="193"/>
    </row>
    <row r="553" spans="1:42" s="180" customFormat="1" ht="13.5" hidden="1" customHeight="1">
      <c r="A553" s="313"/>
      <c r="B553" s="1518" t="s">
        <v>18</v>
      </c>
      <c r="C553" s="1519">
        <v>46013</v>
      </c>
      <c r="D553" s="1519"/>
      <c r="E553" s="1519"/>
      <c r="F553" s="1519"/>
      <c r="G553" s="365"/>
      <c r="H553" s="1519">
        <v>46014</v>
      </c>
      <c r="I553" s="1519"/>
      <c r="J553" s="1519"/>
      <c r="K553" s="1519"/>
      <c r="L553" s="365"/>
      <c r="M553" s="1519">
        <v>46015</v>
      </c>
      <c r="N553" s="1519"/>
      <c r="O553" s="1519"/>
      <c r="P553" s="1519"/>
      <c r="Q553" s="365"/>
      <c r="R553" s="1519">
        <v>46016</v>
      </c>
      <c r="S553" s="1519"/>
      <c r="T553" s="1519"/>
      <c r="U553" s="1519"/>
      <c r="V553" s="365"/>
      <c r="W553" s="1519">
        <v>46017</v>
      </c>
      <c r="X553" s="1519"/>
      <c r="Y553" s="1519"/>
      <c r="Z553" s="1519"/>
      <c r="AA553" s="1517" t="s">
        <v>19</v>
      </c>
      <c r="AB553" s="1517" t="s">
        <v>20</v>
      </c>
      <c r="AC553" s="4"/>
      <c r="AD553" s="1519">
        <v>46018</v>
      </c>
      <c r="AE553" s="1519"/>
      <c r="AF553" s="1519"/>
      <c r="AG553" s="1517" t="s">
        <v>21</v>
      </c>
      <c r="AH553" s="4"/>
      <c r="AI553" s="368"/>
      <c r="AK553" s="194" t="s">
        <v>84</v>
      </c>
      <c r="AL553" s="366"/>
      <c r="AM553" s="366"/>
      <c r="AN553" s="366"/>
      <c r="AO553" s="366"/>
      <c r="AP553" s="366"/>
    </row>
    <row r="554" spans="1:42" s="180" customFormat="1" hidden="1">
      <c r="A554" s="313"/>
      <c r="B554" s="1518"/>
      <c r="C554" s="21" t="s">
        <v>23</v>
      </c>
      <c r="D554" s="21" t="s">
        <v>24</v>
      </c>
      <c r="E554" s="205" t="s">
        <v>25</v>
      </c>
      <c r="F554" s="18" t="s">
        <v>14</v>
      </c>
      <c r="G554" s="4"/>
      <c r="H554" s="21" t="s">
        <v>23</v>
      </c>
      <c r="I554" s="21" t="s">
        <v>24</v>
      </c>
      <c r="J554" s="18" t="s">
        <v>25</v>
      </c>
      <c r="K554" s="18" t="s">
        <v>14</v>
      </c>
      <c r="L554" s="4"/>
      <c r="M554" s="21" t="s">
        <v>23</v>
      </c>
      <c r="N554" s="21" t="s">
        <v>24</v>
      </c>
      <c r="O554" s="18" t="s">
        <v>25</v>
      </c>
      <c r="P554" s="18" t="s">
        <v>14</v>
      </c>
      <c r="Q554" s="4"/>
      <c r="R554" s="21" t="s">
        <v>23</v>
      </c>
      <c r="S554" s="21" t="s">
        <v>24</v>
      </c>
      <c r="T554" s="18" t="s">
        <v>25</v>
      </c>
      <c r="U554" s="18" t="s">
        <v>14</v>
      </c>
      <c r="V554" s="4"/>
      <c r="W554" s="21" t="s">
        <v>23</v>
      </c>
      <c r="X554" s="21" t="s">
        <v>24</v>
      </c>
      <c r="Y554" s="18" t="s">
        <v>25</v>
      </c>
      <c r="Z554" s="18" t="s">
        <v>14</v>
      </c>
      <c r="AA554" s="1517"/>
      <c r="AB554" s="1517"/>
      <c r="AC554" s="4"/>
      <c r="AD554" s="21" t="s">
        <v>23</v>
      </c>
      <c r="AE554" s="21" t="s">
        <v>24</v>
      </c>
      <c r="AF554" s="18" t="s">
        <v>25</v>
      </c>
      <c r="AG554" s="1517"/>
      <c r="AH554" s="4"/>
      <c r="AI554" s="368"/>
      <c r="AJ554" s="367"/>
      <c r="AK554" s="188" t="s">
        <v>26</v>
      </c>
      <c r="AL554" s="196">
        <f>AA557</f>
        <v>40</v>
      </c>
      <c r="AM554" s="511">
        <v>51.5</v>
      </c>
      <c r="AN554" s="510">
        <f>AL554*AM554</f>
        <v>2060</v>
      </c>
      <c r="AO554" s="193"/>
      <c r="AP554" s="193"/>
    </row>
    <row r="555" spans="1:42" s="180" customFormat="1" hidden="1">
      <c r="A555" s="313"/>
      <c r="B555" s="4" t="s">
        <v>60</v>
      </c>
      <c r="C555" s="441" t="s">
        <v>75</v>
      </c>
      <c r="D555" s="441" t="s">
        <v>246</v>
      </c>
      <c r="E555" s="319">
        <v>8</v>
      </c>
      <c r="F555" s="320"/>
      <c r="G555" s="4"/>
      <c r="H555" s="441" t="s">
        <v>75</v>
      </c>
      <c r="I555" s="441" t="s">
        <v>246</v>
      </c>
      <c r="J555" s="319">
        <v>8</v>
      </c>
      <c r="K555" s="320"/>
      <c r="L555" s="4"/>
      <c r="M555" s="441" t="s">
        <v>75</v>
      </c>
      <c r="N555" s="441" t="s">
        <v>246</v>
      </c>
      <c r="O555" s="319">
        <v>8</v>
      </c>
      <c r="P555" s="320"/>
      <c r="Q555" s="4"/>
      <c r="R555" s="441" t="s">
        <v>28</v>
      </c>
      <c r="S555" s="441"/>
      <c r="T555" s="319"/>
      <c r="U555" s="320"/>
      <c r="V555" s="4"/>
      <c r="W555" s="441" t="s">
        <v>75</v>
      </c>
      <c r="X555" s="441" t="s">
        <v>246</v>
      </c>
      <c r="Y555" s="319">
        <v>8</v>
      </c>
      <c r="Z555" s="320"/>
      <c r="AA555" s="328">
        <f>Y555+T555+O555+J555+E555</f>
        <v>32</v>
      </c>
      <c r="AB555" s="298">
        <f>Z555+U555+P555+K555+F555</f>
        <v>0</v>
      </c>
      <c r="AC555" s="4"/>
      <c r="AD555" s="587"/>
      <c r="AE555" s="531"/>
      <c r="AF555" s="319"/>
      <c r="AG555" s="328">
        <f>AF555</f>
        <v>0</v>
      </c>
      <c r="AH555" s="4"/>
      <c r="AI555" s="368"/>
      <c r="AJ555" s="367"/>
      <c r="AK555" s="188" t="s">
        <v>30</v>
      </c>
      <c r="AL555" s="196">
        <f>AB557</f>
        <v>0</v>
      </c>
      <c r="AM555" s="511">
        <f>AM554*1.5</f>
        <v>77.25</v>
      </c>
      <c r="AN555" s="510">
        <f>AL555*AM555</f>
        <v>0</v>
      </c>
      <c r="AO555" s="193"/>
      <c r="AP555" s="193"/>
    </row>
    <row r="556" spans="1:42" s="180" customFormat="1" hidden="1">
      <c r="A556" s="313"/>
      <c r="B556" s="4" t="s">
        <v>59</v>
      </c>
      <c r="C556" s="441" t="s">
        <v>24</v>
      </c>
      <c r="D556" s="441"/>
      <c r="E556" s="319"/>
      <c r="F556" s="320"/>
      <c r="G556" s="4"/>
      <c r="H556" s="441" t="s">
        <v>222</v>
      </c>
      <c r="I556" s="441" t="s">
        <v>125</v>
      </c>
      <c r="J556" s="319">
        <v>4</v>
      </c>
      <c r="K556" s="320"/>
      <c r="L556" s="4"/>
      <c r="M556" s="441" t="s">
        <v>116</v>
      </c>
      <c r="N556" s="441"/>
      <c r="O556" s="319"/>
      <c r="P556" s="320"/>
      <c r="Q556" s="4"/>
      <c r="R556" s="441" t="s">
        <v>28</v>
      </c>
      <c r="S556" s="441"/>
      <c r="T556" s="319"/>
      <c r="U556" s="320"/>
      <c r="V556" s="4"/>
      <c r="W556" s="441" t="s">
        <v>222</v>
      </c>
      <c r="X556" s="441" t="s">
        <v>125</v>
      </c>
      <c r="Y556" s="319">
        <v>4</v>
      </c>
      <c r="Z556" s="320"/>
      <c r="AA556" s="328">
        <f>Y556+T556+O556+J556+E556</f>
        <v>8</v>
      </c>
      <c r="AB556" s="298">
        <f>Z556+U556+P556+K556+F556</f>
        <v>0</v>
      </c>
      <c r="AC556" s="4"/>
      <c r="AF556" s="319"/>
      <c r="AG556" s="328">
        <f>AF556</f>
        <v>0</v>
      </c>
      <c r="AH556" s="175"/>
      <c r="AI556" s="402"/>
      <c r="AJ556" s="367"/>
      <c r="AK556" s="188" t="s">
        <v>32</v>
      </c>
      <c r="AL556" s="196">
        <f>AG557</f>
        <v>0</v>
      </c>
      <c r="AM556" s="511">
        <v>75.77</v>
      </c>
      <c r="AN556" s="510">
        <f>AL556*AM556</f>
        <v>0</v>
      </c>
      <c r="AO556" s="193"/>
      <c r="AP556" s="193"/>
    </row>
    <row r="557" spans="1:42" s="180" customFormat="1" hidden="1">
      <c r="A557" s="313"/>
      <c r="B557" s="64" t="s">
        <v>61</v>
      </c>
      <c r="C557" s="31"/>
      <c r="D557" s="31"/>
      <c r="E557" s="439">
        <f>SUM(E555:E556)</f>
        <v>8</v>
      </c>
      <c r="F557" s="320">
        <f>SUM(F555:F556)</f>
        <v>0</v>
      </c>
      <c r="G557" s="31"/>
      <c r="H557" s="31"/>
      <c r="I557" s="31"/>
      <c r="J557" s="439">
        <f>SUM(J555:J556)</f>
        <v>12</v>
      </c>
      <c r="K557" s="320">
        <f>SUM(K555:K556)</f>
        <v>0</v>
      </c>
      <c r="L557" s="31"/>
      <c r="M557" s="31"/>
      <c r="N557" s="31"/>
      <c r="O557" s="439">
        <f>SUM(O555:O556)</f>
        <v>8</v>
      </c>
      <c r="P557" s="320">
        <f>SUM(P555:P556)</f>
        <v>0</v>
      </c>
      <c r="Q557" s="31"/>
      <c r="R557" s="31"/>
      <c r="S557" s="31"/>
      <c r="T557" s="439">
        <f>SUM(T555:T556)</f>
        <v>0</v>
      </c>
      <c r="U557" s="320">
        <f>SUM(U555:U556)</f>
        <v>0</v>
      </c>
      <c r="V557" s="31"/>
      <c r="W557" s="31"/>
      <c r="X557" s="31"/>
      <c r="Y557" s="439">
        <f>SUM(Y555:Y556)</f>
        <v>12</v>
      </c>
      <c r="Z557" s="320">
        <f>SUM(Z555:Z556)</f>
        <v>0</v>
      </c>
      <c r="AA557" s="370">
        <f>SUM(AA555:AA556)</f>
        <v>40</v>
      </c>
      <c r="AB557" s="370">
        <f>SUM(AB555:AB556)</f>
        <v>0</v>
      </c>
      <c r="AC557" s="4"/>
      <c r="AD557" s="64"/>
      <c r="AE557" s="64"/>
      <c r="AF557" s="370">
        <f>SUM(AF555:AF556)</f>
        <v>0</v>
      </c>
      <c r="AG557" s="370">
        <f>SUM(AG555:AG556)</f>
        <v>0</v>
      </c>
      <c r="AH557" s="4"/>
      <c r="AI557" s="255"/>
      <c r="AJ557" s="367"/>
      <c r="AK557" s="193"/>
      <c r="AL557" s="193"/>
      <c r="AM557" s="193"/>
      <c r="AN557" s="510">
        <f>SUM(AN554:AN556)</f>
        <v>2060</v>
      </c>
      <c r="AO557" s="193"/>
      <c r="AP557" s="193"/>
    </row>
    <row r="558" spans="1:42" s="180" customFormat="1" hidden="1">
      <c r="A558" s="313"/>
      <c r="E558" s="4"/>
      <c r="F558" s="4"/>
      <c r="G558" s="4"/>
      <c r="J558" s="4"/>
      <c r="K558" s="4"/>
      <c r="L558" s="4"/>
      <c r="O558" s="4"/>
      <c r="P558" s="4"/>
      <c r="Q558" s="4"/>
      <c r="T558" s="4"/>
      <c r="U558" s="4"/>
      <c r="V558" s="4"/>
      <c r="Y558" s="4"/>
      <c r="Z558" s="4"/>
      <c r="AA558" s="4"/>
      <c r="AB558" s="4"/>
      <c r="AC558" s="4"/>
      <c r="AH558" s="4"/>
      <c r="AI558" s="255"/>
      <c r="AK558" s="193"/>
      <c r="AL558" s="193"/>
      <c r="AM558" s="193"/>
      <c r="AN558" s="193"/>
      <c r="AO558" s="193"/>
      <c r="AP558" s="193"/>
    </row>
    <row r="559" spans="1:42" s="180" customFormat="1" hidden="1">
      <c r="A559" s="313"/>
      <c r="B559" s="229"/>
      <c r="C559" s="230"/>
      <c r="D559" s="230"/>
      <c r="E559" s="232"/>
      <c r="F559" s="232"/>
      <c r="G559" s="230"/>
      <c r="H559" s="232"/>
      <c r="I559" s="232"/>
      <c r="J559" s="232"/>
      <c r="K559" s="232"/>
      <c r="L559" s="230"/>
      <c r="M559" s="230"/>
      <c r="N559" s="230"/>
      <c r="O559" s="230"/>
      <c r="P559" s="232"/>
      <c r="Q559" s="230"/>
      <c r="R559" s="230"/>
      <c r="S559" s="230"/>
      <c r="T559" s="230"/>
      <c r="U559" s="232"/>
      <c r="V559" s="230"/>
      <c r="W559" s="230"/>
      <c r="X559" s="230"/>
      <c r="Y559" s="233"/>
      <c r="Z559" s="232"/>
      <c r="AA559" s="234"/>
      <c r="AB559" s="232"/>
      <c r="AC559" s="373"/>
      <c r="AD559" s="236"/>
      <c r="AE559" s="255"/>
      <c r="AF559" s="255"/>
      <c r="AG559" s="255"/>
      <c r="AH559" s="255"/>
      <c r="AI559" s="255"/>
      <c r="AJ559" s="255"/>
      <c r="AK559" s="255"/>
      <c r="AL559" s="255"/>
      <c r="AM559" s="255"/>
      <c r="AN559" s="255"/>
      <c r="AO559" s="255"/>
      <c r="AP559" s="255"/>
    </row>
    <row r="560" spans="1:42" s="180" customFormat="1" hidden="1">
      <c r="A560" s="313"/>
      <c r="E560" s="4"/>
      <c r="F560" s="4"/>
      <c r="G560" s="4"/>
      <c r="J560" s="4"/>
      <c r="K560" s="4"/>
      <c r="L560" s="4"/>
      <c r="O560" s="4"/>
      <c r="P560" s="4"/>
      <c r="Q560" s="4"/>
      <c r="T560" s="4"/>
      <c r="U560" s="4"/>
      <c r="V560" s="4"/>
      <c r="Y560" s="4"/>
      <c r="Z560" s="4"/>
      <c r="AA560" s="4"/>
      <c r="AB560" s="4"/>
      <c r="AC560" s="4"/>
      <c r="AH560" s="4"/>
      <c r="AI560" s="255"/>
      <c r="AK560" s="193"/>
      <c r="AL560" s="193"/>
      <c r="AM560" s="193"/>
      <c r="AN560" s="193"/>
      <c r="AO560" s="193"/>
      <c r="AP560" s="193"/>
    </row>
    <row r="561" spans="1:42" s="180" customFormat="1" ht="13.5" hidden="1" customHeight="1">
      <c r="A561" s="313"/>
      <c r="B561" s="1518" t="s">
        <v>18</v>
      </c>
      <c r="C561" s="1519">
        <v>46020</v>
      </c>
      <c r="D561" s="1519"/>
      <c r="E561" s="1519"/>
      <c r="F561" s="1519"/>
      <c r="G561" s="365"/>
      <c r="H561" s="1519">
        <v>46021</v>
      </c>
      <c r="I561" s="1519"/>
      <c r="J561" s="1519"/>
      <c r="K561" s="1519"/>
      <c r="L561" s="365"/>
      <c r="M561" s="1519">
        <v>46022</v>
      </c>
      <c r="N561" s="1519"/>
      <c r="O561" s="1519"/>
      <c r="P561" s="1519"/>
      <c r="Q561" s="365"/>
      <c r="R561" s="1519">
        <v>46023</v>
      </c>
      <c r="S561" s="1519"/>
      <c r="T561" s="1519"/>
      <c r="U561" s="1519"/>
      <c r="V561" s="365"/>
      <c r="W561" s="1519">
        <v>46024</v>
      </c>
      <c r="X561" s="1519"/>
      <c r="Y561" s="1519"/>
      <c r="Z561" s="1519"/>
      <c r="AA561" s="1517" t="s">
        <v>19</v>
      </c>
      <c r="AB561" s="1517" t="s">
        <v>20</v>
      </c>
      <c r="AC561" s="4"/>
      <c r="AD561" s="1519">
        <v>46025</v>
      </c>
      <c r="AE561" s="1519"/>
      <c r="AF561" s="1519"/>
      <c r="AG561" s="1517" t="s">
        <v>21</v>
      </c>
      <c r="AH561" s="4"/>
      <c r="AI561" s="368"/>
      <c r="AK561" s="194" t="s">
        <v>84</v>
      </c>
      <c r="AL561" s="366"/>
      <c r="AM561" s="366"/>
      <c r="AN561" s="366"/>
      <c r="AO561" s="366"/>
      <c r="AP561" s="366"/>
    </row>
    <row r="562" spans="1:42" s="180" customFormat="1" hidden="1">
      <c r="A562" s="313"/>
      <c r="B562" s="1518"/>
      <c r="C562" s="21" t="s">
        <v>23</v>
      </c>
      <c r="D562" s="21" t="s">
        <v>24</v>
      </c>
      <c r="E562" s="205" t="s">
        <v>25</v>
      </c>
      <c r="F562" s="18" t="s">
        <v>14</v>
      </c>
      <c r="G562" s="4"/>
      <c r="H562" s="21" t="s">
        <v>23</v>
      </c>
      <c r="I562" s="21" t="s">
        <v>24</v>
      </c>
      <c r="J562" s="18" t="s">
        <v>25</v>
      </c>
      <c r="K562" s="18" t="s">
        <v>14</v>
      </c>
      <c r="L562" s="4"/>
      <c r="M562" s="21" t="s">
        <v>23</v>
      </c>
      <c r="N562" s="21" t="s">
        <v>24</v>
      </c>
      <c r="O562" s="18" t="s">
        <v>25</v>
      </c>
      <c r="P562" s="18" t="s">
        <v>14</v>
      </c>
      <c r="Q562" s="4"/>
      <c r="R562" s="21" t="s">
        <v>23</v>
      </c>
      <c r="S562" s="21" t="s">
        <v>24</v>
      </c>
      <c r="T562" s="18" t="s">
        <v>25</v>
      </c>
      <c r="U562" s="18" t="s">
        <v>14</v>
      </c>
      <c r="V562" s="4"/>
      <c r="W562" s="21" t="s">
        <v>23</v>
      </c>
      <c r="X562" s="21" t="s">
        <v>24</v>
      </c>
      <c r="Y562" s="18" t="s">
        <v>25</v>
      </c>
      <c r="Z562" s="18" t="s">
        <v>14</v>
      </c>
      <c r="AA562" s="1517"/>
      <c r="AB562" s="1517"/>
      <c r="AC562" s="4"/>
      <c r="AD562" s="21" t="s">
        <v>23</v>
      </c>
      <c r="AE562" s="21" t="s">
        <v>24</v>
      </c>
      <c r="AF562" s="18" t="s">
        <v>25</v>
      </c>
      <c r="AG562" s="1517"/>
      <c r="AH562" s="4"/>
      <c r="AI562" s="368"/>
      <c r="AJ562" s="367"/>
      <c r="AK562" s="188" t="s">
        <v>26</v>
      </c>
      <c r="AL562" s="196">
        <f>AA565</f>
        <v>52</v>
      </c>
      <c r="AM562" s="511">
        <v>51.5</v>
      </c>
      <c r="AN562" s="510">
        <f>AL562*AM562</f>
        <v>2678</v>
      </c>
      <c r="AO562" s="193"/>
      <c r="AP562" s="193"/>
    </row>
    <row r="563" spans="1:42" s="180" customFormat="1" hidden="1">
      <c r="A563" s="313"/>
      <c r="B563" s="4" t="s">
        <v>60</v>
      </c>
      <c r="C563" s="441" t="s">
        <v>75</v>
      </c>
      <c r="D563" s="441" t="s">
        <v>246</v>
      </c>
      <c r="E563" s="319">
        <v>8</v>
      </c>
      <c r="F563" s="320"/>
      <c r="G563" s="4"/>
      <c r="H563" s="441" t="s">
        <v>75</v>
      </c>
      <c r="I563" s="441" t="s">
        <v>246</v>
      </c>
      <c r="J563" s="319">
        <v>8</v>
      </c>
      <c r="K563" s="320"/>
      <c r="L563" s="4"/>
      <c r="M563" s="441" t="s">
        <v>75</v>
      </c>
      <c r="N563" s="441" t="s">
        <v>246</v>
      </c>
      <c r="O563" s="319">
        <v>8</v>
      </c>
      <c r="P563" s="320"/>
      <c r="Q563" s="4"/>
      <c r="R563" s="441" t="s">
        <v>28</v>
      </c>
      <c r="S563" s="441"/>
      <c r="T563" s="319"/>
      <c r="U563" s="320"/>
      <c r="V563" s="4"/>
      <c r="W563" s="441" t="s">
        <v>75</v>
      </c>
      <c r="X563" s="441" t="s">
        <v>246</v>
      </c>
      <c r="Y563" s="319">
        <v>8</v>
      </c>
      <c r="Z563" s="320"/>
      <c r="AA563" s="328">
        <f>Y563+T563+O563+J563+E563</f>
        <v>32</v>
      </c>
      <c r="AB563" s="298">
        <f>Z563+U563+P563+K563+F563</f>
        <v>0</v>
      </c>
      <c r="AC563" s="4"/>
      <c r="AD563" s="587"/>
      <c r="AE563" s="531"/>
      <c r="AF563" s="319"/>
      <c r="AG563" s="328">
        <f>AF563</f>
        <v>0</v>
      </c>
      <c r="AH563" s="4"/>
      <c r="AI563" s="368"/>
      <c r="AJ563" s="367"/>
      <c r="AK563" s="188" t="s">
        <v>30</v>
      </c>
      <c r="AL563" s="196">
        <f>AB565</f>
        <v>0</v>
      </c>
      <c r="AM563" s="511">
        <f>AM562*1.5</f>
        <v>77.25</v>
      </c>
      <c r="AN563" s="510">
        <f>AL563*AM563</f>
        <v>0</v>
      </c>
      <c r="AO563" s="193"/>
      <c r="AP563" s="193"/>
    </row>
    <row r="564" spans="1:42" s="180" customFormat="1" hidden="1">
      <c r="A564" s="313"/>
      <c r="B564" s="4" t="s">
        <v>59</v>
      </c>
      <c r="C564" s="441" t="s">
        <v>222</v>
      </c>
      <c r="D564" s="441" t="s">
        <v>125</v>
      </c>
      <c r="E564" s="319">
        <v>4</v>
      </c>
      <c r="F564" s="320"/>
      <c r="G564" s="4"/>
      <c r="H564" s="441" t="s">
        <v>222</v>
      </c>
      <c r="I564" s="441" t="s">
        <v>125</v>
      </c>
      <c r="J564" s="319">
        <v>4</v>
      </c>
      <c r="K564" s="320"/>
      <c r="L564" s="4"/>
      <c r="M564" s="441" t="s">
        <v>222</v>
      </c>
      <c r="N564" s="441" t="s">
        <v>125</v>
      </c>
      <c r="O564" s="319">
        <v>4</v>
      </c>
      <c r="P564" s="320"/>
      <c r="Q564" s="4"/>
      <c r="R564" s="441" t="s">
        <v>222</v>
      </c>
      <c r="S564" s="441" t="s">
        <v>125</v>
      </c>
      <c r="T564" s="544">
        <v>4</v>
      </c>
      <c r="U564" s="320"/>
      <c r="V564" s="4"/>
      <c r="W564" s="441" t="s">
        <v>222</v>
      </c>
      <c r="X564" s="441" t="s">
        <v>125</v>
      </c>
      <c r="Y564" s="319">
        <v>4</v>
      </c>
      <c r="Z564" s="320"/>
      <c r="AA564" s="328">
        <f>Y564+T564+O564+J564+E564</f>
        <v>20</v>
      </c>
      <c r="AB564" s="298">
        <f>Z564+U564+P564+K564+F564</f>
        <v>0</v>
      </c>
      <c r="AC564" s="4"/>
      <c r="AF564" s="319"/>
      <c r="AG564" s="328">
        <f>AF564</f>
        <v>0</v>
      </c>
      <c r="AH564" s="175"/>
      <c r="AI564" s="402"/>
      <c r="AJ564" s="367"/>
      <c r="AK564" s="188" t="s">
        <v>32</v>
      </c>
      <c r="AL564" s="196">
        <f>AG565</f>
        <v>0</v>
      </c>
      <c r="AM564" s="511">
        <v>75.77</v>
      </c>
      <c r="AN564" s="510">
        <f>AL564*AM564</f>
        <v>0</v>
      </c>
      <c r="AO564" s="193"/>
      <c r="AP564" s="193"/>
    </row>
    <row r="565" spans="1:42" s="180" customFormat="1" hidden="1">
      <c r="A565" s="313"/>
      <c r="B565" s="64" t="s">
        <v>61</v>
      </c>
      <c r="C565" s="31"/>
      <c r="D565" s="31"/>
      <c r="E565" s="439">
        <f>SUM(E563:E564)</f>
        <v>12</v>
      </c>
      <c r="F565" s="320">
        <f>SUM(F563:F564)</f>
        <v>0</v>
      </c>
      <c r="G565" s="31"/>
      <c r="H565" s="31"/>
      <c r="I565" s="31"/>
      <c r="J565" s="439">
        <f>SUM(J563:J564)</f>
        <v>12</v>
      </c>
      <c r="K565" s="320">
        <f>SUM(K563:K564)</f>
        <v>0</v>
      </c>
      <c r="L565" s="31"/>
      <c r="M565" s="31"/>
      <c r="N565" s="31"/>
      <c r="O565" s="439">
        <f>SUM(O563:O564)</f>
        <v>12</v>
      </c>
      <c r="P565" s="320">
        <f>SUM(P563:P564)</f>
        <v>0</v>
      </c>
      <c r="Q565" s="31"/>
      <c r="R565" s="31"/>
      <c r="S565" s="31"/>
      <c r="T565" s="439">
        <f>SUM(T563:T564)</f>
        <v>4</v>
      </c>
      <c r="U565" s="320">
        <f>SUM(U563:U564)</f>
        <v>0</v>
      </c>
      <c r="V565" s="31"/>
      <c r="W565" s="31"/>
      <c r="X565" s="31"/>
      <c r="Y565" s="439">
        <f>SUM(Y563:Y564)</f>
        <v>12</v>
      </c>
      <c r="Z565" s="320">
        <f>SUM(Z563:Z564)</f>
        <v>0</v>
      </c>
      <c r="AA565" s="370">
        <f>SUM(AA563:AA564)</f>
        <v>52</v>
      </c>
      <c r="AB565" s="370">
        <f>SUM(AB563:AB564)</f>
        <v>0</v>
      </c>
      <c r="AC565" s="4"/>
      <c r="AD565" s="64"/>
      <c r="AE565" s="64"/>
      <c r="AF565" s="370">
        <f>SUM(AF563:AF564)</f>
        <v>0</v>
      </c>
      <c r="AG565" s="370">
        <f>SUM(AG563:AG564)</f>
        <v>0</v>
      </c>
      <c r="AH565" s="4"/>
      <c r="AI565" s="255"/>
      <c r="AJ565" s="367"/>
      <c r="AK565" s="193"/>
      <c r="AL565" s="193"/>
      <c r="AM565" s="193"/>
      <c r="AN565" s="510">
        <f>SUM(AN562:AN564)</f>
        <v>2678</v>
      </c>
      <c r="AO565" s="193"/>
      <c r="AP565" s="193"/>
    </row>
    <row r="566" spans="1:42" s="180" customFormat="1" hidden="1">
      <c r="A566" s="313"/>
      <c r="E566" s="4"/>
      <c r="F566" s="4"/>
      <c r="G566" s="4"/>
      <c r="J566" s="4"/>
      <c r="K566" s="4"/>
      <c r="L566" s="4"/>
      <c r="O566" s="4"/>
      <c r="P566" s="4"/>
      <c r="Q566" s="4"/>
      <c r="T566" s="4"/>
      <c r="U566" s="4"/>
      <c r="V566" s="4"/>
      <c r="Y566" s="4"/>
      <c r="Z566" s="4"/>
      <c r="AA566" s="4"/>
      <c r="AB566" s="4"/>
      <c r="AC566" s="4"/>
      <c r="AH566" s="4"/>
      <c r="AI566" s="255"/>
      <c r="AK566" s="193"/>
      <c r="AL566" s="193"/>
      <c r="AM566" s="193"/>
      <c r="AN566" s="193"/>
      <c r="AO566" s="193"/>
      <c r="AP566" s="193"/>
    </row>
    <row r="567" spans="1:42" s="180" customFormat="1" hidden="1">
      <c r="A567" s="313"/>
      <c r="B567" s="229"/>
      <c r="C567" s="230"/>
      <c r="D567" s="230"/>
      <c r="E567" s="232"/>
      <c r="F567" s="232"/>
      <c r="G567" s="230"/>
      <c r="H567" s="232"/>
      <c r="I567" s="232"/>
      <c r="J567" s="232"/>
      <c r="K567" s="232"/>
      <c r="L567" s="230"/>
      <c r="M567" s="230"/>
      <c r="N567" s="230"/>
      <c r="O567" s="230"/>
      <c r="P567" s="232"/>
      <c r="Q567" s="230"/>
      <c r="R567" s="230"/>
      <c r="S567" s="230"/>
      <c r="T567" s="230"/>
      <c r="U567" s="232"/>
      <c r="V567" s="230"/>
      <c r="W567" s="230"/>
      <c r="X567" s="230"/>
      <c r="Y567" s="233"/>
      <c r="Z567" s="232"/>
      <c r="AA567" s="234"/>
      <c r="AB567" s="232"/>
      <c r="AC567" s="373"/>
      <c r="AD567" s="236"/>
      <c r="AE567" s="255"/>
      <c r="AF567" s="255"/>
      <c r="AG567" s="255"/>
      <c r="AH567" s="255"/>
      <c r="AI567" s="255"/>
      <c r="AJ567" s="255"/>
      <c r="AK567" s="255"/>
      <c r="AL567" s="255"/>
      <c r="AM567" s="255"/>
      <c r="AN567" s="255"/>
      <c r="AO567" s="255"/>
      <c r="AP567" s="255"/>
    </row>
    <row r="568" spans="1:42" s="180" customFormat="1" hidden="1">
      <c r="A568" s="313"/>
      <c r="E568" s="4"/>
      <c r="F568" s="4"/>
      <c r="G568" s="4"/>
      <c r="J568" s="4"/>
      <c r="K568" s="4"/>
      <c r="L568" s="4"/>
      <c r="O568" s="4"/>
      <c r="P568" s="4"/>
      <c r="Q568" s="4"/>
      <c r="T568" s="4"/>
      <c r="U568" s="4"/>
      <c r="V568" s="4"/>
      <c r="Y568" s="4"/>
      <c r="Z568" s="4"/>
      <c r="AA568" s="4"/>
      <c r="AB568" s="4"/>
      <c r="AC568" s="4"/>
      <c r="AH568" s="4"/>
      <c r="AI568" s="255"/>
      <c r="AK568" s="193"/>
      <c r="AL568" s="193"/>
      <c r="AM568" s="193"/>
      <c r="AN568" s="193"/>
      <c r="AO568" s="193"/>
      <c r="AP568" s="193"/>
    </row>
    <row r="569" spans="1:42" s="180" customFormat="1" hidden="1">
      <c r="A569" s="313"/>
      <c r="B569" s="1518" t="s">
        <v>18</v>
      </c>
      <c r="C569" s="1519">
        <v>46027</v>
      </c>
      <c r="D569" s="1519"/>
      <c r="E569" s="1519"/>
      <c r="F569" s="1519"/>
      <c r="G569" s="365"/>
      <c r="H569" s="1519">
        <v>46028</v>
      </c>
      <c r="I569" s="1519"/>
      <c r="J569" s="1519"/>
      <c r="K569" s="1519"/>
      <c r="L569" s="365"/>
      <c r="M569" s="1519">
        <v>46029</v>
      </c>
      <c r="N569" s="1519"/>
      <c r="O569" s="1519"/>
      <c r="P569" s="1519"/>
      <c r="Q569" s="365"/>
      <c r="R569" s="1519">
        <v>46030</v>
      </c>
      <c r="S569" s="1519"/>
      <c r="T569" s="1519"/>
      <c r="U569" s="1519"/>
      <c r="V569" s="365"/>
      <c r="W569" s="1519">
        <v>46031</v>
      </c>
      <c r="X569" s="1519"/>
      <c r="Y569" s="1519"/>
      <c r="Z569" s="1519"/>
      <c r="AA569" s="1517" t="s">
        <v>19</v>
      </c>
      <c r="AB569" s="1517" t="s">
        <v>20</v>
      </c>
      <c r="AC569" s="4"/>
      <c r="AD569" s="1519">
        <v>46032</v>
      </c>
      <c r="AE569" s="1519"/>
      <c r="AF569" s="1519"/>
      <c r="AG569" s="1517" t="s">
        <v>21</v>
      </c>
      <c r="AH569" s="4"/>
      <c r="AI569" s="368"/>
      <c r="AK569" s="194" t="s">
        <v>84</v>
      </c>
      <c r="AL569" s="366"/>
      <c r="AM569" s="366"/>
      <c r="AN569" s="366"/>
      <c r="AO569" s="366"/>
      <c r="AP569" s="366"/>
    </row>
    <row r="570" spans="1:42" s="180" customFormat="1" hidden="1">
      <c r="A570" s="313"/>
      <c r="B570" s="1518"/>
      <c r="C570" s="21" t="s">
        <v>23</v>
      </c>
      <c r="D570" s="21" t="s">
        <v>24</v>
      </c>
      <c r="E570" s="205" t="s">
        <v>25</v>
      </c>
      <c r="F570" s="18" t="s">
        <v>14</v>
      </c>
      <c r="G570" s="4"/>
      <c r="H570" s="21" t="s">
        <v>23</v>
      </c>
      <c r="I570" s="21" t="s">
        <v>24</v>
      </c>
      <c r="J570" s="18" t="s">
        <v>25</v>
      </c>
      <c r="K570" s="18" t="s">
        <v>14</v>
      </c>
      <c r="L570" s="4"/>
      <c r="M570" s="21" t="s">
        <v>23</v>
      </c>
      <c r="N570" s="21" t="s">
        <v>24</v>
      </c>
      <c r="O570" s="18" t="s">
        <v>25</v>
      </c>
      <c r="P570" s="18" t="s">
        <v>14</v>
      </c>
      <c r="Q570" s="4"/>
      <c r="R570" s="21" t="s">
        <v>23</v>
      </c>
      <c r="S570" s="21" t="s">
        <v>24</v>
      </c>
      <c r="T570" s="18" t="s">
        <v>25</v>
      </c>
      <c r="U570" s="18" t="s">
        <v>14</v>
      </c>
      <c r="V570" s="4"/>
      <c r="W570" s="21" t="s">
        <v>23</v>
      </c>
      <c r="X570" s="21" t="s">
        <v>24</v>
      </c>
      <c r="Y570" s="18" t="s">
        <v>25</v>
      </c>
      <c r="Z570" s="18" t="s">
        <v>14</v>
      </c>
      <c r="AA570" s="1517"/>
      <c r="AB570" s="1517"/>
      <c r="AC570" s="4"/>
      <c r="AD570" s="21" t="s">
        <v>23</v>
      </c>
      <c r="AE570" s="21" t="s">
        <v>24</v>
      </c>
      <c r="AF570" s="18" t="s">
        <v>25</v>
      </c>
      <c r="AG570" s="1517"/>
      <c r="AH570" s="4"/>
      <c r="AI570" s="368"/>
      <c r="AJ570" s="367"/>
      <c r="AK570" s="188" t="s">
        <v>26</v>
      </c>
      <c r="AL570" s="196">
        <f>AA573</f>
        <v>60</v>
      </c>
      <c r="AM570" s="511">
        <v>51.5</v>
      </c>
      <c r="AN570" s="510">
        <f>AL570*AM570</f>
        <v>3090</v>
      </c>
      <c r="AO570" s="193"/>
      <c r="AP570" s="193"/>
    </row>
    <row r="571" spans="1:42" s="180" customFormat="1" hidden="1">
      <c r="A571" s="313"/>
      <c r="B571" s="4" t="s">
        <v>60</v>
      </c>
      <c r="C571" s="441" t="s">
        <v>75</v>
      </c>
      <c r="D571" s="441" t="s">
        <v>246</v>
      </c>
      <c r="E571" s="319">
        <v>8</v>
      </c>
      <c r="F571" s="320"/>
      <c r="G571" s="4"/>
      <c r="H571" s="441" t="s">
        <v>75</v>
      </c>
      <c r="I571" s="441" t="s">
        <v>246</v>
      </c>
      <c r="J571" s="319">
        <v>8</v>
      </c>
      <c r="K571" s="320"/>
      <c r="L571" s="4"/>
      <c r="M571" s="441" t="s">
        <v>75</v>
      </c>
      <c r="N571" s="441" t="s">
        <v>246</v>
      </c>
      <c r="O571" s="319">
        <v>8</v>
      </c>
      <c r="P571" s="320"/>
      <c r="Q571" s="4"/>
      <c r="R571" s="441" t="s">
        <v>75</v>
      </c>
      <c r="S571" s="441" t="s">
        <v>246</v>
      </c>
      <c r="T571" s="319">
        <v>8</v>
      </c>
      <c r="U571" s="320"/>
      <c r="V571" s="4"/>
      <c r="W571" s="441" t="s">
        <v>75</v>
      </c>
      <c r="X571" s="441" t="s">
        <v>246</v>
      </c>
      <c r="Y571" s="319">
        <v>8</v>
      </c>
      <c r="Z571" s="320"/>
      <c r="AA571" s="328">
        <f>Y571+T571+O571+J571+E571</f>
        <v>40</v>
      </c>
      <c r="AB571" s="298">
        <f>Z571+U571+P571+K571+F571</f>
        <v>0</v>
      </c>
      <c r="AC571" s="4"/>
      <c r="AD571" s="587"/>
      <c r="AE571" s="531"/>
      <c r="AF571" s="319"/>
      <c r="AG571" s="328">
        <f>AF571</f>
        <v>0</v>
      </c>
      <c r="AH571" s="4"/>
      <c r="AI571" s="368"/>
      <c r="AJ571" s="367"/>
      <c r="AK571" s="188" t="s">
        <v>30</v>
      </c>
      <c r="AL571" s="196">
        <f>AB573</f>
        <v>0</v>
      </c>
      <c r="AM571" s="511">
        <f>AM570*1.5</f>
        <v>77.25</v>
      </c>
      <c r="AN571" s="510">
        <f>AL571*AM571</f>
        <v>0</v>
      </c>
      <c r="AO571" s="193"/>
      <c r="AP571" s="193"/>
    </row>
    <row r="572" spans="1:42" s="180" customFormat="1" hidden="1">
      <c r="A572" s="313"/>
      <c r="B572" s="4" t="s">
        <v>59</v>
      </c>
      <c r="C572" s="441" t="s">
        <v>222</v>
      </c>
      <c r="D572" s="441" t="s">
        <v>125</v>
      </c>
      <c r="E572" s="319">
        <v>4</v>
      </c>
      <c r="F572" s="320"/>
      <c r="G572" s="4"/>
      <c r="H572" s="441" t="s">
        <v>222</v>
      </c>
      <c r="I572" s="441" t="s">
        <v>125</v>
      </c>
      <c r="J572" s="319">
        <v>4</v>
      </c>
      <c r="K572" s="320"/>
      <c r="L572" s="4"/>
      <c r="M572" s="441" t="s">
        <v>222</v>
      </c>
      <c r="N572" s="441" t="s">
        <v>125</v>
      </c>
      <c r="O572" s="319">
        <v>4</v>
      </c>
      <c r="P572" s="320"/>
      <c r="Q572" s="4"/>
      <c r="R572" s="441" t="s">
        <v>222</v>
      </c>
      <c r="S572" s="441" t="s">
        <v>125</v>
      </c>
      <c r="T572" s="319">
        <v>4</v>
      </c>
      <c r="U572" s="320"/>
      <c r="V572" s="4"/>
      <c r="W572" s="441" t="s">
        <v>222</v>
      </c>
      <c r="X572" s="441" t="s">
        <v>125</v>
      </c>
      <c r="Y572" s="319">
        <v>4</v>
      </c>
      <c r="Z572" s="320"/>
      <c r="AA572" s="328">
        <f>Y572+T572+O572+J572+E572</f>
        <v>20</v>
      </c>
      <c r="AB572" s="298">
        <f>Z572+U572+P572+K572+F572</f>
        <v>0</v>
      </c>
      <c r="AC572" s="4"/>
      <c r="AF572" s="319"/>
      <c r="AG572" s="328">
        <f>AF572</f>
        <v>0</v>
      </c>
      <c r="AH572" s="175"/>
      <c r="AI572" s="402"/>
      <c r="AJ572" s="367"/>
      <c r="AK572" s="188" t="s">
        <v>32</v>
      </c>
      <c r="AL572" s="196">
        <f>AG573</f>
        <v>0</v>
      </c>
      <c r="AM572" s="511">
        <v>75.77</v>
      </c>
      <c r="AN572" s="510">
        <f>AL572*AM572</f>
        <v>0</v>
      </c>
      <c r="AO572" s="193"/>
      <c r="AP572" s="193"/>
    </row>
    <row r="573" spans="1:42" s="180" customFormat="1" hidden="1">
      <c r="A573" s="313"/>
      <c r="B573" s="64" t="s">
        <v>61</v>
      </c>
      <c r="C573" s="31"/>
      <c r="D573" s="31"/>
      <c r="E573" s="439">
        <f>SUM(E571:E572)</f>
        <v>12</v>
      </c>
      <c r="F573" s="320">
        <f>SUM(F571:F572)</f>
        <v>0</v>
      </c>
      <c r="G573" s="31"/>
      <c r="H573" s="31"/>
      <c r="I573" s="31"/>
      <c r="J573" s="439">
        <f>SUM(J571:J572)</f>
        <v>12</v>
      </c>
      <c r="K573" s="320">
        <f>SUM(K571:K572)</f>
        <v>0</v>
      </c>
      <c r="L573" s="31"/>
      <c r="M573" s="31"/>
      <c r="N573" s="31"/>
      <c r="O573" s="439">
        <f>SUM(O571:O572)</f>
        <v>12</v>
      </c>
      <c r="P573" s="320">
        <f>SUM(P571:P572)</f>
        <v>0</v>
      </c>
      <c r="Q573" s="31"/>
      <c r="R573" s="31"/>
      <c r="S573" s="31"/>
      <c r="T573" s="439">
        <f>SUM(T571:T572)</f>
        <v>12</v>
      </c>
      <c r="U573" s="320">
        <f>SUM(U571:U572)</f>
        <v>0</v>
      </c>
      <c r="V573" s="31"/>
      <c r="W573" s="31"/>
      <c r="X573" s="31"/>
      <c r="Y573" s="439">
        <f>SUM(Y571:Y572)</f>
        <v>12</v>
      </c>
      <c r="Z573" s="320">
        <f>SUM(Z571:Z572)</f>
        <v>0</v>
      </c>
      <c r="AA573" s="370">
        <f>SUM(AA571:AA572)</f>
        <v>60</v>
      </c>
      <c r="AB573" s="370">
        <f>SUM(AB571:AB572)</f>
        <v>0</v>
      </c>
      <c r="AC573" s="4"/>
      <c r="AD573" s="64"/>
      <c r="AE573" s="64"/>
      <c r="AF573" s="370">
        <f>SUM(AF571:AF572)</f>
        <v>0</v>
      </c>
      <c r="AG573" s="370">
        <f>SUM(AG571:AG572)</f>
        <v>0</v>
      </c>
      <c r="AH573" s="4"/>
      <c r="AI573" s="255"/>
      <c r="AJ573" s="367"/>
      <c r="AK573" s="193"/>
      <c r="AL573" s="193"/>
      <c r="AM573" s="193"/>
      <c r="AN573" s="510">
        <f>SUM(AN570:AN572)</f>
        <v>3090</v>
      </c>
      <c r="AO573" s="193"/>
      <c r="AP573" s="193"/>
    </row>
    <row r="574" spans="1:42" s="180" customFormat="1" hidden="1">
      <c r="A574" s="313"/>
      <c r="E574" s="4"/>
      <c r="F574" s="4"/>
      <c r="G574" s="4"/>
      <c r="J574" s="4"/>
      <c r="K574" s="4"/>
      <c r="L574" s="4"/>
      <c r="O574" s="4"/>
      <c r="P574" s="4"/>
      <c r="Q574" s="4"/>
      <c r="T574" s="4"/>
      <c r="U574" s="4"/>
      <c r="V574" s="4"/>
      <c r="Y574" s="4"/>
      <c r="Z574" s="4"/>
      <c r="AA574" s="4"/>
      <c r="AB574" s="4"/>
      <c r="AC574" s="4"/>
      <c r="AH574" s="4"/>
      <c r="AI574" s="255"/>
      <c r="AK574" s="193"/>
      <c r="AL574" s="193"/>
      <c r="AM574" s="193"/>
      <c r="AN574" s="193"/>
      <c r="AO574" s="193"/>
      <c r="AP574" s="193"/>
    </row>
    <row r="575" spans="1:42" s="180" customFormat="1" hidden="1">
      <c r="A575" s="313"/>
      <c r="B575" s="229"/>
      <c r="C575" s="230"/>
      <c r="D575" s="230"/>
      <c r="E575" s="232"/>
      <c r="F575" s="232"/>
      <c r="G575" s="230"/>
      <c r="H575" s="232"/>
      <c r="I575" s="232"/>
      <c r="J575" s="232"/>
      <c r="K575" s="232"/>
      <c r="L575" s="230"/>
      <c r="M575" s="230"/>
      <c r="N575" s="230"/>
      <c r="O575" s="230"/>
      <c r="P575" s="232"/>
      <c r="Q575" s="230"/>
      <c r="R575" s="230"/>
      <c r="S575" s="230"/>
      <c r="T575" s="230"/>
      <c r="U575" s="232"/>
      <c r="V575" s="230"/>
      <c r="W575" s="230"/>
      <c r="X575" s="230"/>
      <c r="Y575" s="233"/>
      <c r="Z575" s="232"/>
      <c r="AA575" s="234"/>
      <c r="AB575" s="232"/>
      <c r="AC575" s="373"/>
      <c r="AD575" s="236"/>
      <c r="AE575" s="255"/>
      <c r="AF575" s="255"/>
      <c r="AG575" s="255"/>
      <c r="AH575" s="255"/>
      <c r="AI575" s="255"/>
      <c r="AJ575" s="255"/>
      <c r="AK575" s="255"/>
      <c r="AL575" s="255"/>
      <c r="AM575" s="255"/>
      <c r="AN575" s="255"/>
      <c r="AO575" s="255"/>
      <c r="AP575" s="255"/>
    </row>
    <row r="576" spans="1:42" s="180" customFormat="1" hidden="1">
      <c r="A576" s="313"/>
      <c r="E576" s="4"/>
      <c r="F576" s="4"/>
      <c r="G576" s="4"/>
      <c r="J576" s="4"/>
      <c r="K576" s="4"/>
      <c r="L576" s="4"/>
      <c r="O576" s="4"/>
      <c r="P576" s="4"/>
      <c r="Q576" s="4"/>
      <c r="T576" s="4"/>
      <c r="U576" s="4"/>
      <c r="V576" s="4"/>
      <c r="Y576" s="4"/>
      <c r="Z576" s="4"/>
      <c r="AA576" s="4"/>
      <c r="AB576" s="4"/>
      <c r="AC576" s="4"/>
      <c r="AH576" s="4"/>
      <c r="AI576" s="255"/>
      <c r="AK576" s="193"/>
      <c r="AL576" s="193"/>
      <c r="AM576" s="193"/>
      <c r="AN576" s="193"/>
      <c r="AO576" s="193"/>
      <c r="AP576" s="193"/>
    </row>
    <row r="577" spans="1:42" s="180" customFormat="1" hidden="1">
      <c r="A577" s="313"/>
      <c r="B577" s="1518" t="s">
        <v>18</v>
      </c>
      <c r="C577" s="1519">
        <v>46034</v>
      </c>
      <c r="D577" s="1519"/>
      <c r="E577" s="1519"/>
      <c r="F577" s="1519"/>
      <c r="G577" s="365"/>
      <c r="H577" s="1519">
        <v>46035</v>
      </c>
      <c r="I577" s="1519"/>
      <c r="J577" s="1519"/>
      <c r="K577" s="1519"/>
      <c r="L577" s="365"/>
      <c r="M577" s="1519">
        <v>46036</v>
      </c>
      <c r="N577" s="1519"/>
      <c r="O577" s="1519"/>
      <c r="P577" s="1519"/>
      <c r="Q577" s="365"/>
      <c r="R577" s="1519">
        <v>46037</v>
      </c>
      <c r="S577" s="1519"/>
      <c r="T577" s="1519"/>
      <c r="U577" s="1519"/>
      <c r="V577" s="365"/>
      <c r="W577" s="1519">
        <v>46038</v>
      </c>
      <c r="X577" s="1519"/>
      <c r="Y577" s="1519"/>
      <c r="Z577" s="1519"/>
      <c r="AA577" s="1517" t="s">
        <v>19</v>
      </c>
      <c r="AB577" s="1517" t="s">
        <v>20</v>
      </c>
      <c r="AC577" s="4"/>
      <c r="AD577" s="1519">
        <v>46039</v>
      </c>
      <c r="AE577" s="1519"/>
      <c r="AF577" s="1519"/>
      <c r="AG577" s="1517" t="s">
        <v>21</v>
      </c>
      <c r="AH577" s="4"/>
      <c r="AI577" s="368"/>
      <c r="AK577" s="194" t="s">
        <v>84</v>
      </c>
      <c r="AL577" s="366"/>
      <c r="AM577" s="366"/>
      <c r="AN577" s="366"/>
      <c r="AO577" s="366"/>
      <c r="AP577" s="366"/>
    </row>
    <row r="578" spans="1:42" s="180" customFormat="1" hidden="1">
      <c r="A578" s="313"/>
      <c r="B578" s="1518"/>
      <c r="C578" s="21" t="s">
        <v>23</v>
      </c>
      <c r="D578" s="21" t="s">
        <v>24</v>
      </c>
      <c r="E578" s="205" t="s">
        <v>25</v>
      </c>
      <c r="F578" s="18" t="s">
        <v>14</v>
      </c>
      <c r="G578" s="4"/>
      <c r="H578" s="21" t="s">
        <v>23</v>
      </c>
      <c r="I578" s="21" t="s">
        <v>24</v>
      </c>
      <c r="J578" s="18" t="s">
        <v>25</v>
      </c>
      <c r="K578" s="18" t="s">
        <v>14</v>
      </c>
      <c r="L578" s="4"/>
      <c r="M578" s="21" t="s">
        <v>23</v>
      </c>
      <c r="N578" s="21" t="s">
        <v>24</v>
      </c>
      <c r="O578" s="18" t="s">
        <v>25</v>
      </c>
      <c r="P578" s="18" t="s">
        <v>14</v>
      </c>
      <c r="Q578" s="4"/>
      <c r="R578" s="21" t="s">
        <v>23</v>
      </c>
      <c r="S578" s="21" t="s">
        <v>24</v>
      </c>
      <c r="T578" s="18" t="s">
        <v>25</v>
      </c>
      <c r="U578" s="18" t="s">
        <v>14</v>
      </c>
      <c r="V578" s="4"/>
      <c r="W578" s="21" t="s">
        <v>23</v>
      </c>
      <c r="X578" s="21" t="s">
        <v>24</v>
      </c>
      <c r="Y578" s="18" t="s">
        <v>25</v>
      </c>
      <c r="Z578" s="18" t="s">
        <v>14</v>
      </c>
      <c r="AA578" s="1517"/>
      <c r="AB578" s="1517"/>
      <c r="AC578" s="4"/>
      <c r="AD578" s="21" t="s">
        <v>23</v>
      </c>
      <c r="AE578" s="21" t="s">
        <v>24</v>
      </c>
      <c r="AF578" s="18" t="s">
        <v>25</v>
      </c>
      <c r="AG578" s="1517"/>
      <c r="AH578" s="4"/>
      <c r="AI578" s="368"/>
      <c r="AJ578" s="367"/>
      <c r="AK578" s="188" t="s">
        <v>26</v>
      </c>
      <c r="AL578" s="196">
        <f>AA581</f>
        <v>60</v>
      </c>
      <c r="AM578" s="511">
        <v>51.5</v>
      </c>
      <c r="AN578" s="510">
        <f>AL578*AM578</f>
        <v>3090</v>
      </c>
      <c r="AO578" s="193"/>
      <c r="AP578" s="193"/>
    </row>
    <row r="579" spans="1:42" s="180" customFormat="1" hidden="1">
      <c r="A579" s="313"/>
      <c r="B579" s="4" t="s">
        <v>60</v>
      </c>
      <c r="C579" s="441" t="s">
        <v>75</v>
      </c>
      <c r="D579" s="441" t="s">
        <v>246</v>
      </c>
      <c r="E579" s="319">
        <v>8</v>
      </c>
      <c r="F579" s="320"/>
      <c r="G579" s="4"/>
      <c r="H579" s="441" t="s">
        <v>75</v>
      </c>
      <c r="I579" s="441" t="s">
        <v>246</v>
      </c>
      <c r="J579" s="319">
        <v>8</v>
      </c>
      <c r="K579" s="320"/>
      <c r="L579" s="4"/>
      <c r="M579" s="441" t="s">
        <v>75</v>
      </c>
      <c r="N579" s="441" t="s">
        <v>246</v>
      </c>
      <c r="O579" s="319">
        <v>8</v>
      </c>
      <c r="P579" s="320"/>
      <c r="Q579" s="4"/>
      <c r="R579" s="441" t="s">
        <v>75</v>
      </c>
      <c r="S579" s="441" t="s">
        <v>246</v>
      </c>
      <c r="T579" s="319">
        <v>8</v>
      </c>
      <c r="U579" s="320"/>
      <c r="V579" s="4"/>
      <c r="W579" s="441" t="s">
        <v>75</v>
      </c>
      <c r="X579" s="441" t="s">
        <v>246</v>
      </c>
      <c r="Y579" s="319">
        <v>8</v>
      </c>
      <c r="Z579" s="320"/>
      <c r="AA579" s="328">
        <f>Y579+T579+O579+J579+E579</f>
        <v>40</v>
      </c>
      <c r="AB579" s="298">
        <f>Z579+U579+P579+K579+F579</f>
        <v>0</v>
      </c>
      <c r="AC579" s="4"/>
      <c r="AD579" s="587"/>
      <c r="AE579" s="531"/>
      <c r="AF579" s="319"/>
      <c r="AG579" s="328">
        <f>AF579</f>
        <v>0</v>
      </c>
      <c r="AH579" s="4"/>
      <c r="AI579" s="368"/>
      <c r="AJ579" s="367"/>
      <c r="AK579" s="188" t="s">
        <v>30</v>
      </c>
      <c r="AL579" s="196">
        <f>AB581</f>
        <v>0</v>
      </c>
      <c r="AM579" s="511">
        <f>AM578*1.5</f>
        <v>77.25</v>
      </c>
      <c r="AN579" s="510">
        <f>AL579*AM579</f>
        <v>0</v>
      </c>
      <c r="AO579" s="193"/>
      <c r="AP579" s="193"/>
    </row>
    <row r="580" spans="1:42" s="180" customFormat="1" hidden="1">
      <c r="A580" s="313"/>
      <c r="B580" s="4" t="s">
        <v>59</v>
      </c>
      <c r="C580" s="441" t="s">
        <v>222</v>
      </c>
      <c r="D580" s="441" t="s">
        <v>125</v>
      </c>
      <c r="E580" s="319">
        <v>4</v>
      </c>
      <c r="F580" s="320"/>
      <c r="G580" s="4"/>
      <c r="H580" s="441" t="s">
        <v>222</v>
      </c>
      <c r="I580" s="441" t="s">
        <v>125</v>
      </c>
      <c r="J580" s="319">
        <v>4</v>
      </c>
      <c r="K580" s="320"/>
      <c r="L580" s="4"/>
      <c r="M580" s="441" t="s">
        <v>222</v>
      </c>
      <c r="N580" s="441" t="s">
        <v>125</v>
      </c>
      <c r="O580" s="319">
        <v>4</v>
      </c>
      <c r="P580" s="320"/>
      <c r="Q580" s="4"/>
      <c r="R580" s="441" t="s">
        <v>222</v>
      </c>
      <c r="S580" s="441" t="s">
        <v>125</v>
      </c>
      <c r="T580" s="319">
        <v>4</v>
      </c>
      <c r="U580" s="320"/>
      <c r="V580" s="4"/>
      <c r="W580" s="441" t="s">
        <v>222</v>
      </c>
      <c r="X580" s="441" t="s">
        <v>125</v>
      </c>
      <c r="Y580" s="319">
        <v>4</v>
      </c>
      <c r="Z580" s="320"/>
      <c r="AA580" s="328">
        <f>Y580+T580+O580+J580+E580</f>
        <v>20</v>
      </c>
      <c r="AB580" s="298">
        <f>Z580+U580+P580+K580+F580</f>
        <v>0</v>
      </c>
      <c r="AC580" s="4"/>
      <c r="AF580" s="319"/>
      <c r="AG580" s="328">
        <f>AF580</f>
        <v>0</v>
      </c>
      <c r="AH580" s="175"/>
      <c r="AI580" s="402"/>
      <c r="AJ580" s="367"/>
      <c r="AK580" s="188" t="s">
        <v>32</v>
      </c>
      <c r="AL580" s="196">
        <f>AG581</f>
        <v>0</v>
      </c>
      <c r="AM580" s="511">
        <v>75.77</v>
      </c>
      <c r="AN580" s="510">
        <f>AL580*AM580</f>
        <v>0</v>
      </c>
      <c r="AO580" s="193"/>
      <c r="AP580" s="193"/>
    </row>
    <row r="581" spans="1:42" s="180" customFormat="1" hidden="1">
      <c r="A581" s="313"/>
      <c r="B581" s="64" t="s">
        <v>61</v>
      </c>
      <c r="C581" s="31"/>
      <c r="D581" s="31"/>
      <c r="E581" s="439">
        <f>SUM(E579:E580)</f>
        <v>12</v>
      </c>
      <c r="F581" s="320">
        <f>SUM(F579:F580)</f>
        <v>0</v>
      </c>
      <c r="G581" s="31"/>
      <c r="H581" s="31"/>
      <c r="I581" s="31"/>
      <c r="J581" s="439">
        <f>SUM(J579:J580)</f>
        <v>12</v>
      </c>
      <c r="K581" s="320">
        <f>SUM(K579:K580)</f>
        <v>0</v>
      </c>
      <c r="L581" s="31"/>
      <c r="M581" s="31"/>
      <c r="N581" s="31"/>
      <c r="O581" s="439">
        <f>SUM(O579:O580)</f>
        <v>12</v>
      </c>
      <c r="P581" s="320">
        <f>SUM(P579:P580)</f>
        <v>0</v>
      </c>
      <c r="Q581" s="31"/>
      <c r="R581" s="31"/>
      <c r="S581" s="31"/>
      <c r="T581" s="439">
        <f>SUM(T579:T580)</f>
        <v>12</v>
      </c>
      <c r="U581" s="320">
        <f>SUM(U579:U580)</f>
        <v>0</v>
      </c>
      <c r="V581" s="31"/>
      <c r="W581" s="31"/>
      <c r="X581" s="31"/>
      <c r="Y581" s="439">
        <f>SUM(Y579:Y580)</f>
        <v>12</v>
      </c>
      <c r="Z581" s="320">
        <f>SUM(Z579:Z580)</f>
        <v>0</v>
      </c>
      <c r="AA581" s="370">
        <f>SUM(AA579:AA580)</f>
        <v>60</v>
      </c>
      <c r="AB581" s="370">
        <f>SUM(AB579:AB580)</f>
        <v>0</v>
      </c>
      <c r="AC581" s="4"/>
      <c r="AD581" s="64"/>
      <c r="AE581" s="64"/>
      <c r="AF581" s="370">
        <f>SUM(AF579:AF580)</f>
        <v>0</v>
      </c>
      <c r="AG581" s="370">
        <f>SUM(AG579:AG580)</f>
        <v>0</v>
      </c>
      <c r="AH581" s="4"/>
      <c r="AI581" s="255"/>
      <c r="AJ581" s="367"/>
      <c r="AK581" s="193"/>
      <c r="AL581" s="193"/>
      <c r="AM581" s="193"/>
      <c r="AN581" s="510">
        <f>SUM(AN578:AN580)</f>
        <v>3090</v>
      </c>
      <c r="AO581" s="193"/>
      <c r="AP581" s="193"/>
    </row>
    <row r="582" spans="1:42" s="180" customFormat="1" hidden="1">
      <c r="A582" s="313"/>
      <c r="E582" s="4"/>
      <c r="F582" s="4"/>
      <c r="G582" s="4"/>
      <c r="J582" s="4"/>
      <c r="K582" s="4"/>
      <c r="L582" s="4"/>
      <c r="O582" s="4"/>
      <c r="P582" s="4"/>
      <c r="Q582" s="4"/>
      <c r="T582" s="4"/>
      <c r="U582" s="4"/>
      <c r="V582" s="4"/>
      <c r="Y582" s="4"/>
      <c r="Z582" s="4"/>
      <c r="AA582" s="4"/>
      <c r="AB582" s="4"/>
      <c r="AC582" s="4"/>
      <c r="AH582" s="4"/>
      <c r="AI582" s="255"/>
      <c r="AK582" s="193"/>
      <c r="AL582" s="193"/>
      <c r="AM582" s="193"/>
      <c r="AN582" s="193"/>
      <c r="AO582" s="193"/>
      <c r="AP582" s="193"/>
    </row>
    <row r="583" spans="1:42" s="180" customFormat="1" hidden="1">
      <c r="A583" s="313"/>
      <c r="B583" s="229"/>
      <c r="C583" s="230"/>
      <c r="D583" s="230"/>
      <c r="E583" s="232"/>
      <c r="F583" s="232"/>
      <c r="G583" s="230"/>
      <c r="H583" s="232"/>
      <c r="I583" s="232"/>
      <c r="J583" s="232"/>
      <c r="K583" s="232"/>
      <c r="L583" s="230"/>
      <c r="M583" s="230"/>
      <c r="N583" s="230"/>
      <c r="O583" s="230"/>
      <c r="P583" s="232"/>
      <c r="Q583" s="230"/>
      <c r="R583" s="230"/>
      <c r="S583" s="230"/>
      <c r="T583" s="230"/>
      <c r="U583" s="232"/>
      <c r="V583" s="230"/>
      <c r="W583" s="230"/>
      <c r="X583" s="230"/>
      <c r="Y583" s="233"/>
      <c r="Z583" s="232"/>
      <c r="AA583" s="234"/>
      <c r="AB583" s="232"/>
      <c r="AC583" s="373"/>
      <c r="AD583" s="236"/>
      <c r="AE583" s="255"/>
      <c r="AF583" s="255"/>
      <c r="AG583" s="255"/>
      <c r="AH583" s="255"/>
      <c r="AI583" s="255"/>
      <c r="AJ583" s="255"/>
      <c r="AK583" s="255"/>
      <c r="AL583" s="255"/>
      <c r="AM583" s="255"/>
      <c r="AN583" s="255"/>
      <c r="AO583" s="255"/>
      <c r="AP583" s="255"/>
    </row>
    <row r="584" spans="1:42" s="180" customFormat="1" hidden="1">
      <c r="A584" s="313"/>
      <c r="E584" s="4"/>
      <c r="F584" s="4"/>
      <c r="G584" s="4"/>
      <c r="J584" s="4"/>
      <c r="K584" s="4"/>
      <c r="L584" s="4"/>
      <c r="O584" s="4"/>
      <c r="P584" s="4"/>
      <c r="Q584" s="4"/>
      <c r="T584" s="4"/>
      <c r="U584" s="4"/>
      <c r="V584" s="4"/>
      <c r="Y584" s="4"/>
      <c r="Z584" s="4"/>
      <c r="AA584" s="4"/>
      <c r="AB584" s="4"/>
      <c r="AC584" s="4"/>
      <c r="AH584" s="4"/>
      <c r="AI584" s="255"/>
      <c r="AK584" s="193"/>
      <c r="AL584" s="193"/>
      <c r="AM584" s="193"/>
      <c r="AN584" s="193"/>
      <c r="AO584" s="193"/>
      <c r="AP584" s="193"/>
    </row>
    <row r="585" spans="1:42" s="180" customFormat="1" hidden="1">
      <c r="A585" s="313"/>
      <c r="B585" s="1518" t="s">
        <v>18</v>
      </c>
      <c r="C585" s="1519">
        <v>46041</v>
      </c>
      <c r="D585" s="1519"/>
      <c r="E585" s="1519"/>
      <c r="F585" s="1519"/>
      <c r="G585" s="365"/>
      <c r="H585" s="1519">
        <v>46042</v>
      </c>
      <c r="I585" s="1519"/>
      <c r="J585" s="1519"/>
      <c r="K585" s="1519"/>
      <c r="L585" s="365"/>
      <c r="M585" s="1519">
        <v>46043</v>
      </c>
      <c r="N585" s="1519"/>
      <c r="O585" s="1519"/>
      <c r="P585" s="1519"/>
      <c r="Q585" s="365"/>
      <c r="R585" s="1519">
        <v>46044</v>
      </c>
      <c r="S585" s="1519"/>
      <c r="T585" s="1519"/>
      <c r="U585" s="1519"/>
      <c r="V585" s="365"/>
      <c r="W585" s="1519">
        <v>46045</v>
      </c>
      <c r="X585" s="1519"/>
      <c r="Y585" s="1519"/>
      <c r="Z585" s="1519"/>
      <c r="AA585" s="1517" t="s">
        <v>19</v>
      </c>
      <c r="AB585" s="1517" t="s">
        <v>20</v>
      </c>
      <c r="AC585" s="4"/>
      <c r="AD585" s="1519">
        <v>46046</v>
      </c>
      <c r="AE585" s="1519"/>
      <c r="AF585" s="1519"/>
      <c r="AG585" s="1517" t="s">
        <v>21</v>
      </c>
      <c r="AH585" s="4"/>
      <c r="AI585" s="368"/>
      <c r="AK585" s="194" t="s">
        <v>84</v>
      </c>
      <c r="AL585" s="366"/>
      <c r="AM585" s="366"/>
      <c r="AN585" s="366"/>
      <c r="AO585" s="366"/>
      <c r="AP585" s="366"/>
    </row>
    <row r="586" spans="1:42" s="180" customFormat="1" hidden="1">
      <c r="A586" s="313"/>
      <c r="B586" s="1518"/>
      <c r="C586" s="21" t="s">
        <v>23</v>
      </c>
      <c r="D586" s="21" t="s">
        <v>24</v>
      </c>
      <c r="E586" s="205" t="s">
        <v>25</v>
      </c>
      <c r="F586" s="18" t="s">
        <v>14</v>
      </c>
      <c r="G586" s="4"/>
      <c r="H586" s="21" t="s">
        <v>23</v>
      </c>
      <c r="I586" s="21" t="s">
        <v>24</v>
      </c>
      <c r="J586" s="18" t="s">
        <v>25</v>
      </c>
      <c r="K586" s="18" t="s">
        <v>14</v>
      </c>
      <c r="L586" s="4"/>
      <c r="M586" s="21" t="s">
        <v>23</v>
      </c>
      <c r="N586" s="21" t="s">
        <v>24</v>
      </c>
      <c r="O586" s="18" t="s">
        <v>25</v>
      </c>
      <c r="P586" s="18" t="s">
        <v>14</v>
      </c>
      <c r="Q586" s="4"/>
      <c r="R586" s="21" t="s">
        <v>23</v>
      </c>
      <c r="S586" s="21" t="s">
        <v>24</v>
      </c>
      <c r="T586" s="18" t="s">
        <v>25</v>
      </c>
      <c r="U586" s="18" t="s">
        <v>14</v>
      </c>
      <c r="V586" s="4"/>
      <c r="W586" s="21" t="s">
        <v>23</v>
      </c>
      <c r="X586" s="21" t="s">
        <v>24</v>
      </c>
      <c r="Y586" s="18" t="s">
        <v>25</v>
      </c>
      <c r="Z586" s="18" t="s">
        <v>14</v>
      </c>
      <c r="AA586" s="1517"/>
      <c r="AB586" s="1517"/>
      <c r="AC586" s="4"/>
      <c r="AD586" s="21" t="s">
        <v>23</v>
      </c>
      <c r="AE586" s="21" t="s">
        <v>24</v>
      </c>
      <c r="AF586" s="18" t="s">
        <v>25</v>
      </c>
      <c r="AG586" s="1517"/>
      <c r="AH586" s="4"/>
      <c r="AI586" s="368"/>
      <c r="AJ586" s="367"/>
      <c r="AK586" s="188" t="s">
        <v>26</v>
      </c>
      <c r="AL586" s="196">
        <f>AA589</f>
        <v>48</v>
      </c>
      <c r="AM586" s="511">
        <v>51.5</v>
      </c>
      <c r="AN586" s="510">
        <f>AL586*AM586</f>
        <v>2472</v>
      </c>
      <c r="AO586" s="193"/>
      <c r="AP586" s="193"/>
    </row>
    <row r="587" spans="1:42" s="180" customFormat="1" hidden="1">
      <c r="A587" s="313"/>
      <c r="B587" s="4" t="s">
        <v>60</v>
      </c>
      <c r="C587" s="441" t="s">
        <v>28</v>
      </c>
      <c r="D587" s="441"/>
      <c r="E587" s="319"/>
      <c r="F587" s="320"/>
      <c r="G587" s="4"/>
      <c r="H587" s="441" t="s">
        <v>75</v>
      </c>
      <c r="I587" s="441" t="s">
        <v>246</v>
      </c>
      <c r="J587" s="319">
        <v>8</v>
      </c>
      <c r="K587" s="320"/>
      <c r="L587" s="4"/>
      <c r="M587" s="441" t="s">
        <v>75</v>
      </c>
      <c r="N587" s="441" t="s">
        <v>246</v>
      </c>
      <c r="O587" s="319">
        <v>8</v>
      </c>
      <c r="P587" s="320"/>
      <c r="Q587" s="4"/>
      <c r="R587" s="441" t="s">
        <v>75</v>
      </c>
      <c r="S587" s="441" t="s">
        <v>246</v>
      </c>
      <c r="T587" s="319">
        <v>8</v>
      </c>
      <c r="U587" s="320"/>
      <c r="V587" s="4"/>
      <c r="W587" s="441" t="s">
        <v>75</v>
      </c>
      <c r="X587" s="441" t="s">
        <v>246</v>
      </c>
      <c r="Y587" s="319">
        <v>8</v>
      </c>
      <c r="Z587" s="320"/>
      <c r="AA587" s="328">
        <f>Y587+T587+O587+J587+E587</f>
        <v>32</v>
      </c>
      <c r="AB587" s="298">
        <f>Z587+U587+P587+K587+F587</f>
        <v>0</v>
      </c>
      <c r="AC587" s="4"/>
      <c r="AD587" s="587"/>
      <c r="AE587" s="531"/>
      <c r="AF587" s="319"/>
      <c r="AG587" s="328">
        <f>AF587</f>
        <v>0</v>
      </c>
      <c r="AH587" s="4"/>
      <c r="AI587" s="368"/>
      <c r="AJ587" s="367"/>
      <c r="AK587" s="188" t="s">
        <v>30</v>
      </c>
      <c r="AL587" s="196">
        <f>AB589</f>
        <v>0</v>
      </c>
      <c r="AM587" s="511">
        <f>AM586*1.5</f>
        <v>77.25</v>
      </c>
      <c r="AN587" s="510">
        <f>AL587*AM587</f>
        <v>0</v>
      </c>
      <c r="AO587" s="193"/>
      <c r="AP587" s="193"/>
    </row>
    <row r="588" spans="1:42" s="180" customFormat="1" hidden="1">
      <c r="A588" s="313"/>
      <c r="B588" s="4" t="s">
        <v>59</v>
      </c>
      <c r="C588" s="441" t="s">
        <v>24</v>
      </c>
      <c r="D588" s="441"/>
      <c r="E588" s="319"/>
      <c r="F588" s="320"/>
      <c r="G588" s="4"/>
      <c r="H588" s="441" t="s">
        <v>222</v>
      </c>
      <c r="I588" s="441" t="s">
        <v>125</v>
      </c>
      <c r="J588" s="319">
        <v>4</v>
      </c>
      <c r="K588" s="320"/>
      <c r="L588" s="4"/>
      <c r="M588" s="441" t="s">
        <v>222</v>
      </c>
      <c r="N588" s="441" t="s">
        <v>125</v>
      </c>
      <c r="O588" s="319">
        <v>4</v>
      </c>
      <c r="P588" s="320"/>
      <c r="Q588" s="4"/>
      <c r="R588" s="441" t="s">
        <v>222</v>
      </c>
      <c r="S588" s="441" t="s">
        <v>125</v>
      </c>
      <c r="T588" s="319">
        <v>4</v>
      </c>
      <c r="U588" s="320"/>
      <c r="V588" s="4"/>
      <c r="W588" s="441" t="s">
        <v>222</v>
      </c>
      <c r="X588" s="441" t="s">
        <v>125</v>
      </c>
      <c r="Y588" s="319">
        <v>4</v>
      </c>
      <c r="Z588" s="320"/>
      <c r="AA588" s="328">
        <f>Y588+T588+O588+J588+E588</f>
        <v>16</v>
      </c>
      <c r="AB588" s="298">
        <f>Z588+U588+P588+K588+F588</f>
        <v>0</v>
      </c>
      <c r="AC588" s="4"/>
      <c r="AF588" s="319"/>
      <c r="AG588" s="328">
        <f>AF588</f>
        <v>0</v>
      </c>
      <c r="AH588" s="175"/>
      <c r="AI588" s="402"/>
      <c r="AJ588" s="367"/>
      <c r="AK588" s="188" t="s">
        <v>32</v>
      </c>
      <c r="AL588" s="196">
        <f>AG589</f>
        <v>0</v>
      </c>
      <c r="AM588" s="511">
        <v>75.77</v>
      </c>
      <c r="AN588" s="510">
        <f>AL588*AM588</f>
        <v>0</v>
      </c>
      <c r="AO588" s="193"/>
      <c r="AP588" s="193"/>
    </row>
    <row r="589" spans="1:42" s="180" customFormat="1" hidden="1">
      <c r="A589" s="313"/>
      <c r="B589" s="64" t="s">
        <v>61</v>
      </c>
      <c r="C589" s="31"/>
      <c r="D589" s="31"/>
      <c r="E589" s="439">
        <f>SUM(E587:E588)</f>
        <v>0</v>
      </c>
      <c r="F589" s="320">
        <f>SUM(F587:F588)</f>
        <v>0</v>
      </c>
      <c r="G589" s="31"/>
      <c r="H589" s="31"/>
      <c r="I589" s="31"/>
      <c r="J589" s="439">
        <f>SUM(J587:J588)</f>
        <v>12</v>
      </c>
      <c r="K589" s="320">
        <f>SUM(K587:K588)</f>
        <v>0</v>
      </c>
      <c r="L589" s="31"/>
      <c r="M589" s="31"/>
      <c r="N589" s="31"/>
      <c r="O589" s="439">
        <f>SUM(O587:O588)</f>
        <v>12</v>
      </c>
      <c r="P589" s="320">
        <f>SUM(P587:P588)</f>
        <v>0</v>
      </c>
      <c r="Q589" s="31"/>
      <c r="R589" s="31"/>
      <c r="S589" s="31"/>
      <c r="T589" s="439">
        <f>SUM(T587:T588)</f>
        <v>12</v>
      </c>
      <c r="U589" s="320">
        <f>SUM(U587:U588)</f>
        <v>0</v>
      </c>
      <c r="V589" s="31"/>
      <c r="W589" s="31"/>
      <c r="X589" s="31"/>
      <c r="Y589" s="439">
        <f>SUM(Y587:Y588)</f>
        <v>12</v>
      </c>
      <c r="Z589" s="320">
        <f>SUM(Z587:Z588)</f>
        <v>0</v>
      </c>
      <c r="AA589" s="370">
        <f>SUM(AA587:AA588)</f>
        <v>48</v>
      </c>
      <c r="AB589" s="370">
        <f>SUM(AB587:AB588)</f>
        <v>0</v>
      </c>
      <c r="AC589" s="4"/>
      <c r="AD589" s="64"/>
      <c r="AE589" s="64"/>
      <c r="AF589" s="370">
        <f>SUM(AF587:AF588)</f>
        <v>0</v>
      </c>
      <c r="AG589" s="370">
        <f>SUM(AG587:AG588)</f>
        <v>0</v>
      </c>
      <c r="AH589" s="4"/>
      <c r="AI589" s="255"/>
      <c r="AJ589" s="367"/>
      <c r="AK589" s="193"/>
      <c r="AL589" s="193"/>
      <c r="AM589" s="193"/>
      <c r="AN589" s="510">
        <f>SUM(AN586:AN588)</f>
        <v>2472</v>
      </c>
      <c r="AO589" s="193"/>
      <c r="AP589" s="193"/>
    </row>
    <row r="590" spans="1:42" s="180" customFormat="1" hidden="1">
      <c r="A590" s="313"/>
      <c r="E590" s="4"/>
      <c r="F590" s="4"/>
      <c r="G590" s="4"/>
      <c r="J590" s="4"/>
      <c r="K590" s="4"/>
      <c r="L590" s="4"/>
      <c r="O590" s="4"/>
      <c r="P590" s="4"/>
      <c r="Q590" s="4"/>
      <c r="T590" s="4"/>
      <c r="U590" s="4"/>
      <c r="V590" s="4"/>
      <c r="Y590" s="4"/>
      <c r="Z590" s="4"/>
      <c r="AA590" s="4"/>
      <c r="AB590" s="4"/>
      <c r="AC590" s="4"/>
      <c r="AH590" s="4"/>
      <c r="AI590" s="255"/>
      <c r="AK590" s="193"/>
      <c r="AL590" s="193"/>
      <c r="AM590" s="193"/>
      <c r="AN590" s="193"/>
      <c r="AO590" s="193"/>
      <c r="AP590" s="193"/>
    </row>
    <row r="591" spans="1:42" hidden="1">
      <c r="B591" s="229"/>
      <c r="C591" s="230"/>
      <c r="D591" s="230"/>
      <c r="E591" s="232"/>
      <c r="F591" s="232"/>
      <c r="G591" s="230"/>
      <c r="H591" s="232"/>
      <c r="I591" s="232"/>
      <c r="J591" s="232"/>
      <c r="K591" s="232"/>
      <c r="L591" s="230"/>
      <c r="M591" s="230"/>
      <c r="N591" s="230"/>
      <c r="O591" s="230"/>
      <c r="P591" s="232"/>
      <c r="Q591" s="230"/>
      <c r="R591" s="230"/>
      <c r="S591" s="230"/>
      <c r="T591" s="230"/>
      <c r="U591" s="232"/>
      <c r="V591" s="230"/>
      <c r="W591" s="230"/>
      <c r="X591" s="230"/>
      <c r="Y591" s="233"/>
      <c r="Z591" s="232"/>
      <c r="AA591" s="234"/>
      <c r="AB591" s="232"/>
      <c r="AC591" s="373"/>
      <c r="AD591" s="236"/>
      <c r="AE591" s="255"/>
      <c r="AF591" s="255"/>
      <c r="AG591" s="255"/>
      <c r="AH591" s="255"/>
      <c r="AJ591" s="255"/>
      <c r="AK591" s="255"/>
      <c r="AL591" s="255"/>
      <c r="AM591" s="255"/>
      <c r="AN591" s="255"/>
      <c r="AO591" s="255"/>
      <c r="AP591" s="255"/>
    </row>
    <row r="592" spans="1:42" hidden="1">
      <c r="B592" s="180"/>
      <c r="E592" s="4"/>
      <c r="F592" s="4"/>
      <c r="G592" s="4"/>
      <c r="J592" s="4"/>
      <c r="K592" s="4"/>
      <c r="L592" s="4"/>
      <c r="O592" s="4"/>
      <c r="P592" s="4"/>
      <c r="T592" s="4"/>
      <c r="U592" s="4"/>
      <c r="Y592" s="4"/>
      <c r="Z592" s="4"/>
      <c r="AA592" s="4"/>
      <c r="AB592" s="4"/>
      <c r="AC592" s="4"/>
    </row>
    <row r="593" spans="2:42" hidden="1">
      <c r="B593" s="1518" t="s">
        <v>18</v>
      </c>
      <c r="C593" s="1519">
        <v>46048</v>
      </c>
      <c r="D593" s="1519"/>
      <c r="E593" s="1519"/>
      <c r="F593" s="1519"/>
      <c r="G593" s="365"/>
      <c r="H593" s="1519">
        <v>46049</v>
      </c>
      <c r="I593" s="1519"/>
      <c r="J593" s="1519"/>
      <c r="K593" s="1519"/>
      <c r="L593" s="365"/>
      <c r="M593" s="1519">
        <v>46050</v>
      </c>
      <c r="N593" s="1519"/>
      <c r="O593" s="1519"/>
      <c r="P593" s="1519"/>
      <c r="Q593" s="365"/>
      <c r="R593" s="1519">
        <v>46051</v>
      </c>
      <c r="S593" s="1519"/>
      <c r="T593" s="1519"/>
      <c r="U593" s="1519"/>
      <c r="V593" s="365"/>
      <c r="W593" s="1519">
        <v>46052</v>
      </c>
      <c r="X593" s="1519"/>
      <c r="Y593" s="1519"/>
      <c r="Z593" s="1519"/>
      <c r="AA593" s="1517" t="s">
        <v>19</v>
      </c>
      <c r="AB593" s="1517" t="s">
        <v>20</v>
      </c>
      <c r="AC593" s="4"/>
      <c r="AD593" s="1519">
        <v>46053</v>
      </c>
      <c r="AE593" s="1519"/>
      <c r="AF593" s="1519"/>
      <c r="AG593" s="1517" t="s">
        <v>21</v>
      </c>
      <c r="AI593" s="368"/>
      <c r="AK593" s="194" t="s">
        <v>84</v>
      </c>
      <c r="AL593" s="366"/>
      <c r="AM593" s="366"/>
      <c r="AN593" s="366"/>
      <c r="AO593" s="366"/>
      <c r="AP593" s="366"/>
    </row>
    <row r="594" spans="2:42" hidden="1">
      <c r="B594" s="1518"/>
      <c r="C594" s="21" t="s">
        <v>23</v>
      </c>
      <c r="D594" s="21" t="s">
        <v>24</v>
      </c>
      <c r="E594" s="205" t="s">
        <v>25</v>
      </c>
      <c r="F594" s="18" t="s">
        <v>14</v>
      </c>
      <c r="G594" s="4"/>
      <c r="H594" s="21" t="s">
        <v>23</v>
      </c>
      <c r="I594" s="21" t="s">
        <v>24</v>
      </c>
      <c r="J594" s="18" t="s">
        <v>25</v>
      </c>
      <c r="K594" s="18" t="s">
        <v>14</v>
      </c>
      <c r="L594" s="4"/>
      <c r="M594" s="21" t="s">
        <v>23</v>
      </c>
      <c r="N594" s="21" t="s">
        <v>24</v>
      </c>
      <c r="O594" s="18" t="s">
        <v>25</v>
      </c>
      <c r="P594" s="18" t="s">
        <v>14</v>
      </c>
      <c r="R594" s="21" t="s">
        <v>23</v>
      </c>
      <c r="S594" s="21" t="s">
        <v>24</v>
      </c>
      <c r="T594" s="18" t="s">
        <v>25</v>
      </c>
      <c r="U594" s="18" t="s">
        <v>14</v>
      </c>
      <c r="W594" s="21" t="s">
        <v>23</v>
      </c>
      <c r="X594" s="21" t="s">
        <v>24</v>
      </c>
      <c r="Y594" s="18" t="s">
        <v>25</v>
      </c>
      <c r="Z594" s="18" t="s">
        <v>14</v>
      </c>
      <c r="AA594" s="1517"/>
      <c r="AB594" s="1517"/>
      <c r="AC594" s="4"/>
      <c r="AD594" s="21" t="s">
        <v>23</v>
      </c>
      <c r="AE594" s="21" t="s">
        <v>24</v>
      </c>
      <c r="AF594" s="18" t="s">
        <v>25</v>
      </c>
      <c r="AG594" s="1517"/>
      <c r="AI594" s="368"/>
      <c r="AJ594" s="367"/>
      <c r="AK594" s="188" t="s">
        <v>26</v>
      </c>
      <c r="AL594" s="196">
        <f>AA597</f>
        <v>56</v>
      </c>
      <c r="AM594" s="511">
        <v>51.5</v>
      </c>
      <c r="AN594" s="510">
        <f>AL594*AM594</f>
        <v>2884</v>
      </c>
    </row>
    <row r="595" spans="2:42" hidden="1">
      <c r="B595" s="4" t="s">
        <v>60</v>
      </c>
      <c r="C595" s="441" t="s">
        <v>75</v>
      </c>
      <c r="D595" s="441" t="s">
        <v>246</v>
      </c>
      <c r="E595" s="319">
        <v>8</v>
      </c>
      <c r="F595" s="320"/>
      <c r="G595" s="4"/>
      <c r="H595" s="441" t="s">
        <v>75</v>
      </c>
      <c r="I595" s="441" t="s">
        <v>246</v>
      </c>
      <c r="J595" s="319">
        <v>8</v>
      </c>
      <c r="K595" s="320"/>
      <c r="L595" s="4"/>
      <c r="M595" s="441" t="s">
        <v>75</v>
      </c>
      <c r="N595" s="441" t="s">
        <v>246</v>
      </c>
      <c r="O595" s="319">
        <v>8</v>
      </c>
      <c r="P595" s="320"/>
      <c r="R595" s="441" t="s">
        <v>75</v>
      </c>
      <c r="S595" s="441" t="s">
        <v>246</v>
      </c>
      <c r="T595" s="319">
        <v>8</v>
      </c>
      <c r="U595" s="320"/>
      <c r="W595" s="441" t="s">
        <v>75</v>
      </c>
      <c r="X595" s="441" t="s">
        <v>246</v>
      </c>
      <c r="Y595" s="319">
        <v>8</v>
      </c>
      <c r="Z595" s="320"/>
      <c r="AA595" s="328">
        <f>Y595+T595+O595+J595+E595</f>
        <v>40</v>
      </c>
      <c r="AB595" s="298">
        <f>Z595+U595+P595+K595+F595</f>
        <v>0</v>
      </c>
      <c r="AC595" s="4"/>
      <c r="AD595" s="587"/>
      <c r="AE595" s="531"/>
      <c r="AF595" s="319"/>
      <c r="AG595" s="328">
        <f>AF595</f>
        <v>0</v>
      </c>
      <c r="AI595" s="368"/>
      <c r="AJ595" s="367"/>
      <c r="AK595" s="188" t="s">
        <v>30</v>
      </c>
      <c r="AL595" s="196">
        <f>AB597</f>
        <v>0</v>
      </c>
      <c r="AM595" s="511">
        <f>AM594*1.5</f>
        <v>77.25</v>
      </c>
      <c r="AN595" s="510">
        <f>AL595*AM595</f>
        <v>0</v>
      </c>
    </row>
    <row r="596" spans="2:42" hidden="1">
      <c r="B596" s="4" t="s">
        <v>59</v>
      </c>
      <c r="C596" s="441" t="s">
        <v>24</v>
      </c>
      <c r="D596" s="441"/>
      <c r="E596" s="319"/>
      <c r="F596" s="320"/>
      <c r="G596" s="4"/>
      <c r="H596" s="441" t="s">
        <v>222</v>
      </c>
      <c r="I596" s="441" t="s">
        <v>125</v>
      </c>
      <c r="J596" s="319">
        <v>4</v>
      </c>
      <c r="K596" s="320"/>
      <c r="L596" s="4"/>
      <c r="M596" s="441" t="s">
        <v>222</v>
      </c>
      <c r="N596" s="441" t="s">
        <v>125</v>
      </c>
      <c r="O596" s="319">
        <v>4</v>
      </c>
      <c r="P596" s="320"/>
      <c r="R596" s="441" t="s">
        <v>222</v>
      </c>
      <c r="S596" s="441" t="s">
        <v>125</v>
      </c>
      <c r="T596" s="319">
        <v>4</v>
      </c>
      <c r="U596" s="320"/>
      <c r="W596" s="441" t="s">
        <v>222</v>
      </c>
      <c r="X596" s="441" t="s">
        <v>125</v>
      </c>
      <c r="Y596" s="319">
        <v>4</v>
      </c>
      <c r="Z596" s="320"/>
      <c r="AA596" s="328">
        <f>Y596+T596+O596+J596+E596</f>
        <v>16</v>
      </c>
      <c r="AB596" s="298">
        <f>Z596+U596+P596+K596+F596</f>
        <v>0</v>
      </c>
      <c r="AC596" s="4"/>
      <c r="AF596" s="319"/>
      <c r="AG596" s="328">
        <f>AF596</f>
        <v>0</v>
      </c>
      <c r="AH596" s="175"/>
      <c r="AI596" s="402"/>
      <c r="AJ596" s="367"/>
      <c r="AK596" s="188" t="s">
        <v>32</v>
      </c>
      <c r="AL596" s="196">
        <f>AG597</f>
        <v>0</v>
      </c>
      <c r="AM596" s="511">
        <v>75.77</v>
      </c>
      <c r="AN596" s="510">
        <f>AL596*AM596</f>
        <v>0</v>
      </c>
    </row>
    <row r="597" spans="2:42" hidden="1">
      <c r="B597" s="64" t="s">
        <v>61</v>
      </c>
      <c r="C597" s="31"/>
      <c r="D597" s="31"/>
      <c r="E597" s="439">
        <f>SUM(E595:E596)</f>
        <v>8</v>
      </c>
      <c r="F597" s="320">
        <f>SUM(F595:F596)</f>
        <v>0</v>
      </c>
      <c r="G597" s="31"/>
      <c r="H597" s="31"/>
      <c r="I597" s="31"/>
      <c r="J597" s="439">
        <f>SUM(J595:J596)</f>
        <v>12</v>
      </c>
      <c r="K597" s="320">
        <f>SUM(K595:K596)</f>
        <v>0</v>
      </c>
      <c r="L597" s="31"/>
      <c r="M597" s="31"/>
      <c r="N597" s="31"/>
      <c r="O597" s="439">
        <f>SUM(O595:O596)</f>
        <v>12</v>
      </c>
      <c r="P597" s="320">
        <f>SUM(P595:P596)</f>
        <v>0</v>
      </c>
      <c r="Q597" s="31"/>
      <c r="R597" s="31"/>
      <c r="S597" s="31"/>
      <c r="T597" s="439">
        <f>SUM(T595:T596)</f>
        <v>12</v>
      </c>
      <c r="U597" s="320">
        <f>SUM(U595:U596)</f>
        <v>0</v>
      </c>
      <c r="V597" s="31"/>
      <c r="W597" s="31"/>
      <c r="X597" s="31"/>
      <c r="Y597" s="439">
        <f>SUM(Y595:Y596)</f>
        <v>12</v>
      </c>
      <c r="Z597" s="320">
        <f>SUM(Z595:Z596)</f>
        <v>0</v>
      </c>
      <c r="AA597" s="370">
        <f>SUM(AA595:AA596)</f>
        <v>56</v>
      </c>
      <c r="AB597" s="370">
        <f>SUM(AB595:AB596)</f>
        <v>0</v>
      </c>
      <c r="AC597" s="4"/>
      <c r="AD597" s="64"/>
      <c r="AE597" s="64"/>
      <c r="AF597" s="370">
        <f>SUM(AF595:AF596)</f>
        <v>0</v>
      </c>
      <c r="AG597" s="370">
        <f>SUM(AG595:AG596)</f>
        <v>0</v>
      </c>
      <c r="AJ597" s="367"/>
      <c r="AN597" s="510">
        <f>SUM(AN594:AN596)</f>
        <v>2884</v>
      </c>
    </row>
    <row r="598" spans="2:42" hidden="1">
      <c r="B598" s="180"/>
      <c r="E598" s="4"/>
      <c r="F598" s="4"/>
      <c r="G598" s="4"/>
      <c r="J598" s="4"/>
      <c r="K598" s="4"/>
      <c r="L598" s="4"/>
      <c r="O598" s="4"/>
      <c r="P598" s="4"/>
      <c r="T598" s="4"/>
      <c r="U598" s="4"/>
      <c r="Y598" s="4"/>
      <c r="Z598" s="4"/>
      <c r="AA598" s="4"/>
      <c r="AB598" s="4"/>
      <c r="AC598" s="4"/>
    </row>
    <row r="599" spans="2:42" hidden="1">
      <c r="B599" s="229"/>
      <c r="C599" s="230"/>
      <c r="D599" s="230"/>
      <c r="E599" s="232"/>
      <c r="F599" s="232"/>
      <c r="G599" s="230"/>
      <c r="H599" s="232"/>
      <c r="I599" s="232"/>
      <c r="J599" s="232"/>
      <c r="K599" s="232"/>
      <c r="L599" s="230"/>
      <c r="M599" s="230"/>
      <c r="N599" s="230"/>
      <c r="O599" s="230"/>
      <c r="P599" s="232"/>
      <c r="Q599" s="230"/>
      <c r="R599" s="230"/>
      <c r="S599" s="230"/>
      <c r="T599" s="230"/>
      <c r="U599" s="232"/>
      <c r="V599" s="230"/>
      <c r="W599" s="230"/>
      <c r="X599" s="230"/>
      <c r="Y599" s="233"/>
      <c r="Z599" s="232"/>
      <c r="AA599" s="234"/>
      <c r="AB599" s="232"/>
      <c r="AC599" s="373"/>
      <c r="AD599" s="236"/>
      <c r="AE599" s="255"/>
      <c r="AF599" s="255"/>
      <c r="AG599" s="255"/>
      <c r="AH599" s="255"/>
      <c r="AJ599" s="255"/>
      <c r="AK599" s="255"/>
      <c r="AL599" s="255"/>
      <c r="AM599" s="255"/>
      <c r="AN599" s="255"/>
      <c r="AO599" s="255"/>
      <c r="AP599" s="255"/>
    </row>
    <row r="600" spans="2:42" hidden="1">
      <c r="B600" s="180"/>
      <c r="E600" s="4"/>
      <c r="F600" s="4"/>
      <c r="G600" s="4"/>
      <c r="J600" s="4"/>
      <c r="K600" s="4"/>
      <c r="L600" s="4"/>
      <c r="O600" s="4"/>
      <c r="P600" s="4"/>
      <c r="T600" s="4"/>
      <c r="U600" s="4"/>
      <c r="Y600" s="4"/>
      <c r="Z600" s="4"/>
      <c r="AA600" s="4"/>
      <c r="AB600" s="4"/>
      <c r="AC600" s="4"/>
    </row>
    <row r="601" spans="2:42" hidden="1">
      <c r="B601" s="1518" t="s">
        <v>18</v>
      </c>
      <c r="C601" s="1519">
        <v>46055</v>
      </c>
      <c r="D601" s="1519"/>
      <c r="E601" s="1519"/>
      <c r="F601" s="1519"/>
      <c r="G601" s="365"/>
      <c r="H601" s="1519">
        <v>46056</v>
      </c>
      <c r="I601" s="1519"/>
      <c r="J601" s="1519"/>
      <c r="K601" s="1519"/>
      <c r="L601" s="365"/>
      <c r="M601" s="1519">
        <v>46057</v>
      </c>
      <c r="N601" s="1519"/>
      <c r="O601" s="1519"/>
      <c r="P601" s="1519"/>
      <c r="Q601" s="365"/>
      <c r="R601" s="1519">
        <v>46058</v>
      </c>
      <c r="S601" s="1519"/>
      <c r="T601" s="1519"/>
      <c r="U601" s="1519"/>
      <c r="V601" s="365"/>
      <c r="W601" s="1519">
        <v>46059</v>
      </c>
      <c r="X601" s="1519"/>
      <c r="Y601" s="1519"/>
      <c r="Z601" s="1519"/>
      <c r="AA601" s="1517" t="s">
        <v>19</v>
      </c>
      <c r="AB601" s="1517" t="s">
        <v>20</v>
      </c>
      <c r="AC601" s="4"/>
      <c r="AD601" s="1519">
        <v>46060</v>
      </c>
      <c r="AE601" s="1519"/>
      <c r="AF601" s="1519"/>
      <c r="AG601" s="1517" t="s">
        <v>21</v>
      </c>
      <c r="AI601" s="368"/>
      <c r="AK601" s="194" t="s">
        <v>84</v>
      </c>
      <c r="AL601" s="366"/>
      <c r="AM601" s="366"/>
      <c r="AN601" s="366"/>
      <c r="AO601" s="366"/>
      <c r="AP601" s="366"/>
    </row>
    <row r="602" spans="2:42" hidden="1">
      <c r="B602" s="1518"/>
      <c r="C602" s="21" t="s">
        <v>23</v>
      </c>
      <c r="D602" s="21" t="s">
        <v>24</v>
      </c>
      <c r="E602" s="205" t="s">
        <v>25</v>
      </c>
      <c r="F602" s="18" t="s">
        <v>14</v>
      </c>
      <c r="G602" s="4"/>
      <c r="H602" s="21" t="s">
        <v>23</v>
      </c>
      <c r="I602" s="21" t="s">
        <v>24</v>
      </c>
      <c r="J602" s="18" t="s">
        <v>25</v>
      </c>
      <c r="K602" s="18" t="s">
        <v>14</v>
      </c>
      <c r="L602" s="4"/>
      <c r="M602" s="21" t="s">
        <v>23</v>
      </c>
      <c r="N602" s="21" t="s">
        <v>24</v>
      </c>
      <c r="O602" s="18" t="s">
        <v>25</v>
      </c>
      <c r="P602" s="18" t="s">
        <v>14</v>
      </c>
      <c r="R602" s="21" t="s">
        <v>23</v>
      </c>
      <c r="S602" s="21" t="s">
        <v>24</v>
      </c>
      <c r="T602" s="18" t="s">
        <v>25</v>
      </c>
      <c r="U602" s="18" t="s">
        <v>14</v>
      </c>
      <c r="W602" s="21" t="s">
        <v>23</v>
      </c>
      <c r="X602" s="21" t="s">
        <v>24</v>
      </c>
      <c r="Y602" s="18" t="s">
        <v>25</v>
      </c>
      <c r="Z602" s="18" t="s">
        <v>14</v>
      </c>
      <c r="AA602" s="1517"/>
      <c r="AB602" s="1517"/>
      <c r="AC602" s="4"/>
      <c r="AD602" s="21" t="s">
        <v>23</v>
      </c>
      <c r="AE602" s="21" t="s">
        <v>24</v>
      </c>
      <c r="AF602" s="18" t="s">
        <v>25</v>
      </c>
      <c r="AG602" s="1517"/>
      <c r="AI602" s="368"/>
      <c r="AJ602" s="367"/>
      <c r="AK602" s="188" t="s">
        <v>26</v>
      </c>
      <c r="AL602" s="196">
        <f>AA605</f>
        <v>40</v>
      </c>
      <c r="AM602" s="511">
        <v>51.5</v>
      </c>
      <c r="AN602" s="510">
        <f>AL602*AM602</f>
        <v>2060</v>
      </c>
    </row>
    <row r="603" spans="2:42" hidden="1">
      <c r="B603" s="4" t="s">
        <v>60</v>
      </c>
      <c r="C603" s="441" t="s">
        <v>75</v>
      </c>
      <c r="D603" s="441" t="s">
        <v>246</v>
      </c>
      <c r="E603" s="319">
        <v>8</v>
      </c>
      <c r="F603" s="320"/>
      <c r="G603" s="4"/>
      <c r="H603" s="441" t="s">
        <v>75</v>
      </c>
      <c r="I603" s="441" t="s">
        <v>246</v>
      </c>
      <c r="J603" s="319">
        <v>8</v>
      </c>
      <c r="K603" s="320"/>
      <c r="L603" s="4"/>
      <c r="M603" s="441" t="s">
        <v>75</v>
      </c>
      <c r="N603" s="441" t="s">
        <v>246</v>
      </c>
      <c r="O603" s="319">
        <v>8</v>
      </c>
      <c r="P603" s="320"/>
      <c r="R603" s="441" t="s">
        <v>125</v>
      </c>
      <c r="S603" s="441" t="s">
        <v>136</v>
      </c>
      <c r="T603" s="319">
        <v>8</v>
      </c>
      <c r="U603" s="320"/>
      <c r="W603" s="441" t="s">
        <v>125</v>
      </c>
      <c r="X603" s="441" t="s">
        <v>136</v>
      </c>
      <c r="Y603" s="319">
        <v>8</v>
      </c>
      <c r="Z603" s="320"/>
      <c r="AA603" s="328">
        <f>Y603+T603+O603+J603+E603</f>
        <v>40</v>
      </c>
      <c r="AB603" s="298">
        <f>Z603+U603+P603+K603+F603</f>
        <v>0</v>
      </c>
      <c r="AC603" s="4"/>
      <c r="AD603" s="587"/>
      <c r="AE603" s="531"/>
      <c r="AF603" s="319"/>
      <c r="AG603" s="328">
        <f>AF603</f>
        <v>0</v>
      </c>
      <c r="AI603" s="368"/>
      <c r="AJ603" s="367"/>
      <c r="AK603" s="188" t="s">
        <v>30</v>
      </c>
      <c r="AL603" s="196">
        <f>AB605</f>
        <v>0</v>
      </c>
      <c r="AM603" s="511">
        <f>AM602*1.5</f>
        <v>77.25</v>
      </c>
      <c r="AN603" s="510">
        <f>AL603*AM603</f>
        <v>0</v>
      </c>
    </row>
    <row r="604" spans="2:42" hidden="1">
      <c r="B604" s="4"/>
      <c r="C604" s="441"/>
      <c r="D604" s="441"/>
      <c r="E604" s="319"/>
      <c r="F604" s="320"/>
      <c r="G604" s="4"/>
      <c r="H604" s="441"/>
      <c r="I604" s="441"/>
      <c r="J604" s="319"/>
      <c r="K604" s="320"/>
      <c r="L604" s="4"/>
      <c r="M604" s="441"/>
      <c r="N604" s="441"/>
      <c r="O604" s="319"/>
      <c r="P604" s="320"/>
      <c r="R604" s="441"/>
      <c r="S604" s="441"/>
      <c r="T604" s="319"/>
      <c r="U604" s="320"/>
      <c r="W604" s="441"/>
      <c r="X604" s="441"/>
      <c r="Y604" s="319"/>
      <c r="Z604" s="320"/>
      <c r="AA604" s="328">
        <f>Y604+T604+O604+J604+E604</f>
        <v>0</v>
      </c>
      <c r="AB604" s="298">
        <f>Z604+U604+P604+K604+F604</f>
        <v>0</v>
      </c>
      <c r="AC604" s="4"/>
      <c r="AF604" s="319"/>
      <c r="AG604" s="328">
        <f>AF604</f>
        <v>0</v>
      </c>
      <c r="AH604" s="175"/>
      <c r="AI604" s="402"/>
      <c r="AJ604" s="367"/>
      <c r="AK604" s="188" t="s">
        <v>32</v>
      </c>
      <c r="AL604" s="196">
        <f>AG605</f>
        <v>0</v>
      </c>
      <c r="AM604" s="511">
        <v>75.77</v>
      </c>
      <c r="AN604" s="510">
        <f>AL604*AM604</f>
        <v>0</v>
      </c>
    </row>
    <row r="605" spans="2:42" hidden="1">
      <c r="B605" s="64" t="s">
        <v>61</v>
      </c>
      <c r="C605" s="31"/>
      <c r="D605" s="31"/>
      <c r="E605" s="439">
        <f>SUM(E603:E604)</f>
        <v>8</v>
      </c>
      <c r="F605" s="320">
        <f>SUM(F603:F604)</f>
        <v>0</v>
      </c>
      <c r="G605" s="31"/>
      <c r="H605" s="31"/>
      <c r="I605" s="31"/>
      <c r="J605" s="439">
        <f>SUM(J603:J604)</f>
        <v>8</v>
      </c>
      <c r="K605" s="320">
        <f>SUM(K603:K604)</f>
        <v>0</v>
      </c>
      <c r="L605" s="31"/>
      <c r="M605" s="31"/>
      <c r="N605" s="31"/>
      <c r="O605" s="439">
        <f>SUM(O603:O604)</f>
        <v>8</v>
      </c>
      <c r="P605" s="320">
        <f>SUM(P603:P604)</f>
        <v>0</v>
      </c>
      <c r="Q605" s="31"/>
      <c r="R605" s="31"/>
      <c r="S605" s="31"/>
      <c r="T605" s="439">
        <f>SUM(T603:T604)</f>
        <v>8</v>
      </c>
      <c r="U605" s="320">
        <f>SUM(U603:U604)</f>
        <v>0</v>
      </c>
      <c r="V605" s="31"/>
      <c r="W605" s="31"/>
      <c r="X605" s="31"/>
      <c r="Y605" s="439">
        <f>SUM(Y603:Y604)</f>
        <v>8</v>
      </c>
      <c r="Z605" s="320">
        <f>SUM(Z603:Z604)</f>
        <v>0</v>
      </c>
      <c r="AA605" s="370">
        <f>SUM(AA603:AA604)</f>
        <v>40</v>
      </c>
      <c r="AB605" s="370">
        <f>SUM(AB603:AB604)</f>
        <v>0</v>
      </c>
      <c r="AC605" s="4"/>
      <c r="AD605" s="64"/>
      <c r="AE605" s="64"/>
      <c r="AF605" s="370">
        <f>SUM(AF603:AF604)</f>
        <v>0</v>
      </c>
      <c r="AG605" s="370">
        <f>SUM(AG603:AG604)</f>
        <v>0</v>
      </c>
      <c r="AJ605" s="367"/>
      <c r="AN605" s="510">
        <f>SUM(AN602:AN604)</f>
        <v>2060</v>
      </c>
    </row>
    <row r="606" spans="2:42" hidden="1">
      <c r="B606" s="180"/>
      <c r="E606" s="4"/>
      <c r="F606" s="4"/>
      <c r="G606" s="4"/>
      <c r="J606" s="4"/>
      <c r="K606" s="4"/>
      <c r="L606" s="4"/>
      <c r="O606" s="4"/>
      <c r="P606" s="4"/>
      <c r="T606" s="4"/>
      <c r="U606" s="4"/>
      <c r="Y606" s="4"/>
      <c r="Z606" s="4"/>
      <c r="AA606" s="4"/>
      <c r="AB606" s="4"/>
      <c r="AC606" s="4"/>
    </row>
    <row r="607" spans="2:42" hidden="1">
      <c r="B607" s="229"/>
      <c r="C607" s="230"/>
      <c r="D607" s="230"/>
      <c r="E607" s="232"/>
      <c r="F607" s="232"/>
      <c r="G607" s="230"/>
      <c r="H607" s="232"/>
      <c r="I607" s="232"/>
      <c r="J607" s="232"/>
      <c r="K607" s="232"/>
      <c r="L607" s="230"/>
      <c r="M607" s="230"/>
      <c r="N607" s="230"/>
      <c r="O607" s="230"/>
      <c r="P607" s="232"/>
      <c r="Q607" s="230"/>
      <c r="R607" s="230"/>
      <c r="S607" s="230"/>
      <c r="T607" s="230"/>
      <c r="U607" s="232"/>
      <c r="V607" s="230"/>
      <c r="W607" s="230"/>
      <c r="X607" s="230"/>
      <c r="Y607" s="233"/>
      <c r="Z607" s="232"/>
      <c r="AA607" s="234"/>
      <c r="AB607" s="232"/>
      <c r="AC607" s="373"/>
      <c r="AD607" s="236"/>
      <c r="AE607" s="255"/>
      <c r="AF607" s="255"/>
      <c r="AG607" s="255"/>
      <c r="AH607" s="255"/>
      <c r="AJ607" s="255"/>
      <c r="AK607" s="255"/>
      <c r="AL607" s="255"/>
      <c r="AM607" s="255"/>
      <c r="AN607" s="255"/>
      <c r="AO607" s="255"/>
      <c r="AP607" s="255"/>
    </row>
    <row r="608" spans="2:42" hidden="1">
      <c r="B608" s="180"/>
      <c r="E608" s="4"/>
      <c r="F608" s="4"/>
      <c r="G608" s="4"/>
      <c r="J608" s="4"/>
      <c r="K608" s="4"/>
      <c r="L608" s="4"/>
      <c r="O608" s="4"/>
      <c r="P608" s="4"/>
      <c r="T608" s="4"/>
      <c r="U608" s="4"/>
      <c r="Y608" s="4"/>
      <c r="Z608" s="4"/>
      <c r="AA608" s="4"/>
      <c r="AB608" s="4"/>
      <c r="AC608" s="4"/>
    </row>
    <row r="609" spans="2:42" ht="13.5" hidden="1" customHeight="1">
      <c r="B609" s="1518" t="s">
        <v>18</v>
      </c>
      <c r="C609" s="1519">
        <v>46062</v>
      </c>
      <c r="D609" s="1519"/>
      <c r="E609" s="1519"/>
      <c r="F609" s="1519"/>
      <c r="G609" s="365"/>
      <c r="H609" s="1519">
        <v>46063</v>
      </c>
      <c r="I609" s="1519"/>
      <c r="J609" s="1519"/>
      <c r="K609" s="1519"/>
      <c r="L609" s="365"/>
      <c r="M609" s="1519">
        <v>46064</v>
      </c>
      <c r="N609" s="1519"/>
      <c r="O609" s="1519"/>
      <c r="P609" s="1519"/>
      <c r="Q609" s="365"/>
      <c r="R609" s="1519">
        <v>46065</v>
      </c>
      <c r="S609" s="1519"/>
      <c r="T609" s="1519"/>
      <c r="U609" s="1519"/>
      <c r="V609" s="365"/>
      <c r="W609" s="1519">
        <v>46066</v>
      </c>
      <c r="X609" s="1519"/>
      <c r="Y609" s="1519"/>
      <c r="Z609" s="1519"/>
      <c r="AA609" s="1517" t="s">
        <v>19</v>
      </c>
      <c r="AB609" s="1517" t="s">
        <v>20</v>
      </c>
      <c r="AC609" s="4"/>
      <c r="AD609" s="1519">
        <v>46067</v>
      </c>
      <c r="AE609" s="1519"/>
      <c r="AF609" s="1519"/>
      <c r="AG609" s="1517" t="s">
        <v>21</v>
      </c>
      <c r="AI609" s="368"/>
      <c r="AK609" s="194" t="s">
        <v>84</v>
      </c>
      <c r="AL609" s="366"/>
      <c r="AM609" s="366"/>
      <c r="AN609" s="366"/>
      <c r="AO609" s="366"/>
      <c r="AP609" s="366"/>
    </row>
    <row r="610" spans="2:42" hidden="1">
      <c r="B610" s="1518"/>
      <c r="C610" s="21" t="s">
        <v>23</v>
      </c>
      <c r="D610" s="21" t="s">
        <v>24</v>
      </c>
      <c r="E610" s="205" t="s">
        <v>25</v>
      </c>
      <c r="F610" s="18" t="s">
        <v>14</v>
      </c>
      <c r="G610" s="4"/>
      <c r="H610" s="21" t="s">
        <v>23</v>
      </c>
      <c r="I610" s="21" t="s">
        <v>24</v>
      </c>
      <c r="J610" s="18" t="s">
        <v>25</v>
      </c>
      <c r="K610" s="18" t="s">
        <v>14</v>
      </c>
      <c r="L610" s="4"/>
      <c r="M610" s="21" t="s">
        <v>23</v>
      </c>
      <c r="N610" s="21" t="s">
        <v>24</v>
      </c>
      <c r="O610" s="18" t="s">
        <v>25</v>
      </c>
      <c r="P610" s="18" t="s">
        <v>14</v>
      </c>
      <c r="R610" s="21" t="s">
        <v>23</v>
      </c>
      <c r="S610" s="21" t="s">
        <v>24</v>
      </c>
      <c r="T610" s="18" t="s">
        <v>25</v>
      </c>
      <c r="U610" s="18" t="s">
        <v>14</v>
      </c>
      <c r="W610" s="21" t="s">
        <v>23</v>
      </c>
      <c r="X610" s="21" t="s">
        <v>24</v>
      </c>
      <c r="Y610" s="18" t="s">
        <v>25</v>
      </c>
      <c r="Z610" s="18" t="s">
        <v>14</v>
      </c>
      <c r="AA610" s="1517"/>
      <c r="AB610" s="1517"/>
      <c r="AC610" s="4"/>
      <c r="AD610" s="21" t="s">
        <v>23</v>
      </c>
      <c r="AE610" s="21" t="s">
        <v>24</v>
      </c>
      <c r="AF610" s="18" t="s">
        <v>25</v>
      </c>
      <c r="AG610" s="1517"/>
      <c r="AI610" s="368"/>
      <c r="AJ610" s="367"/>
      <c r="AK610" s="188" t="s">
        <v>26</v>
      </c>
      <c r="AL610" s="196">
        <f>AA613</f>
        <v>40</v>
      </c>
      <c r="AM610" s="511">
        <v>51.5</v>
      </c>
      <c r="AN610" s="510">
        <f>AL610*AM610</f>
        <v>2060</v>
      </c>
    </row>
    <row r="611" spans="2:42" hidden="1">
      <c r="B611" s="4" t="s">
        <v>60</v>
      </c>
      <c r="C611" s="441" t="s">
        <v>75</v>
      </c>
      <c r="D611" s="441" t="s">
        <v>246</v>
      </c>
      <c r="E611" s="319">
        <v>8</v>
      </c>
      <c r="F611" s="320"/>
      <c r="G611" s="4"/>
      <c r="H611" s="441" t="s">
        <v>75</v>
      </c>
      <c r="I611" s="441" t="s">
        <v>246</v>
      </c>
      <c r="J611" s="319">
        <v>8</v>
      </c>
      <c r="K611" s="320"/>
      <c r="L611" s="4"/>
      <c r="M611" s="441" t="s">
        <v>75</v>
      </c>
      <c r="N611" s="441" t="s">
        <v>246</v>
      </c>
      <c r="O611" s="319">
        <v>8</v>
      </c>
      <c r="P611" s="320"/>
      <c r="R611" s="441" t="s">
        <v>75</v>
      </c>
      <c r="S611" s="441" t="s">
        <v>246</v>
      </c>
      <c r="T611" s="319">
        <v>8</v>
      </c>
      <c r="U611" s="320"/>
      <c r="W611" s="441" t="s">
        <v>75</v>
      </c>
      <c r="X611" s="441" t="s">
        <v>246</v>
      </c>
      <c r="Y611" s="319">
        <v>8</v>
      </c>
      <c r="Z611" s="320"/>
      <c r="AA611" s="328">
        <f>Y611+T611+O611+J611+E611</f>
        <v>40</v>
      </c>
      <c r="AB611" s="298">
        <f>Z611+U611+P611+K611+F611</f>
        <v>0</v>
      </c>
      <c r="AC611" s="4"/>
      <c r="AD611" s="587"/>
      <c r="AE611" s="531"/>
      <c r="AF611" s="319"/>
      <c r="AG611" s="328">
        <f>AF611</f>
        <v>0</v>
      </c>
      <c r="AI611" s="368"/>
      <c r="AJ611" s="367"/>
      <c r="AK611" s="188" t="s">
        <v>30</v>
      </c>
      <c r="AL611" s="196">
        <f>AB613</f>
        <v>0</v>
      </c>
      <c r="AM611" s="511">
        <f>AM610*1.5</f>
        <v>77.25</v>
      </c>
      <c r="AN611" s="510">
        <f>AL611*AM611</f>
        <v>0</v>
      </c>
    </row>
    <row r="612" spans="2:42" hidden="1">
      <c r="B612" s="4"/>
      <c r="C612" s="441"/>
      <c r="D612" s="441"/>
      <c r="E612" s="319"/>
      <c r="F612" s="320"/>
      <c r="G612" s="4"/>
      <c r="H612" s="441"/>
      <c r="I612" s="441"/>
      <c r="J612" s="319"/>
      <c r="K612" s="320"/>
      <c r="L612" s="4"/>
      <c r="M612" s="441"/>
      <c r="N612" s="441"/>
      <c r="O612" s="319"/>
      <c r="P612" s="320"/>
      <c r="R612" s="441"/>
      <c r="S612" s="441"/>
      <c r="T612" s="319"/>
      <c r="U612" s="320"/>
      <c r="W612" s="441"/>
      <c r="X612" s="441"/>
      <c r="Y612" s="319"/>
      <c r="Z612" s="320"/>
      <c r="AA612" s="328">
        <f>Y612+T612+O612+J612+E612</f>
        <v>0</v>
      </c>
      <c r="AB612" s="298">
        <f>Z612+U612+P612+K612+F612</f>
        <v>0</v>
      </c>
      <c r="AC612" s="4"/>
      <c r="AF612" s="319"/>
      <c r="AG612" s="328">
        <f>AF612</f>
        <v>0</v>
      </c>
      <c r="AH612" s="175"/>
      <c r="AI612" s="402"/>
      <c r="AJ612" s="367"/>
      <c r="AK612" s="188" t="s">
        <v>32</v>
      </c>
      <c r="AL612" s="196">
        <f>AG613</f>
        <v>0</v>
      </c>
      <c r="AM612" s="511">
        <v>75.77</v>
      </c>
      <c r="AN612" s="510">
        <f>AL612*AM612</f>
        <v>0</v>
      </c>
    </row>
    <row r="613" spans="2:42" hidden="1">
      <c r="B613" s="64" t="s">
        <v>61</v>
      </c>
      <c r="C613" s="31"/>
      <c r="D613" s="31"/>
      <c r="E613" s="439">
        <f>SUM(E611:E612)</f>
        <v>8</v>
      </c>
      <c r="F613" s="320">
        <f>SUM(F611:F612)</f>
        <v>0</v>
      </c>
      <c r="G613" s="31"/>
      <c r="H613" s="31"/>
      <c r="I613" s="31"/>
      <c r="J613" s="439">
        <f>SUM(J611:J612)</f>
        <v>8</v>
      </c>
      <c r="K613" s="320">
        <f>SUM(K611:K612)</f>
        <v>0</v>
      </c>
      <c r="L613" s="31"/>
      <c r="M613" s="31"/>
      <c r="N613" s="31"/>
      <c r="O613" s="439">
        <f>SUM(O611:O612)</f>
        <v>8</v>
      </c>
      <c r="P613" s="320">
        <f>SUM(P611:P612)</f>
        <v>0</v>
      </c>
      <c r="Q613" s="31"/>
      <c r="R613" s="31"/>
      <c r="S613" s="31"/>
      <c r="T613" s="439">
        <f>SUM(T611:T612)</f>
        <v>8</v>
      </c>
      <c r="U613" s="320">
        <f>SUM(U611:U612)</f>
        <v>0</v>
      </c>
      <c r="V613" s="31"/>
      <c r="W613" s="31"/>
      <c r="X613" s="31"/>
      <c r="Y613" s="439">
        <f>SUM(Y611:Y612)</f>
        <v>8</v>
      </c>
      <c r="Z613" s="320">
        <f>SUM(Z611:Z612)</f>
        <v>0</v>
      </c>
      <c r="AA613" s="370">
        <f>SUM(AA611:AA612)</f>
        <v>40</v>
      </c>
      <c r="AB613" s="370">
        <f>SUM(AB611:AB612)</f>
        <v>0</v>
      </c>
      <c r="AC613" s="4"/>
      <c r="AD613" s="64"/>
      <c r="AE613" s="64"/>
      <c r="AF613" s="370">
        <f>SUM(AF611:AF612)</f>
        <v>0</v>
      </c>
      <c r="AG613" s="370">
        <f>SUM(AG611:AG612)</f>
        <v>0</v>
      </c>
      <c r="AJ613" s="367"/>
      <c r="AN613" s="510">
        <f>SUM(AN610:AN612)</f>
        <v>2060</v>
      </c>
    </row>
    <row r="614" spans="2:42" hidden="1">
      <c r="B614" s="180"/>
      <c r="E614" s="4"/>
      <c r="F614" s="4"/>
      <c r="G614" s="4"/>
      <c r="J614" s="4"/>
      <c r="K614" s="4"/>
      <c r="L614" s="4"/>
      <c r="O614" s="4"/>
      <c r="P614" s="4"/>
      <c r="T614" s="4"/>
      <c r="U614" s="4"/>
      <c r="Y614" s="4"/>
      <c r="Z614" s="4"/>
      <c r="AA614" s="4"/>
      <c r="AB614" s="4"/>
      <c r="AC614" s="4"/>
    </row>
    <row r="615" spans="2:42" hidden="1">
      <c r="B615" s="229"/>
      <c r="C615" s="230"/>
      <c r="D615" s="230"/>
      <c r="E615" s="232"/>
      <c r="F615" s="232"/>
      <c r="G615" s="230"/>
      <c r="H615" s="232"/>
      <c r="I615" s="232"/>
      <c r="J615" s="232"/>
      <c r="K615" s="232"/>
      <c r="L615" s="230"/>
      <c r="M615" s="230"/>
      <c r="N615" s="230"/>
      <c r="O615" s="230"/>
      <c r="P615" s="232"/>
      <c r="Q615" s="230"/>
      <c r="R615" s="230"/>
      <c r="S615" s="230"/>
      <c r="T615" s="230"/>
      <c r="U615" s="232"/>
      <c r="V615" s="230"/>
      <c r="W615" s="230"/>
      <c r="X615" s="230"/>
      <c r="Y615" s="233"/>
      <c r="Z615" s="232"/>
      <c r="AA615" s="234"/>
      <c r="AB615" s="232"/>
      <c r="AC615" s="373"/>
      <c r="AD615" s="236"/>
      <c r="AE615" s="255"/>
      <c r="AF615" s="255"/>
      <c r="AG615" s="255"/>
      <c r="AH615" s="255"/>
      <c r="AJ615" s="255"/>
      <c r="AK615" s="255"/>
      <c r="AL615" s="255"/>
      <c r="AM615" s="255"/>
      <c r="AN615" s="255"/>
      <c r="AO615" s="255"/>
      <c r="AP615" s="255"/>
    </row>
    <row r="616" spans="2:42" hidden="1">
      <c r="B616" s="180"/>
      <c r="E616" s="4"/>
      <c r="F616" s="4"/>
      <c r="G616" s="4"/>
      <c r="J616" s="4"/>
      <c r="K616" s="4"/>
      <c r="L616" s="4"/>
      <c r="O616" s="4"/>
      <c r="P616" s="4"/>
      <c r="T616" s="4"/>
      <c r="U616" s="4"/>
      <c r="Y616" s="4"/>
      <c r="Z616" s="4"/>
      <c r="AA616" s="4"/>
      <c r="AB616" s="4"/>
      <c r="AC616" s="4"/>
    </row>
    <row r="617" spans="2:42" ht="13.5" hidden="1" customHeight="1">
      <c r="B617" s="1518" t="s">
        <v>18</v>
      </c>
      <c r="C617" s="1519">
        <v>46069</v>
      </c>
      <c r="D617" s="1519"/>
      <c r="E617" s="1519"/>
      <c r="F617" s="1519"/>
      <c r="G617" s="365"/>
      <c r="H617" s="1519">
        <v>46070</v>
      </c>
      <c r="I617" s="1519"/>
      <c r="J617" s="1519"/>
      <c r="K617" s="1519"/>
      <c r="L617" s="365"/>
      <c r="M617" s="1519">
        <v>46071</v>
      </c>
      <c r="N617" s="1519"/>
      <c r="O617" s="1519"/>
      <c r="P617" s="1519"/>
      <c r="Q617" s="365"/>
      <c r="R617" s="1519">
        <v>46072</v>
      </c>
      <c r="S617" s="1519"/>
      <c r="T617" s="1519"/>
      <c r="U617" s="1519"/>
      <c r="V617" s="365"/>
      <c r="W617" s="1519">
        <v>46073</v>
      </c>
      <c r="X617" s="1519"/>
      <c r="Y617" s="1519"/>
      <c r="Z617" s="1519"/>
      <c r="AA617" s="1517" t="s">
        <v>19</v>
      </c>
      <c r="AB617" s="1517" t="s">
        <v>20</v>
      </c>
      <c r="AC617" s="4"/>
      <c r="AD617" s="1519">
        <v>46074</v>
      </c>
      <c r="AE617" s="1519"/>
      <c r="AF617" s="1519"/>
      <c r="AG617" s="1517" t="s">
        <v>21</v>
      </c>
      <c r="AI617" s="368"/>
      <c r="AK617" s="194" t="s">
        <v>84</v>
      </c>
      <c r="AL617" s="366"/>
      <c r="AM617" s="366"/>
      <c r="AN617" s="366"/>
      <c r="AO617" s="366"/>
      <c r="AP617" s="366"/>
    </row>
    <row r="618" spans="2:42" hidden="1">
      <c r="B618" s="1518"/>
      <c r="C618" s="21" t="s">
        <v>23</v>
      </c>
      <c r="D618" s="21" t="s">
        <v>24</v>
      </c>
      <c r="E618" s="205" t="s">
        <v>25</v>
      </c>
      <c r="F618" s="18" t="s">
        <v>14</v>
      </c>
      <c r="G618" s="4"/>
      <c r="H618" s="21" t="s">
        <v>23</v>
      </c>
      <c r="I618" s="21" t="s">
        <v>24</v>
      </c>
      <c r="J618" s="18" t="s">
        <v>25</v>
      </c>
      <c r="K618" s="18" t="s">
        <v>14</v>
      </c>
      <c r="L618" s="4"/>
      <c r="M618" s="21" t="s">
        <v>23</v>
      </c>
      <c r="N618" s="21" t="s">
        <v>24</v>
      </c>
      <c r="O618" s="18" t="s">
        <v>25</v>
      </c>
      <c r="P618" s="18" t="s">
        <v>14</v>
      </c>
      <c r="R618" s="21" t="s">
        <v>23</v>
      </c>
      <c r="S618" s="21" t="s">
        <v>24</v>
      </c>
      <c r="T618" s="18" t="s">
        <v>25</v>
      </c>
      <c r="U618" s="18" t="s">
        <v>14</v>
      </c>
      <c r="W618" s="21" t="s">
        <v>23</v>
      </c>
      <c r="X618" s="21" t="s">
        <v>24</v>
      </c>
      <c r="Y618" s="18" t="s">
        <v>25</v>
      </c>
      <c r="Z618" s="18" t="s">
        <v>14</v>
      </c>
      <c r="AA618" s="1517"/>
      <c r="AB618" s="1517"/>
      <c r="AC618" s="4"/>
      <c r="AD618" s="21" t="s">
        <v>23</v>
      </c>
      <c r="AE618" s="21" t="s">
        <v>24</v>
      </c>
      <c r="AF618" s="18" t="s">
        <v>25</v>
      </c>
      <c r="AG618" s="1517"/>
      <c r="AI618" s="368"/>
      <c r="AJ618" s="367"/>
      <c r="AK618" s="188" t="s">
        <v>26</v>
      </c>
      <c r="AL618" s="196">
        <f>AA621</f>
        <v>32</v>
      </c>
      <c r="AM618" s="511">
        <v>51.5</v>
      </c>
      <c r="AN618" s="510">
        <f>AL618*AM618</f>
        <v>1648</v>
      </c>
    </row>
    <row r="619" spans="2:42" hidden="1">
      <c r="B619" s="4" t="s">
        <v>60</v>
      </c>
      <c r="C619" s="441" t="s">
        <v>28</v>
      </c>
      <c r="D619" s="441"/>
      <c r="E619" s="319"/>
      <c r="F619" s="320"/>
      <c r="G619" s="4"/>
      <c r="H619" s="441" t="s">
        <v>75</v>
      </c>
      <c r="I619" s="441" t="s">
        <v>246</v>
      </c>
      <c r="J619" s="319">
        <v>8</v>
      </c>
      <c r="K619" s="320"/>
      <c r="L619" s="4"/>
      <c r="M619" s="441" t="s">
        <v>75</v>
      </c>
      <c r="N619" s="441" t="s">
        <v>246</v>
      </c>
      <c r="O619" s="319">
        <v>8</v>
      </c>
      <c r="P619" s="320"/>
      <c r="R619" s="441" t="s">
        <v>75</v>
      </c>
      <c r="S619" s="441" t="s">
        <v>246</v>
      </c>
      <c r="T619" s="319">
        <v>8</v>
      </c>
      <c r="U619" s="320"/>
      <c r="W619" s="441" t="s">
        <v>75</v>
      </c>
      <c r="X619" s="441" t="s">
        <v>246</v>
      </c>
      <c r="Y619" s="319">
        <v>8</v>
      </c>
      <c r="Z619" s="320"/>
      <c r="AA619" s="328">
        <f>Y619+T619+O619+J619+E619</f>
        <v>32</v>
      </c>
      <c r="AB619" s="298">
        <f>Z619+U619+P619+K619+F619</f>
        <v>0</v>
      </c>
      <c r="AC619" s="4"/>
      <c r="AD619" s="587"/>
      <c r="AE619" s="531"/>
      <c r="AF619" s="319"/>
      <c r="AG619" s="328">
        <f>AF619</f>
        <v>0</v>
      </c>
      <c r="AI619" s="368"/>
      <c r="AJ619" s="367"/>
      <c r="AK619" s="188" t="s">
        <v>30</v>
      </c>
      <c r="AL619" s="196">
        <f>AB621</f>
        <v>0</v>
      </c>
      <c r="AM619" s="511">
        <f>AM618*1.5</f>
        <v>77.25</v>
      </c>
      <c r="AN619" s="510">
        <f>AL619*AM619</f>
        <v>0</v>
      </c>
    </row>
    <row r="620" spans="2:42" hidden="1">
      <c r="B620" s="4"/>
      <c r="C620" s="441"/>
      <c r="D620" s="441"/>
      <c r="E620" s="319"/>
      <c r="F620" s="320"/>
      <c r="G620" s="4"/>
      <c r="H620" s="441"/>
      <c r="I620" s="441"/>
      <c r="J620" s="319"/>
      <c r="K620" s="320"/>
      <c r="L620" s="4"/>
      <c r="M620" s="441"/>
      <c r="N620" s="441"/>
      <c r="O620" s="319"/>
      <c r="P620" s="320"/>
      <c r="R620" s="441"/>
      <c r="S620" s="441"/>
      <c r="T620" s="319"/>
      <c r="U620" s="320"/>
      <c r="W620" s="441"/>
      <c r="X620" s="441"/>
      <c r="Y620" s="319"/>
      <c r="Z620" s="320"/>
      <c r="AA620" s="328">
        <f>Y620+T620+O620+J620+E620</f>
        <v>0</v>
      </c>
      <c r="AB620" s="298">
        <f>Z620+U620+P620+K620+F620</f>
        <v>0</v>
      </c>
      <c r="AC620" s="4"/>
      <c r="AF620" s="319"/>
      <c r="AG620" s="328">
        <f>AF620</f>
        <v>0</v>
      </c>
      <c r="AH620" s="175"/>
      <c r="AI620" s="402"/>
      <c r="AJ620" s="367"/>
      <c r="AK620" s="188" t="s">
        <v>32</v>
      </c>
      <c r="AL620" s="196">
        <f>AG621</f>
        <v>0</v>
      </c>
      <c r="AM620" s="511">
        <v>75.77</v>
      </c>
      <c r="AN620" s="510">
        <f>AL620*AM620</f>
        <v>0</v>
      </c>
    </row>
    <row r="621" spans="2:42" hidden="1">
      <c r="B621" s="64" t="s">
        <v>61</v>
      </c>
      <c r="C621" s="31"/>
      <c r="D621" s="31"/>
      <c r="E621" s="439">
        <f>SUM(E619:E620)</f>
        <v>0</v>
      </c>
      <c r="F621" s="320">
        <f>SUM(F619:F620)</f>
        <v>0</v>
      </c>
      <c r="G621" s="31"/>
      <c r="H621" s="31"/>
      <c r="I621" s="31"/>
      <c r="J621" s="439">
        <f>SUM(J619:J620)</f>
        <v>8</v>
      </c>
      <c r="K621" s="320">
        <f>SUM(K619:K620)</f>
        <v>0</v>
      </c>
      <c r="L621" s="31"/>
      <c r="M621" s="31"/>
      <c r="N621" s="31"/>
      <c r="O621" s="439">
        <f>SUM(O619:O620)</f>
        <v>8</v>
      </c>
      <c r="P621" s="320">
        <f>SUM(P619:P620)</f>
        <v>0</v>
      </c>
      <c r="Q621" s="31"/>
      <c r="R621" s="31"/>
      <c r="S621" s="31"/>
      <c r="T621" s="439">
        <f>SUM(T619:T620)</f>
        <v>8</v>
      </c>
      <c r="U621" s="320">
        <f>SUM(U619:U620)</f>
        <v>0</v>
      </c>
      <c r="V621" s="31"/>
      <c r="W621" s="31"/>
      <c r="X621" s="31"/>
      <c r="Y621" s="439">
        <f>SUM(Y619:Y620)</f>
        <v>8</v>
      </c>
      <c r="Z621" s="320">
        <f>SUM(Z619:Z620)</f>
        <v>0</v>
      </c>
      <c r="AA621" s="370">
        <f>SUM(AA619:AA620)</f>
        <v>32</v>
      </c>
      <c r="AB621" s="370">
        <f>SUM(AB619:AB620)</f>
        <v>0</v>
      </c>
      <c r="AC621" s="4"/>
      <c r="AD621" s="64"/>
      <c r="AE621" s="64"/>
      <c r="AF621" s="370">
        <f>SUM(AF619:AF620)</f>
        <v>0</v>
      </c>
      <c r="AG621" s="370">
        <f>SUM(AG619:AG620)</f>
        <v>0</v>
      </c>
      <c r="AJ621" s="367"/>
      <c r="AN621" s="510">
        <f>SUM(AN618:AN620)</f>
        <v>1648</v>
      </c>
    </row>
    <row r="622" spans="2:42" hidden="1">
      <c r="B622" s="180"/>
      <c r="E622" s="4"/>
      <c r="F622" s="4"/>
      <c r="G622" s="4"/>
      <c r="J622" s="4"/>
      <c r="K622" s="4"/>
      <c r="L622" s="4"/>
      <c r="O622" s="4"/>
      <c r="P622" s="4"/>
      <c r="T622" s="4"/>
      <c r="U622" s="4"/>
      <c r="Y622" s="4"/>
      <c r="Z622" s="4"/>
      <c r="AA622" s="4"/>
      <c r="AB622" s="4"/>
      <c r="AC622" s="4"/>
    </row>
    <row r="623" spans="2:42" hidden="1">
      <c r="B623" s="229"/>
      <c r="C623" s="230"/>
      <c r="D623" s="230"/>
      <c r="E623" s="232"/>
      <c r="F623" s="232"/>
      <c r="G623" s="230"/>
      <c r="H623" s="232"/>
      <c r="I623" s="232"/>
      <c r="J623" s="232"/>
      <c r="K623" s="232"/>
      <c r="L623" s="230"/>
      <c r="M623" s="230"/>
      <c r="N623" s="230"/>
      <c r="O623" s="230"/>
      <c r="P623" s="232"/>
      <c r="Q623" s="230"/>
      <c r="R623" s="230"/>
      <c r="S623" s="230"/>
      <c r="T623" s="230"/>
      <c r="U623" s="232"/>
      <c r="V623" s="230"/>
      <c r="W623" s="230"/>
      <c r="X623" s="230"/>
      <c r="Y623" s="233"/>
      <c r="Z623" s="232"/>
      <c r="AA623" s="234"/>
      <c r="AB623" s="232"/>
      <c r="AC623" s="373"/>
      <c r="AD623" s="236"/>
      <c r="AE623" s="255"/>
      <c r="AF623" s="255"/>
      <c r="AG623" s="255"/>
      <c r="AH623" s="255"/>
      <c r="AJ623" s="255"/>
      <c r="AK623" s="255"/>
      <c r="AL623" s="255"/>
      <c r="AM623" s="255"/>
      <c r="AN623" s="255"/>
      <c r="AO623" s="255"/>
      <c r="AP623" s="255"/>
    </row>
    <row r="624" spans="2:42" hidden="1">
      <c r="B624" s="180"/>
      <c r="E624" s="4"/>
      <c r="F624" s="4"/>
      <c r="G624" s="4"/>
      <c r="J624" s="4"/>
      <c r="K624" s="4"/>
      <c r="L624" s="4"/>
      <c r="O624" s="4"/>
      <c r="P624" s="4"/>
      <c r="T624" s="4"/>
      <c r="U624" s="4"/>
      <c r="Y624" s="4"/>
      <c r="Z624" s="4"/>
      <c r="AA624" s="4"/>
      <c r="AB624" s="4"/>
      <c r="AC624" s="4"/>
    </row>
    <row r="625" spans="2:42" ht="13.5" hidden="1" customHeight="1">
      <c r="B625" s="1518" t="s">
        <v>18</v>
      </c>
      <c r="C625" s="1519">
        <v>46076</v>
      </c>
      <c r="D625" s="1519"/>
      <c r="E625" s="1519"/>
      <c r="F625" s="1519"/>
      <c r="G625" s="365"/>
      <c r="H625" s="1519">
        <v>46077</v>
      </c>
      <c r="I625" s="1519"/>
      <c r="J625" s="1519"/>
      <c r="K625" s="1519"/>
      <c r="L625" s="365"/>
      <c r="M625" s="1519">
        <v>46078</v>
      </c>
      <c r="N625" s="1519"/>
      <c r="O625" s="1519"/>
      <c r="P625" s="1519"/>
      <c r="Q625" s="365"/>
      <c r="R625" s="1519">
        <v>46079</v>
      </c>
      <c r="S625" s="1519"/>
      <c r="T625" s="1519"/>
      <c r="U625" s="1519"/>
      <c r="V625" s="365"/>
      <c r="W625" s="1519">
        <v>46080</v>
      </c>
      <c r="X625" s="1519"/>
      <c r="Y625" s="1519"/>
      <c r="Z625" s="1519"/>
      <c r="AA625" s="1517" t="s">
        <v>19</v>
      </c>
      <c r="AB625" s="1517" t="s">
        <v>20</v>
      </c>
      <c r="AC625" s="4"/>
      <c r="AD625" s="1519">
        <v>46081</v>
      </c>
      <c r="AE625" s="1519"/>
      <c r="AF625" s="1519"/>
      <c r="AG625" s="1517" t="s">
        <v>21</v>
      </c>
      <c r="AI625" s="368"/>
      <c r="AK625" s="194" t="s">
        <v>84</v>
      </c>
      <c r="AL625" s="366"/>
      <c r="AM625" s="366"/>
      <c r="AN625" s="366"/>
      <c r="AO625" s="366"/>
      <c r="AP625" s="366"/>
    </row>
    <row r="626" spans="2:42" hidden="1">
      <c r="B626" s="1518"/>
      <c r="C626" s="21" t="s">
        <v>23</v>
      </c>
      <c r="D626" s="21" t="s">
        <v>24</v>
      </c>
      <c r="E626" s="205" t="s">
        <v>25</v>
      </c>
      <c r="F626" s="18" t="s">
        <v>14</v>
      </c>
      <c r="G626" s="4"/>
      <c r="H626" s="21" t="s">
        <v>23</v>
      </c>
      <c r="I626" s="21" t="s">
        <v>24</v>
      </c>
      <c r="J626" s="18" t="s">
        <v>25</v>
      </c>
      <c r="K626" s="18" t="s">
        <v>14</v>
      </c>
      <c r="L626" s="4"/>
      <c r="M626" s="21" t="s">
        <v>23</v>
      </c>
      <c r="N626" s="21" t="s">
        <v>24</v>
      </c>
      <c r="O626" s="18" t="s">
        <v>25</v>
      </c>
      <c r="P626" s="18" t="s">
        <v>14</v>
      </c>
      <c r="R626" s="21" t="s">
        <v>23</v>
      </c>
      <c r="S626" s="21" t="s">
        <v>24</v>
      </c>
      <c r="T626" s="18" t="s">
        <v>25</v>
      </c>
      <c r="U626" s="18" t="s">
        <v>14</v>
      </c>
      <c r="W626" s="21" t="s">
        <v>23</v>
      </c>
      <c r="X626" s="21" t="s">
        <v>24</v>
      </c>
      <c r="Y626" s="18" t="s">
        <v>25</v>
      </c>
      <c r="Z626" s="18" t="s">
        <v>14</v>
      </c>
      <c r="AA626" s="1517"/>
      <c r="AB626" s="1517"/>
      <c r="AC626" s="4"/>
      <c r="AD626" s="21" t="s">
        <v>23</v>
      </c>
      <c r="AE626" s="21" t="s">
        <v>24</v>
      </c>
      <c r="AF626" s="18" t="s">
        <v>25</v>
      </c>
      <c r="AG626" s="1517"/>
      <c r="AI626" s="368"/>
      <c r="AJ626" s="367"/>
      <c r="AK626" s="188" t="s">
        <v>26</v>
      </c>
      <c r="AL626" s="196">
        <f>AA629</f>
        <v>40</v>
      </c>
      <c r="AM626" s="511">
        <v>51.5</v>
      </c>
      <c r="AN626" s="510">
        <f>AL626*AM626</f>
        <v>2060</v>
      </c>
    </row>
    <row r="627" spans="2:42" hidden="1">
      <c r="B627" s="4" t="s">
        <v>60</v>
      </c>
      <c r="C627" s="441" t="s">
        <v>75</v>
      </c>
      <c r="D627" s="441" t="s">
        <v>246</v>
      </c>
      <c r="E627" s="319">
        <v>8</v>
      </c>
      <c r="F627" s="320"/>
      <c r="G627" s="4"/>
      <c r="H627" s="441" t="s">
        <v>75</v>
      </c>
      <c r="I627" s="441" t="s">
        <v>246</v>
      </c>
      <c r="J627" s="319">
        <v>8</v>
      </c>
      <c r="K627" s="320"/>
      <c r="L627" s="4"/>
      <c r="M627" s="441" t="s">
        <v>75</v>
      </c>
      <c r="N627" s="441" t="s">
        <v>246</v>
      </c>
      <c r="O627" s="319">
        <v>8</v>
      </c>
      <c r="P627" s="320"/>
      <c r="R627" s="441" t="s">
        <v>75</v>
      </c>
      <c r="S627" s="441" t="s">
        <v>246</v>
      </c>
      <c r="T627" s="319">
        <v>8</v>
      </c>
      <c r="U627" s="320"/>
      <c r="W627" s="441" t="s">
        <v>75</v>
      </c>
      <c r="X627" s="441" t="s">
        <v>246</v>
      </c>
      <c r="Y627" s="319">
        <v>8</v>
      </c>
      <c r="Z627" s="320"/>
      <c r="AA627" s="328">
        <f>Y627+T627+O627+J627+E627</f>
        <v>40</v>
      </c>
      <c r="AB627" s="298">
        <f>Z627+U627+P627+K627+F627</f>
        <v>0</v>
      </c>
      <c r="AC627" s="4"/>
      <c r="AD627" s="587"/>
      <c r="AE627" s="531"/>
      <c r="AF627" s="319"/>
      <c r="AG627" s="328">
        <f>AF627</f>
        <v>0</v>
      </c>
      <c r="AI627" s="368"/>
      <c r="AJ627" s="367"/>
      <c r="AK627" s="188" t="s">
        <v>30</v>
      </c>
      <c r="AL627" s="196">
        <f>AB629</f>
        <v>0</v>
      </c>
      <c r="AM627" s="511">
        <f>AM626*1.5</f>
        <v>77.25</v>
      </c>
      <c r="AN627" s="510">
        <f>AL627*AM627</f>
        <v>0</v>
      </c>
    </row>
    <row r="628" spans="2:42" hidden="1">
      <c r="B628" s="4"/>
      <c r="C628" s="441"/>
      <c r="D628" s="441"/>
      <c r="E628" s="319"/>
      <c r="F628" s="320"/>
      <c r="G628" s="4"/>
      <c r="H628" s="441"/>
      <c r="I628" s="441"/>
      <c r="J628" s="319"/>
      <c r="K628" s="320"/>
      <c r="L628" s="4"/>
      <c r="M628" s="441"/>
      <c r="N628" s="441"/>
      <c r="O628" s="319"/>
      <c r="P628" s="320"/>
      <c r="R628" s="441"/>
      <c r="S628" s="441"/>
      <c r="T628" s="319"/>
      <c r="U628" s="320"/>
      <c r="W628" s="441"/>
      <c r="X628" s="441"/>
      <c r="Y628" s="319"/>
      <c r="Z628" s="320"/>
      <c r="AA628" s="328">
        <f>Y628+T628+O628+J628+E628</f>
        <v>0</v>
      </c>
      <c r="AB628" s="298">
        <f>Z628+U628+P628+K628+F628</f>
        <v>0</v>
      </c>
      <c r="AC628" s="4"/>
      <c r="AF628" s="319"/>
      <c r="AG628" s="328">
        <f>AF628</f>
        <v>0</v>
      </c>
      <c r="AH628" s="175"/>
      <c r="AI628" s="402"/>
      <c r="AJ628" s="367"/>
      <c r="AK628" s="188" t="s">
        <v>32</v>
      </c>
      <c r="AL628" s="196">
        <f>AG629</f>
        <v>0</v>
      </c>
      <c r="AM628" s="511">
        <v>75.77</v>
      </c>
      <c r="AN628" s="510">
        <f>AL628*AM628</f>
        <v>0</v>
      </c>
    </row>
    <row r="629" spans="2:42" hidden="1">
      <c r="B629" s="64" t="s">
        <v>61</v>
      </c>
      <c r="C629" s="31"/>
      <c r="D629" s="31"/>
      <c r="E629" s="439">
        <f>SUM(E627:E628)</f>
        <v>8</v>
      </c>
      <c r="F629" s="320">
        <f>SUM(F627:F628)</f>
        <v>0</v>
      </c>
      <c r="G629" s="31"/>
      <c r="H629" s="31"/>
      <c r="I629" s="31"/>
      <c r="J629" s="439">
        <f>SUM(J627:J628)</f>
        <v>8</v>
      </c>
      <c r="K629" s="320">
        <f>SUM(K627:K628)</f>
        <v>0</v>
      </c>
      <c r="L629" s="31"/>
      <c r="M629" s="31"/>
      <c r="N629" s="31"/>
      <c r="O629" s="439">
        <f>SUM(O627:O628)</f>
        <v>8</v>
      </c>
      <c r="P629" s="320">
        <f>SUM(P627:P628)</f>
        <v>0</v>
      </c>
      <c r="Q629" s="31"/>
      <c r="R629" s="31"/>
      <c r="S629" s="31"/>
      <c r="T629" s="439">
        <f>SUM(T627:T628)</f>
        <v>8</v>
      </c>
      <c r="U629" s="320">
        <f>SUM(U627:U628)</f>
        <v>0</v>
      </c>
      <c r="V629" s="31"/>
      <c r="W629" s="31"/>
      <c r="X629" s="31"/>
      <c r="Y629" s="439">
        <f>SUM(Y627:Y628)</f>
        <v>8</v>
      </c>
      <c r="Z629" s="320">
        <f>SUM(Z627:Z628)</f>
        <v>0</v>
      </c>
      <c r="AA629" s="370">
        <f>SUM(AA627:AA628)</f>
        <v>40</v>
      </c>
      <c r="AB629" s="370">
        <f>SUM(AB627:AB628)</f>
        <v>0</v>
      </c>
      <c r="AC629" s="4"/>
      <c r="AD629" s="64"/>
      <c r="AE629" s="64"/>
      <c r="AF629" s="370">
        <f>SUM(AF627:AF628)</f>
        <v>0</v>
      </c>
      <c r="AG629" s="370">
        <f>SUM(AG627:AG628)</f>
        <v>0</v>
      </c>
      <c r="AJ629" s="367"/>
      <c r="AN629" s="510">
        <f>SUM(AN626:AN628)</f>
        <v>2060</v>
      </c>
    </row>
    <row r="630" spans="2:42" hidden="1">
      <c r="B630" s="180"/>
      <c r="E630" s="4"/>
      <c r="F630" s="4"/>
      <c r="G630" s="4"/>
      <c r="J630" s="4"/>
      <c r="K630" s="4"/>
      <c r="L630" s="4"/>
      <c r="O630" s="4"/>
      <c r="P630" s="4"/>
      <c r="T630" s="4"/>
      <c r="U630" s="4"/>
      <c r="Y630" s="4"/>
      <c r="Z630" s="4"/>
      <c r="AA630" s="4"/>
      <c r="AB630" s="4"/>
      <c r="AC630" s="4"/>
    </row>
    <row r="631" spans="2:42" hidden="1">
      <c r="B631" s="229"/>
      <c r="C631" s="230"/>
      <c r="D631" s="230"/>
      <c r="E631" s="232"/>
      <c r="F631" s="232"/>
      <c r="G631" s="230"/>
      <c r="H631" s="232"/>
      <c r="I631" s="232"/>
      <c r="J631" s="232"/>
      <c r="K631" s="232"/>
      <c r="L631" s="230"/>
      <c r="M631" s="230"/>
      <c r="N631" s="230"/>
      <c r="O631" s="230"/>
      <c r="P631" s="232"/>
      <c r="Q631" s="230"/>
      <c r="R631" s="230"/>
      <c r="S631" s="230"/>
      <c r="T631" s="230"/>
      <c r="U631" s="232"/>
      <c r="V631" s="230"/>
      <c r="W631" s="230"/>
      <c r="X631" s="230"/>
      <c r="Y631" s="233"/>
      <c r="Z631" s="232"/>
      <c r="AA631" s="234"/>
      <c r="AB631" s="232"/>
      <c r="AC631" s="373"/>
      <c r="AD631" s="236"/>
      <c r="AE631" s="255"/>
      <c r="AF631" s="255"/>
      <c r="AG631" s="255"/>
      <c r="AH631" s="255"/>
      <c r="AJ631" s="255"/>
      <c r="AK631" s="255"/>
      <c r="AL631" s="255"/>
      <c r="AM631" s="255"/>
      <c r="AN631" s="255"/>
      <c r="AO631" s="255"/>
      <c r="AP631" s="255"/>
    </row>
    <row r="632" spans="2:42">
      <c r="B632" s="180"/>
      <c r="E632" s="4"/>
      <c r="F632" s="4"/>
      <c r="G632" s="4"/>
      <c r="J632" s="4"/>
      <c r="K632" s="4"/>
      <c r="L632" s="4"/>
      <c r="O632" s="4"/>
      <c r="P632" s="4"/>
      <c r="T632" s="4"/>
      <c r="U632" s="4"/>
      <c r="Y632" s="4"/>
      <c r="Z632" s="4"/>
      <c r="AA632" s="4"/>
      <c r="AB632" s="4"/>
      <c r="AC632" s="4"/>
    </row>
    <row r="633" spans="2:42">
      <c r="B633" s="1518" t="s">
        <v>18</v>
      </c>
      <c r="C633" s="1519">
        <v>46083</v>
      </c>
      <c r="D633" s="1519"/>
      <c r="E633" s="1519"/>
      <c r="F633" s="1519"/>
      <c r="G633" s="365"/>
      <c r="H633" s="1519">
        <v>46084</v>
      </c>
      <c r="I633" s="1519"/>
      <c r="J633" s="1519"/>
      <c r="K633" s="1519"/>
      <c r="L633" s="365"/>
      <c r="M633" s="1519">
        <v>46085</v>
      </c>
      <c r="N633" s="1519"/>
      <c r="O633" s="1519"/>
      <c r="P633" s="1519"/>
      <c r="Q633" s="365"/>
      <c r="R633" s="1519">
        <v>46086</v>
      </c>
      <c r="S633" s="1519"/>
      <c r="T633" s="1519"/>
      <c r="U633" s="1519"/>
      <c r="V633" s="365"/>
      <c r="W633" s="1519">
        <v>46087</v>
      </c>
      <c r="X633" s="1519"/>
      <c r="Y633" s="1519"/>
      <c r="Z633" s="1519"/>
      <c r="AA633" s="1517" t="s">
        <v>19</v>
      </c>
      <c r="AB633" s="1517" t="s">
        <v>20</v>
      </c>
      <c r="AC633" s="4"/>
      <c r="AD633" s="1519">
        <v>46088</v>
      </c>
      <c r="AE633" s="1519"/>
      <c r="AF633" s="1519"/>
      <c r="AG633" s="1517" t="s">
        <v>21</v>
      </c>
      <c r="AI633" s="368"/>
      <c r="AK633" s="194" t="s">
        <v>84</v>
      </c>
      <c r="AL633" s="366"/>
      <c r="AM633" s="366"/>
      <c r="AN633" s="366"/>
      <c r="AO633" s="366"/>
      <c r="AP633" s="366"/>
    </row>
    <row r="634" spans="2:42">
      <c r="B634" s="1518"/>
      <c r="C634" s="21" t="s">
        <v>23</v>
      </c>
      <c r="D634" s="21" t="s">
        <v>24</v>
      </c>
      <c r="E634" s="205" t="s">
        <v>25</v>
      </c>
      <c r="F634" s="18" t="s">
        <v>14</v>
      </c>
      <c r="G634" s="4"/>
      <c r="H634" s="21" t="s">
        <v>23</v>
      </c>
      <c r="I634" s="21" t="s">
        <v>24</v>
      </c>
      <c r="J634" s="18" t="s">
        <v>25</v>
      </c>
      <c r="K634" s="18" t="s">
        <v>14</v>
      </c>
      <c r="L634" s="4"/>
      <c r="M634" s="21" t="s">
        <v>23</v>
      </c>
      <c r="N634" s="21" t="s">
        <v>24</v>
      </c>
      <c r="O634" s="18" t="s">
        <v>25</v>
      </c>
      <c r="P634" s="18" t="s">
        <v>14</v>
      </c>
      <c r="R634" s="21" t="s">
        <v>23</v>
      </c>
      <c r="S634" s="21" t="s">
        <v>24</v>
      </c>
      <c r="T634" s="18" t="s">
        <v>25</v>
      </c>
      <c r="U634" s="18" t="s">
        <v>14</v>
      </c>
      <c r="W634" s="21" t="s">
        <v>23</v>
      </c>
      <c r="X634" s="21" t="s">
        <v>24</v>
      </c>
      <c r="Y634" s="18" t="s">
        <v>25</v>
      </c>
      <c r="Z634" s="18" t="s">
        <v>14</v>
      </c>
      <c r="AA634" s="1517"/>
      <c r="AB634" s="1517"/>
      <c r="AC634" s="4"/>
      <c r="AD634" s="21" t="s">
        <v>23</v>
      </c>
      <c r="AE634" s="21" t="s">
        <v>24</v>
      </c>
      <c r="AF634" s="18" t="s">
        <v>25</v>
      </c>
      <c r="AG634" s="1517"/>
      <c r="AI634" s="368"/>
      <c r="AJ634" s="367"/>
      <c r="AK634" s="188" t="s">
        <v>26</v>
      </c>
      <c r="AL634" s="196">
        <f>AA637</f>
        <v>40</v>
      </c>
      <c r="AM634" s="511">
        <v>53.05</v>
      </c>
      <c r="AN634" s="510">
        <f>AL634*AM634</f>
        <v>2122</v>
      </c>
    </row>
    <row r="635" spans="2:42">
      <c r="B635" s="4" t="s">
        <v>60</v>
      </c>
      <c r="C635" s="441" t="s">
        <v>75</v>
      </c>
      <c r="D635" s="441" t="s">
        <v>246</v>
      </c>
      <c r="E635" s="319">
        <v>8</v>
      </c>
      <c r="F635" s="320"/>
      <c r="G635" s="4"/>
      <c r="H635" s="441" t="s">
        <v>75</v>
      </c>
      <c r="I635" s="441" t="s">
        <v>246</v>
      </c>
      <c r="J635" s="319">
        <v>8</v>
      </c>
      <c r="K635" s="320"/>
      <c r="L635" s="4"/>
      <c r="M635" s="441" t="s">
        <v>75</v>
      </c>
      <c r="N635" s="441" t="s">
        <v>246</v>
      </c>
      <c r="O635" s="319">
        <v>8</v>
      </c>
      <c r="P635" s="320"/>
      <c r="R635" s="441" t="s">
        <v>125</v>
      </c>
      <c r="S635" s="441" t="s">
        <v>136</v>
      </c>
      <c r="T635" s="319">
        <v>8</v>
      </c>
      <c r="U635" s="320"/>
      <c r="W635" s="441" t="s">
        <v>75</v>
      </c>
      <c r="X635" s="441" t="s">
        <v>246</v>
      </c>
      <c r="Y635" s="319">
        <v>8</v>
      </c>
      <c r="Z635" s="320"/>
      <c r="AA635" s="328">
        <f>Y635+T635+O635+J635+E635</f>
        <v>40</v>
      </c>
      <c r="AB635" s="298">
        <f>Z635+U635+P635+K635+F635</f>
        <v>0</v>
      </c>
      <c r="AC635" s="4"/>
      <c r="AD635" s="587"/>
      <c r="AE635" s="531"/>
      <c r="AF635" s="319"/>
      <c r="AG635" s="328">
        <f>AF635</f>
        <v>0</v>
      </c>
      <c r="AI635" s="368"/>
      <c r="AJ635" s="367"/>
      <c r="AK635" s="188" t="s">
        <v>30</v>
      </c>
      <c r="AL635" s="196">
        <f>AB637</f>
        <v>0</v>
      </c>
      <c r="AM635" s="511">
        <f>AM634*1.5</f>
        <v>79.574999999999989</v>
      </c>
      <c r="AN635" s="510">
        <f>AL635*AM635</f>
        <v>0</v>
      </c>
    </row>
    <row r="636" spans="2:42">
      <c r="B636" s="4"/>
      <c r="C636" s="441"/>
      <c r="D636" s="441"/>
      <c r="E636" s="319"/>
      <c r="F636" s="320"/>
      <c r="G636" s="4"/>
      <c r="H636" s="441"/>
      <c r="I636" s="441"/>
      <c r="J636" s="319"/>
      <c r="K636" s="320"/>
      <c r="L636" s="4"/>
      <c r="M636" s="441"/>
      <c r="N636" s="441"/>
      <c r="O636" s="319"/>
      <c r="P636" s="320"/>
      <c r="R636" s="441"/>
      <c r="S636" s="441"/>
      <c r="T636" s="319"/>
      <c r="U636" s="320"/>
      <c r="W636" s="441"/>
      <c r="X636" s="441"/>
      <c r="Y636" s="319"/>
      <c r="Z636" s="320"/>
      <c r="AA636" s="328">
        <f>Y636+T636+O636+J636+E636</f>
        <v>0</v>
      </c>
      <c r="AB636" s="298">
        <f>Z636+U636+P636+K636+F636</f>
        <v>0</v>
      </c>
      <c r="AC636" s="4"/>
      <c r="AF636" s="319"/>
      <c r="AG636" s="328">
        <f>AF636</f>
        <v>0</v>
      </c>
      <c r="AH636" s="175"/>
      <c r="AI636" s="402"/>
      <c r="AJ636" s="367"/>
      <c r="AK636" s="188" t="s">
        <v>32</v>
      </c>
      <c r="AL636" s="196">
        <f>AG637</f>
        <v>0</v>
      </c>
      <c r="AM636" s="511">
        <v>75.77</v>
      </c>
      <c r="AN636" s="510">
        <f>AL636*AM636</f>
        <v>0</v>
      </c>
    </row>
    <row r="637" spans="2:42">
      <c r="B637" s="64" t="s">
        <v>61</v>
      </c>
      <c r="C637" s="31"/>
      <c r="D637" s="31"/>
      <c r="E637" s="439">
        <f>SUM(E635:E636)</f>
        <v>8</v>
      </c>
      <c r="F637" s="320">
        <f>SUM(F635:F636)</f>
        <v>0</v>
      </c>
      <c r="G637" s="31"/>
      <c r="H637" s="31"/>
      <c r="I637" s="31"/>
      <c r="J637" s="439">
        <f>SUM(J635:J636)</f>
        <v>8</v>
      </c>
      <c r="K637" s="320">
        <f>SUM(K635:K636)</f>
        <v>0</v>
      </c>
      <c r="L637" s="31"/>
      <c r="M637" s="31"/>
      <c r="N637" s="31"/>
      <c r="O637" s="439">
        <f>SUM(O635:O636)</f>
        <v>8</v>
      </c>
      <c r="P637" s="320">
        <f>SUM(P635:P636)</f>
        <v>0</v>
      </c>
      <c r="Q637" s="31"/>
      <c r="R637" s="31"/>
      <c r="S637" s="31"/>
      <c r="T637" s="439">
        <f>SUM(T635:T636)</f>
        <v>8</v>
      </c>
      <c r="U637" s="320">
        <f>SUM(U635:U636)</f>
        <v>0</v>
      </c>
      <c r="V637" s="31"/>
      <c r="W637" s="31"/>
      <c r="X637" s="31"/>
      <c r="Y637" s="439">
        <f>SUM(Y635:Y636)</f>
        <v>8</v>
      </c>
      <c r="Z637" s="320">
        <f>SUM(Z635:Z636)</f>
        <v>0</v>
      </c>
      <c r="AA637" s="370">
        <f>SUM(AA635:AA636)</f>
        <v>40</v>
      </c>
      <c r="AB637" s="370">
        <f>SUM(AB635:AB636)</f>
        <v>0</v>
      </c>
      <c r="AC637" s="4"/>
      <c r="AD637" s="64"/>
      <c r="AE637" s="64"/>
      <c r="AF637" s="370">
        <f>SUM(AF635:AF636)</f>
        <v>0</v>
      </c>
      <c r="AG637" s="370">
        <f>SUM(AG635:AG636)</f>
        <v>0</v>
      </c>
      <c r="AJ637" s="367"/>
      <c r="AN637" s="510">
        <f>SUM(AN634:AN636)</f>
        <v>2122</v>
      </c>
    </row>
    <row r="638" spans="2:42">
      <c r="B638" s="180"/>
      <c r="E638" s="4"/>
      <c r="F638" s="4"/>
      <c r="G638" s="4"/>
      <c r="J638" s="4"/>
      <c r="K638" s="4"/>
      <c r="L638" s="4"/>
      <c r="O638" s="4"/>
      <c r="P638" s="4"/>
      <c r="T638" s="4"/>
      <c r="U638" s="4"/>
      <c r="Y638" s="4"/>
      <c r="Z638" s="4"/>
      <c r="AA638" s="4"/>
      <c r="AB638" s="4"/>
      <c r="AC638" s="4"/>
    </row>
    <row r="639" spans="2:42">
      <c r="B639" s="229"/>
      <c r="C639" s="230"/>
      <c r="D639" s="230"/>
      <c r="E639" s="232"/>
      <c r="F639" s="232"/>
      <c r="G639" s="230"/>
      <c r="H639" s="232"/>
      <c r="I639" s="232"/>
      <c r="J639" s="232"/>
      <c r="K639" s="232"/>
      <c r="L639" s="230"/>
      <c r="M639" s="230"/>
      <c r="N639" s="230"/>
      <c r="O639" s="230"/>
      <c r="P639" s="232"/>
      <c r="Q639" s="230"/>
      <c r="R639" s="230"/>
      <c r="S639" s="230"/>
      <c r="T639" s="230"/>
      <c r="U639" s="232"/>
      <c r="V639" s="230"/>
      <c r="W639" s="230"/>
      <c r="X639" s="230"/>
      <c r="Y639" s="233"/>
      <c r="Z639" s="232"/>
      <c r="AA639" s="234"/>
      <c r="AB639" s="232"/>
      <c r="AC639" s="373"/>
      <c r="AD639" s="236"/>
      <c r="AE639" s="255"/>
      <c r="AF639" s="255"/>
      <c r="AG639" s="255"/>
      <c r="AH639" s="255"/>
      <c r="AJ639" s="255"/>
      <c r="AK639" s="255"/>
      <c r="AL639" s="255"/>
      <c r="AM639" s="255"/>
      <c r="AN639" s="255"/>
      <c r="AO639" s="255"/>
      <c r="AP639" s="255"/>
    </row>
    <row r="640" spans="2:42">
      <c r="B640" s="180"/>
      <c r="E640" s="4"/>
      <c r="F640" s="4"/>
      <c r="G640" s="4"/>
      <c r="J640" s="4"/>
      <c r="K640" s="4"/>
      <c r="L640" s="4"/>
      <c r="O640" s="4"/>
      <c r="P640" s="4"/>
      <c r="T640" s="4"/>
      <c r="U640" s="4"/>
      <c r="Y640" s="4"/>
      <c r="Z640" s="4"/>
      <c r="AA640" s="4"/>
      <c r="AB640" s="4"/>
      <c r="AC640" s="4"/>
    </row>
    <row r="641" spans="2:42" ht="13.5" customHeight="1">
      <c r="B641" s="1518" t="s">
        <v>18</v>
      </c>
      <c r="C641" s="1519">
        <v>46090</v>
      </c>
      <c r="D641" s="1519"/>
      <c r="E641" s="1519"/>
      <c r="F641" s="1519"/>
      <c r="G641" s="365"/>
      <c r="H641" s="1519">
        <v>46091</v>
      </c>
      <c r="I641" s="1519"/>
      <c r="J641" s="1519"/>
      <c r="K641" s="1519"/>
      <c r="L641" s="365"/>
      <c r="M641" s="1519">
        <v>46092</v>
      </c>
      <c r="N641" s="1519"/>
      <c r="O641" s="1519"/>
      <c r="P641" s="1519"/>
      <c r="Q641" s="365"/>
      <c r="R641" s="1519">
        <v>46093</v>
      </c>
      <c r="S641" s="1519"/>
      <c r="T641" s="1519"/>
      <c r="U641" s="1519"/>
      <c r="V641" s="365"/>
      <c r="W641" s="1519">
        <v>46094</v>
      </c>
      <c r="X641" s="1519"/>
      <c r="Y641" s="1519"/>
      <c r="Z641" s="1519"/>
      <c r="AA641" s="1517" t="s">
        <v>19</v>
      </c>
      <c r="AB641" s="1517" t="s">
        <v>20</v>
      </c>
      <c r="AC641" s="4"/>
      <c r="AD641" s="1519">
        <v>46095</v>
      </c>
      <c r="AE641" s="1519"/>
      <c r="AF641" s="1519"/>
      <c r="AG641" s="1517" t="s">
        <v>21</v>
      </c>
      <c r="AI641" s="368"/>
      <c r="AK641" s="194" t="s">
        <v>84</v>
      </c>
      <c r="AL641" s="366"/>
      <c r="AM641" s="366"/>
      <c r="AN641" s="366"/>
      <c r="AO641" s="366"/>
      <c r="AP641" s="366"/>
    </row>
    <row r="642" spans="2:42">
      <c r="B642" s="1518"/>
      <c r="C642" s="21" t="s">
        <v>23</v>
      </c>
      <c r="D642" s="21" t="s">
        <v>24</v>
      </c>
      <c r="E642" s="205" t="s">
        <v>25</v>
      </c>
      <c r="F642" s="18" t="s">
        <v>14</v>
      </c>
      <c r="G642" s="4"/>
      <c r="H642" s="21" t="s">
        <v>23</v>
      </c>
      <c r="I642" s="21" t="s">
        <v>24</v>
      </c>
      <c r="J642" s="18" t="s">
        <v>25</v>
      </c>
      <c r="K642" s="18" t="s">
        <v>14</v>
      </c>
      <c r="L642" s="4"/>
      <c r="M642" s="21" t="s">
        <v>23</v>
      </c>
      <c r="N642" s="21" t="s">
        <v>24</v>
      </c>
      <c r="O642" s="18" t="s">
        <v>25</v>
      </c>
      <c r="P642" s="18" t="s">
        <v>14</v>
      </c>
      <c r="R642" s="21" t="s">
        <v>23</v>
      </c>
      <c r="S642" s="21" t="s">
        <v>24</v>
      </c>
      <c r="T642" s="18" t="s">
        <v>25</v>
      </c>
      <c r="U642" s="18" t="s">
        <v>14</v>
      </c>
      <c r="W642" s="21" t="s">
        <v>23</v>
      </c>
      <c r="X642" s="21" t="s">
        <v>24</v>
      </c>
      <c r="Y642" s="18" t="s">
        <v>25</v>
      </c>
      <c r="Z642" s="18" t="s">
        <v>14</v>
      </c>
      <c r="AA642" s="1517"/>
      <c r="AB642" s="1517"/>
      <c r="AC642" s="4"/>
      <c r="AD642" s="21" t="s">
        <v>23</v>
      </c>
      <c r="AE642" s="21" t="s">
        <v>24</v>
      </c>
      <c r="AF642" s="18" t="s">
        <v>25</v>
      </c>
      <c r="AG642" s="1517"/>
      <c r="AI642" s="368"/>
      <c r="AJ642" s="367"/>
      <c r="AK642" s="188" t="s">
        <v>26</v>
      </c>
      <c r="AL642" s="196">
        <f>AA645</f>
        <v>40</v>
      </c>
      <c r="AM642" s="511">
        <v>53.05</v>
      </c>
      <c r="AN642" s="510">
        <f>AL642*AM642</f>
        <v>2122</v>
      </c>
    </row>
    <row r="643" spans="2:42">
      <c r="B643" s="4" t="s">
        <v>60</v>
      </c>
      <c r="C643" s="1340" t="s">
        <v>75</v>
      </c>
      <c r="D643" s="1340" t="s">
        <v>246</v>
      </c>
      <c r="E643" s="319">
        <v>8</v>
      </c>
      <c r="F643" s="320"/>
      <c r="G643" s="4"/>
      <c r="H643" s="1340" t="s">
        <v>125</v>
      </c>
      <c r="I643" s="1340" t="s">
        <v>136</v>
      </c>
      <c r="J643" s="319">
        <v>8</v>
      </c>
      <c r="K643" s="320"/>
      <c r="L643" s="4"/>
      <c r="M643" s="1340" t="s">
        <v>125</v>
      </c>
      <c r="N643" s="1340" t="s">
        <v>136</v>
      </c>
      <c r="O643" s="319">
        <v>8</v>
      </c>
      <c r="P643" s="320"/>
      <c r="R643" s="1340" t="s">
        <v>75</v>
      </c>
      <c r="S643" s="1340" t="s">
        <v>246</v>
      </c>
      <c r="T643" s="319">
        <v>8</v>
      </c>
      <c r="U643" s="320"/>
      <c r="W643" s="1340" t="s">
        <v>75</v>
      </c>
      <c r="X643" s="1340" t="s">
        <v>246</v>
      </c>
      <c r="Y643" s="319">
        <v>8</v>
      </c>
      <c r="Z643" s="320"/>
      <c r="AA643" s="328">
        <f>Y643+T643+O643+J643+E643</f>
        <v>40</v>
      </c>
      <c r="AB643" s="298">
        <f>Z643+U643+P643+K643+F643</f>
        <v>0</v>
      </c>
      <c r="AC643" s="4"/>
      <c r="AD643" s="587"/>
      <c r="AE643" s="531"/>
      <c r="AF643" s="319"/>
      <c r="AG643" s="328">
        <f>AF643</f>
        <v>0</v>
      </c>
      <c r="AI643" s="368"/>
      <c r="AJ643" s="367"/>
      <c r="AK643" s="188" t="s">
        <v>30</v>
      </c>
      <c r="AL643" s="196">
        <f>AB645</f>
        <v>0</v>
      </c>
      <c r="AM643" s="511">
        <f>AM642*1.5</f>
        <v>79.574999999999989</v>
      </c>
      <c r="AN643" s="510">
        <f>AL643*AM643</f>
        <v>0</v>
      </c>
    </row>
    <row r="644" spans="2:42">
      <c r="B644" s="4"/>
      <c r="C644" s="441"/>
      <c r="D644" s="441"/>
      <c r="E644" s="319"/>
      <c r="F644" s="320"/>
      <c r="G644" s="4"/>
      <c r="H644" s="441"/>
      <c r="I644" s="441"/>
      <c r="J644" s="319"/>
      <c r="K644" s="320"/>
      <c r="L644" s="4"/>
      <c r="M644" s="441"/>
      <c r="N644" s="441"/>
      <c r="O644" s="319"/>
      <c r="P644" s="320"/>
      <c r="R644" s="441"/>
      <c r="S644" s="441"/>
      <c r="T644" s="319"/>
      <c r="U644" s="320"/>
      <c r="W644" s="441"/>
      <c r="X644" s="441"/>
      <c r="Y644" s="319"/>
      <c r="Z644" s="320"/>
      <c r="AA644" s="328">
        <f>Y644+T644+O644+J644+E644</f>
        <v>0</v>
      </c>
      <c r="AB644" s="298">
        <f>Z644+U644+P644+K644+F644</f>
        <v>0</v>
      </c>
      <c r="AC644" s="4"/>
      <c r="AF644" s="319"/>
      <c r="AG644" s="328">
        <f>AF644</f>
        <v>0</v>
      </c>
      <c r="AH644" s="175"/>
      <c r="AI644" s="402"/>
      <c r="AJ644" s="367"/>
      <c r="AK644" s="188" t="s">
        <v>32</v>
      </c>
      <c r="AL644" s="196">
        <f>AG645</f>
        <v>0</v>
      </c>
      <c r="AM644" s="511">
        <v>75.77</v>
      </c>
      <c r="AN644" s="510">
        <f>AL644*AM644</f>
        <v>0</v>
      </c>
    </row>
    <row r="645" spans="2:42">
      <c r="B645" s="64" t="s">
        <v>61</v>
      </c>
      <c r="C645" s="31"/>
      <c r="D645" s="31"/>
      <c r="E645" s="439">
        <f>SUM(E643:E644)</f>
        <v>8</v>
      </c>
      <c r="F645" s="320">
        <f>SUM(F643:F644)</f>
        <v>0</v>
      </c>
      <c r="G645" s="31"/>
      <c r="H645" s="31"/>
      <c r="I645" s="31"/>
      <c r="J645" s="439">
        <f>SUM(J643:J644)</f>
        <v>8</v>
      </c>
      <c r="K645" s="320">
        <f>SUM(K643:K644)</f>
        <v>0</v>
      </c>
      <c r="L645" s="31"/>
      <c r="M645" s="31"/>
      <c r="N645" s="31"/>
      <c r="O645" s="439">
        <f>SUM(O643:O644)</f>
        <v>8</v>
      </c>
      <c r="P645" s="320">
        <f>SUM(P643:P644)</f>
        <v>0</v>
      </c>
      <c r="Q645" s="31"/>
      <c r="R645" s="31"/>
      <c r="S645" s="31"/>
      <c r="T645" s="439">
        <f>SUM(T643:T644)</f>
        <v>8</v>
      </c>
      <c r="U645" s="320">
        <f>SUM(U643:U644)</f>
        <v>0</v>
      </c>
      <c r="V645" s="31"/>
      <c r="W645" s="31"/>
      <c r="X645" s="31"/>
      <c r="Y645" s="439">
        <f>SUM(Y643:Y644)</f>
        <v>8</v>
      </c>
      <c r="Z645" s="320">
        <f>SUM(Z643:Z644)</f>
        <v>0</v>
      </c>
      <c r="AA645" s="370">
        <f>SUM(AA643:AA644)</f>
        <v>40</v>
      </c>
      <c r="AB645" s="370">
        <f>SUM(AB643:AB644)</f>
        <v>0</v>
      </c>
      <c r="AC645" s="4"/>
      <c r="AD645" s="64"/>
      <c r="AE645" s="64"/>
      <c r="AF645" s="370">
        <f>SUM(AF643:AF644)</f>
        <v>0</v>
      </c>
      <c r="AG645" s="370">
        <f>SUM(AG643:AG644)</f>
        <v>0</v>
      </c>
      <c r="AJ645" s="367"/>
      <c r="AN645" s="510">
        <f>SUM(AN642:AN644)</f>
        <v>2122</v>
      </c>
    </row>
    <row r="646" spans="2:42">
      <c r="B646" s="180"/>
      <c r="E646" s="4"/>
      <c r="F646" s="4"/>
      <c r="G646" s="4"/>
      <c r="J646" s="4"/>
      <c r="K646" s="4"/>
      <c r="L646" s="4"/>
      <c r="O646" s="4"/>
      <c r="P646" s="4"/>
      <c r="T646" s="4"/>
      <c r="U646" s="4"/>
      <c r="Y646" s="4"/>
      <c r="Z646" s="4"/>
      <c r="AA646" s="4"/>
      <c r="AB646" s="4"/>
      <c r="AC646" s="4"/>
    </row>
    <row r="647" spans="2:42">
      <c r="B647" s="229"/>
      <c r="C647" s="230"/>
      <c r="D647" s="230"/>
      <c r="E647" s="232"/>
      <c r="F647" s="232"/>
      <c r="G647" s="230"/>
      <c r="H647" s="232"/>
      <c r="I647" s="232"/>
      <c r="J647" s="232"/>
      <c r="K647" s="232"/>
      <c r="L647" s="230"/>
      <c r="M647" s="230"/>
      <c r="N647" s="230"/>
      <c r="O647" s="230"/>
      <c r="P647" s="232"/>
      <c r="Q647" s="230"/>
      <c r="R647" s="230"/>
      <c r="S647" s="230"/>
      <c r="T647" s="230"/>
      <c r="U647" s="232"/>
      <c r="V647" s="230"/>
      <c r="W647" s="230"/>
      <c r="X647" s="230"/>
      <c r="Y647" s="233"/>
      <c r="Z647" s="232"/>
      <c r="AA647" s="234"/>
      <c r="AB647" s="232"/>
      <c r="AC647" s="373"/>
      <c r="AD647" s="236"/>
      <c r="AE647" s="255"/>
      <c r="AF647" s="255"/>
      <c r="AG647" s="255"/>
      <c r="AH647" s="255"/>
      <c r="AJ647" s="255"/>
      <c r="AK647" s="255"/>
      <c r="AL647" s="255"/>
      <c r="AM647" s="255"/>
      <c r="AN647" s="255"/>
      <c r="AO647" s="255"/>
      <c r="AP647" s="255"/>
    </row>
    <row r="648" spans="2:42">
      <c r="B648" s="180"/>
      <c r="E648" s="4"/>
      <c r="F648" s="4"/>
      <c r="G648" s="4"/>
      <c r="J648" s="4"/>
      <c r="K648" s="4"/>
      <c r="L648" s="4"/>
      <c r="O648" s="4"/>
      <c r="P648" s="4"/>
      <c r="T648" s="4"/>
      <c r="U648" s="4"/>
      <c r="Y648" s="4"/>
      <c r="Z648" s="4"/>
      <c r="AA648" s="4"/>
      <c r="AB648" s="4"/>
      <c r="AC648" s="4"/>
    </row>
    <row r="649" spans="2:42" ht="13.5" customHeight="1">
      <c r="B649" s="1518" t="s">
        <v>18</v>
      </c>
      <c r="C649" s="1519">
        <v>46097</v>
      </c>
      <c r="D649" s="1519"/>
      <c r="E649" s="1519"/>
      <c r="F649" s="1519"/>
      <c r="G649" s="365"/>
      <c r="H649" s="1519">
        <v>46098</v>
      </c>
      <c r="I649" s="1519"/>
      <c r="J649" s="1519"/>
      <c r="K649" s="1519"/>
      <c r="L649" s="365"/>
      <c r="M649" s="1519">
        <v>46099</v>
      </c>
      <c r="N649" s="1519"/>
      <c r="O649" s="1519"/>
      <c r="P649" s="1519"/>
      <c r="Q649" s="365"/>
      <c r="R649" s="1519">
        <v>46100</v>
      </c>
      <c r="S649" s="1519"/>
      <c r="T649" s="1519"/>
      <c r="U649" s="1519"/>
      <c r="V649" s="365"/>
      <c r="W649" s="1519">
        <v>46101</v>
      </c>
      <c r="X649" s="1519"/>
      <c r="Y649" s="1519"/>
      <c r="Z649" s="1519"/>
      <c r="AA649" s="1517" t="s">
        <v>19</v>
      </c>
      <c r="AB649" s="1517" t="s">
        <v>20</v>
      </c>
      <c r="AC649" s="4"/>
      <c r="AD649" s="1519">
        <v>46102</v>
      </c>
      <c r="AE649" s="1519"/>
      <c r="AF649" s="1519"/>
      <c r="AG649" s="1517" t="s">
        <v>21</v>
      </c>
      <c r="AI649" s="368"/>
      <c r="AK649" s="194" t="s">
        <v>84</v>
      </c>
      <c r="AL649" s="366"/>
      <c r="AM649" s="366"/>
      <c r="AN649" s="366"/>
      <c r="AO649" s="366"/>
      <c r="AP649" s="366"/>
    </row>
    <row r="650" spans="2:42">
      <c r="B650" s="1518"/>
      <c r="C650" s="21" t="s">
        <v>23</v>
      </c>
      <c r="D650" s="21" t="s">
        <v>24</v>
      </c>
      <c r="E650" s="205" t="s">
        <v>25</v>
      </c>
      <c r="F650" s="18" t="s">
        <v>14</v>
      </c>
      <c r="G650" s="4"/>
      <c r="H650" s="21" t="s">
        <v>23</v>
      </c>
      <c r="I650" s="21" t="s">
        <v>24</v>
      </c>
      <c r="J650" s="18" t="s">
        <v>25</v>
      </c>
      <c r="K650" s="18" t="s">
        <v>14</v>
      </c>
      <c r="L650" s="4"/>
      <c r="M650" s="21" t="s">
        <v>23</v>
      </c>
      <c r="N650" s="21" t="s">
        <v>24</v>
      </c>
      <c r="O650" s="18" t="s">
        <v>25</v>
      </c>
      <c r="P650" s="18" t="s">
        <v>14</v>
      </c>
      <c r="R650" s="21" t="s">
        <v>23</v>
      </c>
      <c r="S650" s="21" t="s">
        <v>24</v>
      </c>
      <c r="T650" s="18" t="s">
        <v>25</v>
      </c>
      <c r="U650" s="18" t="s">
        <v>14</v>
      </c>
      <c r="W650" s="21" t="s">
        <v>23</v>
      </c>
      <c r="X650" s="21" t="s">
        <v>24</v>
      </c>
      <c r="Y650" s="18" t="s">
        <v>25</v>
      </c>
      <c r="Z650" s="18" t="s">
        <v>14</v>
      </c>
      <c r="AA650" s="1517"/>
      <c r="AB650" s="1517"/>
      <c r="AC650" s="4"/>
      <c r="AD650" s="21" t="s">
        <v>23</v>
      </c>
      <c r="AE650" s="21" t="s">
        <v>24</v>
      </c>
      <c r="AF650" s="18" t="s">
        <v>25</v>
      </c>
      <c r="AG650" s="1517"/>
      <c r="AI650" s="368"/>
      <c r="AJ650" s="367"/>
      <c r="AK650" s="188" t="s">
        <v>26</v>
      </c>
      <c r="AL650" s="196">
        <f>AA653</f>
        <v>42.5</v>
      </c>
      <c r="AM650" s="511">
        <v>53.05</v>
      </c>
      <c r="AN650" s="510">
        <f>AL650*AM650</f>
        <v>2254.625</v>
      </c>
    </row>
    <row r="651" spans="2:42">
      <c r="B651" s="4" t="s">
        <v>60</v>
      </c>
      <c r="C651" s="1340" t="s">
        <v>75</v>
      </c>
      <c r="D651" s="1340" t="s">
        <v>246</v>
      </c>
      <c r="E651" s="319">
        <v>8</v>
      </c>
      <c r="F651" s="320"/>
      <c r="G651" s="4"/>
      <c r="H651" s="1340" t="s">
        <v>75</v>
      </c>
      <c r="I651" s="1340" t="s">
        <v>246</v>
      </c>
      <c r="J651" s="319">
        <v>8</v>
      </c>
      <c r="K651" s="320"/>
      <c r="L651" s="4"/>
      <c r="M651" s="1340" t="s">
        <v>75</v>
      </c>
      <c r="N651" s="1340" t="s">
        <v>246</v>
      </c>
      <c r="O651" s="319">
        <v>8</v>
      </c>
      <c r="P651" s="320"/>
      <c r="R651" s="1340" t="s">
        <v>75</v>
      </c>
      <c r="S651" s="1340" t="s">
        <v>246</v>
      </c>
      <c r="T651" s="319">
        <v>8</v>
      </c>
      <c r="U651" s="320"/>
      <c r="W651" s="441" t="s">
        <v>344</v>
      </c>
      <c r="X651" s="441" t="s">
        <v>956</v>
      </c>
      <c r="Y651" s="319">
        <v>10.5</v>
      </c>
      <c r="Z651" s="320"/>
      <c r="AA651" s="328">
        <f>Y651+T651+O651+J651+E651</f>
        <v>42.5</v>
      </c>
      <c r="AB651" s="298">
        <f>Z651+U651+P651+K651+F651</f>
        <v>0</v>
      </c>
      <c r="AC651" s="4"/>
      <c r="AD651" s="587"/>
      <c r="AE651" s="531"/>
      <c r="AF651" s="319"/>
      <c r="AG651" s="328">
        <f>AF651</f>
        <v>0</v>
      </c>
      <c r="AI651" s="368"/>
      <c r="AJ651" s="367"/>
      <c r="AK651" s="188" t="s">
        <v>30</v>
      </c>
      <c r="AL651" s="196">
        <f>AB653</f>
        <v>0</v>
      </c>
      <c r="AM651" s="511">
        <f>AM650*1.5</f>
        <v>79.574999999999989</v>
      </c>
      <c r="AN651" s="510">
        <f>AL651*AM651</f>
        <v>0</v>
      </c>
    </row>
    <row r="652" spans="2:42">
      <c r="B652" s="4"/>
      <c r="C652" s="441"/>
      <c r="D652" s="441"/>
      <c r="E652" s="319"/>
      <c r="F652" s="320"/>
      <c r="G652" s="4"/>
      <c r="H652" s="441"/>
      <c r="I652" s="441"/>
      <c r="J652" s="319"/>
      <c r="K652" s="320"/>
      <c r="L652" s="4"/>
      <c r="M652" s="441"/>
      <c r="N652" s="441"/>
      <c r="O652" s="319"/>
      <c r="P652" s="320"/>
      <c r="R652" s="441"/>
      <c r="S652" s="441"/>
      <c r="T652" s="319"/>
      <c r="U652" s="320"/>
      <c r="W652" s="441"/>
      <c r="X652" s="441"/>
      <c r="Y652" s="319"/>
      <c r="Z652" s="320"/>
      <c r="AA652" s="328">
        <f>Y652+T652+O652+J652+E652</f>
        <v>0</v>
      </c>
      <c r="AB652" s="298">
        <f>Z652+U652+P652+K652+F652</f>
        <v>0</v>
      </c>
      <c r="AC652" s="4"/>
      <c r="AF652" s="319"/>
      <c r="AG652" s="328">
        <f>AF652</f>
        <v>0</v>
      </c>
      <c r="AH652" s="175"/>
      <c r="AI652" s="402"/>
      <c r="AJ652" s="367"/>
      <c r="AK652" s="188" t="s">
        <v>32</v>
      </c>
      <c r="AL652" s="196">
        <f>AG653</f>
        <v>0</v>
      </c>
      <c r="AM652" s="511">
        <v>75.77</v>
      </c>
      <c r="AN652" s="510">
        <f>AL652*AM652</f>
        <v>0</v>
      </c>
    </row>
    <row r="653" spans="2:42">
      <c r="B653" s="64" t="s">
        <v>61</v>
      </c>
      <c r="C653" s="31"/>
      <c r="D653" s="31"/>
      <c r="E653" s="439">
        <f>SUM(E651:E652)</f>
        <v>8</v>
      </c>
      <c r="F653" s="320">
        <f>SUM(F651:F652)</f>
        <v>0</v>
      </c>
      <c r="G653" s="31"/>
      <c r="H653" s="31"/>
      <c r="I653" s="31"/>
      <c r="J653" s="439">
        <f>SUM(J651:J652)</f>
        <v>8</v>
      </c>
      <c r="K653" s="320">
        <f>SUM(K651:K652)</f>
        <v>0</v>
      </c>
      <c r="L653" s="31"/>
      <c r="M653" s="31"/>
      <c r="N653" s="31"/>
      <c r="O653" s="439">
        <f>SUM(O651:O652)</f>
        <v>8</v>
      </c>
      <c r="P653" s="320">
        <f>SUM(P651:P652)</f>
        <v>0</v>
      </c>
      <c r="Q653" s="31"/>
      <c r="R653" s="31"/>
      <c r="S653" s="31"/>
      <c r="T653" s="439">
        <f>SUM(T651:T652)</f>
        <v>8</v>
      </c>
      <c r="U653" s="320">
        <f>SUM(U651:U652)</f>
        <v>0</v>
      </c>
      <c r="V653" s="31"/>
      <c r="W653" s="31"/>
      <c r="X653" s="31"/>
      <c r="Y653" s="439">
        <f>SUM(Y651:Y652)</f>
        <v>10.5</v>
      </c>
      <c r="Z653" s="320">
        <f>SUM(Z651:Z652)</f>
        <v>0</v>
      </c>
      <c r="AA653" s="370">
        <f>SUM(AA651:AA652)</f>
        <v>42.5</v>
      </c>
      <c r="AB653" s="370">
        <f>SUM(AB651:AB652)</f>
        <v>0</v>
      </c>
      <c r="AC653" s="4"/>
      <c r="AD653" s="64"/>
      <c r="AE653" s="64"/>
      <c r="AF653" s="370">
        <f>SUM(AF651:AF652)</f>
        <v>0</v>
      </c>
      <c r="AG653" s="370">
        <f>SUM(AG651:AG652)</f>
        <v>0</v>
      </c>
      <c r="AJ653" s="367"/>
      <c r="AN653" s="510">
        <f>SUM(AN650:AN652)</f>
        <v>2254.625</v>
      </c>
    </row>
    <row r="654" spans="2:42">
      <c r="B654" s="180"/>
      <c r="E654" s="4"/>
      <c r="F654" s="4"/>
      <c r="G654" s="4"/>
      <c r="J654" s="4"/>
      <c r="K654" s="4"/>
      <c r="L654" s="4"/>
      <c r="O654" s="4"/>
      <c r="P654" s="4"/>
      <c r="T654" s="4"/>
      <c r="U654" s="4"/>
      <c r="Y654" s="4"/>
      <c r="Z654" s="4"/>
      <c r="AA654" s="4"/>
      <c r="AB654" s="4"/>
      <c r="AC654" s="4"/>
    </row>
    <row r="655" spans="2:42">
      <c r="B655" s="229"/>
      <c r="C655" s="230"/>
      <c r="D655" s="230"/>
      <c r="E655" s="232"/>
      <c r="F655" s="232"/>
      <c r="G655" s="230"/>
      <c r="H655" s="232"/>
      <c r="I655" s="232"/>
      <c r="J655" s="232"/>
      <c r="K655" s="232"/>
      <c r="L655" s="230"/>
      <c r="M655" s="230"/>
      <c r="N655" s="230"/>
      <c r="O655" s="230"/>
      <c r="P655" s="232"/>
      <c r="Q655" s="230"/>
      <c r="R655" s="230"/>
      <c r="S655" s="230"/>
      <c r="T655" s="230"/>
      <c r="U655" s="232"/>
      <c r="V655" s="230"/>
      <c r="W655" s="230"/>
      <c r="X655" s="230"/>
      <c r="Y655" s="233"/>
      <c r="Z655" s="232"/>
      <c r="AA655" s="234"/>
      <c r="AB655" s="232"/>
      <c r="AC655" s="373"/>
      <c r="AD655" s="236"/>
      <c r="AE655" s="255"/>
      <c r="AF655" s="255"/>
      <c r="AG655" s="255"/>
      <c r="AH655" s="255"/>
      <c r="AJ655" s="255"/>
      <c r="AK655" s="255"/>
      <c r="AL655" s="255"/>
      <c r="AM655" s="255"/>
      <c r="AN655" s="255"/>
      <c r="AO655" s="255"/>
      <c r="AP655" s="255"/>
    </row>
    <row r="656" spans="2:42">
      <c r="B656" s="180"/>
      <c r="E656" s="4"/>
      <c r="F656" s="4"/>
      <c r="G656" s="4"/>
      <c r="J656" s="4"/>
      <c r="K656" s="4"/>
      <c r="L656" s="4"/>
      <c r="O656" s="4"/>
      <c r="P656" s="4"/>
      <c r="T656" s="4"/>
      <c r="U656" s="4"/>
      <c r="Y656" s="4"/>
      <c r="Z656" s="4"/>
      <c r="AA656" s="4"/>
      <c r="AB656" s="4"/>
      <c r="AC656" s="4"/>
    </row>
    <row r="657" spans="2:42">
      <c r="B657" s="1518" t="s">
        <v>18</v>
      </c>
      <c r="C657" s="1519">
        <v>46104</v>
      </c>
      <c r="D657" s="1519"/>
      <c r="E657" s="1519"/>
      <c r="F657" s="1519"/>
      <c r="G657" s="365"/>
      <c r="H657" s="1519">
        <v>46105</v>
      </c>
      <c r="I657" s="1519"/>
      <c r="J657" s="1519"/>
      <c r="K657" s="1519"/>
      <c r="L657" s="365"/>
      <c r="M657" s="1519">
        <v>46106</v>
      </c>
      <c r="N657" s="1519"/>
      <c r="O657" s="1519"/>
      <c r="P657" s="1519"/>
      <c r="Q657" s="365"/>
      <c r="R657" s="1519">
        <v>46107</v>
      </c>
      <c r="S657" s="1519"/>
      <c r="T657" s="1519"/>
      <c r="U657" s="1519"/>
      <c r="V657" s="365"/>
      <c r="W657" s="1519">
        <v>46108</v>
      </c>
      <c r="X657" s="1519"/>
      <c r="Y657" s="1519"/>
      <c r="Z657" s="1519"/>
      <c r="AA657" s="1517" t="s">
        <v>19</v>
      </c>
      <c r="AB657" s="1517" t="s">
        <v>20</v>
      </c>
      <c r="AC657" s="4"/>
      <c r="AD657" s="1519">
        <v>46109</v>
      </c>
      <c r="AE657" s="1519"/>
      <c r="AF657" s="1519"/>
      <c r="AG657" s="1517" t="s">
        <v>21</v>
      </c>
      <c r="AI657" s="368"/>
      <c r="AK657" s="194" t="s">
        <v>84</v>
      </c>
      <c r="AL657" s="366"/>
      <c r="AM657" s="366"/>
      <c r="AN657" s="366"/>
      <c r="AO657" s="366"/>
      <c r="AP657" s="366"/>
    </row>
    <row r="658" spans="2:42">
      <c r="B658" s="1518"/>
      <c r="C658" s="21" t="s">
        <v>23</v>
      </c>
      <c r="D658" s="21" t="s">
        <v>24</v>
      </c>
      <c r="E658" s="205" t="s">
        <v>25</v>
      </c>
      <c r="F658" s="18" t="s">
        <v>14</v>
      </c>
      <c r="G658" s="4"/>
      <c r="H658" s="21" t="s">
        <v>23</v>
      </c>
      <c r="I658" s="21" t="s">
        <v>24</v>
      </c>
      <c r="J658" s="18" t="s">
        <v>25</v>
      </c>
      <c r="K658" s="18" t="s">
        <v>14</v>
      </c>
      <c r="L658" s="4"/>
      <c r="M658" s="21" t="s">
        <v>23</v>
      </c>
      <c r="N658" s="21" t="s">
        <v>24</v>
      </c>
      <c r="O658" s="18" t="s">
        <v>25</v>
      </c>
      <c r="P658" s="18" t="s">
        <v>14</v>
      </c>
      <c r="R658" s="21" t="s">
        <v>23</v>
      </c>
      <c r="S658" s="21" t="s">
        <v>24</v>
      </c>
      <c r="T658" s="18" t="s">
        <v>25</v>
      </c>
      <c r="U658" s="18" t="s">
        <v>14</v>
      </c>
      <c r="W658" s="21" t="s">
        <v>23</v>
      </c>
      <c r="X658" s="21" t="s">
        <v>24</v>
      </c>
      <c r="Y658" s="18" t="s">
        <v>25</v>
      </c>
      <c r="Z658" s="18" t="s">
        <v>14</v>
      </c>
      <c r="AA658" s="1517"/>
      <c r="AB658" s="1517"/>
      <c r="AC658" s="4"/>
      <c r="AD658" s="21" t="s">
        <v>23</v>
      </c>
      <c r="AE658" s="21" t="s">
        <v>24</v>
      </c>
      <c r="AF658" s="18" t="s">
        <v>25</v>
      </c>
      <c r="AG658" s="1517"/>
      <c r="AI658" s="368"/>
      <c r="AJ658" s="367"/>
      <c r="AK658" s="188" t="s">
        <v>26</v>
      </c>
      <c r="AL658" s="196">
        <f>AA661</f>
        <v>40</v>
      </c>
      <c r="AM658" s="511">
        <v>53.05</v>
      </c>
      <c r="AN658" s="510">
        <f>AL658*AM658</f>
        <v>2122</v>
      </c>
    </row>
    <row r="659" spans="2:42">
      <c r="B659" s="4" t="s">
        <v>60</v>
      </c>
      <c r="C659" s="1340" t="s">
        <v>75</v>
      </c>
      <c r="D659" s="1340" t="s">
        <v>246</v>
      </c>
      <c r="E659" s="319">
        <v>8</v>
      </c>
      <c r="F659" s="320"/>
      <c r="G659" s="4"/>
      <c r="H659" s="1340" t="s">
        <v>75</v>
      </c>
      <c r="I659" s="1340" t="s">
        <v>246</v>
      </c>
      <c r="J659" s="319">
        <v>8</v>
      </c>
      <c r="K659" s="320"/>
      <c r="L659" s="4"/>
      <c r="M659" s="1340" t="s">
        <v>75</v>
      </c>
      <c r="N659" s="1340" t="s">
        <v>246</v>
      </c>
      <c r="O659" s="319">
        <v>8</v>
      </c>
      <c r="P659" s="320"/>
      <c r="R659" s="1340" t="s">
        <v>75</v>
      </c>
      <c r="S659" s="1340" t="s">
        <v>246</v>
      </c>
      <c r="T659" s="319">
        <v>8</v>
      </c>
      <c r="U659" s="320"/>
      <c r="W659" s="1340" t="s">
        <v>75</v>
      </c>
      <c r="X659" s="1340" t="s">
        <v>246</v>
      </c>
      <c r="Y659" s="319">
        <v>8</v>
      </c>
      <c r="Z659" s="320"/>
      <c r="AA659" s="328">
        <f>Y659+T659+O659+J659+E659</f>
        <v>40</v>
      </c>
      <c r="AB659" s="298">
        <f>Z659+U659+P659+K659+F659</f>
        <v>0</v>
      </c>
      <c r="AC659" s="4"/>
      <c r="AD659" s="587"/>
      <c r="AE659" s="531"/>
      <c r="AF659" s="319"/>
      <c r="AG659" s="328">
        <f>AF659</f>
        <v>0</v>
      </c>
      <c r="AI659" s="368"/>
      <c r="AJ659" s="367"/>
      <c r="AK659" s="188" t="s">
        <v>30</v>
      </c>
      <c r="AL659" s="196">
        <f>AB661</f>
        <v>0</v>
      </c>
      <c r="AM659" s="511">
        <f>AM658*1.5</f>
        <v>79.574999999999989</v>
      </c>
      <c r="AN659" s="510">
        <f>AL659*AM659</f>
        <v>0</v>
      </c>
    </row>
    <row r="660" spans="2:42">
      <c r="B660" s="4"/>
      <c r="C660" s="441"/>
      <c r="D660" s="441"/>
      <c r="E660" s="319"/>
      <c r="F660" s="320"/>
      <c r="G660" s="4"/>
      <c r="H660" s="441"/>
      <c r="I660" s="441"/>
      <c r="J660" s="319"/>
      <c r="K660" s="320"/>
      <c r="L660" s="4"/>
      <c r="M660" s="441"/>
      <c r="N660" s="441"/>
      <c r="O660" s="319"/>
      <c r="P660" s="320"/>
      <c r="R660" s="441"/>
      <c r="S660" s="441"/>
      <c r="T660" s="319"/>
      <c r="U660" s="320"/>
      <c r="W660" s="441"/>
      <c r="X660" s="441"/>
      <c r="Y660" s="319"/>
      <c r="Z660" s="320"/>
      <c r="AA660" s="328">
        <f>Y660+T660+O660+J660+E660</f>
        <v>0</v>
      </c>
      <c r="AB660" s="298">
        <f>Z660+U660+P660+K660+F660</f>
        <v>0</v>
      </c>
      <c r="AC660" s="4"/>
      <c r="AF660" s="319"/>
      <c r="AG660" s="328">
        <f>AF660</f>
        <v>0</v>
      </c>
      <c r="AH660" s="175"/>
      <c r="AI660" s="402"/>
      <c r="AJ660" s="367"/>
      <c r="AK660" s="188" t="s">
        <v>32</v>
      </c>
      <c r="AL660" s="196">
        <f>AG661</f>
        <v>0</v>
      </c>
      <c r="AM660" s="511">
        <v>75.77</v>
      </c>
      <c r="AN660" s="510">
        <f>AL660*AM660</f>
        <v>0</v>
      </c>
    </row>
    <row r="661" spans="2:42">
      <c r="B661" s="64" t="s">
        <v>61</v>
      </c>
      <c r="C661" s="31"/>
      <c r="D661" s="31"/>
      <c r="E661" s="439">
        <f>SUM(E659:E660)</f>
        <v>8</v>
      </c>
      <c r="F661" s="320">
        <f>SUM(F659:F660)</f>
        <v>0</v>
      </c>
      <c r="G661" s="31"/>
      <c r="H661" s="31"/>
      <c r="I661" s="31"/>
      <c r="J661" s="439">
        <f>SUM(J659:J660)</f>
        <v>8</v>
      </c>
      <c r="K661" s="320">
        <f>SUM(K659:K660)</f>
        <v>0</v>
      </c>
      <c r="L661" s="31"/>
      <c r="M661" s="31"/>
      <c r="N661" s="31"/>
      <c r="O661" s="439">
        <f>SUM(O659:O660)</f>
        <v>8</v>
      </c>
      <c r="P661" s="320">
        <f>SUM(P659:P660)</f>
        <v>0</v>
      </c>
      <c r="Q661" s="31"/>
      <c r="R661" s="31"/>
      <c r="S661" s="31"/>
      <c r="T661" s="439">
        <f>SUM(T659:T660)</f>
        <v>8</v>
      </c>
      <c r="U661" s="320">
        <f>SUM(U659:U660)</f>
        <v>0</v>
      </c>
      <c r="V661" s="31"/>
      <c r="W661" s="31"/>
      <c r="X661" s="31"/>
      <c r="Y661" s="439">
        <f>SUM(Y659:Y660)</f>
        <v>8</v>
      </c>
      <c r="Z661" s="320">
        <f>SUM(Z659:Z660)</f>
        <v>0</v>
      </c>
      <c r="AA661" s="370">
        <f>SUM(AA659:AA660)</f>
        <v>40</v>
      </c>
      <c r="AB661" s="370">
        <f>SUM(AB659:AB660)</f>
        <v>0</v>
      </c>
      <c r="AC661" s="4"/>
      <c r="AD661" s="64"/>
      <c r="AE661" s="64"/>
      <c r="AF661" s="370">
        <f>SUM(AF659:AF660)</f>
        <v>0</v>
      </c>
      <c r="AG661" s="370">
        <f>SUM(AG659:AG660)</f>
        <v>0</v>
      </c>
      <c r="AJ661" s="367"/>
      <c r="AN661" s="510">
        <f>SUM(AN658:AN660)</f>
        <v>2122</v>
      </c>
    </row>
    <row r="662" spans="2:42">
      <c r="B662" s="180"/>
      <c r="E662" s="4"/>
      <c r="F662" s="4"/>
      <c r="G662" s="4"/>
      <c r="J662" s="4"/>
      <c r="K662" s="4"/>
      <c r="L662" s="4"/>
      <c r="O662" s="4"/>
      <c r="P662" s="4"/>
      <c r="T662" s="4"/>
      <c r="U662" s="4"/>
      <c r="Y662" s="4"/>
      <c r="Z662" s="4"/>
      <c r="AA662" s="4"/>
      <c r="AB662" s="4"/>
      <c r="AC662" s="4"/>
    </row>
    <row r="663" spans="2:42">
      <c r="B663" s="229"/>
      <c r="C663" s="230"/>
      <c r="D663" s="230"/>
      <c r="E663" s="232"/>
      <c r="F663" s="232"/>
      <c r="G663" s="230"/>
      <c r="H663" s="232"/>
      <c r="I663" s="232"/>
      <c r="J663" s="232"/>
      <c r="K663" s="232"/>
      <c r="L663" s="230"/>
      <c r="M663" s="230"/>
      <c r="N663" s="230"/>
      <c r="O663" s="230"/>
      <c r="P663" s="232"/>
      <c r="Q663" s="230"/>
      <c r="R663" s="230"/>
      <c r="S663" s="230"/>
      <c r="T663" s="230"/>
      <c r="U663" s="232"/>
      <c r="V663" s="230"/>
      <c r="W663" s="230"/>
      <c r="X663" s="230"/>
      <c r="Y663" s="233"/>
      <c r="Z663" s="232"/>
      <c r="AA663" s="234"/>
      <c r="AB663" s="232"/>
      <c r="AC663" s="373"/>
      <c r="AD663" s="236"/>
      <c r="AE663" s="255"/>
      <c r="AF663" s="255"/>
      <c r="AG663" s="255"/>
      <c r="AH663" s="255"/>
      <c r="AJ663" s="255"/>
      <c r="AK663" s="255"/>
      <c r="AL663" s="255"/>
      <c r="AM663" s="255"/>
      <c r="AN663" s="255"/>
      <c r="AO663" s="255"/>
      <c r="AP663" s="255"/>
    </row>
    <row r="664" spans="2:42">
      <c r="B664" s="180"/>
      <c r="E664" s="4"/>
      <c r="F664" s="4"/>
      <c r="G664" s="4"/>
      <c r="J664" s="4"/>
      <c r="K664" s="4"/>
      <c r="L664" s="4"/>
      <c r="O664" s="4"/>
      <c r="P664" s="4"/>
      <c r="T664" s="4"/>
      <c r="U664" s="4"/>
      <c r="Y664" s="4"/>
      <c r="Z664" s="4"/>
      <c r="AA664" s="4"/>
      <c r="AB664" s="4"/>
      <c r="AC664" s="4"/>
    </row>
    <row r="665" spans="2:42">
      <c r="B665" s="1518" t="s">
        <v>18</v>
      </c>
      <c r="C665" s="1519">
        <v>46111</v>
      </c>
      <c r="D665" s="1519"/>
      <c r="E665" s="1519"/>
      <c r="F665" s="1519"/>
      <c r="G665" s="365"/>
      <c r="H665" s="1519">
        <v>46112</v>
      </c>
      <c r="I665" s="1519"/>
      <c r="J665" s="1519"/>
      <c r="K665" s="1519"/>
      <c r="L665" s="365"/>
      <c r="M665" s="1519">
        <v>46113</v>
      </c>
      <c r="N665" s="1519"/>
      <c r="O665" s="1519"/>
      <c r="P665" s="1519"/>
      <c r="Q665" s="365"/>
      <c r="R665" s="1519">
        <v>46114</v>
      </c>
      <c r="S665" s="1519"/>
      <c r="T665" s="1519"/>
      <c r="U665" s="1519"/>
      <c r="V665" s="365"/>
      <c r="W665" s="1519">
        <v>46115</v>
      </c>
      <c r="X665" s="1519"/>
      <c r="Y665" s="1519"/>
      <c r="Z665" s="1519"/>
      <c r="AA665" s="1517" t="s">
        <v>19</v>
      </c>
      <c r="AB665" s="1517" t="s">
        <v>20</v>
      </c>
      <c r="AC665" s="4"/>
      <c r="AD665" s="1519">
        <v>46116</v>
      </c>
      <c r="AE665" s="1519"/>
      <c r="AF665" s="1519"/>
      <c r="AG665" s="1517" t="s">
        <v>21</v>
      </c>
      <c r="AI665" s="368"/>
      <c r="AK665" s="194" t="s">
        <v>84</v>
      </c>
      <c r="AL665" s="366"/>
      <c r="AM665" s="366"/>
      <c r="AN665" s="366"/>
      <c r="AO665" s="366"/>
      <c r="AP665" s="366"/>
    </row>
    <row r="666" spans="2:42">
      <c r="B666" s="1518"/>
      <c r="C666" s="21" t="s">
        <v>23</v>
      </c>
      <c r="D666" s="21" t="s">
        <v>24</v>
      </c>
      <c r="E666" s="205" t="s">
        <v>25</v>
      </c>
      <c r="F666" s="18" t="s">
        <v>14</v>
      </c>
      <c r="G666" s="4"/>
      <c r="H666" s="21" t="s">
        <v>23</v>
      </c>
      <c r="I666" s="21" t="s">
        <v>24</v>
      </c>
      <c r="J666" s="18" t="s">
        <v>25</v>
      </c>
      <c r="K666" s="18" t="s">
        <v>14</v>
      </c>
      <c r="L666" s="4"/>
      <c r="M666" s="21" t="s">
        <v>23</v>
      </c>
      <c r="N666" s="21" t="s">
        <v>24</v>
      </c>
      <c r="O666" s="18" t="s">
        <v>25</v>
      </c>
      <c r="P666" s="18" t="s">
        <v>14</v>
      </c>
      <c r="R666" s="21" t="s">
        <v>23</v>
      </c>
      <c r="S666" s="21" t="s">
        <v>24</v>
      </c>
      <c r="T666" s="18" t="s">
        <v>25</v>
      </c>
      <c r="U666" s="18" t="s">
        <v>14</v>
      </c>
      <c r="W666" s="21" t="s">
        <v>23</v>
      </c>
      <c r="X666" s="21" t="s">
        <v>24</v>
      </c>
      <c r="Y666" s="18" t="s">
        <v>25</v>
      </c>
      <c r="Z666" s="18" t="s">
        <v>14</v>
      </c>
      <c r="AA666" s="1517"/>
      <c r="AB666" s="1517"/>
      <c r="AC666" s="4"/>
      <c r="AD666" s="21" t="s">
        <v>23</v>
      </c>
      <c r="AE666" s="21" t="s">
        <v>24</v>
      </c>
      <c r="AF666" s="18" t="s">
        <v>25</v>
      </c>
      <c r="AG666" s="1517"/>
      <c r="AI666" s="368"/>
      <c r="AJ666" s="367"/>
      <c r="AK666" s="188" t="s">
        <v>26</v>
      </c>
      <c r="AL666" s="196">
        <f>AA669</f>
        <v>40</v>
      </c>
      <c r="AM666" s="511">
        <v>53.05</v>
      </c>
      <c r="AN666" s="510">
        <f>AL666*AM666</f>
        <v>2122</v>
      </c>
    </row>
    <row r="667" spans="2:42">
      <c r="B667" s="4" t="s">
        <v>60</v>
      </c>
      <c r="C667" s="1340" t="s">
        <v>75</v>
      </c>
      <c r="D667" s="1340" t="s">
        <v>246</v>
      </c>
      <c r="E667" s="319">
        <v>8</v>
      </c>
      <c r="F667" s="320"/>
      <c r="G667" s="4"/>
      <c r="H667" s="1340" t="s">
        <v>75</v>
      </c>
      <c r="I667" s="1340" t="s">
        <v>246</v>
      </c>
      <c r="J667" s="319">
        <v>8</v>
      </c>
      <c r="K667" s="320"/>
      <c r="L667" s="4"/>
      <c r="M667" s="1340" t="s">
        <v>75</v>
      </c>
      <c r="N667" s="1340" t="s">
        <v>246</v>
      </c>
      <c r="O667" s="319">
        <v>8</v>
      </c>
      <c r="P667" s="320"/>
      <c r="R667" s="1340" t="s">
        <v>75</v>
      </c>
      <c r="S667" s="1340" t="s">
        <v>246</v>
      </c>
      <c r="T667" s="319">
        <v>8</v>
      </c>
      <c r="U667" s="320"/>
      <c r="W667" s="1340" t="s">
        <v>75</v>
      </c>
      <c r="X667" s="1340" t="s">
        <v>246</v>
      </c>
      <c r="Y667" s="319">
        <v>8</v>
      </c>
      <c r="Z667" s="320"/>
      <c r="AA667" s="328">
        <f>Y667+T667+O667+J667+E667</f>
        <v>40</v>
      </c>
      <c r="AB667" s="298">
        <f>Z667+U667+P667+K667+F667</f>
        <v>0</v>
      </c>
      <c r="AC667" s="4"/>
      <c r="AD667" s="587"/>
      <c r="AE667" s="531"/>
      <c r="AF667" s="319"/>
      <c r="AG667" s="328">
        <f>AF667</f>
        <v>0</v>
      </c>
      <c r="AI667" s="368"/>
      <c r="AJ667" s="367"/>
      <c r="AK667" s="188" t="s">
        <v>30</v>
      </c>
      <c r="AL667" s="196">
        <f>AB669</f>
        <v>0</v>
      </c>
      <c r="AM667" s="511">
        <f>AM666*1.5</f>
        <v>79.574999999999989</v>
      </c>
      <c r="AN667" s="510">
        <f>AL667*AM667</f>
        <v>0</v>
      </c>
    </row>
    <row r="668" spans="2:42">
      <c r="B668" s="4"/>
      <c r="C668" s="441"/>
      <c r="D668" s="441"/>
      <c r="E668" s="319"/>
      <c r="F668" s="320"/>
      <c r="G668" s="4"/>
      <c r="H668" s="441"/>
      <c r="I668" s="441"/>
      <c r="J668" s="319"/>
      <c r="K668" s="320"/>
      <c r="L668" s="4"/>
      <c r="M668" s="441"/>
      <c r="N668" s="441"/>
      <c r="O668" s="319"/>
      <c r="P668" s="320"/>
      <c r="R668" s="441"/>
      <c r="S668" s="441"/>
      <c r="T668" s="319"/>
      <c r="U668" s="320"/>
      <c r="W668" s="441"/>
      <c r="X668" s="441"/>
      <c r="Y668" s="319"/>
      <c r="Z668" s="320"/>
      <c r="AA668" s="328">
        <f>Y668+T668+O668+J668+E668</f>
        <v>0</v>
      </c>
      <c r="AB668" s="298">
        <f>Z668+U668+P668+K668+F668</f>
        <v>0</v>
      </c>
      <c r="AC668" s="4"/>
      <c r="AF668" s="319"/>
      <c r="AG668" s="328">
        <f>AF668</f>
        <v>0</v>
      </c>
      <c r="AH668" s="175"/>
      <c r="AI668" s="402"/>
      <c r="AJ668" s="367"/>
      <c r="AK668" s="188" t="s">
        <v>32</v>
      </c>
      <c r="AL668" s="196">
        <f>AG669</f>
        <v>0</v>
      </c>
      <c r="AM668" s="511">
        <v>75.77</v>
      </c>
      <c r="AN668" s="510">
        <f>AL668*AM668</f>
        <v>0</v>
      </c>
    </row>
    <row r="669" spans="2:42">
      <c r="B669" s="64" t="s">
        <v>61</v>
      </c>
      <c r="C669" s="31"/>
      <c r="D669" s="31"/>
      <c r="E669" s="439">
        <f>SUM(E667:E668)</f>
        <v>8</v>
      </c>
      <c r="F669" s="320">
        <f>SUM(F667:F668)</f>
        <v>0</v>
      </c>
      <c r="G669" s="31"/>
      <c r="H669" s="31"/>
      <c r="I669" s="31"/>
      <c r="J669" s="439">
        <f>SUM(J667:J668)</f>
        <v>8</v>
      </c>
      <c r="K669" s="320">
        <f>SUM(K667:K668)</f>
        <v>0</v>
      </c>
      <c r="L669" s="31"/>
      <c r="M669" s="31"/>
      <c r="N669" s="31"/>
      <c r="O669" s="439">
        <f>SUM(O667:O668)</f>
        <v>8</v>
      </c>
      <c r="P669" s="320">
        <f>SUM(P667:P668)</f>
        <v>0</v>
      </c>
      <c r="Q669" s="31"/>
      <c r="R669" s="31"/>
      <c r="S669" s="31"/>
      <c r="T669" s="439">
        <f>SUM(T667:T668)</f>
        <v>8</v>
      </c>
      <c r="U669" s="320">
        <f>SUM(U667:U668)</f>
        <v>0</v>
      </c>
      <c r="V669" s="31"/>
      <c r="W669" s="31"/>
      <c r="X669" s="31"/>
      <c r="Y669" s="439">
        <f>SUM(Y667:Y668)</f>
        <v>8</v>
      </c>
      <c r="Z669" s="320">
        <f>SUM(Z667:Z668)</f>
        <v>0</v>
      </c>
      <c r="AA669" s="370">
        <f>SUM(AA667:AA668)</f>
        <v>40</v>
      </c>
      <c r="AB669" s="370">
        <f>SUM(AB667:AB668)</f>
        <v>0</v>
      </c>
      <c r="AC669" s="4"/>
      <c r="AD669" s="64"/>
      <c r="AE669" s="64"/>
      <c r="AF669" s="370">
        <f>SUM(AF667:AF668)</f>
        <v>0</v>
      </c>
      <c r="AG669" s="370">
        <f>SUM(AG667:AG668)</f>
        <v>0</v>
      </c>
      <c r="AJ669" s="367"/>
      <c r="AN669" s="510">
        <f>SUM(AN666:AN668)</f>
        <v>2122</v>
      </c>
    </row>
    <row r="670" spans="2:42">
      <c r="B670" s="180"/>
      <c r="E670" s="4"/>
      <c r="F670" s="4"/>
      <c r="G670" s="4"/>
      <c r="J670" s="4"/>
      <c r="K670" s="4"/>
      <c r="L670" s="4"/>
      <c r="O670" s="4"/>
      <c r="P670" s="4"/>
      <c r="T670" s="4"/>
      <c r="U670" s="4"/>
      <c r="Y670" s="4"/>
      <c r="Z670" s="4"/>
      <c r="AA670" s="4"/>
      <c r="AB670" s="4"/>
      <c r="AC670" s="4"/>
    </row>
    <row r="671" spans="2:42">
      <c r="B671" s="229"/>
      <c r="C671" s="230"/>
      <c r="D671" s="230"/>
      <c r="E671" s="232"/>
      <c r="F671" s="232"/>
      <c r="G671" s="230"/>
      <c r="H671" s="232"/>
      <c r="I671" s="232"/>
      <c r="J671" s="232"/>
      <c r="K671" s="232"/>
      <c r="L671" s="230"/>
      <c r="M671" s="230"/>
      <c r="N671" s="230"/>
      <c r="O671" s="230"/>
      <c r="P671" s="232"/>
      <c r="Q671" s="230"/>
      <c r="R671" s="230"/>
      <c r="S671" s="230"/>
      <c r="T671" s="230"/>
      <c r="U671" s="232"/>
      <c r="V671" s="230"/>
      <c r="W671" s="230"/>
      <c r="X671" s="230"/>
      <c r="Y671" s="233"/>
      <c r="Z671" s="232"/>
      <c r="AA671" s="234"/>
      <c r="AB671" s="232"/>
      <c r="AC671" s="373"/>
      <c r="AD671" s="236"/>
      <c r="AE671" s="255"/>
      <c r="AF671" s="255"/>
      <c r="AG671" s="255"/>
      <c r="AH671" s="255"/>
      <c r="AJ671" s="255"/>
      <c r="AK671" s="255"/>
      <c r="AL671" s="255"/>
      <c r="AM671" s="255"/>
      <c r="AN671" s="255"/>
      <c r="AO671" s="255"/>
      <c r="AP671" s="255"/>
    </row>
    <row r="672" spans="2:42">
      <c r="B672" s="180"/>
      <c r="E672" s="4"/>
      <c r="F672" s="4"/>
      <c r="G672" s="4"/>
      <c r="J672" s="4"/>
      <c r="K672" s="4"/>
      <c r="L672" s="4"/>
      <c r="O672" s="4"/>
      <c r="P672" s="4"/>
      <c r="T672" s="4"/>
      <c r="U672" s="4"/>
      <c r="Y672" s="4"/>
      <c r="Z672" s="4"/>
      <c r="AA672" s="4"/>
      <c r="AB672" s="4"/>
      <c r="AC672" s="4"/>
    </row>
    <row r="673" spans="2:42" ht="13.5" customHeight="1">
      <c r="B673" s="1518" t="s">
        <v>18</v>
      </c>
      <c r="C673" s="1519">
        <v>46118</v>
      </c>
      <c r="D673" s="1519"/>
      <c r="E673" s="1519"/>
      <c r="F673" s="1519"/>
      <c r="G673" s="365"/>
      <c r="H673" s="1519">
        <v>46119</v>
      </c>
      <c r="I673" s="1519"/>
      <c r="J673" s="1519"/>
      <c r="K673" s="1519"/>
      <c r="L673" s="365"/>
      <c r="M673" s="1519">
        <v>46120</v>
      </c>
      <c r="N673" s="1519"/>
      <c r="O673" s="1519"/>
      <c r="P673" s="1519"/>
      <c r="Q673" s="365"/>
      <c r="R673" s="1519">
        <v>46121</v>
      </c>
      <c r="S673" s="1519"/>
      <c r="T673" s="1519"/>
      <c r="U673" s="1519"/>
      <c r="V673" s="365"/>
      <c r="W673" s="1519">
        <v>46122</v>
      </c>
      <c r="X673" s="1519"/>
      <c r="Y673" s="1519"/>
      <c r="Z673" s="1519"/>
      <c r="AA673" s="1517" t="s">
        <v>19</v>
      </c>
      <c r="AB673" s="1517" t="s">
        <v>20</v>
      </c>
      <c r="AC673" s="4"/>
      <c r="AD673" s="1519">
        <v>46123</v>
      </c>
      <c r="AE673" s="1519"/>
      <c r="AF673" s="1519"/>
      <c r="AG673" s="1517" t="s">
        <v>21</v>
      </c>
      <c r="AI673" s="368"/>
      <c r="AK673" s="194" t="s">
        <v>84</v>
      </c>
      <c r="AL673" s="366"/>
      <c r="AM673" s="366"/>
      <c r="AN673" s="366"/>
      <c r="AO673" s="366"/>
      <c r="AP673" s="366"/>
    </row>
    <row r="674" spans="2:42">
      <c r="B674" s="1518"/>
      <c r="C674" s="21" t="s">
        <v>23</v>
      </c>
      <c r="D674" s="21" t="s">
        <v>24</v>
      </c>
      <c r="E674" s="205" t="s">
        <v>25</v>
      </c>
      <c r="F674" s="18" t="s">
        <v>14</v>
      </c>
      <c r="G674" s="4"/>
      <c r="H674" s="21" t="s">
        <v>23</v>
      </c>
      <c r="I674" s="21" t="s">
        <v>24</v>
      </c>
      <c r="J674" s="18" t="s">
        <v>25</v>
      </c>
      <c r="K674" s="18" t="s">
        <v>14</v>
      </c>
      <c r="L674" s="4"/>
      <c r="M674" s="21" t="s">
        <v>23</v>
      </c>
      <c r="N674" s="21" t="s">
        <v>24</v>
      </c>
      <c r="O674" s="18" t="s">
        <v>25</v>
      </c>
      <c r="P674" s="18" t="s">
        <v>14</v>
      </c>
      <c r="R674" s="21" t="s">
        <v>23</v>
      </c>
      <c r="S674" s="21" t="s">
        <v>24</v>
      </c>
      <c r="T674" s="18" t="s">
        <v>25</v>
      </c>
      <c r="U674" s="18" t="s">
        <v>14</v>
      </c>
      <c r="W674" s="21" t="s">
        <v>23</v>
      </c>
      <c r="X674" s="21" t="s">
        <v>24</v>
      </c>
      <c r="Y674" s="18" t="s">
        <v>25</v>
      </c>
      <c r="Z674" s="18" t="s">
        <v>14</v>
      </c>
      <c r="AA674" s="1517"/>
      <c r="AB674" s="1517"/>
      <c r="AC674" s="4"/>
      <c r="AD674" s="21" t="s">
        <v>23</v>
      </c>
      <c r="AE674" s="21" t="s">
        <v>24</v>
      </c>
      <c r="AF674" s="18" t="s">
        <v>25</v>
      </c>
      <c r="AG674" s="1517"/>
      <c r="AI674" s="368"/>
      <c r="AJ674" s="367"/>
      <c r="AK674" s="188" t="s">
        <v>26</v>
      </c>
      <c r="AL674" s="196">
        <f>AA677</f>
        <v>40</v>
      </c>
      <c r="AM674" s="511">
        <v>53.05</v>
      </c>
      <c r="AN674" s="510">
        <f>AL674*AM674</f>
        <v>2122</v>
      </c>
    </row>
    <row r="675" spans="2:42">
      <c r="B675" s="4" t="s">
        <v>60</v>
      </c>
      <c r="C675" s="1340" t="s">
        <v>75</v>
      </c>
      <c r="D675" s="1340" t="s">
        <v>246</v>
      </c>
      <c r="E675" s="319">
        <v>8</v>
      </c>
      <c r="F675" s="320"/>
      <c r="G675" s="4"/>
      <c r="H675" s="1340" t="s">
        <v>75</v>
      </c>
      <c r="I675" s="1340" t="s">
        <v>246</v>
      </c>
      <c r="J675" s="319">
        <v>8</v>
      </c>
      <c r="K675" s="320"/>
      <c r="L675" s="4"/>
      <c r="M675" s="1340" t="s">
        <v>75</v>
      </c>
      <c r="N675" s="1340" t="s">
        <v>246</v>
      </c>
      <c r="O675" s="319">
        <v>8</v>
      </c>
      <c r="P675" s="320"/>
      <c r="R675" s="1340" t="s">
        <v>75</v>
      </c>
      <c r="S675" s="1340" t="s">
        <v>246</v>
      </c>
      <c r="T675" s="319">
        <v>8</v>
      </c>
      <c r="U675" s="320"/>
      <c r="W675" s="1340" t="s">
        <v>75</v>
      </c>
      <c r="X675" s="1340" t="s">
        <v>246</v>
      </c>
      <c r="Y675" s="319">
        <v>8</v>
      </c>
      <c r="Z675" s="320"/>
      <c r="AA675" s="328">
        <f>Y675+T675+O675+J675+E675</f>
        <v>40</v>
      </c>
      <c r="AB675" s="298">
        <f>Z675+U675+P675+K675+F675</f>
        <v>0</v>
      </c>
      <c r="AC675" s="4"/>
      <c r="AD675" s="587"/>
      <c r="AE675" s="531"/>
      <c r="AF675" s="319"/>
      <c r="AG675" s="328">
        <f>AF675</f>
        <v>0</v>
      </c>
      <c r="AI675" s="368"/>
      <c r="AJ675" s="367"/>
      <c r="AK675" s="188" t="s">
        <v>30</v>
      </c>
      <c r="AL675" s="196">
        <f>AB677</f>
        <v>0</v>
      </c>
      <c r="AM675" s="511">
        <f>AM674*1.5</f>
        <v>79.574999999999989</v>
      </c>
      <c r="AN675" s="510">
        <f>AL675*AM675</f>
        <v>0</v>
      </c>
    </row>
    <row r="676" spans="2:42">
      <c r="B676" s="4"/>
      <c r="C676" s="441"/>
      <c r="D676" s="441"/>
      <c r="E676" s="319"/>
      <c r="F676" s="320"/>
      <c r="G676" s="4"/>
      <c r="H676" s="441"/>
      <c r="I676" s="441"/>
      <c r="J676" s="319"/>
      <c r="K676" s="320"/>
      <c r="L676" s="4"/>
      <c r="M676" s="441"/>
      <c r="N676" s="441"/>
      <c r="O676" s="319"/>
      <c r="P676" s="320"/>
      <c r="R676" s="441"/>
      <c r="S676" s="441"/>
      <c r="T676" s="319"/>
      <c r="U676" s="320"/>
      <c r="W676" s="441"/>
      <c r="X676" s="441"/>
      <c r="Y676" s="319"/>
      <c r="Z676" s="320"/>
      <c r="AA676" s="328">
        <f>Y676+T676+O676+J676+E676</f>
        <v>0</v>
      </c>
      <c r="AB676" s="298">
        <f>Z676+U676+P676+K676+F676</f>
        <v>0</v>
      </c>
      <c r="AC676" s="4"/>
      <c r="AF676" s="319"/>
      <c r="AG676" s="328">
        <f>AF676</f>
        <v>0</v>
      </c>
      <c r="AH676" s="175"/>
      <c r="AI676" s="402"/>
      <c r="AJ676" s="367"/>
      <c r="AK676" s="188" t="s">
        <v>32</v>
      </c>
      <c r="AL676" s="196">
        <f>AG677</f>
        <v>0</v>
      </c>
      <c r="AM676" s="511">
        <v>75.77</v>
      </c>
      <c r="AN676" s="510">
        <f>AL676*AM676</f>
        <v>0</v>
      </c>
    </row>
    <row r="677" spans="2:42">
      <c r="B677" s="64" t="s">
        <v>61</v>
      </c>
      <c r="C677" s="31"/>
      <c r="D677" s="31"/>
      <c r="E677" s="439">
        <f>SUM(E675:E676)</f>
        <v>8</v>
      </c>
      <c r="F677" s="320">
        <f>SUM(F675:F676)</f>
        <v>0</v>
      </c>
      <c r="G677" s="31"/>
      <c r="H677" s="31"/>
      <c r="I677" s="31"/>
      <c r="J677" s="439">
        <f>SUM(J675:J676)</f>
        <v>8</v>
      </c>
      <c r="K677" s="320">
        <f>SUM(K675:K676)</f>
        <v>0</v>
      </c>
      <c r="L677" s="31"/>
      <c r="M677" s="31"/>
      <c r="N677" s="31"/>
      <c r="O677" s="439">
        <f>SUM(O675:O676)</f>
        <v>8</v>
      </c>
      <c r="P677" s="320">
        <f>SUM(P675:P676)</f>
        <v>0</v>
      </c>
      <c r="Q677" s="31"/>
      <c r="R677" s="31"/>
      <c r="S677" s="31"/>
      <c r="T677" s="439">
        <f>SUM(T675:T676)</f>
        <v>8</v>
      </c>
      <c r="U677" s="320">
        <f>SUM(U675:U676)</f>
        <v>0</v>
      </c>
      <c r="V677" s="31"/>
      <c r="W677" s="31"/>
      <c r="X677" s="31"/>
      <c r="Y677" s="439">
        <f>SUM(Y675:Y676)</f>
        <v>8</v>
      </c>
      <c r="Z677" s="320">
        <f>SUM(Z675:Z676)</f>
        <v>0</v>
      </c>
      <c r="AA677" s="370">
        <f>SUM(AA675:AA676)</f>
        <v>40</v>
      </c>
      <c r="AB677" s="370">
        <f>SUM(AB675:AB676)</f>
        <v>0</v>
      </c>
      <c r="AC677" s="4"/>
      <c r="AD677" s="64"/>
      <c r="AE677" s="64"/>
      <c r="AF677" s="370">
        <f>SUM(AF675:AF676)</f>
        <v>0</v>
      </c>
      <c r="AG677" s="370">
        <f>SUM(AG675:AG676)</f>
        <v>0</v>
      </c>
      <c r="AJ677" s="367"/>
      <c r="AN677" s="510">
        <f>SUM(AN674:AN676)</f>
        <v>2122</v>
      </c>
    </row>
    <row r="678" spans="2:42">
      <c r="B678" s="180"/>
      <c r="E678" s="4"/>
      <c r="F678" s="4"/>
      <c r="G678" s="4"/>
      <c r="J678" s="4"/>
      <c r="K678" s="4"/>
      <c r="L678" s="4"/>
      <c r="O678" s="4"/>
      <c r="P678" s="4"/>
      <c r="T678" s="4"/>
      <c r="U678" s="4"/>
      <c r="Y678" s="4"/>
      <c r="Z678" s="4"/>
      <c r="AA678" s="4"/>
      <c r="AB678" s="4"/>
      <c r="AC678" s="4"/>
    </row>
    <row r="679" spans="2:42">
      <c r="B679" s="229"/>
      <c r="C679" s="230"/>
      <c r="D679" s="230"/>
      <c r="E679" s="232"/>
      <c r="F679" s="232"/>
      <c r="G679" s="230"/>
      <c r="H679" s="232"/>
      <c r="I679" s="232"/>
      <c r="J679" s="232"/>
      <c r="K679" s="232"/>
      <c r="L679" s="230"/>
      <c r="M679" s="230"/>
      <c r="N679" s="230"/>
      <c r="O679" s="230"/>
      <c r="P679" s="232"/>
      <c r="Q679" s="230"/>
      <c r="R679" s="230"/>
      <c r="S679" s="230"/>
      <c r="T679" s="230"/>
      <c r="U679" s="232"/>
      <c r="V679" s="230"/>
      <c r="W679" s="230"/>
      <c r="X679" s="230"/>
      <c r="Y679" s="233"/>
      <c r="Z679" s="232"/>
      <c r="AA679" s="234"/>
      <c r="AB679" s="232"/>
      <c r="AC679" s="373"/>
      <c r="AD679" s="236"/>
      <c r="AE679" s="255"/>
      <c r="AF679" s="255"/>
      <c r="AG679" s="255"/>
      <c r="AH679" s="255"/>
      <c r="AJ679" s="255"/>
      <c r="AK679" s="255"/>
      <c r="AL679" s="255"/>
      <c r="AM679" s="255"/>
      <c r="AN679" s="255"/>
      <c r="AO679" s="255"/>
      <c r="AP679" s="255"/>
    </row>
    <row r="680" spans="2:42">
      <c r="B680" s="180"/>
      <c r="E680" s="4"/>
      <c r="F680" s="4"/>
      <c r="G680" s="4"/>
      <c r="J680" s="4"/>
      <c r="K680" s="4"/>
      <c r="L680" s="4"/>
      <c r="O680" s="4"/>
      <c r="P680" s="4"/>
      <c r="T680" s="4"/>
      <c r="U680" s="4"/>
      <c r="Y680" s="4"/>
      <c r="Z680" s="4"/>
      <c r="AA680" s="4"/>
      <c r="AB680" s="4"/>
      <c r="AC680" s="4"/>
    </row>
    <row r="681" spans="2:42" ht="13.5" customHeight="1">
      <c r="B681" s="1518" t="s">
        <v>18</v>
      </c>
      <c r="C681" s="1519">
        <v>46125</v>
      </c>
      <c r="D681" s="1519"/>
      <c r="E681" s="1519"/>
      <c r="F681" s="1519"/>
      <c r="G681" s="365"/>
      <c r="H681" s="1519">
        <v>46126</v>
      </c>
      <c r="I681" s="1519"/>
      <c r="J681" s="1519"/>
      <c r="K681" s="1519"/>
      <c r="L681" s="365"/>
      <c r="M681" s="1519">
        <v>46127</v>
      </c>
      <c r="N681" s="1519"/>
      <c r="O681" s="1519"/>
      <c r="P681" s="1519"/>
      <c r="Q681" s="365"/>
      <c r="R681" s="1519">
        <v>46128</v>
      </c>
      <c r="S681" s="1519"/>
      <c r="T681" s="1519"/>
      <c r="U681" s="1519"/>
      <c r="V681" s="365"/>
      <c r="W681" s="1519">
        <v>46129</v>
      </c>
      <c r="X681" s="1519"/>
      <c r="Y681" s="1519"/>
      <c r="Z681" s="1519"/>
      <c r="AA681" s="1517" t="s">
        <v>19</v>
      </c>
      <c r="AB681" s="1517" t="s">
        <v>20</v>
      </c>
      <c r="AC681" s="4"/>
      <c r="AD681" s="1519">
        <v>46130</v>
      </c>
      <c r="AE681" s="1519"/>
      <c r="AF681" s="1519"/>
      <c r="AG681" s="1517" t="s">
        <v>21</v>
      </c>
      <c r="AI681" s="368"/>
      <c r="AK681" s="194" t="s">
        <v>84</v>
      </c>
      <c r="AL681" s="366"/>
      <c r="AM681" s="366"/>
      <c r="AN681" s="366"/>
      <c r="AO681" s="366"/>
      <c r="AP681" s="366"/>
    </row>
    <row r="682" spans="2:42">
      <c r="B682" s="1518"/>
      <c r="C682" s="21" t="s">
        <v>23</v>
      </c>
      <c r="D682" s="21" t="s">
        <v>24</v>
      </c>
      <c r="E682" s="205" t="s">
        <v>25</v>
      </c>
      <c r="F682" s="18" t="s">
        <v>14</v>
      </c>
      <c r="G682" s="4"/>
      <c r="H682" s="21" t="s">
        <v>23</v>
      </c>
      <c r="I682" s="21" t="s">
        <v>24</v>
      </c>
      <c r="J682" s="18" t="s">
        <v>25</v>
      </c>
      <c r="K682" s="18" t="s">
        <v>14</v>
      </c>
      <c r="L682" s="4"/>
      <c r="M682" s="21" t="s">
        <v>23</v>
      </c>
      <c r="N682" s="21" t="s">
        <v>24</v>
      </c>
      <c r="O682" s="18" t="s">
        <v>25</v>
      </c>
      <c r="P682" s="18" t="s">
        <v>14</v>
      </c>
      <c r="R682" s="21" t="s">
        <v>23</v>
      </c>
      <c r="S682" s="21" t="s">
        <v>24</v>
      </c>
      <c r="T682" s="18" t="s">
        <v>25</v>
      </c>
      <c r="U682" s="18" t="s">
        <v>14</v>
      </c>
      <c r="W682" s="21" t="s">
        <v>23</v>
      </c>
      <c r="X682" s="21" t="s">
        <v>24</v>
      </c>
      <c r="Y682" s="18" t="s">
        <v>25</v>
      </c>
      <c r="Z682" s="18" t="s">
        <v>14</v>
      </c>
      <c r="AA682" s="1517"/>
      <c r="AB682" s="1517"/>
      <c r="AC682" s="4"/>
      <c r="AD682" s="21" t="s">
        <v>23</v>
      </c>
      <c r="AE682" s="21" t="s">
        <v>24</v>
      </c>
      <c r="AF682" s="18" t="s">
        <v>25</v>
      </c>
      <c r="AG682" s="1517"/>
      <c r="AI682" s="368"/>
      <c r="AJ682" s="367"/>
      <c r="AK682" s="188" t="s">
        <v>26</v>
      </c>
      <c r="AL682" s="196">
        <f>AA685</f>
        <v>40</v>
      </c>
      <c r="AM682" s="511">
        <v>53.05</v>
      </c>
      <c r="AN682" s="510">
        <f>AL682*AM682</f>
        <v>2122</v>
      </c>
    </row>
    <row r="683" spans="2:42">
      <c r="B683" s="4" t="s">
        <v>60</v>
      </c>
      <c r="C683" s="1340" t="s">
        <v>75</v>
      </c>
      <c r="D683" s="1340" t="s">
        <v>246</v>
      </c>
      <c r="E683" s="319">
        <v>8</v>
      </c>
      <c r="F683" s="320"/>
      <c r="G683" s="4"/>
      <c r="H683" s="1340" t="s">
        <v>75</v>
      </c>
      <c r="I683" s="1340" t="s">
        <v>246</v>
      </c>
      <c r="J683" s="319">
        <v>8</v>
      </c>
      <c r="K683" s="320"/>
      <c r="L683" s="4"/>
      <c r="M683" s="1340" t="s">
        <v>75</v>
      </c>
      <c r="N683" s="1340" t="s">
        <v>246</v>
      </c>
      <c r="O683" s="319">
        <v>8</v>
      </c>
      <c r="P683" s="320"/>
      <c r="R683" s="1340" t="s">
        <v>75</v>
      </c>
      <c r="S683" s="1340" t="s">
        <v>246</v>
      </c>
      <c r="T683" s="319">
        <v>8</v>
      </c>
      <c r="U683" s="320"/>
      <c r="W683" s="1340" t="s">
        <v>75</v>
      </c>
      <c r="X683" s="1340" t="s">
        <v>246</v>
      </c>
      <c r="Y683" s="319">
        <v>8</v>
      </c>
      <c r="Z683" s="320"/>
      <c r="AA683" s="328">
        <f>Y683+T683+O683+J683+E683</f>
        <v>40</v>
      </c>
      <c r="AB683" s="298">
        <f>Z683+U683+P683+K683+F683</f>
        <v>0</v>
      </c>
      <c r="AC683" s="4"/>
      <c r="AD683" s="587"/>
      <c r="AE683" s="531"/>
      <c r="AF683" s="319"/>
      <c r="AG683" s="328">
        <f>AF683</f>
        <v>0</v>
      </c>
      <c r="AI683" s="368"/>
      <c r="AJ683" s="367"/>
      <c r="AK683" s="188" t="s">
        <v>30</v>
      </c>
      <c r="AL683" s="196">
        <f>AB685</f>
        <v>0</v>
      </c>
      <c r="AM683" s="511">
        <f>AM682*1.5</f>
        <v>79.574999999999989</v>
      </c>
      <c r="AN683" s="510">
        <f>AL683*AM683</f>
        <v>0</v>
      </c>
    </row>
    <row r="684" spans="2:42">
      <c r="B684" s="4"/>
      <c r="C684" s="441"/>
      <c r="D684" s="441"/>
      <c r="E684" s="319"/>
      <c r="F684" s="320"/>
      <c r="G684" s="4"/>
      <c r="H684" s="441"/>
      <c r="I684" s="441"/>
      <c r="J684" s="319"/>
      <c r="K684" s="320"/>
      <c r="L684" s="4"/>
      <c r="M684" s="441"/>
      <c r="N684" s="441"/>
      <c r="O684" s="319"/>
      <c r="P684" s="320"/>
      <c r="R684" s="441"/>
      <c r="S684" s="441"/>
      <c r="T684" s="319"/>
      <c r="U684" s="320"/>
      <c r="W684" s="441"/>
      <c r="X684" s="441"/>
      <c r="Y684" s="319"/>
      <c r="Z684" s="320"/>
      <c r="AA684" s="328">
        <f>Y684+T684+O684+J684+E684</f>
        <v>0</v>
      </c>
      <c r="AB684" s="298">
        <f>Z684+U684+P684+K684+F684</f>
        <v>0</v>
      </c>
      <c r="AC684" s="4"/>
      <c r="AF684" s="319"/>
      <c r="AG684" s="328">
        <f>AF684</f>
        <v>0</v>
      </c>
      <c r="AH684" s="175"/>
      <c r="AI684" s="402"/>
      <c r="AJ684" s="367"/>
      <c r="AK684" s="188" t="s">
        <v>32</v>
      </c>
      <c r="AL684" s="196">
        <f>AG685</f>
        <v>0</v>
      </c>
      <c r="AM684" s="511">
        <v>75.77</v>
      </c>
      <c r="AN684" s="510">
        <f>AL684*AM684</f>
        <v>0</v>
      </c>
    </row>
    <row r="685" spans="2:42">
      <c r="B685" s="64" t="s">
        <v>61</v>
      </c>
      <c r="C685" s="31"/>
      <c r="D685" s="31"/>
      <c r="E685" s="439">
        <f>SUM(E683:E684)</f>
        <v>8</v>
      </c>
      <c r="F685" s="320">
        <f>SUM(F683:F684)</f>
        <v>0</v>
      </c>
      <c r="G685" s="31"/>
      <c r="H685" s="31"/>
      <c r="I685" s="31"/>
      <c r="J685" s="439">
        <f>SUM(J683:J684)</f>
        <v>8</v>
      </c>
      <c r="K685" s="320">
        <f>SUM(K683:K684)</f>
        <v>0</v>
      </c>
      <c r="L685" s="31"/>
      <c r="M685" s="31"/>
      <c r="N685" s="31"/>
      <c r="O685" s="439">
        <f>SUM(O683:O684)</f>
        <v>8</v>
      </c>
      <c r="P685" s="320">
        <f>SUM(P683:P684)</f>
        <v>0</v>
      </c>
      <c r="Q685" s="31"/>
      <c r="R685" s="31"/>
      <c r="S685" s="31"/>
      <c r="T685" s="439">
        <f>SUM(T683:T684)</f>
        <v>8</v>
      </c>
      <c r="U685" s="320">
        <f>SUM(U683:U684)</f>
        <v>0</v>
      </c>
      <c r="V685" s="31"/>
      <c r="W685" s="31"/>
      <c r="X685" s="31"/>
      <c r="Y685" s="439">
        <f>SUM(Y683:Y684)</f>
        <v>8</v>
      </c>
      <c r="Z685" s="320">
        <f>SUM(Z683:Z684)</f>
        <v>0</v>
      </c>
      <c r="AA685" s="370">
        <f>SUM(AA683:AA684)</f>
        <v>40</v>
      </c>
      <c r="AB685" s="370">
        <f>SUM(AB683:AB684)</f>
        <v>0</v>
      </c>
      <c r="AC685" s="4"/>
      <c r="AD685" s="64"/>
      <c r="AE685" s="64"/>
      <c r="AF685" s="370">
        <f>SUM(AF683:AF684)</f>
        <v>0</v>
      </c>
      <c r="AG685" s="370">
        <f>SUM(AG683:AG684)</f>
        <v>0</v>
      </c>
      <c r="AJ685" s="367"/>
      <c r="AN685" s="510">
        <f>SUM(AN682:AN684)</f>
        <v>2122</v>
      </c>
    </row>
    <row r="686" spans="2:42">
      <c r="B686" s="180"/>
      <c r="E686" s="4"/>
      <c r="F686" s="4"/>
      <c r="G686" s="4"/>
      <c r="J686" s="4"/>
      <c r="K686" s="4"/>
      <c r="L686" s="4"/>
      <c r="O686" s="4"/>
      <c r="P686" s="4"/>
      <c r="T686" s="4"/>
      <c r="U686" s="4"/>
      <c r="Y686" s="4"/>
      <c r="Z686" s="4"/>
      <c r="AA686" s="4"/>
      <c r="AB686" s="4"/>
      <c r="AC686" s="4"/>
    </row>
    <row r="687" spans="2:42">
      <c r="B687" s="229"/>
      <c r="C687" s="230"/>
      <c r="D687" s="230"/>
      <c r="E687" s="232"/>
      <c r="F687" s="232"/>
      <c r="G687" s="230"/>
      <c r="H687" s="232"/>
      <c r="I687" s="232"/>
      <c r="J687" s="232"/>
      <c r="K687" s="232"/>
      <c r="L687" s="230"/>
      <c r="M687" s="230"/>
      <c r="N687" s="230"/>
      <c r="O687" s="230"/>
      <c r="P687" s="232"/>
      <c r="Q687" s="230"/>
      <c r="R687" s="230"/>
      <c r="S687" s="230"/>
      <c r="T687" s="230"/>
      <c r="U687" s="232"/>
      <c r="V687" s="230"/>
      <c r="W687" s="230"/>
      <c r="X687" s="230"/>
      <c r="Y687" s="233"/>
      <c r="Z687" s="232"/>
      <c r="AA687" s="234"/>
      <c r="AB687" s="232"/>
      <c r="AC687" s="373"/>
      <c r="AD687" s="236"/>
      <c r="AE687" s="255"/>
      <c r="AF687" s="255"/>
      <c r="AG687" s="255"/>
      <c r="AH687" s="255"/>
      <c r="AJ687" s="255"/>
      <c r="AK687" s="255"/>
      <c r="AL687" s="255"/>
      <c r="AM687" s="255"/>
      <c r="AN687" s="255"/>
      <c r="AO687" s="255"/>
      <c r="AP687" s="255"/>
    </row>
    <row r="688" spans="2:42">
      <c r="B688" s="180"/>
      <c r="E688" s="4"/>
      <c r="F688" s="4"/>
      <c r="G688" s="4"/>
      <c r="J688" s="4"/>
      <c r="K688" s="4"/>
      <c r="L688" s="4"/>
      <c r="O688" s="4"/>
      <c r="P688" s="4"/>
      <c r="T688" s="4"/>
      <c r="U688" s="4"/>
      <c r="Y688" s="4"/>
      <c r="Z688" s="4"/>
      <c r="AA688" s="4"/>
      <c r="AB688" s="4"/>
      <c r="AC688" s="4"/>
    </row>
    <row r="689" spans="2:42" ht="13.5" customHeight="1">
      <c r="B689" s="1518" t="s">
        <v>18</v>
      </c>
      <c r="C689" s="1519">
        <v>46132</v>
      </c>
      <c r="D689" s="1519"/>
      <c r="E689" s="1519"/>
      <c r="F689" s="1519"/>
      <c r="G689" s="365"/>
      <c r="H689" s="1519">
        <v>46133</v>
      </c>
      <c r="I689" s="1519"/>
      <c r="J689" s="1519"/>
      <c r="K689" s="1519"/>
      <c r="L689" s="365"/>
      <c r="M689" s="1519">
        <v>46134</v>
      </c>
      <c r="N689" s="1519"/>
      <c r="O689" s="1519"/>
      <c r="P689" s="1519"/>
      <c r="Q689" s="365"/>
      <c r="R689" s="1519">
        <v>46135</v>
      </c>
      <c r="S689" s="1519"/>
      <c r="T689" s="1519"/>
      <c r="U689" s="1519"/>
      <c r="V689" s="365"/>
      <c r="W689" s="1519">
        <v>46136</v>
      </c>
      <c r="X689" s="1519"/>
      <c r="Y689" s="1519"/>
      <c r="Z689" s="1519"/>
      <c r="AA689" s="1517" t="s">
        <v>19</v>
      </c>
      <c r="AB689" s="1517" t="s">
        <v>20</v>
      </c>
      <c r="AC689" s="4"/>
      <c r="AD689" s="1519">
        <v>46137</v>
      </c>
      <c r="AE689" s="1519"/>
      <c r="AF689" s="1519"/>
      <c r="AG689" s="1517" t="s">
        <v>21</v>
      </c>
      <c r="AI689" s="368"/>
      <c r="AK689" s="194" t="s">
        <v>84</v>
      </c>
      <c r="AL689" s="366"/>
      <c r="AM689" s="366"/>
      <c r="AN689" s="366"/>
      <c r="AO689" s="366"/>
      <c r="AP689" s="366"/>
    </row>
    <row r="690" spans="2:42">
      <c r="B690" s="1518"/>
      <c r="C690" s="21" t="s">
        <v>23</v>
      </c>
      <c r="D690" s="21" t="s">
        <v>24</v>
      </c>
      <c r="E690" s="205" t="s">
        <v>25</v>
      </c>
      <c r="F690" s="18" t="s">
        <v>14</v>
      </c>
      <c r="G690" s="4"/>
      <c r="H690" s="21" t="s">
        <v>23</v>
      </c>
      <c r="I690" s="21" t="s">
        <v>24</v>
      </c>
      <c r="J690" s="18" t="s">
        <v>25</v>
      </c>
      <c r="K690" s="18" t="s">
        <v>14</v>
      </c>
      <c r="L690" s="4"/>
      <c r="M690" s="21" t="s">
        <v>23</v>
      </c>
      <c r="N690" s="21" t="s">
        <v>24</v>
      </c>
      <c r="O690" s="18" t="s">
        <v>25</v>
      </c>
      <c r="P690" s="18" t="s">
        <v>14</v>
      </c>
      <c r="R690" s="21" t="s">
        <v>23</v>
      </c>
      <c r="S690" s="21" t="s">
        <v>24</v>
      </c>
      <c r="T690" s="18" t="s">
        <v>25</v>
      </c>
      <c r="U690" s="18" t="s">
        <v>14</v>
      </c>
      <c r="W690" s="21" t="s">
        <v>23</v>
      </c>
      <c r="X690" s="21" t="s">
        <v>24</v>
      </c>
      <c r="Y690" s="18" t="s">
        <v>25</v>
      </c>
      <c r="Z690" s="18" t="s">
        <v>14</v>
      </c>
      <c r="AA690" s="1517"/>
      <c r="AB690" s="1517"/>
      <c r="AC690" s="4"/>
      <c r="AD690" s="21" t="s">
        <v>23</v>
      </c>
      <c r="AE690" s="21" t="s">
        <v>24</v>
      </c>
      <c r="AF690" s="18" t="s">
        <v>25</v>
      </c>
      <c r="AG690" s="1517"/>
      <c r="AI690" s="368"/>
      <c r="AJ690" s="367"/>
      <c r="AK690" s="188" t="s">
        <v>26</v>
      </c>
      <c r="AL690" s="196">
        <f>AA693</f>
        <v>40</v>
      </c>
      <c r="AM690" s="511">
        <v>53.05</v>
      </c>
      <c r="AN690" s="510">
        <f>AL690*AM690</f>
        <v>2122</v>
      </c>
    </row>
    <row r="691" spans="2:42">
      <c r="B691" s="4" t="s">
        <v>60</v>
      </c>
      <c r="C691" s="1340" t="s">
        <v>75</v>
      </c>
      <c r="D691" s="1340" t="s">
        <v>246</v>
      </c>
      <c r="E691" s="319">
        <v>8</v>
      </c>
      <c r="F691" s="320"/>
      <c r="G691" s="4"/>
      <c r="H691" s="1340" t="s">
        <v>75</v>
      </c>
      <c r="I691" s="1340" t="s">
        <v>246</v>
      </c>
      <c r="J691" s="319">
        <v>8</v>
      </c>
      <c r="K691" s="320"/>
      <c r="L691" s="4"/>
      <c r="M691" s="1340" t="s">
        <v>75</v>
      </c>
      <c r="N691" s="1340" t="s">
        <v>246</v>
      </c>
      <c r="O691" s="319">
        <v>8</v>
      </c>
      <c r="P691" s="320"/>
      <c r="R691" s="1340" t="s">
        <v>75</v>
      </c>
      <c r="S691" s="1340" t="s">
        <v>246</v>
      </c>
      <c r="T691" s="319">
        <v>8</v>
      </c>
      <c r="U691" s="320"/>
      <c r="W691" s="1340" t="s">
        <v>75</v>
      </c>
      <c r="X691" s="1340" t="s">
        <v>246</v>
      </c>
      <c r="Y691" s="319">
        <v>8</v>
      </c>
      <c r="Z691" s="320"/>
      <c r="AA691" s="328">
        <f>Y691+T691+O691+J691+E691</f>
        <v>40</v>
      </c>
      <c r="AB691" s="298">
        <f>Z691+U691+P691+K691+F691</f>
        <v>0</v>
      </c>
      <c r="AC691" s="4"/>
      <c r="AD691" s="587"/>
      <c r="AE691" s="531"/>
      <c r="AF691" s="319"/>
      <c r="AG691" s="328">
        <f>AF691</f>
        <v>0</v>
      </c>
      <c r="AI691" s="368"/>
      <c r="AJ691" s="367"/>
      <c r="AK691" s="188" t="s">
        <v>30</v>
      </c>
      <c r="AL691" s="196">
        <f>AB693</f>
        <v>0</v>
      </c>
      <c r="AM691" s="511">
        <f>AM690*1.5</f>
        <v>79.574999999999989</v>
      </c>
      <c r="AN691" s="510">
        <f>AL691*AM691</f>
        <v>0</v>
      </c>
    </row>
    <row r="692" spans="2:42">
      <c r="B692" s="4"/>
      <c r="C692" s="441"/>
      <c r="D692" s="441"/>
      <c r="E692" s="319"/>
      <c r="F692" s="320"/>
      <c r="G692" s="4"/>
      <c r="H692" s="441"/>
      <c r="I692" s="441"/>
      <c r="J692" s="319"/>
      <c r="K692" s="320"/>
      <c r="L692" s="4"/>
      <c r="M692" s="441"/>
      <c r="N692" s="441"/>
      <c r="O692" s="319"/>
      <c r="P692" s="320"/>
      <c r="R692" s="441"/>
      <c r="S692" s="441"/>
      <c r="T692" s="319"/>
      <c r="U692" s="320"/>
      <c r="W692" s="441"/>
      <c r="X692" s="441"/>
      <c r="Y692" s="319"/>
      <c r="Z692" s="320"/>
      <c r="AA692" s="328">
        <f>Y692+T692+O692+J692+E692</f>
        <v>0</v>
      </c>
      <c r="AB692" s="298">
        <f>Z692+U692+P692+K692+F692</f>
        <v>0</v>
      </c>
      <c r="AC692" s="4"/>
      <c r="AF692" s="319"/>
      <c r="AG692" s="328">
        <f>AF692</f>
        <v>0</v>
      </c>
      <c r="AH692" s="175"/>
      <c r="AI692" s="402"/>
      <c r="AJ692" s="367"/>
      <c r="AK692" s="188" t="s">
        <v>32</v>
      </c>
      <c r="AL692" s="196">
        <f>AG693</f>
        <v>0</v>
      </c>
      <c r="AM692" s="511">
        <v>75.77</v>
      </c>
      <c r="AN692" s="510">
        <f>AL692*AM692</f>
        <v>0</v>
      </c>
    </row>
    <row r="693" spans="2:42">
      <c r="B693" s="64" t="s">
        <v>61</v>
      </c>
      <c r="C693" s="31"/>
      <c r="D693" s="31"/>
      <c r="E693" s="439">
        <f>SUM(E691:E692)</f>
        <v>8</v>
      </c>
      <c r="F693" s="320">
        <f>SUM(F691:F692)</f>
        <v>0</v>
      </c>
      <c r="G693" s="31"/>
      <c r="H693" s="31"/>
      <c r="I693" s="31"/>
      <c r="J693" s="439">
        <f>SUM(J691:J692)</f>
        <v>8</v>
      </c>
      <c r="K693" s="320">
        <f>SUM(K691:K692)</f>
        <v>0</v>
      </c>
      <c r="L693" s="31"/>
      <c r="M693" s="31"/>
      <c r="N693" s="31"/>
      <c r="O693" s="439">
        <f>SUM(O691:O692)</f>
        <v>8</v>
      </c>
      <c r="P693" s="320">
        <f>SUM(P691:P692)</f>
        <v>0</v>
      </c>
      <c r="Q693" s="31"/>
      <c r="R693" s="31"/>
      <c r="S693" s="31"/>
      <c r="T693" s="439">
        <f>SUM(T691:T692)</f>
        <v>8</v>
      </c>
      <c r="U693" s="320">
        <f>SUM(U691:U692)</f>
        <v>0</v>
      </c>
      <c r="V693" s="31"/>
      <c r="W693" s="31"/>
      <c r="X693" s="31"/>
      <c r="Y693" s="439">
        <f>SUM(Y691:Y692)</f>
        <v>8</v>
      </c>
      <c r="Z693" s="320">
        <f>SUM(Z691:Z692)</f>
        <v>0</v>
      </c>
      <c r="AA693" s="370">
        <f>SUM(AA691:AA692)</f>
        <v>40</v>
      </c>
      <c r="AB693" s="370">
        <f>SUM(AB691:AB692)</f>
        <v>0</v>
      </c>
      <c r="AC693" s="4"/>
      <c r="AD693" s="64"/>
      <c r="AE693" s="64"/>
      <c r="AF693" s="370">
        <f>SUM(AF691:AF692)</f>
        <v>0</v>
      </c>
      <c r="AG693" s="370">
        <f>SUM(AG691:AG692)</f>
        <v>0</v>
      </c>
      <c r="AJ693" s="367"/>
      <c r="AN693" s="510">
        <f>SUM(AN690:AN692)</f>
        <v>2122</v>
      </c>
    </row>
    <row r="694" spans="2:42">
      <c r="B694" s="180"/>
      <c r="E694" s="4"/>
      <c r="F694" s="4"/>
      <c r="G694" s="4"/>
      <c r="J694" s="4"/>
      <c r="K694" s="4"/>
      <c r="L694" s="4"/>
      <c r="O694" s="4"/>
      <c r="P694" s="4"/>
      <c r="T694" s="4"/>
      <c r="U694" s="4"/>
      <c r="Y694" s="4"/>
      <c r="Z694" s="4"/>
      <c r="AA694" s="4"/>
      <c r="AB694" s="4"/>
      <c r="AC694" s="4"/>
    </row>
    <row r="695" spans="2:42">
      <c r="B695" s="229"/>
      <c r="C695" s="230"/>
      <c r="D695" s="230"/>
      <c r="E695" s="232"/>
      <c r="F695" s="232"/>
      <c r="G695" s="230"/>
      <c r="H695" s="232"/>
      <c r="I695" s="232"/>
      <c r="J695" s="232"/>
      <c r="K695" s="232"/>
      <c r="L695" s="230"/>
      <c r="M695" s="230"/>
      <c r="N695" s="230"/>
      <c r="O695" s="230"/>
      <c r="P695" s="232"/>
      <c r="Q695" s="230"/>
      <c r="R695" s="230"/>
      <c r="S695" s="230"/>
      <c r="T695" s="230"/>
      <c r="U695" s="232"/>
      <c r="V695" s="230"/>
      <c r="W695" s="230"/>
      <c r="X695" s="230"/>
      <c r="Y695" s="233"/>
      <c r="Z695" s="232"/>
      <c r="AA695" s="234"/>
      <c r="AB695" s="232"/>
      <c r="AC695" s="373"/>
      <c r="AD695" s="236"/>
      <c r="AE695" s="255"/>
      <c r="AF695" s="255"/>
      <c r="AG695" s="255"/>
      <c r="AH695" s="255"/>
      <c r="AJ695" s="255"/>
      <c r="AK695" s="255"/>
      <c r="AL695" s="255"/>
      <c r="AM695" s="255"/>
      <c r="AN695" s="255"/>
      <c r="AO695" s="255"/>
      <c r="AP695" s="255"/>
    </row>
    <row r="696" spans="2:42">
      <c r="B696" s="229"/>
      <c r="C696" s="230"/>
      <c r="D696" s="230"/>
      <c r="E696" s="232"/>
      <c r="F696" s="232"/>
      <c r="G696" s="230"/>
      <c r="H696" s="232"/>
      <c r="I696" s="232"/>
      <c r="J696" s="232"/>
      <c r="K696" s="232"/>
      <c r="L696" s="230"/>
      <c r="M696" s="230"/>
      <c r="N696" s="230"/>
      <c r="O696" s="230"/>
      <c r="P696" s="232"/>
      <c r="Q696" s="230"/>
      <c r="R696" s="230"/>
      <c r="S696" s="230"/>
      <c r="T696" s="230"/>
      <c r="U696" s="232"/>
      <c r="V696" s="230"/>
      <c r="W696" s="230"/>
      <c r="X696" s="230"/>
      <c r="Y696" s="233"/>
      <c r="Z696" s="232"/>
      <c r="AA696" s="234"/>
      <c r="AB696" s="232"/>
      <c r="AC696" s="373"/>
      <c r="AD696" s="236"/>
      <c r="AE696" s="255"/>
      <c r="AF696" s="255"/>
      <c r="AG696" s="255"/>
      <c r="AH696" s="255"/>
      <c r="AJ696" s="255"/>
      <c r="AK696" s="255"/>
      <c r="AL696" s="255"/>
      <c r="AM696" s="255"/>
      <c r="AN696" s="255"/>
      <c r="AO696" s="255"/>
      <c r="AP696" s="255"/>
    </row>
    <row r="697" spans="2:42">
      <c r="B697" s="180"/>
      <c r="E697" s="4"/>
      <c r="F697" s="4"/>
      <c r="G697" s="4"/>
      <c r="J697" s="4"/>
      <c r="K697" s="4"/>
      <c r="L697" s="4"/>
      <c r="O697" s="4"/>
      <c r="P697" s="4"/>
      <c r="T697" s="4"/>
      <c r="U697" s="4"/>
      <c r="Y697" s="4"/>
      <c r="Z697" s="4"/>
      <c r="AA697" s="4"/>
      <c r="AB697" s="4"/>
      <c r="AC697" s="4"/>
    </row>
    <row r="698" spans="2:42" ht="13.5" customHeight="1">
      <c r="B698" s="1518" t="s">
        <v>18</v>
      </c>
      <c r="C698" s="1519">
        <v>46139</v>
      </c>
      <c r="D698" s="1519"/>
      <c r="E698" s="1519"/>
      <c r="F698" s="1519"/>
      <c r="G698" s="365"/>
      <c r="H698" s="1519">
        <v>46140</v>
      </c>
      <c r="I698" s="1519"/>
      <c r="J698" s="1519"/>
      <c r="K698" s="1519"/>
      <c r="L698" s="365"/>
      <c r="M698" s="1519">
        <v>46141</v>
      </c>
      <c r="N698" s="1519"/>
      <c r="O698" s="1519"/>
      <c r="P698" s="1519"/>
      <c r="Q698" s="365"/>
      <c r="R698" s="1519">
        <v>46142</v>
      </c>
      <c r="S698" s="1519"/>
      <c r="T698" s="1519"/>
      <c r="U698" s="1519"/>
      <c r="V698" s="365"/>
      <c r="W698" s="1519">
        <v>46143</v>
      </c>
      <c r="X698" s="1519"/>
      <c r="Y698" s="1519"/>
      <c r="Z698" s="1519"/>
      <c r="AA698" s="1517" t="s">
        <v>19</v>
      </c>
      <c r="AB698" s="1517" t="s">
        <v>20</v>
      </c>
      <c r="AC698" s="4"/>
      <c r="AD698" s="1519">
        <v>46144</v>
      </c>
      <c r="AE698" s="1519"/>
      <c r="AF698" s="1519"/>
      <c r="AG698" s="1517" t="s">
        <v>21</v>
      </c>
      <c r="AI698" s="368"/>
      <c r="AK698" s="194" t="s">
        <v>84</v>
      </c>
      <c r="AL698" s="366"/>
      <c r="AM698" s="366"/>
      <c r="AN698" s="366"/>
      <c r="AO698" s="366"/>
      <c r="AP698" s="366"/>
    </row>
    <row r="699" spans="2:42">
      <c r="B699" s="1518"/>
      <c r="C699" s="21" t="s">
        <v>23</v>
      </c>
      <c r="D699" s="21" t="s">
        <v>24</v>
      </c>
      <c r="E699" s="205" t="s">
        <v>25</v>
      </c>
      <c r="F699" s="18" t="s">
        <v>14</v>
      </c>
      <c r="G699" s="4"/>
      <c r="H699" s="21" t="s">
        <v>23</v>
      </c>
      <c r="I699" s="21" t="s">
        <v>24</v>
      </c>
      <c r="J699" s="18" t="s">
        <v>25</v>
      </c>
      <c r="K699" s="18" t="s">
        <v>14</v>
      </c>
      <c r="L699" s="4"/>
      <c r="M699" s="21" t="s">
        <v>23</v>
      </c>
      <c r="N699" s="21" t="s">
        <v>24</v>
      </c>
      <c r="O699" s="18" t="s">
        <v>25</v>
      </c>
      <c r="P699" s="18" t="s">
        <v>14</v>
      </c>
      <c r="R699" s="21" t="s">
        <v>23</v>
      </c>
      <c r="S699" s="21" t="s">
        <v>24</v>
      </c>
      <c r="T699" s="18" t="s">
        <v>25</v>
      </c>
      <c r="U699" s="18" t="s">
        <v>14</v>
      </c>
      <c r="W699" s="21" t="s">
        <v>23</v>
      </c>
      <c r="X699" s="21" t="s">
        <v>24</v>
      </c>
      <c r="Y699" s="18" t="s">
        <v>25</v>
      </c>
      <c r="Z699" s="18" t="s">
        <v>14</v>
      </c>
      <c r="AA699" s="1517"/>
      <c r="AB699" s="1517"/>
      <c r="AC699" s="4"/>
      <c r="AD699" s="21" t="s">
        <v>23</v>
      </c>
      <c r="AE699" s="21" t="s">
        <v>24</v>
      </c>
      <c r="AF699" s="18" t="s">
        <v>25</v>
      </c>
      <c r="AG699" s="1517"/>
      <c r="AI699" s="368"/>
      <c r="AJ699" s="367"/>
      <c r="AK699" s="188" t="s">
        <v>26</v>
      </c>
      <c r="AL699" s="196">
        <f>AA702</f>
        <v>40</v>
      </c>
      <c r="AM699" s="511">
        <v>53.05</v>
      </c>
      <c r="AN699" s="510">
        <f>AL699*AM699</f>
        <v>2122</v>
      </c>
    </row>
    <row r="700" spans="2:42">
      <c r="B700" s="4" t="s">
        <v>60</v>
      </c>
      <c r="C700" s="1340" t="s">
        <v>75</v>
      </c>
      <c r="D700" s="1340" t="s">
        <v>246</v>
      </c>
      <c r="E700" s="319">
        <v>8</v>
      </c>
      <c r="F700" s="320"/>
      <c r="G700" s="4"/>
      <c r="H700" s="1340" t="s">
        <v>75</v>
      </c>
      <c r="I700" s="1340" t="s">
        <v>246</v>
      </c>
      <c r="J700" s="319">
        <v>8</v>
      </c>
      <c r="K700" s="320"/>
      <c r="L700" s="4"/>
      <c r="M700" s="1340" t="s">
        <v>75</v>
      </c>
      <c r="N700" s="1340" t="s">
        <v>246</v>
      </c>
      <c r="O700" s="319">
        <v>8</v>
      </c>
      <c r="P700" s="320"/>
      <c r="R700" s="1340" t="s">
        <v>75</v>
      </c>
      <c r="S700" s="1340" t="s">
        <v>246</v>
      </c>
      <c r="T700" s="319">
        <v>8</v>
      </c>
      <c r="U700" s="320"/>
      <c r="W700" s="1340" t="s">
        <v>75</v>
      </c>
      <c r="X700" s="1340" t="s">
        <v>246</v>
      </c>
      <c r="Y700" s="319">
        <v>8</v>
      </c>
      <c r="Z700" s="320"/>
      <c r="AA700" s="328">
        <f>Y700+T700+O700+J700+E700</f>
        <v>40</v>
      </c>
      <c r="AB700" s="298">
        <f>Z700+U700+P700+K700+F700</f>
        <v>0</v>
      </c>
      <c r="AC700" s="4"/>
      <c r="AD700" s="587"/>
      <c r="AE700" s="531"/>
      <c r="AF700" s="319"/>
      <c r="AG700" s="328">
        <f>AF700</f>
        <v>0</v>
      </c>
      <c r="AI700" s="368"/>
      <c r="AJ700" s="367"/>
      <c r="AK700" s="188" t="s">
        <v>30</v>
      </c>
      <c r="AL700" s="196">
        <f>AB702</f>
        <v>0</v>
      </c>
      <c r="AM700" s="511">
        <f>AM699*1.5</f>
        <v>79.574999999999989</v>
      </c>
      <c r="AN700" s="510">
        <f>AL700*AM700</f>
        <v>0</v>
      </c>
    </row>
    <row r="701" spans="2:42">
      <c r="B701" s="4"/>
      <c r="C701" s="441"/>
      <c r="D701" s="441"/>
      <c r="E701" s="319"/>
      <c r="F701" s="320"/>
      <c r="G701" s="4"/>
      <c r="H701" s="441"/>
      <c r="I701" s="441"/>
      <c r="J701" s="319"/>
      <c r="K701" s="320"/>
      <c r="L701" s="4"/>
      <c r="M701" s="441"/>
      <c r="N701" s="441"/>
      <c r="O701" s="319"/>
      <c r="P701" s="320"/>
      <c r="R701" s="441"/>
      <c r="S701" s="441"/>
      <c r="T701" s="319"/>
      <c r="U701" s="320"/>
      <c r="W701" s="441"/>
      <c r="X701" s="441"/>
      <c r="Y701" s="319"/>
      <c r="Z701" s="320"/>
      <c r="AA701" s="328">
        <f>Y701+T701+O701+J701+E701</f>
        <v>0</v>
      </c>
      <c r="AB701" s="298">
        <f>Z701+U701+P701+K701+F701</f>
        <v>0</v>
      </c>
      <c r="AC701" s="4"/>
      <c r="AF701" s="319"/>
      <c r="AG701" s="328">
        <f>AF701</f>
        <v>0</v>
      </c>
      <c r="AH701" s="175"/>
      <c r="AI701" s="402"/>
      <c r="AJ701" s="367"/>
      <c r="AK701" s="188" t="s">
        <v>32</v>
      </c>
      <c r="AL701" s="196">
        <f>AG702</f>
        <v>0</v>
      </c>
      <c r="AM701" s="511">
        <v>75.77</v>
      </c>
      <c r="AN701" s="510">
        <f>AL701*AM701</f>
        <v>0</v>
      </c>
    </row>
    <row r="702" spans="2:42">
      <c r="B702" s="64" t="s">
        <v>61</v>
      </c>
      <c r="C702" s="31"/>
      <c r="D702" s="31"/>
      <c r="E702" s="439">
        <f>SUM(E700:E701)</f>
        <v>8</v>
      </c>
      <c r="F702" s="320">
        <f>SUM(F700:F701)</f>
        <v>0</v>
      </c>
      <c r="G702" s="31"/>
      <c r="H702" s="31"/>
      <c r="I702" s="31"/>
      <c r="J702" s="439">
        <f>SUM(J700:J701)</f>
        <v>8</v>
      </c>
      <c r="K702" s="320">
        <f>SUM(K700:K701)</f>
        <v>0</v>
      </c>
      <c r="L702" s="31"/>
      <c r="M702" s="31"/>
      <c r="N702" s="31"/>
      <c r="O702" s="439">
        <f>SUM(O700:O701)</f>
        <v>8</v>
      </c>
      <c r="P702" s="320">
        <f>SUM(P700:P701)</f>
        <v>0</v>
      </c>
      <c r="Q702" s="31"/>
      <c r="R702" s="31"/>
      <c r="S702" s="31"/>
      <c r="T702" s="439">
        <f>SUM(T700:T701)</f>
        <v>8</v>
      </c>
      <c r="U702" s="320">
        <f>SUM(U700:U701)</f>
        <v>0</v>
      </c>
      <c r="V702" s="31"/>
      <c r="W702" s="31"/>
      <c r="X702" s="31"/>
      <c r="Y702" s="439">
        <f>SUM(Y700:Y701)</f>
        <v>8</v>
      </c>
      <c r="Z702" s="320">
        <f>SUM(Z700:Z701)</f>
        <v>0</v>
      </c>
      <c r="AA702" s="370">
        <f>SUM(AA700:AA701)</f>
        <v>40</v>
      </c>
      <c r="AB702" s="370">
        <f>SUM(AB700:AB701)</f>
        <v>0</v>
      </c>
      <c r="AC702" s="4"/>
      <c r="AD702" s="64"/>
      <c r="AE702" s="64"/>
      <c r="AF702" s="370">
        <f>SUM(AF700:AF701)</f>
        <v>0</v>
      </c>
      <c r="AG702" s="370">
        <f>SUM(AG700:AG701)</f>
        <v>0</v>
      </c>
      <c r="AJ702" s="367"/>
      <c r="AN702" s="510">
        <f>SUM(AN699:AN701)</f>
        <v>2122</v>
      </c>
    </row>
    <row r="703" spans="2:42">
      <c r="B703" s="180"/>
      <c r="E703" s="4"/>
      <c r="F703" s="4"/>
      <c r="G703" s="4"/>
      <c r="J703" s="4"/>
      <c r="K703" s="4"/>
      <c r="L703" s="4"/>
      <c r="O703" s="4"/>
      <c r="P703" s="4"/>
      <c r="T703" s="4"/>
      <c r="U703" s="4"/>
      <c r="Y703" s="4"/>
      <c r="Z703" s="4"/>
      <c r="AA703" s="4"/>
      <c r="AB703" s="4"/>
      <c r="AC703" s="4"/>
    </row>
    <row r="704" spans="2:42">
      <c r="B704" s="229"/>
      <c r="C704" s="230"/>
      <c r="D704" s="230"/>
      <c r="E704" s="232"/>
      <c r="F704" s="232"/>
      <c r="G704" s="230"/>
      <c r="H704" s="232"/>
      <c r="I704" s="232"/>
      <c r="J704" s="232"/>
      <c r="K704" s="232"/>
      <c r="L704" s="230"/>
      <c r="M704" s="230"/>
      <c r="N704" s="230"/>
      <c r="O704" s="230"/>
      <c r="P704" s="232"/>
      <c r="Q704" s="230"/>
      <c r="R704" s="230"/>
      <c r="S704" s="230"/>
      <c r="T704" s="230"/>
      <c r="U704" s="232"/>
      <c r="V704" s="230"/>
      <c r="W704" s="230"/>
      <c r="X704" s="230"/>
      <c r="Y704" s="233"/>
      <c r="Z704" s="232"/>
      <c r="AA704" s="234"/>
      <c r="AB704" s="232"/>
      <c r="AC704" s="373"/>
      <c r="AD704" s="236"/>
      <c r="AE704" s="255"/>
      <c r="AF704" s="255"/>
      <c r="AG704" s="255"/>
      <c r="AH704" s="255"/>
      <c r="AJ704" s="255"/>
      <c r="AK704" s="255"/>
      <c r="AL704" s="255"/>
      <c r="AM704" s="255"/>
      <c r="AN704" s="255"/>
      <c r="AO704" s="255"/>
      <c r="AP704" s="255"/>
    </row>
    <row r="705" spans="2:42">
      <c r="B705" s="180"/>
      <c r="E705" s="4"/>
      <c r="F705" s="4"/>
      <c r="G705" s="4"/>
      <c r="J705" s="4"/>
      <c r="K705" s="4"/>
      <c r="L705" s="4"/>
      <c r="O705" s="4"/>
      <c r="P705" s="4"/>
      <c r="T705" s="4"/>
      <c r="U705" s="4"/>
      <c r="Y705" s="4"/>
      <c r="Z705" s="4"/>
      <c r="AA705" s="4"/>
      <c r="AB705" s="4"/>
      <c r="AC705" s="4"/>
    </row>
    <row r="706" spans="2:42" ht="13.5" customHeight="1">
      <c r="B706" s="1518" t="s">
        <v>18</v>
      </c>
      <c r="C706" s="1519">
        <v>46146</v>
      </c>
      <c r="D706" s="1519"/>
      <c r="E706" s="1519"/>
      <c r="F706" s="1519"/>
      <c r="G706" s="365"/>
      <c r="H706" s="1519">
        <v>46147</v>
      </c>
      <c r="I706" s="1519"/>
      <c r="J706" s="1519"/>
      <c r="K706" s="1519"/>
      <c r="L706" s="365"/>
      <c r="M706" s="1519">
        <v>46148</v>
      </c>
      <c r="N706" s="1519"/>
      <c r="O706" s="1519"/>
      <c r="P706" s="1519"/>
      <c r="Q706" s="365"/>
      <c r="R706" s="1519">
        <v>46149</v>
      </c>
      <c r="S706" s="1519"/>
      <c r="T706" s="1519"/>
      <c r="U706" s="1519"/>
      <c r="V706" s="365"/>
      <c r="W706" s="1519">
        <v>46150</v>
      </c>
      <c r="X706" s="1519"/>
      <c r="Y706" s="1519"/>
      <c r="Z706" s="1519"/>
      <c r="AA706" s="1517" t="s">
        <v>19</v>
      </c>
      <c r="AB706" s="1517" t="s">
        <v>20</v>
      </c>
      <c r="AC706" s="4"/>
      <c r="AD706" s="1519">
        <v>46151</v>
      </c>
      <c r="AE706" s="1519"/>
      <c r="AF706" s="1519"/>
      <c r="AG706" s="1517" t="s">
        <v>21</v>
      </c>
      <c r="AI706" s="368"/>
      <c r="AK706" s="194" t="s">
        <v>84</v>
      </c>
      <c r="AL706" s="366"/>
      <c r="AM706" s="366"/>
      <c r="AN706" s="366"/>
      <c r="AO706" s="366"/>
      <c r="AP706" s="366"/>
    </row>
    <row r="707" spans="2:42">
      <c r="B707" s="1518"/>
      <c r="C707" s="21" t="s">
        <v>23</v>
      </c>
      <c r="D707" s="21" t="s">
        <v>24</v>
      </c>
      <c r="E707" s="205" t="s">
        <v>25</v>
      </c>
      <c r="F707" s="18" t="s">
        <v>14</v>
      </c>
      <c r="G707" s="4"/>
      <c r="H707" s="21" t="s">
        <v>23</v>
      </c>
      <c r="I707" s="21" t="s">
        <v>24</v>
      </c>
      <c r="J707" s="18" t="s">
        <v>25</v>
      </c>
      <c r="K707" s="18" t="s">
        <v>14</v>
      </c>
      <c r="L707" s="4"/>
      <c r="M707" s="21" t="s">
        <v>23</v>
      </c>
      <c r="N707" s="21" t="s">
        <v>24</v>
      </c>
      <c r="O707" s="18" t="s">
        <v>25</v>
      </c>
      <c r="P707" s="18" t="s">
        <v>14</v>
      </c>
      <c r="R707" s="21" t="s">
        <v>23</v>
      </c>
      <c r="S707" s="21" t="s">
        <v>24</v>
      </c>
      <c r="T707" s="18" t="s">
        <v>25</v>
      </c>
      <c r="U707" s="18" t="s">
        <v>14</v>
      </c>
      <c r="W707" s="21" t="s">
        <v>23</v>
      </c>
      <c r="X707" s="21" t="s">
        <v>24</v>
      </c>
      <c r="Y707" s="18" t="s">
        <v>25</v>
      </c>
      <c r="Z707" s="18" t="s">
        <v>14</v>
      </c>
      <c r="AA707" s="1517"/>
      <c r="AB707" s="1517"/>
      <c r="AC707" s="4"/>
      <c r="AD707" s="21" t="s">
        <v>23</v>
      </c>
      <c r="AE707" s="21" t="s">
        <v>24</v>
      </c>
      <c r="AF707" s="18" t="s">
        <v>25</v>
      </c>
      <c r="AG707" s="1517"/>
      <c r="AI707" s="368"/>
      <c r="AJ707" s="367"/>
      <c r="AK707" s="188" t="s">
        <v>26</v>
      </c>
      <c r="AL707" s="196">
        <f>AA710</f>
        <v>0</v>
      </c>
      <c r="AM707" s="511">
        <v>53.05</v>
      </c>
      <c r="AN707" s="510">
        <f>AL707*AM707</f>
        <v>0</v>
      </c>
    </row>
    <row r="708" spans="2:42">
      <c r="B708" s="4" t="s">
        <v>60</v>
      </c>
      <c r="C708" s="441" t="s">
        <v>137</v>
      </c>
      <c r="D708" s="441"/>
      <c r="E708" s="319"/>
      <c r="F708" s="320"/>
      <c r="G708" s="4"/>
      <c r="H708" s="441" t="s">
        <v>137</v>
      </c>
      <c r="I708" s="441"/>
      <c r="J708" s="319"/>
      <c r="K708" s="320"/>
      <c r="L708" s="4"/>
      <c r="M708" s="441" t="s">
        <v>137</v>
      </c>
      <c r="N708" s="441"/>
      <c r="O708" s="319"/>
      <c r="P708" s="320"/>
      <c r="R708" s="441"/>
      <c r="S708" s="441"/>
      <c r="T708" s="319"/>
      <c r="U708" s="320"/>
      <c r="W708" s="441"/>
      <c r="X708" s="441"/>
      <c r="Y708" s="319"/>
      <c r="Z708" s="320"/>
      <c r="AA708" s="328">
        <f>Y708+T708+O708+J708+E708</f>
        <v>0</v>
      </c>
      <c r="AB708" s="298">
        <f>Z708+U708+P708+K708+F708</f>
        <v>0</v>
      </c>
      <c r="AC708" s="4"/>
      <c r="AD708" s="587"/>
      <c r="AE708" s="531"/>
      <c r="AF708" s="319"/>
      <c r="AG708" s="328">
        <f>AF708</f>
        <v>0</v>
      </c>
      <c r="AI708" s="368"/>
      <c r="AJ708" s="367"/>
      <c r="AK708" s="188" t="s">
        <v>30</v>
      </c>
      <c r="AL708" s="196">
        <f>AB710</f>
        <v>0</v>
      </c>
      <c r="AM708" s="511">
        <f>AM707*1.5</f>
        <v>79.574999999999989</v>
      </c>
      <c r="AN708" s="510">
        <f>AL708*AM708</f>
        <v>0</v>
      </c>
    </row>
    <row r="709" spans="2:42">
      <c r="B709" s="4"/>
      <c r="C709" s="441"/>
      <c r="D709" s="441"/>
      <c r="E709" s="319"/>
      <c r="F709" s="320"/>
      <c r="G709" s="4"/>
      <c r="H709" s="441"/>
      <c r="I709" s="441"/>
      <c r="J709" s="319"/>
      <c r="K709" s="320"/>
      <c r="L709" s="4"/>
      <c r="M709" s="441"/>
      <c r="N709" s="441"/>
      <c r="O709" s="319"/>
      <c r="P709" s="320"/>
      <c r="R709" s="441"/>
      <c r="S709" s="441"/>
      <c r="T709" s="319"/>
      <c r="U709" s="320"/>
      <c r="W709" s="441"/>
      <c r="X709" s="441"/>
      <c r="Y709" s="319"/>
      <c r="Z709" s="320"/>
      <c r="AA709" s="328">
        <f>Y709+T709+O709+J709+E709</f>
        <v>0</v>
      </c>
      <c r="AB709" s="298">
        <f>Z709+U709+P709+K709+F709</f>
        <v>0</v>
      </c>
      <c r="AC709" s="4"/>
      <c r="AF709" s="319"/>
      <c r="AG709" s="328">
        <f>AF709</f>
        <v>0</v>
      </c>
      <c r="AH709" s="175"/>
      <c r="AI709" s="402"/>
      <c r="AJ709" s="367"/>
      <c r="AK709" s="188" t="s">
        <v>32</v>
      </c>
      <c r="AL709" s="196">
        <f>AG710</f>
        <v>0</v>
      </c>
      <c r="AM709" s="511">
        <v>75.77</v>
      </c>
      <c r="AN709" s="510">
        <f>AL709*AM709</f>
        <v>0</v>
      </c>
    </row>
    <row r="710" spans="2:42">
      <c r="B710" s="64" t="s">
        <v>61</v>
      </c>
      <c r="C710" s="31"/>
      <c r="D710" s="31"/>
      <c r="E710" s="439">
        <f>SUM(E708:E709)</f>
        <v>0</v>
      </c>
      <c r="F710" s="320">
        <f>SUM(F708:F709)</f>
        <v>0</v>
      </c>
      <c r="G710" s="31"/>
      <c r="H710" s="31"/>
      <c r="I710" s="31"/>
      <c r="J710" s="439">
        <f>SUM(J708:J709)</f>
        <v>0</v>
      </c>
      <c r="K710" s="320">
        <f>SUM(K708:K709)</f>
        <v>0</v>
      </c>
      <c r="L710" s="31"/>
      <c r="M710" s="31"/>
      <c r="N710" s="31"/>
      <c r="O710" s="439">
        <f>SUM(O708:O709)</f>
        <v>0</v>
      </c>
      <c r="P710" s="320">
        <f>SUM(P708:P709)</f>
        <v>0</v>
      </c>
      <c r="Q710" s="31"/>
      <c r="R710" s="31"/>
      <c r="S710" s="31"/>
      <c r="T710" s="439">
        <f>SUM(T708:T709)</f>
        <v>0</v>
      </c>
      <c r="U710" s="320">
        <f>SUM(U708:U709)</f>
        <v>0</v>
      </c>
      <c r="V710" s="31"/>
      <c r="W710" s="31"/>
      <c r="X710" s="31"/>
      <c r="Y710" s="439">
        <f>SUM(Y708:Y709)</f>
        <v>0</v>
      </c>
      <c r="Z710" s="320">
        <f>SUM(Z708:Z709)</f>
        <v>0</v>
      </c>
      <c r="AA710" s="370">
        <f>SUM(AA708:AA709)</f>
        <v>0</v>
      </c>
      <c r="AB710" s="370">
        <f>SUM(AB708:AB709)</f>
        <v>0</v>
      </c>
      <c r="AC710" s="4"/>
      <c r="AD710" s="64"/>
      <c r="AE710" s="64"/>
      <c r="AF710" s="370">
        <f>SUM(AF708:AF709)</f>
        <v>0</v>
      </c>
      <c r="AG710" s="370">
        <f>SUM(AG708:AG709)</f>
        <v>0</v>
      </c>
      <c r="AJ710" s="367"/>
      <c r="AN710" s="510">
        <f>SUM(AN707:AN709)</f>
        <v>0</v>
      </c>
    </row>
    <row r="711" spans="2:42">
      <c r="B711" s="180"/>
      <c r="E711" s="4"/>
      <c r="F711" s="4"/>
      <c r="G711" s="4"/>
      <c r="J711" s="4"/>
      <c r="K711" s="4"/>
      <c r="L711" s="4"/>
      <c r="O711" s="4"/>
      <c r="P711" s="4"/>
      <c r="T711" s="4"/>
      <c r="U711" s="4"/>
      <c r="Y711" s="4"/>
      <c r="Z711" s="4"/>
      <c r="AA711" s="4"/>
      <c r="AB711" s="4"/>
      <c r="AC711" s="4"/>
    </row>
    <row r="712" spans="2:42">
      <c r="B712" s="229"/>
      <c r="C712" s="230"/>
      <c r="D712" s="230"/>
      <c r="E712" s="232"/>
      <c r="F712" s="232"/>
      <c r="G712" s="230"/>
      <c r="H712" s="232"/>
      <c r="I712" s="232"/>
      <c r="J712" s="232"/>
      <c r="K712" s="232"/>
      <c r="L712" s="230"/>
      <c r="M712" s="230"/>
      <c r="N712" s="230"/>
      <c r="O712" s="230"/>
      <c r="P712" s="232"/>
      <c r="Q712" s="230"/>
      <c r="R712" s="230"/>
      <c r="S712" s="230"/>
      <c r="T712" s="230"/>
      <c r="U712" s="232"/>
      <c r="V712" s="230"/>
      <c r="W712" s="230"/>
      <c r="X712" s="230"/>
      <c r="Y712" s="233"/>
      <c r="Z712" s="232"/>
      <c r="AA712" s="234"/>
      <c r="AB712" s="232"/>
      <c r="AC712" s="373"/>
      <c r="AD712" s="236"/>
      <c r="AE712" s="255"/>
      <c r="AF712" s="255"/>
      <c r="AG712" s="255"/>
      <c r="AH712" s="255"/>
      <c r="AJ712" s="255"/>
      <c r="AK712" s="255"/>
      <c r="AL712" s="255"/>
      <c r="AM712" s="255"/>
      <c r="AN712" s="255"/>
      <c r="AO712" s="255"/>
      <c r="AP712" s="255"/>
    </row>
    <row r="713" spans="2:42">
      <c r="B713" s="180"/>
      <c r="E713" s="4"/>
      <c r="F713" s="4"/>
      <c r="G713" s="4"/>
      <c r="J713" s="4"/>
      <c r="K713" s="4"/>
      <c r="L713" s="4"/>
      <c r="O713" s="4"/>
      <c r="P713" s="4"/>
      <c r="T713" s="4"/>
      <c r="U713" s="4"/>
      <c r="Y713" s="4"/>
      <c r="Z713" s="4"/>
      <c r="AA713" s="4"/>
      <c r="AB713" s="4"/>
      <c r="AC713" s="4"/>
    </row>
    <row r="714" spans="2:42" ht="13.5" customHeight="1">
      <c r="B714" s="1518" t="s">
        <v>18</v>
      </c>
      <c r="C714" s="1519">
        <v>46153</v>
      </c>
      <c r="D714" s="1519"/>
      <c r="E714" s="1519"/>
      <c r="F714" s="1519"/>
      <c r="G714" s="365"/>
      <c r="H714" s="1519">
        <v>46154</v>
      </c>
      <c r="I714" s="1519"/>
      <c r="J714" s="1519"/>
      <c r="K714" s="1519"/>
      <c r="L714" s="365"/>
      <c r="M714" s="1519">
        <v>46155</v>
      </c>
      <c r="N714" s="1519"/>
      <c r="O714" s="1519"/>
      <c r="P714" s="1519"/>
      <c r="Q714" s="365"/>
      <c r="R714" s="1519">
        <v>46156</v>
      </c>
      <c r="S714" s="1519"/>
      <c r="T714" s="1519"/>
      <c r="U714" s="1519"/>
      <c r="V714" s="365"/>
      <c r="W714" s="1519">
        <v>46157</v>
      </c>
      <c r="X714" s="1519"/>
      <c r="Y714" s="1519"/>
      <c r="Z714" s="1519"/>
      <c r="AA714" s="1517" t="s">
        <v>19</v>
      </c>
      <c r="AB714" s="1517" t="s">
        <v>20</v>
      </c>
      <c r="AC714" s="4"/>
      <c r="AD714" s="1519">
        <v>46158</v>
      </c>
      <c r="AE714" s="1519"/>
      <c r="AF714" s="1519"/>
      <c r="AG714" s="1517" t="s">
        <v>21</v>
      </c>
      <c r="AI714" s="368"/>
      <c r="AK714" s="194" t="s">
        <v>84</v>
      </c>
      <c r="AL714" s="366"/>
      <c r="AM714" s="366"/>
      <c r="AN714" s="366"/>
      <c r="AO714" s="366"/>
      <c r="AP714" s="366"/>
    </row>
    <row r="715" spans="2:42">
      <c r="B715" s="1518"/>
      <c r="C715" s="21" t="s">
        <v>23</v>
      </c>
      <c r="D715" s="21" t="s">
        <v>24</v>
      </c>
      <c r="E715" s="205" t="s">
        <v>25</v>
      </c>
      <c r="F715" s="18" t="s">
        <v>14</v>
      </c>
      <c r="G715" s="4"/>
      <c r="H715" s="21" t="s">
        <v>23</v>
      </c>
      <c r="I715" s="21" t="s">
        <v>24</v>
      </c>
      <c r="J715" s="18" t="s">
        <v>25</v>
      </c>
      <c r="K715" s="18" t="s">
        <v>14</v>
      </c>
      <c r="L715" s="4"/>
      <c r="M715" s="21" t="s">
        <v>23</v>
      </c>
      <c r="N715" s="21" t="s">
        <v>24</v>
      </c>
      <c r="O715" s="18" t="s">
        <v>25</v>
      </c>
      <c r="P715" s="18" t="s">
        <v>14</v>
      </c>
      <c r="R715" s="21" t="s">
        <v>23</v>
      </c>
      <c r="S715" s="21" t="s">
        <v>24</v>
      </c>
      <c r="T715" s="18" t="s">
        <v>25</v>
      </c>
      <c r="U715" s="18" t="s">
        <v>14</v>
      </c>
      <c r="W715" s="21" t="s">
        <v>23</v>
      </c>
      <c r="X715" s="21" t="s">
        <v>24</v>
      </c>
      <c r="Y715" s="18" t="s">
        <v>25</v>
      </c>
      <c r="Z715" s="18" t="s">
        <v>14</v>
      </c>
      <c r="AA715" s="1517"/>
      <c r="AB715" s="1517"/>
      <c r="AC715" s="4"/>
      <c r="AD715" s="21" t="s">
        <v>23</v>
      </c>
      <c r="AE715" s="21" t="s">
        <v>24</v>
      </c>
      <c r="AF715" s="18" t="s">
        <v>25</v>
      </c>
      <c r="AG715" s="1517"/>
      <c r="AI715" s="368"/>
      <c r="AJ715" s="367"/>
      <c r="AK715" s="188" t="s">
        <v>26</v>
      </c>
      <c r="AL715" s="196">
        <f>AA718</f>
        <v>0</v>
      </c>
      <c r="AM715" s="511">
        <v>53.05</v>
      </c>
      <c r="AN715" s="510">
        <f>AL715*AM715</f>
        <v>0</v>
      </c>
    </row>
    <row r="716" spans="2:42">
      <c r="B716" s="4" t="s">
        <v>60</v>
      </c>
      <c r="C716" s="441"/>
      <c r="D716" s="441"/>
      <c r="E716" s="319"/>
      <c r="F716" s="320"/>
      <c r="G716" s="4"/>
      <c r="H716" s="441"/>
      <c r="I716" s="441"/>
      <c r="J716" s="319"/>
      <c r="K716" s="320"/>
      <c r="L716" s="4"/>
      <c r="M716" s="441"/>
      <c r="N716" s="441"/>
      <c r="O716" s="319"/>
      <c r="P716" s="320"/>
      <c r="R716" s="441"/>
      <c r="S716" s="441"/>
      <c r="T716" s="319"/>
      <c r="U716" s="320"/>
      <c r="W716" s="441"/>
      <c r="X716" s="441"/>
      <c r="Y716" s="319"/>
      <c r="Z716" s="320"/>
      <c r="AA716" s="328">
        <f>Y716+T716+O716+J716+E716</f>
        <v>0</v>
      </c>
      <c r="AB716" s="298">
        <f>Z716+U716+P716+K716+F716</f>
        <v>0</v>
      </c>
      <c r="AC716" s="4"/>
      <c r="AD716" s="587"/>
      <c r="AE716" s="531"/>
      <c r="AF716" s="319"/>
      <c r="AG716" s="328">
        <f>AF716</f>
        <v>0</v>
      </c>
      <c r="AI716" s="368"/>
      <c r="AJ716" s="367"/>
      <c r="AK716" s="188" t="s">
        <v>30</v>
      </c>
      <c r="AL716" s="196">
        <f>AB718</f>
        <v>0</v>
      </c>
      <c r="AM716" s="511">
        <f>AM715*1.5</f>
        <v>79.574999999999989</v>
      </c>
      <c r="AN716" s="510">
        <f>AL716*AM716</f>
        <v>0</v>
      </c>
    </row>
    <row r="717" spans="2:42">
      <c r="B717" s="4"/>
      <c r="C717" s="441"/>
      <c r="D717" s="441"/>
      <c r="E717" s="319"/>
      <c r="F717" s="320"/>
      <c r="G717" s="4"/>
      <c r="H717" s="441"/>
      <c r="I717" s="441"/>
      <c r="J717" s="319"/>
      <c r="K717" s="320"/>
      <c r="L717" s="4"/>
      <c r="M717" s="441"/>
      <c r="N717" s="441"/>
      <c r="O717" s="319"/>
      <c r="P717" s="320"/>
      <c r="R717" s="441"/>
      <c r="S717" s="441"/>
      <c r="T717" s="319"/>
      <c r="U717" s="320"/>
      <c r="W717" s="441"/>
      <c r="X717" s="441"/>
      <c r="Y717" s="319"/>
      <c r="Z717" s="320"/>
      <c r="AA717" s="328">
        <f>Y717+T717+O717+J717+E717</f>
        <v>0</v>
      </c>
      <c r="AB717" s="298">
        <f>Z717+U717+P717+K717+F717</f>
        <v>0</v>
      </c>
      <c r="AC717" s="4"/>
      <c r="AF717" s="319"/>
      <c r="AG717" s="328">
        <f>AF717</f>
        <v>0</v>
      </c>
      <c r="AH717" s="175"/>
      <c r="AI717" s="402"/>
      <c r="AJ717" s="367"/>
      <c r="AK717" s="188" t="s">
        <v>32</v>
      </c>
      <c r="AL717" s="196">
        <f>AG718</f>
        <v>0</v>
      </c>
      <c r="AM717" s="511">
        <v>75.77</v>
      </c>
      <c r="AN717" s="510">
        <f>AL717*AM717</f>
        <v>0</v>
      </c>
    </row>
    <row r="718" spans="2:42">
      <c r="B718" s="64" t="s">
        <v>61</v>
      </c>
      <c r="C718" s="31"/>
      <c r="D718" s="31"/>
      <c r="E718" s="439">
        <f>SUM(E716:E717)</f>
        <v>0</v>
      </c>
      <c r="F718" s="320">
        <f>SUM(F716:F717)</f>
        <v>0</v>
      </c>
      <c r="G718" s="31"/>
      <c r="H718" s="31"/>
      <c r="I718" s="31"/>
      <c r="J718" s="439">
        <f>SUM(J716:J717)</f>
        <v>0</v>
      </c>
      <c r="K718" s="320">
        <f>SUM(K716:K717)</f>
        <v>0</v>
      </c>
      <c r="L718" s="31"/>
      <c r="M718" s="31"/>
      <c r="N718" s="31"/>
      <c r="O718" s="439">
        <f>SUM(O716:O717)</f>
        <v>0</v>
      </c>
      <c r="P718" s="320">
        <f>SUM(P716:P717)</f>
        <v>0</v>
      </c>
      <c r="Q718" s="31"/>
      <c r="R718" s="31"/>
      <c r="S718" s="31"/>
      <c r="T718" s="439">
        <f>SUM(T716:T717)</f>
        <v>0</v>
      </c>
      <c r="U718" s="320">
        <f>SUM(U716:U717)</f>
        <v>0</v>
      </c>
      <c r="V718" s="31"/>
      <c r="W718" s="31"/>
      <c r="X718" s="31"/>
      <c r="Y718" s="439">
        <f>SUM(Y716:Y717)</f>
        <v>0</v>
      </c>
      <c r="Z718" s="320">
        <f>SUM(Z716:Z717)</f>
        <v>0</v>
      </c>
      <c r="AA718" s="370">
        <f>SUM(AA716:AA717)</f>
        <v>0</v>
      </c>
      <c r="AB718" s="370">
        <f>SUM(AB716:AB717)</f>
        <v>0</v>
      </c>
      <c r="AC718" s="4"/>
      <c r="AD718" s="64"/>
      <c r="AE718" s="64"/>
      <c r="AF718" s="370">
        <f>SUM(AF716:AF717)</f>
        <v>0</v>
      </c>
      <c r="AG718" s="370">
        <f>SUM(AG716:AG717)</f>
        <v>0</v>
      </c>
      <c r="AJ718" s="367"/>
      <c r="AN718" s="510">
        <f>SUM(AN715:AN717)</f>
        <v>0</v>
      </c>
    </row>
    <row r="719" spans="2:42">
      <c r="B719" s="180"/>
      <c r="E719" s="4"/>
      <c r="F719" s="4"/>
      <c r="G719" s="4"/>
      <c r="J719" s="4"/>
      <c r="K719" s="4"/>
      <c r="L719" s="4"/>
      <c r="O719" s="4"/>
      <c r="P719" s="4"/>
      <c r="T719" s="4"/>
      <c r="U719" s="4"/>
      <c r="Y719" s="4"/>
      <c r="Z719" s="4"/>
      <c r="AA719" s="4"/>
      <c r="AB719" s="4"/>
      <c r="AC719" s="4"/>
    </row>
    <row r="720" spans="2:42">
      <c r="B720" s="229"/>
      <c r="C720" s="230"/>
      <c r="D720" s="230"/>
      <c r="E720" s="232"/>
      <c r="F720" s="232"/>
      <c r="G720" s="230"/>
      <c r="H720" s="232"/>
      <c r="I720" s="232"/>
      <c r="J720" s="232"/>
      <c r="K720" s="232"/>
      <c r="L720" s="230"/>
      <c r="M720" s="230"/>
      <c r="N720" s="230"/>
      <c r="O720" s="230"/>
      <c r="P720" s="232"/>
      <c r="Q720" s="230"/>
      <c r="R720" s="230"/>
      <c r="S720" s="230"/>
      <c r="T720" s="230"/>
      <c r="U720" s="232"/>
      <c r="V720" s="230"/>
      <c r="W720" s="230"/>
      <c r="X720" s="230"/>
      <c r="Y720" s="233"/>
      <c r="Z720" s="232"/>
      <c r="AA720" s="234"/>
      <c r="AB720" s="232"/>
      <c r="AC720" s="373"/>
      <c r="AD720" s="236"/>
      <c r="AE720" s="255"/>
      <c r="AF720" s="255"/>
      <c r="AG720" s="255"/>
      <c r="AH720" s="255"/>
      <c r="AJ720" s="255"/>
      <c r="AK720" s="255"/>
      <c r="AL720" s="255"/>
      <c r="AM720" s="255"/>
      <c r="AN720" s="255"/>
      <c r="AO720" s="255"/>
      <c r="AP720" s="255"/>
    </row>
    <row r="721" spans="2:42">
      <c r="B721" s="180"/>
      <c r="E721" s="4"/>
      <c r="F721" s="4"/>
      <c r="G721" s="4"/>
      <c r="J721" s="4"/>
      <c r="K721" s="4"/>
      <c r="L721" s="4"/>
      <c r="O721" s="4"/>
      <c r="P721" s="4"/>
      <c r="T721" s="4"/>
      <c r="U721" s="4"/>
      <c r="Y721" s="4"/>
      <c r="Z721" s="4"/>
      <c r="AA721" s="4"/>
      <c r="AB721" s="4"/>
      <c r="AC721" s="4"/>
    </row>
    <row r="722" spans="2:42" ht="13.5" customHeight="1">
      <c r="B722" s="1518" t="s">
        <v>18</v>
      </c>
      <c r="C722" s="1519">
        <v>46160</v>
      </c>
      <c r="D722" s="1519"/>
      <c r="E722" s="1519"/>
      <c r="F722" s="1519"/>
      <c r="G722" s="365"/>
      <c r="H722" s="1519">
        <v>46161</v>
      </c>
      <c r="I722" s="1519"/>
      <c r="J722" s="1519"/>
      <c r="K722" s="1519"/>
      <c r="L722" s="365"/>
      <c r="M722" s="1519">
        <v>46162</v>
      </c>
      <c r="N722" s="1519"/>
      <c r="O722" s="1519"/>
      <c r="P722" s="1519"/>
      <c r="Q722" s="365"/>
      <c r="R722" s="1519">
        <v>46163</v>
      </c>
      <c r="S722" s="1519"/>
      <c r="T722" s="1519"/>
      <c r="U722" s="1519"/>
      <c r="V722" s="365"/>
      <c r="W722" s="1519">
        <v>46164</v>
      </c>
      <c r="X722" s="1519"/>
      <c r="Y722" s="1519"/>
      <c r="Z722" s="1519"/>
      <c r="AA722" s="1517" t="s">
        <v>19</v>
      </c>
      <c r="AB722" s="1517" t="s">
        <v>20</v>
      </c>
      <c r="AC722" s="4"/>
      <c r="AD722" s="1519">
        <v>46165</v>
      </c>
      <c r="AE722" s="1519"/>
      <c r="AF722" s="1519"/>
      <c r="AG722" s="1517" t="s">
        <v>21</v>
      </c>
      <c r="AI722" s="368"/>
      <c r="AK722" s="194" t="s">
        <v>84</v>
      </c>
      <c r="AL722" s="366"/>
      <c r="AM722" s="366"/>
      <c r="AN722" s="366"/>
      <c r="AO722" s="366"/>
      <c r="AP722" s="366"/>
    </row>
    <row r="723" spans="2:42">
      <c r="B723" s="1518"/>
      <c r="C723" s="21" t="s">
        <v>23</v>
      </c>
      <c r="D723" s="21" t="s">
        <v>24</v>
      </c>
      <c r="E723" s="205" t="s">
        <v>25</v>
      </c>
      <c r="F723" s="18" t="s">
        <v>14</v>
      </c>
      <c r="G723" s="4"/>
      <c r="H723" s="21" t="s">
        <v>23</v>
      </c>
      <c r="I723" s="21" t="s">
        <v>24</v>
      </c>
      <c r="J723" s="18" t="s">
        <v>25</v>
      </c>
      <c r="K723" s="18" t="s">
        <v>14</v>
      </c>
      <c r="L723" s="4"/>
      <c r="M723" s="21" t="s">
        <v>23</v>
      </c>
      <c r="N723" s="21" t="s">
        <v>24</v>
      </c>
      <c r="O723" s="18" t="s">
        <v>25</v>
      </c>
      <c r="P723" s="18" t="s">
        <v>14</v>
      </c>
      <c r="R723" s="21" t="s">
        <v>23</v>
      </c>
      <c r="S723" s="21" t="s">
        <v>24</v>
      </c>
      <c r="T723" s="18" t="s">
        <v>25</v>
      </c>
      <c r="U723" s="18" t="s">
        <v>14</v>
      </c>
      <c r="W723" s="21" t="s">
        <v>23</v>
      </c>
      <c r="X723" s="21" t="s">
        <v>24</v>
      </c>
      <c r="Y723" s="18" t="s">
        <v>25</v>
      </c>
      <c r="Z723" s="18" t="s">
        <v>14</v>
      </c>
      <c r="AA723" s="1517"/>
      <c r="AB723" s="1517"/>
      <c r="AC723" s="4"/>
      <c r="AD723" s="21" t="s">
        <v>23</v>
      </c>
      <c r="AE723" s="21" t="s">
        <v>24</v>
      </c>
      <c r="AF723" s="18" t="s">
        <v>25</v>
      </c>
      <c r="AG723" s="1517"/>
      <c r="AI723" s="368"/>
      <c r="AJ723" s="367"/>
      <c r="AK723" s="188" t="s">
        <v>26</v>
      </c>
      <c r="AL723" s="196">
        <f>AA726</f>
        <v>0</v>
      </c>
      <c r="AM723" s="511">
        <v>53.05</v>
      </c>
      <c r="AN723" s="510">
        <f>AL723*AM723</f>
        <v>0</v>
      </c>
    </row>
    <row r="724" spans="2:42">
      <c r="B724" s="4" t="s">
        <v>60</v>
      </c>
      <c r="C724" s="441"/>
      <c r="D724" s="441"/>
      <c r="E724" s="319"/>
      <c r="F724" s="320"/>
      <c r="G724" s="4"/>
      <c r="H724" s="441"/>
      <c r="I724" s="441"/>
      <c r="J724" s="319"/>
      <c r="K724" s="320"/>
      <c r="L724" s="4"/>
      <c r="M724" s="441"/>
      <c r="N724" s="441"/>
      <c r="O724" s="319"/>
      <c r="P724" s="320"/>
      <c r="R724" s="441"/>
      <c r="S724" s="441"/>
      <c r="T724" s="319"/>
      <c r="U724" s="320"/>
      <c r="W724" s="441"/>
      <c r="X724" s="441"/>
      <c r="Y724" s="319"/>
      <c r="Z724" s="320"/>
      <c r="AA724" s="328">
        <f>Y724+T724+O724+J724+E724</f>
        <v>0</v>
      </c>
      <c r="AB724" s="298">
        <f>Z724+U724+P724+K724+F724</f>
        <v>0</v>
      </c>
      <c r="AC724" s="4"/>
      <c r="AD724" s="587"/>
      <c r="AE724" s="531"/>
      <c r="AF724" s="319"/>
      <c r="AG724" s="328">
        <f>AF724</f>
        <v>0</v>
      </c>
      <c r="AI724" s="368"/>
      <c r="AJ724" s="367"/>
      <c r="AK724" s="188" t="s">
        <v>30</v>
      </c>
      <c r="AL724" s="196">
        <f>AB726</f>
        <v>0</v>
      </c>
      <c r="AM724" s="511">
        <f>AM723*1.5</f>
        <v>79.574999999999989</v>
      </c>
      <c r="AN724" s="510">
        <f>AL724*AM724</f>
        <v>0</v>
      </c>
    </row>
    <row r="725" spans="2:42">
      <c r="B725" s="4"/>
      <c r="C725" s="441"/>
      <c r="D725" s="441"/>
      <c r="E725" s="319"/>
      <c r="F725" s="320"/>
      <c r="G725" s="4"/>
      <c r="H725" s="441"/>
      <c r="I725" s="441"/>
      <c r="J725" s="319"/>
      <c r="K725" s="320"/>
      <c r="L725" s="4"/>
      <c r="M725" s="441"/>
      <c r="N725" s="441"/>
      <c r="O725" s="319"/>
      <c r="P725" s="320"/>
      <c r="R725" s="441"/>
      <c r="S725" s="441"/>
      <c r="T725" s="319"/>
      <c r="U725" s="320"/>
      <c r="W725" s="441"/>
      <c r="X725" s="441"/>
      <c r="Y725" s="319"/>
      <c r="Z725" s="320"/>
      <c r="AA725" s="328">
        <f>Y725+T725+O725+J725+E725</f>
        <v>0</v>
      </c>
      <c r="AB725" s="298">
        <f>Z725+U725+P725+K725+F725</f>
        <v>0</v>
      </c>
      <c r="AC725" s="4"/>
      <c r="AF725" s="319"/>
      <c r="AG725" s="328">
        <f>AF725</f>
        <v>0</v>
      </c>
      <c r="AH725" s="175"/>
      <c r="AI725" s="402"/>
      <c r="AJ725" s="367"/>
      <c r="AK725" s="188" t="s">
        <v>32</v>
      </c>
      <c r="AL725" s="196">
        <f>AG726</f>
        <v>0</v>
      </c>
      <c r="AM725" s="511">
        <v>75.77</v>
      </c>
      <c r="AN725" s="510">
        <f>AL725*AM725</f>
        <v>0</v>
      </c>
    </row>
    <row r="726" spans="2:42">
      <c r="B726" s="64" t="s">
        <v>61</v>
      </c>
      <c r="C726" s="31"/>
      <c r="D726" s="31"/>
      <c r="E726" s="439">
        <f>SUM(E724:E725)</f>
        <v>0</v>
      </c>
      <c r="F726" s="320">
        <f>SUM(F724:F725)</f>
        <v>0</v>
      </c>
      <c r="G726" s="31"/>
      <c r="H726" s="31"/>
      <c r="I726" s="31"/>
      <c r="J726" s="439">
        <f>SUM(J724:J725)</f>
        <v>0</v>
      </c>
      <c r="K726" s="320">
        <f>SUM(K724:K725)</f>
        <v>0</v>
      </c>
      <c r="L726" s="31"/>
      <c r="M726" s="31"/>
      <c r="N726" s="31"/>
      <c r="O726" s="439">
        <f>SUM(O724:O725)</f>
        <v>0</v>
      </c>
      <c r="P726" s="320">
        <f>SUM(P724:P725)</f>
        <v>0</v>
      </c>
      <c r="Q726" s="31"/>
      <c r="R726" s="31"/>
      <c r="S726" s="31"/>
      <c r="T726" s="439">
        <f>SUM(T724:T725)</f>
        <v>0</v>
      </c>
      <c r="U726" s="320">
        <f>SUM(U724:U725)</f>
        <v>0</v>
      </c>
      <c r="V726" s="31"/>
      <c r="W726" s="31"/>
      <c r="X726" s="31"/>
      <c r="Y726" s="439">
        <f>SUM(Y724:Y725)</f>
        <v>0</v>
      </c>
      <c r="Z726" s="320">
        <f>SUM(Z724:Z725)</f>
        <v>0</v>
      </c>
      <c r="AA726" s="370">
        <f>SUM(AA724:AA725)</f>
        <v>0</v>
      </c>
      <c r="AB726" s="370">
        <f>SUM(AB724:AB725)</f>
        <v>0</v>
      </c>
      <c r="AC726" s="4"/>
      <c r="AD726" s="64"/>
      <c r="AE726" s="64"/>
      <c r="AF726" s="370">
        <f>SUM(AF724:AF725)</f>
        <v>0</v>
      </c>
      <c r="AG726" s="370">
        <f>SUM(AG724:AG725)</f>
        <v>0</v>
      </c>
      <c r="AJ726" s="367"/>
      <c r="AN726" s="510">
        <f>SUM(AN723:AN725)</f>
        <v>0</v>
      </c>
    </row>
    <row r="727" spans="2:42">
      <c r="B727" s="180"/>
      <c r="E727" s="4"/>
      <c r="F727" s="4"/>
      <c r="G727" s="4"/>
      <c r="J727" s="4"/>
      <c r="K727" s="4"/>
      <c r="L727" s="4"/>
      <c r="O727" s="4"/>
      <c r="P727" s="4"/>
      <c r="T727" s="4"/>
      <c r="U727" s="4"/>
      <c r="Y727" s="4"/>
      <c r="Z727" s="4"/>
      <c r="AA727" s="4"/>
      <c r="AB727" s="4"/>
      <c r="AC727" s="4"/>
    </row>
    <row r="728" spans="2:42">
      <c r="B728" s="229"/>
      <c r="C728" s="230"/>
      <c r="D728" s="230"/>
      <c r="E728" s="232"/>
      <c r="F728" s="232"/>
      <c r="G728" s="230"/>
      <c r="H728" s="232"/>
      <c r="I728" s="232"/>
      <c r="J728" s="232"/>
      <c r="K728" s="232"/>
      <c r="L728" s="230"/>
      <c r="M728" s="230"/>
      <c r="N728" s="230"/>
      <c r="O728" s="230"/>
      <c r="P728" s="232"/>
      <c r="Q728" s="230"/>
      <c r="R728" s="230"/>
      <c r="S728" s="230"/>
      <c r="T728" s="230"/>
      <c r="U728" s="232"/>
      <c r="V728" s="230"/>
      <c r="W728" s="230"/>
      <c r="X728" s="230"/>
      <c r="Y728" s="233"/>
      <c r="Z728" s="232"/>
      <c r="AA728" s="234"/>
      <c r="AB728" s="232"/>
      <c r="AC728" s="373"/>
      <c r="AD728" s="236"/>
      <c r="AE728" s="255"/>
      <c r="AF728" s="255"/>
      <c r="AG728" s="255"/>
      <c r="AH728" s="255"/>
      <c r="AJ728" s="255"/>
      <c r="AK728" s="255"/>
      <c r="AL728" s="255"/>
      <c r="AM728" s="255"/>
      <c r="AN728" s="255"/>
      <c r="AO728" s="255"/>
      <c r="AP728" s="255"/>
    </row>
    <row r="729" spans="2:42">
      <c r="B729" s="180"/>
      <c r="E729" s="4"/>
      <c r="F729" s="4"/>
      <c r="G729" s="4"/>
      <c r="J729" s="4"/>
      <c r="K729" s="4"/>
      <c r="L729" s="4"/>
      <c r="O729" s="4"/>
      <c r="P729" s="4"/>
      <c r="T729" s="4"/>
      <c r="U729" s="4"/>
      <c r="Y729" s="4"/>
      <c r="Z729" s="4"/>
      <c r="AA729" s="4"/>
      <c r="AB729" s="4"/>
      <c r="AC729" s="4"/>
    </row>
    <row r="730" spans="2:42" ht="13.5" customHeight="1">
      <c r="B730" s="1518" t="s">
        <v>18</v>
      </c>
      <c r="C730" s="1519">
        <v>46167</v>
      </c>
      <c r="D730" s="1519"/>
      <c r="E730" s="1519"/>
      <c r="F730" s="1519"/>
      <c r="G730" s="365"/>
      <c r="H730" s="1519">
        <v>46168</v>
      </c>
      <c r="I730" s="1519"/>
      <c r="J730" s="1519"/>
      <c r="K730" s="1519"/>
      <c r="L730" s="365"/>
      <c r="M730" s="1519">
        <v>46169</v>
      </c>
      <c r="N730" s="1519"/>
      <c r="O730" s="1519"/>
      <c r="P730" s="1519"/>
      <c r="Q730" s="365"/>
      <c r="R730" s="1519">
        <v>46170</v>
      </c>
      <c r="S730" s="1519"/>
      <c r="T730" s="1519"/>
      <c r="U730" s="1519"/>
      <c r="V730" s="365"/>
      <c r="W730" s="1519">
        <v>46171</v>
      </c>
      <c r="X730" s="1519"/>
      <c r="Y730" s="1519"/>
      <c r="Z730" s="1519"/>
      <c r="AA730" s="1517" t="s">
        <v>19</v>
      </c>
      <c r="AB730" s="1517" t="s">
        <v>20</v>
      </c>
      <c r="AC730" s="4"/>
      <c r="AD730" s="1519">
        <v>46172</v>
      </c>
      <c r="AE730" s="1519"/>
      <c r="AF730" s="1519"/>
      <c r="AG730" s="1517" t="s">
        <v>21</v>
      </c>
      <c r="AI730" s="368"/>
      <c r="AK730" s="194" t="s">
        <v>84</v>
      </c>
      <c r="AL730" s="366"/>
      <c r="AM730" s="366"/>
      <c r="AN730" s="366"/>
      <c r="AO730" s="366"/>
      <c r="AP730" s="366"/>
    </row>
    <row r="731" spans="2:42">
      <c r="B731" s="1518"/>
      <c r="C731" s="21" t="s">
        <v>23</v>
      </c>
      <c r="D731" s="21" t="s">
        <v>24</v>
      </c>
      <c r="E731" s="205" t="s">
        <v>25</v>
      </c>
      <c r="F731" s="18" t="s">
        <v>14</v>
      </c>
      <c r="G731" s="4"/>
      <c r="H731" s="21" t="s">
        <v>23</v>
      </c>
      <c r="I731" s="21" t="s">
        <v>24</v>
      </c>
      <c r="J731" s="18" t="s">
        <v>25</v>
      </c>
      <c r="K731" s="18" t="s">
        <v>14</v>
      </c>
      <c r="L731" s="4"/>
      <c r="M731" s="21" t="s">
        <v>23</v>
      </c>
      <c r="N731" s="21" t="s">
        <v>24</v>
      </c>
      <c r="O731" s="18" t="s">
        <v>25</v>
      </c>
      <c r="P731" s="18" t="s">
        <v>14</v>
      </c>
      <c r="R731" s="21" t="s">
        <v>23</v>
      </c>
      <c r="S731" s="21" t="s">
        <v>24</v>
      </c>
      <c r="T731" s="18" t="s">
        <v>25</v>
      </c>
      <c r="U731" s="18" t="s">
        <v>14</v>
      </c>
      <c r="W731" s="21" t="s">
        <v>23</v>
      </c>
      <c r="X731" s="21" t="s">
        <v>24</v>
      </c>
      <c r="Y731" s="18" t="s">
        <v>25</v>
      </c>
      <c r="Z731" s="18" t="s">
        <v>14</v>
      </c>
      <c r="AA731" s="1517"/>
      <c r="AB731" s="1517"/>
      <c r="AC731" s="4"/>
      <c r="AD731" s="21" t="s">
        <v>23</v>
      </c>
      <c r="AE731" s="21" t="s">
        <v>24</v>
      </c>
      <c r="AF731" s="18" t="s">
        <v>25</v>
      </c>
      <c r="AG731" s="1517"/>
      <c r="AI731" s="368"/>
      <c r="AJ731" s="367"/>
      <c r="AK731" s="188" t="s">
        <v>26</v>
      </c>
      <c r="AL731" s="196">
        <f>AA734</f>
        <v>0</v>
      </c>
      <c r="AM731" s="511">
        <v>53.05</v>
      </c>
      <c r="AN731" s="510">
        <f>AL731*AM731</f>
        <v>0</v>
      </c>
    </row>
    <row r="732" spans="2:42">
      <c r="B732" s="4" t="s">
        <v>60</v>
      </c>
      <c r="C732" s="441"/>
      <c r="D732" s="441"/>
      <c r="E732" s="319"/>
      <c r="F732" s="320"/>
      <c r="G732" s="4"/>
      <c r="H732" s="441"/>
      <c r="I732" s="441"/>
      <c r="J732" s="319"/>
      <c r="K732" s="320"/>
      <c r="L732" s="4"/>
      <c r="M732" s="441"/>
      <c r="N732" s="441"/>
      <c r="O732" s="319"/>
      <c r="P732" s="320"/>
      <c r="R732" s="441"/>
      <c r="S732" s="441"/>
      <c r="T732" s="319"/>
      <c r="U732" s="320"/>
      <c r="W732" s="441"/>
      <c r="X732" s="441"/>
      <c r="Y732" s="319"/>
      <c r="Z732" s="320"/>
      <c r="AA732" s="328">
        <f>Y732+T732+O732+J732+E732</f>
        <v>0</v>
      </c>
      <c r="AB732" s="298">
        <f>Z732+U732+P732+K732+F732</f>
        <v>0</v>
      </c>
      <c r="AC732" s="4"/>
      <c r="AD732" s="587"/>
      <c r="AE732" s="531"/>
      <c r="AF732" s="319"/>
      <c r="AG732" s="328">
        <f>AF732</f>
        <v>0</v>
      </c>
      <c r="AI732" s="368"/>
      <c r="AJ732" s="367"/>
      <c r="AK732" s="188" t="s">
        <v>30</v>
      </c>
      <c r="AL732" s="196">
        <f>AB734</f>
        <v>0</v>
      </c>
      <c r="AM732" s="511">
        <f>AM731*1.5</f>
        <v>79.574999999999989</v>
      </c>
      <c r="AN732" s="510">
        <f>AL732*AM732</f>
        <v>0</v>
      </c>
    </row>
    <row r="733" spans="2:42">
      <c r="B733" s="4"/>
      <c r="C733" s="441"/>
      <c r="D733" s="441"/>
      <c r="E733" s="319"/>
      <c r="F733" s="320"/>
      <c r="G733" s="4"/>
      <c r="H733" s="441"/>
      <c r="I733" s="441"/>
      <c r="J733" s="319"/>
      <c r="K733" s="320"/>
      <c r="L733" s="4"/>
      <c r="M733" s="441"/>
      <c r="N733" s="441"/>
      <c r="O733" s="319"/>
      <c r="P733" s="320"/>
      <c r="R733" s="441"/>
      <c r="S733" s="441"/>
      <c r="T733" s="319"/>
      <c r="U733" s="320"/>
      <c r="W733" s="441"/>
      <c r="X733" s="441"/>
      <c r="Y733" s="319"/>
      <c r="Z733" s="320"/>
      <c r="AA733" s="328">
        <f>Y733+T733+O733+J733+E733</f>
        <v>0</v>
      </c>
      <c r="AB733" s="298">
        <f>Z733+U733+P733+K733+F733</f>
        <v>0</v>
      </c>
      <c r="AC733" s="4"/>
      <c r="AF733" s="319"/>
      <c r="AG733" s="328">
        <f>AF733</f>
        <v>0</v>
      </c>
      <c r="AH733" s="175"/>
      <c r="AI733" s="402"/>
      <c r="AJ733" s="367"/>
      <c r="AK733" s="188" t="s">
        <v>32</v>
      </c>
      <c r="AL733" s="196">
        <f>AG734</f>
        <v>0</v>
      </c>
      <c r="AM733" s="511">
        <v>75.77</v>
      </c>
      <c r="AN733" s="510">
        <f>AL733*AM733</f>
        <v>0</v>
      </c>
    </row>
    <row r="734" spans="2:42">
      <c r="B734" s="64" t="s">
        <v>61</v>
      </c>
      <c r="C734" s="31"/>
      <c r="D734" s="31"/>
      <c r="E734" s="439">
        <f>SUM(E732:E733)</f>
        <v>0</v>
      </c>
      <c r="F734" s="320">
        <f>SUM(F732:F733)</f>
        <v>0</v>
      </c>
      <c r="G734" s="31"/>
      <c r="H734" s="31"/>
      <c r="I734" s="31"/>
      <c r="J734" s="439">
        <f>SUM(J732:J733)</f>
        <v>0</v>
      </c>
      <c r="K734" s="320">
        <f>SUM(K732:K733)</f>
        <v>0</v>
      </c>
      <c r="L734" s="31"/>
      <c r="M734" s="31"/>
      <c r="N734" s="31"/>
      <c r="O734" s="439">
        <f>SUM(O732:O733)</f>
        <v>0</v>
      </c>
      <c r="P734" s="320">
        <f>SUM(P732:P733)</f>
        <v>0</v>
      </c>
      <c r="Q734" s="31"/>
      <c r="R734" s="31"/>
      <c r="S734" s="31"/>
      <c r="T734" s="439">
        <f>SUM(T732:T733)</f>
        <v>0</v>
      </c>
      <c r="U734" s="320">
        <f>SUM(U732:U733)</f>
        <v>0</v>
      </c>
      <c r="V734" s="31"/>
      <c r="W734" s="31"/>
      <c r="X734" s="31"/>
      <c r="Y734" s="439">
        <f>SUM(Y732:Y733)</f>
        <v>0</v>
      </c>
      <c r="Z734" s="320">
        <f>SUM(Z732:Z733)</f>
        <v>0</v>
      </c>
      <c r="AA734" s="370">
        <f>SUM(AA732:AA733)</f>
        <v>0</v>
      </c>
      <c r="AB734" s="370">
        <f>SUM(AB732:AB733)</f>
        <v>0</v>
      </c>
      <c r="AC734" s="4"/>
      <c r="AD734" s="64"/>
      <c r="AE734" s="64"/>
      <c r="AF734" s="370">
        <f>SUM(AF732:AF733)</f>
        <v>0</v>
      </c>
      <c r="AG734" s="370">
        <f>SUM(AG732:AG733)</f>
        <v>0</v>
      </c>
      <c r="AJ734" s="367"/>
      <c r="AN734" s="510">
        <f>SUM(AN731:AN733)</f>
        <v>0</v>
      </c>
    </row>
    <row r="735" spans="2:42">
      <c r="B735" s="180"/>
      <c r="E735" s="4"/>
      <c r="F735" s="4"/>
      <c r="G735" s="4"/>
      <c r="J735" s="4"/>
      <c r="K735" s="4"/>
      <c r="L735" s="4"/>
      <c r="O735" s="4"/>
      <c r="P735" s="4"/>
      <c r="T735" s="4"/>
      <c r="U735" s="4"/>
      <c r="Y735" s="4"/>
      <c r="Z735" s="4"/>
      <c r="AA735" s="4"/>
      <c r="AB735" s="4"/>
      <c r="AC735" s="4"/>
    </row>
    <row r="736" spans="2:42">
      <c r="B736" s="229"/>
      <c r="C736" s="230"/>
      <c r="D736" s="230"/>
      <c r="E736" s="232"/>
      <c r="F736" s="232"/>
      <c r="G736" s="230"/>
      <c r="H736" s="232"/>
      <c r="I736" s="232"/>
      <c r="J736" s="232"/>
      <c r="K736" s="232"/>
      <c r="L736" s="230"/>
      <c r="M736" s="230"/>
      <c r="N736" s="230"/>
      <c r="O736" s="230"/>
      <c r="P736" s="232"/>
      <c r="Q736" s="230"/>
      <c r="R736" s="230"/>
      <c r="S736" s="230"/>
      <c r="T736" s="230"/>
      <c r="U736" s="232"/>
      <c r="V736" s="230"/>
      <c r="W736" s="230"/>
      <c r="X736" s="230"/>
      <c r="Y736" s="233"/>
      <c r="Z736" s="232"/>
      <c r="AA736" s="234"/>
      <c r="AB736" s="232"/>
      <c r="AC736" s="373"/>
      <c r="AD736" s="236"/>
      <c r="AE736" s="255"/>
      <c r="AF736" s="255"/>
      <c r="AG736" s="255"/>
      <c r="AH736" s="255"/>
      <c r="AJ736" s="255"/>
      <c r="AK736" s="255"/>
      <c r="AL736" s="255"/>
      <c r="AM736" s="255"/>
      <c r="AN736" s="255"/>
      <c r="AO736" s="255"/>
      <c r="AP736" s="255"/>
    </row>
  </sheetData>
  <mergeCells count="903">
    <mergeCell ref="AG722:AG723"/>
    <mergeCell ref="B730:B731"/>
    <mergeCell ref="C730:F730"/>
    <mergeCell ref="H730:K730"/>
    <mergeCell ref="M730:P730"/>
    <mergeCell ref="R730:U730"/>
    <mergeCell ref="W730:Z730"/>
    <mergeCell ref="AA730:AA731"/>
    <mergeCell ref="AB730:AB731"/>
    <mergeCell ref="AD730:AF730"/>
    <mergeCell ref="AG730:AG731"/>
    <mergeCell ref="B722:B723"/>
    <mergeCell ref="C722:F722"/>
    <mergeCell ref="H722:K722"/>
    <mergeCell ref="M722:P722"/>
    <mergeCell ref="R722:U722"/>
    <mergeCell ref="W722:Z722"/>
    <mergeCell ref="AA722:AA723"/>
    <mergeCell ref="AB722:AB723"/>
    <mergeCell ref="AD722:AF722"/>
    <mergeCell ref="AG706:AG707"/>
    <mergeCell ref="B714:B715"/>
    <mergeCell ref="C714:F714"/>
    <mergeCell ref="H714:K714"/>
    <mergeCell ref="M714:P714"/>
    <mergeCell ref="R714:U714"/>
    <mergeCell ref="W714:Z714"/>
    <mergeCell ref="AA714:AA715"/>
    <mergeCell ref="AB714:AB715"/>
    <mergeCell ref="AD714:AF714"/>
    <mergeCell ref="AG714:AG715"/>
    <mergeCell ref="B706:B707"/>
    <mergeCell ref="C706:F706"/>
    <mergeCell ref="H706:K706"/>
    <mergeCell ref="M706:P706"/>
    <mergeCell ref="R706:U706"/>
    <mergeCell ref="W706:Z706"/>
    <mergeCell ref="AA706:AA707"/>
    <mergeCell ref="AB706:AB707"/>
    <mergeCell ref="AD706:AF706"/>
    <mergeCell ref="AG665:AG666"/>
    <mergeCell ref="B665:B666"/>
    <mergeCell ref="C665:F665"/>
    <mergeCell ref="H665:K665"/>
    <mergeCell ref="M665:P665"/>
    <mergeCell ref="R665:U665"/>
    <mergeCell ref="W665:Z665"/>
    <mergeCell ref="AA665:AA666"/>
    <mergeCell ref="AB665:AB666"/>
    <mergeCell ref="AD665:AF665"/>
    <mergeCell ref="AG649:AG650"/>
    <mergeCell ref="B657:B658"/>
    <mergeCell ref="C657:F657"/>
    <mergeCell ref="H657:K657"/>
    <mergeCell ref="M657:P657"/>
    <mergeCell ref="R657:U657"/>
    <mergeCell ref="W657:Z657"/>
    <mergeCell ref="AA657:AA658"/>
    <mergeCell ref="AB657:AB658"/>
    <mergeCell ref="AD657:AF657"/>
    <mergeCell ref="AG657:AG658"/>
    <mergeCell ref="B649:B650"/>
    <mergeCell ref="C649:F649"/>
    <mergeCell ref="H649:K649"/>
    <mergeCell ref="M649:P649"/>
    <mergeCell ref="R649:U649"/>
    <mergeCell ref="W649:Z649"/>
    <mergeCell ref="AA649:AA650"/>
    <mergeCell ref="AB649:AB650"/>
    <mergeCell ref="AD649:AF649"/>
    <mergeCell ref="AG633:AG634"/>
    <mergeCell ref="B641:B642"/>
    <mergeCell ref="C641:F641"/>
    <mergeCell ref="H641:K641"/>
    <mergeCell ref="M641:P641"/>
    <mergeCell ref="R641:U641"/>
    <mergeCell ref="W641:Z641"/>
    <mergeCell ref="AA641:AA642"/>
    <mergeCell ref="AB641:AB642"/>
    <mergeCell ref="AD641:AF641"/>
    <mergeCell ref="AG641:AG642"/>
    <mergeCell ref="B633:B634"/>
    <mergeCell ref="C633:F633"/>
    <mergeCell ref="H633:K633"/>
    <mergeCell ref="M633:P633"/>
    <mergeCell ref="R633:U633"/>
    <mergeCell ref="W633:Z633"/>
    <mergeCell ref="AA633:AA634"/>
    <mergeCell ref="AB633:AB634"/>
    <mergeCell ref="AD633:AF633"/>
    <mergeCell ref="AG617:AG618"/>
    <mergeCell ref="B625:B626"/>
    <mergeCell ref="C625:F625"/>
    <mergeCell ref="H625:K625"/>
    <mergeCell ref="M625:P625"/>
    <mergeCell ref="R625:U625"/>
    <mergeCell ref="W625:Z625"/>
    <mergeCell ref="AA625:AA626"/>
    <mergeCell ref="AB625:AB626"/>
    <mergeCell ref="AD625:AF625"/>
    <mergeCell ref="AG625:AG626"/>
    <mergeCell ref="B617:B618"/>
    <mergeCell ref="C617:F617"/>
    <mergeCell ref="H617:K617"/>
    <mergeCell ref="M617:P617"/>
    <mergeCell ref="R617:U617"/>
    <mergeCell ref="W617:Z617"/>
    <mergeCell ref="AA617:AA618"/>
    <mergeCell ref="AB617:AB618"/>
    <mergeCell ref="AD617:AF617"/>
    <mergeCell ref="AG601:AG602"/>
    <mergeCell ref="B609:B610"/>
    <mergeCell ref="C609:F609"/>
    <mergeCell ref="H609:K609"/>
    <mergeCell ref="M609:P609"/>
    <mergeCell ref="R609:U609"/>
    <mergeCell ref="W609:Z609"/>
    <mergeCell ref="AA609:AA610"/>
    <mergeCell ref="AB609:AB610"/>
    <mergeCell ref="AD609:AF609"/>
    <mergeCell ref="AG609:AG610"/>
    <mergeCell ref="B601:B602"/>
    <mergeCell ref="C601:F601"/>
    <mergeCell ref="H601:K601"/>
    <mergeCell ref="M601:P601"/>
    <mergeCell ref="R601:U601"/>
    <mergeCell ref="W601:Z601"/>
    <mergeCell ref="AA601:AA602"/>
    <mergeCell ref="AB601:AB602"/>
    <mergeCell ref="AD601:AF601"/>
    <mergeCell ref="AG585:AG586"/>
    <mergeCell ref="B593:B594"/>
    <mergeCell ref="C593:F593"/>
    <mergeCell ref="H593:K593"/>
    <mergeCell ref="M593:P593"/>
    <mergeCell ref="R593:U593"/>
    <mergeCell ref="W593:Z593"/>
    <mergeCell ref="AA593:AA594"/>
    <mergeCell ref="AB593:AB594"/>
    <mergeCell ref="AD593:AF593"/>
    <mergeCell ref="AG593:AG594"/>
    <mergeCell ref="B585:B586"/>
    <mergeCell ref="C585:F585"/>
    <mergeCell ref="H585:K585"/>
    <mergeCell ref="M585:P585"/>
    <mergeCell ref="R585:U585"/>
    <mergeCell ref="W585:Z585"/>
    <mergeCell ref="AA585:AA586"/>
    <mergeCell ref="AB585:AB586"/>
    <mergeCell ref="AD585:AF585"/>
    <mergeCell ref="AG569:AG570"/>
    <mergeCell ref="B577:B578"/>
    <mergeCell ref="C577:F577"/>
    <mergeCell ref="H577:K577"/>
    <mergeCell ref="M577:P577"/>
    <mergeCell ref="R577:U577"/>
    <mergeCell ref="W577:Z577"/>
    <mergeCell ref="AA577:AA578"/>
    <mergeCell ref="AB577:AB578"/>
    <mergeCell ref="AD577:AF577"/>
    <mergeCell ref="AG577:AG578"/>
    <mergeCell ref="B569:B570"/>
    <mergeCell ref="C569:F569"/>
    <mergeCell ref="H569:K569"/>
    <mergeCell ref="M569:P569"/>
    <mergeCell ref="R569:U569"/>
    <mergeCell ref="W569:Z569"/>
    <mergeCell ref="AA569:AA570"/>
    <mergeCell ref="AB569:AB570"/>
    <mergeCell ref="AD569:AF569"/>
    <mergeCell ref="AG553:AG554"/>
    <mergeCell ref="B561:B562"/>
    <mergeCell ref="C561:F561"/>
    <mergeCell ref="H561:K561"/>
    <mergeCell ref="M561:P561"/>
    <mergeCell ref="R561:U561"/>
    <mergeCell ref="W561:Z561"/>
    <mergeCell ref="AA561:AA562"/>
    <mergeCell ref="AB561:AB562"/>
    <mergeCell ref="AD561:AF561"/>
    <mergeCell ref="AG561:AG562"/>
    <mergeCell ref="B553:B554"/>
    <mergeCell ref="C553:F553"/>
    <mergeCell ref="H553:K553"/>
    <mergeCell ref="M553:P553"/>
    <mergeCell ref="R553:U553"/>
    <mergeCell ref="W553:Z553"/>
    <mergeCell ref="AA553:AA554"/>
    <mergeCell ref="AB553:AB554"/>
    <mergeCell ref="AD553:AF553"/>
    <mergeCell ref="AG537:AG538"/>
    <mergeCell ref="B545:B546"/>
    <mergeCell ref="C545:F545"/>
    <mergeCell ref="H545:K545"/>
    <mergeCell ref="M545:P545"/>
    <mergeCell ref="R545:U545"/>
    <mergeCell ref="W545:Z545"/>
    <mergeCell ref="AA545:AA546"/>
    <mergeCell ref="AB545:AB546"/>
    <mergeCell ref="AD545:AF545"/>
    <mergeCell ref="AG545:AG546"/>
    <mergeCell ref="B537:B538"/>
    <mergeCell ref="C537:F537"/>
    <mergeCell ref="H537:K537"/>
    <mergeCell ref="M537:P537"/>
    <mergeCell ref="R537:U537"/>
    <mergeCell ref="W537:Z537"/>
    <mergeCell ref="AA537:AA538"/>
    <mergeCell ref="AB537:AB538"/>
    <mergeCell ref="AD537:AF537"/>
    <mergeCell ref="AG521:AG522"/>
    <mergeCell ref="B529:B530"/>
    <mergeCell ref="C529:F529"/>
    <mergeCell ref="H529:K529"/>
    <mergeCell ref="M529:P529"/>
    <mergeCell ref="R529:U529"/>
    <mergeCell ref="W529:Z529"/>
    <mergeCell ref="AA529:AA530"/>
    <mergeCell ref="AB529:AB530"/>
    <mergeCell ref="AD529:AF529"/>
    <mergeCell ref="AG529:AG530"/>
    <mergeCell ref="B521:B522"/>
    <mergeCell ref="C521:F521"/>
    <mergeCell ref="H521:K521"/>
    <mergeCell ref="M521:P521"/>
    <mergeCell ref="R521:U521"/>
    <mergeCell ref="W521:Z521"/>
    <mergeCell ref="AA521:AA522"/>
    <mergeCell ref="AB521:AB522"/>
    <mergeCell ref="AD521:AF521"/>
    <mergeCell ref="AG505:AG506"/>
    <mergeCell ref="B513:B514"/>
    <mergeCell ref="C513:F513"/>
    <mergeCell ref="H513:K513"/>
    <mergeCell ref="M513:P513"/>
    <mergeCell ref="R513:U513"/>
    <mergeCell ref="W513:Z513"/>
    <mergeCell ref="AA513:AA514"/>
    <mergeCell ref="AB513:AB514"/>
    <mergeCell ref="AD513:AF513"/>
    <mergeCell ref="AG513:AG514"/>
    <mergeCell ref="B505:B506"/>
    <mergeCell ref="C505:F505"/>
    <mergeCell ref="H505:K505"/>
    <mergeCell ref="M505:P505"/>
    <mergeCell ref="R505:U505"/>
    <mergeCell ref="W505:Z505"/>
    <mergeCell ref="AA505:AA506"/>
    <mergeCell ref="AB505:AB506"/>
    <mergeCell ref="AD505:AF505"/>
    <mergeCell ref="AG497:AG498"/>
    <mergeCell ref="B497:B498"/>
    <mergeCell ref="C497:F497"/>
    <mergeCell ref="H497:K497"/>
    <mergeCell ref="M497:P497"/>
    <mergeCell ref="R497:U497"/>
    <mergeCell ref="W497:Z497"/>
    <mergeCell ref="AA497:AA498"/>
    <mergeCell ref="AB497:AB498"/>
    <mergeCell ref="AD497:AF497"/>
    <mergeCell ref="AG481:AG482"/>
    <mergeCell ref="B489:B490"/>
    <mergeCell ref="C489:F489"/>
    <mergeCell ref="H489:K489"/>
    <mergeCell ref="M489:P489"/>
    <mergeCell ref="R489:U489"/>
    <mergeCell ref="W489:Z489"/>
    <mergeCell ref="AA489:AA490"/>
    <mergeCell ref="AB489:AB490"/>
    <mergeCell ref="AD489:AF489"/>
    <mergeCell ref="AG489:AG490"/>
    <mergeCell ref="B481:B482"/>
    <mergeCell ref="C481:F481"/>
    <mergeCell ref="H481:K481"/>
    <mergeCell ref="M481:P481"/>
    <mergeCell ref="R481:U481"/>
    <mergeCell ref="W481:Z481"/>
    <mergeCell ref="AA481:AA482"/>
    <mergeCell ref="AB481:AB482"/>
    <mergeCell ref="AD481:AF481"/>
    <mergeCell ref="AG465:AG466"/>
    <mergeCell ref="B473:B474"/>
    <mergeCell ref="C473:F473"/>
    <mergeCell ref="H473:K473"/>
    <mergeCell ref="M473:P473"/>
    <mergeCell ref="R473:U473"/>
    <mergeCell ref="W473:Z473"/>
    <mergeCell ref="AA473:AA474"/>
    <mergeCell ref="AB473:AB474"/>
    <mergeCell ref="AD473:AF473"/>
    <mergeCell ref="AG473:AG474"/>
    <mergeCell ref="B465:B466"/>
    <mergeCell ref="C465:F465"/>
    <mergeCell ref="H465:K465"/>
    <mergeCell ref="M465:P465"/>
    <mergeCell ref="R465:U465"/>
    <mergeCell ref="W465:Z465"/>
    <mergeCell ref="AA465:AA466"/>
    <mergeCell ref="AB465:AB466"/>
    <mergeCell ref="AD465:AF465"/>
    <mergeCell ref="AG457:AG458"/>
    <mergeCell ref="B457:B458"/>
    <mergeCell ref="C457:F457"/>
    <mergeCell ref="H457:K457"/>
    <mergeCell ref="M457:P457"/>
    <mergeCell ref="R457:U457"/>
    <mergeCell ref="W457:Z457"/>
    <mergeCell ref="AA457:AA458"/>
    <mergeCell ref="AB457:AB458"/>
    <mergeCell ref="AD457:AF457"/>
    <mergeCell ref="AG441:AG442"/>
    <mergeCell ref="B449:B450"/>
    <mergeCell ref="C449:F449"/>
    <mergeCell ref="H449:K449"/>
    <mergeCell ref="M449:P449"/>
    <mergeCell ref="R449:U449"/>
    <mergeCell ref="W449:Z449"/>
    <mergeCell ref="AA449:AA450"/>
    <mergeCell ref="AB449:AB450"/>
    <mergeCell ref="AD449:AF449"/>
    <mergeCell ref="AG449:AG450"/>
    <mergeCell ref="B441:B442"/>
    <mergeCell ref="C441:F441"/>
    <mergeCell ref="H441:K441"/>
    <mergeCell ref="M441:P441"/>
    <mergeCell ref="R441:U441"/>
    <mergeCell ref="W441:Z441"/>
    <mergeCell ref="AA441:AA442"/>
    <mergeCell ref="AB441:AB442"/>
    <mergeCell ref="AD441:AF441"/>
    <mergeCell ref="AG425:AG426"/>
    <mergeCell ref="B433:B434"/>
    <mergeCell ref="C433:F433"/>
    <mergeCell ref="H433:K433"/>
    <mergeCell ref="M433:P433"/>
    <mergeCell ref="R433:U433"/>
    <mergeCell ref="W433:Z433"/>
    <mergeCell ref="AA433:AA434"/>
    <mergeCell ref="AB433:AB434"/>
    <mergeCell ref="AD433:AF433"/>
    <mergeCell ref="AG433:AG434"/>
    <mergeCell ref="B425:B426"/>
    <mergeCell ref="C425:F425"/>
    <mergeCell ref="H425:K425"/>
    <mergeCell ref="M425:P425"/>
    <mergeCell ref="R425:U425"/>
    <mergeCell ref="W425:Z425"/>
    <mergeCell ref="AA425:AA426"/>
    <mergeCell ref="AB425:AB426"/>
    <mergeCell ref="AD425:AF425"/>
    <mergeCell ref="AG409:AG410"/>
    <mergeCell ref="B417:B418"/>
    <mergeCell ref="C417:F417"/>
    <mergeCell ref="H417:K417"/>
    <mergeCell ref="M417:P417"/>
    <mergeCell ref="R417:U417"/>
    <mergeCell ref="W417:Z417"/>
    <mergeCell ref="AA417:AA418"/>
    <mergeCell ref="AB417:AB418"/>
    <mergeCell ref="AD417:AF417"/>
    <mergeCell ref="AG417:AG418"/>
    <mergeCell ref="B409:B410"/>
    <mergeCell ref="C409:F409"/>
    <mergeCell ref="H409:K409"/>
    <mergeCell ref="M409:P409"/>
    <mergeCell ref="R409:U409"/>
    <mergeCell ref="W409:Z409"/>
    <mergeCell ref="AA409:AA410"/>
    <mergeCell ref="AB409:AB410"/>
    <mergeCell ref="AD409:AF409"/>
    <mergeCell ref="AG393:AG394"/>
    <mergeCell ref="B401:B402"/>
    <mergeCell ref="C401:F401"/>
    <mergeCell ref="H401:K401"/>
    <mergeCell ref="M401:P401"/>
    <mergeCell ref="R401:U401"/>
    <mergeCell ref="W401:Z401"/>
    <mergeCell ref="AA401:AA402"/>
    <mergeCell ref="AB401:AB402"/>
    <mergeCell ref="AD401:AF401"/>
    <mergeCell ref="AG401:AG402"/>
    <mergeCell ref="B393:B394"/>
    <mergeCell ref="C393:F393"/>
    <mergeCell ref="H393:K393"/>
    <mergeCell ref="M393:P393"/>
    <mergeCell ref="R393:U393"/>
    <mergeCell ref="W393:Z393"/>
    <mergeCell ref="AA393:AA394"/>
    <mergeCell ref="AB393:AB394"/>
    <mergeCell ref="AD393:AF393"/>
    <mergeCell ref="AG377:AG378"/>
    <mergeCell ref="B385:B386"/>
    <mergeCell ref="C385:F385"/>
    <mergeCell ref="H385:K385"/>
    <mergeCell ref="M385:P385"/>
    <mergeCell ref="R385:U385"/>
    <mergeCell ref="W385:Z385"/>
    <mergeCell ref="AA385:AA386"/>
    <mergeCell ref="AB385:AB386"/>
    <mergeCell ref="AD385:AF385"/>
    <mergeCell ref="AG385:AG386"/>
    <mergeCell ref="B377:B378"/>
    <mergeCell ref="C377:F377"/>
    <mergeCell ref="H377:K377"/>
    <mergeCell ref="M377:P377"/>
    <mergeCell ref="R377:U377"/>
    <mergeCell ref="W377:Z377"/>
    <mergeCell ref="AA377:AA378"/>
    <mergeCell ref="AB377:AB378"/>
    <mergeCell ref="AD377:AF377"/>
    <mergeCell ref="AG361:AG362"/>
    <mergeCell ref="B369:B370"/>
    <mergeCell ref="C369:F369"/>
    <mergeCell ref="H369:K369"/>
    <mergeCell ref="M369:P369"/>
    <mergeCell ref="R369:U369"/>
    <mergeCell ref="W369:Z369"/>
    <mergeCell ref="AA369:AA370"/>
    <mergeCell ref="AB369:AB370"/>
    <mergeCell ref="AD369:AF369"/>
    <mergeCell ref="AG369:AG370"/>
    <mergeCell ref="B361:B362"/>
    <mergeCell ref="C361:F361"/>
    <mergeCell ref="H361:K361"/>
    <mergeCell ref="M361:P361"/>
    <mergeCell ref="R361:U361"/>
    <mergeCell ref="W361:Z361"/>
    <mergeCell ref="AA361:AA362"/>
    <mergeCell ref="AB361:AB362"/>
    <mergeCell ref="AD361:AF361"/>
    <mergeCell ref="W89:Z89"/>
    <mergeCell ref="AA89:AA90"/>
    <mergeCell ref="AB89:AB90"/>
    <mergeCell ref="AD89:AF89"/>
    <mergeCell ref="AG89:AG90"/>
    <mergeCell ref="B89:B90"/>
    <mergeCell ref="C89:F89"/>
    <mergeCell ref="H89:K89"/>
    <mergeCell ref="M89:P89"/>
    <mergeCell ref="R89:U89"/>
    <mergeCell ref="W81:Z81"/>
    <mergeCell ref="AA81:AA82"/>
    <mergeCell ref="AB81:AB82"/>
    <mergeCell ref="AD81:AF81"/>
    <mergeCell ref="AG81:AG82"/>
    <mergeCell ref="B81:B82"/>
    <mergeCell ref="C81:F81"/>
    <mergeCell ref="H81:K81"/>
    <mergeCell ref="M81:P81"/>
    <mergeCell ref="R81:U81"/>
    <mergeCell ref="W73:Z73"/>
    <mergeCell ref="AA73:AA74"/>
    <mergeCell ref="AB73:AB74"/>
    <mergeCell ref="AD73:AF73"/>
    <mergeCell ref="AG73:AG74"/>
    <mergeCell ref="B73:B74"/>
    <mergeCell ref="C73:F73"/>
    <mergeCell ref="H73:K73"/>
    <mergeCell ref="M73:P73"/>
    <mergeCell ref="R73:U73"/>
    <mergeCell ref="W65:Z65"/>
    <mergeCell ref="AA65:AA66"/>
    <mergeCell ref="AB65:AB66"/>
    <mergeCell ref="AD65:AF65"/>
    <mergeCell ref="AG65:AG66"/>
    <mergeCell ref="B65:B66"/>
    <mergeCell ref="C65:F65"/>
    <mergeCell ref="H65:K65"/>
    <mergeCell ref="M65:P65"/>
    <mergeCell ref="R65:U65"/>
    <mergeCell ref="W57:Z57"/>
    <mergeCell ref="AA57:AA58"/>
    <mergeCell ref="AB57:AB58"/>
    <mergeCell ref="AD57:AF57"/>
    <mergeCell ref="AG57:AG58"/>
    <mergeCell ref="B57:B58"/>
    <mergeCell ref="C57:F57"/>
    <mergeCell ref="H57:K57"/>
    <mergeCell ref="M57:P57"/>
    <mergeCell ref="R57:U57"/>
    <mergeCell ref="W49:Z49"/>
    <mergeCell ref="AA49:AA50"/>
    <mergeCell ref="AB49:AB50"/>
    <mergeCell ref="AD49:AF49"/>
    <mergeCell ref="AG49:AG50"/>
    <mergeCell ref="B49:B50"/>
    <mergeCell ref="C49:F49"/>
    <mergeCell ref="H49:K49"/>
    <mergeCell ref="M49:P49"/>
    <mergeCell ref="R49:U49"/>
    <mergeCell ref="B22:B23"/>
    <mergeCell ref="C22:F22"/>
    <mergeCell ref="H22:K22"/>
    <mergeCell ref="M22:P22"/>
    <mergeCell ref="R22:U22"/>
    <mergeCell ref="W22:Z22"/>
    <mergeCell ref="AA22:AA23"/>
    <mergeCell ref="S1:AG1"/>
    <mergeCell ref="AK1:AP1"/>
    <mergeCell ref="AK2:AP2"/>
    <mergeCell ref="W13:Z13"/>
    <mergeCell ref="AA13:AA14"/>
    <mergeCell ref="AB22:AB23"/>
    <mergeCell ref="AD22:AF22"/>
    <mergeCell ref="AG22:AG23"/>
    <mergeCell ref="AB13:AB14"/>
    <mergeCell ref="AD13:AF13"/>
    <mergeCell ref="AG13:AG14"/>
    <mergeCell ref="B13:B14"/>
    <mergeCell ref="C13:F13"/>
    <mergeCell ref="H13:K13"/>
    <mergeCell ref="M13:P13"/>
    <mergeCell ref="R13:U13"/>
    <mergeCell ref="AG32:AG33"/>
    <mergeCell ref="B41:B42"/>
    <mergeCell ref="C41:F41"/>
    <mergeCell ref="H41:K41"/>
    <mergeCell ref="M41:P41"/>
    <mergeCell ref="R41:U41"/>
    <mergeCell ref="W41:Z41"/>
    <mergeCell ref="AA41:AA42"/>
    <mergeCell ref="AB41:AB42"/>
    <mergeCell ref="AD41:AF41"/>
    <mergeCell ref="AG41:AG42"/>
    <mergeCell ref="B32:B33"/>
    <mergeCell ref="C32:F32"/>
    <mergeCell ref="H32:K32"/>
    <mergeCell ref="M32:P32"/>
    <mergeCell ref="R32:U32"/>
    <mergeCell ref="W32:Z32"/>
    <mergeCell ref="AA32:AA33"/>
    <mergeCell ref="AB32:AB33"/>
    <mergeCell ref="AD32:AF32"/>
    <mergeCell ref="AG97:AG98"/>
    <mergeCell ref="B105:B106"/>
    <mergeCell ref="C105:F105"/>
    <mergeCell ref="H105:K105"/>
    <mergeCell ref="M105:P105"/>
    <mergeCell ref="R105:U105"/>
    <mergeCell ref="W105:Z105"/>
    <mergeCell ref="AA105:AA106"/>
    <mergeCell ref="AB105:AB106"/>
    <mergeCell ref="AD105:AF105"/>
    <mergeCell ref="AG105:AG106"/>
    <mergeCell ref="B97:B98"/>
    <mergeCell ref="C97:F97"/>
    <mergeCell ref="H97:K97"/>
    <mergeCell ref="M97:P97"/>
    <mergeCell ref="R97:U97"/>
    <mergeCell ref="W97:Z97"/>
    <mergeCell ref="AA97:AA98"/>
    <mergeCell ref="AB97:AB98"/>
    <mergeCell ref="AD97:AF97"/>
    <mergeCell ref="AG129:AG130"/>
    <mergeCell ref="B137:B138"/>
    <mergeCell ref="C137:F137"/>
    <mergeCell ref="H137:K137"/>
    <mergeCell ref="AG113:AG114"/>
    <mergeCell ref="B113:B114"/>
    <mergeCell ref="C113:F113"/>
    <mergeCell ref="H113:K113"/>
    <mergeCell ref="M113:P113"/>
    <mergeCell ref="R113:U113"/>
    <mergeCell ref="W113:Z113"/>
    <mergeCell ref="AA113:AA114"/>
    <mergeCell ref="AB113:AB114"/>
    <mergeCell ref="AD113:AF113"/>
    <mergeCell ref="AG121:AG122"/>
    <mergeCell ref="B121:B122"/>
    <mergeCell ref="C121:F121"/>
    <mergeCell ref="H121:K121"/>
    <mergeCell ref="M121:P121"/>
    <mergeCell ref="R121:U121"/>
    <mergeCell ref="W121:Z121"/>
    <mergeCell ref="AA121:AA122"/>
    <mergeCell ref="AB121:AB122"/>
    <mergeCell ref="AD121:AF121"/>
    <mergeCell ref="B129:B130"/>
    <mergeCell ref="C129:F129"/>
    <mergeCell ref="H129:K129"/>
    <mergeCell ref="M129:P129"/>
    <mergeCell ref="R129:U129"/>
    <mergeCell ref="W129:Z129"/>
    <mergeCell ref="AA129:AA130"/>
    <mergeCell ref="AB129:AB130"/>
    <mergeCell ref="AD129:AF129"/>
    <mergeCell ref="M137:P137"/>
    <mergeCell ref="R137:U137"/>
    <mergeCell ref="W137:Z137"/>
    <mergeCell ref="AA137:AA138"/>
    <mergeCell ref="AB137:AB138"/>
    <mergeCell ref="AD137:AF137"/>
    <mergeCell ref="AG137:AG138"/>
    <mergeCell ref="B145:B146"/>
    <mergeCell ref="C145:F145"/>
    <mergeCell ref="H145:K145"/>
    <mergeCell ref="M145:P145"/>
    <mergeCell ref="R145:U145"/>
    <mergeCell ref="W145:Z145"/>
    <mergeCell ref="AA145:AA146"/>
    <mergeCell ref="AB145:AB146"/>
    <mergeCell ref="AD145:AF145"/>
    <mergeCell ref="AG145:AG146"/>
    <mergeCell ref="AA169:AA170"/>
    <mergeCell ref="AB169:AB170"/>
    <mergeCell ref="AD169:AF169"/>
    <mergeCell ref="AG153:AG154"/>
    <mergeCell ref="B161:B162"/>
    <mergeCell ref="C161:F161"/>
    <mergeCell ref="H161:K161"/>
    <mergeCell ref="M161:P161"/>
    <mergeCell ref="R161:U161"/>
    <mergeCell ref="W161:Z161"/>
    <mergeCell ref="AA161:AA162"/>
    <mergeCell ref="AB161:AB162"/>
    <mergeCell ref="AD161:AF161"/>
    <mergeCell ref="AG161:AG162"/>
    <mergeCell ref="B153:B154"/>
    <mergeCell ref="C153:F153"/>
    <mergeCell ref="H153:K153"/>
    <mergeCell ref="M153:P153"/>
    <mergeCell ref="R153:U153"/>
    <mergeCell ref="W153:Z153"/>
    <mergeCell ref="AA153:AA154"/>
    <mergeCell ref="AB153:AB154"/>
    <mergeCell ref="AD153:AF153"/>
    <mergeCell ref="M185:P185"/>
    <mergeCell ref="B169:B170"/>
    <mergeCell ref="C169:F169"/>
    <mergeCell ref="H169:K169"/>
    <mergeCell ref="M169:P169"/>
    <mergeCell ref="R169:U169"/>
    <mergeCell ref="W169:Z169"/>
    <mergeCell ref="C177:F177"/>
    <mergeCell ref="B177:B178"/>
    <mergeCell ref="H201:K201"/>
    <mergeCell ref="M201:P201"/>
    <mergeCell ref="R201:U201"/>
    <mergeCell ref="AG169:AG170"/>
    <mergeCell ref="AG193:AG194"/>
    <mergeCell ref="AD193:AF193"/>
    <mergeCell ref="AB193:AB194"/>
    <mergeCell ref="AA193:AA194"/>
    <mergeCell ref="W193:Z193"/>
    <mergeCell ref="R193:U193"/>
    <mergeCell ref="M193:P193"/>
    <mergeCell ref="H193:K193"/>
    <mergeCell ref="AG177:AG178"/>
    <mergeCell ref="AD177:AF177"/>
    <mergeCell ref="AB177:AB178"/>
    <mergeCell ref="AA177:AA178"/>
    <mergeCell ref="W177:Z177"/>
    <mergeCell ref="R177:U177"/>
    <mergeCell ref="M177:P177"/>
    <mergeCell ref="H177:K177"/>
    <mergeCell ref="W201:Z201"/>
    <mergeCell ref="AA201:AA202"/>
    <mergeCell ref="W185:Z185"/>
    <mergeCell ref="R185:U185"/>
    <mergeCell ref="C193:F193"/>
    <mergeCell ref="B193:B194"/>
    <mergeCell ref="B185:B186"/>
    <mergeCell ref="AB201:AB202"/>
    <mergeCell ref="AD201:AF201"/>
    <mergeCell ref="AG201:AG202"/>
    <mergeCell ref="B209:B210"/>
    <mergeCell ref="C209:F209"/>
    <mergeCell ref="H209:K209"/>
    <mergeCell ref="M209:P209"/>
    <mergeCell ref="R209:U209"/>
    <mergeCell ref="W209:Z209"/>
    <mergeCell ref="AA209:AA210"/>
    <mergeCell ref="AB209:AB210"/>
    <mergeCell ref="AD209:AF209"/>
    <mergeCell ref="AG209:AG210"/>
    <mergeCell ref="H185:K185"/>
    <mergeCell ref="C185:F185"/>
    <mergeCell ref="AG185:AG186"/>
    <mergeCell ref="AD185:AF185"/>
    <mergeCell ref="AB185:AB186"/>
    <mergeCell ref="AA185:AA186"/>
    <mergeCell ref="B201:B202"/>
    <mergeCell ref="C201:F201"/>
    <mergeCell ref="AG217:AG218"/>
    <mergeCell ref="B225:B226"/>
    <mergeCell ref="C225:F225"/>
    <mergeCell ref="H225:K225"/>
    <mergeCell ref="M225:P225"/>
    <mergeCell ref="R225:U225"/>
    <mergeCell ref="W225:Z225"/>
    <mergeCell ref="AA225:AA226"/>
    <mergeCell ref="AB225:AB226"/>
    <mergeCell ref="AD225:AF225"/>
    <mergeCell ref="AG225:AG226"/>
    <mergeCell ref="B217:B218"/>
    <mergeCell ref="C217:F217"/>
    <mergeCell ref="H217:K217"/>
    <mergeCell ref="M217:P217"/>
    <mergeCell ref="R217:U217"/>
    <mergeCell ref="W217:Z217"/>
    <mergeCell ref="AA217:AA218"/>
    <mergeCell ref="AB217:AB218"/>
    <mergeCell ref="AD217:AF217"/>
    <mergeCell ref="AG233:AG234"/>
    <mergeCell ref="B241:B242"/>
    <mergeCell ref="C241:F241"/>
    <mergeCell ref="H241:K241"/>
    <mergeCell ref="M241:P241"/>
    <mergeCell ref="R241:U241"/>
    <mergeCell ref="W241:Z241"/>
    <mergeCell ref="AA241:AA242"/>
    <mergeCell ref="AB241:AB242"/>
    <mergeCell ref="AD241:AF241"/>
    <mergeCell ref="AG241:AG242"/>
    <mergeCell ref="B233:B234"/>
    <mergeCell ref="C233:F233"/>
    <mergeCell ref="H233:K233"/>
    <mergeCell ref="M233:P233"/>
    <mergeCell ref="R233:U233"/>
    <mergeCell ref="W233:Z233"/>
    <mergeCell ref="AA233:AA234"/>
    <mergeCell ref="AB233:AB234"/>
    <mergeCell ref="AD233:AF233"/>
    <mergeCell ref="B281:B282"/>
    <mergeCell ref="C281:F281"/>
    <mergeCell ref="H281:K281"/>
    <mergeCell ref="AG249:AG250"/>
    <mergeCell ref="B257:B258"/>
    <mergeCell ref="C257:F257"/>
    <mergeCell ref="H257:K257"/>
    <mergeCell ref="M257:P257"/>
    <mergeCell ref="R257:U257"/>
    <mergeCell ref="W257:Z257"/>
    <mergeCell ref="AA257:AA258"/>
    <mergeCell ref="AB257:AB258"/>
    <mergeCell ref="AD257:AF257"/>
    <mergeCell ref="AG257:AG258"/>
    <mergeCell ref="B249:B250"/>
    <mergeCell ref="C249:F249"/>
    <mergeCell ref="H249:K249"/>
    <mergeCell ref="M249:P249"/>
    <mergeCell ref="R249:U249"/>
    <mergeCell ref="W249:Z249"/>
    <mergeCell ref="AA249:AA250"/>
    <mergeCell ref="AB249:AB250"/>
    <mergeCell ref="AD249:AF249"/>
    <mergeCell ref="B265:B266"/>
    <mergeCell ref="C265:F265"/>
    <mergeCell ref="H265:K265"/>
    <mergeCell ref="M265:P265"/>
    <mergeCell ref="R265:U265"/>
    <mergeCell ref="W265:Z265"/>
    <mergeCell ref="AA265:AA266"/>
    <mergeCell ref="AB265:AB266"/>
    <mergeCell ref="AD265:AF265"/>
    <mergeCell ref="B273:B274"/>
    <mergeCell ref="C273:F273"/>
    <mergeCell ref="H273:K273"/>
    <mergeCell ref="M273:P273"/>
    <mergeCell ref="R273:U273"/>
    <mergeCell ref="W273:Z273"/>
    <mergeCell ref="AA273:AA274"/>
    <mergeCell ref="AB273:AB274"/>
    <mergeCell ref="AD273:AF273"/>
    <mergeCell ref="AG289:AG290"/>
    <mergeCell ref="M281:P281"/>
    <mergeCell ref="R281:U281"/>
    <mergeCell ref="W281:Z281"/>
    <mergeCell ref="AA281:AA282"/>
    <mergeCell ref="AB281:AB282"/>
    <mergeCell ref="AD281:AF281"/>
    <mergeCell ref="AG281:AG282"/>
    <mergeCell ref="AG265:AG266"/>
    <mergeCell ref="AG273:AG274"/>
    <mergeCell ref="B289:B290"/>
    <mergeCell ref="C289:F289"/>
    <mergeCell ref="H289:K289"/>
    <mergeCell ref="M289:P289"/>
    <mergeCell ref="R289:U289"/>
    <mergeCell ref="W289:Z289"/>
    <mergeCell ref="AA289:AA290"/>
    <mergeCell ref="AB289:AB290"/>
    <mergeCell ref="AD289:AF289"/>
    <mergeCell ref="AG297:AG298"/>
    <mergeCell ref="B305:B306"/>
    <mergeCell ref="C305:F305"/>
    <mergeCell ref="H305:K305"/>
    <mergeCell ref="M305:P305"/>
    <mergeCell ref="R305:U305"/>
    <mergeCell ref="W305:Z305"/>
    <mergeCell ref="AA305:AA306"/>
    <mergeCell ref="AB305:AB306"/>
    <mergeCell ref="AD305:AF305"/>
    <mergeCell ref="AG305:AG306"/>
    <mergeCell ref="B297:B298"/>
    <mergeCell ref="C297:F297"/>
    <mergeCell ref="H297:K297"/>
    <mergeCell ref="M297:P297"/>
    <mergeCell ref="R297:U297"/>
    <mergeCell ref="W297:Z297"/>
    <mergeCell ref="AA297:AA298"/>
    <mergeCell ref="AB297:AB298"/>
    <mergeCell ref="AD297:AF297"/>
    <mergeCell ref="AG313:AG314"/>
    <mergeCell ref="B321:B322"/>
    <mergeCell ref="C321:F321"/>
    <mergeCell ref="H321:K321"/>
    <mergeCell ref="M321:P321"/>
    <mergeCell ref="R321:U321"/>
    <mergeCell ref="W321:Z321"/>
    <mergeCell ref="AA321:AA322"/>
    <mergeCell ref="AB321:AB322"/>
    <mergeCell ref="AD321:AF321"/>
    <mergeCell ref="AG321:AG322"/>
    <mergeCell ref="B313:B314"/>
    <mergeCell ref="C313:F313"/>
    <mergeCell ref="H313:K313"/>
    <mergeCell ref="M313:P313"/>
    <mergeCell ref="R313:U313"/>
    <mergeCell ref="W313:Z313"/>
    <mergeCell ref="AA313:AA314"/>
    <mergeCell ref="AB313:AB314"/>
    <mergeCell ref="AD313:AF313"/>
    <mergeCell ref="AG329:AG330"/>
    <mergeCell ref="B337:B338"/>
    <mergeCell ref="C337:F337"/>
    <mergeCell ref="H337:K337"/>
    <mergeCell ref="M337:P337"/>
    <mergeCell ref="R337:U337"/>
    <mergeCell ref="W337:Z337"/>
    <mergeCell ref="AA337:AA338"/>
    <mergeCell ref="AB337:AB338"/>
    <mergeCell ref="AD337:AF337"/>
    <mergeCell ref="AG337:AG338"/>
    <mergeCell ref="B329:B330"/>
    <mergeCell ref="C329:F329"/>
    <mergeCell ref="H329:K329"/>
    <mergeCell ref="M329:P329"/>
    <mergeCell ref="R329:U329"/>
    <mergeCell ref="W329:Z329"/>
    <mergeCell ref="AA329:AA330"/>
    <mergeCell ref="AB329:AB330"/>
    <mergeCell ref="AD329:AF329"/>
    <mergeCell ref="AG345:AG346"/>
    <mergeCell ref="B353:B354"/>
    <mergeCell ref="C353:F353"/>
    <mergeCell ref="H353:K353"/>
    <mergeCell ref="M353:P353"/>
    <mergeCell ref="R353:U353"/>
    <mergeCell ref="W353:Z353"/>
    <mergeCell ref="AA353:AA354"/>
    <mergeCell ref="AB353:AB354"/>
    <mergeCell ref="AD353:AF353"/>
    <mergeCell ref="AG353:AG354"/>
    <mergeCell ref="B345:B346"/>
    <mergeCell ref="C345:F345"/>
    <mergeCell ref="H345:K345"/>
    <mergeCell ref="M345:P345"/>
    <mergeCell ref="R345:U345"/>
    <mergeCell ref="W345:Z345"/>
    <mergeCell ref="AA345:AA346"/>
    <mergeCell ref="AB345:AB346"/>
    <mergeCell ref="AD345:AF345"/>
    <mergeCell ref="AG673:AG674"/>
    <mergeCell ref="B681:B682"/>
    <mergeCell ref="C681:F681"/>
    <mergeCell ref="H681:K681"/>
    <mergeCell ref="M681:P681"/>
    <mergeCell ref="R681:U681"/>
    <mergeCell ref="W681:Z681"/>
    <mergeCell ref="AA681:AA682"/>
    <mergeCell ref="AB681:AB682"/>
    <mergeCell ref="AD681:AF681"/>
    <mergeCell ref="AG681:AG682"/>
    <mergeCell ref="B673:B674"/>
    <mergeCell ref="C673:F673"/>
    <mergeCell ref="H673:K673"/>
    <mergeCell ref="M673:P673"/>
    <mergeCell ref="R673:U673"/>
    <mergeCell ref="W673:Z673"/>
    <mergeCell ref="AA673:AA674"/>
    <mergeCell ref="AB673:AB674"/>
    <mergeCell ref="AD673:AF673"/>
    <mergeCell ref="AG689:AG690"/>
    <mergeCell ref="B698:B699"/>
    <mergeCell ref="C698:F698"/>
    <mergeCell ref="H698:K698"/>
    <mergeCell ref="M698:P698"/>
    <mergeCell ref="R698:U698"/>
    <mergeCell ref="W698:Z698"/>
    <mergeCell ref="AA698:AA699"/>
    <mergeCell ref="AB698:AB699"/>
    <mergeCell ref="AD698:AF698"/>
    <mergeCell ref="AG698:AG699"/>
    <mergeCell ref="B689:B690"/>
    <mergeCell ref="C689:F689"/>
    <mergeCell ref="H689:K689"/>
    <mergeCell ref="M689:P689"/>
    <mergeCell ref="R689:U689"/>
    <mergeCell ref="W689:Z689"/>
    <mergeCell ref="AA689:AA690"/>
    <mergeCell ref="AB689:AB690"/>
    <mergeCell ref="AD689:AF689"/>
  </mergeCells>
  <conditionalFormatting sqref="AE2:AE3">
    <cfRule type="cellIs" dxfId="15" priority="1" operator="lessThan">
      <formula>0</formula>
    </cfRule>
  </conditionalFormatting>
  <pageMargins left="0.7" right="0.7" top="0.75" bottom="0.75" header="0.3" footer="0.3"/>
  <pageSetup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5"/>
  <dimension ref="A1:AX1051"/>
  <sheetViews>
    <sheetView topLeftCell="B1001" zoomScale="80" zoomScaleNormal="80" workbookViewId="0">
      <pane xSplit="1" topLeftCell="C1" activePane="topRight" state="frozen"/>
      <selection pane="topRight" activeCell="B2" sqref="B2"/>
      <selection activeCell="B2" sqref="B2"/>
    </sheetView>
  </sheetViews>
  <sheetFormatPr defaultColWidth="9.42578125" defaultRowHeight="13.5"/>
  <cols>
    <col min="1" max="1" width="12.5703125" style="313" hidden="1" customWidth="1"/>
    <col min="2" max="2" width="34.28515625" style="313" customWidth="1"/>
    <col min="3" max="3" width="7.7109375" style="180" customWidth="1"/>
    <col min="4" max="4" width="7.42578125" style="180" customWidth="1"/>
    <col min="5" max="5" width="6.42578125" style="374" customWidth="1"/>
    <col min="6" max="6" width="6.42578125" style="649" customWidth="1"/>
    <col min="7" max="7" width="1" style="374" customWidth="1"/>
    <col min="8" max="9" width="6.42578125" style="180" customWidth="1"/>
    <col min="10" max="10" width="5.5703125" style="374" customWidth="1"/>
    <col min="11" max="11" width="6.42578125" style="649" customWidth="1"/>
    <col min="12" max="12" width="1" style="374" customWidth="1"/>
    <col min="13" max="14" width="7.42578125" style="180" customWidth="1"/>
    <col min="15" max="15" width="6.42578125" style="374" customWidth="1"/>
    <col min="16" max="16" width="6.42578125" style="649" customWidth="1"/>
    <col min="17" max="17" width="1" style="4" customWidth="1"/>
    <col min="18" max="19" width="7.42578125" style="180" customWidth="1"/>
    <col min="20" max="20" width="6.42578125" style="374" customWidth="1"/>
    <col min="21" max="21" width="6.42578125" style="649" customWidth="1"/>
    <col min="22" max="22" width="1" style="4" customWidth="1"/>
    <col min="23" max="24" width="6.42578125" style="180" customWidth="1"/>
    <col min="25" max="25" width="6.42578125" style="374" customWidth="1"/>
    <col min="26" max="26" width="6.42578125" style="649" customWidth="1"/>
    <col min="27" max="27" width="10.140625" style="374" bestFit="1" customWidth="1"/>
    <col min="28" max="28" width="12.85546875" style="374" bestFit="1" customWidth="1"/>
    <col min="29" max="29" width="1" style="374" customWidth="1"/>
    <col min="30" max="30" width="7.5703125" style="180" customWidth="1"/>
    <col min="31" max="31" width="9.28515625" style="180" customWidth="1"/>
    <col min="32" max="32" width="6.42578125" style="180" customWidth="1"/>
    <col min="33" max="33" width="7.5703125" style="180" customWidth="1"/>
    <col min="34" max="34" width="2.42578125" style="4" customWidth="1"/>
    <col min="35" max="35" width="2.42578125" style="255" customWidth="1"/>
    <col min="36" max="36" width="1.42578125" style="180" customWidth="1"/>
    <col min="37" max="37" width="13.5703125" style="193" bestFit="1" customWidth="1"/>
    <col min="38" max="38" width="13" style="193" customWidth="1"/>
    <col min="39" max="39" width="9.42578125" style="193"/>
    <col min="40" max="40" width="10.7109375" style="193" customWidth="1"/>
    <col min="41" max="42" width="9.42578125" style="193"/>
    <col min="43" max="49" width="9.42578125" style="180"/>
    <col min="50" max="16384" width="9.42578125" style="313"/>
  </cols>
  <sheetData>
    <row r="1" spans="1:49" s="180" customFormat="1" ht="33" customHeight="1">
      <c r="E1" s="4"/>
      <c r="F1" s="644"/>
      <c r="G1" s="4"/>
      <c r="J1" s="4"/>
      <c r="K1" s="644"/>
      <c r="L1" s="4"/>
      <c r="O1" s="4"/>
      <c r="P1" s="644"/>
      <c r="Q1" s="4"/>
      <c r="S1" s="1520" t="s">
        <v>322</v>
      </c>
      <c r="T1" s="1520"/>
      <c r="U1" s="1520"/>
      <c r="V1" s="1520"/>
      <c r="W1" s="1520"/>
      <c r="X1" s="1520"/>
      <c r="Y1" s="1520"/>
      <c r="Z1" s="1520"/>
      <c r="AA1" s="1520"/>
      <c r="AB1" s="1520"/>
      <c r="AC1" s="1520"/>
      <c r="AD1" s="1520"/>
      <c r="AE1" s="1520"/>
      <c r="AF1" s="1520"/>
      <c r="AG1" s="1520"/>
      <c r="AH1" s="4"/>
      <c r="AI1" s="255"/>
      <c r="AK1" s="1517" t="s">
        <v>323</v>
      </c>
      <c r="AL1" s="1517"/>
      <c r="AM1" s="1517"/>
      <c r="AN1" s="1517"/>
      <c r="AO1" s="1517"/>
      <c r="AP1" s="1517"/>
    </row>
    <row r="2" spans="1:49" s="180" customFormat="1" ht="13.5" customHeight="1">
      <c r="E2" s="4"/>
      <c r="F2" s="644"/>
      <c r="G2" s="4"/>
      <c r="J2" s="4"/>
      <c r="K2" s="644"/>
      <c r="L2" s="4"/>
      <c r="O2" s="4"/>
      <c r="P2" s="644"/>
      <c r="Q2" s="4"/>
      <c r="S2" s="258"/>
      <c r="T2" s="258"/>
      <c r="U2" s="644"/>
      <c r="V2" s="258"/>
      <c r="W2" s="258"/>
      <c r="X2" s="657"/>
      <c r="Y2" s="657" t="s">
        <v>2</v>
      </c>
      <c r="Z2" s="658"/>
      <c r="AA2" s="659">
        <v>13940</v>
      </c>
      <c r="AB2" s="37"/>
      <c r="AC2" s="657"/>
      <c r="AD2" s="651" t="s">
        <v>942</v>
      </c>
      <c r="AE2" s="1562">
        <f>(AA2+2649)-((3534.18)+(AA5+AE5))</f>
        <v>-2160.6899999999951</v>
      </c>
      <c r="AF2" s="1562"/>
      <c r="AH2" s="4"/>
      <c r="AI2" s="255"/>
      <c r="AK2" s="1521" t="s">
        <v>324</v>
      </c>
      <c r="AL2" s="1521"/>
      <c r="AM2" s="1521"/>
      <c r="AN2" s="1521"/>
      <c r="AO2" s="1521"/>
      <c r="AP2" s="1521"/>
    </row>
    <row r="3" spans="1:49" s="180" customFormat="1" ht="13.5" customHeight="1">
      <c r="E3" s="4"/>
      <c r="F3" s="644"/>
      <c r="G3" s="4"/>
      <c r="J3" s="4"/>
      <c r="K3" s="644"/>
      <c r="L3" s="4"/>
      <c r="O3" s="4"/>
      <c r="P3" s="644"/>
      <c r="Q3" s="4"/>
      <c r="S3" s="258"/>
      <c r="T3" s="258"/>
      <c r="U3" s="644"/>
      <c r="V3" s="258"/>
      <c r="W3" s="258"/>
      <c r="X3" s="657"/>
      <c r="Y3" s="657" t="s">
        <v>5</v>
      </c>
      <c r="Z3" s="658"/>
      <c r="AA3" s="660">
        <v>980</v>
      </c>
      <c r="AB3" s="37"/>
      <c r="AC3" s="657"/>
      <c r="AD3" s="651" t="s">
        <v>944</v>
      </c>
      <c r="AE3" s="1563">
        <f>AA3-((159.15)+(AA6+AE6))</f>
        <v>-52.900000000000091</v>
      </c>
      <c r="AF3" s="1563"/>
      <c r="AH3" s="4"/>
      <c r="AI3" s="255"/>
      <c r="AK3" s="192" t="s">
        <v>6</v>
      </c>
      <c r="AL3" s="193"/>
      <c r="AM3" s="193"/>
      <c r="AN3" s="193"/>
      <c r="AO3" s="193"/>
      <c r="AP3" s="193"/>
    </row>
    <row r="4" spans="1:49" s="180" customFormat="1" ht="13.5" customHeight="1">
      <c r="E4" s="4"/>
      <c r="F4" s="644"/>
      <c r="G4" s="4"/>
      <c r="J4" s="4"/>
      <c r="K4" s="644"/>
      <c r="L4" s="4"/>
      <c r="O4" s="4"/>
      <c r="P4" s="644"/>
      <c r="Q4" s="4"/>
      <c r="S4" s="258"/>
      <c r="T4" s="258"/>
      <c r="U4" s="644"/>
      <c r="V4" s="258"/>
      <c r="W4" s="258"/>
      <c r="X4" s="657"/>
      <c r="Y4" s="657" t="s">
        <v>7</v>
      </c>
      <c r="Z4" s="658"/>
      <c r="AA4" s="659">
        <v>3440</v>
      </c>
      <c r="AB4" s="37"/>
      <c r="AC4" s="657"/>
      <c r="AD4" s="651" t="s">
        <v>945</v>
      </c>
      <c r="AE4" s="1562">
        <f>(AA4-AA7)-2237</f>
        <v>0</v>
      </c>
      <c r="AF4" s="1562"/>
      <c r="AH4" s="4"/>
      <c r="AI4" s="255"/>
      <c r="AK4" s="193" t="s">
        <v>8</v>
      </c>
      <c r="AL4" s="193"/>
      <c r="AM4" s="193"/>
      <c r="AN4" s="193"/>
      <c r="AO4" s="193"/>
      <c r="AP4" s="193"/>
    </row>
    <row r="5" spans="1:49" s="180" customFormat="1" ht="13.5" customHeight="1">
      <c r="E5" s="4"/>
      <c r="F5" s="644"/>
      <c r="G5" s="4"/>
      <c r="J5" s="4"/>
      <c r="K5" s="644"/>
      <c r="L5" s="4"/>
      <c r="O5" s="4"/>
      <c r="P5" s="650"/>
      <c r="Q5" s="4"/>
      <c r="S5" s="258"/>
      <c r="T5" s="258"/>
      <c r="U5" s="644"/>
      <c r="V5" s="258"/>
      <c r="W5" s="258"/>
      <c r="X5" s="38"/>
      <c r="Y5" s="657" t="s">
        <v>9</v>
      </c>
      <c r="Z5" s="658"/>
      <c r="AA5" s="661">
        <f>AA59+AA105+AA146+AA187+AA228+AA269+AA310+AA355+AA400+AA445+AA490+AA535+AA578+AA622+AA665+AA704+AA743+AA782+AA820+AA861+AA896+AA934+AA971+AA1008+AA1046</f>
        <v>14820.869999999997</v>
      </c>
      <c r="AB5" s="37"/>
      <c r="AC5" s="38"/>
      <c r="AD5" s="652" t="s">
        <v>10</v>
      </c>
      <c r="AE5" s="1563">
        <f>AG59+AB59+AB105+AG105+AB146+AG146+AB187+AG187+AB228+AG228+AB269+AG269+AB310+AG310+AB355+AG355+AB400+AG400+AB445+AG445+AB490+AG490+AB535+AG535+AB578+AG578+AB622+AG622+AB665+AG665+AB704+AG704+AB743+AG743+AB782+AG782+AB820+AG820+AB861+AG861+AB896+AG896+AB934+AG934+AB971+AG971+AB1008+AG1008+AB1046+AG1046</f>
        <v>394.64</v>
      </c>
      <c r="AF5" s="1563"/>
      <c r="AH5" s="4"/>
      <c r="AI5" s="255"/>
      <c r="AK5" s="193" t="s">
        <v>11</v>
      </c>
      <c r="AL5" s="193"/>
      <c r="AM5" s="193"/>
      <c r="AN5" s="193"/>
      <c r="AO5" s="193"/>
      <c r="AP5" s="193"/>
    </row>
    <row r="6" spans="1:49" s="180" customFormat="1" ht="13.5" customHeight="1">
      <c r="E6" s="4"/>
      <c r="F6" s="644"/>
      <c r="G6" s="4"/>
      <c r="J6" s="4"/>
      <c r="K6" s="644"/>
      <c r="L6" s="4"/>
      <c r="O6" s="4"/>
      <c r="P6" s="644"/>
      <c r="Q6" s="4"/>
      <c r="S6" s="258"/>
      <c r="U6" s="644"/>
      <c r="V6" s="258"/>
      <c r="X6" s="38"/>
      <c r="Y6" s="657" t="s">
        <v>12</v>
      </c>
      <c r="Z6" s="658"/>
      <c r="AA6" s="661">
        <f>AA61+AA107+AA148+AA189+AA230+AA271+AA312+AA357+AA402+AA447+AA492+AA537+AA580+AA624+AA667+AA706+AA745+AA784+AA822+AA863+AA898+AA936+AA973+AA1010+AA1048</f>
        <v>776.75</v>
      </c>
      <c r="AB6" s="37"/>
      <c r="AC6" s="38"/>
      <c r="AD6" s="652" t="s">
        <v>13</v>
      </c>
      <c r="AE6" s="1563">
        <f>AG61+AB61+AB107+AG107+AB148+AG148+AB189+AG189+AB230+AG230+AB271+AG271+AB312+AG312+AB357+AG357+AB402+AG402+AB447+AG447+AB492+AG492+AB537+AG537+AB580+AG580+AB624+AG624+AB667+AG667+AB706+AG706+AB745+AG745+AB784+AG784+AB822+AG822+AB863+AG863+AB898+AG898+AB936+AG936+AB973+AG973+AB1010+AG1010+AB1048+AG1048</f>
        <v>97</v>
      </c>
      <c r="AF6" s="1563"/>
      <c r="AH6" s="4"/>
      <c r="AI6" s="255"/>
      <c r="AK6" s="310" t="s">
        <v>14</v>
      </c>
      <c r="AL6" s="465" t="s">
        <v>325</v>
      </c>
      <c r="AM6" s="193"/>
      <c r="AN6" s="193"/>
      <c r="AO6" s="193"/>
      <c r="AP6" s="193"/>
    </row>
    <row r="7" spans="1:49" s="180" customFormat="1" ht="13.5" customHeight="1">
      <c r="E7" s="4"/>
      <c r="F7" s="644"/>
      <c r="G7" s="4"/>
      <c r="J7" s="4"/>
      <c r="K7" s="644"/>
      <c r="L7" s="4"/>
      <c r="O7" s="4"/>
      <c r="P7" s="644"/>
      <c r="Q7" s="4"/>
      <c r="S7" s="258"/>
      <c r="U7" s="644"/>
      <c r="V7" s="258"/>
      <c r="X7" s="38"/>
      <c r="Y7" s="657" t="s">
        <v>15</v>
      </c>
      <c r="Z7" s="658"/>
      <c r="AA7" s="661">
        <f>C62+C108+C149+C190+C231+C272+C313+C358+C403+C448+C493+C538+C581+C625+C668+C707+C746+C785+C823+C864+C899+C937+C974+C1011+C1049</f>
        <v>1203</v>
      </c>
      <c r="AB7" s="37"/>
      <c r="AC7" s="38"/>
      <c r="AD7" s="38"/>
      <c r="AE7" s="154"/>
      <c r="AF7" s="38"/>
      <c r="AH7" s="4"/>
      <c r="AI7" s="255"/>
      <c r="AK7" s="202" t="s">
        <v>16</v>
      </c>
      <c r="AL7" s="193"/>
      <c r="AM7" s="193"/>
      <c r="AN7" s="193"/>
      <c r="AO7" s="193"/>
      <c r="AP7" s="193"/>
    </row>
    <row r="8" spans="1:49" s="180" customFormat="1" ht="13.5" customHeight="1">
      <c r="E8" s="4"/>
      <c r="F8" s="644"/>
      <c r="G8" s="4"/>
      <c r="J8" s="4"/>
      <c r="K8" s="644"/>
      <c r="L8" s="4"/>
      <c r="O8" s="4"/>
      <c r="P8" s="644"/>
      <c r="Q8" s="4"/>
      <c r="S8" s="258"/>
      <c r="U8" s="644"/>
      <c r="V8" s="258"/>
      <c r="X8" s="38"/>
      <c r="Y8" s="38"/>
      <c r="Z8" s="658"/>
      <c r="AA8" s="662"/>
      <c r="AB8" s="37"/>
      <c r="AC8" s="38"/>
      <c r="AD8" s="38"/>
      <c r="AE8" s="38"/>
      <c r="AF8" s="38"/>
      <c r="AH8" s="4"/>
      <c r="AI8" s="255"/>
      <c r="AK8" s="203" t="s">
        <v>17</v>
      </c>
      <c r="AL8" s="193"/>
      <c r="AM8" s="193"/>
      <c r="AN8" s="193"/>
      <c r="AO8" s="193"/>
      <c r="AP8" s="193"/>
    </row>
    <row r="9" spans="1:49" s="180" customFormat="1" ht="6.75" customHeight="1">
      <c r="E9" s="4"/>
      <c r="F9" s="644"/>
      <c r="G9" s="4"/>
      <c r="J9" s="4"/>
      <c r="K9" s="644"/>
      <c r="L9" s="4"/>
      <c r="O9" s="4"/>
      <c r="P9" s="644"/>
      <c r="Q9" s="4"/>
      <c r="S9" s="258"/>
      <c r="T9" s="258"/>
      <c r="U9" s="644"/>
      <c r="V9" s="258"/>
      <c r="X9" s="258"/>
      <c r="Y9" s="258"/>
      <c r="Z9" s="644"/>
      <c r="AA9" s="362"/>
      <c r="AB9" s="4"/>
      <c r="AC9" s="258"/>
      <c r="AD9" s="363"/>
      <c r="AG9" s="259"/>
      <c r="AH9" s="4"/>
      <c r="AI9" s="255"/>
      <c r="AK9" s="193"/>
      <c r="AL9" s="193"/>
      <c r="AM9" s="193"/>
      <c r="AN9" s="193"/>
      <c r="AO9" s="193"/>
      <c r="AP9" s="193"/>
    </row>
    <row r="10" spans="1:49" s="180" customFormat="1" ht="20.25" customHeight="1">
      <c r="A10" s="313"/>
      <c r="E10" s="4"/>
      <c r="F10" s="644"/>
      <c r="G10" s="4"/>
      <c r="J10" s="4"/>
      <c r="K10" s="644"/>
      <c r="L10" s="4"/>
      <c r="O10" s="4"/>
      <c r="P10" s="644"/>
      <c r="Q10" s="4"/>
      <c r="T10" s="4"/>
      <c r="U10" s="644"/>
      <c r="V10" s="4"/>
      <c r="Y10" s="4"/>
      <c r="Z10" s="644"/>
      <c r="AA10" s="4"/>
      <c r="AB10" s="4"/>
      <c r="AC10" s="4"/>
      <c r="AH10" s="4"/>
      <c r="AI10" s="255"/>
    </row>
    <row r="11" spans="1:49" s="180" customFormat="1" ht="13.5" customHeight="1">
      <c r="A11" s="228"/>
      <c r="B11" s="229"/>
      <c r="C11" s="230"/>
      <c r="D11" s="230"/>
      <c r="E11" s="232"/>
      <c r="F11" s="232"/>
      <c r="G11" s="230"/>
      <c r="H11" s="232"/>
      <c r="I11" s="232"/>
      <c r="J11" s="232"/>
      <c r="K11" s="232"/>
      <c r="L11" s="230"/>
      <c r="M11" s="230"/>
      <c r="N11" s="230"/>
      <c r="O11" s="230"/>
      <c r="P11" s="232"/>
      <c r="Q11" s="230"/>
      <c r="R11" s="230"/>
      <c r="S11" s="230"/>
      <c r="T11" s="230"/>
      <c r="U11" s="232"/>
      <c r="V11" s="230"/>
      <c r="W11" s="230"/>
      <c r="X11" s="230"/>
      <c r="Y11" s="233"/>
      <c r="Z11" s="232"/>
      <c r="AA11" s="234"/>
      <c r="AB11" s="232"/>
      <c r="AC11" s="373"/>
      <c r="AD11" s="236"/>
      <c r="AE11" s="255"/>
      <c r="AF11" s="255"/>
      <c r="AG11" s="255"/>
      <c r="AH11" s="373"/>
      <c r="AI11" s="255"/>
      <c r="AJ11" s="255"/>
      <c r="AK11" s="255"/>
      <c r="AL11" s="255"/>
      <c r="AM11" s="255"/>
      <c r="AN11" s="255"/>
      <c r="AO11" s="255"/>
      <c r="AP11" s="255"/>
      <c r="AQ11" s="255"/>
      <c r="AR11" s="255"/>
      <c r="AS11" s="255"/>
      <c r="AT11" s="255"/>
      <c r="AU11" s="255"/>
      <c r="AV11" s="255"/>
      <c r="AW11" s="255"/>
    </row>
    <row r="12" spans="1:49">
      <c r="A12" s="180"/>
      <c r="B12" s="229"/>
      <c r="C12" s="230"/>
      <c r="D12" s="230"/>
      <c r="E12" s="232"/>
      <c r="F12" s="232"/>
      <c r="G12" s="230"/>
      <c r="H12" s="232"/>
      <c r="I12" s="232"/>
      <c r="J12" s="232"/>
      <c r="K12" s="232"/>
      <c r="L12" s="230"/>
      <c r="M12" s="230"/>
      <c r="N12" s="230"/>
      <c r="O12" s="230"/>
      <c r="P12" s="232"/>
      <c r="Q12" s="230"/>
      <c r="R12" s="230"/>
      <c r="S12" s="230"/>
      <c r="T12" s="230"/>
      <c r="U12" s="232"/>
      <c r="V12" s="230"/>
      <c r="W12" s="230"/>
      <c r="X12" s="230"/>
      <c r="Y12" s="233"/>
      <c r="Z12" s="232"/>
      <c r="AA12" s="234"/>
      <c r="AB12" s="232"/>
      <c r="AC12" s="373"/>
      <c r="AD12" s="236"/>
      <c r="AE12" s="255"/>
      <c r="AF12" s="255"/>
      <c r="AG12" s="255"/>
      <c r="AH12" s="255"/>
      <c r="AJ12" s="255"/>
      <c r="AK12" s="255"/>
      <c r="AL12" s="255"/>
      <c r="AM12" s="255"/>
      <c r="AN12" s="255"/>
      <c r="AO12" s="255"/>
      <c r="AP12" s="255"/>
      <c r="AQ12" s="255"/>
      <c r="AR12" s="255"/>
      <c r="AS12" s="255"/>
      <c r="AT12" s="255"/>
      <c r="AU12" s="255"/>
      <c r="AV12" s="255"/>
      <c r="AW12" s="255"/>
    </row>
    <row r="13" spans="1:49">
      <c r="B13" s="180"/>
      <c r="E13" s="4"/>
      <c r="F13" s="644"/>
      <c r="G13" s="4"/>
      <c r="J13" s="4"/>
      <c r="K13" s="644"/>
      <c r="L13" s="4"/>
      <c r="O13" s="4"/>
      <c r="P13" s="644"/>
      <c r="T13" s="4"/>
      <c r="U13" s="644"/>
      <c r="Y13" s="4"/>
      <c r="Z13" s="644"/>
      <c r="AA13" s="4"/>
      <c r="AB13" s="4"/>
      <c r="AC13" s="4"/>
      <c r="AK13" s="180"/>
      <c r="AL13" s="180"/>
      <c r="AM13" s="180"/>
      <c r="AN13" s="180"/>
      <c r="AO13" s="180"/>
      <c r="AP13" s="180"/>
    </row>
    <row r="14" spans="1:49">
      <c r="A14" s="180"/>
      <c r="B14" s="229"/>
      <c r="C14" s="230"/>
      <c r="D14" s="230"/>
      <c r="E14" s="232"/>
      <c r="F14" s="232"/>
      <c r="G14" s="230"/>
      <c r="H14" s="232"/>
      <c r="I14" s="232"/>
      <c r="J14" s="232"/>
      <c r="K14" s="232"/>
      <c r="L14" s="230"/>
      <c r="M14" s="230"/>
      <c r="N14" s="230"/>
      <c r="O14" s="230"/>
      <c r="P14" s="232"/>
      <c r="Q14" s="230"/>
      <c r="R14" s="230"/>
      <c r="S14" s="230"/>
      <c r="T14" s="230"/>
      <c r="U14" s="232"/>
      <c r="V14" s="230"/>
      <c r="W14" s="230"/>
      <c r="X14" s="230"/>
      <c r="Y14" s="233"/>
      <c r="Z14" s="232"/>
      <c r="AA14" s="234"/>
      <c r="AB14" s="232"/>
      <c r="AC14" s="373"/>
      <c r="AD14" s="236"/>
      <c r="AE14" s="255"/>
      <c r="AF14" s="255"/>
      <c r="AG14" s="255"/>
      <c r="AH14" s="255"/>
      <c r="AJ14" s="255"/>
      <c r="AK14" s="255"/>
      <c r="AL14" s="255"/>
      <c r="AM14" s="255"/>
      <c r="AN14" s="255"/>
      <c r="AO14" s="255"/>
      <c r="AP14" s="255"/>
      <c r="AQ14" s="255"/>
      <c r="AR14" s="255"/>
      <c r="AS14" s="255"/>
      <c r="AT14" s="255"/>
      <c r="AU14" s="255"/>
      <c r="AV14" s="255"/>
      <c r="AW14" s="255"/>
    </row>
    <row r="15" spans="1:49">
      <c r="B15" s="180"/>
      <c r="E15" s="4"/>
      <c r="F15" s="644"/>
      <c r="G15" s="4"/>
      <c r="J15" s="4"/>
      <c r="K15" s="644"/>
      <c r="L15" s="4"/>
      <c r="O15" s="4"/>
      <c r="P15" s="644"/>
      <c r="T15" s="4"/>
      <c r="U15" s="644"/>
      <c r="Y15" s="4"/>
      <c r="Z15" s="644"/>
      <c r="AA15" s="4"/>
      <c r="AB15" s="4"/>
      <c r="AC15" s="4"/>
      <c r="AK15" s="180"/>
      <c r="AL15" s="180"/>
      <c r="AM15" s="180"/>
      <c r="AN15" s="180"/>
      <c r="AO15" s="180"/>
      <c r="AP15" s="180"/>
    </row>
    <row r="16" spans="1:49">
      <c r="A16" s="228"/>
      <c r="B16" s="1518" t="s">
        <v>18</v>
      </c>
      <c r="C16" s="1519">
        <v>45544</v>
      </c>
      <c r="D16" s="1519"/>
      <c r="E16" s="1519"/>
      <c r="F16" s="1519"/>
      <c r="G16" s="365"/>
      <c r="H16" s="1519">
        <v>45545</v>
      </c>
      <c r="I16" s="1519"/>
      <c r="J16" s="1519"/>
      <c r="K16" s="1519"/>
      <c r="L16" s="365"/>
      <c r="M16" s="1519">
        <v>45546</v>
      </c>
      <c r="N16" s="1519"/>
      <c r="O16" s="1519"/>
      <c r="P16" s="1519"/>
      <c r="Q16" s="365"/>
      <c r="R16" s="1519">
        <v>45547</v>
      </c>
      <c r="S16" s="1519"/>
      <c r="T16" s="1519"/>
      <c r="U16" s="1519"/>
      <c r="V16" s="365"/>
      <c r="W16" s="1519">
        <v>45548</v>
      </c>
      <c r="X16" s="1519"/>
      <c r="Y16" s="1519"/>
      <c r="Z16" s="1519"/>
      <c r="AA16" s="1517" t="s">
        <v>19</v>
      </c>
      <c r="AB16" s="1517" t="s">
        <v>20</v>
      </c>
      <c r="AC16" s="4"/>
      <c r="AD16" s="1519">
        <v>45528</v>
      </c>
      <c r="AE16" s="1519"/>
      <c r="AF16" s="1519"/>
      <c r="AG16" s="1517" t="s">
        <v>21</v>
      </c>
      <c r="AI16" s="368"/>
      <c r="AK16" s="194" t="s">
        <v>84</v>
      </c>
      <c r="AL16" s="366"/>
      <c r="AM16" s="366"/>
      <c r="AN16" s="366"/>
      <c r="AO16" s="366"/>
      <c r="AP16" s="366"/>
    </row>
    <row r="17" spans="1:49">
      <c r="A17" s="180"/>
      <c r="B17" s="1518"/>
      <c r="C17" s="21" t="s">
        <v>23</v>
      </c>
      <c r="D17" s="21" t="s">
        <v>24</v>
      </c>
      <c r="E17" s="205" t="s">
        <v>25</v>
      </c>
      <c r="F17" s="645" t="s">
        <v>14</v>
      </c>
      <c r="G17" s="4"/>
      <c r="H17" s="21" t="s">
        <v>23</v>
      </c>
      <c r="I17" s="21" t="s">
        <v>24</v>
      </c>
      <c r="J17" s="18" t="s">
        <v>25</v>
      </c>
      <c r="K17" s="645" t="s">
        <v>14</v>
      </c>
      <c r="L17" s="4"/>
      <c r="M17" s="21" t="s">
        <v>23</v>
      </c>
      <c r="N17" s="21" t="s">
        <v>24</v>
      </c>
      <c r="O17" s="18" t="s">
        <v>25</v>
      </c>
      <c r="P17" s="645" t="s">
        <v>14</v>
      </c>
      <c r="R17" s="21" t="s">
        <v>23</v>
      </c>
      <c r="S17" s="21" t="s">
        <v>24</v>
      </c>
      <c r="T17" s="18" t="s">
        <v>25</v>
      </c>
      <c r="U17" s="645" t="s">
        <v>14</v>
      </c>
      <c r="W17" s="21" t="s">
        <v>23</v>
      </c>
      <c r="X17" s="21" t="s">
        <v>24</v>
      </c>
      <c r="Y17" s="18" t="s">
        <v>25</v>
      </c>
      <c r="Z17" s="645" t="s">
        <v>14</v>
      </c>
      <c r="AA17" s="1517"/>
      <c r="AB17" s="1517"/>
      <c r="AC17" s="4"/>
      <c r="AD17" s="21" t="s">
        <v>23</v>
      </c>
      <c r="AE17" s="21" t="s">
        <v>24</v>
      </c>
      <c r="AF17" s="18" t="s">
        <v>25</v>
      </c>
      <c r="AG17" s="1517"/>
      <c r="AI17" s="368"/>
      <c r="AJ17" s="367"/>
      <c r="AK17" s="188" t="s">
        <v>26</v>
      </c>
      <c r="AL17" s="196">
        <f>AA59</f>
        <v>666.37</v>
      </c>
      <c r="AM17" s="510">
        <v>39.14</v>
      </c>
      <c r="AN17" s="510">
        <f t="shared" ref="AN17:AN23" si="0">AL17*AM17</f>
        <v>26081.721799999999</v>
      </c>
      <c r="AQ17" s="367"/>
      <c r="AR17" s="367"/>
      <c r="AS17" s="367"/>
      <c r="AT17" s="367"/>
      <c r="AU17" s="367"/>
      <c r="AV17" s="367"/>
      <c r="AW17" s="367"/>
    </row>
    <row r="18" spans="1:49">
      <c r="A18" s="180"/>
      <c r="B18" s="640" t="s">
        <v>957</v>
      </c>
      <c r="C18" s="643"/>
      <c r="D18" s="519"/>
      <c r="E18" s="520"/>
      <c r="F18" s="647"/>
      <c r="G18" s="521"/>
      <c r="H18" s="519"/>
      <c r="I18" s="519"/>
      <c r="J18" s="520"/>
      <c r="K18" s="647"/>
      <c r="L18" s="521"/>
      <c r="M18" s="519"/>
      <c r="N18" s="519"/>
      <c r="O18" s="520"/>
      <c r="P18" s="647"/>
      <c r="Q18" s="521"/>
      <c r="R18" s="519"/>
      <c r="S18" s="519"/>
      <c r="T18" s="520"/>
      <c r="U18" s="647"/>
      <c r="V18" s="521"/>
      <c r="W18" s="519"/>
      <c r="X18" s="519"/>
      <c r="Y18" s="520"/>
      <c r="Z18" s="646"/>
      <c r="AA18" s="328">
        <f t="shared" ref="AA18:AA30" si="1">(E18+J18+O18+T18+Y18)</f>
        <v>0</v>
      </c>
      <c r="AB18" s="298">
        <f t="shared" ref="AB18:AB30" si="2">Z18+U18+P18+K18+F18</f>
        <v>0</v>
      </c>
      <c r="AC18" s="4"/>
      <c r="AD18" s="587"/>
      <c r="AE18" s="531"/>
      <c r="AF18" s="319"/>
      <c r="AG18" s="328">
        <f>AF18</f>
        <v>0</v>
      </c>
      <c r="AI18" s="368"/>
      <c r="AJ18" s="367"/>
      <c r="AK18" s="188" t="s">
        <v>30</v>
      </c>
      <c r="AL18" s="196">
        <f>AB59</f>
        <v>24.840000000000003</v>
      </c>
      <c r="AM18" s="511">
        <f>AM17*1.5</f>
        <v>58.71</v>
      </c>
      <c r="AN18" s="510">
        <f t="shared" si="0"/>
        <v>1458.3564000000001</v>
      </c>
      <c r="AQ18" s="367"/>
      <c r="AR18" s="367"/>
      <c r="AS18" s="367"/>
      <c r="AT18" s="367"/>
      <c r="AU18" s="367"/>
      <c r="AV18" s="367"/>
      <c r="AW18" s="367"/>
    </row>
    <row r="19" spans="1:49">
      <c r="A19" s="367"/>
      <c r="B19" s="67" t="s">
        <v>958</v>
      </c>
      <c r="C19" s="441" t="s">
        <v>75</v>
      </c>
      <c r="D19" s="47">
        <v>0.25</v>
      </c>
      <c r="E19" s="319">
        <v>8</v>
      </c>
      <c r="F19" s="646"/>
      <c r="G19" s="4"/>
      <c r="H19" s="441" t="s">
        <v>75</v>
      </c>
      <c r="I19" s="47">
        <v>0.25</v>
      </c>
      <c r="J19" s="319">
        <v>8</v>
      </c>
      <c r="K19" s="646"/>
      <c r="L19" s="4"/>
      <c r="M19" s="441" t="s">
        <v>75</v>
      </c>
      <c r="N19" s="47">
        <v>0.25</v>
      </c>
      <c r="O19" s="319">
        <v>8</v>
      </c>
      <c r="P19" s="646"/>
      <c r="R19" s="441" t="s">
        <v>75</v>
      </c>
      <c r="S19" s="47">
        <v>0.25</v>
      </c>
      <c r="T19" s="319">
        <v>8</v>
      </c>
      <c r="U19" s="646"/>
      <c r="W19" s="441" t="s">
        <v>75</v>
      </c>
      <c r="X19" s="47">
        <v>0.25</v>
      </c>
      <c r="Y19" s="319">
        <v>8</v>
      </c>
      <c r="Z19" s="646"/>
      <c r="AA19" s="328">
        <f t="shared" si="1"/>
        <v>40</v>
      </c>
      <c r="AB19" s="298">
        <f t="shared" si="2"/>
        <v>0</v>
      </c>
      <c r="AC19" s="4"/>
      <c r="AF19" s="319"/>
      <c r="AG19" s="328">
        <f>AF19</f>
        <v>0</v>
      </c>
      <c r="AH19" s="175"/>
      <c r="AI19" s="402"/>
      <c r="AJ19" s="367"/>
      <c r="AK19" s="188" t="s">
        <v>32</v>
      </c>
      <c r="AL19" s="196">
        <f>AG59</f>
        <v>0</v>
      </c>
      <c r="AM19" s="510">
        <v>58.71</v>
      </c>
      <c r="AN19" s="510">
        <f t="shared" si="0"/>
        <v>0</v>
      </c>
      <c r="AQ19" s="367"/>
      <c r="AR19" s="367"/>
      <c r="AS19" s="367"/>
      <c r="AT19" s="367"/>
      <c r="AU19" s="367"/>
      <c r="AV19" s="367"/>
      <c r="AW19" s="367"/>
    </row>
    <row r="20" spans="1:49">
      <c r="A20" s="367"/>
      <c r="B20" s="436" t="s">
        <v>959</v>
      </c>
      <c r="C20" s="441" t="s">
        <v>75</v>
      </c>
      <c r="D20" s="47">
        <v>0.25</v>
      </c>
      <c r="E20" s="319">
        <v>8</v>
      </c>
      <c r="F20" s="646"/>
      <c r="G20" s="4"/>
      <c r="H20" s="441" t="s">
        <v>960</v>
      </c>
      <c r="I20" s="47"/>
      <c r="J20" s="319">
        <v>0</v>
      </c>
      <c r="K20" s="646"/>
      <c r="L20" s="4"/>
      <c r="M20" s="441" t="s">
        <v>75</v>
      </c>
      <c r="N20" s="47">
        <v>0.29166666666666669</v>
      </c>
      <c r="O20" s="319">
        <v>8</v>
      </c>
      <c r="P20" s="646">
        <v>1</v>
      </c>
      <c r="R20" s="441" t="s">
        <v>75</v>
      </c>
      <c r="S20" s="47">
        <v>0.25</v>
      </c>
      <c r="T20" s="319">
        <v>8</v>
      </c>
      <c r="U20" s="646"/>
      <c r="W20" s="441" t="s">
        <v>75</v>
      </c>
      <c r="X20" s="47">
        <v>0.25</v>
      </c>
      <c r="Y20" s="319">
        <v>8</v>
      </c>
      <c r="Z20" s="646"/>
      <c r="AA20" s="328">
        <f t="shared" si="1"/>
        <v>32</v>
      </c>
      <c r="AB20" s="298">
        <f t="shared" si="2"/>
        <v>1</v>
      </c>
      <c r="AC20" s="4"/>
      <c r="AD20" s="531"/>
      <c r="AE20" s="531"/>
      <c r="AF20" s="319"/>
      <c r="AG20" s="328">
        <f t="shared" ref="AG20:AG49" si="3">AF20</f>
        <v>0</v>
      </c>
      <c r="AH20" s="175"/>
      <c r="AI20" s="402"/>
      <c r="AJ20" s="367"/>
      <c r="AK20" s="403" t="s">
        <v>213</v>
      </c>
      <c r="AL20" s="404">
        <f>AA61</f>
        <v>40</v>
      </c>
      <c r="AM20" s="510">
        <v>51.5</v>
      </c>
      <c r="AN20" s="510">
        <f t="shared" si="0"/>
        <v>2060</v>
      </c>
      <c r="AQ20" s="367"/>
      <c r="AR20" s="367"/>
      <c r="AS20" s="367"/>
      <c r="AT20" s="367"/>
      <c r="AU20" s="367"/>
      <c r="AV20" s="367"/>
      <c r="AW20" s="367"/>
    </row>
    <row r="21" spans="1:49" ht="14.25" customHeight="1">
      <c r="A21" s="367"/>
      <c r="B21" s="67" t="s">
        <v>543</v>
      </c>
      <c r="C21" s="441" t="s">
        <v>961</v>
      </c>
      <c r="D21" s="47"/>
      <c r="E21" s="319">
        <v>0</v>
      </c>
      <c r="F21" s="646"/>
      <c r="G21" s="4"/>
      <c r="H21" s="441" t="s">
        <v>154</v>
      </c>
      <c r="I21" s="47"/>
      <c r="J21" s="319">
        <v>0</v>
      </c>
      <c r="K21" s="646"/>
      <c r="L21" s="4"/>
      <c r="M21" s="441" t="s">
        <v>154</v>
      </c>
      <c r="N21" s="47"/>
      <c r="O21" s="319">
        <v>0</v>
      </c>
      <c r="P21" s="646"/>
      <c r="R21" s="441" t="s">
        <v>154</v>
      </c>
      <c r="S21" s="47"/>
      <c r="T21" s="319">
        <v>0</v>
      </c>
      <c r="U21" s="646"/>
      <c r="W21" s="441" t="s">
        <v>154</v>
      </c>
      <c r="X21" s="47"/>
      <c r="Y21" s="319">
        <v>0</v>
      </c>
      <c r="Z21" s="646"/>
      <c r="AA21" s="328">
        <f t="shared" si="1"/>
        <v>0</v>
      </c>
      <c r="AB21" s="298">
        <f t="shared" si="2"/>
        <v>0</v>
      </c>
      <c r="AC21" s="399"/>
      <c r="AD21" s="47"/>
      <c r="AE21" s="47"/>
      <c r="AF21" s="319"/>
      <c r="AG21" s="328">
        <f t="shared" si="3"/>
        <v>0</v>
      </c>
      <c r="AH21" s="175"/>
      <c r="AJ21" s="401"/>
      <c r="AK21" s="188" t="s">
        <v>36</v>
      </c>
      <c r="AL21" s="196">
        <f>AB61</f>
        <v>0.75</v>
      </c>
      <c r="AM21" s="510">
        <f>AM20*1.5</f>
        <v>77.25</v>
      </c>
      <c r="AN21" s="510">
        <f t="shared" si="0"/>
        <v>57.9375</v>
      </c>
      <c r="AO21" s="405"/>
      <c r="AP21" s="405"/>
      <c r="AQ21" s="401"/>
      <c r="AR21" s="401"/>
      <c r="AS21" s="401"/>
      <c r="AT21" s="401"/>
      <c r="AU21" s="401"/>
      <c r="AV21" s="401"/>
      <c r="AW21" s="401"/>
    </row>
    <row r="22" spans="1:49" ht="14.25" customHeight="1">
      <c r="A22" s="367"/>
      <c r="B22" s="47" t="s">
        <v>515</v>
      </c>
      <c r="C22" s="441" t="s">
        <v>75</v>
      </c>
      <c r="D22" s="47">
        <v>0.25</v>
      </c>
      <c r="E22" s="319">
        <v>8</v>
      </c>
      <c r="F22" s="646"/>
      <c r="G22" s="4"/>
      <c r="H22" s="47">
        <v>0.41666666666666669</v>
      </c>
      <c r="I22" s="47">
        <v>0.25</v>
      </c>
      <c r="J22" s="319">
        <v>8</v>
      </c>
      <c r="K22" s="646"/>
      <c r="L22" s="4"/>
      <c r="M22" s="47">
        <v>0.375</v>
      </c>
      <c r="N22" s="47">
        <v>0.25</v>
      </c>
      <c r="O22" s="319">
        <v>8</v>
      </c>
      <c r="P22" s="646"/>
      <c r="R22" s="47">
        <v>0.375</v>
      </c>
      <c r="S22" s="47">
        <v>0.375</v>
      </c>
      <c r="T22" s="319">
        <v>8</v>
      </c>
      <c r="U22" s="646">
        <v>3</v>
      </c>
      <c r="W22" s="47">
        <v>0.375</v>
      </c>
      <c r="X22" s="47">
        <v>0.25</v>
      </c>
      <c r="Y22" s="319">
        <v>8</v>
      </c>
      <c r="Z22" s="646"/>
      <c r="AA22" s="328">
        <f t="shared" si="1"/>
        <v>40</v>
      </c>
      <c r="AB22" s="298">
        <f t="shared" si="2"/>
        <v>3</v>
      </c>
      <c r="AC22" s="175"/>
      <c r="AD22" s="47"/>
      <c r="AE22" s="47"/>
      <c r="AF22" s="319"/>
      <c r="AG22" s="328">
        <f t="shared" si="3"/>
        <v>0</v>
      </c>
      <c r="AH22" s="175"/>
      <c r="AJ22" s="401"/>
      <c r="AK22" s="188" t="s">
        <v>38</v>
      </c>
      <c r="AL22" s="196">
        <f>AG61</f>
        <v>0</v>
      </c>
      <c r="AM22" s="510">
        <v>77.25</v>
      </c>
      <c r="AN22" s="510">
        <f t="shared" si="0"/>
        <v>0</v>
      </c>
      <c r="AO22" s="405"/>
      <c r="AP22" s="405"/>
      <c r="AQ22" s="401"/>
      <c r="AR22" s="401"/>
      <c r="AS22" s="401"/>
      <c r="AT22" s="401"/>
      <c r="AU22" s="401"/>
      <c r="AV22" s="401"/>
      <c r="AW22" s="401"/>
    </row>
    <row r="23" spans="1:49" ht="14.25" thickBot="1">
      <c r="A23" s="367"/>
      <c r="B23" s="638" t="s">
        <v>962</v>
      </c>
      <c r="C23" s="441" t="s">
        <v>78</v>
      </c>
      <c r="D23" s="47">
        <v>0.25</v>
      </c>
      <c r="E23" s="319">
        <v>8</v>
      </c>
      <c r="F23" s="646"/>
      <c r="G23" s="4"/>
      <c r="H23" s="47">
        <v>0.375</v>
      </c>
      <c r="I23" s="47">
        <v>0.25</v>
      </c>
      <c r="J23" s="319">
        <v>8</v>
      </c>
      <c r="K23" s="646"/>
      <c r="L23" s="4"/>
      <c r="M23" s="47">
        <v>0.375</v>
      </c>
      <c r="N23" s="47">
        <v>0.25</v>
      </c>
      <c r="O23" s="319">
        <v>8</v>
      </c>
      <c r="P23" s="646"/>
      <c r="R23" s="47">
        <v>0.375</v>
      </c>
      <c r="S23" s="47">
        <v>0.41666666666666669</v>
      </c>
      <c r="T23" s="319">
        <v>1</v>
      </c>
      <c r="U23" s="646"/>
      <c r="W23" s="47">
        <v>0.375</v>
      </c>
      <c r="X23" s="47">
        <v>0.25</v>
      </c>
      <c r="Y23" s="319">
        <v>8</v>
      </c>
      <c r="Z23" s="646"/>
      <c r="AA23" s="328">
        <f t="shared" si="1"/>
        <v>33</v>
      </c>
      <c r="AB23" s="298">
        <f t="shared" si="2"/>
        <v>0</v>
      </c>
      <c r="AC23" s="4"/>
      <c r="AD23" s="47"/>
      <c r="AE23" s="47"/>
      <c r="AF23" s="319"/>
      <c r="AG23" s="328">
        <f t="shared" si="3"/>
        <v>0</v>
      </c>
      <c r="AH23" s="175"/>
      <c r="AI23" s="368"/>
      <c r="AK23" s="188" t="s">
        <v>41</v>
      </c>
      <c r="AL23" s="196">
        <f>C62</f>
        <v>68</v>
      </c>
      <c r="AM23" s="512">
        <v>46.35</v>
      </c>
      <c r="AN23" s="512">
        <f t="shared" si="0"/>
        <v>3151.8</v>
      </c>
    </row>
    <row r="24" spans="1:49" ht="14.25" thickTop="1">
      <c r="A24" s="401"/>
      <c r="B24" s="642" t="s">
        <v>963</v>
      </c>
      <c r="C24" s="441" t="s">
        <v>249</v>
      </c>
      <c r="D24" s="47">
        <v>0.25</v>
      </c>
      <c r="E24" s="319">
        <v>7</v>
      </c>
      <c r="F24" s="646"/>
      <c r="G24" s="4"/>
      <c r="H24" s="441" t="s">
        <v>964</v>
      </c>
      <c r="I24" s="47"/>
      <c r="J24" s="319">
        <v>0</v>
      </c>
      <c r="K24" s="646"/>
      <c r="L24" s="4"/>
      <c r="M24" s="441" t="s">
        <v>964</v>
      </c>
      <c r="N24" s="47"/>
      <c r="O24" s="319">
        <v>0</v>
      </c>
      <c r="P24" s="646"/>
      <c r="R24" s="441" t="s">
        <v>964</v>
      </c>
      <c r="S24" s="47"/>
      <c r="T24" s="319">
        <v>0</v>
      </c>
      <c r="U24" s="646"/>
      <c r="W24" s="441" t="s">
        <v>964</v>
      </c>
      <c r="X24" s="47"/>
      <c r="Y24" s="319">
        <v>0</v>
      </c>
      <c r="Z24" s="646"/>
      <c r="AA24" s="328">
        <f t="shared" si="1"/>
        <v>7</v>
      </c>
      <c r="AB24" s="298">
        <f t="shared" si="2"/>
        <v>0</v>
      </c>
      <c r="AC24" s="4"/>
      <c r="AD24" s="47"/>
      <c r="AE24" s="47"/>
      <c r="AF24" s="319"/>
      <c r="AG24" s="328">
        <f t="shared" si="3"/>
        <v>0</v>
      </c>
      <c r="AJ24" s="367"/>
      <c r="AN24" s="510">
        <f>SUM(AN17:AN23)</f>
        <v>32809.815699999999</v>
      </c>
      <c r="AQ24" s="367"/>
      <c r="AR24" s="367"/>
      <c r="AS24" s="367"/>
      <c r="AT24" s="367"/>
      <c r="AU24" s="367"/>
      <c r="AV24" s="367"/>
      <c r="AW24" s="367"/>
    </row>
    <row r="25" spans="1:49" ht="12.75" customHeight="1">
      <c r="A25" s="367"/>
      <c r="B25" s="436" t="s">
        <v>268</v>
      </c>
      <c r="C25" s="441" t="s">
        <v>249</v>
      </c>
      <c r="D25" s="47">
        <v>0.25</v>
      </c>
      <c r="E25" s="319">
        <v>8</v>
      </c>
      <c r="F25" s="646"/>
      <c r="G25" s="4"/>
      <c r="H25" s="47">
        <v>0.375</v>
      </c>
      <c r="I25" s="47">
        <v>0.25</v>
      </c>
      <c r="J25" s="319">
        <v>8</v>
      </c>
      <c r="K25" s="646"/>
      <c r="L25" s="4"/>
      <c r="M25" s="47">
        <v>0.375</v>
      </c>
      <c r="N25" s="47">
        <v>0.25</v>
      </c>
      <c r="O25" s="319">
        <v>8</v>
      </c>
      <c r="P25" s="646"/>
      <c r="R25" s="47" t="s">
        <v>965</v>
      </c>
      <c r="S25" s="47"/>
      <c r="T25" s="319">
        <v>0</v>
      </c>
      <c r="U25" s="646"/>
      <c r="W25" s="47" t="s">
        <v>966</v>
      </c>
      <c r="X25" s="47"/>
      <c r="Y25" s="319">
        <v>0</v>
      </c>
      <c r="Z25" s="646"/>
      <c r="AA25" s="328">
        <f t="shared" si="1"/>
        <v>24</v>
      </c>
      <c r="AB25" s="298">
        <f t="shared" si="2"/>
        <v>0</v>
      </c>
      <c r="AC25" s="4"/>
      <c r="AD25" s="47"/>
      <c r="AE25" s="47"/>
      <c r="AF25" s="319"/>
      <c r="AG25" s="328">
        <f t="shared" si="3"/>
        <v>0</v>
      </c>
    </row>
    <row r="26" spans="1:49" s="4" customFormat="1">
      <c r="A26" s="180"/>
      <c r="B26" s="436" t="s">
        <v>967</v>
      </c>
      <c r="C26" s="441" t="s">
        <v>75</v>
      </c>
      <c r="D26" s="47">
        <v>0.25</v>
      </c>
      <c r="E26" s="319">
        <v>8</v>
      </c>
      <c r="F26" s="646"/>
      <c r="H26" s="47">
        <v>0.375</v>
      </c>
      <c r="I26" s="47">
        <v>0.25</v>
      </c>
      <c r="J26" s="319">
        <v>8</v>
      </c>
      <c r="K26" s="646"/>
      <c r="M26" s="47">
        <v>0.375</v>
      </c>
      <c r="N26" s="47">
        <v>0.25</v>
      </c>
      <c r="O26" s="319">
        <v>8</v>
      </c>
      <c r="P26" s="646"/>
      <c r="R26" s="47">
        <v>0.375</v>
      </c>
      <c r="S26" s="47">
        <v>0.25</v>
      </c>
      <c r="T26" s="319">
        <v>8</v>
      </c>
      <c r="U26" s="646"/>
      <c r="W26" s="47">
        <v>0.375</v>
      </c>
      <c r="X26" s="47">
        <v>0.25</v>
      </c>
      <c r="Y26" s="319">
        <v>8</v>
      </c>
      <c r="Z26" s="646"/>
      <c r="AA26" s="328">
        <f t="shared" si="1"/>
        <v>40</v>
      </c>
      <c r="AB26" s="298">
        <f t="shared" si="2"/>
        <v>0</v>
      </c>
      <c r="AD26" s="47"/>
      <c r="AE26" s="47"/>
      <c r="AF26" s="319"/>
      <c r="AG26" s="328">
        <f t="shared" si="3"/>
        <v>0</v>
      </c>
      <c r="AI26" s="255"/>
      <c r="AJ26" s="180"/>
      <c r="AK26" s="193"/>
      <c r="AL26" s="193"/>
      <c r="AM26" s="193"/>
      <c r="AN26" s="193"/>
      <c r="AO26" s="193"/>
      <c r="AP26" s="193"/>
      <c r="AQ26" s="180"/>
      <c r="AR26" s="180"/>
      <c r="AS26" s="180"/>
      <c r="AT26" s="180"/>
      <c r="AU26" s="180"/>
      <c r="AV26" s="180"/>
      <c r="AW26" s="180"/>
    </row>
    <row r="27" spans="1:49" s="4" customFormat="1">
      <c r="A27" s="180"/>
      <c r="B27" s="436" t="s">
        <v>968</v>
      </c>
      <c r="C27" s="441" t="s">
        <v>961</v>
      </c>
      <c r="D27" s="47"/>
      <c r="E27" s="319">
        <v>0</v>
      </c>
      <c r="F27" s="646"/>
      <c r="H27" s="441" t="s">
        <v>154</v>
      </c>
      <c r="I27" s="47"/>
      <c r="J27" s="319">
        <v>0</v>
      </c>
      <c r="K27" s="646"/>
      <c r="M27" s="441" t="s">
        <v>154</v>
      </c>
      <c r="N27" s="47"/>
      <c r="O27" s="319">
        <v>0</v>
      </c>
      <c r="P27" s="646"/>
      <c r="R27" s="441" t="s">
        <v>154</v>
      </c>
      <c r="S27" s="47"/>
      <c r="T27" s="319">
        <v>0</v>
      </c>
      <c r="U27" s="646"/>
      <c r="W27" s="441" t="s">
        <v>154</v>
      </c>
      <c r="X27" s="47"/>
      <c r="Y27" s="319">
        <v>0</v>
      </c>
      <c r="Z27" s="646"/>
      <c r="AA27" s="328">
        <f t="shared" si="1"/>
        <v>0</v>
      </c>
      <c r="AB27" s="298">
        <f t="shared" si="2"/>
        <v>0</v>
      </c>
      <c r="AD27" s="47"/>
      <c r="AE27" s="47"/>
      <c r="AF27" s="319"/>
      <c r="AG27" s="328">
        <f t="shared" si="3"/>
        <v>0</v>
      </c>
      <c r="AI27" s="255"/>
      <c r="AJ27" s="180"/>
      <c r="AK27" s="193"/>
      <c r="AL27" s="193"/>
      <c r="AM27" s="193"/>
      <c r="AN27" s="193"/>
      <c r="AO27" s="193"/>
      <c r="AP27" s="193"/>
      <c r="AQ27" s="180"/>
      <c r="AR27" s="180"/>
      <c r="AS27" s="180"/>
      <c r="AT27" s="180"/>
      <c r="AU27" s="180"/>
      <c r="AV27" s="180"/>
      <c r="AW27" s="180"/>
    </row>
    <row r="28" spans="1:49" s="4" customFormat="1">
      <c r="A28" s="180"/>
      <c r="B28" s="642" t="s">
        <v>969</v>
      </c>
      <c r="C28" s="643" t="s">
        <v>970</v>
      </c>
      <c r="D28" s="519"/>
      <c r="E28" s="520"/>
      <c r="F28" s="647"/>
      <c r="G28" s="521"/>
      <c r="H28" s="519"/>
      <c r="I28" s="519"/>
      <c r="J28" s="520"/>
      <c r="K28" s="647"/>
      <c r="L28" s="521"/>
      <c r="M28" s="519"/>
      <c r="N28" s="519"/>
      <c r="O28" s="520"/>
      <c r="P28" s="647"/>
      <c r="Q28" s="521"/>
      <c r="R28" s="519"/>
      <c r="S28" s="519"/>
      <c r="T28" s="520"/>
      <c r="U28" s="647"/>
      <c r="V28" s="521"/>
      <c r="W28" s="519"/>
      <c r="X28" s="519"/>
      <c r="Y28" s="520"/>
      <c r="Z28" s="646"/>
      <c r="AA28" s="328">
        <f t="shared" si="1"/>
        <v>0</v>
      </c>
      <c r="AB28" s="298">
        <f t="shared" si="2"/>
        <v>0</v>
      </c>
      <c r="AD28" s="47"/>
      <c r="AE28" s="47"/>
      <c r="AF28" s="319"/>
      <c r="AG28" s="328">
        <f t="shared" si="3"/>
        <v>0</v>
      </c>
      <c r="AI28" s="255"/>
      <c r="AJ28" s="180"/>
      <c r="AK28" s="193"/>
      <c r="AL28" s="193"/>
      <c r="AM28" s="193"/>
      <c r="AN28" s="193"/>
      <c r="AO28" s="193"/>
      <c r="AP28" s="193"/>
      <c r="AQ28" s="180"/>
      <c r="AR28" s="180"/>
      <c r="AS28" s="180"/>
      <c r="AT28" s="180"/>
      <c r="AU28" s="180"/>
      <c r="AV28" s="180"/>
      <c r="AW28" s="180"/>
    </row>
    <row r="29" spans="1:49" s="4" customFormat="1" ht="14.25" customHeight="1">
      <c r="A29" s="180"/>
      <c r="B29" s="67" t="s">
        <v>545</v>
      </c>
      <c r="C29" s="441" t="s">
        <v>249</v>
      </c>
      <c r="D29" s="47">
        <v>0.25</v>
      </c>
      <c r="E29" s="319">
        <v>8</v>
      </c>
      <c r="F29" s="646"/>
      <c r="H29" s="47">
        <v>0.375</v>
      </c>
      <c r="I29" s="47">
        <v>0.25</v>
      </c>
      <c r="J29" s="319">
        <v>8</v>
      </c>
      <c r="K29" s="646"/>
      <c r="M29" s="47">
        <v>0.375</v>
      </c>
      <c r="N29" s="47">
        <v>0.25</v>
      </c>
      <c r="O29" s="319">
        <v>8</v>
      </c>
      <c r="P29" s="646"/>
      <c r="R29" s="47">
        <v>0.375</v>
      </c>
      <c r="S29" s="47">
        <v>0.41666666666666669</v>
      </c>
      <c r="T29" s="319">
        <v>1</v>
      </c>
      <c r="U29" s="646"/>
      <c r="W29" s="47" t="s">
        <v>971</v>
      </c>
      <c r="X29" s="47"/>
      <c r="Y29" s="319">
        <v>0</v>
      </c>
      <c r="Z29" s="646"/>
      <c r="AA29" s="328">
        <f t="shared" si="1"/>
        <v>25</v>
      </c>
      <c r="AB29" s="298">
        <f t="shared" si="2"/>
        <v>0</v>
      </c>
      <c r="AD29" s="47"/>
      <c r="AE29" s="47"/>
      <c r="AF29" s="319"/>
      <c r="AG29" s="328">
        <f t="shared" si="3"/>
        <v>0</v>
      </c>
      <c r="AI29" s="255"/>
      <c r="AJ29" s="180"/>
      <c r="AK29" s="193"/>
      <c r="AL29" s="193"/>
      <c r="AM29" s="193"/>
      <c r="AN29" s="193"/>
      <c r="AO29" s="193"/>
      <c r="AP29" s="193"/>
      <c r="AQ29" s="180"/>
      <c r="AR29" s="180"/>
      <c r="AS29" s="180"/>
      <c r="AT29" s="180"/>
      <c r="AU29" s="180"/>
      <c r="AV29" s="180"/>
      <c r="AW29" s="180"/>
    </row>
    <row r="30" spans="1:49" s="4" customFormat="1">
      <c r="A30" s="180"/>
      <c r="B30" s="436" t="s">
        <v>972</v>
      </c>
      <c r="C30" s="441" t="s">
        <v>75</v>
      </c>
      <c r="D30" s="47">
        <v>0.25</v>
      </c>
      <c r="E30" s="319">
        <v>8</v>
      </c>
      <c r="F30" s="646"/>
      <c r="H30" s="47">
        <v>0.25</v>
      </c>
      <c r="I30" s="47">
        <v>0.25</v>
      </c>
      <c r="J30" s="319">
        <v>8</v>
      </c>
      <c r="K30" s="646">
        <v>3</v>
      </c>
      <c r="M30" s="47">
        <v>0.375</v>
      </c>
      <c r="N30" s="47">
        <v>0.29166666666666669</v>
      </c>
      <c r="O30" s="319">
        <v>8</v>
      </c>
      <c r="P30" s="646">
        <v>1</v>
      </c>
      <c r="R30" s="47">
        <v>0.25</v>
      </c>
      <c r="S30" s="47">
        <v>0.25</v>
      </c>
      <c r="T30" s="319">
        <v>8</v>
      </c>
      <c r="U30" s="646">
        <v>3</v>
      </c>
      <c r="W30" s="47">
        <v>0.25</v>
      </c>
      <c r="X30" s="47">
        <v>0.25</v>
      </c>
      <c r="Y30" s="319">
        <v>8</v>
      </c>
      <c r="Z30" s="646">
        <v>3</v>
      </c>
      <c r="AA30" s="328">
        <f t="shared" si="1"/>
        <v>40</v>
      </c>
      <c r="AB30" s="298">
        <f t="shared" si="2"/>
        <v>10</v>
      </c>
      <c r="AD30" s="47"/>
      <c r="AE30" s="47"/>
      <c r="AF30" s="319"/>
      <c r="AG30" s="328">
        <f t="shared" si="3"/>
        <v>0</v>
      </c>
      <c r="AI30" s="255"/>
      <c r="AJ30" s="180"/>
      <c r="AK30" s="193"/>
      <c r="AL30" s="193"/>
      <c r="AM30" s="193"/>
      <c r="AN30" s="193"/>
      <c r="AO30" s="193"/>
      <c r="AP30" s="193"/>
      <c r="AQ30" s="180"/>
      <c r="AR30" s="180"/>
      <c r="AS30" s="180"/>
      <c r="AT30" s="180"/>
      <c r="AU30" s="180"/>
      <c r="AV30" s="180"/>
      <c r="AW30" s="180"/>
    </row>
    <row r="31" spans="1:49" s="4" customFormat="1">
      <c r="A31" s="180"/>
      <c r="B31" s="642" t="s">
        <v>973</v>
      </c>
      <c r="C31" s="441" t="s">
        <v>75</v>
      </c>
      <c r="D31" s="47">
        <v>0.25</v>
      </c>
      <c r="E31" s="319">
        <v>8</v>
      </c>
      <c r="F31" s="646"/>
      <c r="H31" s="47">
        <v>0.25</v>
      </c>
      <c r="I31" s="47">
        <v>0.5</v>
      </c>
      <c r="J31" s="319">
        <v>6</v>
      </c>
      <c r="K31" s="646"/>
      <c r="M31" s="47">
        <v>0.375</v>
      </c>
      <c r="N31" s="47">
        <v>0.25</v>
      </c>
      <c r="O31" s="319">
        <v>8</v>
      </c>
      <c r="P31" s="646"/>
      <c r="R31" s="47">
        <v>0.375</v>
      </c>
      <c r="S31" s="47">
        <v>0.41666666666666669</v>
      </c>
      <c r="T31" s="319">
        <v>1</v>
      </c>
      <c r="U31" s="646"/>
      <c r="W31" s="47">
        <v>0.375</v>
      </c>
      <c r="X31" s="47">
        <v>0.25</v>
      </c>
      <c r="Y31" s="319">
        <v>8</v>
      </c>
      <c r="Z31" s="646"/>
      <c r="AA31" s="328">
        <f>(E31+J31+O31+T31+Y31)</f>
        <v>31</v>
      </c>
      <c r="AB31" s="298">
        <f>Z31+U31+P31+K31+F31</f>
        <v>0</v>
      </c>
      <c r="AD31" s="47"/>
      <c r="AE31" s="47"/>
      <c r="AF31" s="319"/>
      <c r="AG31" s="328">
        <f t="shared" si="3"/>
        <v>0</v>
      </c>
      <c r="AI31" s="255"/>
      <c r="AJ31" s="180"/>
      <c r="AK31" s="193"/>
      <c r="AL31" s="193"/>
      <c r="AM31" s="193"/>
      <c r="AN31" s="193"/>
      <c r="AO31" s="193"/>
      <c r="AP31" s="193"/>
      <c r="AQ31" s="180"/>
      <c r="AR31" s="180"/>
      <c r="AS31" s="180"/>
      <c r="AT31" s="180"/>
      <c r="AU31" s="180"/>
      <c r="AV31" s="180"/>
      <c r="AW31" s="180"/>
    </row>
    <row r="32" spans="1:49" s="4" customFormat="1">
      <c r="A32" s="180"/>
      <c r="B32" s="47" t="s">
        <v>974</v>
      </c>
      <c r="C32" s="441" t="s">
        <v>960</v>
      </c>
      <c r="D32" s="47"/>
      <c r="E32" s="319">
        <v>0</v>
      </c>
      <c r="F32" s="646"/>
      <c r="H32" s="441" t="s">
        <v>960</v>
      </c>
      <c r="I32" s="47"/>
      <c r="J32" s="319">
        <v>0</v>
      </c>
      <c r="K32" s="646"/>
      <c r="M32" s="441" t="s">
        <v>960</v>
      </c>
      <c r="N32" s="47"/>
      <c r="O32" s="319">
        <v>0</v>
      </c>
      <c r="P32" s="646"/>
      <c r="R32" s="441" t="s">
        <v>960</v>
      </c>
      <c r="S32" s="47"/>
      <c r="T32" s="319">
        <v>0</v>
      </c>
      <c r="U32" s="646"/>
      <c r="W32" s="441" t="s">
        <v>960</v>
      </c>
      <c r="X32" s="47"/>
      <c r="Y32" s="319">
        <v>0</v>
      </c>
      <c r="Z32" s="646"/>
      <c r="AA32" s="328">
        <f>(E32+J32+O32+T32+Y32)</f>
        <v>0</v>
      </c>
      <c r="AB32" s="298">
        <f t="shared" ref="AB32:AB58" si="4">Z32+U32+P32+K32+F32</f>
        <v>0</v>
      </c>
      <c r="AD32" s="47"/>
      <c r="AE32" s="47"/>
      <c r="AF32" s="319"/>
      <c r="AG32" s="328">
        <f t="shared" si="3"/>
        <v>0</v>
      </c>
      <c r="AI32" s="255"/>
      <c r="AJ32" s="180"/>
      <c r="AK32" s="193"/>
      <c r="AL32" s="193"/>
      <c r="AM32" s="193"/>
      <c r="AN32" s="193"/>
      <c r="AO32" s="193"/>
      <c r="AP32" s="193"/>
      <c r="AQ32" s="180"/>
      <c r="AR32" s="180"/>
      <c r="AS32" s="180"/>
      <c r="AT32" s="180"/>
      <c r="AU32" s="180"/>
      <c r="AV32" s="180"/>
      <c r="AW32" s="180"/>
    </row>
    <row r="33" spans="1:49" s="4" customFormat="1">
      <c r="A33" s="180"/>
      <c r="B33" s="640" t="s">
        <v>390</v>
      </c>
      <c r="C33" s="643"/>
      <c r="D33" s="519"/>
      <c r="E33" s="520"/>
      <c r="F33" s="647"/>
      <c r="G33" s="521"/>
      <c r="H33" s="519"/>
      <c r="I33" s="519"/>
      <c r="J33" s="520"/>
      <c r="K33" s="647"/>
      <c r="L33" s="521"/>
      <c r="M33" s="519"/>
      <c r="N33" s="519"/>
      <c r="O33" s="520"/>
      <c r="P33" s="647"/>
      <c r="Q33" s="521"/>
      <c r="R33" s="519"/>
      <c r="S33" s="519"/>
      <c r="T33" s="520"/>
      <c r="U33" s="647"/>
      <c r="V33" s="521"/>
      <c r="W33" s="519"/>
      <c r="X33" s="519"/>
      <c r="Y33" s="520"/>
      <c r="Z33" s="646"/>
      <c r="AA33" s="328">
        <f t="shared" ref="AA33:AA58" si="5">(E33+J33+O33+T33+Y33)</f>
        <v>0</v>
      </c>
      <c r="AB33" s="298">
        <f t="shared" si="4"/>
        <v>0</v>
      </c>
      <c r="AD33" s="47"/>
      <c r="AE33" s="47"/>
      <c r="AF33" s="319"/>
      <c r="AG33" s="328">
        <f t="shared" si="3"/>
        <v>0</v>
      </c>
      <c r="AI33" s="255"/>
      <c r="AJ33" s="180"/>
      <c r="AK33" s="193"/>
      <c r="AL33" s="193"/>
      <c r="AM33" s="193"/>
      <c r="AN33" s="193"/>
      <c r="AO33" s="193"/>
      <c r="AP33" s="193"/>
      <c r="AQ33" s="180"/>
      <c r="AR33" s="180"/>
      <c r="AS33" s="180"/>
      <c r="AT33" s="180"/>
      <c r="AU33" s="180"/>
      <c r="AV33" s="180"/>
      <c r="AW33" s="180"/>
    </row>
    <row r="34" spans="1:49" s="4" customFormat="1">
      <c r="A34" s="180"/>
      <c r="B34" s="639" t="s">
        <v>975</v>
      </c>
      <c r="C34" s="643"/>
      <c r="D34" s="519"/>
      <c r="E34" s="520"/>
      <c r="F34" s="647"/>
      <c r="G34" s="521"/>
      <c r="H34" s="519"/>
      <c r="I34" s="519"/>
      <c r="J34" s="520"/>
      <c r="K34" s="647"/>
      <c r="L34" s="521"/>
      <c r="M34" s="519"/>
      <c r="N34" s="519"/>
      <c r="O34" s="520"/>
      <c r="P34" s="647"/>
      <c r="Q34" s="521"/>
      <c r="R34" s="519"/>
      <c r="S34" s="519"/>
      <c r="T34" s="520"/>
      <c r="U34" s="647"/>
      <c r="V34" s="521"/>
      <c r="W34" s="519"/>
      <c r="X34" s="519"/>
      <c r="Y34" s="520"/>
      <c r="Z34" s="646"/>
      <c r="AA34" s="328">
        <f t="shared" si="5"/>
        <v>0</v>
      </c>
      <c r="AB34" s="298">
        <f t="shared" si="4"/>
        <v>0</v>
      </c>
      <c r="AD34" s="47"/>
      <c r="AE34" s="47"/>
      <c r="AF34" s="319"/>
      <c r="AG34" s="328">
        <f t="shared" si="3"/>
        <v>0</v>
      </c>
      <c r="AI34" s="255"/>
      <c r="AJ34" s="180"/>
      <c r="AK34" s="193"/>
      <c r="AL34" s="193"/>
      <c r="AM34" s="193"/>
      <c r="AN34" s="193"/>
      <c r="AO34" s="193"/>
      <c r="AP34" s="193"/>
      <c r="AQ34" s="180"/>
      <c r="AR34" s="180"/>
      <c r="AS34" s="180"/>
      <c r="AT34" s="180"/>
      <c r="AU34" s="180"/>
      <c r="AV34" s="180"/>
      <c r="AW34" s="180"/>
    </row>
    <row r="35" spans="1:49" s="4" customFormat="1">
      <c r="A35" s="180"/>
      <c r="B35" s="642" t="s">
        <v>517</v>
      </c>
      <c r="C35" s="441" t="s">
        <v>75</v>
      </c>
      <c r="D35" s="47">
        <v>0.25</v>
      </c>
      <c r="E35" s="319">
        <v>8</v>
      </c>
      <c r="F35" s="646"/>
      <c r="H35" s="326">
        <v>0.25</v>
      </c>
      <c r="I35" s="47">
        <v>0.5</v>
      </c>
      <c r="J35" s="319">
        <v>6</v>
      </c>
      <c r="K35" s="646"/>
      <c r="M35" s="47">
        <v>0.375</v>
      </c>
      <c r="N35" s="47">
        <v>0.25</v>
      </c>
      <c r="O35" s="319">
        <v>8</v>
      </c>
      <c r="P35" s="646"/>
      <c r="R35" s="47">
        <v>0.375</v>
      </c>
      <c r="S35" s="47">
        <v>0.25</v>
      </c>
      <c r="T35" s="319">
        <v>8</v>
      </c>
      <c r="U35" s="646"/>
      <c r="W35" s="47" t="s">
        <v>960</v>
      </c>
      <c r="X35" s="47"/>
      <c r="Y35" s="319"/>
      <c r="Z35" s="646"/>
      <c r="AA35" s="328">
        <f t="shared" si="5"/>
        <v>30</v>
      </c>
      <c r="AB35" s="298">
        <f t="shared" si="4"/>
        <v>0</v>
      </c>
      <c r="AD35" s="47"/>
      <c r="AE35" s="47"/>
      <c r="AF35" s="319"/>
      <c r="AG35" s="328">
        <f t="shared" si="3"/>
        <v>0</v>
      </c>
      <c r="AI35" s="255"/>
      <c r="AJ35" s="180"/>
      <c r="AK35" s="193"/>
      <c r="AL35" s="193"/>
      <c r="AM35" s="193"/>
      <c r="AN35" s="193"/>
      <c r="AO35" s="193"/>
      <c r="AP35" s="193"/>
      <c r="AQ35" s="180"/>
      <c r="AR35" s="180"/>
      <c r="AS35" s="180"/>
      <c r="AT35" s="180"/>
      <c r="AU35" s="180"/>
      <c r="AV35" s="180"/>
      <c r="AW35" s="180"/>
    </row>
    <row r="36" spans="1:49" s="4" customFormat="1">
      <c r="A36" s="180"/>
      <c r="B36" s="642" t="s">
        <v>512</v>
      </c>
      <c r="C36" s="441" t="s">
        <v>75</v>
      </c>
      <c r="D36" s="47">
        <v>0.25</v>
      </c>
      <c r="E36" s="319">
        <v>8</v>
      </c>
      <c r="F36" s="646"/>
      <c r="H36" s="47">
        <v>0.375</v>
      </c>
      <c r="I36" s="47">
        <v>0.25</v>
      </c>
      <c r="J36" s="319">
        <v>8</v>
      </c>
      <c r="K36" s="646"/>
      <c r="M36" s="441" t="s">
        <v>75</v>
      </c>
      <c r="N36" s="47">
        <v>0.25</v>
      </c>
      <c r="O36" s="319">
        <v>8</v>
      </c>
      <c r="P36" s="646"/>
      <c r="R36" s="441" t="s">
        <v>75</v>
      </c>
      <c r="S36" s="47">
        <v>0.375</v>
      </c>
      <c r="T36" s="319">
        <v>8</v>
      </c>
      <c r="U36" s="646">
        <v>3</v>
      </c>
      <c r="W36" s="441" t="s">
        <v>75</v>
      </c>
      <c r="X36" s="47">
        <v>0.25</v>
      </c>
      <c r="Y36" s="319">
        <v>8</v>
      </c>
      <c r="Z36" s="646"/>
      <c r="AA36" s="328">
        <f t="shared" si="5"/>
        <v>40</v>
      </c>
      <c r="AB36" s="298">
        <f t="shared" si="4"/>
        <v>3</v>
      </c>
      <c r="AD36" s="47"/>
      <c r="AE36" s="47"/>
      <c r="AF36" s="319"/>
      <c r="AG36" s="328">
        <f t="shared" si="3"/>
        <v>0</v>
      </c>
      <c r="AI36" s="255"/>
      <c r="AJ36" s="180"/>
      <c r="AK36" s="193"/>
      <c r="AL36" s="193"/>
      <c r="AM36" s="193"/>
      <c r="AN36" s="193"/>
      <c r="AO36" s="193"/>
      <c r="AP36" s="193"/>
      <c r="AQ36" s="180"/>
      <c r="AR36" s="180"/>
      <c r="AS36" s="180"/>
      <c r="AT36" s="180"/>
      <c r="AU36" s="180"/>
      <c r="AV36" s="180"/>
      <c r="AW36" s="180"/>
    </row>
    <row r="37" spans="1:49" s="4" customFormat="1">
      <c r="A37" s="180"/>
      <c r="B37" s="67" t="s">
        <v>976</v>
      </c>
      <c r="C37" s="441" t="s">
        <v>75</v>
      </c>
      <c r="D37" s="47">
        <v>0.25</v>
      </c>
      <c r="E37" s="319">
        <v>8</v>
      </c>
      <c r="F37" s="646"/>
      <c r="H37" s="47" t="s">
        <v>960</v>
      </c>
      <c r="I37" s="47"/>
      <c r="J37" s="319">
        <v>0</v>
      </c>
      <c r="K37" s="646"/>
      <c r="M37" s="47">
        <v>0.375</v>
      </c>
      <c r="N37" s="47">
        <v>0.25</v>
      </c>
      <c r="O37" s="319">
        <v>8</v>
      </c>
      <c r="P37" s="646"/>
      <c r="R37" s="47" t="s">
        <v>960</v>
      </c>
      <c r="S37" s="47"/>
      <c r="T37" s="319">
        <v>0</v>
      </c>
      <c r="U37" s="646"/>
      <c r="W37" s="47">
        <v>0.375</v>
      </c>
      <c r="X37" s="47">
        <v>0.25</v>
      </c>
      <c r="Y37" s="319">
        <v>8</v>
      </c>
      <c r="Z37" s="646"/>
      <c r="AA37" s="328">
        <f t="shared" si="5"/>
        <v>24</v>
      </c>
      <c r="AB37" s="298">
        <f t="shared" si="4"/>
        <v>0</v>
      </c>
      <c r="AD37" s="47"/>
      <c r="AE37" s="47"/>
      <c r="AF37" s="319"/>
      <c r="AG37" s="328">
        <f t="shared" si="3"/>
        <v>0</v>
      </c>
      <c r="AI37" s="255"/>
      <c r="AJ37" s="180"/>
      <c r="AK37" s="193"/>
      <c r="AL37" s="193"/>
      <c r="AM37" s="193"/>
      <c r="AN37" s="193"/>
      <c r="AO37" s="193"/>
      <c r="AP37" s="193"/>
      <c r="AQ37" s="180"/>
      <c r="AR37" s="180"/>
      <c r="AS37" s="180"/>
      <c r="AT37" s="180"/>
      <c r="AU37" s="180"/>
      <c r="AV37" s="180"/>
      <c r="AW37" s="180"/>
    </row>
    <row r="38" spans="1:49" s="4" customFormat="1">
      <c r="A38" s="180"/>
      <c r="B38" s="642" t="s">
        <v>977</v>
      </c>
      <c r="C38" s="441" t="s">
        <v>249</v>
      </c>
      <c r="D38" s="47">
        <v>0.25</v>
      </c>
      <c r="E38" s="319">
        <v>8</v>
      </c>
      <c r="F38" s="646"/>
      <c r="H38" s="47">
        <v>0.41666666666666669</v>
      </c>
      <c r="I38" s="47">
        <v>0.25</v>
      </c>
      <c r="J38" s="319">
        <v>8</v>
      </c>
      <c r="K38" s="646"/>
      <c r="M38" s="47">
        <v>0.375</v>
      </c>
      <c r="N38" s="47">
        <v>0.25</v>
      </c>
      <c r="O38" s="319">
        <v>8</v>
      </c>
      <c r="P38" s="646"/>
      <c r="R38" s="47">
        <v>0.375</v>
      </c>
      <c r="S38" s="47">
        <v>0.25</v>
      </c>
      <c r="T38" s="319">
        <v>8</v>
      </c>
      <c r="U38" s="646"/>
      <c r="W38" s="47">
        <v>0.375</v>
      </c>
      <c r="X38" s="47">
        <v>0.25</v>
      </c>
      <c r="Y38" s="319">
        <v>8</v>
      </c>
      <c r="Z38" s="646"/>
      <c r="AA38" s="328">
        <f t="shared" ref="AA38" si="6">(E38+J38+O38+T38+Y38)</f>
        <v>40</v>
      </c>
      <c r="AB38" s="298">
        <f t="shared" ref="AB38" si="7">Z38+U38+P38+K38+F38</f>
        <v>0</v>
      </c>
      <c r="AD38" s="47"/>
      <c r="AE38" s="47"/>
      <c r="AF38" s="319"/>
      <c r="AG38" s="328">
        <f t="shared" si="3"/>
        <v>0</v>
      </c>
      <c r="AI38" s="255"/>
      <c r="AJ38" s="180"/>
      <c r="AK38" s="193"/>
      <c r="AL38" s="193"/>
      <c r="AM38" s="193"/>
      <c r="AN38" s="193"/>
      <c r="AO38" s="193"/>
      <c r="AP38" s="193"/>
      <c r="AQ38" s="180"/>
      <c r="AR38" s="180"/>
      <c r="AS38" s="180"/>
      <c r="AT38" s="180"/>
      <c r="AU38" s="180"/>
      <c r="AV38" s="180"/>
      <c r="AW38" s="180"/>
    </row>
    <row r="39" spans="1:49" s="4" customFormat="1">
      <c r="A39" s="180"/>
      <c r="B39" s="642" t="s">
        <v>978</v>
      </c>
      <c r="C39" s="441" t="s">
        <v>960</v>
      </c>
      <c r="D39" s="47"/>
      <c r="E39" s="319">
        <v>0</v>
      </c>
      <c r="F39" s="646"/>
      <c r="H39" s="47"/>
      <c r="I39" s="47"/>
      <c r="J39" s="319"/>
      <c r="K39" s="646"/>
      <c r="M39" s="47"/>
      <c r="N39" s="47"/>
      <c r="O39" s="319"/>
      <c r="P39" s="646"/>
      <c r="R39" s="47"/>
      <c r="S39" s="47"/>
      <c r="T39" s="319"/>
      <c r="U39" s="646"/>
      <c r="W39" s="47"/>
      <c r="X39" s="47"/>
      <c r="Y39" s="319"/>
      <c r="Z39" s="646"/>
      <c r="AA39" s="328">
        <f t="shared" ref="AA39:AA47" si="8">(E39+J39+O39+T39+Y39)</f>
        <v>0</v>
      </c>
      <c r="AB39" s="298">
        <f t="shared" ref="AB39:AB47" si="9">Z39+U39+P39+K39+F39</f>
        <v>0</v>
      </c>
      <c r="AD39" s="47"/>
      <c r="AE39" s="47"/>
      <c r="AF39" s="319"/>
      <c r="AG39" s="328">
        <f t="shared" si="3"/>
        <v>0</v>
      </c>
      <c r="AI39" s="255"/>
      <c r="AJ39" s="180"/>
      <c r="AK39" s="193"/>
      <c r="AL39" s="193"/>
      <c r="AM39" s="193"/>
      <c r="AN39" s="193"/>
      <c r="AO39" s="193"/>
      <c r="AP39" s="193"/>
      <c r="AQ39" s="180"/>
      <c r="AR39" s="180"/>
      <c r="AS39" s="180"/>
      <c r="AT39" s="180"/>
      <c r="AU39" s="180"/>
      <c r="AV39" s="180"/>
      <c r="AW39" s="180"/>
    </row>
    <row r="40" spans="1:49" s="4" customFormat="1">
      <c r="A40" s="180"/>
      <c r="B40" s="436" t="s">
        <v>388</v>
      </c>
      <c r="C40" s="441" t="s">
        <v>960</v>
      </c>
      <c r="D40" s="47"/>
      <c r="E40" s="319">
        <v>0</v>
      </c>
      <c r="F40" s="646"/>
      <c r="H40" s="47">
        <v>0.47916666666666669</v>
      </c>
      <c r="I40" s="47">
        <v>0.25</v>
      </c>
      <c r="J40" s="319">
        <v>6.5</v>
      </c>
      <c r="K40" s="646"/>
      <c r="M40" s="47" t="s">
        <v>960</v>
      </c>
      <c r="N40" s="47"/>
      <c r="O40" s="319"/>
      <c r="P40" s="646"/>
      <c r="R40" s="47">
        <v>0.375</v>
      </c>
      <c r="S40" s="47">
        <v>0.25</v>
      </c>
      <c r="T40" s="319">
        <v>8</v>
      </c>
      <c r="U40" s="646"/>
      <c r="W40" s="47">
        <v>0.375</v>
      </c>
      <c r="X40" s="47">
        <v>0.25</v>
      </c>
      <c r="Y40" s="319">
        <v>8</v>
      </c>
      <c r="Z40" s="646"/>
      <c r="AA40" s="328">
        <f t="shared" si="8"/>
        <v>22.5</v>
      </c>
      <c r="AB40" s="298">
        <f t="shared" si="9"/>
        <v>0</v>
      </c>
      <c r="AD40" s="47"/>
      <c r="AE40" s="47"/>
      <c r="AF40" s="319"/>
      <c r="AG40" s="328">
        <f t="shared" si="3"/>
        <v>0</v>
      </c>
      <c r="AI40" s="255"/>
      <c r="AJ40" s="180"/>
      <c r="AK40" s="193"/>
      <c r="AL40" s="193"/>
      <c r="AM40" s="193"/>
      <c r="AN40" s="193"/>
      <c r="AO40" s="193"/>
      <c r="AP40" s="193"/>
      <c r="AQ40" s="180"/>
      <c r="AR40" s="180"/>
      <c r="AS40" s="180"/>
      <c r="AT40" s="180"/>
      <c r="AU40" s="180"/>
      <c r="AV40" s="180"/>
      <c r="AW40" s="180"/>
    </row>
    <row r="41" spans="1:49" s="4" customFormat="1" ht="12.75" customHeight="1">
      <c r="A41" s="180"/>
      <c r="B41" s="47" t="s">
        <v>394</v>
      </c>
      <c r="C41" s="441" t="s">
        <v>75</v>
      </c>
      <c r="D41" s="47">
        <v>0.25</v>
      </c>
      <c r="E41" s="319">
        <v>8</v>
      </c>
      <c r="F41" s="646"/>
      <c r="H41" s="47">
        <v>0.25</v>
      </c>
      <c r="I41" s="47">
        <v>0.25</v>
      </c>
      <c r="J41" s="319">
        <v>8</v>
      </c>
      <c r="K41" s="646">
        <v>3</v>
      </c>
      <c r="M41" s="47">
        <v>0.35416666666666669</v>
      </c>
      <c r="N41" s="47">
        <v>0.25</v>
      </c>
      <c r="O41" s="319">
        <v>8</v>
      </c>
      <c r="P41" s="646">
        <v>0.5</v>
      </c>
      <c r="R41" s="47">
        <v>0.375</v>
      </c>
      <c r="S41" s="47">
        <v>0.25</v>
      </c>
      <c r="T41" s="319">
        <v>8</v>
      </c>
      <c r="U41" s="646"/>
      <c r="W41" s="47">
        <v>0.29166666666666669</v>
      </c>
      <c r="X41" s="47">
        <v>0.25</v>
      </c>
      <c r="Y41" s="319">
        <v>8</v>
      </c>
      <c r="Z41" s="646">
        <v>3</v>
      </c>
      <c r="AA41" s="328">
        <f t="shared" si="8"/>
        <v>40</v>
      </c>
      <c r="AB41" s="298">
        <f t="shared" si="9"/>
        <v>6.5</v>
      </c>
      <c r="AD41" s="47"/>
      <c r="AE41" s="47"/>
      <c r="AF41" s="319"/>
      <c r="AG41" s="328">
        <f t="shared" si="3"/>
        <v>0</v>
      </c>
      <c r="AI41" s="255"/>
      <c r="AJ41" s="180"/>
      <c r="AK41" s="193"/>
      <c r="AL41" s="193"/>
      <c r="AM41" s="193"/>
      <c r="AN41" s="193"/>
      <c r="AO41" s="193"/>
      <c r="AP41" s="193"/>
      <c r="AQ41" s="180"/>
      <c r="AR41" s="180"/>
      <c r="AS41" s="180"/>
      <c r="AT41" s="180"/>
      <c r="AU41" s="180"/>
      <c r="AV41" s="180"/>
      <c r="AW41" s="180"/>
    </row>
    <row r="42" spans="1:49" s="4" customFormat="1">
      <c r="A42" s="180"/>
      <c r="B42" s="47" t="s">
        <v>519</v>
      </c>
      <c r="C42" s="441" t="s">
        <v>75</v>
      </c>
      <c r="D42" s="47">
        <v>0.25</v>
      </c>
      <c r="E42" s="319">
        <v>8</v>
      </c>
      <c r="F42" s="646"/>
      <c r="H42" s="47">
        <v>0.375</v>
      </c>
      <c r="I42" s="47">
        <v>0.25</v>
      </c>
      <c r="J42" s="319">
        <v>8</v>
      </c>
      <c r="K42" s="646"/>
      <c r="M42" s="47">
        <v>0.375</v>
      </c>
      <c r="N42" s="47">
        <v>0.25</v>
      </c>
      <c r="O42" s="319">
        <v>8</v>
      </c>
      <c r="P42" s="646"/>
      <c r="R42" s="47">
        <v>0.375</v>
      </c>
      <c r="S42" s="47">
        <v>0.25</v>
      </c>
      <c r="T42" s="319">
        <v>8</v>
      </c>
      <c r="U42" s="646"/>
      <c r="W42" s="47">
        <v>0.375</v>
      </c>
      <c r="X42" s="47">
        <v>0.25</v>
      </c>
      <c r="Y42" s="319">
        <v>8</v>
      </c>
      <c r="Z42" s="646"/>
      <c r="AA42" s="328">
        <f t="shared" si="8"/>
        <v>40</v>
      </c>
      <c r="AB42" s="298">
        <f t="shared" si="9"/>
        <v>0</v>
      </c>
      <c r="AD42" s="47"/>
      <c r="AE42" s="47"/>
      <c r="AF42" s="319"/>
      <c r="AG42" s="328">
        <f t="shared" si="3"/>
        <v>0</v>
      </c>
      <c r="AI42" s="255"/>
      <c r="AJ42" s="180"/>
      <c r="AK42" s="193"/>
      <c r="AL42" s="193"/>
      <c r="AM42" s="193"/>
      <c r="AN42" s="193"/>
      <c r="AO42" s="193"/>
      <c r="AP42" s="193"/>
      <c r="AQ42" s="180"/>
      <c r="AR42" s="180"/>
      <c r="AS42" s="180"/>
      <c r="AT42" s="180"/>
      <c r="AU42" s="180"/>
      <c r="AV42" s="180"/>
      <c r="AW42" s="180"/>
    </row>
    <row r="43" spans="1:49" s="4" customFormat="1">
      <c r="A43" s="180"/>
      <c r="B43" s="4" t="s">
        <v>278</v>
      </c>
      <c r="C43" s="441" t="s">
        <v>979</v>
      </c>
      <c r="D43" s="47"/>
      <c r="E43" s="319">
        <v>0</v>
      </c>
      <c r="F43" s="646"/>
      <c r="H43" s="441" t="s">
        <v>979</v>
      </c>
      <c r="I43" s="47"/>
      <c r="J43" s="319">
        <v>0</v>
      </c>
      <c r="K43" s="646"/>
      <c r="M43" s="441" t="s">
        <v>979</v>
      </c>
      <c r="N43" s="47"/>
      <c r="O43" s="319">
        <v>0</v>
      </c>
      <c r="P43" s="646"/>
      <c r="R43" s="441" t="s">
        <v>979</v>
      </c>
      <c r="S43" s="47"/>
      <c r="T43" s="319">
        <v>0</v>
      </c>
      <c r="U43" s="646"/>
      <c r="W43" s="441" t="s">
        <v>979</v>
      </c>
      <c r="X43" s="47"/>
      <c r="Y43" s="319">
        <v>0</v>
      </c>
      <c r="Z43" s="646"/>
      <c r="AA43" s="328">
        <f t="shared" si="8"/>
        <v>0</v>
      </c>
      <c r="AB43" s="298">
        <f t="shared" si="9"/>
        <v>0</v>
      </c>
      <c r="AD43" s="47"/>
      <c r="AE43" s="47"/>
      <c r="AF43" s="319"/>
      <c r="AG43" s="328">
        <f>AF43</f>
        <v>0</v>
      </c>
      <c r="AI43" s="255"/>
      <c r="AJ43" s="180"/>
      <c r="AK43" s="193"/>
      <c r="AL43" s="193"/>
      <c r="AM43" s="193"/>
      <c r="AN43" s="193"/>
      <c r="AO43" s="193"/>
      <c r="AP43" s="193"/>
      <c r="AQ43" s="180"/>
      <c r="AR43" s="180"/>
      <c r="AS43" s="180"/>
      <c r="AT43" s="180"/>
      <c r="AU43" s="180"/>
      <c r="AV43" s="180"/>
      <c r="AW43" s="180"/>
    </row>
    <row r="44" spans="1:49" s="4" customFormat="1">
      <c r="A44" s="180"/>
      <c r="B44" s="639" t="s">
        <v>533</v>
      </c>
      <c r="C44" s="643"/>
      <c r="D44" s="653"/>
      <c r="E44" s="520"/>
      <c r="F44" s="647"/>
      <c r="G44" s="521"/>
      <c r="H44" s="519"/>
      <c r="I44" s="653"/>
      <c r="J44" s="520"/>
      <c r="K44" s="647"/>
      <c r="L44" s="521"/>
      <c r="M44" s="519"/>
      <c r="N44" s="653"/>
      <c r="O44" s="520"/>
      <c r="P44" s="647"/>
      <c r="Q44" s="521"/>
      <c r="R44" s="519"/>
      <c r="S44" s="653"/>
      <c r="T44" s="520"/>
      <c r="U44" s="647"/>
      <c r="V44" s="521"/>
      <c r="W44" s="519"/>
      <c r="X44" s="653"/>
      <c r="Y44" s="520"/>
      <c r="Z44" s="646"/>
      <c r="AA44" s="328">
        <f t="shared" si="8"/>
        <v>0</v>
      </c>
      <c r="AB44" s="298">
        <f t="shared" si="9"/>
        <v>0</v>
      </c>
      <c r="AD44" s="47"/>
      <c r="AE44" s="47"/>
      <c r="AF44" s="319"/>
      <c r="AG44" s="328">
        <f t="shared" si="3"/>
        <v>0</v>
      </c>
      <c r="AI44" s="255"/>
      <c r="AJ44" s="180"/>
      <c r="AK44" s="193"/>
      <c r="AL44" s="193"/>
      <c r="AM44" s="193"/>
      <c r="AN44" s="193"/>
      <c r="AO44" s="193"/>
      <c r="AP44" s="193"/>
      <c r="AQ44" s="180"/>
      <c r="AR44" s="180"/>
      <c r="AS44" s="180"/>
      <c r="AT44" s="180"/>
      <c r="AU44" s="180"/>
      <c r="AV44" s="180"/>
      <c r="AW44" s="180"/>
    </row>
    <row r="45" spans="1:49" s="4" customFormat="1">
      <c r="A45" s="180"/>
      <c r="B45" s="565" t="s">
        <v>547</v>
      </c>
      <c r="C45" s="441"/>
      <c r="D45" s="47"/>
      <c r="E45" s="319">
        <v>0</v>
      </c>
      <c r="F45" s="646"/>
      <c r="H45" s="47" t="s">
        <v>980</v>
      </c>
      <c r="I45" s="16" t="s">
        <v>542</v>
      </c>
      <c r="J45" s="319"/>
      <c r="K45" s="646"/>
      <c r="M45" s="47" t="s">
        <v>980</v>
      </c>
      <c r="N45" s="16" t="s">
        <v>542</v>
      </c>
      <c r="O45" s="319"/>
      <c r="P45" s="646"/>
      <c r="R45" s="47" t="s">
        <v>980</v>
      </c>
      <c r="S45" s="16" t="s">
        <v>542</v>
      </c>
      <c r="T45" s="319"/>
      <c r="U45" s="646"/>
      <c r="W45" s="47" t="s">
        <v>980</v>
      </c>
      <c r="X45" s="16" t="s">
        <v>542</v>
      </c>
      <c r="Y45" s="319"/>
      <c r="Z45" s="646"/>
      <c r="AA45" s="328">
        <f t="shared" si="8"/>
        <v>0</v>
      </c>
      <c r="AB45" s="298">
        <f t="shared" si="9"/>
        <v>0</v>
      </c>
      <c r="AD45" s="47"/>
      <c r="AE45" s="47"/>
      <c r="AF45" s="319"/>
      <c r="AG45" s="328">
        <f t="shared" si="3"/>
        <v>0</v>
      </c>
      <c r="AI45" s="255"/>
      <c r="AJ45" s="180"/>
      <c r="AK45" s="193"/>
      <c r="AL45" s="193"/>
      <c r="AM45" s="193"/>
      <c r="AN45" s="193"/>
      <c r="AO45" s="193"/>
      <c r="AP45" s="193"/>
      <c r="AQ45" s="180"/>
      <c r="AR45" s="180"/>
      <c r="AS45" s="180"/>
      <c r="AT45" s="180"/>
      <c r="AU45" s="180"/>
      <c r="AV45" s="180"/>
      <c r="AW45" s="180"/>
    </row>
    <row r="46" spans="1:49" s="4" customFormat="1">
      <c r="A46" s="180"/>
      <c r="B46" s="565" t="s">
        <v>531</v>
      </c>
      <c r="C46" s="441"/>
      <c r="D46" s="47"/>
      <c r="E46" s="319">
        <v>0</v>
      </c>
      <c r="F46" s="646"/>
      <c r="H46" s="47" t="s">
        <v>980</v>
      </c>
      <c r="I46" s="47" t="s">
        <v>542</v>
      </c>
      <c r="J46" s="319"/>
      <c r="K46" s="646"/>
      <c r="M46" s="47" t="s">
        <v>980</v>
      </c>
      <c r="N46" s="47" t="s">
        <v>542</v>
      </c>
      <c r="O46" s="319"/>
      <c r="P46" s="646"/>
      <c r="R46" s="47" t="s">
        <v>980</v>
      </c>
      <c r="S46" s="47" t="s">
        <v>542</v>
      </c>
      <c r="T46" s="319"/>
      <c r="U46" s="646"/>
      <c r="W46" s="47" t="s">
        <v>980</v>
      </c>
      <c r="X46" s="47" t="s">
        <v>542</v>
      </c>
      <c r="Y46" s="319"/>
      <c r="Z46" s="646"/>
      <c r="AA46" s="328">
        <f t="shared" si="8"/>
        <v>0</v>
      </c>
      <c r="AB46" s="298">
        <f t="shared" si="9"/>
        <v>0</v>
      </c>
      <c r="AD46" s="47"/>
      <c r="AE46" s="47"/>
      <c r="AF46" s="319"/>
      <c r="AG46" s="328">
        <f t="shared" si="3"/>
        <v>0</v>
      </c>
      <c r="AI46" s="255"/>
      <c r="AJ46" s="180"/>
      <c r="AK46" s="193"/>
      <c r="AL46" s="193"/>
      <c r="AM46" s="193"/>
      <c r="AN46" s="193"/>
      <c r="AO46" s="193"/>
      <c r="AP46" s="193"/>
      <c r="AQ46" s="180"/>
      <c r="AR46" s="180"/>
      <c r="AS46" s="180"/>
      <c r="AT46" s="180"/>
      <c r="AU46" s="180"/>
      <c r="AV46" s="180"/>
      <c r="AW46" s="180"/>
    </row>
    <row r="47" spans="1:49" s="4" customFormat="1">
      <c r="A47" s="180"/>
      <c r="B47" s="502" t="s">
        <v>483</v>
      </c>
      <c r="C47" s="47"/>
      <c r="D47" s="47"/>
      <c r="E47" s="319">
        <v>8</v>
      </c>
      <c r="F47" s="646">
        <v>0.17</v>
      </c>
      <c r="H47" s="47"/>
      <c r="I47" s="47"/>
      <c r="J47" s="319">
        <v>5</v>
      </c>
      <c r="K47" s="646"/>
      <c r="M47" s="47"/>
      <c r="N47" s="47"/>
      <c r="O47" s="319">
        <v>0</v>
      </c>
      <c r="P47" s="646"/>
      <c r="R47" s="47"/>
      <c r="S47" s="47"/>
      <c r="T47" s="319">
        <v>4</v>
      </c>
      <c r="U47" s="646"/>
      <c r="W47" s="47"/>
      <c r="X47" s="47"/>
      <c r="Y47" s="319"/>
      <c r="Z47" s="646"/>
      <c r="AA47" s="328">
        <f t="shared" si="8"/>
        <v>17</v>
      </c>
      <c r="AB47" s="298">
        <f t="shared" si="9"/>
        <v>0.17</v>
      </c>
      <c r="AD47" s="47"/>
      <c r="AE47" s="47"/>
      <c r="AF47" s="319"/>
      <c r="AG47" s="328">
        <f t="shared" si="3"/>
        <v>0</v>
      </c>
      <c r="AI47" s="255"/>
      <c r="AJ47" s="180"/>
      <c r="AK47" s="193"/>
      <c r="AL47" s="193"/>
      <c r="AM47" s="193"/>
      <c r="AN47" s="193"/>
      <c r="AO47" s="193"/>
      <c r="AP47" s="193"/>
      <c r="AQ47" s="180"/>
      <c r="AR47" s="180"/>
      <c r="AS47" s="180"/>
      <c r="AT47" s="180"/>
      <c r="AU47" s="180"/>
      <c r="AV47" s="180"/>
      <c r="AW47" s="180"/>
    </row>
    <row r="48" spans="1:49" s="193" customFormat="1">
      <c r="A48" s="180"/>
      <c r="B48" s="502" t="s">
        <v>484</v>
      </c>
      <c r="C48" s="47"/>
      <c r="D48" s="47"/>
      <c r="E48" s="319">
        <v>8.17</v>
      </c>
      <c r="F48" s="646"/>
      <c r="G48" s="4"/>
      <c r="H48" s="47"/>
      <c r="I48" s="47"/>
      <c r="J48" s="319">
        <v>2</v>
      </c>
      <c r="K48" s="646"/>
      <c r="L48" s="4"/>
      <c r="M48" s="47"/>
      <c r="N48" s="47"/>
      <c r="O48" s="319">
        <v>0</v>
      </c>
      <c r="P48" s="646"/>
      <c r="Q48" s="4"/>
      <c r="R48" s="47"/>
      <c r="S48" s="47"/>
      <c r="T48" s="319">
        <v>4</v>
      </c>
      <c r="U48" s="646"/>
      <c r="V48" s="4"/>
      <c r="W48" s="47"/>
      <c r="X48" s="47"/>
      <c r="Y48" s="319"/>
      <c r="Z48" s="646"/>
      <c r="AA48" s="328">
        <f t="shared" si="5"/>
        <v>14.17</v>
      </c>
      <c r="AB48" s="298">
        <f t="shared" si="4"/>
        <v>0</v>
      </c>
      <c r="AC48" s="4"/>
      <c r="AD48" s="47"/>
      <c r="AE48" s="47"/>
      <c r="AF48" s="319"/>
      <c r="AG48" s="328">
        <f t="shared" si="3"/>
        <v>0</v>
      </c>
      <c r="AH48" s="4"/>
      <c r="AI48" s="255"/>
      <c r="AJ48" s="180"/>
      <c r="AQ48" s="180"/>
      <c r="AR48" s="180"/>
      <c r="AS48" s="180"/>
      <c r="AT48" s="180"/>
      <c r="AU48" s="180"/>
      <c r="AV48" s="180"/>
      <c r="AW48" s="180"/>
    </row>
    <row r="49" spans="1:49" s="193" customFormat="1">
      <c r="A49" s="180"/>
      <c r="B49" s="502" t="s">
        <v>485</v>
      </c>
      <c r="C49" s="47"/>
      <c r="D49" s="47"/>
      <c r="E49" s="319">
        <v>8</v>
      </c>
      <c r="F49" s="646">
        <v>0.17</v>
      </c>
      <c r="G49" s="4"/>
      <c r="H49" s="47"/>
      <c r="I49" s="47"/>
      <c r="J49" s="319">
        <v>5</v>
      </c>
      <c r="K49" s="646"/>
      <c r="L49" s="4"/>
      <c r="M49" s="47"/>
      <c r="N49" s="47"/>
      <c r="O49" s="319">
        <v>0</v>
      </c>
      <c r="P49" s="646"/>
      <c r="Q49" s="4"/>
      <c r="R49" s="47"/>
      <c r="S49" s="47"/>
      <c r="T49" s="319">
        <v>4</v>
      </c>
      <c r="U49" s="646"/>
      <c r="V49" s="4"/>
      <c r="W49" s="47"/>
      <c r="X49" s="47"/>
      <c r="Y49" s="319"/>
      <c r="Z49" s="646"/>
      <c r="AA49" s="328">
        <f t="shared" si="5"/>
        <v>17</v>
      </c>
      <c r="AB49" s="298">
        <f t="shared" si="4"/>
        <v>0.17</v>
      </c>
      <c r="AC49" s="4"/>
      <c r="AD49" s="47"/>
      <c r="AE49" s="47"/>
      <c r="AF49" s="319"/>
      <c r="AG49" s="328">
        <f t="shared" si="3"/>
        <v>0</v>
      </c>
      <c r="AH49" s="4"/>
      <c r="AI49" s="255"/>
      <c r="AJ49" s="180"/>
      <c r="AQ49" s="180"/>
      <c r="AR49" s="180"/>
      <c r="AS49" s="180"/>
      <c r="AT49" s="180"/>
      <c r="AU49" s="180"/>
      <c r="AV49" s="180"/>
      <c r="AW49" s="180"/>
    </row>
    <row r="50" spans="1:49" s="193" customFormat="1">
      <c r="A50" s="180"/>
      <c r="B50" s="502" t="s">
        <v>486</v>
      </c>
      <c r="C50" s="47"/>
      <c r="D50" s="47"/>
      <c r="E50" s="319"/>
      <c r="F50" s="646"/>
      <c r="G50" s="4"/>
      <c r="H50" s="47"/>
      <c r="I50" s="47"/>
      <c r="J50" s="319"/>
      <c r="K50" s="646"/>
      <c r="L50" s="4"/>
      <c r="M50" s="47"/>
      <c r="N50" s="47"/>
      <c r="O50" s="319"/>
      <c r="P50" s="646"/>
      <c r="Q50" s="4"/>
      <c r="R50" s="47"/>
      <c r="S50" s="47"/>
      <c r="T50" s="319"/>
      <c r="U50" s="646"/>
      <c r="V50" s="4"/>
      <c r="W50" s="47"/>
      <c r="X50" s="47"/>
      <c r="Y50" s="319"/>
      <c r="Z50" s="646"/>
      <c r="AA50" s="328">
        <f t="shared" si="5"/>
        <v>0</v>
      </c>
      <c r="AB50" s="298">
        <f t="shared" si="4"/>
        <v>0</v>
      </c>
      <c r="AC50" s="4"/>
      <c r="AD50" s="47"/>
      <c r="AE50" s="47"/>
      <c r="AF50" s="319"/>
      <c r="AG50" s="29">
        <f t="shared" ref="AG50:AG58" si="10">AF50</f>
        <v>0</v>
      </c>
      <c r="AH50" s="4"/>
      <c r="AI50" s="255"/>
      <c r="AJ50" s="180"/>
      <c r="AQ50" s="180"/>
      <c r="AR50" s="180"/>
      <c r="AS50" s="180"/>
      <c r="AT50" s="180"/>
      <c r="AU50" s="180"/>
      <c r="AV50" s="180"/>
      <c r="AW50" s="180"/>
    </row>
    <row r="51" spans="1:49" s="193" customFormat="1">
      <c r="A51" s="180"/>
      <c r="B51" s="63" t="s">
        <v>63</v>
      </c>
      <c r="C51" s="47"/>
      <c r="D51" s="47"/>
      <c r="E51" s="319">
        <v>8</v>
      </c>
      <c r="F51" s="646">
        <v>0.25</v>
      </c>
      <c r="G51" s="4"/>
      <c r="H51" s="47"/>
      <c r="I51" s="47"/>
      <c r="J51" s="319">
        <v>8</v>
      </c>
      <c r="K51" s="646">
        <v>0.25</v>
      </c>
      <c r="L51" s="4"/>
      <c r="M51" s="47"/>
      <c r="N51" s="47"/>
      <c r="O51" s="319">
        <v>8</v>
      </c>
      <c r="P51" s="646">
        <v>0.5</v>
      </c>
      <c r="Q51" s="4"/>
      <c r="R51" s="47"/>
      <c r="S51" s="47"/>
      <c r="T51" s="319">
        <v>8</v>
      </c>
      <c r="U51" s="646"/>
      <c r="V51" s="4"/>
      <c r="W51" s="47"/>
      <c r="X51" s="47"/>
      <c r="Y51" s="319">
        <v>0</v>
      </c>
      <c r="Z51" s="646"/>
      <c r="AA51" s="328">
        <f t="shared" si="5"/>
        <v>32</v>
      </c>
      <c r="AB51" s="298">
        <f t="shared" si="4"/>
        <v>1</v>
      </c>
      <c r="AC51" s="4"/>
      <c r="AD51" s="47"/>
      <c r="AE51" s="47"/>
      <c r="AF51" s="319"/>
      <c r="AG51" s="29">
        <f t="shared" si="10"/>
        <v>0</v>
      </c>
      <c r="AH51" s="4"/>
      <c r="AI51" s="255"/>
      <c r="AJ51" s="180"/>
      <c r="AQ51" s="180"/>
      <c r="AR51" s="180"/>
      <c r="AS51" s="180"/>
      <c r="AT51" s="180"/>
      <c r="AU51" s="180"/>
      <c r="AV51" s="180"/>
      <c r="AW51" s="180"/>
    </row>
    <row r="52" spans="1:49" s="193" customFormat="1">
      <c r="A52" s="180"/>
      <c r="B52" s="267" t="s">
        <v>358</v>
      </c>
      <c r="C52" s="47"/>
      <c r="D52" s="47"/>
      <c r="E52" s="319">
        <v>6</v>
      </c>
      <c r="F52" s="646"/>
      <c r="G52" s="438"/>
      <c r="H52" s="47"/>
      <c r="I52" s="47"/>
      <c r="J52" s="319">
        <v>2</v>
      </c>
      <c r="K52" s="646"/>
      <c r="L52" s="438"/>
      <c r="M52" s="47"/>
      <c r="N52" s="47"/>
      <c r="O52" s="319">
        <v>2</v>
      </c>
      <c r="P52" s="646"/>
      <c r="Q52" s="438"/>
      <c r="R52" s="47"/>
      <c r="S52" s="47"/>
      <c r="T52" s="319">
        <v>4</v>
      </c>
      <c r="U52" s="646"/>
      <c r="V52" s="438"/>
      <c r="W52" s="47"/>
      <c r="X52" s="47"/>
      <c r="Y52" s="319">
        <v>2</v>
      </c>
      <c r="Z52" s="646"/>
      <c r="AA52" s="328">
        <f t="shared" si="5"/>
        <v>16</v>
      </c>
      <c r="AB52" s="298">
        <f t="shared" si="4"/>
        <v>0</v>
      </c>
      <c r="AC52" s="4"/>
      <c r="AD52" s="47"/>
      <c r="AE52" s="47"/>
      <c r="AF52" s="319"/>
      <c r="AG52" s="29">
        <f t="shared" si="10"/>
        <v>0</v>
      </c>
      <c r="AH52" s="4"/>
      <c r="AI52" s="255"/>
      <c r="AJ52" s="180"/>
      <c r="AQ52" s="180"/>
      <c r="AR52" s="180"/>
      <c r="AS52" s="180"/>
      <c r="AT52" s="180"/>
      <c r="AU52" s="180"/>
      <c r="AV52" s="180"/>
      <c r="AW52" s="180"/>
    </row>
    <row r="53" spans="1:49" s="193" customFormat="1">
      <c r="A53" s="180"/>
      <c r="B53" s="267" t="s">
        <v>532</v>
      </c>
      <c r="C53" s="47"/>
      <c r="D53" s="47"/>
      <c r="E53" s="319"/>
      <c r="F53" s="646"/>
      <c r="G53" s="438"/>
      <c r="H53" s="47"/>
      <c r="I53" s="47"/>
      <c r="J53" s="319"/>
      <c r="K53" s="646"/>
      <c r="L53" s="438"/>
      <c r="M53" s="47"/>
      <c r="N53" s="47"/>
      <c r="O53" s="319"/>
      <c r="P53" s="646"/>
      <c r="Q53" s="438"/>
      <c r="R53" s="47"/>
      <c r="S53" s="47"/>
      <c r="T53" s="319"/>
      <c r="U53" s="646"/>
      <c r="V53" s="438"/>
      <c r="W53" s="47"/>
      <c r="X53" s="47"/>
      <c r="Y53" s="319">
        <v>4</v>
      </c>
      <c r="Z53" s="646"/>
      <c r="AA53" s="328">
        <f t="shared" si="5"/>
        <v>4</v>
      </c>
      <c r="AB53" s="298">
        <f t="shared" si="4"/>
        <v>0</v>
      </c>
      <c r="AC53" s="4"/>
      <c r="AD53" s="47"/>
      <c r="AE53" s="47"/>
      <c r="AF53" s="319"/>
      <c r="AG53" s="29">
        <f t="shared" si="10"/>
        <v>0</v>
      </c>
      <c r="AH53" s="4"/>
      <c r="AI53" s="255"/>
      <c r="AJ53" s="180"/>
      <c r="AQ53" s="180"/>
      <c r="AR53" s="180"/>
      <c r="AS53" s="180"/>
      <c r="AT53" s="180"/>
      <c r="AU53" s="180"/>
      <c r="AV53" s="180"/>
      <c r="AW53" s="180"/>
    </row>
    <row r="54" spans="1:49" s="193" customFormat="1">
      <c r="A54" s="180"/>
      <c r="B54" s="267" t="s">
        <v>411</v>
      </c>
      <c r="C54" s="47"/>
      <c r="D54" s="47"/>
      <c r="E54" s="319"/>
      <c r="F54" s="646"/>
      <c r="G54" s="438"/>
      <c r="H54" s="47"/>
      <c r="I54" s="47"/>
      <c r="J54" s="319"/>
      <c r="K54" s="646"/>
      <c r="L54" s="438"/>
      <c r="M54" s="47"/>
      <c r="N54" s="47"/>
      <c r="O54" s="319"/>
      <c r="P54" s="646"/>
      <c r="Q54" s="438"/>
      <c r="R54" s="47"/>
      <c r="S54" s="47"/>
      <c r="T54" s="319"/>
      <c r="U54" s="646"/>
      <c r="V54" s="438"/>
      <c r="W54" s="47"/>
      <c r="X54" s="47"/>
      <c r="Y54" s="319"/>
      <c r="Z54" s="646"/>
      <c r="AA54" s="328">
        <f t="shared" si="5"/>
        <v>0</v>
      </c>
      <c r="AB54" s="298">
        <f t="shared" si="4"/>
        <v>0</v>
      </c>
      <c r="AC54" s="4"/>
      <c r="AD54" s="47"/>
      <c r="AE54" s="47"/>
      <c r="AF54" s="319"/>
      <c r="AG54" s="29">
        <f t="shared" si="10"/>
        <v>0</v>
      </c>
      <c r="AH54" s="4"/>
      <c r="AI54" s="255"/>
      <c r="AJ54" s="180"/>
      <c r="AK54" s="407"/>
      <c r="AQ54" s="180"/>
      <c r="AR54" s="180"/>
      <c r="AS54" s="180"/>
      <c r="AT54" s="180"/>
      <c r="AU54" s="180"/>
      <c r="AV54" s="180"/>
      <c r="AW54" s="180"/>
    </row>
    <row r="55" spans="1:49" s="193" customFormat="1">
      <c r="A55" s="180"/>
      <c r="B55" s="267" t="s">
        <v>361</v>
      </c>
      <c r="C55" s="47"/>
      <c r="D55" s="47"/>
      <c r="E55" s="319"/>
      <c r="F55" s="646"/>
      <c r="G55" s="438"/>
      <c r="H55" s="47"/>
      <c r="I55" s="47"/>
      <c r="J55" s="319"/>
      <c r="K55" s="646"/>
      <c r="L55" s="438"/>
      <c r="M55" s="47"/>
      <c r="N55" s="47"/>
      <c r="O55" s="319"/>
      <c r="P55" s="646"/>
      <c r="Q55" s="438"/>
      <c r="R55" s="47"/>
      <c r="S55" s="47"/>
      <c r="T55" s="319"/>
      <c r="U55" s="646"/>
      <c r="V55" s="438"/>
      <c r="W55" s="47"/>
      <c r="X55" s="47"/>
      <c r="Y55" s="319"/>
      <c r="Z55" s="646"/>
      <c r="AA55" s="328">
        <f t="shared" si="5"/>
        <v>0</v>
      </c>
      <c r="AB55" s="298">
        <f t="shared" si="4"/>
        <v>0</v>
      </c>
      <c r="AC55" s="4"/>
      <c r="AD55" s="47"/>
      <c r="AE55" s="47"/>
      <c r="AF55" s="319"/>
      <c r="AG55" s="29">
        <f t="shared" si="10"/>
        <v>0</v>
      </c>
      <c r="AH55" s="4"/>
      <c r="AI55" s="255"/>
      <c r="AJ55" s="180"/>
      <c r="AK55" s="407"/>
      <c r="AQ55" s="180"/>
      <c r="AR55" s="180"/>
      <c r="AS55" s="180"/>
      <c r="AT55" s="180"/>
      <c r="AU55" s="180"/>
      <c r="AV55" s="180"/>
      <c r="AW55" s="180"/>
    </row>
    <row r="56" spans="1:49" s="193" customFormat="1">
      <c r="A56" s="180"/>
      <c r="B56" s="267" t="s">
        <v>362</v>
      </c>
      <c r="C56" s="47"/>
      <c r="D56" s="47"/>
      <c r="E56" s="319">
        <v>6</v>
      </c>
      <c r="F56" s="646"/>
      <c r="G56" s="438"/>
      <c r="H56" s="47"/>
      <c r="I56" s="47"/>
      <c r="J56" s="319">
        <v>1</v>
      </c>
      <c r="K56" s="646"/>
      <c r="L56" s="438"/>
      <c r="M56" s="47"/>
      <c r="N56" s="47"/>
      <c r="O56" s="319">
        <v>1</v>
      </c>
      <c r="P56" s="646"/>
      <c r="Q56" s="438"/>
      <c r="R56" s="47"/>
      <c r="S56" s="47"/>
      <c r="T56" s="319">
        <v>1</v>
      </c>
      <c r="U56" s="646"/>
      <c r="V56" s="438"/>
      <c r="W56" s="47"/>
      <c r="X56" s="47"/>
      <c r="Y56" s="319">
        <v>1</v>
      </c>
      <c r="Z56" s="646"/>
      <c r="AA56" s="328">
        <f t="shared" si="5"/>
        <v>10</v>
      </c>
      <c r="AB56" s="298">
        <f t="shared" si="4"/>
        <v>0</v>
      </c>
      <c r="AC56" s="4"/>
      <c r="AD56" s="47"/>
      <c r="AE56" s="47"/>
      <c r="AF56" s="319"/>
      <c r="AG56" s="29">
        <f t="shared" si="10"/>
        <v>0</v>
      </c>
      <c r="AH56" s="4"/>
      <c r="AI56" s="255"/>
      <c r="AJ56" s="180"/>
      <c r="AK56" s="407"/>
      <c r="AQ56" s="180"/>
      <c r="AR56" s="180"/>
      <c r="AS56" s="180"/>
      <c r="AT56" s="180"/>
      <c r="AU56" s="180"/>
      <c r="AV56" s="180"/>
      <c r="AW56" s="180"/>
    </row>
    <row r="57" spans="1:49" s="193" customFormat="1">
      <c r="A57" s="180"/>
      <c r="B57" s="437" t="s">
        <v>355</v>
      </c>
      <c r="C57" s="47"/>
      <c r="D57" s="47"/>
      <c r="E57" s="319">
        <v>7.7</v>
      </c>
      <c r="F57" s="646"/>
      <c r="G57" s="438"/>
      <c r="H57" s="47"/>
      <c r="I57" s="47"/>
      <c r="J57" s="319"/>
      <c r="K57" s="646"/>
      <c r="L57" s="438"/>
      <c r="M57" s="47"/>
      <c r="N57" s="47"/>
      <c r="O57" s="319"/>
      <c r="P57" s="646"/>
      <c r="Q57" s="438"/>
      <c r="R57" s="47"/>
      <c r="S57" s="47"/>
      <c r="T57" s="319"/>
      <c r="U57" s="646"/>
      <c r="V57" s="438"/>
      <c r="W57" s="47"/>
      <c r="X57" s="47"/>
      <c r="Y57" s="319"/>
      <c r="Z57" s="646"/>
      <c r="AA57" s="328">
        <f t="shared" si="5"/>
        <v>7.7</v>
      </c>
      <c r="AB57" s="298">
        <f t="shared" si="4"/>
        <v>0</v>
      </c>
      <c r="AC57" s="4"/>
      <c r="AD57" s="47"/>
      <c r="AE57" s="47"/>
      <c r="AF57" s="319"/>
      <c r="AG57" s="29">
        <f t="shared" si="10"/>
        <v>0</v>
      </c>
      <c r="AH57" s="4"/>
      <c r="AI57" s="255"/>
      <c r="AJ57" s="180"/>
      <c r="AK57" s="407"/>
      <c r="AQ57" s="180"/>
      <c r="AR57" s="180"/>
      <c r="AS57" s="180"/>
      <c r="AT57" s="180"/>
      <c r="AU57" s="180"/>
      <c r="AV57" s="180"/>
      <c r="AW57" s="180"/>
    </row>
    <row r="58" spans="1:49" s="193" customFormat="1">
      <c r="A58" s="180"/>
      <c r="B58" s="437" t="s">
        <v>356</v>
      </c>
      <c r="C58" s="47"/>
      <c r="D58" s="47"/>
      <c r="E58" s="319"/>
      <c r="F58" s="646"/>
      <c r="G58" s="438"/>
      <c r="H58" s="47"/>
      <c r="I58" s="47"/>
      <c r="J58" s="319"/>
      <c r="K58" s="646"/>
      <c r="L58" s="438"/>
      <c r="M58" s="47"/>
      <c r="N58" s="47"/>
      <c r="O58" s="319"/>
      <c r="P58" s="646"/>
      <c r="Q58" s="438"/>
      <c r="R58" s="47"/>
      <c r="S58" s="47"/>
      <c r="T58" s="319"/>
      <c r="U58" s="646"/>
      <c r="V58" s="438"/>
      <c r="W58" s="47"/>
      <c r="X58" s="47"/>
      <c r="Y58" s="319"/>
      <c r="Z58" s="646"/>
      <c r="AA58" s="328">
        <f t="shared" si="5"/>
        <v>0</v>
      </c>
      <c r="AB58" s="298">
        <f t="shared" si="4"/>
        <v>0</v>
      </c>
      <c r="AC58" s="4"/>
      <c r="AD58" s="47"/>
      <c r="AE58" s="47"/>
      <c r="AF58" s="319"/>
      <c r="AG58" s="29">
        <f t="shared" si="10"/>
        <v>0</v>
      </c>
      <c r="AH58" s="4"/>
      <c r="AI58" s="255"/>
      <c r="AJ58" s="180"/>
      <c r="AK58" s="407"/>
      <c r="AQ58" s="180"/>
      <c r="AR58" s="180"/>
      <c r="AS58" s="180"/>
      <c r="AT58" s="180"/>
      <c r="AU58" s="180"/>
      <c r="AV58" s="180"/>
      <c r="AW58" s="180"/>
    </row>
    <row r="59" spans="1:49" s="193" customFormat="1">
      <c r="A59" s="180"/>
      <c r="B59" s="64" t="s">
        <v>61</v>
      </c>
      <c r="C59" s="31"/>
      <c r="D59" s="31"/>
      <c r="E59" s="439">
        <f>SUM(E18:E58)</f>
        <v>178.86999999999998</v>
      </c>
      <c r="F59" s="646">
        <f>SUM(F18:F58)</f>
        <v>0.59000000000000008</v>
      </c>
      <c r="G59" s="31"/>
      <c r="H59" s="31"/>
      <c r="I59" s="31"/>
      <c r="J59" s="439">
        <f>SUM(J18:J58)</f>
        <v>129.5</v>
      </c>
      <c r="K59" s="646">
        <f>SUM(K18:K58)</f>
        <v>6.25</v>
      </c>
      <c r="L59" s="31"/>
      <c r="M59" s="31"/>
      <c r="N59" s="31"/>
      <c r="O59" s="439">
        <f>SUM(O18:O58)</f>
        <v>131</v>
      </c>
      <c r="P59" s="646">
        <f>SUM(P18:P58)</f>
        <v>3</v>
      </c>
      <c r="Q59" s="31"/>
      <c r="R59" s="31"/>
      <c r="S59" s="31"/>
      <c r="T59" s="439">
        <f>SUM(T18:T58)</f>
        <v>116</v>
      </c>
      <c r="U59" s="646">
        <f>SUM(U18:U58)</f>
        <v>9</v>
      </c>
      <c r="V59" s="31"/>
      <c r="W59" s="31"/>
      <c r="X59" s="31"/>
      <c r="Y59" s="439">
        <f>SUM(Y18:Y58)</f>
        <v>111</v>
      </c>
      <c r="Z59" s="646">
        <f>SUM(Z18:Z58)</f>
        <v>6</v>
      </c>
      <c r="AA59" s="370">
        <f>SUM(AA18:AA58)</f>
        <v>666.37</v>
      </c>
      <c r="AB59" s="370">
        <f>SUM(AB18:AB58)</f>
        <v>24.840000000000003</v>
      </c>
      <c r="AC59" s="4"/>
      <c r="AD59" s="64"/>
      <c r="AE59" s="64"/>
      <c r="AF59" s="370">
        <f>SUM(AF18:AF58)</f>
        <v>0</v>
      </c>
      <c r="AG59" s="370">
        <f>SUM(AG18:AG58)</f>
        <v>0</v>
      </c>
      <c r="AH59" s="4"/>
      <c r="AI59" s="255"/>
      <c r="AJ59" s="180"/>
      <c r="AK59" s="407"/>
      <c r="AQ59" s="180"/>
      <c r="AR59" s="180"/>
      <c r="AS59" s="180"/>
      <c r="AT59" s="180"/>
      <c r="AU59" s="180"/>
      <c r="AV59" s="180"/>
      <c r="AW59" s="180"/>
    </row>
    <row r="60" spans="1:49" s="193" customFormat="1">
      <c r="A60" s="180"/>
      <c r="B60" s="63" t="s">
        <v>64</v>
      </c>
      <c r="C60" s="47"/>
      <c r="D60" s="47"/>
      <c r="E60" s="319">
        <v>8</v>
      </c>
      <c r="F60" s="648"/>
      <c r="G60" s="613"/>
      <c r="H60" s="47"/>
      <c r="I60" s="47"/>
      <c r="J60" s="319">
        <v>8</v>
      </c>
      <c r="K60" s="648"/>
      <c r="L60" s="60"/>
      <c r="M60" s="47"/>
      <c r="N60" s="47"/>
      <c r="O60" s="319">
        <v>8</v>
      </c>
      <c r="P60" s="648">
        <v>0.75</v>
      </c>
      <c r="Q60" s="60"/>
      <c r="R60" s="47"/>
      <c r="S60" s="47"/>
      <c r="T60" s="319">
        <v>8</v>
      </c>
      <c r="U60" s="648"/>
      <c r="V60" s="60"/>
      <c r="W60" s="47"/>
      <c r="X60" s="47"/>
      <c r="Y60" s="319">
        <v>8</v>
      </c>
      <c r="Z60" s="648"/>
      <c r="AA60" s="28">
        <f>SUM(E60+J60+O60+T60+Y60)</f>
        <v>40</v>
      </c>
      <c r="AB60" s="296">
        <f>Z60+U60+P60+K60+F60</f>
        <v>0.75</v>
      </c>
      <c r="AC60" s="4"/>
      <c r="AD60" s="47" t="s">
        <v>29</v>
      </c>
      <c r="AE60" s="47" t="s">
        <v>29</v>
      </c>
      <c r="AF60" s="319"/>
      <c r="AG60" s="29">
        <f>AF60</f>
        <v>0</v>
      </c>
      <c r="AH60" s="4"/>
      <c r="AI60" s="255"/>
      <c r="AJ60" s="180"/>
      <c r="AK60" s="407"/>
      <c r="AQ60" s="180"/>
      <c r="AR60" s="180"/>
      <c r="AS60" s="180"/>
      <c r="AT60" s="180"/>
      <c r="AU60" s="180"/>
      <c r="AV60" s="180"/>
      <c r="AW60" s="180"/>
    </row>
    <row r="61" spans="1:49" s="193" customFormat="1">
      <c r="A61" s="180"/>
      <c r="B61" s="71" t="s">
        <v>66</v>
      </c>
      <c r="C61" s="371"/>
      <c r="D61" s="371"/>
      <c r="E61" s="71"/>
      <c r="F61" s="613"/>
      <c r="G61" s="71"/>
      <c r="H61" s="71"/>
      <c r="I61" s="71"/>
      <c r="J61" s="71"/>
      <c r="K61" s="613"/>
      <c r="L61" s="71"/>
      <c r="M61" s="71"/>
      <c r="N61" s="71"/>
      <c r="O61" s="71"/>
      <c r="P61" s="613"/>
      <c r="Q61" s="71"/>
      <c r="R61" s="71"/>
      <c r="S61" s="71"/>
      <c r="T61" s="71"/>
      <c r="U61" s="613"/>
      <c r="V61" s="71"/>
      <c r="W61" s="71"/>
      <c r="X61" s="71"/>
      <c r="Y61" s="71"/>
      <c r="Z61" s="613"/>
      <c r="AA61" s="370">
        <f>SUM(AA60:AA60)</f>
        <v>40</v>
      </c>
      <c r="AB61" s="370">
        <f>SUM(AB60:AB60)</f>
        <v>0.75</v>
      </c>
      <c r="AC61" s="4"/>
      <c r="AD61" s="180"/>
      <c r="AE61" s="180"/>
      <c r="AF61" s="180"/>
      <c r="AG61" s="370">
        <f>SUM(AG60:AG60)</f>
        <v>0</v>
      </c>
      <c r="AH61" s="4"/>
      <c r="AI61" s="255"/>
      <c r="AJ61" s="180"/>
      <c r="AQ61" s="180"/>
      <c r="AR61" s="180"/>
      <c r="AS61" s="180"/>
      <c r="AT61" s="180"/>
      <c r="AU61" s="180"/>
      <c r="AV61" s="180"/>
      <c r="AW61" s="180"/>
    </row>
    <row r="62" spans="1:49" s="193" customFormat="1">
      <c r="A62" s="180"/>
      <c r="B62" s="217" t="s">
        <v>67</v>
      </c>
      <c r="C62" s="207">
        <f>C63+C64</f>
        <v>68</v>
      </c>
      <c r="D62" s="207"/>
      <c r="E62" s="209"/>
      <c r="F62" s="209"/>
      <c r="G62" s="207"/>
      <c r="H62" s="209"/>
      <c r="I62" s="209"/>
      <c r="J62" s="209"/>
      <c r="K62" s="209"/>
      <c r="L62" s="207"/>
      <c r="M62" s="207"/>
      <c r="N62" s="207"/>
      <c r="O62" s="207"/>
      <c r="P62" s="209"/>
      <c r="Q62" s="207"/>
      <c r="R62" s="207"/>
      <c r="S62" s="207"/>
      <c r="T62" s="207"/>
      <c r="U62" s="209"/>
      <c r="V62" s="207"/>
      <c r="W62" s="207"/>
      <c r="X62" s="207"/>
      <c r="Y62" s="210"/>
      <c r="Z62" s="209"/>
      <c r="AA62" s="211"/>
      <c r="AB62" s="209"/>
      <c r="AC62" s="211"/>
      <c r="AD62" s="211"/>
      <c r="AE62" s="211"/>
      <c r="AF62" s="211"/>
      <c r="AG62" s="211"/>
      <c r="AH62" s="4"/>
      <c r="AI62" s="255"/>
      <c r="AJ62" s="180"/>
      <c r="AQ62" s="180"/>
      <c r="AR62" s="180"/>
      <c r="AS62" s="180"/>
      <c r="AT62" s="180"/>
      <c r="AU62" s="180"/>
      <c r="AV62" s="180"/>
      <c r="AW62" s="180"/>
    </row>
    <row r="63" spans="1:49" s="193" customFormat="1">
      <c r="A63" s="180"/>
      <c r="B63" s="238" t="s">
        <v>68</v>
      </c>
      <c r="C63" s="239">
        <f>16+12+15+13+12</f>
        <v>68</v>
      </c>
      <c r="D63" s="207"/>
      <c r="E63" s="209"/>
      <c r="F63" s="209"/>
      <c r="G63" s="207"/>
      <c r="H63" s="209"/>
      <c r="I63" s="209"/>
      <c r="J63" s="209"/>
      <c r="K63" s="209"/>
      <c r="L63" s="207"/>
      <c r="M63" s="207"/>
      <c r="N63" s="207"/>
      <c r="O63" s="207"/>
      <c r="P63" s="209"/>
      <c r="Q63" s="207"/>
      <c r="R63" s="207"/>
      <c r="S63" s="207"/>
      <c r="T63" s="207"/>
      <c r="U63" s="209"/>
      <c r="V63" s="207"/>
      <c r="W63" s="207"/>
      <c r="X63" s="207"/>
      <c r="Y63" s="210"/>
      <c r="Z63" s="209"/>
      <c r="AA63" s="211"/>
      <c r="AB63" s="209"/>
      <c r="AC63" s="211"/>
      <c r="AD63" s="211"/>
      <c r="AE63" s="211"/>
      <c r="AF63" s="211"/>
      <c r="AG63" s="211"/>
      <c r="AH63" s="4"/>
      <c r="AI63" s="255"/>
      <c r="AJ63" s="180"/>
      <c r="AQ63" s="180"/>
      <c r="AR63" s="180"/>
      <c r="AS63" s="180"/>
      <c r="AT63" s="180"/>
      <c r="AU63" s="180"/>
      <c r="AV63" s="180"/>
      <c r="AW63" s="180"/>
    </row>
    <row r="64" spans="1:49" s="4" customFormat="1">
      <c r="A64" s="180"/>
      <c r="B64" s="238" t="s">
        <v>69</v>
      </c>
      <c r="C64" s="239"/>
      <c r="D64" s="207"/>
      <c r="E64" s="209"/>
      <c r="F64" s="209"/>
      <c r="G64" s="207"/>
      <c r="H64" s="209"/>
      <c r="I64" s="209"/>
      <c r="J64" s="209"/>
      <c r="K64" s="209"/>
      <c r="L64" s="207"/>
      <c r="M64" s="207"/>
      <c r="N64" s="207"/>
      <c r="O64" s="207"/>
      <c r="P64" s="209"/>
      <c r="Q64" s="207"/>
      <c r="R64" s="207"/>
      <c r="S64" s="207"/>
      <c r="T64" s="207"/>
      <c r="U64" s="209"/>
      <c r="V64" s="207"/>
      <c r="W64" s="207"/>
      <c r="X64" s="207"/>
      <c r="Y64" s="210"/>
      <c r="Z64" s="209"/>
      <c r="AA64" s="211"/>
      <c r="AB64" s="209"/>
      <c r="AC64" s="211"/>
      <c r="AD64" s="211"/>
      <c r="AE64" s="211"/>
      <c r="AF64" s="211"/>
      <c r="AG64" s="211"/>
      <c r="AI64" s="255"/>
      <c r="AJ64" s="180"/>
      <c r="AK64" s="193"/>
      <c r="AL64" s="193"/>
      <c r="AM64" s="193"/>
      <c r="AN64" s="193"/>
      <c r="AO64" s="193"/>
      <c r="AP64" s="193"/>
      <c r="AQ64" s="180"/>
      <c r="AR64" s="180"/>
      <c r="AS64" s="180"/>
      <c r="AT64" s="180"/>
      <c r="AU64" s="180"/>
      <c r="AV64" s="180"/>
      <c r="AW64" s="180"/>
    </row>
    <row r="65" spans="1:49" s="4" customFormat="1">
      <c r="A65" s="180"/>
      <c r="B65" s="180"/>
      <c r="C65" s="180"/>
      <c r="D65" s="180"/>
      <c r="F65" s="644"/>
      <c r="H65" s="180"/>
      <c r="I65" s="180"/>
      <c r="K65" s="644"/>
      <c r="M65" s="180"/>
      <c r="N65" s="180"/>
      <c r="P65" s="644"/>
      <c r="R65" s="180"/>
      <c r="S65" s="180"/>
      <c r="U65" s="644"/>
      <c r="W65" s="180"/>
      <c r="X65" s="180"/>
      <c r="Z65" s="644"/>
      <c r="AD65" s="180"/>
      <c r="AE65" s="180"/>
      <c r="AF65" s="180"/>
      <c r="AG65" s="180"/>
      <c r="AI65" s="255"/>
      <c r="AJ65" s="180"/>
      <c r="AK65" s="193"/>
      <c r="AL65" s="193"/>
      <c r="AM65" s="193"/>
      <c r="AN65" s="193"/>
      <c r="AO65" s="193"/>
      <c r="AP65" s="193"/>
      <c r="AQ65" s="180"/>
      <c r="AR65" s="180"/>
      <c r="AS65" s="180"/>
      <c r="AT65" s="180"/>
      <c r="AU65" s="180"/>
      <c r="AV65" s="180"/>
      <c r="AW65" s="180"/>
    </row>
    <row r="66" spans="1:49">
      <c r="A66" s="180"/>
      <c r="B66" s="229"/>
      <c r="C66" s="230"/>
      <c r="D66" s="230"/>
      <c r="E66" s="232"/>
      <c r="F66" s="232"/>
      <c r="G66" s="230"/>
      <c r="H66" s="232"/>
      <c r="I66" s="232"/>
      <c r="J66" s="232"/>
      <c r="K66" s="232"/>
      <c r="L66" s="230"/>
      <c r="M66" s="230"/>
      <c r="N66" s="230"/>
      <c r="O66" s="230"/>
      <c r="P66" s="232"/>
      <c r="Q66" s="230"/>
      <c r="R66" s="230"/>
      <c r="S66" s="230"/>
      <c r="T66" s="230"/>
      <c r="U66" s="232"/>
      <c r="V66" s="230"/>
      <c r="W66" s="230"/>
      <c r="X66" s="230"/>
      <c r="Y66" s="233"/>
      <c r="Z66" s="232"/>
      <c r="AA66" s="234"/>
      <c r="AB66" s="232"/>
      <c r="AC66" s="373"/>
      <c r="AD66" s="236"/>
      <c r="AE66" s="255"/>
      <c r="AF66" s="255"/>
      <c r="AG66" s="255"/>
      <c r="AH66" s="255"/>
      <c r="AJ66" s="255"/>
      <c r="AK66" s="255"/>
      <c r="AL66" s="255"/>
      <c r="AM66" s="255"/>
      <c r="AN66" s="255"/>
      <c r="AO66" s="255"/>
      <c r="AP66" s="255"/>
      <c r="AQ66" s="255"/>
      <c r="AR66" s="255"/>
      <c r="AS66" s="255"/>
      <c r="AT66" s="255"/>
      <c r="AU66" s="255"/>
      <c r="AV66" s="255"/>
      <c r="AW66" s="255"/>
    </row>
    <row r="67" spans="1:49">
      <c r="B67" s="180"/>
      <c r="E67" s="4"/>
      <c r="F67" s="644"/>
      <c r="G67" s="4"/>
      <c r="J67" s="4"/>
      <c r="K67" s="644"/>
      <c r="L67" s="4"/>
      <c r="O67" s="4"/>
      <c r="P67" s="644"/>
      <c r="T67" s="4"/>
      <c r="U67" s="644"/>
      <c r="Y67" s="4"/>
      <c r="Z67" s="644"/>
      <c r="AA67" s="4"/>
      <c r="AB67" s="4"/>
      <c r="AC67" s="4"/>
      <c r="AK67" s="180"/>
      <c r="AL67" s="180"/>
      <c r="AM67" s="180"/>
      <c r="AN67" s="180"/>
      <c r="AO67" s="180"/>
      <c r="AP67" s="180"/>
    </row>
    <row r="68" spans="1:49">
      <c r="A68" s="228"/>
      <c r="B68" s="1518" t="s">
        <v>18</v>
      </c>
      <c r="C68" s="1519">
        <v>45551</v>
      </c>
      <c r="D68" s="1519"/>
      <c r="E68" s="1519"/>
      <c r="F68" s="1519"/>
      <c r="G68" s="365"/>
      <c r="H68" s="1519">
        <v>45552</v>
      </c>
      <c r="I68" s="1519"/>
      <c r="J68" s="1519"/>
      <c r="K68" s="1519"/>
      <c r="L68" s="365"/>
      <c r="M68" s="1519">
        <v>45553</v>
      </c>
      <c r="N68" s="1519"/>
      <c r="O68" s="1519"/>
      <c r="P68" s="1519"/>
      <c r="Q68" s="365"/>
      <c r="R68" s="1519">
        <v>45554</v>
      </c>
      <c r="S68" s="1519"/>
      <c r="T68" s="1519"/>
      <c r="U68" s="1519"/>
      <c r="V68" s="365"/>
      <c r="W68" s="1519">
        <v>45555</v>
      </c>
      <c r="X68" s="1519"/>
      <c r="Y68" s="1519"/>
      <c r="Z68" s="1519"/>
      <c r="AA68" s="1517" t="s">
        <v>19</v>
      </c>
      <c r="AB68" s="1517" t="s">
        <v>20</v>
      </c>
      <c r="AC68" s="4"/>
      <c r="AD68" s="1519">
        <v>45556</v>
      </c>
      <c r="AE68" s="1519"/>
      <c r="AF68" s="1519"/>
      <c r="AG68" s="1517" t="s">
        <v>21</v>
      </c>
      <c r="AI68" s="368"/>
      <c r="AK68" s="194" t="s">
        <v>84</v>
      </c>
      <c r="AL68" s="366"/>
      <c r="AM68" s="366"/>
      <c r="AN68" s="366"/>
      <c r="AO68" s="366"/>
      <c r="AP68" s="366"/>
    </row>
    <row r="69" spans="1:49">
      <c r="A69" s="180"/>
      <c r="B69" s="1518"/>
      <c r="C69" s="21" t="s">
        <v>23</v>
      </c>
      <c r="D69" s="21" t="s">
        <v>24</v>
      </c>
      <c r="E69" s="205" t="s">
        <v>25</v>
      </c>
      <c r="F69" s="645" t="s">
        <v>14</v>
      </c>
      <c r="G69" s="4"/>
      <c r="H69" s="21" t="s">
        <v>23</v>
      </c>
      <c r="I69" s="21" t="s">
        <v>24</v>
      </c>
      <c r="J69" s="18" t="s">
        <v>25</v>
      </c>
      <c r="K69" s="645" t="s">
        <v>14</v>
      </c>
      <c r="L69" s="4"/>
      <c r="M69" s="21" t="s">
        <v>23</v>
      </c>
      <c r="N69" s="21" t="s">
        <v>24</v>
      </c>
      <c r="O69" s="18" t="s">
        <v>25</v>
      </c>
      <c r="P69" s="645" t="s">
        <v>14</v>
      </c>
      <c r="R69" s="21" t="s">
        <v>23</v>
      </c>
      <c r="S69" s="21" t="s">
        <v>24</v>
      </c>
      <c r="T69" s="18" t="s">
        <v>25</v>
      </c>
      <c r="U69" s="645" t="s">
        <v>14</v>
      </c>
      <c r="W69" s="21" t="s">
        <v>23</v>
      </c>
      <c r="X69" s="21" t="s">
        <v>24</v>
      </c>
      <c r="Y69" s="18" t="s">
        <v>25</v>
      </c>
      <c r="Z69" s="645" t="s">
        <v>14</v>
      </c>
      <c r="AA69" s="1517"/>
      <c r="AB69" s="1517"/>
      <c r="AC69" s="4"/>
      <c r="AD69" s="21" t="s">
        <v>23</v>
      </c>
      <c r="AE69" s="21" t="s">
        <v>24</v>
      </c>
      <c r="AF69" s="18" t="s">
        <v>25</v>
      </c>
      <c r="AG69" s="1517"/>
      <c r="AI69" s="368"/>
      <c r="AJ69" s="367"/>
      <c r="AK69" s="188" t="s">
        <v>26</v>
      </c>
      <c r="AL69" s="196">
        <f>AA105</f>
        <v>581</v>
      </c>
      <c r="AM69" s="510">
        <v>39.14</v>
      </c>
      <c r="AN69" s="510">
        <f t="shared" ref="AN69:AN75" si="11">AL69*AM69</f>
        <v>22740.34</v>
      </c>
      <c r="AQ69" s="367"/>
      <c r="AR69" s="367"/>
      <c r="AS69" s="367"/>
      <c r="AT69" s="367"/>
      <c r="AU69" s="367"/>
      <c r="AV69" s="367"/>
      <c r="AW69" s="367"/>
    </row>
    <row r="70" spans="1:49">
      <c r="A70" s="180"/>
      <c r="B70" s="640" t="s">
        <v>957</v>
      </c>
      <c r="C70" s="640" t="s">
        <v>154</v>
      </c>
      <c r="D70" s="639"/>
      <c r="E70" s="319">
        <v>0</v>
      </c>
      <c r="F70" s="646"/>
      <c r="G70" s="4"/>
      <c r="H70" s="640" t="s">
        <v>154</v>
      </c>
      <c r="I70" s="639"/>
      <c r="J70" s="319">
        <v>0</v>
      </c>
      <c r="K70" s="646"/>
      <c r="L70" s="4"/>
      <c r="M70" s="640" t="s">
        <v>154</v>
      </c>
      <c r="N70" s="639"/>
      <c r="O70" s="319"/>
      <c r="P70" s="646"/>
      <c r="R70" s="640" t="s">
        <v>154</v>
      </c>
      <c r="S70" s="639"/>
      <c r="T70" s="319"/>
      <c r="U70" s="646"/>
      <c r="W70" s="640" t="s">
        <v>154</v>
      </c>
      <c r="X70" s="639"/>
      <c r="Y70" s="319"/>
      <c r="Z70" s="646"/>
      <c r="AA70" s="328">
        <f t="shared" ref="AA70:AA78" si="12">(E70+J70+O70+T70+Y70)</f>
        <v>0</v>
      </c>
      <c r="AB70" s="298">
        <f t="shared" ref="AB70:AB78" si="13">Z70+U70+P70+K70+F70</f>
        <v>0</v>
      </c>
      <c r="AC70" s="4"/>
      <c r="AD70" s="587"/>
      <c r="AE70" s="531"/>
      <c r="AF70" s="319"/>
      <c r="AG70" s="328">
        <f>AF70</f>
        <v>0</v>
      </c>
      <c r="AI70" s="368"/>
      <c r="AJ70" s="367"/>
      <c r="AK70" s="188" t="s">
        <v>30</v>
      </c>
      <c r="AL70" s="196">
        <f>AB105</f>
        <v>1.5</v>
      </c>
      <c r="AM70" s="511">
        <f>AM69*1.5</f>
        <v>58.71</v>
      </c>
      <c r="AN70" s="510">
        <f t="shared" si="11"/>
        <v>88.064999999999998</v>
      </c>
      <c r="AQ70" s="367"/>
      <c r="AR70" s="367"/>
      <c r="AS70" s="367"/>
      <c r="AT70" s="367"/>
      <c r="AU70" s="367"/>
      <c r="AV70" s="367"/>
      <c r="AW70" s="367"/>
    </row>
    <row r="71" spans="1:49">
      <c r="A71" s="367"/>
      <c r="B71" s="67" t="s">
        <v>958</v>
      </c>
      <c r="C71" s="441" t="s">
        <v>75</v>
      </c>
      <c r="D71" s="47">
        <v>0.25</v>
      </c>
      <c r="E71" s="319">
        <v>8</v>
      </c>
      <c r="F71" s="646"/>
      <c r="G71" s="4"/>
      <c r="H71" s="441" t="s">
        <v>960</v>
      </c>
      <c r="I71" s="47"/>
      <c r="J71" s="319">
        <v>0</v>
      </c>
      <c r="K71" s="646"/>
      <c r="L71" s="4"/>
      <c r="M71" s="441" t="s">
        <v>75</v>
      </c>
      <c r="N71" s="47">
        <v>0.25</v>
      </c>
      <c r="O71" s="319">
        <v>8</v>
      </c>
      <c r="P71" s="646"/>
      <c r="R71" s="441" t="s">
        <v>75</v>
      </c>
      <c r="S71" s="47">
        <v>0.25</v>
      </c>
      <c r="T71" s="319">
        <v>8</v>
      </c>
      <c r="U71" s="646"/>
      <c r="W71" s="441" t="s">
        <v>75</v>
      </c>
      <c r="X71" s="47">
        <v>0.25</v>
      </c>
      <c r="Y71" s="319">
        <v>8</v>
      </c>
      <c r="Z71" s="646"/>
      <c r="AA71" s="328">
        <f t="shared" si="12"/>
        <v>32</v>
      </c>
      <c r="AB71" s="298">
        <f t="shared" si="13"/>
        <v>0</v>
      </c>
      <c r="AC71" s="4"/>
      <c r="AF71" s="319"/>
      <c r="AG71" s="328">
        <f t="shared" ref="AG71:AG103" si="14">AF71</f>
        <v>0</v>
      </c>
      <c r="AH71" s="175"/>
      <c r="AI71" s="402"/>
      <c r="AJ71" s="367"/>
      <c r="AK71" s="188" t="s">
        <v>32</v>
      </c>
      <c r="AL71" s="196">
        <f>AG105</f>
        <v>10.5</v>
      </c>
      <c r="AM71" s="510">
        <v>58.71</v>
      </c>
      <c r="AN71" s="510">
        <f t="shared" si="11"/>
        <v>616.45500000000004</v>
      </c>
      <c r="AQ71" s="367"/>
      <c r="AR71" s="367"/>
      <c r="AS71" s="367"/>
      <c r="AT71" s="367"/>
      <c r="AU71" s="367"/>
      <c r="AV71" s="367"/>
      <c r="AW71" s="367"/>
    </row>
    <row r="72" spans="1:49">
      <c r="A72" s="367"/>
      <c r="B72" s="436" t="s">
        <v>959</v>
      </c>
      <c r="C72" s="441" t="s">
        <v>75</v>
      </c>
      <c r="D72" s="47">
        <v>0.25</v>
      </c>
      <c r="E72" s="319">
        <v>8</v>
      </c>
      <c r="F72" s="646"/>
      <c r="G72" s="4"/>
      <c r="H72" s="441" t="s">
        <v>366</v>
      </c>
      <c r="I72" s="47">
        <v>0.20833333333333334</v>
      </c>
      <c r="J72" s="319">
        <v>3.5</v>
      </c>
      <c r="K72" s="646"/>
      <c r="L72" s="4"/>
      <c r="M72" s="441" t="s">
        <v>75</v>
      </c>
      <c r="N72" s="47">
        <v>0.25</v>
      </c>
      <c r="O72" s="319">
        <v>8</v>
      </c>
      <c r="P72" s="646"/>
      <c r="R72" s="441" t="s">
        <v>75</v>
      </c>
      <c r="S72" s="47">
        <v>0.25</v>
      </c>
      <c r="T72" s="319">
        <v>8</v>
      </c>
      <c r="U72" s="646"/>
      <c r="W72" s="441" t="s">
        <v>75</v>
      </c>
      <c r="X72" s="47">
        <v>0.25</v>
      </c>
      <c r="Y72" s="319">
        <v>8</v>
      </c>
      <c r="Z72" s="646"/>
      <c r="AA72" s="328">
        <f t="shared" si="12"/>
        <v>35.5</v>
      </c>
      <c r="AB72" s="298">
        <f t="shared" si="13"/>
        <v>0</v>
      </c>
      <c r="AC72" s="4"/>
      <c r="AD72" s="531"/>
      <c r="AE72" s="531"/>
      <c r="AF72" s="319"/>
      <c r="AG72" s="328">
        <f t="shared" si="14"/>
        <v>0</v>
      </c>
      <c r="AH72" s="175"/>
      <c r="AI72" s="402"/>
      <c r="AJ72" s="367"/>
      <c r="AK72" s="403" t="s">
        <v>213</v>
      </c>
      <c r="AL72" s="404">
        <f>AA107</f>
        <v>40</v>
      </c>
      <c r="AM72" s="510">
        <v>51.5</v>
      </c>
      <c r="AN72" s="510">
        <f t="shared" si="11"/>
        <v>2060</v>
      </c>
      <c r="AQ72" s="367"/>
      <c r="AR72" s="367"/>
      <c r="AS72" s="367"/>
      <c r="AT72" s="367"/>
      <c r="AU72" s="367"/>
      <c r="AV72" s="367"/>
      <c r="AW72" s="367"/>
    </row>
    <row r="73" spans="1:49">
      <c r="A73" s="367"/>
      <c r="B73" s="67" t="s">
        <v>543</v>
      </c>
      <c r="C73" s="640" t="s">
        <v>154</v>
      </c>
      <c r="D73" s="639"/>
      <c r="E73" s="319">
        <v>0</v>
      </c>
      <c r="F73" s="646"/>
      <c r="G73" s="4"/>
      <c r="H73" s="640" t="s">
        <v>154</v>
      </c>
      <c r="I73" s="639"/>
      <c r="J73" s="319">
        <v>0</v>
      </c>
      <c r="K73" s="646"/>
      <c r="L73" s="4"/>
      <c r="M73" s="640" t="s">
        <v>154</v>
      </c>
      <c r="N73" s="639"/>
      <c r="O73" s="319"/>
      <c r="P73" s="646"/>
      <c r="R73" s="640" t="s">
        <v>154</v>
      </c>
      <c r="S73" s="639"/>
      <c r="T73" s="319"/>
      <c r="U73" s="646"/>
      <c r="W73" s="640" t="s">
        <v>154</v>
      </c>
      <c r="X73" s="639"/>
      <c r="Y73" s="319"/>
      <c r="Z73" s="646"/>
      <c r="AA73" s="328">
        <f t="shared" si="12"/>
        <v>0</v>
      </c>
      <c r="AB73" s="298">
        <f t="shared" si="13"/>
        <v>0</v>
      </c>
      <c r="AC73" s="399"/>
      <c r="AD73" s="47"/>
      <c r="AE73" s="47"/>
      <c r="AF73" s="319"/>
      <c r="AG73" s="328">
        <f t="shared" si="14"/>
        <v>0</v>
      </c>
      <c r="AH73" s="175"/>
      <c r="AJ73" s="401"/>
      <c r="AK73" s="188" t="s">
        <v>36</v>
      </c>
      <c r="AL73" s="196">
        <f>AB107</f>
        <v>0</v>
      </c>
      <c r="AM73" s="510">
        <f>AM72*1.5</f>
        <v>77.25</v>
      </c>
      <c r="AN73" s="510">
        <f t="shared" si="11"/>
        <v>0</v>
      </c>
      <c r="AO73" s="405"/>
      <c r="AP73" s="405"/>
      <c r="AQ73" s="367"/>
      <c r="AR73" s="401"/>
      <c r="AS73" s="401"/>
      <c r="AT73" s="401"/>
      <c r="AU73" s="401"/>
      <c r="AV73" s="401"/>
      <c r="AW73" s="401"/>
    </row>
    <row r="74" spans="1:49" ht="14.25" customHeight="1">
      <c r="A74" s="367"/>
      <c r="B74" s="47" t="s">
        <v>515</v>
      </c>
      <c r="C74" s="441" t="s">
        <v>75</v>
      </c>
      <c r="D74" s="47">
        <v>0.25</v>
      </c>
      <c r="E74" s="319">
        <v>8</v>
      </c>
      <c r="F74" s="646"/>
      <c r="G74" s="4"/>
      <c r="H74" s="47">
        <v>6.25E-2</v>
      </c>
      <c r="I74" s="47">
        <v>0.20833333333333334</v>
      </c>
      <c r="J74" s="319">
        <v>3.5</v>
      </c>
      <c r="K74" s="646"/>
      <c r="L74" s="4"/>
      <c r="M74" s="441" t="s">
        <v>75</v>
      </c>
      <c r="N74" s="47">
        <v>0.25</v>
      </c>
      <c r="O74" s="319">
        <v>8</v>
      </c>
      <c r="P74" s="646"/>
      <c r="R74" s="441" t="s">
        <v>75</v>
      </c>
      <c r="S74" s="47">
        <v>0.25</v>
      </c>
      <c r="T74" s="319">
        <v>8</v>
      </c>
      <c r="U74" s="646"/>
      <c r="W74" s="441" t="s">
        <v>75</v>
      </c>
      <c r="X74" s="47">
        <v>0.25</v>
      </c>
      <c r="Y74" s="319">
        <v>8</v>
      </c>
      <c r="Z74" s="646"/>
      <c r="AA74" s="328">
        <f t="shared" si="12"/>
        <v>35.5</v>
      </c>
      <c r="AB74" s="298">
        <f t="shared" si="13"/>
        <v>0</v>
      </c>
      <c r="AC74" s="175"/>
      <c r="AD74" s="47"/>
      <c r="AE74" s="47"/>
      <c r="AF74" s="319"/>
      <c r="AG74" s="328">
        <f t="shared" si="14"/>
        <v>0</v>
      </c>
      <c r="AH74" s="175"/>
      <c r="AJ74" s="401"/>
      <c r="AK74" s="188" t="s">
        <v>38</v>
      </c>
      <c r="AL74" s="196">
        <f>AG107</f>
        <v>1.5</v>
      </c>
      <c r="AM74" s="510">
        <v>77.25</v>
      </c>
      <c r="AN74" s="510">
        <f t="shared" si="11"/>
        <v>115.875</v>
      </c>
      <c r="AO74" s="405"/>
      <c r="AP74" s="405"/>
      <c r="AQ74" s="367"/>
      <c r="AR74" s="401"/>
      <c r="AS74" s="401"/>
      <c r="AT74" s="401"/>
      <c r="AU74" s="401"/>
      <c r="AV74" s="401"/>
      <c r="AW74" s="401"/>
    </row>
    <row r="75" spans="1:49" ht="14.25" thickBot="1">
      <c r="A75" s="367"/>
      <c r="B75" s="638" t="s">
        <v>962</v>
      </c>
      <c r="C75" s="441" t="s">
        <v>75</v>
      </c>
      <c r="D75" s="47">
        <v>0.25</v>
      </c>
      <c r="E75" s="319">
        <v>8</v>
      </c>
      <c r="F75" s="646"/>
      <c r="G75" s="4"/>
      <c r="H75" s="47" t="s">
        <v>960</v>
      </c>
      <c r="I75" s="47"/>
      <c r="J75" s="319">
        <v>0</v>
      </c>
      <c r="K75" s="646"/>
      <c r="L75" s="4"/>
      <c r="M75" s="441" t="s">
        <v>75</v>
      </c>
      <c r="N75" s="47">
        <v>0.25</v>
      </c>
      <c r="O75" s="319">
        <v>8</v>
      </c>
      <c r="P75" s="646"/>
      <c r="R75" s="441" t="s">
        <v>75</v>
      </c>
      <c r="S75" s="47">
        <v>0.25</v>
      </c>
      <c r="T75" s="319">
        <v>8</v>
      </c>
      <c r="U75" s="646"/>
      <c r="W75" s="441" t="s">
        <v>75</v>
      </c>
      <c r="X75" s="47">
        <v>0.25</v>
      </c>
      <c r="Y75" s="319">
        <v>8</v>
      </c>
      <c r="Z75" s="646"/>
      <c r="AA75" s="328">
        <f t="shared" si="12"/>
        <v>32</v>
      </c>
      <c r="AB75" s="298">
        <f t="shared" si="13"/>
        <v>0</v>
      </c>
      <c r="AC75" s="4"/>
      <c r="AD75" s="47"/>
      <c r="AE75" s="47"/>
      <c r="AF75" s="319"/>
      <c r="AG75" s="328">
        <f t="shared" si="14"/>
        <v>0</v>
      </c>
      <c r="AH75" s="175"/>
      <c r="AI75" s="368"/>
      <c r="AK75" s="188" t="s">
        <v>41</v>
      </c>
      <c r="AL75" s="196">
        <f>C108</f>
        <v>59</v>
      </c>
      <c r="AM75" s="512">
        <v>46.35</v>
      </c>
      <c r="AN75" s="512">
        <f t="shared" si="11"/>
        <v>2734.65</v>
      </c>
      <c r="AQ75" s="367"/>
    </row>
    <row r="76" spans="1:49" s="4" customFormat="1" ht="14.25" thickTop="1">
      <c r="A76" s="180"/>
      <c r="B76" s="436" t="s">
        <v>967</v>
      </c>
      <c r="C76" s="441" t="s">
        <v>75</v>
      </c>
      <c r="D76" s="47">
        <v>0.25</v>
      </c>
      <c r="E76" s="319">
        <v>8</v>
      </c>
      <c r="F76" s="646"/>
      <c r="H76" s="47">
        <v>6.25E-2</v>
      </c>
      <c r="I76" s="47">
        <v>0.20833333333333334</v>
      </c>
      <c r="J76" s="319">
        <v>3.5</v>
      </c>
      <c r="K76" s="646"/>
      <c r="M76" s="441" t="s">
        <v>75</v>
      </c>
      <c r="N76" s="47">
        <v>0.25</v>
      </c>
      <c r="O76" s="319">
        <v>8</v>
      </c>
      <c r="P76" s="646"/>
      <c r="R76" s="441" t="s">
        <v>75</v>
      </c>
      <c r="S76" s="47">
        <v>0.25</v>
      </c>
      <c r="T76" s="319">
        <v>8</v>
      </c>
      <c r="U76" s="646"/>
      <c r="W76" s="441" t="s">
        <v>75</v>
      </c>
      <c r="X76" s="47">
        <v>0.25</v>
      </c>
      <c r="Y76" s="319">
        <v>8</v>
      </c>
      <c r="Z76" s="646"/>
      <c r="AA76" s="328">
        <f t="shared" si="12"/>
        <v>35.5</v>
      </c>
      <c r="AB76" s="298">
        <f t="shared" si="13"/>
        <v>0</v>
      </c>
      <c r="AD76" s="47"/>
      <c r="AE76" s="47"/>
      <c r="AF76" s="319"/>
      <c r="AG76" s="328">
        <f t="shared" si="14"/>
        <v>0</v>
      </c>
      <c r="AI76" s="255"/>
      <c r="AJ76" s="180"/>
      <c r="AK76" s="193"/>
      <c r="AL76" s="193"/>
      <c r="AM76" s="193"/>
      <c r="AN76" s="510">
        <f>SUM(AN69:AN75)</f>
        <v>28355.385000000002</v>
      </c>
      <c r="AO76" s="193"/>
      <c r="AP76" s="193"/>
      <c r="AQ76" s="367"/>
      <c r="AR76" s="180"/>
      <c r="AS76" s="180"/>
      <c r="AT76" s="180"/>
      <c r="AU76" s="180"/>
      <c r="AV76" s="180"/>
      <c r="AW76" s="180"/>
    </row>
    <row r="77" spans="1:49" s="4" customFormat="1">
      <c r="A77" s="180"/>
      <c r="B77" s="436" t="s">
        <v>968</v>
      </c>
      <c r="C77" s="640" t="s">
        <v>154</v>
      </c>
      <c r="D77" s="639"/>
      <c r="E77" s="319">
        <v>0</v>
      </c>
      <c r="F77" s="646"/>
      <c r="H77" s="640" t="s">
        <v>154</v>
      </c>
      <c r="I77" s="639"/>
      <c r="J77" s="319">
        <v>0</v>
      </c>
      <c r="K77" s="646"/>
      <c r="M77" s="640" t="s">
        <v>154</v>
      </c>
      <c r="N77" s="639"/>
      <c r="O77" s="319"/>
      <c r="P77" s="646"/>
      <c r="R77" s="640" t="s">
        <v>154</v>
      </c>
      <c r="S77" s="639"/>
      <c r="T77" s="319"/>
      <c r="U77" s="646"/>
      <c r="W77" s="640" t="s">
        <v>154</v>
      </c>
      <c r="X77" s="639"/>
      <c r="Y77" s="319"/>
      <c r="Z77" s="646"/>
      <c r="AA77" s="328">
        <f t="shared" si="12"/>
        <v>0</v>
      </c>
      <c r="AB77" s="298">
        <f t="shared" si="13"/>
        <v>0</v>
      </c>
      <c r="AD77" s="47"/>
      <c r="AE77" s="47"/>
      <c r="AF77" s="319"/>
      <c r="AG77" s="328">
        <f t="shared" si="14"/>
        <v>0</v>
      </c>
      <c r="AI77" s="255"/>
      <c r="AJ77" s="180"/>
      <c r="AK77" s="193"/>
      <c r="AL77" s="193"/>
      <c r="AM77" s="193"/>
      <c r="AN77" s="193"/>
      <c r="AO77" s="193"/>
      <c r="AP77" s="193"/>
      <c r="AQ77" s="367"/>
      <c r="AR77" s="180"/>
      <c r="AS77" s="180"/>
      <c r="AT77" s="180"/>
      <c r="AU77" s="180"/>
      <c r="AV77" s="180"/>
      <c r="AW77" s="180"/>
    </row>
    <row r="78" spans="1:49" s="4" customFormat="1" ht="16.5" customHeight="1">
      <c r="A78" s="180"/>
      <c r="B78" s="436" t="s">
        <v>972</v>
      </c>
      <c r="C78" s="441" t="s">
        <v>75</v>
      </c>
      <c r="D78" s="47">
        <v>0.25</v>
      </c>
      <c r="E78" s="319">
        <v>8</v>
      </c>
      <c r="F78" s="646"/>
      <c r="H78" s="47">
        <v>0.375</v>
      </c>
      <c r="I78" s="47">
        <v>0.20833333333333334</v>
      </c>
      <c r="J78" s="319">
        <v>7</v>
      </c>
      <c r="K78" s="646"/>
      <c r="M78" s="441" t="s">
        <v>75</v>
      </c>
      <c r="N78" s="47">
        <v>0.25</v>
      </c>
      <c r="O78" s="319">
        <v>8</v>
      </c>
      <c r="P78" s="646"/>
      <c r="R78" s="441" t="s">
        <v>75</v>
      </c>
      <c r="S78" s="47">
        <v>0.25</v>
      </c>
      <c r="T78" s="319">
        <v>8</v>
      </c>
      <c r="U78" s="646"/>
      <c r="W78" s="441" t="s">
        <v>75</v>
      </c>
      <c r="X78" s="47">
        <v>0.25</v>
      </c>
      <c r="Y78" s="319">
        <v>8</v>
      </c>
      <c r="Z78" s="646"/>
      <c r="AA78" s="328">
        <f t="shared" si="12"/>
        <v>39</v>
      </c>
      <c r="AB78" s="298">
        <f t="shared" si="13"/>
        <v>0</v>
      </c>
      <c r="AD78" s="47">
        <v>0.36458333333333331</v>
      </c>
      <c r="AE78" s="47">
        <v>8.3333333333333329E-2</v>
      </c>
      <c r="AF78" s="319">
        <v>5.25</v>
      </c>
      <c r="AG78" s="328">
        <f t="shared" si="14"/>
        <v>5.25</v>
      </c>
      <c r="AI78" s="255"/>
      <c r="AJ78" s="180"/>
      <c r="AK78" s="193"/>
      <c r="AL78" s="193"/>
      <c r="AM78" s="193"/>
      <c r="AN78" s="193"/>
      <c r="AO78" s="193"/>
      <c r="AP78" s="193"/>
      <c r="AQ78" s="367"/>
      <c r="AR78" s="180"/>
      <c r="AS78" s="180"/>
      <c r="AT78" s="180"/>
      <c r="AU78" s="180"/>
      <c r="AV78" s="180"/>
      <c r="AW78" s="180"/>
    </row>
    <row r="79" spans="1:49" s="4" customFormat="1">
      <c r="A79" s="180"/>
      <c r="B79" s="47" t="s">
        <v>974</v>
      </c>
      <c r="C79" s="441" t="s">
        <v>75</v>
      </c>
      <c r="D79" s="47">
        <v>0.25</v>
      </c>
      <c r="E79" s="319">
        <v>8</v>
      </c>
      <c r="F79" s="646"/>
      <c r="H79" s="47">
        <v>6.25E-2</v>
      </c>
      <c r="I79" s="47">
        <v>0.20833333333333334</v>
      </c>
      <c r="J79" s="319">
        <v>3.5</v>
      </c>
      <c r="K79" s="646"/>
      <c r="M79" s="441" t="s">
        <v>75</v>
      </c>
      <c r="N79" s="47">
        <v>0.25</v>
      </c>
      <c r="O79" s="319">
        <v>8</v>
      </c>
      <c r="P79" s="646"/>
      <c r="R79" s="441" t="s">
        <v>75</v>
      </c>
      <c r="S79" s="47">
        <v>0.25</v>
      </c>
      <c r="T79" s="319">
        <v>8</v>
      </c>
      <c r="U79" s="646"/>
      <c r="W79" s="441" t="s">
        <v>75</v>
      </c>
      <c r="X79" s="47">
        <v>0.25</v>
      </c>
      <c r="Y79" s="319">
        <v>8</v>
      </c>
      <c r="Z79" s="646"/>
      <c r="AA79" s="328">
        <f t="shared" ref="AA79:AA104" si="15">(E79+J79+O79+T79+Y79)</f>
        <v>35.5</v>
      </c>
      <c r="AB79" s="298">
        <f t="shared" ref="AB79:AB104" si="16">Z79+U79+P79+K79+F79</f>
        <v>0</v>
      </c>
      <c r="AD79" s="47"/>
      <c r="AE79" s="47"/>
      <c r="AF79" s="319"/>
      <c r="AG79" s="328">
        <f t="shared" si="14"/>
        <v>0</v>
      </c>
      <c r="AI79" s="255"/>
      <c r="AJ79" s="180"/>
      <c r="AK79" s="193"/>
      <c r="AL79" s="193"/>
      <c r="AM79" s="193"/>
      <c r="AN79" s="193"/>
      <c r="AO79" s="193"/>
      <c r="AP79" s="193"/>
      <c r="AQ79" s="180"/>
      <c r="AR79" s="180"/>
      <c r="AS79" s="180"/>
      <c r="AT79" s="180"/>
      <c r="AU79" s="180"/>
      <c r="AV79" s="180"/>
      <c r="AW79" s="180"/>
    </row>
    <row r="80" spans="1:49" s="4" customFormat="1">
      <c r="A80" s="180"/>
      <c r="B80" s="640" t="s">
        <v>390</v>
      </c>
      <c r="C80" s="643"/>
      <c r="D80" s="653"/>
      <c r="E80" s="520"/>
      <c r="F80" s="647"/>
      <c r="G80" s="521"/>
      <c r="H80" s="519"/>
      <c r="I80" s="653"/>
      <c r="J80" s="520"/>
      <c r="K80" s="647"/>
      <c r="L80" s="521"/>
      <c r="M80" s="519"/>
      <c r="N80" s="653"/>
      <c r="O80" s="520"/>
      <c r="P80" s="647"/>
      <c r="Q80" s="521"/>
      <c r="R80" s="519"/>
      <c r="S80" s="653"/>
      <c r="T80" s="520"/>
      <c r="U80" s="647"/>
      <c r="V80" s="521"/>
      <c r="W80" s="519"/>
      <c r="X80" s="653"/>
      <c r="Y80" s="520"/>
      <c r="Z80" s="646"/>
      <c r="AA80" s="328">
        <f t="shared" si="15"/>
        <v>0</v>
      </c>
      <c r="AB80" s="298">
        <f t="shared" si="16"/>
        <v>0</v>
      </c>
      <c r="AD80" s="47"/>
      <c r="AE80" s="47"/>
      <c r="AF80" s="319"/>
      <c r="AG80" s="328">
        <f t="shared" si="14"/>
        <v>0</v>
      </c>
      <c r="AI80" s="255"/>
      <c r="AJ80" s="180"/>
      <c r="AK80" s="193"/>
      <c r="AL80" s="193"/>
      <c r="AM80" s="193"/>
      <c r="AN80" s="193"/>
      <c r="AO80" s="193"/>
      <c r="AP80" s="193"/>
      <c r="AQ80" s="180"/>
      <c r="AR80" s="180"/>
      <c r="AS80" s="180"/>
      <c r="AT80" s="180"/>
      <c r="AU80" s="180"/>
      <c r="AV80" s="180"/>
      <c r="AW80" s="180"/>
    </row>
    <row r="81" spans="1:49" s="4" customFormat="1">
      <c r="A81" s="180"/>
      <c r="B81" s="639" t="s">
        <v>975</v>
      </c>
      <c r="C81" s="643"/>
      <c r="D81" s="653"/>
      <c r="E81" s="520"/>
      <c r="F81" s="647"/>
      <c r="G81" s="521"/>
      <c r="H81" s="519"/>
      <c r="I81" s="653"/>
      <c r="J81" s="520"/>
      <c r="K81" s="647"/>
      <c r="L81" s="521"/>
      <c r="M81" s="519"/>
      <c r="N81" s="653"/>
      <c r="O81" s="520"/>
      <c r="P81" s="647"/>
      <c r="Q81" s="521"/>
      <c r="R81" s="519"/>
      <c r="S81" s="653"/>
      <c r="T81" s="520"/>
      <c r="U81" s="647"/>
      <c r="V81" s="521"/>
      <c r="W81" s="519"/>
      <c r="X81" s="653"/>
      <c r="Y81" s="520"/>
      <c r="Z81" s="646"/>
      <c r="AA81" s="328">
        <f t="shared" si="15"/>
        <v>0</v>
      </c>
      <c r="AB81" s="298">
        <f t="shared" si="16"/>
        <v>0</v>
      </c>
      <c r="AD81" s="47"/>
      <c r="AE81" s="47"/>
      <c r="AF81" s="319"/>
      <c r="AG81" s="328">
        <f t="shared" si="14"/>
        <v>0</v>
      </c>
      <c r="AI81" s="255"/>
      <c r="AJ81" s="180"/>
      <c r="AK81" s="193"/>
      <c r="AL81" s="193"/>
      <c r="AM81" s="193"/>
      <c r="AN81" s="193"/>
      <c r="AO81" s="193"/>
      <c r="AP81" s="193"/>
      <c r="AQ81" s="180"/>
      <c r="AR81" s="180"/>
      <c r="AS81" s="180"/>
      <c r="AT81" s="180"/>
      <c r="AU81" s="180"/>
      <c r="AV81" s="180"/>
      <c r="AW81" s="180"/>
    </row>
    <row r="82" spans="1:49" s="4" customFormat="1">
      <c r="A82" s="180"/>
      <c r="B82" s="47" t="s">
        <v>517</v>
      </c>
      <c r="C82" s="441" t="s">
        <v>960</v>
      </c>
      <c r="D82" s="47"/>
      <c r="E82" s="319">
        <v>0</v>
      </c>
      <c r="F82" s="646"/>
      <c r="H82" s="47" t="s">
        <v>960</v>
      </c>
      <c r="I82" s="47"/>
      <c r="J82" s="319">
        <v>0</v>
      </c>
      <c r="K82" s="646"/>
      <c r="M82" s="441" t="s">
        <v>75</v>
      </c>
      <c r="N82" s="47">
        <v>0.25</v>
      </c>
      <c r="O82" s="319">
        <v>8</v>
      </c>
      <c r="P82" s="646"/>
      <c r="R82" s="441" t="s">
        <v>75</v>
      </c>
      <c r="S82" s="47">
        <v>0.25</v>
      </c>
      <c r="T82" s="319">
        <v>8</v>
      </c>
      <c r="U82" s="646"/>
      <c r="W82" s="441" t="s">
        <v>75</v>
      </c>
      <c r="X82" s="47">
        <v>0.25</v>
      </c>
      <c r="Y82" s="319">
        <v>8</v>
      </c>
      <c r="Z82" s="646"/>
      <c r="AA82" s="328">
        <f t="shared" si="15"/>
        <v>24</v>
      </c>
      <c r="AB82" s="298">
        <f t="shared" si="16"/>
        <v>0</v>
      </c>
      <c r="AD82" s="47"/>
      <c r="AE82" s="47"/>
      <c r="AF82" s="319"/>
      <c r="AG82" s="328">
        <f t="shared" si="14"/>
        <v>0</v>
      </c>
      <c r="AI82" s="255"/>
      <c r="AJ82" s="180"/>
      <c r="AK82" s="193"/>
      <c r="AL82" s="193"/>
      <c r="AM82" s="193"/>
      <c r="AN82" s="193"/>
      <c r="AO82" s="193"/>
      <c r="AP82" s="193"/>
      <c r="AQ82" s="180"/>
      <c r="AR82" s="180"/>
      <c r="AS82" s="180"/>
      <c r="AT82" s="180"/>
      <c r="AU82" s="180"/>
      <c r="AV82" s="180"/>
      <c r="AW82" s="180"/>
    </row>
    <row r="83" spans="1:49" s="4" customFormat="1">
      <c r="A83" s="180"/>
      <c r="B83" s="47" t="s">
        <v>981</v>
      </c>
      <c r="C83" s="441" t="s">
        <v>75</v>
      </c>
      <c r="D83" s="47">
        <v>0.25</v>
      </c>
      <c r="E83" s="319">
        <v>8</v>
      </c>
      <c r="F83" s="646"/>
      <c r="H83" s="47">
        <v>6.25E-2</v>
      </c>
      <c r="I83" s="47">
        <v>0.20833333333333334</v>
      </c>
      <c r="J83" s="319">
        <v>3.5</v>
      </c>
      <c r="K83" s="646"/>
      <c r="M83" s="441" t="s">
        <v>75</v>
      </c>
      <c r="N83" s="47">
        <v>0.25</v>
      </c>
      <c r="O83" s="319">
        <v>8</v>
      </c>
      <c r="P83" s="646"/>
      <c r="R83" s="441" t="s">
        <v>75</v>
      </c>
      <c r="S83" s="47">
        <v>0.25</v>
      </c>
      <c r="T83" s="319">
        <v>8</v>
      </c>
      <c r="U83" s="646"/>
      <c r="W83" s="441" t="s">
        <v>75</v>
      </c>
      <c r="X83" s="47">
        <v>0.25</v>
      </c>
      <c r="Y83" s="319">
        <v>8</v>
      </c>
      <c r="Z83" s="646"/>
      <c r="AA83" s="328">
        <f t="shared" si="15"/>
        <v>35.5</v>
      </c>
      <c r="AB83" s="298">
        <f t="shared" si="16"/>
        <v>0</v>
      </c>
      <c r="AD83" s="47"/>
      <c r="AE83" s="47"/>
      <c r="AF83" s="319"/>
      <c r="AG83" s="328">
        <f t="shared" si="14"/>
        <v>0</v>
      </c>
      <c r="AI83" s="255"/>
      <c r="AJ83" s="180"/>
      <c r="AK83" s="193"/>
      <c r="AL83" s="193"/>
      <c r="AM83" s="193"/>
      <c r="AN83" s="193"/>
      <c r="AO83" s="193"/>
      <c r="AP83" s="193"/>
      <c r="AQ83" s="180"/>
      <c r="AR83" s="180"/>
      <c r="AS83" s="180"/>
      <c r="AT83" s="180"/>
      <c r="AU83" s="180"/>
      <c r="AV83" s="180"/>
      <c r="AW83" s="180"/>
    </row>
    <row r="84" spans="1:49" s="4" customFormat="1">
      <c r="A84" s="180"/>
      <c r="B84" s="67" t="s">
        <v>976</v>
      </c>
      <c r="C84" s="441" t="s">
        <v>75</v>
      </c>
      <c r="D84" s="47">
        <v>0.25</v>
      </c>
      <c r="E84" s="319">
        <v>8</v>
      </c>
      <c r="F84" s="646"/>
      <c r="H84" s="47" t="s">
        <v>960</v>
      </c>
      <c r="I84" s="47"/>
      <c r="J84" s="319">
        <v>0</v>
      </c>
      <c r="K84" s="646"/>
      <c r="M84" s="441" t="s">
        <v>75</v>
      </c>
      <c r="N84" s="47">
        <v>0.25</v>
      </c>
      <c r="O84" s="319">
        <v>8</v>
      </c>
      <c r="P84" s="646"/>
      <c r="R84" s="47" t="s">
        <v>960</v>
      </c>
      <c r="S84" s="47"/>
      <c r="T84" s="319"/>
      <c r="U84" s="646"/>
      <c r="W84" s="441" t="s">
        <v>75</v>
      </c>
      <c r="X84" s="47">
        <v>0.25</v>
      </c>
      <c r="Y84" s="319">
        <v>8</v>
      </c>
      <c r="Z84" s="646"/>
      <c r="AA84" s="328">
        <f t="shared" si="15"/>
        <v>24</v>
      </c>
      <c r="AB84" s="298">
        <f t="shared" si="16"/>
        <v>0</v>
      </c>
      <c r="AD84" s="47"/>
      <c r="AE84" s="47"/>
      <c r="AF84" s="319"/>
      <c r="AG84" s="328">
        <f t="shared" si="14"/>
        <v>0</v>
      </c>
      <c r="AI84" s="255"/>
      <c r="AJ84" s="180"/>
      <c r="AK84" s="193"/>
      <c r="AL84" s="193"/>
      <c r="AM84" s="193"/>
      <c r="AN84" s="193"/>
      <c r="AO84" s="193"/>
      <c r="AP84" s="193"/>
      <c r="AQ84" s="180"/>
      <c r="AR84" s="180"/>
      <c r="AS84" s="180"/>
      <c r="AT84" s="180"/>
      <c r="AU84" s="180"/>
      <c r="AV84" s="180"/>
      <c r="AW84" s="180"/>
    </row>
    <row r="85" spans="1:49" s="4" customFormat="1">
      <c r="A85" s="180"/>
      <c r="B85" s="47" t="s">
        <v>977</v>
      </c>
      <c r="C85" s="441" t="s">
        <v>75</v>
      </c>
      <c r="D85" s="47">
        <v>0.25</v>
      </c>
      <c r="E85" s="319">
        <v>8</v>
      </c>
      <c r="F85" s="646"/>
      <c r="H85" s="47" t="s">
        <v>982</v>
      </c>
      <c r="I85" s="47"/>
      <c r="J85" s="319">
        <v>4</v>
      </c>
      <c r="K85" s="646"/>
      <c r="M85" s="441" t="s">
        <v>75</v>
      </c>
      <c r="N85" s="47">
        <v>0.25</v>
      </c>
      <c r="O85" s="319">
        <v>8</v>
      </c>
      <c r="P85" s="646"/>
      <c r="R85" s="47">
        <v>0.375</v>
      </c>
      <c r="S85" s="47">
        <v>0.25</v>
      </c>
      <c r="T85" s="319">
        <v>8</v>
      </c>
      <c r="U85" s="646"/>
      <c r="W85" s="47" t="s">
        <v>983</v>
      </c>
      <c r="X85" s="47"/>
      <c r="Y85" s="319"/>
      <c r="Z85" s="646"/>
      <c r="AA85" s="328">
        <f t="shared" si="15"/>
        <v>28</v>
      </c>
      <c r="AB85" s="298">
        <f t="shared" si="16"/>
        <v>0</v>
      </c>
      <c r="AD85" s="47"/>
      <c r="AE85" s="47"/>
      <c r="AF85" s="319"/>
      <c r="AG85" s="328">
        <f t="shared" si="14"/>
        <v>0</v>
      </c>
      <c r="AI85" s="255"/>
      <c r="AJ85" s="180"/>
      <c r="AK85" s="193"/>
      <c r="AL85" s="193"/>
      <c r="AM85" s="193"/>
      <c r="AN85" s="193"/>
      <c r="AO85" s="193"/>
      <c r="AP85" s="193"/>
      <c r="AQ85" s="180"/>
      <c r="AR85" s="180"/>
      <c r="AS85" s="180"/>
      <c r="AT85" s="180"/>
      <c r="AU85" s="180"/>
      <c r="AV85" s="180"/>
      <c r="AW85" s="180"/>
    </row>
    <row r="86" spans="1:49" s="4" customFormat="1">
      <c r="A86" s="180"/>
      <c r="B86" s="436" t="s">
        <v>388</v>
      </c>
      <c r="C86" s="441" t="s">
        <v>960</v>
      </c>
      <c r="D86" s="47"/>
      <c r="E86" s="319"/>
      <c r="F86" s="646"/>
      <c r="H86" s="47" t="s">
        <v>960</v>
      </c>
      <c r="I86" s="47"/>
      <c r="J86" s="319">
        <v>0</v>
      </c>
      <c r="K86" s="646"/>
      <c r="M86" s="47" t="s">
        <v>960</v>
      </c>
      <c r="N86" s="47"/>
      <c r="O86" s="319"/>
      <c r="P86" s="646"/>
      <c r="R86" s="47" t="s">
        <v>960</v>
      </c>
      <c r="S86" s="47"/>
      <c r="T86" s="319"/>
      <c r="U86" s="646"/>
      <c r="W86" s="47" t="s">
        <v>960</v>
      </c>
      <c r="X86" s="47"/>
      <c r="Y86" s="319"/>
      <c r="Z86" s="646"/>
      <c r="AA86" s="328">
        <f t="shared" si="15"/>
        <v>0</v>
      </c>
      <c r="AB86" s="298">
        <f t="shared" si="16"/>
        <v>0</v>
      </c>
      <c r="AD86" s="47"/>
      <c r="AE86" s="47"/>
      <c r="AF86" s="319"/>
      <c r="AG86" s="328">
        <f t="shared" si="14"/>
        <v>0</v>
      </c>
      <c r="AI86" s="255"/>
      <c r="AJ86" s="180"/>
      <c r="AK86" s="193"/>
      <c r="AL86" s="193"/>
      <c r="AM86" s="193"/>
      <c r="AN86" s="193"/>
      <c r="AO86" s="193"/>
      <c r="AP86" s="193"/>
      <c r="AQ86" s="180"/>
      <c r="AR86" s="180"/>
      <c r="AS86" s="180"/>
      <c r="AT86" s="180"/>
      <c r="AU86" s="180"/>
      <c r="AV86" s="180"/>
      <c r="AW86" s="180"/>
    </row>
    <row r="87" spans="1:49" s="4" customFormat="1">
      <c r="A87" s="180"/>
      <c r="B87" s="47" t="s">
        <v>394</v>
      </c>
      <c r="C87" s="441" t="s">
        <v>75</v>
      </c>
      <c r="D87" s="47">
        <v>0.25</v>
      </c>
      <c r="E87" s="319">
        <v>8</v>
      </c>
      <c r="F87" s="646"/>
      <c r="H87" s="47">
        <v>6.25E-2</v>
      </c>
      <c r="I87" s="47"/>
      <c r="J87" s="319">
        <v>3.5</v>
      </c>
      <c r="K87" s="646"/>
      <c r="M87" s="441" t="s">
        <v>75</v>
      </c>
      <c r="N87" s="47">
        <v>0.25</v>
      </c>
      <c r="O87" s="319">
        <v>8</v>
      </c>
      <c r="P87" s="646"/>
      <c r="R87" s="441" t="s">
        <v>75</v>
      </c>
      <c r="S87" s="47">
        <v>0.25</v>
      </c>
      <c r="T87" s="319">
        <v>8</v>
      </c>
      <c r="U87" s="646"/>
      <c r="W87" s="441" t="s">
        <v>75</v>
      </c>
      <c r="X87" s="47">
        <v>0.25</v>
      </c>
      <c r="Y87" s="319">
        <v>8</v>
      </c>
      <c r="Z87" s="646"/>
      <c r="AA87" s="328">
        <f t="shared" si="15"/>
        <v>35.5</v>
      </c>
      <c r="AB87" s="298">
        <f t="shared" si="16"/>
        <v>0</v>
      </c>
      <c r="AD87" s="47">
        <v>0.36458333333333331</v>
      </c>
      <c r="AE87" s="47">
        <v>8.3333333333333329E-2</v>
      </c>
      <c r="AF87" s="319">
        <v>5.25</v>
      </c>
      <c r="AG87" s="328">
        <f t="shared" si="14"/>
        <v>5.25</v>
      </c>
      <c r="AI87" s="255"/>
      <c r="AJ87" s="180"/>
      <c r="AK87" s="193"/>
      <c r="AL87" s="193"/>
      <c r="AM87" s="193"/>
      <c r="AN87" s="193"/>
      <c r="AO87" s="193"/>
      <c r="AP87" s="193"/>
      <c r="AQ87" s="180"/>
      <c r="AR87" s="180"/>
      <c r="AS87" s="180"/>
      <c r="AT87" s="180"/>
      <c r="AU87" s="180"/>
      <c r="AV87" s="180"/>
      <c r="AW87" s="180"/>
    </row>
    <row r="88" spans="1:49" s="4" customFormat="1">
      <c r="A88" s="180"/>
      <c r="B88" s="47" t="s">
        <v>519</v>
      </c>
      <c r="C88" s="441" t="s">
        <v>75</v>
      </c>
      <c r="D88" s="47">
        <v>0.25</v>
      </c>
      <c r="E88" s="319">
        <v>8</v>
      </c>
      <c r="F88" s="646"/>
      <c r="H88" s="47">
        <v>0.375</v>
      </c>
      <c r="I88" s="47">
        <v>0.20833333333333334</v>
      </c>
      <c r="J88" s="319">
        <v>8</v>
      </c>
      <c r="K88" s="646"/>
      <c r="M88" s="441" t="s">
        <v>75</v>
      </c>
      <c r="N88" s="47">
        <v>0.25</v>
      </c>
      <c r="O88" s="319">
        <v>8</v>
      </c>
      <c r="P88" s="646"/>
      <c r="R88" s="441" t="s">
        <v>75</v>
      </c>
      <c r="S88" s="47">
        <v>0.25</v>
      </c>
      <c r="T88" s="319">
        <v>8</v>
      </c>
      <c r="U88" s="646"/>
      <c r="W88" s="441" t="s">
        <v>75</v>
      </c>
      <c r="X88" s="47">
        <v>0.25</v>
      </c>
      <c r="Y88" s="319">
        <v>8</v>
      </c>
      <c r="Z88" s="646"/>
      <c r="AA88" s="328">
        <f t="shared" si="15"/>
        <v>40</v>
      </c>
      <c r="AB88" s="298">
        <f t="shared" si="16"/>
        <v>0</v>
      </c>
      <c r="AD88" s="47"/>
      <c r="AE88" s="47"/>
      <c r="AF88" s="319"/>
      <c r="AG88" s="328">
        <f t="shared" si="14"/>
        <v>0</v>
      </c>
      <c r="AI88" s="255"/>
      <c r="AJ88" s="180"/>
      <c r="AK88" s="193"/>
      <c r="AL88" s="193"/>
      <c r="AM88" s="193"/>
      <c r="AN88" s="193"/>
      <c r="AO88" s="193"/>
      <c r="AP88" s="193"/>
      <c r="AQ88" s="180"/>
      <c r="AR88" s="180"/>
      <c r="AS88" s="180"/>
      <c r="AT88" s="180"/>
      <c r="AU88" s="180"/>
      <c r="AV88" s="180"/>
      <c r="AW88" s="180"/>
    </row>
    <row r="89" spans="1:49" s="4" customFormat="1">
      <c r="A89" s="180"/>
      <c r="B89" s="639" t="s">
        <v>533</v>
      </c>
      <c r="C89" s="643"/>
      <c r="D89" s="653"/>
      <c r="E89" s="520"/>
      <c r="F89" s="647"/>
      <c r="G89" s="521"/>
      <c r="H89" s="519"/>
      <c r="I89" s="653"/>
      <c r="J89" s="520"/>
      <c r="K89" s="647"/>
      <c r="L89" s="521"/>
      <c r="M89" s="519"/>
      <c r="N89" s="653"/>
      <c r="O89" s="520"/>
      <c r="P89" s="647"/>
      <c r="Q89" s="521"/>
      <c r="R89" s="519"/>
      <c r="S89" s="653"/>
      <c r="T89" s="520"/>
      <c r="U89" s="647"/>
      <c r="V89" s="521"/>
      <c r="W89" s="519"/>
      <c r="X89" s="653"/>
      <c r="Y89" s="520"/>
      <c r="Z89" s="646"/>
      <c r="AA89" s="328">
        <f t="shared" si="15"/>
        <v>0</v>
      </c>
      <c r="AB89" s="298">
        <f t="shared" si="16"/>
        <v>0</v>
      </c>
      <c r="AD89" s="47"/>
      <c r="AE89" s="47"/>
      <c r="AF89" s="319"/>
      <c r="AG89" s="328">
        <f t="shared" si="14"/>
        <v>0</v>
      </c>
      <c r="AI89" s="255"/>
      <c r="AJ89" s="180"/>
      <c r="AK89" s="193"/>
      <c r="AL89" s="193"/>
      <c r="AM89" s="193"/>
      <c r="AN89" s="193"/>
      <c r="AO89" s="193"/>
      <c r="AP89" s="193"/>
      <c r="AQ89" s="180"/>
      <c r="AR89" s="180"/>
      <c r="AS89" s="180"/>
      <c r="AT89" s="180"/>
      <c r="AU89" s="180"/>
      <c r="AV89" s="180"/>
      <c r="AW89" s="180"/>
    </row>
    <row r="90" spans="1:49" s="4" customFormat="1">
      <c r="A90" s="180"/>
      <c r="B90" s="565" t="s">
        <v>547</v>
      </c>
      <c r="C90" s="47" t="s">
        <v>980</v>
      </c>
      <c r="D90" s="16" t="s">
        <v>542</v>
      </c>
      <c r="E90" s="319"/>
      <c r="F90" s="646"/>
      <c r="H90" s="47" t="s">
        <v>980</v>
      </c>
      <c r="I90" s="16" t="s">
        <v>542</v>
      </c>
      <c r="J90" s="319"/>
      <c r="K90" s="646"/>
      <c r="M90" s="47" t="s">
        <v>980</v>
      </c>
      <c r="N90" s="16" t="s">
        <v>542</v>
      </c>
      <c r="O90" s="319"/>
      <c r="P90" s="646"/>
      <c r="R90" s="47" t="s">
        <v>980</v>
      </c>
      <c r="S90" s="16" t="s">
        <v>542</v>
      </c>
      <c r="T90" s="319"/>
      <c r="U90" s="646"/>
      <c r="W90" s="47" t="s">
        <v>980</v>
      </c>
      <c r="X90" s="16" t="s">
        <v>542</v>
      </c>
      <c r="Y90" s="319"/>
      <c r="Z90" s="646"/>
      <c r="AA90" s="328">
        <f t="shared" si="15"/>
        <v>0</v>
      </c>
      <c r="AB90" s="298">
        <f t="shared" si="16"/>
        <v>0</v>
      </c>
      <c r="AD90" s="47"/>
      <c r="AE90" s="47"/>
      <c r="AF90" s="319"/>
      <c r="AG90" s="328">
        <f t="shared" si="14"/>
        <v>0</v>
      </c>
      <c r="AI90" s="255"/>
      <c r="AJ90" s="180"/>
      <c r="AK90" s="193"/>
      <c r="AL90" s="193"/>
      <c r="AM90" s="193"/>
      <c r="AN90" s="193"/>
      <c r="AO90" s="193"/>
      <c r="AP90" s="193"/>
      <c r="AQ90" s="180"/>
      <c r="AR90" s="180"/>
      <c r="AS90" s="180"/>
      <c r="AT90" s="180"/>
      <c r="AU90" s="180"/>
      <c r="AV90" s="180"/>
      <c r="AW90" s="180"/>
    </row>
    <row r="91" spans="1:49" s="4" customFormat="1">
      <c r="A91" s="180"/>
      <c r="B91" s="565" t="s">
        <v>531</v>
      </c>
      <c r="C91" s="47" t="s">
        <v>980</v>
      </c>
      <c r="D91" s="47" t="s">
        <v>542</v>
      </c>
      <c r="E91" s="319"/>
      <c r="F91" s="646"/>
      <c r="H91" s="47" t="s">
        <v>980</v>
      </c>
      <c r="I91" s="47" t="s">
        <v>542</v>
      </c>
      <c r="J91" s="319"/>
      <c r="K91" s="646"/>
      <c r="M91" s="47" t="s">
        <v>980</v>
      </c>
      <c r="N91" s="47" t="s">
        <v>542</v>
      </c>
      <c r="O91" s="319"/>
      <c r="P91" s="646"/>
      <c r="R91" s="47" t="s">
        <v>980</v>
      </c>
      <c r="S91" s="47" t="s">
        <v>542</v>
      </c>
      <c r="T91" s="319"/>
      <c r="U91" s="646"/>
      <c r="W91" s="47" t="s">
        <v>980</v>
      </c>
      <c r="X91" s="47" t="s">
        <v>542</v>
      </c>
      <c r="Y91" s="319"/>
      <c r="Z91" s="646"/>
      <c r="AA91" s="328">
        <f t="shared" si="15"/>
        <v>0</v>
      </c>
      <c r="AB91" s="298">
        <f t="shared" si="16"/>
        <v>0</v>
      </c>
      <c r="AD91" s="47"/>
      <c r="AE91" s="47"/>
      <c r="AF91" s="319"/>
      <c r="AG91" s="328">
        <f t="shared" si="14"/>
        <v>0</v>
      </c>
      <c r="AI91" s="255"/>
      <c r="AJ91" s="180"/>
      <c r="AK91" s="193"/>
      <c r="AL91" s="193"/>
      <c r="AM91" s="193"/>
      <c r="AN91" s="193"/>
      <c r="AO91" s="193"/>
      <c r="AP91" s="193"/>
      <c r="AQ91" s="180"/>
      <c r="AR91" s="180"/>
      <c r="AS91" s="180"/>
      <c r="AT91" s="180"/>
      <c r="AU91" s="180"/>
      <c r="AV91" s="180"/>
      <c r="AW91" s="180"/>
    </row>
    <row r="92" spans="1:49" s="4" customFormat="1">
      <c r="A92" s="180"/>
      <c r="B92" s="502" t="s">
        <v>483</v>
      </c>
      <c r="C92" s="47"/>
      <c r="D92" s="47"/>
      <c r="E92" s="319"/>
      <c r="F92" s="646"/>
      <c r="H92" s="47"/>
      <c r="I92" s="47"/>
      <c r="J92" s="319"/>
      <c r="K92" s="646"/>
      <c r="M92" s="47"/>
      <c r="N92" s="47"/>
      <c r="O92" s="319"/>
      <c r="P92" s="646"/>
      <c r="R92" s="47"/>
      <c r="S92" s="47"/>
      <c r="T92" s="319"/>
      <c r="U92" s="646"/>
      <c r="W92" s="47"/>
      <c r="X92" s="47"/>
      <c r="Y92" s="319">
        <v>0</v>
      </c>
      <c r="Z92" s="646"/>
      <c r="AA92" s="328">
        <f t="shared" si="15"/>
        <v>0</v>
      </c>
      <c r="AB92" s="298">
        <f t="shared" si="16"/>
        <v>0</v>
      </c>
      <c r="AD92" s="47"/>
      <c r="AE92" s="47"/>
      <c r="AF92" s="319"/>
      <c r="AG92" s="328">
        <f t="shared" si="14"/>
        <v>0</v>
      </c>
      <c r="AI92" s="255"/>
      <c r="AJ92" s="180"/>
      <c r="AK92" s="193"/>
      <c r="AL92" s="193"/>
      <c r="AM92" s="193"/>
      <c r="AN92" s="193"/>
      <c r="AO92" s="193"/>
      <c r="AP92" s="193"/>
      <c r="AQ92" s="180"/>
      <c r="AR92" s="180"/>
      <c r="AS92" s="180"/>
      <c r="AT92" s="180"/>
      <c r="AU92" s="180"/>
      <c r="AV92" s="180"/>
      <c r="AW92" s="180"/>
    </row>
    <row r="93" spans="1:49" s="4" customFormat="1">
      <c r="A93" s="180"/>
      <c r="B93" s="502" t="s">
        <v>483</v>
      </c>
      <c r="C93" s="47"/>
      <c r="D93" s="47"/>
      <c r="E93" s="319"/>
      <c r="F93" s="646"/>
      <c r="H93" s="47"/>
      <c r="I93" s="47"/>
      <c r="J93" s="319"/>
      <c r="K93" s="646"/>
      <c r="M93" s="47"/>
      <c r="N93" s="47"/>
      <c r="O93" s="319"/>
      <c r="P93" s="646"/>
      <c r="R93" s="47"/>
      <c r="S93" s="47"/>
      <c r="T93" s="319"/>
      <c r="U93" s="646"/>
      <c r="W93" s="47"/>
      <c r="X93" s="47"/>
      <c r="Y93" s="319">
        <v>0</v>
      </c>
      <c r="Z93" s="646"/>
      <c r="AA93" s="328">
        <f t="shared" si="15"/>
        <v>0</v>
      </c>
      <c r="AB93" s="298">
        <f t="shared" si="16"/>
        <v>0</v>
      </c>
      <c r="AD93" s="47"/>
      <c r="AE93" s="47"/>
      <c r="AF93" s="319"/>
      <c r="AG93" s="328">
        <f t="shared" si="14"/>
        <v>0</v>
      </c>
      <c r="AI93" s="255"/>
      <c r="AJ93" s="180"/>
      <c r="AK93" s="193"/>
      <c r="AL93" s="193"/>
      <c r="AM93" s="193"/>
      <c r="AN93" s="193"/>
      <c r="AO93" s="193"/>
      <c r="AP93" s="193"/>
      <c r="AQ93" s="180"/>
      <c r="AR93" s="180"/>
      <c r="AS93" s="180"/>
      <c r="AT93" s="180"/>
      <c r="AU93" s="180"/>
      <c r="AV93" s="180"/>
      <c r="AW93" s="180"/>
    </row>
    <row r="94" spans="1:49" s="193" customFormat="1">
      <c r="A94" s="180"/>
      <c r="B94" s="502" t="s">
        <v>484</v>
      </c>
      <c r="C94" s="47"/>
      <c r="D94" s="47"/>
      <c r="E94" s="319"/>
      <c r="F94" s="646"/>
      <c r="G94" s="4"/>
      <c r="H94" s="47"/>
      <c r="I94" s="47"/>
      <c r="J94" s="319"/>
      <c r="K94" s="646"/>
      <c r="L94" s="4"/>
      <c r="M94" s="47"/>
      <c r="N94" s="47"/>
      <c r="O94" s="319"/>
      <c r="P94" s="646"/>
      <c r="Q94" s="4"/>
      <c r="R94" s="47"/>
      <c r="S94" s="47"/>
      <c r="T94" s="319"/>
      <c r="U94" s="646"/>
      <c r="V94" s="4"/>
      <c r="W94" s="47"/>
      <c r="X94" s="47"/>
      <c r="Y94" s="319">
        <v>0</v>
      </c>
      <c r="Z94" s="646"/>
      <c r="AA94" s="328">
        <f t="shared" si="15"/>
        <v>0</v>
      </c>
      <c r="AB94" s="298">
        <f t="shared" si="16"/>
        <v>0</v>
      </c>
      <c r="AC94" s="4"/>
      <c r="AD94" s="47"/>
      <c r="AE94" s="47"/>
      <c r="AF94" s="319"/>
      <c r="AG94" s="328">
        <f t="shared" si="14"/>
        <v>0</v>
      </c>
      <c r="AH94" s="4"/>
      <c r="AI94" s="255"/>
      <c r="AJ94" s="180"/>
      <c r="AQ94" s="180"/>
      <c r="AR94" s="180"/>
      <c r="AS94" s="180"/>
      <c r="AT94" s="180"/>
      <c r="AU94" s="180"/>
      <c r="AV94" s="180"/>
      <c r="AW94" s="180"/>
    </row>
    <row r="95" spans="1:49" s="193" customFormat="1">
      <c r="A95" s="180"/>
      <c r="B95" s="502" t="s">
        <v>485</v>
      </c>
      <c r="C95" s="47"/>
      <c r="D95" s="47"/>
      <c r="E95" s="319"/>
      <c r="F95" s="646"/>
      <c r="G95" s="4"/>
      <c r="H95" s="47"/>
      <c r="I95" s="47"/>
      <c r="J95" s="319"/>
      <c r="K95" s="646"/>
      <c r="L95" s="4"/>
      <c r="M95" s="47"/>
      <c r="N95" s="47"/>
      <c r="O95" s="319"/>
      <c r="P95" s="646"/>
      <c r="Q95" s="4"/>
      <c r="R95" s="47"/>
      <c r="S95" s="47"/>
      <c r="T95" s="319"/>
      <c r="U95" s="646"/>
      <c r="V95" s="4"/>
      <c r="W95" s="47"/>
      <c r="X95" s="47"/>
      <c r="Y95" s="319"/>
      <c r="Z95" s="646"/>
      <c r="AA95" s="328">
        <f t="shared" si="15"/>
        <v>0</v>
      </c>
      <c r="AB95" s="298">
        <f t="shared" si="16"/>
        <v>0</v>
      </c>
      <c r="AC95" s="4"/>
      <c r="AD95" s="47"/>
      <c r="AE95" s="47"/>
      <c r="AF95" s="319"/>
      <c r="AG95" s="328">
        <f t="shared" si="14"/>
        <v>0</v>
      </c>
      <c r="AH95" s="4"/>
      <c r="AI95" s="255"/>
      <c r="AJ95" s="180"/>
      <c r="AQ95" s="180"/>
      <c r="AR95" s="180"/>
      <c r="AS95" s="180"/>
      <c r="AT95" s="180"/>
      <c r="AU95" s="180"/>
      <c r="AV95" s="180"/>
      <c r="AW95" s="180"/>
    </row>
    <row r="96" spans="1:49" s="193" customFormat="1">
      <c r="A96" s="180"/>
      <c r="B96" s="502" t="s">
        <v>486</v>
      </c>
      <c r="C96" s="47"/>
      <c r="D96" s="47"/>
      <c r="E96" s="319"/>
      <c r="F96" s="646"/>
      <c r="G96" s="4"/>
      <c r="H96" s="47"/>
      <c r="I96" s="47"/>
      <c r="J96" s="319"/>
      <c r="K96" s="646"/>
      <c r="L96" s="4"/>
      <c r="M96" s="47"/>
      <c r="N96" s="47"/>
      <c r="O96" s="319"/>
      <c r="P96" s="646"/>
      <c r="Q96" s="4"/>
      <c r="R96" s="47"/>
      <c r="S96" s="47"/>
      <c r="T96" s="319"/>
      <c r="U96" s="646"/>
      <c r="V96" s="4"/>
      <c r="W96" s="47"/>
      <c r="X96" s="47"/>
      <c r="Y96" s="319"/>
      <c r="Z96" s="646"/>
      <c r="AA96" s="328">
        <f t="shared" si="15"/>
        <v>0</v>
      </c>
      <c r="AB96" s="298">
        <f t="shared" si="16"/>
        <v>0</v>
      </c>
      <c r="AC96" s="4"/>
      <c r="AD96" s="47"/>
      <c r="AE96" s="47"/>
      <c r="AF96" s="319"/>
      <c r="AG96" s="328">
        <f t="shared" si="14"/>
        <v>0</v>
      </c>
      <c r="AH96" s="4"/>
      <c r="AI96" s="255"/>
      <c r="AJ96" s="180"/>
      <c r="AQ96" s="180"/>
      <c r="AR96" s="180"/>
      <c r="AS96" s="180"/>
      <c r="AT96" s="180"/>
      <c r="AU96" s="180"/>
      <c r="AV96" s="180"/>
      <c r="AW96" s="180"/>
    </row>
    <row r="97" spans="1:49" s="193" customFormat="1">
      <c r="A97" s="180"/>
      <c r="B97" s="63" t="s">
        <v>63</v>
      </c>
      <c r="C97" s="47"/>
      <c r="D97" s="47"/>
      <c r="E97" s="319">
        <v>8</v>
      </c>
      <c r="F97" s="646"/>
      <c r="G97" s="4"/>
      <c r="H97" s="47"/>
      <c r="I97" s="47"/>
      <c r="J97" s="319">
        <v>8</v>
      </c>
      <c r="K97" s="646">
        <v>0.25</v>
      </c>
      <c r="L97" s="4"/>
      <c r="M97" s="47"/>
      <c r="N97" s="47"/>
      <c r="O97" s="319">
        <v>8</v>
      </c>
      <c r="P97" s="646">
        <v>0.75</v>
      </c>
      <c r="Q97" s="4"/>
      <c r="R97" s="47"/>
      <c r="S97" s="47"/>
      <c r="T97" s="319">
        <v>8</v>
      </c>
      <c r="U97" s="646">
        <v>0.5</v>
      </c>
      <c r="V97" s="4"/>
      <c r="W97" s="47"/>
      <c r="X97" s="47"/>
      <c r="Y97" s="319">
        <v>8</v>
      </c>
      <c r="Z97" s="646"/>
      <c r="AA97" s="328">
        <f t="shared" si="15"/>
        <v>40</v>
      </c>
      <c r="AB97" s="298">
        <f t="shared" si="16"/>
        <v>1.5</v>
      </c>
      <c r="AC97" s="4"/>
      <c r="AD97" s="47"/>
      <c r="AE97" s="47"/>
      <c r="AF97" s="319"/>
      <c r="AG97" s="328">
        <f t="shared" si="14"/>
        <v>0</v>
      </c>
      <c r="AH97" s="4"/>
      <c r="AI97" s="255"/>
      <c r="AJ97" s="180"/>
      <c r="AQ97" s="180"/>
      <c r="AR97" s="180"/>
      <c r="AS97" s="180"/>
      <c r="AT97" s="180"/>
      <c r="AU97" s="180"/>
      <c r="AV97" s="180"/>
      <c r="AW97" s="180"/>
    </row>
    <row r="98" spans="1:49" s="193" customFormat="1">
      <c r="A98" s="180"/>
      <c r="B98" s="267" t="s">
        <v>358</v>
      </c>
      <c r="C98" s="47"/>
      <c r="D98" s="47"/>
      <c r="E98" s="319">
        <v>4</v>
      </c>
      <c r="F98" s="646"/>
      <c r="G98" s="438"/>
      <c r="H98" s="47"/>
      <c r="I98" s="47"/>
      <c r="J98" s="319">
        <v>4</v>
      </c>
      <c r="K98" s="646"/>
      <c r="L98" s="438"/>
      <c r="M98" s="47"/>
      <c r="N98" s="47"/>
      <c r="O98" s="319">
        <v>4</v>
      </c>
      <c r="P98" s="646"/>
      <c r="Q98" s="438"/>
      <c r="R98" s="47"/>
      <c r="S98" s="47"/>
      <c r="T98" s="319">
        <v>4</v>
      </c>
      <c r="U98" s="646"/>
      <c r="V98" s="438"/>
      <c r="W98" s="47"/>
      <c r="X98" s="47"/>
      <c r="Y98" s="319">
        <v>4</v>
      </c>
      <c r="Z98" s="646"/>
      <c r="AA98" s="328">
        <f t="shared" si="15"/>
        <v>20</v>
      </c>
      <c r="AB98" s="298">
        <f t="shared" si="16"/>
        <v>0</v>
      </c>
      <c r="AC98" s="4"/>
      <c r="AD98" s="47"/>
      <c r="AE98" s="47"/>
      <c r="AF98" s="319"/>
      <c r="AG98" s="328">
        <f t="shared" si="14"/>
        <v>0</v>
      </c>
      <c r="AH98" s="4"/>
      <c r="AI98" s="255"/>
      <c r="AJ98" s="180"/>
      <c r="AQ98" s="180"/>
      <c r="AR98" s="180"/>
      <c r="AS98" s="180"/>
      <c r="AT98" s="180"/>
      <c r="AU98" s="180"/>
      <c r="AV98" s="180"/>
      <c r="AW98" s="180"/>
    </row>
    <row r="99" spans="1:49" s="193" customFormat="1">
      <c r="A99" s="180"/>
      <c r="B99" s="267" t="s">
        <v>532</v>
      </c>
      <c r="C99" s="47"/>
      <c r="D99" s="47"/>
      <c r="E99" s="319"/>
      <c r="F99" s="646"/>
      <c r="G99" s="438"/>
      <c r="H99" s="47"/>
      <c r="I99" s="47"/>
      <c r="J99" s="319"/>
      <c r="K99" s="646"/>
      <c r="L99" s="438"/>
      <c r="M99" s="47"/>
      <c r="N99" s="47"/>
      <c r="O99" s="319">
        <v>4</v>
      </c>
      <c r="P99" s="646"/>
      <c r="Q99" s="438"/>
      <c r="R99" s="47"/>
      <c r="S99" s="47"/>
      <c r="T99" s="319"/>
      <c r="U99" s="646"/>
      <c r="V99" s="438"/>
      <c r="W99" s="47"/>
      <c r="X99" s="47"/>
      <c r="Y99" s="319">
        <v>0</v>
      </c>
      <c r="Z99" s="646"/>
      <c r="AA99" s="328">
        <f t="shared" si="15"/>
        <v>4</v>
      </c>
      <c r="AB99" s="298">
        <f t="shared" si="16"/>
        <v>0</v>
      </c>
      <c r="AC99" s="4"/>
      <c r="AD99" s="47"/>
      <c r="AE99" s="47"/>
      <c r="AF99" s="319"/>
      <c r="AG99" s="328">
        <f t="shared" si="14"/>
        <v>0</v>
      </c>
      <c r="AH99" s="4"/>
      <c r="AI99" s="255"/>
      <c r="AJ99" s="180"/>
      <c r="AQ99" s="180"/>
      <c r="AR99" s="180"/>
      <c r="AS99" s="180"/>
      <c r="AT99" s="180"/>
      <c r="AU99" s="180"/>
      <c r="AV99" s="180"/>
      <c r="AW99" s="180"/>
    </row>
    <row r="100" spans="1:49" s="193" customFormat="1">
      <c r="A100" s="180"/>
      <c r="B100" s="267" t="s">
        <v>411</v>
      </c>
      <c r="C100" s="47"/>
      <c r="D100" s="47"/>
      <c r="E100" s="319"/>
      <c r="F100" s="646"/>
      <c r="G100" s="438"/>
      <c r="H100" s="47"/>
      <c r="I100" s="47"/>
      <c r="J100" s="319"/>
      <c r="K100" s="646"/>
      <c r="L100" s="438"/>
      <c r="M100" s="47"/>
      <c r="N100" s="47"/>
      <c r="O100" s="319"/>
      <c r="P100" s="646"/>
      <c r="Q100" s="438"/>
      <c r="R100" s="47"/>
      <c r="S100" s="47"/>
      <c r="T100" s="319"/>
      <c r="U100" s="646"/>
      <c r="V100" s="438"/>
      <c r="W100" s="47"/>
      <c r="X100" s="47"/>
      <c r="Y100" s="319"/>
      <c r="Z100" s="646"/>
      <c r="AA100" s="328">
        <f t="shared" si="15"/>
        <v>0</v>
      </c>
      <c r="AB100" s="298">
        <f t="shared" si="16"/>
        <v>0</v>
      </c>
      <c r="AC100" s="4"/>
      <c r="AD100" s="47"/>
      <c r="AE100" s="47"/>
      <c r="AF100" s="319"/>
      <c r="AG100" s="328">
        <f t="shared" si="14"/>
        <v>0</v>
      </c>
      <c r="AH100" s="4"/>
      <c r="AI100" s="255"/>
      <c r="AJ100" s="180"/>
      <c r="AK100" s="407"/>
      <c r="AQ100" s="180"/>
      <c r="AR100" s="180"/>
      <c r="AS100" s="180"/>
      <c r="AT100" s="180"/>
      <c r="AU100" s="180"/>
      <c r="AV100" s="180"/>
      <c r="AW100" s="180"/>
    </row>
    <row r="101" spans="1:49" s="193" customFormat="1">
      <c r="A101" s="180"/>
      <c r="B101" s="267" t="s">
        <v>361</v>
      </c>
      <c r="C101" s="47"/>
      <c r="D101" s="47"/>
      <c r="E101" s="319"/>
      <c r="F101" s="646"/>
      <c r="G101" s="438"/>
      <c r="H101" s="47"/>
      <c r="I101" s="47"/>
      <c r="J101" s="319"/>
      <c r="K101" s="646"/>
      <c r="L101" s="438"/>
      <c r="M101" s="47"/>
      <c r="N101" s="47"/>
      <c r="O101" s="319"/>
      <c r="P101" s="646"/>
      <c r="Q101" s="438"/>
      <c r="R101" s="47"/>
      <c r="S101" s="47"/>
      <c r="T101" s="319"/>
      <c r="U101" s="646"/>
      <c r="V101" s="438"/>
      <c r="W101" s="47"/>
      <c r="X101" s="47"/>
      <c r="Y101" s="319"/>
      <c r="Z101" s="646"/>
      <c r="AA101" s="328">
        <f t="shared" si="15"/>
        <v>0</v>
      </c>
      <c r="AB101" s="298">
        <f t="shared" si="16"/>
        <v>0</v>
      </c>
      <c r="AC101" s="4"/>
      <c r="AD101" s="47"/>
      <c r="AE101" s="47"/>
      <c r="AF101" s="319"/>
      <c r="AG101" s="328">
        <f t="shared" si="14"/>
        <v>0</v>
      </c>
      <c r="AH101" s="4"/>
      <c r="AI101" s="255"/>
      <c r="AJ101" s="180"/>
      <c r="AK101" s="407"/>
      <c r="AQ101" s="180"/>
      <c r="AR101" s="180"/>
      <c r="AS101" s="180"/>
      <c r="AT101" s="180"/>
      <c r="AU101" s="180"/>
      <c r="AV101" s="180"/>
      <c r="AW101" s="180"/>
    </row>
    <row r="102" spans="1:49" s="193" customFormat="1">
      <c r="A102" s="180"/>
      <c r="B102" s="267" t="s">
        <v>362</v>
      </c>
      <c r="C102" s="47"/>
      <c r="D102" s="47"/>
      <c r="E102" s="319">
        <v>1</v>
      </c>
      <c r="F102" s="646"/>
      <c r="G102" s="438"/>
      <c r="H102" s="47"/>
      <c r="I102" s="47"/>
      <c r="J102" s="319">
        <v>1</v>
      </c>
      <c r="K102" s="646"/>
      <c r="L102" s="438"/>
      <c r="M102" s="47"/>
      <c r="N102" s="47"/>
      <c r="O102" s="319">
        <v>1</v>
      </c>
      <c r="P102" s="646"/>
      <c r="Q102" s="438"/>
      <c r="R102" s="47"/>
      <c r="S102" s="47"/>
      <c r="T102" s="319">
        <v>1</v>
      </c>
      <c r="U102" s="646"/>
      <c r="V102" s="438"/>
      <c r="W102" s="47"/>
      <c r="X102" s="47"/>
      <c r="Y102" s="319">
        <v>1</v>
      </c>
      <c r="Z102" s="646"/>
      <c r="AA102" s="328">
        <f t="shared" si="15"/>
        <v>5</v>
      </c>
      <c r="AB102" s="298">
        <f t="shared" si="16"/>
        <v>0</v>
      </c>
      <c r="AC102" s="4"/>
      <c r="AD102" s="47"/>
      <c r="AE102" s="47"/>
      <c r="AF102" s="319"/>
      <c r="AG102" s="328">
        <f t="shared" si="14"/>
        <v>0</v>
      </c>
      <c r="AH102" s="4"/>
      <c r="AI102" s="255"/>
      <c r="AJ102" s="180"/>
      <c r="AK102" s="407"/>
      <c r="AQ102" s="180"/>
      <c r="AR102" s="180"/>
      <c r="AS102" s="180"/>
      <c r="AT102" s="180"/>
      <c r="AU102" s="180"/>
      <c r="AV102" s="180"/>
      <c r="AW102" s="180"/>
    </row>
    <row r="103" spans="1:49" s="193" customFormat="1">
      <c r="A103" s="180"/>
      <c r="B103" s="437" t="s">
        <v>355</v>
      </c>
      <c r="C103" s="47"/>
      <c r="D103" s="47"/>
      <c r="E103" s="319">
        <v>8</v>
      </c>
      <c r="F103" s="646"/>
      <c r="G103" s="438"/>
      <c r="H103" s="47"/>
      <c r="I103" s="47"/>
      <c r="J103" s="319">
        <v>8</v>
      </c>
      <c r="K103" s="646"/>
      <c r="L103" s="438"/>
      <c r="M103" s="47"/>
      <c r="N103" s="47"/>
      <c r="O103" s="319">
        <v>8</v>
      </c>
      <c r="P103" s="646"/>
      <c r="Q103" s="438"/>
      <c r="R103" s="47"/>
      <c r="S103" s="47"/>
      <c r="T103" s="319">
        <v>8</v>
      </c>
      <c r="U103" s="646"/>
      <c r="V103" s="438"/>
      <c r="W103" s="47"/>
      <c r="X103" s="47"/>
      <c r="Y103" s="319">
        <v>8</v>
      </c>
      <c r="Z103" s="646"/>
      <c r="AA103" s="328">
        <f t="shared" si="15"/>
        <v>40</v>
      </c>
      <c r="AB103" s="298">
        <f t="shared" si="16"/>
        <v>0</v>
      </c>
      <c r="AC103" s="4"/>
      <c r="AD103" s="47"/>
      <c r="AE103" s="47"/>
      <c r="AF103" s="319"/>
      <c r="AG103" s="328">
        <f t="shared" si="14"/>
        <v>0</v>
      </c>
      <c r="AH103" s="4"/>
      <c r="AI103" s="255"/>
      <c r="AJ103" s="180"/>
      <c r="AK103" s="407"/>
      <c r="AQ103" s="180"/>
      <c r="AR103" s="180"/>
      <c r="AS103" s="180"/>
      <c r="AT103" s="180"/>
      <c r="AU103" s="180"/>
      <c r="AV103" s="180"/>
      <c r="AW103" s="180"/>
    </row>
    <row r="104" spans="1:49" s="193" customFormat="1">
      <c r="A104" s="180"/>
      <c r="B104" s="437" t="s">
        <v>356</v>
      </c>
      <c r="C104" s="47"/>
      <c r="D104" s="47"/>
      <c r="E104" s="319">
        <v>8</v>
      </c>
      <c r="F104" s="646"/>
      <c r="G104" s="438"/>
      <c r="H104" s="47"/>
      <c r="I104" s="47"/>
      <c r="J104" s="319">
        <v>8</v>
      </c>
      <c r="K104" s="646"/>
      <c r="L104" s="438"/>
      <c r="M104" s="47"/>
      <c r="N104" s="47"/>
      <c r="O104" s="319">
        <v>8</v>
      </c>
      <c r="P104" s="646"/>
      <c r="Q104" s="438"/>
      <c r="R104" s="47"/>
      <c r="S104" s="47"/>
      <c r="T104" s="319">
        <v>8</v>
      </c>
      <c r="U104" s="646"/>
      <c r="V104" s="438"/>
      <c r="W104" s="47"/>
      <c r="X104" s="47"/>
      <c r="Y104" s="319">
        <v>8</v>
      </c>
      <c r="Z104" s="646"/>
      <c r="AA104" s="328">
        <f t="shared" si="15"/>
        <v>40</v>
      </c>
      <c r="AB104" s="298">
        <f t="shared" si="16"/>
        <v>0</v>
      </c>
      <c r="AC104" s="4"/>
      <c r="AD104" s="47"/>
      <c r="AE104" s="47"/>
      <c r="AF104" s="319"/>
      <c r="AG104" s="29">
        <f t="shared" ref="AG104" si="17">AF104</f>
        <v>0</v>
      </c>
      <c r="AH104" s="4"/>
      <c r="AI104" s="255"/>
      <c r="AJ104" s="180"/>
      <c r="AK104" s="407"/>
      <c r="AQ104" s="180"/>
      <c r="AR104" s="180"/>
      <c r="AS104" s="180"/>
      <c r="AT104" s="180"/>
      <c r="AU104" s="180"/>
      <c r="AV104" s="180"/>
      <c r="AW104" s="180"/>
    </row>
    <row r="105" spans="1:49" s="193" customFormat="1">
      <c r="A105" s="180"/>
      <c r="B105" s="64" t="s">
        <v>61</v>
      </c>
      <c r="C105" s="31"/>
      <c r="D105" s="31"/>
      <c r="E105" s="439">
        <f>SUM(E70:E104)</f>
        <v>125</v>
      </c>
      <c r="F105" s="646">
        <f>SUM(F70:F104)</f>
        <v>0</v>
      </c>
      <c r="G105" s="31"/>
      <c r="H105" s="31"/>
      <c r="I105" s="31"/>
      <c r="J105" s="439">
        <f>SUM(J70:J104)</f>
        <v>69</v>
      </c>
      <c r="K105" s="646">
        <f>SUM(K70:K104)</f>
        <v>0.25</v>
      </c>
      <c r="L105" s="31"/>
      <c r="M105" s="31"/>
      <c r="N105" s="31"/>
      <c r="O105" s="439">
        <f>SUM(O70:O104)</f>
        <v>137</v>
      </c>
      <c r="P105" s="646">
        <f>SUM(P70:P104)</f>
        <v>0.75</v>
      </c>
      <c r="Q105" s="31"/>
      <c r="R105" s="31"/>
      <c r="S105" s="31"/>
      <c r="T105" s="439">
        <f>SUM(T70:T104)</f>
        <v>125</v>
      </c>
      <c r="U105" s="646">
        <f>SUM(U70:U104)</f>
        <v>0.5</v>
      </c>
      <c r="V105" s="31"/>
      <c r="W105" s="31"/>
      <c r="X105" s="31"/>
      <c r="Y105" s="439">
        <f>SUM(Y70:Y104)</f>
        <v>125</v>
      </c>
      <c r="Z105" s="646">
        <f>SUM(Z70:Z104)</f>
        <v>0</v>
      </c>
      <c r="AA105" s="370">
        <f>SUM(AA70:AA104)</f>
        <v>581</v>
      </c>
      <c r="AB105" s="370">
        <f>SUM(AB70:AB104)</f>
        <v>1.5</v>
      </c>
      <c r="AC105" s="4"/>
      <c r="AD105" s="64"/>
      <c r="AE105" s="64"/>
      <c r="AF105" s="370">
        <f>SUM(AF70:AF104)</f>
        <v>10.5</v>
      </c>
      <c r="AG105" s="370">
        <f>SUM(AG70:AG104)</f>
        <v>10.5</v>
      </c>
      <c r="AH105" s="4"/>
      <c r="AI105" s="255"/>
      <c r="AJ105" s="180"/>
      <c r="AK105" s="407"/>
      <c r="AQ105" s="180"/>
      <c r="AR105" s="180"/>
      <c r="AS105" s="180"/>
      <c r="AT105" s="180"/>
      <c r="AU105" s="180"/>
      <c r="AV105" s="180"/>
      <c r="AW105" s="180"/>
    </row>
    <row r="106" spans="1:49" s="193" customFormat="1">
      <c r="A106" s="180"/>
      <c r="B106" s="63" t="s">
        <v>64</v>
      </c>
      <c r="C106" s="47"/>
      <c r="D106" s="47"/>
      <c r="E106" s="319">
        <v>8</v>
      </c>
      <c r="F106" s="648"/>
      <c r="G106" s="613"/>
      <c r="H106" s="47"/>
      <c r="I106" s="47"/>
      <c r="J106" s="319">
        <v>8</v>
      </c>
      <c r="K106" s="648"/>
      <c r="L106" s="60"/>
      <c r="M106" s="47"/>
      <c r="N106" s="47"/>
      <c r="O106" s="319">
        <v>8</v>
      </c>
      <c r="P106" s="648"/>
      <c r="Q106" s="60"/>
      <c r="R106" s="47"/>
      <c r="S106" s="47"/>
      <c r="T106" s="319">
        <v>8</v>
      </c>
      <c r="U106" s="648"/>
      <c r="V106" s="60"/>
      <c r="W106" s="47"/>
      <c r="X106" s="47"/>
      <c r="Y106" s="319">
        <v>8</v>
      </c>
      <c r="Z106" s="648"/>
      <c r="AA106" s="28">
        <f>SUM(E106+J106+O106+T106+Y106)</f>
        <v>40</v>
      </c>
      <c r="AB106" s="296">
        <f>Z106+U106+P106+K106+F106</f>
        <v>0</v>
      </c>
      <c r="AC106" s="4"/>
      <c r="AD106" s="47" t="s">
        <v>29</v>
      </c>
      <c r="AE106" s="47" t="s">
        <v>29</v>
      </c>
      <c r="AF106" s="319">
        <f>0.75+0.75</f>
        <v>1.5</v>
      </c>
      <c r="AG106" s="29">
        <f>AF106</f>
        <v>1.5</v>
      </c>
      <c r="AH106" s="4"/>
      <c r="AI106" s="255"/>
      <c r="AJ106" s="180"/>
      <c r="AK106" s="407"/>
      <c r="AQ106" s="180"/>
      <c r="AR106" s="180"/>
      <c r="AS106" s="180"/>
      <c r="AT106" s="180"/>
      <c r="AU106" s="180"/>
      <c r="AV106" s="180"/>
      <c r="AW106" s="180"/>
    </row>
    <row r="107" spans="1:49" s="193" customFormat="1">
      <c r="A107" s="180"/>
      <c r="B107" s="71" t="s">
        <v>66</v>
      </c>
      <c r="C107" s="371"/>
      <c r="D107" s="371"/>
      <c r="E107" s="71"/>
      <c r="F107" s="613"/>
      <c r="G107" s="71"/>
      <c r="H107" s="71"/>
      <c r="I107" s="71"/>
      <c r="J107" s="71"/>
      <c r="K107" s="613"/>
      <c r="L107" s="71"/>
      <c r="M107" s="71"/>
      <c r="N107" s="71"/>
      <c r="O107" s="71"/>
      <c r="P107" s="613"/>
      <c r="Q107" s="71"/>
      <c r="R107" s="71"/>
      <c r="S107" s="71"/>
      <c r="T107" s="71"/>
      <c r="U107" s="613"/>
      <c r="V107" s="71"/>
      <c r="W107" s="71"/>
      <c r="X107" s="71"/>
      <c r="Y107" s="71"/>
      <c r="Z107" s="613"/>
      <c r="AA107" s="370">
        <f>SUM(AA106:AA106)</f>
        <v>40</v>
      </c>
      <c r="AB107" s="370">
        <f>SUM(AB106:AB106)</f>
        <v>0</v>
      </c>
      <c r="AC107" s="4"/>
      <c r="AD107" s="180"/>
      <c r="AE107" s="180"/>
      <c r="AF107" s="180"/>
      <c r="AG107" s="370">
        <f>SUM(AG106:AG106)</f>
        <v>1.5</v>
      </c>
      <c r="AH107" s="4"/>
      <c r="AI107" s="255"/>
      <c r="AJ107" s="180"/>
      <c r="AQ107" s="180"/>
      <c r="AR107" s="180"/>
      <c r="AS107" s="180"/>
      <c r="AT107" s="180"/>
      <c r="AU107" s="180"/>
      <c r="AV107" s="180"/>
      <c r="AW107" s="180"/>
    </row>
    <row r="108" spans="1:49" s="193" customFormat="1">
      <c r="A108" s="180"/>
      <c r="B108" s="217" t="s">
        <v>67</v>
      </c>
      <c r="C108" s="207">
        <f>C109+C110</f>
        <v>59</v>
      </c>
      <c r="D108" s="207"/>
      <c r="E108" s="209"/>
      <c r="F108" s="209"/>
      <c r="G108" s="207"/>
      <c r="H108" s="209"/>
      <c r="I108" s="209"/>
      <c r="J108" s="209"/>
      <c r="K108" s="209"/>
      <c r="L108" s="207"/>
      <c r="M108" s="207"/>
      <c r="N108" s="207"/>
      <c r="O108" s="207"/>
      <c r="P108" s="209"/>
      <c r="Q108" s="207"/>
      <c r="R108" s="207"/>
      <c r="S108" s="207"/>
      <c r="T108" s="207"/>
      <c r="U108" s="209"/>
      <c r="V108" s="207"/>
      <c r="W108" s="207"/>
      <c r="X108" s="207"/>
      <c r="Y108" s="210"/>
      <c r="Z108" s="209"/>
      <c r="AA108" s="211"/>
      <c r="AB108" s="209"/>
      <c r="AC108" s="211"/>
      <c r="AD108" s="211"/>
      <c r="AE108" s="211"/>
      <c r="AF108" s="211"/>
      <c r="AG108" s="211"/>
      <c r="AH108" s="4"/>
      <c r="AI108" s="255"/>
      <c r="AJ108" s="180"/>
      <c r="AQ108" s="180"/>
      <c r="AR108" s="180"/>
      <c r="AS108" s="180"/>
      <c r="AT108" s="180"/>
      <c r="AU108" s="180"/>
      <c r="AV108" s="180"/>
      <c r="AW108" s="180"/>
    </row>
    <row r="109" spans="1:49" s="193" customFormat="1">
      <c r="A109" s="180"/>
      <c r="B109" s="238" t="s">
        <v>68</v>
      </c>
      <c r="C109" s="239">
        <f>12+9+13+12+11+2</f>
        <v>59</v>
      </c>
      <c r="D109" s="207"/>
      <c r="E109" s="209"/>
      <c r="F109" s="209"/>
      <c r="G109" s="207"/>
      <c r="H109" s="209"/>
      <c r="I109" s="209"/>
      <c r="J109" s="209"/>
      <c r="K109" s="209"/>
      <c r="L109" s="207"/>
      <c r="M109" s="207"/>
      <c r="N109" s="207"/>
      <c r="O109" s="207"/>
      <c r="P109" s="209"/>
      <c r="Q109" s="207"/>
      <c r="R109" s="207"/>
      <c r="S109" s="207"/>
      <c r="T109" s="207"/>
      <c r="U109" s="209"/>
      <c r="V109" s="207"/>
      <c r="W109" s="207"/>
      <c r="X109" s="207"/>
      <c r="Y109" s="210"/>
      <c r="Z109" s="209"/>
      <c r="AA109" s="211"/>
      <c r="AB109" s="209"/>
      <c r="AC109" s="211"/>
      <c r="AD109" s="211"/>
      <c r="AE109" s="211"/>
      <c r="AF109" s="211"/>
      <c r="AG109" s="211"/>
      <c r="AH109" s="4"/>
      <c r="AI109" s="255"/>
      <c r="AJ109" s="180"/>
      <c r="AQ109" s="180"/>
      <c r="AR109" s="180"/>
      <c r="AS109" s="180"/>
      <c r="AT109" s="180"/>
      <c r="AU109" s="180"/>
      <c r="AV109" s="180"/>
      <c r="AW109" s="180"/>
    </row>
    <row r="110" spans="1:49" s="4" customFormat="1">
      <c r="A110" s="180"/>
      <c r="B110" s="238" t="s">
        <v>69</v>
      </c>
      <c r="C110" s="239"/>
      <c r="D110" s="207"/>
      <c r="E110" s="209"/>
      <c r="F110" s="209"/>
      <c r="G110" s="207"/>
      <c r="H110" s="209"/>
      <c r="I110" s="209"/>
      <c r="J110" s="209"/>
      <c r="K110" s="209"/>
      <c r="L110" s="207"/>
      <c r="M110" s="207"/>
      <c r="N110" s="207"/>
      <c r="O110" s="207"/>
      <c r="P110" s="209"/>
      <c r="Q110" s="207"/>
      <c r="R110" s="207"/>
      <c r="S110" s="207"/>
      <c r="T110" s="207"/>
      <c r="U110" s="209"/>
      <c r="V110" s="207"/>
      <c r="W110" s="207"/>
      <c r="X110" s="207"/>
      <c r="Y110" s="210"/>
      <c r="Z110" s="209"/>
      <c r="AA110" s="211"/>
      <c r="AB110" s="209"/>
      <c r="AC110" s="211"/>
      <c r="AD110" s="211"/>
      <c r="AE110" s="211"/>
      <c r="AF110" s="211"/>
      <c r="AG110" s="211"/>
      <c r="AI110" s="255"/>
      <c r="AJ110" s="180"/>
      <c r="AK110" s="193"/>
      <c r="AL110" s="193"/>
      <c r="AM110" s="193"/>
      <c r="AN110" s="193"/>
      <c r="AO110" s="193"/>
      <c r="AP110" s="193"/>
      <c r="AQ110" s="180"/>
      <c r="AR110" s="180"/>
      <c r="AS110" s="180"/>
      <c r="AT110" s="180"/>
      <c r="AU110" s="180"/>
      <c r="AV110" s="180"/>
      <c r="AW110" s="180"/>
    </row>
    <row r="111" spans="1:49" s="180" customFormat="1">
      <c r="A111" s="313"/>
      <c r="E111" s="4"/>
      <c r="F111" s="644"/>
      <c r="G111" s="4"/>
      <c r="J111" s="4"/>
      <c r="K111" s="644"/>
      <c r="L111" s="4"/>
      <c r="O111" s="4"/>
      <c r="P111" s="644"/>
      <c r="Q111" s="4"/>
      <c r="T111" s="4"/>
      <c r="U111" s="644"/>
      <c r="V111" s="4"/>
      <c r="Y111" s="4"/>
      <c r="Z111" s="644"/>
      <c r="AA111" s="4"/>
      <c r="AB111" s="4"/>
      <c r="AC111" s="4"/>
      <c r="AH111" s="4"/>
      <c r="AI111" s="255"/>
      <c r="AK111" s="193"/>
      <c r="AL111" s="193"/>
      <c r="AM111" s="193"/>
      <c r="AN111" s="193"/>
      <c r="AO111" s="193"/>
      <c r="AP111" s="193"/>
    </row>
    <row r="112" spans="1:49">
      <c r="A112" s="180"/>
      <c r="B112" s="229"/>
      <c r="C112" s="230"/>
      <c r="D112" s="230"/>
      <c r="E112" s="232"/>
      <c r="F112" s="232"/>
      <c r="G112" s="230"/>
      <c r="H112" s="232"/>
      <c r="I112" s="232"/>
      <c r="J112" s="232"/>
      <c r="K112" s="232"/>
      <c r="L112" s="230"/>
      <c r="M112" s="230"/>
      <c r="N112" s="230"/>
      <c r="O112" s="230"/>
      <c r="P112" s="232"/>
      <c r="Q112" s="230"/>
      <c r="R112" s="230"/>
      <c r="S112" s="230"/>
      <c r="T112" s="230"/>
      <c r="U112" s="232"/>
      <c r="V112" s="230"/>
      <c r="W112" s="230"/>
      <c r="X112" s="230"/>
      <c r="Y112" s="233"/>
      <c r="Z112" s="232"/>
      <c r="AA112" s="234"/>
      <c r="AB112" s="232"/>
      <c r="AC112" s="373"/>
      <c r="AD112" s="236"/>
      <c r="AE112" s="255"/>
      <c r="AF112" s="255"/>
      <c r="AG112" s="255"/>
      <c r="AH112" s="255"/>
      <c r="AJ112" s="255"/>
      <c r="AK112" s="255"/>
      <c r="AL112" s="255"/>
      <c r="AM112" s="255"/>
      <c r="AN112" s="255"/>
      <c r="AO112" s="255"/>
      <c r="AP112" s="255"/>
      <c r="AQ112" s="255"/>
      <c r="AR112" s="255"/>
      <c r="AS112" s="255"/>
      <c r="AT112" s="255"/>
      <c r="AU112" s="255"/>
      <c r="AV112" s="255"/>
      <c r="AW112" s="255"/>
    </row>
    <row r="113" spans="1:49">
      <c r="B113" s="180"/>
      <c r="E113" s="4"/>
      <c r="F113" s="644"/>
      <c r="G113" s="4"/>
      <c r="J113" s="4"/>
      <c r="K113" s="644"/>
      <c r="L113" s="4"/>
      <c r="O113" s="4"/>
      <c r="P113" s="644"/>
      <c r="T113" s="4"/>
      <c r="U113" s="644"/>
      <c r="Y113" s="4"/>
      <c r="Z113" s="644"/>
      <c r="AA113" s="4"/>
      <c r="AB113" s="4"/>
      <c r="AC113" s="4"/>
      <c r="AK113" s="180"/>
      <c r="AL113" s="180"/>
      <c r="AM113" s="180"/>
      <c r="AN113" s="180"/>
      <c r="AO113" s="180"/>
      <c r="AP113" s="180"/>
    </row>
    <row r="114" spans="1:49">
      <c r="A114" s="228"/>
      <c r="B114" s="1518" t="s">
        <v>18</v>
      </c>
      <c r="C114" s="1519">
        <v>45558</v>
      </c>
      <c r="D114" s="1519"/>
      <c r="E114" s="1519"/>
      <c r="F114" s="1519"/>
      <c r="G114" s="365"/>
      <c r="H114" s="1519">
        <v>45559</v>
      </c>
      <c r="I114" s="1519"/>
      <c r="J114" s="1519"/>
      <c r="K114" s="1519"/>
      <c r="L114" s="365"/>
      <c r="M114" s="1519">
        <v>45560</v>
      </c>
      <c r="N114" s="1519"/>
      <c r="O114" s="1519"/>
      <c r="P114" s="1519"/>
      <c r="Q114" s="365"/>
      <c r="R114" s="1519">
        <v>45561</v>
      </c>
      <c r="S114" s="1519"/>
      <c r="T114" s="1519"/>
      <c r="U114" s="1519"/>
      <c r="V114" s="365"/>
      <c r="W114" s="1519">
        <v>45562</v>
      </c>
      <c r="X114" s="1519"/>
      <c r="Y114" s="1519"/>
      <c r="Z114" s="1519"/>
      <c r="AA114" s="1517" t="s">
        <v>19</v>
      </c>
      <c r="AB114" s="1517" t="s">
        <v>20</v>
      </c>
      <c r="AC114" s="4"/>
      <c r="AD114" s="1519">
        <v>45563</v>
      </c>
      <c r="AE114" s="1519"/>
      <c r="AF114" s="1519"/>
      <c r="AG114" s="1517" t="s">
        <v>21</v>
      </c>
      <c r="AI114" s="368"/>
      <c r="AK114" s="194" t="s">
        <v>84</v>
      </c>
      <c r="AL114" s="366"/>
      <c r="AM114" s="366"/>
      <c r="AN114" s="366"/>
      <c r="AO114" s="366"/>
      <c r="AP114" s="366"/>
    </row>
    <row r="115" spans="1:49">
      <c r="A115" s="180"/>
      <c r="B115" s="1518"/>
      <c r="C115" s="21" t="s">
        <v>23</v>
      </c>
      <c r="D115" s="21" t="s">
        <v>24</v>
      </c>
      <c r="E115" s="205" t="s">
        <v>25</v>
      </c>
      <c r="F115" s="645" t="s">
        <v>14</v>
      </c>
      <c r="G115" s="4"/>
      <c r="H115" s="21" t="s">
        <v>23</v>
      </c>
      <c r="I115" s="21" t="s">
        <v>24</v>
      </c>
      <c r="J115" s="18" t="s">
        <v>25</v>
      </c>
      <c r="K115" s="645" t="s">
        <v>14</v>
      </c>
      <c r="L115" s="4"/>
      <c r="M115" s="21" t="s">
        <v>23</v>
      </c>
      <c r="N115" s="21" t="s">
        <v>24</v>
      </c>
      <c r="O115" s="18" t="s">
        <v>25</v>
      </c>
      <c r="P115" s="645" t="s">
        <v>14</v>
      </c>
      <c r="R115" s="21" t="s">
        <v>23</v>
      </c>
      <c r="S115" s="21" t="s">
        <v>24</v>
      </c>
      <c r="T115" s="18" t="s">
        <v>25</v>
      </c>
      <c r="U115" s="645" t="s">
        <v>14</v>
      </c>
      <c r="W115" s="21" t="s">
        <v>23</v>
      </c>
      <c r="X115" s="21" t="s">
        <v>24</v>
      </c>
      <c r="Y115" s="18" t="s">
        <v>25</v>
      </c>
      <c r="Z115" s="645" t="s">
        <v>14</v>
      </c>
      <c r="AA115" s="1517"/>
      <c r="AB115" s="1517"/>
      <c r="AC115" s="4"/>
      <c r="AD115" s="21" t="s">
        <v>23</v>
      </c>
      <c r="AE115" s="21" t="s">
        <v>24</v>
      </c>
      <c r="AF115" s="18" t="s">
        <v>25</v>
      </c>
      <c r="AG115" s="1517"/>
      <c r="AI115" s="368"/>
      <c r="AJ115" s="367"/>
      <c r="AK115" s="188" t="s">
        <v>26</v>
      </c>
      <c r="AL115" s="196">
        <f>AA146</f>
        <v>673.75</v>
      </c>
      <c r="AM115" s="510">
        <v>39.14</v>
      </c>
      <c r="AN115" s="510">
        <f t="shared" ref="AN115:AN121" si="18">AL115*AM115</f>
        <v>26370.575000000001</v>
      </c>
      <c r="AQ115" s="367"/>
      <c r="AR115" s="367"/>
      <c r="AS115" s="367"/>
      <c r="AT115" s="367"/>
      <c r="AU115" s="367"/>
      <c r="AV115" s="367"/>
      <c r="AW115" s="367"/>
    </row>
    <row r="116" spans="1:49">
      <c r="A116" s="180"/>
      <c r="B116" s="640" t="s">
        <v>957</v>
      </c>
      <c r="C116" s="640" t="s">
        <v>154</v>
      </c>
      <c r="D116" s="639"/>
      <c r="E116" s="319">
        <v>0</v>
      </c>
      <c r="F116" s="646"/>
      <c r="G116" s="4"/>
      <c r="H116" s="640" t="s">
        <v>154</v>
      </c>
      <c r="I116" s="639"/>
      <c r="J116" s="319">
        <v>0</v>
      </c>
      <c r="K116" s="646"/>
      <c r="L116" s="4"/>
      <c r="M116" s="640" t="s">
        <v>154</v>
      </c>
      <c r="N116" s="639"/>
      <c r="O116" s="319">
        <v>0</v>
      </c>
      <c r="P116" s="646"/>
      <c r="R116" s="640" t="s">
        <v>154</v>
      </c>
      <c r="S116" s="639"/>
      <c r="T116" s="319">
        <v>0</v>
      </c>
      <c r="U116" s="646"/>
      <c r="W116" s="640" t="s">
        <v>154</v>
      </c>
      <c r="X116" s="639"/>
      <c r="Y116" s="319">
        <v>0</v>
      </c>
      <c r="Z116" s="646"/>
      <c r="AA116" s="328">
        <f t="shared" ref="AA116:AA145" si="19">(E116+J116+O116+T116+Y116)</f>
        <v>0</v>
      </c>
      <c r="AB116" s="298">
        <f t="shared" ref="AB116:AB145" si="20">Z116+U116+P116+K116+F116</f>
        <v>0</v>
      </c>
      <c r="AC116" s="4"/>
      <c r="AD116" s="587"/>
      <c r="AE116" s="531"/>
      <c r="AF116" s="319"/>
      <c r="AG116" s="328">
        <f>AF116</f>
        <v>0</v>
      </c>
      <c r="AI116" s="368"/>
      <c r="AJ116" s="367"/>
      <c r="AK116" s="188" t="s">
        <v>30</v>
      </c>
      <c r="AL116" s="196">
        <f>AB146</f>
        <v>7.5</v>
      </c>
      <c r="AM116" s="511">
        <f>AM115*1.5</f>
        <v>58.71</v>
      </c>
      <c r="AN116" s="510">
        <f t="shared" si="18"/>
        <v>440.32499999999999</v>
      </c>
      <c r="AQ116" s="367"/>
      <c r="AR116" s="367"/>
      <c r="AS116" s="367"/>
      <c r="AT116" s="367"/>
      <c r="AU116" s="367"/>
      <c r="AV116" s="367"/>
      <c r="AW116" s="367"/>
    </row>
    <row r="117" spans="1:49">
      <c r="A117" s="367"/>
      <c r="B117" s="67" t="s">
        <v>958</v>
      </c>
      <c r="C117" s="441" t="s">
        <v>125</v>
      </c>
      <c r="D117" s="47">
        <v>0.20833333333333334</v>
      </c>
      <c r="E117" s="319">
        <v>8</v>
      </c>
      <c r="F117" s="646"/>
      <c r="G117" s="4"/>
      <c r="H117" s="441" t="s">
        <v>83</v>
      </c>
      <c r="I117" s="47">
        <v>0.22916666666666666</v>
      </c>
      <c r="J117" s="319">
        <v>8</v>
      </c>
      <c r="K117" s="646"/>
      <c r="L117" s="4"/>
      <c r="M117" s="441" t="s">
        <v>125</v>
      </c>
      <c r="N117" s="47">
        <v>0.25</v>
      </c>
      <c r="O117" s="319">
        <v>8</v>
      </c>
      <c r="P117" s="646"/>
      <c r="R117" s="441" t="s">
        <v>75</v>
      </c>
      <c r="S117" s="47" t="s">
        <v>984</v>
      </c>
      <c r="T117" s="319">
        <v>8</v>
      </c>
      <c r="U117" s="646"/>
      <c r="W117" s="441" t="s">
        <v>125</v>
      </c>
      <c r="X117" s="47">
        <v>0.20833333333333334</v>
      </c>
      <c r="Y117" s="319">
        <v>8</v>
      </c>
      <c r="Z117" s="646"/>
      <c r="AA117" s="328">
        <f t="shared" si="19"/>
        <v>40</v>
      </c>
      <c r="AB117" s="298">
        <f t="shared" si="20"/>
        <v>0</v>
      </c>
      <c r="AC117" s="4"/>
      <c r="AF117" s="319"/>
      <c r="AG117" s="328">
        <f t="shared" ref="AG117:AG145" si="21">AF117</f>
        <v>0</v>
      </c>
      <c r="AH117" s="175"/>
      <c r="AI117" s="402"/>
      <c r="AJ117" s="367"/>
      <c r="AK117" s="188" t="s">
        <v>32</v>
      </c>
      <c r="AL117" s="196">
        <f>AG146</f>
        <v>0</v>
      </c>
      <c r="AM117" s="510">
        <v>58.71</v>
      </c>
      <c r="AN117" s="510">
        <f t="shared" si="18"/>
        <v>0</v>
      </c>
      <c r="AQ117" s="367"/>
      <c r="AR117" s="367"/>
      <c r="AS117" s="367"/>
      <c r="AT117" s="367"/>
      <c r="AU117" s="367"/>
      <c r="AV117" s="367"/>
      <c r="AW117" s="367"/>
    </row>
    <row r="118" spans="1:49">
      <c r="A118" s="367"/>
      <c r="B118" s="436" t="s">
        <v>959</v>
      </c>
      <c r="C118" s="441" t="s">
        <v>960</v>
      </c>
      <c r="D118" s="47"/>
      <c r="E118" s="319">
        <v>0</v>
      </c>
      <c r="F118" s="646"/>
      <c r="G118" s="4"/>
      <c r="H118" s="441" t="s">
        <v>960</v>
      </c>
      <c r="I118" s="47"/>
      <c r="J118" s="319">
        <v>0</v>
      </c>
      <c r="K118" s="646"/>
      <c r="L118" s="4"/>
      <c r="M118" s="441" t="s">
        <v>960</v>
      </c>
      <c r="N118" s="47"/>
      <c r="O118" s="319">
        <v>0</v>
      </c>
      <c r="P118" s="646"/>
      <c r="R118" s="441" t="s">
        <v>75</v>
      </c>
      <c r="S118" s="47">
        <v>0.41666666666666669</v>
      </c>
      <c r="T118" s="319">
        <v>1</v>
      </c>
      <c r="U118" s="646"/>
      <c r="W118" s="441" t="s">
        <v>970</v>
      </c>
      <c r="X118" s="47"/>
      <c r="Y118" s="319">
        <v>0</v>
      </c>
      <c r="Z118" s="646"/>
      <c r="AA118" s="328">
        <f t="shared" si="19"/>
        <v>1</v>
      </c>
      <c r="AB118" s="298">
        <f t="shared" si="20"/>
        <v>0</v>
      </c>
      <c r="AC118" s="4"/>
      <c r="AD118" s="531"/>
      <c r="AE118" s="531"/>
      <c r="AF118" s="319"/>
      <c r="AG118" s="328">
        <f t="shared" si="21"/>
        <v>0</v>
      </c>
      <c r="AH118" s="175"/>
      <c r="AI118" s="402"/>
      <c r="AJ118" s="367"/>
      <c r="AK118" s="403" t="s">
        <v>213</v>
      </c>
      <c r="AL118" s="404">
        <f>AA148</f>
        <v>40</v>
      </c>
      <c r="AM118" s="510">
        <v>51.5</v>
      </c>
      <c r="AN118" s="510">
        <f t="shared" si="18"/>
        <v>2060</v>
      </c>
      <c r="AQ118" s="367"/>
      <c r="AR118" s="367"/>
      <c r="AS118" s="367"/>
      <c r="AT118" s="367"/>
      <c r="AU118" s="367"/>
      <c r="AV118" s="367"/>
      <c r="AW118" s="367"/>
    </row>
    <row r="119" spans="1:49">
      <c r="A119" s="367"/>
      <c r="B119" s="67" t="s">
        <v>543</v>
      </c>
      <c r="C119" s="640"/>
      <c r="D119" s="639"/>
      <c r="E119" s="319">
        <v>0</v>
      </c>
      <c r="F119" s="646"/>
      <c r="G119" s="4"/>
      <c r="H119" s="640"/>
      <c r="I119" s="639"/>
      <c r="J119" s="319">
        <v>0</v>
      </c>
      <c r="K119" s="646"/>
      <c r="L119" s="4"/>
      <c r="M119" s="640"/>
      <c r="N119" s="639"/>
      <c r="O119" s="319">
        <v>0</v>
      </c>
      <c r="P119" s="646"/>
      <c r="R119" s="640"/>
      <c r="S119" s="639"/>
      <c r="T119" s="319">
        <v>0</v>
      </c>
      <c r="U119" s="646"/>
      <c r="W119" s="640"/>
      <c r="X119" s="639"/>
      <c r="Y119" s="319">
        <v>0</v>
      </c>
      <c r="Z119" s="646"/>
      <c r="AA119" s="328">
        <f t="shared" si="19"/>
        <v>0</v>
      </c>
      <c r="AB119" s="298">
        <f t="shared" si="20"/>
        <v>0</v>
      </c>
      <c r="AC119" s="399"/>
      <c r="AD119" s="47"/>
      <c r="AE119" s="47"/>
      <c r="AF119" s="319"/>
      <c r="AG119" s="328">
        <f t="shared" si="21"/>
        <v>0</v>
      </c>
      <c r="AH119" s="175"/>
      <c r="AJ119" s="401"/>
      <c r="AK119" s="188" t="s">
        <v>36</v>
      </c>
      <c r="AL119" s="196">
        <f>AB148</f>
        <v>2.75</v>
      </c>
      <c r="AM119" s="510">
        <f>AM118*1.5</f>
        <v>77.25</v>
      </c>
      <c r="AN119" s="510">
        <f t="shared" si="18"/>
        <v>212.4375</v>
      </c>
      <c r="AO119" s="405"/>
      <c r="AP119" s="405"/>
      <c r="AQ119" s="367"/>
      <c r="AR119" s="401"/>
      <c r="AS119" s="401"/>
      <c r="AT119" s="401"/>
      <c r="AU119" s="401"/>
      <c r="AV119" s="401"/>
      <c r="AW119" s="401"/>
    </row>
    <row r="120" spans="1:49" ht="14.25" customHeight="1">
      <c r="A120" s="367"/>
      <c r="B120" s="47" t="s">
        <v>515</v>
      </c>
      <c r="C120" s="441" t="s">
        <v>125</v>
      </c>
      <c r="D120" s="47">
        <v>0.20833333333333334</v>
      </c>
      <c r="E120" s="319">
        <v>8</v>
      </c>
      <c r="F120" s="646"/>
      <c r="G120" s="4"/>
      <c r="H120" s="441" t="s">
        <v>125</v>
      </c>
      <c r="I120" s="47">
        <v>0.20833333333333334</v>
      </c>
      <c r="J120" s="319">
        <v>8</v>
      </c>
      <c r="K120" s="646"/>
      <c r="L120" s="4"/>
      <c r="M120" s="441" t="s">
        <v>125</v>
      </c>
      <c r="N120" s="47">
        <v>0.20833333333333334</v>
      </c>
      <c r="O120" s="319">
        <v>8</v>
      </c>
      <c r="P120" s="646"/>
      <c r="R120" s="441" t="s">
        <v>125</v>
      </c>
      <c r="S120" s="47">
        <v>0.20833333333333334</v>
      </c>
      <c r="T120" s="319">
        <v>8</v>
      </c>
      <c r="U120" s="646"/>
      <c r="W120" s="441" t="s">
        <v>125</v>
      </c>
      <c r="X120" s="47">
        <v>0.20833333333333334</v>
      </c>
      <c r="Y120" s="319">
        <v>8</v>
      </c>
      <c r="Z120" s="646"/>
      <c r="AA120" s="328">
        <f t="shared" si="19"/>
        <v>40</v>
      </c>
      <c r="AB120" s="298">
        <f t="shared" si="20"/>
        <v>0</v>
      </c>
      <c r="AC120" s="175"/>
      <c r="AD120" s="47"/>
      <c r="AE120" s="47"/>
      <c r="AF120" s="319"/>
      <c r="AG120" s="328">
        <f t="shared" si="21"/>
        <v>0</v>
      </c>
      <c r="AH120" s="175"/>
      <c r="AJ120" s="401"/>
      <c r="AK120" s="188" t="s">
        <v>38</v>
      </c>
      <c r="AL120" s="196">
        <f>AG148</f>
        <v>0</v>
      </c>
      <c r="AM120" s="510">
        <v>77.25</v>
      </c>
      <c r="AN120" s="510">
        <f t="shared" si="18"/>
        <v>0</v>
      </c>
      <c r="AO120" s="405"/>
      <c r="AP120" s="405"/>
      <c r="AQ120" s="367"/>
      <c r="AR120" s="401"/>
      <c r="AS120" s="401"/>
      <c r="AT120" s="401"/>
      <c r="AU120" s="401"/>
      <c r="AV120" s="401"/>
      <c r="AW120" s="401"/>
    </row>
    <row r="121" spans="1:49" ht="14.25" thickBot="1">
      <c r="A121" s="367"/>
      <c r="B121" s="638" t="s">
        <v>962</v>
      </c>
      <c r="C121" s="441" t="s">
        <v>125</v>
      </c>
      <c r="D121" s="47">
        <v>0.20833333333333334</v>
      </c>
      <c r="E121" s="319">
        <v>8</v>
      </c>
      <c r="F121" s="646"/>
      <c r="G121" s="4"/>
      <c r="H121" s="441" t="s">
        <v>125</v>
      </c>
      <c r="I121" s="47">
        <v>0.20833333333333334</v>
      </c>
      <c r="J121" s="319">
        <v>8</v>
      </c>
      <c r="K121" s="646"/>
      <c r="L121" s="4"/>
      <c r="M121" s="441" t="s">
        <v>125</v>
      </c>
      <c r="N121" s="47">
        <v>0.20833333333333334</v>
      </c>
      <c r="O121" s="319">
        <v>8</v>
      </c>
      <c r="P121" s="646"/>
      <c r="R121" s="441" t="s">
        <v>125</v>
      </c>
      <c r="S121" s="47">
        <v>0.20833333333333334</v>
      </c>
      <c r="T121" s="319">
        <v>8</v>
      </c>
      <c r="U121" s="646"/>
      <c r="W121" s="441" t="s">
        <v>125</v>
      </c>
      <c r="X121" s="47">
        <v>0.20833333333333334</v>
      </c>
      <c r="Y121" s="319">
        <v>8</v>
      </c>
      <c r="Z121" s="646"/>
      <c r="AA121" s="328">
        <f t="shared" si="19"/>
        <v>40</v>
      </c>
      <c r="AB121" s="298">
        <f t="shared" si="20"/>
        <v>0</v>
      </c>
      <c r="AC121" s="4"/>
      <c r="AD121" s="47"/>
      <c r="AE121" s="47"/>
      <c r="AF121" s="319"/>
      <c r="AG121" s="328">
        <f t="shared" si="21"/>
        <v>0</v>
      </c>
      <c r="AH121" s="175"/>
      <c r="AI121" s="368"/>
      <c r="AK121" s="188" t="s">
        <v>41</v>
      </c>
      <c r="AL121" s="196">
        <f>C149</f>
        <v>62</v>
      </c>
      <c r="AM121" s="512">
        <v>46.35</v>
      </c>
      <c r="AN121" s="512">
        <f t="shared" si="18"/>
        <v>2873.7000000000003</v>
      </c>
      <c r="AQ121" s="367"/>
    </row>
    <row r="122" spans="1:49" s="4" customFormat="1" ht="14.25" thickTop="1">
      <c r="A122" s="180"/>
      <c r="B122" s="436" t="s">
        <v>967</v>
      </c>
      <c r="C122" s="441" t="s">
        <v>125</v>
      </c>
      <c r="D122" s="47">
        <v>0.20833333333333334</v>
      </c>
      <c r="E122" s="319">
        <v>8</v>
      </c>
      <c r="F122" s="646"/>
      <c r="H122" s="441" t="s">
        <v>125</v>
      </c>
      <c r="I122" s="47">
        <v>0.20833333333333334</v>
      </c>
      <c r="J122" s="654">
        <v>6</v>
      </c>
      <c r="K122" s="646"/>
      <c r="M122" s="441" t="s">
        <v>125</v>
      </c>
      <c r="N122" s="47">
        <v>0.20833333333333334</v>
      </c>
      <c r="O122" s="319">
        <v>8</v>
      </c>
      <c r="P122" s="646"/>
      <c r="R122" s="441" t="s">
        <v>125</v>
      </c>
      <c r="S122" s="47">
        <v>0.20833333333333334</v>
      </c>
      <c r="T122" s="319">
        <v>8</v>
      </c>
      <c r="U122" s="646"/>
      <c r="W122" s="441" t="s">
        <v>125</v>
      </c>
      <c r="X122" s="47">
        <v>0.20833333333333334</v>
      </c>
      <c r="Y122" s="319">
        <v>8</v>
      </c>
      <c r="Z122" s="646"/>
      <c r="AA122" s="328">
        <f t="shared" si="19"/>
        <v>38</v>
      </c>
      <c r="AB122" s="298">
        <f t="shared" si="20"/>
        <v>0</v>
      </c>
      <c r="AD122" s="47"/>
      <c r="AE122" s="47"/>
      <c r="AF122" s="319"/>
      <c r="AG122" s="328">
        <f t="shared" si="21"/>
        <v>0</v>
      </c>
      <c r="AI122" s="255"/>
      <c r="AJ122" s="180"/>
      <c r="AK122" s="193"/>
      <c r="AL122" s="193"/>
      <c r="AM122" s="193"/>
      <c r="AN122" s="510">
        <f>SUM(AN115:AN121)</f>
        <v>31957.037500000002</v>
      </c>
      <c r="AO122" s="193"/>
      <c r="AP122" s="193"/>
      <c r="AQ122" s="367"/>
      <c r="AR122" s="180"/>
      <c r="AS122" s="180"/>
      <c r="AT122" s="180"/>
      <c r="AU122" s="180"/>
      <c r="AV122" s="180"/>
      <c r="AW122" s="180"/>
    </row>
    <row r="123" spans="1:49" s="4" customFormat="1">
      <c r="A123" s="180"/>
      <c r="B123" s="436" t="s">
        <v>968</v>
      </c>
      <c r="C123" s="640"/>
      <c r="D123" s="639"/>
      <c r="E123" s="319">
        <v>0</v>
      </c>
      <c r="F123" s="646"/>
      <c r="H123" s="640"/>
      <c r="I123" s="639"/>
      <c r="J123" s="319">
        <v>0</v>
      </c>
      <c r="K123" s="646"/>
      <c r="M123" s="640"/>
      <c r="N123" s="639"/>
      <c r="O123" s="319">
        <v>0</v>
      </c>
      <c r="P123" s="646"/>
      <c r="R123" s="640"/>
      <c r="S123" s="639"/>
      <c r="T123" s="319">
        <v>0</v>
      </c>
      <c r="U123" s="646"/>
      <c r="W123" s="640"/>
      <c r="X123" s="639"/>
      <c r="Y123" s="319">
        <v>0</v>
      </c>
      <c r="Z123" s="646"/>
      <c r="AA123" s="328">
        <f t="shared" si="19"/>
        <v>0</v>
      </c>
      <c r="AB123" s="298">
        <f t="shared" si="20"/>
        <v>0</v>
      </c>
      <c r="AD123" s="47"/>
      <c r="AE123" s="47"/>
      <c r="AF123" s="319"/>
      <c r="AG123" s="328">
        <f t="shared" si="21"/>
        <v>0</v>
      </c>
      <c r="AI123" s="255"/>
      <c r="AJ123" s="180"/>
      <c r="AK123" s="193"/>
      <c r="AL123" s="193"/>
      <c r="AM123" s="193"/>
      <c r="AN123" s="193"/>
      <c r="AO123" s="193"/>
      <c r="AP123" s="193"/>
      <c r="AQ123" s="367"/>
      <c r="AR123" s="180"/>
      <c r="AS123" s="180"/>
      <c r="AT123" s="180"/>
      <c r="AU123" s="180"/>
      <c r="AV123" s="180"/>
      <c r="AW123" s="180"/>
    </row>
    <row r="124" spans="1:49" s="4" customFormat="1" ht="13.15" customHeight="1">
      <c r="A124" s="180"/>
      <c r="B124" s="436" t="s">
        <v>972</v>
      </c>
      <c r="C124" s="441" t="s">
        <v>75</v>
      </c>
      <c r="D124" s="47">
        <v>0.25</v>
      </c>
      <c r="E124" s="319">
        <v>8</v>
      </c>
      <c r="F124" s="646"/>
      <c r="H124" s="441" t="s">
        <v>75</v>
      </c>
      <c r="I124" s="47">
        <v>0.29166666666666669</v>
      </c>
      <c r="J124" s="319">
        <v>8</v>
      </c>
      <c r="K124" s="646">
        <v>1</v>
      </c>
      <c r="M124" s="441" t="s">
        <v>75</v>
      </c>
      <c r="N124" s="47">
        <v>0.25</v>
      </c>
      <c r="O124" s="319">
        <v>8</v>
      </c>
      <c r="P124" s="646"/>
      <c r="R124" s="441" t="s">
        <v>75</v>
      </c>
      <c r="S124" s="47">
        <v>0.25</v>
      </c>
      <c r="T124" s="319">
        <v>8</v>
      </c>
      <c r="U124" s="646"/>
      <c r="W124" s="47">
        <v>0.375</v>
      </c>
      <c r="X124" s="47">
        <v>8.3333333333333329E-2</v>
      </c>
      <c r="Y124" s="319">
        <v>5</v>
      </c>
      <c r="Z124" s="646"/>
      <c r="AA124" s="328">
        <f t="shared" si="19"/>
        <v>37</v>
      </c>
      <c r="AB124" s="298">
        <f t="shared" si="20"/>
        <v>1</v>
      </c>
      <c r="AD124" s="47"/>
      <c r="AE124" s="47"/>
      <c r="AF124" s="319"/>
      <c r="AG124" s="328">
        <f t="shared" si="21"/>
        <v>0</v>
      </c>
      <c r="AI124" s="255"/>
      <c r="AJ124" s="180"/>
      <c r="AK124" s="193"/>
      <c r="AL124" s="193"/>
      <c r="AM124" s="193"/>
      <c r="AN124" s="193"/>
      <c r="AO124" s="193"/>
      <c r="AP124" s="193"/>
      <c r="AQ124" s="367"/>
      <c r="AR124" s="180"/>
      <c r="AS124" s="180"/>
      <c r="AT124" s="180"/>
      <c r="AU124" s="180"/>
      <c r="AV124" s="180"/>
      <c r="AW124" s="180"/>
    </row>
    <row r="125" spans="1:49" s="4" customFormat="1">
      <c r="A125" s="180"/>
      <c r="B125" s="47" t="s">
        <v>974</v>
      </c>
      <c r="C125" s="441" t="s">
        <v>75</v>
      </c>
      <c r="D125" s="47">
        <v>0.20833333333333334</v>
      </c>
      <c r="E125" s="319">
        <v>8</v>
      </c>
      <c r="F125" s="646"/>
      <c r="H125" s="441" t="s">
        <v>344</v>
      </c>
      <c r="I125" s="47">
        <v>0.20833333333333334</v>
      </c>
      <c r="J125" s="319">
        <v>8</v>
      </c>
      <c r="K125" s="646"/>
      <c r="M125" s="47">
        <v>0.34444444444444444</v>
      </c>
      <c r="N125" s="47">
        <v>0.20833333333333334</v>
      </c>
      <c r="O125" s="319">
        <v>8</v>
      </c>
      <c r="P125" s="646"/>
      <c r="R125" s="47">
        <v>0.33333333333333331</v>
      </c>
      <c r="S125" s="47">
        <v>0.20833333333333334</v>
      </c>
      <c r="T125" s="319">
        <v>8</v>
      </c>
      <c r="U125" s="646"/>
      <c r="W125" s="47">
        <v>0.33333333333333331</v>
      </c>
      <c r="X125" s="47">
        <v>0.20833333333333334</v>
      </c>
      <c r="Y125" s="319">
        <v>8</v>
      </c>
      <c r="Z125" s="646"/>
      <c r="AA125" s="328">
        <f t="shared" si="19"/>
        <v>40</v>
      </c>
      <c r="AB125" s="298">
        <f t="shared" si="20"/>
        <v>0</v>
      </c>
      <c r="AD125" s="47"/>
      <c r="AE125" s="47"/>
      <c r="AF125" s="319"/>
      <c r="AG125" s="328">
        <f t="shared" si="21"/>
        <v>0</v>
      </c>
      <c r="AI125" s="255"/>
      <c r="AJ125" s="180"/>
      <c r="AK125" s="193"/>
      <c r="AL125" s="193"/>
      <c r="AM125" s="193"/>
      <c r="AN125" s="193"/>
      <c r="AO125" s="193"/>
      <c r="AP125" s="193"/>
      <c r="AQ125" s="180"/>
      <c r="AR125" s="180"/>
      <c r="AS125" s="180"/>
      <c r="AT125" s="180"/>
      <c r="AU125" s="180"/>
      <c r="AV125" s="180"/>
      <c r="AW125" s="180"/>
    </row>
    <row r="126" spans="1:49" s="4" customFormat="1">
      <c r="A126" s="180"/>
      <c r="B126" s="47" t="s">
        <v>517</v>
      </c>
      <c r="C126" s="441" t="s">
        <v>125</v>
      </c>
      <c r="D126" s="47">
        <v>0.20833333333333334</v>
      </c>
      <c r="E126" s="319">
        <v>8</v>
      </c>
      <c r="F126" s="646"/>
      <c r="H126" s="441" t="s">
        <v>125</v>
      </c>
      <c r="I126" s="47">
        <v>0.20833333333333334</v>
      </c>
      <c r="J126" s="319">
        <v>8</v>
      </c>
      <c r="K126" s="646"/>
      <c r="M126" s="441" t="s">
        <v>125</v>
      </c>
      <c r="N126" s="47">
        <v>0.20833333333333334</v>
      </c>
      <c r="O126" s="319">
        <v>8</v>
      </c>
      <c r="P126" s="646"/>
      <c r="R126" s="441" t="s">
        <v>125</v>
      </c>
      <c r="S126" s="47">
        <v>0.20833333333333334</v>
      </c>
      <c r="T126" s="319">
        <v>8</v>
      </c>
      <c r="U126" s="646"/>
      <c r="W126" s="441" t="s">
        <v>960</v>
      </c>
      <c r="X126" s="47"/>
      <c r="Y126" s="319">
        <v>0</v>
      </c>
      <c r="Z126" s="646"/>
      <c r="AA126" s="328">
        <f t="shared" si="19"/>
        <v>32</v>
      </c>
      <c r="AB126" s="298">
        <f t="shared" si="20"/>
        <v>0</v>
      </c>
      <c r="AD126" s="47"/>
      <c r="AE126" s="47"/>
      <c r="AF126" s="319"/>
      <c r="AG126" s="328">
        <f t="shared" si="21"/>
        <v>0</v>
      </c>
      <c r="AI126" s="255"/>
      <c r="AJ126" s="180"/>
      <c r="AK126" s="193"/>
      <c r="AL126" s="193"/>
      <c r="AM126" s="193"/>
      <c r="AN126" s="193"/>
      <c r="AO126" s="193"/>
      <c r="AP126" s="193"/>
      <c r="AQ126" s="180"/>
      <c r="AR126" s="180"/>
      <c r="AS126" s="180"/>
      <c r="AT126" s="180"/>
      <c r="AU126" s="180"/>
      <c r="AV126" s="180"/>
      <c r="AW126" s="180"/>
    </row>
    <row r="127" spans="1:49" s="4" customFormat="1">
      <c r="A127" s="180"/>
      <c r="B127" s="47" t="s">
        <v>981</v>
      </c>
      <c r="C127" s="441" t="s">
        <v>75</v>
      </c>
      <c r="D127" s="47">
        <v>0.25</v>
      </c>
      <c r="E127" s="319">
        <v>8</v>
      </c>
      <c r="F127" s="646"/>
      <c r="H127" s="655" t="s">
        <v>985</v>
      </c>
      <c r="I127" s="47">
        <v>0.20833333333333334</v>
      </c>
      <c r="J127" s="319">
        <v>7</v>
      </c>
      <c r="K127" s="646"/>
      <c r="M127" s="441" t="s">
        <v>125</v>
      </c>
      <c r="N127" s="47">
        <v>0.20833333333333334</v>
      </c>
      <c r="O127" s="319">
        <v>8</v>
      </c>
      <c r="P127" s="646"/>
      <c r="R127" s="441" t="s">
        <v>125</v>
      </c>
      <c r="S127" s="47">
        <v>0.20833333333333334</v>
      </c>
      <c r="T127" s="319">
        <v>8</v>
      </c>
      <c r="U127" s="646"/>
      <c r="W127" s="441" t="s">
        <v>125</v>
      </c>
      <c r="X127" s="47">
        <v>0.20833333333333334</v>
      </c>
      <c r="Y127" s="319">
        <v>8</v>
      </c>
      <c r="Z127" s="646"/>
      <c r="AA127" s="328">
        <f t="shared" si="19"/>
        <v>39</v>
      </c>
      <c r="AB127" s="298">
        <f t="shared" si="20"/>
        <v>0</v>
      </c>
      <c r="AD127" s="47"/>
      <c r="AE127" s="47"/>
      <c r="AF127" s="319"/>
      <c r="AG127" s="328">
        <f t="shared" si="21"/>
        <v>0</v>
      </c>
      <c r="AI127" s="255"/>
      <c r="AJ127" s="180"/>
      <c r="AK127" s="193"/>
      <c r="AL127" s="193"/>
      <c r="AM127" s="193"/>
      <c r="AN127" s="193"/>
      <c r="AO127" s="193"/>
      <c r="AP127" s="193"/>
      <c r="AQ127" s="180"/>
      <c r="AR127" s="180"/>
      <c r="AS127" s="180"/>
      <c r="AT127" s="180"/>
      <c r="AU127" s="180"/>
      <c r="AV127" s="180"/>
      <c r="AW127" s="180"/>
    </row>
    <row r="128" spans="1:49" s="4" customFormat="1">
      <c r="A128" s="180"/>
      <c r="B128" s="67" t="s">
        <v>976</v>
      </c>
      <c r="C128" s="441" t="s">
        <v>344</v>
      </c>
      <c r="D128" s="47">
        <v>0.20833333333333334</v>
      </c>
      <c r="E128" s="319">
        <v>7.75</v>
      </c>
      <c r="F128" s="646"/>
      <c r="H128" s="441" t="s">
        <v>960</v>
      </c>
      <c r="I128" s="47"/>
      <c r="J128" s="319">
        <v>0</v>
      </c>
      <c r="K128" s="646"/>
      <c r="M128" s="441" t="s">
        <v>125</v>
      </c>
      <c r="N128" s="47">
        <v>0.20833333333333334</v>
      </c>
      <c r="O128" s="319">
        <v>8</v>
      </c>
      <c r="P128" s="646"/>
      <c r="R128" s="47" t="s">
        <v>960</v>
      </c>
      <c r="S128" s="47"/>
      <c r="T128" s="319">
        <v>0</v>
      </c>
      <c r="U128" s="646"/>
      <c r="W128" s="441" t="s">
        <v>125</v>
      </c>
      <c r="X128" s="47">
        <v>0.20833333333333334</v>
      </c>
      <c r="Y128" s="319">
        <v>8</v>
      </c>
      <c r="Z128" s="646"/>
      <c r="AA128" s="328">
        <f t="shared" si="19"/>
        <v>23.75</v>
      </c>
      <c r="AB128" s="298">
        <f t="shared" si="20"/>
        <v>0</v>
      </c>
      <c r="AD128" s="47"/>
      <c r="AE128" s="47"/>
      <c r="AF128" s="319"/>
      <c r="AG128" s="328">
        <f t="shared" si="21"/>
        <v>0</v>
      </c>
      <c r="AI128" s="255"/>
      <c r="AJ128" s="180"/>
      <c r="AK128" s="193"/>
      <c r="AL128" s="193"/>
      <c r="AM128" s="193"/>
      <c r="AN128" s="193"/>
      <c r="AO128" s="193"/>
      <c r="AP128" s="193"/>
      <c r="AQ128" s="180"/>
      <c r="AR128" s="180"/>
      <c r="AS128" s="180"/>
      <c r="AT128" s="180"/>
      <c r="AU128" s="180"/>
      <c r="AV128" s="180"/>
      <c r="AW128" s="180"/>
    </row>
    <row r="129" spans="1:49" s="4" customFormat="1">
      <c r="A129" s="180"/>
      <c r="B129" s="47" t="s">
        <v>977</v>
      </c>
      <c r="C129" s="655" t="s">
        <v>154</v>
      </c>
      <c r="D129" s="655" t="s">
        <v>154</v>
      </c>
      <c r="E129" s="319">
        <v>0</v>
      </c>
      <c r="F129" s="646"/>
      <c r="H129" s="441" t="s">
        <v>75</v>
      </c>
      <c r="I129" s="47">
        <v>0.29166666666666669</v>
      </c>
      <c r="J129" s="319">
        <v>8</v>
      </c>
      <c r="K129" s="646">
        <v>1</v>
      </c>
      <c r="M129" s="441" t="s">
        <v>75</v>
      </c>
      <c r="N129" s="47">
        <v>0.25</v>
      </c>
      <c r="O129" s="319">
        <v>8</v>
      </c>
      <c r="P129" s="646"/>
      <c r="R129" s="441" t="s">
        <v>75</v>
      </c>
      <c r="S129" s="47">
        <v>0.25</v>
      </c>
      <c r="T129" s="319">
        <v>8</v>
      </c>
      <c r="U129" s="646"/>
      <c r="W129" s="441" t="s">
        <v>75</v>
      </c>
      <c r="X129" s="47">
        <v>0.25</v>
      </c>
      <c r="Y129" s="319">
        <v>8</v>
      </c>
      <c r="Z129" s="646"/>
      <c r="AA129" s="328">
        <f t="shared" si="19"/>
        <v>32</v>
      </c>
      <c r="AB129" s="298">
        <f t="shared" si="20"/>
        <v>1</v>
      </c>
      <c r="AD129" s="47"/>
      <c r="AE129" s="47"/>
      <c r="AF129" s="319"/>
      <c r="AG129" s="328">
        <f t="shared" si="21"/>
        <v>0</v>
      </c>
      <c r="AI129" s="255"/>
      <c r="AJ129" s="180"/>
      <c r="AK129" s="193"/>
      <c r="AL129" s="193"/>
      <c r="AM129" s="193"/>
      <c r="AN129" s="193"/>
      <c r="AO129" s="193"/>
      <c r="AP129" s="193"/>
      <c r="AQ129" s="180"/>
      <c r="AR129" s="180"/>
      <c r="AS129" s="180"/>
      <c r="AT129" s="180"/>
      <c r="AU129" s="180"/>
      <c r="AV129" s="180"/>
      <c r="AW129" s="180"/>
    </row>
    <row r="130" spans="1:49" s="4" customFormat="1">
      <c r="A130" s="180"/>
      <c r="B130" s="436" t="s">
        <v>388</v>
      </c>
      <c r="C130" s="441" t="s">
        <v>125</v>
      </c>
      <c r="D130" s="47">
        <v>5</v>
      </c>
      <c r="E130" s="319">
        <v>8</v>
      </c>
      <c r="F130" s="646"/>
      <c r="H130" s="441" t="s">
        <v>125</v>
      </c>
      <c r="I130" s="47">
        <v>0.20833333333333334</v>
      </c>
      <c r="J130" s="656">
        <v>6</v>
      </c>
      <c r="K130" s="646"/>
      <c r="M130" s="441" t="s">
        <v>125</v>
      </c>
      <c r="N130" s="47">
        <v>5</v>
      </c>
      <c r="O130" s="319">
        <v>8</v>
      </c>
      <c r="P130" s="646"/>
      <c r="R130" s="441" t="s">
        <v>125</v>
      </c>
      <c r="S130" s="47">
        <v>5</v>
      </c>
      <c r="T130" s="319">
        <v>8</v>
      </c>
      <c r="U130" s="646"/>
      <c r="W130" s="441" t="s">
        <v>125</v>
      </c>
      <c r="X130" s="47">
        <v>5</v>
      </c>
      <c r="Y130" s="319">
        <v>8</v>
      </c>
      <c r="Z130" s="646"/>
      <c r="AA130" s="328">
        <f t="shared" si="19"/>
        <v>38</v>
      </c>
      <c r="AB130" s="298">
        <f t="shared" si="20"/>
        <v>0</v>
      </c>
      <c r="AD130" s="47"/>
      <c r="AE130" s="47"/>
      <c r="AF130" s="319"/>
      <c r="AG130" s="328">
        <f t="shared" si="21"/>
        <v>0</v>
      </c>
      <c r="AI130" s="255"/>
      <c r="AJ130" s="180"/>
      <c r="AK130" s="193"/>
      <c r="AL130" s="193"/>
      <c r="AM130" s="193"/>
      <c r="AN130" s="193"/>
      <c r="AO130" s="193"/>
      <c r="AP130" s="193"/>
      <c r="AQ130" s="180"/>
      <c r="AR130" s="180"/>
      <c r="AS130" s="180"/>
      <c r="AT130" s="180"/>
      <c r="AU130" s="180"/>
      <c r="AV130" s="180"/>
      <c r="AW130" s="180"/>
    </row>
    <row r="131" spans="1:49" s="4" customFormat="1">
      <c r="A131" s="180"/>
      <c r="B131" s="47" t="s">
        <v>394</v>
      </c>
      <c r="C131" s="441" t="s">
        <v>75</v>
      </c>
      <c r="D131" s="47">
        <v>0.25</v>
      </c>
      <c r="E131" s="319">
        <v>8</v>
      </c>
      <c r="F131" s="646"/>
      <c r="H131" s="441" t="s">
        <v>75</v>
      </c>
      <c r="I131" s="47">
        <v>0.29166666666666669</v>
      </c>
      <c r="J131" s="319">
        <v>8</v>
      </c>
      <c r="K131" s="646">
        <v>1</v>
      </c>
      <c r="M131" s="441" t="s">
        <v>75</v>
      </c>
      <c r="N131" s="47">
        <v>0.25</v>
      </c>
      <c r="O131" s="319">
        <v>8</v>
      </c>
      <c r="P131" s="646"/>
      <c r="R131" s="441" t="s">
        <v>75</v>
      </c>
      <c r="S131" s="47">
        <v>0.25</v>
      </c>
      <c r="T131" s="319">
        <v>8</v>
      </c>
      <c r="U131" s="646"/>
      <c r="W131" s="47">
        <v>0.375</v>
      </c>
      <c r="X131" s="47">
        <v>8.3333333333333329E-2</v>
      </c>
      <c r="Y131" s="319">
        <v>5</v>
      </c>
      <c r="Z131" s="646"/>
      <c r="AA131" s="328">
        <f t="shared" si="19"/>
        <v>37</v>
      </c>
      <c r="AB131" s="298">
        <f t="shared" si="20"/>
        <v>1</v>
      </c>
      <c r="AD131" s="47"/>
      <c r="AE131" s="47"/>
      <c r="AF131" s="319"/>
      <c r="AG131" s="328">
        <f t="shared" si="21"/>
        <v>0</v>
      </c>
      <c r="AI131" s="255"/>
      <c r="AJ131" s="180"/>
      <c r="AK131" s="193"/>
      <c r="AL131" s="193"/>
      <c r="AM131" s="193"/>
      <c r="AN131" s="193"/>
      <c r="AO131" s="193"/>
      <c r="AP131" s="193"/>
      <c r="AQ131" s="180"/>
      <c r="AR131" s="180"/>
      <c r="AS131" s="180"/>
      <c r="AT131" s="180"/>
      <c r="AU131" s="180"/>
      <c r="AV131" s="180"/>
      <c r="AW131" s="180"/>
    </row>
    <row r="132" spans="1:49" s="4" customFormat="1">
      <c r="A132" s="180"/>
      <c r="B132" s="47" t="s">
        <v>519</v>
      </c>
      <c r="C132" s="441" t="s">
        <v>75</v>
      </c>
      <c r="D132" s="47">
        <v>0.25</v>
      </c>
      <c r="E132" s="319">
        <v>8</v>
      </c>
      <c r="F132" s="646"/>
      <c r="H132" s="441" t="s">
        <v>75</v>
      </c>
      <c r="I132" s="47">
        <v>0.29166666666666669</v>
      </c>
      <c r="J132" s="319">
        <v>8</v>
      </c>
      <c r="K132" s="646">
        <v>1</v>
      </c>
      <c r="M132" s="441" t="s">
        <v>75</v>
      </c>
      <c r="N132" s="47">
        <v>0.25</v>
      </c>
      <c r="O132" s="319">
        <v>8</v>
      </c>
      <c r="P132" s="646"/>
      <c r="R132" s="441" t="s">
        <v>75</v>
      </c>
      <c r="S132" s="47">
        <v>0.25</v>
      </c>
      <c r="T132" s="319">
        <v>8</v>
      </c>
      <c r="U132" s="646"/>
      <c r="W132" s="47">
        <v>0.375</v>
      </c>
      <c r="X132" s="47">
        <v>8.3333333333333329E-2</v>
      </c>
      <c r="Y132" s="319">
        <v>5</v>
      </c>
      <c r="Z132" s="646"/>
      <c r="AA132" s="328">
        <f t="shared" si="19"/>
        <v>37</v>
      </c>
      <c r="AB132" s="298">
        <f t="shared" si="20"/>
        <v>1</v>
      </c>
      <c r="AD132" s="47"/>
      <c r="AE132" s="47"/>
      <c r="AF132" s="319"/>
      <c r="AG132" s="328">
        <f t="shared" si="21"/>
        <v>0</v>
      </c>
      <c r="AI132" s="255"/>
      <c r="AJ132" s="180"/>
      <c r="AK132" s="193"/>
      <c r="AL132" s="193"/>
      <c r="AM132" s="193"/>
      <c r="AN132" s="193"/>
      <c r="AO132" s="193"/>
      <c r="AP132" s="193"/>
      <c r="AQ132" s="180"/>
      <c r="AR132" s="180"/>
      <c r="AS132" s="180"/>
      <c r="AT132" s="180"/>
      <c r="AU132" s="180"/>
      <c r="AV132" s="180"/>
      <c r="AW132" s="180"/>
    </row>
    <row r="133" spans="1:49" s="4" customFormat="1">
      <c r="A133" s="180"/>
      <c r="B133" s="502" t="s">
        <v>483</v>
      </c>
      <c r="C133" s="47"/>
      <c r="D133" s="47"/>
      <c r="E133" s="319">
        <v>0</v>
      </c>
      <c r="F133" s="646"/>
      <c r="H133" s="47"/>
      <c r="I133" s="47"/>
      <c r="J133" s="319">
        <v>8</v>
      </c>
      <c r="K133" s="646"/>
      <c r="M133" s="47"/>
      <c r="N133" s="47"/>
      <c r="O133" s="319">
        <v>6</v>
      </c>
      <c r="P133" s="646"/>
      <c r="R133" s="47"/>
      <c r="S133" s="47"/>
      <c r="T133" s="319">
        <v>7</v>
      </c>
      <c r="U133" s="646"/>
      <c r="W133" s="47"/>
      <c r="X133" s="47"/>
      <c r="Y133" s="319">
        <v>6</v>
      </c>
      <c r="Z133" s="646"/>
      <c r="AA133" s="328">
        <f t="shared" si="19"/>
        <v>27</v>
      </c>
      <c r="AB133" s="298">
        <f t="shared" si="20"/>
        <v>0</v>
      </c>
      <c r="AD133" s="47"/>
      <c r="AE133" s="47"/>
      <c r="AF133" s="319"/>
      <c r="AG133" s="328">
        <f t="shared" si="21"/>
        <v>0</v>
      </c>
      <c r="AI133" s="255"/>
      <c r="AJ133" s="180"/>
      <c r="AK133" s="193"/>
      <c r="AL133" s="193"/>
      <c r="AM133" s="193"/>
      <c r="AN133" s="193"/>
      <c r="AO133" s="193"/>
      <c r="AP133" s="193"/>
      <c r="AQ133" s="180"/>
      <c r="AR133" s="180"/>
      <c r="AS133" s="180"/>
      <c r="AT133" s="180"/>
      <c r="AU133" s="180"/>
      <c r="AV133" s="180"/>
      <c r="AW133" s="180"/>
    </row>
    <row r="134" spans="1:49" s="4" customFormat="1">
      <c r="A134" s="180"/>
      <c r="B134" s="502" t="s">
        <v>483</v>
      </c>
      <c r="C134" s="47"/>
      <c r="D134" s="47"/>
      <c r="E134" s="319"/>
      <c r="F134" s="646"/>
      <c r="H134" s="47"/>
      <c r="I134" s="47"/>
      <c r="J134" s="319"/>
      <c r="K134" s="646"/>
      <c r="M134" s="47"/>
      <c r="N134" s="47"/>
      <c r="O134" s="319"/>
      <c r="P134" s="646"/>
      <c r="R134" s="47"/>
      <c r="S134" s="47"/>
      <c r="T134" s="319"/>
      <c r="U134" s="646"/>
      <c r="W134" s="47"/>
      <c r="X134" s="47"/>
      <c r="Y134" s="319"/>
      <c r="Z134" s="646"/>
      <c r="AA134" s="328">
        <f t="shared" si="19"/>
        <v>0</v>
      </c>
      <c r="AB134" s="298">
        <f t="shared" si="20"/>
        <v>0</v>
      </c>
      <c r="AD134" s="47"/>
      <c r="AE134" s="47"/>
      <c r="AF134" s="319"/>
      <c r="AG134" s="328">
        <f t="shared" si="21"/>
        <v>0</v>
      </c>
      <c r="AI134" s="255"/>
      <c r="AJ134" s="180"/>
      <c r="AK134" s="193"/>
      <c r="AL134" s="193"/>
      <c r="AM134" s="193"/>
      <c r="AN134" s="193"/>
      <c r="AO134" s="193"/>
      <c r="AP134" s="193"/>
      <c r="AQ134" s="180"/>
      <c r="AR134" s="180"/>
      <c r="AS134" s="180"/>
      <c r="AT134" s="180"/>
      <c r="AU134" s="180"/>
      <c r="AV134" s="180"/>
      <c r="AW134" s="180"/>
    </row>
    <row r="135" spans="1:49" s="193" customFormat="1">
      <c r="A135" s="180"/>
      <c r="B135" s="502" t="s">
        <v>484</v>
      </c>
      <c r="C135" s="47"/>
      <c r="D135" s="47"/>
      <c r="E135" s="319">
        <v>0</v>
      </c>
      <c r="F135" s="646"/>
      <c r="G135" s="4"/>
      <c r="H135" s="47"/>
      <c r="I135" s="47"/>
      <c r="J135" s="319">
        <v>8</v>
      </c>
      <c r="K135" s="646"/>
      <c r="L135" s="4"/>
      <c r="M135" s="47"/>
      <c r="N135" s="47"/>
      <c r="O135" s="319">
        <v>6</v>
      </c>
      <c r="P135" s="646"/>
      <c r="Q135" s="4"/>
      <c r="R135" s="47"/>
      <c r="S135" s="47"/>
      <c r="T135" s="319">
        <v>7</v>
      </c>
      <c r="U135" s="646"/>
      <c r="V135" s="4"/>
      <c r="W135" s="47"/>
      <c r="X135" s="47"/>
      <c r="Y135" s="319">
        <v>6</v>
      </c>
      <c r="Z135" s="646"/>
      <c r="AA135" s="328">
        <f t="shared" si="19"/>
        <v>27</v>
      </c>
      <c r="AB135" s="298">
        <f t="shared" si="20"/>
        <v>0</v>
      </c>
      <c r="AC135" s="4"/>
      <c r="AD135" s="47"/>
      <c r="AE135" s="47"/>
      <c r="AF135" s="319"/>
      <c r="AG135" s="328">
        <f t="shared" si="21"/>
        <v>0</v>
      </c>
      <c r="AH135" s="4"/>
      <c r="AI135" s="255"/>
      <c r="AJ135" s="180"/>
      <c r="AQ135" s="180"/>
      <c r="AR135" s="180"/>
      <c r="AS135" s="180"/>
      <c r="AT135" s="180"/>
      <c r="AU135" s="180"/>
      <c r="AV135" s="180"/>
      <c r="AW135" s="180"/>
    </row>
    <row r="136" spans="1:49" s="193" customFormat="1">
      <c r="A136" s="180"/>
      <c r="B136" s="502" t="s">
        <v>485</v>
      </c>
      <c r="C136" s="47"/>
      <c r="D136" s="47"/>
      <c r="E136" s="319">
        <v>0</v>
      </c>
      <c r="F136" s="646"/>
      <c r="G136" s="4"/>
      <c r="H136" s="47"/>
      <c r="I136" s="47"/>
      <c r="J136" s="319">
        <v>8</v>
      </c>
      <c r="K136" s="646"/>
      <c r="L136" s="4"/>
      <c r="M136" s="47"/>
      <c r="N136" s="47"/>
      <c r="O136" s="319">
        <v>6</v>
      </c>
      <c r="P136" s="646"/>
      <c r="Q136" s="4"/>
      <c r="R136" s="47"/>
      <c r="S136" s="47"/>
      <c r="T136" s="319">
        <v>7</v>
      </c>
      <c r="U136" s="646"/>
      <c r="V136" s="4"/>
      <c r="W136" s="47"/>
      <c r="X136" s="47"/>
      <c r="Y136" s="319">
        <v>6</v>
      </c>
      <c r="Z136" s="646"/>
      <c r="AA136" s="328">
        <f t="shared" si="19"/>
        <v>27</v>
      </c>
      <c r="AB136" s="298">
        <f t="shared" si="20"/>
        <v>0</v>
      </c>
      <c r="AC136" s="4"/>
      <c r="AD136" s="47"/>
      <c r="AE136" s="47"/>
      <c r="AF136" s="319"/>
      <c r="AG136" s="328">
        <f t="shared" si="21"/>
        <v>0</v>
      </c>
      <c r="AH136" s="4"/>
      <c r="AI136" s="255"/>
      <c r="AJ136" s="180"/>
      <c r="AQ136" s="180"/>
      <c r="AR136" s="180"/>
      <c r="AS136" s="180"/>
      <c r="AT136" s="180"/>
      <c r="AU136" s="180"/>
      <c r="AV136" s="180"/>
      <c r="AW136" s="180"/>
    </row>
    <row r="137" spans="1:49" s="193" customFormat="1">
      <c r="A137" s="180"/>
      <c r="B137" s="502" t="s">
        <v>486</v>
      </c>
      <c r="C137" s="47"/>
      <c r="D137" s="47"/>
      <c r="E137" s="319"/>
      <c r="F137" s="646"/>
      <c r="G137" s="4"/>
      <c r="H137" s="47"/>
      <c r="I137" s="47"/>
      <c r="J137" s="319"/>
      <c r="K137" s="646"/>
      <c r="L137" s="4"/>
      <c r="M137" s="47"/>
      <c r="N137" s="47"/>
      <c r="O137" s="319"/>
      <c r="P137" s="646"/>
      <c r="Q137" s="4"/>
      <c r="R137" s="47"/>
      <c r="S137" s="47"/>
      <c r="T137" s="319"/>
      <c r="U137" s="646"/>
      <c r="V137" s="4"/>
      <c r="W137" s="47"/>
      <c r="X137" s="47"/>
      <c r="Y137" s="319"/>
      <c r="Z137" s="646"/>
      <c r="AA137" s="328">
        <f t="shared" si="19"/>
        <v>0</v>
      </c>
      <c r="AB137" s="298">
        <f t="shared" si="20"/>
        <v>0</v>
      </c>
      <c r="AC137" s="4"/>
      <c r="AD137" s="47"/>
      <c r="AE137" s="47"/>
      <c r="AF137" s="319"/>
      <c r="AG137" s="328">
        <f t="shared" si="21"/>
        <v>0</v>
      </c>
      <c r="AH137" s="4"/>
      <c r="AI137" s="255"/>
      <c r="AJ137" s="180"/>
      <c r="AQ137" s="180"/>
      <c r="AR137" s="180"/>
      <c r="AS137" s="180"/>
      <c r="AT137" s="180"/>
      <c r="AU137" s="180"/>
      <c r="AV137" s="180"/>
      <c r="AW137" s="180"/>
    </row>
    <row r="138" spans="1:49" s="193" customFormat="1">
      <c r="A138" s="180"/>
      <c r="B138" s="63" t="s">
        <v>63</v>
      </c>
      <c r="C138" s="47"/>
      <c r="D138" s="47"/>
      <c r="E138" s="319">
        <v>8</v>
      </c>
      <c r="F138" s="646">
        <v>1.25</v>
      </c>
      <c r="G138" s="4"/>
      <c r="H138" s="47"/>
      <c r="I138" s="47"/>
      <c r="J138" s="319">
        <v>8</v>
      </c>
      <c r="K138" s="646">
        <v>0.5</v>
      </c>
      <c r="L138" s="4"/>
      <c r="M138" s="47"/>
      <c r="N138" s="47"/>
      <c r="O138" s="319">
        <v>8</v>
      </c>
      <c r="P138" s="646">
        <v>0.5</v>
      </c>
      <c r="Q138" s="4"/>
      <c r="R138" s="47"/>
      <c r="S138" s="47"/>
      <c r="T138" s="319">
        <v>8</v>
      </c>
      <c r="U138" s="646">
        <v>0.5</v>
      </c>
      <c r="V138" s="4"/>
      <c r="W138" s="47"/>
      <c r="X138" s="47"/>
      <c r="Y138" s="319">
        <v>8</v>
      </c>
      <c r="Z138" s="646">
        <v>0.75</v>
      </c>
      <c r="AA138" s="328">
        <f t="shared" si="19"/>
        <v>40</v>
      </c>
      <c r="AB138" s="298">
        <f t="shared" si="20"/>
        <v>3.5</v>
      </c>
      <c r="AC138" s="4"/>
      <c r="AD138" s="47"/>
      <c r="AE138" s="47"/>
      <c r="AF138" s="319"/>
      <c r="AG138" s="328">
        <f t="shared" si="21"/>
        <v>0</v>
      </c>
      <c r="AH138" s="4"/>
      <c r="AI138" s="255"/>
      <c r="AJ138" s="180"/>
      <c r="AQ138" s="180"/>
      <c r="AR138" s="180"/>
      <c r="AS138" s="180"/>
      <c r="AT138" s="180"/>
      <c r="AU138" s="180"/>
      <c r="AV138" s="180"/>
      <c r="AW138" s="180"/>
    </row>
    <row r="139" spans="1:49" s="193" customFormat="1">
      <c r="A139" s="180"/>
      <c r="B139" s="267" t="s">
        <v>358</v>
      </c>
      <c r="C139" s="47"/>
      <c r="D139" s="47"/>
      <c r="E139" s="319">
        <v>4</v>
      </c>
      <c r="F139" s="646"/>
      <c r="G139" s="438"/>
      <c r="H139" s="47"/>
      <c r="I139" s="47"/>
      <c r="J139" s="319">
        <v>4</v>
      </c>
      <c r="K139" s="646"/>
      <c r="L139" s="438"/>
      <c r="M139" s="47"/>
      <c r="N139" s="47"/>
      <c r="O139" s="319">
        <v>4</v>
      </c>
      <c r="P139" s="646"/>
      <c r="Q139" s="438"/>
      <c r="R139" s="47"/>
      <c r="S139" s="47"/>
      <c r="T139" s="319">
        <v>4</v>
      </c>
      <c r="U139" s="646"/>
      <c r="V139" s="438"/>
      <c r="W139" s="47"/>
      <c r="X139" s="47"/>
      <c r="Y139" s="319">
        <v>6</v>
      </c>
      <c r="Z139" s="646"/>
      <c r="AA139" s="328">
        <f t="shared" si="19"/>
        <v>22</v>
      </c>
      <c r="AB139" s="298">
        <f t="shared" si="20"/>
        <v>0</v>
      </c>
      <c r="AC139" s="4"/>
      <c r="AD139" s="47"/>
      <c r="AE139" s="47"/>
      <c r="AF139" s="319"/>
      <c r="AG139" s="328">
        <f t="shared" si="21"/>
        <v>0</v>
      </c>
      <c r="AH139" s="4"/>
      <c r="AI139" s="255"/>
      <c r="AJ139" s="180"/>
      <c r="AQ139" s="180"/>
      <c r="AR139" s="180"/>
      <c r="AS139" s="180"/>
      <c r="AT139" s="180"/>
      <c r="AU139" s="180"/>
      <c r="AV139" s="180"/>
      <c r="AW139" s="180"/>
    </row>
    <row r="140" spans="1:49" s="193" customFormat="1">
      <c r="A140" s="180"/>
      <c r="B140" s="267" t="s">
        <v>532</v>
      </c>
      <c r="C140" s="47"/>
      <c r="D140" s="47"/>
      <c r="E140" s="319"/>
      <c r="F140" s="646"/>
      <c r="G140" s="438"/>
      <c r="H140" s="47"/>
      <c r="I140" s="47"/>
      <c r="J140" s="319"/>
      <c r="K140" s="646"/>
      <c r="L140" s="438"/>
      <c r="M140" s="47"/>
      <c r="N140" s="47"/>
      <c r="O140" s="319"/>
      <c r="P140" s="646"/>
      <c r="Q140" s="438"/>
      <c r="R140" s="47"/>
      <c r="S140" s="47"/>
      <c r="T140" s="319">
        <v>4</v>
      </c>
      <c r="U140" s="646"/>
      <c r="V140" s="438"/>
      <c r="W140" s="47"/>
      <c r="X140" s="47"/>
      <c r="Y140" s="319">
        <v>4</v>
      </c>
      <c r="Z140" s="646"/>
      <c r="AA140" s="328">
        <f t="shared" si="19"/>
        <v>8</v>
      </c>
      <c r="AB140" s="298">
        <f t="shared" si="20"/>
        <v>0</v>
      </c>
      <c r="AC140" s="4"/>
      <c r="AD140" s="47"/>
      <c r="AE140" s="47"/>
      <c r="AF140" s="319"/>
      <c r="AG140" s="328">
        <f t="shared" si="21"/>
        <v>0</v>
      </c>
      <c r="AH140" s="4"/>
      <c r="AI140" s="255"/>
      <c r="AJ140" s="180"/>
      <c r="AQ140" s="180"/>
      <c r="AR140" s="180"/>
      <c r="AS140" s="180"/>
      <c r="AT140" s="180"/>
      <c r="AU140" s="180"/>
      <c r="AV140" s="180"/>
      <c r="AW140" s="180"/>
    </row>
    <row r="141" spans="1:49" s="193" customFormat="1">
      <c r="A141" s="180"/>
      <c r="B141" s="267" t="s">
        <v>411</v>
      </c>
      <c r="C141" s="47"/>
      <c r="D141" s="47"/>
      <c r="E141" s="319"/>
      <c r="F141" s="646"/>
      <c r="G141" s="438"/>
      <c r="H141" s="47"/>
      <c r="I141" s="47"/>
      <c r="J141" s="319"/>
      <c r="K141" s="646"/>
      <c r="L141" s="438"/>
      <c r="M141" s="47"/>
      <c r="N141" s="47"/>
      <c r="O141" s="319"/>
      <c r="P141" s="646"/>
      <c r="Q141" s="438"/>
      <c r="R141" s="47"/>
      <c r="S141" s="47"/>
      <c r="T141" s="319"/>
      <c r="U141" s="646"/>
      <c r="V141" s="438"/>
      <c r="W141" s="47"/>
      <c r="X141" s="47"/>
      <c r="Y141" s="319"/>
      <c r="Z141" s="646"/>
      <c r="AA141" s="328">
        <f t="shared" si="19"/>
        <v>0</v>
      </c>
      <c r="AB141" s="298">
        <f t="shared" si="20"/>
        <v>0</v>
      </c>
      <c r="AC141" s="4"/>
      <c r="AD141" s="47"/>
      <c r="AE141" s="47"/>
      <c r="AF141" s="319"/>
      <c r="AG141" s="328">
        <f t="shared" si="21"/>
        <v>0</v>
      </c>
      <c r="AH141" s="4"/>
      <c r="AI141" s="255"/>
      <c r="AJ141" s="180"/>
      <c r="AK141" s="407"/>
      <c r="AQ141" s="180"/>
      <c r="AR141" s="180"/>
      <c r="AS141" s="180"/>
      <c r="AT141" s="180"/>
      <c r="AU141" s="180"/>
      <c r="AV141" s="180"/>
      <c r="AW141" s="180"/>
    </row>
    <row r="142" spans="1:49" s="193" customFormat="1">
      <c r="A142" s="180"/>
      <c r="B142" s="267" t="s">
        <v>361</v>
      </c>
      <c r="C142" s="47"/>
      <c r="D142" s="47"/>
      <c r="E142" s="319"/>
      <c r="F142" s="646"/>
      <c r="G142" s="438"/>
      <c r="H142" s="47"/>
      <c r="I142" s="47"/>
      <c r="J142" s="319"/>
      <c r="K142" s="646"/>
      <c r="L142" s="438"/>
      <c r="M142" s="47"/>
      <c r="N142" s="47"/>
      <c r="O142" s="319"/>
      <c r="P142" s="646"/>
      <c r="Q142" s="438"/>
      <c r="R142" s="47"/>
      <c r="S142" s="47"/>
      <c r="T142" s="319"/>
      <c r="U142" s="646"/>
      <c r="V142" s="438"/>
      <c r="W142" s="47"/>
      <c r="X142" s="47"/>
      <c r="Y142" s="319"/>
      <c r="Z142" s="646"/>
      <c r="AA142" s="328">
        <f t="shared" si="19"/>
        <v>0</v>
      </c>
      <c r="AB142" s="298">
        <f t="shared" si="20"/>
        <v>0</v>
      </c>
      <c r="AC142" s="4"/>
      <c r="AD142" s="47"/>
      <c r="AE142" s="47"/>
      <c r="AF142" s="319"/>
      <c r="AG142" s="328">
        <f t="shared" si="21"/>
        <v>0</v>
      </c>
      <c r="AH142" s="4"/>
      <c r="AI142" s="255"/>
      <c r="AJ142" s="180"/>
      <c r="AK142" s="407"/>
      <c r="AQ142" s="180"/>
      <c r="AR142" s="180"/>
      <c r="AS142" s="180"/>
      <c r="AT142" s="180"/>
      <c r="AU142" s="180"/>
      <c r="AV142" s="180"/>
      <c r="AW142" s="180"/>
    </row>
    <row r="143" spans="1:49" s="193" customFormat="1">
      <c r="A143" s="180"/>
      <c r="B143" s="267" t="s">
        <v>362</v>
      </c>
      <c r="C143" s="47"/>
      <c r="D143" s="47"/>
      <c r="E143" s="319">
        <v>2</v>
      </c>
      <c r="F143" s="646"/>
      <c r="G143" s="438"/>
      <c r="H143" s="47"/>
      <c r="I143" s="47"/>
      <c r="J143" s="319">
        <v>2</v>
      </c>
      <c r="K143" s="646"/>
      <c r="L143" s="438"/>
      <c r="M143" s="47"/>
      <c r="N143" s="47"/>
      <c r="O143" s="319">
        <v>0</v>
      </c>
      <c r="P143" s="646"/>
      <c r="Q143" s="438"/>
      <c r="R143" s="47"/>
      <c r="S143" s="47"/>
      <c r="T143" s="319">
        <v>0</v>
      </c>
      <c r="U143" s="646"/>
      <c r="V143" s="438"/>
      <c r="W143" s="47"/>
      <c r="X143" s="47"/>
      <c r="Y143" s="319">
        <v>4</v>
      </c>
      <c r="Z143" s="646"/>
      <c r="AA143" s="328">
        <f t="shared" si="19"/>
        <v>8</v>
      </c>
      <c r="AB143" s="298">
        <f t="shared" si="20"/>
        <v>0</v>
      </c>
      <c r="AC143" s="4"/>
      <c r="AD143" s="47"/>
      <c r="AE143" s="47"/>
      <c r="AF143" s="319"/>
      <c r="AG143" s="328">
        <f t="shared" si="21"/>
        <v>0</v>
      </c>
      <c r="AH143" s="4"/>
      <c r="AI143" s="255"/>
      <c r="AJ143" s="180"/>
      <c r="AK143" s="407"/>
      <c r="AQ143" s="180"/>
      <c r="AR143" s="180"/>
      <c r="AS143" s="180"/>
      <c r="AT143" s="180"/>
      <c r="AU143" s="180"/>
      <c r="AV143" s="180"/>
      <c r="AW143" s="180"/>
    </row>
    <row r="144" spans="1:49" s="193" customFormat="1">
      <c r="A144" s="180"/>
      <c r="B144" s="437" t="s">
        <v>355</v>
      </c>
      <c r="C144" s="47"/>
      <c r="D144" s="47"/>
      <c r="E144" s="319">
        <v>8</v>
      </c>
      <c r="F144" s="646"/>
      <c r="G144" s="438"/>
      <c r="H144" s="47"/>
      <c r="I144" s="47"/>
      <c r="J144" s="319">
        <v>8</v>
      </c>
      <c r="K144" s="646"/>
      <c r="L144" s="438"/>
      <c r="M144" s="47"/>
      <c r="N144" s="47"/>
      <c r="O144" s="319">
        <v>8</v>
      </c>
      <c r="P144" s="646"/>
      <c r="Q144" s="438"/>
      <c r="R144" s="47"/>
      <c r="S144" s="47"/>
      <c r="T144" s="319">
        <v>8</v>
      </c>
      <c r="U144" s="646"/>
      <c r="V144" s="438"/>
      <c r="W144" s="47"/>
      <c r="X144" s="47"/>
      <c r="Y144" s="319">
        <v>8</v>
      </c>
      <c r="Z144" s="646"/>
      <c r="AA144" s="328">
        <f t="shared" si="19"/>
        <v>40</v>
      </c>
      <c r="AB144" s="298">
        <f t="shared" si="20"/>
        <v>0</v>
      </c>
      <c r="AC144" s="4"/>
      <c r="AD144" s="47"/>
      <c r="AE144" s="47"/>
      <c r="AF144" s="319"/>
      <c r="AG144" s="328">
        <f t="shared" si="21"/>
        <v>0</v>
      </c>
      <c r="AH144" s="4"/>
      <c r="AI144" s="255"/>
      <c r="AJ144" s="180"/>
      <c r="AK144" s="407"/>
      <c r="AQ144" s="180"/>
      <c r="AR144" s="180"/>
      <c r="AS144" s="180"/>
      <c r="AT144" s="180"/>
      <c r="AU144" s="180"/>
      <c r="AV144" s="180"/>
      <c r="AW144" s="180"/>
    </row>
    <row r="145" spans="1:49" s="193" customFormat="1">
      <c r="A145" s="180"/>
      <c r="B145" s="437" t="s">
        <v>356</v>
      </c>
      <c r="C145" s="47"/>
      <c r="D145" s="47"/>
      <c r="E145" s="319"/>
      <c r="F145" s="646"/>
      <c r="G145" s="438"/>
      <c r="H145" s="47"/>
      <c r="I145" s="47"/>
      <c r="J145" s="319"/>
      <c r="K145" s="646"/>
      <c r="L145" s="438"/>
      <c r="M145" s="47"/>
      <c r="N145" s="47"/>
      <c r="O145" s="319"/>
      <c r="P145" s="646"/>
      <c r="Q145" s="438"/>
      <c r="R145" s="47"/>
      <c r="S145" s="47"/>
      <c r="T145" s="319"/>
      <c r="U145" s="646"/>
      <c r="V145" s="438"/>
      <c r="W145" s="47"/>
      <c r="X145" s="47"/>
      <c r="Y145" s="319"/>
      <c r="Z145" s="646"/>
      <c r="AA145" s="328">
        <f t="shared" si="19"/>
        <v>0</v>
      </c>
      <c r="AB145" s="298">
        <f t="shared" si="20"/>
        <v>0</v>
      </c>
      <c r="AC145" s="4"/>
      <c r="AD145" s="47"/>
      <c r="AE145" s="47"/>
      <c r="AF145" s="319"/>
      <c r="AG145" s="29">
        <f t="shared" si="21"/>
        <v>0</v>
      </c>
      <c r="AH145" s="4"/>
      <c r="AI145" s="255"/>
      <c r="AJ145" s="180"/>
      <c r="AK145" s="407"/>
      <c r="AQ145" s="180"/>
      <c r="AR145" s="180"/>
      <c r="AS145" s="180"/>
      <c r="AT145" s="180"/>
      <c r="AU145" s="180"/>
      <c r="AV145" s="180"/>
      <c r="AW145" s="180"/>
    </row>
    <row r="146" spans="1:49" s="193" customFormat="1">
      <c r="A146" s="180"/>
      <c r="B146" s="64" t="s">
        <v>61</v>
      </c>
      <c r="C146" s="31"/>
      <c r="D146" s="31"/>
      <c r="E146" s="439">
        <f>SUM(E116:E145)</f>
        <v>117.75</v>
      </c>
      <c r="F146" s="646">
        <f>SUM(F116:F145)</f>
        <v>1.25</v>
      </c>
      <c r="G146" s="31"/>
      <c r="H146" s="31"/>
      <c r="I146" s="31"/>
      <c r="J146" s="439">
        <f>SUM(J116:J145)</f>
        <v>137</v>
      </c>
      <c r="K146" s="646">
        <f>SUM(K116:K145)</f>
        <v>4.5</v>
      </c>
      <c r="L146" s="31"/>
      <c r="M146" s="31"/>
      <c r="N146" s="31"/>
      <c r="O146" s="439">
        <f>SUM(O116:O145)</f>
        <v>142</v>
      </c>
      <c r="P146" s="646">
        <f>SUM(P116:P145)</f>
        <v>0.5</v>
      </c>
      <c r="Q146" s="31"/>
      <c r="R146" s="31"/>
      <c r="S146" s="31"/>
      <c r="T146" s="439">
        <f>SUM(T116:T145)</f>
        <v>142</v>
      </c>
      <c r="U146" s="646">
        <f>SUM(U116:U145)</f>
        <v>0.5</v>
      </c>
      <c r="V146" s="31"/>
      <c r="W146" s="31"/>
      <c r="X146" s="31"/>
      <c r="Y146" s="439">
        <f>SUM(Y116:Y145)</f>
        <v>135</v>
      </c>
      <c r="Z146" s="646">
        <f>SUM(Z116:Z145)</f>
        <v>0.75</v>
      </c>
      <c r="AA146" s="370">
        <f>SUM(AA116:AA145)</f>
        <v>673.75</v>
      </c>
      <c r="AB146" s="370">
        <f>SUM(AB116:AB145)</f>
        <v>7.5</v>
      </c>
      <c r="AC146" s="4"/>
      <c r="AD146" s="64"/>
      <c r="AE146" s="64"/>
      <c r="AF146" s="370">
        <f>SUM(AF116:AF145)</f>
        <v>0</v>
      </c>
      <c r="AG146" s="370">
        <f>SUM(AG116:AG145)</f>
        <v>0</v>
      </c>
      <c r="AH146" s="4"/>
      <c r="AI146" s="255"/>
      <c r="AJ146" s="180"/>
      <c r="AK146" s="407"/>
      <c r="AQ146" s="180"/>
      <c r="AR146" s="180"/>
      <c r="AS146" s="180"/>
      <c r="AT146" s="180"/>
      <c r="AU146" s="180"/>
      <c r="AV146" s="180"/>
      <c r="AW146" s="180"/>
    </row>
    <row r="147" spans="1:49" s="193" customFormat="1">
      <c r="A147" s="180"/>
      <c r="B147" s="63" t="s">
        <v>64</v>
      </c>
      <c r="C147" s="47"/>
      <c r="D147" s="47"/>
      <c r="E147" s="319">
        <v>8</v>
      </c>
      <c r="F147" s="346">
        <v>1.25</v>
      </c>
      <c r="G147" s="613"/>
      <c r="H147" s="47"/>
      <c r="I147" s="47"/>
      <c r="J147" s="319">
        <v>8</v>
      </c>
      <c r="K147" s="346">
        <v>0.75</v>
      </c>
      <c r="L147" s="60"/>
      <c r="M147" s="47"/>
      <c r="N147" s="47"/>
      <c r="O147" s="319">
        <v>8</v>
      </c>
      <c r="P147" s="346">
        <v>0</v>
      </c>
      <c r="Q147" s="60"/>
      <c r="R147" s="47"/>
      <c r="S147" s="47"/>
      <c r="T147" s="319">
        <v>8</v>
      </c>
      <c r="U147" s="346">
        <v>0.5</v>
      </c>
      <c r="V147" s="60"/>
      <c r="W147" s="47"/>
      <c r="X147" s="47"/>
      <c r="Y147" s="319">
        <v>8</v>
      </c>
      <c r="Z147" s="346">
        <v>0.25</v>
      </c>
      <c r="AA147" s="28">
        <f>SUM(E147+J147+O147+T147+Y147)</f>
        <v>40</v>
      </c>
      <c r="AB147" s="296">
        <f>Z147+U147+P147+K147+F147</f>
        <v>2.75</v>
      </c>
      <c r="AC147" s="4"/>
      <c r="AD147" s="47" t="s">
        <v>29</v>
      </c>
      <c r="AE147" s="47" t="s">
        <v>29</v>
      </c>
      <c r="AF147" s="319"/>
      <c r="AG147" s="29">
        <f>AF147</f>
        <v>0</v>
      </c>
      <c r="AH147" s="4"/>
      <c r="AI147" s="255"/>
      <c r="AJ147" s="180"/>
      <c r="AK147" s="407"/>
      <c r="AQ147" s="180"/>
      <c r="AR147" s="180"/>
      <c r="AS147" s="180"/>
      <c r="AT147" s="180"/>
      <c r="AU147" s="180"/>
      <c r="AV147" s="180"/>
      <c r="AW147" s="180"/>
    </row>
    <row r="148" spans="1:49" s="193" customFormat="1">
      <c r="A148" s="180"/>
      <c r="B148" s="71" t="s">
        <v>66</v>
      </c>
      <c r="C148" s="371"/>
      <c r="D148" s="371"/>
      <c r="E148" s="71"/>
      <c r="F148" s="613"/>
      <c r="G148" s="71"/>
      <c r="H148" s="71"/>
      <c r="I148" s="71"/>
      <c r="J148" s="71"/>
      <c r="K148" s="613"/>
      <c r="L148" s="71"/>
      <c r="M148" s="71"/>
      <c r="N148" s="71"/>
      <c r="O148" s="71"/>
      <c r="P148" s="613"/>
      <c r="Q148" s="71"/>
      <c r="R148" s="71"/>
      <c r="S148" s="71"/>
      <c r="T148" s="71"/>
      <c r="U148" s="613"/>
      <c r="V148" s="71"/>
      <c r="W148" s="71"/>
      <c r="X148" s="71"/>
      <c r="Y148" s="71"/>
      <c r="Z148" s="613"/>
      <c r="AA148" s="370">
        <f>SUM(AA147:AA147)</f>
        <v>40</v>
      </c>
      <c r="AB148" s="370">
        <f>SUM(AB147:AB147)</f>
        <v>2.75</v>
      </c>
      <c r="AC148" s="4"/>
      <c r="AD148" s="180"/>
      <c r="AE148" s="180"/>
      <c r="AF148" s="180"/>
      <c r="AG148" s="370">
        <f>SUM(AG147:AG147)</f>
        <v>0</v>
      </c>
      <c r="AH148" s="4"/>
      <c r="AI148" s="255"/>
      <c r="AJ148" s="180"/>
      <c r="AQ148" s="180"/>
      <c r="AR148" s="180"/>
      <c r="AS148" s="180"/>
      <c r="AT148" s="180"/>
      <c r="AU148" s="180"/>
      <c r="AV148" s="180"/>
      <c r="AW148" s="180"/>
    </row>
    <row r="149" spans="1:49" s="193" customFormat="1">
      <c r="A149" s="180"/>
      <c r="B149" s="217" t="s">
        <v>67</v>
      </c>
      <c r="C149" s="207">
        <f>C150+C151</f>
        <v>62</v>
      </c>
      <c r="D149" s="207"/>
      <c r="E149" s="209"/>
      <c r="F149" s="209"/>
      <c r="G149" s="207"/>
      <c r="H149" s="209"/>
      <c r="I149" s="209"/>
      <c r="J149" s="209"/>
      <c r="K149" s="209"/>
      <c r="L149" s="207"/>
      <c r="M149" s="207"/>
      <c r="N149" s="207"/>
      <c r="O149" s="207"/>
      <c r="P149" s="209"/>
      <c r="Q149" s="207"/>
      <c r="R149" s="207"/>
      <c r="S149" s="207"/>
      <c r="T149" s="207"/>
      <c r="U149" s="209"/>
      <c r="V149" s="207"/>
      <c r="W149" s="207"/>
      <c r="X149" s="207"/>
      <c r="Y149" s="210"/>
      <c r="Z149" s="209"/>
      <c r="AA149" s="211"/>
      <c r="AB149" s="209"/>
      <c r="AC149" s="211"/>
      <c r="AD149" s="211"/>
      <c r="AE149" s="211"/>
      <c r="AF149" s="211"/>
      <c r="AG149" s="211"/>
      <c r="AH149" s="4"/>
      <c r="AI149" s="255"/>
      <c r="AJ149" s="180"/>
      <c r="AQ149" s="180"/>
      <c r="AR149" s="180"/>
      <c r="AS149" s="180"/>
      <c r="AT149" s="180"/>
      <c r="AU149" s="180"/>
      <c r="AV149" s="180"/>
      <c r="AW149" s="180"/>
    </row>
    <row r="150" spans="1:49" s="193" customFormat="1">
      <c r="A150" s="180"/>
      <c r="B150" s="238" t="s">
        <v>68</v>
      </c>
      <c r="C150" s="239">
        <f>12+12+12+12+12</f>
        <v>60</v>
      </c>
      <c r="D150" s="207"/>
      <c r="E150" s="209"/>
      <c r="F150" s="209"/>
      <c r="G150" s="207"/>
      <c r="H150" s="209"/>
      <c r="I150" s="209"/>
      <c r="J150" s="209"/>
      <c r="K150" s="209"/>
      <c r="L150" s="207"/>
      <c r="M150" s="207"/>
      <c r="N150" s="207"/>
      <c r="O150" s="207"/>
      <c r="P150" s="209"/>
      <c r="Q150" s="207"/>
      <c r="R150" s="207"/>
      <c r="S150" s="207"/>
      <c r="T150" s="207"/>
      <c r="U150" s="209"/>
      <c r="V150" s="207"/>
      <c r="W150" s="207"/>
      <c r="X150" s="207"/>
      <c r="Y150" s="210"/>
      <c r="Z150" s="209"/>
      <c r="AA150" s="211"/>
      <c r="AB150" s="209"/>
      <c r="AC150" s="211"/>
      <c r="AD150" s="211"/>
      <c r="AE150" s="211"/>
      <c r="AF150" s="211"/>
      <c r="AG150" s="211"/>
      <c r="AH150" s="4"/>
      <c r="AI150" s="255"/>
      <c r="AJ150" s="180"/>
      <c r="AQ150" s="180"/>
      <c r="AR150" s="180"/>
      <c r="AS150" s="180"/>
      <c r="AT150" s="180"/>
      <c r="AU150" s="180"/>
      <c r="AV150" s="180"/>
      <c r="AW150" s="180"/>
    </row>
    <row r="151" spans="1:49" s="4" customFormat="1">
      <c r="A151" s="180"/>
      <c r="B151" s="238" t="s">
        <v>69</v>
      </c>
      <c r="C151" s="239">
        <v>2</v>
      </c>
      <c r="D151" s="207"/>
      <c r="E151" s="209"/>
      <c r="F151" s="209"/>
      <c r="G151" s="207"/>
      <c r="H151" s="209"/>
      <c r="I151" s="209"/>
      <c r="J151" s="209"/>
      <c r="K151" s="209"/>
      <c r="L151" s="207"/>
      <c r="M151" s="207"/>
      <c r="N151" s="207"/>
      <c r="O151" s="207"/>
      <c r="P151" s="209"/>
      <c r="Q151" s="207"/>
      <c r="R151" s="207"/>
      <c r="S151" s="207"/>
      <c r="T151" s="207"/>
      <c r="U151" s="209"/>
      <c r="V151" s="207"/>
      <c r="W151" s="207"/>
      <c r="X151" s="207"/>
      <c r="Y151" s="210"/>
      <c r="Z151" s="209"/>
      <c r="AA151" s="211"/>
      <c r="AB151" s="209"/>
      <c r="AC151" s="211"/>
      <c r="AD151" s="211"/>
      <c r="AE151" s="211"/>
      <c r="AF151" s="211"/>
      <c r="AG151" s="211"/>
      <c r="AI151" s="255"/>
      <c r="AJ151" s="180"/>
      <c r="AK151" s="193"/>
      <c r="AL151" s="193"/>
      <c r="AM151" s="193"/>
      <c r="AN151" s="193"/>
      <c r="AO151" s="193"/>
      <c r="AP151" s="193"/>
      <c r="AQ151" s="180"/>
      <c r="AR151" s="180"/>
      <c r="AS151" s="180"/>
      <c r="AT151" s="180"/>
      <c r="AU151" s="180"/>
      <c r="AV151" s="180"/>
      <c r="AW151" s="180"/>
    </row>
    <row r="152" spans="1:49" s="180" customFormat="1">
      <c r="A152" s="313"/>
      <c r="E152" s="4"/>
      <c r="F152" s="644"/>
      <c r="G152" s="4"/>
      <c r="J152" s="4"/>
      <c r="K152" s="644"/>
      <c r="L152" s="4"/>
      <c r="O152" s="4"/>
      <c r="P152" s="644"/>
      <c r="Q152" s="4"/>
      <c r="T152" s="4"/>
      <c r="U152" s="644"/>
      <c r="V152" s="4"/>
      <c r="Y152" s="4"/>
      <c r="Z152" s="644"/>
      <c r="AA152" s="4"/>
      <c r="AB152" s="4"/>
      <c r="AC152" s="4"/>
      <c r="AH152" s="4"/>
      <c r="AI152" s="255"/>
      <c r="AK152" s="193"/>
      <c r="AL152" s="193"/>
      <c r="AM152" s="193"/>
      <c r="AN152" s="193"/>
      <c r="AO152" s="193"/>
      <c r="AP152" s="193"/>
    </row>
    <row r="153" spans="1:49">
      <c r="A153" s="180"/>
      <c r="B153" s="229"/>
      <c r="C153" s="230"/>
      <c r="D153" s="230"/>
      <c r="E153" s="232"/>
      <c r="F153" s="232"/>
      <c r="G153" s="230"/>
      <c r="H153" s="232"/>
      <c r="I153" s="232"/>
      <c r="J153" s="232"/>
      <c r="K153" s="232"/>
      <c r="L153" s="230"/>
      <c r="M153" s="230"/>
      <c r="N153" s="230"/>
      <c r="O153" s="230"/>
      <c r="P153" s="232"/>
      <c r="Q153" s="230"/>
      <c r="R153" s="230"/>
      <c r="S153" s="230"/>
      <c r="T153" s="230"/>
      <c r="U153" s="232"/>
      <c r="V153" s="230"/>
      <c r="W153" s="230"/>
      <c r="X153" s="230"/>
      <c r="Y153" s="233"/>
      <c r="Z153" s="232"/>
      <c r="AA153" s="234"/>
      <c r="AB153" s="232"/>
      <c r="AC153" s="373"/>
      <c r="AD153" s="236"/>
      <c r="AE153" s="255"/>
      <c r="AF153" s="255"/>
      <c r="AG153" s="255"/>
      <c r="AH153" s="255"/>
      <c r="AJ153" s="255"/>
      <c r="AK153" s="255"/>
      <c r="AL153" s="255"/>
      <c r="AM153" s="255"/>
      <c r="AN153" s="255"/>
      <c r="AO153" s="255"/>
      <c r="AP153" s="255"/>
      <c r="AQ153" s="255"/>
      <c r="AR153" s="255"/>
      <c r="AS153" s="255"/>
      <c r="AT153" s="255"/>
      <c r="AU153" s="255"/>
      <c r="AV153" s="255"/>
      <c r="AW153" s="255"/>
    </row>
    <row r="154" spans="1:49">
      <c r="B154" s="180"/>
      <c r="E154" s="4"/>
      <c r="F154" s="644"/>
      <c r="G154" s="4"/>
      <c r="J154" s="4"/>
      <c r="K154" s="644"/>
      <c r="L154" s="4"/>
      <c r="O154" s="4"/>
      <c r="P154" s="644"/>
      <c r="T154" s="4"/>
      <c r="U154" s="644"/>
      <c r="Y154" s="4"/>
      <c r="Z154" s="644"/>
      <c r="AA154" s="4"/>
      <c r="AB154" s="4"/>
      <c r="AC154" s="4"/>
      <c r="AK154" s="180"/>
      <c r="AL154" s="180"/>
      <c r="AM154" s="180"/>
      <c r="AN154" s="180"/>
      <c r="AO154" s="180"/>
      <c r="AP154" s="180"/>
    </row>
    <row r="155" spans="1:49">
      <c r="A155" s="228"/>
      <c r="B155" s="1518" t="s">
        <v>18</v>
      </c>
      <c r="C155" s="1519">
        <v>45565</v>
      </c>
      <c r="D155" s="1519"/>
      <c r="E155" s="1519"/>
      <c r="F155" s="1519"/>
      <c r="G155" s="365"/>
      <c r="H155" s="1519">
        <v>45566</v>
      </c>
      <c r="I155" s="1519"/>
      <c r="J155" s="1519"/>
      <c r="K155" s="1519"/>
      <c r="L155" s="365"/>
      <c r="M155" s="1519">
        <v>45567</v>
      </c>
      <c r="N155" s="1519"/>
      <c r="O155" s="1519"/>
      <c r="P155" s="1519"/>
      <c r="Q155" s="365"/>
      <c r="R155" s="1519">
        <v>45568</v>
      </c>
      <c r="S155" s="1519"/>
      <c r="T155" s="1519"/>
      <c r="U155" s="1519"/>
      <c r="V155" s="365"/>
      <c r="W155" s="1519">
        <v>45569</v>
      </c>
      <c r="X155" s="1519"/>
      <c r="Y155" s="1519"/>
      <c r="Z155" s="1519"/>
      <c r="AA155" s="1517" t="s">
        <v>19</v>
      </c>
      <c r="AB155" s="1517" t="s">
        <v>20</v>
      </c>
      <c r="AC155" s="4"/>
      <c r="AD155" s="1519">
        <v>45570</v>
      </c>
      <c r="AE155" s="1519"/>
      <c r="AF155" s="1519"/>
      <c r="AG155" s="1517" t="s">
        <v>21</v>
      </c>
      <c r="AI155" s="368"/>
      <c r="AK155" s="194" t="s">
        <v>84</v>
      </c>
      <c r="AL155" s="366"/>
      <c r="AM155" s="366"/>
      <c r="AN155" s="366"/>
      <c r="AO155" s="366"/>
      <c r="AP155" s="366"/>
    </row>
    <row r="156" spans="1:49">
      <c r="A156" s="180"/>
      <c r="B156" s="1518"/>
      <c r="C156" s="21" t="s">
        <v>23</v>
      </c>
      <c r="D156" s="21" t="s">
        <v>24</v>
      </c>
      <c r="E156" s="205" t="s">
        <v>25</v>
      </c>
      <c r="F156" s="645" t="s">
        <v>14</v>
      </c>
      <c r="G156" s="4"/>
      <c r="H156" s="21" t="s">
        <v>23</v>
      </c>
      <c r="I156" s="21" t="s">
        <v>24</v>
      </c>
      <c r="J156" s="18" t="s">
        <v>25</v>
      </c>
      <c r="K156" s="645" t="s">
        <v>14</v>
      </c>
      <c r="L156" s="4"/>
      <c r="M156" s="21" t="s">
        <v>23</v>
      </c>
      <c r="N156" s="21" t="s">
        <v>24</v>
      </c>
      <c r="O156" s="18" t="s">
        <v>25</v>
      </c>
      <c r="P156" s="645" t="s">
        <v>14</v>
      </c>
      <c r="R156" s="21" t="s">
        <v>23</v>
      </c>
      <c r="S156" s="21" t="s">
        <v>24</v>
      </c>
      <c r="T156" s="18" t="s">
        <v>25</v>
      </c>
      <c r="U156" s="645" t="s">
        <v>14</v>
      </c>
      <c r="W156" s="21" t="s">
        <v>23</v>
      </c>
      <c r="X156" s="21" t="s">
        <v>24</v>
      </c>
      <c r="Y156" s="18" t="s">
        <v>25</v>
      </c>
      <c r="Z156" s="645" t="s">
        <v>14</v>
      </c>
      <c r="AA156" s="1517"/>
      <c r="AB156" s="1517"/>
      <c r="AC156" s="4"/>
      <c r="AD156" s="21" t="s">
        <v>23</v>
      </c>
      <c r="AE156" s="21" t="s">
        <v>24</v>
      </c>
      <c r="AF156" s="18" t="s">
        <v>25</v>
      </c>
      <c r="AG156" s="1517"/>
      <c r="AI156" s="368"/>
      <c r="AJ156" s="367"/>
      <c r="AK156" s="188" t="s">
        <v>26</v>
      </c>
      <c r="AL156" s="196">
        <f>AA187</f>
        <v>687.6</v>
      </c>
      <c r="AM156" s="510">
        <v>39.14</v>
      </c>
      <c r="AN156" s="510">
        <f t="shared" ref="AN156:AN158" si="22">AL156*AM156</f>
        <v>26912.664000000001</v>
      </c>
      <c r="AQ156" s="367"/>
      <c r="AR156" s="367"/>
      <c r="AS156" s="367"/>
      <c r="AT156" s="367"/>
      <c r="AU156" s="367"/>
      <c r="AV156" s="367"/>
      <c r="AW156" s="367"/>
    </row>
    <row r="157" spans="1:49">
      <c r="A157" s="180"/>
      <c r="B157" s="640" t="s">
        <v>957</v>
      </c>
      <c r="C157" s="643"/>
      <c r="D157" s="519"/>
      <c r="E157" s="520"/>
      <c r="F157" s="647"/>
      <c r="G157" s="521"/>
      <c r="H157" s="519"/>
      <c r="I157" s="519"/>
      <c r="J157" s="520"/>
      <c r="K157" s="647"/>
      <c r="L157" s="521"/>
      <c r="M157" s="519"/>
      <c r="N157" s="519"/>
      <c r="O157" s="520"/>
      <c r="P157" s="647"/>
      <c r="Q157" s="521"/>
      <c r="R157" s="519"/>
      <c r="S157" s="519"/>
      <c r="T157" s="520"/>
      <c r="U157" s="647"/>
      <c r="V157" s="521"/>
      <c r="W157" s="519"/>
      <c r="X157" s="519"/>
      <c r="Y157" s="520"/>
      <c r="Z157" s="646"/>
      <c r="AA157" s="328">
        <f t="shared" ref="AA157:AA158" si="23">(E157+J157+O157+T157+Y157)</f>
        <v>0</v>
      </c>
      <c r="AB157" s="298">
        <f t="shared" ref="AB157:AB158" si="24">Z157+U157+P157+K157+F157</f>
        <v>0</v>
      </c>
      <c r="AC157" s="4"/>
      <c r="AD157" s="587"/>
      <c r="AE157" s="531"/>
      <c r="AF157" s="319"/>
      <c r="AG157" s="328">
        <f>AF157</f>
        <v>0</v>
      </c>
      <c r="AI157" s="368"/>
      <c r="AJ157" s="367"/>
      <c r="AK157" s="188" t="s">
        <v>30</v>
      </c>
      <c r="AL157" s="196">
        <f>AB187</f>
        <v>16.350000000000001</v>
      </c>
      <c r="AM157" s="511">
        <f>AM156*1.5</f>
        <v>58.71</v>
      </c>
      <c r="AN157" s="510">
        <f t="shared" si="22"/>
        <v>959.90850000000012</v>
      </c>
      <c r="AQ157" s="367"/>
      <c r="AR157" s="367"/>
      <c r="AS157" s="367"/>
      <c r="AT157" s="367"/>
      <c r="AU157" s="367"/>
      <c r="AV157" s="367"/>
      <c r="AW157" s="367"/>
    </row>
    <row r="158" spans="1:49">
      <c r="A158" s="367"/>
      <c r="B158" s="67" t="s">
        <v>958</v>
      </c>
      <c r="C158" s="441" t="s">
        <v>75</v>
      </c>
      <c r="D158" s="47">
        <v>0.25</v>
      </c>
      <c r="E158" s="319">
        <v>8</v>
      </c>
      <c r="F158" s="646"/>
      <c r="G158" s="4"/>
      <c r="H158" s="441" t="s">
        <v>249</v>
      </c>
      <c r="I158" s="47">
        <v>0.25</v>
      </c>
      <c r="J158" s="319">
        <v>7</v>
      </c>
      <c r="K158" s="646"/>
      <c r="L158" s="4"/>
      <c r="M158" s="441" t="s">
        <v>75</v>
      </c>
      <c r="N158" s="47">
        <v>0.25</v>
      </c>
      <c r="O158" s="319">
        <v>8</v>
      </c>
      <c r="P158" s="646"/>
      <c r="R158" s="441" t="s">
        <v>75</v>
      </c>
      <c r="S158" s="47">
        <v>0.25</v>
      </c>
      <c r="T158" s="319">
        <v>8</v>
      </c>
      <c r="U158" s="646"/>
      <c r="W158" s="5">
        <v>0</v>
      </c>
      <c r="X158" s="5">
        <v>0</v>
      </c>
      <c r="Y158" s="319">
        <v>0</v>
      </c>
      <c r="Z158" s="646"/>
      <c r="AA158" s="328">
        <f t="shared" si="23"/>
        <v>31</v>
      </c>
      <c r="AB158" s="298">
        <f t="shared" si="24"/>
        <v>0</v>
      </c>
      <c r="AC158" s="4"/>
      <c r="AF158" s="319"/>
      <c r="AG158" s="328">
        <f t="shared" ref="AG158" si="25">AF158</f>
        <v>0</v>
      </c>
      <c r="AH158" s="175"/>
      <c r="AI158" s="402"/>
      <c r="AJ158" s="367"/>
      <c r="AK158" s="188" t="s">
        <v>32</v>
      </c>
      <c r="AL158" s="196">
        <f>AG187</f>
        <v>0</v>
      </c>
      <c r="AM158" s="510">
        <v>58.71</v>
      </c>
      <c r="AN158" s="510">
        <f t="shared" si="22"/>
        <v>0</v>
      </c>
      <c r="AQ158" s="367"/>
      <c r="AR158" s="367"/>
      <c r="AS158" s="367"/>
      <c r="AT158" s="367"/>
      <c r="AU158" s="367"/>
      <c r="AV158" s="367"/>
      <c r="AW158" s="367"/>
    </row>
    <row r="159" spans="1:49">
      <c r="A159" s="367"/>
      <c r="B159" s="47" t="s">
        <v>515</v>
      </c>
      <c r="C159" s="441" t="s">
        <v>125</v>
      </c>
      <c r="D159" s="47">
        <v>0.20833333333333334</v>
      </c>
      <c r="E159" s="319">
        <v>8</v>
      </c>
      <c r="F159" s="646"/>
      <c r="G159" s="4"/>
      <c r="H159" s="441" t="s">
        <v>960</v>
      </c>
      <c r="I159" s="47"/>
      <c r="J159" s="319">
        <v>0</v>
      </c>
      <c r="K159" s="646"/>
      <c r="L159" s="4"/>
      <c r="M159" s="47">
        <v>0.35416666666666669</v>
      </c>
      <c r="N159" s="47">
        <v>0.20833333333333334</v>
      </c>
      <c r="O159" s="319">
        <v>8</v>
      </c>
      <c r="P159" s="646"/>
      <c r="R159" s="47">
        <v>0.35416666666666669</v>
      </c>
      <c r="S159" s="47">
        <v>0.20833333333333334</v>
      </c>
      <c r="T159" s="319">
        <v>7.5</v>
      </c>
      <c r="U159" s="646"/>
      <c r="W159" s="47">
        <v>0.35416666666666669</v>
      </c>
      <c r="X159" s="47">
        <v>0.20833333333333334</v>
      </c>
      <c r="Y159" s="319">
        <v>7.5</v>
      </c>
      <c r="Z159" s="646"/>
      <c r="AA159" s="328">
        <f t="shared" ref="AA159:AA186" si="26">(E159+J159+O159+T159+Y159)</f>
        <v>31</v>
      </c>
      <c r="AB159" s="298">
        <f t="shared" ref="AB159:AB186" si="27">Z159+U159+P159+K159+F159</f>
        <v>0</v>
      </c>
      <c r="AC159" s="175"/>
      <c r="AD159" s="47"/>
      <c r="AE159" s="47"/>
      <c r="AF159" s="319"/>
      <c r="AG159" s="328">
        <f t="shared" ref="AG159:AG186" si="28">AF159</f>
        <v>0</v>
      </c>
      <c r="AH159" s="175"/>
      <c r="AJ159" s="401"/>
      <c r="AK159" s="403" t="s">
        <v>213</v>
      </c>
      <c r="AL159" s="404">
        <f>AA189</f>
        <v>40</v>
      </c>
      <c r="AM159" s="510">
        <v>51.5</v>
      </c>
      <c r="AN159" s="510">
        <f>AL159*AM159</f>
        <v>2060</v>
      </c>
      <c r="AO159" s="405"/>
      <c r="AP159" s="405"/>
      <c r="AQ159" s="367"/>
      <c r="AR159" s="401"/>
      <c r="AS159" s="401"/>
      <c r="AT159" s="401"/>
      <c r="AU159" s="401"/>
      <c r="AV159" s="401"/>
      <c r="AW159" s="401"/>
    </row>
    <row r="160" spans="1:49" ht="14.25" customHeight="1">
      <c r="A160" s="367"/>
      <c r="B160" s="638" t="s">
        <v>962</v>
      </c>
      <c r="C160" s="441" t="s">
        <v>125</v>
      </c>
      <c r="D160" s="47">
        <v>0.20833333333333334</v>
      </c>
      <c r="E160" s="319">
        <v>8</v>
      </c>
      <c r="F160" s="646"/>
      <c r="G160" s="4"/>
      <c r="H160" s="441" t="s">
        <v>960</v>
      </c>
      <c r="I160" s="47"/>
      <c r="J160" s="319">
        <v>0</v>
      </c>
      <c r="K160" s="646"/>
      <c r="L160" s="4"/>
      <c r="M160" s="47">
        <v>0.375</v>
      </c>
      <c r="N160" s="47">
        <v>0.20833333333333334</v>
      </c>
      <c r="O160" s="319">
        <v>8</v>
      </c>
      <c r="P160" s="646"/>
      <c r="R160" s="47">
        <v>0.35416666666666669</v>
      </c>
      <c r="S160" s="47">
        <v>0.20833333333333334</v>
      </c>
      <c r="T160" s="319">
        <v>7.5</v>
      </c>
      <c r="U160" s="646"/>
      <c r="W160" s="47">
        <v>0.34375</v>
      </c>
      <c r="X160" s="47">
        <v>0.20833333333333334</v>
      </c>
      <c r="Y160" s="319">
        <v>7.75</v>
      </c>
      <c r="Z160" s="646"/>
      <c r="AA160" s="328">
        <f t="shared" si="26"/>
        <v>31.25</v>
      </c>
      <c r="AB160" s="298">
        <f t="shared" si="27"/>
        <v>0</v>
      </c>
      <c r="AC160" s="4"/>
      <c r="AD160" s="47"/>
      <c r="AE160" s="47"/>
      <c r="AF160" s="319"/>
      <c r="AG160" s="328">
        <f t="shared" si="28"/>
        <v>0</v>
      </c>
      <c r="AH160" s="175"/>
      <c r="AJ160" s="401"/>
      <c r="AK160" s="188" t="s">
        <v>36</v>
      </c>
      <c r="AL160" s="196">
        <f>AB189</f>
        <v>2.75</v>
      </c>
      <c r="AM160" s="510">
        <f>AM159*1.5</f>
        <v>77.25</v>
      </c>
      <c r="AN160" s="510">
        <f>AL160*AM160</f>
        <v>212.4375</v>
      </c>
      <c r="AO160" s="405"/>
      <c r="AP160" s="405"/>
      <c r="AQ160" s="367"/>
      <c r="AR160" s="401"/>
      <c r="AS160" s="401"/>
      <c r="AT160" s="401"/>
      <c r="AU160" s="401"/>
      <c r="AV160" s="401"/>
      <c r="AW160" s="401"/>
    </row>
    <row r="161" spans="1:49">
      <c r="A161" s="367"/>
      <c r="B161" s="436" t="s">
        <v>967</v>
      </c>
      <c r="C161" s="441" t="s">
        <v>960</v>
      </c>
      <c r="D161" s="47"/>
      <c r="E161" s="319">
        <v>0</v>
      </c>
      <c r="F161" s="646"/>
      <c r="G161" s="4"/>
      <c r="H161" s="441" t="s">
        <v>75</v>
      </c>
      <c r="I161" s="47">
        <v>0.25</v>
      </c>
      <c r="J161" s="319">
        <v>8</v>
      </c>
      <c r="K161" s="646"/>
      <c r="L161" s="4"/>
      <c r="M161" s="47">
        <v>0.375</v>
      </c>
      <c r="N161" s="47">
        <v>0.25</v>
      </c>
      <c r="O161" s="319">
        <v>8</v>
      </c>
      <c r="P161" s="646"/>
      <c r="R161" s="47">
        <v>0.25</v>
      </c>
      <c r="S161" s="47">
        <v>0.16666666666666666</v>
      </c>
      <c r="T161" s="319">
        <v>8</v>
      </c>
      <c r="U161" s="646">
        <v>1</v>
      </c>
      <c r="W161" s="47">
        <v>0.375</v>
      </c>
      <c r="X161" s="47">
        <v>0.25</v>
      </c>
      <c r="Y161" s="319">
        <v>8</v>
      </c>
      <c r="Z161" s="646"/>
      <c r="AA161" s="328">
        <f t="shared" si="26"/>
        <v>32</v>
      </c>
      <c r="AB161" s="298">
        <f t="shared" si="27"/>
        <v>1</v>
      </c>
      <c r="AC161" s="4"/>
      <c r="AD161" s="47"/>
      <c r="AE161" s="47"/>
      <c r="AF161" s="319"/>
      <c r="AG161" s="328">
        <f t="shared" si="28"/>
        <v>0</v>
      </c>
      <c r="AH161" s="175"/>
      <c r="AI161" s="368"/>
      <c r="AK161" s="188" t="s">
        <v>38</v>
      </c>
      <c r="AL161" s="196">
        <f>AG189</f>
        <v>0</v>
      </c>
      <c r="AM161" s="510">
        <v>77.25</v>
      </c>
      <c r="AN161" s="510">
        <f>AL161*AM161</f>
        <v>0</v>
      </c>
      <c r="AQ161" s="367"/>
    </row>
    <row r="162" spans="1:49" s="4" customFormat="1" ht="14.25" thickBot="1">
      <c r="A162" s="180"/>
      <c r="B162" s="436" t="s">
        <v>972</v>
      </c>
      <c r="C162" s="441" t="s">
        <v>75</v>
      </c>
      <c r="D162" s="47">
        <v>0.25</v>
      </c>
      <c r="E162" s="319">
        <v>8</v>
      </c>
      <c r="F162" s="646"/>
      <c r="H162" s="441" t="s">
        <v>75</v>
      </c>
      <c r="I162" s="47">
        <v>0.25</v>
      </c>
      <c r="J162" s="319">
        <v>8</v>
      </c>
      <c r="K162" s="646"/>
      <c r="M162" s="47">
        <v>0.375</v>
      </c>
      <c r="N162" s="47">
        <v>0.25</v>
      </c>
      <c r="O162" s="319">
        <v>8</v>
      </c>
      <c r="P162" s="646"/>
      <c r="R162" s="47">
        <v>0.25</v>
      </c>
      <c r="S162" s="47">
        <v>0.25</v>
      </c>
      <c r="T162" s="319">
        <v>8</v>
      </c>
      <c r="U162" s="646">
        <v>3</v>
      </c>
      <c r="W162" s="47">
        <v>0.375</v>
      </c>
      <c r="X162" s="47">
        <v>0.25</v>
      </c>
      <c r="Y162" s="319">
        <v>8</v>
      </c>
      <c r="Z162" s="646"/>
      <c r="AA162" s="328">
        <f t="shared" si="26"/>
        <v>40</v>
      </c>
      <c r="AB162" s="298">
        <f t="shared" si="27"/>
        <v>3</v>
      </c>
      <c r="AD162" s="47"/>
      <c r="AE162" s="47"/>
      <c r="AF162" s="319"/>
      <c r="AG162" s="328">
        <f t="shared" si="28"/>
        <v>0</v>
      </c>
      <c r="AI162" s="255"/>
      <c r="AJ162" s="180"/>
      <c r="AK162" s="188" t="s">
        <v>41</v>
      </c>
      <c r="AL162" s="196">
        <f>C190</f>
        <v>61</v>
      </c>
      <c r="AM162" s="512">
        <v>46.35</v>
      </c>
      <c r="AN162" s="512">
        <f>AL162*AM162</f>
        <v>2827.35</v>
      </c>
      <c r="AO162" s="193"/>
      <c r="AP162" s="193"/>
      <c r="AQ162" s="367"/>
      <c r="AR162" s="180"/>
      <c r="AS162" s="180"/>
      <c r="AT162" s="180"/>
      <c r="AU162" s="180"/>
      <c r="AV162" s="180"/>
      <c r="AW162" s="180"/>
    </row>
    <row r="163" spans="1:49" s="4" customFormat="1" ht="14.25" thickTop="1">
      <c r="A163" s="180"/>
      <c r="B163" s="47" t="s">
        <v>974</v>
      </c>
      <c r="C163" s="441" t="s">
        <v>125</v>
      </c>
      <c r="D163" s="47">
        <v>0.20833333333333334</v>
      </c>
      <c r="E163" s="319">
        <v>8</v>
      </c>
      <c r="F163" s="646"/>
      <c r="H163" s="441" t="s">
        <v>125</v>
      </c>
      <c r="I163" s="47">
        <v>0.20833333333333334</v>
      </c>
      <c r="J163" s="319">
        <v>8</v>
      </c>
      <c r="K163" s="646"/>
      <c r="M163" s="47">
        <v>0.33333333333333331</v>
      </c>
      <c r="N163" s="47">
        <v>0.20833333333333334</v>
      </c>
      <c r="O163" s="319">
        <v>8</v>
      </c>
      <c r="P163" s="646"/>
      <c r="R163" s="47">
        <v>0.33333333333333331</v>
      </c>
      <c r="S163" s="47">
        <v>0.20833333333333334</v>
      </c>
      <c r="T163" s="319">
        <v>8</v>
      </c>
      <c r="U163" s="646"/>
      <c r="W163" s="47">
        <v>0.33333333333333331</v>
      </c>
      <c r="X163" s="47">
        <v>0.20833333333333334</v>
      </c>
      <c r="Y163" s="319">
        <v>8</v>
      </c>
      <c r="Z163" s="646"/>
      <c r="AA163" s="328">
        <f t="shared" si="26"/>
        <v>40</v>
      </c>
      <c r="AB163" s="298">
        <f t="shared" si="27"/>
        <v>0</v>
      </c>
      <c r="AD163" s="47"/>
      <c r="AE163" s="47"/>
      <c r="AF163" s="319"/>
      <c r="AG163" s="328">
        <f t="shared" si="28"/>
        <v>0</v>
      </c>
      <c r="AI163" s="255"/>
      <c r="AJ163" s="180"/>
      <c r="AK163" s="193"/>
      <c r="AL163" s="193"/>
      <c r="AM163" s="193"/>
      <c r="AN163" s="510">
        <f>SUM(AN156:AN162)</f>
        <v>32972.36</v>
      </c>
      <c r="AO163" s="193"/>
      <c r="AP163" s="193"/>
      <c r="AQ163" s="367"/>
      <c r="AR163" s="180"/>
      <c r="AS163" s="180"/>
      <c r="AT163" s="180"/>
      <c r="AU163" s="180"/>
      <c r="AV163" s="180"/>
      <c r="AW163" s="180"/>
    </row>
    <row r="164" spans="1:49" s="4" customFormat="1" ht="13.15" customHeight="1">
      <c r="A164" s="180"/>
      <c r="B164" s="640" t="s">
        <v>390</v>
      </c>
      <c r="C164" s="643"/>
      <c r="D164" s="653"/>
      <c r="E164" s="520"/>
      <c r="F164" s="647"/>
      <c r="G164" s="521"/>
      <c r="H164" s="519"/>
      <c r="I164" s="653"/>
      <c r="J164" s="520"/>
      <c r="K164" s="647"/>
      <c r="L164" s="521"/>
      <c r="M164" s="519"/>
      <c r="N164" s="653"/>
      <c r="O164" s="520"/>
      <c r="P164" s="647"/>
      <c r="Q164" s="521"/>
      <c r="R164" s="519"/>
      <c r="S164" s="653"/>
      <c r="T164" s="520"/>
      <c r="U164" s="647"/>
      <c r="V164" s="521"/>
      <c r="W164" s="519"/>
      <c r="X164" s="653"/>
      <c r="Y164" s="520"/>
      <c r="Z164" s="646"/>
      <c r="AA164" s="328">
        <f t="shared" si="26"/>
        <v>0</v>
      </c>
      <c r="AB164" s="298">
        <f t="shared" si="27"/>
        <v>0</v>
      </c>
      <c r="AD164" s="47"/>
      <c r="AE164" s="47"/>
      <c r="AF164" s="319"/>
      <c r="AG164" s="328">
        <f t="shared" si="28"/>
        <v>0</v>
      </c>
      <c r="AI164" s="255"/>
      <c r="AJ164" s="180"/>
      <c r="AK164" s="193"/>
      <c r="AL164" s="193"/>
      <c r="AM164" s="193"/>
      <c r="AN164" s="193"/>
      <c r="AO164" s="193"/>
      <c r="AP164" s="193"/>
      <c r="AQ164" s="367"/>
      <c r="AR164" s="180"/>
      <c r="AS164" s="180"/>
      <c r="AT164" s="180"/>
      <c r="AU164" s="180"/>
      <c r="AV164" s="180"/>
      <c r="AW164" s="180"/>
    </row>
    <row r="165" spans="1:49" s="4" customFormat="1">
      <c r="A165" s="180"/>
      <c r="B165" s="639" t="s">
        <v>975</v>
      </c>
      <c r="C165" s="643"/>
      <c r="D165" s="653"/>
      <c r="E165" s="520"/>
      <c r="F165" s="647"/>
      <c r="G165" s="521"/>
      <c r="H165" s="519"/>
      <c r="I165" s="653"/>
      <c r="J165" s="520"/>
      <c r="K165" s="647"/>
      <c r="L165" s="521"/>
      <c r="M165" s="519"/>
      <c r="N165" s="653"/>
      <c r="O165" s="520"/>
      <c r="P165" s="647"/>
      <c r="Q165" s="521"/>
      <c r="R165" s="519"/>
      <c r="S165" s="653"/>
      <c r="T165" s="520"/>
      <c r="U165" s="647"/>
      <c r="V165" s="521"/>
      <c r="W165" s="519"/>
      <c r="X165" s="653"/>
      <c r="Y165" s="520"/>
      <c r="Z165" s="646"/>
      <c r="AA165" s="328">
        <f t="shared" si="26"/>
        <v>0</v>
      </c>
      <c r="AB165" s="298">
        <f t="shared" si="27"/>
        <v>0</v>
      </c>
      <c r="AD165" s="47"/>
      <c r="AE165" s="47"/>
      <c r="AF165" s="319"/>
      <c r="AG165" s="328">
        <f t="shared" si="28"/>
        <v>0</v>
      </c>
      <c r="AI165" s="255"/>
      <c r="AJ165" s="180"/>
      <c r="AK165" s="193"/>
      <c r="AL165" s="193"/>
      <c r="AM165" s="193"/>
      <c r="AN165" s="193"/>
      <c r="AO165" s="193"/>
      <c r="AP165" s="193"/>
      <c r="AQ165" s="180"/>
      <c r="AR165" s="180"/>
      <c r="AS165" s="180"/>
      <c r="AT165" s="180"/>
      <c r="AU165" s="180"/>
      <c r="AV165" s="180"/>
      <c r="AW165" s="180"/>
    </row>
    <row r="166" spans="1:49" s="4" customFormat="1">
      <c r="A166" s="180"/>
      <c r="B166" s="47" t="s">
        <v>517</v>
      </c>
      <c r="C166" s="441" t="s">
        <v>125</v>
      </c>
      <c r="D166" s="47">
        <v>0.20833333333333334</v>
      </c>
      <c r="E166" s="319">
        <v>8</v>
      </c>
      <c r="F166" s="646"/>
      <c r="H166" s="441" t="s">
        <v>125</v>
      </c>
      <c r="I166" s="47">
        <v>0.20833333333333334</v>
      </c>
      <c r="J166" s="319">
        <v>8</v>
      </c>
      <c r="K166" s="646"/>
      <c r="M166" s="47">
        <v>0.33333333333333331</v>
      </c>
      <c r="N166" s="47">
        <v>0.20833333333333334</v>
      </c>
      <c r="O166" s="319">
        <v>8</v>
      </c>
      <c r="P166" s="646"/>
      <c r="R166" s="47">
        <v>0.33333333333333331</v>
      </c>
      <c r="S166" s="47">
        <v>0.1875</v>
      </c>
      <c r="T166" s="319">
        <v>7.5</v>
      </c>
      <c r="U166" s="646"/>
      <c r="W166" s="47">
        <v>0.33333333333333331</v>
      </c>
      <c r="X166" s="47">
        <v>0.20833333333333334</v>
      </c>
      <c r="Y166" s="319">
        <v>8</v>
      </c>
      <c r="Z166" s="646"/>
      <c r="AA166" s="328">
        <f t="shared" si="26"/>
        <v>39.5</v>
      </c>
      <c r="AB166" s="298">
        <f t="shared" si="27"/>
        <v>0</v>
      </c>
      <c r="AD166" s="47"/>
      <c r="AE166" s="47"/>
      <c r="AF166" s="319"/>
      <c r="AG166" s="328">
        <f t="shared" si="28"/>
        <v>0</v>
      </c>
      <c r="AI166" s="255"/>
      <c r="AJ166" s="180"/>
      <c r="AK166" s="193"/>
      <c r="AL166" s="193"/>
      <c r="AM166" s="193"/>
      <c r="AN166" s="193"/>
      <c r="AO166" s="193"/>
      <c r="AP166" s="193"/>
      <c r="AQ166" s="180"/>
      <c r="AR166" s="180"/>
      <c r="AS166" s="180"/>
      <c r="AT166" s="180"/>
      <c r="AU166" s="180"/>
      <c r="AV166" s="180"/>
      <c r="AW166" s="180"/>
    </row>
    <row r="167" spans="1:49" s="4" customFormat="1">
      <c r="A167" s="180"/>
      <c r="B167" s="47" t="s">
        <v>981</v>
      </c>
      <c r="C167" s="441" t="s">
        <v>125</v>
      </c>
      <c r="D167" s="47">
        <v>0.20833333333333334</v>
      </c>
      <c r="E167" s="319">
        <v>8</v>
      </c>
      <c r="F167" s="646"/>
      <c r="H167" s="441" t="s">
        <v>125</v>
      </c>
      <c r="I167" s="47">
        <v>0.20833333333333334</v>
      </c>
      <c r="J167" s="319">
        <v>8</v>
      </c>
      <c r="K167" s="646"/>
      <c r="M167" s="47">
        <v>0.33333333333333331</v>
      </c>
      <c r="N167" s="47">
        <v>0.20833333333333334</v>
      </c>
      <c r="O167" s="319">
        <v>8</v>
      </c>
      <c r="P167" s="646"/>
      <c r="R167" s="47">
        <v>0.33333333333333331</v>
      </c>
      <c r="S167" s="47">
        <v>0.1875</v>
      </c>
      <c r="T167" s="319">
        <v>7.5</v>
      </c>
      <c r="U167" s="646"/>
      <c r="W167" s="47">
        <v>0.33333333333333331</v>
      </c>
      <c r="X167" s="47">
        <v>0.20833333333333334</v>
      </c>
      <c r="Y167" s="319">
        <v>8</v>
      </c>
      <c r="Z167" s="646"/>
      <c r="AA167" s="328">
        <f t="shared" si="26"/>
        <v>39.5</v>
      </c>
      <c r="AB167" s="298">
        <f t="shared" si="27"/>
        <v>0</v>
      </c>
      <c r="AD167" s="47"/>
      <c r="AE167" s="47"/>
      <c r="AF167" s="319"/>
      <c r="AG167" s="328">
        <f t="shared" si="28"/>
        <v>0</v>
      </c>
      <c r="AI167" s="255"/>
      <c r="AJ167" s="180"/>
      <c r="AK167" s="193"/>
      <c r="AL167" s="193"/>
      <c r="AM167" s="193"/>
      <c r="AN167" s="193"/>
      <c r="AO167" s="193"/>
      <c r="AP167" s="193"/>
      <c r="AQ167" s="180"/>
      <c r="AR167" s="180"/>
      <c r="AS167" s="180"/>
      <c r="AT167" s="180"/>
      <c r="AU167" s="180"/>
      <c r="AV167" s="180"/>
      <c r="AW167" s="180"/>
    </row>
    <row r="168" spans="1:49" s="4" customFormat="1">
      <c r="A168" s="180"/>
      <c r="B168" s="67" t="s">
        <v>976</v>
      </c>
      <c r="C168" s="441" t="s">
        <v>75</v>
      </c>
      <c r="D168" s="47">
        <v>0.25</v>
      </c>
      <c r="E168" s="319">
        <v>8</v>
      </c>
      <c r="F168" s="646"/>
      <c r="H168" s="441" t="s">
        <v>960</v>
      </c>
      <c r="I168" s="47"/>
      <c r="J168" s="319">
        <v>0</v>
      </c>
      <c r="K168" s="646"/>
      <c r="M168" s="47">
        <v>0.375</v>
      </c>
      <c r="N168" s="47">
        <v>0.25</v>
      </c>
      <c r="O168" s="319">
        <v>8</v>
      </c>
      <c r="P168" s="646"/>
      <c r="R168" s="5">
        <v>0</v>
      </c>
      <c r="S168" s="5">
        <v>0</v>
      </c>
      <c r="T168" s="319">
        <v>0</v>
      </c>
      <c r="U168" s="646"/>
      <c r="W168" s="47">
        <v>0.375</v>
      </c>
      <c r="X168" s="47">
        <v>0.25</v>
      </c>
      <c r="Y168" s="319">
        <v>8</v>
      </c>
      <c r="Z168" s="646"/>
      <c r="AA168" s="328">
        <f t="shared" si="26"/>
        <v>24</v>
      </c>
      <c r="AB168" s="298">
        <f t="shared" si="27"/>
        <v>0</v>
      </c>
      <c r="AD168" s="47"/>
      <c r="AE168" s="47"/>
      <c r="AF168" s="319"/>
      <c r="AG168" s="328">
        <f t="shared" si="28"/>
        <v>0</v>
      </c>
      <c r="AI168" s="255"/>
      <c r="AJ168" s="180"/>
      <c r="AK168" s="193"/>
      <c r="AL168" s="193"/>
      <c r="AM168" s="193"/>
      <c r="AN168" s="193"/>
      <c r="AO168" s="193"/>
      <c r="AP168" s="193"/>
      <c r="AQ168" s="180"/>
      <c r="AR168" s="180"/>
      <c r="AS168" s="180"/>
      <c r="AT168" s="180"/>
      <c r="AU168" s="180"/>
      <c r="AV168" s="180"/>
      <c r="AW168" s="180"/>
    </row>
    <row r="169" spans="1:49" s="4" customFormat="1">
      <c r="A169" s="180"/>
      <c r="B169" s="47" t="s">
        <v>977</v>
      </c>
      <c r="C169" s="441" t="s">
        <v>75</v>
      </c>
      <c r="D169" s="47">
        <v>0.25</v>
      </c>
      <c r="E169" s="319">
        <v>8</v>
      </c>
      <c r="F169" s="646"/>
      <c r="H169" s="441" t="s">
        <v>75</v>
      </c>
      <c r="I169" s="47">
        <v>0.25</v>
      </c>
      <c r="J169" s="319">
        <v>8</v>
      </c>
      <c r="K169" s="646"/>
      <c r="M169" s="47">
        <v>0.375</v>
      </c>
      <c r="N169" s="47">
        <v>0.25</v>
      </c>
      <c r="O169" s="319">
        <v>8</v>
      </c>
      <c r="P169" s="646"/>
      <c r="R169" s="5">
        <v>0</v>
      </c>
      <c r="S169" s="5">
        <v>0</v>
      </c>
      <c r="T169" s="319">
        <v>0</v>
      </c>
      <c r="U169" s="646"/>
      <c r="W169" s="47">
        <v>0.375</v>
      </c>
      <c r="X169" s="47">
        <v>0.25</v>
      </c>
      <c r="Y169" s="319">
        <v>8</v>
      </c>
      <c r="Z169" s="646"/>
      <c r="AA169" s="328">
        <f t="shared" si="26"/>
        <v>32</v>
      </c>
      <c r="AB169" s="298">
        <f t="shared" si="27"/>
        <v>0</v>
      </c>
      <c r="AD169" s="47"/>
      <c r="AE169" s="47"/>
      <c r="AF169" s="319"/>
      <c r="AG169" s="328">
        <f t="shared" si="28"/>
        <v>0</v>
      </c>
      <c r="AI169" s="255"/>
      <c r="AJ169" s="180"/>
      <c r="AK169" s="193"/>
      <c r="AL169" s="193"/>
      <c r="AM169" s="193"/>
      <c r="AN169" s="193"/>
      <c r="AO169" s="193"/>
      <c r="AP169" s="193"/>
      <c r="AQ169" s="180"/>
      <c r="AR169" s="180"/>
      <c r="AS169" s="180"/>
      <c r="AT169" s="180"/>
      <c r="AU169" s="180"/>
      <c r="AV169" s="180"/>
      <c r="AW169" s="180"/>
    </row>
    <row r="170" spans="1:49" s="4" customFormat="1">
      <c r="A170" s="180"/>
      <c r="B170" s="436" t="s">
        <v>388</v>
      </c>
      <c r="C170" s="441" t="s">
        <v>960</v>
      </c>
      <c r="D170" s="47"/>
      <c r="E170" s="319">
        <v>0</v>
      </c>
      <c r="F170" s="646"/>
      <c r="H170" s="441" t="s">
        <v>960</v>
      </c>
      <c r="I170" s="47"/>
      <c r="J170" s="319">
        <v>0</v>
      </c>
      <c r="K170" s="646"/>
      <c r="M170" s="47" t="s">
        <v>960</v>
      </c>
      <c r="N170" s="47"/>
      <c r="O170" s="319">
        <v>0</v>
      </c>
      <c r="P170" s="646"/>
      <c r="R170" s="5">
        <v>0</v>
      </c>
      <c r="S170" s="5">
        <v>0</v>
      </c>
      <c r="T170" s="319">
        <v>0</v>
      </c>
      <c r="U170" s="646"/>
      <c r="W170" s="47" t="s">
        <v>960</v>
      </c>
      <c r="X170" s="47"/>
      <c r="Y170" s="319">
        <v>0</v>
      </c>
      <c r="Z170" s="646"/>
      <c r="AA170" s="328">
        <f t="shared" si="26"/>
        <v>0</v>
      </c>
      <c r="AB170" s="298">
        <f t="shared" si="27"/>
        <v>0</v>
      </c>
      <c r="AD170" s="47"/>
      <c r="AE170" s="47"/>
      <c r="AF170" s="319"/>
      <c r="AG170" s="328">
        <f t="shared" si="28"/>
        <v>0</v>
      </c>
      <c r="AI170" s="255"/>
      <c r="AJ170" s="180"/>
      <c r="AK170" s="193"/>
      <c r="AL170" s="193"/>
      <c r="AM170" s="193"/>
      <c r="AN170" s="193"/>
      <c r="AO170" s="193"/>
      <c r="AP170" s="193"/>
      <c r="AQ170" s="180"/>
      <c r="AR170" s="180"/>
      <c r="AS170" s="180"/>
      <c r="AT170" s="180"/>
      <c r="AU170" s="180"/>
      <c r="AV170" s="180"/>
      <c r="AW170" s="180"/>
    </row>
    <row r="171" spans="1:49" s="4" customFormat="1">
      <c r="A171" s="180"/>
      <c r="B171" s="47" t="s">
        <v>394</v>
      </c>
      <c r="C171" s="441" t="s">
        <v>75</v>
      </c>
      <c r="D171" s="47">
        <v>0.25</v>
      </c>
      <c r="E171" s="319">
        <v>8</v>
      </c>
      <c r="F171" s="646"/>
      <c r="H171" s="441" t="s">
        <v>75</v>
      </c>
      <c r="I171" s="47">
        <v>0.25</v>
      </c>
      <c r="J171" s="319">
        <v>8</v>
      </c>
      <c r="K171" s="646"/>
      <c r="M171" s="47">
        <v>0.375</v>
      </c>
      <c r="N171" s="47">
        <v>0.25</v>
      </c>
      <c r="O171" s="319">
        <v>8</v>
      </c>
      <c r="P171" s="646"/>
      <c r="R171" s="47">
        <v>0.25</v>
      </c>
      <c r="S171" s="47">
        <v>0.25</v>
      </c>
      <c r="T171" s="319">
        <v>8</v>
      </c>
      <c r="U171" s="646">
        <v>3</v>
      </c>
      <c r="W171" s="47">
        <v>0.375</v>
      </c>
      <c r="X171" s="47">
        <v>0.25</v>
      </c>
      <c r="Y171" s="319">
        <v>8</v>
      </c>
      <c r="Z171" s="646"/>
      <c r="AA171" s="328">
        <f t="shared" si="26"/>
        <v>40</v>
      </c>
      <c r="AB171" s="298">
        <f t="shared" si="27"/>
        <v>3</v>
      </c>
      <c r="AD171" s="47"/>
      <c r="AE171" s="47"/>
      <c r="AF171" s="319"/>
      <c r="AG171" s="328">
        <f t="shared" si="28"/>
        <v>0</v>
      </c>
      <c r="AI171" s="255"/>
      <c r="AJ171" s="180"/>
      <c r="AK171" s="193"/>
      <c r="AL171" s="193"/>
      <c r="AM171" s="193"/>
      <c r="AN171" s="193"/>
      <c r="AO171" s="193"/>
      <c r="AP171" s="193"/>
      <c r="AQ171" s="180"/>
      <c r="AR171" s="180"/>
      <c r="AS171" s="180"/>
      <c r="AT171" s="180"/>
      <c r="AU171" s="180"/>
      <c r="AV171" s="180"/>
      <c r="AW171" s="180"/>
    </row>
    <row r="172" spans="1:49" s="4" customFormat="1">
      <c r="A172" s="180"/>
      <c r="B172" s="47" t="s">
        <v>519</v>
      </c>
      <c r="C172" s="441" t="s">
        <v>75</v>
      </c>
      <c r="D172" s="47">
        <v>0.25</v>
      </c>
      <c r="E172" s="319">
        <v>8</v>
      </c>
      <c r="F172" s="646"/>
      <c r="H172" s="441" t="s">
        <v>75</v>
      </c>
      <c r="I172" s="47">
        <v>0.25</v>
      </c>
      <c r="J172" s="319">
        <v>8</v>
      </c>
      <c r="K172" s="646"/>
      <c r="M172" s="47">
        <v>0.375</v>
      </c>
      <c r="N172" s="47">
        <v>0.25</v>
      </c>
      <c r="O172" s="319">
        <v>8</v>
      </c>
      <c r="P172" s="646"/>
      <c r="R172" s="47">
        <v>0.39583333333333331</v>
      </c>
      <c r="S172" s="47">
        <v>0.20833333333333334</v>
      </c>
      <c r="T172" s="319">
        <v>7.5</v>
      </c>
      <c r="U172" s="646"/>
      <c r="W172" s="47">
        <v>0.375</v>
      </c>
      <c r="X172" s="47">
        <v>0.25</v>
      </c>
      <c r="Y172" s="319">
        <v>8</v>
      </c>
      <c r="Z172" s="646"/>
      <c r="AA172" s="328">
        <f t="shared" si="26"/>
        <v>39.5</v>
      </c>
      <c r="AB172" s="298">
        <f t="shared" si="27"/>
        <v>0</v>
      </c>
      <c r="AD172" s="47"/>
      <c r="AE172" s="47"/>
      <c r="AF172" s="319"/>
      <c r="AG172" s="328">
        <f t="shared" si="28"/>
        <v>0</v>
      </c>
      <c r="AI172" s="255"/>
      <c r="AJ172" s="180"/>
      <c r="AK172" s="193"/>
      <c r="AL172" s="193"/>
      <c r="AM172" s="193"/>
      <c r="AN172" s="193"/>
      <c r="AO172" s="193"/>
      <c r="AP172" s="193"/>
      <c r="AQ172" s="180"/>
      <c r="AR172" s="180"/>
      <c r="AS172" s="180"/>
      <c r="AT172" s="180"/>
      <c r="AU172" s="180"/>
      <c r="AV172" s="180"/>
      <c r="AW172" s="180"/>
    </row>
    <row r="173" spans="1:49" s="4" customFormat="1">
      <c r="A173" s="180"/>
      <c r="B173" s="639" t="s">
        <v>533</v>
      </c>
      <c r="C173" s="643"/>
      <c r="D173" s="653"/>
      <c r="E173" s="520"/>
      <c r="F173" s="647"/>
      <c r="G173" s="521"/>
      <c r="H173" s="519"/>
      <c r="I173" s="653"/>
      <c r="J173" s="520"/>
      <c r="K173" s="647"/>
      <c r="L173" s="521"/>
      <c r="M173" s="519"/>
      <c r="N173" s="653"/>
      <c r="O173" s="520"/>
      <c r="P173" s="647"/>
      <c r="Q173" s="521"/>
      <c r="R173" s="519"/>
      <c r="S173" s="653"/>
      <c r="T173" s="520"/>
      <c r="U173" s="647"/>
      <c r="V173" s="521"/>
      <c r="W173" s="519"/>
      <c r="X173" s="653"/>
      <c r="Y173" s="520"/>
      <c r="Z173" s="646"/>
      <c r="AA173" s="328">
        <f t="shared" si="26"/>
        <v>0</v>
      </c>
      <c r="AB173" s="298">
        <f t="shared" si="27"/>
        <v>0</v>
      </c>
      <c r="AD173" s="47"/>
      <c r="AE173" s="47"/>
      <c r="AF173" s="319"/>
      <c r="AG173" s="328">
        <f t="shared" si="28"/>
        <v>0</v>
      </c>
      <c r="AI173" s="255"/>
      <c r="AJ173" s="180"/>
      <c r="AK173" s="193"/>
      <c r="AL173" s="193"/>
      <c r="AM173" s="193"/>
      <c r="AN173" s="193"/>
      <c r="AO173" s="193"/>
      <c r="AP173" s="193"/>
      <c r="AQ173" s="180"/>
      <c r="AR173" s="180"/>
      <c r="AS173" s="180"/>
      <c r="AT173" s="180"/>
      <c r="AU173" s="180"/>
      <c r="AV173" s="180"/>
      <c r="AW173" s="180"/>
    </row>
    <row r="174" spans="1:49" s="4" customFormat="1">
      <c r="A174" s="180"/>
      <c r="B174" s="502" t="s">
        <v>483</v>
      </c>
      <c r="C174" s="5">
        <v>0</v>
      </c>
      <c r="D174" s="5">
        <v>0</v>
      </c>
      <c r="E174" s="319">
        <v>0</v>
      </c>
      <c r="F174" s="646"/>
      <c r="H174" s="5">
        <v>0</v>
      </c>
      <c r="I174" s="5">
        <v>0</v>
      </c>
      <c r="J174" s="319">
        <v>0</v>
      </c>
      <c r="K174" s="646"/>
      <c r="M174" s="5">
        <v>0</v>
      </c>
      <c r="N174" s="5">
        <v>0</v>
      </c>
      <c r="O174" s="319">
        <v>0</v>
      </c>
      <c r="P174" s="646"/>
      <c r="R174" s="5">
        <v>0</v>
      </c>
      <c r="S174" s="5">
        <v>0</v>
      </c>
      <c r="T174" s="319">
        <v>0</v>
      </c>
      <c r="U174" s="646"/>
      <c r="W174" s="5">
        <v>0</v>
      </c>
      <c r="X174" s="5">
        <v>0</v>
      </c>
      <c r="Y174" s="319">
        <v>0</v>
      </c>
      <c r="Z174" s="646"/>
      <c r="AA174" s="328">
        <f t="shared" si="26"/>
        <v>0</v>
      </c>
      <c r="AB174" s="298">
        <f t="shared" si="27"/>
        <v>0</v>
      </c>
      <c r="AD174" s="47"/>
      <c r="AE174" s="47"/>
      <c r="AF174" s="319"/>
      <c r="AG174" s="328">
        <f t="shared" si="28"/>
        <v>0</v>
      </c>
      <c r="AI174" s="255"/>
      <c r="AJ174" s="180"/>
      <c r="AK174" s="193"/>
      <c r="AL174" s="193"/>
      <c r="AM174" s="193"/>
      <c r="AN174" s="193"/>
      <c r="AO174" s="193"/>
      <c r="AP174" s="193"/>
      <c r="AQ174" s="180"/>
      <c r="AR174" s="180"/>
      <c r="AS174" s="180"/>
      <c r="AT174" s="180"/>
      <c r="AU174" s="180"/>
      <c r="AV174" s="180"/>
      <c r="AW174" s="180"/>
    </row>
    <row r="175" spans="1:49" s="4" customFormat="1">
      <c r="A175" s="180"/>
      <c r="B175" s="502" t="s">
        <v>483</v>
      </c>
      <c r="C175" s="47">
        <v>0.33333333333333331</v>
      </c>
      <c r="D175" s="47">
        <v>0.20833333333333334</v>
      </c>
      <c r="E175" s="319">
        <v>8</v>
      </c>
      <c r="F175" s="646"/>
      <c r="H175" s="47">
        <v>0.34375</v>
      </c>
      <c r="I175" s="47">
        <v>0.20833333333333334</v>
      </c>
      <c r="J175" s="319">
        <v>7.75</v>
      </c>
      <c r="K175" s="646"/>
      <c r="M175" s="47">
        <v>0.33333333333333331</v>
      </c>
      <c r="N175" s="47">
        <v>0.20833333333333334</v>
      </c>
      <c r="O175" s="319">
        <v>8</v>
      </c>
      <c r="P175" s="646"/>
      <c r="R175" s="47">
        <v>0.32291666666666669</v>
      </c>
      <c r="S175" s="47">
        <v>0.20833333333333334</v>
      </c>
      <c r="T175" s="319">
        <v>8</v>
      </c>
      <c r="U175" s="646">
        <v>0.25</v>
      </c>
      <c r="W175" s="47">
        <v>0.32291666666666669</v>
      </c>
      <c r="X175" s="47">
        <v>0.20833333333333334</v>
      </c>
      <c r="Y175" s="319">
        <v>8</v>
      </c>
      <c r="Z175" s="646">
        <v>0.25</v>
      </c>
      <c r="AA175" s="328">
        <f t="shared" si="26"/>
        <v>39.75</v>
      </c>
      <c r="AB175" s="298">
        <f t="shared" si="27"/>
        <v>0.5</v>
      </c>
      <c r="AD175" s="47"/>
      <c r="AE175" s="47"/>
      <c r="AF175" s="319"/>
      <c r="AG175" s="328">
        <f t="shared" si="28"/>
        <v>0</v>
      </c>
      <c r="AI175" s="255"/>
      <c r="AJ175" s="180"/>
      <c r="AK175" s="193"/>
      <c r="AL175" s="193"/>
      <c r="AM175" s="193"/>
      <c r="AN175" s="193"/>
      <c r="AO175" s="193"/>
      <c r="AP175" s="193"/>
      <c r="AQ175" s="180"/>
      <c r="AR175" s="180"/>
      <c r="AS175" s="180"/>
      <c r="AT175" s="180"/>
      <c r="AU175" s="180"/>
      <c r="AV175" s="180"/>
      <c r="AW175" s="180"/>
    </row>
    <row r="176" spans="1:49" s="4" customFormat="1">
      <c r="A176" s="180"/>
      <c r="B176" s="502" t="s">
        <v>484</v>
      </c>
      <c r="C176" s="47">
        <v>0.33333333333333331</v>
      </c>
      <c r="D176" s="47">
        <v>0.20833333333333334</v>
      </c>
      <c r="E176" s="319">
        <v>8</v>
      </c>
      <c r="F176" s="646"/>
      <c r="H176" s="47">
        <v>0.34375</v>
      </c>
      <c r="I176" s="47">
        <v>0.20833333333333334</v>
      </c>
      <c r="J176" s="319">
        <v>7.75</v>
      </c>
      <c r="K176" s="646"/>
      <c r="M176" s="47">
        <v>0.33333333333333331</v>
      </c>
      <c r="N176" s="47">
        <v>0.20833333333333334</v>
      </c>
      <c r="O176" s="319">
        <v>8</v>
      </c>
      <c r="P176" s="646"/>
      <c r="R176" s="47">
        <v>0.32291666666666669</v>
      </c>
      <c r="S176" s="47">
        <v>0.20833333333333334</v>
      </c>
      <c r="T176" s="319">
        <v>8</v>
      </c>
      <c r="U176" s="646">
        <v>0.25</v>
      </c>
      <c r="W176" s="47">
        <v>0.32291666666666669</v>
      </c>
      <c r="X176" s="47">
        <v>0.20833333333333334</v>
      </c>
      <c r="Y176" s="319">
        <v>8</v>
      </c>
      <c r="Z176" s="646">
        <v>0.25</v>
      </c>
      <c r="AA176" s="328">
        <f t="shared" si="26"/>
        <v>39.75</v>
      </c>
      <c r="AB176" s="298">
        <f t="shared" si="27"/>
        <v>0.5</v>
      </c>
      <c r="AD176" s="47"/>
      <c r="AE176" s="47"/>
      <c r="AF176" s="319"/>
      <c r="AG176" s="328">
        <f t="shared" si="28"/>
        <v>0</v>
      </c>
      <c r="AI176" s="255"/>
      <c r="AJ176" s="180"/>
      <c r="AK176" s="193"/>
      <c r="AL176" s="193"/>
      <c r="AM176" s="193"/>
      <c r="AN176" s="193"/>
      <c r="AO176" s="193"/>
      <c r="AP176" s="193"/>
      <c r="AQ176" s="180"/>
      <c r="AR176" s="180"/>
      <c r="AS176" s="180"/>
      <c r="AT176" s="180"/>
      <c r="AU176" s="180"/>
      <c r="AV176" s="180"/>
      <c r="AW176" s="180"/>
    </row>
    <row r="177" spans="1:49" s="4" customFormat="1">
      <c r="A177" s="180"/>
      <c r="B177" s="502" t="s">
        <v>485</v>
      </c>
      <c r="C177" s="47">
        <v>0.33333333333333331</v>
      </c>
      <c r="D177" s="47">
        <v>0.20833333333333334</v>
      </c>
      <c r="E177" s="319">
        <v>8</v>
      </c>
      <c r="F177" s="646"/>
      <c r="H177" s="47">
        <v>0.34375</v>
      </c>
      <c r="I177" s="47">
        <v>0.20833333333333334</v>
      </c>
      <c r="J177" s="319">
        <v>7.75</v>
      </c>
      <c r="K177" s="646"/>
      <c r="M177" s="47">
        <v>0.33333333333333331</v>
      </c>
      <c r="N177" s="47">
        <v>0.20833333333333334</v>
      </c>
      <c r="O177" s="319">
        <v>8</v>
      </c>
      <c r="P177" s="646"/>
      <c r="R177" s="47">
        <v>0.32291666666666669</v>
      </c>
      <c r="S177" s="47">
        <v>0.20833333333333334</v>
      </c>
      <c r="T177" s="319">
        <v>8</v>
      </c>
      <c r="U177" s="646">
        <v>0.25</v>
      </c>
      <c r="W177" s="47">
        <v>0.32291666666666669</v>
      </c>
      <c r="X177" s="47">
        <v>0.20833333333333334</v>
      </c>
      <c r="Y177" s="319">
        <v>8</v>
      </c>
      <c r="Z177" s="646">
        <v>0.25</v>
      </c>
      <c r="AA177" s="328">
        <f t="shared" si="26"/>
        <v>39.75</v>
      </c>
      <c r="AB177" s="298">
        <f t="shared" si="27"/>
        <v>0.5</v>
      </c>
      <c r="AD177" s="47"/>
      <c r="AE177" s="47"/>
      <c r="AF177" s="319"/>
      <c r="AG177" s="328">
        <f t="shared" si="28"/>
        <v>0</v>
      </c>
      <c r="AI177" s="255"/>
      <c r="AJ177" s="180"/>
      <c r="AK177" s="193"/>
      <c r="AL177" s="193"/>
      <c r="AM177" s="193"/>
      <c r="AN177" s="193"/>
      <c r="AO177" s="193"/>
      <c r="AP177" s="193"/>
      <c r="AQ177" s="180"/>
      <c r="AR177" s="180"/>
      <c r="AS177" s="180"/>
      <c r="AT177" s="180"/>
      <c r="AU177" s="180"/>
      <c r="AV177" s="180"/>
      <c r="AW177" s="180"/>
    </row>
    <row r="178" spans="1:49" s="193" customFormat="1">
      <c r="A178" s="180"/>
      <c r="B178" s="502" t="s">
        <v>486</v>
      </c>
      <c r="C178" s="5">
        <v>0</v>
      </c>
      <c r="D178" s="5">
        <v>0</v>
      </c>
      <c r="E178" s="319">
        <v>0</v>
      </c>
      <c r="F178" s="646"/>
      <c r="G178" s="4"/>
      <c r="H178" s="5">
        <v>0</v>
      </c>
      <c r="I178" s="5">
        <v>0</v>
      </c>
      <c r="J178" s="319">
        <v>0</v>
      </c>
      <c r="K178" s="646"/>
      <c r="L178" s="4"/>
      <c r="M178" s="5">
        <v>0</v>
      </c>
      <c r="N178" s="5">
        <v>0</v>
      </c>
      <c r="O178" s="319">
        <v>0</v>
      </c>
      <c r="P178" s="646"/>
      <c r="Q178" s="4"/>
      <c r="R178" s="5">
        <v>0</v>
      </c>
      <c r="S178" s="5">
        <v>0</v>
      </c>
      <c r="T178" s="319">
        <v>0</v>
      </c>
      <c r="U178" s="646"/>
      <c r="V178" s="4"/>
      <c r="W178" s="5">
        <v>0</v>
      </c>
      <c r="X178" s="5">
        <v>0</v>
      </c>
      <c r="Y178" s="319">
        <v>0</v>
      </c>
      <c r="Z178" s="646"/>
      <c r="AA178" s="328">
        <f t="shared" si="26"/>
        <v>0</v>
      </c>
      <c r="AB178" s="298">
        <f t="shared" si="27"/>
        <v>0</v>
      </c>
      <c r="AC178" s="4"/>
      <c r="AD178" s="47"/>
      <c r="AE178" s="47"/>
      <c r="AF178" s="319"/>
      <c r="AG178" s="328">
        <f t="shared" si="28"/>
        <v>0</v>
      </c>
      <c r="AH178" s="4"/>
      <c r="AI178" s="255"/>
      <c r="AJ178" s="180"/>
      <c r="AQ178" s="180"/>
      <c r="AR178" s="180"/>
      <c r="AS178" s="180"/>
      <c r="AT178" s="180"/>
      <c r="AU178" s="180"/>
      <c r="AV178" s="180"/>
      <c r="AW178" s="180"/>
    </row>
    <row r="179" spans="1:49" s="193" customFormat="1" ht="10.9" customHeight="1">
      <c r="A179" s="180"/>
      <c r="B179" s="63" t="s">
        <v>63</v>
      </c>
      <c r="C179" s="16" t="s">
        <v>29</v>
      </c>
      <c r="D179" s="16" t="s">
        <v>29</v>
      </c>
      <c r="E179" s="319">
        <v>8</v>
      </c>
      <c r="F179" s="646">
        <v>1</v>
      </c>
      <c r="G179" s="4"/>
      <c r="H179" s="16" t="s">
        <v>29</v>
      </c>
      <c r="I179" s="16" t="s">
        <v>29</v>
      </c>
      <c r="J179" s="319">
        <v>8</v>
      </c>
      <c r="K179" s="646">
        <v>0.6</v>
      </c>
      <c r="L179" s="4"/>
      <c r="M179" s="16" t="s">
        <v>29</v>
      </c>
      <c r="N179" s="16" t="s">
        <v>29</v>
      </c>
      <c r="O179" s="319">
        <v>8</v>
      </c>
      <c r="P179" s="646"/>
      <c r="Q179" s="4"/>
      <c r="R179" s="1564" t="s">
        <v>137</v>
      </c>
      <c r="S179" s="1564"/>
      <c r="T179" s="319">
        <v>0</v>
      </c>
      <c r="U179" s="646"/>
      <c r="V179" s="4"/>
      <c r="W179" s="1564" t="s">
        <v>137</v>
      </c>
      <c r="X179" s="1564"/>
      <c r="Y179" s="319">
        <v>0</v>
      </c>
      <c r="Z179" s="646"/>
      <c r="AA179" s="328">
        <f t="shared" si="26"/>
        <v>24</v>
      </c>
      <c r="AB179" s="298">
        <f t="shared" si="27"/>
        <v>1.6</v>
      </c>
      <c r="AC179" s="4"/>
      <c r="AD179" s="47"/>
      <c r="AE179" s="47"/>
      <c r="AF179" s="319"/>
      <c r="AG179" s="328">
        <f t="shared" si="28"/>
        <v>0</v>
      </c>
      <c r="AH179" s="4"/>
      <c r="AI179" s="255"/>
      <c r="AJ179" s="180"/>
      <c r="AQ179" s="180"/>
      <c r="AR179" s="180"/>
      <c r="AS179" s="180"/>
      <c r="AT179" s="180"/>
      <c r="AU179" s="180"/>
      <c r="AV179" s="180"/>
      <c r="AW179" s="180"/>
    </row>
    <row r="180" spans="1:49" s="193" customFormat="1">
      <c r="A180" s="180"/>
      <c r="B180" s="267" t="s">
        <v>358</v>
      </c>
      <c r="C180" s="1564" t="s">
        <v>137</v>
      </c>
      <c r="D180" s="1564"/>
      <c r="E180" s="319">
        <v>0</v>
      </c>
      <c r="F180" s="646"/>
      <c r="G180" s="438"/>
      <c r="H180" s="1564" t="s">
        <v>137</v>
      </c>
      <c r="I180" s="1564"/>
      <c r="J180" s="319">
        <v>0</v>
      </c>
      <c r="K180" s="646"/>
      <c r="L180" s="438"/>
      <c r="M180" s="1564" t="s">
        <v>137</v>
      </c>
      <c r="N180" s="1564"/>
      <c r="O180" s="319">
        <v>0</v>
      </c>
      <c r="P180" s="646"/>
      <c r="Q180" s="438"/>
      <c r="R180" s="1564" t="s">
        <v>137</v>
      </c>
      <c r="S180" s="1564"/>
      <c r="T180" s="319">
        <v>0</v>
      </c>
      <c r="U180" s="646"/>
      <c r="V180" s="438"/>
      <c r="W180" s="1564" t="s">
        <v>137</v>
      </c>
      <c r="X180" s="1564"/>
      <c r="Y180" s="319">
        <v>0</v>
      </c>
      <c r="Z180" s="646"/>
      <c r="AA180" s="328">
        <f t="shared" si="26"/>
        <v>0</v>
      </c>
      <c r="AB180" s="298">
        <f t="shared" si="27"/>
        <v>0</v>
      </c>
      <c r="AC180" s="4"/>
      <c r="AD180" s="47"/>
      <c r="AE180" s="47"/>
      <c r="AF180" s="319"/>
      <c r="AG180" s="328">
        <f t="shared" si="28"/>
        <v>0</v>
      </c>
      <c r="AH180" s="4"/>
      <c r="AI180" s="255"/>
      <c r="AJ180" s="180"/>
      <c r="AQ180" s="180"/>
      <c r="AR180" s="180"/>
      <c r="AS180" s="180"/>
      <c r="AT180" s="180"/>
      <c r="AU180" s="180"/>
      <c r="AV180" s="180"/>
      <c r="AW180" s="180"/>
    </row>
    <row r="181" spans="1:49" s="193" customFormat="1">
      <c r="A181" s="180"/>
      <c r="B181" s="267" t="s">
        <v>532</v>
      </c>
      <c r="C181" s="5">
        <v>0</v>
      </c>
      <c r="D181" s="5">
        <v>0</v>
      </c>
      <c r="E181" s="319"/>
      <c r="F181" s="646"/>
      <c r="G181" s="438"/>
      <c r="H181" s="5">
        <v>0</v>
      </c>
      <c r="I181" s="5">
        <v>0</v>
      </c>
      <c r="J181" s="319"/>
      <c r="K181" s="646"/>
      <c r="L181" s="438"/>
      <c r="M181" s="5">
        <v>0</v>
      </c>
      <c r="N181" s="5">
        <v>0</v>
      </c>
      <c r="O181" s="319"/>
      <c r="P181" s="646"/>
      <c r="Q181" s="438"/>
      <c r="R181" s="5">
        <v>0</v>
      </c>
      <c r="S181" s="5">
        <v>0</v>
      </c>
      <c r="T181" s="319">
        <v>0</v>
      </c>
      <c r="U181" s="646"/>
      <c r="V181" s="438"/>
      <c r="W181" s="5">
        <v>0</v>
      </c>
      <c r="X181" s="5">
        <v>0</v>
      </c>
      <c r="Y181" s="319">
        <v>0</v>
      </c>
      <c r="Z181" s="646"/>
      <c r="AA181" s="328">
        <f t="shared" si="26"/>
        <v>0</v>
      </c>
      <c r="AB181" s="298">
        <f t="shared" si="27"/>
        <v>0</v>
      </c>
      <c r="AC181" s="4"/>
      <c r="AD181" s="47"/>
      <c r="AE181" s="47"/>
      <c r="AF181" s="319"/>
      <c r="AG181" s="328">
        <f t="shared" si="28"/>
        <v>0</v>
      </c>
      <c r="AH181" s="4"/>
      <c r="AI181" s="255"/>
      <c r="AJ181" s="180"/>
      <c r="AQ181" s="180"/>
      <c r="AR181" s="180"/>
      <c r="AS181" s="180"/>
      <c r="AT181" s="180"/>
      <c r="AU181" s="180"/>
      <c r="AV181" s="180"/>
      <c r="AW181" s="180"/>
    </row>
    <row r="182" spans="1:49" s="193" customFormat="1">
      <c r="A182" s="180"/>
      <c r="B182" s="267" t="s">
        <v>411</v>
      </c>
      <c r="C182" s="5">
        <v>0</v>
      </c>
      <c r="D182" s="5">
        <v>0</v>
      </c>
      <c r="E182" s="319"/>
      <c r="F182" s="646"/>
      <c r="G182" s="438"/>
      <c r="H182" s="5">
        <v>0</v>
      </c>
      <c r="I182" s="5">
        <v>0</v>
      </c>
      <c r="J182" s="319"/>
      <c r="K182" s="646"/>
      <c r="L182" s="438"/>
      <c r="M182" s="5">
        <v>0</v>
      </c>
      <c r="N182" s="5">
        <v>0</v>
      </c>
      <c r="O182" s="319"/>
      <c r="P182" s="646"/>
      <c r="Q182" s="438"/>
      <c r="R182" s="5">
        <v>0</v>
      </c>
      <c r="S182" s="5">
        <v>0</v>
      </c>
      <c r="T182" s="319">
        <v>0</v>
      </c>
      <c r="U182" s="646"/>
      <c r="V182" s="438"/>
      <c r="W182" s="5">
        <v>0</v>
      </c>
      <c r="X182" s="5">
        <v>0</v>
      </c>
      <c r="Y182" s="319">
        <v>0</v>
      </c>
      <c r="Z182" s="646"/>
      <c r="AA182" s="328">
        <f t="shared" si="26"/>
        <v>0</v>
      </c>
      <c r="AB182" s="298">
        <f t="shared" si="27"/>
        <v>0</v>
      </c>
      <c r="AC182" s="4"/>
      <c r="AD182" s="47"/>
      <c r="AE182" s="47"/>
      <c r="AF182" s="319"/>
      <c r="AG182" s="328">
        <f t="shared" si="28"/>
        <v>0</v>
      </c>
      <c r="AH182" s="4"/>
      <c r="AI182" s="255"/>
      <c r="AJ182" s="180"/>
      <c r="AQ182" s="180"/>
      <c r="AR182" s="180"/>
      <c r="AS182" s="180"/>
      <c r="AT182" s="180"/>
      <c r="AU182" s="180"/>
      <c r="AV182" s="180"/>
      <c r="AW182" s="180"/>
    </row>
    <row r="183" spans="1:49" s="193" customFormat="1">
      <c r="A183" s="180"/>
      <c r="B183" s="267" t="s">
        <v>361</v>
      </c>
      <c r="C183" s="5">
        <v>0</v>
      </c>
      <c r="D183" s="5">
        <v>0</v>
      </c>
      <c r="E183" s="319"/>
      <c r="F183" s="646"/>
      <c r="G183" s="438"/>
      <c r="H183" s="5">
        <v>0</v>
      </c>
      <c r="I183" s="5">
        <v>0</v>
      </c>
      <c r="J183" s="319"/>
      <c r="K183" s="646"/>
      <c r="L183" s="438"/>
      <c r="M183" s="5">
        <v>0</v>
      </c>
      <c r="N183" s="5">
        <v>0</v>
      </c>
      <c r="O183" s="319"/>
      <c r="P183" s="646"/>
      <c r="Q183" s="438"/>
      <c r="R183" s="5">
        <v>0</v>
      </c>
      <c r="S183" s="5">
        <v>0</v>
      </c>
      <c r="T183" s="319">
        <v>0</v>
      </c>
      <c r="U183" s="646"/>
      <c r="V183" s="438"/>
      <c r="W183" s="5">
        <v>0</v>
      </c>
      <c r="X183" s="5">
        <v>0</v>
      </c>
      <c r="Y183" s="319">
        <v>0</v>
      </c>
      <c r="Z183" s="646"/>
      <c r="AA183" s="328">
        <f t="shared" si="26"/>
        <v>0</v>
      </c>
      <c r="AB183" s="298">
        <f t="shared" si="27"/>
        <v>0</v>
      </c>
      <c r="AC183" s="4"/>
      <c r="AD183" s="47"/>
      <c r="AE183" s="47"/>
      <c r="AF183" s="319"/>
      <c r="AG183" s="328">
        <f t="shared" si="28"/>
        <v>0</v>
      </c>
      <c r="AH183" s="4"/>
      <c r="AI183" s="255"/>
      <c r="AJ183" s="180"/>
      <c r="AQ183" s="180"/>
      <c r="AR183" s="180"/>
      <c r="AS183" s="180"/>
      <c r="AT183" s="180"/>
      <c r="AU183" s="180"/>
      <c r="AV183" s="180"/>
      <c r="AW183" s="180"/>
    </row>
    <row r="184" spans="1:49" s="193" customFormat="1">
      <c r="A184" s="180"/>
      <c r="B184" s="267" t="s">
        <v>362</v>
      </c>
      <c r="C184" s="47">
        <v>0.30208333333333331</v>
      </c>
      <c r="D184" s="47">
        <v>0.22916666666666666</v>
      </c>
      <c r="E184" s="319">
        <v>8</v>
      </c>
      <c r="F184" s="646">
        <v>1.25</v>
      </c>
      <c r="G184" s="438"/>
      <c r="H184" s="47">
        <v>0.3125</v>
      </c>
      <c r="I184" s="47">
        <v>0.22916666666666666</v>
      </c>
      <c r="J184" s="319">
        <v>8</v>
      </c>
      <c r="K184" s="646">
        <v>1</v>
      </c>
      <c r="L184" s="438"/>
      <c r="M184" s="47">
        <v>0.3125</v>
      </c>
      <c r="N184" s="47">
        <v>0.22916666666666666</v>
      </c>
      <c r="O184" s="319">
        <v>8</v>
      </c>
      <c r="P184" s="646">
        <v>1</v>
      </c>
      <c r="Q184" s="438"/>
      <c r="R184" s="47">
        <v>0.3125</v>
      </c>
      <c r="S184" s="47">
        <v>0.27083333333333331</v>
      </c>
      <c r="T184" s="319">
        <v>8</v>
      </c>
      <c r="U184" s="646">
        <v>2</v>
      </c>
      <c r="V184" s="438"/>
      <c r="W184" s="47">
        <v>0.3125</v>
      </c>
      <c r="X184" s="47">
        <v>0.22916666666666666</v>
      </c>
      <c r="Y184" s="456">
        <v>8</v>
      </c>
      <c r="Z184" s="646">
        <v>1</v>
      </c>
      <c r="AA184" s="328">
        <f t="shared" si="26"/>
        <v>40</v>
      </c>
      <c r="AB184" s="298">
        <f t="shared" si="27"/>
        <v>6.25</v>
      </c>
      <c r="AC184" s="4"/>
      <c r="AD184" s="47"/>
      <c r="AE184" s="47"/>
      <c r="AF184" s="319"/>
      <c r="AG184" s="328">
        <f t="shared" si="28"/>
        <v>0</v>
      </c>
      <c r="AH184" s="4"/>
      <c r="AI184" s="255"/>
      <c r="AJ184" s="180"/>
      <c r="AK184" s="407"/>
      <c r="AQ184" s="180"/>
      <c r="AR184" s="180"/>
      <c r="AS184" s="180"/>
      <c r="AT184" s="180"/>
      <c r="AU184" s="180"/>
      <c r="AV184" s="180"/>
      <c r="AW184" s="180"/>
    </row>
    <row r="185" spans="1:49" s="193" customFormat="1">
      <c r="A185" s="180"/>
      <c r="B185" s="437" t="s">
        <v>355</v>
      </c>
      <c r="C185" s="5">
        <v>0</v>
      </c>
      <c r="D185" s="5">
        <v>0</v>
      </c>
      <c r="E185" s="319">
        <v>8</v>
      </c>
      <c r="F185" s="646"/>
      <c r="G185" s="438"/>
      <c r="H185" s="5">
        <v>0</v>
      </c>
      <c r="I185" s="5">
        <v>0</v>
      </c>
      <c r="J185" s="319">
        <v>0</v>
      </c>
      <c r="K185" s="646"/>
      <c r="L185" s="438"/>
      <c r="M185" s="5">
        <v>0</v>
      </c>
      <c r="N185" s="5">
        <v>0</v>
      </c>
      <c r="O185" s="319">
        <v>5.2</v>
      </c>
      <c r="P185" s="646"/>
      <c r="Q185" s="438"/>
      <c r="R185" s="5">
        <v>0</v>
      </c>
      <c r="S185" s="5">
        <v>0</v>
      </c>
      <c r="T185" s="319">
        <v>0</v>
      </c>
      <c r="U185" s="646"/>
      <c r="V185" s="438"/>
      <c r="W185" s="5">
        <v>0</v>
      </c>
      <c r="X185" s="5">
        <v>0</v>
      </c>
      <c r="Y185" s="319">
        <v>0</v>
      </c>
      <c r="Z185" s="646"/>
      <c r="AA185" s="328">
        <f t="shared" si="26"/>
        <v>13.2</v>
      </c>
      <c r="AB185" s="298">
        <f t="shared" si="27"/>
        <v>0</v>
      </c>
      <c r="AC185" s="4"/>
      <c r="AD185" s="47"/>
      <c r="AE185" s="47"/>
      <c r="AF185" s="319"/>
      <c r="AG185" s="328">
        <f t="shared" si="28"/>
        <v>0</v>
      </c>
      <c r="AH185" s="4"/>
      <c r="AI185" s="255"/>
      <c r="AJ185" s="180"/>
      <c r="AK185" s="407"/>
      <c r="AQ185" s="180"/>
      <c r="AR185" s="180"/>
      <c r="AS185" s="180"/>
      <c r="AT185" s="180"/>
      <c r="AU185" s="180"/>
      <c r="AV185" s="180"/>
      <c r="AW185" s="180"/>
    </row>
    <row r="186" spans="1:49" s="193" customFormat="1">
      <c r="A186" s="180"/>
      <c r="B186" s="437" t="s">
        <v>356</v>
      </c>
      <c r="C186" s="5">
        <v>0</v>
      </c>
      <c r="D186" s="5">
        <v>0</v>
      </c>
      <c r="E186" s="319">
        <v>21.7</v>
      </c>
      <c r="F186" s="646"/>
      <c r="G186" s="438"/>
      <c r="H186" s="5">
        <v>0</v>
      </c>
      <c r="I186" s="5">
        <v>0</v>
      </c>
      <c r="J186" s="319">
        <v>0</v>
      </c>
      <c r="K186" s="646"/>
      <c r="L186" s="438"/>
      <c r="M186" s="5">
        <v>0</v>
      </c>
      <c r="N186" s="5">
        <v>0</v>
      </c>
      <c r="O186" s="319">
        <v>22.7</v>
      </c>
      <c r="P186" s="646"/>
      <c r="Q186" s="438"/>
      <c r="R186" s="5">
        <v>0</v>
      </c>
      <c r="S186" s="5">
        <v>0</v>
      </c>
      <c r="T186" s="319">
        <v>16.5</v>
      </c>
      <c r="U186" s="646"/>
      <c r="V186" s="438"/>
      <c r="W186" s="5">
        <v>0</v>
      </c>
      <c r="X186" s="5">
        <v>0</v>
      </c>
      <c r="Y186" s="319">
        <v>10.5</v>
      </c>
      <c r="Z186" s="646"/>
      <c r="AA186" s="328">
        <f t="shared" si="26"/>
        <v>71.400000000000006</v>
      </c>
      <c r="AB186" s="298">
        <f t="shared" si="27"/>
        <v>0</v>
      </c>
      <c r="AC186" s="4"/>
      <c r="AD186" s="47"/>
      <c r="AE186" s="47"/>
      <c r="AF186" s="319"/>
      <c r="AG186" s="29">
        <f t="shared" si="28"/>
        <v>0</v>
      </c>
      <c r="AH186" s="4"/>
      <c r="AI186" s="255"/>
      <c r="AJ186" s="180"/>
      <c r="AK186" s="407"/>
      <c r="AQ186" s="180"/>
      <c r="AR186" s="180"/>
      <c r="AS186" s="180"/>
      <c r="AT186" s="180"/>
      <c r="AU186" s="180"/>
      <c r="AV186" s="180"/>
      <c r="AW186" s="180"/>
    </row>
    <row r="187" spans="1:49" s="193" customFormat="1">
      <c r="A187" s="180"/>
      <c r="B187" s="64" t="s">
        <v>61</v>
      </c>
      <c r="C187" s="31"/>
      <c r="D187" s="31"/>
      <c r="E187" s="439">
        <f>SUM(E157:E186)</f>
        <v>157.69999999999999</v>
      </c>
      <c r="F187" s="646">
        <f>SUM(F157:F186)</f>
        <v>2.25</v>
      </c>
      <c r="G187" s="31"/>
      <c r="H187" s="31"/>
      <c r="I187" s="31"/>
      <c r="J187" s="439">
        <f>SUM(J157:J186)</f>
        <v>110.25</v>
      </c>
      <c r="K187" s="646">
        <f>SUM(K157:K186)</f>
        <v>1.6</v>
      </c>
      <c r="L187" s="31"/>
      <c r="M187" s="31"/>
      <c r="N187" s="31"/>
      <c r="O187" s="439">
        <f>SUM(O157:O186)</f>
        <v>163.89999999999998</v>
      </c>
      <c r="P187" s="646">
        <f>SUM(P157:P186)</f>
        <v>1</v>
      </c>
      <c r="Q187" s="31"/>
      <c r="R187" s="31"/>
      <c r="S187" s="31"/>
      <c r="T187" s="439">
        <f>SUM(T157:T186)</f>
        <v>126</v>
      </c>
      <c r="U187" s="646">
        <f>SUM(U157:U186)</f>
        <v>9.75</v>
      </c>
      <c r="V187" s="31"/>
      <c r="W187" s="31"/>
      <c r="X187" s="31"/>
      <c r="Y187" s="439">
        <f>SUM(Y157:Y186)</f>
        <v>129.75</v>
      </c>
      <c r="Z187" s="646">
        <f>SUM(Z157:Z186)</f>
        <v>1.75</v>
      </c>
      <c r="AA187" s="370">
        <f>SUM(AA157:AA186)</f>
        <v>687.6</v>
      </c>
      <c r="AB187" s="370">
        <f>SUM(AB157:AB186)</f>
        <v>16.350000000000001</v>
      </c>
      <c r="AC187" s="4"/>
      <c r="AD187" s="64"/>
      <c r="AE187" s="64"/>
      <c r="AF187" s="370">
        <f>SUM(AF157:AF186)</f>
        <v>0</v>
      </c>
      <c r="AG187" s="370">
        <f>SUM(AG157:AG186)</f>
        <v>0</v>
      </c>
      <c r="AH187" s="4"/>
      <c r="AI187" s="255"/>
      <c r="AJ187" s="180"/>
      <c r="AK187" s="407"/>
      <c r="AQ187" s="180"/>
      <c r="AR187" s="180"/>
      <c r="AS187" s="180"/>
      <c r="AT187" s="180"/>
      <c r="AU187" s="180"/>
      <c r="AV187" s="180"/>
      <c r="AW187" s="180"/>
    </row>
    <row r="188" spans="1:49" s="193" customFormat="1">
      <c r="A188" s="180"/>
      <c r="B188" s="63" t="s">
        <v>64</v>
      </c>
      <c r="C188" s="47"/>
      <c r="D188" s="47"/>
      <c r="E188" s="319">
        <v>8</v>
      </c>
      <c r="F188" s="648"/>
      <c r="G188" s="613"/>
      <c r="H188" s="47"/>
      <c r="I188" s="47"/>
      <c r="J188" s="319">
        <v>8</v>
      </c>
      <c r="K188" s="346">
        <v>0.75</v>
      </c>
      <c r="L188" s="60"/>
      <c r="M188" s="47"/>
      <c r="N188" s="47"/>
      <c r="O188" s="319">
        <v>8</v>
      </c>
      <c r="P188" s="346">
        <v>0.5</v>
      </c>
      <c r="Q188" s="60"/>
      <c r="R188" s="47"/>
      <c r="S188" s="47"/>
      <c r="T188" s="319">
        <v>8</v>
      </c>
      <c r="U188" s="346">
        <v>1</v>
      </c>
      <c r="V188" s="60"/>
      <c r="W188" s="47"/>
      <c r="X188" s="47"/>
      <c r="Y188" s="319">
        <v>8</v>
      </c>
      <c r="Z188" s="346">
        <v>0.5</v>
      </c>
      <c r="AA188" s="28">
        <f>SUM(E188+J188+O188+T188+Y188)</f>
        <v>40</v>
      </c>
      <c r="AB188" s="296">
        <f>Z188+U188+P188+K188+F188</f>
        <v>2.75</v>
      </c>
      <c r="AC188" s="4"/>
      <c r="AD188" s="47" t="s">
        <v>29</v>
      </c>
      <c r="AE188" s="47" t="s">
        <v>29</v>
      </c>
      <c r="AF188" s="319"/>
      <c r="AG188" s="29">
        <f>AF188</f>
        <v>0</v>
      </c>
      <c r="AH188" s="4"/>
      <c r="AI188" s="255"/>
      <c r="AJ188" s="180"/>
      <c r="AK188" s="407"/>
      <c r="AQ188" s="180"/>
      <c r="AR188" s="180"/>
      <c r="AS188" s="180"/>
      <c r="AT188" s="180"/>
      <c r="AU188" s="180"/>
      <c r="AV188" s="180"/>
      <c r="AW188" s="180"/>
    </row>
    <row r="189" spans="1:49" s="193" customFormat="1">
      <c r="A189" s="180"/>
      <c r="B189" s="71" t="s">
        <v>66</v>
      </c>
      <c r="C189" s="371"/>
      <c r="D189" s="371"/>
      <c r="E189" s="71"/>
      <c r="F189" s="613"/>
      <c r="G189" s="71"/>
      <c r="H189" s="71"/>
      <c r="I189" s="71"/>
      <c r="J189" s="71"/>
      <c r="K189" s="613"/>
      <c r="L189" s="71"/>
      <c r="M189" s="71"/>
      <c r="N189" s="71"/>
      <c r="O189" s="71"/>
      <c r="P189" s="613"/>
      <c r="Q189" s="71"/>
      <c r="R189" s="71"/>
      <c r="S189" s="71"/>
      <c r="T189" s="71"/>
      <c r="U189" s="613"/>
      <c r="V189" s="71"/>
      <c r="W189" s="71"/>
      <c r="X189" s="71"/>
      <c r="Y189" s="71"/>
      <c r="Z189" s="613"/>
      <c r="AA189" s="370">
        <f>SUM(AA188:AA188)</f>
        <v>40</v>
      </c>
      <c r="AB189" s="370">
        <f>SUM(AB188:AB188)</f>
        <v>2.75</v>
      </c>
      <c r="AC189" s="4"/>
      <c r="AD189" s="180"/>
      <c r="AE189" s="180"/>
      <c r="AF189" s="180"/>
      <c r="AG189" s="370">
        <f>SUM(AG188:AG188)</f>
        <v>0</v>
      </c>
      <c r="AH189" s="4"/>
      <c r="AI189" s="255"/>
      <c r="AJ189" s="180"/>
      <c r="AK189" s="407"/>
      <c r="AQ189" s="180"/>
      <c r="AR189" s="180"/>
      <c r="AS189" s="180"/>
      <c r="AT189" s="180"/>
      <c r="AU189" s="180"/>
      <c r="AV189" s="180"/>
      <c r="AW189" s="180"/>
    </row>
    <row r="190" spans="1:49" s="193" customFormat="1">
      <c r="A190" s="180"/>
      <c r="B190" s="217" t="s">
        <v>67</v>
      </c>
      <c r="C190" s="207">
        <f>C191+C192</f>
        <v>61</v>
      </c>
      <c r="D190" s="207"/>
      <c r="E190" s="209"/>
      <c r="F190" s="209"/>
      <c r="G190" s="207"/>
      <c r="H190" s="209"/>
      <c r="I190" s="209"/>
      <c r="J190" s="209"/>
      <c r="K190" s="209"/>
      <c r="L190" s="207"/>
      <c r="M190" s="207"/>
      <c r="N190" s="207"/>
      <c r="O190" s="207"/>
      <c r="P190" s="209"/>
      <c r="Q190" s="207"/>
      <c r="R190" s="207"/>
      <c r="S190" s="207"/>
      <c r="T190" s="207"/>
      <c r="U190" s="209"/>
      <c r="V190" s="207"/>
      <c r="W190" s="207"/>
      <c r="X190" s="207"/>
      <c r="Y190" s="210"/>
      <c r="Z190" s="209"/>
      <c r="AA190" s="211"/>
      <c r="AB190" s="209"/>
      <c r="AC190" s="211"/>
      <c r="AD190" s="211"/>
      <c r="AE190" s="211"/>
      <c r="AF190" s="211"/>
      <c r="AG190" s="211"/>
      <c r="AH190" s="4"/>
      <c r="AI190" s="255"/>
      <c r="AJ190" s="180"/>
      <c r="AK190" s="407"/>
      <c r="AQ190" s="180"/>
      <c r="AR190" s="180"/>
      <c r="AS190" s="180"/>
      <c r="AT190" s="180"/>
      <c r="AU190" s="180"/>
      <c r="AV190" s="180"/>
      <c r="AW190" s="180"/>
    </row>
    <row r="191" spans="1:49" s="193" customFormat="1">
      <c r="A191" s="180"/>
      <c r="B191" s="238" t="s">
        <v>68</v>
      </c>
      <c r="C191" s="239">
        <f>11+9+12+17+12</f>
        <v>61</v>
      </c>
      <c r="D191" s="207"/>
      <c r="E191" s="209"/>
      <c r="F191" s="209"/>
      <c r="G191" s="207"/>
      <c r="H191" s="209"/>
      <c r="I191" s="209"/>
      <c r="J191" s="209"/>
      <c r="K191" s="209"/>
      <c r="L191" s="207"/>
      <c r="M191" s="207"/>
      <c r="N191" s="207"/>
      <c r="O191" s="207"/>
      <c r="P191" s="209"/>
      <c r="Q191" s="207"/>
      <c r="R191" s="207"/>
      <c r="S191" s="207"/>
      <c r="T191" s="207"/>
      <c r="U191" s="209"/>
      <c r="V191" s="207"/>
      <c r="W191" s="207"/>
      <c r="X191" s="207"/>
      <c r="Y191" s="210"/>
      <c r="Z191" s="209"/>
      <c r="AA191" s="211"/>
      <c r="AB191" s="209"/>
      <c r="AC191" s="211"/>
      <c r="AD191" s="211"/>
      <c r="AE191" s="211"/>
      <c r="AF191" s="211"/>
      <c r="AG191" s="211"/>
      <c r="AH191" s="4"/>
      <c r="AI191" s="255"/>
      <c r="AJ191" s="180"/>
      <c r="AQ191" s="180"/>
      <c r="AR191" s="180"/>
      <c r="AS191" s="180"/>
      <c r="AT191" s="180"/>
      <c r="AU191" s="180"/>
      <c r="AV191" s="180"/>
      <c r="AW191" s="180"/>
    </row>
    <row r="192" spans="1:49" s="193" customFormat="1">
      <c r="A192" s="180"/>
      <c r="B192" s="238" t="s">
        <v>69</v>
      </c>
      <c r="C192" s="239"/>
      <c r="D192" s="207"/>
      <c r="E192" s="209"/>
      <c r="F192" s="209"/>
      <c r="G192" s="207"/>
      <c r="H192" s="209"/>
      <c r="I192" s="209"/>
      <c r="J192" s="209"/>
      <c r="K192" s="209"/>
      <c r="L192" s="207"/>
      <c r="M192" s="207"/>
      <c r="N192" s="207"/>
      <c r="O192" s="207"/>
      <c r="P192" s="209"/>
      <c r="Q192" s="207"/>
      <c r="R192" s="207"/>
      <c r="S192" s="207"/>
      <c r="T192" s="207"/>
      <c r="U192" s="209"/>
      <c r="V192" s="207"/>
      <c r="W192" s="207"/>
      <c r="X192" s="207"/>
      <c r="Y192" s="210"/>
      <c r="Z192" s="209"/>
      <c r="AA192" s="211"/>
      <c r="AB192" s="209"/>
      <c r="AC192" s="211"/>
      <c r="AD192" s="211"/>
      <c r="AE192" s="211"/>
      <c r="AF192" s="211"/>
      <c r="AG192" s="211"/>
      <c r="AH192" s="4"/>
      <c r="AI192" s="255"/>
      <c r="AJ192" s="180"/>
      <c r="AQ192" s="180"/>
      <c r="AR192" s="180"/>
      <c r="AS192" s="180"/>
      <c r="AT192" s="180"/>
      <c r="AU192" s="180"/>
      <c r="AV192" s="180"/>
      <c r="AW192" s="180"/>
    </row>
    <row r="193" spans="1:49" s="193" customFormat="1">
      <c r="A193" s="180"/>
      <c r="AH193" s="4"/>
      <c r="AI193" s="255"/>
      <c r="AJ193" s="180"/>
      <c r="AQ193" s="180"/>
      <c r="AR193" s="180"/>
      <c r="AS193" s="180"/>
      <c r="AT193" s="180"/>
      <c r="AU193" s="180"/>
      <c r="AV193" s="180"/>
      <c r="AW193" s="180"/>
    </row>
    <row r="194" spans="1:49">
      <c r="A194" s="180"/>
      <c r="B194" s="229"/>
      <c r="C194" s="230"/>
      <c r="D194" s="230"/>
      <c r="E194" s="232"/>
      <c r="F194" s="232"/>
      <c r="G194" s="230"/>
      <c r="H194" s="232"/>
      <c r="I194" s="232"/>
      <c r="J194" s="232"/>
      <c r="K194" s="232"/>
      <c r="L194" s="230"/>
      <c r="M194" s="230"/>
      <c r="N194" s="230"/>
      <c r="O194" s="230"/>
      <c r="P194" s="232"/>
      <c r="Q194" s="230"/>
      <c r="R194" s="230"/>
      <c r="S194" s="230"/>
      <c r="T194" s="230"/>
      <c r="U194" s="232"/>
      <c r="V194" s="230"/>
      <c r="W194" s="230"/>
      <c r="X194" s="230"/>
      <c r="Y194" s="233"/>
      <c r="Z194" s="232"/>
      <c r="AA194" s="234"/>
      <c r="AB194" s="232"/>
      <c r="AC194" s="373"/>
      <c r="AD194" s="236"/>
      <c r="AE194" s="255"/>
      <c r="AF194" s="255"/>
      <c r="AG194" s="255"/>
      <c r="AH194" s="255"/>
      <c r="AJ194" s="255"/>
      <c r="AK194" s="255"/>
      <c r="AL194" s="255"/>
      <c r="AM194" s="255"/>
      <c r="AN194" s="255"/>
      <c r="AO194" s="255"/>
      <c r="AP194" s="255"/>
      <c r="AQ194" s="255"/>
      <c r="AR194" s="255"/>
      <c r="AS194" s="255"/>
      <c r="AT194" s="255"/>
      <c r="AU194" s="255"/>
      <c r="AV194" s="255"/>
      <c r="AW194" s="255"/>
    </row>
    <row r="195" spans="1:49">
      <c r="B195" s="180"/>
      <c r="E195" s="4"/>
      <c r="F195" s="644"/>
      <c r="G195" s="4"/>
      <c r="J195" s="4"/>
      <c r="K195" s="644"/>
      <c r="L195" s="4"/>
      <c r="O195" s="4"/>
      <c r="P195" s="644"/>
      <c r="T195" s="4"/>
      <c r="U195" s="644"/>
      <c r="Y195" s="4"/>
      <c r="Z195" s="644"/>
      <c r="AA195" s="4"/>
      <c r="AB195" s="4"/>
      <c r="AC195" s="4"/>
      <c r="AK195" s="180"/>
      <c r="AL195" s="180"/>
      <c r="AM195" s="180"/>
      <c r="AN195" s="180"/>
      <c r="AO195" s="180"/>
      <c r="AP195" s="180"/>
    </row>
    <row r="196" spans="1:49">
      <c r="A196" s="228"/>
      <c r="B196" s="1518" t="s">
        <v>18</v>
      </c>
      <c r="C196" s="1519">
        <v>45572</v>
      </c>
      <c r="D196" s="1519"/>
      <c r="E196" s="1519"/>
      <c r="F196" s="1519"/>
      <c r="G196" s="365"/>
      <c r="H196" s="1519">
        <v>45573</v>
      </c>
      <c r="I196" s="1519"/>
      <c r="J196" s="1519"/>
      <c r="K196" s="1519"/>
      <c r="L196" s="365"/>
      <c r="M196" s="1519">
        <v>45574</v>
      </c>
      <c r="N196" s="1519"/>
      <c r="O196" s="1519"/>
      <c r="P196" s="1519"/>
      <c r="Q196" s="365"/>
      <c r="R196" s="1519">
        <v>45575</v>
      </c>
      <c r="S196" s="1519"/>
      <c r="T196" s="1519"/>
      <c r="U196" s="1519"/>
      <c r="V196" s="365"/>
      <c r="W196" s="1519">
        <v>45576</v>
      </c>
      <c r="X196" s="1519"/>
      <c r="Y196" s="1519"/>
      <c r="Z196" s="1519"/>
      <c r="AA196" s="1517" t="s">
        <v>19</v>
      </c>
      <c r="AB196" s="1517" t="s">
        <v>20</v>
      </c>
      <c r="AC196" s="4"/>
      <c r="AD196" s="1519">
        <v>45577</v>
      </c>
      <c r="AE196" s="1519"/>
      <c r="AF196" s="1519"/>
      <c r="AG196" s="1517" t="s">
        <v>21</v>
      </c>
      <c r="AI196" s="368"/>
      <c r="AK196" s="194" t="s">
        <v>84</v>
      </c>
      <c r="AL196" s="366"/>
      <c r="AM196" s="366"/>
      <c r="AN196" s="366"/>
      <c r="AO196" s="366"/>
      <c r="AP196" s="366"/>
    </row>
    <row r="197" spans="1:49">
      <c r="A197" s="180"/>
      <c r="B197" s="1518"/>
      <c r="C197" s="21" t="s">
        <v>23</v>
      </c>
      <c r="D197" s="21" t="s">
        <v>24</v>
      </c>
      <c r="E197" s="205" t="s">
        <v>25</v>
      </c>
      <c r="F197" s="645" t="s">
        <v>14</v>
      </c>
      <c r="G197" s="4"/>
      <c r="H197" s="21" t="s">
        <v>23</v>
      </c>
      <c r="I197" s="21" t="s">
        <v>24</v>
      </c>
      <c r="J197" s="18" t="s">
        <v>25</v>
      </c>
      <c r="K197" s="645" t="s">
        <v>14</v>
      </c>
      <c r="L197" s="4"/>
      <c r="M197" s="21" t="s">
        <v>23</v>
      </c>
      <c r="N197" s="21" t="s">
        <v>24</v>
      </c>
      <c r="O197" s="18" t="s">
        <v>25</v>
      </c>
      <c r="P197" s="645" t="s">
        <v>14</v>
      </c>
      <c r="R197" s="21" t="s">
        <v>23</v>
      </c>
      <c r="S197" s="21" t="s">
        <v>24</v>
      </c>
      <c r="T197" s="18" t="s">
        <v>25</v>
      </c>
      <c r="U197" s="645" t="s">
        <v>14</v>
      </c>
      <c r="W197" s="21" t="s">
        <v>23</v>
      </c>
      <c r="X197" s="21" t="s">
        <v>24</v>
      </c>
      <c r="Y197" s="18" t="s">
        <v>25</v>
      </c>
      <c r="Z197" s="645" t="s">
        <v>14</v>
      </c>
      <c r="AA197" s="1517"/>
      <c r="AB197" s="1517"/>
      <c r="AC197" s="4"/>
      <c r="AD197" s="21" t="s">
        <v>23</v>
      </c>
      <c r="AE197" s="21" t="s">
        <v>24</v>
      </c>
      <c r="AF197" s="18" t="s">
        <v>25</v>
      </c>
      <c r="AG197" s="1517"/>
      <c r="AI197" s="368"/>
      <c r="AJ197" s="367"/>
      <c r="AK197" s="188" t="s">
        <v>26</v>
      </c>
      <c r="AL197" s="196">
        <f>AA228</f>
        <v>589.19999999999993</v>
      </c>
      <c r="AM197" s="510">
        <v>39.14</v>
      </c>
      <c r="AN197" s="510">
        <f t="shared" ref="AN197:AN199" si="29">AL197*AM197</f>
        <v>23061.287999999997</v>
      </c>
      <c r="AQ197" s="367"/>
      <c r="AR197" s="367"/>
      <c r="AS197" s="367"/>
      <c r="AT197" s="367"/>
      <c r="AU197" s="367"/>
      <c r="AV197" s="367"/>
      <c r="AW197" s="367"/>
    </row>
    <row r="198" spans="1:49">
      <c r="A198" s="180"/>
      <c r="B198" s="640" t="s">
        <v>957</v>
      </c>
      <c r="C198" s="643"/>
      <c r="D198" s="519"/>
      <c r="E198" s="520"/>
      <c r="F198" s="647"/>
      <c r="G198" s="521"/>
      <c r="H198" s="519"/>
      <c r="I198" s="519"/>
      <c r="J198" s="520"/>
      <c r="K198" s="647"/>
      <c r="L198" s="521"/>
      <c r="M198" s="519"/>
      <c r="N198" s="519"/>
      <c r="O198" s="520"/>
      <c r="P198" s="647"/>
      <c r="Q198" s="521"/>
      <c r="R198" s="519"/>
      <c r="S198" s="519"/>
      <c r="T198" s="520"/>
      <c r="U198" s="647"/>
      <c r="V198" s="521"/>
      <c r="W198" s="519"/>
      <c r="X198" s="519"/>
      <c r="Y198" s="520"/>
      <c r="Z198" s="646"/>
      <c r="AA198" s="328">
        <f t="shared" ref="AA198:AA227" si="30">(E198+J198+O198+T198+Y198)</f>
        <v>0</v>
      </c>
      <c r="AB198" s="298">
        <f t="shared" ref="AB198:AB227" si="31">Z198+U198+P198+K198+F198</f>
        <v>0</v>
      </c>
      <c r="AC198" s="4"/>
      <c r="AD198" s="587"/>
      <c r="AE198" s="531"/>
      <c r="AF198" s="319"/>
      <c r="AG198" s="328">
        <f>AF198</f>
        <v>0</v>
      </c>
      <c r="AI198" s="368"/>
      <c r="AJ198" s="367"/>
      <c r="AK198" s="188" t="s">
        <v>30</v>
      </c>
      <c r="AL198" s="196">
        <f>AB228</f>
        <v>21</v>
      </c>
      <c r="AM198" s="511">
        <f>AM197*1.5</f>
        <v>58.71</v>
      </c>
      <c r="AN198" s="510">
        <f t="shared" si="29"/>
        <v>1232.9100000000001</v>
      </c>
      <c r="AQ198" s="367"/>
      <c r="AR198" s="367"/>
      <c r="AS198" s="367"/>
      <c r="AT198" s="367"/>
      <c r="AU198" s="367"/>
      <c r="AV198" s="367"/>
      <c r="AW198" s="367"/>
    </row>
    <row r="199" spans="1:49">
      <c r="A199" s="367"/>
      <c r="B199" s="4" t="s">
        <v>958</v>
      </c>
      <c r="C199" s="441" t="s">
        <v>75</v>
      </c>
      <c r="D199" s="47">
        <v>0.25</v>
      </c>
      <c r="E199" s="319">
        <v>8</v>
      </c>
      <c r="F199" s="646"/>
      <c r="G199" s="4"/>
      <c r="H199" s="441" t="s">
        <v>75</v>
      </c>
      <c r="I199" s="47">
        <v>0.25</v>
      </c>
      <c r="J199" s="319">
        <v>8</v>
      </c>
      <c r="K199" s="646"/>
      <c r="L199" s="4"/>
      <c r="M199" s="441" t="s">
        <v>246</v>
      </c>
      <c r="N199" s="47">
        <v>0.25</v>
      </c>
      <c r="O199" s="319">
        <v>8</v>
      </c>
      <c r="P199" s="646">
        <v>3</v>
      </c>
      <c r="R199" s="47">
        <v>0.375</v>
      </c>
      <c r="S199" s="47">
        <v>0.25</v>
      </c>
      <c r="T199" s="319">
        <v>8</v>
      </c>
      <c r="U199" s="646"/>
      <c r="W199" s="47">
        <v>0.375</v>
      </c>
      <c r="X199" s="47">
        <v>0.25</v>
      </c>
      <c r="Y199" s="319">
        <v>8</v>
      </c>
      <c r="Z199" s="646"/>
      <c r="AA199" s="328">
        <f t="shared" si="30"/>
        <v>40</v>
      </c>
      <c r="AB199" s="298">
        <f t="shared" si="31"/>
        <v>3</v>
      </c>
      <c r="AC199" s="4"/>
      <c r="AF199" s="319"/>
      <c r="AG199" s="328">
        <f t="shared" ref="AG199:AG227" si="32">AF199</f>
        <v>0</v>
      </c>
      <c r="AH199" s="175"/>
      <c r="AI199" s="402"/>
      <c r="AJ199" s="367"/>
      <c r="AK199" s="188" t="s">
        <v>32</v>
      </c>
      <c r="AL199" s="196">
        <f>AG228</f>
        <v>0</v>
      </c>
      <c r="AM199" s="510">
        <v>58.71</v>
      </c>
      <c r="AN199" s="510">
        <f t="shared" si="29"/>
        <v>0</v>
      </c>
      <c r="AQ199" s="367"/>
      <c r="AR199" s="367"/>
      <c r="AS199" s="367"/>
      <c r="AT199" s="367"/>
      <c r="AU199" s="367"/>
      <c r="AV199" s="367"/>
      <c r="AW199" s="367"/>
    </row>
    <row r="200" spans="1:49">
      <c r="A200" s="367"/>
      <c r="B200" s="47" t="s">
        <v>515</v>
      </c>
      <c r="C200" s="441" t="s">
        <v>75</v>
      </c>
      <c r="D200" s="47">
        <v>0.25</v>
      </c>
      <c r="E200" s="319">
        <v>8</v>
      </c>
      <c r="F200" s="646"/>
      <c r="G200" s="4"/>
      <c r="H200" s="441" t="s">
        <v>75</v>
      </c>
      <c r="I200" s="47">
        <v>0.25</v>
      </c>
      <c r="J200" s="319">
        <v>8</v>
      </c>
      <c r="K200" s="646"/>
      <c r="L200" s="4"/>
      <c r="M200" s="326">
        <v>0.38541666666666669</v>
      </c>
      <c r="N200" s="47">
        <v>0.25</v>
      </c>
      <c r="O200" s="319">
        <v>7.75</v>
      </c>
      <c r="P200" s="646"/>
      <c r="R200" s="47">
        <v>0.375</v>
      </c>
      <c r="S200" s="47">
        <v>0.25</v>
      </c>
      <c r="T200" s="319">
        <v>8</v>
      </c>
      <c r="U200" s="646"/>
      <c r="W200" s="47">
        <v>0.375</v>
      </c>
      <c r="X200" s="47">
        <v>0.25</v>
      </c>
      <c r="Y200" s="319">
        <v>8</v>
      </c>
      <c r="Z200" s="646"/>
      <c r="AA200" s="328">
        <f t="shared" si="30"/>
        <v>39.75</v>
      </c>
      <c r="AB200" s="298">
        <f t="shared" si="31"/>
        <v>0</v>
      </c>
      <c r="AC200" s="399"/>
      <c r="AD200" s="47"/>
      <c r="AE200" s="47"/>
      <c r="AF200" s="319"/>
      <c r="AG200" s="328">
        <f t="shared" si="32"/>
        <v>0</v>
      </c>
      <c r="AH200" s="175"/>
      <c r="AJ200" s="401"/>
      <c r="AK200" s="403" t="s">
        <v>213</v>
      </c>
      <c r="AL200" s="404">
        <f>AA230</f>
        <v>40</v>
      </c>
      <c r="AM200" s="510">
        <v>51.5</v>
      </c>
      <c r="AN200" s="510">
        <f>AL200*AM200</f>
        <v>2060</v>
      </c>
      <c r="AO200" s="405"/>
      <c r="AP200" s="405"/>
      <c r="AQ200" s="367"/>
      <c r="AR200" s="401"/>
      <c r="AS200" s="401"/>
      <c r="AT200" s="401"/>
      <c r="AU200" s="401"/>
      <c r="AV200" s="401"/>
      <c r="AW200" s="401"/>
    </row>
    <row r="201" spans="1:49" ht="14.25" customHeight="1">
      <c r="A201" s="367"/>
      <c r="B201" s="441" t="s">
        <v>962</v>
      </c>
      <c r="C201" s="441" t="s">
        <v>154</v>
      </c>
      <c r="D201" s="5">
        <v>0</v>
      </c>
      <c r="E201" s="319">
        <v>0</v>
      </c>
      <c r="F201" s="646"/>
      <c r="G201" s="4"/>
      <c r="H201" s="441" t="s">
        <v>75</v>
      </c>
      <c r="I201" s="47">
        <v>0.25</v>
      </c>
      <c r="J201" s="319">
        <v>8</v>
      </c>
      <c r="K201" s="646"/>
      <c r="L201" s="4"/>
      <c r="M201" s="441" t="s">
        <v>154</v>
      </c>
      <c r="N201" s="5">
        <v>0</v>
      </c>
      <c r="O201" s="319">
        <v>0</v>
      </c>
      <c r="P201" s="646"/>
      <c r="R201" s="47">
        <v>0.39583333333333331</v>
      </c>
      <c r="S201" s="47">
        <v>0.20833333333333334</v>
      </c>
      <c r="T201" s="319">
        <v>6.5</v>
      </c>
      <c r="U201" s="646"/>
      <c r="W201" s="5">
        <v>0</v>
      </c>
      <c r="X201" s="5">
        <v>0</v>
      </c>
      <c r="Y201" s="319">
        <v>0</v>
      </c>
      <c r="Z201" s="646"/>
      <c r="AA201" s="328">
        <f t="shared" si="30"/>
        <v>14.5</v>
      </c>
      <c r="AB201" s="298">
        <f t="shared" si="31"/>
        <v>0</v>
      </c>
      <c r="AC201" s="175"/>
      <c r="AD201" s="47"/>
      <c r="AE201" s="47"/>
      <c r="AF201" s="319"/>
      <c r="AG201" s="328">
        <f t="shared" si="32"/>
        <v>0</v>
      </c>
      <c r="AH201" s="175"/>
      <c r="AJ201" s="401"/>
      <c r="AK201" s="188" t="s">
        <v>36</v>
      </c>
      <c r="AL201" s="196">
        <f>AB230</f>
        <v>4.75</v>
      </c>
      <c r="AM201" s="510">
        <f>AM200*1.5</f>
        <v>77.25</v>
      </c>
      <c r="AN201" s="510">
        <f>AL201*AM201</f>
        <v>366.9375</v>
      </c>
      <c r="AO201" s="405"/>
      <c r="AP201" s="405"/>
      <c r="AQ201" s="367"/>
      <c r="AR201" s="401"/>
      <c r="AS201" s="401"/>
      <c r="AT201" s="401"/>
      <c r="AU201" s="401"/>
      <c r="AV201" s="401"/>
      <c r="AW201" s="401"/>
    </row>
    <row r="202" spans="1:49">
      <c r="A202" s="367"/>
      <c r="B202" s="47" t="s">
        <v>967</v>
      </c>
      <c r="C202" s="441" t="s">
        <v>75</v>
      </c>
      <c r="D202" s="47">
        <v>0.25</v>
      </c>
      <c r="E202" s="319">
        <v>8</v>
      </c>
      <c r="F202" s="646"/>
      <c r="G202" s="4"/>
      <c r="H202" s="441" t="s">
        <v>212</v>
      </c>
      <c r="I202" s="47">
        <v>0.25</v>
      </c>
      <c r="J202" s="319">
        <v>7.75</v>
      </c>
      <c r="K202" s="646"/>
      <c r="L202" s="4"/>
      <c r="M202" s="326">
        <v>0.38541666666666669</v>
      </c>
      <c r="N202" s="47">
        <v>0.25</v>
      </c>
      <c r="O202" s="319">
        <v>7.75</v>
      </c>
      <c r="P202" s="646"/>
      <c r="R202" s="47">
        <v>0.375</v>
      </c>
      <c r="S202" s="47">
        <v>0.25</v>
      </c>
      <c r="T202" s="319">
        <v>8</v>
      </c>
      <c r="U202" s="646"/>
      <c r="W202" s="47">
        <v>0.375</v>
      </c>
      <c r="X202" s="47">
        <v>0.25</v>
      </c>
      <c r="Y202" s="319">
        <v>8</v>
      </c>
      <c r="Z202" s="646"/>
      <c r="AA202" s="328">
        <f t="shared" si="30"/>
        <v>39.5</v>
      </c>
      <c r="AB202" s="298">
        <f t="shared" si="31"/>
        <v>0</v>
      </c>
      <c r="AC202" s="4"/>
      <c r="AD202" s="47"/>
      <c r="AE202" s="47"/>
      <c r="AF202" s="319"/>
      <c r="AG202" s="328">
        <f t="shared" si="32"/>
        <v>0</v>
      </c>
      <c r="AH202" s="175"/>
      <c r="AI202" s="368"/>
      <c r="AK202" s="188" t="s">
        <v>38</v>
      </c>
      <c r="AL202" s="196">
        <f>AG230</f>
        <v>2</v>
      </c>
      <c r="AM202" s="510">
        <v>77.25</v>
      </c>
      <c r="AN202" s="510">
        <f>AL202*AM202</f>
        <v>154.5</v>
      </c>
      <c r="AQ202" s="367"/>
    </row>
    <row r="203" spans="1:49" s="4" customFormat="1" ht="14.25" thickBot="1">
      <c r="A203" s="180"/>
      <c r="B203" s="436" t="s">
        <v>972</v>
      </c>
      <c r="C203" s="441" t="s">
        <v>75</v>
      </c>
      <c r="D203" s="47">
        <v>0.25</v>
      </c>
      <c r="E203" s="319">
        <v>8</v>
      </c>
      <c r="F203" s="646"/>
      <c r="H203" s="441" t="s">
        <v>212</v>
      </c>
      <c r="I203" s="47">
        <v>0.25</v>
      </c>
      <c r="J203" s="319">
        <v>7.75</v>
      </c>
      <c r="K203" s="646"/>
      <c r="M203" s="47">
        <v>0.20833333333333334</v>
      </c>
      <c r="N203" s="47">
        <v>0.25</v>
      </c>
      <c r="O203" s="319">
        <v>8</v>
      </c>
      <c r="P203" s="646">
        <v>4</v>
      </c>
      <c r="R203" s="47">
        <v>0.375</v>
      </c>
      <c r="S203" s="47">
        <v>0.25</v>
      </c>
      <c r="T203" s="319">
        <v>8</v>
      </c>
      <c r="U203" s="646"/>
      <c r="W203" s="47">
        <v>0.375</v>
      </c>
      <c r="X203" s="47">
        <v>0.25</v>
      </c>
      <c r="Y203" s="319">
        <v>8</v>
      </c>
      <c r="Z203" s="646"/>
      <c r="AA203" s="328">
        <f t="shared" si="30"/>
        <v>39.75</v>
      </c>
      <c r="AB203" s="298">
        <f t="shared" si="31"/>
        <v>4</v>
      </c>
      <c r="AD203" s="47"/>
      <c r="AE203" s="47"/>
      <c r="AF203" s="319"/>
      <c r="AG203" s="328">
        <f t="shared" si="32"/>
        <v>0</v>
      </c>
      <c r="AI203" s="255"/>
      <c r="AJ203" s="180"/>
      <c r="AK203" s="188" t="s">
        <v>41</v>
      </c>
      <c r="AL203" s="196">
        <f>C231</f>
        <v>55</v>
      </c>
      <c r="AM203" s="512">
        <v>46.35</v>
      </c>
      <c r="AN203" s="512">
        <f>AL203*AM203</f>
        <v>2549.25</v>
      </c>
      <c r="AO203" s="193"/>
      <c r="AP203" s="193"/>
      <c r="AQ203" s="367"/>
      <c r="AR203" s="180"/>
      <c r="AS203" s="180"/>
      <c r="AT203" s="180"/>
      <c r="AU203" s="180"/>
      <c r="AV203" s="180"/>
      <c r="AW203" s="180"/>
    </row>
    <row r="204" spans="1:49" s="4" customFormat="1" ht="14.25" thickTop="1">
      <c r="A204" s="180"/>
      <c r="B204" s="47" t="s">
        <v>974</v>
      </c>
      <c r="C204" s="441" t="s">
        <v>75</v>
      </c>
      <c r="D204" s="47">
        <v>0.25</v>
      </c>
      <c r="E204" s="319">
        <v>8</v>
      </c>
      <c r="F204" s="646"/>
      <c r="H204" s="441" t="s">
        <v>75</v>
      </c>
      <c r="I204" s="47">
        <v>0.25</v>
      </c>
      <c r="J204" s="319">
        <v>8</v>
      </c>
      <c r="K204" s="646"/>
      <c r="M204" s="47">
        <v>0.20833333333333334</v>
      </c>
      <c r="N204" s="47">
        <v>0.25</v>
      </c>
      <c r="O204" s="319">
        <v>8</v>
      </c>
      <c r="P204" s="646">
        <v>4</v>
      </c>
      <c r="R204" s="47">
        <v>0.375</v>
      </c>
      <c r="S204" s="47">
        <v>0.25</v>
      </c>
      <c r="T204" s="319">
        <v>8</v>
      </c>
      <c r="U204" s="646"/>
      <c r="W204" s="47">
        <v>0.375</v>
      </c>
      <c r="X204" s="47">
        <v>0.25</v>
      </c>
      <c r="Y204" s="319">
        <v>8</v>
      </c>
      <c r="Z204" s="646"/>
      <c r="AA204" s="328">
        <f t="shared" si="30"/>
        <v>40</v>
      </c>
      <c r="AB204" s="298">
        <f t="shared" si="31"/>
        <v>4</v>
      </c>
      <c r="AD204" s="47"/>
      <c r="AE204" s="47"/>
      <c r="AF204" s="319"/>
      <c r="AG204" s="328">
        <f t="shared" si="32"/>
        <v>0</v>
      </c>
      <c r="AI204" s="255"/>
      <c r="AJ204" s="180"/>
      <c r="AK204" s="193"/>
      <c r="AL204" s="193"/>
      <c r="AM204" s="193"/>
      <c r="AN204" s="510">
        <f>SUM(AN197:AN203)</f>
        <v>29424.885499999997</v>
      </c>
      <c r="AO204" s="193"/>
      <c r="AP204" s="193"/>
      <c r="AQ204" s="367"/>
      <c r="AR204" s="180"/>
      <c r="AS204" s="180"/>
      <c r="AT204" s="180"/>
      <c r="AU204" s="180"/>
      <c r="AV204" s="180"/>
      <c r="AW204" s="180"/>
    </row>
    <row r="205" spans="1:49" s="4" customFormat="1" ht="16.149999999999999" customHeight="1">
      <c r="A205" s="180"/>
      <c r="B205" s="640" t="s">
        <v>390</v>
      </c>
      <c r="C205" s="643"/>
      <c r="D205" s="519"/>
      <c r="E205" s="520"/>
      <c r="F205" s="647"/>
      <c r="G205" s="521"/>
      <c r="H205" s="519"/>
      <c r="I205" s="519"/>
      <c r="J205" s="520"/>
      <c r="K205" s="647"/>
      <c r="L205" s="521"/>
      <c r="M205" s="519"/>
      <c r="N205" s="519"/>
      <c r="O205" s="520"/>
      <c r="P205" s="647"/>
      <c r="Q205" s="521"/>
      <c r="R205" s="519"/>
      <c r="S205" s="519"/>
      <c r="T205" s="520"/>
      <c r="U205" s="647"/>
      <c r="V205" s="521"/>
      <c r="W205" s="519"/>
      <c r="X205" s="519"/>
      <c r="Y205" s="520"/>
      <c r="Z205" s="646"/>
      <c r="AA205" s="328">
        <f t="shared" si="30"/>
        <v>0</v>
      </c>
      <c r="AB205" s="298">
        <f t="shared" si="31"/>
        <v>0</v>
      </c>
      <c r="AD205" s="47"/>
      <c r="AE205" s="47"/>
      <c r="AF205" s="319"/>
      <c r="AG205" s="328">
        <f t="shared" si="32"/>
        <v>0</v>
      </c>
      <c r="AI205" s="255"/>
      <c r="AJ205" s="180"/>
      <c r="AK205" s="193"/>
      <c r="AL205" s="193"/>
      <c r="AM205" s="193"/>
      <c r="AN205" s="193"/>
      <c r="AO205" s="193"/>
      <c r="AP205" s="193"/>
      <c r="AQ205" s="367"/>
      <c r="AR205" s="180"/>
      <c r="AS205" s="180"/>
      <c r="AT205" s="180"/>
      <c r="AU205" s="180"/>
      <c r="AV205" s="180"/>
      <c r="AW205" s="180"/>
    </row>
    <row r="206" spans="1:49" s="4" customFormat="1">
      <c r="A206" s="180"/>
      <c r="B206" s="639" t="s">
        <v>975</v>
      </c>
      <c r="C206" s="643"/>
      <c r="D206" s="519"/>
      <c r="E206" s="520"/>
      <c r="F206" s="647"/>
      <c r="G206" s="521"/>
      <c r="H206" s="519"/>
      <c r="I206" s="519"/>
      <c r="J206" s="520"/>
      <c r="K206" s="647"/>
      <c r="L206" s="521"/>
      <c r="M206" s="519"/>
      <c r="N206" s="519"/>
      <c r="O206" s="520"/>
      <c r="P206" s="647"/>
      <c r="Q206" s="521"/>
      <c r="R206" s="519"/>
      <c r="S206" s="519"/>
      <c r="T206" s="520"/>
      <c r="U206" s="647"/>
      <c r="V206" s="521"/>
      <c r="W206" s="519"/>
      <c r="X206" s="519"/>
      <c r="Y206" s="520"/>
      <c r="Z206" s="646"/>
      <c r="AA206" s="328">
        <f t="shared" si="30"/>
        <v>0</v>
      </c>
      <c r="AB206" s="298">
        <f t="shared" si="31"/>
        <v>0</v>
      </c>
      <c r="AD206" s="47"/>
      <c r="AE206" s="47"/>
      <c r="AF206" s="319"/>
      <c r="AG206" s="328">
        <f t="shared" si="32"/>
        <v>0</v>
      </c>
      <c r="AI206" s="255"/>
      <c r="AJ206" s="180"/>
      <c r="AK206" s="193"/>
      <c r="AL206" s="193"/>
      <c r="AM206" s="193"/>
      <c r="AN206" s="193"/>
      <c r="AO206" s="193"/>
      <c r="AP206" s="193"/>
      <c r="AQ206" s="180"/>
      <c r="AR206" s="180"/>
      <c r="AS206" s="180"/>
      <c r="AT206" s="180"/>
      <c r="AU206" s="180"/>
      <c r="AV206" s="180"/>
      <c r="AW206" s="180"/>
    </row>
    <row r="207" spans="1:49" s="4" customFormat="1">
      <c r="A207" s="180"/>
      <c r="B207" s="47" t="s">
        <v>517</v>
      </c>
      <c r="C207" s="441" t="s">
        <v>75</v>
      </c>
      <c r="D207" s="47">
        <v>0.25</v>
      </c>
      <c r="E207" s="319">
        <v>8</v>
      </c>
      <c r="F207" s="646"/>
      <c r="H207" s="441" t="s">
        <v>154</v>
      </c>
      <c r="I207" s="5">
        <v>0</v>
      </c>
      <c r="J207" s="319">
        <v>0</v>
      </c>
      <c r="K207" s="646"/>
      <c r="M207" s="47">
        <v>0.20833333333333334</v>
      </c>
      <c r="N207" s="47">
        <v>0.25</v>
      </c>
      <c r="O207" s="319">
        <v>8</v>
      </c>
      <c r="P207" s="646">
        <v>4</v>
      </c>
      <c r="R207" s="47">
        <v>0.375</v>
      </c>
      <c r="S207" s="47">
        <v>0.25</v>
      </c>
      <c r="T207" s="319">
        <v>8</v>
      </c>
      <c r="U207" s="646"/>
      <c r="W207" s="47">
        <v>0.375</v>
      </c>
      <c r="X207" s="47">
        <v>0.25</v>
      </c>
      <c r="Y207" s="319">
        <v>8</v>
      </c>
      <c r="Z207" s="646"/>
      <c r="AA207" s="328">
        <f t="shared" si="30"/>
        <v>32</v>
      </c>
      <c r="AB207" s="298">
        <f t="shared" si="31"/>
        <v>4</v>
      </c>
      <c r="AD207" s="47"/>
      <c r="AE207" s="47"/>
      <c r="AF207" s="319"/>
      <c r="AG207" s="328">
        <f t="shared" si="32"/>
        <v>0</v>
      </c>
      <c r="AI207" s="255"/>
      <c r="AJ207" s="180"/>
      <c r="AK207" s="193"/>
      <c r="AL207" s="193"/>
      <c r="AM207" s="193"/>
      <c r="AN207" s="193"/>
      <c r="AO207" s="193"/>
      <c r="AP207" s="193"/>
      <c r="AQ207" s="180"/>
      <c r="AR207" s="180"/>
      <c r="AS207" s="180"/>
      <c r="AT207" s="180"/>
      <c r="AU207" s="180"/>
      <c r="AV207" s="180"/>
      <c r="AW207" s="180"/>
    </row>
    <row r="208" spans="1:49" s="4" customFormat="1">
      <c r="A208" s="180"/>
      <c r="B208" s="47" t="s">
        <v>981</v>
      </c>
      <c r="C208" s="441" t="s">
        <v>75</v>
      </c>
      <c r="D208" s="47">
        <v>0.25</v>
      </c>
      <c r="E208" s="319">
        <v>8</v>
      </c>
      <c r="F208" s="646"/>
      <c r="H208" s="441" t="s">
        <v>75</v>
      </c>
      <c r="I208" s="47">
        <v>0.25</v>
      </c>
      <c r="J208" s="319">
        <v>8</v>
      </c>
      <c r="K208" s="646"/>
      <c r="M208" s="47">
        <v>0.20833333333333334</v>
      </c>
      <c r="N208" s="47">
        <v>0.25</v>
      </c>
      <c r="O208" s="319">
        <v>8</v>
      </c>
      <c r="P208" s="646">
        <v>4</v>
      </c>
      <c r="R208" s="326">
        <v>0.375</v>
      </c>
      <c r="S208" s="326">
        <v>0.25</v>
      </c>
      <c r="T208" s="544">
        <v>8</v>
      </c>
      <c r="U208" s="646"/>
      <c r="W208" s="47">
        <v>0.375</v>
      </c>
      <c r="X208" s="47">
        <v>0.25</v>
      </c>
      <c r="Y208" s="319">
        <v>8</v>
      </c>
      <c r="Z208" s="646"/>
      <c r="AA208" s="328">
        <f t="shared" si="30"/>
        <v>40</v>
      </c>
      <c r="AB208" s="298">
        <f t="shared" si="31"/>
        <v>4</v>
      </c>
      <c r="AD208" s="47"/>
      <c r="AE208" s="47"/>
      <c r="AF208" s="319"/>
      <c r="AG208" s="328">
        <f t="shared" si="32"/>
        <v>0</v>
      </c>
      <c r="AI208" s="255"/>
      <c r="AJ208" s="180"/>
      <c r="AK208" s="193"/>
      <c r="AL208" s="193"/>
      <c r="AM208" s="193"/>
      <c r="AN208" s="193"/>
      <c r="AO208" s="193"/>
      <c r="AP208" s="193"/>
      <c r="AQ208" s="180"/>
      <c r="AR208" s="180"/>
      <c r="AS208" s="180"/>
      <c r="AT208" s="180"/>
      <c r="AU208" s="180"/>
      <c r="AV208" s="180"/>
      <c r="AW208" s="180"/>
    </row>
    <row r="209" spans="1:49" s="4" customFormat="1">
      <c r="A209" s="180"/>
      <c r="B209" s="4" t="s">
        <v>976</v>
      </c>
      <c r="C209" s="441" t="s">
        <v>75</v>
      </c>
      <c r="D209" s="47">
        <v>0.25</v>
      </c>
      <c r="E209" s="319">
        <v>8</v>
      </c>
      <c r="F209" s="646"/>
      <c r="H209" s="441" t="s">
        <v>154</v>
      </c>
      <c r="I209" s="5">
        <v>0</v>
      </c>
      <c r="J209" s="319">
        <v>0</v>
      </c>
      <c r="K209" s="646"/>
      <c r="M209" s="47">
        <v>0.375</v>
      </c>
      <c r="N209" s="47">
        <v>0.25</v>
      </c>
      <c r="O209" s="319">
        <v>8</v>
      </c>
      <c r="P209" s="646"/>
      <c r="R209" s="5">
        <v>0</v>
      </c>
      <c r="S209" s="5">
        <v>0</v>
      </c>
      <c r="T209" s="319">
        <v>0</v>
      </c>
      <c r="U209" s="646"/>
      <c r="W209" s="47">
        <v>0.375</v>
      </c>
      <c r="X209" s="47">
        <v>0.25</v>
      </c>
      <c r="Y209" s="319">
        <v>8</v>
      </c>
      <c r="Z209" s="646"/>
      <c r="AA209" s="328">
        <f t="shared" si="30"/>
        <v>24</v>
      </c>
      <c r="AB209" s="298">
        <f t="shared" si="31"/>
        <v>0</v>
      </c>
      <c r="AD209" s="47"/>
      <c r="AE209" s="47"/>
      <c r="AF209" s="319"/>
      <c r="AG209" s="328">
        <f t="shared" si="32"/>
        <v>0</v>
      </c>
      <c r="AI209" s="255"/>
      <c r="AJ209" s="180"/>
      <c r="AK209" s="193"/>
      <c r="AL209" s="193"/>
      <c r="AM209" s="193"/>
      <c r="AN209" s="193"/>
      <c r="AO209" s="193"/>
      <c r="AP209" s="193"/>
      <c r="AQ209" s="180"/>
      <c r="AR209" s="180"/>
      <c r="AS209" s="180"/>
      <c r="AT209" s="180"/>
      <c r="AU209" s="180"/>
      <c r="AV209" s="180"/>
      <c r="AW209" s="180"/>
    </row>
    <row r="210" spans="1:49" s="4" customFormat="1">
      <c r="A210" s="180"/>
      <c r="B210" s="47" t="s">
        <v>977</v>
      </c>
      <c r="C210" s="441" t="s">
        <v>212</v>
      </c>
      <c r="D210" s="47">
        <v>0.25</v>
      </c>
      <c r="E210" s="319">
        <v>7.75</v>
      </c>
      <c r="F210" s="646"/>
      <c r="H210" s="441" t="s">
        <v>212</v>
      </c>
      <c r="I210" s="47">
        <v>0.25</v>
      </c>
      <c r="J210" s="319">
        <v>7.75</v>
      </c>
      <c r="K210" s="646"/>
      <c r="M210" s="326">
        <v>0.38541666666666669</v>
      </c>
      <c r="N210" s="47">
        <v>0.25</v>
      </c>
      <c r="O210" s="319">
        <v>7.75</v>
      </c>
      <c r="P210" s="646"/>
      <c r="R210" s="47">
        <v>0.38541666666666669</v>
      </c>
      <c r="S210" s="47">
        <v>0.25</v>
      </c>
      <c r="T210" s="319">
        <v>7.75</v>
      </c>
      <c r="U210" s="646"/>
      <c r="W210" s="47">
        <v>0.375</v>
      </c>
      <c r="X210" s="47">
        <v>0.25</v>
      </c>
      <c r="Y210" s="319">
        <v>8</v>
      </c>
      <c r="Z210" s="646"/>
      <c r="AA210" s="328">
        <f t="shared" si="30"/>
        <v>39</v>
      </c>
      <c r="AB210" s="298">
        <f t="shared" si="31"/>
        <v>0</v>
      </c>
      <c r="AD210" s="47"/>
      <c r="AE210" s="47"/>
      <c r="AF210" s="319"/>
      <c r="AG210" s="328">
        <f t="shared" si="32"/>
        <v>0</v>
      </c>
      <c r="AI210" s="255"/>
      <c r="AJ210" s="180"/>
      <c r="AK210" s="193"/>
      <c r="AL210" s="193"/>
      <c r="AM210" s="193"/>
      <c r="AN210" s="193"/>
      <c r="AO210" s="193"/>
      <c r="AP210" s="193"/>
      <c r="AQ210" s="180"/>
      <c r="AR210" s="180"/>
      <c r="AS210" s="180"/>
      <c r="AT210" s="180"/>
      <c r="AU210" s="180"/>
      <c r="AV210" s="180"/>
      <c r="AW210" s="180"/>
    </row>
    <row r="211" spans="1:49" s="4" customFormat="1">
      <c r="A211" s="180"/>
      <c r="B211" s="47" t="s">
        <v>986</v>
      </c>
      <c r="C211" s="441" t="s">
        <v>154</v>
      </c>
      <c r="D211" s="5">
        <v>0</v>
      </c>
      <c r="E211" s="319">
        <v>0</v>
      </c>
      <c r="F211" s="646"/>
      <c r="H211" s="441" t="s">
        <v>154</v>
      </c>
      <c r="I211" s="5">
        <v>0</v>
      </c>
      <c r="J211" s="319">
        <v>0</v>
      </c>
      <c r="K211" s="646"/>
      <c r="M211" s="5">
        <v>0</v>
      </c>
      <c r="N211" s="5">
        <v>0</v>
      </c>
      <c r="O211" s="319">
        <v>0</v>
      </c>
      <c r="P211" s="646"/>
      <c r="R211" s="5">
        <v>0</v>
      </c>
      <c r="S211" s="5">
        <v>0</v>
      </c>
      <c r="T211" s="319">
        <v>0</v>
      </c>
      <c r="U211" s="646"/>
      <c r="W211" s="5">
        <v>0</v>
      </c>
      <c r="X211" s="5">
        <v>0</v>
      </c>
      <c r="Y211" s="319">
        <v>0</v>
      </c>
      <c r="Z211" s="646"/>
      <c r="AA211" s="328">
        <f t="shared" si="30"/>
        <v>0</v>
      </c>
      <c r="AB211" s="298">
        <f t="shared" si="31"/>
        <v>0</v>
      </c>
      <c r="AD211" s="47"/>
      <c r="AE211" s="47"/>
      <c r="AF211" s="319"/>
      <c r="AG211" s="328">
        <f t="shared" si="32"/>
        <v>0</v>
      </c>
      <c r="AI211" s="255"/>
      <c r="AJ211" s="180"/>
      <c r="AK211" s="193"/>
      <c r="AL211" s="193"/>
      <c r="AM211" s="193"/>
      <c r="AN211" s="193"/>
      <c r="AO211" s="193"/>
      <c r="AP211" s="193"/>
      <c r="AQ211" s="180"/>
      <c r="AR211" s="180"/>
      <c r="AS211" s="180"/>
      <c r="AT211" s="180"/>
      <c r="AU211" s="180"/>
      <c r="AV211" s="180"/>
      <c r="AW211" s="180"/>
    </row>
    <row r="212" spans="1:49" s="4" customFormat="1">
      <c r="A212" s="180"/>
      <c r="B212" s="436" t="s">
        <v>394</v>
      </c>
      <c r="C212" s="441" t="s">
        <v>75</v>
      </c>
      <c r="D212" s="47">
        <v>0.25</v>
      </c>
      <c r="E212" s="319">
        <v>8</v>
      </c>
      <c r="F212" s="646"/>
      <c r="H212" s="441" t="s">
        <v>75</v>
      </c>
      <c r="I212" s="47">
        <v>0.25</v>
      </c>
      <c r="J212" s="319">
        <v>8</v>
      </c>
      <c r="K212" s="646"/>
      <c r="M212" s="47">
        <v>0.29166666666666669</v>
      </c>
      <c r="N212" s="47">
        <v>0.25</v>
      </c>
      <c r="O212" s="319">
        <v>8</v>
      </c>
      <c r="P212" s="646">
        <v>2</v>
      </c>
      <c r="R212" s="47">
        <v>0.375</v>
      </c>
      <c r="S212" s="47">
        <v>0.25</v>
      </c>
      <c r="T212" s="319">
        <v>8</v>
      </c>
      <c r="U212" s="646"/>
      <c r="W212" s="47">
        <v>0.375</v>
      </c>
      <c r="X212" s="47">
        <v>0.25</v>
      </c>
      <c r="Y212" s="319">
        <v>8</v>
      </c>
      <c r="Z212" s="646"/>
      <c r="AA212" s="328">
        <f t="shared" si="30"/>
        <v>40</v>
      </c>
      <c r="AB212" s="298">
        <f t="shared" si="31"/>
        <v>2</v>
      </c>
      <c r="AD212" s="47"/>
      <c r="AE212" s="47"/>
      <c r="AF212" s="319"/>
      <c r="AG212" s="328">
        <f t="shared" si="32"/>
        <v>0</v>
      </c>
      <c r="AI212" s="255"/>
      <c r="AJ212" s="180"/>
      <c r="AK212" s="193"/>
      <c r="AL212" s="193"/>
      <c r="AM212" s="193"/>
      <c r="AN212" s="193"/>
      <c r="AO212" s="193"/>
      <c r="AP212" s="193"/>
      <c r="AQ212" s="180"/>
      <c r="AR212" s="180"/>
      <c r="AS212" s="180"/>
      <c r="AT212" s="180"/>
      <c r="AU212" s="180"/>
      <c r="AV212" s="180"/>
      <c r="AW212" s="180"/>
    </row>
    <row r="213" spans="1:49" s="4" customFormat="1">
      <c r="A213" s="180"/>
      <c r="B213" s="47" t="s">
        <v>519</v>
      </c>
      <c r="C213" s="441" t="s">
        <v>75</v>
      </c>
      <c r="D213" s="47">
        <v>0.25</v>
      </c>
      <c r="E213" s="319">
        <v>8</v>
      </c>
      <c r="F213" s="646"/>
      <c r="H213" s="441" t="s">
        <v>75</v>
      </c>
      <c r="I213" s="47">
        <v>0.25</v>
      </c>
      <c r="J213" s="319">
        <v>8</v>
      </c>
      <c r="K213" s="646"/>
      <c r="M213" s="47">
        <v>0.38541666666666669</v>
      </c>
      <c r="N213" s="47">
        <v>0.25</v>
      </c>
      <c r="O213" s="319">
        <v>7.75</v>
      </c>
      <c r="P213" s="646"/>
      <c r="R213" s="47">
        <v>0.38541666666666669</v>
      </c>
      <c r="S213" s="47">
        <v>0.25</v>
      </c>
      <c r="T213" s="319">
        <v>7.75</v>
      </c>
      <c r="U213" s="646"/>
      <c r="W213" s="47">
        <v>0.375</v>
      </c>
      <c r="X213" s="47">
        <v>0.25</v>
      </c>
      <c r="Y213" s="319">
        <v>8</v>
      </c>
      <c r="Z213" s="646"/>
      <c r="AA213" s="328">
        <f t="shared" si="30"/>
        <v>39.5</v>
      </c>
      <c r="AB213" s="298">
        <f t="shared" si="31"/>
        <v>0</v>
      </c>
      <c r="AD213" s="47"/>
      <c r="AE213" s="47"/>
      <c r="AF213" s="319"/>
      <c r="AG213" s="328">
        <f t="shared" si="32"/>
        <v>0</v>
      </c>
      <c r="AI213" s="255"/>
      <c r="AJ213" s="180"/>
      <c r="AK213" s="193"/>
      <c r="AL213" s="193"/>
      <c r="AM213" s="193"/>
      <c r="AN213" s="193"/>
      <c r="AO213" s="193"/>
      <c r="AP213" s="193"/>
      <c r="AQ213" s="180"/>
      <c r="AR213" s="180"/>
      <c r="AS213" s="180"/>
      <c r="AT213" s="180"/>
      <c r="AU213" s="180"/>
      <c r="AV213" s="180"/>
      <c r="AW213" s="180"/>
    </row>
    <row r="214" spans="1:49" s="4" customFormat="1">
      <c r="A214" s="180"/>
      <c r="B214" s="639" t="s">
        <v>533</v>
      </c>
      <c r="C214" s="643"/>
      <c r="D214" s="519"/>
      <c r="E214" s="520"/>
      <c r="F214" s="647"/>
      <c r="G214" s="521"/>
      <c r="H214" s="519"/>
      <c r="I214" s="519"/>
      <c r="J214" s="520"/>
      <c r="K214" s="647"/>
      <c r="L214" s="521"/>
      <c r="M214" s="519"/>
      <c r="N214" s="519"/>
      <c r="O214" s="520"/>
      <c r="P214" s="647"/>
      <c r="Q214" s="521"/>
      <c r="R214" s="519"/>
      <c r="S214" s="519"/>
      <c r="T214" s="520"/>
      <c r="U214" s="647"/>
      <c r="V214" s="521"/>
      <c r="W214" s="519"/>
      <c r="X214" s="519"/>
      <c r="Y214" s="520"/>
      <c r="Z214" s="646"/>
      <c r="AA214" s="328">
        <f t="shared" si="30"/>
        <v>0</v>
      </c>
      <c r="AB214" s="298">
        <f t="shared" si="31"/>
        <v>0</v>
      </c>
      <c r="AD214" s="47"/>
      <c r="AE214" s="47"/>
      <c r="AF214" s="319"/>
      <c r="AG214" s="328">
        <f t="shared" si="32"/>
        <v>0</v>
      </c>
      <c r="AI214" s="255"/>
      <c r="AJ214" s="180"/>
      <c r="AK214" s="193"/>
      <c r="AL214" s="193"/>
      <c r="AM214" s="193"/>
      <c r="AN214" s="193"/>
      <c r="AO214" s="193"/>
      <c r="AP214" s="193"/>
      <c r="AQ214" s="180"/>
      <c r="AR214" s="180"/>
      <c r="AS214" s="180"/>
      <c r="AT214" s="180"/>
      <c r="AU214" s="180"/>
      <c r="AV214" s="180"/>
      <c r="AW214" s="180"/>
    </row>
    <row r="215" spans="1:49" s="4" customFormat="1">
      <c r="A215" s="180"/>
      <c r="B215" s="502" t="s">
        <v>483</v>
      </c>
      <c r="C215" s="4">
        <v>0</v>
      </c>
      <c r="D215" s="5">
        <v>0</v>
      </c>
      <c r="E215" s="319">
        <v>0</v>
      </c>
      <c r="F215" s="646"/>
      <c r="H215" s="4">
        <v>0</v>
      </c>
      <c r="I215" s="5">
        <v>0</v>
      </c>
      <c r="J215" s="319">
        <v>0</v>
      </c>
      <c r="K215" s="646"/>
      <c r="M215" s="4">
        <v>0</v>
      </c>
      <c r="N215" s="5">
        <v>0</v>
      </c>
      <c r="O215" s="319">
        <v>0</v>
      </c>
      <c r="P215" s="646"/>
      <c r="R215" s="4">
        <v>0</v>
      </c>
      <c r="S215" s="5">
        <v>0</v>
      </c>
      <c r="T215" s="319">
        <v>0</v>
      </c>
      <c r="U215" s="646"/>
      <c r="W215" s="4">
        <v>0</v>
      </c>
      <c r="X215" s="5">
        <v>0</v>
      </c>
      <c r="Y215" s="319">
        <v>0</v>
      </c>
      <c r="Z215" s="646"/>
      <c r="AA215" s="328">
        <f t="shared" si="30"/>
        <v>0</v>
      </c>
      <c r="AB215" s="298">
        <f t="shared" si="31"/>
        <v>0</v>
      </c>
      <c r="AD215" s="47"/>
      <c r="AE215" s="47"/>
      <c r="AF215" s="319"/>
      <c r="AG215" s="328">
        <f t="shared" si="32"/>
        <v>0</v>
      </c>
      <c r="AI215" s="255"/>
      <c r="AJ215" s="180"/>
      <c r="AK215" s="193"/>
      <c r="AL215" s="193"/>
      <c r="AM215" s="193"/>
      <c r="AN215" s="193"/>
      <c r="AO215" s="193"/>
      <c r="AP215" s="193"/>
      <c r="AQ215" s="180"/>
      <c r="AR215" s="180"/>
      <c r="AS215" s="180"/>
      <c r="AT215" s="180"/>
      <c r="AU215" s="180"/>
      <c r="AV215" s="180"/>
      <c r="AW215" s="180"/>
    </row>
    <row r="216" spans="1:49" s="4" customFormat="1">
      <c r="A216" s="180"/>
      <c r="B216" s="502" t="s">
        <v>483</v>
      </c>
      <c r="C216" s="16" t="s">
        <v>29</v>
      </c>
      <c r="D216" s="16" t="s">
        <v>29</v>
      </c>
      <c r="E216" s="319">
        <v>3</v>
      </c>
      <c r="F216" s="646"/>
      <c r="H216" s="16" t="s">
        <v>29</v>
      </c>
      <c r="I216" s="16" t="s">
        <v>29</v>
      </c>
      <c r="J216" s="319">
        <v>4</v>
      </c>
      <c r="K216" s="646"/>
      <c r="M216" s="16" t="s">
        <v>29</v>
      </c>
      <c r="N216" s="16" t="s">
        <v>29</v>
      </c>
      <c r="O216" s="319">
        <v>6</v>
      </c>
      <c r="P216" s="646"/>
      <c r="R216" s="16" t="s">
        <v>29</v>
      </c>
      <c r="S216" s="16" t="s">
        <v>29</v>
      </c>
      <c r="T216" s="319">
        <v>6</v>
      </c>
      <c r="U216" s="646"/>
      <c r="W216" s="16" t="s">
        <v>29</v>
      </c>
      <c r="X216" s="16" t="s">
        <v>29</v>
      </c>
      <c r="Y216" s="319">
        <v>7</v>
      </c>
      <c r="Z216" s="646"/>
      <c r="AA216" s="328">
        <f t="shared" si="30"/>
        <v>26</v>
      </c>
      <c r="AB216" s="298">
        <f t="shared" si="31"/>
        <v>0</v>
      </c>
      <c r="AD216" s="47"/>
      <c r="AE216" s="47"/>
      <c r="AF216" s="319"/>
      <c r="AG216" s="328">
        <f t="shared" si="32"/>
        <v>0</v>
      </c>
      <c r="AI216" s="255"/>
      <c r="AJ216" s="180"/>
      <c r="AK216" s="193"/>
      <c r="AL216" s="193"/>
      <c r="AM216" s="193"/>
      <c r="AN216" s="193"/>
      <c r="AO216" s="193"/>
      <c r="AP216" s="193"/>
      <c r="AQ216" s="180"/>
      <c r="AR216" s="180"/>
      <c r="AS216" s="180"/>
      <c r="AT216" s="180"/>
      <c r="AU216" s="180"/>
      <c r="AV216" s="180"/>
      <c r="AW216" s="180"/>
    </row>
    <row r="217" spans="1:49" s="4" customFormat="1">
      <c r="A217" s="180"/>
      <c r="B217" s="502" t="s">
        <v>484</v>
      </c>
      <c r="C217" s="16" t="s">
        <v>29</v>
      </c>
      <c r="D217" s="16" t="s">
        <v>29</v>
      </c>
      <c r="E217" s="319">
        <v>3</v>
      </c>
      <c r="F217" s="646"/>
      <c r="H217" s="16" t="s">
        <v>29</v>
      </c>
      <c r="I217" s="16" t="s">
        <v>29</v>
      </c>
      <c r="J217" s="319">
        <v>4</v>
      </c>
      <c r="K217" s="646"/>
      <c r="M217" s="16" t="s">
        <v>29</v>
      </c>
      <c r="N217" s="16" t="s">
        <v>29</v>
      </c>
      <c r="O217" s="319">
        <v>6</v>
      </c>
      <c r="P217" s="646"/>
      <c r="R217" s="16" t="s">
        <v>29</v>
      </c>
      <c r="S217" s="16" t="s">
        <v>29</v>
      </c>
      <c r="T217" s="319">
        <v>6</v>
      </c>
      <c r="U217" s="646"/>
      <c r="W217" s="16" t="s">
        <v>29</v>
      </c>
      <c r="X217" s="16" t="s">
        <v>29</v>
      </c>
      <c r="Y217" s="319">
        <v>7</v>
      </c>
      <c r="Z217" s="646"/>
      <c r="AA217" s="328">
        <f t="shared" si="30"/>
        <v>26</v>
      </c>
      <c r="AB217" s="298">
        <f t="shared" si="31"/>
        <v>0</v>
      </c>
      <c r="AD217" s="47"/>
      <c r="AE217" s="47"/>
      <c r="AF217" s="319"/>
      <c r="AG217" s="328">
        <f t="shared" si="32"/>
        <v>0</v>
      </c>
      <c r="AI217" s="255"/>
      <c r="AJ217" s="180"/>
      <c r="AK217" s="193"/>
      <c r="AL217" s="193"/>
      <c r="AM217" s="193"/>
      <c r="AN217" s="193"/>
      <c r="AO217" s="193"/>
      <c r="AP217" s="193"/>
      <c r="AQ217" s="180"/>
      <c r="AR217" s="180"/>
      <c r="AS217" s="180"/>
      <c r="AT217" s="180"/>
      <c r="AU217" s="180"/>
      <c r="AV217" s="180"/>
      <c r="AW217" s="180"/>
    </row>
    <row r="218" spans="1:49" s="4" customFormat="1">
      <c r="A218" s="180"/>
      <c r="B218" s="502" t="s">
        <v>485</v>
      </c>
      <c r="C218" s="16" t="s">
        <v>29</v>
      </c>
      <c r="D218" s="16" t="s">
        <v>29</v>
      </c>
      <c r="E218" s="319">
        <v>3</v>
      </c>
      <c r="F218" s="646"/>
      <c r="H218" s="16" t="s">
        <v>29</v>
      </c>
      <c r="I218" s="16" t="s">
        <v>29</v>
      </c>
      <c r="J218" s="319">
        <v>4</v>
      </c>
      <c r="K218" s="646"/>
      <c r="M218" s="16" t="s">
        <v>29</v>
      </c>
      <c r="N218" s="16" t="s">
        <v>29</v>
      </c>
      <c r="O218" s="319">
        <v>6</v>
      </c>
      <c r="P218" s="646"/>
      <c r="R218" s="16" t="s">
        <v>29</v>
      </c>
      <c r="S218" s="16" t="s">
        <v>29</v>
      </c>
      <c r="T218" s="319">
        <v>6</v>
      </c>
      <c r="U218" s="646"/>
      <c r="W218" s="16" t="s">
        <v>29</v>
      </c>
      <c r="X218" s="16" t="s">
        <v>29</v>
      </c>
      <c r="Y218" s="319">
        <v>7</v>
      </c>
      <c r="Z218" s="646"/>
      <c r="AA218" s="328">
        <f t="shared" si="30"/>
        <v>26</v>
      </c>
      <c r="AB218" s="298">
        <f t="shared" si="31"/>
        <v>0</v>
      </c>
      <c r="AD218" s="47"/>
      <c r="AE218" s="47"/>
      <c r="AF218" s="319"/>
      <c r="AG218" s="328">
        <f t="shared" si="32"/>
        <v>0</v>
      </c>
      <c r="AI218" s="255"/>
      <c r="AJ218" s="180"/>
      <c r="AK218" s="193"/>
      <c r="AL218" s="193"/>
      <c r="AM218" s="193"/>
      <c r="AN218" s="193"/>
      <c r="AO218" s="193"/>
      <c r="AP218" s="193"/>
      <c r="AQ218" s="180"/>
      <c r="AR218" s="180"/>
      <c r="AS218" s="180"/>
      <c r="AT218" s="180"/>
      <c r="AU218" s="180"/>
      <c r="AV218" s="180"/>
      <c r="AW218" s="180"/>
    </row>
    <row r="219" spans="1:49" s="4" customFormat="1">
      <c r="A219" s="180"/>
      <c r="B219" s="502" t="s">
        <v>486</v>
      </c>
      <c r="C219" s="4">
        <v>0</v>
      </c>
      <c r="D219" s="5">
        <v>0</v>
      </c>
      <c r="E219" s="319">
        <v>0</v>
      </c>
      <c r="F219" s="646"/>
      <c r="H219" s="4">
        <v>0</v>
      </c>
      <c r="I219" s="5">
        <v>0</v>
      </c>
      <c r="J219" s="319">
        <v>0</v>
      </c>
      <c r="K219" s="646"/>
      <c r="M219" s="4">
        <v>0</v>
      </c>
      <c r="N219" s="5">
        <v>0</v>
      </c>
      <c r="O219" s="319">
        <v>0</v>
      </c>
      <c r="P219" s="646"/>
      <c r="R219" s="4">
        <v>0</v>
      </c>
      <c r="S219" s="5">
        <v>0</v>
      </c>
      <c r="T219" s="319">
        <v>0</v>
      </c>
      <c r="U219" s="646"/>
      <c r="W219" s="4">
        <v>0</v>
      </c>
      <c r="X219" s="5">
        <v>0</v>
      </c>
      <c r="Y219" s="319">
        <v>0</v>
      </c>
      <c r="Z219" s="646"/>
      <c r="AA219" s="328">
        <f t="shared" si="30"/>
        <v>0</v>
      </c>
      <c r="AB219" s="298">
        <f t="shared" si="31"/>
        <v>0</v>
      </c>
      <c r="AD219" s="47"/>
      <c r="AE219" s="47"/>
      <c r="AF219" s="319"/>
      <c r="AG219" s="328">
        <f t="shared" si="32"/>
        <v>0</v>
      </c>
      <c r="AI219" s="255"/>
      <c r="AJ219" s="180"/>
      <c r="AK219" s="193"/>
      <c r="AL219" s="193"/>
      <c r="AM219" s="193"/>
      <c r="AN219" s="193"/>
      <c r="AO219" s="193"/>
      <c r="AP219" s="193"/>
      <c r="AQ219" s="180"/>
      <c r="AR219" s="180"/>
      <c r="AS219" s="180"/>
      <c r="AT219" s="180"/>
      <c r="AU219" s="180"/>
      <c r="AV219" s="180"/>
      <c r="AW219" s="180"/>
    </row>
    <row r="220" spans="1:49" s="4" customFormat="1">
      <c r="A220" s="180"/>
      <c r="B220" s="63" t="s">
        <v>63</v>
      </c>
      <c r="C220" s="1564" t="s">
        <v>137</v>
      </c>
      <c r="D220" s="1564"/>
      <c r="E220" s="319">
        <v>0</v>
      </c>
      <c r="F220" s="646"/>
      <c r="H220" s="1564" t="s">
        <v>137</v>
      </c>
      <c r="I220" s="1564"/>
      <c r="J220" s="319">
        <v>0</v>
      </c>
      <c r="K220" s="646"/>
      <c r="M220" s="1564" t="s">
        <v>137</v>
      </c>
      <c r="N220" s="1564"/>
      <c r="O220" s="319">
        <v>0</v>
      </c>
      <c r="P220" s="646"/>
      <c r="R220" s="1564" t="s">
        <v>137</v>
      </c>
      <c r="S220" s="1564"/>
      <c r="T220" s="319">
        <v>0</v>
      </c>
      <c r="U220" s="646"/>
      <c r="W220" s="1564" t="s">
        <v>137</v>
      </c>
      <c r="X220" s="1564"/>
      <c r="Y220" s="319">
        <v>0</v>
      </c>
      <c r="Z220" s="646"/>
      <c r="AA220" s="328">
        <f t="shared" si="30"/>
        <v>0</v>
      </c>
      <c r="AB220" s="298">
        <f t="shared" si="31"/>
        <v>0</v>
      </c>
      <c r="AD220" s="47"/>
      <c r="AE220" s="47"/>
      <c r="AF220" s="319"/>
      <c r="AG220" s="328">
        <f t="shared" si="32"/>
        <v>0</v>
      </c>
      <c r="AI220" s="255"/>
      <c r="AJ220" s="180"/>
      <c r="AK220" s="193"/>
      <c r="AL220" s="193"/>
      <c r="AM220" s="193"/>
      <c r="AN220" s="193"/>
      <c r="AO220" s="193"/>
      <c r="AP220" s="193"/>
      <c r="AQ220" s="180"/>
      <c r="AR220" s="180"/>
      <c r="AS220" s="180"/>
      <c r="AT220" s="180"/>
      <c r="AU220" s="180"/>
      <c r="AV220" s="180"/>
      <c r="AW220" s="180"/>
    </row>
    <row r="221" spans="1:49" s="193" customFormat="1">
      <c r="A221" s="180"/>
      <c r="B221" s="267" t="s">
        <v>358</v>
      </c>
      <c r="C221" s="16" t="s">
        <v>29</v>
      </c>
      <c r="D221" s="16" t="s">
        <v>29</v>
      </c>
      <c r="E221" s="319">
        <v>4</v>
      </c>
      <c r="F221" s="646"/>
      <c r="G221" s="438"/>
      <c r="H221" s="16" t="s">
        <v>29</v>
      </c>
      <c r="I221" s="16" t="s">
        <v>29</v>
      </c>
      <c r="J221" s="319">
        <v>4</v>
      </c>
      <c r="K221" s="646"/>
      <c r="L221" s="438"/>
      <c r="M221" s="16" t="s">
        <v>29</v>
      </c>
      <c r="N221" s="16" t="s">
        <v>29</v>
      </c>
      <c r="O221" s="319">
        <v>4</v>
      </c>
      <c r="P221" s="646"/>
      <c r="Q221" s="438"/>
      <c r="R221" s="16" t="s">
        <v>29</v>
      </c>
      <c r="S221" s="16" t="s">
        <v>29</v>
      </c>
      <c r="T221" s="319">
        <v>4</v>
      </c>
      <c r="U221" s="646"/>
      <c r="V221" s="438"/>
      <c r="W221" s="16" t="s">
        <v>29</v>
      </c>
      <c r="X221" s="16" t="s">
        <v>29</v>
      </c>
      <c r="Y221" s="319">
        <v>4</v>
      </c>
      <c r="Z221" s="646"/>
      <c r="AA221" s="328">
        <f t="shared" si="30"/>
        <v>20</v>
      </c>
      <c r="AB221" s="298">
        <f t="shared" si="31"/>
        <v>0</v>
      </c>
      <c r="AC221" s="4"/>
      <c r="AD221" s="47"/>
      <c r="AE221" s="47"/>
      <c r="AF221" s="319"/>
      <c r="AG221" s="328">
        <f t="shared" si="32"/>
        <v>0</v>
      </c>
      <c r="AH221" s="4"/>
      <c r="AI221" s="255"/>
      <c r="AJ221" s="180"/>
      <c r="AQ221" s="180"/>
      <c r="AR221" s="180"/>
      <c r="AS221" s="180"/>
      <c r="AT221" s="180"/>
      <c r="AU221" s="180"/>
      <c r="AV221" s="180"/>
      <c r="AW221" s="180"/>
    </row>
    <row r="222" spans="1:49" s="193" customFormat="1">
      <c r="A222" s="180"/>
      <c r="B222" s="267" t="s">
        <v>532</v>
      </c>
      <c r="C222" s="16" t="s">
        <v>29</v>
      </c>
      <c r="D222" s="16" t="s">
        <v>29</v>
      </c>
      <c r="E222" s="319">
        <v>4</v>
      </c>
      <c r="F222" s="646"/>
      <c r="G222" s="438"/>
      <c r="H222" s="16" t="s">
        <v>29</v>
      </c>
      <c r="I222" s="16" t="s">
        <v>29</v>
      </c>
      <c r="J222" s="319">
        <v>0</v>
      </c>
      <c r="K222" s="646"/>
      <c r="L222" s="438"/>
      <c r="M222" s="16" t="s">
        <v>29</v>
      </c>
      <c r="N222" s="16" t="s">
        <v>29</v>
      </c>
      <c r="O222" s="319">
        <v>0</v>
      </c>
      <c r="P222" s="646"/>
      <c r="Q222" s="438"/>
      <c r="R222" s="4">
        <v>0</v>
      </c>
      <c r="S222" s="5">
        <v>0</v>
      </c>
      <c r="T222" s="319">
        <v>0</v>
      </c>
      <c r="U222" s="646"/>
      <c r="V222" s="438"/>
      <c r="W222" s="16" t="s">
        <v>29</v>
      </c>
      <c r="X222" s="16" t="s">
        <v>29</v>
      </c>
      <c r="Y222" s="319">
        <v>4</v>
      </c>
      <c r="Z222" s="646"/>
      <c r="AA222" s="328">
        <f t="shared" si="30"/>
        <v>8</v>
      </c>
      <c r="AB222" s="298">
        <f t="shared" si="31"/>
        <v>0</v>
      </c>
      <c r="AC222" s="4"/>
      <c r="AD222" s="47"/>
      <c r="AE222" s="47"/>
      <c r="AF222" s="319"/>
      <c r="AG222" s="328">
        <f t="shared" si="32"/>
        <v>0</v>
      </c>
      <c r="AH222" s="4"/>
      <c r="AI222" s="255"/>
      <c r="AJ222" s="180"/>
      <c r="AQ222" s="180"/>
      <c r="AR222" s="180"/>
      <c r="AS222" s="180"/>
      <c r="AT222" s="180"/>
      <c r="AU222" s="180"/>
      <c r="AV222" s="180"/>
      <c r="AW222" s="180"/>
    </row>
    <row r="223" spans="1:49" s="193" customFormat="1">
      <c r="A223" s="180"/>
      <c r="B223" s="267" t="s">
        <v>411</v>
      </c>
      <c r="C223" s="4">
        <v>0</v>
      </c>
      <c r="D223" s="5">
        <v>0</v>
      </c>
      <c r="E223" s="319">
        <v>0</v>
      </c>
      <c r="F223" s="646"/>
      <c r="G223" s="438"/>
      <c r="H223" s="4">
        <v>0</v>
      </c>
      <c r="I223" s="5">
        <v>0</v>
      </c>
      <c r="J223" s="319">
        <v>0</v>
      </c>
      <c r="K223" s="646"/>
      <c r="L223" s="438"/>
      <c r="M223" s="4">
        <v>0</v>
      </c>
      <c r="N223" s="5">
        <v>0</v>
      </c>
      <c r="O223" s="319">
        <v>0</v>
      </c>
      <c r="P223" s="646"/>
      <c r="Q223" s="438"/>
      <c r="R223" s="4">
        <v>0</v>
      </c>
      <c r="S223" s="5">
        <v>0</v>
      </c>
      <c r="T223" s="319">
        <v>0</v>
      </c>
      <c r="U223" s="646"/>
      <c r="V223" s="438"/>
      <c r="W223" s="4">
        <v>0</v>
      </c>
      <c r="X223" s="5">
        <v>0</v>
      </c>
      <c r="Y223" s="319">
        <v>0</v>
      </c>
      <c r="Z223" s="646"/>
      <c r="AA223" s="328">
        <f t="shared" si="30"/>
        <v>0</v>
      </c>
      <c r="AB223" s="298">
        <f t="shared" si="31"/>
        <v>0</v>
      </c>
      <c r="AC223" s="4"/>
      <c r="AD223" s="47"/>
      <c r="AE223" s="47"/>
      <c r="AF223" s="319"/>
      <c r="AG223" s="328">
        <f t="shared" si="32"/>
        <v>0</v>
      </c>
      <c r="AH223" s="4"/>
      <c r="AI223" s="255"/>
      <c r="AJ223" s="180"/>
      <c r="AQ223" s="180"/>
      <c r="AR223" s="180"/>
      <c r="AS223" s="180"/>
      <c r="AT223" s="180"/>
      <c r="AU223" s="180"/>
      <c r="AV223" s="180"/>
      <c r="AW223" s="180"/>
    </row>
    <row r="224" spans="1:49" s="193" customFormat="1">
      <c r="A224" s="180"/>
      <c r="B224" s="267" t="s">
        <v>361</v>
      </c>
      <c r="C224" s="4">
        <v>0</v>
      </c>
      <c r="D224" s="5">
        <v>0</v>
      </c>
      <c r="E224" s="319">
        <v>0</v>
      </c>
      <c r="F224" s="646"/>
      <c r="G224" s="438"/>
      <c r="H224" s="4">
        <v>0</v>
      </c>
      <c r="I224" s="5">
        <v>0</v>
      </c>
      <c r="J224" s="319">
        <v>0</v>
      </c>
      <c r="K224" s="646"/>
      <c r="L224" s="438"/>
      <c r="M224" s="4">
        <v>0</v>
      </c>
      <c r="N224" s="5">
        <v>0</v>
      </c>
      <c r="O224" s="319">
        <v>0</v>
      </c>
      <c r="P224" s="646"/>
      <c r="Q224" s="438"/>
      <c r="R224" s="4">
        <v>0</v>
      </c>
      <c r="S224" s="5">
        <v>0</v>
      </c>
      <c r="T224" s="319">
        <v>0</v>
      </c>
      <c r="U224" s="646"/>
      <c r="V224" s="438"/>
      <c r="W224" s="4">
        <v>0</v>
      </c>
      <c r="X224" s="5">
        <v>0</v>
      </c>
      <c r="Y224" s="319">
        <v>0</v>
      </c>
      <c r="Z224" s="646"/>
      <c r="AA224" s="328">
        <f t="shared" si="30"/>
        <v>0</v>
      </c>
      <c r="AB224" s="298">
        <f t="shared" si="31"/>
        <v>0</v>
      </c>
      <c r="AC224" s="4"/>
      <c r="AD224" s="47"/>
      <c r="AE224" s="47"/>
      <c r="AF224" s="319"/>
      <c r="AG224" s="328">
        <f t="shared" si="32"/>
        <v>0</v>
      </c>
      <c r="AH224" s="4"/>
      <c r="AI224" s="255"/>
      <c r="AJ224" s="180"/>
      <c r="AQ224" s="180"/>
      <c r="AR224" s="180"/>
      <c r="AS224" s="180"/>
      <c r="AT224" s="180"/>
      <c r="AU224" s="180"/>
      <c r="AV224" s="180"/>
      <c r="AW224" s="180"/>
    </row>
    <row r="225" spans="1:49" s="193" customFormat="1">
      <c r="A225" s="180"/>
      <c r="B225" s="267" t="s">
        <v>362</v>
      </c>
      <c r="C225" s="16" t="s">
        <v>29</v>
      </c>
      <c r="D225" s="16" t="s">
        <v>29</v>
      </c>
      <c r="E225" s="319">
        <v>2</v>
      </c>
      <c r="F225" s="646"/>
      <c r="G225" s="438"/>
      <c r="H225" s="16" t="s">
        <v>29</v>
      </c>
      <c r="I225" s="16" t="s">
        <v>29</v>
      </c>
      <c r="J225" s="319">
        <v>2</v>
      </c>
      <c r="K225" s="646"/>
      <c r="L225" s="438"/>
      <c r="M225" s="16" t="s">
        <v>29</v>
      </c>
      <c r="N225" s="16" t="s">
        <v>29</v>
      </c>
      <c r="O225" s="319">
        <v>2</v>
      </c>
      <c r="P225" s="646"/>
      <c r="Q225" s="438"/>
      <c r="R225" s="4">
        <v>0</v>
      </c>
      <c r="S225" s="5">
        <v>0</v>
      </c>
      <c r="T225" s="319">
        <v>0</v>
      </c>
      <c r="U225" s="646"/>
      <c r="V225" s="438"/>
      <c r="W225" s="16" t="s">
        <v>29</v>
      </c>
      <c r="X225" s="16" t="s">
        <v>29</v>
      </c>
      <c r="Y225" s="319">
        <v>2</v>
      </c>
      <c r="Z225" s="646"/>
      <c r="AA225" s="328">
        <f t="shared" si="30"/>
        <v>8</v>
      </c>
      <c r="AB225" s="298">
        <f t="shared" si="31"/>
        <v>0</v>
      </c>
      <c r="AC225" s="4"/>
      <c r="AD225" s="47"/>
      <c r="AE225" s="47"/>
      <c r="AF225" s="319"/>
      <c r="AG225" s="328">
        <f t="shared" si="32"/>
        <v>0</v>
      </c>
      <c r="AH225" s="4"/>
      <c r="AI225" s="255"/>
      <c r="AJ225" s="180"/>
      <c r="AQ225" s="180"/>
      <c r="AR225" s="180"/>
      <c r="AS225" s="180"/>
      <c r="AT225" s="180"/>
      <c r="AU225" s="180"/>
      <c r="AV225" s="180"/>
      <c r="AW225" s="180"/>
    </row>
    <row r="226" spans="1:49" s="193" customFormat="1">
      <c r="A226" s="180"/>
      <c r="B226" s="437" t="s">
        <v>355</v>
      </c>
      <c r="C226" s="4">
        <v>0</v>
      </c>
      <c r="D226" s="5">
        <v>0</v>
      </c>
      <c r="E226" s="319">
        <v>0</v>
      </c>
      <c r="F226" s="646"/>
      <c r="G226" s="438"/>
      <c r="H226" s="5"/>
      <c r="I226" s="5"/>
      <c r="J226" s="319">
        <v>31.9</v>
      </c>
      <c r="K226" s="646"/>
      <c r="L226" s="438"/>
      <c r="M226" s="4">
        <v>0</v>
      </c>
      <c r="N226" s="5">
        <v>0</v>
      </c>
      <c r="O226" s="319">
        <v>0</v>
      </c>
      <c r="P226" s="646"/>
      <c r="Q226" s="438"/>
      <c r="R226" s="4">
        <v>0</v>
      </c>
      <c r="S226" s="5">
        <v>0</v>
      </c>
      <c r="T226" s="319">
        <v>0</v>
      </c>
      <c r="U226" s="646"/>
      <c r="V226" s="438"/>
      <c r="W226" s="4">
        <v>0</v>
      </c>
      <c r="X226" s="5">
        <v>0</v>
      </c>
      <c r="Y226" s="319">
        <v>0</v>
      </c>
      <c r="Z226" s="646"/>
      <c r="AA226" s="328">
        <f t="shared" si="30"/>
        <v>31.9</v>
      </c>
      <c r="AB226" s="298">
        <f t="shared" si="31"/>
        <v>0</v>
      </c>
      <c r="AC226" s="4"/>
      <c r="AD226" s="47"/>
      <c r="AE226" s="47"/>
      <c r="AF226" s="319"/>
      <c r="AG226" s="328">
        <f t="shared" si="32"/>
        <v>0</v>
      </c>
      <c r="AH226" s="4"/>
      <c r="AI226" s="255"/>
      <c r="AJ226" s="180"/>
      <c r="AQ226" s="180"/>
      <c r="AR226" s="180"/>
      <c r="AS226" s="180"/>
      <c r="AT226" s="180"/>
      <c r="AU226" s="180"/>
      <c r="AV226" s="180"/>
      <c r="AW226" s="180"/>
    </row>
    <row r="227" spans="1:49" s="193" customFormat="1">
      <c r="A227" s="180"/>
      <c r="B227" s="437" t="s">
        <v>356</v>
      </c>
      <c r="C227" s="16" t="s">
        <v>29</v>
      </c>
      <c r="D227" s="16" t="s">
        <v>29</v>
      </c>
      <c r="E227" s="319">
        <v>5.0999999999999996</v>
      </c>
      <c r="F227" s="646"/>
      <c r="G227" s="438"/>
      <c r="H227" s="4">
        <v>0</v>
      </c>
      <c r="I227" s="5">
        <v>0</v>
      </c>
      <c r="J227" s="319">
        <v>0</v>
      </c>
      <c r="K227" s="646"/>
      <c r="L227" s="438"/>
      <c r="M227" s="16" t="s">
        <v>29</v>
      </c>
      <c r="N227" s="16" t="s">
        <v>29</v>
      </c>
      <c r="O227" s="319">
        <v>5.0999999999999996</v>
      </c>
      <c r="P227" s="646"/>
      <c r="Q227" s="438"/>
      <c r="R227" s="4">
        <v>0</v>
      </c>
      <c r="S227" s="5">
        <v>0</v>
      </c>
      <c r="T227" s="319">
        <v>0</v>
      </c>
      <c r="U227" s="646"/>
      <c r="V227" s="438"/>
      <c r="W227" s="16" t="s">
        <v>29</v>
      </c>
      <c r="X227" s="16" t="s">
        <v>29</v>
      </c>
      <c r="Y227" s="319">
        <v>5.0999999999999996</v>
      </c>
      <c r="Z227" s="646"/>
      <c r="AA227" s="328">
        <f t="shared" si="30"/>
        <v>15.299999999999999</v>
      </c>
      <c r="AB227" s="298">
        <f t="shared" si="31"/>
        <v>0</v>
      </c>
      <c r="AC227" s="4"/>
      <c r="AD227" s="47"/>
      <c r="AE227" s="47"/>
      <c r="AF227" s="319"/>
      <c r="AG227" s="328">
        <f t="shared" si="32"/>
        <v>0</v>
      </c>
      <c r="AH227" s="4"/>
      <c r="AI227" s="255"/>
      <c r="AJ227" s="180"/>
      <c r="AK227" s="407"/>
      <c r="AQ227" s="180"/>
      <c r="AR227" s="180"/>
      <c r="AS227" s="180"/>
      <c r="AT227" s="180"/>
      <c r="AU227" s="180"/>
      <c r="AV227" s="180"/>
      <c r="AW227" s="180"/>
    </row>
    <row r="228" spans="1:49" s="193" customFormat="1">
      <c r="A228" s="180"/>
      <c r="B228" s="64" t="s">
        <v>61</v>
      </c>
      <c r="C228" s="31"/>
      <c r="D228" s="31"/>
      <c r="E228" s="439">
        <f>SUM(E198:E227)</f>
        <v>111.85</v>
      </c>
      <c r="F228" s="646">
        <f>SUM(F198:F227)</f>
        <v>0</v>
      </c>
      <c r="G228" s="31"/>
      <c r="H228" s="31"/>
      <c r="I228" s="31"/>
      <c r="J228" s="439">
        <f>SUM(J198:J227)</f>
        <v>129.15</v>
      </c>
      <c r="K228" s="646">
        <f>SUM(K198:K227)</f>
        <v>0</v>
      </c>
      <c r="L228" s="31"/>
      <c r="M228" s="31"/>
      <c r="N228" s="31"/>
      <c r="O228" s="439">
        <f>SUM(O198:O227)</f>
        <v>116.1</v>
      </c>
      <c r="P228" s="646">
        <f>SUM(P198:P227)</f>
        <v>21</v>
      </c>
      <c r="Q228" s="31"/>
      <c r="R228" s="31"/>
      <c r="S228" s="31"/>
      <c r="T228" s="439">
        <f>SUM(T198:T227)</f>
        <v>108</v>
      </c>
      <c r="U228" s="646">
        <f>SUM(U198:U227)</f>
        <v>0</v>
      </c>
      <c r="V228" s="31"/>
      <c r="W228" s="31"/>
      <c r="X228" s="31"/>
      <c r="Y228" s="439">
        <f>SUM(Y198:Y227)</f>
        <v>124.1</v>
      </c>
      <c r="Z228" s="646">
        <f>SUM(Z198:Z227)</f>
        <v>0</v>
      </c>
      <c r="AA228" s="370">
        <f>SUM(AA198:AA227)</f>
        <v>589.19999999999993</v>
      </c>
      <c r="AB228" s="370">
        <f>SUM(AB198:AB227)</f>
        <v>21</v>
      </c>
      <c r="AC228" s="4"/>
      <c r="AD228" s="64"/>
      <c r="AE228" s="64"/>
      <c r="AF228" s="370">
        <f>SUM(AF198:AF227)</f>
        <v>0</v>
      </c>
      <c r="AG228" s="370">
        <f>SUM(AG198:AG227)</f>
        <v>0</v>
      </c>
      <c r="AH228" s="4"/>
      <c r="AI228" s="255"/>
      <c r="AJ228" s="180"/>
      <c r="AK228" s="407"/>
      <c r="AQ228" s="180"/>
      <c r="AR228" s="180"/>
      <c r="AS228" s="180"/>
      <c r="AT228" s="180"/>
      <c r="AU228" s="180"/>
      <c r="AV228" s="180"/>
      <c r="AW228" s="180"/>
    </row>
    <row r="229" spans="1:49" s="193" customFormat="1">
      <c r="A229" s="180"/>
      <c r="B229" s="63" t="s">
        <v>64</v>
      </c>
      <c r="C229" s="47"/>
      <c r="D229" s="47"/>
      <c r="E229" s="319">
        <v>8</v>
      </c>
      <c r="F229" s="346">
        <v>0.5</v>
      </c>
      <c r="G229" s="613"/>
      <c r="H229" s="47"/>
      <c r="I229" s="47"/>
      <c r="J229" s="319">
        <v>8</v>
      </c>
      <c r="K229" s="346">
        <v>1.25</v>
      </c>
      <c r="L229" s="60"/>
      <c r="M229" s="47"/>
      <c r="N229" s="47"/>
      <c r="O229" s="319">
        <v>8</v>
      </c>
      <c r="P229" s="346">
        <v>1.25</v>
      </c>
      <c r="Q229" s="60"/>
      <c r="R229" s="47"/>
      <c r="S229" s="47"/>
      <c r="T229" s="319">
        <v>8</v>
      </c>
      <c r="U229" s="346">
        <v>0.5</v>
      </c>
      <c r="V229" s="60"/>
      <c r="W229" s="47"/>
      <c r="X229" s="47"/>
      <c r="Y229" s="319">
        <v>8</v>
      </c>
      <c r="Z229" s="346">
        <v>1.25</v>
      </c>
      <c r="AA229" s="28">
        <f>SUM(E229+J229+O229+T229+Y229)</f>
        <v>40</v>
      </c>
      <c r="AB229" s="296">
        <f>Z229+U229+P229+K229+F229</f>
        <v>4.75</v>
      </c>
      <c r="AC229" s="4"/>
      <c r="AD229" s="47" t="s">
        <v>29</v>
      </c>
      <c r="AE229" s="47" t="s">
        <v>29</v>
      </c>
      <c r="AF229" s="319">
        <f>1+1</f>
        <v>2</v>
      </c>
      <c r="AG229" s="29">
        <f>AF229</f>
        <v>2</v>
      </c>
      <c r="AH229" s="4"/>
      <c r="AI229" s="255"/>
      <c r="AJ229" s="180"/>
      <c r="AK229" s="407"/>
      <c r="AQ229" s="180"/>
      <c r="AR229" s="180"/>
      <c r="AS229" s="180"/>
      <c r="AT229" s="180"/>
      <c r="AU229" s="180"/>
      <c r="AV229" s="180"/>
      <c r="AW229" s="180"/>
    </row>
    <row r="230" spans="1:49" s="193" customFormat="1">
      <c r="A230" s="180"/>
      <c r="B230" s="71" t="s">
        <v>66</v>
      </c>
      <c r="C230" s="371"/>
      <c r="D230" s="371"/>
      <c r="E230" s="71"/>
      <c r="F230" s="613"/>
      <c r="G230" s="71"/>
      <c r="H230" s="71"/>
      <c r="I230" s="71"/>
      <c r="J230" s="71"/>
      <c r="K230" s="613"/>
      <c r="L230" s="71"/>
      <c r="M230" s="71"/>
      <c r="N230" s="71"/>
      <c r="O230" s="71"/>
      <c r="P230" s="613"/>
      <c r="Q230" s="71"/>
      <c r="R230" s="71"/>
      <c r="S230" s="71"/>
      <c r="T230" s="71"/>
      <c r="U230" s="613"/>
      <c r="V230" s="71"/>
      <c r="W230" s="71"/>
      <c r="X230" s="71"/>
      <c r="Y230" s="71"/>
      <c r="Z230" s="613"/>
      <c r="AA230" s="370">
        <f>SUM(AA229:AA229)</f>
        <v>40</v>
      </c>
      <c r="AB230" s="370">
        <f>SUM(AB229:AB229)</f>
        <v>4.75</v>
      </c>
      <c r="AC230" s="4"/>
      <c r="AD230" s="180"/>
      <c r="AE230" s="180"/>
      <c r="AF230" s="180"/>
      <c r="AG230" s="370">
        <f>SUM(AG229:AG229)</f>
        <v>2</v>
      </c>
      <c r="AH230" s="4"/>
      <c r="AI230" s="255"/>
      <c r="AJ230" s="180"/>
      <c r="AQ230" s="180"/>
      <c r="AR230" s="180"/>
      <c r="AS230" s="180"/>
      <c r="AT230" s="180"/>
      <c r="AU230" s="180"/>
      <c r="AV230" s="180"/>
      <c r="AW230" s="180"/>
    </row>
    <row r="231" spans="1:49" s="193" customFormat="1">
      <c r="A231" s="180"/>
      <c r="B231" s="217" t="s">
        <v>67</v>
      </c>
      <c r="C231" s="207">
        <f>C232+C233</f>
        <v>55</v>
      </c>
      <c r="D231" s="207"/>
      <c r="E231" s="209"/>
      <c r="F231" s="209"/>
      <c r="G231" s="207"/>
      <c r="H231" s="209"/>
      <c r="I231" s="209"/>
      <c r="J231" s="209"/>
      <c r="K231" s="209"/>
      <c r="L231" s="207"/>
      <c r="M231" s="207"/>
      <c r="N231" s="207"/>
      <c r="O231" s="207"/>
      <c r="P231" s="209"/>
      <c r="Q231" s="207"/>
      <c r="R231" s="207"/>
      <c r="S231" s="207"/>
      <c r="T231" s="207"/>
      <c r="U231" s="209"/>
      <c r="V231" s="207"/>
      <c r="W231" s="207"/>
      <c r="X231" s="207"/>
      <c r="Y231" s="210"/>
      <c r="Z231" s="209"/>
      <c r="AA231" s="211"/>
      <c r="AB231" s="209"/>
      <c r="AC231" s="211"/>
      <c r="AD231" s="211"/>
      <c r="AE231" s="211"/>
      <c r="AF231" s="211"/>
      <c r="AG231" s="211"/>
      <c r="AH231" s="4"/>
      <c r="AI231" s="255"/>
      <c r="AJ231" s="180"/>
      <c r="AQ231" s="180"/>
      <c r="AR231" s="180"/>
      <c r="AS231" s="180"/>
      <c r="AT231" s="180"/>
      <c r="AU231" s="180"/>
      <c r="AV231" s="180"/>
      <c r="AW231" s="180"/>
    </row>
    <row r="232" spans="1:49" s="193" customFormat="1">
      <c r="A232" s="180"/>
      <c r="B232" s="238" t="s">
        <v>68</v>
      </c>
      <c r="C232" s="239">
        <f>11+10+11+10+10</f>
        <v>52</v>
      </c>
      <c r="D232" s="207"/>
      <c r="E232" s="209"/>
      <c r="F232" s="209"/>
      <c r="G232" s="207"/>
      <c r="H232" s="209"/>
      <c r="I232" s="209"/>
      <c r="J232" s="209"/>
      <c r="K232" s="209"/>
      <c r="L232" s="207"/>
      <c r="M232" s="207"/>
      <c r="N232" s="207"/>
      <c r="O232" s="207"/>
      <c r="P232" s="209"/>
      <c r="Q232" s="207"/>
      <c r="R232" s="207"/>
      <c r="S232" s="207"/>
      <c r="T232" s="207"/>
      <c r="U232" s="209"/>
      <c r="V232" s="207"/>
      <c r="W232" s="207"/>
      <c r="X232" s="207"/>
      <c r="Y232" s="210"/>
      <c r="Z232" s="209"/>
      <c r="AA232" s="211"/>
      <c r="AB232" s="209"/>
      <c r="AC232" s="211"/>
      <c r="AD232" s="211"/>
      <c r="AE232" s="211"/>
      <c r="AF232" s="211"/>
      <c r="AG232" s="211"/>
      <c r="AH232" s="4"/>
      <c r="AI232" s="255"/>
      <c r="AJ232" s="180"/>
      <c r="AQ232" s="180"/>
      <c r="AR232" s="180"/>
      <c r="AS232" s="180"/>
      <c r="AT232" s="180"/>
      <c r="AU232" s="180"/>
      <c r="AV232" s="180"/>
      <c r="AW232" s="180"/>
    </row>
    <row r="233" spans="1:49" s="4" customFormat="1">
      <c r="A233" s="180"/>
      <c r="B233" s="238" t="s">
        <v>69</v>
      </c>
      <c r="C233" s="239">
        <v>3</v>
      </c>
      <c r="D233" s="207"/>
      <c r="E233" s="209"/>
      <c r="F233" s="209"/>
      <c r="G233" s="207"/>
      <c r="H233" s="209"/>
      <c r="I233" s="209"/>
      <c r="J233" s="209"/>
      <c r="K233" s="209"/>
      <c r="L233" s="207"/>
      <c r="M233" s="207"/>
      <c r="N233" s="207"/>
      <c r="O233" s="207"/>
      <c r="P233" s="209"/>
      <c r="Q233" s="207"/>
      <c r="R233" s="207"/>
      <c r="S233" s="207"/>
      <c r="T233" s="207"/>
      <c r="U233" s="209"/>
      <c r="V233" s="207"/>
      <c r="W233" s="207"/>
      <c r="X233" s="207"/>
      <c r="Y233" s="210"/>
      <c r="Z233" s="209"/>
      <c r="AA233" s="211"/>
      <c r="AB233" s="209"/>
      <c r="AC233" s="211"/>
      <c r="AD233" s="211"/>
      <c r="AE233" s="211"/>
      <c r="AF233" s="211"/>
      <c r="AG233" s="211"/>
      <c r="AI233" s="255"/>
      <c r="AJ233" s="180"/>
      <c r="AK233" s="193"/>
      <c r="AL233" s="193"/>
      <c r="AM233" s="193"/>
      <c r="AN233" s="193"/>
      <c r="AO233" s="193"/>
      <c r="AP233" s="193"/>
      <c r="AQ233" s="180"/>
      <c r="AR233" s="180"/>
      <c r="AS233" s="180"/>
      <c r="AT233" s="180"/>
      <c r="AU233" s="180"/>
      <c r="AV233" s="180"/>
      <c r="AW233" s="180"/>
    </row>
    <row r="234" spans="1:49" s="193" customFormat="1">
      <c r="A234" s="180"/>
      <c r="AH234" s="4"/>
      <c r="AI234" s="255"/>
      <c r="AJ234" s="180"/>
      <c r="AQ234" s="180"/>
      <c r="AR234" s="180"/>
      <c r="AS234" s="180"/>
      <c r="AT234" s="180"/>
      <c r="AU234" s="180"/>
      <c r="AV234" s="180"/>
      <c r="AW234" s="180"/>
    </row>
    <row r="235" spans="1:49">
      <c r="A235" s="180"/>
      <c r="B235" s="229"/>
      <c r="C235" s="230"/>
      <c r="D235" s="230"/>
      <c r="E235" s="232"/>
      <c r="F235" s="232"/>
      <c r="G235" s="230"/>
      <c r="H235" s="232"/>
      <c r="I235" s="232"/>
      <c r="J235" s="232"/>
      <c r="K235" s="232"/>
      <c r="L235" s="230"/>
      <c r="M235" s="230"/>
      <c r="N235" s="230"/>
      <c r="O235" s="230"/>
      <c r="P235" s="232"/>
      <c r="Q235" s="230"/>
      <c r="R235" s="230"/>
      <c r="S235" s="230"/>
      <c r="T235" s="230"/>
      <c r="U235" s="232"/>
      <c r="V235" s="230"/>
      <c r="W235" s="230"/>
      <c r="X235" s="230"/>
      <c r="Y235" s="233"/>
      <c r="Z235" s="232"/>
      <c r="AA235" s="234"/>
      <c r="AB235" s="232"/>
      <c r="AC235" s="373"/>
      <c r="AD235" s="236"/>
      <c r="AE235" s="255"/>
      <c r="AF235" s="255"/>
      <c r="AG235" s="255"/>
      <c r="AH235" s="255"/>
      <c r="AJ235" s="255"/>
      <c r="AK235" s="255"/>
      <c r="AL235" s="255"/>
      <c r="AM235" s="255"/>
      <c r="AN235" s="255"/>
      <c r="AO235" s="255"/>
      <c r="AP235" s="255"/>
      <c r="AQ235" s="255"/>
      <c r="AR235" s="255"/>
      <c r="AS235" s="255"/>
      <c r="AT235" s="255"/>
      <c r="AU235" s="255"/>
      <c r="AV235" s="255"/>
      <c r="AW235" s="255"/>
    </row>
    <row r="236" spans="1:49">
      <c r="B236" s="180"/>
      <c r="E236" s="4"/>
      <c r="F236" s="644"/>
      <c r="G236" s="4"/>
      <c r="J236" s="4"/>
      <c r="K236" s="644"/>
      <c r="L236" s="4"/>
      <c r="O236" s="4"/>
      <c r="P236" s="644"/>
      <c r="T236" s="4"/>
      <c r="U236" s="644"/>
      <c r="Y236" s="4"/>
      <c r="Z236" s="644"/>
      <c r="AA236" s="4"/>
      <c r="AB236" s="4"/>
      <c r="AC236" s="4"/>
      <c r="AK236" s="180"/>
      <c r="AL236" s="180"/>
      <c r="AM236" s="180"/>
      <c r="AN236" s="180"/>
      <c r="AO236" s="180"/>
      <c r="AP236" s="180"/>
    </row>
    <row r="237" spans="1:49">
      <c r="A237" s="228"/>
      <c r="B237" s="1518" t="s">
        <v>18</v>
      </c>
      <c r="C237" s="1519">
        <v>45579</v>
      </c>
      <c r="D237" s="1519"/>
      <c r="E237" s="1519"/>
      <c r="F237" s="1519"/>
      <c r="G237" s="365"/>
      <c r="H237" s="1519">
        <v>45580</v>
      </c>
      <c r="I237" s="1519"/>
      <c r="J237" s="1519"/>
      <c r="K237" s="1519"/>
      <c r="L237" s="365"/>
      <c r="M237" s="1519">
        <v>45581</v>
      </c>
      <c r="N237" s="1519"/>
      <c r="O237" s="1519"/>
      <c r="P237" s="1519"/>
      <c r="Q237" s="365"/>
      <c r="R237" s="1519">
        <v>45582</v>
      </c>
      <c r="S237" s="1519"/>
      <c r="T237" s="1519"/>
      <c r="U237" s="1519"/>
      <c r="V237" s="365"/>
      <c r="W237" s="1519">
        <v>45583</v>
      </c>
      <c r="X237" s="1519"/>
      <c r="Y237" s="1519"/>
      <c r="Z237" s="1519"/>
      <c r="AA237" s="1517" t="s">
        <v>19</v>
      </c>
      <c r="AB237" s="1517" t="s">
        <v>20</v>
      </c>
      <c r="AC237" s="4"/>
      <c r="AD237" s="1519">
        <v>45584</v>
      </c>
      <c r="AE237" s="1519"/>
      <c r="AF237" s="1519"/>
      <c r="AG237" s="1517" t="s">
        <v>21</v>
      </c>
      <c r="AI237" s="368"/>
      <c r="AK237" s="194" t="s">
        <v>84</v>
      </c>
      <c r="AL237" s="366"/>
      <c r="AM237" s="366"/>
      <c r="AN237" s="366"/>
      <c r="AO237" s="366"/>
      <c r="AP237" s="366"/>
    </row>
    <row r="238" spans="1:49">
      <c r="A238" s="180"/>
      <c r="B238" s="1518"/>
      <c r="C238" s="21" t="s">
        <v>23</v>
      </c>
      <c r="D238" s="21" t="s">
        <v>24</v>
      </c>
      <c r="E238" s="205" t="s">
        <v>25</v>
      </c>
      <c r="F238" s="645" t="s">
        <v>14</v>
      </c>
      <c r="G238" s="4"/>
      <c r="H238" s="21" t="s">
        <v>23</v>
      </c>
      <c r="I238" s="21" t="s">
        <v>24</v>
      </c>
      <c r="J238" s="18" t="s">
        <v>25</v>
      </c>
      <c r="K238" s="645" t="s">
        <v>14</v>
      </c>
      <c r="L238" s="4"/>
      <c r="M238" s="21" t="s">
        <v>23</v>
      </c>
      <c r="N238" s="21" t="s">
        <v>24</v>
      </c>
      <c r="O238" s="18" t="s">
        <v>25</v>
      </c>
      <c r="P238" s="645" t="s">
        <v>14</v>
      </c>
      <c r="R238" s="21" t="s">
        <v>23</v>
      </c>
      <c r="S238" s="21" t="s">
        <v>24</v>
      </c>
      <c r="T238" s="18" t="s">
        <v>25</v>
      </c>
      <c r="U238" s="645" t="s">
        <v>14</v>
      </c>
      <c r="W238" s="21" t="s">
        <v>23</v>
      </c>
      <c r="X238" s="21" t="s">
        <v>24</v>
      </c>
      <c r="Y238" s="18" t="s">
        <v>25</v>
      </c>
      <c r="Z238" s="645" t="s">
        <v>14</v>
      </c>
      <c r="AA238" s="1517"/>
      <c r="AB238" s="1517"/>
      <c r="AC238" s="4"/>
      <c r="AD238" s="21" t="s">
        <v>23</v>
      </c>
      <c r="AE238" s="21" t="s">
        <v>24</v>
      </c>
      <c r="AF238" s="18" t="s">
        <v>25</v>
      </c>
      <c r="AG238" s="1517"/>
      <c r="AI238" s="368"/>
      <c r="AJ238" s="367"/>
      <c r="AK238" s="188" t="s">
        <v>26</v>
      </c>
      <c r="AL238" s="196">
        <f>AA269</f>
        <v>616.65</v>
      </c>
      <c r="AM238" s="510">
        <v>39.14</v>
      </c>
      <c r="AN238" s="510">
        <f t="shared" ref="AN238:AN244" si="33">AL238*AM238</f>
        <v>24135.681</v>
      </c>
      <c r="AQ238" s="367"/>
      <c r="AR238" s="367"/>
      <c r="AS238" s="367"/>
      <c r="AT238" s="367"/>
      <c r="AU238" s="367"/>
      <c r="AV238" s="367"/>
      <c r="AW238" s="367"/>
    </row>
    <row r="239" spans="1:49">
      <c r="A239" s="180"/>
      <c r="B239" s="640" t="s">
        <v>957</v>
      </c>
      <c r="C239" s="643"/>
      <c r="D239" s="519"/>
      <c r="E239" s="520"/>
      <c r="F239" s="647"/>
      <c r="G239" s="521"/>
      <c r="H239" s="519"/>
      <c r="I239" s="519"/>
      <c r="J239" s="520"/>
      <c r="K239" s="647"/>
      <c r="L239" s="521"/>
      <c r="M239" s="519"/>
      <c r="N239" s="519"/>
      <c r="O239" s="520"/>
      <c r="P239" s="647"/>
      <c r="Q239" s="521"/>
      <c r="R239" s="519"/>
      <c r="S239" s="519"/>
      <c r="T239" s="520"/>
      <c r="U239" s="647"/>
      <c r="V239" s="521"/>
      <c r="W239" s="519"/>
      <c r="X239" s="519"/>
      <c r="Y239" s="520"/>
      <c r="Z239" s="646"/>
      <c r="AA239" s="328">
        <f t="shared" ref="AA239:AA268" si="34">(E239+J239+O239+T239+Y239)</f>
        <v>0</v>
      </c>
      <c r="AB239" s="298">
        <f t="shared" ref="AB239:AB268" si="35">Z239+U239+P239+K239+F239</f>
        <v>0</v>
      </c>
      <c r="AC239" s="4"/>
      <c r="AD239" s="587"/>
      <c r="AE239" s="531"/>
      <c r="AF239" s="319"/>
      <c r="AG239" s="328">
        <f t="shared" ref="AG239:AG268" si="36">AF239</f>
        <v>0</v>
      </c>
      <c r="AI239" s="368"/>
      <c r="AJ239" s="367"/>
      <c r="AK239" s="188" t="s">
        <v>30</v>
      </c>
      <c r="AL239" s="196">
        <f>AB269</f>
        <v>1</v>
      </c>
      <c r="AM239" s="511">
        <f>AM238*1.5</f>
        <v>58.71</v>
      </c>
      <c r="AN239" s="510">
        <f t="shared" si="33"/>
        <v>58.71</v>
      </c>
      <c r="AQ239" s="367"/>
      <c r="AR239" s="367"/>
      <c r="AS239" s="367"/>
      <c r="AT239" s="367"/>
      <c r="AU239" s="367"/>
      <c r="AV239" s="367"/>
      <c r="AW239" s="367"/>
    </row>
    <row r="240" spans="1:49">
      <c r="A240" s="367"/>
      <c r="B240" s="4" t="s">
        <v>958</v>
      </c>
      <c r="C240" s="441"/>
      <c r="D240" s="47"/>
      <c r="E240" s="319">
        <v>0</v>
      </c>
      <c r="F240" s="646"/>
      <c r="G240" s="4"/>
      <c r="H240" s="441"/>
      <c r="I240" s="47"/>
      <c r="J240" s="319">
        <v>0</v>
      </c>
      <c r="K240" s="646"/>
      <c r="L240" s="4"/>
      <c r="M240" s="441"/>
      <c r="N240" s="47"/>
      <c r="O240" s="319">
        <v>0</v>
      </c>
      <c r="P240" s="646"/>
      <c r="R240" s="47"/>
      <c r="S240" s="47"/>
      <c r="T240" s="319">
        <v>0</v>
      </c>
      <c r="U240" s="646"/>
      <c r="W240" s="47"/>
      <c r="X240" s="47"/>
      <c r="Y240" s="319">
        <v>0</v>
      </c>
      <c r="Z240" s="646"/>
      <c r="AA240" s="328">
        <f t="shared" si="34"/>
        <v>0</v>
      </c>
      <c r="AB240" s="298">
        <f t="shared" si="35"/>
        <v>0</v>
      </c>
      <c r="AC240" s="4"/>
      <c r="AF240" s="319"/>
      <c r="AG240" s="328">
        <f t="shared" si="36"/>
        <v>0</v>
      </c>
      <c r="AH240" s="175"/>
      <c r="AI240" s="402"/>
      <c r="AJ240" s="367"/>
      <c r="AK240" s="188" t="s">
        <v>32</v>
      </c>
      <c r="AL240" s="196">
        <f>AG269</f>
        <v>0</v>
      </c>
      <c r="AM240" s="510">
        <v>58.71</v>
      </c>
      <c r="AN240" s="510">
        <f t="shared" si="33"/>
        <v>0</v>
      </c>
      <c r="AQ240" s="367"/>
      <c r="AR240" s="367"/>
      <c r="AS240" s="367"/>
      <c r="AT240" s="367"/>
      <c r="AU240" s="367"/>
      <c r="AV240" s="367"/>
      <c r="AW240" s="367"/>
    </row>
    <row r="241" spans="1:49">
      <c r="A241" s="367"/>
      <c r="B241" s="47" t="s">
        <v>515</v>
      </c>
      <c r="C241" s="441" t="s">
        <v>363</v>
      </c>
      <c r="D241" s="47">
        <v>0.25</v>
      </c>
      <c r="E241" s="319">
        <v>7.25</v>
      </c>
      <c r="F241" s="646"/>
      <c r="G241" s="4"/>
      <c r="H241" s="441" t="s">
        <v>249</v>
      </c>
      <c r="I241" s="47">
        <v>0.20833333333333334</v>
      </c>
      <c r="J241" s="319">
        <v>7</v>
      </c>
      <c r="K241" s="646"/>
      <c r="L241" s="4"/>
      <c r="M241" s="441" t="s">
        <v>75</v>
      </c>
      <c r="N241" s="47">
        <v>0.25</v>
      </c>
      <c r="O241" s="319">
        <v>8</v>
      </c>
      <c r="P241" s="646"/>
      <c r="R241" s="47"/>
      <c r="S241" s="47"/>
      <c r="T241" s="319">
        <v>0</v>
      </c>
      <c r="U241" s="646"/>
      <c r="W241" s="47"/>
      <c r="X241" s="47"/>
      <c r="Y241" s="319">
        <v>0</v>
      </c>
      <c r="Z241" s="646"/>
      <c r="AA241" s="328">
        <f t="shared" si="34"/>
        <v>22.25</v>
      </c>
      <c r="AB241" s="298">
        <f t="shared" si="35"/>
        <v>0</v>
      </c>
      <c r="AC241" s="399"/>
      <c r="AD241" s="47"/>
      <c r="AE241" s="47"/>
      <c r="AF241" s="319"/>
      <c r="AG241" s="328">
        <f t="shared" si="36"/>
        <v>0</v>
      </c>
      <c r="AH241" s="175"/>
      <c r="AJ241" s="401"/>
      <c r="AK241" s="403" t="s">
        <v>213</v>
      </c>
      <c r="AL241" s="404">
        <f>AA271</f>
        <v>40</v>
      </c>
      <c r="AM241" s="510">
        <v>51.5</v>
      </c>
      <c r="AN241" s="510">
        <f t="shared" si="33"/>
        <v>2060</v>
      </c>
      <c r="AO241" s="405"/>
      <c r="AP241" s="405"/>
      <c r="AQ241" s="367"/>
      <c r="AR241" s="401"/>
      <c r="AS241" s="401"/>
      <c r="AT241" s="401"/>
      <c r="AU241" s="401"/>
      <c r="AV241" s="401"/>
      <c r="AW241" s="401"/>
    </row>
    <row r="242" spans="1:49">
      <c r="A242" s="367"/>
      <c r="B242" s="441" t="s">
        <v>962</v>
      </c>
      <c r="C242" s="441" t="s">
        <v>212</v>
      </c>
      <c r="D242" s="47">
        <v>9.375E-2</v>
      </c>
      <c r="E242" s="319">
        <v>5</v>
      </c>
      <c r="F242" s="646"/>
      <c r="G242" s="4"/>
      <c r="H242" s="441" t="s">
        <v>987</v>
      </c>
      <c r="I242" s="47"/>
      <c r="J242" s="319"/>
      <c r="K242" s="646"/>
      <c r="L242" s="4"/>
      <c r="M242" s="441" t="s">
        <v>75</v>
      </c>
      <c r="N242" s="47">
        <v>0.25</v>
      </c>
      <c r="O242" s="319">
        <v>8</v>
      </c>
      <c r="P242" s="646"/>
      <c r="R242" s="441" t="s">
        <v>344</v>
      </c>
      <c r="S242" s="47">
        <v>0.20833333333333334</v>
      </c>
      <c r="T242" s="319">
        <v>7.75</v>
      </c>
      <c r="U242" s="646"/>
      <c r="W242" s="441" t="s">
        <v>125</v>
      </c>
      <c r="X242" s="47">
        <v>0.20833333333333334</v>
      </c>
      <c r="Y242" s="319">
        <v>8</v>
      </c>
      <c r="Z242" s="646"/>
      <c r="AA242" s="328">
        <f t="shared" si="34"/>
        <v>28.75</v>
      </c>
      <c r="AB242" s="298">
        <f t="shared" si="35"/>
        <v>0</v>
      </c>
      <c r="AC242" s="175"/>
      <c r="AD242" s="47"/>
      <c r="AE242" s="47"/>
      <c r="AF242" s="319"/>
      <c r="AG242" s="328">
        <f t="shared" si="36"/>
        <v>0</v>
      </c>
      <c r="AH242" s="175"/>
      <c r="AJ242" s="401"/>
      <c r="AK242" s="188" t="s">
        <v>36</v>
      </c>
      <c r="AL242" s="196">
        <f>AB271</f>
        <v>3.25</v>
      </c>
      <c r="AM242" s="510">
        <f>AM241*1.5</f>
        <v>77.25</v>
      </c>
      <c r="AN242" s="510">
        <f t="shared" si="33"/>
        <v>251.0625</v>
      </c>
      <c r="AO242" s="405"/>
      <c r="AP242" s="405"/>
      <c r="AQ242" s="367"/>
      <c r="AR242" s="401"/>
      <c r="AS242" s="401"/>
      <c r="AT242" s="401"/>
      <c r="AU242" s="401"/>
      <c r="AV242" s="401"/>
      <c r="AW242" s="401"/>
    </row>
    <row r="243" spans="1:49">
      <c r="A243" s="367"/>
      <c r="B243" s="47" t="s">
        <v>967</v>
      </c>
      <c r="C243" s="441" t="s">
        <v>75</v>
      </c>
      <c r="D243" s="47">
        <v>0.25</v>
      </c>
      <c r="E243" s="319">
        <v>8</v>
      </c>
      <c r="F243" s="646"/>
      <c r="G243" s="4"/>
      <c r="H243" s="441" t="s">
        <v>75</v>
      </c>
      <c r="I243" s="47">
        <v>0.25</v>
      </c>
      <c r="J243" s="319">
        <v>8</v>
      </c>
      <c r="K243" s="646"/>
      <c r="L243" s="4"/>
      <c r="M243" s="441" t="s">
        <v>75</v>
      </c>
      <c r="N243" s="47">
        <v>0.25</v>
      </c>
      <c r="O243" s="319">
        <v>8</v>
      </c>
      <c r="P243" s="646"/>
      <c r="R243" s="441" t="s">
        <v>344</v>
      </c>
      <c r="S243" s="47">
        <v>0.20833333333333334</v>
      </c>
      <c r="T243" s="319">
        <v>7.75</v>
      </c>
      <c r="U243" s="646"/>
      <c r="W243" s="47"/>
      <c r="X243" s="47"/>
      <c r="Y243" s="319">
        <v>0</v>
      </c>
      <c r="Z243" s="646"/>
      <c r="AA243" s="328">
        <f t="shared" si="34"/>
        <v>31.75</v>
      </c>
      <c r="AB243" s="298">
        <f t="shared" si="35"/>
        <v>0</v>
      </c>
      <c r="AC243" s="4"/>
      <c r="AD243" s="47"/>
      <c r="AE243" s="47"/>
      <c r="AF243" s="319"/>
      <c r="AG243" s="328">
        <f t="shared" si="36"/>
        <v>0</v>
      </c>
      <c r="AH243" s="175"/>
      <c r="AI243" s="368"/>
      <c r="AK243" s="188" t="s">
        <v>38</v>
      </c>
      <c r="AL243" s="196">
        <f>AG271</f>
        <v>0</v>
      </c>
      <c r="AM243" s="510">
        <v>77.25</v>
      </c>
      <c r="AN243" s="510">
        <f t="shared" si="33"/>
        <v>0</v>
      </c>
      <c r="AQ243" s="367"/>
    </row>
    <row r="244" spans="1:49" s="4" customFormat="1" ht="14.25" thickBot="1">
      <c r="A244" s="180"/>
      <c r="B244" s="436" t="s">
        <v>972</v>
      </c>
      <c r="C244" s="441" t="s">
        <v>75</v>
      </c>
      <c r="D244" s="47">
        <v>0.25</v>
      </c>
      <c r="E244" s="319">
        <v>8</v>
      </c>
      <c r="F244" s="646"/>
      <c r="H244" s="441" t="s">
        <v>249</v>
      </c>
      <c r="I244" s="47">
        <v>0.25</v>
      </c>
      <c r="J244" s="319">
        <v>8</v>
      </c>
      <c r="K244" s="646"/>
      <c r="M244" s="47">
        <v>0.375</v>
      </c>
      <c r="N244" s="47">
        <v>0.20833333333333334</v>
      </c>
      <c r="O244" s="319">
        <v>8</v>
      </c>
      <c r="P244" s="646"/>
      <c r="R244" s="441" t="s">
        <v>75</v>
      </c>
      <c r="S244" s="47">
        <v>0.25</v>
      </c>
      <c r="T244" s="319">
        <v>8</v>
      </c>
      <c r="U244" s="646"/>
      <c r="W244" s="441" t="s">
        <v>75</v>
      </c>
      <c r="X244" s="47">
        <v>8.3333333333333329E-2</v>
      </c>
      <c r="Y244" s="319">
        <v>5</v>
      </c>
      <c r="Z244" s="646"/>
      <c r="AA244" s="328">
        <f t="shared" si="34"/>
        <v>37</v>
      </c>
      <c r="AB244" s="298">
        <f t="shared" si="35"/>
        <v>0</v>
      </c>
      <c r="AD244" s="47"/>
      <c r="AE244" s="47"/>
      <c r="AF244" s="319"/>
      <c r="AG244" s="328">
        <f t="shared" si="36"/>
        <v>0</v>
      </c>
      <c r="AI244" s="255"/>
      <c r="AJ244" s="180"/>
      <c r="AK244" s="188" t="s">
        <v>41</v>
      </c>
      <c r="AL244" s="196">
        <f>C272</f>
        <v>43</v>
      </c>
      <c r="AM244" s="512">
        <v>46.35</v>
      </c>
      <c r="AN244" s="512">
        <f t="shared" si="33"/>
        <v>1993.05</v>
      </c>
      <c r="AO244" s="193"/>
      <c r="AP244" s="193"/>
      <c r="AQ244" s="367"/>
      <c r="AR244" s="180"/>
      <c r="AS244" s="180"/>
      <c r="AT244" s="180"/>
      <c r="AU244" s="180"/>
      <c r="AV244" s="180"/>
      <c r="AW244" s="180"/>
    </row>
    <row r="245" spans="1:49" s="4" customFormat="1" ht="14.25" thickTop="1">
      <c r="A245" s="180"/>
      <c r="B245" s="47" t="s">
        <v>974</v>
      </c>
      <c r="C245" s="643" t="s">
        <v>988</v>
      </c>
      <c r="D245" s="653" t="s">
        <v>153</v>
      </c>
      <c r="E245" s="520"/>
      <c r="F245" s="647"/>
      <c r="G245" s="521"/>
      <c r="H245" s="643" t="s">
        <v>988</v>
      </c>
      <c r="I245" s="653" t="s">
        <v>153</v>
      </c>
      <c r="J245" s="520"/>
      <c r="K245" s="647"/>
      <c r="L245" s="521"/>
      <c r="M245" s="643" t="s">
        <v>988</v>
      </c>
      <c r="N245" s="653" t="s">
        <v>153</v>
      </c>
      <c r="O245" s="520"/>
      <c r="P245" s="647"/>
      <c r="Q245" s="521"/>
      <c r="R245" s="643" t="s">
        <v>988</v>
      </c>
      <c r="S245" s="653" t="s">
        <v>153</v>
      </c>
      <c r="T245" s="520"/>
      <c r="U245" s="647"/>
      <c r="V245" s="521"/>
      <c r="W245" s="643" t="s">
        <v>988</v>
      </c>
      <c r="X245" s="653" t="s">
        <v>153</v>
      </c>
      <c r="Y245" s="520"/>
      <c r="Z245" s="646"/>
      <c r="AA245" s="328">
        <f t="shared" si="34"/>
        <v>0</v>
      </c>
      <c r="AB245" s="298">
        <f t="shared" si="35"/>
        <v>0</v>
      </c>
      <c r="AD245" s="47"/>
      <c r="AE245" s="47"/>
      <c r="AF245" s="319"/>
      <c r="AG245" s="328">
        <f t="shared" si="36"/>
        <v>0</v>
      </c>
      <c r="AI245" s="255"/>
      <c r="AJ245" s="180"/>
      <c r="AK245" s="193"/>
      <c r="AL245" s="193"/>
      <c r="AM245" s="193"/>
      <c r="AN245" s="510">
        <f>SUM(AN238:AN244)</f>
        <v>28498.503499999999</v>
      </c>
      <c r="AO245" s="193"/>
      <c r="AP245" s="193"/>
      <c r="AQ245" s="367"/>
      <c r="AR245" s="180"/>
      <c r="AS245" s="180"/>
      <c r="AT245" s="180"/>
      <c r="AU245" s="180"/>
      <c r="AV245" s="180"/>
      <c r="AW245" s="180"/>
    </row>
    <row r="246" spans="1:49" s="4" customFormat="1">
      <c r="A246" s="180"/>
      <c r="B246" s="640" t="s">
        <v>390</v>
      </c>
      <c r="C246" s="643"/>
      <c r="D246" s="519"/>
      <c r="E246" s="520"/>
      <c r="F246" s="647"/>
      <c r="G246" s="521"/>
      <c r="H246" s="519"/>
      <c r="I246" s="519"/>
      <c r="J246" s="520"/>
      <c r="K246" s="647"/>
      <c r="L246" s="521"/>
      <c r="M246" s="519"/>
      <c r="N246" s="519"/>
      <c r="O246" s="520"/>
      <c r="P246" s="647"/>
      <c r="Q246" s="521"/>
      <c r="R246" s="519"/>
      <c r="S246" s="519"/>
      <c r="T246" s="520"/>
      <c r="U246" s="647"/>
      <c r="V246" s="521"/>
      <c r="W246" s="519"/>
      <c r="X246" s="519"/>
      <c r="Y246" s="520"/>
      <c r="Z246" s="646"/>
      <c r="AA246" s="328">
        <f t="shared" si="34"/>
        <v>0</v>
      </c>
      <c r="AB246" s="298">
        <f t="shared" si="35"/>
        <v>0</v>
      </c>
      <c r="AD246" s="47"/>
      <c r="AE246" s="47"/>
      <c r="AF246" s="319"/>
      <c r="AG246" s="328">
        <f t="shared" si="36"/>
        <v>0</v>
      </c>
      <c r="AI246" s="255"/>
      <c r="AJ246" s="180"/>
      <c r="AK246" s="193"/>
      <c r="AL246" s="193"/>
      <c r="AM246" s="193"/>
      <c r="AN246" s="193"/>
      <c r="AO246" s="193"/>
      <c r="AP246" s="193"/>
      <c r="AQ246" s="367"/>
      <c r="AR246" s="180"/>
      <c r="AS246" s="180"/>
      <c r="AT246" s="180"/>
      <c r="AU246" s="180"/>
      <c r="AV246" s="180"/>
      <c r="AW246" s="180"/>
    </row>
    <row r="247" spans="1:49" s="4" customFormat="1">
      <c r="A247" s="180"/>
      <c r="B247" s="639" t="s">
        <v>975</v>
      </c>
      <c r="C247" s="643"/>
      <c r="D247" s="519"/>
      <c r="E247" s="520"/>
      <c r="F247" s="647"/>
      <c r="G247" s="521"/>
      <c r="H247" s="519"/>
      <c r="I247" s="519"/>
      <c r="J247" s="520"/>
      <c r="K247" s="647"/>
      <c r="L247" s="521"/>
      <c r="M247" s="519"/>
      <c r="N247" s="519"/>
      <c r="O247" s="520"/>
      <c r="P247" s="647"/>
      <c r="Q247" s="521"/>
      <c r="R247" s="519"/>
      <c r="S247" s="519"/>
      <c r="T247" s="520"/>
      <c r="U247" s="647"/>
      <c r="V247" s="521"/>
      <c r="W247" s="519"/>
      <c r="X247" s="519"/>
      <c r="Y247" s="520"/>
      <c r="Z247" s="646"/>
      <c r="AA247" s="328">
        <f t="shared" si="34"/>
        <v>0</v>
      </c>
      <c r="AB247" s="298">
        <f t="shared" si="35"/>
        <v>0</v>
      </c>
      <c r="AD247" s="47"/>
      <c r="AE247" s="47"/>
      <c r="AF247" s="319"/>
      <c r="AG247" s="328">
        <f t="shared" si="36"/>
        <v>0</v>
      </c>
      <c r="AI247" s="255"/>
      <c r="AJ247" s="180"/>
      <c r="AK247" s="193"/>
      <c r="AL247" s="193"/>
      <c r="AM247" s="193"/>
      <c r="AN247" s="193"/>
      <c r="AO247" s="193"/>
      <c r="AP247" s="193"/>
      <c r="AQ247" s="180"/>
      <c r="AR247" s="180"/>
      <c r="AS247" s="180"/>
      <c r="AT247" s="180"/>
      <c r="AU247" s="180"/>
      <c r="AV247" s="180"/>
      <c r="AW247" s="180"/>
    </row>
    <row r="248" spans="1:49" s="4" customFormat="1">
      <c r="A248" s="180"/>
      <c r="B248" s="47" t="s">
        <v>517</v>
      </c>
      <c r="C248" s="441" t="s">
        <v>75</v>
      </c>
      <c r="D248" s="47">
        <v>0.25</v>
      </c>
      <c r="E248" s="319">
        <v>8</v>
      </c>
      <c r="F248" s="646"/>
      <c r="H248" s="441" t="s">
        <v>75</v>
      </c>
      <c r="I248" s="47">
        <v>0.25</v>
      </c>
      <c r="J248" s="319">
        <v>8</v>
      </c>
      <c r="K248" s="646"/>
      <c r="M248" s="441" t="s">
        <v>75</v>
      </c>
      <c r="N248" s="47">
        <v>0.25</v>
      </c>
      <c r="O248" s="319">
        <v>8</v>
      </c>
      <c r="P248" s="646"/>
      <c r="R248" s="441" t="s">
        <v>125</v>
      </c>
      <c r="S248" s="47">
        <v>0.20833333333333334</v>
      </c>
      <c r="T248" s="319">
        <v>8</v>
      </c>
      <c r="U248" s="646"/>
      <c r="W248" s="441" t="s">
        <v>75</v>
      </c>
      <c r="X248" s="47">
        <v>8.3333333333333329E-2</v>
      </c>
      <c r="Y248" s="319">
        <v>5</v>
      </c>
      <c r="Z248" s="646"/>
      <c r="AA248" s="328">
        <f t="shared" si="34"/>
        <v>37</v>
      </c>
      <c r="AB248" s="298">
        <f t="shared" si="35"/>
        <v>0</v>
      </c>
      <c r="AD248" s="47"/>
      <c r="AE248" s="47"/>
      <c r="AF248" s="319"/>
      <c r="AG248" s="328">
        <f t="shared" si="36"/>
        <v>0</v>
      </c>
      <c r="AI248" s="255"/>
      <c r="AJ248" s="180"/>
      <c r="AK248" s="193"/>
      <c r="AL248" s="193"/>
      <c r="AM248" s="193"/>
      <c r="AN248" s="193"/>
      <c r="AO248" s="193"/>
      <c r="AP248" s="193"/>
      <c r="AQ248" s="180"/>
      <c r="AR248" s="180"/>
      <c r="AS248" s="180"/>
      <c r="AT248" s="180"/>
      <c r="AU248" s="180"/>
      <c r="AV248" s="180"/>
      <c r="AW248" s="180"/>
    </row>
    <row r="249" spans="1:49" s="4" customFormat="1">
      <c r="A249" s="180"/>
      <c r="B249" s="47" t="s">
        <v>981</v>
      </c>
      <c r="C249" s="643" t="s">
        <v>989</v>
      </c>
      <c r="D249" s="653"/>
      <c r="E249" s="520">
        <v>0</v>
      </c>
      <c r="F249" s="647"/>
      <c r="G249" s="521"/>
      <c r="H249" s="643" t="s">
        <v>989</v>
      </c>
      <c r="I249" s="653"/>
      <c r="J249" s="520">
        <v>0</v>
      </c>
      <c r="K249" s="647"/>
      <c r="L249" s="521"/>
      <c r="M249" s="643"/>
      <c r="N249" s="653"/>
      <c r="O249" s="520">
        <v>0</v>
      </c>
      <c r="P249" s="647"/>
      <c r="Q249" s="521"/>
      <c r="R249" s="643"/>
      <c r="S249" s="653"/>
      <c r="T249" s="520">
        <v>0</v>
      </c>
      <c r="U249" s="647"/>
      <c r="V249" s="521"/>
      <c r="W249" s="643"/>
      <c r="X249" s="653"/>
      <c r="Y249" s="520">
        <v>0</v>
      </c>
      <c r="Z249" s="646"/>
      <c r="AA249" s="328">
        <f t="shared" si="34"/>
        <v>0</v>
      </c>
      <c r="AB249" s="298">
        <f t="shared" si="35"/>
        <v>0</v>
      </c>
      <c r="AD249" s="47"/>
      <c r="AE249" s="47"/>
      <c r="AF249" s="319"/>
      <c r="AG249" s="328">
        <f t="shared" si="36"/>
        <v>0</v>
      </c>
      <c r="AI249" s="255"/>
      <c r="AJ249" s="180"/>
      <c r="AK249" s="193"/>
      <c r="AL249" s="193"/>
      <c r="AM249" s="193"/>
      <c r="AN249" s="193"/>
      <c r="AO249" s="193"/>
      <c r="AP249" s="193"/>
      <c r="AQ249" s="180"/>
      <c r="AR249" s="180"/>
      <c r="AS249" s="180"/>
      <c r="AT249" s="180"/>
      <c r="AU249" s="180"/>
      <c r="AV249" s="180"/>
      <c r="AW249" s="180"/>
    </row>
    <row r="250" spans="1:49" s="4" customFormat="1">
      <c r="A250" s="180"/>
      <c r="B250" s="4" t="s">
        <v>976</v>
      </c>
      <c r="C250" s="643" t="s">
        <v>988</v>
      </c>
      <c r="D250" s="653" t="s">
        <v>153</v>
      </c>
      <c r="E250" s="520"/>
      <c r="F250" s="646"/>
      <c r="H250" s="441"/>
      <c r="I250" s="47"/>
      <c r="J250" s="319">
        <v>0</v>
      </c>
      <c r="K250" s="646"/>
      <c r="M250" s="47">
        <v>8.3333333333333329E-2</v>
      </c>
      <c r="N250" s="47">
        <v>0.25</v>
      </c>
      <c r="O250" s="319">
        <v>4</v>
      </c>
      <c r="P250" s="646"/>
      <c r="R250" s="441" t="s">
        <v>154</v>
      </c>
      <c r="S250" s="47">
        <v>0</v>
      </c>
      <c r="T250" s="319">
        <v>0</v>
      </c>
      <c r="U250" s="646"/>
      <c r="W250" s="441" t="s">
        <v>75</v>
      </c>
      <c r="X250" s="47">
        <v>0.20833333333333334</v>
      </c>
      <c r="Y250" s="319">
        <v>7</v>
      </c>
      <c r="Z250" s="646"/>
      <c r="AA250" s="328">
        <f t="shared" si="34"/>
        <v>11</v>
      </c>
      <c r="AB250" s="298">
        <f t="shared" si="35"/>
        <v>0</v>
      </c>
      <c r="AD250" s="47"/>
      <c r="AE250" s="47"/>
      <c r="AF250" s="319"/>
      <c r="AG250" s="328">
        <f t="shared" si="36"/>
        <v>0</v>
      </c>
      <c r="AI250" s="255"/>
      <c r="AJ250" s="180"/>
      <c r="AK250" s="193"/>
      <c r="AL250" s="193"/>
      <c r="AM250" s="193"/>
      <c r="AN250" s="193"/>
      <c r="AO250" s="193"/>
      <c r="AP250" s="193"/>
      <c r="AQ250" s="180"/>
      <c r="AR250" s="180"/>
      <c r="AS250" s="180"/>
      <c r="AT250" s="180"/>
      <c r="AU250" s="180"/>
      <c r="AV250" s="180"/>
      <c r="AW250" s="180"/>
    </row>
    <row r="251" spans="1:49" s="4" customFormat="1">
      <c r="A251" s="180"/>
      <c r="B251" s="47" t="s">
        <v>977</v>
      </c>
      <c r="C251" s="441" t="s">
        <v>75</v>
      </c>
      <c r="D251" s="47">
        <v>0.25</v>
      </c>
      <c r="E251" s="319">
        <v>8</v>
      </c>
      <c r="F251" s="646"/>
      <c r="H251" s="441" t="s">
        <v>75</v>
      </c>
      <c r="I251" s="47">
        <v>0.25</v>
      </c>
      <c r="J251" s="319">
        <v>8</v>
      </c>
      <c r="K251" s="646"/>
      <c r="M251" s="441" t="s">
        <v>75</v>
      </c>
      <c r="N251" s="47">
        <v>0.25</v>
      </c>
      <c r="O251" s="319">
        <v>8</v>
      </c>
      <c r="P251" s="646"/>
      <c r="R251" s="441" t="s">
        <v>75</v>
      </c>
      <c r="S251" s="47">
        <v>0.25</v>
      </c>
      <c r="T251" s="319">
        <v>8</v>
      </c>
      <c r="U251" s="646"/>
      <c r="W251" s="664" t="s">
        <v>990</v>
      </c>
      <c r="X251" s="642"/>
      <c r="Y251" s="319">
        <v>0</v>
      </c>
      <c r="Z251" s="646"/>
      <c r="AA251" s="328">
        <f t="shared" si="34"/>
        <v>32</v>
      </c>
      <c r="AB251" s="298">
        <f t="shared" si="35"/>
        <v>0</v>
      </c>
      <c r="AD251" s="47"/>
      <c r="AE251" s="47"/>
      <c r="AF251" s="319"/>
      <c r="AG251" s="328">
        <f t="shared" si="36"/>
        <v>0</v>
      </c>
      <c r="AI251" s="255"/>
      <c r="AJ251" s="180"/>
      <c r="AK251" s="193"/>
      <c r="AL251" s="193"/>
      <c r="AM251" s="193"/>
      <c r="AN251" s="193"/>
      <c r="AO251" s="193"/>
      <c r="AP251" s="193"/>
      <c r="AQ251" s="180"/>
      <c r="AR251" s="180"/>
      <c r="AS251" s="180"/>
      <c r="AT251" s="180"/>
      <c r="AU251" s="180"/>
      <c r="AV251" s="180"/>
      <c r="AW251" s="180"/>
    </row>
    <row r="252" spans="1:49" s="4" customFormat="1">
      <c r="A252" s="180"/>
      <c r="B252" s="47" t="s">
        <v>986</v>
      </c>
      <c r="C252" s="643"/>
      <c r="D252" s="519"/>
      <c r="E252" s="520">
        <v>0</v>
      </c>
      <c r="F252" s="647"/>
      <c r="G252" s="521"/>
      <c r="H252" s="519"/>
      <c r="I252" s="519"/>
      <c r="J252" s="520"/>
      <c r="K252" s="647"/>
      <c r="L252" s="521"/>
      <c r="M252" s="519"/>
      <c r="N252" s="519"/>
      <c r="O252" s="520"/>
      <c r="P252" s="647"/>
      <c r="Q252" s="521"/>
      <c r="R252" s="519"/>
      <c r="S252" s="519"/>
      <c r="T252" s="520"/>
      <c r="U252" s="647"/>
      <c r="V252" s="521"/>
      <c r="W252" s="519"/>
      <c r="X252" s="519"/>
      <c r="Y252" s="520"/>
      <c r="Z252" s="646"/>
      <c r="AA252" s="328">
        <f t="shared" si="34"/>
        <v>0</v>
      </c>
      <c r="AB252" s="298">
        <f t="shared" si="35"/>
        <v>0</v>
      </c>
      <c r="AD252" s="47"/>
      <c r="AE252" s="47"/>
      <c r="AF252" s="319"/>
      <c r="AG252" s="328">
        <f t="shared" si="36"/>
        <v>0</v>
      </c>
      <c r="AI252" s="255"/>
      <c r="AJ252" s="180"/>
      <c r="AK252" s="193"/>
      <c r="AL252" s="193"/>
      <c r="AM252" s="193"/>
      <c r="AN252" s="193"/>
      <c r="AO252" s="193"/>
      <c r="AP252" s="193"/>
      <c r="AQ252" s="180"/>
      <c r="AR252" s="180"/>
      <c r="AS252" s="180"/>
      <c r="AT252" s="180"/>
      <c r="AU252" s="180"/>
      <c r="AV252" s="180"/>
      <c r="AW252" s="180"/>
    </row>
    <row r="253" spans="1:49" s="4" customFormat="1">
      <c r="A253" s="180"/>
      <c r="B253" s="436" t="s">
        <v>394</v>
      </c>
      <c r="C253" s="441" t="s">
        <v>75</v>
      </c>
      <c r="D253" s="47">
        <v>0.25</v>
      </c>
      <c r="E253" s="319">
        <v>8</v>
      </c>
      <c r="F253" s="646"/>
      <c r="H253" s="441" t="s">
        <v>75</v>
      </c>
      <c r="I253" s="47">
        <v>0.25</v>
      </c>
      <c r="J253" s="319">
        <v>8</v>
      </c>
      <c r="K253" s="646"/>
      <c r="M253" s="441" t="s">
        <v>75</v>
      </c>
      <c r="N253" s="47">
        <v>0.25</v>
      </c>
      <c r="O253" s="319">
        <v>8</v>
      </c>
      <c r="P253" s="646"/>
      <c r="R253" s="441" t="s">
        <v>75</v>
      </c>
      <c r="S253" s="47">
        <v>0.25</v>
      </c>
      <c r="T253" s="319">
        <v>8</v>
      </c>
      <c r="U253" s="646"/>
      <c r="W253" s="441" t="s">
        <v>76</v>
      </c>
      <c r="X253" s="47">
        <v>0.22916666666666666</v>
      </c>
      <c r="Y253" s="319">
        <v>8</v>
      </c>
      <c r="Z253" s="646"/>
      <c r="AA253" s="328">
        <f t="shared" si="34"/>
        <v>40</v>
      </c>
      <c r="AB253" s="298">
        <f t="shared" si="35"/>
        <v>0</v>
      </c>
      <c r="AD253" s="47"/>
      <c r="AE253" s="47"/>
      <c r="AF253" s="319"/>
      <c r="AG253" s="328">
        <f t="shared" si="36"/>
        <v>0</v>
      </c>
      <c r="AI253" s="255"/>
      <c r="AJ253" s="180"/>
      <c r="AK253" s="193"/>
      <c r="AL253" s="193"/>
      <c r="AM253" s="193"/>
      <c r="AN253" s="193"/>
      <c r="AO253" s="193"/>
      <c r="AP253" s="193"/>
      <c r="AQ253" s="180"/>
      <c r="AR253" s="180"/>
      <c r="AS253" s="180"/>
      <c r="AT253" s="180"/>
      <c r="AU253" s="180"/>
      <c r="AV253" s="180"/>
      <c r="AW253" s="180"/>
    </row>
    <row r="254" spans="1:49" s="4" customFormat="1">
      <c r="A254" s="180"/>
      <c r="B254" s="47" t="s">
        <v>519</v>
      </c>
      <c r="C254" s="441" t="s">
        <v>83</v>
      </c>
      <c r="D254" s="47">
        <v>0.25</v>
      </c>
      <c r="E254" s="319">
        <v>7.5</v>
      </c>
      <c r="F254" s="646"/>
      <c r="H254" s="643" t="s">
        <v>988</v>
      </c>
      <c r="I254" s="653" t="s">
        <v>153</v>
      </c>
      <c r="J254" s="319"/>
      <c r="K254" s="646"/>
      <c r="M254" s="441" t="s">
        <v>75</v>
      </c>
      <c r="N254" s="47">
        <v>0.25</v>
      </c>
      <c r="O254" s="319">
        <v>8</v>
      </c>
      <c r="P254" s="646"/>
      <c r="R254" s="441" t="s">
        <v>75</v>
      </c>
      <c r="S254" s="47">
        <v>0.25</v>
      </c>
      <c r="T254" s="319">
        <v>8</v>
      </c>
      <c r="U254" s="646"/>
      <c r="W254" s="441" t="s">
        <v>249</v>
      </c>
      <c r="X254" s="47">
        <v>0.20833333333333334</v>
      </c>
      <c r="Y254" s="319">
        <v>6</v>
      </c>
      <c r="Z254" s="646"/>
      <c r="AA254" s="328">
        <f t="shared" si="34"/>
        <v>29.5</v>
      </c>
      <c r="AB254" s="298">
        <f t="shared" si="35"/>
        <v>0</v>
      </c>
      <c r="AD254" s="47"/>
      <c r="AE254" s="47"/>
      <c r="AF254" s="319"/>
      <c r="AG254" s="328">
        <f t="shared" si="36"/>
        <v>0</v>
      </c>
      <c r="AI254" s="255"/>
      <c r="AJ254" s="180"/>
      <c r="AK254" s="193"/>
      <c r="AL254" s="193"/>
      <c r="AM254" s="193"/>
      <c r="AN254" s="193"/>
      <c r="AO254" s="193"/>
      <c r="AP254" s="193"/>
      <c r="AQ254" s="180"/>
      <c r="AR254" s="180"/>
      <c r="AS254" s="180"/>
      <c r="AT254" s="180"/>
      <c r="AU254" s="180"/>
      <c r="AV254" s="180"/>
      <c r="AW254" s="180"/>
    </row>
    <row r="255" spans="1:49" s="4" customFormat="1">
      <c r="A255" s="180"/>
      <c r="B255" s="639" t="s">
        <v>533</v>
      </c>
      <c r="C255" s="643"/>
      <c r="D255" s="519"/>
      <c r="E255" s="520"/>
      <c r="F255" s="647"/>
      <c r="G255" s="521"/>
      <c r="H255" s="519"/>
      <c r="I255" s="519"/>
      <c r="J255" s="520"/>
      <c r="K255" s="647"/>
      <c r="L255" s="521"/>
      <c r="M255" s="519"/>
      <c r="N255" s="519"/>
      <c r="O255" s="520"/>
      <c r="P255" s="647"/>
      <c r="Q255" s="521"/>
      <c r="R255" s="519"/>
      <c r="S255" s="519"/>
      <c r="T255" s="520"/>
      <c r="U255" s="647"/>
      <c r="V255" s="521"/>
      <c r="W255" s="519"/>
      <c r="X255" s="519"/>
      <c r="Y255" s="520"/>
      <c r="Z255" s="646"/>
      <c r="AA255" s="328">
        <f t="shared" si="34"/>
        <v>0</v>
      </c>
      <c r="AB255" s="298">
        <f t="shared" si="35"/>
        <v>0</v>
      </c>
      <c r="AD255" s="47"/>
      <c r="AE255" s="47"/>
      <c r="AF255" s="319"/>
      <c r="AG255" s="328">
        <f t="shared" si="36"/>
        <v>0</v>
      </c>
      <c r="AI255" s="255"/>
      <c r="AJ255" s="180"/>
      <c r="AK255" s="193"/>
      <c r="AL255" s="193"/>
      <c r="AM255" s="193"/>
      <c r="AN255" s="193"/>
      <c r="AO255" s="193"/>
      <c r="AP255" s="193"/>
      <c r="AQ255" s="180"/>
      <c r="AR255" s="180"/>
      <c r="AS255" s="180"/>
      <c r="AT255" s="180"/>
      <c r="AU255" s="180"/>
      <c r="AV255" s="180"/>
      <c r="AW255" s="180"/>
    </row>
    <row r="256" spans="1:49" s="4" customFormat="1">
      <c r="A256" s="180"/>
      <c r="B256" s="502" t="s">
        <v>483</v>
      </c>
      <c r="C256" s="5"/>
      <c r="D256" s="5"/>
      <c r="E256" s="319"/>
      <c r="F256" s="646"/>
      <c r="H256" s="5"/>
      <c r="I256" s="5"/>
      <c r="J256" s="319"/>
      <c r="K256" s="646"/>
      <c r="M256" s="5"/>
      <c r="N256" s="5"/>
      <c r="O256" s="319"/>
      <c r="P256" s="646"/>
      <c r="R256" s="5"/>
      <c r="S256" s="5"/>
      <c r="T256" s="319"/>
      <c r="U256" s="646"/>
      <c r="W256" s="5"/>
      <c r="X256" s="5"/>
      <c r="Y256" s="319"/>
      <c r="Z256" s="646"/>
      <c r="AA256" s="328">
        <f t="shared" si="34"/>
        <v>0</v>
      </c>
      <c r="AB256" s="298">
        <f t="shared" si="35"/>
        <v>0</v>
      </c>
      <c r="AD256" s="47"/>
      <c r="AE256" s="47"/>
      <c r="AF256" s="319"/>
      <c r="AG256" s="328">
        <f t="shared" si="36"/>
        <v>0</v>
      </c>
      <c r="AI256" s="255"/>
      <c r="AJ256" s="180"/>
      <c r="AK256" s="193"/>
      <c r="AL256" s="193"/>
      <c r="AM256" s="193"/>
      <c r="AN256" s="193"/>
      <c r="AO256" s="193"/>
      <c r="AP256" s="193"/>
      <c r="AQ256" s="180"/>
      <c r="AR256" s="180"/>
      <c r="AS256" s="180"/>
      <c r="AT256" s="180"/>
      <c r="AU256" s="180"/>
      <c r="AV256" s="180"/>
      <c r="AW256" s="180"/>
    </row>
    <row r="257" spans="1:49" s="4" customFormat="1">
      <c r="A257" s="180"/>
      <c r="B257" s="502" t="s">
        <v>483</v>
      </c>
      <c r="C257" s="47"/>
      <c r="D257" s="47"/>
      <c r="E257" s="319">
        <v>6</v>
      </c>
      <c r="F257" s="646"/>
      <c r="H257" s="47"/>
      <c r="I257" s="47"/>
      <c r="J257" s="319">
        <v>6</v>
      </c>
      <c r="K257" s="646"/>
      <c r="M257" s="47"/>
      <c r="N257" s="47"/>
      <c r="O257" s="319">
        <v>6</v>
      </c>
      <c r="P257" s="646"/>
      <c r="R257" s="47"/>
      <c r="S257" s="47"/>
      <c r="T257" s="319">
        <v>7</v>
      </c>
      <c r="U257" s="646"/>
      <c r="W257" s="47"/>
      <c r="X257" s="47"/>
      <c r="Y257" s="319">
        <v>6</v>
      </c>
      <c r="Z257" s="646"/>
      <c r="AA257" s="328">
        <f t="shared" si="34"/>
        <v>31</v>
      </c>
      <c r="AB257" s="298">
        <f t="shared" si="35"/>
        <v>0</v>
      </c>
      <c r="AD257" s="47"/>
      <c r="AE257" s="47"/>
      <c r="AF257" s="319"/>
      <c r="AG257" s="328">
        <f t="shared" si="36"/>
        <v>0</v>
      </c>
      <c r="AI257" s="255"/>
      <c r="AJ257" s="180"/>
      <c r="AK257" s="193"/>
      <c r="AL257" s="193"/>
      <c r="AM257" s="193"/>
      <c r="AN257" s="193"/>
      <c r="AO257" s="193"/>
      <c r="AP257" s="193"/>
      <c r="AQ257" s="180"/>
      <c r="AR257" s="180"/>
      <c r="AS257" s="180"/>
      <c r="AT257" s="180"/>
      <c r="AU257" s="180"/>
      <c r="AV257" s="180"/>
      <c r="AW257" s="180"/>
    </row>
    <row r="258" spans="1:49" s="4" customFormat="1">
      <c r="A258" s="180"/>
      <c r="B258" s="502" t="s">
        <v>484</v>
      </c>
      <c r="C258" s="47"/>
      <c r="D258" s="47"/>
      <c r="E258" s="319">
        <v>6</v>
      </c>
      <c r="F258" s="646"/>
      <c r="H258" s="47"/>
      <c r="I258" s="47"/>
      <c r="J258" s="319">
        <v>6</v>
      </c>
      <c r="K258" s="646"/>
      <c r="M258" s="47"/>
      <c r="N258" s="47"/>
      <c r="O258" s="319">
        <v>6</v>
      </c>
      <c r="P258" s="646"/>
      <c r="R258" s="47"/>
      <c r="S258" s="47"/>
      <c r="T258" s="319">
        <v>7</v>
      </c>
      <c r="U258" s="646"/>
      <c r="W258" s="47"/>
      <c r="X258" s="47"/>
      <c r="Y258" s="319">
        <v>6</v>
      </c>
      <c r="Z258" s="646"/>
      <c r="AA258" s="328">
        <f t="shared" si="34"/>
        <v>31</v>
      </c>
      <c r="AB258" s="298">
        <f t="shared" si="35"/>
        <v>0</v>
      </c>
      <c r="AD258" s="47"/>
      <c r="AE258" s="47"/>
      <c r="AF258" s="319"/>
      <c r="AG258" s="328">
        <f t="shared" si="36"/>
        <v>0</v>
      </c>
      <c r="AI258" s="255"/>
      <c r="AJ258" s="180"/>
      <c r="AK258" s="193"/>
      <c r="AL258" s="193"/>
      <c r="AM258" s="193"/>
      <c r="AN258" s="193"/>
      <c r="AO258" s="193"/>
      <c r="AP258" s="193"/>
      <c r="AQ258" s="180"/>
      <c r="AR258" s="180"/>
      <c r="AS258" s="180"/>
      <c r="AT258" s="180"/>
      <c r="AU258" s="180"/>
      <c r="AV258" s="180"/>
      <c r="AW258" s="180"/>
    </row>
    <row r="259" spans="1:49" s="4" customFormat="1">
      <c r="A259" s="180"/>
      <c r="B259" s="502" t="s">
        <v>485</v>
      </c>
      <c r="C259" s="47"/>
      <c r="D259" s="47"/>
      <c r="E259" s="319">
        <v>6</v>
      </c>
      <c r="F259" s="646"/>
      <c r="H259" s="47"/>
      <c r="I259" s="47"/>
      <c r="J259" s="319">
        <v>6</v>
      </c>
      <c r="K259" s="646"/>
      <c r="M259" s="47"/>
      <c r="N259" s="47"/>
      <c r="O259" s="319">
        <v>6</v>
      </c>
      <c r="P259" s="646"/>
      <c r="R259" s="47"/>
      <c r="S259" s="47"/>
      <c r="T259" s="319">
        <v>7</v>
      </c>
      <c r="U259" s="646"/>
      <c r="W259" s="47"/>
      <c r="X259" s="47"/>
      <c r="Y259" s="319">
        <v>6</v>
      </c>
      <c r="Z259" s="646"/>
      <c r="AA259" s="328">
        <f t="shared" si="34"/>
        <v>31</v>
      </c>
      <c r="AB259" s="298">
        <f t="shared" si="35"/>
        <v>0</v>
      </c>
      <c r="AD259" s="47"/>
      <c r="AE259" s="47"/>
      <c r="AF259" s="319"/>
      <c r="AG259" s="328">
        <f t="shared" si="36"/>
        <v>0</v>
      </c>
      <c r="AI259" s="255"/>
      <c r="AJ259" s="180"/>
      <c r="AK259" s="193"/>
      <c r="AL259" s="193"/>
      <c r="AM259" s="193"/>
      <c r="AN259" s="193"/>
      <c r="AO259" s="193"/>
      <c r="AP259" s="193"/>
      <c r="AQ259" s="180"/>
      <c r="AR259" s="180"/>
      <c r="AS259" s="180"/>
      <c r="AT259" s="180"/>
      <c r="AU259" s="180"/>
      <c r="AV259" s="180"/>
      <c r="AW259" s="180"/>
    </row>
    <row r="260" spans="1:49" s="4" customFormat="1">
      <c r="A260" s="180"/>
      <c r="B260" s="502" t="s">
        <v>486</v>
      </c>
      <c r="C260" s="5"/>
      <c r="D260" s="5"/>
      <c r="E260" s="319"/>
      <c r="F260" s="646"/>
      <c r="H260" s="5"/>
      <c r="I260" s="5"/>
      <c r="J260" s="319"/>
      <c r="K260" s="646"/>
      <c r="M260" s="5"/>
      <c r="N260" s="5"/>
      <c r="O260" s="319"/>
      <c r="P260" s="646"/>
      <c r="R260" s="5"/>
      <c r="S260" s="5"/>
      <c r="T260" s="319"/>
      <c r="U260" s="646"/>
      <c r="W260" s="5"/>
      <c r="X260" s="5"/>
      <c r="Y260" s="319"/>
      <c r="Z260" s="646"/>
      <c r="AA260" s="328">
        <f t="shared" si="34"/>
        <v>0</v>
      </c>
      <c r="AB260" s="298">
        <f t="shared" si="35"/>
        <v>0</v>
      </c>
      <c r="AD260" s="47"/>
      <c r="AE260" s="47"/>
      <c r="AF260" s="319"/>
      <c r="AG260" s="328">
        <f t="shared" si="36"/>
        <v>0</v>
      </c>
      <c r="AI260" s="255"/>
      <c r="AJ260" s="180"/>
      <c r="AK260" s="193"/>
      <c r="AL260" s="193"/>
      <c r="AM260" s="193"/>
      <c r="AN260" s="193"/>
      <c r="AO260" s="193"/>
      <c r="AP260" s="193"/>
      <c r="AQ260" s="180"/>
      <c r="AR260" s="180"/>
      <c r="AS260" s="180"/>
      <c r="AT260" s="180"/>
      <c r="AU260" s="180"/>
      <c r="AV260" s="180"/>
      <c r="AW260" s="180"/>
    </row>
    <row r="261" spans="1:49" s="4" customFormat="1">
      <c r="A261" s="180"/>
      <c r="B261" s="63" t="s">
        <v>63</v>
      </c>
      <c r="C261" s="1564" t="s">
        <v>137</v>
      </c>
      <c r="D261" s="1564"/>
      <c r="E261" s="319"/>
      <c r="F261" s="646"/>
      <c r="H261" s="1564" t="s">
        <v>137</v>
      </c>
      <c r="I261" s="1564"/>
      <c r="J261" s="319"/>
      <c r="K261" s="646"/>
      <c r="M261" s="47"/>
      <c r="N261" s="47"/>
      <c r="O261" s="319">
        <v>8</v>
      </c>
      <c r="P261" s="646">
        <v>0.25</v>
      </c>
      <c r="R261" s="1564"/>
      <c r="S261" s="1564"/>
      <c r="T261" s="319">
        <v>8</v>
      </c>
      <c r="U261" s="646">
        <v>0.5</v>
      </c>
      <c r="W261" s="1564"/>
      <c r="X261" s="1564"/>
      <c r="Y261" s="319">
        <v>8</v>
      </c>
      <c r="Z261" s="646">
        <v>0.25</v>
      </c>
      <c r="AA261" s="328">
        <f t="shared" si="34"/>
        <v>24</v>
      </c>
      <c r="AB261" s="298">
        <f t="shared" si="35"/>
        <v>1</v>
      </c>
      <c r="AD261" s="47"/>
      <c r="AE261" s="47"/>
      <c r="AF261" s="319"/>
      <c r="AG261" s="328">
        <f t="shared" si="36"/>
        <v>0</v>
      </c>
      <c r="AI261" s="255"/>
      <c r="AJ261" s="180"/>
      <c r="AK261" s="193"/>
      <c r="AL261" s="193"/>
      <c r="AM261" s="193"/>
      <c r="AN261" s="193"/>
      <c r="AO261" s="193"/>
      <c r="AP261" s="193"/>
      <c r="AQ261" s="180"/>
      <c r="AR261" s="180"/>
      <c r="AS261" s="180"/>
      <c r="AT261" s="180"/>
      <c r="AU261" s="180"/>
      <c r="AV261" s="180"/>
      <c r="AW261" s="180"/>
    </row>
    <row r="262" spans="1:49" s="193" customFormat="1">
      <c r="A262" s="180"/>
      <c r="B262" s="267" t="s">
        <v>358</v>
      </c>
      <c r="C262" s="1564"/>
      <c r="D262" s="1564"/>
      <c r="E262" s="319">
        <v>6</v>
      </c>
      <c r="F262" s="646"/>
      <c r="G262" s="438"/>
      <c r="H262" s="1564"/>
      <c r="I262" s="1564"/>
      <c r="J262" s="319">
        <v>6</v>
      </c>
      <c r="K262" s="646"/>
      <c r="L262" s="438"/>
      <c r="M262" s="1564"/>
      <c r="N262" s="1564"/>
      <c r="O262" s="319">
        <v>8</v>
      </c>
      <c r="P262" s="646"/>
      <c r="Q262" s="438"/>
      <c r="R262" s="1564"/>
      <c r="S262" s="1564"/>
      <c r="T262" s="319">
        <v>6</v>
      </c>
      <c r="U262" s="646"/>
      <c r="V262" s="438"/>
      <c r="W262" s="1564"/>
      <c r="X262" s="1564"/>
      <c r="Y262" s="319">
        <v>6</v>
      </c>
      <c r="Z262" s="646"/>
      <c r="AA262" s="328">
        <f t="shared" si="34"/>
        <v>32</v>
      </c>
      <c r="AB262" s="298">
        <f t="shared" si="35"/>
        <v>0</v>
      </c>
      <c r="AC262" s="4"/>
      <c r="AD262" s="47"/>
      <c r="AE262" s="47"/>
      <c r="AF262" s="319"/>
      <c r="AG262" s="328">
        <f t="shared" si="36"/>
        <v>0</v>
      </c>
      <c r="AH262" s="4"/>
      <c r="AI262" s="255"/>
      <c r="AJ262" s="180"/>
      <c r="AQ262" s="180"/>
      <c r="AR262" s="180"/>
      <c r="AS262" s="180"/>
      <c r="AT262" s="180"/>
      <c r="AU262" s="180"/>
      <c r="AV262" s="180"/>
      <c r="AW262" s="180"/>
    </row>
    <row r="263" spans="1:49" s="193" customFormat="1">
      <c r="A263" s="180"/>
      <c r="B263" s="267" t="s">
        <v>991</v>
      </c>
      <c r="C263" s="5"/>
      <c r="D263" s="5"/>
      <c r="E263" s="319"/>
      <c r="F263" s="646"/>
      <c r="G263" s="438"/>
      <c r="H263" s="5"/>
      <c r="I263" s="5"/>
      <c r="J263" s="319">
        <v>3</v>
      </c>
      <c r="K263" s="646"/>
      <c r="L263" s="438"/>
      <c r="M263" s="5"/>
      <c r="N263" s="5"/>
      <c r="O263" s="319"/>
      <c r="P263" s="646"/>
      <c r="Q263" s="438"/>
      <c r="R263" s="5"/>
      <c r="S263" s="5"/>
      <c r="T263" s="319"/>
      <c r="U263" s="646"/>
      <c r="V263" s="438"/>
      <c r="W263" s="5"/>
      <c r="X263" s="5"/>
      <c r="Y263" s="319"/>
      <c r="Z263" s="646"/>
      <c r="AA263" s="328">
        <f t="shared" si="34"/>
        <v>3</v>
      </c>
      <c r="AB263" s="298">
        <f t="shared" si="35"/>
        <v>0</v>
      </c>
      <c r="AC263" s="4"/>
      <c r="AD263" s="47"/>
      <c r="AE263" s="47"/>
      <c r="AF263" s="319"/>
      <c r="AG263" s="328">
        <f t="shared" si="36"/>
        <v>0</v>
      </c>
      <c r="AH263" s="4"/>
      <c r="AI263" s="255"/>
      <c r="AJ263" s="180"/>
      <c r="AQ263" s="180"/>
      <c r="AR263" s="180"/>
      <c r="AS263" s="180"/>
      <c r="AT263" s="180"/>
      <c r="AU263" s="180"/>
      <c r="AV263" s="180"/>
      <c r="AW263" s="180"/>
    </row>
    <row r="264" spans="1:49" s="193" customFormat="1">
      <c r="A264" s="180"/>
      <c r="B264" s="267" t="s">
        <v>411</v>
      </c>
      <c r="C264" s="5"/>
      <c r="D264" s="5"/>
      <c r="E264" s="319"/>
      <c r="F264" s="646"/>
      <c r="G264" s="438"/>
      <c r="H264" s="5"/>
      <c r="I264" s="5"/>
      <c r="J264" s="319"/>
      <c r="K264" s="646"/>
      <c r="L264" s="438"/>
      <c r="M264" s="5"/>
      <c r="N264" s="5"/>
      <c r="O264" s="319"/>
      <c r="P264" s="646"/>
      <c r="Q264" s="438"/>
      <c r="R264" s="5"/>
      <c r="S264" s="5"/>
      <c r="T264" s="319"/>
      <c r="U264" s="646"/>
      <c r="V264" s="438"/>
      <c r="W264" s="5"/>
      <c r="X264" s="5"/>
      <c r="Y264" s="319"/>
      <c r="Z264" s="646"/>
      <c r="AA264" s="328">
        <f t="shared" si="34"/>
        <v>0</v>
      </c>
      <c r="AB264" s="298">
        <f t="shared" si="35"/>
        <v>0</v>
      </c>
      <c r="AC264" s="4"/>
      <c r="AD264" s="47"/>
      <c r="AE264" s="47"/>
      <c r="AF264" s="319"/>
      <c r="AG264" s="328">
        <f t="shared" si="36"/>
        <v>0</v>
      </c>
      <c r="AH264" s="4"/>
      <c r="AI264" s="255"/>
      <c r="AJ264" s="180"/>
      <c r="AQ264" s="180"/>
      <c r="AR264" s="180"/>
      <c r="AS264" s="180"/>
      <c r="AT264" s="180"/>
      <c r="AU264" s="180"/>
      <c r="AV264" s="180"/>
      <c r="AW264" s="180"/>
    </row>
    <row r="265" spans="1:49" s="193" customFormat="1">
      <c r="A265" s="180"/>
      <c r="B265" s="267" t="s">
        <v>361</v>
      </c>
      <c r="C265" s="5"/>
      <c r="D265" s="5"/>
      <c r="E265" s="319"/>
      <c r="F265" s="646"/>
      <c r="G265" s="438"/>
      <c r="H265" s="5"/>
      <c r="I265" s="5"/>
      <c r="J265" s="319"/>
      <c r="K265" s="646"/>
      <c r="L265" s="438"/>
      <c r="M265" s="5"/>
      <c r="N265" s="5"/>
      <c r="O265" s="319"/>
      <c r="P265" s="646"/>
      <c r="Q265" s="438"/>
      <c r="R265" s="5"/>
      <c r="S265" s="5"/>
      <c r="T265" s="319"/>
      <c r="U265" s="646"/>
      <c r="V265" s="438"/>
      <c r="W265" s="5"/>
      <c r="X265" s="5"/>
      <c r="Y265" s="319"/>
      <c r="Z265" s="646"/>
      <c r="AA265" s="328">
        <f t="shared" si="34"/>
        <v>0</v>
      </c>
      <c r="AB265" s="298">
        <f t="shared" si="35"/>
        <v>0</v>
      </c>
      <c r="AC265" s="4"/>
      <c r="AD265" s="47"/>
      <c r="AE265" s="47"/>
      <c r="AF265" s="319"/>
      <c r="AG265" s="328">
        <f t="shared" si="36"/>
        <v>0</v>
      </c>
      <c r="AH265" s="4"/>
      <c r="AI265" s="255"/>
      <c r="AJ265" s="180"/>
      <c r="AQ265" s="180"/>
      <c r="AR265" s="180"/>
      <c r="AS265" s="180"/>
      <c r="AT265" s="180"/>
      <c r="AU265" s="180"/>
      <c r="AV265" s="180"/>
      <c r="AW265" s="180"/>
    </row>
    <row r="266" spans="1:49" s="193" customFormat="1">
      <c r="A266" s="180"/>
      <c r="B266" s="267" t="s">
        <v>362</v>
      </c>
      <c r="C266" s="47"/>
      <c r="D266" s="47"/>
      <c r="E266" s="319">
        <v>4</v>
      </c>
      <c r="F266" s="646"/>
      <c r="G266" s="438"/>
      <c r="H266" s="47"/>
      <c r="I266" s="47"/>
      <c r="J266" s="319">
        <v>4</v>
      </c>
      <c r="K266" s="646"/>
      <c r="L266" s="438"/>
      <c r="M266" s="47"/>
      <c r="N266" s="47"/>
      <c r="O266" s="319">
        <v>4</v>
      </c>
      <c r="P266" s="646"/>
      <c r="Q266" s="438"/>
      <c r="R266" s="47"/>
      <c r="S266" s="47"/>
      <c r="T266" s="319">
        <v>4</v>
      </c>
      <c r="U266" s="646"/>
      <c r="V266" s="438"/>
      <c r="W266" s="5"/>
      <c r="X266" s="5"/>
      <c r="Y266" s="319">
        <v>4</v>
      </c>
      <c r="Z266" s="646"/>
      <c r="AA266" s="328">
        <f t="shared" si="34"/>
        <v>20</v>
      </c>
      <c r="AB266" s="298">
        <f t="shared" si="35"/>
        <v>0</v>
      </c>
      <c r="AC266" s="4"/>
      <c r="AD266" s="47"/>
      <c r="AE266" s="47"/>
      <c r="AF266" s="319"/>
      <c r="AG266" s="328">
        <f t="shared" si="36"/>
        <v>0</v>
      </c>
      <c r="AH266" s="4"/>
      <c r="AI266" s="255"/>
      <c r="AJ266" s="180"/>
      <c r="AQ266" s="180"/>
      <c r="AR266" s="180"/>
      <c r="AS266" s="180"/>
      <c r="AT266" s="180"/>
      <c r="AU266" s="180"/>
      <c r="AV266" s="180"/>
      <c r="AW266" s="180"/>
    </row>
    <row r="267" spans="1:49" s="193" customFormat="1">
      <c r="A267" s="180"/>
      <c r="B267" s="437" t="s">
        <v>355</v>
      </c>
      <c r="C267" s="5"/>
      <c r="D267" s="5"/>
      <c r="E267" s="319">
        <v>30.7</v>
      </c>
      <c r="F267" s="646"/>
      <c r="G267" s="438"/>
      <c r="H267" s="5"/>
      <c r="I267" s="5"/>
      <c r="J267" s="319"/>
      <c r="K267" s="646"/>
      <c r="L267" s="438"/>
      <c r="M267" s="5"/>
      <c r="N267" s="5"/>
      <c r="O267" s="319">
        <v>47.3</v>
      </c>
      <c r="P267" s="646"/>
      <c r="Q267" s="438"/>
      <c r="R267" s="5"/>
      <c r="S267" s="5"/>
      <c r="T267" s="319">
        <v>37.700000000000003</v>
      </c>
      <c r="U267" s="646"/>
      <c r="V267" s="438"/>
      <c r="W267" s="5"/>
      <c r="X267" s="5"/>
      <c r="Y267" s="319">
        <v>39.299999999999997</v>
      </c>
      <c r="Z267" s="646"/>
      <c r="AA267" s="328">
        <f t="shared" si="34"/>
        <v>155</v>
      </c>
      <c r="AB267" s="298">
        <f t="shared" si="35"/>
        <v>0</v>
      </c>
      <c r="AC267" s="4"/>
      <c r="AD267" s="47"/>
      <c r="AE267" s="47"/>
      <c r="AF267" s="319"/>
      <c r="AG267" s="328">
        <f t="shared" si="36"/>
        <v>0</v>
      </c>
      <c r="AH267" s="4"/>
      <c r="AI267" s="255"/>
      <c r="AJ267" s="180"/>
      <c r="AQ267" s="180"/>
      <c r="AR267" s="180"/>
      <c r="AS267" s="180"/>
      <c r="AT267" s="180"/>
      <c r="AU267" s="180"/>
      <c r="AV267" s="180"/>
      <c r="AW267" s="180"/>
    </row>
    <row r="268" spans="1:49" s="193" customFormat="1">
      <c r="A268" s="180"/>
      <c r="B268" s="437" t="s">
        <v>356</v>
      </c>
      <c r="C268" s="5"/>
      <c r="D268" s="5"/>
      <c r="E268" s="319"/>
      <c r="F268" s="646"/>
      <c r="G268" s="438"/>
      <c r="H268" s="5"/>
      <c r="I268" s="5"/>
      <c r="J268" s="319">
        <v>5.0999999999999996</v>
      </c>
      <c r="K268" s="646"/>
      <c r="L268" s="438"/>
      <c r="M268" s="5"/>
      <c r="N268" s="5"/>
      <c r="O268" s="319">
        <v>5.0999999999999996</v>
      </c>
      <c r="P268" s="646"/>
      <c r="Q268" s="438"/>
      <c r="R268" s="5"/>
      <c r="S268" s="5"/>
      <c r="T268" s="319">
        <v>5.0999999999999996</v>
      </c>
      <c r="U268" s="646"/>
      <c r="V268" s="438"/>
      <c r="W268" s="5"/>
      <c r="X268" s="5"/>
      <c r="Y268" s="319">
        <v>5.0999999999999996</v>
      </c>
      <c r="Z268" s="646"/>
      <c r="AA268" s="328">
        <f t="shared" si="34"/>
        <v>20.399999999999999</v>
      </c>
      <c r="AB268" s="298">
        <f t="shared" si="35"/>
        <v>0</v>
      </c>
      <c r="AC268" s="4"/>
      <c r="AD268" s="47"/>
      <c r="AE268" s="47"/>
      <c r="AF268" s="319"/>
      <c r="AG268" s="328">
        <f t="shared" si="36"/>
        <v>0</v>
      </c>
      <c r="AH268" s="4"/>
      <c r="AI268" s="255"/>
      <c r="AJ268" s="180"/>
      <c r="AK268" s="407"/>
      <c r="AQ268" s="180"/>
      <c r="AR268" s="180"/>
      <c r="AS268" s="180"/>
      <c r="AT268" s="180"/>
      <c r="AU268" s="180"/>
      <c r="AV268" s="180"/>
      <c r="AW268" s="180"/>
    </row>
    <row r="269" spans="1:49" s="193" customFormat="1">
      <c r="A269" s="180"/>
      <c r="B269" s="64" t="s">
        <v>61</v>
      </c>
      <c r="C269" s="31"/>
      <c r="D269" s="31"/>
      <c r="E269" s="439">
        <f>SUM(E239:E268)</f>
        <v>118.45</v>
      </c>
      <c r="F269" s="646">
        <f>SUM(F239:F268)</f>
        <v>0</v>
      </c>
      <c r="G269" s="31"/>
      <c r="H269" s="31"/>
      <c r="I269" s="31"/>
      <c r="J269" s="439">
        <f>SUM(J239:J268)</f>
        <v>83.1</v>
      </c>
      <c r="K269" s="646">
        <f>SUM(K239:K268)</f>
        <v>0</v>
      </c>
      <c r="L269" s="31"/>
      <c r="M269" s="31"/>
      <c r="N269" s="31"/>
      <c r="O269" s="439">
        <f>SUM(O239:O268)</f>
        <v>158.4</v>
      </c>
      <c r="P269" s="646">
        <f>SUM(P239:P268)</f>
        <v>0.25</v>
      </c>
      <c r="Q269" s="31"/>
      <c r="R269" s="31"/>
      <c r="S269" s="31"/>
      <c r="T269" s="439">
        <f>SUM(T239:T268)</f>
        <v>137.29999999999998</v>
      </c>
      <c r="U269" s="646">
        <f>SUM(U239:U268)</f>
        <v>0.5</v>
      </c>
      <c r="V269" s="31"/>
      <c r="W269" s="31"/>
      <c r="X269" s="31"/>
      <c r="Y269" s="439">
        <f>SUM(Y239:Y268)</f>
        <v>119.39999999999999</v>
      </c>
      <c r="Z269" s="646">
        <f>SUM(Z239:Z268)</f>
        <v>0.25</v>
      </c>
      <c r="AA269" s="370">
        <f>SUM(AA239:AA268)</f>
        <v>616.65</v>
      </c>
      <c r="AB269" s="370">
        <f>SUM(AB239:AB268)</f>
        <v>1</v>
      </c>
      <c r="AC269" s="4"/>
      <c r="AD269" s="64"/>
      <c r="AE269" s="64"/>
      <c r="AF269" s="370">
        <f>SUM(AF239:AF268)</f>
        <v>0</v>
      </c>
      <c r="AG269" s="370">
        <f>SUM(AG239:AG268)</f>
        <v>0</v>
      </c>
      <c r="AH269" s="4"/>
      <c r="AI269" s="255"/>
      <c r="AJ269" s="180"/>
      <c r="AK269" s="407"/>
      <c r="AQ269" s="180"/>
      <c r="AR269" s="180"/>
      <c r="AS269" s="180"/>
      <c r="AT269" s="180"/>
      <c r="AU269" s="180"/>
      <c r="AV269" s="180"/>
      <c r="AW269" s="180"/>
    </row>
    <row r="270" spans="1:49" s="193" customFormat="1">
      <c r="A270" s="180"/>
      <c r="B270" s="63" t="s">
        <v>64</v>
      </c>
      <c r="C270" s="47"/>
      <c r="D270" s="47"/>
      <c r="E270" s="319">
        <v>8</v>
      </c>
      <c r="F270" s="346"/>
      <c r="G270" s="613"/>
      <c r="H270" s="47"/>
      <c r="I270" s="47"/>
      <c r="J270" s="319">
        <v>8</v>
      </c>
      <c r="K270" s="346">
        <v>2.25</v>
      </c>
      <c r="L270" s="60"/>
      <c r="M270" s="47"/>
      <c r="N270" s="47"/>
      <c r="O270" s="319">
        <v>8</v>
      </c>
      <c r="P270" s="346"/>
      <c r="Q270" s="60"/>
      <c r="R270" s="47"/>
      <c r="S270" s="47"/>
      <c r="T270" s="319">
        <v>8</v>
      </c>
      <c r="U270" s="346">
        <v>0.5</v>
      </c>
      <c r="V270" s="60"/>
      <c r="W270" s="47"/>
      <c r="X270" s="47"/>
      <c r="Y270" s="319">
        <v>8</v>
      </c>
      <c r="Z270" s="346">
        <v>0.5</v>
      </c>
      <c r="AA270" s="28">
        <f>SUM(E270+J270+O270+T270+Y270)</f>
        <v>40</v>
      </c>
      <c r="AB270" s="296">
        <f>Z270+U270+P270+K270+F270</f>
        <v>3.25</v>
      </c>
      <c r="AC270" s="4"/>
      <c r="AD270" s="47" t="s">
        <v>29</v>
      </c>
      <c r="AE270" s="47" t="s">
        <v>29</v>
      </c>
      <c r="AF270" s="319"/>
      <c r="AG270" s="29">
        <f>AF270</f>
        <v>0</v>
      </c>
      <c r="AH270" s="4"/>
      <c r="AI270" s="255"/>
      <c r="AJ270" s="180"/>
      <c r="AK270" s="407"/>
      <c r="AQ270" s="180"/>
      <c r="AR270" s="180"/>
      <c r="AS270" s="180"/>
      <c r="AT270" s="180"/>
      <c r="AU270" s="180"/>
      <c r="AV270" s="180"/>
      <c r="AW270" s="180"/>
    </row>
    <row r="271" spans="1:49" s="193" customFormat="1">
      <c r="A271" s="180"/>
      <c r="B271" s="71" t="s">
        <v>66</v>
      </c>
      <c r="C271" s="371"/>
      <c r="D271" s="371"/>
      <c r="E271" s="71"/>
      <c r="F271" s="613"/>
      <c r="G271" s="71"/>
      <c r="H271" s="71"/>
      <c r="I271" s="71"/>
      <c r="J271" s="71"/>
      <c r="K271" s="613"/>
      <c r="L271" s="71"/>
      <c r="M271" s="71"/>
      <c r="N271" s="71"/>
      <c r="O271" s="71"/>
      <c r="P271" s="613"/>
      <c r="Q271" s="71"/>
      <c r="R271" s="71"/>
      <c r="S271" s="71"/>
      <c r="T271" s="71"/>
      <c r="U271" s="613"/>
      <c r="V271" s="71"/>
      <c r="W271" s="71"/>
      <c r="X271" s="71"/>
      <c r="Y271" s="71"/>
      <c r="Z271" s="613"/>
      <c r="AA271" s="370">
        <f>SUM(AA270:AA270)</f>
        <v>40</v>
      </c>
      <c r="AB271" s="370">
        <f>SUM(AB270:AB270)</f>
        <v>3.25</v>
      </c>
      <c r="AC271" s="4"/>
      <c r="AD271" s="180"/>
      <c r="AE271" s="180"/>
      <c r="AF271" s="180"/>
      <c r="AG271" s="370">
        <f>SUM(AG270:AG270)</f>
        <v>0</v>
      </c>
      <c r="AH271" s="4"/>
      <c r="AI271" s="255"/>
      <c r="AJ271" s="180"/>
      <c r="AQ271" s="180"/>
      <c r="AR271" s="180"/>
      <c r="AS271" s="180"/>
      <c r="AT271" s="180"/>
      <c r="AU271" s="180"/>
      <c r="AV271" s="180"/>
      <c r="AW271" s="180"/>
    </row>
    <row r="272" spans="1:49" s="193" customFormat="1">
      <c r="A272" s="180"/>
      <c r="B272" s="217" t="s">
        <v>67</v>
      </c>
      <c r="C272" s="207">
        <f>C273+C274</f>
        <v>43</v>
      </c>
      <c r="D272" s="207"/>
      <c r="E272" s="209"/>
      <c r="F272" s="209"/>
      <c r="G272" s="207"/>
      <c r="H272" s="209"/>
      <c r="I272" s="209"/>
      <c r="J272" s="209"/>
      <c r="K272" s="209"/>
      <c r="L272" s="207"/>
      <c r="M272" s="207"/>
      <c r="N272" s="207"/>
      <c r="O272" s="207"/>
      <c r="P272" s="209"/>
      <c r="Q272" s="207"/>
      <c r="R272" s="207"/>
      <c r="S272" s="207"/>
      <c r="T272" s="207"/>
      <c r="U272" s="209"/>
      <c r="V272" s="207"/>
      <c r="W272" s="207"/>
      <c r="X272" s="207"/>
      <c r="Y272" s="210"/>
      <c r="Z272" s="209"/>
      <c r="AA272" s="211"/>
      <c r="AB272" s="209"/>
      <c r="AC272" s="211"/>
      <c r="AD272" s="211"/>
      <c r="AE272" s="211"/>
      <c r="AF272" s="211"/>
      <c r="AG272" s="211"/>
      <c r="AH272" s="4"/>
      <c r="AI272" s="255"/>
      <c r="AJ272" s="180"/>
      <c r="AQ272" s="180"/>
      <c r="AR272" s="180"/>
      <c r="AS272" s="180"/>
      <c r="AT272" s="180"/>
      <c r="AU272" s="180"/>
      <c r="AV272" s="180"/>
      <c r="AW272" s="180"/>
    </row>
    <row r="273" spans="1:49" s="193" customFormat="1">
      <c r="A273" s="180"/>
      <c r="B273" s="238" t="s">
        <v>68</v>
      </c>
      <c r="C273" s="239">
        <f>8+5+7+2</f>
        <v>22</v>
      </c>
      <c r="D273" s="207"/>
      <c r="E273" s="209"/>
      <c r="F273" s="209"/>
      <c r="G273" s="207"/>
      <c r="H273" s="209"/>
      <c r="I273" s="209"/>
      <c r="J273" s="209"/>
      <c r="K273" s="209"/>
      <c r="L273" s="207"/>
      <c r="M273" s="207"/>
      <c r="N273" s="207"/>
      <c r="O273" s="207"/>
      <c r="P273" s="209"/>
      <c r="Q273" s="207"/>
      <c r="R273" s="207"/>
      <c r="S273" s="207"/>
      <c r="T273" s="207"/>
      <c r="U273" s="209"/>
      <c r="V273" s="207"/>
      <c r="W273" s="207"/>
      <c r="X273" s="207"/>
      <c r="Y273" s="210"/>
      <c r="Z273" s="209"/>
      <c r="AA273" s="211"/>
      <c r="AB273" s="209"/>
      <c r="AC273" s="211"/>
      <c r="AD273" s="211"/>
      <c r="AE273" s="211"/>
      <c r="AF273" s="211"/>
      <c r="AG273" s="211"/>
      <c r="AH273" s="4"/>
      <c r="AI273" s="255"/>
      <c r="AJ273" s="180"/>
      <c r="AQ273" s="180"/>
      <c r="AR273" s="180"/>
      <c r="AS273" s="180"/>
      <c r="AT273" s="180"/>
      <c r="AU273" s="180"/>
      <c r="AV273" s="180"/>
      <c r="AW273" s="180"/>
    </row>
    <row r="274" spans="1:49" s="4" customFormat="1">
      <c r="A274" s="180"/>
      <c r="B274" s="238" t="s">
        <v>69</v>
      </c>
      <c r="C274" s="239">
        <f>3+1+2+6+6+3</f>
        <v>21</v>
      </c>
      <c r="D274" s="207"/>
      <c r="E274" s="209"/>
      <c r="F274" s="209"/>
      <c r="G274" s="207"/>
      <c r="H274" s="209"/>
      <c r="I274" s="209"/>
      <c r="J274" s="209"/>
      <c r="K274" s="209"/>
      <c r="L274" s="207"/>
      <c r="M274" s="207"/>
      <c r="N274" s="207"/>
      <c r="O274" s="207"/>
      <c r="P274" s="209"/>
      <c r="Q274" s="207"/>
      <c r="R274" s="207"/>
      <c r="S274" s="207"/>
      <c r="T274" s="207"/>
      <c r="U274" s="209"/>
      <c r="V274" s="207"/>
      <c r="W274" s="207"/>
      <c r="X274" s="207"/>
      <c r="Y274" s="210"/>
      <c r="Z274" s="209"/>
      <c r="AA274" s="211"/>
      <c r="AB274" s="209"/>
      <c r="AC274" s="211"/>
      <c r="AD274" s="211"/>
      <c r="AE274" s="211"/>
      <c r="AF274" s="211"/>
      <c r="AG274" s="211"/>
      <c r="AI274" s="255"/>
      <c r="AJ274" s="180"/>
      <c r="AK274" s="193"/>
      <c r="AL274" s="193"/>
      <c r="AM274" s="193"/>
      <c r="AN274" s="193"/>
      <c r="AO274" s="193"/>
      <c r="AP274" s="193"/>
      <c r="AQ274" s="180"/>
      <c r="AR274" s="180"/>
      <c r="AS274" s="180"/>
      <c r="AT274" s="180"/>
      <c r="AU274" s="180"/>
      <c r="AV274" s="180"/>
      <c r="AW274" s="180"/>
    </row>
    <row r="275" spans="1:49" s="180" customFormat="1">
      <c r="A275" s="313"/>
      <c r="E275" s="4"/>
      <c r="F275" s="644"/>
      <c r="G275" s="4"/>
      <c r="J275" s="4"/>
      <c r="K275" s="644"/>
      <c r="L275" s="4"/>
      <c r="O275" s="4"/>
      <c r="P275" s="644"/>
      <c r="Q275" s="4"/>
      <c r="T275" s="4"/>
      <c r="U275" s="644"/>
      <c r="V275" s="4"/>
      <c r="Y275" s="4"/>
      <c r="Z275" s="644"/>
      <c r="AA275" s="4"/>
      <c r="AB275" s="4"/>
      <c r="AC275" s="4"/>
      <c r="AH275" s="4"/>
      <c r="AI275" s="255"/>
      <c r="AK275" s="193"/>
      <c r="AL275" s="193"/>
      <c r="AM275" s="193"/>
      <c r="AN275" s="193"/>
      <c r="AO275" s="193"/>
      <c r="AP275" s="193"/>
    </row>
    <row r="276" spans="1:49">
      <c r="A276" s="180"/>
      <c r="B276" s="229"/>
      <c r="C276" s="230"/>
      <c r="D276" s="230"/>
      <c r="E276" s="232"/>
      <c r="F276" s="232"/>
      <c r="G276" s="230"/>
      <c r="H276" s="232"/>
      <c r="I276" s="232"/>
      <c r="J276" s="232"/>
      <c r="K276" s="232"/>
      <c r="L276" s="230"/>
      <c r="M276" s="230"/>
      <c r="N276" s="230"/>
      <c r="O276" s="230"/>
      <c r="P276" s="232"/>
      <c r="Q276" s="230"/>
      <c r="R276" s="230"/>
      <c r="S276" s="230"/>
      <c r="T276" s="230"/>
      <c r="U276" s="232"/>
      <c r="V276" s="230"/>
      <c r="W276" s="230"/>
      <c r="X276" s="230"/>
      <c r="Y276" s="233"/>
      <c r="Z276" s="232"/>
      <c r="AA276" s="234"/>
      <c r="AB276" s="232"/>
      <c r="AC276" s="373"/>
      <c r="AD276" s="236"/>
      <c r="AE276" s="255"/>
      <c r="AF276" s="255"/>
      <c r="AG276" s="255"/>
      <c r="AH276" s="255"/>
      <c r="AJ276" s="255"/>
      <c r="AK276" s="255"/>
      <c r="AL276" s="255"/>
      <c r="AM276" s="255"/>
      <c r="AN276" s="255"/>
      <c r="AO276" s="255"/>
      <c r="AP276" s="255"/>
      <c r="AQ276" s="255"/>
      <c r="AR276" s="255"/>
      <c r="AS276" s="255"/>
      <c r="AT276" s="255"/>
      <c r="AU276" s="255"/>
      <c r="AV276" s="255"/>
      <c r="AW276" s="255"/>
    </row>
    <row r="277" spans="1:49">
      <c r="B277" s="180"/>
      <c r="E277" s="4"/>
      <c r="F277" s="644"/>
      <c r="G277" s="4"/>
      <c r="J277" s="4"/>
      <c r="K277" s="644"/>
      <c r="L277" s="4"/>
      <c r="O277" s="4"/>
      <c r="P277" s="644"/>
      <c r="T277" s="4"/>
      <c r="U277" s="644"/>
      <c r="Y277" s="4"/>
      <c r="Z277" s="644"/>
      <c r="AA277" s="4"/>
      <c r="AB277" s="4"/>
      <c r="AC277" s="4"/>
      <c r="AK277" s="180"/>
      <c r="AL277" s="180"/>
      <c r="AM277" s="180"/>
      <c r="AN277" s="180"/>
      <c r="AO277" s="180"/>
      <c r="AP277" s="180"/>
    </row>
    <row r="278" spans="1:49">
      <c r="A278" s="228"/>
      <c r="B278" s="1518" t="s">
        <v>18</v>
      </c>
      <c r="C278" s="1519">
        <v>45586</v>
      </c>
      <c r="D278" s="1519"/>
      <c r="E278" s="1519"/>
      <c r="F278" s="1519"/>
      <c r="G278" s="365"/>
      <c r="H278" s="1519">
        <v>45587</v>
      </c>
      <c r="I278" s="1519"/>
      <c r="J278" s="1519"/>
      <c r="K278" s="1519"/>
      <c r="L278" s="365"/>
      <c r="M278" s="1519">
        <v>45588</v>
      </c>
      <c r="N278" s="1519"/>
      <c r="O278" s="1519"/>
      <c r="P278" s="1519"/>
      <c r="Q278" s="365"/>
      <c r="R278" s="1519">
        <v>45589</v>
      </c>
      <c r="S278" s="1519"/>
      <c r="T278" s="1519"/>
      <c r="U278" s="1519"/>
      <c r="V278" s="365"/>
      <c r="W278" s="1519">
        <v>45590</v>
      </c>
      <c r="X278" s="1519"/>
      <c r="Y278" s="1519"/>
      <c r="Z278" s="1519"/>
      <c r="AA278" s="1517" t="s">
        <v>19</v>
      </c>
      <c r="AB278" s="1517" t="s">
        <v>20</v>
      </c>
      <c r="AC278" s="4"/>
      <c r="AD278" s="1519">
        <v>45591</v>
      </c>
      <c r="AE278" s="1519"/>
      <c r="AF278" s="1519"/>
      <c r="AG278" s="1517" t="s">
        <v>21</v>
      </c>
      <c r="AI278" s="368"/>
      <c r="AK278" s="194" t="s">
        <v>84</v>
      </c>
      <c r="AL278" s="366"/>
      <c r="AM278" s="366"/>
      <c r="AN278" s="366"/>
      <c r="AO278" s="366"/>
      <c r="AP278" s="366"/>
    </row>
    <row r="279" spans="1:49">
      <c r="A279" s="180"/>
      <c r="B279" s="1518"/>
      <c r="C279" s="21" t="s">
        <v>23</v>
      </c>
      <c r="D279" s="21" t="s">
        <v>24</v>
      </c>
      <c r="E279" s="205" t="s">
        <v>25</v>
      </c>
      <c r="F279" s="645" t="s">
        <v>14</v>
      </c>
      <c r="G279" s="4"/>
      <c r="H279" s="21" t="s">
        <v>23</v>
      </c>
      <c r="I279" s="21" t="s">
        <v>24</v>
      </c>
      <c r="J279" s="18" t="s">
        <v>25</v>
      </c>
      <c r="K279" s="645" t="s">
        <v>14</v>
      </c>
      <c r="L279" s="4"/>
      <c r="M279" s="21" t="s">
        <v>23</v>
      </c>
      <c r="N279" s="21" t="s">
        <v>24</v>
      </c>
      <c r="O279" s="18" t="s">
        <v>25</v>
      </c>
      <c r="P279" s="645" t="s">
        <v>14</v>
      </c>
      <c r="R279" s="21" t="s">
        <v>23</v>
      </c>
      <c r="S279" s="21" t="s">
        <v>24</v>
      </c>
      <c r="T279" s="18" t="s">
        <v>25</v>
      </c>
      <c r="U279" s="645" t="s">
        <v>14</v>
      </c>
      <c r="W279" s="21" t="s">
        <v>23</v>
      </c>
      <c r="X279" s="21" t="s">
        <v>24</v>
      </c>
      <c r="Y279" s="18" t="s">
        <v>25</v>
      </c>
      <c r="Z279" s="645" t="s">
        <v>14</v>
      </c>
      <c r="AA279" s="1517"/>
      <c r="AB279" s="1517"/>
      <c r="AC279" s="4"/>
      <c r="AD279" s="21" t="s">
        <v>23</v>
      </c>
      <c r="AE279" s="21" t="s">
        <v>24</v>
      </c>
      <c r="AF279" s="18" t="s">
        <v>25</v>
      </c>
      <c r="AG279" s="1517"/>
      <c r="AI279" s="368"/>
      <c r="AJ279" s="367"/>
      <c r="AK279" s="188" t="s">
        <v>26</v>
      </c>
      <c r="AL279" s="196">
        <f>AA310</f>
        <v>759</v>
      </c>
      <c r="AM279" s="510">
        <v>39.14</v>
      </c>
      <c r="AN279" s="510">
        <f t="shared" ref="AN279:AN285" si="37">AL279*AM279</f>
        <v>29707.260000000002</v>
      </c>
      <c r="AQ279" s="367"/>
      <c r="AR279" s="367"/>
      <c r="AS279" s="367"/>
      <c r="AT279" s="367"/>
      <c r="AU279" s="367"/>
      <c r="AV279" s="367"/>
      <c r="AW279" s="367"/>
    </row>
    <row r="280" spans="1:49">
      <c r="A280" s="180"/>
      <c r="B280" s="640" t="s">
        <v>957</v>
      </c>
      <c r="C280" s="643"/>
      <c r="D280" s="519"/>
      <c r="E280" s="520"/>
      <c r="F280" s="647"/>
      <c r="G280" s="521"/>
      <c r="H280" s="519"/>
      <c r="I280" s="519"/>
      <c r="J280" s="520"/>
      <c r="K280" s="647"/>
      <c r="L280" s="521"/>
      <c r="M280" s="519"/>
      <c r="N280" s="519"/>
      <c r="O280" s="520">
        <v>0</v>
      </c>
      <c r="P280" s="647"/>
      <c r="Q280" s="521"/>
      <c r="R280" s="519"/>
      <c r="S280" s="519"/>
      <c r="T280" s="520">
        <v>0</v>
      </c>
      <c r="U280" s="647"/>
      <c r="V280" s="521"/>
      <c r="W280" s="519"/>
      <c r="X280" s="519"/>
      <c r="Y280" s="520">
        <v>0</v>
      </c>
      <c r="Z280" s="646"/>
      <c r="AA280" s="328">
        <f t="shared" ref="AA280:AA309" si="38">(E280+J280+O280+T280+Y280)</f>
        <v>0</v>
      </c>
      <c r="AB280" s="298">
        <f t="shared" ref="AB280:AB309" si="39">Z280+U280+P280+K280+F280</f>
        <v>0</v>
      </c>
      <c r="AC280" s="4"/>
      <c r="AD280" s="587"/>
      <c r="AE280" s="531"/>
      <c r="AF280" s="319"/>
      <c r="AG280" s="328">
        <f t="shared" ref="AG280:AG309" si="40">AF280</f>
        <v>0</v>
      </c>
      <c r="AI280" s="368"/>
      <c r="AJ280" s="367"/>
      <c r="AK280" s="188" t="s">
        <v>30</v>
      </c>
      <c r="AL280" s="196">
        <f>AB310</f>
        <v>5.5</v>
      </c>
      <c r="AM280" s="511">
        <f>AM279*1.5</f>
        <v>58.71</v>
      </c>
      <c r="AN280" s="510">
        <f t="shared" si="37"/>
        <v>322.90500000000003</v>
      </c>
      <c r="AQ280" s="367"/>
      <c r="AR280" s="367"/>
      <c r="AS280" s="367"/>
      <c r="AT280" s="367"/>
      <c r="AU280" s="367"/>
      <c r="AV280" s="367"/>
      <c r="AW280" s="367"/>
    </row>
    <row r="281" spans="1:49">
      <c r="A281" s="367"/>
      <c r="B281" s="4" t="s">
        <v>958</v>
      </c>
      <c r="C281" s="519"/>
      <c r="D281" s="519"/>
      <c r="E281" s="520"/>
      <c r="F281" s="646"/>
      <c r="G281" s="4"/>
      <c r="H281" s="519"/>
      <c r="I281" s="519"/>
      <c r="J281" s="520">
        <v>0</v>
      </c>
      <c r="K281" s="646"/>
      <c r="L281" s="4"/>
      <c r="M281" s="519"/>
      <c r="N281" s="519"/>
      <c r="O281" s="520">
        <v>0</v>
      </c>
      <c r="P281" s="646"/>
      <c r="R281" s="519"/>
      <c r="S281" s="519"/>
      <c r="T281" s="520">
        <v>0</v>
      </c>
      <c r="U281" s="646"/>
      <c r="W281" s="519"/>
      <c r="X281" s="519"/>
      <c r="Y281" s="520">
        <v>0</v>
      </c>
      <c r="Z281" s="646"/>
      <c r="AA281" s="328">
        <f t="shared" si="38"/>
        <v>0</v>
      </c>
      <c r="AB281" s="298">
        <f t="shared" si="39"/>
        <v>0</v>
      </c>
      <c r="AC281" s="4"/>
      <c r="AF281" s="319"/>
      <c r="AG281" s="328">
        <f t="shared" si="40"/>
        <v>0</v>
      </c>
      <c r="AH281" s="175"/>
      <c r="AI281" s="402"/>
      <c r="AJ281" s="367"/>
      <c r="AK281" s="188" t="s">
        <v>32</v>
      </c>
      <c r="AL281" s="196">
        <f>AG310</f>
        <v>0</v>
      </c>
      <c r="AM281" s="510">
        <v>58.71</v>
      </c>
      <c r="AN281" s="510">
        <f t="shared" si="37"/>
        <v>0</v>
      </c>
      <c r="AQ281" s="367"/>
      <c r="AR281" s="367"/>
      <c r="AS281" s="367"/>
      <c r="AT281" s="367"/>
      <c r="AU281" s="367"/>
      <c r="AV281" s="367"/>
      <c r="AW281" s="367"/>
    </row>
    <row r="282" spans="1:49">
      <c r="A282" s="367"/>
      <c r="B282" s="47" t="s">
        <v>515</v>
      </c>
      <c r="C282" s="441" t="s">
        <v>154</v>
      </c>
      <c r="D282" s="47">
        <v>0</v>
      </c>
      <c r="E282" s="319">
        <v>0</v>
      </c>
      <c r="F282" s="646"/>
      <c r="G282" s="4"/>
      <c r="H282" s="441" t="s">
        <v>75</v>
      </c>
      <c r="I282" s="47">
        <v>0.25</v>
      </c>
      <c r="J282" s="319">
        <v>8</v>
      </c>
      <c r="K282" s="646"/>
      <c r="L282" s="4"/>
      <c r="M282" s="376" t="s">
        <v>75</v>
      </c>
      <c r="N282" s="47">
        <v>0.25</v>
      </c>
      <c r="O282" s="319">
        <v>8</v>
      </c>
      <c r="P282" s="646"/>
      <c r="R282" s="519"/>
      <c r="S282" s="519"/>
      <c r="T282" s="520">
        <v>0</v>
      </c>
      <c r="U282" s="646"/>
      <c r="W282" s="519"/>
      <c r="X282" s="519"/>
      <c r="Y282" s="520">
        <v>0</v>
      </c>
      <c r="Z282" s="646"/>
      <c r="AA282" s="328">
        <f t="shared" si="38"/>
        <v>16</v>
      </c>
      <c r="AB282" s="298">
        <f t="shared" si="39"/>
        <v>0</v>
      </c>
      <c r="AC282" s="399"/>
      <c r="AD282" s="47"/>
      <c r="AE282" s="47"/>
      <c r="AF282" s="319"/>
      <c r="AG282" s="328">
        <f t="shared" si="40"/>
        <v>0</v>
      </c>
      <c r="AH282" s="175"/>
      <c r="AJ282" s="401"/>
      <c r="AK282" s="403" t="s">
        <v>213</v>
      </c>
      <c r="AL282" s="404">
        <f>AA312</f>
        <v>40</v>
      </c>
      <c r="AM282" s="510">
        <v>51.5</v>
      </c>
      <c r="AN282" s="510">
        <f t="shared" si="37"/>
        <v>2060</v>
      </c>
      <c r="AO282" s="405"/>
      <c r="AP282" s="405"/>
      <c r="AQ282" s="367"/>
      <c r="AR282" s="401"/>
      <c r="AS282" s="401"/>
      <c r="AT282" s="401"/>
      <c r="AU282" s="401"/>
      <c r="AV282" s="401"/>
      <c r="AW282" s="401"/>
    </row>
    <row r="283" spans="1:49">
      <c r="A283" s="367"/>
      <c r="B283" s="441" t="s">
        <v>962</v>
      </c>
      <c r="C283" s="441" t="s">
        <v>75</v>
      </c>
      <c r="D283" s="47">
        <v>0.20833333333333334</v>
      </c>
      <c r="E283" s="319">
        <v>8</v>
      </c>
      <c r="F283" s="646"/>
      <c r="G283" s="4"/>
      <c r="H283" s="441" t="s">
        <v>75</v>
      </c>
      <c r="I283" s="47">
        <v>0.20833333333333334</v>
      </c>
      <c r="J283" s="319">
        <v>8</v>
      </c>
      <c r="K283" s="646"/>
      <c r="L283" s="4"/>
      <c r="M283" s="441" t="s">
        <v>75</v>
      </c>
      <c r="N283" s="47">
        <v>0.25</v>
      </c>
      <c r="O283" s="319">
        <v>8</v>
      </c>
      <c r="P283" s="646"/>
      <c r="R283" s="47">
        <v>0.375</v>
      </c>
      <c r="S283" s="47">
        <v>0.25</v>
      </c>
      <c r="T283" s="319">
        <v>8</v>
      </c>
      <c r="U283" s="646"/>
      <c r="W283" s="47">
        <v>0.375</v>
      </c>
      <c r="X283" s="47">
        <v>0.25</v>
      </c>
      <c r="Y283" s="319">
        <v>8</v>
      </c>
      <c r="Z283" s="646"/>
      <c r="AA283" s="328">
        <f t="shared" si="38"/>
        <v>40</v>
      </c>
      <c r="AB283" s="298">
        <f t="shared" si="39"/>
        <v>0</v>
      </c>
      <c r="AC283" s="175"/>
      <c r="AD283" s="47"/>
      <c r="AE283" s="47"/>
      <c r="AF283" s="319"/>
      <c r="AG283" s="328">
        <f t="shared" si="40"/>
        <v>0</v>
      </c>
      <c r="AH283" s="175"/>
      <c r="AJ283" s="401"/>
      <c r="AK283" s="188" t="s">
        <v>36</v>
      </c>
      <c r="AL283" s="196">
        <f>AB312</f>
        <v>0.25</v>
      </c>
      <c r="AM283" s="510">
        <f>AM282*1.5</f>
        <v>77.25</v>
      </c>
      <c r="AN283" s="510">
        <f t="shared" si="37"/>
        <v>19.3125</v>
      </c>
      <c r="AO283" s="405"/>
      <c r="AP283" s="405"/>
      <c r="AQ283" s="367"/>
      <c r="AR283" s="401"/>
      <c r="AS283" s="401"/>
      <c r="AT283" s="401"/>
      <c r="AU283" s="401"/>
      <c r="AV283" s="401"/>
      <c r="AW283" s="401"/>
    </row>
    <row r="284" spans="1:49">
      <c r="A284" s="367"/>
      <c r="B284" s="47" t="s">
        <v>967</v>
      </c>
      <c r="C284" s="441" t="s">
        <v>76</v>
      </c>
      <c r="D284" s="47">
        <v>0.20833333333333334</v>
      </c>
      <c r="E284" s="319">
        <v>8</v>
      </c>
      <c r="F284" s="646"/>
      <c r="G284" s="4"/>
      <c r="H284" s="441" t="s">
        <v>75</v>
      </c>
      <c r="I284" s="47">
        <v>0.25</v>
      </c>
      <c r="J284" s="319">
        <v>8</v>
      </c>
      <c r="K284" s="646"/>
      <c r="L284" s="4"/>
      <c r="M284" s="441" t="s">
        <v>75</v>
      </c>
      <c r="N284" s="47">
        <v>0.25</v>
      </c>
      <c r="O284" s="319">
        <v>8</v>
      </c>
      <c r="P284" s="646"/>
      <c r="R284" s="47">
        <v>0.375</v>
      </c>
      <c r="S284" s="47">
        <v>0.25</v>
      </c>
      <c r="T284" s="319">
        <v>8</v>
      </c>
      <c r="U284" s="646"/>
      <c r="W284" s="47">
        <v>0.375</v>
      </c>
      <c r="X284" s="47">
        <v>0.25</v>
      </c>
      <c r="Y284" s="319">
        <v>8</v>
      </c>
      <c r="Z284" s="646"/>
      <c r="AA284" s="328">
        <f t="shared" si="38"/>
        <v>40</v>
      </c>
      <c r="AB284" s="298">
        <f t="shared" si="39"/>
        <v>0</v>
      </c>
      <c r="AC284" s="4"/>
      <c r="AD284" s="47"/>
      <c r="AE284" s="47"/>
      <c r="AF284" s="319"/>
      <c r="AG284" s="328">
        <f t="shared" si="40"/>
        <v>0</v>
      </c>
      <c r="AH284" s="175"/>
      <c r="AI284" s="368"/>
      <c r="AK284" s="188" t="s">
        <v>38</v>
      </c>
      <c r="AL284" s="196">
        <f>AG312</f>
        <v>0</v>
      </c>
      <c r="AM284" s="510">
        <v>77.25</v>
      </c>
      <c r="AN284" s="510">
        <f t="shared" si="37"/>
        <v>0</v>
      </c>
      <c r="AQ284" s="367"/>
    </row>
    <row r="285" spans="1:49" s="4" customFormat="1" ht="14.25" thickBot="1">
      <c r="A285" s="180"/>
      <c r="B285" s="436" t="s">
        <v>972</v>
      </c>
      <c r="C285" s="441" t="s">
        <v>125</v>
      </c>
      <c r="D285" s="47">
        <v>0.20833333333333334</v>
      </c>
      <c r="E285" s="319">
        <v>8</v>
      </c>
      <c r="F285" s="646"/>
      <c r="H285" s="441" t="s">
        <v>125</v>
      </c>
      <c r="I285" s="47">
        <v>0.20833333333333334</v>
      </c>
      <c r="J285" s="319">
        <v>8</v>
      </c>
      <c r="K285" s="646"/>
      <c r="M285" s="441" t="s">
        <v>75</v>
      </c>
      <c r="N285" s="47">
        <v>0.25</v>
      </c>
      <c r="O285" s="319">
        <v>8</v>
      </c>
      <c r="P285" s="646"/>
      <c r="R285" s="441" t="s">
        <v>125</v>
      </c>
      <c r="S285" s="47">
        <v>0.20833333333333334</v>
      </c>
      <c r="T285" s="319">
        <v>8</v>
      </c>
      <c r="U285" s="646"/>
      <c r="W285" s="47">
        <v>0.375</v>
      </c>
      <c r="X285" s="47">
        <v>0.25</v>
      </c>
      <c r="Y285" s="319">
        <v>8</v>
      </c>
      <c r="Z285" s="646"/>
      <c r="AA285" s="328">
        <f t="shared" si="38"/>
        <v>40</v>
      </c>
      <c r="AB285" s="298">
        <f t="shared" si="39"/>
        <v>0</v>
      </c>
      <c r="AD285" s="47"/>
      <c r="AE285" s="47"/>
      <c r="AF285" s="319"/>
      <c r="AG285" s="328">
        <f t="shared" si="40"/>
        <v>0</v>
      </c>
      <c r="AI285" s="255"/>
      <c r="AJ285" s="180"/>
      <c r="AK285" s="188" t="s">
        <v>41</v>
      </c>
      <c r="AL285" s="196">
        <f>C313</f>
        <v>58</v>
      </c>
      <c r="AM285" s="512">
        <v>46.35</v>
      </c>
      <c r="AN285" s="512">
        <f t="shared" si="37"/>
        <v>2688.3</v>
      </c>
      <c r="AO285" s="193"/>
      <c r="AP285" s="193"/>
      <c r="AQ285" s="367"/>
      <c r="AR285" s="180"/>
      <c r="AS285" s="180"/>
      <c r="AT285" s="180"/>
      <c r="AU285" s="180"/>
      <c r="AV285" s="180"/>
      <c r="AW285" s="180"/>
    </row>
    <row r="286" spans="1:49" s="4" customFormat="1" ht="14.25" thickTop="1">
      <c r="A286" s="180"/>
      <c r="B286" s="47" t="s">
        <v>974</v>
      </c>
      <c r="C286" s="441" t="s">
        <v>76</v>
      </c>
      <c r="D286" s="47">
        <v>0.22916666666666666</v>
      </c>
      <c r="E286" s="319">
        <v>8</v>
      </c>
      <c r="F286" s="646"/>
      <c r="H286" s="441" t="s">
        <v>75</v>
      </c>
      <c r="I286" s="47">
        <v>0.25</v>
      </c>
      <c r="J286" s="319">
        <v>8</v>
      </c>
      <c r="K286" s="646"/>
      <c r="M286" s="376">
        <v>0.35416666666666669</v>
      </c>
      <c r="N286" s="47">
        <v>0.22916666666666666</v>
      </c>
      <c r="O286" s="319">
        <v>8</v>
      </c>
      <c r="P286" s="646"/>
      <c r="R286" s="47">
        <v>0.375</v>
      </c>
      <c r="S286" s="47">
        <v>0.25</v>
      </c>
      <c r="T286" s="319">
        <v>8</v>
      </c>
      <c r="U286" s="646"/>
      <c r="W286" s="47">
        <v>0.375</v>
      </c>
      <c r="X286" s="47">
        <v>0.25</v>
      </c>
      <c r="Y286" s="319">
        <v>8</v>
      </c>
      <c r="Z286" s="646"/>
      <c r="AA286" s="328">
        <f t="shared" si="38"/>
        <v>40</v>
      </c>
      <c r="AB286" s="298">
        <f t="shared" si="39"/>
        <v>0</v>
      </c>
      <c r="AD286" s="47"/>
      <c r="AE286" s="47"/>
      <c r="AF286" s="319"/>
      <c r="AG286" s="328">
        <f t="shared" si="40"/>
        <v>0</v>
      </c>
      <c r="AI286" s="255"/>
      <c r="AJ286" s="180"/>
      <c r="AK286" s="193"/>
      <c r="AL286" s="193"/>
      <c r="AM286" s="193"/>
      <c r="AN286" s="510">
        <f>SUM(AN279:AN285)</f>
        <v>34797.777500000004</v>
      </c>
      <c r="AO286" s="193"/>
      <c r="AP286" s="193"/>
      <c r="AQ286" s="367"/>
      <c r="AR286" s="180"/>
      <c r="AS286" s="180"/>
      <c r="AT286" s="180"/>
      <c r="AU286" s="180"/>
      <c r="AV286" s="180"/>
      <c r="AW286" s="180"/>
    </row>
    <row r="287" spans="1:49" s="4" customFormat="1">
      <c r="A287" s="180"/>
      <c r="B287" s="640" t="s">
        <v>390</v>
      </c>
      <c r="C287" s="643"/>
      <c r="D287" s="519"/>
      <c r="E287" s="520"/>
      <c r="F287" s="647"/>
      <c r="G287" s="521"/>
      <c r="H287" s="519"/>
      <c r="I287" s="519"/>
      <c r="J287" s="520"/>
      <c r="K287" s="647"/>
      <c r="L287" s="521"/>
      <c r="M287" s="519"/>
      <c r="N287" s="519"/>
      <c r="O287" s="520"/>
      <c r="P287" s="647"/>
      <c r="Q287" s="521"/>
      <c r="R287" s="519"/>
      <c r="S287" s="519"/>
      <c r="T287" s="520"/>
      <c r="U287" s="647"/>
      <c r="V287" s="521"/>
      <c r="W287" s="519"/>
      <c r="X287" s="519"/>
      <c r="Y287" s="520"/>
      <c r="Z287" s="646"/>
      <c r="AA287" s="328">
        <f t="shared" si="38"/>
        <v>0</v>
      </c>
      <c r="AB287" s="298">
        <f t="shared" si="39"/>
        <v>0</v>
      </c>
      <c r="AD287" s="47"/>
      <c r="AE287" s="47"/>
      <c r="AF287" s="319"/>
      <c r="AG287" s="328">
        <f t="shared" si="40"/>
        <v>0</v>
      </c>
      <c r="AI287" s="255"/>
      <c r="AJ287" s="180"/>
      <c r="AK287" s="193"/>
      <c r="AL287" s="193"/>
      <c r="AM287" s="193"/>
      <c r="AN287" s="193"/>
      <c r="AO287" s="193"/>
      <c r="AP287" s="193"/>
      <c r="AQ287" s="367"/>
      <c r="AR287" s="180"/>
      <c r="AS287" s="180"/>
      <c r="AT287" s="180"/>
      <c r="AU287" s="180"/>
      <c r="AV287" s="180"/>
      <c r="AW287" s="180"/>
    </row>
    <row r="288" spans="1:49" s="4" customFormat="1">
      <c r="A288" s="180"/>
      <c r="B288" s="639" t="s">
        <v>975</v>
      </c>
      <c r="C288" s="643"/>
      <c r="D288" s="519"/>
      <c r="E288" s="520"/>
      <c r="F288" s="647"/>
      <c r="G288" s="521"/>
      <c r="H288" s="519"/>
      <c r="I288" s="519"/>
      <c r="J288" s="520"/>
      <c r="K288" s="647"/>
      <c r="L288" s="521"/>
      <c r="M288" s="519"/>
      <c r="N288" s="519"/>
      <c r="O288" s="520"/>
      <c r="P288" s="647"/>
      <c r="Q288" s="521"/>
      <c r="R288" s="519"/>
      <c r="S288" s="519"/>
      <c r="T288" s="520"/>
      <c r="U288" s="647"/>
      <c r="V288" s="521"/>
      <c r="W288" s="519"/>
      <c r="X288" s="519"/>
      <c r="Y288" s="520"/>
      <c r="Z288" s="646"/>
      <c r="AA288" s="328">
        <f t="shared" si="38"/>
        <v>0</v>
      </c>
      <c r="AB288" s="298">
        <f t="shared" si="39"/>
        <v>0</v>
      </c>
      <c r="AD288" s="47"/>
      <c r="AE288" s="47"/>
      <c r="AF288" s="319"/>
      <c r="AG288" s="328">
        <f t="shared" si="40"/>
        <v>0</v>
      </c>
      <c r="AI288" s="255"/>
      <c r="AJ288" s="180"/>
      <c r="AK288" s="193"/>
      <c r="AL288" s="193"/>
      <c r="AM288" s="193"/>
      <c r="AN288" s="193"/>
      <c r="AO288" s="193"/>
      <c r="AP288" s="193"/>
      <c r="AQ288" s="180"/>
      <c r="AR288" s="180"/>
      <c r="AS288" s="180"/>
      <c r="AT288" s="180"/>
      <c r="AU288" s="180"/>
      <c r="AV288" s="180"/>
      <c r="AW288" s="180"/>
    </row>
    <row r="289" spans="1:49" s="4" customFormat="1">
      <c r="A289" s="180"/>
      <c r="B289" s="47" t="s">
        <v>517</v>
      </c>
      <c r="C289" s="441" t="s">
        <v>125</v>
      </c>
      <c r="D289" s="47">
        <v>0.20833333333333334</v>
      </c>
      <c r="E289" s="319">
        <v>8</v>
      </c>
      <c r="F289" s="646"/>
      <c r="H289" s="441" t="s">
        <v>125</v>
      </c>
      <c r="I289" s="47">
        <v>0.20833333333333334</v>
      </c>
      <c r="J289" s="319">
        <v>8</v>
      </c>
      <c r="K289" s="646"/>
      <c r="M289" s="441" t="s">
        <v>125</v>
      </c>
      <c r="N289" s="47">
        <v>0.20833333333333334</v>
      </c>
      <c r="O289" s="319">
        <v>8</v>
      </c>
      <c r="P289" s="646"/>
      <c r="R289" s="441" t="s">
        <v>125</v>
      </c>
      <c r="S289" s="47">
        <v>0.20833333333333334</v>
      </c>
      <c r="T289" s="319">
        <v>8</v>
      </c>
      <c r="U289" s="646"/>
      <c r="W289" s="47">
        <v>0.375</v>
      </c>
      <c r="X289" s="47">
        <v>0.25</v>
      </c>
      <c r="Y289" s="319">
        <v>8</v>
      </c>
      <c r="Z289" s="646"/>
      <c r="AA289" s="328">
        <f t="shared" si="38"/>
        <v>40</v>
      </c>
      <c r="AB289" s="298">
        <f t="shared" si="39"/>
        <v>0</v>
      </c>
      <c r="AD289" s="47"/>
      <c r="AE289" s="47"/>
      <c r="AF289" s="319"/>
      <c r="AG289" s="328">
        <f t="shared" si="40"/>
        <v>0</v>
      </c>
      <c r="AI289" s="255"/>
      <c r="AJ289" s="180"/>
      <c r="AK289" s="193"/>
      <c r="AL289" s="193"/>
      <c r="AM289" s="193"/>
      <c r="AN289" s="193"/>
      <c r="AO289" s="193"/>
      <c r="AP289" s="193"/>
      <c r="AQ289" s="180"/>
      <c r="AR289" s="180"/>
      <c r="AS289" s="180"/>
      <c r="AT289" s="180"/>
      <c r="AU289" s="180"/>
      <c r="AV289" s="180"/>
      <c r="AW289" s="180"/>
    </row>
    <row r="290" spans="1:49" s="4" customFormat="1">
      <c r="A290" s="180"/>
      <c r="B290" s="47" t="s">
        <v>981</v>
      </c>
      <c r="C290" s="441" t="s">
        <v>125</v>
      </c>
      <c r="D290" s="47">
        <v>0.20833333333333334</v>
      </c>
      <c r="E290" s="319">
        <v>8</v>
      </c>
      <c r="F290" s="646"/>
      <c r="H290" s="441" t="s">
        <v>125</v>
      </c>
      <c r="I290" s="47">
        <v>0.20833333333333334</v>
      </c>
      <c r="J290" s="319">
        <v>8</v>
      </c>
      <c r="K290" s="646"/>
      <c r="M290" s="47">
        <v>0.33333333333333331</v>
      </c>
      <c r="N290" s="47">
        <v>0.20833333333333334</v>
      </c>
      <c r="O290" s="319">
        <v>8</v>
      </c>
      <c r="P290" s="646"/>
      <c r="R290" s="47">
        <v>0.375</v>
      </c>
      <c r="S290" s="47">
        <v>0.25</v>
      </c>
      <c r="T290" s="319">
        <v>8</v>
      </c>
      <c r="U290" s="646"/>
      <c r="W290" s="47">
        <v>0.375</v>
      </c>
      <c r="X290" s="47">
        <v>0.25</v>
      </c>
      <c r="Y290" s="319">
        <v>8</v>
      </c>
      <c r="Z290" s="646"/>
      <c r="AA290" s="328">
        <f t="shared" si="38"/>
        <v>40</v>
      </c>
      <c r="AB290" s="298">
        <f t="shared" si="39"/>
        <v>0</v>
      </c>
      <c r="AD290" s="47"/>
      <c r="AE290" s="47"/>
      <c r="AF290" s="319"/>
      <c r="AG290" s="328">
        <f t="shared" si="40"/>
        <v>0</v>
      </c>
      <c r="AI290" s="255"/>
      <c r="AJ290" s="180"/>
      <c r="AK290" s="193"/>
      <c r="AL290" s="193"/>
      <c r="AM290" s="193"/>
      <c r="AN290" s="193"/>
      <c r="AO290" s="193"/>
      <c r="AP290" s="193"/>
      <c r="AQ290" s="180"/>
      <c r="AR290" s="180"/>
      <c r="AS290" s="180"/>
      <c r="AT290" s="180"/>
      <c r="AU290" s="180"/>
      <c r="AV290" s="180"/>
      <c r="AW290" s="180"/>
    </row>
    <row r="291" spans="1:49" s="4" customFormat="1">
      <c r="A291" s="180"/>
      <c r="B291" s="4" t="s">
        <v>976</v>
      </c>
      <c r="C291" s="643"/>
      <c r="D291" s="519"/>
      <c r="E291" s="520"/>
      <c r="F291" s="647"/>
      <c r="G291" s="521"/>
      <c r="H291" s="519"/>
      <c r="I291" s="519"/>
      <c r="J291" s="520"/>
      <c r="K291" s="647"/>
      <c r="L291" s="521"/>
      <c r="M291" s="519"/>
      <c r="N291" s="519"/>
      <c r="O291" s="520"/>
      <c r="P291" s="647"/>
      <c r="Q291" s="521"/>
      <c r="R291" s="519"/>
      <c r="S291" s="519"/>
      <c r="T291" s="520"/>
      <c r="U291" s="647"/>
      <c r="V291" s="521"/>
      <c r="W291" s="519"/>
      <c r="X291" s="519"/>
      <c r="Y291" s="520"/>
      <c r="Z291" s="646"/>
      <c r="AA291" s="328">
        <f t="shared" si="38"/>
        <v>0</v>
      </c>
      <c r="AB291" s="298">
        <f t="shared" si="39"/>
        <v>0</v>
      </c>
      <c r="AD291" s="47"/>
      <c r="AE291" s="47"/>
      <c r="AF291" s="319"/>
      <c r="AG291" s="328">
        <f t="shared" si="40"/>
        <v>0</v>
      </c>
      <c r="AI291" s="255"/>
      <c r="AJ291" s="180"/>
      <c r="AK291" s="193"/>
      <c r="AL291" s="193"/>
      <c r="AM291" s="193"/>
      <c r="AN291" s="193"/>
      <c r="AO291" s="193"/>
      <c r="AP291" s="193"/>
      <c r="AQ291" s="180"/>
      <c r="AR291" s="180"/>
      <c r="AS291" s="180"/>
      <c r="AT291" s="180"/>
      <c r="AU291" s="180"/>
      <c r="AV291" s="180"/>
      <c r="AW291" s="180"/>
    </row>
    <row r="292" spans="1:49" s="4" customFormat="1">
      <c r="A292" s="180"/>
      <c r="B292" s="47" t="s">
        <v>977</v>
      </c>
      <c r="C292" s="441" t="s">
        <v>249</v>
      </c>
      <c r="D292" s="47">
        <v>0.16666666666666666</v>
      </c>
      <c r="E292" s="319">
        <v>5</v>
      </c>
      <c r="F292" s="646"/>
      <c r="H292" s="441" t="s">
        <v>75</v>
      </c>
      <c r="I292" s="47">
        <v>0.25</v>
      </c>
      <c r="J292" s="319">
        <v>8</v>
      </c>
      <c r="K292" s="646"/>
      <c r="M292" s="441" t="s">
        <v>75</v>
      </c>
      <c r="N292" s="47">
        <v>0.25</v>
      </c>
      <c r="O292" s="319">
        <v>8</v>
      </c>
      <c r="P292" s="646"/>
      <c r="R292" s="47">
        <v>0.375</v>
      </c>
      <c r="S292" s="47">
        <v>0.25</v>
      </c>
      <c r="T292" s="319">
        <v>8</v>
      </c>
      <c r="U292" s="646"/>
      <c r="W292" s="47">
        <v>0.375</v>
      </c>
      <c r="X292" s="47">
        <v>0.25</v>
      </c>
      <c r="Y292" s="319">
        <v>8</v>
      </c>
      <c r="Z292" s="646"/>
      <c r="AA292" s="328">
        <f t="shared" si="38"/>
        <v>37</v>
      </c>
      <c r="AB292" s="298">
        <f t="shared" si="39"/>
        <v>0</v>
      </c>
      <c r="AD292" s="47"/>
      <c r="AE292" s="47"/>
      <c r="AF292" s="319"/>
      <c r="AG292" s="328">
        <f t="shared" si="40"/>
        <v>0</v>
      </c>
      <c r="AI292" s="255"/>
      <c r="AJ292" s="180"/>
      <c r="AK292" s="193"/>
      <c r="AL292" s="193"/>
      <c r="AM292" s="193"/>
      <c r="AN292" s="193"/>
      <c r="AO292" s="193"/>
      <c r="AP292" s="193"/>
      <c r="AQ292" s="180"/>
      <c r="AR292" s="180"/>
      <c r="AS292" s="180"/>
      <c r="AT292" s="180"/>
      <c r="AU292" s="180"/>
      <c r="AV292" s="180"/>
      <c r="AW292" s="180"/>
    </row>
    <row r="293" spans="1:49" s="4" customFormat="1">
      <c r="A293" s="180"/>
      <c r="B293" s="47" t="s">
        <v>986</v>
      </c>
      <c r="C293" s="643"/>
      <c r="D293" s="519"/>
      <c r="E293" s="520"/>
      <c r="F293" s="647"/>
      <c r="G293" s="521"/>
      <c r="H293" s="519"/>
      <c r="I293" s="519"/>
      <c r="J293" s="520"/>
      <c r="K293" s="647"/>
      <c r="L293" s="521"/>
      <c r="M293" s="519"/>
      <c r="N293" s="519"/>
      <c r="O293" s="520"/>
      <c r="P293" s="647"/>
      <c r="Q293" s="521"/>
      <c r="R293" s="519"/>
      <c r="S293" s="519"/>
      <c r="T293" s="520"/>
      <c r="U293" s="647"/>
      <c r="V293" s="521"/>
      <c r="W293" s="519"/>
      <c r="X293" s="519"/>
      <c r="Y293" s="520"/>
      <c r="Z293" s="646"/>
      <c r="AA293" s="328">
        <f t="shared" si="38"/>
        <v>0</v>
      </c>
      <c r="AB293" s="298">
        <f t="shared" si="39"/>
        <v>0</v>
      </c>
      <c r="AD293" s="47"/>
      <c r="AE293" s="47"/>
      <c r="AF293" s="319"/>
      <c r="AG293" s="328">
        <f t="shared" si="40"/>
        <v>0</v>
      </c>
      <c r="AI293" s="255"/>
      <c r="AJ293" s="180"/>
      <c r="AK293" s="193"/>
      <c r="AL293" s="193"/>
      <c r="AM293" s="193"/>
      <c r="AN293" s="193"/>
      <c r="AO293" s="193"/>
      <c r="AP293" s="193"/>
      <c r="AQ293" s="180"/>
      <c r="AR293" s="180"/>
      <c r="AS293" s="180"/>
      <c r="AT293" s="180"/>
      <c r="AU293" s="180"/>
      <c r="AV293" s="180"/>
      <c r="AW293" s="180"/>
    </row>
    <row r="294" spans="1:49" s="4" customFormat="1">
      <c r="A294" s="180"/>
      <c r="B294" s="436" t="s">
        <v>394</v>
      </c>
      <c r="C294" s="441" t="s">
        <v>76</v>
      </c>
      <c r="D294" s="47">
        <v>0.22916666666666666</v>
      </c>
      <c r="E294" s="319">
        <v>8</v>
      </c>
      <c r="F294" s="646"/>
      <c r="H294" s="441" t="s">
        <v>75</v>
      </c>
      <c r="I294" s="47">
        <v>0.25</v>
      </c>
      <c r="J294" s="319">
        <v>8</v>
      </c>
      <c r="K294" s="646"/>
      <c r="M294" s="47">
        <v>0.27083333333333331</v>
      </c>
      <c r="N294" s="47">
        <v>0.20833333333333334</v>
      </c>
      <c r="O294" s="319">
        <v>8</v>
      </c>
      <c r="P294" s="646">
        <v>2</v>
      </c>
      <c r="R294" s="47">
        <v>0.375</v>
      </c>
      <c r="S294" s="47">
        <v>0.25</v>
      </c>
      <c r="T294" s="319">
        <v>8</v>
      </c>
      <c r="U294" s="646"/>
      <c r="W294" s="47">
        <v>0.375</v>
      </c>
      <c r="X294" s="47">
        <v>0.25</v>
      </c>
      <c r="Y294" s="319">
        <v>8</v>
      </c>
      <c r="Z294" s="646"/>
      <c r="AA294" s="328">
        <f t="shared" si="38"/>
        <v>40</v>
      </c>
      <c r="AB294" s="298">
        <f t="shared" si="39"/>
        <v>2</v>
      </c>
      <c r="AD294" s="47"/>
      <c r="AE294" s="47"/>
      <c r="AF294" s="319"/>
      <c r="AG294" s="328">
        <f t="shared" si="40"/>
        <v>0</v>
      </c>
      <c r="AI294" s="255"/>
      <c r="AJ294" s="180"/>
      <c r="AK294" s="193"/>
      <c r="AL294" s="193"/>
      <c r="AM294" s="193"/>
      <c r="AN294" s="193"/>
      <c r="AO294" s="193"/>
      <c r="AP294" s="193"/>
      <c r="AQ294" s="180"/>
      <c r="AR294" s="180"/>
      <c r="AS294" s="180"/>
      <c r="AT294" s="180"/>
      <c r="AU294" s="180"/>
      <c r="AV294" s="180"/>
      <c r="AW294" s="180"/>
    </row>
    <row r="295" spans="1:49" s="4" customFormat="1">
      <c r="A295" s="180"/>
      <c r="B295" s="47" t="s">
        <v>519</v>
      </c>
      <c r="C295" s="441" t="s">
        <v>249</v>
      </c>
      <c r="D295" s="47">
        <v>0.25</v>
      </c>
      <c r="E295" s="319">
        <v>8</v>
      </c>
      <c r="F295" s="646"/>
      <c r="H295" s="441" t="s">
        <v>75</v>
      </c>
      <c r="I295" s="47">
        <v>0.25</v>
      </c>
      <c r="J295" s="319">
        <v>8</v>
      </c>
      <c r="K295" s="646"/>
      <c r="M295" s="441" t="s">
        <v>75</v>
      </c>
      <c r="N295" s="47">
        <v>0.25</v>
      </c>
      <c r="O295" s="319">
        <v>8</v>
      </c>
      <c r="P295" s="646"/>
      <c r="R295" s="47">
        <v>0.375</v>
      </c>
      <c r="S295" s="47">
        <v>0.25</v>
      </c>
      <c r="T295" s="319">
        <v>8</v>
      </c>
      <c r="U295" s="646"/>
      <c r="W295" s="47">
        <v>0.375</v>
      </c>
      <c r="X295" s="47">
        <v>0.25</v>
      </c>
      <c r="Y295" s="319">
        <v>8</v>
      </c>
      <c r="Z295" s="646"/>
      <c r="AA295" s="328">
        <f t="shared" si="38"/>
        <v>40</v>
      </c>
      <c r="AB295" s="298">
        <f t="shared" si="39"/>
        <v>0</v>
      </c>
      <c r="AD295" s="47"/>
      <c r="AE295" s="47"/>
      <c r="AF295" s="319"/>
      <c r="AG295" s="328">
        <f t="shared" si="40"/>
        <v>0</v>
      </c>
      <c r="AI295" s="255"/>
      <c r="AJ295" s="180"/>
      <c r="AK295" s="193"/>
      <c r="AL295" s="193"/>
      <c r="AM295" s="193"/>
      <c r="AN295" s="193"/>
      <c r="AO295" s="193"/>
      <c r="AP295" s="193"/>
      <c r="AQ295" s="180"/>
      <c r="AR295" s="180"/>
      <c r="AS295" s="180"/>
      <c r="AT295" s="180"/>
      <c r="AU295" s="180"/>
      <c r="AV295" s="180"/>
      <c r="AW295" s="180"/>
    </row>
    <row r="296" spans="1:49" s="4" customFormat="1">
      <c r="A296" s="180"/>
      <c r="B296" s="639" t="s">
        <v>533</v>
      </c>
      <c r="C296" s="643"/>
      <c r="D296" s="519"/>
      <c r="E296" s="520"/>
      <c r="F296" s="647"/>
      <c r="G296" s="521"/>
      <c r="H296" s="519"/>
      <c r="I296" s="519"/>
      <c r="J296" s="520"/>
      <c r="K296" s="647"/>
      <c r="L296" s="521"/>
      <c r="M296" s="519"/>
      <c r="N296" s="519"/>
      <c r="O296" s="520"/>
      <c r="P296" s="647"/>
      <c r="Q296" s="521"/>
      <c r="R296" s="519"/>
      <c r="S296" s="519"/>
      <c r="T296" s="520"/>
      <c r="U296" s="647"/>
      <c r="V296" s="521"/>
      <c r="W296" s="519"/>
      <c r="X296" s="519"/>
      <c r="Y296" s="520"/>
      <c r="Z296" s="646"/>
      <c r="AA296" s="328">
        <f t="shared" si="38"/>
        <v>0</v>
      </c>
      <c r="AB296" s="298">
        <f t="shared" si="39"/>
        <v>0</v>
      </c>
      <c r="AD296" s="47"/>
      <c r="AE296" s="47"/>
      <c r="AF296" s="319"/>
      <c r="AG296" s="328">
        <f t="shared" si="40"/>
        <v>0</v>
      </c>
      <c r="AI296" s="255"/>
      <c r="AJ296" s="180"/>
      <c r="AK296" s="193"/>
      <c r="AL296" s="193"/>
      <c r="AM296" s="193"/>
      <c r="AN296" s="193"/>
      <c r="AO296" s="193"/>
      <c r="AP296" s="193"/>
      <c r="AQ296" s="180"/>
      <c r="AR296" s="180"/>
      <c r="AS296" s="180"/>
      <c r="AT296" s="180"/>
      <c r="AU296" s="180"/>
      <c r="AV296" s="180"/>
      <c r="AW296" s="180"/>
    </row>
    <row r="297" spans="1:49" s="4" customFormat="1">
      <c r="A297" s="180"/>
      <c r="B297" s="502" t="s">
        <v>483</v>
      </c>
      <c r="C297" s="5"/>
      <c r="D297" s="5"/>
      <c r="E297" s="319"/>
      <c r="F297" s="646"/>
      <c r="H297" s="5"/>
      <c r="I297" s="5"/>
      <c r="J297" s="319"/>
      <c r="K297" s="646"/>
      <c r="M297" s="5"/>
      <c r="N297" s="5"/>
      <c r="O297" s="319"/>
      <c r="P297" s="646"/>
      <c r="R297" s="5"/>
      <c r="S297" s="5"/>
      <c r="T297" s="319"/>
      <c r="U297" s="646"/>
      <c r="W297" s="5"/>
      <c r="X297" s="5"/>
      <c r="Y297" s="319"/>
      <c r="Z297" s="646"/>
      <c r="AA297" s="328">
        <f t="shared" si="38"/>
        <v>0</v>
      </c>
      <c r="AB297" s="298">
        <f t="shared" si="39"/>
        <v>0</v>
      </c>
      <c r="AD297" s="47"/>
      <c r="AE297" s="47"/>
      <c r="AF297" s="319"/>
      <c r="AG297" s="328">
        <f t="shared" si="40"/>
        <v>0</v>
      </c>
      <c r="AI297" s="255"/>
      <c r="AJ297" s="180"/>
      <c r="AK297" s="193"/>
      <c r="AL297" s="193"/>
      <c r="AM297" s="193"/>
      <c r="AN297" s="193"/>
      <c r="AO297" s="193"/>
      <c r="AP297" s="193"/>
      <c r="AQ297" s="180"/>
      <c r="AR297" s="180"/>
      <c r="AS297" s="180"/>
      <c r="AT297" s="180"/>
      <c r="AU297" s="180"/>
      <c r="AV297" s="180"/>
      <c r="AW297" s="180"/>
    </row>
    <row r="298" spans="1:49" s="4" customFormat="1">
      <c r="A298" s="180"/>
      <c r="B298" s="502" t="s">
        <v>483</v>
      </c>
      <c r="C298" s="47"/>
      <c r="D298" s="47"/>
      <c r="E298" s="319">
        <v>6</v>
      </c>
      <c r="F298" s="646"/>
      <c r="H298" s="47"/>
      <c r="I298" s="47"/>
      <c r="J298" s="319">
        <v>7</v>
      </c>
      <c r="K298" s="646"/>
      <c r="M298" s="47"/>
      <c r="N298" s="47"/>
      <c r="O298" s="319">
        <v>6</v>
      </c>
      <c r="P298" s="646"/>
      <c r="R298" s="47"/>
      <c r="S298" s="47"/>
      <c r="T298" s="319">
        <v>8</v>
      </c>
      <c r="U298" s="646">
        <v>1</v>
      </c>
      <c r="W298" s="47"/>
      <c r="X298" s="47"/>
      <c r="Y298" s="319">
        <v>8</v>
      </c>
      <c r="Z298" s="646"/>
      <c r="AA298" s="328">
        <f t="shared" si="38"/>
        <v>35</v>
      </c>
      <c r="AB298" s="298">
        <f t="shared" si="39"/>
        <v>1</v>
      </c>
      <c r="AD298" s="47"/>
      <c r="AE298" s="47"/>
      <c r="AF298" s="319"/>
      <c r="AG298" s="328">
        <f t="shared" si="40"/>
        <v>0</v>
      </c>
      <c r="AI298" s="255"/>
      <c r="AJ298" s="180"/>
      <c r="AK298" s="193"/>
      <c r="AL298" s="193"/>
      <c r="AM298" s="193"/>
      <c r="AN298" s="193"/>
      <c r="AO298" s="193"/>
      <c r="AP298" s="193"/>
      <c r="AQ298" s="180"/>
      <c r="AR298" s="180"/>
      <c r="AS298" s="180"/>
      <c r="AT298" s="180"/>
      <c r="AU298" s="180"/>
      <c r="AV298" s="180"/>
      <c r="AW298" s="180"/>
    </row>
    <row r="299" spans="1:49" s="4" customFormat="1">
      <c r="A299" s="180"/>
      <c r="B299" s="502" t="s">
        <v>484</v>
      </c>
      <c r="C299" s="47"/>
      <c r="D299" s="47"/>
      <c r="E299" s="319">
        <v>6</v>
      </c>
      <c r="F299" s="646"/>
      <c r="H299" s="47"/>
      <c r="I299" s="47"/>
      <c r="J299" s="319">
        <v>7</v>
      </c>
      <c r="K299" s="646"/>
      <c r="M299" s="47"/>
      <c r="N299" s="47"/>
      <c r="O299" s="319">
        <v>6</v>
      </c>
      <c r="P299" s="646"/>
      <c r="R299" s="47"/>
      <c r="S299" s="47"/>
      <c r="T299" s="319">
        <v>8</v>
      </c>
      <c r="U299" s="646">
        <v>1</v>
      </c>
      <c r="W299" s="47"/>
      <c r="X299" s="47"/>
      <c r="Y299" s="319">
        <v>8</v>
      </c>
      <c r="Z299" s="646"/>
      <c r="AA299" s="328">
        <f t="shared" si="38"/>
        <v>35</v>
      </c>
      <c r="AB299" s="298">
        <f t="shared" si="39"/>
        <v>1</v>
      </c>
      <c r="AD299" s="47"/>
      <c r="AE299" s="47"/>
      <c r="AF299" s="319"/>
      <c r="AG299" s="328">
        <f t="shared" si="40"/>
        <v>0</v>
      </c>
      <c r="AI299" s="255"/>
      <c r="AJ299" s="180"/>
      <c r="AK299" s="193"/>
      <c r="AL299" s="193"/>
      <c r="AM299" s="193"/>
      <c r="AN299" s="193"/>
      <c r="AO299" s="193"/>
      <c r="AP299" s="193"/>
      <c r="AQ299" s="180"/>
      <c r="AR299" s="180"/>
      <c r="AS299" s="180"/>
      <c r="AT299" s="180"/>
      <c r="AU299" s="180"/>
      <c r="AV299" s="180"/>
      <c r="AW299" s="180"/>
    </row>
    <row r="300" spans="1:49" s="4" customFormat="1">
      <c r="A300" s="180"/>
      <c r="B300" s="502" t="s">
        <v>485</v>
      </c>
      <c r="C300" s="47"/>
      <c r="D300" s="47"/>
      <c r="E300" s="319">
        <v>6</v>
      </c>
      <c r="F300" s="646"/>
      <c r="H300" s="47"/>
      <c r="I300" s="47"/>
      <c r="J300" s="319">
        <v>7</v>
      </c>
      <c r="K300" s="646"/>
      <c r="M300" s="47"/>
      <c r="N300" s="47"/>
      <c r="O300" s="319">
        <v>6</v>
      </c>
      <c r="P300" s="646"/>
      <c r="R300" s="47"/>
      <c r="S300" s="47"/>
      <c r="T300" s="319">
        <v>8</v>
      </c>
      <c r="U300" s="646">
        <v>1</v>
      </c>
      <c r="W300" s="47"/>
      <c r="X300" s="47"/>
      <c r="Y300" s="319">
        <v>8</v>
      </c>
      <c r="Z300" s="646"/>
      <c r="AA300" s="328">
        <f t="shared" si="38"/>
        <v>35</v>
      </c>
      <c r="AB300" s="298">
        <f t="shared" si="39"/>
        <v>1</v>
      </c>
      <c r="AD300" s="47"/>
      <c r="AE300" s="47"/>
      <c r="AF300" s="319"/>
      <c r="AG300" s="328">
        <f t="shared" si="40"/>
        <v>0</v>
      </c>
      <c r="AI300" s="255"/>
      <c r="AJ300" s="180"/>
      <c r="AK300" s="193"/>
      <c r="AL300" s="193"/>
      <c r="AM300" s="193"/>
      <c r="AN300" s="193"/>
      <c r="AO300" s="193"/>
      <c r="AP300" s="193"/>
      <c r="AQ300" s="180"/>
      <c r="AR300" s="180"/>
      <c r="AS300" s="180"/>
      <c r="AT300" s="180"/>
      <c r="AU300" s="180"/>
      <c r="AV300" s="180"/>
      <c r="AW300" s="180"/>
    </row>
    <row r="301" spans="1:49" s="4" customFormat="1">
      <c r="A301" s="180"/>
      <c r="B301" s="502" t="s">
        <v>486</v>
      </c>
      <c r="C301" s="5"/>
      <c r="D301" s="5"/>
      <c r="E301" s="319"/>
      <c r="F301" s="646"/>
      <c r="H301" s="5"/>
      <c r="I301" s="5"/>
      <c r="J301" s="319"/>
      <c r="K301" s="646"/>
      <c r="M301" s="5"/>
      <c r="N301" s="5"/>
      <c r="O301" s="319"/>
      <c r="P301" s="646"/>
      <c r="R301" s="5"/>
      <c r="S301" s="5"/>
      <c r="T301" s="319"/>
      <c r="U301" s="646"/>
      <c r="W301" s="5"/>
      <c r="X301" s="5"/>
      <c r="Y301" s="319"/>
      <c r="Z301" s="646"/>
      <c r="AA301" s="328">
        <f t="shared" si="38"/>
        <v>0</v>
      </c>
      <c r="AB301" s="298">
        <f t="shared" si="39"/>
        <v>0</v>
      </c>
      <c r="AD301" s="47"/>
      <c r="AE301" s="47"/>
      <c r="AF301" s="319"/>
      <c r="AG301" s="328">
        <f t="shared" si="40"/>
        <v>0</v>
      </c>
      <c r="AI301" s="255"/>
      <c r="AJ301" s="180"/>
      <c r="AK301" s="193"/>
      <c r="AL301" s="193"/>
      <c r="AM301" s="193"/>
      <c r="AN301" s="193"/>
      <c r="AO301" s="193"/>
      <c r="AP301" s="193"/>
      <c r="AQ301" s="180"/>
      <c r="AR301" s="180"/>
      <c r="AS301" s="180"/>
      <c r="AT301" s="180"/>
      <c r="AU301" s="180"/>
      <c r="AV301" s="180"/>
      <c r="AW301" s="180"/>
    </row>
    <row r="302" spans="1:49" s="4" customFormat="1">
      <c r="A302" s="180"/>
      <c r="B302" s="63" t="s">
        <v>63</v>
      </c>
      <c r="C302" s="1564"/>
      <c r="D302" s="1564"/>
      <c r="E302" s="319">
        <v>8</v>
      </c>
      <c r="F302" s="646"/>
      <c r="H302" s="1564"/>
      <c r="I302" s="1564"/>
      <c r="J302" s="319">
        <v>8</v>
      </c>
      <c r="K302" s="646"/>
      <c r="M302" s="47"/>
      <c r="N302" s="47"/>
      <c r="O302" s="319">
        <v>8</v>
      </c>
      <c r="P302" s="646"/>
      <c r="R302" s="1564"/>
      <c r="S302" s="1564"/>
      <c r="T302" s="319">
        <v>8</v>
      </c>
      <c r="U302" s="646"/>
      <c r="W302" s="1564"/>
      <c r="X302" s="1564"/>
      <c r="Y302" s="319">
        <v>8</v>
      </c>
      <c r="Z302" s="646">
        <v>0.5</v>
      </c>
      <c r="AA302" s="328">
        <f t="shared" si="38"/>
        <v>40</v>
      </c>
      <c r="AB302" s="298">
        <f t="shared" si="39"/>
        <v>0.5</v>
      </c>
      <c r="AD302" s="47"/>
      <c r="AE302" s="47"/>
      <c r="AF302" s="319"/>
      <c r="AG302" s="328">
        <f t="shared" si="40"/>
        <v>0</v>
      </c>
      <c r="AI302" s="255"/>
      <c r="AJ302" s="180"/>
      <c r="AK302" s="193"/>
      <c r="AL302" s="193"/>
      <c r="AM302" s="193"/>
      <c r="AN302" s="193"/>
      <c r="AO302" s="193"/>
      <c r="AP302" s="193"/>
      <c r="AQ302" s="180"/>
      <c r="AR302" s="180"/>
      <c r="AS302" s="180"/>
      <c r="AT302" s="180"/>
      <c r="AU302" s="180"/>
      <c r="AV302" s="180"/>
      <c r="AW302" s="180"/>
    </row>
    <row r="303" spans="1:49" s="193" customFormat="1">
      <c r="A303" s="180"/>
      <c r="B303" s="267" t="s">
        <v>358</v>
      </c>
      <c r="C303" s="1564"/>
      <c r="D303" s="1564"/>
      <c r="E303" s="319">
        <v>6</v>
      </c>
      <c r="F303" s="646"/>
      <c r="G303" s="438"/>
      <c r="H303" s="1564"/>
      <c r="I303" s="1564"/>
      <c r="J303" s="319">
        <v>7</v>
      </c>
      <c r="K303" s="646"/>
      <c r="L303" s="438"/>
      <c r="M303" s="1564">
        <v>5</v>
      </c>
      <c r="N303" s="1564"/>
      <c r="O303" s="319">
        <v>6</v>
      </c>
      <c r="P303" s="646"/>
      <c r="Q303" s="438"/>
      <c r="R303" s="1564"/>
      <c r="S303" s="1564"/>
      <c r="T303" s="319">
        <v>8</v>
      </c>
      <c r="U303" s="646"/>
      <c r="V303" s="438"/>
      <c r="W303" s="1564"/>
      <c r="X303" s="1564"/>
      <c r="Y303" s="319">
        <v>6</v>
      </c>
      <c r="Z303" s="646"/>
      <c r="AA303" s="328">
        <f t="shared" si="38"/>
        <v>33</v>
      </c>
      <c r="AB303" s="298">
        <f t="shared" si="39"/>
        <v>0</v>
      </c>
      <c r="AC303" s="4"/>
      <c r="AD303" s="47"/>
      <c r="AE303" s="47"/>
      <c r="AF303" s="319"/>
      <c r="AG303" s="328">
        <f t="shared" si="40"/>
        <v>0</v>
      </c>
      <c r="AH303" s="4"/>
      <c r="AI303" s="255"/>
      <c r="AJ303" s="180"/>
      <c r="AQ303" s="180"/>
      <c r="AR303" s="180"/>
      <c r="AS303" s="180"/>
      <c r="AT303" s="180"/>
      <c r="AU303" s="180"/>
      <c r="AV303" s="180"/>
      <c r="AW303" s="180"/>
    </row>
    <row r="304" spans="1:49" s="193" customFormat="1">
      <c r="A304" s="180"/>
      <c r="B304" s="267" t="s">
        <v>991</v>
      </c>
      <c r="C304" s="5"/>
      <c r="D304" s="5"/>
      <c r="E304" s="319"/>
      <c r="F304" s="646"/>
      <c r="G304" s="438"/>
      <c r="H304" s="5"/>
      <c r="I304" s="5"/>
      <c r="J304" s="319"/>
      <c r="K304" s="646"/>
      <c r="L304" s="438"/>
      <c r="M304" s="5"/>
      <c r="N304" s="5"/>
      <c r="O304" s="319"/>
      <c r="P304" s="646"/>
      <c r="Q304" s="438"/>
      <c r="R304" s="5"/>
      <c r="S304" s="5"/>
      <c r="T304" s="319"/>
      <c r="U304" s="646"/>
      <c r="V304" s="438"/>
      <c r="W304" s="5"/>
      <c r="X304" s="5"/>
      <c r="Y304" s="319"/>
      <c r="Z304" s="646"/>
      <c r="AA304" s="328">
        <f t="shared" si="38"/>
        <v>0</v>
      </c>
      <c r="AB304" s="298">
        <f t="shared" si="39"/>
        <v>0</v>
      </c>
      <c r="AC304" s="4"/>
      <c r="AD304" s="47"/>
      <c r="AE304" s="47"/>
      <c r="AF304" s="319"/>
      <c r="AG304" s="328">
        <f t="shared" si="40"/>
        <v>0</v>
      </c>
      <c r="AH304" s="4"/>
      <c r="AI304" s="255"/>
      <c r="AJ304" s="180"/>
      <c r="AQ304" s="180"/>
      <c r="AR304" s="180"/>
      <c r="AS304" s="180"/>
      <c r="AT304" s="180"/>
      <c r="AU304" s="180"/>
      <c r="AV304" s="180"/>
      <c r="AW304" s="180"/>
    </row>
    <row r="305" spans="1:49" s="193" customFormat="1">
      <c r="A305" s="180"/>
      <c r="B305" s="267" t="s">
        <v>411</v>
      </c>
      <c r="C305" s="5"/>
      <c r="D305" s="5"/>
      <c r="E305" s="319"/>
      <c r="F305" s="646"/>
      <c r="G305" s="438"/>
      <c r="H305" s="5"/>
      <c r="I305" s="5"/>
      <c r="J305" s="319"/>
      <c r="K305" s="646"/>
      <c r="L305" s="438"/>
      <c r="M305" s="5"/>
      <c r="N305" s="5"/>
      <c r="O305" s="319"/>
      <c r="P305" s="646"/>
      <c r="Q305" s="438"/>
      <c r="R305" s="5"/>
      <c r="S305" s="5"/>
      <c r="T305" s="319"/>
      <c r="U305" s="646"/>
      <c r="V305" s="438"/>
      <c r="W305" s="5"/>
      <c r="X305" s="5"/>
      <c r="Y305" s="319"/>
      <c r="Z305" s="646"/>
      <c r="AA305" s="328">
        <f t="shared" si="38"/>
        <v>0</v>
      </c>
      <c r="AB305" s="298">
        <f t="shared" si="39"/>
        <v>0</v>
      </c>
      <c r="AC305" s="4"/>
      <c r="AD305" s="47"/>
      <c r="AE305" s="47"/>
      <c r="AF305" s="319"/>
      <c r="AG305" s="328">
        <f t="shared" si="40"/>
        <v>0</v>
      </c>
      <c r="AH305" s="4"/>
      <c r="AI305" s="255"/>
      <c r="AJ305" s="180"/>
      <c r="AQ305" s="180"/>
      <c r="AR305" s="180"/>
      <c r="AS305" s="180"/>
      <c r="AT305" s="180"/>
      <c r="AU305" s="180"/>
      <c r="AV305" s="180"/>
      <c r="AW305" s="180"/>
    </row>
    <row r="306" spans="1:49" s="193" customFormat="1">
      <c r="A306" s="180"/>
      <c r="B306" s="267" t="s">
        <v>361</v>
      </c>
      <c r="C306" s="5"/>
      <c r="D306" s="5"/>
      <c r="E306" s="319"/>
      <c r="F306" s="646"/>
      <c r="G306" s="438"/>
      <c r="H306" s="5"/>
      <c r="I306" s="5"/>
      <c r="J306" s="319"/>
      <c r="K306" s="646"/>
      <c r="L306" s="438"/>
      <c r="M306" s="5"/>
      <c r="N306" s="5"/>
      <c r="O306" s="319"/>
      <c r="P306" s="646"/>
      <c r="Q306" s="438"/>
      <c r="R306" s="5"/>
      <c r="S306" s="5"/>
      <c r="T306" s="319"/>
      <c r="U306" s="646"/>
      <c r="V306" s="438"/>
      <c r="W306" s="5"/>
      <c r="X306" s="5"/>
      <c r="Y306" s="319"/>
      <c r="Z306" s="646"/>
      <c r="AA306" s="328">
        <f t="shared" si="38"/>
        <v>0</v>
      </c>
      <c r="AB306" s="298">
        <f t="shared" si="39"/>
        <v>0</v>
      </c>
      <c r="AC306" s="4"/>
      <c r="AD306" s="47"/>
      <c r="AE306" s="47"/>
      <c r="AF306" s="319"/>
      <c r="AG306" s="328">
        <f t="shared" si="40"/>
        <v>0</v>
      </c>
      <c r="AH306" s="4"/>
      <c r="AI306" s="255"/>
      <c r="AJ306" s="180"/>
      <c r="AQ306" s="180"/>
      <c r="AR306" s="180"/>
      <c r="AS306" s="180"/>
      <c r="AT306" s="180"/>
      <c r="AU306" s="180"/>
      <c r="AV306" s="180"/>
      <c r="AW306" s="180"/>
    </row>
    <row r="307" spans="1:49" s="193" customFormat="1">
      <c r="A307" s="180"/>
      <c r="B307" s="267" t="s">
        <v>362</v>
      </c>
      <c r="C307" s="47"/>
      <c r="D307" s="47"/>
      <c r="E307" s="319">
        <v>4</v>
      </c>
      <c r="F307" s="646"/>
      <c r="G307" s="438"/>
      <c r="H307" s="47"/>
      <c r="I307" s="47"/>
      <c r="J307" s="319">
        <v>5</v>
      </c>
      <c r="K307" s="646"/>
      <c r="L307" s="438"/>
      <c r="M307" s="47"/>
      <c r="N307" s="47"/>
      <c r="O307" s="319">
        <v>4</v>
      </c>
      <c r="P307" s="646"/>
      <c r="Q307" s="438"/>
      <c r="R307" s="47"/>
      <c r="S307" s="47"/>
      <c r="T307" s="319">
        <v>0</v>
      </c>
      <c r="U307" s="646"/>
      <c r="V307" s="438"/>
      <c r="W307" s="5"/>
      <c r="X307" s="5"/>
      <c r="Y307" s="319"/>
      <c r="Z307" s="646"/>
      <c r="AA307" s="328">
        <f t="shared" si="38"/>
        <v>13</v>
      </c>
      <c r="AB307" s="298">
        <f t="shared" si="39"/>
        <v>0</v>
      </c>
      <c r="AC307" s="4"/>
      <c r="AD307" s="47"/>
      <c r="AE307" s="47"/>
      <c r="AF307" s="319"/>
      <c r="AG307" s="328">
        <f t="shared" si="40"/>
        <v>0</v>
      </c>
      <c r="AH307" s="4"/>
      <c r="AI307" s="255"/>
      <c r="AJ307" s="180"/>
      <c r="AQ307" s="180"/>
      <c r="AR307" s="180"/>
      <c r="AS307" s="180"/>
      <c r="AT307" s="180"/>
      <c r="AU307" s="180"/>
      <c r="AV307" s="180"/>
      <c r="AW307" s="180"/>
    </row>
    <row r="308" spans="1:49" s="193" customFormat="1">
      <c r="A308" s="180"/>
      <c r="B308" s="437" t="s">
        <v>355</v>
      </c>
      <c r="C308" s="5"/>
      <c r="D308" s="5"/>
      <c r="E308" s="319">
        <v>5.5</v>
      </c>
      <c r="F308" s="646"/>
      <c r="G308" s="438"/>
      <c r="H308" s="5"/>
      <c r="I308" s="5"/>
      <c r="J308" s="319">
        <v>5.5</v>
      </c>
      <c r="K308" s="646"/>
      <c r="L308" s="438"/>
      <c r="M308" s="5"/>
      <c r="N308" s="5"/>
      <c r="O308" s="319"/>
      <c r="P308" s="646"/>
      <c r="Q308" s="438"/>
      <c r="R308" s="5"/>
      <c r="S308" s="5"/>
      <c r="T308" s="319"/>
      <c r="U308" s="646"/>
      <c r="V308" s="438"/>
      <c r="W308" s="5"/>
      <c r="X308" s="5"/>
      <c r="Y308" s="319">
        <v>7.7</v>
      </c>
      <c r="Z308" s="646"/>
      <c r="AA308" s="328">
        <f t="shared" si="38"/>
        <v>18.7</v>
      </c>
      <c r="AB308" s="298">
        <f t="shared" si="39"/>
        <v>0</v>
      </c>
      <c r="AC308" s="4"/>
      <c r="AD308" s="47"/>
      <c r="AE308" s="47"/>
      <c r="AF308" s="319"/>
      <c r="AG308" s="328">
        <f t="shared" si="40"/>
        <v>0</v>
      </c>
      <c r="AH308" s="4"/>
      <c r="AI308" s="255"/>
      <c r="AJ308" s="180"/>
      <c r="AQ308" s="180"/>
      <c r="AR308" s="180"/>
      <c r="AS308" s="180"/>
      <c r="AT308" s="180"/>
      <c r="AU308" s="180"/>
      <c r="AV308" s="180"/>
      <c r="AW308" s="180"/>
    </row>
    <row r="309" spans="1:49" s="193" customFormat="1">
      <c r="A309" s="180"/>
      <c r="B309" s="437" t="s">
        <v>356</v>
      </c>
      <c r="C309" s="5"/>
      <c r="D309" s="5"/>
      <c r="E309" s="319">
        <v>31.7</v>
      </c>
      <c r="F309" s="646"/>
      <c r="G309" s="438"/>
      <c r="H309" s="5"/>
      <c r="I309" s="5"/>
      <c r="J309" s="319">
        <v>15.9</v>
      </c>
      <c r="K309" s="646"/>
      <c r="L309" s="438"/>
      <c r="M309" s="5"/>
      <c r="N309" s="5"/>
      <c r="O309" s="319">
        <v>71.400000000000006</v>
      </c>
      <c r="P309" s="646"/>
      <c r="Q309" s="438"/>
      <c r="R309" s="5"/>
      <c r="S309" s="5"/>
      <c r="T309" s="319">
        <v>57.3</v>
      </c>
      <c r="U309" s="646"/>
      <c r="V309" s="438"/>
      <c r="W309" s="5"/>
      <c r="X309" s="5"/>
      <c r="Y309" s="319"/>
      <c r="Z309" s="646"/>
      <c r="AA309" s="328">
        <f t="shared" si="38"/>
        <v>176.3</v>
      </c>
      <c r="AB309" s="298">
        <f t="shared" si="39"/>
        <v>0</v>
      </c>
      <c r="AC309" s="4"/>
      <c r="AD309" s="47"/>
      <c r="AE309" s="47"/>
      <c r="AF309" s="319"/>
      <c r="AG309" s="328">
        <f t="shared" si="40"/>
        <v>0</v>
      </c>
      <c r="AH309" s="4"/>
      <c r="AI309" s="255"/>
      <c r="AJ309" s="180"/>
      <c r="AK309" s="407"/>
      <c r="AQ309" s="180"/>
      <c r="AR309" s="180"/>
      <c r="AS309" s="180"/>
      <c r="AT309" s="180"/>
      <c r="AU309" s="180"/>
      <c r="AV309" s="180"/>
      <c r="AW309" s="180"/>
    </row>
    <row r="310" spans="1:49" s="193" customFormat="1">
      <c r="A310" s="180"/>
      <c r="B310" s="64" t="s">
        <v>61</v>
      </c>
      <c r="C310" s="31"/>
      <c r="D310" s="31"/>
      <c r="E310" s="439">
        <f>SUM(E280:E309)</f>
        <v>142.19999999999999</v>
      </c>
      <c r="F310" s="646">
        <f>SUM(F280:F309)</f>
        <v>0</v>
      </c>
      <c r="G310" s="31"/>
      <c r="H310" s="31"/>
      <c r="I310" s="31"/>
      <c r="J310" s="439">
        <f>SUM(J280:J309)</f>
        <v>142.4</v>
      </c>
      <c r="K310" s="646">
        <f>SUM(K280:K309)</f>
        <v>0</v>
      </c>
      <c r="L310" s="31"/>
      <c r="M310" s="31"/>
      <c r="N310" s="31"/>
      <c r="O310" s="439">
        <f>SUM(O280:O309)</f>
        <v>187.4</v>
      </c>
      <c r="P310" s="646">
        <f>SUM(P280:P309)</f>
        <v>2</v>
      </c>
      <c r="Q310" s="31"/>
      <c r="R310" s="31"/>
      <c r="S310" s="31"/>
      <c r="T310" s="439">
        <f>SUM(T280:T309)</f>
        <v>169.3</v>
      </c>
      <c r="U310" s="646">
        <f>SUM(U280:U309)</f>
        <v>3</v>
      </c>
      <c r="V310" s="31"/>
      <c r="W310" s="31"/>
      <c r="X310" s="31"/>
      <c r="Y310" s="439">
        <f>SUM(Y280:Y309)</f>
        <v>117.7</v>
      </c>
      <c r="Z310" s="646">
        <f>SUM(Z280:Z309)</f>
        <v>0.5</v>
      </c>
      <c r="AA310" s="370">
        <f>SUM(AA280:AA309)</f>
        <v>759</v>
      </c>
      <c r="AB310" s="370">
        <f>SUM(AB280:AB309)</f>
        <v>5.5</v>
      </c>
      <c r="AC310" s="4"/>
      <c r="AD310" s="64"/>
      <c r="AE310" s="64"/>
      <c r="AF310" s="370">
        <f>SUM(AF280:AF309)</f>
        <v>0</v>
      </c>
      <c r="AG310" s="370">
        <f>SUM(AG280:AG309)</f>
        <v>0</v>
      </c>
      <c r="AH310" s="4"/>
      <c r="AI310" s="255"/>
      <c r="AJ310" s="180"/>
      <c r="AK310" s="407"/>
      <c r="AQ310" s="180"/>
      <c r="AR310" s="180"/>
      <c r="AS310" s="180"/>
      <c r="AT310" s="180"/>
      <c r="AU310" s="180"/>
      <c r="AV310" s="180"/>
      <c r="AW310" s="180"/>
    </row>
    <row r="311" spans="1:49" s="193" customFormat="1">
      <c r="A311" s="180"/>
      <c r="B311" s="63" t="s">
        <v>64</v>
      </c>
      <c r="C311" s="47"/>
      <c r="D311" s="47"/>
      <c r="E311" s="319">
        <v>8</v>
      </c>
      <c r="F311" s="346">
        <v>0.25</v>
      </c>
      <c r="G311" s="613"/>
      <c r="H311" s="47"/>
      <c r="I311" s="47"/>
      <c r="J311" s="319">
        <v>8</v>
      </c>
      <c r="K311" s="346"/>
      <c r="L311" s="60"/>
      <c r="M311" s="47"/>
      <c r="N311" s="47"/>
      <c r="O311" s="319">
        <v>8</v>
      </c>
      <c r="P311" s="346"/>
      <c r="Q311" s="60"/>
      <c r="R311" s="47"/>
      <c r="S311" s="47"/>
      <c r="T311" s="319">
        <v>8</v>
      </c>
      <c r="U311" s="346"/>
      <c r="V311" s="60"/>
      <c r="W311" s="47"/>
      <c r="X311" s="47"/>
      <c r="Y311" s="319">
        <v>8</v>
      </c>
      <c r="Z311" s="346"/>
      <c r="AA311" s="28">
        <f>SUM(E311+J311+O311+T311+Y311)</f>
        <v>40</v>
      </c>
      <c r="AB311" s="296">
        <f>Z311+U311+P311+K311+F311</f>
        <v>0.25</v>
      </c>
      <c r="AC311" s="4"/>
      <c r="AD311" s="47" t="s">
        <v>29</v>
      </c>
      <c r="AE311" s="47" t="s">
        <v>29</v>
      </c>
      <c r="AF311" s="319"/>
      <c r="AG311" s="29">
        <f>AF311</f>
        <v>0</v>
      </c>
      <c r="AH311" s="4"/>
      <c r="AI311" s="255"/>
      <c r="AJ311" s="180"/>
      <c r="AK311" s="407"/>
      <c r="AQ311" s="180"/>
      <c r="AR311" s="180"/>
      <c r="AS311" s="180"/>
      <c r="AT311" s="180"/>
      <c r="AU311" s="180"/>
      <c r="AV311" s="180"/>
      <c r="AW311" s="180"/>
    </row>
    <row r="312" spans="1:49" s="193" customFormat="1">
      <c r="A312" s="180"/>
      <c r="B312" s="71" t="s">
        <v>66</v>
      </c>
      <c r="C312" s="371"/>
      <c r="D312" s="371"/>
      <c r="E312" s="71"/>
      <c r="F312" s="613"/>
      <c r="G312" s="71"/>
      <c r="H312" s="71"/>
      <c r="I312" s="71"/>
      <c r="J312" s="71"/>
      <c r="K312" s="613"/>
      <c r="L312" s="71"/>
      <c r="M312" s="71"/>
      <c r="N312" s="71"/>
      <c r="O312" s="71"/>
      <c r="P312" s="613"/>
      <c r="Q312" s="71"/>
      <c r="R312" s="71"/>
      <c r="S312" s="71"/>
      <c r="T312" s="71"/>
      <c r="U312" s="613"/>
      <c r="V312" s="71"/>
      <c r="W312" s="71"/>
      <c r="X312" s="71"/>
      <c r="Y312" s="71"/>
      <c r="Z312" s="613"/>
      <c r="AA312" s="370">
        <f>SUM(AA311:AA311)</f>
        <v>40</v>
      </c>
      <c r="AB312" s="370">
        <f>SUM(AB311:AB311)</f>
        <v>0.25</v>
      </c>
      <c r="AC312" s="4"/>
      <c r="AD312" s="180"/>
      <c r="AE312" s="180"/>
      <c r="AF312" s="180"/>
      <c r="AG312" s="370">
        <f>SUM(AG311:AG311)</f>
        <v>0</v>
      </c>
      <c r="AH312" s="4"/>
      <c r="AI312" s="255"/>
      <c r="AJ312" s="180"/>
      <c r="AQ312" s="180"/>
      <c r="AR312" s="180"/>
      <c r="AS312" s="180"/>
      <c r="AT312" s="180"/>
      <c r="AU312" s="180"/>
      <c r="AV312" s="180"/>
      <c r="AW312" s="180"/>
    </row>
    <row r="313" spans="1:49" s="193" customFormat="1">
      <c r="A313" s="180"/>
      <c r="B313" s="217" t="s">
        <v>67</v>
      </c>
      <c r="C313" s="207">
        <f>C314+C315</f>
        <v>58</v>
      </c>
      <c r="D313" s="207"/>
      <c r="E313" s="209"/>
      <c r="F313" s="209"/>
      <c r="G313" s="207"/>
      <c r="H313" s="209"/>
      <c r="I313" s="209"/>
      <c r="J313" s="209"/>
      <c r="K313" s="209"/>
      <c r="L313" s="207"/>
      <c r="M313" s="207"/>
      <c r="N313" s="207"/>
      <c r="O313" s="207"/>
      <c r="P313" s="209"/>
      <c r="Q313" s="207"/>
      <c r="R313" s="207"/>
      <c r="S313" s="207"/>
      <c r="T313" s="207"/>
      <c r="U313" s="209"/>
      <c r="V313" s="207"/>
      <c r="W313" s="207"/>
      <c r="X313" s="207"/>
      <c r="Y313" s="210"/>
      <c r="Z313" s="209"/>
      <c r="AA313" s="211"/>
      <c r="AB313" s="209"/>
      <c r="AC313" s="211"/>
      <c r="AD313" s="211"/>
      <c r="AE313" s="211"/>
      <c r="AF313" s="211"/>
      <c r="AG313" s="211"/>
      <c r="AH313" s="4"/>
      <c r="AI313" s="255"/>
      <c r="AJ313" s="180"/>
      <c r="AQ313" s="180"/>
      <c r="AR313" s="180"/>
      <c r="AS313" s="180"/>
      <c r="AT313" s="180"/>
      <c r="AU313" s="180"/>
      <c r="AV313" s="180"/>
      <c r="AW313" s="180"/>
    </row>
    <row r="314" spans="1:49" s="193" customFormat="1">
      <c r="A314" s="180"/>
      <c r="B314" s="238" t="s">
        <v>68</v>
      </c>
      <c r="C314" s="239"/>
      <c r="D314" s="207"/>
      <c r="E314" s="209"/>
      <c r="F314" s="209"/>
      <c r="G314" s="207"/>
      <c r="H314" s="209"/>
      <c r="I314" s="209"/>
      <c r="J314" s="209"/>
      <c r="K314" s="209"/>
      <c r="L314" s="207"/>
      <c r="M314" s="207"/>
      <c r="N314" s="207"/>
      <c r="O314" s="207"/>
      <c r="P314" s="209"/>
      <c r="Q314" s="207"/>
      <c r="R314" s="207"/>
      <c r="S314" s="207"/>
      <c r="T314" s="207"/>
      <c r="U314" s="209"/>
      <c r="V314" s="207"/>
      <c r="W314" s="207"/>
      <c r="X314" s="207"/>
      <c r="Y314" s="210"/>
      <c r="Z314" s="209"/>
      <c r="AA314" s="211"/>
      <c r="AB314" s="209"/>
      <c r="AC314" s="211"/>
      <c r="AD314" s="211"/>
      <c r="AE314" s="211"/>
      <c r="AF314" s="211"/>
      <c r="AG314" s="211"/>
      <c r="AH314" s="4"/>
      <c r="AI314" s="255"/>
      <c r="AJ314" s="180"/>
      <c r="AQ314" s="180"/>
      <c r="AR314" s="180"/>
      <c r="AS314" s="180"/>
      <c r="AT314" s="180"/>
      <c r="AU314" s="180"/>
      <c r="AV314" s="180"/>
      <c r="AW314" s="180"/>
    </row>
    <row r="315" spans="1:49" s="4" customFormat="1">
      <c r="A315" s="180"/>
      <c r="B315" s="238" t="s">
        <v>69</v>
      </c>
      <c r="C315" s="239">
        <f>13+12+15+10+8</f>
        <v>58</v>
      </c>
      <c r="D315" s="207"/>
      <c r="E315" s="209"/>
      <c r="F315" s="209"/>
      <c r="G315" s="207"/>
      <c r="H315" s="209"/>
      <c r="I315" s="209"/>
      <c r="J315" s="209"/>
      <c r="K315" s="209"/>
      <c r="L315" s="207"/>
      <c r="M315" s="207"/>
      <c r="N315" s="207"/>
      <c r="O315" s="207"/>
      <c r="P315" s="209"/>
      <c r="Q315" s="207"/>
      <c r="R315" s="207"/>
      <c r="S315" s="207"/>
      <c r="T315" s="207"/>
      <c r="U315" s="209"/>
      <c r="V315" s="207"/>
      <c r="W315" s="207"/>
      <c r="X315" s="207"/>
      <c r="Y315" s="210"/>
      <c r="Z315" s="209"/>
      <c r="AA315" s="211"/>
      <c r="AB315" s="209"/>
      <c r="AC315" s="211"/>
      <c r="AD315" s="211"/>
      <c r="AE315" s="211"/>
      <c r="AF315" s="211"/>
      <c r="AG315" s="211"/>
      <c r="AI315" s="255"/>
      <c r="AJ315" s="180"/>
      <c r="AK315" s="193"/>
      <c r="AL315" s="193"/>
      <c r="AM315" s="193"/>
      <c r="AN315" s="193"/>
      <c r="AO315" s="193"/>
      <c r="AP315" s="193"/>
      <c r="AQ315" s="180"/>
      <c r="AR315" s="180"/>
      <c r="AS315" s="180"/>
      <c r="AT315" s="180"/>
      <c r="AU315" s="180"/>
      <c r="AV315" s="180"/>
      <c r="AW315" s="180"/>
    </row>
    <row r="316" spans="1:49" s="180" customFormat="1">
      <c r="A316" s="313"/>
      <c r="E316" s="4"/>
      <c r="F316" s="644"/>
      <c r="G316" s="4"/>
      <c r="J316" s="4"/>
      <c r="K316" s="644"/>
      <c r="L316" s="4"/>
      <c r="O316" s="4"/>
      <c r="P316" s="644"/>
      <c r="Q316" s="4"/>
      <c r="T316" s="4"/>
      <c r="U316" s="644"/>
      <c r="V316" s="4"/>
      <c r="Y316" s="4"/>
      <c r="Z316" s="644"/>
      <c r="AA316" s="4"/>
      <c r="AB316" s="4"/>
      <c r="AC316" s="4"/>
      <c r="AH316" s="4"/>
      <c r="AI316" s="255"/>
      <c r="AK316" s="193"/>
      <c r="AL316" s="193"/>
      <c r="AM316" s="193"/>
      <c r="AN316" s="193"/>
      <c r="AO316" s="193"/>
      <c r="AP316" s="193"/>
    </row>
    <row r="317" spans="1:49">
      <c r="A317" s="180"/>
      <c r="B317" s="229"/>
      <c r="C317" s="230"/>
      <c r="D317" s="230"/>
      <c r="E317" s="232"/>
      <c r="F317" s="232"/>
      <c r="G317" s="230"/>
      <c r="H317" s="232"/>
      <c r="I317" s="232"/>
      <c r="J317" s="232"/>
      <c r="K317" s="232"/>
      <c r="L317" s="230"/>
      <c r="M317" s="230"/>
      <c r="N317" s="230"/>
      <c r="O317" s="230"/>
      <c r="P317" s="232"/>
      <c r="Q317" s="230"/>
      <c r="R317" s="230"/>
      <c r="S317" s="230"/>
      <c r="T317" s="230"/>
      <c r="U317" s="232"/>
      <c r="V317" s="230"/>
      <c r="W317" s="230"/>
      <c r="X317" s="230"/>
      <c r="Y317" s="233"/>
      <c r="Z317" s="232"/>
      <c r="AA317" s="234"/>
      <c r="AB317" s="232"/>
      <c r="AC317" s="373"/>
      <c r="AD317" s="236"/>
      <c r="AE317" s="255"/>
      <c r="AF317" s="255"/>
      <c r="AG317" s="255"/>
      <c r="AH317" s="255"/>
      <c r="AJ317" s="255"/>
      <c r="AK317" s="255"/>
      <c r="AL317" s="255"/>
      <c r="AM317" s="255"/>
      <c r="AN317" s="255"/>
      <c r="AO317" s="255"/>
      <c r="AP317" s="255"/>
      <c r="AQ317" s="255"/>
      <c r="AR317" s="255"/>
      <c r="AS317" s="255"/>
      <c r="AT317" s="255"/>
      <c r="AU317" s="255"/>
      <c r="AV317" s="255"/>
      <c r="AW317" s="255"/>
    </row>
    <row r="318" spans="1:49">
      <c r="B318" s="180"/>
      <c r="E318" s="4"/>
      <c r="F318" s="644"/>
      <c r="G318" s="4"/>
      <c r="J318" s="4"/>
      <c r="K318" s="644"/>
      <c r="L318" s="4"/>
      <c r="O318" s="4"/>
      <c r="P318" s="644"/>
      <c r="T318" s="4"/>
      <c r="U318" s="644"/>
      <c r="Y318" s="4"/>
      <c r="Z318" s="644"/>
      <c r="AA318" s="4"/>
      <c r="AB318" s="4"/>
      <c r="AC318" s="4"/>
      <c r="AK318" s="180"/>
      <c r="AL318" s="180"/>
      <c r="AM318" s="180"/>
      <c r="AN318" s="180"/>
      <c r="AO318" s="180"/>
      <c r="AP318" s="180"/>
    </row>
    <row r="319" spans="1:49">
      <c r="A319" s="228"/>
      <c r="B319" s="1518" t="s">
        <v>18</v>
      </c>
      <c r="C319" s="1519">
        <v>45593</v>
      </c>
      <c r="D319" s="1519"/>
      <c r="E319" s="1519"/>
      <c r="F319" s="1519"/>
      <c r="G319" s="365"/>
      <c r="H319" s="1565">
        <v>45594</v>
      </c>
      <c r="I319" s="1565"/>
      <c r="J319" s="1565"/>
      <c r="K319" s="1565"/>
      <c r="L319" s="365"/>
      <c r="M319" s="1519">
        <v>45595</v>
      </c>
      <c r="N319" s="1519"/>
      <c r="O319" s="1519"/>
      <c r="P319" s="1519"/>
      <c r="Q319" s="365"/>
      <c r="R319" s="1519">
        <v>45596</v>
      </c>
      <c r="S319" s="1519"/>
      <c r="T319" s="1519"/>
      <c r="U319" s="1519"/>
      <c r="V319" s="365"/>
      <c r="W319" s="1519">
        <v>45597</v>
      </c>
      <c r="X319" s="1519"/>
      <c r="Y319" s="1519"/>
      <c r="Z319" s="1519"/>
      <c r="AA319" s="1517" t="s">
        <v>19</v>
      </c>
      <c r="AB319" s="1517" t="s">
        <v>20</v>
      </c>
      <c r="AC319" s="4"/>
      <c r="AD319" s="1519">
        <v>45598</v>
      </c>
      <c r="AE319" s="1519"/>
      <c r="AF319" s="1519"/>
      <c r="AG319" s="1517" t="s">
        <v>21</v>
      </c>
      <c r="AI319" s="368"/>
      <c r="AK319" s="194" t="s">
        <v>84</v>
      </c>
      <c r="AL319" s="366"/>
      <c r="AM319" s="366"/>
      <c r="AN319" s="366"/>
      <c r="AO319" s="366"/>
      <c r="AP319" s="366"/>
    </row>
    <row r="320" spans="1:49">
      <c r="A320" s="180"/>
      <c r="B320" s="1518"/>
      <c r="C320" s="21" t="s">
        <v>23</v>
      </c>
      <c r="D320" s="21" t="s">
        <v>24</v>
      </c>
      <c r="E320" s="205" t="s">
        <v>25</v>
      </c>
      <c r="F320" s="645" t="s">
        <v>14</v>
      </c>
      <c r="G320" s="4"/>
      <c r="H320" s="21" t="s">
        <v>23</v>
      </c>
      <c r="I320" s="21" t="s">
        <v>24</v>
      </c>
      <c r="J320" s="18" t="s">
        <v>25</v>
      </c>
      <c r="K320" s="645" t="s">
        <v>14</v>
      </c>
      <c r="L320" s="4"/>
      <c r="M320" s="21" t="s">
        <v>23</v>
      </c>
      <c r="N320" s="21" t="s">
        <v>24</v>
      </c>
      <c r="O320" s="18" t="s">
        <v>25</v>
      </c>
      <c r="P320" s="645" t="s">
        <v>14</v>
      </c>
      <c r="R320" s="21" t="s">
        <v>23</v>
      </c>
      <c r="S320" s="21" t="s">
        <v>24</v>
      </c>
      <c r="T320" s="18" t="s">
        <v>25</v>
      </c>
      <c r="U320" s="645" t="s">
        <v>14</v>
      </c>
      <c r="W320" s="21" t="s">
        <v>23</v>
      </c>
      <c r="X320" s="21" t="s">
        <v>24</v>
      </c>
      <c r="Y320" s="18" t="s">
        <v>25</v>
      </c>
      <c r="Z320" s="645" t="s">
        <v>14</v>
      </c>
      <c r="AA320" s="1517"/>
      <c r="AB320" s="1517"/>
      <c r="AC320" s="4"/>
      <c r="AD320" s="21" t="s">
        <v>23</v>
      </c>
      <c r="AE320" s="21" t="s">
        <v>24</v>
      </c>
      <c r="AF320" s="18" t="s">
        <v>25</v>
      </c>
      <c r="AG320" s="1517"/>
      <c r="AI320" s="368"/>
      <c r="AJ320" s="367"/>
      <c r="AK320" s="188" t="s">
        <v>26</v>
      </c>
      <c r="AL320" s="196">
        <f>AA355</f>
        <v>593.9</v>
      </c>
      <c r="AM320" s="510">
        <v>39.14</v>
      </c>
      <c r="AN320" s="510">
        <f t="shared" ref="AN320:AN326" si="41">AL320*AM320</f>
        <v>23245.245999999999</v>
      </c>
      <c r="AQ320" s="367"/>
      <c r="AR320" s="367"/>
      <c r="AS320" s="367"/>
      <c r="AT320" s="367"/>
      <c r="AU320" s="367"/>
      <c r="AV320" s="367"/>
      <c r="AW320" s="367"/>
    </row>
    <row r="321" spans="1:49">
      <c r="A321" s="180"/>
      <c r="B321" s="4" t="s">
        <v>958</v>
      </c>
      <c r="C321" s="441" t="s">
        <v>154</v>
      </c>
      <c r="D321" s="441" t="s">
        <v>154</v>
      </c>
      <c r="E321" s="319"/>
      <c r="F321" s="646"/>
      <c r="G321" s="4"/>
      <c r="H321" s="47" t="s">
        <v>992</v>
      </c>
      <c r="I321" s="47"/>
      <c r="J321" s="319">
        <v>0</v>
      </c>
      <c r="K321" s="646"/>
      <c r="L321" s="4"/>
      <c r="M321" s="441" t="s">
        <v>154</v>
      </c>
      <c r="N321" s="47">
        <v>0</v>
      </c>
      <c r="O321" s="319">
        <v>0</v>
      </c>
      <c r="P321" s="646"/>
      <c r="R321" s="47">
        <v>0</v>
      </c>
      <c r="S321" s="47">
        <v>0</v>
      </c>
      <c r="T321" s="319">
        <v>0</v>
      </c>
      <c r="U321" s="646"/>
      <c r="W321" s="47">
        <v>0.375</v>
      </c>
      <c r="X321" s="47">
        <v>0.25</v>
      </c>
      <c r="Y321" s="319">
        <v>8</v>
      </c>
      <c r="Z321" s="646"/>
      <c r="AA321" s="328">
        <f t="shared" ref="AA321:AA325" si="42">(E321+J321+O321+T321+Y321)</f>
        <v>8</v>
      </c>
      <c r="AB321" s="298">
        <f t="shared" ref="AB321:AB325" si="43">Z321+U321+P321+K321+F321</f>
        <v>0</v>
      </c>
      <c r="AC321" s="4"/>
      <c r="AD321" s="587"/>
      <c r="AE321" s="531"/>
      <c r="AF321" s="319"/>
      <c r="AG321" s="328">
        <f t="shared" ref="AG321:AG325" si="44">AF321</f>
        <v>0</v>
      </c>
      <c r="AI321" s="368"/>
      <c r="AJ321" s="367"/>
      <c r="AK321" s="188" t="s">
        <v>30</v>
      </c>
      <c r="AL321" s="196">
        <f>AB355</f>
        <v>34.25</v>
      </c>
      <c r="AM321" s="511">
        <f>AM320*1.5</f>
        <v>58.71</v>
      </c>
      <c r="AN321" s="510">
        <f t="shared" si="41"/>
        <v>2010.8175000000001</v>
      </c>
      <c r="AQ321" s="367"/>
      <c r="AR321" s="367"/>
      <c r="AS321" s="367"/>
      <c r="AT321" s="367"/>
      <c r="AU321" s="367"/>
      <c r="AV321" s="367"/>
      <c r="AW321" s="367"/>
    </row>
    <row r="322" spans="1:49">
      <c r="A322" s="367"/>
      <c r="B322" s="47" t="s">
        <v>515</v>
      </c>
      <c r="C322" s="47" t="s">
        <v>992</v>
      </c>
      <c r="D322" s="47">
        <v>0</v>
      </c>
      <c r="E322" s="319">
        <v>0</v>
      </c>
      <c r="F322" s="646"/>
      <c r="G322" s="4"/>
      <c r="H322" s="441" t="s">
        <v>125</v>
      </c>
      <c r="I322" s="47" t="s">
        <v>993</v>
      </c>
      <c r="J322" s="319">
        <v>8</v>
      </c>
      <c r="K322" s="646"/>
      <c r="L322" s="4"/>
      <c r="M322" s="441" t="s">
        <v>154</v>
      </c>
      <c r="N322" s="47">
        <v>0</v>
      </c>
      <c r="O322" s="319">
        <v>0</v>
      </c>
      <c r="P322" s="646"/>
      <c r="R322" s="47">
        <v>0</v>
      </c>
      <c r="S322" s="47">
        <v>0</v>
      </c>
      <c r="T322" s="319">
        <v>0</v>
      </c>
      <c r="U322" s="646"/>
      <c r="W322" s="47">
        <v>0</v>
      </c>
      <c r="X322" s="47">
        <v>0</v>
      </c>
      <c r="Y322" s="319">
        <v>0</v>
      </c>
      <c r="Z322" s="646"/>
      <c r="AA322" s="328">
        <f t="shared" si="42"/>
        <v>8</v>
      </c>
      <c r="AB322" s="298">
        <f t="shared" si="43"/>
        <v>0</v>
      </c>
      <c r="AC322" s="4"/>
      <c r="AF322" s="319"/>
      <c r="AG322" s="328">
        <f t="shared" si="44"/>
        <v>0</v>
      </c>
      <c r="AH322" s="175"/>
      <c r="AI322" s="402"/>
      <c r="AJ322" s="367"/>
      <c r="AK322" s="188" t="s">
        <v>32</v>
      </c>
      <c r="AL322" s="196">
        <f>AG355</f>
        <v>0</v>
      </c>
      <c r="AM322" s="510">
        <v>58.71</v>
      </c>
      <c r="AN322" s="510">
        <f t="shared" si="41"/>
        <v>0</v>
      </c>
      <c r="AQ322" s="367"/>
      <c r="AR322" s="367"/>
      <c r="AS322" s="367"/>
      <c r="AT322" s="367"/>
      <c r="AU322" s="367"/>
      <c r="AV322" s="367"/>
      <c r="AW322" s="367"/>
    </row>
    <row r="323" spans="1:49">
      <c r="A323" s="367"/>
      <c r="B323" s="441" t="s">
        <v>962</v>
      </c>
      <c r="C323" s="441" t="s">
        <v>75</v>
      </c>
      <c r="D323" s="47">
        <v>4.1666666666666664E-2</v>
      </c>
      <c r="E323" s="319">
        <v>4</v>
      </c>
      <c r="F323" s="646"/>
      <c r="G323" s="4"/>
      <c r="H323" s="47" t="s">
        <v>992</v>
      </c>
      <c r="I323" s="47"/>
      <c r="J323" s="319">
        <v>0</v>
      </c>
      <c r="K323" s="646"/>
      <c r="L323" s="4"/>
      <c r="M323" s="441" t="s">
        <v>154</v>
      </c>
      <c r="N323" s="47">
        <v>0</v>
      </c>
      <c r="O323" s="319">
        <v>0</v>
      </c>
      <c r="P323" s="646"/>
      <c r="R323" s="47"/>
      <c r="S323" s="47"/>
      <c r="T323" s="319">
        <v>1</v>
      </c>
      <c r="U323" s="646"/>
      <c r="W323" s="47">
        <v>0.39583333333333331</v>
      </c>
      <c r="X323" s="47">
        <v>0.25</v>
      </c>
      <c r="Y323" s="319">
        <v>8</v>
      </c>
      <c r="Z323" s="646"/>
      <c r="AA323" s="328">
        <f t="shared" si="42"/>
        <v>13</v>
      </c>
      <c r="AB323" s="298">
        <f t="shared" si="43"/>
        <v>0</v>
      </c>
      <c r="AC323" s="399"/>
      <c r="AD323" s="47"/>
      <c r="AE323" s="47"/>
      <c r="AF323" s="319"/>
      <c r="AG323" s="328">
        <f t="shared" si="44"/>
        <v>0</v>
      </c>
      <c r="AH323" s="175"/>
      <c r="AJ323" s="401"/>
      <c r="AK323" s="403" t="s">
        <v>213</v>
      </c>
      <c r="AL323" s="404">
        <f>AA357</f>
        <v>24</v>
      </c>
      <c r="AM323" s="510">
        <v>51.5</v>
      </c>
      <c r="AN323" s="510">
        <f t="shared" si="41"/>
        <v>1236</v>
      </c>
      <c r="AO323" s="405"/>
      <c r="AP323" s="405"/>
      <c r="AQ323" s="367"/>
      <c r="AR323" s="401"/>
      <c r="AS323" s="401"/>
      <c r="AT323" s="401"/>
      <c r="AU323" s="401"/>
      <c r="AV323" s="401"/>
      <c r="AW323" s="401"/>
    </row>
    <row r="324" spans="1:49">
      <c r="A324" s="367"/>
      <c r="B324" s="665" t="s">
        <v>994</v>
      </c>
      <c r="C324" s="441" t="s">
        <v>154</v>
      </c>
      <c r="D324" s="47">
        <v>0</v>
      </c>
      <c r="E324" s="319">
        <v>0</v>
      </c>
      <c r="F324" s="646"/>
      <c r="G324" s="4"/>
      <c r="H324" s="441" t="s">
        <v>154</v>
      </c>
      <c r="I324" s="47">
        <v>0</v>
      </c>
      <c r="J324" s="319">
        <v>0</v>
      </c>
      <c r="K324" s="646"/>
      <c r="L324" s="4"/>
      <c r="M324" s="441" t="s">
        <v>114</v>
      </c>
      <c r="N324" s="47">
        <v>0</v>
      </c>
      <c r="O324" s="319">
        <v>0</v>
      </c>
      <c r="P324" s="646"/>
      <c r="R324" s="47" t="s">
        <v>114</v>
      </c>
      <c r="S324" s="47"/>
      <c r="T324" s="319"/>
      <c r="U324" s="646"/>
      <c r="W324" s="47">
        <v>0.375</v>
      </c>
      <c r="X324" s="47">
        <v>0.25</v>
      </c>
      <c r="Y324" s="319">
        <v>8</v>
      </c>
      <c r="Z324" s="646"/>
      <c r="AA324" s="328">
        <f t="shared" si="42"/>
        <v>8</v>
      </c>
      <c r="AB324" s="298">
        <f t="shared" si="43"/>
        <v>0</v>
      </c>
      <c r="AC324" s="175"/>
      <c r="AD324" s="47"/>
      <c r="AE324" s="47"/>
      <c r="AF324" s="319"/>
      <c r="AG324" s="328">
        <f t="shared" si="44"/>
        <v>0</v>
      </c>
      <c r="AH324" s="175"/>
      <c r="AJ324" s="401"/>
      <c r="AK324" s="188" t="s">
        <v>36</v>
      </c>
      <c r="AL324" s="196">
        <f>AB357</f>
        <v>0</v>
      </c>
      <c r="AM324" s="510">
        <f>AM323*1.5</f>
        <v>77.25</v>
      </c>
      <c r="AN324" s="510">
        <f t="shared" si="41"/>
        <v>0</v>
      </c>
      <c r="AO324" s="405"/>
      <c r="AP324" s="405"/>
      <c r="AQ324" s="367"/>
      <c r="AR324" s="401"/>
      <c r="AS324" s="401"/>
      <c r="AT324" s="401"/>
      <c r="AU324" s="401"/>
      <c r="AV324" s="401"/>
      <c r="AW324" s="401"/>
    </row>
    <row r="325" spans="1:49">
      <c r="A325" s="367"/>
      <c r="B325" s="47" t="s">
        <v>967</v>
      </c>
      <c r="C325" s="441" t="s">
        <v>75</v>
      </c>
      <c r="D325" s="47">
        <v>0.25</v>
      </c>
      <c r="E325" s="319">
        <v>8</v>
      </c>
      <c r="F325" s="646"/>
      <c r="G325" s="4"/>
      <c r="H325" s="441" t="s">
        <v>76</v>
      </c>
      <c r="I325" s="47">
        <v>0.5</v>
      </c>
      <c r="J325" s="319">
        <v>3.5</v>
      </c>
      <c r="K325" s="646"/>
      <c r="L325" s="4"/>
      <c r="M325" s="441" t="s">
        <v>154</v>
      </c>
      <c r="N325" s="47">
        <v>0</v>
      </c>
      <c r="O325" s="319">
        <v>0</v>
      </c>
      <c r="P325" s="646"/>
      <c r="R325" s="47"/>
      <c r="S325" s="47"/>
      <c r="T325" s="319">
        <v>1</v>
      </c>
      <c r="U325" s="646"/>
      <c r="W325" s="47">
        <v>0.375</v>
      </c>
      <c r="X325" s="47">
        <v>0.25</v>
      </c>
      <c r="Y325" s="319">
        <v>8</v>
      </c>
      <c r="Z325" s="646"/>
      <c r="AA325" s="328">
        <f t="shared" si="42"/>
        <v>20.5</v>
      </c>
      <c r="AB325" s="298">
        <f t="shared" si="43"/>
        <v>0</v>
      </c>
      <c r="AC325" s="4"/>
      <c r="AD325" s="47"/>
      <c r="AE325" s="47"/>
      <c r="AF325" s="319"/>
      <c r="AG325" s="328">
        <f t="shared" si="44"/>
        <v>0</v>
      </c>
      <c r="AH325" s="175"/>
      <c r="AI325" s="368"/>
      <c r="AK325" s="188" t="s">
        <v>38</v>
      </c>
      <c r="AL325" s="196">
        <f>AG357</f>
        <v>0</v>
      </c>
      <c r="AM325" s="510">
        <v>77.25</v>
      </c>
      <c r="AN325" s="510">
        <f t="shared" si="41"/>
        <v>0</v>
      </c>
      <c r="AQ325" s="367"/>
    </row>
    <row r="326" spans="1:49" s="4" customFormat="1" ht="14.25" thickBot="1">
      <c r="A326" s="180"/>
      <c r="B326" s="532" t="s">
        <v>995</v>
      </c>
      <c r="C326" s="441" t="s">
        <v>154</v>
      </c>
      <c r="D326" s="47">
        <v>0</v>
      </c>
      <c r="E326" s="319">
        <v>0</v>
      </c>
      <c r="F326" s="646"/>
      <c r="H326" s="441" t="s">
        <v>154</v>
      </c>
      <c r="I326" s="47">
        <v>0</v>
      </c>
      <c r="J326" s="319">
        <v>0</v>
      </c>
      <c r="K326" s="646"/>
      <c r="M326" s="441" t="s">
        <v>114</v>
      </c>
      <c r="N326" s="47">
        <v>0</v>
      </c>
      <c r="O326" s="319">
        <v>0</v>
      </c>
      <c r="P326" s="646"/>
      <c r="R326" s="47" t="s">
        <v>114</v>
      </c>
      <c r="S326" s="47"/>
      <c r="T326" s="319"/>
      <c r="U326" s="646"/>
      <c r="W326" s="47">
        <v>0.375</v>
      </c>
      <c r="X326" s="47">
        <v>0.25</v>
      </c>
      <c r="Y326" s="319">
        <v>8</v>
      </c>
      <c r="Z326" s="646"/>
      <c r="AA326" s="328">
        <f t="shared" ref="AA326" si="45">(E326+J326+O326+T326+Y326)</f>
        <v>8</v>
      </c>
      <c r="AB326" s="298">
        <f t="shared" ref="AB326" si="46">Z326+U326+P326+K326+F326</f>
        <v>0</v>
      </c>
      <c r="AD326" s="47"/>
      <c r="AE326" s="47"/>
      <c r="AF326" s="319"/>
      <c r="AG326" s="328">
        <f t="shared" ref="AG326" si="47">AF326</f>
        <v>0</v>
      </c>
      <c r="AI326" s="255"/>
      <c r="AJ326" s="180"/>
      <c r="AK326" s="188" t="s">
        <v>41</v>
      </c>
      <c r="AL326" s="196">
        <f>C358</f>
        <v>39</v>
      </c>
      <c r="AM326" s="512">
        <v>46.35</v>
      </c>
      <c r="AN326" s="512">
        <f t="shared" si="41"/>
        <v>1807.65</v>
      </c>
      <c r="AO326" s="193"/>
      <c r="AP326" s="193"/>
      <c r="AQ326" s="367"/>
      <c r="AR326" s="180"/>
      <c r="AS326" s="180"/>
      <c r="AT326" s="180"/>
      <c r="AU326" s="180"/>
      <c r="AV326" s="180"/>
      <c r="AW326" s="180"/>
    </row>
    <row r="327" spans="1:49" s="4" customFormat="1" ht="14.25" thickTop="1">
      <c r="A327" s="180"/>
      <c r="B327" s="436" t="s">
        <v>972</v>
      </c>
      <c r="C327" s="441" t="s">
        <v>75</v>
      </c>
      <c r="D327" s="47">
        <v>0.25</v>
      </c>
      <c r="E327" s="319">
        <v>8</v>
      </c>
      <c r="F327" s="646"/>
      <c r="H327" s="441" t="s">
        <v>154</v>
      </c>
      <c r="I327" s="47">
        <v>0</v>
      </c>
      <c r="J327" s="319">
        <v>0</v>
      </c>
      <c r="K327" s="646"/>
      <c r="M327" s="441" t="s">
        <v>154</v>
      </c>
      <c r="N327" s="47">
        <v>0</v>
      </c>
      <c r="O327" s="319">
        <v>0</v>
      </c>
      <c r="P327" s="646"/>
      <c r="R327" s="47">
        <v>0</v>
      </c>
      <c r="S327" s="47">
        <v>0</v>
      </c>
      <c r="T327" s="319">
        <v>0</v>
      </c>
      <c r="U327" s="646"/>
      <c r="W327" s="47">
        <v>0.375</v>
      </c>
      <c r="X327" s="47">
        <v>0.25</v>
      </c>
      <c r="Y327" s="319">
        <v>8</v>
      </c>
      <c r="Z327" s="646"/>
      <c r="AA327" s="328">
        <f>(E327+J327+O327+T327+Y327)</f>
        <v>16</v>
      </c>
      <c r="AB327" s="298">
        <f>Z327+U327+P327+K327+F327</f>
        <v>0</v>
      </c>
      <c r="AD327" s="47"/>
      <c r="AE327" s="47"/>
      <c r="AF327" s="319"/>
      <c r="AG327" s="328">
        <f>AF327</f>
        <v>0</v>
      </c>
      <c r="AI327" s="255"/>
      <c r="AJ327" s="180"/>
      <c r="AK327" s="188"/>
      <c r="AL327" s="196"/>
      <c r="AM327" s="510"/>
      <c r="AN327" s="510"/>
      <c r="AO327" s="193"/>
      <c r="AP327" s="193"/>
      <c r="AQ327" s="367"/>
      <c r="AR327" s="180"/>
      <c r="AS327" s="180"/>
      <c r="AT327" s="180"/>
      <c r="AU327" s="180"/>
      <c r="AV327" s="180"/>
      <c r="AW327" s="180"/>
    </row>
    <row r="328" spans="1:49" s="4" customFormat="1">
      <c r="A328" s="180"/>
      <c r="B328" s="47" t="s">
        <v>974</v>
      </c>
      <c r="C328" s="441" t="s">
        <v>75</v>
      </c>
      <c r="D328" s="47">
        <v>0.25</v>
      </c>
      <c r="E328" s="319">
        <v>8</v>
      </c>
      <c r="F328" s="646"/>
      <c r="H328" s="441" t="s">
        <v>75</v>
      </c>
      <c r="I328" s="47">
        <v>0.25</v>
      </c>
      <c r="J328" s="319">
        <v>8</v>
      </c>
      <c r="K328" s="646"/>
      <c r="M328" s="441" t="s">
        <v>75</v>
      </c>
      <c r="N328" s="47">
        <v>0.25</v>
      </c>
      <c r="O328" s="319">
        <v>8</v>
      </c>
      <c r="P328" s="646"/>
      <c r="R328" s="47" t="s">
        <v>996</v>
      </c>
      <c r="S328" s="47"/>
      <c r="T328" s="319"/>
      <c r="U328" s="646"/>
      <c r="W328" s="47">
        <v>0.375</v>
      </c>
      <c r="X328" s="47">
        <v>0.25</v>
      </c>
      <c r="Y328" s="319">
        <v>8</v>
      </c>
      <c r="Z328" s="646"/>
      <c r="AA328" s="328">
        <f t="shared" ref="AA328:AA338" si="48">(E328+J328+O328+T328+Y328)</f>
        <v>32</v>
      </c>
      <c r="AB328" s="298">
        <f t="shared" ref="AB328:AB338" si="49">Z328+U328+P328+K328+F328</f>
        <v>0</v>
      </c>
      <c r="AD328" s="47"/>
      <c r="AE328" s="47"/>
      <c r="AF328" s="319"/>
      <c r="AG328" s="328">
        <f t="shared" ref="AG328:AG338" si="50">AF328</f>
        <v>0</v>
      </c>
      <c r="AI328" s="255"/>
      <c r="AJ328" s="180"/>
      <c r="AK328" s="193"/>
      <c r="AL328" s="193"/>
      <c r="AM328" s="193"/>
      <c r="AN328" s="510">
        <f>SUM(AN320:AN326)</f>
        <v>28299.713500000002</v>
      </c>
      <c r="AO328" s="193"/>
      <c r="AP328" s="193"/>
      <c r="AQ328" s="367"/>
      <c r="AR328" s="180"/>
      <c r="AS328" s="180"/>
      <c r="AT328" s="180"/>
      <c r="AU328" s="180"/>
      <c r="AV328" s="180"/>
      <c r="AW328" s="180"/>
    </row>
    <row r="329" spans="1:49" s="4" customFormat="1">
      <c r="A329" s="180"/>
      <c r="B329" s="47" t="s">
        <v>517</v>
      </c>
      <c r="C329" s="441" t="s">
        <v>125</v>
      </c>
      <c r="D329" s="47">
        <v>0.33333333333333331</v>
      </c>
      <c r="E329" s="319">
        <v>8</v>
      </c>
      <c r="F329" s="646"/>
      <c r="H329" s="441" t="s">
        <v>75</v>
      </c>
      <c r="I329" s="47">
        <v>4.1666666666666664E-2</v>
      </c>
      <c r="J329" s="319">
        <v>4</v>
      </c>
      <c r="K329" s="646"/>
      <c r="M329" s="47">
        <v>0.375</v>
      </c>
      <c r="N329" s="47">
        <v>0.25</v>
      </c>
      <c r="O329" s="319">
        <v>8</v>
      </c>
      <c r="P329" s="646"/>
      <c r="R329" s="47">
        <v>0.375</v>
      </c>
      <c r="S329" s="47">
        <v>0.25</v>
      </c>
      <c r="T329" s="319">
        <v>8</v>
      </c>
      <c r="U329" s="646"/>
      <c r="W329" s="47">
        <v>0.375</v>
      </c>
      <c r="X329" s="47">
        <v>0.25</v>
      </c>
      <c r="Y329" s="319">
        <v>8</v>
      </c>
      <c r="Z329" s="646"/>
      <c r="AA329" s="328">
        <f t="shared" si="48"/>
        <v>36</v>
      </c>
      <c r="AB329" s="298">
        <f t="shared" si="49"/>
        <v>0</v>
      </c>
      <c r="AD329" s="47"/>
      <c r="AE329" s="47"/>
      <c r="AF329" s="319"/>
      <c r="AG329" s="328">
        <f t="shared" si="50"/>
        <v>0</v>
      </c>
      <c r="AI329" s="255"/>
      <c r="AJ329" s="180"/>
      <c r="AK329" s="193"/>
      <c r="AL329" s="193"/>
      <c r="AM329" s="193"/>
      <c r="AN329" s="193"/>
      <c r="AO329" s="193"/>
      <c r="AP329" s="193"/>
      <c r="AQ329" s="180"/>
      <c r="AR329" s="180"/>
      <c r="AS329" s="180"/>
      <c r="AT329" s="180"/>
      <c r="AU329" s="180"/>
      <c r="AV329" s="180"/>
      <c r="AW329" s="180"/>
    </row>
    <row r="330" spans="1:49" s="4" customFormat="1">
      <c r="A330" s="180"/>
      <c r="B330" s="436" t="s">
        <v>981</v>
      </c>
      <c r="C330" s="441" t="s">
        <v>125</v>
      </c>
      <c r="D330" s="47">
        <v>0.25</v>
      </c>
      <c r="E330" s="319">
        <v>8</v>
      </c>
      <c r="F330" s="646">
        <v>3</v>
      </c>
      <c r="H330" s="441" t="s">
        <v>956</v>
      </c>
      <c r="I330" s="47">
        <v>0.1875</v>
      </c>
      <c r="J330" s="319">
        <v>8</v>
      </c>
      <c r="K330" s="646"/>
      <c r="M330" s="47">
        <v>0.375</v>
      </c>
      <c r="N330" s="47">
        <v>0.25</v>
      </c>
      <c r="O330" s="319">
        <v>8</v>
      </c>
      <c r="P330" s="646"/>
      <c r="R330" s="47">
        <v>0.33333333333333331</v>
      </c>
      <c r="S330" s="47">
        <v>0.25</v>
      </c>
      <c r="T330" s="319">
        <v>8</v>
      </c>
      <c r="U330" s="646">
        <v>1</v>
      </c>
      <c r="W330" s="47">
        <v>0.33333333333333331</v>
      </c>
      <c r="X330" s="47">
        <v>0.25</v>
      </c>
      <c r="Y330" s="319">
        <v>8</v>
      </c>
      <c r="Z330" s="646">
        <v>1</v>
      </c>
      <c r="AA330" s="328">
        <f t="shared" si="48"/>
        <v>40</v>
      </c>
      <c r="AB330" s="298">
        <f t="shared" si="49"/>
        <v>5</v>
      </c>
      <c r="AD330" s="47" t="s">
        <v>997</v>
      </c>
      <c r="AE330" s="47"/>
      <c r="AF330" s="319"/>
      <c r="AG330" s="328">
        <f t="shared" si="50"/>
        <v>0</v>
      </c>
      <c r="AI330" s="255"/>
      <c r="AJ330" s="180"/>
      <c r="AK330" s="193"/>
      <c r="AL330" s="193"/>
      <c r="AM330" s="193"/>
      <c r="AN330" s="193"/>
      <c r="AO330" s="193"/>
      <c r="AP330" s="193"/>
      <c r="AQ330" s="180"/>
      <c r="AR330" s="180"/>
      <c r="AS330" s="180"/>
      <c r="AT330" s="180"/>
      <c r="AU330" s="180"/>
      <c r="AV330" s="180"/>
      <c r="AW330" s="180"/>
    </row>
    <row r="331" spans="1:49" s="4" customFormat="1">
      <c r="A331" s="180"/>
      <c r="B331" s="4" t="s">
        <v>976</v>
      </c>
      <c r="C331" s="441" t="s">
        <v>154</v>
      </c>
      <c r="D331" s="47">
        <v>0</v>
      </c>
      <c r="E331" s="319">
        <v>0</v>
      </c>
      <c r="F331" s="646"/>
      <c r="H331" s="441" t="s">
        <v>154</v>
      </c>
      <c r="I331" s="47">
        <v>0</v>
      </c>
      <c r="J331" s="319">
        <v>0</v>
      </c>
      <c r="K331" s="646"/>
      <c r="M331" s="441" t="s">
        <v>154</v>
      </c>
      <c r="N331" s="47">
        <v>0</v>
      </c>
      <c r="O331" s="319">
        <v>0</v>
      </c>
      <c r="P331" s="646"/>
      <c r="R331" s="47">
        <v>0</v>
      </c>
      <c r="S331" s="47">
        <v>0</v>
      </c>
      <c r="T331" s="319">
        <v>0</v>
      </c>
      <c r="U331" s="646"/>
      <c r="W331" s="47">
        <v>0</v>
      </c>
      <c r="X331" s="47">
        <v>0</v>
      </c>
      <c r="Y331" s="319">
        <v>0</v>
      </c>
      <c r="Z331" s="646"/>
      <c r="AA331" s="328">
        <f t="shared" si="48"/>
        <v>0</v>
      </c>
      <c r="AB331" s="298">
        <f t="shared" si="49"/>
        <v>0</v>
      </c>
      <c r="AD331" s="47"/>
      <c r="AE331" s="47"/>
      <c r="AF331" s="319"/>
      <c r="AG331" s="328">
        <f t="shared" si="50"/>
        <v>0</v>
      </c>
      <c r="AI331" s="255"/>
      <c r="AJ331" s="180"/>
      <c r="AK331" s="193"/>
      <c r="AL331" s="193"/>
      <c r="AM331" s="193"/>
      <c r="AN331" s="193"/>
      <c r="AO331" s="193"/>
      <c r="AP331" s="193"/>
      <c r="AQ331" s="180"/>
      <c r="AR331" s="180"/>
      <c r="AS331" s="180"/>
      <c r="AT331" s="180"/>
      <c r="AU331" s="180"/>
      <c r="AV331" s="180"/>
      <c r="AW331" s="180"/>
    </row>
    <row r="332" spans="1:49" s="4" customFormat="1">
      <c r="A332" s="180"/>
      <c r="B332" s="666" t="s">
        <v>998</v>
      </c>
      <c r="C332" s="441" t="s">
        <v>154</v>
      </c>
      <c r="D332" s="47">
        <v>0</v>
      </c>
      <c r="E332" s="319">
        <v>0</v>
      </c>
      <c r="F332" s="646"/>
      <c r="H332" s="441" t="s">
        <v>154</v>
      </c>
      <c r="I332" s="47">
        <v>0</v>
      </c>
      <c r="J332" s="319">
        <v>0</v>
      </c>
      <c r="K332" s="646"/>
      <c r="M332" s="441" t="s">
        <v>114</v>
      </c>
      <c r="N332" s="47">
        <v>0</v>
      </c>
      <c r="O332" s="319">
        <v>0</v>
      </c>
      <c r="P332" s="646"/>
      <c r="R332" s="47" t="s">
        <v>114</v>
      </c>
      <c r="S332" s="47"/>
      <c r="T332" s="319"/>
      <c r="U332" s="646"/>
      <c r="W332" s="47">
        <v>0.375</v>
      </c>
      <c r="X332" s="47">
        <v>0.25</v>
      </c>
      <c r="Y332" s="319">
        <v>8</v>
      </c>
      <c r="Z332" s="646"/>
      <c r="AA332" s="328">
        <f t="shared" si="48"/>
        <v>8</v>
      </c>
      <c r="AB332" s="298">
        <f t="shared" si="49"/>
        <v>0</v>
      </c>
      <c r="AD332" s="47"/>
      <c r="AE332" s="47"/>
      <c r="AF332" s="319"/>
      <c r="AG332" s="328">
        <f t="shared" si="50"/>
        <v>0</v>
      </c>
      <c r="AI332" s="255"/>
      <c r="AJ332" s="180"/>
      <c r="AK332" s="193"/>
      <c r="AL332" s="193"/>
      <c r="AM332" s="193"/>
      <c r="AN332" s="193"/>
      <c r="AO332" s="193"/>
      <c r="AP332" s="193"/>
      <c r="AQ332" s="180"/>
      <c r="AR332" s="180"/>
      <c r="AS332" s="180"/>
      <c r="AT332" s="180"/>
      <c r="AU332" s="180"/>
      <c r="AV332" s="180"/>
      <c r="AW332" s="180"/>
    </row>
    <row r="333" spans="1:49" s="4" customFormat="1">
      <c r="A333" s="180"/>
      <c r="B333" s="47" t="s">
        <v>977</v>
      </c>
      <c r="C333" s="441" t="s">
        <v>960</v>
      </c>
      <c r="D333" s="47"/>
      <c r="E333" s="319">
        <v>0</v>
      </c>
      <c r="F333" s="646"/>
      <c r="H333" s="441" t="s">
        <v>75</v>
      </c>
      <c r="I333" s="47">
        <v>0.25</v>
      </c>
      <c r="J333" s="319">
        <v>8</v>
      </c>
      <c r="K333" s="646"/>
      <c r="M333" s="441" t="s">
        <v>154</v>
      </c>
      <c r="N333" s="47">
        <v>0</v>
      </c>
      <c r="O333" s="319">
        <v>0</v>
      </c>
      <c r="P333" s="646"/>
      <c r="R333" s="47"/>
      <c r="S333" s="47"/>
      <c r="T333" s="319">
        <v>1</v>
      </c>
      <c r="U333" s="646"/>
      <c r="W333" s="47">
        <v>0</v>
      </c>
      <c r="X333" s="47"/>
      <c r="Y333" s="319">
        <v>0</v>
      </c>
      <c r="Z333" s="646"/>
      <c r="AA333" s="328">
        <f t="shared" si="48"/>
        <v>9</v>
      </c>
      <c r="AB333" s="298">
        <f t="shared" si="49"/>
        <v>0</v>
      </c>
      <c r="AD333" s="47"/>
      <c r="AE333" s="47"/>
      <c r="AF333" s="319"/>
      <c r="AG333" s="328">
        <f t="shared" si="50"/>
        <v>0</v>
      </c>
      <c r="AI333" s="255"/>
      <c r="AJ333" s="180"/>
      <c r="AK333" s="193"/>
      <c r="AL333" s="193"/>
      <c r="AM333" s="193"/>
      <c r="AN333" s="193"/>
      <c r="AO333" s="193"/>
      <c r="AP333" s="193"/>
      <c r="AQ333" s="180"/>
      <c r="AR333" s="180"/>
      <c r="AS333" s="180"/>
      <c r="AT333" s="180"/>
      <c r="AU333" s="180"/>
      <c r="AV333" s="180"/>
      <c r="AW333" s="180"/>
    </row>
    <row r="334" spans="1:49" s="4" customFormat="1">
      <c r="A334" s="180"/>
      <c r="B334" s="47" t="s">
        <v>986</v>
      </c>
      <c r="C334" s="441" t="s">
        <v>154</v>
      </c>
      <c r="D334" s="47">
        <v>0</v>
      </c>
      <c r="E334" s="319">
        <v>0</v>
      </c>
      <c r="F334" s="646"/>
      <c r="H334" s="441" t="s">
        <v>154</v>
      </c>
      <c r="I334" s="47">
        <v>0</v>
      </c>
      <c r="J334" s="319">
        <v>0</v>
      </c>
      <c r="K334" s="646"/>
      <c r="M334" s="441" t="s">
        <v>154</v>
      </c>
      <c r="N334" s="47">
        <v>0</v>
      </c>
      <c r="O334" s="319">
        <v>0</v>
      </c>
      <c r="P334" s="646"/>
      <c r="R334" s="47">
        <v>0</v>
      </c>
      <c r="S334" s="47"/>
      <c r="T334" s="319"/>
      <c r="U334" s="646"/>
      <c r="W334" s="47">
        <v>0</v>
      </c>
      <c r="X334" s="47"/>
      <c r="Y334" s="319">
        <v>0</v>
      </c>
      <c r="Z334" s="646"/>
      <c r="AA334" s="328">
        <f t="shared" si="48"/>
        <v>0</v>
      </c>
      <c r="AB334" s="298">
        <f t="shared" si="49"/>
        <v>0</v>
      </c>
      <c r="AD334" s="47"/>
      <c r="AE334" s="47"/>
      <c r="AF334" s="319"/>
      <c r="AG334" s="328">
        <f t="shared" si="50"/>
        <v>0</v>
      </c>
      <c r="AI334" s="255"/>
      <c r="AJ334" s="180"/>
      <c r="AK334" s="193"/>
      <c r="AL334" s="193"/>
      <c r="AM334" s="193"/>
      <c r="AN334" s="193"/>
      <c r="AO334" s="193"/>
      <c r="AP334" s="193"/>
      <c r="AQ334" s="180"/>
      <c r="AR334" s="180"/>
      <c r="AS334" s="180"/>
      <c r="AT334" s="180"/>
      <c r="AU334" s="180"/>
      <c r="AV334" s="180"/>
      <c r="AW334" s="180"/>
    </row>
    <row r="335" spans="1:49" s="4" customFormat="1">
      <c r="A335" s="180"/>
      <c r="B335" s="436" t="s">
        <v>394</v>
      </c>
      <c r="C335" s="441" t="s">
        <v>249</v>
      </c>
      <c r="D335" s="47">
        <v>8.3333333333333329E-2</v>
      </c>
      <c r="E335" s="319">
        <v>4</v>
      </c>
      <c r="F335" s="646"/>
      <c r="H335" s="441" t="s">
        <v>75</v>
      </c>
      <c r="I335" s="47">
        <v>0.25</v>
      </c>
      <c r="J335" s="319">
        <v>8</v>
      </c>
      <c r="K335" s="646"/>
      <c r="M335" s="47">
        <v>0.375</v>
      </c>
      <c r="N335" s="47" t="s">
        <v>114</v>
      </c>
      <c r="O335" s="319">
        <v>0</v>
      </c>
      <c r="P335" s="646"/>
      <c r="R335" s="47">
        <v>0.375</v>
      </c>
      <c r="S335" s="47">
        <v>0.25</v>
      </c>
      <c r="T335" s="319">
        <v>8</v>
      </c>
      <c r="U335" s="646"/>
      <c r="W335" s="47">
        <v>0.3125</v>
      </c>
      <c r="X335" s="47">
        <v>0.25</v>
      </c>
      <c r="Y335" s="319">
        <v>8</v>
      </c>
      <c r="Z335" s="646">
        <v>2.5</v>
      </c>
      <c r="AA335" s="328">
        <f t="shared" si="48"/>
        <v>28</v>
      </c>
      <c r="AB335" s="298">
        <f t="shared" si="49"/>
        <v>2.5</v>
      </c>
      <c r="AD335" s="47"/>
      <c r="AE335" s="47"/>
      <c r="AF335" s="319"/>
      <c r="AG335" s="328">
        <f t="shared" si="50"/>
        <v>0</v>
      </c>
      <c r="AI335" s="255"/>
      <c r="AJ335" s="180"/>
      <c r="AK335" s="193"/>
      <c r="AL335" s="193"/>
      <c r="AM335" s="193"/>
      <c r="AN335" s="193"/>
      <c r="AO335" s="193"/>
      <c r="AP335" s="193"/>
      <c r="AQ335" s="180"/>
      <c r="AR335" s="180"/>
      <c r="AS335" s="180"/>
      <c r="AT335" s="180"/>
      <c r="AU335" s="180"/>
      <c r="AV335" s="180"/>
      <c r="AW335" s="180"/>
    </row>
    <row r="336" spans="1:49" s="4" customFormat="1">
      <c r="A336" s="180"/>
      <c r="B336" s="47" t="s">
        <v>519</v>
      </c>
      <c r="C336" s="441" t="s">
        <v>249</v>
      </c>
      <c r="D336" s="47">
        <v>0.32291666666666669</v>
      </c>
      <c r="E336" s="319">
        <v>8</v>
      </c>
      <c r="F336" s="646">
        <v>0.75</v>
      </c>
      <c r="H336" s="441" t="s">
        <v>154</v>
      </c>
      <c r="I336" s="47">
        <v>0</v>
      </c>
      <c r="J336" s="319">
        <v>0</v>
      </c>
      <c r="K336" s="646"/>
      <c r="M336" s="441" t="s">
        <v>154</v>
      </c>
      <c r="N336" s="47">
        <v>0</v>
      </c>
      <c r="O336" s="319">
        <v>0</v>
      </c>
      <c r="P336" s="646"/>
      <c r="R336" s="47">
        <v>0.375</v>
      </c>
      <c r="S336" s="47">
        <v>0.25</v>
      </c>
      <c r="T336" s="319">
        <v>8</v>
      </c>
      <c r="U336" s="646"/>
      <c r="W336" s="47">
        <v>0.39583333333333331</v>
      </c>
      <c r="X336" s="47">
        <v>0.25</v>
      </c>
      <c r="Y336" s="319">
        <v>8</v>
      </c>
      <c r="Z336" s="646"/>
      <c r="AA336" s="328">
        <f t="shared" si="48"/>
        <v>24</v>
      </c>
      <c r="AB336" s="298">
        <f t="shared" si="49"/>
        <v>0.75</v>
      </c>
      <c r="AD336" s="47"/>
      <c r="AE336" s="47"/>
      <c r="AF336" s="319"/>
      <c r="AG336" s="328">
        <f t="shared" si="50"/>
        <v>0</v>
      </c>
      <c r="AI336" s="255"/>
      <c r="AJ336" s="180"/>
      <c r="AK336" s="193"/>
      <c r="AL336" s="193"/>
      <c r="AM336" s="193"/>
      <c r="AN336" s="193"/>
      <c r="AO336" s="193"/>
      <c r="AP336" s="193"/>
      <c r="AQ336" s="180"/>
      <c r="AR336" s="180"/>
      <c r="AS336" s="180"/>
      <c r="AT336" s="180"/>
      <c r="AU336" s="180"/>
      <c r="AV336" s="180"/>
      <c r="AW336" s="180"/>
    </row>
    <row r="337" spans="1:50" s="4" customFormat="1">
      <c r="A337" s="180"/>
      <c r="B337" s="532" t="s">
        <v>999</v>
      </c>
      <c r="C337" s="441" t="s">
        <v>154</v>
      </c>
      <c r="D337" s="47">
        <v>0</v>
      </c>
      <c r="E337" s="319">
        <v>0</v>
      </c>
      <c r="F337" s="646"/>
      <c r="H337" s="441" t="s">
        <v>154</v>
      </c>
      <c r="I337" s="47">
        <v>0</v>
      </c>
      <c r="J337" s="319">
        <v>0</v>
      </c>
      <c r="K337" s="646"/>
      <c r="M337" s="441" t="s">
        <v>154</v>
      </c>
      <c r="N337" s="47">
        <v>0</v>
      </c>
      <c r="O337" s="319">
        <v>0</v>
      </c>
      <c r="P337" s="646"/>
      <c r="R337" s="47" t="s">
        <v>114</v>
      </c>
      <c r="S337" s="47"/>
      <c r="T337" s="319"/>
      <c r="U337" s="646"/>
      <c r="W337" s="47">
        <v>0.375</v>
      </c>
      <c r="X337" s="47">
        <v>0.25</v>
      </c>
      <c r="Y337" s="319">
        <v>8</v>
      </c>
      <c r="Z337" s="646"/>
      <c r="AA337" s="328">
        <f t="shared" si="48"/>
        <v>8</v>
      </c>
      <c r="AB337" s="298">
        <f t="shared" si="49"/>
        <v>0</v>
      </c>
      <c r="AD337" s="47"/>
      <c r="AE337" s="47"/>
      <c r="AF337" s="319"/>
      <c r="AG337" s="328">
        <f t="shared" si="50"/>
        <v>0</v>
      </c>
      <c r="AI337" s="255"/>
      <c r="AJ337" s="180"/>
      <c r="AK337" s="193"/>
      <c r="AL337" s="193"/>
      <c r="AM337" s="193"/>
      <c r="AN337" s="193"/>
      <c r="AO337" s="193"/>
      <c r="AP337" s="193"/>
      <c r="AQ337" s="180"/>
      <c r="AR337" s="180"/>
      <c r="AS337" s="180"/>
      <c r="AT337" s="180"/>
      <c r="AU337" s="180"/>
      <c r="AV337" s="180"/>
      <c r="AW337" s="180"/>
    </row>
    <row r="338" spans="1:50" s="4" customFormat="1">
      <c r="A338" s="180"/>
      <c r="B338" s="640" t="s">
        <v>957</v>
      </c>
      <c r="C338" s="643"/>
      <c r="D338" s="519"/>
      <c r="E338" s="520"/>
      <c r="F338" s="647"/>
      <c r="G338" s="521"/>
      <c r="H338" s="519"/>
      <c r="I338" s="519"/>
      <c r="J338" s="520"/>
      <c r="K338" s="647"/>
      <c r="L338" s="521"/>
      <c r="M338" s="519"/>
      <c r="N338" s="519"/>
      <c r="O338" s="520"/>
      <c r="P338" s="647"/>
      <c r="Q338" s="521"/>
      <c r="R338" s="519"/>
      <c r="S338" s="519"/>
      <c r="T338" s="520"/>
      <c r="U338" s="647"/>
      <c r="V338" s="521"/>
      <c r="W338" s="519"/>
      <c r="X338" s="519"/>
      <c r="Y338" s="520"/>
      <c r="Z338" s="646"/>
      <c r="AA338" s="328">
        <f t="shared" si="48"/>
        <v>0</v>
      </c>
      <c r="AB338" s="298">
        <f t="shared" si="49"/>
        <v>0</v>
      </c>
      <c r="AD338" s="47"/>
      <c r="AE338" s="47"/>
      <c r="AF338" s="319"/>
      <c r="AG338" s="328">
        <f t="shared" si="50"/>
        <v>0</v>
      </c>
      <c r="AI338" s="255"/>
      <c r="AJ338" s="180"/>
      <c r="AK338" s="193"/>
      <c r="AL338" s="193"/>
      <c r="AM338" s="193"/>
      <c r="AN338" s="193"/>
      <c r="AO338" s="193"/>
      <c r="AP338" s="193"/>
      <c r="AQ338" s="180"/>
      <c r="AR338" s="180"/>
      <c r="AS338" s="180"/>
      <c r="AT338" s="180"/>
      <c r="AU338" s="180"/>
      <c r="AV338" s="180"/>
      <c r="AW338" s="180"/>
    </row>
    <row r="339" spans="1:50" s="4" customFormat="1">
      <c r="A339" s="180"/>
      <c r="B339" s="640" t="s">
        <v>390</v>
      </c>
      <c r="C339" s="643"/>
      <c r="D339" s="519"/>
      <c r="E339" s="520"/>
      <c r="F339" s="647"/>
      <c r="G339" s="521"/>
      <c r="H339" s="519"/>
      <c r="I339" s="519"/>
      <c r="J339" s="520"/>
      <c r="K339" s="647"/>
      <c r="L339" s="521"/>
      <c r="M339" s="519"/>
      <c r="N339" s="519"/>
      <c r="O339" s="520"/>
      <c r="P339" s="647"/>
      <c r="Q339" s="521"/>
      <c r="R339" s="519"/>
      <c r="S339" s="519"/>
      <c r="T339" s="520"/>
      <c r="U339" s="647"/>
      <c r="V339" s="521"/>
      <c r="W339" s="519"/>
      <c r="X339" s="519"/>
      <c r="Y339" s="520"/>
      <c r="Z339" s="646"/>
      <c r="AA339" s="328">
        <f>(E339+J339+O339+T339+Y339)</f>
        <v>0</v>
      </c>
      <c r="AB339" s="298">
        <f>Z339+U339+P339+K339+F339</f>
        <v>0</v>
      </c>
      <c r="AD339" s="47"/>
      <c r="AE339" s="47"/>
      <c r="AF339" s="319"/>
      <c r="AG339" s="328">
        <f>AF339</f>
        <v>0</v>
      </c>
      <c r="AI339" s="255"/>
      <c r="AJ339" s="180"/>
      <c r="AK339" s="193"/>
      <c r="AL339" s="193"/>
      <c r="AM339" s="193"/>
      <c r="AN339" s="510"/>
      <c r="AO339" s="193"/>
      <c r="AP339" s="193"/>
      <c r="AQ339" s="367"/>
      <c r="AR339" s="180"/>
      <c r="AS339" s="180"/>
      <c r="AT339" s="180"/>
      <c r="AU339" s="180"/>
      <c r="AV339" s="180"/>
      <c r="AW339" s="180"/>
    </row>
    <row r="340" spans="1:50" s="4" customFormat="1">
      <c r="A340" s="180"/>
      <c r="B340" s="639" t="s">
        <v>975</v>
      </c>
      <c r="C340" s="643"/>
      <c r="D340" s="519"/>
      <c r="E340" s="520"/>
      <c r="F340" s="647"/>
      <c r="G340" s="521"/>
      <c r="H340" s="519"/>
      <c r="I340" s="519"/>
      <c r="J340" s="520"/>
      <c r="K340" s="647"/>
      <c r="L340" s="521"/>
      <c r="M340" s="519"/>
      <c r="N340" s="519"/>
      <c r="O340" s="520"/>
      <c r="P340" s="647"/>
      <c r="Q340" s="521"/>
      <c r="R340" s="519"/>
      <c r="S340" s="519"/>
      <c r="T340" s="520"/>
      <c r="U340" s="647"/>
      <c r="V340" s="521"/>
      <c r="W340" s="519"/>
      <c r="X340" s="519"/>
      <c r="Y340" s="520"/>
      <c r="Z340" s="646"/>
      <c r="AA340" s="328">
        <f>(E340+J340+O340+T340+Y340)</f>
        <v>0</v>
      </c>
      <c r="AB340" s="298">
        <f>Z340+U340+P340+K340+F340</f>
        <v>0</v>
      </c>
      <c r="AD340" s="47"/>
      <c r="AE340" s="47"/>
      <c r="AF340" s="319"/>
      <c r="AG340" s="328">
        <f>AF340</f>
        <v>0</v>
      </c>
      <c r="AI340" s="255"/>
      <c r="AJ340" s="180"/>
      <c r="AK340" s="193"/>
      <c r="AL340" s="193"/>
      <c r="AM340" s="193"/>
      <c r="AN340" s="193"/>
      <c r="AO340" s="193"/>
      <c r="AP340" s="193"/>
      <c r="AQ340" s="367"/>
      <c r="AR340" s="180"/>
      <c r="AS340" s="180"/>
      <c r="AT340" s="180"/>
      <c r="AU340" s="180"/>
      <c r="AV340" s="180"/>
      <c r="AW340" s="180"/>
    </row>
    <row r="341" spans="1:50" s="4" customFormat="1">
      <c r="A341" s="180"/>
      <c r="B341" s="639" t="s">
        <v>533</v>
      </c>
      <c r="C341" s="643"/>
      <c r="D341" s="519"/>
      <c r="E341" s="520"/>
      <c r="F341" s="647"/>
      <c r="G341" s="521"/>
      <c r="H341" s="519"/>
      <c r="I341" s="519"/>
      <c r="J341" s="520"/>
      <c r="K341" s="647"/>
      <c r="L341" s="521"/>
      <c r="M341" s="519"/>
      <c r="N341" s="519"/>
      <c r="O341" s="520"/>
      <c r="P341" s="647"/>
      <c r="Q341" s="521"/>
      <c r="R341" s="519"/>
      <c r="S341" s="519"/>
      <c r="T341" s="520"/>
      <c r="U341" s="647"/>
      <c r="V341" s="521"/>
      <c r="W341" s="519"/>
      <c r="X341" s="519"/>
      <c r="Y341" s="520"/>
      <c r="Z341" s="646"/>
      <c r="AA341" s="328">
        <f t="shared" ref="AA341:AA354" si="51">(E341+J341+O341+T341+Y341)</f>
        <v>0</v>
      </c>
      <c r="AB341" s="298">
        <f t="shared" ref="AB341:AB354" si="52">Z341+U341+P341+K341+F341</f>
        <v>0</v>
      </c>
      <c r="AD341" s="47"/>
      <c r="AE341" s="47"/>
      <c r="AF341" s="319"/>
      <c r="AG341" s="328">
        <f t="shared" ref="AG341:AG354" si="53">AF341</f>
        <v>0</v>
      </c>
      <c r="AI341" s="255"/>
      <c r="AJ341" s="180"/>
      <c r="AK341" s="193"/>
      <c r="AL341" s="193"/>
      <c r="AM341" s="193"/>
      <c r="AN341" s="193"/>
      <c r="AO341" s="193"/>
      <c r="AP341" s="193"/>
      <c r="AQ341" s="180"/>
      <c r="AR341" s="180"/>
      <c r="AS341" s="180"/>
      <c r="AT341" s="180"/>
      <c r="AU341" s="180"/>
      <c r="AV341" s="180"/>
      <c r="AW341" s="180"/>
    </row>
    <row r="342" spans="1:50" s="4" customFormat="1">
      <c r="A342" s="180"/>
      <c r="B342" s="502" t="s">
        <v>483</v>
      </c>
      <c r="C342" s="5"/>
      <c r="D342" s="5"/>
      <c r="E342" s="319"/>
      <c r="F342" s="646"/>
      <c r="H342" s="5"/>
      <c r="I342" s="5"/>
      <c r="J342" s="319"/>
      <c r="K342" s="646"/>
      <c r="M342" s="5"/>
      <c r="N342" s="5"/>
      <c r="O342" s="319"/>
      <c r="P342" s="646"/>
      <c r="R342" s="5"/>
      <c r="S342" s="5"/>
      <c r="T342" s="319"/>
      <c r="U342" s="646"/>
      <c r="W342" s="5"/>
      <c r="X342" s="5"/>
      <c r="Y342" s="319"/>
      <c r="Z342" s="646"/>
      <c r="AA342" s="328">
        <f t="shared" si="51"/>
        <v>0</v>
      </c>
      <c r="AB342" s="298">
        <f t="shared" si="52"/>
        <v>0</v>
      </c>
      <c r="AD342" s="47"/>
      <c r="AE342" s="47"/>
      <c r="AF342" s="319"/>
      <c r="AG342" s="328">
        <f t="shared" si="53"/>
        <v>0</v>
      </c>
      <c r="AI342" s="255"/>
      <c r="AJ342" s="180"/>
      <c r="AK342" s="193"/>
      <c r="AL342" s="193"/>
      <c r="AM342" s="193"/>
      <c r="AN342" s="193"/>
      <c r="AO342" s="193"/>
      <c r="AP342" s="193"/>
      <c r="AQ342" s="180"/>
      <c r="AR342" s="180"/>
      <c r="AS342" s="180"/>
      <c r="AT342" s="180"/>
      <c r="AU342" s="180"/>
      <c r="AV342" s="180"/>
      <c r="AW342" s="180"/>
    </row>
    <row r="343" spans="1:50" s="4" customFormat="1">
      <c r="A343" s="180"/>
      <c r="B343" s="502" t="s">
        <v>483</v>
      </c>
      <c r="C343" s="47"/>
      <c r="D343" s="47"/>
      <c r="E343" s="319">
        <v>8</v>
      </c>
      <c r="F343" s="646">
        <v>1</v>
      </c>
      <c r="H343" s="47"/>
      <c r="I343" s="47"/>
      <c r="J343" s="319">
        <v>8</v>
      </c>
      <c r="K343" s="646">
        <v>4</v>
      </c>
      <c r="M343" s="47"/>
      <c r="N343" s="47"/>
      <c r="O343" s="319">
        <v>8</v>
      </c>
      <c r="P343" s="646"/>
      <c r="R343" s="47"/>
      <c r="S343" s="47"/>
      <c r="T343" s="319">
        <v>8</v>
      </c>
      <c r="U343" s="646">
        <v>2</v>
      </c>
      <c r="W343" s="47"/>
      <c r="X343" s="47"/>
      <c r="Y343" s="319">
        <v>8</v>
      </c>
      <c r="Z343" s="646">
        <v>1</v>
      </c>
      <c r="AA343" s="328">
        <f t="shared" si="51"/>
        <v>40</v>
      </c>
      <c r="AB343" s="298">
        <f t="shared" si="52"/>
        <v>8</v>
      </c>
      <c r="AD343" s="47"/>
      <c r="AE343" s="47"/>
      <c r="AF343" s="319"/>
      <c r="AG343" s="328">
        <f t="shared" si="53"/>
        <v>0</v>
      </c>
      <c r="AI343" s="255"/>
      <c r="AJ343" s="180"/>
      <c r="AK343" s="193"/>
      <c r="AL343" s="193"/>
      <c r="AM343" s="193"/>
      <c r="AN343" s="193"/>
      <c r="AO343" s="193"/>
      <c r="AP343" s="193"/>
      <c r="AQ343" s="180"/>
      <c r="AR343" s="180"/>
      <c r="AS343" s="180"/>
      <c r="AT343" s="180"/>
      <c r="AU343" s="180"/>
      <c r="AV343" s="180"/>
      <c r="AW343" s="180"/>
    </row>
    <row r="344" spans="1:50" s="4" customFormat="1">
      <c r="A344" s="180"/>
      <c r="B344" s="502" t="s">
        <v>484</v>
      </c>
      <c r="C344" s="47"/>
      <c r="D344" s="47"/>
      <c r="E344" s="319">
        <v>8</v>
      </c>
      <c r="F344" s="646">
        <v>1</v>
      </c>
      <c r="H344" s="47"/>
      <c r="I344" s="47"/>
      <c r="J344" s="319">
        <v>8</v>
      </c>
      <c r="K344" s="646">
        <v>4</v>
      </c>
      <c r="M344" s="47"/>
      <c r="N344" s="47"/>
      <c r="O344" s="319">
        <v>8</v>
      </c>
      <c r="P344" s="646"/>
      <c r="R344" s="47"/>
      <c r="S344" s="47"/>
      <c r="T344" s="319">
        <v>8</v>
      </c>
      <c r="U344" s="646">
        <v>2</v>
      </c>
      <c r="W344" s="47"/>
      <c r="X344" s="47"/>
      <c r="Y344" s="319">
        <v>8</v>
      </c>
      <c r="Z344" s="646">
        <v>1</v>
      </c>
      <c r="AA344" s="328">
        <f t="shared" si="51"/>
        <v>40</v>
      </c>
      <c r="AB344" s="298">
        <f t="shared" si="52"/>
        <v>8</v>
      </c>
      <c r="AD344" s="47"/>
      <c r="AE344" s="47"/>
      <c r="AF344" s="319"/>
      <c r="AG344" s="328">
        <f t="shared" si="53"/>
        <v>0</v>
      </c>
      <c r="AI344" s="255"/>
      <c r="AJ344" s="180"/>
      <c r="AK344" s="193"/>
      <c r="AL344" s="193"/>
      <c r="AM344" s="193"/>
      <c r="AN344" s="193"/>
      <c r="AO344" s="193"/>
      <c r="AP344" s="193"/>
      <c r="AQ344" s="180"/>
      <c r="AR344" s="180"/>
      <c r="AS344" s="180"/>
      <c r="AT344" s="180"/>
      <c r="AU344" s="180"/>
      <c r="AV344" s="180"/>
      <c r="AW344" s="180"/>
    </row>
    <row r="345" spans="1:50" s="4" customFormat="1">
      <c r="A345" s="180"/>
      <c r="B345" s="502" t="s">
        <v>485</v>
      </c>
      <c r="C345" s="47"/>
      <c r="D345" s="47"/>
      <c r="E345" s="319">
        <v>8</v>
      </c>
      <c r="F345" s="646">
        <v>1</v>
      </c>
      <c r="H345" s="47"/>
      <c r="I345" s="47"/>
      <c r="J345" s="319">
        <v>8</v>
      </c>
      <c r="K345" s="646">
        <v>4</v>
      </c>
      <c r="M345" s="47"/>
      <c r="N345" s="47"/>
      <c r="O345" s="319">
        <v>8</v>
      </c>
      <c r="P345" s="646"/>
      <c r="R345" s="47"/>
      <c r="S345" s="47"/>
      <c r="T345" s="319">
        <v>8</v>
      </c>
      <c r="U345" s="646">
        <v>2</v>
      </c>
      <c r="W345" s="47"/>
      <c r="X345" s="47"/>
      <c r="Y345" s="319">
        <v>8</v>
      </c>
      <c r="Z345" s="646">
        <v>1</v>
      </c>
      <c r="AA345" s="328">
        <f t="shared" si="51"/>
        <v>40</v>
      </c>
      <c r="AB345" s="298">
        <f t="shared" si="52"/>
        <v>8</v>
      </c>
      <c r="AD345" s="47"/>
      <c r="AE345" s="47"/>
      <c r="AF345" s="319"/>
      <c r="AG345" s="328">
        <f t="shared" si="53"/>
        <v>0</v>
      </c>
      <c r="AI345" s="255"/>
      <c r="AJ345" s="180"/>
      <c r="AK345" s="193"/>
      <c r="AL345" s="193"/>
      <c r="AM345" s="193"/>
      <c r="AN345" s="193"/>
      <c r="AO345" s="193"/>
      <c r="AP345" s="193"/>
      <c r="AQ345" s="180"/>
      <c r="AR345" s="180"/>
      <c r="AS345" s="180"/>
      <c r="AT345" s="180"/>
      <c r="AU345" s="180"/>
      <c r="AV345" s="180"/>
      <c r="AW345" s="180"/>
    </row>
    <row r="346" spans="1:50" s="4" customFormat="1">
      <c r="A346" s="180"/>
      <c r="B346" s="502" t="s">
        <v>486</v>
      </c>
      <c r="C346" s="5"/>
      <c r="D346" s="5"/>
      <c r="E346" s="319"/>
      <c r="F346" s="646"/>
      <c r="H346" s="5"/>
      <c r="I346" s="5"/>
      <c r="J346" s="319"/>
      <c r="K346" s="646"/>
      <c r="M346" s="5"/>
      <c r="N346" s="5"/>
      <c r="O346" s="319"/>
      <c r="P346" s="646"/>
      <c r="R346" s="5"/>
      <c r="S346" s="5"/>
      <c r="T346" s="319"/>
      <c r="U346" s="646"/>
      <c r="W346" s="5"/>
      <c r="X346" s="5"/>
      <c r="Y346" s="319"/>
      <c r="Z346" s="646"/>
      <c r="AA346" s="328">
        <f t="shared" si="51"/>
        <v>0</v>
      </c>
      <c r="AB346" s="298">
        <f t="shared" si="52"/>
        <v>0</v>
      </c>
      <c r="AD346" s="47"/>
      <c r="AE346" s="47"/>
      <c r="AF346" s="319"/>
      <c r="AG346" s="328">
        <f t="shared" si="53"/>
        <v>0</v>
      </c>
      <c r="AI346" s="255"/>
      <c r="AJ346" s="180"/>
      <c r="AK346" s="193"/>
      <c r="AL346" s="193"/>
      <c r="AM346" s="193"/>
      <c r="AN346" s="193"/>
      <c r="AO346" s="193"/>
      <c r="AP346" s="193"/>
      <c r="AQ346" s="180"/>
      <c r="AR346" s="180"/>
      <c r="AS346" s="180"/>
      <c r="AT346" s="180"/>
      <c r="AU346" s="180"/>
      <c r="AV346" s="180"/>
      <c r="AW346" s="180"/>
    </row>
    <row r="347" spans="1:50" s="4" customFormat="1">
      <c r="A347" s="180"/>
      <c r="B347" s="63" t="s">
        <v>63</v>
      </c>
      <c r="C347" s="663"/>
      <c r="D347" s="663"/>
      <c r="E347" s="319">
        <v>8</v>
      </c>
      <c r="F347" s="646"/>
      <c r="H347" s="663"/>
      <c r="I347" s="663"/>
      <c r="J347" s="319">
        <v>8</v>
      </c>
      <c r="K347" s="646">
        <v>0.5</v>
      </c>
      <c r="M347" s="47"/>
      <c r="N347" s="47"/>
      <c r="O347" s="319">
        <v>8</v>
      </c>
      <c r="P347" s="646">
        <v>0.5</v>
      </c>
      <c r="R347" s="663"/>
      <c r="S347" s="663"/>
      <c r="T347" s="319">
        <v>8</v>
      </c>
      <c r="U347" s="646">
        <v>0.5</v>
      </c>
      <c r="W347" s="663"/>
      <c r="X347" s="663"/>
      <c r="Y347" s="319">
        <v>8</v>
      </c>
      <c r="Z347" s="646">
        <v>0.5</v>
      </c>
      <c r="AA347" s="328">
        <f t="shared" si="51"/>
        <v>40</v>
      </c>
      <c r="AB347" s="298">
        <f t="shared" si="52"/>
        <v>2</v>
      </c>
      <c r="AD347" s="47"/>
      <c r="AE347" s="47"/>
      <c r="AF347" s="319"/>
      <c r="AG347" s="328">
        <f t="shared" si="53"/>
        <v>0</v>
      </c>
      <c r="AI347" s="255"/>
      <c r="AJ347" s="180"/>
      <c r="AK347" s="193"/>
      <c r="AL347" s="193"/>
      <c r="AM347" s="193"/>
      <c r="AN347" s="193"/>
      <c r="AO347" s="193"/>
      <c r="AP347" s="193"/>
      <c r="AQ347" s="180"/>
      <c r="AR347" s="180"/>
      <c r="AS347" s="180"/>
      <c r="AT347" s="180"/>
      <c r="AU347" s="180"/>
      <c r="AV347" s="180"/>
      <c r="AW347" s="180"/>
    </row>
    <row r="348" spans="1:50" s="4" customFormat="1">
      <c r="A348" s="180"/>
      <c r="B348" s="267" t="s">
        <v>358</v>
      </c>
      <c r="C348" s="663"/>
      <c r="D348" s="663"/>
      <c r="E348" s="319">
        <v>6</v>
      </c>
      <c r="F348" s="646"/>
      <c r="G348" s="438"/>
      <c r="H348" s="663"/>
      <c r="I348" s="663"/>
      <c r="J348" s="319">
        <v>6</v>
      </c>
      <c r="K348" s="646"/>
      <c r="L348" s="438"/>
      <c r="M348" s="663"/>
      <c r="N348" s="663"/>
      <c r="O348" s="319">
        <v>6</v>
      </c>
      <c r="P348" s="646"/>
      <c r="Q348" s="438"/>
      <c r="R348" s="663"/>
      <c r="S348" s="663"/>
      <c r="T348" s="319">
        <v>8</v>
      </c>
      <c r="U348" s="646"/>
      <c r="V348" s="438"/>
      <c r="W348" s="663"/>
      <c r="X348" s="663"/>
      <c r="Y348" s="319">
        <v>6</v>
      </c>
      <c r="Z348" s="646"/>
      <c r="AA348" s="328">
        <f t="shared" si="51"/>
        <v>32</v>
      </c>
      <c r="AB348" s="298">
        <f t="shared" si="52"/>
        <v>0</v>
      </c>
      <c r="AD348" s="47"/>
      <c r="AE348" s="47"/>
      <c r="AF348" s="319"/>
      <c r="AG348" s="328">
        <f t="shared" si="53"/>
        <v>0</v>
      </c>
      <c r="AI348" s="255"/>
      <c r="AJ348" s="180"/>
      <c r="AK348" s="193"/>
      <c r="AL348" s="193"/>
      <c r="AM348" s="193"/>
      <c r="AN348" s="193"/>
      <c r="AO348" s="193"/>
      <c r="AP348" s="193"/>
      <c r="AQ348" s="180"/>
      <c r="AR348" s="180"/>
      <c r="AS348" s="180"/>
      <c r="AT348" s="180"/>
      <c r="AU348" s="180"/>
      <c r="AV348" s="180"/>
      <c r="AW348" s="180"/>
    </row>
    <row r="349" spans="1:50" s="193" customFormat="1">
      <c r="A349" s="180"/>
      <c r="B349" s="267" t="s">
        <v>991</v>
      </c>
      <c r="C349" s="5"/>
      <c r="D349" s="5"/>
      <c r="E349" s="319"/>
      <c r="F349" s="646"/>
      <c r="G349" s="438"/>
      <c r="H349" s="5"/>
      <c r="I349" s="5"/>
      <c r="J349" s="319"/>
      <c r="K349" s="646"/>
      <c r="L349" s="438"/>
      <c r="M349" s="5"/>
      <c r="N349" s="5"/>
      <c r="O349" s="319"/>
      <c r="P349" s="646"/>
      <c r="Q349" s="438"/>
      <c r="R349" s="5"/>
      <c r="S349" s="5"/>
      <c r="T349" s="319">
        <v>4</v>
      </c>
      <c r="U349" s="646"/>
      <c r="V349" s="438"/>
      <c r="W349" s="5"/>
      <c r="X349" s="5"/>
      <c r="Y349" s="319"/>
      <c r="Z349" s="646"/>
      <c r="AA349" s="328">
        <f t="shared" si="51"/>
        <v>4</v>
      </c>
      <c r="AB349" s="298">
        <f t="shared" si="52"/>
        <v>0</v>
      </c>
      <c r="AC349" s="4"/>
      <c r="AD349" s="47"/>
      <c r="AE349" s="47"/>
      <c r="AF349" s="319"/>
      <c r="AG349" s="328">
        <f t="shared" si="53"/>
        <v>0</v>
      </c>
      <c r="AH349" s="4"/>
      <c r="AI349" s="255"/>
      <c r="AJ349" s="180"/>
      <c r="AQ349" s="180"/>
      <c r="AR349" s="180"/>
      <c r="AS349" s="180"/>
      <c r="AT349" s="180"/>
      <c r="AU349" s="180"/>
      <c r="AV349" s="180"/>
      <c r="AW349" s="180"/>
      <c r="AX349" s="180"/>
    </row>
    <row r="350" spans="1:50" s="193" customFormat="1">
      <c r="A350" s="180"/>
      <c r="B350" s="267" t="s">
        <v>411</v>
      </c>
      <c r="C350" s="5"/>
      <c r="D350" s="5"/>
      <c r="E350" s="319"/>
      <c r="F350" s="646"/>
      <c r="G350" s="438"/>
      <c r="H350" s="5"/>
      <c r="I350" s="5"/>
      <c r="J350" s="319"/>
      <c r="K350" s="646"/>
      <c r="L350" s="438"/>
      <c r="M350" s="5"/>
      <c r="N350" s="5"/>
      <c r="O350" s="319"/>
      <c r="P350" s="646"/>
      <c r="Q350" s="438"/>
      <c r="R350" s="5"/>
      <c r="S350" s="5"/>
      <c r="T350" s="319"/>
      <c r="U350" s="646"/>
      <c r="V350" s="438"/>
      <c r="W350" s="5"/>
      <c r="X350" s="5"/>
      <c r="Y350" s="319"/>
      <c r="Z350" s="646"/>
      <c r="AA350" s="328">
        <f t="shared" si="51"/>
        <v>0</v>
      </c>
      <c r="AB350" s="298">
        <f t="shared" si="52"/>
        <v>0</v>
      </c>
      <c r="AC350" s="4"/>
      <c r="AD350" s="47"/>
      <c r="AE350" s="47"/>
      <c r="AF350" s="319"/>
      <c r="AG350" s="328">
        <f t="shared" si="53"/>
        <v>0</v>
      </c>
      <c r="AH350" s="4"/>
      <c r="AI350" s="255"/>
      <c r="AJ350" s="180"/>
      <c r="AQ350" s="180"/>
      <c r="AR350" s="180"/>
      <c r="AS350" s="180"/>
      <c r="AT350" s="180"/>
      <c r="AU350" s="180"/>
      <c r="AV350" s="180"/>
      <c r="AW350" s="180"/>
      <c r="AX350" s="180"/>
    </row>
    <row r="351" spans="1:50" s="193" customFormat="1">
      <c r="A351" s="180"/>
      <c r="B351" s="267" t="s">
        <v>361</v>
      </c>
      <c r="C351" s="5"/>
      <c r="D351" s="5"/>
      <c r="E351" s="319"/>
      <c r="F351" s="646"/>
      <c r="G351" s="438"/>
      <c r="H351" s="5"/>
      <c r="I351" s="5"/>
      <c r="J351" s="319"/>
      <c r="K351" s="646"/>
      <c r="L351" s="438"/>
      <c r="M351" s="5"/>
      <c r="N351" s="5"/>
      <c r="O351" s="319"/>
      <c r="P351" s="646"/>
      <c r="Q351" s="438"/>
      <c r="R351" s="5"/>
      <c r="S351" s="5"/>
      <c r="T351" s="319"/>
      <c r="U351" s="646"/>
      <c r="V351" s="438"/>
      <c r="W351" s="5"/>
      <c r="X351" s="5"/>
      <c r="Y351" s="319"/>
      <c r="Z351" s="646"/>
      <c r="AA351" s="328">
        <f t="shared" si="51"/>
        <v>0</v>
      </c>
      <c r="AB351" s="298">
        <f t="shared" si="52"/>
        <v>0</v>
      </c>
      <c r="AC351" s="4"/>
      <c r="AD351" s="47"/>
      <c r="AE351" s="47"/>
      <c r="AF351" s="319"/>
      <c r="AG351" s="328">
        <f t="shared" si="53"/>
        <v>0</v>
      </c>
      <c r="AH351" s="4"/>
      <c r="AI351" s="255"/>
      <c r="AJ351" s="180"/>
      <c r="AQ351" s="180"/>
      <c r="AR351" s="180"/>
      <c r="AS351" s="180"/>
      <c r="AT351" s="180"/>
      <c r="AU351" s="180"/>
      <c r="AV351" s="180"/>
      <c r="AW351" s="180"/>
      <c r="AX351" s="180"/>
    </row>
    <row r="352" spans="1:50" s="193" customFormat="1">
      <c r="A352" s="180"/>
      <c r="B352" s="267" t="s">
        <v>362</v>
      </c>
      <c r="C352" s="47"/>
      <c r="D352" s="47"/>
      <c r="E352" s="319">
        <v>2</v>
      </c>
      <c r="F352" s="646"/>
      <c r="G352" s="438"/>
      <c r="H352" s="47"/>
      <c r="I352" s="47"/>
      <c r="J352" s="319">
        <v>4</v>
      </c>
      <c r="K352" s="646"/>
      <c r="L352" s="438"/>
      <c r="M352" s="47"/>
      <c r="N352" s="47"/>
      <c r="O352" s="319">
        <v>4</v>
      </c>
      <c r="P352" s="646"/>
      <c r="Q352" s="438"/>
      <c r="R352" s="47"/>
      <c r="S352" s="47"/>
      <c r="T352" s="319">
        <v>4</v>
      </c>
      <c r="U352" s="646"/>
      <c r="V352" s="438"/>
      <c r="W352" s="5"/>
      <c r="X352" s="5"/>
      <c r="Y352" s="319">
        <v>4</v>
      </c>
      <c r="Z352" s="646"/>
      <c r="AA352" s="328">
        <f t="shared" si="51"/>
        <v>18</v>
      </c>
      <c r="AB352" s="298">
        <f t="shared" si="52"/>
        <v>0</v>
      </c>
      <c r="AC352" s="4"/>
      <c r="AD352" s="47"/>
      <c r="AE352" s="47"/>
      <c r="AF352" s="319"/>
      <c r="AG352" s="328">
        <f t="shared" si="53"/>
        <v>0</v>
      </c>
      <c r="AH352" s="4"/>
      <c r="AI352" s="255"/>
      <c r="AJ352" s="180"/>
      <c r="AQ352" s="180"/>
      <c r="AR352" s="180"/>
      <c r="AS352" s="180"/>
      <c r="AT352" s="180"/>
      <c r="AU352" s="180"/>
      <c r="AV352" s="180"/>
      <c r="AW352" s="180"/>
      <c r="AX352" s="180"/>
    </row>
    <row r="353" spans="1:50" s="193" customFormat="1">
      <c r="A353" s="180"/>
      <c r="B353" s="437" t="s">
        <v>355</v>
      </c>
      <c r="C353" s="5"/>
      <c r="D353" s="5"/>
      <c r="E353" s="319">
        <v>7.7</v>
      </c>
      <c r="F353" s="646"/>
      <c r="G353" s="438"/>
      <c r="H353" s="5"/>
      <c r="I353" s="5"/>
      <c r="J353" s="319">
        <v>7.7</v>
      </c>
      <c r="K353" s="646"/>
      <c r="L353" s="438"/>
      <c r="M353" s="5"/>
      <c r="N353" s="5"/>
      <c r="O353" s="319">
        <v>5.0999999999999996</v>
      </c>
      <c r="P353" s="646"/>
      <c r="Q353" s="438"/>
      <c r="R353" s="5"/>
      <c r="S353" s="5"/>
      <c r="T353" s="319">
        <v>13.8</v>
      </c>
      <c r="U353" s="646"/>
      <c r="V353" s="438"/>
      <c r="W353" s="5"/>
      <c r="X353" s="5"/>
      <c r="Y353" s="319">
        <v>7.7</v>
      </c>
      <c r="Z353" s="646"/>
      <c r="AA353" s="328">
        <f t="shared" si="51"/>
        <v>42</v>
      </c>
      <c r="AB353" s="298">
        <f t="shared" si="52"/>
        <v>0</v>
      </c>
      <c r="AC353" s="4"/>
      <c r="AD353" s="47"/>
      <c r="AE353" s="47"/>
      <c r="AF353" s="319"/>
      <c r="AG353" s="328">
        <f t="shared" si="53"/>
        <v>0</v>
      </c>
      <c r="AH353" s="4"/>
      <c r="AI353" s="255"/>
      <c r="AJ353" s="180"/>
      <c r="AQ353" s="180"/>
      <c r="AR353" s="180"/>
      <c r="AS353" s="180"/>
      <c r="AT353" s="180"/>
      <c r="AU353" s="180"/>
      <c r="AV353" s="180"/>
      <c r="AW353" s="180"/>
      <c r="AX353" s="180"/>
    </row>
    <row r="354" spans="1:50" s="193" customFormat="1">
      <c r="A354" s="180"/>
      <c r="B354" s="437" t="s">
        <v>356</v>
      </c>
      <c r="C354" s="5"/>
      <c r="D354" s="5"/>
      <c r="E354" s="319"/>
      <c r="F354" s="646"/>
      <c r="G354" s="438"/>
      <c r="H354" s="5"/>
      <c r="I354" s="5"/>
      <c r="J354" s="319">
        <v>65.3</v>
      </c>
      <c r="K354" s="646"/>
      <c r="L354" s="438"/>
      <c r="M354" s="5"/>
      <c r="N354" s="5"/>
      <c r="O354" s="319"/>
      <c r="P354" s="646"/>
      <c r="Q354" s="438"/>
      <c r="R354" s="5"/>
      <c r="S354" s="5"/>
      <c r="T354" s="319"/>
      <c r="U354" s="646"/>
      <c r="V354" s="438"/>
      <c r="W354" s="5"/>
      <c r="X354" s="5"/>
      <c r="Y354" s="319">
        <v>6.1</v>
      </c>
      <c r="Z354" s="646"/>
      <c r="AA354" s="328">
        <f t="shared" si="51"/>
        <v>71.399999999999991</v>
      </c>
      <c r="AB354" s="298">
        <f t="shared" si="52"/>
        <v>0</v>
      </c>
      <c r="AC354" s="4"/>
      <c r="AD354" s="47"/>
      <c r="AE354" s="47"/>
      <c r="AF354" s="319"/>
      <c r="AG354" s="328">
        <f t="shared" si="53"/>
        <v>0</v>
      </c>
      <c r="AH354" s="4"/>
      <c r="AI354" s="255"/>
      <c r="AJ354" s="180"/>
      <c r="AQ354" s="180"/>
      <c r="AR354" s="180"/>
      <c r="AS354" s="180"/>
      <c r="AT354" s="180"/>
      <c r="AU354" s="180"/>
      <c r="AV354" s="180"/>
      <c r="AW354" s="180"/>
      <c r="AX354" s="180"/>
    </row>
    <row r="355" spans="1:50" s="193" customFormat="1">
      <c r="A355" s="180"/>
      <c r="B355" s="64" t="s">
        <v>61</v>
      </c>
      <c r="C355" s="31"/>
      <c r="D355" s="31"/>
      <c r="E355" s="439">
        <f>SUM(E321:E354)</f>
        <v>103.7</v>
      </c>
      <c r="F355" s="646">
        <f>SUM(F321:F354)</f>
        <v>6.75</v>
      </c>
      <c r="G355" s="31"/>
      <c r="H355" s="31"/>
      <c r="I355" s="31"/>
      <c r="J355" s="439">
        <f>SUM(J321:J354)</f>
        <v>162.5</v>
      </c>
      <c r="K355" s="646">
        <f>SUM(K321:K354)</f>
        <v>12.5</v>
      </c>
      <c r="L355" s="31"/>
      <c r="M355" s="31"/>
      <c r="N355" s="31"/>
      <c r="O355" s="439">
        <f>SUM(O321:O354)</f>
        <v>71.099999999999994</v>
      </c>
      <c r="P355" s="646">
        <f>SUM(P321:P354)</f>
        <v>0.5</v>
      </c>
      <c r="Q355" s="31"/>
      <c r="R355" s="31"/>
      <c r="S355" s="31"/>
      <c r="T355" s="439">
        <f>SUM(T321:T354)</f>
        <v>96.8</v>
      </c>
      <c r="U355" s="646">
        <f>SUM(U321:U354)</f>
        <v>7.5</v>
      </c>
      <c r="V355" s="31"/>
      <c r="W355" s="31"/>
      <c r="X355" s="31"/>
      <c r="Y355" s="439">
        <f>SUM(Y321:Y354)</f>
        <v>159.79999999999998</v>
      </c>
      <c r="Z355" s="646">
        <f>SUM(Z321:Z354)</f>
        <v>7</v>
      </c>
      <c r="AA355" s="370">
        <f>SUM(AA321:AA354)</f>
        <v>593.9</v>
      </c>
      <c r="AB355" s="370">
        <f>SUM(AB321:AB354)</f>
        <v>34.25</v>
      </c>
      <c r="AC355" s="4"/>
      <c r="AD355" s="64"/>
      <c r="AE355" s="64"/>
      <c r="AF355" s="370">
        <f>SUM(AF321:AF354)</f>
        <v>0</v>
      </c>
      <c r="AG355" s="370">
        <f>SUM(AG321:AG354)</f>
        <v>0</v>
      </c>
      <c r="AH355" s="4"/>
      <c r="AI355" s="255"/>
      <c r="AJ355" s="180"/>
      <c r="AK355" s="407"/>
      <c r="AQ355" s="180"/>
      <c r="AR355" s="180"/>
      <c r="AS355" s="180"/>
      <c r="AT355" s="180"/>
      <c r="AU355" s="180"/>
      <c r="AV355" s="180"/>
      <c r="AW355" s="180"/>
      <c r="AX355" s="180"/>
    </row>
    <row r="356" spans="1:50" s="193" customFormat="1">
      <c r="A356" s="180"/>
      <c r="B356" s="63" t="s">
        <v>64</v>
      </c>
      <c r="C356" s="47"/>
      <c r="D356" s="47"/>
      <c r="E356" s="319">
        <v>8</v>
      </c>
      <c r="F356" s="346"/>
      <c r="G356" s="613"/>
      <c r="H356" s="47"/>
      <c r="I356" s="47"/>
      <c r="J356" s="319">
        <v>8</v>
      </c>
      <c r="K356" s="346"/>
      <c r="L356" s="60"/>
      <c r="M356" s="47"/>
      <c r="N356" s="47"/>
      <c r="O356" s="319">
        <v>8</v>
      </c>
      <c r="P356" s="346"/>
      <c r="Q356" s="60"/>
      <c r="R356" s="47"/>
      <c r="S356" s="47"/>
      <c r="T356" s="319">
        <v>0</v>
      </c>
      <c r="U356" s="346"/>
      <c r="V356" s="60"/>
      <c r="W356" s="47"/>
      <c r="X356" s="47"/>
      <c r="Y356" s="319">
        <v>0</v>
      </c>
      <c r="Z356" s="346"/>
      <c r="AA356" s="28">
        <f>SUM(E356+J356+O356+T356+Y356)</f>
        <v>24</v>
      </c>
      <c r="AB356" s="296">
        <f>Z356+U356+P356+K356+F356</f>
        <v>0</v>
      </c>
      <c r="AC356" s="4"/>
      <c r="AD356" s="47" t="s">
        <v>29</v>
      </c>
      <c r="AE356" s="47" t="s">
        <v>29</v>
      </c>
      <c r="AF356" s="319"/>
      <c r="AG356" s="29">
        <f>AF356</f>
        <v>0</v>
      </c>
      <c r="AH356" s="4"/>
      <c r="AI356" s="255"/>
      <c r="AJ356" s="180"/>
      <c r="AK356" s="407"/>
      <c r="AQ356" s="180"/>
      <c r="AR356" s="180"/>
      <c r="AS356" s="180"/>
      <c r="AT356" s="180"/>
      <c r="AU356" s="180"/>
      <c r="AV356" s="180"/>
      <c r="AW356" s="180"/>
      <c r="AX356" s="180"/>
    </row>
    <row r="357" spans="1:50" s="193" customFormat="1">
      <c r="A357" s="180"/>
      <c r="B357" s="71" t="s">
        <v>66</v>
      </c>
      <c r="C357" s="371"/>
      <c r="D357" s="371"/>
      <c r="E357" s="71"/>
      <c r="F357" s="613"/>
      <c r="G357" s="71"/>
      <c r="H357" s="71"/>
      <c r="I357" s="71"/>
      <c r="J357" s="71"/>
      <c r="K357" s="613"/>
      <c r="L357" s="71"/>
      <c r="M357" s="71"/>
      <c r="N357" s="71"/>
      <c r="O357" s="71"/>
      <c r="P357" s="613"/>
      <c r="Q357" s="71"/>
      <c r="R357" s="71"/>
      <c r="S357" s="71"/>
      <c r="T357" s="71"/>
      <c r="U357" s="613"/>
      <c r="V357" s="71"/>
      <c r="W357" s="71"/>
      <c r="X357" s="71"/>
      <c r="Y357" s="71"/>
      <c r="Z357" s="613"/>
      <c r="AA357" s="370">
        <f>SUM(AA356:AA356)</f>
        <v>24</v>
      </c>
      <c r="AB357" s="370">
        <f>SUM(AB356:AB356)</f>
        <v>0</v>
      </c>
      <c r="AC357" s="4"/>
      <c r="AD357" s="180"/>
      <c r="AE357" s="180"/>
      <c r="AF357" s="180"/>
      <c r="AG357" s="370">
        <f>SUM(AG356:AG356)</f>
        <v>0</v>
      </c>
      <c r="AH357" s="4"/>
      <c r="AI357" s="255"/>
      <c r="AJ357" s="180"/>
      <c r="AK357" s="407"/>
      <c r="AQ357" s="180"/>
      <c r="AR357" s="180"/>
      <c r="AS357" s="180"/>
      <c r="AT357" s="180"/>
      <c r="AU357" s="180"/>
      <c r="AV357" s="180"/>
      <c r="AW357" s="180"/>
      <c r="AX357" s="180"/>
    </row>
    <row r="358" spans="1:50" s="193" customFormat="1">
      <c r="A358" s="180"/>
      <c r="B358" s="217" t="s">
        <v>67</v>
      </c>
      <c r="C358" s="207">
        <f>C359+C360</f>
        <v>39</v>
      </c>
      <c r="D358" s="207"/>
      <c r="E358" s="209"/>
      <c r="F358" s="209"/>
      <c r="G358" s="207"/>
      <c r="H358" s="209"/>
      <c r="I358" s="209"/>
      <c r="J358" s="209"/>
      <c r="K358" s="209"/>
      <c r="L358" s="207"/>
      <c r="M358" s="207"/>
      <c r="N358" s="207"/>
      <c r="O358" s="207"/>
      <c r="P358" s="209"/>
      <c r="Q358" s="207"/>
      <c r="R358" s="207"/>
      <c r="S358" s="207"/>
      <c r="T358" s="207"/>
      <c r="U358" s="209"/>
      <c r="V358" s="207"/>
      <c r="W358" s="207"/>
      <c r="X358" s="207"/>
      <c r="Y358" s="210"/>
      <c r="Z358" s="209"/>
      <c r="AA358" s="211"/>
      <c r="AB358" s="209"/>
      <c r="AC358" s="211"/>
      <c r="AD358" s="211"/>
      <c r="AE358" s="211"/>
      <c r="AF358" s="211"/>
      <c r="AG358" s="211"/>
      <c r="AH358" s="4"/>
      <c r="AI358" s="255"/>
      <c r="AJ358" s="180"/>
      <c r="AQ358" s="180"/>
      <c r="AR358" s="180"/>
      <c r="AS358" s="180"/>
      <c r="AT358" s="180"/>
      <c r="AU358" s="180"/>
      <c r="AV358" s="180"/>
      <c r="AW358" s="180"/>
      <c r="AX358" s="180"/>
    </row>
    <row r="359" spans="1:50" s="193" customFormat="1">
      <c r="A359" s="180"/>
      <c r="B359" s="238" t="s">
        <v>68</v>
      </c>
      <c r="C359" s="239"/>
      <c r="D359" s="207"/>
      <c r="E359" s="209"/>
      <c r="F359" s="209"/>
      <c r="G359" s="207"/>
      <c r="H359" s="209"/>
      <c r="I359" s="209"/>
      <c r="J359" s="209"/>
      <c r="K359" s="209"/>
      <c r="L359" s="207"/>
      <c r="M359" s="207"/>
      <c r="N359" s="207"/>
      <c r="O359" s="207"/>
      <c r="P359" s="209"/>
      <c r="Q359" s="207"/>
      <c r="R359" s="207"/>
      <c r="S359" s="207"/>
      <c r="T359" s="207"/>
      <c r="U359" s="209"/>
      <c r="V359" s="207"/>
      <c r="W359" s="207"/>
      <c r="X359" s="207"/>
      <c r="Y359" s="210"/>
      <c r="Z359" s="209"/>
      <c r="AA359" s="211"/>
      <c r="AB359" s="209"/>
      <c r="AC359" s="211"/>
      <c r="AD359" s="211"/>
      <c r="AE359" s="211"/>
      <c r="AF359" s="211"/>
      <c r="AG359" s="211"/>
      <c r="AH359" s="4"/>
      <c r="AI359" s="255"/>
      <c r="AJ359" s="180"/>
      <c r="AQ359" s="180"/>
      <c r="AR359" s="180"/>
      <c r="AS359" s="180"/>
      <c r="AT359" s="180"/>
      <c r="AU359" s="180"/>
      <c r="AV359" s="180"/>
      <c r="AW359" s="180"/>
      <c r="AX359" s="180"/>
    </row>
    <row r="360" spans="1:50" s="193" customFormat="1">
      <c r="A360" s="180"/>
      <c r="B360" s="238" t="s">
        <v>69</v>
      </c>
      <c r="C360" s="239">
        <f>10+7+3+15+4</f>
        <v>39</v>
      </c>
      <c r="D360" s="207"/>
      <c r="E360" s="209"/>
      <c r="F360" s="209"/>
      <c r="G360" s="207"/>
      <c r="H360" s="209"/>
      <c r="I360" s="209"/>
      <c r="J360" s="209"/>
      <c r="K360" s="209"/>
      <c r="L360" s="207"/>
      <c r="M360" s="207"/>
      <c r="N360" s="207"/>
      <c r="O360" s="207"/>
      <c r="P360" s="209"/>
      <c r="Q360" s="207"/>
      <c r="R360" s="207"/>
      <c r="S360" s="207"/>
      <c r="T360" s="207"/>
      <c r="U360" s="209"/>
      <c r="V360" s="207"/>
      <c r="W360" s="207"/>
      <c r="X360" s="207"/>
      <c r="Y360" s="210"/>
      <c r="Z360" s="209"/>
      <c r="AA360" s="211"/>
      <c r="AB360" s="209"/>
      <c r="AC360" s="211"/>
      <c r="AD360" s="211"/>
      <c r="AE360" s="211"/>
      <c r="AF360" s="211"/>
      <c r="AG360" s="211"/>
      <c r="AH360" s="4"/>
      <c r="AI360" s="255"/>
      <c r="AJ360" s="180"/>
      <c r="AQ360" s="180"/>
      <c r="AR360" s="180"/>
      <c r="AS360" s="180"/>
      <c r="AT360" s="180"/>
      <c r="AU360" s="180"/>
      <c r="AV360" s="180"/>
      <c r="AW360" s="180"/>
      <c r="AX360" s="180"/>
    </row>
    <row r="361" spans="1:50" s="4" customFormat="1">
      <c r="A361" s="180"/>
      <c r="B361" s="180"/>
      <c r="C361" s="180"/>
      <c r="D361" s="180"/>
      <c r="F361" s="644"/>
      <c r="H361" s="180"/>
      <c r="I361" s="180"/>
      <c r="K361" s="644"/>
      <c r="M361" s="180"/>
      <c r="N361" s="180"/>
      <c r="P361" s="644"/>
      <c r="R361" s="180"/>
      <c r="S361" s="180"/>
      <c r="U361" s="644"/>
      <c r="W361" s="180"/>
      <c r="X361" s="180"/>
      <c r="Z361" s="644"/>
      <c r="AD361" s="180"/>
      <c r="AE361" s="180"/>
      <c r="AF361" s="180"/>
      <c r="AG361" s="180"/>
      <c r="AI361" s="255"/>
      <c r="AJ361" s="180"/>
      <c r="AK361" s="193"/>
      <c r="AL361" s="193"/>
      <c r="AM361" s="193"/>
      <c r="AN361" s="193"/>
      <c r="AO361" s="193"/>
      <c r="AP361" s="193"/>
      <c r="AQ361" s="180"/>
      <c r="AR361" s="180"/>
      <c r="AS361" s="180"/>
      <c r="AT361" s="180"/>
      <c r="AU361" s="180"/>
      <c r="AV361" s="180"/>
      <c r="AW361" s="180"/>
    </row>
    <row r="362" spans="1:50">
      <c r="A362" s="180"/>
      <c r="B362" s="229"/>
      <c r="C362" s="230"/>
      <c r="D362" s="230"/>
      <c r="E362" s="232"/>
      <c r="F362" s="232"/>
      <c r="G362" s="230"/>
      <c r="H362" s="232"/>
      <c r="I362" s="232"/>
      <c r="J362" s="232"/>
      <c r="K362" s="232"/>
      <c r="L362" s="230"/>
      <c r="M362" s="230"/>
      <c r="N362" s="230"/>
      <c r="O362" s="230"/>
      <c r="P362" s="232"/>
      <c r="Q362" s="230"/>
      <c r="R362" s="230"/>
      <c r="S362" s="230"/>
      <c r="T362" s="230"/>
      <c r="U362" s="232"/>
      <c r="V362" s="230"/>
      <c r="W362" s="230"/>
      <c r="X362" s="230"/>
      <c r="Y362" s="233"/>
      <c r="Z362" s="232"/>
      <c r="AA362" s="234"/>
      <c r="AB362" s="232"/>
      <c r="AC362" s="373"/>
      <c r="AD362" s="236"/>
      <c r="AE362" s="255"/>
      <c r="AF362" s="255"/>
      <c r="AG362" s="255"/>
      <c r="AH362" s="255"/>
      <c r="AJ362" s="255"/>
      <c r="AK362" s="255"/>
      <c r="AL362" s="255"/>
      <c r="AM362" s="255"/>
      <c r="AN362" s="255"/>
      <c r="AO362" s="255"/>
      <c r="AP362" s="255"/>
      <c r="AQ362" s="255"/>
      <c r="AR362" s="255"/>
      <c r="AS362" s="255"/>
      <c r="AT362" s="255"/>
      <c r="AU362" s="255"/>
      <c r="AV362" s="255"/>
      <c r="AW362" s="255"/>
      <c r="AX362" s="180"/>
    </row>
    <row r="363" spans="1:50">
      <c r="B363" s="180"/>
      <c r="E363" s="4"/>
      <c r="F363" s="644"/>
      <c r="G363" s="4"/>
      <c r="J363" s="4"/>
      <c r="K363" s="644"/>
      <c r="L363" s="4"/>
      <c r="O363" s="4"/>
      <c r="P363" s="644"/>
      <c r="T363" s="4"/>
      <c r="U363" s="644"/>
      <c r="Y363" s="4"/>
      <c r="Z363" s="644"/>
      <c r="AA363" s="4"/>
      <c r="AB363" s="4"/>
      <c r="AC363" s="4"/>
      <c r="AK363" s="180"/>
      <c r="AL363" s="180"/>
      <c r="AM363" s="180"/>
      <c r="AN363" s="180"/>
      <c r="AO363" s="180"/>
      <c r="AP363" s="180"/>
      <c r="AX363" s="180"/>
    </row>
    <row r="364" spans="1:50">
      <c r="A364" s="228"/>
      <c r="B364" s="1518" t="s">
        <v>18</v>
      </c>
      <c r="C364" s="1519">
        <v>45600</v>
      </c>
      <c r="D364" s="1519"/>
      <c r="E364" s="1519"/>
      <c r="F364" s="1519"/>
      <c r="G364" s="365"/>
      <c r="H364" s="1519">
        <v>45601</v>
      </c>
      <c r="I364" s="1519"/>
      <c r="J364" s="1519"/>
      <c r="K364" s="1519"/>
      <c r="L364" s="365"/>
      <c r="M364" s="1519">
        <v>45602</v>
      </c>
      <c r="N364" s="1519"/>
      <c r="O364" s="1519"/>
      <c r="P364" s="1519"/>
      <c r="Q364" s="365"/>
      <c r="R364" s="1519">
        <v>45603</v>
      </c>
      <c r="S364" s="1519"/>
      <c r="T364" s="1519"/>
      <c r="U364" s="1519"/>
      <c r="V364" s="365"/>
      <c r="W364" s="1519">
        <v>45604</v>
      </c>
      <c r="X364" s="1519"/>
      <c r="Y364" s="1519"/>
      <c r="Z364" s="1519"/>
      <c r="AA364" s="1517" t="s">
        <v>19</v>
      </c>
      <c r="AB364" s="1517" t="s">
        <v>20</v>
      </c>
      <c r="AC364" s="4"/>
      <c r="AD364" s="1519">
        <v>45605</v>
      </c>
      <c r="AE364" s="1519"/>
      <c r="AF364" s="1519"/>
      <c r="AG364" s="1517" t="s">
        <v>21</v>
      </c>
      <c r="AI364" s="368"/>
      <c r="AK364" s="194" t="s">
        <v>84</v>
      </c>
      <c r="AL364" s="366"/>
      <c r="AM364" s="366"/>
      <c r="AN364" s="366"/>
      <c r="AO364" s="366"/>
      <c r="AP364" s="366"/>
      <c r="AX364" s="180"/>
    </row>
    <row r="365" spans="1:50">
      <c r="A365" s="180"/>
      <c r="B365" s="1518"/>
      <c r="C365" s="21" t="s">
        <v>23</v>
      </c>
      <c r="D365" s="21" t="s">
        <v>24</v>
      </c>
      <c r="E365" s="205" t="s">
        <v>25</v>
      </c>
      <c r="F365" s="645" t="s">
        <v>14</v>
      </c>
      <c r="G365" s="4"/>
      <c r="H365" s="21" t="s">
        <v>23</v>
      </c>
      <c r="I365" s="21" t="s">
        <v>24</v>
      </c>
      <c r="J365" s="18" t="s">
        <v>25</v>
      </c>
      <c r="K365" s="645" t="s">
        <v>14</v>
      </c>
      <c r="L365" s="4"/>
      <c r="M365" s="21" t="s">
        <v>23</v>
      </c>
      <c r="N365" s="21" t="s">
        <v>24</v>
      </c>
      <c r="O365" s="18" t="s">
        <v>25</v>
      </c>
      <c r="P365" s="645" t="s">
        <v>14</v>
      </c>
      <c r="R365" s="21" t="s">
        <v>23</v>
      </c>
      <c r="S365" s="21" t="s">
        <v>24</v>
      </c>
      <c r="T365" s="18" t="s">
        <v>25</v>
      </c>
      <c r="U365" s="645" t="s">
        <v>14</v>
      </c>
      <c r="W365" s="21" t="s">
        <v>23</v>
      </c>
      <c r="X365" s="21" t="s">
        <v>24</v>
      </c>
      <c r="Y365" s="18" t="s">
        <v>25</v>
      </c>
      <c r="Z365" s="645" t="s">
        <v>14</v>
      </c>
      <c r="AA365" s="1517"/>
      <c r="AB365" s="1517"/>
      <c r="AC365" s="4"/>
      <c r="AD365" s="21" t="s">
        <v>23</v>
      </c>
      <c r="AE365" s="21" t="s">
        <v>24</v>
      </c>
      <c r="AF365" s="18" t="s">
        <v>25</v>
      </c>
      <c r="AG365" s="1517"/>
      <c r="AI365" s="368"/>
      <c r="AJ365" s="367"/>
      <c r="AK365" s="188" t="s">
        <v>26</v>
      </c>
      <c r="AL365" s="196">
        <f>AA400</f>
        <v>813.19999999999993</v>
      </c>
      <c r="AM365" s="510">
        <v>39.14</v>
      </c>
      <c r="AN365" s="510">
        <f t="shared" ref="AN365:AN371" si="54">AL365*AM365</f>
        <v>31828.647999999997</v>
      </c>
      <c r="AQ365" s="367"/>
      <c r="AR365" s="367"/>
      <c r="AS365" s="367"/>
      <c r="AT365" s="367"/>
      <c r="AU365" s="367"/>
      <c r="AV365" s="367"/>
      <c r="AW365" s="367"/>
      <c r="AX365" s="180"/>
    </row>
    <row r="366" spans="1:50">
      <c r="A366" s="180"/>
      <c r="B366" s="4" t="s">
        <v>958</v>
      </c>
      <c r="C366" s="441" t="s">
        <v>75</v>
      </c>
      <c r="D366" s="441" t="s">
        <v>246</v>
      </c>
      <c r="E366" s="319">
        <v>8</v>
      </c>
      <c r="F366" s="646"/>
      <c r="G366" s="4"/>
      <c r="H366" s="441" t="s">
        <v>75</v>
      </c>
      <c r="I366" s="441" t="s">
        <v>246</v>
      </c>
      <c r="J366" s="319">
        <v>8</v>
      </c>
      <c r="K366" s="646"/>
      <c r="L366" s="4"/>
      <c r="M366" s="566" t="s">
        <v>960</v>
      </c>
      <c r="N366" s="565"/>
      <c r="O366" s="319">
        <v>0</v>
      </c>
      <c r="P366" s="646"/>
      <c r="R366" s="441" t="s">
        <v>75</v>
      </c>
      <c r="S366" s="47">
        <v>0.25</v>
      </c>
      <c r="T366" s="319">
        <v>8</v>
      </c>
      <c r="U366" s="646"/>
      <c r="W366" s="47">
        <v>0.41666666666666669</v>
      </c>
      <c r="X366" s="47">
        <v>0.25</v>
      </c>
      <c r="Y366" s="319">
        <v>8</v>
      </c>
      <c r="Z366" s="646"/>
      <c r="AA366" s="328">
        <f t="shared" ref="AA366:AA371" si="55">(E366+J366+O366+T366+Y366)</f>
        <v>32</v>
      </c>
      <c r="AB366" s="298">
        <f t="shared" ref="AB366:AB371" si="56">Z366+U366+P366+K366+F366</f>
        <v>0</v>
      </c>
      <c r="AC366" s="4"/>
      <c r="AD366" s="587"/>
      <c r="AE366" s="531"/>
      <c r="AF366" s="319"/>
      <c r="AG366" s="328">
        <f t="shared" ref="AG366:AG371" si="57">AF366</f>
        <v>0</v>
      </c>
      <c r="AI366" s="368"/>
      <c r="AJ366" s="367"/>
      <c r="AK366" s="188" t="s">
        <v>30</v>
      </c>
      <c r="AL366" s="196">
        <f>AB400</f>
        <v>8.5</v>
      </c>
      <c r="AM366" s="511">
        <f>AM365*1.5</f>
        <v>58.71</v>
      </c>
      <c r="AN366" s="510">
        <f t="shared" si="54"/>
        <v>499.03500000000003</v>
      </c>
      <c r="AQ366" s="367"/>
      <c r="AR366" s="367"/>
      <c r="AS366" s="367"/>
      <c r="AT366" s="367"/>
      <c r="AU366" s="367"/>
      <c r="AV366" s="367"/>
      <c r="AW366" s="367"/>
      <c r="AX366" s="180"/>
    </row>
    <row r="367" spans="1:50">
      <c r="A367" s="367"/>
      <c r="B367" s="47" t="s">
        <v>515</v>
      </c>
      <c r="C367" s="667" t="s">
        <v>137</v>
      </c>
      <c r="D367" s="565"/>
      <c r="E367" s="319">
        <v>0</v>
      </c>
      <c r="F367" s="646"/>
      <c r="G367" s="4"/>
      <c r="H367" s="667" t="s">
        <v>137</v>
      </c>
      <c r="I367" s="565"/>
      <c r="J367" s="319">
        <v>0</v>
      </c>
      <c r="K367" s="646"/>
      <c r="L367" s="4"/>
      <c r="M367" s="667" t="s">
        <v>137</v>
      </c>
      <c r="N367" s="565"/>
      <c r="O367" s="319">
        <v>0</v>
      </c>
      <c r="P367" s="646"/>
      <c r="R367" s="667" t="s">
        <v>137</v>
      </c>
      <c r="S367" s="565"/>
      <c r="T367" s="319">
        <v>0</v>
      </c>
      <c r="U367" s="646"/>
      <c r="W367" s="667" t="s">
        <v>137</v>
      </c>
      <c r="X367" s="565"/>
      <c r="Y367" s="319">
        <v>0</v>
      </c>
      <c r="Z367" s="646"/>
      <c r="AA367" s="328">
        <f t="shared" si="55"/>
        <v>0</v>
      </c>
      <c r="AB367" s="298">
        <f t="shared" si="56"/>
        <v>0</v>
      </c>
      <c r="AC367" s="4"/>
      <c r="AF367" s="319"/>
      <c r="AG367" s="328">
        <f t="shared" si="57"/>
        <v>0</v>
      </c>
      <c r="AH367" s="175"/>
      <c r="AI367" s="402"/>
      <c r="AJ367" s="367"/>
      <c r="AK367" s="188" t="s">
        <v>32</v>
      </c>
      <c r="AL367" s="196">
        <f>AG400</f>
        <v>0</v>
      </c>
      <c r="AM367" s="510">
        <v>58.71</v>
      </c>
      <c r="AN367" s="510">
        <f t="shared" si="54"/>
        <v>0</v>
      </c>
      <c r="AQ367" s="367"/>
      <c r="AR367" s="367"/>
      <c r="AS367" s="367"/>
      <c r="AT367" s="367"/>
      <c r="AU367" s="367"/>
      <c r="AV367" s="367"/>
      <c r="AW367" s="367"/>
      <c r="AX367" s="180"/>
    </row>
    <row r="368" spans="1:50">
      <c r="A368" s="367"/>
      <c r="B368" s="441" t="s">
        <v>962</v>
      </c>
      <c r="C368" s="566"/>
      <c r="D368" s="565"/>
      <c r="E368" s="319">
        <v>0</v>
      </c>
      <c r="F368" s="646"/>
      <c r="G368" s="4"/>
      <c r="H368" s="566"/>
      <c r="I368" s="565"/>
      <c r="J368" s="319">
        <v>0</v>
      </c>
      <c r="K368" s="646"/>
      <c r="L368" s="4"/>
      <c r="M368" s="441" t="s">
        <v>75</v>
      </c>
      <c r="N368" s="47">
        <v>0.25</v>
      </c>
      <c r="O368" s="319">
        <v>8</v>
      </c>
      <c r="P368" s="646"/>
      <c r="R368" s="441" t="s">
        <v>75</v>
      </c>
      <c r="S368" s="47">
        <v>0.25</v>
      </c>
      <c r="T368" s="319">
        <v>8</v>
      </c>
      <c r="U368" s="646"/>
      <c r="W368" s="441" t="s">
        <v>75</v>
      </c>
      <c r="X368" s="47">
        <v>0.25</v>
      </c>
      <c r="Y368" s="319">
        <v>9</v>
      </c>
      <c r="Z368" s="646"/>
      <c r="AA368" s="328">
        <f t="shared" si="55"/>
        <v>25</v>
      </c>
      <c r="AB368" s="298">
        <f t="shared" si="56"/>
        <v>0</v>
      </c>
      <c r="AC368" s="399"/>
      <c r="AD368" s="47"/>
      <c r="AE368" s="47"/>
      <c r="AF368" s="319"/>
      <c r="AG368" s="328">
        <f t="shared" si="57"/>
        <v>0</v>
      </c>
      <c r="AH368" s="175"/>
      <c r="AJ368" s="401"/>
      <c r="AK368" s="403" t="s">
        <v>213</v>
      </c>
      <c r="AL368" s="404">
        <f>AA402</f>
        <v>40</v>
      </c>
      <c r="AM368" s="510">
        <v>51.5</v>
      </c>
      <c r="AN368" s="510">
        <f t="shared" si="54"/>
        <v>2060</v>
      </c>
      <c r="AO368" s="405"/>
      <c r="AP368" s="405"/>
      <c r="AQ368" s="367"/>
      <c r="AR368" s="401"/>
      <c r="AS368" s="401"/>
      <c r="AT368" s="401"/>
      <c r="AU368" s="401"/>
      <c r="AV368" s="401"/>
      <c r="AW368" s="401"/>
      <c r="AX368" s="180"/>
    </row>
    <row r="369" spans="1:50">
      <c r="A369" s="367"/>
      <c r="B369" s="665" t="s">
        <v>994</v>
      </c>
      <c r="C369" s="441" t="s">
        <v>75</v>
      </c>
      <c r="D369" s="441" t="s">
        <v>246</v>
      </c>
      <c r="E369" s="319">
        <v>8</v>
      </c>
      <c r="F369" s="646"/>
      <c r="G369" s="4"/>
      <c r="H369" s="441" t="s">
        <v>75</v>
      </c>
      <c r="I369" s="47">
        <v>0.25</v>
      </c>
      <c r="J369" s="319">
        <v>8</v>
      </c>
      <c r="K369" s="646"/>
      <c r="L369" s="4"/>
      <c r="M369" s="441" t="s">
        <v>75</v>
      </c>
      <c r="N369" s="47">
        <v>0.25</v>
      </c>
      <c r="O369" s="319">
        <v>8</v>
      </c>
      <c r="P369" s="646"/>
      <c r="R369" s="441" t="s">
        <v>75</v>
      </c>
      <c r="S369" s="47">
        <v>0.25</v>
      </c>
      <c r="T369" s="319">
        <v>8</v>
      </c>
      <c r="U369" s="646"/>
      <c r="W369" s="441" t="s">
        <v>75</v>
      </c>
      <c r="X369" s="47">
        <v>0.25</v>
      </c>
      <c r="Y369" s="319">
        <v>8</v>
      </c>
      <c r="Z369" s="646"/>
      <c r="AA369" s="328">
        <f t="shared" si="55"/>
        <v>40</v>
      </c>
      <c r="AB369" s="298">
        <f t="shared" si="56"/>
        <v>0</v>
      </c>
      <c r="AC369" s="175"/>
      <c r="AD369" s="47"/>
      <c r="AE369" s="47"/>
      <c r="AF369" s="319"/>
      <c r="AG369" s="328">
        <f t="shared" si="57"/>
        <v>0</v>
      </c>
      <c r="AH369" s="175"/>
      <c r="AJ369" s="401"/>
      <c r="AK369" s="188" t="s">
        <v>36</v>
      </c>
      <c r="AL369" s="196">
        <f>AB402</f>
        <v>1.25</v>
      </c>
      <c r="AM369" s="510">
        <f>AM368*1.5</f>
        <v>77.25</v>
      </c>
      <c r="AN369" s="510">
        <f t="shared" si="54"/>
        <v>96.5625</v>
      </c>
      <c r="AO369" s="405"/>
      <c r="AP369" s="405"/>
      <c r="AQ369" s="367"/>
      <c r="AR369" s="401"/>
      <c r="AS369" s="401"/>
      <c r="AT369" s="401"/>
      <c r="AU369" s="401"/>
      <c r="AV369" s="401"/>
      <c r="AW369" s="401"/>
      <c r="AX369" s="180"/>
    </row>
    <row r="370" spans="1:50" ht="12" customHeight="1">
      <c r="A370" s="367"/>
      <c r="B370" s="47" t="s">
        <v>967</v>
      </c>
      <c r="C370" s="441" t="s">
        <v>75</v>
      </c>
      <c r="D370" s="441" t="s">
        <v>246</v>
      </c>
      <c r="E370" s="319">
        <v>8</v>
      </c>
      <c r="F370" s="646"/>
      <c r="G370" s="4"/>
      <c r="H370" s="441" t="s">
        <v>75</v>
      </c>
      <c r="I370" s="47">
        <v>0.25</v>
      </c>
      <c r="J370" s="319">
        <v>8</v>
      </c>
      <c r="K370" s="646"/>
      <c r="L370" s="4"/>
      <c r="M370" s="441" t="s">
        <v>75</v>
      </c>
      <c r="N370" s="47">
        <v>0.25</v>
      </c>
      <c r="O370" s="319">
        <v>8</v>
      </c>
      <c r="P370" s="646"/>
      <c r="R370" s="441" t="s">
        <v>75</v>
      </c>
      <c r="S370" s="47">
        <v>0.25</v>
      </c>
      <c r="T370" s="319">
        <v>8</v>
      </c>
      <c r="U370" s="646"/>
      <c r="W370" s="441" t="s">
        <v>75</v>
      </c>
      <c r="X370" s="47">
        <v>0.25</v>
      </c>
      <c r="Y370" s="319">
        <v>8</v>
      </c>
      <c r="Z370" s="646"/>
      <c r="AA370" s="328">
        <f t="shared" si="55"/>
        <v>40</v>
      </c>
      <c r="AB370" s="298">
        <f t="shared" si="56"/>
        <v>0</v>
      </c>
      <c r="AC370" s="4"/>
      <c r="AD370" s="47"/>
      <c r="AE370" s="47"/>
      <c r="AF370" s="319"/>
      <c r="AG370" s="328">
        <f t="shared" si="57"/>
        <v>0</v>
      </c>
      <c r="AH370" s="175"/>
      <c r="AI370" s="368"/>
      <c r="AK370" s="188" t="s">
        <v>38</v>
      </c>
      <c r="AL370" s="196">
        <f>AG402</f>
        <v>0</v>
      </c>
      <c r="AM370" s="510">
        <v>77.25</v>
      </c>
      <c r="AN370" s="510">
        <f t="shared" si="54"/>
        <v>0</v>
      </c>
      <c r="AQ370" s="367"/>
      <c r="AX370" s="180"/>
    </row>
    <row r="371" spans="1:50" s="4" customFormat="1" ht="14.25" thickBot="1">
      <c r="A371" s="180"/>
      <c r="B371" s="532" t="s">
        <v>995</v>
      </c>
      <c r="C371" s="441" t="s">
        <v>75</v>
      </c>
      <c r="D371" s="441" t="s">
        <v>246</v>
      </c>
      <c r="E371" s="319">
        <v>8</v>
      </c>
      <c r="F371" s="646"/>
      <c r="H371" s="441" t="s">
        <v>75</v>
      </c>
      <c r="I371" s="47">
        <v>0.25</v>
      </c>
      <c r="J371" s="319">
        <v>8</v>
      </c>
      <c r="K371" s="646"/>
      <c r="M371" s="441" t="s">
        <v>75</v>
      </c>
      <c r="N371" s="47">
        <v>0.25</v>
      </c>
      <c r="O371" s="319">
        <v>8</v>
      </c>
      <c r="P371" s="646"/>
      <c r="R371" s="441" t="s">
        <v>75</v>
      </c>
      <c r="S371" s="47">
        <v>0.25</v>
      </c>
      <c r="T371" s="319">
        <v>8</v>
      </c>
      <c r="U371" s="646"/>
      <c r="W371" s="441" t="s">
        <v>75</v>
      </c>
      <c r="X371" s="47">
        <v>0.25</v>
      </c>
      <c r="Y371" s="319">
        <v>8</v>
      </c>
      <c r="Z371" s="646"/>
      <c r="AA371" s="328">
        <f t="shared" si="55"/>
        <v>40</v>
      </c>
      <c r="AB371" s="298">
        <f t="shared" si="56"/>
        <v>0</v>
      </c>
      <c r="AD371" s="47"/>
      <c r="AE371" s="47"/>
      <c r="AF371" s="319"/>
      <c r="AG371" s="328">
        <f t="shared" si="57"/>
        <v>0</v>
      </c>
      <c r="AI371" s="255"/>
      <c r="AJ371" s="180"/>
      <c r="AK371" s="188" t="s">
        <v>41</v>
      </c>
      <c r="AL371" s="196">
        <f>C403</f>
        <v>56</v>
      </c>
      <c r="AM371" s="512">
        <v>46.35</v>
      </c>
      <c r="AN371" s="512">
        <f t="shared" si="54"/>
        <v>2595.6</v>
      </c>
      <c r="AO371" s="193"/>
      <c r="AP371" s="193"/>
      <c r="AQ371" s="367"/>
      <c r="AR371" s="180"/>
      <c r="AS371" s="180"/>
      <c r="AT371" s="180"/>
      <c r="AU371" s="180"/>
      <c r="AV371" s="180"/>
      <c r="AW371" s="180"/>
    </row>
    <row r="372" spans="1:50" s="4" customFormat="1" ht="14.25" thickTop="1">
      <c r="A372" s="180"/>
      <c r="B372" s="436" t="s">
        <v>972</v>
      </c>
      <c r="C372" s="441" t="s">
        <v>75</v>
      </c>
      <c r="D372" s="441" t="s">
        <v>246</v>
      </c>
      <c r="E372" s="319">
        <v>8</v>
      </c>
      <c r="F372" s="646"/>
      <c r="H372" s="441" t="s">
        <v>75</v>
      </c>
      <c r="I372" s="47">
        <v>0.25</v>
      </c>
      <c r="J372" s="319">
        <v>8</v>
      </c>
      <c r="K372" s="646"/>
      <c r="M372" s="441" t="s">
        <v>75</v>
      </c>
      <c r="N372" s="47">
        <v>0.25</v>
      </c>
      <c r="O372" s="319">
        <v>8</v>
      </c>
      <c r="P372" s="646"/>
      <c r="R372" s="441" t="s">
        <v>75</v>
      </c>
      <c r="S372" s="47">
        <v>0.25</v>
      </c>
      <c r="T372" s="319">
        <v>8</v>
      </c>
      <c r="U372" s="646"/>
      <c r="W372" s="441" t="s">
        <v>75</v>
      </c>
      <c r="X372" s="47">
        <v>0.25</v>
      </c>
      <c r="Y372" s="319">
        <v>8</v>
      </c>
      <c r="Z372" s="646"/>
      <c r="AA372" s="328">
        <f>(E372+J372+O372+T372+Y372)</f>
        <v>40</v>
      </c>
      <c r="AB372" s="298">
        <f>Z372+U372+P372+K372+F372</f>
        <v>0</v>
      </c>
      <c r="AD372" s="47"/>
      <c r="AE372" s="47"/>
      <c r="AF372" s="319"/>
      <c r="AG372" s="328">
        <f>AF372</f>
        <v>0</v>
      </c>
      <c r="AI372" s="255"/>
      <c r="AJ372" s="180"/>
      <c r="AK372" s="188"/>
      <c r="AL372" s="196"/>
      <c r="AM372" s="510"/>
      <c r="AN372" s="510"/>
      <c r="AO372" s="193"/>
      <c r="AP372" s="193"/>
      <c r="AQ372" s="367"/>
      <c r="AR372" s="180"/>
      <c r="AS372" s="180"/>
      <c r="AT372" s="180"/>
      <c r="AU372" s="180"/>
      <c r="AV372" s="180"/>
      <c r="AW372" s="180"/>
    </row>
    <row r="373" spans="1:50" s="4" customFormat="1">
      <c r="A373" s="180"/>
      <c r="B373" s="47" t="s">
        <v>974</v>
      </c>
      <c r="C373" s="441" t="s">
        <v>75</v>
      </c>
      <c r="D373" s="441" t="s">
        <v>246</v>
      </c>
      <c r="E373" s="319">
        <v>8</v>
      </c>
      <c r="F373" s="646"/>
      <c r="H373" s="441" t="s">
        <v>75</v>
      </c>
      <c r="I373" s="47">
        <v>0.25</v>
      </c>
      <c r="J373" s="319">
        <v>8</v>
      </c>
      <c r="K373" s="646"/>
      <c r="M373" s="441" t="s">
        <v>75</v>
      </c>
      <c r="N373" s="47">
        <v>0.25</v>
      </c>
      <c r="O373" s="319">
        <v>8</v>
      </c>
      <c r="P373" s="646"/>
      <c r="R373" s="441" t="s">
        <v>75</v>
      </c>
      <c r="S373" s="47">
        <v>0.25</v>
      </c>
      <c r="T373" s="319">
        <v>8</v>
      </c>
      <c r="U373" s="646"/>
      <c r="W373" s="441" t="s">
        <v>75</v>
      </c>
      <c r="X373" s="47">
        <v>0.25</v>
      </c>
      <c r="Y373" s="319">
        <v>8</v>
      </c>
      <c r="Z373" s="646"/>
      <c r="AA373" s="328">
        <f t="shared" ref="AA373:AA383" si="58">(E373+J373+O373+T373+Y373)</f>
        <v>40</v>
      </c>
      <c r="AB373" s="298">
        <f t="shared" ref="AB373:AB383" si="59">Z373+U373+P373+K373+F373</f>
        <v>0</v>
      </c>
      <c r="AD373" s="47" t="s">
        <v>1000</v>
      </c>
      <c r="AE373" s="47"/>
      <c r="AF373" s="319"/>
      <c r="AG373" s="328">
        <f t="shared" ref="AG373:AG383" si="60">AF373</f>
        <v>0</v>
      </c>
      <c r="AI373" s="255"/>
      <c r="AJ373" s="180"/>
      <c r="AK373" s="193"/>
      <c r="AL373" s="193"/>
      <c r="AM373" s="193"/>
      <c r="AN373" s="510">
        <f>SUM(AN365:AN371)</f>
        <v>37079.845499999996</v>
      </c>
      <c r="AO373" s="193"/>
      <c r="AP373" s="193"/>
      <c r="AQ373" s="367"/>
      <c r="AR373" s="180"/>
      <c r="AS373" s="180"/>
      <c r="AT373" s="180"/>
      <c r="AU373" s="180"/>
      <c r="AV373" s="180"/>
      <c r="AW373" s="180"/>
    </row>
    <row r="374" spans="1:50" s="4" customFormat="1">
      <c r="A374" s="180"/>
      <c r="B374" s="47" t="s">
        <v>517</v>
      </c>
      <c r="C374" s="441" t="s">
        <v>125</v>
      </c>
      <c r="D374" s="47">
        <v>0.16666666666666666</v>
      </c>
      <c r="E374" s="319">
        <v>8</v>
      </c>
      <c r="F374" s="646"/>
      <c r="H374" s="566"/>
      <c r="I374" s="565"/>
      <c r="J374" s="319">
        <v>0</v>
      </c>
      <c r="K374" s="646"/>
      <c r="M374" s="441" t="s">
        <v>75</v>
      </c>
      <c r="N374" s="47">
        <v>0.25</v>
      </c>
      <c r="O374" s="319">
        <v>8</v>
      </c>
      <c r="P374" s="646"/>
      <c r="R374" s="441" t="s">
        <v>75</v>
      </c>
      <c r="S374" s="47">
        <v>0.25</v>
      </c>
      <c r="T374" s="319">
        <v>8</v>
      </c>
      <c r="U374" s="646"/>
      <c r="W374" s="441" t="s">
        <v>75</v>
      </c>
      <c r="X374" s="47">
        <v>0.25</v>
      </c>
      <c r="Y374" s="319">
        <v>8</v>
      </c>
      <c r="Z374" s="646"/>
      <c r="AA374" s="328">
        <f t="shared" si="58"/>
        <v>32</v>
      </c>
      <c r="AB374" s="298">
        <f t="shared" si="59"/>
        <v>0</v>
      </c>
      <c r="AE374" s="47"/>
      <c r="AF374" s="319"/>
      <c r="AG374" s="328">
        <f t="shared" si="60"/>
        <v>0</v>
      </c>
      <c r="AI374" s="255"/>
      <c r="AJ374" s="180"/>
      <c r="AK374" s="193"/>
      <c r="AL374" s="193"/>
      <c r="AM374" s="193"/>
      <c r="AN374" s="193"/>
      <c r="AO374" s="193"/>
      <c r="AP374" s="193"/>
      <c r="AQ374" s="180"/>
      <c r="AR374" s="180"/>
      <c r="AS374" s="180"/>
      <c r="AT374" s="180"/>
      <c r="AU374" s="180"/>
      <c r="AV374" s="180"/>
      <c r="AW374" s="180"/>
    </row>
    <row r="375" spans="1:50" s="4" customFormat="1">
      <c r="A375" s="180"/>
      <c r="B375" s="436" t="s">
        <v>981</v>
      </c>
      <c r="C375" s="441" t="s">
        <v>75</v>
      </c>
      <c r="D375" s="441" t="s">
        <v>246</v>
      </c>
      <c r="E375" s="319">
        <v>8</v>
      </c>
      <c r="F375" s="646"/>
      <c r="H375" s="441" t="s">
        <v>75</v>
      </c>
      <c r="I375" s="47">
        <v>0.25</v>
      </c>
      <c r="J375" s="319">
        <v>8</v>
      </c>
      <c r="K375" s="646"/>
      <c r="M375" s="441" t="s">
        <v>75</v>
      </c>
      <c r="N375" s="47">
        <v>0.25</v>
      </c>
      <c r="O375" s="319">
        <v>8</v>
      </c>
      <c r="P375" s="646"/>
      <c r="R375" s="441" t="s">
        <v>75</v>
      </c>
      <c r="S375" s="47">
        <v>0.25</v>
      </c>
      <c r="T375" s="319">
        <v>8</v>
      </c>
      <c r="U375" s="646"/>
      <c r="W375" s="441" t="s">
        <v>75</v>
      </c>
      <c r="X375" s="47">
        <v>0.25</v>
      </c>
      <c r="Y375" s="319">
        <v>8</v>
      </c>
      <c r="Z375" s="646"/>
      <c r="AA375" s="328">
        <f t="shared" si="58"/>
        <v>40</v>
      </c>
      <c r="AB375" s="298">
        <f t="shared" si="59"/>
        <v>0</v>
      </c>
      <c r="AD375" s="47" t="s">
        <v>1001</v>
      </c>
      <c r="AE375" s="47"/>
      <c r="AF375" s="319"/>
      <c r="AG375" s="328">
        <f t="shared" si="60"/>
        <v>0</v>
      </c>
      <c r="AI375" s="255"/>
      <c r="AJ375" s="180"/>
      <c r="AK375" s="193"/>
      <c r="AL375" s="193"/>
      <c r="AM375" s="193"/>
      <c r="AN375" s="193"/>
      <c r="AO375" s="193"/>
      <c r="AP375" s="193"/>
      <c r="AQ375" s="180"/>
      <c r="AR375" s="180"/>
      <c r="AS375" s="180"/>
      <c r="AT375" s="180"/>
      <c r="AU375" s="180"/>
      <c r="AV375" s="180"/>
      <c r="AW375" s="180"/>
    </row>
    <row r="376" spans="1:50" s="4" customFormat="1">
      <c r="A376" s="180"/>
      <c r="B376" s="4" t="s">
        <v>976</v>
      </c>
      <c r="C376" s="441" t="s">
        <v>75</v>
      </c>
      <c r="D376" s="441" t="s">
        <v>246</v>
      </c>
      <c r="E376" s="319">
        <v>8</v>
      </c>
      <c r="F376" s="646"/>
      <c r="H376" s="566"/>
      <c r="I376" s="565"/>
      <c r="J376" s="319">
        <v>0</v>
      </c>
      <c r="K376" s="646"/>
      <c r="M376" s="441" t="s">
        <v>75</v>
      </c>
      <c r="N376" s="47">
        <v>0.25</v>
      </c>
      <c r="O376" s="319">
        <v>7.5</v>
      </c>
      <c r="P376" s="646"/>
      <c r="R376" s="566"/>
      <c r="S376" s="565"/>
      <c r="T376" s="319">
        <v>0</v>
      </c>
      <c r="U376" s="646"/>
      <c r="W376" s="441" t="s">
        <v>75</v>
      </c>
      <c r="X376" s="47">
        <v>0.25</v>
      </c>
      <c r="Y376" s="319">
        <v>8</v>
      </c>
      <c r="Z376" s="646"/>
      <c r="AA376" s="328">
        <f t="shared" si="58"/>
        <v>23.5</v>
      </c>
      <c r="AB376" s="298">
        <f t="shared" si="59"/>
        <v>0</v>
      </c>
      <c r="AD376" s="47"/>
      <c r="AE376" s="47"/>
      <c r="AF376" s="319"/>
      <c r="AG376" s="328">
        <f t="shared" si="60"/>
        <v>0</v>
      </c>
      <c r="AI376" s="255"/>
      <c r="AJ376" s="180"/>
      <c r="AK376" s="193"/>
      <c r="AL376" s="193"/>
      <c r="AM376" s="193"/>
      <c r="AN376" s="193"/>
      <c r="AO376" s="193"/>
      <c r="AP376" s="193"/>
      <c r="AQ376" s="180"/>
      <c r="AR376" s="180"/>
      <c r="AS376" s="180"/>
      <c r="AT376" s="180"/>
      <c r="AU376" s="180"/>
      <c r="AV376" s="180"/>
      <c r="AW376" s="180"/>
    </row>
    <row r="377" spans="1:50" s="4" customFormat="1">
      <c r="A377" s="180"/>
      <c r="B377" s="666" t="s">
        <v>998</v>
      </c>
      <c r="C377" s="441" t="s">
        <v>75</v>
      </c>
      <c r="D377" s="441" t="s">
        <v>246</v>
      </c>
      <c r="E377" s="319">
        <v>8</v>
      </c>
      <c r="F377" s="646"/>
      <c r="H377" s="566"/>
      <c r="I377" s="565"/>
      <c r="J377" s="319">
        <v>0</v>
      </c>
      <c r="K377" s="646"/>
      <c r="M377" s="441" t="s">
        <v>75</v>
      </c>
      <c r="N377" s="47">
        <v>0.25</v>
      </c>
      <c r="O377" s="319">
        <v>8</v>
      </c>
      <c r="P377" s="646"/>
      <c r="R377" s="441" t="s">
        <v>75</v>
      </c>
      <c r="S377" s="47">
        <v>0.25</v>
      </c>
      <c r="T377" s="319">
        <v>8</v>
      </c>
      <c r="U377" s="646"/>
      <c r="W377" s="441" t="s">
        <v>75</v>
      </c>
      <c r="X377" s="47">
        <v>0.25</v>
      </c>
      <c r="Y377" s="319">
        <v>8</v>
      </c>
      <c r="Z377" s="646"/>
      <c r="AA377" s="328">
        <f t="shared" si="58"/>
        <v>32</v>
      </c>
      <c r="AB377" s="298">
        <f t="shared" si="59"/>
        <v>0</v>
      </c>
      <c r="AD377" s="47"/>
      <c r="AE377" s="47"/>
      <c r="AF377" s="319"/>
      <c r="AG377" s="328">
        <f t="shared" si="60"/>
        <v>0</v>
      </c>
      <c r="AI377" s="255"/>
      <c r="AJ377" s="180"/>
      <c r="AK377" s="193"/>
      <c r="AL377" s="193"/>
      <c r="AM377" s="193"/>
      <c r="AN377" s="193"/>
      <c r="AO377" s="193"/>
      <c r="AP377" s="193"/>
      <c r="AQ377" s="180"/>
      <c r="AR377" s="180"/>
      <c r="AS377" s="180"/>
      <c r="AT377" s="180"/>
      <c r="AU377" s="180"/>
      <c r="AV377" s="180"/>
      <c r="AW377" s="180"/>
    </row>
    <row r="378" spans="1:50" s="4" customFormat="1">
      <c r="A378" s="180"/>
      <c r="B378" s="47" t="s">
        <v>977</v>
      </c>
      <c r="C378" s="441" t="s">
        <v>75</v>
      </c>
      <c r="D378" s="441" t="s">
        <v>246</v>
      </c>
      <c r="E378" s="319">
        <v>8</v>
      </c>
      <c r="F378" s="646"/>
      <c r="H378" s="441" t="s">
        <v>75</v>
      </c>
      <c r="I378" s="441" t="s">
        <v>246</v>
      </c>
      <c r="J378" s="319">
        <v>8</v>
      </c>
      <c r="K378" s="646"/>
      <c r="M378" s="441" t="s">
        <v>75</v>
      </c>
      <c r="N378" s="47">
        <v>0.25</v>
      </c>
      <c r="O378" s="319">
        <v>8</v>
      </c>
      <c r="P378" s="646"/>
      <c r="R378" s="441" t="s">
        <v>75</v>
      </c>
      <c r="S378" s="47">
        <v>0.25</v>
      </c>
      <c r="T378" s="319">
        <v>8</v>
      </c>
      <c r="U378" s="646"/>
      <c r="W378" s="441" t="s">
        <v>75</v>
      </c>
      <c r="X378" s="47">
        <v>0.25</v>
      </c>
      <c r="Y378" s="319">
        <v>8</v>
      </c>
      <c r="Z378" s="646"/>
      <c r="AA378" s="328">
        <f t="shared" si="58"/>
        <v>40</v>
      </c>
      <c r="AB378" s="298">
        <f t="shared" si="59"/>
        <v>0</v>
      </c>
      <c r="AD378" s="47"/>
      <c r="AE378" s="47"/>
      <c r="AF378" s="319"/>
      <c r="AG378" s="328">
        <f t="shared" si="60"/>
        <v>0</v>
      </c>
      <c r="AI378" s="255"/>
      <c r="AJ378" s="180"/>
      <c r="AK378" s="193"/>
      <c r="AL378" s="193"/>
      <c r="AM378" s="193"/>
      <c r="AN378" s="193"/>
      <c r="AO378" s="193"/>
      <c r="AP378" s="193"/>
      <c r="AQ378" s="180"/>
      <c r="AR378" s="180"/>
      <c r="AS378" s="180"/>
      <c r="AT378" s="180"/>
      <c r="AU378" s="180"/>
      <c r="AV378" s="180"/>
      <c r="AW378" s="180"/>
    </row>
    <row r="379" spans="1:50" s="4" customFormat="1">
      <c r="A379" s="180"/>
      <c r="B379" s="47" t="s">
        <v>986</v>
      </c>
      <c r="C379" s="667" t="s">
        <v>137</v>
      </c>
      <c r="D379" s="565"/>
      <c r="E379" s="319">
        <v>0</v>
      </c>
      <c r="F379" s="646"/>
      <c r="H379" s="667" t="s">
        <v>137</v>
      </c>
      <c r="I379" s="565"/>
      <c r="J379" s="319">
        <v>0</v>
      </c>
      <c r="K379" s="646"/>
      <c r="M379" s="667"/>
      <c r="N379" s="565"/>
      <c r="O379" s="319">
        <v>0</v>
      </c>
      <c r="P379" s="646"/>
      <c r="R379" s="667"/>
      <c r="S379" s="565"/>
      <c r="T379" s="319">
        <v>0</v>
      </c>
      <c r="U379" s="646"/>
      <c r="W379" s="667"/>
      <c r="X379" s="565"/>
      <c r="Y379" s="319">
        <v>0</v>
      </c>
      <c r="Z379" s="646"/>
      <c r="AA379" s="328">
        <f t="shared" si="58"/>
        <v>0</v>
      </c>
      <c r="AB379" s="298">
        <f t="shared" si="59"/>
        <v>0</v>
      </c>
      <c r="AD379" s="47"/>
      <c r="AE379" s="47"/>
      <c r="AF379" s="319"/>
      <c r="AG379" s="328">
        <f t="shared" si="60"/>
        <v>0</v>
      </c>
      <c r="AI379" s="255"/>
      <c r="AJ379" s="180"/>
      <c r="AK379" s="193"/>
      <c r="AL379" s="193"/>
      <c r="AM379" s="193"/>
      <c r="AN379" s="193"/>
      <c r="AO379" s="193"/>
      <c r="AP379" s="193"/>
      <c r="AQ379" s="180"/>
      <c r="AR379" s="180"/>
      <c r="AS379" s="180"/>
      <c r="AT379" s="180"/>
      <c r="AU379" s="180"/>
      <c r="AV379" s="180"/>
      <c r="AW379" s="180"/>
    </row>
    <row r="380" spans="1:50" s="4" customFormat="1">
      <c r="A380" s="180"/>
      <c r="B380" s="436" t="s">
        <v>394</v>
      </c>
      <c r="C380" s="441" t="s">
        <v>75</v>
      </c>
      <c r="D380" s="441" t="s">
        <v>246</v>
      </c>
      <c r="E380" s="319">
        <v>8</v>
      </c>
      <c r="F380" s="646"/>
      <c r="H380" s="441" t="s">
        <v>75</v>
      </c>
      <c r="I380" s="47">
        <v>0.25</v>
      </c>
      <c r="J380" s="319">
        <v>8</v>
      </c>
      <c r="K380" s="646"/>
      <c r="M380" s="441" t="s">
        <v>75</v>
      </c>
      <c r="N380" s="47">
        <v>0.25</v>
      </c>
      <c r="O380" s="319">
        <v>8</v>
      </c>
      <c r="P380" s="646"/>
      <c r="R380" s="441" t="s">
        <v>75</v>
      </c>
      <c r="S380" s="47">
        <v>0.25</v>
      </c>
      <c r="T380" s="319">
        <v>8</v>
      </c>
      <c r="U380" s="646"/>
      <c r="W380" s="441" t="s">
        <v>75</v>
      </c>
      <c r="X380" s="47">
        <v>0.25</v>
      </c>
      <c r="Y380" s="319">
        <v>8</v>
      </c>
      <c r="Z380" s="646"/>
      <c r="AA380" s="328">
        <f t="shared" si="58"/>
        <v>40</v>
      </c>
      <c r="AB380" s="298">
        <f t="shared" si="59"/>
        <v>0</v>
      </c>
      <c r="AD380" s="47"/>
      <c r="AE380" s="47"/>
      <c r="AF380" s="319"/>
      <c r="AG380" s="328">
        <f t="shared" si="60"/>
        <v>0</v>
      </c>
      <c r="AI380" s="255"/>
      <c r="AJ380" s="180"/>
      <c r="AK380" s="193"/>
      <c r="AL380" s="193"/>
      <c r="AM380" s="193"/>
      <c r="AN380" s="193"/>
      <c r="AO380" s="193"/>
      <c r="AP380" s="193"/>
      <c r="AQ380" s="180"/>
      <c r="AR380" s="180"/>
      <c r="AS380" s="180"/>
      <c r="AT380" s="180"/>
      <c r="AU380" s="180"/>
      <c r="AV380" s="180"/>
      <c r="AW380" s="180"/>
    </row>
    <row r="381" spans="1:50" s="4" customFormat="1">
      <c r="A381" s="180"/>
      <c r="B381" s="47" t="s">
        <v>519</v>
      </c>
      <c r="C381" s="566" t="s">
        <v>960</v>
      </c>
      <c r="D381" s="565"/>
      <c r="E381" s="319">
        <v>0</v>
      </c>
      <c r="F381" s="646"/>
      <c r="H381" s="441" t="s">
        <v>75</v>
      </c>
      <c r="I381" s="47">
        <v>0.25</v>
      </c>
      <c r="J381" s="319">
        <v>8</v>
      </c>
      <c r="K381" s="646"/>
      <c r="M381" s="441" t="s">
        <v>75</v>
      </c>
      <c r="N381" s="47">
        <v>0.25</v>
      </c>
      <c r="O381" s="319">
        <v>8</v>
      </c>
      <c r="P381" s="646"/>
      <c r="R381" s="441" t="s">
        <v>75</v>
      </c>
      <c r="S381" s="47">
        <v>0.25</v>
      </c>
      <c r="T381" s="319">
        <v>8</v>
      </c>
      <c r="U381" s="646"/>
      <c r="W381" s="441" t="s">
        <v>75</v>
      </c>
      <c r="X381" s="47">
        <v>0.25</v>
      </c>
      <c r="Y381" s="319">
        <v>8</v>
      </c>
      <c r="Z381" s="646"/>
      <c r="AA381" s="328">
        <f t="shared" si="58"/>
        <v>32</v>
      </c>
      <c r="AB381" s="298">
        <f t="shared" si="59"/>
        <v>0</v>
      </c>
      <c r="AD381" s="47"/>
      <c r="AE381" s="47"/>
      <c r="AF381" s="319"/>
      <c r="AG381" s="328">
        <f t="shared" si="60"/>
        <v>0</v>
      </c>
      <c r="AI381" s="255"/>
      <c r="AJ381" s="180"/>
      <c r="AK381" s="193"/>
      <c r="AL381" s="193"/>
      <c r="AM381" s="193"/>
      <c r="AN381" s="193"/>
      <c r="AO381" s="193"/>
      <c r="AP381" s="193"/>
      <c r="AQ381" s="180"/>
      <c r="AR381" s="180"/>
      <c r="AS381" s="180"/>
      <c r="AT381" s="180"/>
      <c r="AU381" s="180"/>
      <c r="AV381" s="180"/>
      <c r="AW381" s="180"/>
    </row>
    <row r="382" spans="1:50" s="4" customFormat="1">
      <c r="A382" s="180"/>
      <c r="B382" s="532" t="s">
        <v>999</v>
      </c>
      <c r="C382" s="441" t="s">
        <v>75</v>
      </c>
      <c r="D382" s="441" t="s">
        <v>246</v>
      </c>
      <c r="E382" s="319">
        <v>8</v>
      </c>
      <c r="F382" s="646"/>
      <c r="H382" s="441" t="s">
        <v>75</v>
      </c>
      <c r="I382" s="47">
        <v>0.25</v>
      </c>
      <c r="J382" s="319">
        <v>8</v>
      </c>
      <c r="K382" s="646"/>
      <c r="M382" s="441" t="s">
        <v>75</v>
      </c>
      <c r="N382" s="47">
        <v>0.25</v>
      </c>
      <c r="O382" s="319">
        <v>8</v>
      </c>
      <c r="P382" s="646"/>
      <c r="R382" s="441" t="s">
        <v>75</v>
      </c>
      <c r="S382" s="47">
        <v>0.25</v>
      </c>
      <c r="T382" s="319">
        <v>8</v>
      </c>
      <c r="U382" s="646"/>
      <c r="W382" s="441" t="s">
        <v>75</v>
      </c>
      <c r="X382" s="47">
        <v>0.25</v>
      </c>
      <c r="Y382" s="319">
        <v>8</v>
      </c>
      <c r="Z382" s="646"/>
      <c r="AA382" s="328">
        <f t="shared" si="58"/>
        <v>40</v>
      </c>
      <c r="AB382" s="298">
        <f t="shared" si="59"/>
        <v>0</v>
      </c>
      <c r="AD382" s="47"/>
      <c r="AE382" s="47"/>
      <c r="AF382" s="319"/>
      <c r="AG382" s="328">
        <f t="shared" si="60"/>
        <v>0</v>
      </c>
      <c r="AI382" s="255"/>
      <c r="AJ382" s="180"/>
      <c r="AK382" s="193"/>
      <c r="AL382" s="193"/>
      <c r="AM382" s="193"/>
      <c r="AN382" s="193"/>
      <c r="AO382" s="193"/>
      <c r="AP382" s="193"/>
      <c r="AQ382" s="180"/>
      <c r="AR382" s="180"/>
      <c r="AS382" s="180"/>
      <c r="AT382" s="180"/>
      <c r="AU382" s="180"/>
      <c r="AV382" s="180"/>
      <c r="AW382" s="180"/>
    </row>
    <row r="383" spans="1:50" s="4" customFormat="1">
      <c r="A383" s="180"/>
      <c r="B383" s="640" t="s">
        <v>957</v>
      </c>
      <c r="C383" s="643"/>
      <c r="D383" s="519"/>
      <c r="E383" s="520"/>
      <c r="F383" s="647"/>
      <c r="G383" s="521"/>
      <c r="H383" s="519"/>
      <c r="I383" s="519"/>
      <c r="J383" s="520"/>
      <c r="K383" s="647"/>
      <c r="L383" s="521"/>
      <c r="M383" s="519"/>
      <c r="N383" s="519"/>
      <c r="O383" s="520"/>
      <c r="P383" s="647"/>
      <c r="Q383" s="521"/>
      <c r="R383" s="519"/>
      <c r="S383" s="519"/>
      <c r="T383" s="520"/>
      <c r="U383" s="647"/>
      <c r="V383" s="521"/>
      <c r="W383" s="519"/>
      <c r="X383" s="519"/>
      <c r="Y383" s="520"/>
      <c r="Z383" s="646"/>
      <c r="AA383" s="328">
        <f t="shared" si="58"/>
        <v>0</v>
      </c>
      <c r="AB383" s="298">
        <f t="shared" si="59"/>
        <v>0</v>
      </c>
      <c r="AD383" s="47"/>
      <c r="AE383" s="47"/>
      <c r="AF383" s="319"/>
      <c r="AG383" s="328">
        <f t="shared" si="60"/>
        <v>0</v>
      </c>
      <c r="AI383" s="255"/>
      <c r="AJ383" s="180"/>
      <c r="AK383" s="193"/>
      <c r="AL383" s="193"/>
      <c r="AM383" s="193"/>
      <c r="AN383" s="193"/>
      <c r="AO383" s="193"/>
      <c r="AP383" s="193"/>
      <c r="AQ383" s="180"/>
      <c r="AR383" s="180"/>
      <c r="AS383" s="180"/>
      <c r="AT383" s="180"/>
      <c r="AU383" s="180"/>
      <c r="AV383" s="180"/>
      <c r="AW383" s="180"/>
    </row>
    <row r="384" spans="1:50" s="4" customFormat="1">
      <c r="A384" s="180"/>
      <c r="B384" s="640" t="s">
        <v>390</v>
      </c>
      <c r="C384" s="643"/>
      <c r="D384" s="519"/>
      <c r="E384" s="520"/>
      <c r="F384" s="647"/>
      <c r="G384" s="521"/>
      <c r="H384" s="519"/>
      <c r="I384" s="519"/>
      <c r="J384" s="520"/>
      <c r="K384" s="647"/>
      <c r="L384" s="521"/>
      <c r="M384" s="519"/>
      <c r="N384" s="519"/>
      <c r="O384" s="520"/>
      <c r="P384" s="647"/>
      <c r="Q384" s="521"/>
      <c r="R384" s="519"/>
      <c r="S384" s="519"/>
      <c r="T384" s="520"/>
      <c r="U384" s="647"/>
      <c r="V384" s="521"/>
      <c r="W384" s="519"/>
      <c r="X384" s="519"/>
      <c r="Y384" s="520"/>
      <c r="Z384" s="646"/>
      <c r="AA384" s="328">
        <f>(E384+J384+O384+T384+Y384)</f>
        <v>0</v>
      </c>
      <c r="AB384" s="298">
        <f>Z384+U384+P384+K384+F384</f>
        <v>0</v>
      </c>
      <c r="AD384" s="47"/>
      <c r="AE384" s="47"/>
      <c r="AF384" s="319"/>
      <c r="AG384" s="328">
        <f>AF384</f>
        <v>0</v>
      </c>
      <c r="AI384" s="255"/>
      <c r="AJ384" s="180"/>
      <c r="AK384" s="193"/>
      <c r="AL384" s="193"/>
      <c r="AM384" s="193"/>
      <c r="AN384" s="510"/>
      <c r="AO384" s="193"/>
      <c r="AP384" s="193"/>
      <c r="AQ384" s="367"/>
      <c r="AR384" s="180"/>
      <c r="AS384" s="180"/>
      <c r="AT384" s="180"/>
      <c r="AU384" s="180"/>
      <c r="AV384" s="180"/>
      <c r="AW384" s="180"/>
    </row>
    <row r="385" spans="1:49" s="4" customFormat="1">
      <c r="A385" s="180"/>
      <c r="B385" s="639" t="s">
        <v>975</v>
      </c>
      <c r="C385" s="643"/>
      <c r="D385" s="519"/>
      <c r="E385" s="520"/>
      <c r="F385" s="647"/>
      <c r="G385" s="521"/>
      <c r="H385" s="519"/>
      <c r="I385" s="519"/>
      <c r="J385" s="520"/>
      <c r="K385" s="647"/>
      <c r="L385" s="521"/>
      <c r="M385" s="519"/>
      <c r="N385" s="519"/>
      <c r="O385" s="520"/>
      <c r="P385" s="647"/>
      <c r="Q385" s="521"/>
      <c r="R385" s="519"/>
      <c r="S385" s="519"/>
      <c r="T385" s="520"/>
      <c r="U385" s="647"/>
      <c r="V385" s="521"/>
      <c r="W385" s="519"/>
      <c r="X385" s="519"/>
      <c r="Y385" s="520"/>
      <c r="Z385" s="646"/>
      <c r="AA385" s="328">
        <f>(E385+J385+O385+T385+Y385)</f>
        <v>0</v>
      </c>
      <c r="AB385" s="298">
        <f>Z385+U385+P385+K385+F385</f>
        <v>0</v>
      </c>
      <c r="AD385" s="47"/>
      <c r="AE385" s="47"/>
      <c r="AF385" s="319"/>
      <c r="AG385" s="328">
        <f>AF385</f>
        <v>0</v>
      </c>
      <c r="AI385" s="255"/>
      <c r="AJ385" s="180"/>
      <c r="AK385" s="193"/>
      <c r="AL385" s="193"/>
      <c r="AM385" s="193"/>
      <c r="AN385" s="193"/>
      <c r="AO385" s="193"/>
      <c r="AP385" s="193"/>
      <c r="AQ385" s="367"/>
      <c r="AR385" s="180"/>
      <c r="AS385" s="180"/>
      <c r="AT385" s="180"/>
      <c r="AU385" s="180"/>
      <c r="AV385" s="180"/>
      <c r="AW385" s="180"/>
    </row>
    <row r="386" spans="1:49" s="4" customFormat="1">
      <c r="A386" s="180"/>
      <c r="B386" s="639" t="s">
        <v>533</v>
      </c>
      <c r="C386" s="643"/>
      <c r="D386" s="519"/>
      <c r="E386" s="520"/>
      <c r="F386" s="647"/>
      <c r="G386" s="521"/>
      <c r="H386" s="519"/>
      <c r="I386" s="519"/>
      <c r="J386" s="520"/>
      <c r="K386" s="647"/>
      <c r="L386" s="521"/>
      <c r="M386" s="519"/>
      <c r="N386" s="519"/>
      <c r="O386" s="520"/>
      <c r="P386" s="647"/>
      <c r="Q386" s="521"/>
      <c r="R386" s="519"/>
      <c r="S386" s="519"/>
      <c r="T386" s="520"/>
      <c r="U386" s="647"/>
      <c r="V386" s="521"/>
      <c r="W386" s="519"/>
      <c r="X386" s="519"/>
      <c r="Y386" s="520"/>
      <c r="Z386" s="646"/>
      <c r="AA386" s="328">
        <f t="shared" ref="AA386:AA399" si="61">(E386+J386+O386+T386+Y386)</f>
        <v>0</v>
      </c>
      <c r="AB386" s="298">
        <f t="shared" ref="AB386:AB399" si="62">Z386+U386+P386+K386+F386</f>
        <v>0</v>
      </c>
      <c r="AD386" s="47"/>
      <c r="AE386" s="47"/>
      <c r="AF386" s="319"/>
      <c r="AG386" s="328">
        <f t="shared" ref="AG386:AG399" si="63">AF386</f>
        <v>0</v>
      </c>
      <c r="AI386" s="255"/>
      <c r="AJ386" s="180"/>
      <c r="AK386" s="193"/>
      <c r="AL386" s="193"/>
      <c r="AM386" s="193"/>
      <c r="AN386" s="193"/>
      <c r="AO386" s="193"/>
      <c r="AP386" s="193"/>
      <c r="AQ386" s="180"/>
      <c r="AR386" s="180"/>
      <c r="AS386" s="180"/>
      <c r="AT386" s="180"/>
      <c r="AU386" s="180"/>
      <c r="AV386" s="180"/>
      <c r="AW386" s="180"/>
    </row>
    <row r="387" spans="1:49" s="4" customFormat="1">
      <c r="A387" s="180"/>
      <c r="B387" s="502" t="s">
        <v>483</v>
      </c>
      <c r="C387" s="5"/>
      <c r="D387" s="5"/>
      <c r="E387" s="319"/>
      <c r="F387" s="646"/>
      <c r="H387" s="5"/>
      <c r="I387" s="5"/>
      <c r="J387" s="319"/>
      <c r="K387" s="646"/>
      <c r="M387" s="5"/>
      <c r="N387" s="5"/>
      <c r="O387" s="319"/>
      <c r="P387" s="646"/>
      <c r="R387" s="5"/>
      <c r="S387" s="5"/>
      <c r="T387" s="319"/>
      <c r="U387" s="646"/>
      <c r="W387" s="5"/>
      <c r="X387" s="5"/>
      <c r="Y387" s="319"/>
      <c r="Z387" s="646"/>
      <c r="AA387" s="328">
        <f t="shared" si="61"/>
        <v>0</v>
      </c>
      <c r="AB387" s="298">
        <f t="shared" si="62"/>
        <v>0</v>
      </c>
      <c r="AD387" s="47"/>
      <c r="AE387" s="47"/>
      <c r="AF387" s="319"/>
      <c r="AG387" s="328">
        <f t="shared" si="63"/>
        <v>0</v>
      </c>
      <c r="AI387" s="255"/>
      <c r="AJ387" s="180"/>
      <c r="AK387" s="193"/>
      <c r="AL387" s="193"/>
      <c r="AM387" s="193"/>
      <c r="AN387" s="193"/>
      <c r="AO387" s="193"/>
      <c r="AP387" s="193"/>
      <c r="AQ387" s="180"/>
      <c r="AR387" s="180"/>
      <c r="AS387" s="180"/>
      <c r="AT387" s="180"/>
      <c r="AU387" s="180"/>
      <c r="AV387" s="180"/>
      <c r="AW387" s="180"/>
    </row>
    <row r="388" spans="1:49" s="4" customFormat="1">
      <c r="A388" s="180"/>
      <c r="B388" s="502" t="s">
        <v>483</v>
      </c>
      <c r="C388" s="47"/>
      <c r="D388" s="47"/>
      <c r="E388" s="319">
        <v>8</v>
      </c>
      <c r="F388" s="646"/>
      <c r="H388" s="47"/>
      <c r="I388" s="47"/>
      <c r="J388" s="319">
        <v>7</v>
      </c>
      <c r="K388" s="646"/>
      <c r="M388" s="47"/>
      <c r="N388" s="47"/>
      <c r="O388" s="319">
        <v>8</v>
      </c>
      <c r="P388" s="646"/>
      <c r="R388" s="47"/>
      <c r="S388" s="47"/>
      <c r="T388" s="319">
        <v>8</v>
      </c>
      <c r="U388" s="646">
        <v>2</v>
      </c>
      <c r="W388" s="47"/>
      <c r="X388" s="47"/>
      <c r="Y388" s="319">
        <v>2</v>
      </c>
      <c r="Z388" s="646"/>
      <c r="AA388" s="328">
        <f t="shared" si="61"/>
        <v>33</v>
      </c>
      <c r="AB388" s="298">
        <f t="shared" si="62"/>
        <v>2</v>
      </c>
      <c r="AD388" s="47"/>
      <c r="AE388" s="47"/>
      <c r="AF388" s="319"/>
      <c r="AG388" s="328">
        <f t="shared" si="63"/>
        <v>0</v>
      </c>
      <c r="AI388" s="255"/>
      <c r="AJ388" s="180"/>
      <c r="AK388" s="193"/>
      <c r="AL388" s="193"/>
      <c r="AM388" s="193"/>
      <c r="AN388" s="193"/>
      <c r="AO388" s="193"/>
      <c r="AP388" s="193"/>
      <c r="AQ388" s="180"/>
      <c r="AR388" s="180"/>
      <c r="AS388" s="180"/>
      <c r="AT388" s="180"/>
      <c r="AU388" s="180"/>
      <c r="AV388" s="180"/>
      <c r="AW388" s="180"/>
    </row>
    <row r="389" spans="1:49" s="4" customFormat="1">
      <c r="A389" s="180"/>
      <c r="B389" s="502" t="s">
        <v>484</v>
      </c>
      <c r="C389" s="47"/>
      <c r="D389" s="47"/>
      <c r="E389" s="319">
        <v>8</v>
      </c>
      <c r="F389" s="646"/>
      <c r="H389" s="47"/>
      <c r="I389" s="47"/>
      <c r="J389" s="319">
        <v>7</v>
      </c>
      <c r="K389" s="646"/>
      <c r="M389" s="47"/>
      <c r="N389" s="47"/>
      <c r="O389" s="319">
        <v>8</v>
      </c>
      <c r="P389" s="646"/>
      <c r="R389" s="47"/>
      <c r="S389" s="47"/>
      <c r="T389" s="319">
        <v>8</v>
      </c>
      <c r="U389" s="646">
        <v>2</v>
      </c>
      <c r="W389" s="47"/>
      <c r="X389" s="47"/>
      <c r="Y389" s="319">
        <v>2</v>
      </c>
      <c r="Z389" s="646"/>
      <c r="AA389" s="328">
        <f t="shared" si="61"/>
        <v>33</v>
      </c>
      <c r="AB389" s="298">
        <f t="shared" si="62"/>
        <v>2</v>
      </c>
      <c r="AD389" s="47"/>
      <c r="AE389" s="47"/>
      <c r="AF389" s="319"/>
      <c r="AG389" s="328">
        <f t="shared" si="63"/>
        <v>0</v>
      </c>
      <c r="AI389" s="255"/>
      <c r="AJ389" s="180"/>
      <c r="AK389" s="193"/>
      <c r="AL389" s="193"/>
      <c r="AM389" s="193"/>
      <c r="AN389" s="193"/>
      <c r="AO389" s="193"/>
      <c r="AP389" s="193"/>
      <c r="AQ389" s="180"/>
      <c r="AR389" s="180"/>
      <c r="AS389" s="180"/>
      <c r="AT389" s="180"/>
      <c r="AU389" s="180"/>
      <c r="AV389" s="180"/>
      <c r="AW389" s="180"/>
    </row>
    <row r="390" spans="1:49" s="4" customFormat="1">
      <c r="A390" s="180"/>
      <c r="B390" s="502" t="s">
        <v>485</v>
      </c>
      <c r="C390" s="47"/>
      <c r="D390" s="47"/>
      <c r="E390" s="319">
        <v>8</v>
      </c>
      <c r="F390" s="646"/>
      <c r="H390" s="47"/>
      <c r="I390" s="47"/>
      <c r="J390" s="319">
        <v>7</v>
      </c>
      <c r="K390" s="646"/>
      <c r="M390" s="47"/>
      <c r="N390" s="47"/>
      <c r="O390" s="319">
        <v>8</v>
      </c>
      <c r="P390" s="646"/>
      <c r="R390" s="47"/>
      <c r="S390" s="47"/>
      <c r="T390" s="319">
        <v>8</v>
      </c>
      <c r="U390" s="646">
        <v>2</v>
      </c>
      <c r="W390" s="47"/>
      <c r="X390" s="47"/>
      <c r="Y390" s="319">
        <v>8</v>
      </c>
      <c r="Z390" s="646">
        <v>0.5</v>
      </c>
      <c r="AA390" s="328">
        <f t="shared" si="61"/>
        <v>39</v>
      </c>
      <c r="AB390" s="298">
        <f t="shared" si="62"/>
        <v>2.5</v>
      </c>
      <c r="AD390" s="47"/>
      <c r="AE390" s="47"/>
      <c r="AF390" s="319"/>
      <c r="AG390" s="328">
        <f t="shared" si="63"/>
        <v>0</v>
      </c>
      <c r="AI390" s="255"/>
      <c r="AJ390" s="180"/>
      <c r="AK390" s="193"/>
      <c r="AL390" s="193"/>
      <c r="AM390" s="193"/>
      <c r="AN390" s="193"/>
      <c r="AO390" s="193"/>
      <c r="AP390" s="193"/>
      <c r="AQ390" s="180"/>
      <c r="AR390" s="180"/>
      <c r="AS390" s="180"/>
      <c r="AT390" s="180"/>
      <c r="AU390" s="180"/>
      <c r="AV390" s="180"/>
      <c r="AW390" s="180"/>
    </row>
    <row r="391" spans="1:49" s="4" customFormat="1">
      <c r="A391" s="180"/>
      <c r="B391" s="502" t="s">
        <v>486</v>
      </c>
      <c r="C391" s="5"/>
      <c r="D391" s="5"/>
      <c r="E391" s="319"/>
      <c r="F391" s="646"/>
      <c r="H391" s="5"/>
      <c r="I391" s="5"/>
      <c r="J391" s="319"/>
      <c r="K391" s="646"/>
      <c r="M391" s="5"/>
      <c r="N391" s="5"/>
      <c r="O391" s="319"/>
      <c r="P391" s="646"/>
      <c r="R391" s="5"/>
      <c r="S391" s="5"/>
      <c r="T391" s="319"/>
      <c r="U391" s="646"/>
      <c r="W391" s="5"/>
      <c r="X391" s="5"/>
      <c r="Y391" s="319"/>
      <c r="Z391" s="646"/>
      <c r="AA391" s="328">
        <f t="shared" si="61"/>
        <v>0</v>
      </c>
      <c r="AB391" s="298">
        <f t="shared" si="62"/>
        <v>0</v>
      </c>
      <c r="AD391" s="47"/>
      <c r="AE391" s="47"/>
      <c r="AF391" s="319"/>
      <c r="AG391" s="328">
        <f t="shared" si="63"/>
        <v>0</v>
      </c>
      <c r="AI391" s="255"/>
      <c r="AJ391" s="180"/>
      <c r="AK391" s="193"/>
      <c r="AL391" s="193"/>
      <c r="AM391" s="193"/>
      <c r="AN391" s="193"/>
      <c r="AO391" s="193"/>
      <c r="AP391" s="193"/>
      <c r="AQ391" s="180"/>
      <c r="AR391" s="180"/>
      <c r="AS391" s="180"/>
      <c r="AT391" s="180"/>
      <c r="AU391" s="180"/>
      <c r="AV391" s="180"/>
      <c r="AW391" s="180"/>
    </row>
    <row r="392" spans="1:49" s="4" customFormat="1">
      <c r="A392" s="180"/>
      <c r="B392" s="63" t="s">
        <v>63</v>
      </c>
      <c r="C392" s="663"/>
      <c r="D392" s="663"/>
      <c r="E392" s="319">
        <v>8</v>
      </c>
      <c r="F392" s="646"/>
      <c r="H392" s="663"/>
      <c r="I392" s="663"/>
      <c r="J392" s="319">
        <v>8</v>
      </c>
      <c r="K392" s="646"/>
      <c r="M392" s="47"/>
      <c r="N392" s="47"/>
      <c r="O392" s="319">
        <v>8</v>
      </c>
      <c r="P392" s="646">
        <v>0.25</v>
      </c>
      <c r="R392" s="663"/>
      <c r="S392" s="663"/>
      <c r="T392" s="319">
        <v>8</v>
      </c>
      <c r="U392" s="646">
        <v>0.25</v>
      </c>
      <c r="W392" s="663"/>
      <c r="X392" s="663"/>
      <c r="Y392" s="319">
        <v>8</v>
      </c>
      <c r="Z392" s="646">
        <v>1.5</v>
      </c>
      <c r="AA392" s="328">
        <f t="shared" si="61"/>
        <v>40</v>
      </c>
      <c r="AB392" s="298">
        <f t="shared" si="62"/>
        <v>2</v>
      </c>
      <c r="AD392" s="47"/>
      <c r="AE392" s="47"/>
      <c r="AF392" s="319"/>
      <c r="AG392" s="328">
        <f t="shared" si="63"/>
        <v>0</v>
      </c>
      <c r="AI392" s="255"/>
      <c r="AJ392" s="180"/>
      <c r="AK392" s="193"/>
      <c r="AL392" s="193"/>
      <c r="AM392" s="193"/>
      <c r="AN392" s="193"/>
      <c r="AO392" s="193"/>
      <c r="AP392" s="193"/>
      <c r="AQ392" s="180"/>
      <c r="AR392" s="180"/>
      <c r="AS392" s="180"/>
      <c r="AT392" s="180"/>
      <c r="AU392" s="180"/>
      <c r="AV392" s="180"/>
      <c r="AW392" s="180"/>
    </row>
    <row r="393" spans="1:49" s="4" customFormat="1">
      <c r="A393" s="180"/>
      <c r="B393" s="267" t="s">
        <v>358</v>
      </c>
      <c r="C393" s="663"/>
      <c r="D393" s="663"/>
      <c r="E393" s="319">
        <v>8</v>
      </c>
      <c r="F393" s="646"/>
      <c r="G393" s="438"/>
      <c r="H393" s="663"/>
      <c r="I393" s="663"/>
      <c r="J393" s="319">
        <v>8</v>
      </c>
      <c r="K393" s="646"/>
      <c r="L393" s="438"/>
      <c r="M393" s="663"/>
      <c r="N393" s="663"/>
      <c r="O393" s="319">
        <v>8</v>
      </c>
      <c r="P393" s="646"/>
      <c r="Q393" s="438"/>
      <c r="R393" s="663"/>
      <c r="S393" s="663"/>
      <c r="T393" s="319">
        <v>8</v>
      </c>
      <c r="U393" s="646"/>
      <c r="V393" s="438"/>
      <c r="W393" s="663"/>
      <c r="X393" s="663"/>
      <c r="Y393" s="319">
        <v>8</v>
      </c>
      <c r="Z393" s="646"/>
      <c r="AA393" s="328">
        <f t="shared" si="61"/>
        <v>40</v>
      </c>
      <c r="AB393" s="298">
        <f t="shared" si="62"/>
        <v>0</v>
      </c>
      <c r="AD393" s="47"/>
      <c r="AE393" s="47"/>
      <c r="AF393" s="319"/>
      <c r="AG393" s="328">
        <f t="shared" si="63"/>
        <v>0</v>
      </c>
      <c r="AI393" s="255"/>
      <c r="AJ393" s="180"/>
      <c r="AK393" s="193"/>
      <c r="AL393" s="193"/>
      <c r="AM393" s="193"/>
      <c r="AN393" s="193"/>
      <c r="AO393" s="193"/>
      <c r="AP393" s="193"/>
      <c r="AQ393" s="180"/>
      <c r="AR393" s="180"/>
      <c r="AS393" s="180"/>
      <c r="AT393" s="180"/>
      <c r="AU393" s="180"/>
      <c r="AV393" s="180"/>
      <c r="AW393" s="180"/>
    </row>
    <row r="394" spans="1:49" s="193" customFormat="1">
      <c r="A394" s="180"/>
      <c r="B394" s="267" t="s">
        <v>991</v>
      </c>
      <c r="C394" s="5"/>
      <c r="D394" s="5"/>
      <c r="E394" s="319"/>
      <c r="F394" s="646"/>
      <c r="G394" s="438"/>
      <c r="H394" s="5"/>
      <c r="I394" s="5"/>
      <c r="J394" s="319"/>
      <c r="K394" s="646"/>
      <c r="L394" s="438"/>
      <c r="M394" s="5"/>
      <c r="N394" s="5"/>
      <c r="O394" s="319"/>
      <c r="P394" s="646"/>
      <c r="Q394" s="438"/>
      <c r="R394" s="5"/>
      <c r="S394" s="5"/>
      <c r="T394" s="319"/>
      <c r="U394" s="646"/>
      <c r="V394" s="438"/>
      <c r="W394" s="5"/>
      <c r="X394" s="5"/>
      <c r="Y394" s="319"/>
      <c r="Z394" s="646"/>
      <c r="AA394" s="328">
        <f t="shared" si="61"/>
        <v>0</v>
      </c>
      <c r="AB394" s="298">
        <f t="shared" si="62"/>
        <v>0</v>
      </c>
      <c r="AC394" s="4"/>
      <c r="AD394" s="47"/>
      <c r="AE394" s="47"/>
      <c r="AF394" s="319"/>
      <c r="AG394" s="328">
        <f t="shared" si="63"/>
        <v>0</v>
      </c>
      <c r="AH394" s="4"/>
      <c r="AI394" s="255"/>
      <c r="AJ394" s="180"/>
      <c r="AQ394" s="180"/>
      <c r="AR394" s="180"/>
      <c r="AS394" s="180"/>
      <c r="AT394" s="180"/>
      <c r="AU394" s="180"/>
      <c r="AV394" s="180"/>
      <c r="AW394" s="180"/>
    </row>
    <row r="395" spans="1:49" s="193" customFormat="1">
      <c r="A395" s="180"/>
      <c r="B395" s="267" t="s">
        <v>411</v>
      </c>
      <c r="C395" s="5"/>
      <c r="D395" s="5"/>
      <c r="E395" s="319"/>
      <c r="F395" s="646"/>
      <c r="G395" s="438"/>
      <c r="H395" s="5"/>
      <c r="I395" s="5"/>
      <c r="J395" s="319"/>
      <c r="K395" s="646"/>
      <c r="L395" s="438"/>
      <c r="M395" s="5"/>
      <c r="N395" s="5"/>
      <c r="O395" s="319"/>
      <c r="P395" s="646"/>
      <c r="Q395" s="438"/>
      <c r="R395" s="5"/>
      <c r="S395" s="5"/>
      <c r="T395" s="319"/>
      <c r="U395" s="646"/>
      <c r="V395" s="438"/>
      <c r="W395" s="5"/>
      <c r="X395" s="5"/>
      <c r="Y395" s="319"/>
      <c r="Z395" s="646"/>
      <c r="AA395" s="328">
        <f t="shared" si="61"/>
        <v>0</v>
      </c>
      <c r="AB395" s="298">
        <f t="shared" si="62"/>
        <v>0</v>
      </c>
      <c r="AC395" s="4"/>
      <c r="AD395" s="47"/>
      <c r="AE395" s="47"/>
      <c r="AF395" s="319"/>
      <c r="AG395" s="328">
        <f t="shared" si="63"/>
        <v>0</v>
      </c>
      <c r="AH395" s="4"/>
      <c r="AI395" s="255"/>
      <c r="AJ395" s="180"/>
      <c r="AQ395" s="180"/>
      <c r="AR395" s="180"/>
      <c r="AS395" s="180"/>
      <c r="AT395" s="180"/>
      <c r="AU395" s="180"/>
      <c r="AV395" s="180"/>
      <c r="AW395" s="180"/>
    </row>
    <row r="396" spans="1:49" s="193" customFormat="1">
      <c r="A396" s="180"/>
      <c r="B396" s="267" t="s">
        <v>361</v>
      </c>
      <c r="C396" s="5"/>
      <c r="D396" s="5"/>
      <c r="E396" s="319"/>
      <c r="F396" s="646"/>
      <c r="G396" s="438"/>
      <c r="H396" s="5"/>
      <c r="I396" s="5"/>
      <c r="J396" s="319"/>
      <c r="K396" s="646"/>
      <c r="L396" s="438"/>
      <c r="M396" s="5"/>
      <c r="N396" s="5"/>
      <c r="O396" s="319"/>
      <c r="P396" s="646"/>
      <c r="Q396" s="438"/>
      <c r="R396" s="5"/>
      <c r="S396" s="5"/>
      <c r="T396" s="319"/>
      <c r="U396" s="646"/>
      <c r="V396" s="438"/>
      <c r="W396" s="5"/>
      <c r="X396" s="5"/>
      <c r="Y396" s="319"/>
      <c r="Z396" s="646"/>
      <c r="AA396" s="328">
        <f t="shared" si="61"/>
        <v>0</v>
      </c>
      <c r="AB396" s="298">
        <f t="shared" si="62"/>
        <v>0</v>
      </c>
      <c r="AC396" s="4"/>
      <c r="AD396" s="47"/>
      <c r="AE396" s="47"/>
      <c r="AF396" s="319"/>
      <c r="AG396" s="328">
        <f t="shared" si="63"/>
        <v>0</v>
      </c>
      <c r="AH396" s="4"/>
      <c r="AI396" s="255"/>
      <c r="AJ396" s="180"/>
      <c r="AQ396" s="180"/>
      <c r="AR396" s="180"/>
      <c r="AS396" s="180"/>
      <c r="AT396" s="180"/>
      <c r="AU396" s="180"/>
      <c r="AV396" s="180"/>
      <c r="AW396" s="180"/>
    </row>
    <row r="397" spans="1:49" s="193" customFormat="1">
      <c r="A397" s="180"/>
      <c r="B397" s="267" t="s">
        <v>362</v>
      </c>
      <c r="C397" s="47"/>
      <c r="D397" s="47"/>
      <c r="E397" s="319">
        <v>2</v>
      </c>
      <c r="F397" s="646"/>
      <c r="G397" s="438"/>
      <c r="H397" s="47"/>
      <c r="I397" s="47"/>
      <c r="J397" s="319">
        <v>2</v>
      </c>
      <c r="K397" s="646"/>
      <c r="L397" s="438"/>
      <c r="M397" s="47"/>
      <c r="N397" s="47"/>
      <c r="O397" s="319">
        <v>2</v>
      </c>
      <c r="P397" s="646"/>
      <c r="Q397" s="438"/>
      <c r="R397" s="47"/>
      <c r="S397" s="47"/>
      <c r="T397" s="319">
        <v>0</v>
      </c>
      <c r="U397" s="646"/>
      <c r="V397" s="438"/>
      <c r="W397" s="5"/>
      <c r="X397" s="5"/>
      <c r="Y397" s="319">
        <v>0</v>
      </c>
      <c r="Z397" s="646"/>
      <c r="AA397" s="328">
        <f t="shared" si="61"/>
        <v>6</v>
      </c>
      <c r="AB397" s="298">
        <f t="shared" si="62"/>
        <v>0</v>
      </c>
      <c r="AC397" s="4"/>
      <c r="AD397" s="47"/>
      <c r="AE397" s="47"/>
      <c r="AF397" s="319"/>
      <c r="AG397" s="328">
        <f t="shared" si="63"/>
        <v>0</v>
      </c>
      <c r="AH397" s="4"/>
      <c r="AI397" s="255"/>
      <c r="AJ397" s="180"/>
      <c r="AQ397" s="180"/>
      <c r="AR397" s="180"/>
      <c r="AS397" s="180"/>
      <c r="AT397" s="180"/>
      <c r="AU397" s="180"/>
      <c r="AV397" s="180"/>
      <c r="AW397" s="180"/>
    </row>
    <row r="398" spans="1:49" s="193" customFormat="1">
      <c r="A398" s="180"/>
      <c r="B398" s="437" t="s">
        <v>355</v>
      </c>
      <c r="C398" s="5"/>
      <c r="D398" s="5"/>
      <c r="E398" s="319">
        <v>7.7</v>
      </c>
      <c r="F398" s="646"/>
      <c r="G398" s="438"/>
      <c r="H398" s="5"/>
      <c r="I398" s="5"/>
      <c r="J398" s="319">
        <v>7.7</v>
      </c>
      <c r="K398" s="646"/>
      <c r="L398" s="438"/>
      <c r="M398" s="5"/>
      <c r="N398" s="5"/>
      <c r="O398" s="319">
        <v>7.7</v>
      </c>
      <c r="P398" s="646"/>
      <c r="Q398" s="438"/>
      <c r="R398" s="5"/>
      <c r="S398" s="5"/>
      <c r="T398" s="319">
        <v>7.7</v>
      </c>
      <c r="U398" s="646"/>
      <c r="V398" s="438"/>
      <c r="W398" s="5"/>
      <c r="X398" s="5"/>
      <c r="Y398" s="319"/>
      <c r="Z398" s="646"/>
      <c r="AA398" s="328">
        <f t="shared" si="61"/>
        <v>30.8</v>
      </c>
      <c r="AB398" s="298">
        <f t="shared" si="62"/>
        <v>0</v>
      </c>
      <c r="AC398" s="4"/>
      <c r="AD398" s="47"/>
      <c r="AE398" s="47"/>
      <c r="AF398" s="319"/>
      <c r="AG398" s="328">
        <f t="shared" si="63"/>
        <v>0</v>
      </c>
      <c r="AH398" s="4"/>
      <c r="AI398" s="255"/>
      <c r="AJ398" s="180"/>
      <c r="AQ398" s="180"/>
      <c r="AR398" s="180"/>
      <c r="AS398" s="180"/>
      <c r="AT398" s="180"/>
      <c r="AU398" s="180"/>
      <c r="AV398" s="180"/>
      <c r="AW398" s="180"/>
    </row>
    <row r="399" spans="1:49" s="193" customFormat="1">
      <c r="A399" s="180"/>
      <c r="B399" s="437" t="s">
        <v>356</v>
      </c>
      <c r="C399" s="5"/>
      <c r="D399" s="5"/>
      <c r="E399" s="319">
        <v>37.1</v>
      </c>
      <c r="F399" s="646"/>
      <c r="G399" s="438"/>
      <c r="H399" s="5"/>
      <c r="I399" s="5"/>
      <c r="J399" s="319"/>
      <c r="K399" s="646"/>
      <c r="L399" s="438"/>
      <c r="M399" s="5"/>
      <c r="N399" s="5"/>
      <c r="O399" s="319">
        <v>17.8</v>
      </c>
      <c r="P399" s="646"/>
      <c r="Q399" s="438"/>
      <c r="R399" s="5"/>
      <c r="S399" s="5"/>
      <c r="T399" s="319"/>
      <c r="U399" s="646"/>
      <c r="V399" s="438"/>
      <c r="W399" s="5"/>
      <c r="X399" s="5"/>
      <c r="Y399" s="319"/>
      <c r="Z399" s="646"/>
      <c r="AA399" s="328">
        <f t="shared" si="61"/>
        <v>54.900000000000006</v>
      </c>
      <c r="AB399" s="298">
        <f t="shared" si="62"/>
        <v>0</v>
      </c>
      <c r="AC399" s="4"/>
      <c r="AD399" s="47"/>
      <c r="AE399" s="47"/>
      <c r="AF399" s="319"/>
      <c r="AG399" s="328">
        <f t="shared" si="63"/>
        <v>0</v>
      </c>
      <c r="AH399" s="4"/>
      <c r="AI399" s="255"/>
      <c r="AJ399" s="180"/>
      <c r="AQ399" s="180"/>
      <c r="AR399" s="180"/>
      <c r="AS399" s="180"/>
      <c r="AT399" s="180"/>
      <c r="AU399" s="180"/>
      <c r="AV399" s="180"/>
      <c r="AW399" s="180"/>
    </row>
    <row r="400" spans="1:49" s="193" customFormat="1">
      <c r="A400" s="180"/>
      <c r="B400" s="64" t="s">
        <v>61</v>
      </c>
      <c r="C400" s="31"/>
      <c r="D400" s="31"/>
      <c r="E400" s="439">
        <f>SUM(E366:E399)</f>
        <v>190.79999999999998</v>
      </c>
      <c r="F400" s="646">
        <f>SUM(F366:F399)</f>
        <v>0</v>
      </c>
      <c r="G400" s="31"/>
      <c r="H400" s="31"/>
      <c r="I400" s="31"/>
      <c r="J400" s="439">
        <f>SUM(J366:J399)</f>
        <v>134.69999999999999</v>
      </c>
      <c r="K400" s="646">
        <f>SUM(K366:K399)</f>
        <v>0</v>
      </c>
      <c r="L400" s="31"/>
      <c r="M400" s="31"/>
      <c r="N400" s="31"/>
      <c r="O400" s="439">
        <f>SUM(O366:O399)</f>
        <v>179</v>
      </c>
      <c r="P400" s="646">
        <f>SUM(P366:P399)</f>
        <v>0.25</v>
      </c>
      <c r="Q400" s="31"/>
      <c r="R400" s="31"/>
      <c r="S400" s="31"/>
      <c r="T400" s="439">
        <f>SUM(T366:T399)</f>
        <v>159.69999999999999</v>
      </c>
      <c r="U400" s="646">
        <f>SUM(U366:U399)</f>
        <v>6.25</v>
      </c>
      <c r="V400" s="31"/>
      <c r="W400" s="31"/>
      <c r="X400" s="31"/>
      <c r="Y400" s="439">
        <f>SUM(Y366:Y399)</f>
        <v>149</v>
      </c>
      <c r="Z400" s="646">
        <f>SUM(Z366:Z399)</f>
        <v>2</v>
      </c>
      <c r="AA400" s="370">
        <f>SUM(AA366:AA399)</f>
        <v>813.19999999999993</v>
      </c>
      <c r="AB400" s="370">
        <f>SUM(AB366:AB399)</f>
        <v>8.5</v>
      </c>
      <c r="AC400" s="4"/>
      <c r="AD400" s="64"/>
      <c r="AE400" s="64"/>
      <c r="AF400" s="370">
        <f>SUM(AF366:AF399)</f>
        <v>0</v>
      </c>
      <c r="AG400" s="370">
        <f>SUM(AG366:AG399)</f>
        <v>0</v>
      </c>
      <c r="AH400" s="4"/>
      <c r="AI400" s="255"/>
      <c r="AJ400" s="180"/>
      <c r="AK400" s="407"/>
      <c r="AQ400" s="180"/>
      <c r="AR400" s="180"/>
      <c r="AS400" s="180"/>
      <c r="AT400" s="180"/>
      <c r="AU400" s="180"/>
      <c r="AV400" s="180"/>
      <c r="AW400" s="180"/>
    </row>
    <row r="401" spans="1:49" s="193" customFormat="1">
      <c r="A401" s="180"/>
      <c r="B401" s="63" t="s">
        <v>64</v>
      </c>
      <c r="C401" s="47"/>
      <c r="D401" s="47"/>
      <c r="E401" s="319">
        <v>8</v>
      </c>
      <c r="F401" s="346"/>
      <c r="G401" s="613"/>
      <c r="H401" s="47"/>
      <c r="I401" s="47"/>
      <c r="J401" s="319">
        <v>8</v>
      </c>
      <c r="K401" s="346"/>
      <c r="L401" s="60"/>
      <c r="M401" s="47"/>
      <c r="N401" s="47"/>
      <c r="O401" s="319">
        <v>8</v>
      </c>
      <c r="P401" s="346">
        <v>0.5</v>
      </c>
      <c r="Q401" s="60"/>
      <c r="R401" s="47"/>
      <c r="S401" s="47"/>
      <c r="T401" s="319">
        <v>8</v>
      </c>
      <c r="U401" s="346">
        <v>0.75</v>
      </c>
      <c r="V401" s="60"/>
      <c r="W401" s="47"/>
      <c r="X401" s="47"/>
      <c r="Y401" s="319">
        <v>8</v>
      </c>
      <c r="Z401" s="346"/>
      <c r="AA401" s="28">
        <f>SUM(E401+J401+O401+T401+Y401)</f>
        <v>40</v>
      </c>
      <c r="AB401" s="296">
        <f>Z401+U401+P401+K401+F401</f>
        <v>1.25</v>
      </c>
      <c r="AC401" s="4"/>
      <c r="AD401" s="47" t="s">
        <v>29</v>
      </c>
      <c r="AE401" s="47" t="s">
        <v>29</v>
      </c>
      <c r="AF401" s="319"/>
      <c r="AG401" s="29">
        <f>AF401</f>
        <v>0</v>
      </c>
      <c r="AH401" s="4"/>
      <c r="AI401" s="255"/>
      <c r="AJ401" s="180"/>
      <c r="AK401" s="407"/>
      <c r="AQ401" s="180"/>
      <c r="AR401" s="180"/>
      <c r="AS401" s="180"/>
      <c r="AT401" s="180"/>
      <c r="AU401" s="180"/>
      <c r="AV401" s="180"/>
      <c r="AW401" s="180"/>
    </row>
    <row r="402" spans="1:49" s="193" customFormat="1">
      <c r="A402" s="180"/>
      <c r="B402" s="71" t="s">
        <v>66</v>
      </c>
      <c r="C402" s="371"/>
      <c r="D402" s="371"/>
      <c r="E402" s="71"/>
      <c r="F402" s="613"/>
      <c r="G402" s="71"/>
      <c r="H402" s="71"/>
      <c r="I402" s="71"/>
      <c r="J402" s="71"/>
      <c r="K402" s="613"/>
      <c r="L402" s="71"/>
      <c r="M402" s="71"/>
      <c r="N402" s="71"/>
      <c r="O402" s="71"/>
      <c r="P402" s="613"/>
      <c r="Q402" s="71"/>
      <c r="R402" s="71"/>
      <c r="S402" s="71"/>
      <c r="T402" s="71"/>
      <c r="U402" s="613"/>
      <c r="V402" s="71"/>
      <c r="W402" s="71"/>
      <c r="X402" s="71"/>
      <c r="Y402" s="71"/>
      <c r="Z402" s="613"/>
      <c r="AA402" s="370">
        <f>SUM(AA401:AA401)</f>
        <v>40</v>
      </c>
      <c r="AB402" s="370">
        <f>SUM(AB401:AB401)</f>
        <v>1.25</v>
      </c>
      <c r="AC402" s="4"/>
      <c r="AD402" s="180"/>
      <c r="AE402" s="180"/>
      <c r="AF402" s="180"/>
      <c r="AG402" s="370">
        <f>SUM(AG401:AG401)</f>
        <v>0</v>
      </c>
      <c r="AH402" s="4"/>
      <c r="AI402" s="255"/>
      <c r="AJ402" s="180"/>
      <c r="AK402" s="407"/>
      <c r="AQ402" s="180"/>
      <c r="AR402" s="180"/>
      <c r="AS402" s="180"/>
      <c r="AT402" s="180"/>
      <c r="AU402" s="180"/>
      <c r="AV402" s="180"/>
      <c r="AW402" s="180"/>
    </row>
    <row r="403" spans="1:49" s="193" customFormat="1">
      <c r="A403" s="180"/>
      <c r="B403" s="217" t="s">
        <v>67</v>
      </c>
      <c r="C403" s="207">
        <f>C404+C405</f>
        <v>56</v>
      </c>
      <c r="D403" s="207"/>
      <c r="E403" s="209"/>
      <c r="F403" s="209"/>
      <c r="G403" s="207"/>
      <c r="H403" s="209"/>
      <c r="I403" s="209"/>
      <c r="J403" s="209"/>
      <c r="K403" s="209"/>
      <c r="L403" s="207"/>
      <c r="M403" s="207"/>
      <c r="N403" s="207"/>
      <c r="O403" s="207"/>
      <c r="P403" s="209"/>
      <c r="Q403" s="207"/>
      <c r="R403" s="207"/>
      <c r="S403" s="207"/>
      <c r="T403" s="207"/>
      <c r="U403" s="209"/>
      <c r="V403" s="207"/>
      <c r="W403" s="207"/>
      <c r="X403" s="207"/>
      <c r="Y403" s="210"/>
      <c r="Z403" s="209"/>
      <c r="AA403" s="211"/>
      <c r="AB403" s="209"/>
      <c r="AC403" s="211"/>
      <c r="AD403" s="211"/>
      <c r="AE403" s="211"/>
      <c r="AF403" s="211"/>
      <c r="AG403" s="211"/>
      <c r="AH403" s="4"/>
      <c r="AI403" s="255"/>
      <c r="AJ403" s="180"/>
      <c r="AQ403" s="180"/>
      <c r="AR403" s="180"/>
      <c r="AS403" s="180"/>
      <c r="AT403" s="180"/>
      <c r="AU403" s="180"/>
      <c r="AV403" s="180"/>
      <c r="AW403" s="180"/>
    </row>
    <row r="404" spans="1:49" s="193" customFormat="1">
      <c r="A404" s="180"/>
      <c r="B404" s="238" t="s">
        <v>68</v>
      </c>
      <c r="C404" s="239">
        <f>14+10+17+14</f>
        <v>55</v>
      </c>
      <c r="D404" s="207"/>
      <c r="E404" s="209"/>
      <c r="F404" s="209"/>
      <c r="G404" s="207"/>
      <c r="H404" s="209"/>
      <c r="I404" s="209"/>
      <c r="J404" s="209"/>
      <c r="K404" s="209"/>
      <c r="L404" s="207"/>
      <c r="M404" s="207"/>
      <c r="N404" s="207"/>
      <c r="O404" s="207"/>
      <c r="P404" s="209"/>
      <c r="Q404" s="207"/>
      <c r="R404" s="207"/>
      <c r="S404" s="207"/>
      <c r="T404" s="207"/>
      <c r="U404" s="209"/>
      <c r="V404" s="207"/>
      <c r="W404" s="207"/>
      <c r="X404" s="207"/>
      <c r="Y404" s="210"/>
      <c r="Z404" s="209"/>
      <c r="AA404" s="211"/>
      <c r="AB404" s="209"/>
      <c r="AC404" s="211"/>
      <c r="AD404" s="211"/>
      <c r="AE404" s="211"/>
      <c r="AF404" s="211"/>
      <c r="AG404" s="211"/>
      <c r="AH404" s="4"/>
      <c r="AI404" s="255"/>
      <c r="AJ404" s="180"/>
      <c r="AQ404" s="180"/>
      <c r="AR404" s="180"/>
      <c r="AS404" s="180"/>
      <c r="AT404" s="180"/>
      <c r="AU404" s="180"/>
      <c r="AV404" s="180"/>
      <c r="AW404" s="180"/>
    </row>
    <row r="405" spans="1:49" s="193" customFormat="1">
      <c r="A405" s="180"/>
      <c r="B405" s="238" t="s">
        <v>69</v>
      </c>
      <c r="C405" s="239">
        <f>1</f>
        <v>1</v>
      </c>
      <c r="D405" s="207"/>
      <c r="E405" s="209"/>
      <c r="F405" s="209"/>
      <c r="G405" s="207"/>
      <c r="H405" s="209"/>
      <c r="I405" s="209"/>
      <c r="J405" s="209"/>
      <c r="K405" s="209"/>
      <c r="L405" s="207"/>
      <c r="M405" s="207"/>
      <c r="N405" s="207"/>
      <c r="O405" s="207"/>
      <c r="P405" s="209"/>
      <c r="Q405" s="207"/>
      <c r="R405" s="207"/>
      <c r="S405" s="207"/>
      <c r="T405" s="207"/>
      <c r="U405" s="209"/>
      <c r="V405" s="207"/>
      <c r="W405" s="207"/>
      <c r="X405" s="207"/>
      <c r="Y405" s="210"/>
      <c r="Z405" s="209"/>
      <c r="AA405" s="211"/>
      <c r="AB405" s="209"/>
      <c r="AC405" s="211"/>
      <c r="AD405" s="211"/>
      <c r="AE405" s="211"/>
      <c r="AF405" s="211"/>
      <c r="AG405" s="211"/>
      <c r="AH405" s="4"/>
      <c r="AI405" s="255"/>
      <c r="AJ405" s="180"/>
      <c r="AQ405" s="180"/>
      <c r="AR405" s="180"/>
      <c r="AS405" s="180"/>
      <c r="AT405" s="180"/>
      <c r="AU405" s="180"/>
      <c r="AV405" s="180"/>
      <c r="AW405" s="180"/>
    </row>
    <row r="406" spans="1:49" s="180" customFormat="1">
      <c r="A406" s="313"/>
      <c r="E406" s="4"/>
      <c r="F406" s="644"/>
      <c r="G406" s="4"/>
      <c r="J406" s="4"/>
      <c r="K406" s="644"/>
      <c r="L406" s="4"/>
      <c r="O406" s="4"/>
      <c r="P406" s="644"/>
      <c r="Q406" s="4"/>
      <c r="T406" s="4"/>
      <c r="U406" s="644"/>
      <c r="V406" s="4"/>
      <c r="Y406" s="4"/>
      <c r="Z406" s="644"/>
      <c r="AA406" s="4"/>
      <c r="AB406" s="4"/>
      <c r="AC406" s="4"/>
      <c r="AH406" s="4"/>
      <c r="AI406" s="255"/>
      <c r="AK406" s="193"/>
      <c r="AL406" s="193"/>
      <c r="AM406" s="193"/>
      <c r="AN406" s="193"/>
      <c r="AO406" s="193"/>
      <c r="AP406" s="193"/>
    </row>
    <row r="407" spans="1:49">
      <c r="A407" s="180"/>
      <c r="B407" s="229"/>
      <c r="C407" s="230"/>
      <c r="D407" s="230"/>
      <c r="E407" s="232"/>
      <c r="F407" s="232"/>
      <c r="G407" s="230"/>
      <c r="H407" s="232"/>
      <c r="I407" s="232"/>
      <c r="J407" s="232"/>
      <c r="K407" s="232"/>
      <c r="L407" s="230"/>
      <c r="M407" s="230"/>
      <c r="N407" s="230"/>
      <c r="O407" s="230"/>
      <c r="P407" s="232"/>
      <c r="Q407" s="230"/>
      <c r="R407" s="230"/>
      <c r="S407" s="230"/>
      <c r="T407" s="230"/>
      <c r="U407" s="232"/>
      <c r="V407" s="230"/>
      <c r="W407" s="230"/>
      <c r="X407" s="230"/>
      <c r="Y407" s="233"/>
      <c r="Z407" s="232"/>
      <c r="AA407" s="234"/>
      <c r="AB407" s="232"/>
      <c r="AC407" s="373"/>
      <c r="AD407" s="236"/>
      <c r="AE407" s="255"/>
      <c r="AF407" s="255"/>
      <c r="AG407" s="255"/>
      <c r="AH407" s="255"/>
      <c r="AJ407" s="255"/>
      <c r="AK407" s="255"/>
      <c r="AL407" s="255"/>
      <c r="AM407" s="255"/>
      <c r="AN407" s="255"/>
      <c r="AO407" s="255"/>
      <c r="AP407" s="255"/>
      <c r="AQ407" s="255"/>
      <c r="AR407" s="255"/>
      <c r="AS407" s="255"/>
      <c r="AT407" s="255"/>
      <c r="AU407" s="255"/>
      <c r="AV407" s="255"/>
      <c r="AW407" s="255"/>
    </row>
    <row r="408" spans="1:49">
      <c r="B408" s="180"/>
      <c r="E408" s="4"/>
      <c r="F408" s="644"/>
      <c r="G408" s="4"/>
      <c r="J408" s="4"/>
      <c r="K408" s="644"/>
      <c r="L408" s="4"/>
      <c r="O408" s="4"/>
      <c r="P408" s="644"/>
      <c r="T408" s="4"/>
      <c r="U408" s="644"/>
      <c r="Y408" s="4"/>
      <c r="Z408" s="644"/>
      <c r="AA408" s="4"/>
      <c r="AB408" s="4"/>
      <c r="AC408" s="4"/>
      <c r="AK408" s="180"/>
      <c r="AL408" s="180"/>
      <c r="AM408" s="180"/>
      <c r="AN408" s="180"/>
      <c r="AO408" s="180"/>
      <c r="AP408" s="180"/>
    </row>
    <row r="409" spans="1:49">
      <c r="A409" s="228"/>
      <c r="B409" s="1518" t="s">
        <v>18</v>
      </c>
      <c r="C409" s="1519">
        <v>45607</v>
      </c>
      <c r="D409" s="1519"/>
      <c r="E409" s="1519"/>
      <c r="F409" s="1519"/>
      <c r="G409" s="365"/>
      <c r="H409" s="1519">
        <v>45608</v>
      </c>
      <c r="I409" s="1519"/>
      <c r="J409" s="1519"/>
      <c r="K409" s="1519"/>
      <c r="L409" s="365"/>
      <c r="M409" s="1519">
        <v>45609</v>
      </c>
      <c r="N409" s="1519"/>
      <c r="O409" s="1519"/>
      <c r="P409" s="1519"/>
      <c r="Q409" s="365"/>
      <c r="R409" s="1519" t="s">
        <v>1002</v>
      </c>
      <c r="S409" s="1519"/>
      <c r="T409" s="1519"/>
      <c r="U409" s="1519"/>
      <c r="V409" s="365"/>
      <c r="W409" s="1519">
        <v>45611</v>
      </c>
      <c r="X409" s="1519"/>
      <c r="Y409" s="1519"/>
      <c r="Z409" s="1519"/>
      <c r="AA409" s="1517" t="s">
        <v>19</v>
      </c>
      <c r="AB409" s="1517" t="s">
        <v>20</v>
      </c>
      <c r="AC409" s="4"/>
      <c r="AD409" s="1519">
        <v>45612</v>
      </c>
      <c r="AE409" s="1519"/>
      <c r="AF409" s="1519"/>
      <c r="AG409" s="1517" t="s">
        <v>21</v>
      </c>
      <c r="AI409" s="368"/>
      <c r="AK409" s="194" t="s">
        <v>84</v>
      </c>
      <c r="AL409" s="366"/>
      <c r="AM409" s="366"/>
      <c r="AN409" s="366"/>
      <c r="AO409" s="366"/>
      <c r="AP409" s="366"/>
    </row>
    <row r="410" spans="1:49">
      <c r="A410" s="180"/>
      <c r="B410" s="1518"/>
      <c r="C410" s="21" t="s">
        <v>23</v>
      </c>
      <c r="D410" s="21" t="s">
        <v>24</v>
      </c>
      <c r="E410" s="205" t="s">
        <v>25</v>
      </c>
      <c r="F410" s="645" t="s">
        <v>14</v>
      </c>
      <c r="G410" s="4"/>
      <c r="H410" s="21" t="s">
        <v>23</v>
      </c>
      <c r="I410" s="21" t="s">
        <v>24</v>
      </c>
      <c r="J410" s="18" t="s">
        <v>25</v>
      </c>
      <c r="K410" s="645" t="s">
        <v>14</v>
      </c>
      <c r="L410" s="4"/>
      <c r="M410" s="21" t="s">
        <v>23</v>
      </c>
      <c r="N410" s="21" t="s">
        <v>24</v>
      </c>
      <c r="O410" s="18" t="s">
        <v>25</v>
      </c>
      <c r="P410" s="645" t="s">
        <v>14</v>
      </c>
      <c r="R410" s="21" t="s">
        <v>23</v>
      </c>
      <c r="S410" s="21" t="s">
        <v>24</v>
      </c>
      <c r="T410" s="18" t="s">
        <v>25</v>
      </c>
      <c r="U410" s="645" t="s">
        <v>14</v>
      </c>
      <c r="W410" s="21" t="s">
        <v>23</v>
      </c>
      <c r="X410" s="21" t="s">
        <v>24</v>
      </c>
      <c r="Y410" s="18" t="s">
        <v>25</v>
      </c>
      <c r="Z410" s="645" t="s">
        <v>14</v>
      </c>
      <c r="AA410" s="1517"/>
      <c r="AB410" s="1517"/>
      <c r="AC410" s="4"/>
      <c r="AD410" s="21" t="s">
        <v>23</v>
      </c>
      <c r="AE410" s="21" t="s">
        <v>24</v>
      </c>
      <c r="AF410" s="18" t="s">
        <v>25</v>
      </c>
      <c r="AG410" s="1517"/>
      <c r="AI410" s="368"/>
      <c r="AJ410" s="367"/>
      <c r="AK410" s="188" t="s">
        <v>26</v>
      </c>
      <c r="AL410" s="196">
        <f>AA445</f>
        <v>738.5</v>
      </c>
      <c r="AM410" s="510">
        <v>39.14</v>
      </c>
      <c r="AN410" s="510">
        <f t="shared" ref="AN410:AN416" si="64">AL410*AM410</f>
        <v>28904.89</v>
      </c>
      <c r="AQ410" s="367"/>
      <c r="AR410" s="367"/>
      <c r="AS410" s="367"/>
      <c r="AT410" s="367"/>
      <c r="AU410" s="367"/>
      <c r="AV410" s="367"/>
      <c r="AW410" s="367"/>
    </row>
    <row r="411" spans="1:49">
      <c r="A411" s="180"/>
      <c r="B411" s="4" t="s">
        <v>958</v>
      </c>
      <c r="C411" s="667"/>
      <c r="D411" s="565"/>
      <c r="E411" s="319">
        <v>0</v>
      </c>
      <c r="F411" s="646"/>
      <c r="G411" s="4"/>
      <c r="H411" s="47">
        <v>0.38541666666666669</v>
      </c>
      <c r="I411" s="47">
        <v>0.20833333333333334</v>
      </c>
      <c r="J411" s="319">
        <v>8</v>
      </c>
      <c r="K411" s="646"/>
      <c r="L411" s="4"/>
      <c r="M411" s="441" t="s">
        <v>75</v>
      </c>
      <c r="N411" s="47">
        <v>0.25</v>
      </c>
      <c r="O411" s="319">
        <v>8</v>
      </c>
      <c r="P411" s="646"/>
      <c r="R411" s="667"/>
      <c r="S411" s="565"/>
      <c r="T411" s="319">
        <v>0</v>
      </c>
      <c r="U411" s="646"/>
      <c r="W411" s="667"/>
      <c r="X411" s="565"/>
      <c r="Y411" s="319">
        <v>0</v>
      </c>
      <c r="Z411" s="646"/>
      <c r="AA411" s="328">
        <f t="shared" ref="AA411:AA416" si="65">(E411+J411+O411+T411+Y411)</f>
        <v>16</v>
      </c>
      <c r="AB411" s="298">
        <f t="shared" ref="AB411:AB416" si="66">Z411+U411+P411+K411+F411</f>
        <v>0</v>
      </c>
      <c r="AC411" s="4"/>
      <c r="AD411" s="587"/>
      <c r="AE411" s="531"/>
      <c r="AF411" s="319"/>
      <c r="AG411" s="328">
        <f t="shared" ref="AG411:AG416" si="67">AF411</f>
        <v>0</v>
      </c>
      <c r="AI411" s="368"/>
      <c r="AJ411" s="367"/>
      <c r="AK411" s="188" t="s">
        <v>30</v>
      </c>
      <c r="AL411" s="196">
        <f>AB445</f>
        <v>33.75</v>
      </c>
      <c r="AM411" s="511">
        <f>AM410*1.5</f>
        <v>58.71</v>
      </c>
      <c r="AN411" s="510">
        <f t="shared" si="64"/>
        <v>1981.4625000000001</v>
      </c>
      <c r="AQ411" s="367"/>
      <c r="AR411" s="367"/>
      <c r="AS411" s="367"/>
      <c r="AT411" s="367"/>
      <c r="AU411" s="367"/>
      <c r="AV411" s="367"/>
      <c r="AW411" s="367"/>
    </row>
    <row r="412" spans="1:49">
      <c r="A412" s="367"/>
      <c r="B412" s="47" t="s">
        <v>515</v>
      </c>
      <c r="C412" s="667" t="s">
        <v>137</v>
      </c>
      <c r="D412" s="565"/>
      <c r="E412" s="319">
        <v>0</v>
      </c>
      <c r="F412" s="646"/>
      <c r="G412" s="4"/>
      <c r="H412" s="667" t="s">
        <v>137</v>
      </c>
      <c r="I412" s="565"/>
      <c r="J412" s="319">
        <v>0</v>
      </c>
      <c r="K412" s="646"/>
      <c r="L412" s="4"/>
      <c r="M412" s="667" t="s">
        <v>137</v>
      </c>
      <c r="N412" s="565"/>
      <c r="O412" s="319">
        <v>0</v>
      </c>
      <c r="P412" s="646"/>
      <c r="R412" s="667" t="s">
        <v>137</v>
      </c>
      <c r="S412" s="565"/>
      <c r="T412" s="319">
        <v>0</v>
      </c>
      <c r="U412" s="646"/>
      <c r="W412" s="667" t="s">
        <v>137</v>
      </c>
      <c r="X412" s="565"/>
      <c r="Y412" s="319">
        <v>0</v>
      </c>
      <c r="Z412" s="646"/>
      <c r="AA412" s="328">
        <f t="shared" si="65"/>
        <v>0</v>
      </c>
      <c r="AB412" s="298">
        <f t="shared" si="66"/>
        <v>0</v>
      </c>
      <c r="AC412" s="4"/>
      <c r="AF412" s="319"/>
      <c r="AG412" s="328">
        <f t="shared" si="67"/>
        <v>0</v>
      </c>
      <c r="AH412" s="175"/>
      <c r="AI412" s="402"/>
      <c r="AJ412" s="367"/>
      <c r="AK412" s="188" t="s">
        <v>32</v>
      </c>
      <c r="AL412" s="196">
        <f>AG445</f>
        <v>0</v>
      </c>
      <c r="AM412" s="510">
        <v>58.71</v>
      </c>
      <c r="AN412" s="510">
        <f t="shared" si="64"/>
        <v>0</v>
      </c>
      <c r="AQ412" s="367"/>
      <c r="AR412" s="367"/>
      <c r="AS412" s="367"/>
      <c r="AT412" s="367"/>
      <c r="AU412" s="367"/>
      <c r="AV412" s="367"/>
      <c r="AW412" s="367"/>
    </row>
    <row r="413" spans="1:49">
      <c r="A413" s="367"/>
      <c r="B413" s="441" t="s">
        <v>962</v>
      </c>
      <c r="C413" s="441" t="s">
        <v>75</v>
      </c>
      <c r="D413" s="47">
        <v>0.25</v>
      </c>
      <c r="E413" s="319">
        <v>8</v>
      </c>
      <c r="F413" s="646"/>
      <c r="G413" s="4"/>
      <c r="H413" s="441" t="s">
        <v>75</v>
      </c>
      <c r="I413" s="47">
        <v>0.25</v>
      </c>
      <c r="J413" s="319">
        <v>8</v>
      </c>
      <c r="K413" s="646"/>
      <c r="L413" s="4"/>
      <c r="M413" s="441" t="s">
        <v>83</v>
      </c>
      <c r="N413" s="47">
        <v>0.25</v>
      </c>
      <c r="O413" s="319">
        <v>7.5</v>
      </c>
      <c r="P413" s="646"/>
      <c r="R413" s="47">
        <v>0.375</v>
      </c>
      <c r="S413" s="47">
        <v>0.25</v>
      </c>
      <c r="T413" s="319">
        <v>8</v>
      </c>
      <c r="U413" s="646"/>
      <c r="W413" s="47">
        <v>0.375</v>
      </c>
      <c r="X413" s="47">
        <v>0.25</v>
      </c>
      <c r="Y413" s="319">
        <v>8</v>
      </c>
      <c r="Z413" s="646"/>
      <c r="AA413" s="328">
        <f t="shared" si="65"/>
        <v>39.5</v>
      </c>
      <c r="AB413" s="298">
        <f t="shared" si="66"/>
        <v>0</v>
      </c>
      <c r="AC413" s="399"/>
      <c r="AD413" s="47"/>
      <c r="AE413" s="47"/>
      <c r="AF413" s="319"/>
      <c r="AG413" s="328">
        <f t="shared" si="67"/>
        <v>0</v>
      </c>
      <c r="AH413" s="175"/>
      <c r="AJ413" s="401"/>
      <c r="AK413" s="403" t="s">
        <v>213</v>
      </c>
      <c r="AL413" s="404">
        <f>AA447</f>
        <v>40</v>
      </c>
      <c r="AM413" s="510">
        <v>51.5</v>
      </c>
      <c r="AN413" s="510">
        <f t="shared" si="64"/>
        <v>2060</v>
      </c>
      <c r="AO413" s="405"/>
      <c r="AP413" s="405"/>
      <c r="AQ413" s="367"/>
      <c r="AR413" s="401"/>
      <c r="AS413" s="401"/>
      <c r="AT413" s="401"/>
      <c r="AU413" s="401"/>
      <c r="AV413" s="401"/>
      <c r="AW413" s="401"/>
    </row>
    <row r="414" spans="1:49">
      <c r="A414" s="367"/>
      <c r="B414" s="665" t="s">
        <v>994</v>
      </c>
      <c r="C414" s="441" t="s">
        <v>75</v>
      </c>
      <c r="D414" s="47">
        <v>0.14583333333333334</v>
      </c>
      <c r="E414" s="319">
        <v>6.5</v>
      </c>
      <c r="F414" s="646"/>
      <c r="G414" s="4"/>
      <c r="H414" s="441" t="s">
        <v>75</v>
      </c>
      <c r="I414" s="47">
        <v>0.25</v>
      </c>
      <c r="J414" s="319">
        <v>8</v>
      </c>
      <c r="K414" s="646"/>
      <c r="L414" s="4"/>
      <c r="M414" s="441" t="s">
        <v>75</v>
      </c>
      <c r="N414" s="47">
        <v>0.25</v>
      </c>
      <c r="O414" s="319">
        <v>8</v>
      </c>
      <c r="P414" s="646"/>
      <c r="R414" s="667"/>
      <c r="S414" s="565"/>
      <c r="T414" s="319">
        <v>0</v>
      </c>
      <c r="U414" s="646"/>
      <c r="W414" s="47" t="s">
        <v>1003</v>
      </c>
      <c r="X414" s="47"/>
      <c r="Y414" s="319"/>
      <c r="Z414" s="646"/>
      <c r="AA414" s="328">
        <f t="shared" si="65"/>
        <v>22.5</v>
      </c>
      <c r="AB414" s="298">
        <f t="shared" si="66"/>
        <v>0</v>
      </c>
      <c r="AC414" s="175"/>
      <c r="AD414" s="47"/>
      <c r="AE414" s="47"/>
      <c r="AF414" s="319"/>
      <c r="AG414" s="328">
        <f t="shared" si="67"/>
        <v>0</v>
      </c>
      <c r="AH414" s="175"/>
      <c r="AJ414" s="401"/>
      <c r="AK414" s="188" t="s">
        <v>36</v>
      </c>
      <c r="AL414" s="196">
        <f>AB447</f>
        <v>3.25</v>
      </c>
      <c r="AM414" s="510">
        <f>AM413*1.5</f>
        <v>77.25</v>
      </c>
      <c r="AN414" s="510">
        <f t="shared" si="64"/>
        <v>251.0625</v>
      </c>
      <c r="AO414" s="405"/>
      <c r="AP414" s="405"/>
      <c r="AQ414" s="367"/>
      <c r="AR414" s="401"/>
      <c r="AS414" s="401"/>
      <c r="AT414" s="401"/>
      <c r="AU414" s="401"/>
      <c r="AV414" s="401"/>
      <c r="AW414" s="401"/>
    </row>
    <row r="415" spans="1:49">
      <c r="A415" s="367"/>
      <c r="B415" s="47" t="s">
        <v>967</v>
      </c>
      <c r="C415" s="441" t="s">
        <v>75</v>
      </c>
      <c r="D415" s="47">
        <v>0.25</v>
      </c>
      <c r="E415" s="319">
        <v>8</v>
      </c>
      <c r="F415" s="646"/>
      <c r="G415" s="4"/>
      <c r="H415" s="441" t="s">
        <v>75</v>
      </c>
      <c r="I415" s="47">
        <v>0.25</v>
      </c>
      <c r="J415" s="319">
        <v>8</v>
      </c>
      <c r="K415" s="646"/>
      <c r="L415" s="4"/>
      <c r="M415" s="441" t="s">
        <v>75</v>
      </c>
      <c r="N415" s="47">
        <v>0.25</v>
      </c>
      <c r="O415" s="319">
        <v>8</v>
      </c>
      <c r="P415" s="646"/>
      <c r="R415" s="441" t="s">
        <v>75</v>
      </c>
      <c r="S415" s="47">
        <v>0.25</v>
      </c>
      <c r="T415" s="319">
        <v>8</v>
      </c>
      <c r="U415" s="646"/>
      <c r="W415" s="47">
        <v>0.375</v>
      </c>
      <c r="X415" s="47">
        <v>4.1666666666666664E-2</v>
      </c>
      <c r="Y415" s="319">
        <v>5</v>
      </c>
      <c r="Z415" s="646"/>
      <c r="AA415" s="328">
        <f t="shared" si="65"/>
        <v>37</v>
      </c>
      <c r="AB415" s="298">
        <f t="shared" si="66"/>
        <v>0</v>
      </c>
      <c r="AC415" s="4"/>
      <c r="AD415" s="47"/>
      <c r="AE415" s="47"/>
      <c r="AF415" s="319"/>
      <c r="AG415" s="328">
        <f t="shared" si="67"/>
        <v>0</v>
      </c>
      <c r="AH415" s="175"/>
      <c r="AI415" s="368"/>
      <c r="AK415" s="188" t="s">
        <v>38</v>
      </c>
      <c r="AL415" s="196">
        <f>AG447</f>
        <v>0</v>
      </c>
      <c r="AM415" s="510">
        <v>77.25</v>
      </c>
      <c r="AN415" s="510">
        <f t="shared" si="64"/>
        <v>0</v>
      </c>
      <c r="AQ415" s="367"/>
    </row>
    <row r="416" spans="1:49" s="4" customFormat="1" ht="14.25" thickBot="1">
      <c r="A416" s="180"/>
      <c r="B416" s="532" t="s">
        <v>995</v>
      </c>
      <c r="C416" s="441" t="s">
        <v>75</v>
      </c>
      <c r="D416" s="47">
        <v>0.14583333333333334</v>
      </c>
      <c r="E416" s="319">
        <v>6.5</v>
      </c>
      <c r="F416" s="646"/>
      <c r="H416" s="441" t="s">
        <v>136</v>
      </c>
      <c r="I416" s="47">
        <v>0.25</v>
      </c>
      <c r="J416" s="319">
        <v>8</v>
      </c>
      <c r="K416" s="646">
        <v>4</v>
      </c>
      <c r="M416" s="441" t="s">
        <v>75</v>
      </c>
      <c r="N416" s="47">
        <v>0.25</v>
      </c>
      <c r="O416" s="319">
        <v>8</v>
      </c>
      <c r="P416" s="646"/>
      <c r="R416" s="47" t="s">
        <v>1003</v>
      </c>
      <c r="S416" s="47"/>
      <c r="T416" s="319"/>
      <c r="U416" s="646"/>
      <c r="W416" s="47" t="s">
        <v>1003</v>
      </c>
      <c r="X416" s="47"/>
      <c r="Y416" s="319"/>
      <c r="Z416" s="646"/>
      <c r="AA416" s="328">
        <f t="shared" si="65"/>
        <v>22.5</v>
      </c>
      <c r="AB416" s="298">
        <f t="shared" si="66"/>
        <v>4</v>
      </c>
      <c r="AD416" s="47"/>
      <c r="AE416" s="47"/>
      <c r="AF416" s="319"/>
      <c r="AG416" s="328">
        <f t="shared" si="67"/>
        <v>0</v>
      </c>
      <c r="AI416" s="255"/>
      <c r="AJ416" s="180"/>
      <c r="AK416" s="188" t="s">
        <v>41</v>
      </c>
      <c r="AL416" s="196">
        <f>C448</f>
        <v>70</v>
      </c>
      <c r="AM416" s="512">
        <v>46.35</v>
      </c>
      <c r="AN416" s="512">
        <f t="shared" si="64"/>
        <v>3244.5</v>
      </c>
      <c r="AO416" s="193"/>
      <c r="AP416" s="193"/>
      <c r="AQ416" s="367"/>
      <c r="AR416" s="180"/>
      <c r="AS416" s="180"/>
      <c r="AT416" s="180"/>
      <c r="AU416" s="180"/>
      <c r="AV416" s="180"/>
      <c r="AW416" s="180"/>
    </row>
    <row r="417" spans="1:49" s="4" customFormat="1" ht="14.25" thickTop="1">
      <c r="A417" s="180"/>
      <c r="B417" s="436" t="s">
        <v>972</v>
      </c>
      <c r="C417" s="441" t="s">
        <v>75</v>
      </c>
      <c r="D417" s="47">
        <v>0.16666666666666666</v>
      </c>
      <c r="E417" s="319">
        <v>7</v>
      </c>
      <c r="F417" s="646"/>
      <c r="H417" s="441" t="s">
        <v>136</v>
      </c>
      <c r="I417" s="47">
        <v>0.25</v>
      </c>
      <c r="J417" s="319">
        <v>8</v>
      </c>
      <c r="K417" s="646">
        <v>4</v>
      </c>
      <c r="M417" s="441" t="s">
        <v>75</v>
      </c>
      <c r="N417" s="47">
        <v>0.25</v>
      </c>
      <c r="O417" s="319">
        <v>8</v>
      </c>
      <c r="P417" s="646"/>
      <c r="R417" s="47" t="s">
        <v>1004</v>
      </c>
      <c r="S417" s="47">
        <v>0.25</v>
      </c>
      <c r="T417" s="319">
        <v>8</v>
      </c>
      <c r="U417" s="646"/>
      <c r="W417" s="47">
        <v>0.375</v>
      </c>
      <c r="X417" s="47">
        <v>0.25</v>
      </c>
      <c r="Y417" s="319">
        <v>8</v>
      </c>
      <c r="Z417" s="646"/>
      <c r="AA417" s="328">
        <f>(E417+J417+O417+T417+Y417)</f>
        <v>39</v>
      </c>
      <c r="AB417" s="298">
        <f>Z417+U417+P417+K417+F417</f>
        <v>4</v>
      </c>
      <c r="AD417" s="47"/>
      <c r="AE417" s="47"/>
      <c r="AF417" s="319"/>
      <c r="AG417" s="328">
        <f>AF417</f>
        <v>0</v>
      </c>
      <c r="AI417" s="255"/>
      <c r="AJ417" s="180"/>
      <c r="AK417" s="188"/>
      <c r="AL417" s="196"/>
      <c r="AM417" s="510"/>
      <c r="AN417" s="510"/>
      <c r="AO417" s="193"/>
      <c r="AP417" s="193"/>
      <c r="AQ417" s="367"/>
      <c r="AR417" s="180"/>
      <c r="AS417" s="180"/>
      <c r="AT417" s="180"/>
      <c r="AU417" s="180"/>
      <c r="AV417" s="180"/>
      <c r="AW417" s="180"/>
    </row>
    <row r="418" spans="1:49" s="4" customFormat="1">
      <c r="A418" s="180"/>
      <c r="B418" s="47" t="s">
        <v>974</v>
      </c>
      <c r="C418" s="441" t="s">
        <v>75</v>
      </c>
      <c r="D418" s="47">
        <v>0.25</v>
      </c>
      <c r="E418" s="319">
        <v>8</v>
      </c>
      <c r="F418" s="646"/>
      <c r="H418" s="441" t="s">
        <v>75</v>
      </c>
      <c r="I418" s="47">
        <v>0.25</v>
      </c>
      <c r="J418" s="319">
        <v>8</v>
      </c>
      <c r="K418" s="646"/>
      <c r="M418" s="441" t="s">
        <v>1003</v>
      </c>
      <c r="N418" s="47"/>
      <c r="O418" s="319"/>
      <c r="P418" s="646"/>
      <c r="R418" s="441" t="s">
        <v>1003</v>
      </c>
      <c r="S418" s="47"/>
      <c r="T418" s="319"/>
      <c r="U418" s="646"/>
      <c r="W418" s="47">
        <v>0.375</v>
      </c>
      <c r="X418" s="47">
        <v>4.1666666666666664E-2</v>
      </c>
      <c r="Y418" s="319">
        <v>4</v>
      </c>
      <c r="Z418" s="646"/>
      <c r="AA418" s="328">
        <f t="shared" ref="AA418:AA428" si="68">(E418+J418+O418+T418+Y418)</f>
        <v>20</v>
      </c>
      <c r="AB418" s="298">
        <f t="shared" ref="AB418:AB428" si="69">Z418+U418+P418+K418+F418</f>
        <v>0</v>
      </c>
      <c r="AD418" s="47" t="s">
        <v>1005</v>
      </c>
      <c r="AE418" s="47"/>
      <c r="AF418" s="319"/>
      <c r="AG418" s="328">
        <f t="shared" ref="AG418:AG428" si="70">AF418</f>
        <v>0</v>
      </c>
      <c r="AI418" s="255"/>
      <c r="AJ418" s="180"/>
      <c r="AK418" s="193"/>
      <c r="AL418" s="193"/>
      <c r="AM418" s="193"/>
      <c r="AN418" s="510">
        <f>SUM(AN410:AN416)</f>
        <v>36441.915000000001</v>
      </c>
      <c r="AO418" s="193"/>
      <c r="AP418" s="193"/>
      <c r="AQ418" s="367"/>
      <c r="AR418" s="180"/>
      <c r="AS418" s="180"/>
      <c r="AT418" s="180"/>
      <c r="AU418" s="180"/>
      <c r="AV418" s="180"/>
      <c r="AW418" s="180"/>
    </row>
    <row r="419" spans="1:49" s="4" customFormat="1">
      <c r="A419" s="180"/>
      <c r="B419" s="47" t="s">
        <v>517</v>
      </c>
      <c r="C419" s="441" t="s">
        <v>75</v>
      </c>
      <c r="D419" s="47">
        <v>0.25</v>
      </c>
      <c r="E419" s="319">
        <v>8</v>
      </c>
      <c r="F419" s="646"/>
      <c r="H419" s="441" t="s">
        <v>75</v>
      </c>
      <c r="I419" s="47">
        <v>0.25</v>
      </c>
      <c r="J419" s="319">
        <v>8</v>
      </c>
      <c r="K419" s="646"/>
      <c r="M419" s="441" t="s">
        <v>75</v>
      </c>
      <c r="N419" s="47">
        <v>0.25</v>
      </c>
      <c r="O419" s="319">
        <v>8</v>
      </c>
      <c r="P419" s="646"/>
      <c r="R419" s="441" t="s">
        <v>75</v>
      </c>
      <c r="S419" s="47">
        <v>0.25</v>
      </c>
      <c r="T419" s="319">
        <v>8</v>
      </c>
      <c r="U419" s="646"/>
      <c r="W419" s="441" t="s">
        <v>75</v>
      </c>
      <c r="X419" s="47">
        <v>4.1666666666666664E-2</v>
      </c>
      <c r="Y419" s="319">
        <v>4</v>
      </c>
      <c r="Z419" s="646"/>
      <c r="AA419" s="328">
        <f t="shared" si="68"/>
        <v>36</v>
      </c>
      <c r="AB419" s="298">
        <f t="shared" si="69"/>
        <v>0</v>
      </c>
      <c r="AD419" s="47"/>
      <c r="AE419" s="47"/>
      <c r="AF419" s="319"/>
      <c r="AG419" s="328">
        <f t="shared" si="70"/>
        <v>0</v>
      </c>
      <c r="AI419" s="255"/>
      <c r="AJ419" s="180"/>
      <c r="AK419" s="193"/>
      <c r="AL419" s="193"/>
      <c r="AM419" s="193"/>
      <c r="AN419" s="193"/>
      <c r="AO419" s="193"/>
      <c r="AP419" s="193"/>
      <c r="AQ419" s="180"/>
      <c r="AR419" s="180"/>
      <c r="AS419" s="180"/>
      <c r="AT419" s="180"/>
      <c r="AU419" s="180"/>
      <c r="AV419" s="180"/>
      <c r="AW419" s="180"/>
    </row>
    <row r="420" spans="1:49" s="4" customFormat="1">
      <c r="A420" s="180"/>
      <c r="B420" s="436" t="s">
        <v>981</v>
      </c>
      <c r="C420" s="441" t="s">
        <v>1006</v>
      </c>
      <c r="D420" s="47">
        <v>0.25</v>
      </c>
      <c r="E420" s="319">
        <v>8</v>
      </c>
      <c r="F420" s="646"/>
      <c r="H420" s="441" t="s">
        <v>75</v>
      </c>
      <c r="I420" s="47">
        <v>0.25</v>
      </c>
      <c r="J420" s="319">
        <v>8</v>
      </c>
      <c r="K420" s="646"/>
      <c r="M420" s="441" t="s">
        <v>75</v>
      </c>
      <c r="N420" s="47">
        <v>0.25</v>
      </c>
      <c r="O420" s="319">
        <v>8</v>
      </c>
      <c r="P420" s="646"/>
      <c r="R420" s="441" t="s">
        <v>75</v>
      </c>
      <c r="S420" s="47">
        <v>0.25</v>
      </c>
      <c r="T420" s="319">
        <v>8</v>
      </c>
      <c r="U420" s="646"/>
      <c r="W420" s="441" t="s">
        <v>75</v>
      </c>
      <c r="X420" s="47">
        <v>0.25</v>
      </c>
      <c r="Y420" s="319">
        <v>8</v>
      </c>
      <c r="Z420" s="646"/>
      <c r="AA420" s="328">
        <f t="shared" si="68"/>
        <v>40</v>
      </c>
      <c r="AB420" s="298">
        <f t="shared" si="69"/>
        <v>0</v>
      </c>
      <c r="AD420" s="47" t="s">
        <v>1007</v>
      </c>
      <c r="AE420" s="47"/>
      <c r="AF420" s="319"/>
      <c r="AG420" s="328">
        <f t="shared" si="70"/>
        <v>0</v>
      </c>
      <c r="AI420" s="255"/>
      <c r="AJ420" s="180"/>
      <c r="AK420" s="193"/>
      <c r="AL420" s="193"/>
      <c r="AM420" s="193"/>
      <c r="AN420" s="193"/>
      <c r="AO420" s="193"/>
      <c r="AP420" s="193"/>
      <c r="AQ420" s="180"/>
      <c r="AR420" s="180"/>
      <c r="AS420" s="180"/>
      <c r="AT420" s="180"/>
      <c r="AU420" s="180"/>
      <c r="AV420" s="180"/>
      <c r="AW420" s="180"/>
    </row>
    <row r="421" spans="1:49" s="4" customFormat="1">
      <c r="A421" s="180"/>
      <c r="B421" s="4" t="s">
        <v>976</v>
      </c>
      <c r="C421" s="441" t="s">
        <v>75</v>
      </c>
      <c r="D421" s="47">
        <v>0.14583333333333334</v>
      </c>
      <c r="E421" s="319">
        <v>6.5</v>
      </c>
      <c r="F421" s="646"/>
      <c r="H421" s="667"/>
      <c r="I421" s="565"/>
      <c r="J421" s="319">
        <v>0</v>
      </c>
      <c r="K421" s="646"/>
      <c r="M421" s="441" t="s">
        <v>75</v>
      </c>
      <c r="N421" s="47">
        <v>0.25</v>
      </c>
      <c r="O421" s="319">
        <v>8</v>
      </c>
      <c r="P421" s="646"/>
      <c r="R421" s="667"/>
      <c r="S421" s="565"/>
      <c r="T421" s="319">
        <v>0</v>
      </c>
      <c r="U421" s="646"/>
      <c r="W421" s="441" t="s">
        <v>75</v>
      </c>
      <c r="X421" s="47">
        <v>0.25</v>
      </c>
      <c r="Y421" s="319">
        <v>8</v>
      </c>
      <c r="Z421" s="646"/>
      <c r="AA421" s="328">
        <f t="shared" si="68"/>
        <v>22.5</v>
      </c>
      <c r="AB421" s="298">
        <f t="shared" si="69"/>
        <v>0</v>
      </c>
      <c r="AD421" s="47"/>
      <c r="AE421" s="47"/>
      <c r="AF421" s="319"/>
      <c r="AG421" s="328">
        <f t="shared" si="70"/>
        <v>0</v>
      </c>
      <c r="AI421" s="255"/>
      <c r="AJ421" s="180"/>
      <c r="AK421" s="193"/>
      <c r="AL421" s="193"/>
      <c r="AM421" s="193"/>
      <c r="AN421" s="193"/>
      <c r="AO421" s="193"/>
      <c r="AP421" s="193"/>
      <c r="AQ421" s="180"/>
      <c r="AR421" s="180"/>
      <c r="AS421" s="180"/>
      <c r="AT421" s="180"/>
      <c r="AU421" s="180"/>
      <c r="AV421" s="180"/>
      <c r="AW421" s="180"/>
    </row>
    <row r="422" spans="1:49" s="4" customFormat="1">
      <c r="A422" s="180"/>
      <c r="B422" s="666" t="s">
        <v>998</v>
      </c>
      <c r="C422" s="441" t="s">
        <v>75</v>
      </c>
      <c r="D422" s="47">
        <v>0.14583333333333334</v>
      </c>
      <c r="E422" s="319">
        <v>6.5</v>
      </c>
      <c r="F422" s="646"/>
      <c r="H422" s="441" t="s">
        <v>75</v>
      </c>
      <c r="I422" s="47">
        <v>0.25</v>
      </c>
      <c r="J422" s="319">
        <v>8</v>
      </c>
      <c r="K422" s="646"/>
      <c r="M422" s="441" t="s">
        <v>75</v>
      </c>
      <c r="N422" s="47">
        <v>0.25</v>
      </c>
      <c r="O422" s="319">
        <v>8</v>
      </c>
      <c r="P422" s="646"/>
      <c r="R422" s="47" t="s">
        <v>1003</v>
      </c>
      <c r="S422" s="47"/>
      <c r="T422" s="319"/>
      <c r="U422" s="646"/>
      <c r="W422" s="47" t="s">
        <v>1003</v>
      </c>
      <c r="X422" s="47"/>
      <c r="Y422" s="319"/>
      <c r="Z422" s="646"/>
      <c r="AA422" s="328">
        <f t="shared" si="68"/>
        <v>22.5</v>
      </c>
      <c r="AB422" s="298">
        <f t="shared" si="69"/>
        <v>0</v>
      </c>
      <c r="AD422" s="47"/>
      <c r="AE422" s="47"/>
      <c r="AF422" s="319"/>
      <c r="AG422" s="328">
        <f t="shared" si="70"/>
        <v>0</v>
      </c>
      <c r="AI422" s="255"/>
      <c r="AJ422" s="180"/>
      <c r="AK422" s="193"/>
      <c r="AL422" s="193"/>
      <c r="AM422" s="193"/>
      <c r="AN422" s="193"/>
      <c r="AO422" s="193"/>
      <c r="AP422" s="193"/>
      <c r="AQ422" s="180"/>
      <c r="AR422" s="180"/>
      <c r="AS422" s="180"/>
      <c r="AT422" s="180"/>
      <c r="AU422" s="180"/>
      <c r="AV422" s="180"/>
      <c r="AW422" s="180"/>
    </row>
    <row r="423" spans="1:49" s="4" customFormat="1">
      <c r="A423" s="180"/>
      <c r="B423" s="47" t="s">
        <v>977</v>
      </c>
      <c r="C423" s="441" t="s">
        <v>75</v>
      </c>
      <c r="D423" s="47">
        <v>0.14583333333333334</v>
      </c>
      <c r="E423" s="319">
        <v>6.5</v>
      </c>
      <c r="F423" s="646"/>
      <c r="H423" s="441" t="s">
        <v>136</v>
      </c>
      <c r="I423" s="47">
        <v>0.25</v>
      </c>
      <c r="J423" s="319">
        <v>8</v>
      </c>
      <c r="K423" s="646">
        <v>4</v>
      </c>
      <c r="M423" s="667" t="s">
        <v>1008</v>
      </c>
      <c r="N423" s="565"/>
      <c r="O423" s="319">
        <v>0</v>
      </c>
      <c r="P423" s="646"/>
      <c r="R423" s="47">
        <v>0.375</v>
      </c>
      <c r="S423" s="47">
        <v>0.20833333333333334</v>
      </c>
      <c r="T423" s="319">
        <v>9</v>
      </c>
      <c r="U423" s="646"/>
      <c r="W423" s="667"/>
      <c r="X423" s="565"/>
      <c r="Y423" s="319">
        <v>0</v>
      </c>
      <c r="Z423" s="646"/>
      <c r="AA423" s="328">
        <f>(E423+J423+O423+T423+Y423)</f>
        <v>23.5</v>
      </c>
      <c r="AB423" s="298">
        <f t="shared" si="69"/>
        <v>4</v>
      </c>
      <c r="AD423" s="47"/>
      <c r="AE423" s="47"/>
      <c r="AF423" s="319"/>
      <c r="AG423" s="328">
        <f t="shared" si="70"/>
        <v>0</v>
      </c>
      <c r="AI423" s="255"/>
      <c r="AJ423" s="180"/>
      <c r="AK423" s="193"/>
      <c r="AL423" s="193"/>
      <c r="AM423" s="193"/>
      <c r="AN423" s="193"/>
      <c r="AO423" s="193"/>
      <c r="AP423" s="193"/>
      <c r="AQ423" s="180"/>
      <c r="AR423" s="180"/>
      <c r="AS423" s="180"/>
      <c r="AT423" s="180"/>
      <c r="AU423" s="180"/>
      <c r="AV423" s="180"/>
      <c r="AW423" s="180"/>
    </row>
    <row r="424" spans="1:49" s="4" customFormat="1">
      <c r="A424" s="180"/>
      <c r="B424" s="47" t="s">
        <v>986</v>
      </c>
      <c r="C424" s="667" t="s">
        <v>137</v>
      </c>
      <c r="D424" s="565"/>
      <c r="E424" s="319">
        <v>0</v>
      </c>
      <c r="F424" s="646"/>
      <c r="H424" s="667" t="s">
        <v>137</v>
      </c>
      <c r="I424" s="565"/>
      <c r="J424" s="319">
        <v>0</v>
      </c>
      <c r="K424" s="646"/>
      <c r="M424" s="667" t="s">
        <v>137</v>
      </c>
      <c r="N424" s="565"/>
      <c r="O424" s="319">
        <v>0</v>
      </c>
      <c r="P424" s="646"/>
      <c r="R424" s="667" t="s">
        <v>137</v>
      </c>
      <c r="S424" s="565"/>
      <c r="T424" s="319">
        <v>0</v>
      </c>
      <c r="U424" s="646"/>
      <c r="W424" s="667" t="s">
        <v>137</v>
      </c>
      <c r="X424" s="565"/>
      <c r="Y424" s="319">
        <v>0</v>
      </c>
      <c r="Z424" s="646"/>
      <c r="AA424" s="328">
        <f>(E424+J424+O424+T424+Y424)</f>
        <v>0</v>
      </c>
      <c r="AB424" s="298">
        <f t="shared" si="69"/>
        <v>0</v>
      </c>
      <c r="AD424" s="47"/>
      <c r="AE424" s="47"/>
      <c r="AF424" s="319"/>
      <c r="AG424" s="328">
        <f t="shared" si="70"/>
        <v>0</v>
      </c>
      <c r="AI424" s="255"/>
      <c r="AJ424" s="180"/>
      <c r="AK424" s="193"/>
      <c r="AL424" s="193"/>
      <c r="AM424" s="193"/>
      <c r="AN424" s="193"/>
      <c r="AO424" s="193"/>
      <c r="AP424" s="193"/>
      <c r="AQ424" s="180"/>
      <c r="AR424" s="180"/>
      <c r="AS424" s="180"/>
      <c r="AT424" s="180"/>
      <c r="AU424" s="180"/>
      <c r="AV424" s="180"/>
      <c r="AW424" s="180"/>
    </row>
    <row r="425" spans="1:49" s="4" customFormat="1">
      <c r="A425" s="180"/>
      <c r="B425" s="436" t="s">
        <v>394</v>
      </c>
      <c r="C425" s="441" t="s">
        <v>75</v>
      </c>
      <c r="D425" s="47">
        <v>0.25</v>
      </c>
      <c r="E425" s="319">
        <v>8</v>
      </c>
      <c r="F425" s="646"/>
      <c r="H425" s="441" t="s">
        <v>75</v>
      </c>
      <c r="I425" s="47">
        <v>0.25</v>
      </c>
      <c r="J425" s="319">
        <v>8</v>
      </c>
      <c r="K425" s="646"/>
      <c r="M425" s="441" t="s">
        <v>75</v>
      </c>
      <c r="N425" s="47">
        <v>0.25</v>
      </c>
      <c r="O425" s="319">
        <v>8</v>
      </c>
      <c r="P425" s="646"/>
      <c r="R425" s="441" t="s">
        <v>75</v>
      </c>
      <c r="S425" s="47">
        <v>0.25</v>
      </c>
      <c r="T425" s="319">
        <v>8</v>
      </c>
      <c r="U425" s="646"/>
      <c r="W425" s="47">
        <v>0.375</v>
      </c>
      <c r="X425" s="47">
        <v>4.1666666666666664E-2</v>
      </c>
      <c r="Y425" s="319">
        <v>4</v>
      </c>
      <c r="Z425" s="646"/>
      <c r="AA425" s="328">
        <f>(E425+J425+O425+T425+Y425)</f>
        <v>36</v>
      </c>
      <c r="AB425" s="298">
        <f t="shared" si="69"/>
        <v>0</v>
      </c>
      <c r="AD425" s="47"/>
      <c r="AE425" s="47"/>
      <c r="AF425" s="319"/>
      <c r="AG425" s="328">
        <f t="shared" si="70"/>
        <v>0</v>
      </c>
      <c r="AI425" s="255"/>
      <c r="AJ425" s="180"/>
      <c r="AK425" s="193"/>
      <c r="AL425" s="193"/>
      <c r="AM425" s="193"/>
      <c r="AN425" s="193"/>
      <c r="AO425" s="193"/>
      <c r="AP425" s="193"/>
      <c r="AQ425" s="180"/>
      <c r="AR425" s="180"/>
      <c r="AS425" s="180"/>
      <c r="AT425" s="180"/>
      <c r="AU425" s="180"/>
      <c r="AV425" s="180"/>
      <c r="AW425" s="180"/>
    </row>
    <row r="426" spans="1:49" s="4" customFormat="1">
      <c r="A426" s="180"/>
      <c r="B426" s="47" t="s">
        <v>519</v>
      </c>
      <c r="C426" s="441" t="s">
        <v>75</v>
      </c>
      <c r="D426" s="47">
        <v>0.25</v>
      </c>
      <c r="E426" s="319">
        <v>8</v>
      </c>
      <c r="F426" s="646"/>
      <c r="H426" s="441" t="s">
        <v>75</v>
      </c>
      <c r="I426" s="47">
        <v>0.25</v>
      </c>
      <c r="J426" s="319">
        <v>8</v>
      </c>
      <c r="K426" s="646"/>
      <c r="M426" s="667"/>
      <c r="N426" s="565"/>
      <c r="O426" s="319">
        <v>0</v>
      </c>
      <c r="P426" s="646"/>
      <c r="R426" s="441" t="s">
        <v>75</v>
      </c>
      <c r="S426" s="47">
        <v>0.25</v>
      </c>
      <c r="T426" s="319">
        <v>8</v>
      </c>
      <c r="U426" s="646"/>
      <c r="W426" s="441" t="s">
        <v>75</v>
      </c>
      <c r="X426" s="47">
        <v>0.25</v>
      </c>
      <c r="Y426" s="319">
        <v>8</v>
      </c>
      <c r="Z426" s="646"/>
      <c r="AA426" s="328">
        <f t="shared" si="68"/>
        <v>32</v>
      </c>
      <c r="AB426" s="298">
        <f t="shared" si="69"/>
        <v>0</v>
      </c>
      <c r="AD426" s="47"/>
      <c r="AE426" s="47"/>
      <c r="AF426" s="319"/>
      <c r="AG426" s="328">
        <f t="shared" si="70"/>
        <v>0</v>
      </c>
      <c r="AI426" s="255"/>
      <c r="AJ426" s="180"/>
      <c r="AK426" s="193"/>
      <c r="AL426" s="193"/>
      <c r="AM426" s="193"/>
      <c r="AN426" s="193"/>
      <c r="AO426" s="193"/>
      <c r="AP426" s="193"/>
      <c r="AQ426" s="180"/>
      <c r="AR426" s="180"/>
      <c r="AS426" s="180"/>
      <c r="AT426" s="180"/>
      <c r="AU426" s="180"/>
      <c r="AV426" s="180"/>
      <c r="AW426" s="180"/>
    </row>
    <row r="427" spans="1:49" s="4" customFormat="1">
      <c r="A427" s="180"/>
      <c r="B427" s="532" t="s">
        <v>999</v>
      </c>
      <c r="C427" s="441" t="s">
        <v>75</v>
      </c>
      <c r="D427" s="47">
        <v>0.14583333333333334</v>
      </c>
      <c r="E427" s="319">
        <v>6.5</v>
      </c>
      <c r="F427" s="646"/>
      <c r="H427" s="672" t="s">
        <v>136</v>
      </c>
      <c r="I427" s="47">
        <v>0.25</v>
      </c>
      <c r="J427" s="319">
        <v>8</v>
      </c>
      <c r="K427" s="646">
        <v>4</v>
      </c>
      <c r="M427" s="441" t="s">
        <v>75</v>
      </c>
      <c r="N427" s="47">
        <v>0.25</v>
      </c>
      <c r="O427" s="319">
        <v>8</v>
      </c>
      <c r="P427" s="646"/>
      <c r="R427" s="441" t="s">
        <v>75</v>
      </c>
      <c r="S427" s="47">
        <v>0.25</v>
      </c>
      <c r="T427" s="319">
        <v>8</v>
      </c>
      <c r="U427" s="646"/>
      <c r="W427" s="47">
        <v>0.39583333333333331</v>
      </c>
      <c r="X427" s="47">
        <v>4.1666666666666664E-2</v>
      </c>
      <c r="Y427" s="319">
        <v>3.5</v>
      </c>
      <c r="Z427" s="646"/>
      <c r="AA427" s="328">
        <f t="shared" si="68"/>
        <v>34</v>
      </c>
      <c r="AB427" s="298">
        <f t="shared" si="69"/>
        <v>4</v>
      </c>
      <c r="AD427" s="47"/>
      <c r="AE427" s="47"/>
      <c r="AF427" s="319"/>
      <c r="AG427" s="328">
        <f t="shared" si="70"/>
        <v>0</v>
      </c>
      <c r="AI427" s="255"/>
      <c r="AJ427" s="180"/>
      <c r="AK427" s="193"/>
      <c r="AL427" s="193"/>
      <c r="AM427" s="193"/>
      <c r="AN427" s="193"/>
      <c r="AO427" s="193"/>
      <c r="AP427" s="193"/>
      <c r="AQ427" s="180"/>
      <c r="AR427" s="180"/>
      <c r="AS427" s="180"/>
      <c r="AT427" s="180"/>
      <c r="AU427" s="180"/>
      <c r="AV427" s="180"/>
      <c r="AW427" s="180"/>
    </row>
    <row r="428" spans="1:49" s="4" customFormat="1">
      <c r="A428" s="180"/>
      <c r="B428" s="640" t="s">
        <v>957</v>
      </c>
      <c r="C428" s="643"/>
      <c r="D428" s="519"/>
      <c r="E428" s="520"/>
      <c r="F428" s="647"/>
      <c r="G428" s="521"/>
      <c r="H428" s="519"/>
      <c r="I428" s="519"/>
      <c r="J428" s="520"/>
      <c r="K428" s="647"/>
      <c r="L428" s="521"/>
      <c r="M428" s="519"/>
      <c r="N428" s="519"/>
      <c r="O428" s="520"/>
      <c r="P428" s="647"/>
      <c r="Q428" s="521"/>
      <c r="R428" s="519"/>
      <c r="S428" s="519"/>
      <c r="T428" s="520"/>
      <c r="U428" s="647"/>
      <c r="V428" s="521"/>
      <c r="W428" s="519"/>
      <c r="X428" s="519"/>
      <c r="Y428" s="520"/>
      <c r="Z428" s="646"/>
      <c r="AA428" s="328">
        <f t="shared" si="68"/>
        <v>0</v>
      </c>
      <c r="AB428" s="298">
        <f t="shared" si="69"/>
        <v>0</v>
      </c>
      <c r="AD428" s="47"/>
      <c r="AE428" s="47"/>
      <c r="AF428" s="319"/>
      <c r="AG428" s="328">
        <f t="shared" si="70"/>
        <v>0</v>
      </c>
      <c r="AI428" s="255"/>
      <c r="AJ428" s="180"/>
      <c r="AK428" s="193"/>
      <c r="AL428" s="193"/>
      <c r="AM428" s="193"/>
      <c r="AN428" s="193"/>
      <c r="AO428" s="193"/>
      <c r="AP428" s="193"/>
      <c r="AQ428" s="180"/>
      <c r="AR428" s="180"/>
      <c r="AS428" s="180"/>
      <c r="AT428" s="180"/>
      <c r="AU428" s="180"/>
      <c r="AV428" s="180"/>
      <c r="AW428" s="180"/>
    </row>
    <row r="429" spans="1:49" s="4" customFormat="1">
      <c r="A429" s="180"/>
      <c r="B429" s="640" t="s">
        <v>390</v>
      </c>
      <c r="C429" s="643"/>
      <c r="D429" s="519"/>
      <c r="E429" s="520"/>
      <c r="F429" s="647"/>
      <c r="G429" s="521"/>
      <c r="H429" s="519"/>
      <c r="I429" s="519"/>
      <c r="J429" s="520"/>
      <c r="K429" s="647"/>
      <c r="L429" s="521"/>
      <c r="M429" s="519"/>
      <c r="N429" s="519"/>
      <c r="O429" s="520"/>
      <c r="P429" s="647"/>
      <c r="Q429" s="521"/>
      <c r="R429" s="519"/>
      <c r="S429" s="519"/>
      <c r="T429" s="520"/>
      <c r="U429" s="647"/>
      <c r="V429" s="521"/>
      <c r="W429" s="519"/>
      <c r="X429" s="519"/>
      <c r="Y429" s="520"/>
      <c r="Z429" s="646"/>
      <c r="AA429" s="328">
        <f>(E429+J429+O429+T429+Y429)</f>
        <v>0</v>
      </c>
      <c r="AB429" s="298">
        <f>Z429+U429+P429+K429+F429</f>
        <v>0</v>
      </c>
      <c r="AD429" s="47"/>
      <c r="AE429" s="47"/>
      <c r="AF429" s="319"/>
      <c r="AG429" s="328">
        <f>AF429</f>
        <v>0</v>
      </c>
      <c r="AI429" s="255"/>
      <c r="AJ429" s="180"/>
      <c r="AK429" s="193"/>
      <c r="AL429" s="193"/>
      <c r="AM429" s="193"/>
      <c r="AN429" s="510"/>
      <c r="AO429" s="193"/>
      <c r="AP429" s="193"/>
      <c r="AQ429" s="367"/>
      <c r="AR429" s="180"/>
      <c r="AS429" s="180"/>
      <c r="AT429" s="180"/>
      <c r="AU429" s="180"/>
      <c r="AV429" s="180"/>
      <c r="AW429" s="180"/>
    </row>
    <row r="430" spans="1:49" s="4" customFormat="1">
      <c r="A430" s="180"/>
      <c r="B430" s="639" t="s">
        <v>975</v>
      </c>
      <c r="C430" s="643"/>
      <c r="D430" s="519"/>
      <c r="E430" s="520"/>
      <c r="F430" s="647"/>
      <c r="G430" s="521"/>
      <c r="H430" s="519"/>
      <c r="I430" s="519"/>
      <c r="J430" s="520"/>
      <c r="K430" s="647"/>
      <c r="L430" s="521"/>
      <c r="M430" s="519"/>
      <c r="N430" s="519"/>
      <c r="O430" s="520"/>
      <c r="P430" s="647"/>
      <c r="Q430" s="521"/>
      <c r="R430" s="519"/>
      <c r="S430" s="519"/>
      <c r="T430" s="520"/>
      <c r="U430" s="647"/>
      <c r="V430" s="521"/>
      <c r="W430" s="519"/>
      <c r="X430" s="519"/>
      <c r="Y430" s="520"/>
      <c r="Z430" s="646"/>
      <c r="AA430" s="328">
        <f>(E430+J430+O430+T430+Y430)</f>
        <v>0</v>
      </c>
      <c r="AB430" s="298">
        <f>Z430+U430+P430+K430+F430</f>
        <v>0</v>
      </c>
      <c r="AD430" s="47"/>
      <c r="AE430" s="47"/>
      <c r="AF430" s="319"/>
      <c r="AG430" s="328">
        <f>AF430</f>
        <v>0</v>
      </c>
      <c r="AI430" s="255"/>
      <c r="AJ430" s="180"/>
      <c r="AK430" s="193"/>
      <c r="AL430" s="193"/>
      <c r="AM430" s="193"/>
      <c r="AN430" s="193"/>
      <c r="AO430" s="193"/>
      <c r="AP430" s="193"/>
      <c r="AQ430" s="367"/>
      <c r="AR430" s="180"/>
      <c r="AS430" s="180"/>
      <c r="AT430" s="180"/>
      <c r="AU430" s="180"/>
      <c r="AV430" s="180"/>
      <c r="AW430" s="180"/>
    </row>
    <row r="431" spans="1:49" s="4" customFormat="1">
      <c r="A431" s="180"/>
      <c r="B431" s="639" t="s">
        <v>533</v>
      </c>
      <c r="C431" s="643"/>
      <c r="D431" s="519"/>
      <c r="E431" s="520"/>
      <c r="F431" s="647"/>
      <c r="G431" s="521"/>
      <c r="H431" s="519"/>
      <c r="I431" s="519"/>
      <c r="J431" s="520"/>
      <c r="K431" s="647"/>
      <c r="L431" s="521"/>
      <c r="M431" s="519"/>
      <c r="N431" s="519"/>
      <c r="O431" s="520"/>
      <c r="P431" s="647"/>
      <c r="Q431" s="521"/>
      <c r="R431" s="519"/>
      <c r="S431" s="519"/>
      <c r="T431" s="520"/>
      <c r="U431" s="647"/>
      <c r="V431" s="521"/>
      <c r="W431" s="519"/>
      <c r="X431" s="519"/>
      <c r="Y431" s="520"/>
      <c r="Z431" s="646"/>
      <c r="AA431" s="328">
        <f t="shared" ref="AA431:AA444" si="71">(E431+J431+O431+T431+Y431)</f>
        <v>0</v>
      </c>
      <c r="AB431" s="298">
        <f t="shared" ref="AB431:AB444" si="72">Z431+U431+P431+K431+F431</f>
        <v>0</v>
      </c>
      <c r="AD431" s="47"/>
      <c r="AE431" s="47"/>
      <c r="AF431" s="319"/>
      <c r="AG431" s="328">
        <f t="shared" ref="AG431:AG444" si="73">AF431</f>
        <v>0</v>
      </c>
      <c r="AI431" s="255"/>
      <c r="AJ431" s="180"/>
      <c r="AK431" s="193"/>
      <c r="AL431" s="193"/>
      <c r="AM431" s="193"/>
      <c r="AN431" s="193"/>
      <c r="AO431" s="193"/>
      <c r="AP431" s="193"/>
      <c r="AQ431" s="180"/>
      <c r="AR431" s="180"/>
      <c r="AS431" s="180"/>
      <c r="AT431" s="180"/>
      <c r="AU431" s="180"/>
      <c r="AV431" s="180"/>
      <c r="AW431" s="180"/>
    </row>
    <row r="432" spans="1:49" s="4" customFormat="1">
      <c r="A432" s="180"/>
      <c r="B432" s="502" t="s">
        <v>483</v>
      </c>
      <c r="C432" s="5"/>
      <c r="D432" s="5"/>
      <c r="E432" s="319"/>
      <c r="F432" s="646"/>
      <c r="H432" s="5"/>
      <c r="I432" s="5"/>
      <c r="J432" s="319"/>
      <c r="K432" s="646"/>
      <c r="M432" s="5"/>
      <c r="N432" s="5"/>
      <c r="O432" s="319"/>
      <c r="P432" s="646"/>
      <c r="R432" s="5"/>
      <c r="S432" s="5"/>
      <c r="T432" s="319"/>
      <c r="U432" s="646"/>
      <c r="W432" s="5"/>
      <c r="X432" s="5"/>
      <c r="Y432" s="319"/>
      <c r="Z432" s="646"/>
      <c r="AA432" s="328">
        <f t="shared" si="71"/>
        <v>0</v>
      </c>
      <c r="AB432" s="298">
        <f t="shared" si="72"/>
        <v>0</v>
      </c>
      <c r="AD432" s="47"/>
      <c r="AE432" s="47"/>
      <c r="AF432" s="319"/>
      <c r="AG432" s="328">
        <f t="shared" si="73"/>
        <v>0</v>
      </c>
      <c r="AI432" s="255"/>
      <c r="AJ432" s="180"/>
      <c r="AK432" s="193"/>
      <c r="AL432" s="193"/>
      <c r="AM432" s="193"/>
      <c r="AN432" s="193"/>
      <c r="AO432" s="193"/>
      <c r="AP432" s="193"/>
      <c r="AQ432" s="180"/>
      <c r="AR432" s="180"/>
      <c r="AS432" s="180"/>
      <c r="AT432" s="180"/>
      <c r="AU432" s="180"/>
      <c r="AV432" s="180"/>
      <c r="AW432" s="180"/>
    </row>
    <row r="433" spans="1:49" s="4" customFormat="1">
      <c r="A433" s="180"/>
      <c r="B433" s="502" t="s">
        <v>483</v>
      </c>
      <c r="C433" s="47"/>
      <c r="D433" s="47"/>
      <c r="E433" s="319">
        <v>8</v>
      </c>
      <c r="F433" s="646">
        <v>0.5</v>
      </c>
      <c r="H433" s="47"/>
      <c r="I433" s="47"/>
      <c r="J433" s="319">
        <v>8</v>
      </c>
      <c r="K433" s="646">
        <v>1.5</v>
      </c>
      <c r="M433" s="47"/>
      <c r="N433" s="47"/>
      <c r="O433" s="319">
        <v>8</v>
      </c>
      <c r="P433" s="646">
        <v>1.5</v>
      </c>
      <c r="R433" s="47"/>
      <c r="S433" s="47"/>
      <c r="T433" s="319">
        <v>8</v>
      </c>
      <c r="U433" s="646">
        <v>1.5</v>
      </c>
      <c r="W433" s="47"/>
      <c r="X433" s="47"/>
      <c r="Y433" s="319">
        <v>8</v>
      </c>
      <c r="Z433" s="646">
        <v>0.5</v>
      </c>
      <c r="AA433" s="328">
        <f t="shared" si="71"/>
        <v>40</v>
      </c>
      <c r="AB433" s="298">
        <f t="shared" si="72"/>
        <v>5.5</v>
      </c>
      <c r="AD433" s="47"/>
      <c r="AE433" s="47"/>
      <c r="AF433" s="319"/>
      <c r="AG433" s="328">
        <f t="shared" si="73"/>
        <v>0</v>
      </c>
      <c r="AI433" s="255"/>
      <c r="AJ433" s="180"/>
      <c r="AK433" s="193"/>
      <c r="AL433" s="193"/>
      <c r="AM433" s="193"/>
      <c r="AN433" s="193"/>
      <c r="AO433" s="193"/>
      <c r="AP433" s="193"/>
      <c r="AQ433" s="180"/>
      <c r="AR433" s="180"/>
      <c r="AS433" s="180"/>
      <c r="AT433" s="180"/>
      <c r="AU433" s="180"/>
      <c r="AV433" s="180"/>
      <c r="AW433" s="180"/>
    </row>
    <row r="434" spans="1:49" s="4" customFormat="1">
      <c r="A434" s="180"/>
      <c r="B434" s="502" t="s">
        <v>484</v>
      </c>
      <c r="C434" s="47"/>
      <c r="D434" s="47"/>
      <c r="E434" s="319">
        <v>8</v>
      </c>
      <c r="F434" s="646">
        <v>0.5</v>
      </c>
      <c r="H434" s="47"/>
      <c r="I434" s="47"/>
      <c r="J434" s="319">
        <v>8</v>
      </c>
      <c r="K434" s="646">
        <v>1.5</v>
      </c>
      <c r="M434" s="47"/>
      <c r="N434" s="47"/>
      <c r="O434" s="319">
        <v>8</v>
      </c>
      <c r="P434" s="646">
        <v>1.5</v>
      </c>
      <c r="R434" s="47"/>
      <c r="S434" s="47"/>
      <c r="T434" s="319">
        <v>8</v>
      </c>
      <c r="U434" s="646">
        <v>1.5</v>
      </c>
      <c r="W434" s="47"/>
      <c r="X434" s="47"/>
      <c r="Y434" s="319">
        <v>8</v>
      </c>
      <c r="Z434" s="646">
        <v>0.5</v>
      </c>
      <c r="AA434" s="328">
        <f t="shared" si="71"/>
        <v>40</v>
      </c>
      <c r="AB434" s="298">
        <f t="shared" si="72"/>
        <v>5.5</v>
      </c>
      <c r="AD434" s="47"/>
      <c r="AE434" s="47"/>
      <c r="AF434" s="319"/>
      <c r="AG434" s="328">
        <f t="shared" si="73"/>
        <v>0</v>
      </c>
      <c r="AI434" s="255"/>
      <c r="AJ434" s="180"/>
      <c r="AK434" s="193"/>
      <c r="AL434" s="193"/>
      <c r="AM434" s="193"/>
      <c r="AN434" s="193"/>
      <c r="AO434" s="193"/>
      <c r="AP434" s="193"/>
      <c r="AQ434" s="180"/>
      <c r="AR434" s="180"/>
      <c r="AS434" s="180"/>
      <c r="AT434" s="180"/>
      <c r="AU434" s="180"/>
      <c r="AV434" s="180"/>
      <c r="AW434" s="180"/>
    </row>
    <row r="435" spans="1:49" s="4" customFormat="1">
      <c r="A435" s="180"/>
      <c r="B435" s="502" t="s">
        <v>485</v>
      </c>
      <c r="C435" s="47"/>
      <c r="D435" s="47"/>
      <c r="E435" s="319">
        <v>8</v>
      </c>
      <c r="F435" s="646">
        <v>0.5</v>
      </c>
      <c r="H435" s="47"/>
      <c r="I435" s="47"/>
      <c r="J435" s="319">
        <v>8</v>
      </c>
      <c r="K435" s="646">
        <v>1.5</v>
      </c>
      <c r="M435" s="47"/>
      <c r="N435" s="47"/>
      <c r="O435" s="319">
        <v>8</v>
      </c>
      <c r="P435" s="646">
        <v>1.5</v>
      </c>
      <c r="R435" s="47"/>
      <c r="S435" s="47"/>
      <c r="T435" s="319">
        <v>8</v>
      </c>
      <c r="U435" s="646">
        <v>1.5</v>
      </c>
      <c r="W435" s="47"/>
      <c r="X435" s="47"/>
      <c r="Y435" s="319">
        <v>8</v>
      </c>
      <c r="Z435" s="646">
        <v>0.5</v>
      </c>
      <c r="AA435" s="328">
        <f t="shared" si="71"/>
        <v>40</v>
      </c>
      <c r="AB435" s="298">
        <f t="shared" si="72"/>
        <v>5.5</v>
      </c>
      <c r="AD435" s="47"/>
      <c r="AE435" s="47"/>
      <c r="AF435" s="319"/>
      <c r="AG435" s="328">
        <f t="shared" si="73"/>
        <v>0</v>
      </c>
      <c r="AI435" s="255"/>
      <c r="AJ435" s="180"/>
      <c r="AK435" s="193"/>
      <c r="AL435" s="193"/>
      <c r="AM435" s="193"/>
      <c r="AN435" s="193"/>
      <c r="AO435" s="193"/>
      <c r="AP435" s="193"/>
      <c r="AQ435" s="180"/>
      <c r="AR435" s="180"/>
      <c r="AS435" s="180"/>
      <c r="AT435" s="180"/>
      <c r="AU435" s="180"/>
      <c r="AV435" s="180"/>
      <c r="AW435" s="180"/>
    </row>
    <row r="436" spans="1:49" s="4" customFormat="1">
      <c r="A436" s="180"/>
      <c r="B436" s="502" t="s">
        <v>486</v>
      </c>
      <c r="C436" s="5"/>
      <c r="D436" s="5"/>
      <c r="E436" s="319"/>
      <c r="F436" s="646"/>
      <c r="H436" s="5"/>
      <c r="I436" s="5"/>
      <c r="J436" s="319"/>
      <c r="K436" s="646"/>
      <c r="M436" s="5"/>
      <c r="N436" s="5"/>
      <c r="O436" s="319"/>
      <c r="P436" s="646"/>
      <c r="R436" s="5"/>
      <c r="S436" s="5"/>
      <c r="T436" s="319"/>
      <c r="U436" s="646"/>
      <c r="W436" s="5"/>
      <c r="X436" s="5"/>
      <c r="Y436" s="319"/>
      <c r="Z436" s="646"/>
      <c r="AA436" s="328">
        <f t="shared" si="71"/>
        <v>0</v>
      </c>
      <c r="AB436" s="298">
        <f t="shared" si="72"/>
        <v>0</v>
      </c>
      <c r="AD436" s="47"/>
      <c r="AE436" s="47"/>
      <c r="AF436" s="319"/>
      <c r="AG436" s="328">
        <f t="shared" si="73"/>
        <v>0</v>
      </c>
      <c r="AI436" s="255"/>
      <c r="AJ436" s="180"/>
      <c r="AK436" s="193"/>
      <c r="AL436" s="193"/>
      <c r="AM436" s="193"/>
      <c r="AN436" s="193"/>
      <c r="AO436" s="193"/>
      <c r="AP436" s="193"/>
      <c r="AQ436" s="180"/>
      <c r="AR436" s="180"/>
      <c r="AS436" s="180"/>
      <c r="AT436" s="180"/>
      <c r="AU436" s="180"/>
      <c r="AV436" s="180"/>
      <c r="AW436" s="180"/>
    </row>
    <row r="437" spans="1:49" s="4" customFormat="1">
      <c r="A437" s="180"/>
      <c r="B437" s="63" t="s">
        <v>63</v>
      </c>
      <c r="C437" s="663"/>
      <c r="D437" s="663"/>
      <c r="E437" s="319">
        <v>8</v>
      </c>
      <c r="F437" s="646">
        <v>0.25</v>
      </c>
      <c r="H437" s="663"/>
      <c r="I437" s="663"/>
      <c r="J437" s="319">
        <v>8</v>
      </c>
      <c r="K437" s="646">
        <v>0.25</v>
      </c>
      <c r="M437" s="47"/>
      <c r="N437" s="47"/>
      <c r="O437" s="319">
        <v>8</v>
      </c>
      <c r="P437" s="646">
        <v>0.5</v>
      </c>
      <c r="R437" s="663"/>
      <c r="S437" s="663"/>
      <c r="T437" s="319">
        <v>8</v>
      </c>
      <c r="U437" s="646">
        <v>0.25</v>
      </c>
      <c r="W437" s="663"/>
      <c r="X437" s="663"/>
      <c r="Y437" s="319">
        <v>8</v>
      </c>
      <c r="Z437" s="646"/>
      <c r="AA437" s="328">
        <f t="shared" si="71"/>
        <v>40</v>
      </c>
      <c r="AB437" s="298">
        <f t="shared" si="72"/>
        <v>1.25</v>
      </c>
      <c r="AD437" s="47"/>
      <c r="AE437" s="47"/>
      <c r="AF437" s="319"/>
      <c r="AG437" s="328">
        <f t="shared" si="73"/>
        <v>0</v>
      </c>
      <c r="AI437" s="255"/>
      <c r="AJ437" s="180"/>
      <c r="AK437" s="193"/>
      <c r="AL437" s="193"/>
      <c r="AM437" s="193"/>
      <c r="AN437" s="193"/>
      <c r="AO437" s="193"/>
      <c r="AP437" s="193"/>
      <c r="AQ437" s="180"/>
      <c r="AR437" s="180"/>
      <c r="AS437" s="180"/>
      <c r="AT437" s="180"/>
      <c r="AU437" s="180"/>
      <c r="AV437" s="180"/>
      <c r="AW437" s="180"/>
    </row>
    <row r="438" spans="1:49" s="4" customFormat="1">
      <c r="A438" s="180"/>
      <c r="B438" s="267" t="s">
        <v>358</v>
      </c>
      <c r="C438" s="663"/>
      <c r="D438" s="663"/>
      <c r="E438" s="319">
        <v>8</v>
      </c>
      <c r="F438" s="646"/>
      <c r="G438" s="438"/>
      <c r="H438" s="663"/>
      <c r="I438" s="663"/>
      <c r="J438" s="319">
        <v>8</v>
      </c>
      <c r="K438" s="646"/>
      <c r="L438" s="438"/>
      <c r="M438" s="663"/>
      <c r="N438" s="663"/>
      <c r="O438" s="319">
        <v>8</v>
      </c>
      <c r="P438" s="646"/>
      <c r="Q438" s="438"/>
      <c r="R438" s="663"/>
      <c r="S438" s="663"/>
      <c r="T438" s="319">
        <v>8</v>
      </c>
      <c r="U438" s="646"/>
      <c r="V438" s="438"/>
      <c r="W438" s="663"/>
      <c r="X438" s="663"/>
      <c r="Y438" s="319">
        <v>7</v>
      </c>
      <c r="Z438" s="646"/>
      <c r="AA438" s="328">
        <f t="shared" si="71"/>
        <v>39</v>
      </c>
      <c r="AB438" s="298">
        <f t="shared" si="72"/>
        <v>0</v>
      </c>
      <c r="AD438" s="47"/>
      <c r="AE438" s="47"/>
      <c r="AF438" s="319"/>
      <c r="AG438" s="328">
        <f t="shared" si="73"/>
        <v>0</v>
      </c>
      <c r="AI438" s="255"/>
      <c r="AJ438" s="180"/>
      <c r="AK438" s="193"/>
      <c r="AL438" s="193"/>
      <c r="AM438" s="193"/>
      <c r="AN438" s="193"/>
      <c r="AO438" s="193"/>
      <c r="AP438" s="193"/>
      <c r="AQ438" s="180"/>
      <c r="AR438" s="180"/>
      <c r="AS438" s="180"/>
      <c r="AT438" s="180"/>
      <c r="AU438" s="180"/>
      <c r="AV438" s="180"/>
      <c r="AW438" s="180"/>
    </row>
    <row r="439" spans="1:49" s="193" customFormat="1">
      <c r="A439" s="180"/>
      <c r="B439" s="267" t="s">
        <v>991</v>
      </c>
      <c r="C439" s="5"/>
      <c r="D439" s="5"/>
      <c r="E439" s="319"/>
      <c r="F439" s="646"/>
      <c r="G439" s="438"/>
      <c r="H439" s="5"/>
      <c r="I439" s="5"/>
      <c r="J439" s="319"/>
      <c r="K439" s="646"/>
      <c r="L439" s="438"/>
      <c r="M439" s="5"/>
      <c r="N439" s="5"/>
      <c r="O439" s="319"/>
      <c r="P439" s="646"/>
      <c r="Q439" s="438"/>
      <c r="R439" s="5"/>
      <c r="S439" s="5"/>
      <c r="T439" s="319"/>
      <c r="U439" s="646"/>
      <c r="V439" s="438"/>
      <c r="W439" s="5"/>
      <c r="X439" s="5"/>
      <c r="Y439" s="319"/>
      <c r="Z439" s="646"/>
      <c r="AA439" s="328">
        <f t="shared" si="71"/>
        <v>0</v>
      </c>
      <c r="AB439" s="298">
        <f t="shared" si="72"/>
        <v>0</v>
      </c>
      <c r="AC439" s="4"/>
      <c r="AD439" s="47"/>
      <c r="AE439" s="47"/>
      <c r="AF439" s="319"/>
      <c r="AG439" s="328">
        <f t="shared" si="73"/>
        <v>0</v>
      </c>
      <c r="AH439" s="4"/>
      <c r="AI439" s="255"/>
      <c r="AJ439" s="180"/>
      <c r="AQ439" s="180"/>
      <c r="AR439" s="180"/>
      <c r="AS439" s="180"/>
      <c r="AT439" s="180"/>
      <c r="AU439" s="180"/>
      <c r="AV439" s="180"/>
      <c r="AW439" s="180"/>
    </row>
    <row r="440" spans="1:49" s="193" customFormat="1">
      <c r="A440" s="180"/>
      <c r="B440" s="267" t="s">
        <v>411</v>
      </c>
      <c r="C440" s="5"/>
      <c r="D440" s="5"/>
      <c r="E440" s="319"/>
      <c r="F440" s="646"/>
      <c r="G440" s="438"/>
      <c r="H440" s="5"/>
      <c r="I440" s="5"/>
      <c r="J440" s="319"/>
      <c r="K440" s="646"/>
      <c r="L440" s="438"/>
      <c r="M440" s="5"/>
      <c r="N440" s="5"/>
      <c r="O440" s="319"/>
      <c r="P440" s="646"/>
      <c r="Q440" s="438"/>
      <c r="R440" s="5"/>
      <c r="S440" s="5"/>
      <c r="T440" s="319"/>
      <c r="U440" s="646"/>
      <c r="V440" s="438"/>
      <c r="W440" s="5"/>
      <c r="X440" s="5"/>
      <c r="Y440" s="319"/>
      <c r="Z440" s="646"/>
      <c r="AA440" s="328">
        <f t="shared" si="71"/>
        <v>0</v>
      </c>
      <c r="AB440" s="298">
        <f t="shared" si="72"/>
        <v>0</v>
      </c>
      <c r="AC440" s="4"/>
      <c r="AD440" s="47"/>
      <c r="AE440" s="47"/>
      <c r="AF440" s="319"/>
      <c r="AG440" s="328">
        <f t="shared" si="73"/>
        <v>0</v>
      </c>
      <c r="AH440" s="4"/>
      <c r="AI440" s="255"/>
      <c r="AJ440" s="180"/>
      <c r="AQ440" s="180"/>
      <c r="AR440" s="180"/>
      <c r="AS440" s="180"/>
      <c r="AT440" s="180"/>
      <c r="AU440" s="180"/>
      <c r="AV440" s="180"/>
      <c r="AW440" s="180"/>
    </row>
    <row r="441" spans="1:49" s="193" customFormat="1">
      <c r="A441" s="180"/>
      <c r="B441" s="267" t="s">
        <v>361</v>
      </c>
      <c r="C441" s="5"/>
      <c r="D441" s="5"/>
      <c r="E441" s="319"/>
      <c r="F441" s="646"/>
      <c r="G441" s="438"/>
      <c r="H441" s="5"/>
      <c r="I441" s="5"/>
      <c r="J441" s="319"/>
      <c r="K441" s="646"/>
      <c r="L441" s="438"/>
      <c r="M441" s="5"/>
      <c r="N441" s="5"/>
      <c r="O441" s="319"/>
      <c r="P441" s="646"/>
      <c r="Q441" s="438"/>
      <c r="R441" s="5"/>
      <c r="S441" s="5"/>
      <c r="T441" s="319"/>
      <c r="U441" s="646"/>
      <c r="V441" s="438"/>
      <c r="W441" s="5"/>
      <c r="X441" s="5"/>
      <c r="Y441" s="319"/>
      <c r="Z441" s="646"/>
      <c r="AA441" s="328">
        <f t="shared" si="71"/>
        <v>0</v>
      </c>
      <c r="AB441" s="298">
        <f t="shared" si="72"/>
        <v>0</v>
      </c>
      <c r="AC441" s="4"/>
      <c r="AD441" s="47"/>
      <c r="AE441" s="47"/>
      <c r="AF441" s="319"/>
      <c r="AG441" s="328">
        <f t="shared" si="73"/>
        <v>0</v>
      </c>
      <c r="AH441" s="4"/>
      <c r="AI441" s="255"/>
      <c r="AJ441" s="180"/>
      <c r="AQ441" s="180"/>
      <c r="AR441" s="180"/>
      <c r="AS441" s="180"/>
      <c r="AT441" s="180"/>
      <c r="AU441" s="180"/>
      <c r="AV441" s="180"/>
      <c r="AW441" s="180"/>
    </row>
    <row r="442" spans="1:49" s="193" customFormat="1">
      <c r="A442" s="180"/>
      <c r="B442" s="267" t="s">
        <v>362</v>
      </c>
      <c r="C442" s="47"/>
      <c r="D442" s="47"/>
      <c r="E442" s="319">
        <v>4</v>
      </c>
      <c r="F442" s="646"/>
      <c r="G442" s="438"/>
      <c r="H442" s="47"/>
      <c r="I442" s="47"/>
      <c r="J442" s="319">
        <v>1</v>
      </c>
      <c r="K442" s="646"/>
      <c r="L442" s="438"/>
      <c r="M442" s="47"/>
      <c r="N442" s="47"/>
      <c r="O442" s="319">
        <v>1</v>
      </c>
      <c r="P442" s="646"/>
      <c r="Q442" s="438"/>
      <c r="R442" s="47"/>
      <c r="S442" s="47"/>
      <c r="T442" s="319">
        <v>1</v>
      </c>
      <c r="U442" s="646"/>
      <c r="V442" s="438"/>
      <c r="W442" s="5"/>
      <c r="X442" s="5"/>
      <c r="Y442" s="319">
        <v>3</v>
      </c>
      <c r="Z442" s="646"/>
      <c r="AA442" s="328">
        <f t="shared" si="71"/>
        <v>10</v>
      </c>
      <c r="AB442" s="298">
        <f t="shared" si="72"/>
        <v>0</v>
      </c>
      <c r="AC442" s="4"/>
      <c r="AD442" s="47"/>
      <c r="AE442" s="47"/>
      <c r="AF442" s="319"/>
      <c r="AG442" s="328">
        <f t="shared" si="73"/>
        <v>0</v>
      </c>
      <c r="AH442" s="4"/>
      <c r="AI442" s="255"/>
      <c r="AJ442" s="180"/>
      <c r="AQ442" s="180"/>
      <c r="AR442" s="180"/>
      <c r="AS442" s="180"/>
      <c r="AT442" s="180"/>
      <c r="AU442" s="180"/>
      <c r="AV442" s="180"/>
      <c r="AW442" s="180"/>
    </row>
    <row r="443" spans="1:49" s="193" customFormat="1">
      <c r="A443" s="180"/>
      <c r="B443" s="437" t="s">
        <v>355</v>
      </c>
      <c r="C443" s="5"/>
      <c r="D443" s="5"/>
      <c r="E443" s="319">
        <v>7.7</v>
      </c>
      <c r="F443" s="646"/>
      <c r="G443" s="438"/>
      <c r="H443" s="5"/>
      <c r="I443" s="5"/>
      <c r="J443" s="319">
        <v>7.7</v>
      </c>
      <c r="K443" s="646"/>
      <c r="L443" s="438"/>
      <c r="M443" s="5"/>
      <c r="N443" s="5"/>
      <c r="O443" s="319">
        <v>7.7</v>
      </c>
      <c r="P443" s="646"/>
      <c r="Q443" s="438"/>
      <c r="R443" s="5"/>
      <c r="S443" s="5"/>
      <c r="T443" s="319">
        <v>7.7</v>
      </c>
      <c r="U443" s="646"/>
      <c r="V443" s="438"/>
      <c r="W443" s="5"/>
      <c r="X443" s="5"/>
      <c r="Y443" s="319">
        <v>7.7</v>
      </c>
      <c r="Z443" s="646"/>
      <c r="AA443" s="328">
        <f t="shared" si="71"/>
        <v>38.5</v>
      </c>
      <c r="AB443" s="298">
        <f t="shared" si="72"/>
        <v>0</v>
      </c>
      <c r="AC443" s="4"/>
      <c r="AD443" s="47"/>
      <c r="AE443" s="47"/>
      <c r="AF443" s="319"/>
      <c r="AG443" s="328">
        <f t="shared" si="73"/>
        <v>0</v>
      </c>
      <c r="AH443" s="4"/>
      <c r="AI443" s="255"/>
      <c r="AJ443" s="180"/>
      <c r="AQ443" s="180"/>
      <c r="AR443" s="180"/>
      <c r="AS443" s="180"/>
      <c r="AT443" s="180"/>
      <c r="AU443" s="180"/>
      <c r="AV443" s="180"/>
      <c r="AW443" s="180"/>
    </row>
    <row r="444" spans="1:49" s="193" customFormat="1">
      <c r="A444" s="180"/>
      <c r="B444" s="437" t="s">
        <v>356</v>
      </c>
      <c r="C444" s="5"/>
      <c r="D444" s="5"/>
      <c r="E444" s="319">
        <v>18</v>
      </c>
      <c r="F444" s="646"/>
      <c r="G444" s="438"/>
      <c r="H444" s="5"/>
      <c r="I444" s="5"/>
      <c r="J444" s="319">
        <v>30</v>
      </c>
      <c r="K444" s="646"/>
      <c r="L444" s="438"/>
      <c r="M444" s="5"/>
      <c r="N444" s="5"/>
      <c r="O444" s="319"/>
      <c r="P444" s="646"/>
      <c r="Q444" s="438"/>
      <c r="R444" s="5"/>
      <c r="S444" s="5"/>
      <c r="T444" s="319"/>
      <c r="U444" s="646"/>
      <c r="V444" s="438"/>
      <c r="W444" s="5"/>
      <c r="X444" s="5"/>
      <c r="Y444" s="319"/>
      <c r="Z444" s="646"/>
      <c r="AA444" s="328">
        <f t="shared" si="71"/>
        <v>48</v>
      </c>
      <c r="AB444" s="298">
        <f t="shared" si="72"/>
        <v>0</v>
      </c>
      <c r="AC444" s="4"/>
      <c r="AD444" s="47"/>
      <c r="AE444" s="47"/>
      <c r="AF444" s="319"/>
      <c r="AG444" s="328">
        <f t="shared" si="73"/>
        <v>0</v>
      </c>
      <c r="AH444" s="4"/>
      <c r="AI444" s="255"/>
      <c r="AJ444" s="180"/>
      <c r="AQ444" s="180"/>
      <c r="AR444" s="180"/>
      <c r="AS444" s="180"/>
      <c r="AT444" s="180"/>
      <c r="AU444" s="180"/>
      <c r="AV444" s="180"/>
      <c r="AW444" s="180"/>
    </row>
    <row r="445" spans="1:49" s="193" customFormat="1">
      <c r="A445" s="180"/>
      <c r="B445" s="64" t="s">
        <v>61</v>
      </c>
      <c r="C445" s="31"/>
      <c r="D445" s="31"/>
      <c r="E445" s="439">
        <f>SUM(E411:E444)</f>
        <v>171.7</v>
      </c>
      <c r="F445" s="646">
        <f>SUM(F411:F444)</f>
        <v>1.75</v>
      </c>
      <c r="G445" s="31"/>
      <c r="H445" s="31"/>
      <c r="I445" s="31"/>
      <c r="J445" s="439">
        <f>SUM(J411:J444)</f>
        <v>190.7</v>
      </c>
      <c r="K445" s="646">
        <f>SUM(K411:K444)</f>
        <v>20.75</v>
      </c>
      <c r="L445" s="31"/>
      <c r="M445" s="31"/>
      <c r="N445" s="31"/>
      <c r="O445" s="439">
        <f>SUM(O411:O444)</f>
        <v>144.19999999999999</v>
      </c>
      <c r="P445" s="646">
        <f>SUM(P411:P444)</f>
        <v>5</v>
      </c>
      <c r="Q445" s="31"/>
      <c r="R445" s="31"/>
      <c r="S445" s="31"/>
      <c r="T445" s="439">
        <f>SUM(T411:T444)</f>
        <v>121.7</v>
      </c>
      <c r="U445" s="646">
        <f>SUM(U411:U444)</f>
        <v>4.75</v>
      </c>
      <c r="V445" s="31"/>
      <c r="W445" s="31"/>
      <c r="X445" s="31"/>
      <c r="Y445" s="439">
        <f>SUM(Y411:Y444)</f>
        <v>110.2</v>
      </c>
      <c r="Z445" s="646">
        <f>SUM(Z411:Z444)</f>
        <v>1.5</v>
      </c>
      <c r="AA445" s="370">
        <f>SUM(AA411:AA444)</f>
        <v>738.5</v>
      </c>
      <c r="AB445" s="370">
        <f>SUM(AB411:AB444)</f>
        <v>33.75</v>
      </c>
      <c r="AC445" s="4"/>
      <c r="AD445" s="64"/>
      <c r="AE445" s="64"/>
      <c r="AF445" s="370">
        <f>SUM(AF411:AF444)</f>
        <v>0</v>
      </c>
      <c r="AG445" s="370">
        <f>SUM(AG411:AG444)</f>
        <v>0</v>
      </c>
      <c r="AH445" s="4"/>
      <c r="AI445" s="255"/>
      <c r="AJ445" s="180"/>
      <c r="AK445" s="407"/>
      <c r="AQ445" s="180"/>
      <c r="AR445" s="180"/>
      <c r="AS445" s="180"/>
      <c r="AT445" s="180"/>
      <c r="AU445" s="180"/>
      <c r="AV445" s="180"/>
      <c r="AW445" s="180"/>
    </row>
    <row r="446" spans="1:49" s="193" customFormat="1">
      <c r="A446" s="180"/>
      <c r="B446" s="63" t="s">
        <v>64</v>
      </c>
      <c r="C446" s="47"/>
      <c r="D446" s="47"/>
      <c r="E446" s="319">
        <v>8</v>
      </c>
      <c r="F446" s="346">
        <v>0.5</v>
      </c>
      <c r="G446" s="613"/>
      <c r="H446" s="47"/>
      <c r="I446" s="47"/>
      <c r="J446" s="319">
        <v>8</v>
      </c>
      <c r="K446" s="346">
        <v>1</v>
      </c>
      <c r="L446" s="60"/>
      <c r="M446" s="47"/>
      <c r="N446" s="47"/>
      <c r="O446" s="319">
        <v>8</v>
      </c>
      <c r="P446" s="346">
        <v>0.75</v>
      </c>
      <c r="Q446" s="60"/>
      <c r="R446" s="47"/>
      <c r="S446" s="47"/>
      <c r="T446" s="319">
        <v>8</v>
      </c>
      <c r="U446" s="346">
        <v>0.75</v>
      </c>
      <c r="V446" s="60"/>
      <c r="W446" s="47"/>
      <c r="X446" s="47"/>
      <c r="Y446" s="319">
        <v>8</v>
      </c>
      <c r="Z446" s="346">
        <v>0.25</v>
      </c>
      <c r="AA446" s="28">
        <f>SUM(E446+J446+O446+T446+Y446)</f>
        <v>40</v>
      </c>
      <c r="AB446" s="296">
        <f>Z446+U446+P446+K446+F446</f>
        <v>3.25</v>
      </c>
      <c r="AC446" s="4"/>
      <c r="AD446" s="47" t="s">
        <v>29</v>
      </c>
      <c r="AE446" s="47" t="s">
        <v>29</v>
      </c>
      <c r="AF446" s="319"/>
      <c r="AG446" s="29">
        <f>AF446</f>
        <v>0</v>
      </c>
      <c r="AH446" s="4"/>
      <c r="AI446" s="255"/>
      <c r="AJ446" s="180"/>
      <c r="AK446" s="407"/>
      <c r="AQ446" s="180"/>
      <c r="AR446" s="180"/>
      <c r="AS446" s="180"/>
      <c r="AT446" s="180"/>
      <c r="AU446" s="180"/>
      <c r="AV446" s="180"/>
      <c r="AW446" s="180"/>
    </row>
    <row r="447" spans="1:49" s="193" customFormat="1">
      <c r="A447" s="180"/>
      <c r="B447" s="71" t="s">
        <v>66</v>
      </c>
      <c r="C447" s="371"/>
      <c r="D447" s="371"/>
      <c r="E447" s="71"/>
      <c r="F447" s="613"/>
      <c r="G447" s="71"/>
      <c r="H447" s="71"/>
      <c r="I447" s="71"/>
      <c r="J447" s="71"/>
      <c r="K447" s="613"/>
      <c r="L447" s="71"/>
      <c r="M447" s="71"/>
      <c r="N447" s="71"/>
      <c r="O447" s="71"/>
      <c r="P447" s="613"/>
      <c r="Q447" s="71"/>
      <c r="R447" s="71"/>
      <c r="S447" s="71"/>
      <c r="T447" s="71"/>
      <c r="U447" s="613"/>
      <c r="V447" s="71"/>
      <c r="W447" s="71"/>
      <c r="X447" s="71"/>
      <c r="Y447" s="71"/>
      <c r="Z447" s="613"/>
      <c r="AA447" s="370">
        <f>SUM(AA446:AA446)</f>
        <v>40</v>
      </c>
      <c r="AB447" s="370">
        <f>SUM(AB446:AB446)</f>
        <v>3.25</v>
      </c>
      <c r="AC447" s="4"/>
      <c r="AD447" s="180"/>
      <c r="AE447" s="180"/>
      <c r="AF447" s="180"/>
      <c r="AG447" s="370">
        <f>SUM(AG446:AG446)</f>
        <v>0</v>
      </c>
      <c r="AH447" s="4"/>
      <c r="AI447" s="255"/>
      <c r="AJ447" s="180"/>
      <c r="AK447" s="407"/>
      <c r="AQ447" s="180"/>
      <c r="AR447" s="180"/>
      <c r="AS447" s="180"/>
      <c r="AT447" s="180"/>
      <c r="AU447" s="180"/>
      <c r="AV447" s="180"/>
      <c r="AW447" s="180"/>
    </row>
    <row r="448" spans="1:49" s="193" customFormat="1">
      <c r="A448" s="180"/>
      <c r="B448" s="217" t="s">
        <v>67</v>
      </c>
      <c r="C448" s="207">
        <f>C449+C450</f>
        <v>70</v>
      </c>
      <c r="D448" s="207"/>
      <c r="E448" s="209"/>
      <c r="F448" s="209"/>
      <c r="G448" s="207"/>
      <c r="H448" s="209"/>
      <c r="I448" s="209"/>
      <c r="J448" s="209"/>
      <c r="K448" s="209"/>
      <c r="L448" s="207"/>
      <c r="M448" s="207"/>
      <c r="N448" s="207"/>
      <c r="O448" s="207"/>
      <c r="P448" s="209"/>
      <c r="Q448" s="207"/>
      <c r="R448" s="207"/>
      <c r="S448" s="207"/>
      <c r="T448" s="207"/>
      <c r="U448" s="209"/>
      <c r="V448" s="207"/>
      <c r="W448" s="207"/>
      <c r="X448" s="207"/>
      <c r="Y448" s="210"/>
      <c r="Z448" s="209"/>
      <c r="AA448" s="211"/>
      <c r="AB448" s="209"/>
      <c r="AC448" s="211"/>
      <c r="AD448" s="211"/>
      <c r="AE448" s="211"/>
      <c r="AF448" s="211"/>
      <c r="AG448" s="211"/>
      <c r="AH448" s="4"/>
      <c r="AI448" s="255"/>
      <c r="AJ448" s="180"/>
      <c r="AQ448" s="180"/>
      <c r="AR448" s="180"/>
      <c r="AS448" s="180"/>
      <c r="AT448" s="180"/>
      <c r="AU448" s="180"/>
      <c r="AV448" s="180"/>
      <c r="AW448" s="180"/>
    </row>
    <row r="449" spans="1:49" s="193" customFormat="1">
      <c r="A449" s="180"/>
      <c r="B449" s="238" t="s">
        <v>68</v>
      </c>
      <c r="C449" s="239">
        <f>16+12+10+6+5</f>
        <v>49</v>
      </c>
      <c r="D449" s="207"/>
      <c r="E449" s="209"/>
      <c r="F449" s="209"/>
      <c r="G449" s="207"/>
      <c r="H449" s="209"/>
      <c r="I449" s="209"/>
      <c r="J449" s="209"/>
      <c r="K449" s="209"/>
      <c r="L449" s="207"/>
      <c r="M449" s="207"/>
      <c r="N449" s="207"/>
      <c r="O449" s="207"/>
      <c r="P449" s="209"/>
      <c r="Q449" s="207"/>
      <c r="R449" s="207"/>
      <c r="S449" s="207"/>
      <c r="T449" s="207"/>
      <c r="U449" s="209"/>
      <c r="V449" s="207"/>
      <c r="W449" s="207"/>
      <c r="X449" s="207"/>
      <c r="Y449" s="210"/>
      <c r="Z449" s="209"/>
      <c r="AA449" s="211"/>
      <c r="AB449" s="209"/>
      <c r="AC449" s="211"/>
      <c r="AD449" s="211"/>
      <c r="AE449" s="211"/>
      <c r="AF449" s="211"/>
      <c r="AG449" s="211"/>
      <c r="AH449" s="4"/>
      <c r="AI449" s="255"/>
      <c r="AJ449" s="180"/>
      <c r="AQ449" s="180"/>
      <c r="AR449" s="180"/>
      <c r="AS449" s="180"/>
      <c r="AT449" s="180"/>
      <c r="AU449" s="180"/>
      <c r="AV449" s="180"/>
      <c r="AW449" s="180"/>
    </row>
    <row r="450" spans="1:49" s="193" customFormat="1">
      <c r="A450" s="180"/>
      <c r="B450" s="238" t="s">
        <v>69</v>
      </c>
      <c r="C450" s="239">
        <f>21</f>
        <v>21</v>
      </c>
      <c r="D450" s="207"/>
      <c r="E450" s="209"/>
      <c r="F450" s="209"/>
      <c r="G450" s="207"/>
      <c r="H450" s="209"/>
      <c r="I450" s="209"/>
      <c r="J450" s="209"/>
      <c r="K450" s="209"/>
      <c r="L450" s="207"/>
      <c r="M450" s="207"/>
      <c r="N450" s="207"/>
      <c r="O450" s="207"/>
      <c r="P450" s="209"/>
      <c r="Q450" s="207"/>
      <c r="R450" s="207"/>
      <c r="S450" s="207"/>
      <c r="T450" s="207"/>
      <c r="U450" s="209"/>
      <c r="V450" s="207"/>
      <c r="W450" s="207"/>
      <c r="X450" s="207"/>
      <c r="Y450" s="210"/>
      <c r="Z450" s="209"/>
      <c r="AA450" s="211"/>
      <c r="AB450" s="209"/>
      <c r="AC450" s="211"/>
      <c r="AD450" s="211"/>
      <c r="AE450" s="211"/>
      <c r="AF450" s="211"/>
      <c r="AG450" s="211"/>
      <c r="AH450" s="4"/>
      <c r="AI450" s="255"/>
      <c r="AJ450" s="180"/>
      <c r="AQ450" s="180"/>
      <c r="AR450" s="180"/>
      <c r="AS450" s="180"/>
      <c r="AT450" s="180"/>
      <c r="AU450" s="180"/>
      <c r="AV450" s="180"/>
      <c r="AW450" s="180"/>
    </row>
    <row r="451" spans="1:49" s="180" customFormat="1">
      <c r="A451" s="313"/>
      <c r="E451" s="4"/>
      <c r="F451" s="644"/>
      <c r="G451" s="4"/>
      <c r="J451" s="4"/>
      <c r="K451" s="644"/>
      <c r="L451" s="4"/>
      <c r="O451" s="4"/>
      <c r="P451" s="644"/>
      <c r="Q451" s="4"/>
      <c r="T451" s="4"/>
      <c r="U451" s="644"/>
      <c r="V451" s="4"/>
      <c r="Y451" s="4"/>
      <c r="Z451" s="644"/>
      <c r="AA451" s="4"/>
      <c r="AB451" s="4"/>
      <c r="AC451" s="4"/>
      <c r="AH451" s="4"/>
      <c r="AI451" s="255"/>
      <c r="AK451" s="193"/>
      <c r="AL451" s="193"/>
      <c r="AM451" s="193"/>
      <c r="AN451" s="193"/>
      <c r="AO451" s="193"/>
      <c r="AP451" s="193"/>
    </row>
    <row r="452" spans="1:49">
      <c r="A452" s="180"/>
      <c r="B452" s="229"/>
      <c r="C452" s="230"/>
      <c r="D452" s="230"/>
      <c r="E452" s="232"/>
      <c r="F452" s="232"/>
      <c r="G452" s="230"/>
      <c r="H452" s="232"/>
      <c r="I452" s="232"/>
      <c r="J452" s="232"/>
      <c r="K452" s="232"/>
      <c r="L452" s="230"/>
      <c r="M452" s="230"/>
      <c r="N452" s="230"/>
      <c r="O452" s="230"/>
      <c r="P452" s="232"/>
      <c r="Q452" s="230"/>
      <c r="R452" s="230"/>
      <c r="S452" s="230"/>
      <c r="T452" s="230"/>
      <c r="U452" s="232"/>
      <c r="V452" s="230"/>
      <c r="W452" s="230"/>
      <c r="X452" s="230"/>
      <c r="Y452" s="233"/>
      <c r="Z452" s="232"/>
      <c r="AA452" s="234"/>
      <c r="AB452" s="232"/>
      <c r="AC452" s="373"/>
      <c r="AD452" s="236"/>
      <c r="AE452" s="255"/>
      <c r="AF452" s="255"/>
      <c r="AG452" s="255"/>
      <c r="AH452" s="255"/>
      <c r="AJ452" s="255"/>
      <c r="AK452" s="255"/>
      <c r="AL452" s="255"/>
      <c r="AM452" s="255"/>
      <c r="AN452" s="255"/>
      <c r="AO452" s="255"/>
      <c r="AP452" s="255"/>
      <c r="AQ452" s="255"/>
      <c r="AR452" s="255"/>
      <c r="AS452" s="255"/>
      <c r="AT452" s="255"/>
      <c r="AU452" s="255"/>
      <c r="AV452" s="255"/>
      <c r="AW452" s="255"/>
    </row>
    <row r="453" spans="1:49">
      <c r="B453" s="180"/>
      <c r="E453" s="4"/>
      <c r="F453" s="644"/>
      <c r="G453" s="4"/>
      <c r="J453" s="4"/>
      <c r="K453" s="644"/>
      <c r="L453" s="4"/>
      <c r="O453" s="4"/>
      <c r="P453" s="644"/>
      <c r="T453" s="4"/>
      <c r="U453" s="644"/>
      <c r="Y453" s="4"/>
      <c r="Z453" s="644"/>
      <c r="AA453" s="4"/>
      <c r="AB453" s="4"/>
      <c r="AC453" s="4"/>
      <c r="AK453" s="180"/>
      <c r="AL453" s="180"/>
      <c r="AM453" s="180"/>
      <c r="AN453" s="180"/>
      <c r="AO453" s="180"/>
      <c r="AP453" s="180"/>
    </row>
    <row r="454" spans="1:49">
      <c r="A454" s="228"/>
      <c r="B454" s="1518" t="s">
        <v>18</v>
      </c>
      <c r="C454" s="1519">
        <v>45614</v>
      </c>
      <c r="D454" s="1519"/>
      <c r="E454" s="1519"/>
      <c r="F454" s="1519"/>
      <c r="G454" s="365"/>
      <c r="H454" s="1519">
        <v>45615</v>
      </c>
      <c r="I454" s="1519"/>
      <c r="J454" s="1519"/>
      <c r="K454" s="1519"/>
      <c r="L454" s="365"/>
      <c r="M454" s="1519">
        <v>45616</v>
      </c>
      <c r="N454" s="1519"/>
      <c r="O454" s="1519"/>
      <c r="P454" s="1519"/>
      <c r="Q454" s="365"/>
      <c r="R454" s="1519">
        <v>45617</v>
      </c>
      <c r="S454" s="1519"/>
      <c r="T454" s="1519"/>
      <c r="U454" s="1519"/>
      <c r="V454" s="365"/>
      <c r="W454" s="1519">
        <v>45618</v>
      </c>
      <c r="X454" s="1519"/>
      <c r="Y454" s="1519"/>
      <c r="Z454" s="1519"/>
      <c r="AA454" s="1517" t="s">
        <v>19</v>
      </c>
      <c r="AB454" s="1517" t="s">
        <v>20</v>
      </c>
      <c r="AC454" s="4"/>
      <c r="AD454" s="1519"/>
      <c r="AE454" s="1519"/>
      <c r="AF454" s="1519"/>
      <c r="AG454" s="1517" t="s">
        <v>21</v>
      </c>
      <c r="AI454" s="368"/>
      <c r="AK454" s="194" t="s">
        <v>84</v>
      </c>
      <c r="AL454" s="366"/>
      <c r="AM454" s="366"/>
      <c r="AN454" s="366"/>
      <c r="AO454" s="366"/>
      <c r="AP454" s="366"/>
    </row>
    <row r="455" spans="1:49">
      <c r="A455" s="180"/>
      <c r="B455" s="1518"/>
      <c r="C455" s="21" t="s">
        <v>23</v>
      </c>
      <c r="D455" s="21" t="s">
        <v>24</v>
      </c>
      <c r="E455" s="205" t="s">
        <v>25</v>
      </c>
      <c r="F455" s="645" t="s">
        <v>14</v>
      </c>
      <c r="G455" s="4"/>
      <c r="H455" s="21" t="s">
        <v>23</v>
      </c>
      <c r="I455" s="21" t="s">
        <v>24</v>
      </c>
      <c r="J455" s="18" t="s">
        <v>25</v>
      </c>
      <c r="K455" s="645" t="s">
        <v>14</v>
      </c>
      <c r="L455" s="4"/>
      <c r="M455" s="21" t="s">
        <v>23</v>
      </c>
      <c r="N455" s="21" t="s">
        <v>24</v>
      </c>
      <c r="O455" s="18" t="s">
        <v>25</v>
      </c>
      <c r="P455" s="645" t="s">
        <v>14</v>
      </c>
      <c r="R455" s="21" t="s">
        <v>23</v>
      </c>
      <c r="S455" s="21" t="s">
        <v>24</v>
      </c>
      <c r="T455" s="18" t="s">
        <v>25</v>
      </c>
      <c r="U455" s="645" t="s">
        <v>14</v>
      </c>
      <c r="W455" s="21" t="s">
        <v>23</v>
      </c>
      <c r="X455" s="21" t="s">
        <v>24</v>
      </c>
      <c r="Y455" s="18" t="s">
        <v>25</v>
      </c>
      <c r="Z455" s="645" t="s">
        <v>14</v>
      </c>
      <c r="AA455" s="1517"/>
      <c r="AB455" s="1517"/>
      <c r="AC455" s="4"/>
      <c r="AD455" s="21" t="s">
        <v>23</v>
      </c>
      <c r="AE455" s="21" t="s">
        <v>24</v>
      </c>
      <c r="AF455" s="18" t="s">
        <v>25</v>
      </c>
      <c r="AG455" s="1517"/>
      <c r="AI455" s="368"/>
      <c r="AJ455" s="367"/>
      <c r="AK455" s="188" t="s">
        <v>26</v>
      </c>
      <c r="AL455" s="196">
        <f>AA490</f>
        <v>893.25</v>
      </c>
      <c r="AM455" s="510">
        <v>39.14</v>
      </c>
      <c r="AN455" s="510">
        <f t="shared" ref="AN455:AN461" si="74">AL455*AM455</f>
        <v>34961.805</v>
      </c>
      <c r="AQ455" s="367"/>
      <c r="AR455" s="367"/>
      <c r="AS455" s="367"/>
      <c r="AT455" s="367"/>
      <c r="AU455" s="367"/>
      <c r="AV455" s="367"/>
      <c r="AW455" s="367"/>
    </row>
    <row r="456" spans="1:49">
      <c r="A456" s="180"/>
      <c r="B456" s="4" t="s">
        <v>958</v>
      </c>
      <c r="C456" s="441" t="s">
        <v>75</v>
      </c>
      <c r="D456" s="441" t="s">
        <v>246</v>
      </c>
      <c r="E456" s="319">
        <v>8</v>
      </c>
      <c r="F456" s="646"/>
      <c r="G456" s="4"/>
      <c r="H456" s="47">
        <v>0.40625</v>
      </c>
      <c r="I456" s="47">
        <v>0.25</v>
      </c>
      <c r="J456" s="319">
        <v>7.25</v>
      </c>
      <c r="K456" s="646"/>
      <c r="L456" s="4"/>
      <c r="M456" s="441" t="s">
        <v>960</v>
      </c>
      <c r="N456" s="47"/>
      <c r="O456" s="319">
        <v>0</v>
      </c>
      <c r="P456" s="646"/>
      <c r="R456" s="47">
        <v>0.39583333333333331</v>
      </c>
      <c r="S456" s="47">
        <v>0.25</v>
      </c>
      <c r="T456" s="319">
        <v>7.5</v>
      </c>
      <c r="U456" s="646"/>
      <c r="W456" s="47">
        <v>0.41666666666666669</v>
      </c>
      <c r="X456" s="47">
        <v>0.25</v>
      </c>
      <c r="Y456" s="319">
        <v>7</v>
      </c>
      <c r="Z456" s="646"/>
      <c r="AA456" s="328">
        <f t="shared" ref="AA456:AA461" si="75">(E456+J456+O456+T456+Y456)</f>
        <v>29.75</v>
      </c>
      <c r="AB456" s="298">
        <f t="shared" ref="AB456:AB461" si="76">Z456+U456+P456+K456+F456</f>
        <v>0</v>
      </c>
      <c r="AC456" s="4"/>
      <c r="AD456" s="587"/>
      <c r="AE456" s="531"/>
      <c r="AF456" s="319"/>
      <c r="AG456" s="328">
        <f t="shared" ref="AG456:AG461" si="77">AF456</f>
        <v>0</v>
      </c>
      <c r="AI456" s="368"/>
      <c r="AJ456" s="367"/>
      <c r="AK456" s="188" t="s">
        <v>30</v>
      </c>
      <c r="AL456" s="196">
        <f>AB490</f>
        <v>0.75</v>
      </c>
      <c r="AM456" s="511">
        <f>AM455*1.5</f>
        <v>58.71</v>
      </c>
      <c r="AN456" s="510">
        <f t="shared" si="74"/>
        <v>44.032499999999999</v>
      </c>
      <c r="AQ456" s="367"/>
      <c r="AR456" s="367"/>
      <c r="AS456" s="367"/>
      <c r="AT456" s="367"/>
      <c r="AU456" s="367"/>
      <c r="AV456" s="367"/>
      <c r="AW456" s="367"/>
    </row>
    <row r="457" spans="1:49">
      <c r="A457" s="367"/>
      <c r="B457" s="47" t="s">
        <v>515</v>
      </c>
      <c r="C457" s="441" t="s">
        <v>75</v>
      </c>
      <c r="D457" s="441" t="s">
        <v>246</v>
      </c>
      <c r="E457" s="319">
        <v>8</v>
      </c>
      <c r="F457" s="646"/>
      <c r="G457" s="4"/>
      <c r="H457" s="441" t="s">
        <v>75</v>
      </c>
      <c r="I457" s="47">
        <v>0.25</v>
      </c>
      <c r="J457" s="319">
        <v>8</v>
      </c>
      <c r="K457" s="646"/>
      <c r="L457" s="4"/>
      <c r="M457" s="47">
        <v>0.375</v>
      </c>
      <c r="N457" s="47">
        <v>0.25</v>
      </c>
      <c r="O457" s="319">
        <v>8</v>
      </c>
      <c r="P457" s="646"/>
      <c r="R457" s="667" t="s">
        <v>960</v>
      </c>
      <c r="S457" s="565"/>
      <c r="T457" s="319">
        <v>0</v>
      </c>
      <c r="U457" s="646"/>
      <c r="W457" s="667" t="s">
        <v>960</v>
      </c>
      <c r="X457" s="565"/>
      <c r="Y457" s="319">
        <v>0</v>
      </c>
      <c r="Z457" s="646"/>
      <c r="AA457" s="328">
        <f t="shared" si="75"/>
        <v>24</v>
      </c>
      <c r="AB457" s="298">
        <f t="shared" si="76"/>
        <v>0</v>
      </c>
      <c r="AC457" s="4"/>
      <c r="AF457" s="319"/>
      <c r="AG457" s="328">
        <f t="shared" si="77"/>
        <v>0</v>
      </c>
      <c r="AH457" s="175"/>
      <c r="AI457" s="402"/>
      <c r="AJ457" s="367"/>
      <c r="AK457" s="188" t="s">
        <v>32</v>
      </c>
      <c r="AL457" s="196">
        <f>AG490</f>
        <v>0</v>
      </c>
      <c r="AM457" s="510">
        <v>58.71</v>
      </c>
      <c r="AN457" s="510">
        <f t="shared" si="74"/>
        <v>0</v>
      </c>
      <c r="AQ457" s="367"/>
      <c r="AR457" s="367"/>
      <c r="AS457" s="367"/>
      <c r="AT457" s="367"/>
      <c r="AU457" s="367"/>
      <c r="AV457" s="367"/>
      <c r="AW457" s="367"/>
    </row>
    <row r="458" spans="1:49">
      <c r="A458" s="367"/>
      <c r="B458" s="441" t="s">
        <v>962</v>
      </c>
      <c r="C458" s="441" t="s">
        <v>75</v>
      </c>
      <c r="D458" s="441" t="s">
        <v>246</v>
      </c>
      <c r="E458" s="319">
        <v>8</v>
      </c>
      <c r="F458" s="646"/>
      <c r="G458" s="4"/>
      <c r="H458" s="441" t="s">
        <v>75</v>
      </c>
      <c r="I458" s="441" t="s">
        <v>246</v>
      </c>
      <c r="J458" s="319">
        <v>8</v>
      </c>
      <c r="K458" s="646"/>
      <c r="L458" s="4"/>
      <c r="M458" s="47">
        <v>0.375</v>
      </c>
      <c r="N458" s="47">
        <v>0.25</v>
      </c>
      <c r="O458" s="319">
        <v>8</v>
      </c>
      <c r="P458" s="646"/>
      <c r="R458" s="47">
        <v>0.375</v>
      </c>
      <c r="S458" s="47">
        <v>0.25</v>
      </c>
      <c r="T458" s="319">
        <v>8</v>
      </c>
      <c r="U458" s="646"/>
      <c r="W458" s="47">
        <v>0.375</v>
      </c>
      <c r="X458" s="47">
        <v>0.25</v>
      </c>
      <c r="Y458" s="319">
        <v>8</v>
      </c>
      <c r="Z458" s="646"/>
      <c r="AA458" s="328">
        <f t="shared" si="75"/>
        <v>40</v>
      </c>
      <c r="AB458" s="298">
        <f t="shared" si="76"/>
        <v>0</v>
      </c>
      <c r="AC458" s="399"/>
      <c r="AD458" s="47"/>
      <c r="AE458" s="47"/>
      <c r="AF458" s="319"/>
      <c r="AG458" s="328">
        <f t="shared" si="77"/>
        <v>0</v>
      </c>
      <c r="AH458" s="175"/>
      <c r="AJ458" s="401"/>
      <c r="AK458" s="403" t="s">
        <v>213</v>
      </c>
      <c r="AL458" s="404">
        <f>AA492</f>
        <v>40</v>
      </c>
      <c r="AM458" s="510">
        <v>51.5</v>
      </c>
      <c r="AN458" s="510">
        <f t="shared" si="74"/>
        <v>2060</v>
      </c>
      <c r="AO458" s="405"/>
      <c r="AP458" s="405"/>
      <c r="AQ458" s="367"/>
      <c r="AR458" s="401"/>
      <c r="AS458" s="401"/>
      <c r="AT458" s="401"/>
      <c r="AU458" s="401"/>
      <c r="AV458" s="401"/>
      <c r="AW458" s="401"/>
    </row>
    <row r="459" spans="1:49">
      <c r="A459" s="367"/>
      <c r="B459" s="665" t="s">
        <v>994</v>
      </c>
      <c r="C459" s="441" t="s">
        <v>75</v>
      </c>
      <c r="D459" s="441" t="s">
        <v>246</v>
      </c>
      <c r="E459" s="319">
        <v>8</v>
      </c>
      <c r="F459" s="646"/>
      <c r="G459" s="4"/>
      <c r="H459" s="441" t="s">
        <v>75</v>
      </c>
      <c r="I459" s="47">
        <v>0.25</v>
      </c>
      <c r="J459" s="319">
        <v>8</v>
      </c>
      <c r="K459" s="646"/>
      <c r="L459" s="4"/>
      <c r="M459" s="441" t="s">
        <v>75</v>
      </c>
      <c r="N459" s="47">
        <v>0.25</v>
      </c>
      <c r="O459" s="319">
        <v>8</v>
      </c>
      <c r="P459" s="646"/>
      <c r="R459" s="47">
        <v>0.375</v>
      </c>
      <c r="S459" s="47">
        <v>0.25</v>
      </c>
      <c r="T459" s="319">
        <v>8</v>
      </c>
      <c r="U459" s="646"/>
      <c r="W459" s="47">
        <v>0.375</v>
      </c>
      <c r="X459" s="47">
        <v>0.25</v>
      </c>
      <c r="Y459" s="319">
        <v>8</v>
      </c>
      <c r="Z459" s="646"/>
      <c r="AA459" s="328">
        <f t="shared" si="75"/>
        <v>40</v>
      </c>
      <c r="AB459" s="298">
        <f t="shared" si="76"/>
        <v>0</v>
      </c>
      <c r="AC459" s="175"/>
      <c r="AD459" s="47"/>
      <c r="AE459" s="47"/>
      <c r="AF459" s="319"/>
      <c r="AG459" s="328">
        <f t="shared" si="77"/>
        <v>0</v>
      </c>
      <c r="AH459" s="175"/>
      <c r="AJ459" s="401"/>
      <c r="AK459" s="188" t="s">
        <v>36</v>
      </c>
      <c r="AL459" s="196">
        <f>AB492</f>
        <v>3</v>
      </c>
      <c r="AM459" s="510">
        <f>AM458*1.5</f>
        <v>77.25</v>
      </c>
      <c r="AN459" s="510">
        <f t="shared" si="74"/>
        <v>231.75</v>
      </c>
      <c r="AO459" s="405"/>
      <c r="AP459" s="405"/>
      <c r="AQ459" s="367"/>
      <c r="AR459" s="401"/>
      <c r="AS459" s="401"/>
      <c r="AT459" s="401"/>
      <c r="AU459" s="401"/>
      <c r="AV459" s="401"/>
      <c r="AW459" s="401"/>
    </row>
    <row r="460" spans="1:49">
      <c r="A460" s="367"/>
      <c r="B460" s="47" t="s">
        <v>967</v>
      </c>
      <c r="C460" s="667" t="s">
        <v>960</v>
      </c>
      <c r="D460" s="565"/>
      <c r="E460" s="319">
        <v>0</v>
      </c>
      <c r="F460" s="646"/>
      <c r="G460" s="4"/>
      <c r="H460" s="441" t="s">
        <v>75</v>
      </c>
      <c r="I460" s="441" t="s">
        <v>246</v>
      </c>
      <c r="J460" s="319">
        <v>8</v>
      </c>
      <c r="K460" s="646"/>
      <c r="L460" s="4"/>
      <c r="M460" s="47">
        <v>0.375</v>
      </c>
      <c r="N460" s="47">
        <v>0.25</v>
      </c>
      <c r="O460" s="319">
        <v>8</v>
      </c>
      <c r="P460" s="646"/>
      <c r="R460" s="47">
        <v>0.375</v>
      </c>
      <c r="S460" s="47">
        <v>0.25</v>
      </c>
      <c r="T460" s="319">
        <v>8</v>
      </c>
      <c r="U460" s="646"/>
      <c r="W460" s="47">
        <v>0.375</v>
      </c>
      <c r="X460" s="47">
        <v>0.25</v>
      </c>
      <c r="Y460" s="319">
        <v>8</v>
      </c>
      <c r="Z460" s="646"/>
      <c r="AA460" s="328">
        <f t="shared" si="75"/>
        <v>32</v>
      </c>
      <c r="AB460" s="298">
        <f t="shared" si="76"/>
        <v>0</v>
      </c>
      <c r="AC460" s="4"/>
      <c r="AD460" s="47"/>
      <c r="AE460" s="47"/>
      <c r="AF460" s="319"/>
      <c r="AG460" s="328">
        <f t="shared" si="77"/>
        <v>0</v>
      </c>
      <c r="AH460" s="175"/>
      <c r="AI460" s="368"/>
      <c r="AK460" s="188" t="s">
        <v>38</v>
      </c>
      <c r="AL460" s="196">
        <f>AG492</f>
        <v>0</v>
      </c>
      <c r="AM460" s="510">
        <v>77.25</v>
      </c>
      <c r="AN460" s="510">
        <f t="shared" si="74"/>
        <v>0</v>
      </c>
      <c r="AQ460" s="367"/>
    </row>
    <row r="461" spans="1:49" s="4" customFormat="1" ht="14.25" thickBot="1">
      <c r="A461" s="180"/>
      <c r="B461" s="532" t="s">
        <v>995</v>
      </c>
      <c r="C461" s="441" t="s">
        <v>75</v>
      </c>
      <c r="D461" s="441" t="s">
        <v>246</v>
      </c>
      <c r="E461" s="319">
        <v>8</v>
      </c>
      <c r="F461" s="646"/>
      <c r="H461" s="441" t="s">
        <v>75</v>
      </c>
      <c r="I461" s="441" t="s">
        <v>246</v>
      </c>
      <c r="J461" s="319">
        <v>8</v>
      </c>
      <c r="K461" s="646"/>
      <c r="M461" s="47">
        <v>0.375</v>
      </c>
      <c r="N461" s="47">
        <v>0.25</v>
      </c>
      <c r="O461" s="319">
        <v>8</v>
      </c>
      <c r="P461" s="646"/>
      <c r="R461" s="47">
        <v>0.375</v>
      </c>
      <c r="S461" s="47">
        <v>0.25</v>
      </c>
      <c r="T461" s="319">
        <v>8</v>
      </c>
      <c r="U461" s="646"/>
      <c r="W461" s="47">
        <v>0.375</v>
      </c>
      <c r="X461" s="47">
        <v>0.25</v>
      </c>
      <c r="Y461" s="319">
        <v>8</v>
      </c>
      <c r="Z461" s="646"/>
      <c r="AA461" s="328">
        <f t="shared" si="75"/>
        <v>40</v>
      </c>
      <c r="AB461" s="298">
        <f t="shared" si="76"/>
        <v>0</v>
      </c>
      <c r="AD461" s="47"/>
      <c r="AE461" s="47"/>
      <c r="AF461" s="319"/>
      <c r="AG461" s="328">
        <f t="shared" si="77"/>
        <v>0</v>
      </c>
      <c r="AI461" s="255"/>
      <c r="AJ461" s="180"/>
      <c r="AK461" s="188" t="s">
        <v>41</v>
      </c>
      <c r="AL461" s="196">
        <f>C493</f>
        <v>76</v>
      </c>
      <c r="AM461" s="512">
        <v>46.35</v>
      </c>
      <c r="AN461" s="512">
        <f t="shared" si="74"/>
        <v>3522.6</v>
      </c>
      <c r="AO461" s="193"/>
      <c r="AP461" s="193"/>
      <c r="AQ461" s="367"/>
      <c r="AR461" s="180"/>
      <c r="AS461" s="180"/>
      <c r="AT461" s="180"/>
      <c r="AU461" s="180"/>
      <c r="AV461" s="180"/>
      <c r="AW461" s="180"/>
    </row>
    <row r="462" spans="1:49" s="4" customFormat="1" ht="14.25" thickTop="1">
      <c r="A462" s="180"/>
      <c r="B462" s="436" t="s">
        <v>972</v>
      </c>
      <c r="C462" s="441" t="s">
        <v>75</v>
      </c>
      <c r="D462" s="441" t="s">
        <v>246</v>
      </c>
      <c r="E462" s="319">
        <v>8</v>
      </c>
      <c r="F462" s="646"/>
      <c r="H462" s="441" t="s">
        <v>75</v>
      </c>
      <c r="I462" s="441" t="s">
        <v>246</v>
      </c>
      <c r="J462" s="319">
        <v>8</v>
      </c>
      <c r="K462" s="646"/>
      <c r="M462" s="47">
        <v>0.375</v>
      </c>
      <c r="N462" s="47">
        <v>0.25</v>
      </c>
      <c r="O462" s="319">
        <v>8</v>
      </c>
      <c r="P462" s="646"/>
      <c r="R462" s="47">
        <v>0.375</v>
      </c>
      <c r="S462" s="47">
        <v>0.25</v>
      </c>
      <c r="T462" s="319">
        <v>8</v>
      </c>
      <c r="U462" s="646"/>
      <c r="W462" s="47">
        <v>0.375</v>
      </c>
      <c r="X462" s="47">
        <v>0.25</v>
      </c>
      <c r="Y462" s="319">
        <v>8</v>
      </c>
      <c r="Z462" s="646"/>
      <c r="AA462" s="328">
        <f>(E462+J462+O462+T462+Y462)</f>
        <v>40</v>
      </c>
      <c r="AB462" s="298">
        <f>Z462+U462+P462+K462+F462</f>
        <v>0</v>
      </c>
      <c r="AD462" s="47"/>
      <c r="AE462" s="47"/>
      <c r="AF462" s="319"/>
      <c r="AG462" s="328">
        <f>AF462</f>
        <v>0</v>
      </c>
      <c r="AI462" s="255"/>
      <c r="AJ462" s="180"/>
      <c r="AK462" s="188"/>
      <c r="AL462" s="196"/>
      <c r="AM462" s="510"/>
      <c r="AN462" s="510"/>
      <c r="AO462" s="193"/>
      <c r="AP462" s="193"/>
      <c r="AQ462" s="367"/>
      <c r="AR462" s="180"/>
      <c r="AS462" s="180"/>
      <c r="AT462" s="180"/>
      <c r="AU462" s="180"/>
      <c r="AV462" s="180"/>
      <c r="AW462" s="180"/>
    </row>
    <row r="463" spans="1:49" s="4" customFormat="1">
      <c r="A463" s="180"/>
      <c r="B463" s="47" t="s">
        <v>974</v>
      </c>
      <c r="C463" s="441" t="s">
        <v>75</v>
      </c>
      <c r="D463" s="441" t="s">
        <v>246</v>
      </c>
      <c r="E463" s="319">
        <v>8</v>
      </c>
      <c r="F463" s="646"/>
      <c r="H463" s="441" t="s">
        <v>75</v>
      </c>
      <c r="I463" s="441" t="s">
        <v>246</v>
      </c>
      <c r="J463" s="319">
        <v>8</v>
      </c>
      <c r="K463" s="646"/>
      <c r="M463" s="47">
        <v>0.375</v>
      </c>
      <c r="N463" s="47">
        <v>0.25</v>
      </c>
      <c r="O463" s="319">
        <v>8</v>
      </c>
      <c r="P463" s="646"/>
      <c r="R463" s="441" t="s">
        <v>75</v>
      </c>
      <c r="S463" s="441" t="s">
        <v>246</v>
      </c>
      <c r="T463" s="319">
        <v>8</v>
      </c>
      <c r="U463" s="646"/>
      <c r="W463" s="441" t="s">
        <v>75</v>
      </c>
      <c r="X463" s="441" t="s">
        <v>246</v>
      </c>
      <c r="Y463" s="319">
        <v>8</v>
      </c>
      <c r="Z463" s="646"/>
      <c r="AA463" s="328">
        <f t="shared" ref="AA463:AA473" si="78">(E463+J463+O463+T463+Y463)</f>
        <v>40</v>
      </c>
      <c r="AB463" s="298">
        <f t="shared" ref="AB463:AB473" si="79">Z463+U463+P463+K463+F463</f>
        <v>0</v>
      </c>
      <c r="AD463" s="47" t="s">
        <v>1009</v>
      </c>
      <c r="AE463" s="47" t="s">
        <v>1010</v>
      </c>
      <c r="AF463" s="319"/>
      <c r="AG463" s="328">
        <f t="shared" ref="AG463:AG473" si="80">AF463</f>
        <v>0</v>
      </c>
      <c r="AI463" s="255"/>
      <c r="AJ463" s="180"/>
      <c r="AK463" s="193"/>
      <c r="AL463" s="193"/>
      <c r="AM463" s="193"/>
      <c r="AN463" s="510">
        <f>SUM(AN455:AN461)</f>
        <v>40820.1875</v>
      </c>
      <c r="AO463" s="193"/>
      <c r="AP463" s="193"/>
      <c r="AQ463" s="367"/>
      <c r="AR463" s="180"/>
      <c r="AS463" s="180"/>
      <c r="AT463" s="180"/>
      <c r="AU463" s="180"/>
      <c r="AV463" s="180"/>
      <c r="AW463" s="180"/>
    </row>
    <row r="464" spans="1:49" s="4" customFormat="1">
      <c r="A464" s="180"/>
      <c r="B464" s="47" t="s">
        <v>517</v>
      </c>
      <c r="C464" s="667" t="s">
        <v>960</v>
      </c>
      <c r="D464" s="565"/>
      <c r="E464" s="319">
        <v>0</v>
      </c>
      <c r="F464" s="646"/>
      <c r="H464" s="441" t="s">
        <v>75</v>
      </c>
      <c r="I464" s="441" t="s">
        <v>246</v>
      </c>
      <c r="J464" s="319">
        <v>8</v>
      </c>
      <c r="K464" s="646"/>
      <c r="M464" s="47">
        <v>0.375</v>
      </c>
      <c r="N464" s="47">
        <v>0.25</v>
      </c>
      <c r="O464" s="319">
        <v>8</v>
      </c>
      <c r="P464" s="646"/>
      <c r="R464" s="441" t="s">
        <v>75</v>
      </c>
      <c r="S464" s="441" t="s">
        <v>246</v>
      </c>
      <c r="T464" s="319">
        <v>8</v>
      </c>
      <c r="U464" s="646"/>
      <c r="W464" s="441" t="s">
        <v>75</v>
      </c>
      <c r="X464" s="441" t="s">
        <v>246</v>
      </c>
      <c r="Y464" s="319">
        <v>8</v>
      </c>
      <c r="Z464" s="646"/>
      <c r="AA464" s="328">
        <f t="shared" si="78"/>
        <v>32</v>
      </c>
      <c r="AB464" s="298">
        <f t="shared" si="79"/>
        <v>0</v>
      </c>
      <c r="AD464" s="47"/>
      <c r="AE464" s="47"/>
      <c r="AF464" s="319"/>
      <c r="AG464" s="328">
        <f t="shared" si="80"/>
        <v>0</v>
      </c>
      <c r="AI464" s="255"/>
      <c r="AJ464" s="180"/>
      <c r="AK464" s="193"/>
      <c r="AL464" s="193"/>
      <c r="AM464" s="193"/>
      <c r="AN464" s="193"/>
      <c r="AO464" s="193"/>
      <c r="AP464" s="193"/>
      <c r="AQ464" s="180"/>
      <c r="AR464" s="180"/>
      <c r="AS464" s="180"/>
      <c r="AT464" s="180"/>
      <c r="AU464" s="180"/>
      <c r="AV464" s="180"/>
      <c r="AW464" s="180"/>
    </row>
    <row r="465" spans="1:49" s="4" customFormat="1">
      <c r="A465" s="180"/>
      <c r="B465" s="436" t="s">
        <v>981</v>
      </c>
      <c r="C465" s="441" t="s">
        <v>125</v>
      </c>
      <c r="D465" s="441" t="s">
        <v>136</v>
      </c>
      <c r="E465" s="319">
        <v>8</v>
      </c>
      <c r="F465" s="646"/>
      <c r="H465" s="441" t="s">
        <v>75</v>
      </c>
      <c r="I465" s="441" t="s">
        <v>246</v>
      </c>
      <c r="J465" s="544">
        <v>8</v>
      </c>
      <c r="K465" s="646"/>
      <c r="M465" s="47">
        <v>0.375</v>
      </c>
      <c r="N465" s="47">
        <v>0.25</v>
      </c>
      <c r="O465" s="319">
        <v>8</v>
      </c>
      <c r="P465" s="646"/>
      <c r="R465" s="47">
        <v>0.375</v>
      </c>
      <c r="S465" s="47">
        <v>0.25</v>
      </c>
      <c r="T465" s="319">
        <v>8</v>
      </c>
      <c r="U465" s="646"/>
      <c r="W465" s="47">
        <v>0.375</v>
      </c>
      <c r="X465" s="47">
        <v>0.25</v>
      </c>
      <c r="Y465" s="319">
        <v>8</v>
      </c>
      <c r="Z465" s="646"/>
      <c r="AA465" s="328">
        <f t="shared" si="78"/>
        <v>40</v>
      </c>
      <c r="AB465" s="298">
        <f t="shared" si="79"/>
        <v>0</v>
      </c>
      <c r="AD465" s="47" t="s">
        <v>1011</v>
      </c>
      <c r="AE465" s="47" t="s">
        <v>1012</v>
      </c>
      <c r="AF465" s="319"/>
      <c r="AG465" s="328">
        <f t="shared" si="80"/>
        <v>0</v>
      </c>
      <c r="AI465" s="255"/>
      <c r="AJ465" s="180"/>
      <c r="AK465" s="193"/>
      <c r="AL465" s="193"/>
      <c r="AM465" s="193"/>
      <c r="AN465" s="193"/>
      <c r="AO465" s="193"/>
      <c r="AP465" s="193"/>
      <c r="AQ465" s="180"/>
      <c r="AR465" s="180"/>
      <c r="AS465" s="180"/>
      <c r="AT465" s="180"/>
      <c r="AU465" s="180"/>
      <c r="AV465" s="180"/>
      <c r="AW465" s="180"/>
    </row>
    <row r="466" spans="1:49" s="4" customFormat="1">
      <c r="A466" s="180"/>
      <c r="B466" s="4" t="s">
        <v>976</v>
      </c>
      <c r="C466" s="441" t="s">
        <v>75</v>
      </c>
      <c r="D466" s="441" t="s">
        <v>246</v>
      </c>
      <c r="E466" s="319">
        <v>8</v>
      </c>
      <c r="F466" s="646"/>
      <c r="H466" s="667" t="s">
        <v>960</v>
      </c>
      <c r="I466" s="565"/>
      <c r="J466" s="319">
        <v>0</v>
      </c>
      <c r="K466" s="646"/>
      <c r="M466" s="47">
        <v>0.375</v>
      </c>
      <c r="N466" s="47">
        <v>0.25</v>
      </c>
      <c r="O466" s="319">
        <v>8</v>
      </c>
      <c r="P466" s="646"/>
      <c r="R466" s="667" t="s">
        <v>960</v>
      </c>
      <c r="S466" s="565"/>
      <c r="T466" s="319">
        <v>0</v>
      </c>
      <c r="U466" s="646"/>
      <c r="W466" s="47">
        <v>0.375</v>
      </c>
      <c r="X466" s="47">
        <v>0.25</v>
      </c>
      <c r="Y466" s="319">
        <v>8</v>
      </c>
      <c r="Z466" s="646"/>
      <c r="AA466" s="328">
        <f t="shared" si="78"/>
        <v>24</v>
      </c>
      <c r="AB466" s="298">
        <f t="shared" si="79"/>
        <v>0</v>
      </c>
      <c r="AE466" s="47"/>
      <c r="AF466" s="319"/>
      <c r="AG466" s="328">
        <f t="shared" si="80"/>
        <v>0</v>
      </c>
      <c r="AI466" s="255"/>
      <c r="AJ466" s="180"/>
      <c r="AK466" s="193"/>
      <c r="AL466" s="193"/>
      <c r="AM466" s="193"/>
      <c r="AN466" s="193"/>
      <c r="AO466" s="193"/>
      <c r="AP466" s="193"/>
      <c r="AQ466" s="180"/>
      <c r="AR466" s="180"/>
      <c r="AS466" s="180"/>
      <c r="AT466" s="180"/>
      <c r="AU466" s="180"/>
      <c r="AV466" s="180"/>
      <c r="AW466" s="180"/>
    </row>
    <row r="467" spans="1:49" s="4" customFormat="1">
      <c r="A467" s="180"/>
      <c r="B467" s="666" t="s">
        <v>998</v>
      </c>
      <c r="C467" s="441" t="s">
        <v>75</v>
      </c>
      <c r="D467" s="441" t="s">
        <v>246</v>
      </c>
      <c r="E467" s="319">
        <v>8</v>
      </c>
      <c r="F467" s="646"/>
      <c r="H467" s="441" t="s">
        <v>75</v>
      </c>
      <c r="I467" s="441" t="s">
        <v>246</v>
      </c>
      <c r="J467" s="319">
        <v>8</v>
      </c>
      <c r="K467" s="646"/>
      <c r="M467" s="47">
        <v>0.375</v>
      </c>
      <c r="N467" s="47">
        <v>0.25</v>
      </c>
      <c r="O467" s="319">
        <v>8</v>
      </c>
      <c r="P467" s="646"/>
      <c r="R467" s="441" t="s">
        <v>75</v>
      </c>
      <c r="S467" s="441" t="s">
        <v>246</v>
      </c>
      <c r="T467" s="319">
        <v>8</v>
      </c>
      <c r="U467" s="646"/>
      <c r="W467" s="441" t="s">
        <v>75</v>
      </c>
      <c r="X467" s="441" t="s">
        <v>246</v>
      </c>
      <c r="Y467" s="319">
        <v>8</v>
      </c>
      <c r="Z467" s="646"/>
      <c r="AA467" s="328">
        <f t="shared" si="78"/>
        <v>40</v>
      </c>
      <c r="AB467" s="298">
        <f t="shared" si="79"/>
        <v>0</v>
      </c>
      <c r="AD467" s="47"/>
      <c r="AE467" s="47"/>
      <c r="AF467" s="319"/>
      <c r="AG467" s="328">
        <f t="shared" si="80"/>
        <v>0</v>
      </c>
      <c r="AI467" s="255"/>
      <c r="AJ467" s="180"/>
      <c r="AK467" s="193"/>
      <c r="AL467" s="193"/>
      <c r="AM467" s="193"/>
      <c r="AN467" s="193"/>
      <c r="AO467" s="193"/>
      <c r="AP467" s="193"/>
      <c r="AQ467" s="180"/>
      <c r="AR467" s="180"/>
      <c r="AS467" s="180"/>
      <c r="AT467" s="180"/>
      <c r="AU467" s="180"/>
      <c r="AV467" s="180"/>
      <c r="AW467" s="180"/>
    </row>
    <row r="468" spans="1:49" s="4" customFormat="1">
      <c r="A468" s="180"/>
      <c r="B468" s="47" t="s">
        <v>977</v>
      </c>
      <c r="C468" s="441" t="s">
        <v>75</v>
      </c>
      <c r="D468" s="441" t="s">
        <v>246</v>
      </c>
      <c r="E468" s="319">
        <v>8</v>
      </c>
      <c r="F468" s="646"/>
      <c r="H468" s="441" t="s">
        <v>75</v>
      </c>
      <c r="I468" s="47">
        <v>0.25</v>
      </c>
      <c r="J468" s="319">
        <v>8</v>
      </c>
      <c r="K468" s="646"/>
      <c r="M468" s="667" t="s">
        <v>1013</v>
      </c>
      <c r="N468" s="565"/>
      <c r="O468" s="319">
        <v>0</v>
      </c>
      <c r="P468" s="646"/>
      <c r="R468" s="47">
        <v>0.375</v>
      </c>
      <c r="S468" s="47">
        <v>0.25</v>
      </c>
      <c r="T468" s="319">
        <v>8</v>
      </c>
      <c r="U468" s="646"/>
      <c r="W468" s="667" t="s">
        <v>960</v>
      </c>
      <c r="X468" s="565"/>
      <c r="Y468" s="319">
        <v>0</v>
      </c>
      <c r="Z468" s="646"/>
      <c r="AA468" s="328">
        <f t="shared" si="78"/>
        <v>24</v>
      </c>
      <c r="AB468" s="298">
        <f t="shared" si="79"/>
        <v>0</v>
      </c>
      <c r="AD468" s="47"/>
      <c r="AE468" s="47"/>
      <c r="AF468" s="319"/>
      <c r="AG468" s="328">
        <f t="shared" si="80"/>
        <v>0</v>
      </c>
      <c r="AI468" s="255"/>
      <c r="AJ468" s="180"/>
      <c r="AK468" s="193"/>
      <c r="AL468" s="193"/>
      <c r="AM468" s="193"/>
      <c r="AN468" s="193"/>
      <c r="AO468" s="193"/>
      <c r="AP468" s="193"/>
      <c r="AQ468" s="180"/>
      <c r="AR468" s="180"/>
      <c r="AS468" s="180"/>
      <c r="AT468" s="180"/>
      <c r="AU468" s="180"/>
      <c r="AV468" s="180"/>
      <c r="AW468" s="180"/>
    </row>
    <row r="469" spans="1:49" s="4" customFormat="1">
      <c r="A469" s="180"/>
      <c r="B469" s="47" t="s">
        <v>986</v>
      </c>
      <c r="C469" s="643"/>
      <c r="D469" s="519"/>
      <c r="E469" s="520"/>
      <c r="F469" s="647"/>
      <c r="G469" s="521"/>
      <c r="H469" s="519"/>
      <c r="I469" s="519"/>
      <c r="J469" s="520"/>
      <c r="K469" s="647"/>
      <c r="M469" s="519"/>
      <c r="N469" s="519"/>
      <c r="O469" s="520"/>
      <c r="P469" s="647"/>
      <c r="R469" s="519"/>
      <c r="S469" s="519"/>
      <c r="T469" s="520"/>
      <c r="U469" s="647"/>
      <c r="W469" s="519"/>
      <c r="X469" s="519"/>
      <c r="Y469" s="520"/>
      <c r="Z469" s="646"/>
      <c r="AA469" s="328">
        <f t="shared" si="78"/>
        <v>0</v>
      </c>
      <c r="AB469" s="298">
        <f t="shared" si="79"/>
        <v>0</v>
      </c>
      <c r="AD469" s="47"/>
      <c r="AE469" s="47"/>
      <c r="AF469" s="319"/>
      <c r="AG469" s="328">
        <f t="shared" si="80"/>
        <v>0</v>
      </c>
      <c r="AI469" s="255"/>
      <c r="AJ469" s="180"/>
      <c r="AK469" s="193"/>
      <c r="AL469" s="193"/>
      <c r="AM469" s="193"/>
      <c r="AN469" s="193"/>
      <c r="AO469" s="193"/>
      <c r="AP469" s="193"/>
      <c r="AQ469" s="180"/>
      <c r="AR469" s="180"/>
      <c r="AS469" s="180"/>
      <c r="AT469" s="180"/>
      <c r="AU469" s="180"/>
      <c r="AV469" s="180"/>
      <c r="AW469" s="180"/>
    </row>
    <row r="470" spans="1:49" s="4" customFormat="1">
      <c r="A470" s="180"/>
      <c r="B470" s="436" t="s">
        <v>394</v>
      </c>
      <c r="C470" s="667" t="s">
        <v>960</v>
      </c>
      <c r="D470" s="565"/>
      <c r="E470" s="319">
        <v>0</v>
      </c>
      <c r="F470" s="646"/>
      <c r="H470" s="441" t="s">
        <v>75</v>
      </c>
      <c r="I470" s="441" t="s">
        <v>246</v>
      </c>
      <c r="J470" s="319">
        <v>8</v>
      </c>
      <c r="K470" s="646"/>
      <c r="M470" s="47">
        <v>0.375</v>
      </c>
      <c r="N470" s="47">
        <v>0.25</v>
      </c>
      <c r="O470" s="319">
        <v>8</v>
      </c>
      <c r="P470" s="646"/>
      <c r="R470" s="47">
        <v>0.375</v>
      </c>
      <c r="S470" s="47">
        <v>0.25</v>
      </c>
      <c r="T470" s="319">
        <v>8</v>
      </c>
      <c r="U470" s="646"/>
      <c r="W470" s="47">
        <v>0.375</v>
      </c>
      <c r="X470" s="47">
        <v>0.25</v>
      </c>
      <c r="Y470" s="319">
        <v>8</v>
      </c>
      <c r="Z470" s="646"/>
      <c r="AA470" s="328">
        <f t="shared" si="78"/>
        <v>32</v>
      </c>
      <c r="AB470" s="298">
        <f t="shared" si="79"/>
        <v>0</v>
      </c>
      <c r="AD470" s="47"/>
      <c r="AE470" s="47"/>
      <c r="AF470" s="319"/>
      <c r="AG470" s="328">
        <f t="shared" si="80"/>
        <v>0</v>
      </c>
      <c r="AI470" s="255"/>
      <c r="AJ470" s="180"/>
      <c r="AK470" s="193"/>
      <c r="AL470" s="193"/>
      <c r="AM470" s="193"/>
      <c r="AN470" s="193"/>
      <c r="AO470" s="193"/>
      <c r="AP470" s="193"/>
      <c r="AQ470" s="180"/>
      <c r="AR470" s="180"/>
      <c r="AS470" s="180"/>
      <c r="AT470" s="180"/>
      <c r="AU470" s="180"/>
      <c r="AV470" s="180"/>
      <c r="AW470" s="180"/>
    </row>
    <row r="471" spans="1:49" s="4" customFormat="1">
      <c r="A471" s="180"/>
      <c r="B471" s="47" t="s">
        <v>519</v>
      </c>
      <c r="C471" s="441" t="s">
        <v>75</v>
      </c>
      <c r="D471" s="441" t="s">
        <v>246</v>
      </c>
      <c r="E471" s="319">
        <v>8</v>
      </c>
      <c r="F471" s="646"/>
      <c r="H471" s="441" t="s">
        <v>75</v>
      </c>
      <c r="I471" s="47">
        <v>0.20833333333333334</v>
      </c>
      <c r="J471" s="319">
        <v>8</v>
      </c>
      <c r="K471" s="646"/>
      <c r="M471" s="47">
        <v>0.375</v>
      </c>
      <c r="N471" s="47">
        <v>0.25</v>
      </c>
      <c r="O471" s="319">
        <v>8</v>
      </c>
      <c r="P471" s="646"/>
      <c r="R471" s="47">
        <v>0.375</v>
      </c>
      <c r="S471" s="47">
        <v>0.25</v>
      </c>
      <c r="T471" s="319">
        <v>8</v>
      </c>
      <c r="U471" s="646"/>
      <c r="W471" s="47">
        <v>0.33333333333333331</v>
      </c>
      <c r="X471" s="47">
        <v>0.20833333333333334</v>
      </c>
      <c r="Y471" s="319">
        <v>8</v>
      </c>
      <c r="Z471" s="646"/>
      <c r="AA471" s="328">
        <f t="shared" si="78"/>
        <v>40</v>
      </c>
      <c r="AB471" s="298">
        <f t="shared" si="79"/>
        <v>0</v>
      </c>
      <c r="AD471" s="47"/>
      <c r="AE471" s="47"/>
      <c r="AF471" s="319"/>
      <c r="AG471" s="328">
        <f t="shared" si="80"/>
        <v>0</v>
      </c>
      <c r="AI471" s="255"/>
      <c r="AJ471" s="180"/>
      <c r="AK471" s="193"/>
      <c r="AL471" s="193"/>
      <c r="AM471" s="193"/>
      <c r="AN471" s="193"/>
      <c r="AO471" s="193"/>
      <c r="AP471" s="193"/>
      <c r="AQ471" s="180"/>
      <c r="AR471" s="180"/>
      <c r="AS471" s="180"/>
      <c r="AT471" s="180"/>
      <c r="AU471" s="180"/>
      <c r="AV471" s="180"/>
      <c r="AW471" s="180"/>
    </row>
    <row r="472" spans="1:49" s="4" customFormat="1">
      <c r="A472" s="180"/>
      <c r="B472" s="532" t="s">
        <v>999</v>
      </c>
      <c r="C472" s="441" t="s">
        <v>75</v>
      </c>
      <c r="D472" s="441" t="s">
        <v>246</v>
      </c>
      <c r="E472" s="319">
        <v>8</v>
      </c>
      <c r="F472" s="646"/>
      <c r="H472" s="47">
        <v>0.375</v>
      </c>
      <c r="I472" s="47">
        <v>0.25</v>
      </c>
      <c r="J472" s="319">
        <v>8</v>
      </c>
      <c r="K472" s="646"/>
      <c r="M472" s="47">
        <v>0.375</v>
      </c>
      <c r="N472" s="47">
        <v>0.25</v>
      </c>
      <c r="O472" s="319">
        <v>8</v>
      </c>
      <c r="P472" s="646"/>
      <c r="R472" s="47">
        <v>0.375</v>
      </c>
      <c r="S472" s="47">
        <v>0.25</v>
      </c>
      <c r="T472" s="319">
        <v>8</v>
      </c>
      <c r="U472" s="646"/>
      <c r="W472" s="47">
        <v>0.375</v>
      </c>
      <c r="X472" s="47">
        <v>0.25</v>
      </c>
      <c r="Y472" s="319">
        <v>8</v>
      </c>
      <c r="Z472" s="646"/>
      <c r="AA472" s="328">
        <f t="shared" si="78"/>
        <v>40</v>
      </c>
      <c r="AB472" s="298">
        <f t="shared" si="79"/>
        <v>0</v>
      </c>
      <c r="AD472" s="47"/>
      <c r="AE472" s="47"/>
      <c r="AF472" s="319"/>
      <c r="AG472" s="328">
        <f t="shared" si="80"/>
        <v>0</v>
      </c>
      <c r="AI472" s="255"/>
      <c r="AJ472" s="180"/>
      <c r="AK472" s="193"/>
      <c r="AL472" s="193"/>
      <c r="AM472" s="193"/>
      <c r="AN472" s="193"/>
      <c r="AO472" s="193"/>
      <c r="AP472" s="193"/>
      <c r="AQ472" s="180"/>
      <c r="AR472" s="180"/>
      <c r="AS472" s="180"/>
      <c r="AT472" s="180"/>
      <c r="AU472" s="180"/>
      <c r="AV472" s="180"/>
      <c r="AW472" s="180"/>
    </row>
    <row r="473" spans="1:49" s="4" customFormat="1">
      <c r="A473" s="180"/>
      <c r="B473" s="640" t="s">
        <v>957</v>
      </c>
      <c r="C473" s="643"/>
      <c r="D473" s="519"/>
      <c r="E473" s="520"/>
      <c r="F473" s="647"/>
      <c r="G473" s="521"/>
      <c r="H473" s="519" t="s">
        <v>1014</v>
      </c>
      <c r="I473" s="519"/>
      <c r="J473" s="520"/>
      <c r="K473" s="647"/>
      <c r="L473" s="521"/>
      <c r="M473" s="519"/>
      <c r="N473" s="519"/>
      <c r="O473" s="520"/>
      <c r="P473" s="647"/>
      <c r="Q473" s="521"/>
      <c r="R473" s="519"/>
      <c r="S473" s="519"/>
      <c r="T473" s="520"/>
      <c r="U473" s="647"/>
      <c r="V473" s="521"/>
      <c r="W473" s="519"/>
      <c r="X473" s="519"/>
      <c r="Y473" s="520"/>
      <c r="Z473" s="646"/>
      <c r="AA473" s="328">
        <f t="shared" si="78"/>
        <v>0</v>
      </c>
      <c r="AB473" s="298">
        <f t="shared" si="79"/>
        <v>0</v>
      </c>
      <c r="AD473" s="47"/>
      <c r="AE473" s="47"/>
      <c r="AF473" s="319"/>
      <c r="AG473" s="328">
        <f t="shared" si="80"/>
        <v>0</v>
      </c>
      <c r="AI473" s="255"/>
      <c r="AJ473" s="180"/>
      <c r="AK473" s="193"/>
      <c r="AL473" s="193"/>
      <c r="AM473" s="193"/>
      <c r="AN473" s="193"/>
      <c r="AO473" s="193"/>
      <c r="AP473" s="193"/>
      <c r="AQ473" s="180"/>
      <c r="AR473" s="180"/>
      <c r="AS473" s="180"/>
      <c r="AT473" s="180"/>
      <c r="AU473" s="180"/>
      <c r="AV473" s="180"/>
      <c r="AW473" s="180"/>
    </row>
    <row r="474" spans="1:49" s="4" customFormat="1">
      <c r="A474" s="180"/>
      <c r="B474" s="640" t="s">
        <v>390</v>
      </c>
      <c r="C474" s="643"/>
      <c r="D474" s="519"/>
      <c r="E474" s="520"/>
      <c r="F474" s="647"/>
      <c r="G474" s="521"/>
      <c r="H474" s="519"/>
      <c r="I474" s="519"/>
      <c r="J474" s="520"/>
      <c r="K474" s="647"/>
      <c r="L474" s="521"/>
      <c r="M474" s="519"/>
      <c r="N474" s="519"/>
      <c r="O474" s="520"/>
      <c r="P474" s="647"/>
      <c r="Q474" s="521"/>
      <c r="R474" s="519"/>
      <c r="S474" s="519"/>
      <c r="T474" s="520"/>
      <c r="U474" s="647"/>
      <c r="V474" s="521"/>
      <c r="W474" s="519"/>
      <c r="X474" s="519"/>
      <c r="Y474" s="520"/>
      <c r="Z474" s="646"/>
      <c r="AA474" s="328">
        <f>(E474+J474+O474+T474+Y474)</f>
        <v>0</v>
      </c>
      <c r="AB474" s="298">
        <f>Z474+U474+P474+K474+F474</f>
        <v>0</v>
      </c>
      <c r="AD474" s="47"/>
      <c r="AE474" s="47"/>
      <c r="AF474" s="319"/>
      <c r="AG474" s="328">
        <f>AF474</f>
        <v>0</v>
      </c>
      <c r="AI474" s="255"/>
      <c r="AJ474" s="180"/>
      <c r="AK474" s="193"/>
      <c r="AL474" s="193"/>
      <c r="AM474" s="193"/>
      <c r="AN474" s="510"/>
      <c r="AO474" s="193"/>
      <c r="AP474" s="193"/>
      <c r="AQ474" s="367"/>
      <c r="AR474" s="180"/>
      <c r="AS474" s="180"/>
      <c r="AT474" s="180"/>
      <c r="AU474" s="180"/>
      <c r="AV474" s="180"/>
      <c r="AW474" s="180"/>
    </row>
    <row r="475" spans="1:49" s="4" customFormat="1">
      <c r="A475" s="180"/>
      <c r="B475" s="639" t="s">
        <v>975</v>
      </c>
      <c r="C475" s="643"/>
      <c r="D475" s="519"/>
      <c r="E475" s="520"/>
      <c r="F475" s="647"/>
      <c r="G475" s="521"/>
      <c r="H475" s="519"/>
      <c r="I475" s="519"/>
      <c r="J475" s="520"/>
      <c r="K475" s="647"/>
      <c r="L475" s="521"/>
      <c r="M475" s="519"/>
      <c r="N475" s="519"/>
      <c r="O475" s="520"/>
      <c r="P475" s="647"/>
      <c r="Q475" s="521"/>
      <c r="R475" s="519"/>
      <c r="S475" s="519"/>
      <c r="T475" s="520"/>
      <c r="U475" s="647"/>
      <c r="V475" s="521"/>
      <c r="W475" s="519"/>
      <c r="X475" s="519"/>
      <c r="Y475" s="520"/>
      <c r="Z475" s="646"/>
      <c r="AA475" s="328">
        <f>(E475+J475+O475+T475+Y475)</f>
        <v>0</v>
      </c>
      <c r="AB475" s="298">
        <f>Z475+U475+P475+K475+F475</f>
        <v>0</v>
      </c>
      <c r="AD475" s="47"/>
      <c r="AE475" s="47"/>
      <c r="AF475" s="319"/>
      <c r="AG475" s="328">
        <f>AF475</f>
        <v>0</v>
      </c>
      <c r="AI475" s="255"/>
      <c r="AJ475" s="180"/>
      <c r="AK475" s="193"/>
      <c r="AL475" s="193"/>
      <c r="AM475" s="193"/>
      <c r="AN475" s="193"/>
      <c r="AO475" s="193"/>
      <c r="AP475" s="193"/>
      <c r="AQ475" s="367"/>
      <c r="AR475" s="180"/>
      <c r="AS475" s="180"/>
      <c r="AT475" s="180"/>
      <c r="AU475" s="180"/>
      <c r="AV475" s="180"/>
      <c r="AW475" s="180"/>
    </row>
    <row r="476" spans="1:49" s="4" customFormat="1">
      <c r="A476" s="180"/>
      <c r="B476" s="639" t="s">
        <v>533</v>
      </c>
      <c r="C476" s="643"/>
      <c r="D476" s="519"/>
      <c r="E476" s="520"/>
      <c r="F476" s="647"/>
      <c r="G476" s="521"/>
      <c r="H476" s="519"/>
      <c r="I476" s="519"/>
      <c r="J476" s="520"/>
      <c r="K476" s="647"/>
      <c r="L476" s="521"/>
      <c r="M476" s="519"/>
      <c r="N476" s="519"/>
      <c r="O476" s="520"/>
      <c r="P476" s="647"/>
      <c r="Q476" s="521"/>
      <c r="R476" s="519"/>
      <c r="S476" s="519"/>
      <c r="T476" s="520"/>
      <c r="U476" s="647"/>
      <c r="V476" s="521"/>
      <c r="W476" s="519"/>
      <c r="X476" s="519"/>
      <c r="Y476" s="520"/>
      <c r="Z476" s="646"/>
      <c r="AA476" s="328">
        <f t="shared" ref="AA476:AA489" si="81">(E476+J476+O476+T476+Y476)</f>
        <v>0</v>
      </c>
      <c r="AB476" s="298">
        <f t="shared" ref="AB476:AB489" si="82">Z476+U476+P476+K476+F476</f>
        <v>0</v>
      </c>
      <c r="AD476" s="47"/>
      <c r="AE476" s="47"/>
      <c r="AF476" s="319"/>
      <c r="AG476" s="328">
        <f t="shared" ref="AG476:AG489" si="83">AF476</f>
        <v>0</v>
      </c>
      <c r="AI476" s="255"/>
      <c r="AJ476" s="180"/>
      <c r="AK476" s="193"/>
      <c r="AL476" s="193"/>
      <c r="AM476" s="193"/>
      <c r="AN476" s="193"/>
      <c r="AO476" s="193"/>
      <c r="AP476" s="193"/>
      <c r="AQ476" s="180"/>
      <c r="AR476" s="180"/>
      <c r="AS476" s="180"/>
      <c r="AT476" s="180"/>
      <c r="AU476" s="180"/>
      <c r="AV476" s="180"/>
      <c r="AW476" s="180"/>
    </row>
    <row r="477" spans="1:49" s="4" customFormat="1">
      <c r="A477" s="180"/>
      <c r="B477" s="502" t="s">
        <v>483</v>
      </c>
      <c r="C477" s="5"/>
      <c r="D477" s="5"/>
      <c r="E477" s="319"/>
      <c r="F477" s="646"/>
      <c r="H477" s="5"/>
      <c r="I477" s="5"/>
      <c r="J477" s="319"/>
      <c r="K477" s="646"/>
      <c r="M477" s="5"/>
      <c r="N477" s="5"/>
      <c r="O477" s="319"/>
      <c r="P477" s="646"/>
      <c r="R477" s="5"/>
      <c r="S477" s="5"/>
      <c r="T477" s="319"/>
      <c r="U477" s="646"/>
      <c r="W477" s="5"/>
      <c r="X477" s="5"/>
      <c r="Y477" s="319"/>
      <c r="Z477" s="646"/>
      <c r="AA477" s="328">
        <f t="shared" si="81"/>
        <v>0</v>
      </c>
      <c r="AB477" s="298">
        <f t="shared" si="82"/>
        <v>0</v>
      </c>
      <c r="AD477" s="47"/>
      <c r="AE477" s="47"/>
      <c r="AF477" s="319"/>
      <c r="AG477" s="328">
        <f t="shared" si="83"/>
        <v>0</v>
      </c>
      <c r="AI477" s="255"/>
      <c r="AJ477" s="180"/>
      <c r="AK477" s="193"/>
      <c r="AL477" s="193"/>
      <c r="AM477" s="193"/>
      <c r="AN477" s="193"/>
      <c r="AO477" s="193"/>
      <c r="AP477" s="193"/>
      <c r="AQ477" s="180"/>
      <c r="AR477" s="180"/>
      <c r="AS477" s="180"/>
      <c r="AT477" s="180"/>
      <c r="AU477" s="180"/>
      <c r="AV477" s="180"/>
      <c r="AW477" s="180"/>
    </row>
    <row r="478" spans="1:49" s="4" customFormat="1">
      <c r="A478" s="180"/>
      <c r="B478" s="502" t="s">
        <v>483</v>
      </c>
      <c r="C478" s="47"/>
      <c r="D478" s="47"/>
      <c r="E478" s="319">
        <v>8</v>
      </c>
      <c r="F478" s="646"/>
      <c r="H478" s="47"/>
      <c r="I478" s="47"/>
      <c r="J478" s="319">
        <v>8</v>
      </c>
      <c r="K478" s="646"/>
      <c r="M478" s="47"/>
      <c r="N478" s="47"/>
      <c r="O478" s="319">
        <v>8</v>
      </c>
      <c r="P478" s="646"/>
      <c r="R478" s="47"/>
      <c r="S478" s="47"/>
      <c r="T478" s="319">
        <v>8</v>
      </c>
      <c r="U478" s="646"/>
      <c r="W478" s="47"/>
      <c r="X478" s="47"/>
      <c r="Y478" s="319">
        <v>8</v>
      </c>
      <c r="Z478" s="646"/>
      <c r="AA478" s="328">
        <f t="shared" si="81"/>
        <v>40</v>
      </c>
      <c r="AB478" s="298">
        <f t="shared" si="82"/>
        <v>0</v>
      </c>
      <c r="AD478" s="47"/>
      <c r="AE478" s="47"/>
      <c r="AF478" s="319"/>
      <c r="AG478" s="328">
        <f t="shared" si="83"/>
        <v>0</v>
      </c>
      <c r="AI478" s="255"/>
      <c r="AJ478" s="180"/>
      <c r="AK478" s="193"/>
      <c r="AL478" s="193"/>
      <c r="AM478" s="193"/>
      <c r="AN478" s="193"/>
      <c r="AO478" s="193"/>
      <c r="AP478" s="193"/>
      <c r="AQ478" s="180"/>
      <c r="AR478" s="180"/>
      <c r="AS478" s="180"/>
      <c r="AT478" s="180"/>
      <c r="AU478" s="180"/>
      <c r="AV478" s="180"/>
      <c r="AW478" s="180"/>
    </row>
    <row r="479" spans="1:49" s="4" customFormat="1">
      <c r="A479" s="180"/>
      <c r="B479" s="502" t="s">
        <v>484</v>
      </c>
      <c r="C479" s="47"/>
      <c r="D479" s="47"/>
      <c r="E479" s="319">
        <v>8</v>
      </c>
      <c r="F479" s="646"/>
      <c r="H479" s="47"/>
      <c r="I479" s="47"/>
      <c r="J479" s="319">
        <v>8</v>
      </c>
      <c r="K479" s="646"/>
      <c r="M479" s="47"/>
      <c r="N479" s="47"/>
      <c r="O479" s="319">
        <v>8</v>
      </c>
      <c r="P479" s="646"/>
      <c r="R479" s="47"/>
      <c r="S479" s="47"/>
      <c r="T479" s="319">
        <v>8</v>
      </c>
      <c r="U479" s="646"/>
      <c r="W479" s="47"/>
      <c r="X479" s="47"/>
      <c r="Y479" s="319">
        <v>8</v>
      </c>
      <c r="Z479" s="646"/>
      <c r="AA479" s="328">
        <f t="shared" si="81"/>
        <v>40</v>
      </c>
      <c r="AB479" s="298">
        <f t="shared" si="82"/>
        <v>0</v>
      </c>
      <c r="AD479" s="47"/>
      <c r="AE479" s="47"/>
      <c r="AF479" s="319"/>
      <c r="AG479" s="328">
        <f t="shared" si="83"/>
        <v>0</v>
      </c>
      <c r="AI479" s="255"/>
      <c r="AJ479" s="180"/>
      <c r="AK479" s="193"/>
      <c r="AL479" s="193"/>
      <c r="AM479" s="193"/>
      <c r="AN479" s="193"/>
      <c r="AO479" s="193"/>
      <c r="AP479" s="193"/>
      <c r="AQ479" s="180"/>
      <c r="AR479" s="180"/>
      <c r="AS479" s="180"/>
      <c r="AT479" s="180"/>
      <c r="AU479" s="180"/>
      <c r="AV479" s="180"/>
      <c r="AW479" s="180"/>
    </row>
    <row r="480" spans="1:49" s="4" customFormat="1">
      <c r="A480" s="180"/>
      <c r="B480" s="502" t="s">
        <v>485</v>
      </c>
      <c r="C480" s="47"/>
      <c r="D480" s="47"/>
      <c r="E480" s="319">
        <v>8</v>
      </c>
      <c r="F480" s="646"/>
      <c r="H480" s="47"/>
      <c r="I480" s="47"/>
      <c r="J480" s="319">
        <v>8</v>
      </c>
      <c r="K480" s="646"/>
      <c r="M480" s="47"/>
      <c r="N480" s="47"/>
      <c r="O480" s="319">
        <v>8</v>
      </c>
      <c r="P480" s="646"/>
      <c r="R480" s="47"/>
      <c r="S480" s="47"/>
      <c r="T480" s="319">
        <v>8</v>
      </c>
      <c r="U480" s="646"/>
      <c r="W480" s="47"/>
      <c r="X480" s="47"/>
      <c r="Y480" s="319">
        <v>8</v>
      </c>
      <c r="Z480" s="646"/>
      <c r="AA480" s="328">
        <f t="shared" si="81"/>
        <v>40</v>
      </c>
      <c r="AB480" s="298">
        <f t="shared" si="82"/>
        <v>0</v>
      </c>
      <c r="AD480" s="47"/>
      <c r="AE480" s="47"/>
      <c r="AF480" s="319"/>
      <c r="AG480" s="328">
        <f t="shared" si="83"/>
        <v>0</v>
      </c>
      <c r="AI480" s="255"/>
      <c r="AJ480" s="180"/>
      <c r="AK480" s="193"/>
      <c r="AL480" s="193"/>
      <c r="AM480" s="193"/>
      <c r="AN480" s="193"/>
      <c r="AO480" s="193"/>
      <c r="AP480" s="193"/>
      <c r="AQ480" s="180"/>
      <c r="AR480" s="180"/>
      <c r="AS480" s="180"/>
      <c r="AT480" s="180"/>
      <c r="AU480" s="180"/>
      <c r="AV480" s="180"/>
      <c r="AW480" s="180"/>
    </row>
    <row r="481" spans="1:49" s="4" customFormat="1">
      <c r="A481" s="180"/>
      <c r="B481" s="502" t="s">
        <v>486</v>
      </c>
      <c r="C481" s="5"/>
      <c r="D481" s="5"/>
      <c r="E481" s="319"/>
      <c r="F481" s="646"/>
      <c r="H481" s="5"/>
      <c r="I481" s="5"/>
      <c r="J481" s="319"/>
      <c r="K481" s="646"/>
      <c r="M481" s="5"/>
      <c r="N481" s="5"/>
      <c r="O481" s="319"/>
      <c r="P481" s="646"/>
      <c r="R481" s="5"/>
      <c r="S481" s="5"/>
      <c r="T481" s="319"/>
      <c r="U481" s="646"/>
      <c r="W481" s="5"/>
      <c r="X481" s="5"/>
      <c r="Y481" s="319"/>
      <c r="Z481" s="646"/>
      <c r="AA481" s="328">
        <f t="shared" si="81"/>
        <v>0</v>
      </c>
      <c r="AB481" s="298">
        <f t="shared" si="82"/>
        <v>0</v>
      </c>
      <c r="AD481" s="47"/>
      <c r="AE481" s="47"/>
      <c r="AF481" s="319"/>
      <c r="AG481" s="328">
        <f t="shared" si="83"/>
        <v>0</v>
      </c>
      <c r="AI481" s="255"/>
      <c r="AJ481" s="180"/>
      <c r="AK481" s="193"/>
      <c r="AL481" s="193"/>
      <c r="AM481" s="193"/>
      <c r="AN481" s="193"/>
      <c r="AO481" s="193"/>
      <c r="AP481" s="193"/>
      <c r="AQ481" s="180"/>
      <c r="AR481" s="180"/>
      <c r="AS481" s="180"/>
      <c r="AT481" s="180"/>
      <c r="AU481" s="180"/>
      <c r="AV481" s="180"/>
      <c r="AW481" s="180"/>
    </row>
    <row r="482" spans="1:49" s="4" customFormat="1">
      <c r="A482" s="180"/>
      <c r="B482" s="63" t="s">
        <v>63</v>
      </c>
      <c r="C482" s="663"/>
      <c r="D482" s="663"/>
      <c r="E482" s="319">
        <v>8</v>
      </c>
      <c r="F482" s="646">
        <v>0.5</v>
      </c>
      <c r="H482" s="663"/>
      <c r="I482" s="663"/>
      <c r="J482" s="319">
        <v>8</v>
      </c>
      <c r="K482" s="646"/>
      <c r="M482" s="47"/>
      <c r="N482" s="47"/>
      <c r="O482" s="319">
        <v>8</v>
      </c>
      <c r="P482" s="646">
        <v>0.25</v>
      </c>
      <c r="R482" s="663"/>
      <c r="S482" s="663"/>
      <c r="T482" s="319">
        <v>8</v>
      </c>
      <c r="U482" s="646"/>
      <c r="W482" s="663"/>
      <c r="X482" s="663"/>
      <c r="Y482" s="319">
        <v>8</v>
      </c>
      <c r="Z482" s="646"/>
      <c r="AA482" s="328">
        <f t="shared" si="81"/>
        <v>40</v>
      </c>
      <c r="AB482" s="298">
        <f t="shared" si="82"/>
        <v>0.75</v>
      </c>
      <c r="AD482" s="47"/>
      <c r="AE482" s="47"/>
      <c r="AF482" s="319"/>
      <c r="AG482" s="328">
        <f t="shared" si="83"/>
        <v>0</v>
      </c>
      <c r="AI482" s="255"/>
      <c r="AJ482" s="180"/>
      <c r="AK482" s="193"/>
      <c r="AL482" s="193"/>
      <c r="AM482" s="193"/>
      <c r="AN482" s="193"/>
      <c r="AO482" s="193"/>
      <c r="AP482" s="193"/>
      <c r="AQ482" s="180"/>
      <c r="AR482" s="180"/>
      <c r="AS482" s="180"/>
      <c r="AT482" s="180"/>
      <c r="AU482" s="180"/>
      <c r="AV482" s="180"/>
      <c r="AW482" s="180"/>
    </row>
    <row r="483" spans="1:49" s="4" customFormat="1">
      <c r="A483" s="180"/>
      <c r="B483" s="267" t="s">
        <v>358</v>
      </c>
      <c r="C483" s="663"/>
      <c r="D483" s="663"/>
      <c r="E483" s="319">
        <v>5</v>
      </c>
      <c r="F483" s="646"/>
      <c r="G483" s="438"/>
      <c r="H483" s="663"/>
      <c r="I483" s="663"/>
      <c r="J483" s="319">
        <v>5</v>
      </c>
      <c r="K483" s="646"/>
      <c r="L483" s="438"/>
      <c r="M483" s="663"/>
      <c r="N483" s="663"/>
      <c r="O483" s="319">
        <v>5</v>
      </c>
      <c r="P483" s="646"/>
      <c r="Q483" s="438"/>
      <c r="R483" s="663"/>
      <c r="S483" s="663"/>
      <c r="T483" s="319">
        <v>5</v>
      </c>
      <c r="U483" s="646"/>
      <c r="V483" s="438"/>
      <c r="W483" s="663"/>
      <c r="X483" s="663"/>
      <c r="Y483" s="319">
        <v>5</v>
      </c>
      <c r="Z483" s="646"/>
      <c r="AA483" s="328">
        <f t="shared" si="81"/>
        <v>25</v>
      </c>
      <c r="AB483" s="298">
        <f t="shared" si="82"/>
        <v>0</v>
      </c>
      <c r="AD483" s="47"/>
      <c r="AE483" s="47"/>
      <c r="AF483" s="319"/>
      <c r="AG483" s="328">
        <f t="shared" si="83"/>
        <v>0</v>
      </c>
      <c r="AI483" s="255"/>
      <c r="AJ483" s="180"/>
      <c r="AK483" s="193"/>
      <c r="AL483" s="193"/>
      <c r="AM483" s="193"/>
      <c r="AN483" s="193"/>
      <c r="AO483" s="193"/>
      <c r="AP483" s="193"/>
      <c r="AQ483" s="180"/>
      <c r="AR483" s="180"/>
      <c r="AS483" s="180"/>
      <c r="AT483" s="180"/>
      <c r="AU483" s="180"/>
      <c r="AV483" s="180"/>
      <c r="AW483" s="180"/>
    </row>
    <row r="484" spans="1:49" s="193" customFormat="1">
      <c r="A484" s="180"/>
      <c r="B484" s="267" t="s">
        <v>991</v>
      </c>
      <c r="C484" s="5"/>
      <c r="D484" s="5"/>
      <c r="E484" s="319"/>
      <c r="F484" s="646"/>
      <c r="G484" s="438"/>
      <c r="H484" s="5"/>
      <c r="I484" s="5"/>
      <c r="J484" s="319"/>
      <c r="K484" s="646"/>
      <c r="L484" s="438"/>
      <c r="M484" s="5"/>
      <c r="N484" s="5"/>
      <c r="O484" s="319"/>
      <c r="P484" s="646"/>
      <c r="Q484" s="438"/>
      <c r="R484" s="5"/>
      <c r="S484" s="5"/>
      <c r="T484" s="319"/>
      <c r="U484" s="646"/>
      <c r="V484" s="438"/>
      <c r="W484" s="5"/>
      <c r="X484" s="5"/>
      <c r="Y484" s="319"/>
      <c r="Z484" s="646"/>
      <c r="AA484" s="328">
        <f t="shared" si="81"/>
        <v>0</v>
      </c>
      <c r="AB484" s="298">
        <f t="shared" si="82"/>
        <v>0</v>
      </c>
      <c r="AC484" s="4"/>
      <c r="AD484" s="47"/>
      <c r="AE484" s="47"/>
      <c r="AF484" s="319"/>
      <c r="AG484" s="328">
        <f t="shared" si="83"/>
        <v>0</v>
      </c>
      <c r="AH484" s="4"/>
      <c r="AI484" s="255"/>
      <c r="AJ484" s="180"/>
      <c r="AQ484" s="180"/>
      <c r="AR484" s="180"/>
      <c r="AS484" s="180"/>
      <c r="AT484" s="180"/>
      <c r="AU484" s="180"/>
      <c r="AV484" s="180"/>
      <c r="AW484" s="180"/>
    </row>
    <row r="485" spans="1:49" s="193" customFormat="1">
      <c r="A485" s="180"/>
      <c r="B485" s="267" t="s">
        <v>411</v>
      </c>
      <c r="C485" s="5"/>
      <c r="D485" s="5"/>
      <c r="E485" s="319"/>
      <c r="F485" s="646"/>
      <c r="G485" s="438"/>
      <c r="H485" s="5"/>
      <c r="I485" s="5"/>
      <c r="J485" s="319"/>
      <c r="K485" s="646"/>
      <c r="L485" s="438"/>
      <c r="M485" s="5"/>
      <c r="N485" s="5"/>
      <c r="O485" s="319"/>
      <c r="P485" s="646"/>
      <c r="Q485" s="438"/>
      <c r="R485" s="5"/>
      <c r="S485" s="5"/>
      <c r="T485" s="319"/>
      <c r="U485" s="646"/>
      <c r="V485" s="438"/>
      <c r="W485" s="5"/>
      <c r="X485" s="5"/>
      <c r="Y485" s="319"/>
      <c r="Z485" s="646"/>
      <c r="AA485" s="328">
        <f t="shared" si="81"/>
        <v>0</v>
      </c>
      <c r="AB485" s="298">
        <f t="shared" si="82"/>
        <v>0</v>
      </c>
      <c r="AC485" s="4"/>
      <c r="AD485" s="47"/>
      <c r="AE485" s="47"/>
      <c r="AF485" s="319"/>
      <c r="AG485" s="328">
        <f t="shared" si="83"/>
        <v>0</v>
      </c>
      <c r="AH485" s="4"/>
      <c r="AI485" s="255"/>
      <c r="AJ485" s="180"/>
      <c r="AQ485" s="180"/>
      <c r="AR485" s="180"/>
      <c r="AS485" s="180"/>
      <c r="AT485" s="180"/>
      <c r="AU485" s="180"/>
      <c r="AV485" s="180"/>
      <c r="AW485" s="180"/>
    </row>
    <row r="486" spans="1:49" s="193" customFormat="1">
      <c r="A486" s="180"/>
      <c r="B486" s="267" t="s">
        <v>361</v>
      </c>
      <c r="C486" s="5"/>
      <c r="D486" s="5"/>
      <c r="E486" s="319"/>
      <c r="F486" s="646"/>
      <c r="G486" s="438"/>
      <c r="H486" s="5"/>
      <c r="I486" s="5"/>
      <c r="J486" s="319"/>
      <c r="K486" s="646"/>
      <c r="L486" s="438"/>
      <c r="M486" s="5"/>
      <c r="N486" s="5"/>
      <c r="O486" s="319"/>
      <c r="P486" s="646"/>
      <c r="Q486" s="438"/>
      <c r="R486" s="5"/>
      <c r="S486" s="5"/>
      <c r="T486" s="319"/>
      <c r="U486" s="646"/>
      <c r="V486" s="438"/>
      <c r="W486" s="5"/>
      <c r="X486" s="5"/>
      <c r="Y486" s="319"/>
      <c r="Z486" s="646"/>
      <c r="AA486" s="328">
        <f t="shared" si="81"/>
        <v>0</v>
      </c>
      <c r="AB486" s="298">
        <f t="shared" si="82"/>
        <v>0</v>
      </c>
      <c r="AC486" s="4"/>
      <c r="AD486" s="47"/>
      <c r="AE486" s="47"/>
      <c r="AF486" s="319"/>
      <c r="AG486" s="328">
        <f t="shared" si="83"/>
        <v>0</v>
      </c>
      <c r="AH486" s="4"/>
      <c r="AI486" s="255"/>
      <c r="AJ486" s="180"/>
      <c r="AQ486" s="180"/>
      <c r="AR486" s="180"/>
      <c r="AS486" s="180"/>
      <c r="AT486" s="180"/>
      <c r="AU486" s="180"/>
      <c r="AV486" s="180"/>
      <c r="AW486" s="180"/>
    </row>
    <row r="487" spans="1:49" s="193" customFormat="1">
      <c r="A487" s="180"/>
      <c r="B487" s="267" t="s">
        <v>362</v>
      </c>
      <c r="C487" s="47"/>
      <c r="D487" s="47"/>
      <c r="E487" s="319">
        <v>1</v>
      </c>
      <c r="F487" s="646"/>
      <c r="G487" s="438"/>
      <c r="H487" s="47"/>
      <c r="I487" s="47"/>
      <c r="J487" s="319">
        <v>1</v>
      </c>
      <c r="K487" s="646"/>
      <c r="L487" s="438"/>
      <c r="M487" s="47"/>
      <c r="N487" s="47"/>
      <c r="O487" s="319">
        <v>1</v>
      </c>
      <c r="P487" s="646"/>
      <c r="Q487" s="438"/>
      <c r="R487" s="47"/>
      <c r="S487" s="47"/>
      <c r="T487" s="319">
        <v>1</v>
      </c>
      <c r="U487" s="646"/>
      <c r="V487" s="438"/>
      <c r="W487" s="5"/>
      <c r="X487" s="5"/>
      <c r="Y487" s="319">
        <v>1</v>
      </c>
      <c r="Z487" s="646"/>
      <c r="AA487" s="328">
        <f t="shared" si="81"/>
        <v>5</v>
      </c>
      <c r="AB487" s="298">
        <f t="shared" si="82"/>
        <v>0</v>
      </c>
      <c r="AC487" s="4"/>
      <c r="AD487" s="47"/>
      <c r="AE487" s="47"/>
      <c r="AF487" s="319"/>
      <c r="AG487" s="328">
        <f t="shared" si="83"/>
        <v>0</v>
      </c>
      <c r="AH487" s="4"/>
      <c r="AI487" s="255"/>
      <c r="AJ487" s="180"/>
      <c r="AQ487" s="180"/>
      <c r="AR487" s="180"/>
      <c r="AS487" s="180"/>
      <c r="AT487" s="180"/>
      <c r="AU487" s="180"/>
      <c r="AV487" s="180"/>
      <c r="AW487" s="180"/>
    </row>
    <row r="488" spans="1:49" s="193" customFormat="1">
      <c r="A488" s="180"/>
      <c r="B488" s="437" t="s">
        <v>355</v>
      </c>
      <c r="C488" s="5"/>
      <c r="D488" s="5"/>
      <c r="E488" s="319">
        <v>7.7</v>
      </c>
      <c r="F488" s="646"/>
      <c r="G488" s="438"/>
      <c r="H488" s="5"/>
      <c r="I488" s="5"/>
      <c r="J488" s="319">
        <v>7.7</v>
      </c>
      <c r="K488" s="646"/>
      <c r="L488" s="438"/>
      <c r="M488" s="5"/>
      <c r="N488" s="5"/>
      <c r="O488" s="319">
        <v>7.7</v>
      </c>
      <c r="P488" s="646"/>
      <c r="Q488" s="438"/>
      <c r="R488" s="5"/>
      <c r="S488" s="5"/>
      <c r="T488" s="319">
        <v>7.7</v>
      </c>
      <c r="U488" s="646"/>
      <c r="V488" s="438"/>
      <c r="W488" s="5"/>
      <c r="X488" s="5"/>
      <c r="Y488" s="319">
        <v>7.7</v>
      </c>
      <c r="Z488" s="646"/>
      <c r="AA488" s="328">
        <f t="shared" si="81"/>
        <v>38.5</v>
      </c>
      <c r="AB488" s="298">
        <f t="shared" si="82"/>
        <v>0</v>
      </c>
      <c r="AC488" s="4"/>
      <c r="AD488" s="47"/>
      <c r="AE488" s="47"/>
      <c r="AF488" s="319"/>
      <c r="AG488" s="328">
        <f t="shared" si="83"/>
        <v>0</v>
      </c>
      <c r="AH488" s="4"/>
      <c r="AI488" s="255"/>
      <c r="AJ488" s="180"/>
      <c r="AQ488" s="180"/>
      <c r="AR488" s="180"/>
      <c r="AS488" s="180"/>
      <c r="AT488" s="180"/>
      <c r="AU488" s="180"/>
      <c r="AV488" s="180"/>
      <c r="AW488" s="180"/>
    </row>
    <row r="489" spans="1:49" s="193" customFormat="1">
      <c r="A489" s="180"/>
      <c r="B489" s="437" t="s">
        <v>356</v>
      </c>
      <c r="C489" s="5"/>
      <c r="D489" s="5"/>
      <c r="E489" s="319">
        <v>39.200000000000003</v>
      </c>
      <c r="F489" s="646"/>
      <c r="G489" s="438"/>
      <c r="H489" s="5"/>
      <c r="I489" s="5"/>
      <c r="J489" s="319"/>
      <c r="K489" s="646"/>
      <c r="L489" s="438"/>
      <c r="M489" s="5"/>
      <c r="N489" s="5"/>
      <c r="O489" s="319"/>
      <c r="P489" s="646"/>
      <c r="Q489" s="438"/>
      <c r="R489" s="5"/>
      <c r="S489" s="5"/>
      <c r="T489" s="319">
        <v>42.8</v>
      </c>
      <c r="U489" s="646"/>
      <c r="V489" s="438"/>
      <c r="W489" s="5"/>
      <c r="X489" s="5"/>
      <c r="Y489" s="319">
        <v>25</v>
      </c>
      <c r="Z489" s="646"/>
      <c r="AA489" s="328">
        <f t="shared" si="81"/>
        <v>107</v>
      </c>
      <c r="AB489" s="298">
        <f t="shared" si="82"/>
        <v>0</v>
      </c>
      <c r="AC489" s="4"/>
      <c r="AD489" s="47"/>
      <c r="AE489" s="47"/>
      <c r="AF489" s="319"/>
      <c r="AG489" s="328">
        <f t="shared" si="83"/>
        <v>0</v>
      </c>
      <c r="AH489" s="4"/>
      <c r="AI489" s="255"/>
      <c r="AJ489" s="180"/>
      <c r="AQ489" s="180"/>
      <c r="AR489" s="180"/>
      <c r="AS489" s="180"/>
      <c r="AT489" s="180"/>
      <c r="AU489" s="180"/>
      <c r="AV489" s="180"/>
      <c r="AW489" s="180"/>
    </row>
    <row r="490" spans="1:49" s="193" customFormat="1">
      <c r="A490" s="180"/>
      <c r="B490" s="64" t="s">
        <v>61</v>
      </c>
      <c r="C490" s="31"/>
      <c r="D490" s="31"/>
      <c r="E490" s="439">
        <f>SUM(E456:E489)</f>
        <v>188.89999999999998</v>
      </c>
      <c r="F490" s="646">
        <f>SUM(F456:F489)</f>
        <v>0.5</v>
      </c>
      <c r="G490" s="31"/>
      <c r="H490" s="31"/>
      <c r="I490" s="31"/>
      <c r="J490" s="439">
        <f>SUM(J456:J489)</f>
        <v>164.95</v>
      </c>
      <c r="K490" s="646">
        <f>SUM(K456:K489)</f>
        <v>0</v>
      </c>
      <c r="L490" s="31"/>
      <c r="M490" s="31"/>
      <c r="N490" s="31"/>
      <c r="O490" s="439">
        <f>SUM(O456:O489)</f>
        <v>157.69999999999999</v>
      </c>
      <c r="P490" s="646">
        <f>SUM(P456:P489)</f>
        <v>0.25</v>
      </c>
      <c r="Q490" s="31"/>
      <c r="R490" s="31"/>
      <c r="S490" s="31"/>
      <c r="T490" s="439">
        <f>SUM(T456:T489)</f>
        <v>200</v>
      </c>
      <c r="U490" s="646">
        <f>SUM(U456:U489)</f>
        <v>0</v>
      </c>
      <c r="V490" s="31"/>
      <c r="W490" s="31"/>
      <c r="X490" s="31"/>
      <c r="Y490" s="439">
        <f>SUM(Y456:Y489)</f>
        <v>181.7</v>
      </c>
      <c r="Z490" s="646">
        <f>SUM(Z456:Z489)</f>
        <v>0</v>
      </c>
      <c r="AA490" s="370">
        <f>SUM(AA456:AA489)</f>
        <v>893.25</v>
      </c>
      <c r="AB490" s="370">
        <f>SUM(AB456:AB489)</f>
        <v>0.75</v>
      </c>
      <c r="AC490" s="4"/>
      <c r="AD490" s="64"/>
      <c r="AE490" s="64"/>
      <c r="AF490" s="370">
        <f>SUM(AF456:AF489)</f>
        <v>0</v>
      </c>
      <c r="AG490" s="370">
        <f>SUM(AG456:AG489)</f>
        <v>0</v>
      </c>
      <c r="AH490" s="4"/>
      <c r="AI490" s="255"/>
      <c r="AJ490" s="180"/>
      <c r="AK490" s="407"/>
      <c r="AQ490" s="180"/>
      <c r="AR490" s="180"/>
      <c r="AS490" s="180"/>
      <c r="AT490" s="180"/>
      <c r="AU490" s="180"/>
      <c r="AV490" s="180"/>
      <c r="AW490" s="180"/>
    </row>
    <row r="491" spans="1:49" s="193" customFormat="1">
      <c r="A491" s="180"/>
      <c r="B491" s="63" t="s">
        <v>64</v>
      </c>
      <c r="C491" s="47"/>
      <c r="D491" s="47"/>
      <c r="E491" s="319">
        <v>8</v>
      </c>
      <c r="F491" s="346"/>
      <c r="G491" s="613"/>
      <c r="H491" s="47"/>
      <c r="I491" s="47"/>
      <c r="J491" s="319">
        <v>8</v>
      </c>
      <c r="K491" s="346">
        <v>0.25</v>
      </c>
      <c r="L491" s="60"/>
      <c r="M491" s="47"/>
      <c r="N491" s="47"/>
      <c r="O491" s="319">
        <v>8</v>
      </c>
      <c r="P491" s="346">
        <v>2</v>
      </c>
      <c r="Q491" s="60"/>
      <c r="R491" s="47"/>
      <c r="S491" s="47"/>
      <c r="T491" s="319">
        <v>8</v>
      </c>
      <c r="U491" s="346">
        <v>0.25</v>
      </c>
      <c r="V491" s="60"/>
      <c r="W491" s="47"/>
      <c r="X491" s="47"/>
      <c r="Y491" s="319">
        <v>8</v>
      </c>
      <c r="Z491" s="346">
        <v>0.5</v>
      </c>
      <c r="AA491" s="28">
        <f>SUM(E491+J491+O491+T491+Y491)</f>
        <v>40</v>
      </c>
      <c r="AB491" s="296">
        <f>Z491+U491+P491+K491+F491</f>
        <v>3</v>
      </c>
      <c r="AC491" s="4"/>
      <c r="AD491" s="47" t="s">
        <v>29</v>
      </c>
      <c r="AE491" s="47" t="s">
        <v>29</v>
      </c>
      <c r="AF491" s="319"/>
      <c r="AG491" s="29">
        <f>AF491</f>
        <v>0</v>
      </c>
      <c r="AH491" s="4"/>
      <c r="AI491" s="255"/>
      <c r="AJ491" s="180"/>
      <c r="AK491" s="407"/>
      <c r="AQ491" s="180"/>
      <c r="AR491" s="180"/>
      <c r="AS491" s="180"/>
      <c r="AT491" s="180"/>
      <c r="AU491" s="180"/>
      <c r="AV491" s="180"/>
      <c r="AW491" s="180"/>
    </row>
    <row r="492" spans="1:49" s="193" customFormat="1">
      <c r="A492" s="180"/>
      <c r="B492" s="71" t="s">
        <v>66</v>
      </c>
      <c r="C492" s="371"/>
      <c r="D492" s="371"/>
      <c r="E492" s="71"/>
      <c r="F492" s="613"/>
      <c r="G492" s="71"/>
      <c r="H492" s="71"/>
      <c r="I492" s="71"/>
      <c r="J492" s="71"/>
      <c r="K492" s="613"/>
      <c r="L492" s="71"/>
      <c r="M492" s="71"/>
      <c r="N492" s="71"/>
      <c r="O492" s="71"/>
      <c r="P492" s="613"/>
      <c r="Q492" s="71"/>
      <c r="R492" s="71"/>
      <c r="S492" s="71"/>
      <c r="T492" s="71"/>
      <c r="U492" s="613"/>
      <c r="V492" s="71"/>
      <c r="W492" s="71"/>
      <c r="X492" s="71"/>
      <c r="Y492" s="71"/>
      <c r="Z492" s="613"/>
      <c r="AA492" s="370">
        <f>SUM(AA491:AA491)</f>
        <v>40</v>
      </c>
      <c r="AB492" s="370">
        <f>SUM(AB491:AB491)</f>
        <v>3</v>
      </c>
      <c r="AC492" s="4"/>
      <c r="AD492" s="180"/>
      <c r="AE492" s="180"/>
      <c r="AF492" s="180"/>
      <c r="AG492" s="370">
        <f>SUM(AG491:AG491)</f>
        <v>0</v>
      </c>
      <c r="AH492" s="4"/>
      <c r="AI492" s="255"/>
      <c r="AJ492" s="180"/>
      <c r="AK492" s="407"/>
      <c r="AQ492" s="180"/>
      <c r="AR492" s="180"/>
      <c r="AS492" s="180"/>
      <c r="AT492" s="180"/>
      <c r="AU492" s="180"/>
      <c r="AV492" s="180"/>
      <c r="AW492" s="180"/>
    </row>
    <row r="493" spans="1:49" s="193" customFormat="1">
      <c r="A493" s="180"/>
      <c r="B493" s="217" t="s">
        <v>67</v>
      </c>
      <c r="C493" s="207">
        <f>C494+C495</f>
        <v>76</v>
      </c>
      <c r="D493" s="207"/>
      <c r="E493" s="209"/>
      <c r="F493" s="209"/>
      <c r="G493" s="207"/>
      <c r="H493" s="209"/>
      <c r="I493" s="209"/>
      <c r="J493" s="209"/>
      <c r="K493" s="209"/>
      <c r="L493" s="207"/>
      <c r="M493" s="207"/>
      <c r="N493" s="207"/>
      <c r="O493" s="207"/>
      <c r="P493" s="209"/>
      <c r="Q493" s="207"/>
      <c r="R493" s="207"/>
      <c r="S493" s="207"/>
      <c r="T493" s="207"/>
      <c r="U493" s="209"/>
      <c r="V493" s="207"/>
      <c r="W493" s="207"/>
      <c r="X493" s="207"/>
      <c r="Y493" s="210"/>
      <c r="Z493" s="209"/>
      <c r="AA493" s="211"/>
      <c r="AB493" s="209"/>
      <c r="AC493" s="211"/>
      <c r="AD493" s="211"/>
      <c r="AE493" s="211"/>
      <c r="AF493" s="211"/>
      <c r="AG493" s="211"/>
      <c r="AH493" s="4"/>
      <c r="AI493" s="255"/>
      <c r="AJ493" s="180"/>
      <c r="AQ493" s="180"/>
      <c r="AR493" s="180"/>
      <c r="AS493" s="180"/>
      <c r="AT493" s="180"/>
      <c r="AU493" s="180"/>
      <c r="AV493" s="180"/>
      <c r="AW493" s="180"/>
    </row>
    <row r="494" spans="1:49" s="193" customFormat="1">
      <c r="A494" s="180"/>
      <c r="B494" s="238" t="s">
        <v>68</v>
      </c>
      <c r="C494" s="239">
        <f>12+12+15+14+13</f>
        <v>66</v>
      </c>
      <c r="D494" s="207"/>
      <c r="E494" s="209"/>
      <c r="F494" s="209"/>
      <c r="G494" s="207"/>
      <c r="H494" s="209"/>
      <c r="I494" s="209"/>
      <c r="J494" s="209"/>
      <c r="K494" s="209"/>
      <c r="L494" s="207"/>
      <c r="M494" s="207"/>
      <c r="N494" s="207"/>
      <c r="O494" s="207"/>
      <c r="P494" s="209"/>
      <c r="Q494" s="207"/>
      <c r="R494" s="207"/>
      <c r="S494" s="207"/>
      <c r="T494" s="207"/>
      <c r="U494" s="209"/>
      <c r="V494" s="207"/>
      <c r="W494" s="207"/>
      <c r="X494" s="207"/>
      <c r="Y494" s="210"/>
      <c r="Z494" s="209"/>
      <c r="AA494" s="211"/>
      <c r="AB494" s="209"/>
      <c r="AC494" s="211"/>
      <c r="AD494" s="211"/>
      <c r="AE494" s="211"/>
      <c r="AF494" s="211"/>
      <c r="AG494" s="211"/>
      <c r="AH494" s="4"/>
      <c r="AI494" s="255"/>
      <c r="AJ494" s="180"/>
      <c r="AQ494" s="180"/>
      <c r="AR494" s="180"/>
      <c r="AS494" s="180"/>
      <c r="AT494" s="180"/>
      <c r="AU494" s="180"/>
      <c r="AV494" s="180"/>
      <c r="AW494" s="180"/>
    </row>
    <row r="495" spans="1:49" s="193" customFormat="1">
      <c r="A495" s="180"/>
      <c r="B495" s="238" t="s">
        <v>69</v>
      </c>
      <c r="C495" s="239">
        <f>1+5+2+2</f>
        <v>10</v>
      </c>
      <c r="D495" s="207"/>
      <c r="E495" s="209"/>
      <c r="F495" s="209"/>
      <c r="G495" s="207"/>
      <c r="H495" s="209"/>
      <c r="I495" s="209"/>
      <c r="J495" s="209"/>
      <c r="K495" s="209"/>
      <c r="L495" s="207"/>
      <c r="M495" s="207"/>
      <c r="N495" s="207"/>
      <c r="O495" s="207"/>
      <c r="P495" s="209"/>
      <c r="Q495" s="207"/>
      <c r="R495" s="207"/>
      <c r="S495" s="207"/>
      <c r="T495" s="207"/>
      <c r="U495" s="209"/>
      <c r="V495" s="207"/>
      <c r="W495" s="207"/>
      <c r="X495" s="207"/>
      <c r="Y495" s="210"/>
      <c r="Z495" s="209"/>
      <c r="AA495" s="211"/>
      <c r="AB495" s="209"/>
      <c r="AC495" s="211"/>
      <c r="AD495" s="211"/>
      <c r="AE495" s="211"/>
      <c r="AF495" s="211"/>
      <c r="AG495" s="211"/>
      <c r="AH495" s="4"/>
      <c r="AI495" s="255"/>
      <c r="AJ495" s="180"/>
      <c r="AQ495" s="180"/>
      <c r="AR495" s="180"/>
      <c r="AS495" s="180"/>
      <c r="AT495" s="180"/>
      <c r="AU495" s="180"/>
      <c r="AV495" s="180"/>
      <c r="AW495" s="180"/>
    </row>
    <row r="496" spans="1:49" s="180" customFormat="1">
      <c r="A496" s="313"/>
      <c r="E496" s="4"/>
      <c r="F496" s="644"/>
      <c r="G496" s="4"/>
      <c r="J496" s="4"/>
      <c r="K496" s="644"/>
      <c r="L496" s="4"/>
      <c r="O496" s="4"/>
      <c r="P496" s="644"/>
      <c r="Q496" s="4"/>
      <c r="T496" s="4"/>
      <c r="U496" s="644"/>
      <c r="V496" s="4"/>
      <c r="Y496" s="4"/>
      <c r="Z496" s="644"/>
      <c r="AA496" s="4"/>
      <c r="AB496" s="4"/>
      <c r="AC496" s="4"/>
      <c r="AH496" s="4"/>
      <c r="AI496" s="255"/>
      <c r="AK496" s="193"/>
      <c r="AL496" s="193"/>
      <c r="AM496" s="193"/>
      <c r="AN496" s="193"/>
      <c r="AO496" s="193"/>
      <c r="AP496" s="193"/>
    </row>
    <row r="497" spans="1:49">
      <c r="A497" s="180"/>
      <c r="B497" s="229"/>
      <c r="C497" s="230"/>
      <c r="D497" s="230"/>
      <c r="E497" s="232"/>
      <c r="F497" s="232"/>
      <c r="G497" s="230"/>
      <c r="H497" s="232"/>
      <c r="I497" s="232"/>
      <c r="J497" s="232"/>
      <c r="K497" s="232"/>
      <c r="L497" s="230"/>
      <c r="M497" s="230"/>
      <c r="N497" s="230"/>
      <c r="O497" s="230"/>
      <c r="P497" s="232"/>
      <c r="Q497" s="230"/>
      <c r="R497" s="230"/>
      <c r="S497" s="230"/>
      <c r="T497" s="230"/>
      <c r="U497" s="232"/>
      <c r="V497" s="230"/>
      <c r="W497" s="230"/>
      <c r="X497" s="230"/>
      <c r="Y497" s="233"/>
      <c r="Z497" s="232"/>
      <c r="AA497" s="234"/>
      <c r="AB497" s="232"/>
      <c r="AC497" s="373"/>
      <c r="AD497" s="236"/>
      <c r="AE497" s="255"/>
      <c r="AF497" s="255"/>
      <c r="AG497" s="255"/>
      <c r="AH497" s="255"/>
      <c r="AJ497" s="255"/>
      <c r="AK497" s="255"/>
      <c r="AL497" s="255"/>
      <c r="AM497" s="255"/>
      <c r="AN497" s="255"/>
      <c r="AO497" s="255"/>
      <c r="AP497" s="255"/>
      <c r="AQ497" s="255"/>
      <c r="AR497" s="255"/>
      <c r="AS497" s="255"/>
      <c r="AT497" s="255"/>
      <c r="AU497" s="255"/>
      <c r="AV497" s="255"/>
      <c r="AW497" s="255"/>
    </row>
    <row r="498" spans="1:49">
      <c r="B498" s="180"/>
      <c r="E498" s="4"/>
      <c r="F498" s="644"/>
      <c r="G498" s="4"/>
      <c r="J498" s="4"/>
      <c r="K498" s="644"/>
      <c r="L498" s="4"/>
      <c r="O498" s="4"/>
      <c r="P498" s="644"/>
      <c r="T498" s="4"/>
      <c r="U498" s="644"/>
      <c r="Y498" s="4"/>
      <c r="Z498" s="644"/>
      <c r="AA498" s="4"/>
      <c r="AB498" s="4"/>
      <c r="AC498" s="4"/>
      <c r="AK498" s="180"/>
      <c r="AL498" s="180"/>
      <c r="AM498" s="180"/>
      <c r="AN498" s="180"/>
      <c r="AO498" s="180"/>
      <c r="AP498" s="180"/>
    </row>
    <row r="499" spans="1:49">
      <c r="A499" s="228"/>
      <c r="B499" s="1518" t="s">
        <v>18</v>
      </c>
      <c r="C499" s="1519">
        <v>45621</v>
      </c>
      <c r="D499" s="1519"/>
      <c r="E499" s="1519"/>
      <c r="F499" s="1519"/>
      <c r="G499" s="365"/>
      <c r="H499" s="1519">
        <v>45622</v>
      </c>
      <c r="I499" s="1519"/>
      <c r="J499" s="1519"/>
      <c r="K499" s="1519"/>
      <c r="L499" s="365"/>
      <c r="M499" s="1519">
        <v>45623</v>
      </c>
      <c r="N499" s="1519"/>
      <c r="O499" s="1519"/>
      <c r="P499" s="1519"/>
      <c r="Q499" s="365"/>
      <c r="R499" s="1519"/>
      <c r="S499" s="1519"/>
      <c r="T499" s="1519"/>
      <c r="U499" s="1519"/>
      <c r="V499" s="365"/>
      <c r="W499" s="1519"/>
      <c r="X499" s="1519"/>
      <c r="Y499" s="1519"/>
      <c r="Z499" s="1519"/>
      <c r="AA499" s="1517" t="s">
        <v>19</v>
      </c>
      <c r="AB499" s="1517" t="s">
        <v>20</v>
      </c>
      <c r="AC499" s="4"/>
      <c r="AD499" s="1519">
        <v>45626</v>
      </c>
      <c r="AE499" s="1519"/>
      <c r="AF499" s="1519"/>
      <c r="AG499" s="1517" t="s">
        <v>21</v>
      </c>
      <c r="AI499" s="368"/>
      <c r="AK499" s="194" t="s">
        <v>84</v>
      </c>
      <c r="AL499" s="366"/>
      <c r="AM499" s="366"/>
      <c r="AN499" s="366"/>
      <c r="AO499" s="366"/>
      <c r="AP499" s="366"/>
    </row>
    <row r="500" spans="1:49">
      <c r="A500" s="180"/>
      <c r="B500" s="1518"/>
      <c r="C500" s="21" t="s">
        <v>23</v>
      </c>
      <c r="D500" s="21" t="s">
        <v>24</v>
      </c>
      <c r="E500" s="205" t="s">
        <v>25</v>
      </c>
      <c r="F500" s="645" t="s">
        <v>14</v>
      </c>
      <c r="G500" s="4"/>
      <c r="H500" s="21" t="s">
        <v>23</v>
      </c>
      <c r="I500" s="21" t="s">
        <v>24</v>
      </c>
      <c r="J500" s="18" t="s">
        <v>25</v>
      </c>
      <c r="K500" s="645" t="s">
        <v>14</v>
      </c>
      <c r="L500" s="4"/>
      <c r="M500" s="21" t="s">
        <v>23</v>
      </c>
      <c r="N500" s="21" t="s">
        <v>24</v>
      </c>
      <c r="O500" s="18" t="s">
        <v>25</v>
      </c>
      <c r="P500" s="645" t="s">
        <v>14</v>
      </c>
      <c r="R500" s="21" t="s">
        <v>23</v>
      </c>
      <c r="S500" s="21" t="s">
        <v>24</v>
      </c>
      <c r="T500" s="18" t="s">
        <v>25</v>
      </c>
      <c r="U500" s="645" t="s">
        <v>14</v>
      </c>
      <c r="W500" s="21" t="s">
        <v>23</v>
      </c>
      <c r="X500" s="21" t="s">
        <v>24</v>
      </c>
      <c r="Y500" s="18" t="s">
        <v>25</v>
      </c>
      <c r="Z500" s="645" t="s">
        <v>14</v>
      </c>
      <c r="AA500" s="1517"/>
      <c r="AB500" s="1517"/>
      <c r="AC500" s="4"/>
      <c r="AD500" s="21" t="s">
        <v>23</v>
      </c>
      <c r="AE500" s="21" t="s">
        <v>24</v>
      </c>
      <c r="AF500" s="18" t="s">
        <v>25</v>
      </c>
      <c r="AG500" s="1517"/>
      <c r="AI500" s="368"/>
      <c r="AJ500" s="367"/>
      <c r="AK500" s="188" t="s">
        <v>26</v>
      </c>
      <c r="AL500" s="196">
        <f>AA535</f>
        <v>585.69999999999993</v>
      </c>
      <c r="AM500" s="510">
        <v>39.14</v>
      </c>
      <c r="AN500" s="510">
        <f t="shared" ref="AN500:AN506" si="84">AL500*AM500</f>
        <v>22924.297999999999</v>
      </c>
      <c r="AQ500" s="367"/>
      <c r="AR500" s="367"/>
      <c r="AS500" s="367"/>
      <c r="AT500" s="367"/>
      <c r="AU500" s="367"/>
      <c r="AV500" s="367"/>
      <c r="AW500" s="367"/>
    </row>
    <row r="501" spans="1:49" ht="15" customHeight="1">
      <c r="A501" s="180"/>
      <c r="B501" s="4" t="s">
        <v>958</v>
      </c>
      <c r="C501" s="441" t="s">
        <v>75</v>
      </c>
      <c r="D501" s="441" t="s">
        <v>246</v>
      </c>
      <c r="E501" s="319">
        <v>8</v>
      </c>
      <c r="F501" s="646"/>
      <c r="G501" s="4"/>
      <c r="H501" s="47">
        <v>0.375</v>
      </c>
      <c r="I501" s="47">
        <v>0.20833333333333334</v>
      </c>
      <c r="J501" s="319">
        <v>8</v>
      </c>
      <c r="K501" s="646"/>
      <c r="L501" s="4"/>
      <c r="M501" s="441" t="s">
        <v>953</v>
      </c>
      <c r="N501" s="47">
        <v>0.20833333333333334</v>
      </c>
      <c r="O501" s="319">
        <v>8</v>
      </c>
      <c r="P501" s="646">
        <v>1</v>
      </c>
      <c r="R501" s="1561" t="s">
        <v>1015</v>
      </c>
      <c r="S501" s="1561"/>
      <c r="T501" s="1561"/>
      <c r="U501" s="646"/>
      <c r="W501" s="1561" t="s">
        <v>1016</v>
      </c>
      <c r="X501" s="1561"/>
      <c r="Y501" s="1561"/>
      <c r="Z501" s="646"/>
      <c r="AA501" s="328">
        <f t="shared" ref="AA501:AA534" si="85">(E501+J501+O501+T501+Y501)</f>
        <v>24</v>
      </c>
      <c r="AB501" s="298">
        <f t="shared" ref="AB501:AB534" si="86">Z501+U501+P501+K501+F501</f>
        <v>1</v>
      </c>
      <c r="AC501" s="4"/>
      <c r="AD501" s="587"/>
      <c r="AE501" s="531"/>
      <c r="AF501" s="319"/>
      <c r="AG501" s="328">
        <f t="shared" ref="AG501:AG534" si="87">AF501</f>
        <v>0</v>
      </c>
      <c r="AI501" s="368"/>
      <c r="AJ501" s="367"/>
      <c r="AK501" s="188" t="s">
        <v>30</v>
      </c>
      <c r="AL501" s="196">
        <f>AB535</f>
        <v>2</v>
      </c>
      <c r="AM501" s="511">
        <f>AM500*1.5</f>
        <v>58.71</v>
      </c>
      <c r="AN501" s="510">
        <f t="shared" si="84"/>
        <v>117.42</v>
      </c>
      <c r="AQ501" s="367"/>
      <c r="AR501" s="367"/>
      <c r="AS501" s="367"/>
      <c r="AT501" s="367"/>
      <c r="AU501" s="367"/>
      <c r="AV501" s="367"/>
      <c r="AW501" s="367"/>
    </row>
    <row r="502" spans="1:49">
      <c r="A502" s="367"/>
      <c r="B502" s="47" t="s">
        <v>515</v>
      </c>
      <c r="C502" s="47">
        <v>0.375</v>
      </c>
      <c r="D502" s="47">
        <v>0.25</v>
      </c>
      <c r="E502" s="319">
        <v>8</v>
      </c>
      <c r="F502" s="646"/>
      <c r="G502" s="4"/>
      <c r="H502" s="47">
        <v>0.375</v>
      </c>
      <c r="I502" s="47">
        <v>0.25</v>
      </c>
      <c r="J502" s="319">
        <v>8</v>
      </c>
      <c r="K502" s="646"/>
      <c r="L502" s="4"/>
      <c r="M502" s="441" t="s">
        <v>75</v>
      </c>
      <c r="N502" s="47">
        <v>0.25</v>
      </c>
      <c r="O502" s="319">
        <v>8</v>
      </c>
      <c r="P502" s="646"/>
      <c r="R502" s="1561"/>
      <c r="S502" s="1561"/>
      <c r="T502" s="1561"/>
      <c r="U502" s="646"/>
      <c r="W502" s="1561"/>
      <c r="X502" s="1561"/>
      <c r="Y502" s="1561"/>
      <c r="Z502" s="646"/>
      <c r="AA502" s="328">
        <f t="shared" si="85"/>
        <v>24</v>
      </c>
      <c r="AB502" s="298">
        <f t="shared" si="86"/>
        <v>0</v>
      </c>
      <c r="AC502" s="4"/>
      <c r="AF502" s="319"/>
      <c r="AG502" s="328">
        <f t="shared" si="87"/>
        <v>0</v>
      </c>
      <c r="AH502" s="175"/>
      <c r="AI502" s="402"/>
      <c r="AJ502" s="367"/>
      <c r="AK502" s="188" t="s">
        <v>32</v>
      </c>
      <c r="AL502" s="196">
        <f>AG535</f>
        <v>16</v>
      </c>
      <c r="AM502" s="510">
        <v>58.71</v>
      </c>
      <c r="AN502" s="510">
        <f t="shared" si="84"/>
        <v>939.36</v>
      </c>
      <c r="AQ502" s="367"/>
      <c r="AR502" s="367"/>
      <c r="AS502" s="367"/>
      <c r="AT502" s="367"/>
      <c r="AU502" s="367"/>
      <c r="AV502" s="367"/>
      <c r="AW502" s="367"/>
    </row>
    <row r="503" spans="1:49">
      <c r="A503" s="367"/>
      <c r="B503" s="441" t="s">
        <v>962</v>
      </c>
      <c r="C503" s="441" t="s">
        <v>75</v>
      </c>
      <c r="D503" s="47">
        <v>0.25</v>
      </c>
      <c r="E503" s="319">
        <v>8</v>
      </c>
      <c r="F503" s="646"/>
      <c r="G503" s="4"/>
      <c r="H503" s="47">
        <v>0.375</v>
      </c>
      <c r="I503" s="47">
        <v>0.25</v>
      </c>
      <c r="J503" s="319">
        <v>8</v>
      </c>
      <c r="K503" s="646"/>
      <c r="L503" s="4"/>
      <c r="M503" s="441" t="s">
        <v>75</v>
      </c>
      <c r="N503" s="47">
        <v>0.25</v>
      </c>
      <c r="O503" s="319">
        <v>8</v>
      </c>
      <c r="P503" s="646"/>
      <c r="R503" s="1561"/>
      <c r="S503" s="1561"/>
      <c r="T503" s="1561"/>
      <c r="U503" s="646"/>
      <c r="W503" s="1561"/>
      <c r="X503" s="1561"/>
      <c r="Y503" s="1561"/>
      <c r="Z503" s="646"/>
      <c r="AA503" s="328">
        <f t="shared" si="85"/>
        <v>24</v>
      </c>
      <c r="AB503" s="298">
        <f t="shared" si="86"/>
        <v>0</v>
      </c>
      <c r="AC503" s="399"/>
      <c r="AD503" s="47"/>
      <c r="AE503" s="47"/>
      <c r="AF503" s="319"/>
      <c r="AG503" s="328">
        <f t="shared" si="87"/>
        <v>0</v>
      </c>
      <c r="AH503" s="175"/>
      <c r="AJ503" s="401"/>
      <c r="AK503" s="403" t="s">
        <v>213</v>
      </c>
      <c r="AL503" s="404">
        <f>AA537</f>
        <v>24</v>
      </c>
      <c r="AM503" s="510">
        <v>51.5</v>
      </c>
      <c r="AN503" s="510">
        <f t="shared" si="84"/>
        <v>1236</v>
      </c>
      <c r="AO503" s="405"/>
      <c r="AP503" s="405"/>
      <c r="AQ503" s="367"/>
      <c r="AR503" s="401"/>
      <c r="AS503" s="401"/>
      <c r="AT503" s="401"/>
      <c r="AU503" s="401"/>
      <c r="AV503" s="401"/>
      <c r="AW503" s="401"/>
    </row>
    <row r="504" spans="1:49">
      <c r="A504" s="367"/>
      <c r="B504" s="665" t="s">
        <v>994</v>
      </c>
      <c r="C504" s="441" t="s">
        <v>75</v>
      </c>
      <c r="D504" s="47">
        <v>0.25</v>
      </c>
      <c r="E504" s="319">
        <v>8</v>
      </c>
      <c r="F504" s="646"/>
      <c r="G504" s="4"/>
      <c r="H504" s="441" t="s">
        <v>75</v>
      </c>
      <c r="I504" s="47">
        <v>0.25</v>
      </c>
      <c r="J504" s="319">
        <v>8</v>
      </c>
      <c r="K504" s="646"/>
      <c r="L504" s="4"/>
      <c r="M504" s="441" t="s">
        <v>75</v>
      </c>
      <c r="N504" s="47">
        <v>0.25</v>
      </c>
      <c r="O504" s="319">
        <v>8</v>
      </c>
      <c r="P504" s="646"/>
      <c r="R504" s="1561"/>
      <c r="S504" s="1561"/>
      <c r="T504" s="1561"/>
      <c r="U504" s="646"/>
      <c r="W504" s="1561"/>
      <c r="X504" s="1561"/>
      <c r="Y504" s="1561"/>
      <c r="Z504" s="646"/>
      <c r="AA504" s="328">
        <f t="shared" si="85"/>
        <v>24</v>
      </c>
      <c r="AB504" s="298">
        <f t="shared" si="86"/>
        <v>0</v>
      </c>
      <c r="AC504" s="175"/>
      <c r="AD504" s="47"/>
      <c r="AE504" s="47"/>
      <c r="AF504" s="319"/>
      <c r="AG504" s="328">
        <f t="shared" si="87"/>
        <v>0</v>
      </c>
      <c r="AH504" s="175"/>
      <c r="AJ504" s="401"/>
      <c r="AK504" s="188" t="s">
        <v>36</v>
      </c>
      <c r="AL504" s="196">
        <f>AB537</f>
        <v>1.25</v>
      </c>
      <c r="AM504" s="510">
        <f>AM503*1.5</f>
        <v>77.25</v>
      </c>
      <c r="AN504" s="510">
        <f t="shared" si="84"/>
        <v>96.5625</v>
      </c>
      <c r="AO504" s="405"/>
      <c r="AP504" s="405"/>
      <c r="AQ504" s="367"/>
      <c r="AR504" s="401"/>
      <c r="AS504" s="401"/>
      <c r="AT504" s="401"/>
      <c r="AU504" s="401"/>
      <c r="AV504" s="401"/>
      <c r="AW504" s="401"/>
    </row>
    <row r="505" spans="1:49">
      <c r="A505" s="367"/>
      <c r="B505" s="47" t="s">
        <v>967</v>
      </c>
      <c r="C505" s="441" t="s">
        <v>75</v>
      </c>
      <c r="D505" s="47">
        <v>0.25</v>
      </c>
      <c r="E505" s="319">
        <v>8</v>
      </c>
      <c r="F505" s="646"/>
      <c r="G505" s="4"/>
      <c r="H505" s="47">
        <v>0.375</v>
      </c>
      <c r="I505" s="47">
        <v>0.25</v>
      </c>
      <c r="J505" s="319">
        <v>8</v>
      </c>
      <c r="K505" s="646"/>
      <c r="L505" s="4"/>
      <c r="M505" s="441" t="s">
        <v>75</v>
      </c>
      <c r="N505" s="47">
        <v>0.25</v>
      </c>
      <c r="O505" s="319">
        <v>8</v>
      </c>
      <c r="P505" s="646"/>
      <c r="R505" s="1561"/>
      <c r="S505" s="1561"/>
      <c r="T505" s="1561"/>
      <c r="U505" s="646"/>
      <c r="W505" s="1561"/>
      <c r="X505" s="1561"/>
      <c r="Y505" s="1561"/>
      <c r="Z505" s="646"/>
      <c r="AA505" s="328">
        <f t="shared" si="85"/>
        <v>24</v>
      </c>
      <c r="AB505" s="298">
        <f t="shared" si="86"/>
        <v>0</v>
      </c>
      <c r="AC505" s="4"/>
      <c r="AD505" s="47"/>
      <c r="AE505" s="47"/>
      <c r="AF505" s="319"/>
      <c r="AG505" s="328">
        <f t="shared" si="87"/>
        <v>0</v>
      </c>
      <c r="AH505" s="175"/>
      <c r="AI505" s="368"/>
      <c r="AK505" s="188" t="s">
        <v>38</v>
      </c>
      <c r="AL505" s="196">
        <f>AG537</f>
        <v>2.5</v>
      </c>
      <c r="AM505" s="510">
        <v>77.25</v>
      </c>
      <c r="AN505" s="510">
        <f t="shared" si="84"/>
        <v>193.125</v>
      </c>
      <c r="AQ505" s="367"/>
    </row>
    <row r="506" spans="1:49" s="4" customFormat="1" ht="14.25" thickBot="1">
      <c r="A506" s="180"/>
      <c r="B506" s="532" t="s">
        <v>995</v>
      </c>
      <c r="C506" s="47">
        <v>0.375</v>
      </c>
      <c r="D506" s="47">
        <v>0.25</v>
      </c>
      <c r="E506" s="319">
        <v>8</v>
      </c>
      <c r="F506" s="646"/>
      <c r="H506" s="47">
        <v>0.375</v>
      </c>
      <c r="I506" s="47">
        <v>0.25</v>
      </c>
      <c r="J506" s="319">
        <v>8</v>
      </c>
      <c r="K506" s="646"/>
      <c r="M506" s="441" t="s">
        <v>75</v>
      </c>
      <c r="N506" s="47">
        <v>0.25</v>
      </c>
      <c r="O506" s="319">
        <v>8</v>
      </c>
      <c r="P506" s="646"/>
      <c r="R506" s="1561"/>
      <c r="S506" s="1561"/>
      <c r="T506" s="1561"/>
      <c r="U506" s="646"/>
      <c r="W506" s="1561"/>
      <c r="X506" s="1561"/>
      <c r="Y506" s="1561"/>
      <c r="Z506" s="646"/>
      <c r="AA506" s="328">
        <f t="shared" si="85"/>
        <v>24</v>
      </c>
      <c r="AB506" s="298">
        <f t="shared" si="86"/>
        <v>0</v>
      </c>
      <c r="AD506" s="47"/>
      <c r="AE506" s="47"/>
      <c r="AF506" s="319"/>
      <c r="AG506" s="328">
        <f t="shared" si="87"/>
        <v>0</v>
      </c>
      <c r="AI506" s="255"/>
      <c r="AJ506" s="180"/>
      <c r="AK506" s="188" t="s">
        <v>41</v>
      </c>
      <c r="AL506" s="196">
        <f>C538</f>
        <v>46</v>
      </c>
      <c r="AM506" s="512">
        <v>46.35</v>
      </c>
      <c r="AN506" s="512">
        <f t="shared" si="84"/>
        <v>2132.1</v>
      </c>
      <c r="AO506" s="193"/>
      <c r="AP506" s="193"/>
      <c r="AQ506" s="367"/>
      <c r="AR506" s="180"/>
      <c r="AS506" s="180"/>
      <c r="AT506" s="180"/>
      <c r="AU506" s="180"/>
      <c r="AV506" s="180"/>
      <c r="AW506" s="180"/>
    </row>
    <row r="507" spans="1:49" s="4" customFormat="1" ht="14.25" thickTop="1">
      <c r="A507" s="180"/>
      <c r="B507" s="436" t="s">
        <v>972</v>
      </c>
      <c r="C507" s="47">
        <v>0.375</v>
      </c>
      <c r="D507" s="47">
        <v>0.25</v>
      </c>
      <c r="E507" s="319">
        <v>8</v>
      </c>
      <c r="F507" s="646"/>
      <c r="H507" s="441" t="s">
        <v>75</v>
      </c>
      <c r="I507" s="47">
        <v>0.25</v>
      </c>
      <c r="J507" s="319">
        <v>8</v>
      </c>
      <c r="K507" s="646"/>
      <c r="M507" s="441" t="s">
        <v>75</v>
      </c>
      <c r="N507" s="47">
        <v>0.25</v>
      </c>
      <c r="O507" s="319">
        <v>8</v>
      </c>
      <c r="P507" s="646"/>
      <c r="R507" s="1561"/>
      <c r="S507" s="1561"/>
      <c r="T507" s="1561"/>
      <c r="U507" s="646"/>
      <c r="W507" s="1561"/>
      <c r="X507" s="1561"/>
      <c r="Y507" s="1561"/>
      <c r="Z507" s="646"/>
      <c r="AA507" s="328">
        <f t="shared" si="85"/>
        <v>24</v>
      </c>
      <c r="AB507" s="298">
        <f t="shared" si="86"/>
        <v>0</v>
      </c>
      <c r="AD507" s="47"/>
      <c r="AE507" s="47"/>
      <c r="AF507" s="319"/>
      <c r="AG507" s="328">
        <f t="shared" si="87"/>
        <v>0</v>
      </c>
      <c r="AI507" s="255"/>
      <c r="AJ507" s="180"/>
      <c r="AK507" s="188"/>
      <c r="AL507" s="196"/>
      <c r="AM507" s="510"/>
      <c r="AN507" s="510"/>
      <c r="AO507" s="193"/>
      <c r="AP507" s="193"/>
      <c r="AQ507" s="367"/>
      <c r="AR507" s="180"/>
      <c r="AS507" s="180"/>
      <c r="AT507" s="180"/>
      <c r="AU507" s="180"/>
      <c r="AV507" s="180"/>
      <c r="AW507" s="180"/>
    </row>
    <row r="508" spans="1:49" s="4" customFormat="1">
      <c r="A508" s="180"/>
      <c r="B508" s="47" t="s">
        <v>974</v>
      </c>
      <c r="C508" s="441" t="s">
        <v>75</v>
      </c>
      <c r="D508" s="441" t="s">
        <v>246</v>
      </c>
      <c r="E508" s="319">
        <v>8</v>
      </c>
      <c r="F508" s="646"/>
      <c r="H508" s="441" t="s">
        <v>125</v>
      </c>
      <c r="I508" s="47">
        <v>0.20833333333333334</v>
      </c>
      <c r="J508" s="319">
        <v>8</v>
      </c>
      <c r="K508" s="646"/>
      <c r="M508" s="441" t="s">
        <v>75</v>
      </c>
      <c r="N508" s="47">
        <v>0.25</v>
      </c>
      <c r="O508" s="319">
        <v>8</v>
      </c>
      <c r="P508" s="646"/>
      <c r="R508" s="1561"/>
      <c r="S508" s="1561"/>
      <c r="T508" s="1561"/>
      <c r="U508" s="646"/>
      <c r="W508" s="1561"/>
      <c r="X508" s="1561"/>
      <c r="Y508" s="1561"/>
      <c r="Z508" s="646"/>
      <c r="AA508" s="328">
        <f t="shared" si="85"/>
        <v>24</v>
      </c>
      <c r="AB508" s="298">
        <f t="shared" si="86"/>
        <v>0</v>
      </c>
      <c r="AD508" s="47">
        <v>0.375</v>
      </c>
      <c r="AE508" s="47">
        <v>0.20833333333333334</v>
      </c>
      <c r="AF508" s="319">
        <v>8</v>
      </c>
      <c r="AG508" s="328">
        <f t="shared" si="87"/>
        <v>8</v>
      </c>
      <c r="AI508" s="255"/>
      <c r="AJ508" s="180"/>
      <c r="AK508" s="193"/>
      <c r="AL508" s="193"/>
      <c r="AM508" s="193"/>
      <c r="AN508" s="510">
        <f>SUM(AN500:AN506)</f>
        <v>27638.865499999996</v>
      </c>
      <c r="AO508" s="193"/>
      <c r="AP508" s="193"/>
      <c r="AQ508" s="367"/>
      <c r="AR508" s="180"/>
      <c r="AS508" s="180"/>
      <c r="AT508" s="180"/>
      <c r="AU508" s="180"/>
      <c r="AV508" s="180"/>
      <c r="AW508" s="180"/>
    </row>
    <row r="509" spans="1:49" s="4" customFormat="1">
      <c r="A509" s="180"/>
      <c r="B509" s="47" t="s">
        <v>517</v>
      </c>
      <c r="C509" s="441" t="s">
        <v>75</v>
      </c>
      <c r="D509" s="441" t="s">
        <v>246</v>
      </c>
      <c r="E509" s="319">
        <v>8</v>
      </c>
      <c r="F509" s="646"/>
      <c r="H509" s="47">
        <v>0.375</v>
      </c>
      <c r="I509" s="47">
        <v>0.25</v>
      </c>
      <c r="J509" s="319">
        <v>8</v>
      </c>
      <c r="K509" s="646"/>
      <c r="M509" s="441" t="s">
        <v>75</v>
      </c>
      <c r="N509" s="47">
        <v>0.25</v>
      </c>
      <c r="O509" s="319">
        <v>8</v>
      </c>
      <c r="P509" s="646"/>
      <c r="R509" s="1561"/>
      <c r="S509" s="1561"/>
      <c r="T509" s="1561"/>
      <c r="U509" s="646"/>
      <c r="W509" s="1561"/>
      <c r="X509" s="1561"/>
      <c r="Y509" s="1561"/>
      <c r="Z509" s="646"/>
      <c r="AA509" s="328">
        <f t="shared" si="85"/>
        <v>24</v>
      </c>
      <c r="AB509" s="298">
        <f t="shared" si="86"/>
        <v>0</v>
      </c>
      <c r="AD509" s="47"/>
      <c r="AE509" s="47"/>
      <c r="AF509" s="319"/>
      <c r="AG509" s="328">
        <f t="shared" si="87"/>
        <v>0</v>
      </c>
      <c r="AI509" s="255"/>
      <c r="AJ509" s="180"/>
      <c r="AK509" s="193"/>
      <c r="AL509" s="193"/>
      <c r="AM509" s="193"/>
      <c r="AN509" s="193"/>
      <c r="AO509" s="193"/>
      <c r="AP509" s="193"/>
      <c r="AQ509" s="180"/>
      <c r="AR509" s="180"/>
      <c r="AS509" s="180"/>
      <c r="AT509" s="180"/>
      <c r="AU509" s="180"/>
      <c r="AV509" s="180"/>
      <c r="AW509" s="180"/>
    </row>
    <row r="510" spans="1:49" s="4" customFormat="1">
      <c r="A510" s="180"/>
      <c r="B510" s="436" t="s">
        <v>981</v>
      </c>
      <c r="C510" s="441" t="s">
        <v>75</v>
      </c>
      <c r="D510" s="441" t="s">
        <v>246</v>
      </c>
      <c r="E510" s="319">
        <v>8</v>
      </c>
      <c r="F510" s="646"/>
      <c r="H510" s="47">
        <v>0.375</v>
      </c>
      <c r="I510" s="47">
        <v>0.25</v>
      </c>
      <c r="J510" s="319">
        <v>8</v>
      </c>
      <c r="K510" s="646"/>
      <c r="M510" s="47">
        <v>0.33333333333333331</v>
      </c>
      <c r="N510" s="47">
        <v>0.20833333333333334</v>
      </c>
      <c r="O510" s="319">
        <v>8</v>
      </c>
      <c r="P510" s="646"/>
      <c r="R510" s="1561"/>
      <c r="S510" s="1561"/>
      <c r="T510" s="1561"/>
      <c r="U510" s="646"/>
      <c r="W510" s="1561"/>
      <c r="X510" s="1561"/>
      <c r="Y510" s="1561"/>
      <c r="Z510" s="646"/>
      <c r="AA510" s="328">
        <f t="shared" si="85"/>
        <v>24</v>
      </c>
      <c r="AB510" s="298">
        <f t="shared" si="86"/>
        <v>0</v>
      </c>
      <c r="AD510" s="47"/>
      <c r="AE510" s="47"/>
      <c r="AF510" s="319"/>
      <c r="AG510" s="328">
        <f t="shared" si="87"/>
        <v>0</v>
      </c>
      <c r="AI510" s="255"/>
      <c r="AJ510" s="180"/>
      <c r="AK510" s="193"/>
      <c r="AL510" s="193"/>
      <c r="AM510" s="193"/>
      <c r="AN510" s="193"/>
      <c r="AO510" s="193"/>
      <c r="AP510" s="193"/>
      <c r="AQ510" s="180"/>
      <c r="AR510" s="180"/>
      <c r="AS510" s="180"/>
      <c r="AT510" s="180"/>
      <c r="AU510" s="180"/>
      <c r="AV510" s="180"/>
      <c r="AW510" s="180"/>
    </row>
    <row r="511" spans="1:49" s="4" customFormat="1">
      <c r="A511" s="180"/>
      <c r="B511" s="4" t="s">
        <v>976</v>
      </c>
      <c r="C511" s="667" t="s">
        <v>960</v>
      </c>
      <c r="D511" s="565"/>
      <c r="E511" s="319">
        <v>0</v>
      </c>
      <c r="F511" s="646"/>
      <c r="H511" s="441"/>
      <c r="I511" s="47"/>
      <c r="J511" s="319"/>
      <c r="K511" s="646"/>
      <c r="M511" s="441" t="s">
        <v>75</v>
      </c>
      <c r="N511" s="47">
        <v>0.25</v>
      </c>
      <c r="O511" s="319">
        <v>8</v>
      </c>
      <c r="P511" s="646"/>
      <c r="R511" s="1561"/>
      <c r="S511" s="1561"/>
      <c r="T511" s="1561"/>
      <c r="U511" s="646"/>
      <c r="W511" s="1561"/>
      <c r="X511" s="1561"/>
      <c r="Y511" s="1561"/>
      <c r="Z511" s="646"/>
      <c r="AA511" s="328">
        <f t="shared" si="85"/>
        <v>8</v>
      </c>
      <c r="AB511" s="298">
        <f t="shared" si="86"/>
        <v>0</v>
      </c>
      <c r="AD511" s="47"/>
      <c r="AE511" s="47"/>
      <c r="AF511" s="319"/>
      <c r="AG511" s="328">
        <f t="shared" si="87"/>
        <v>0</v>
      </c>
      <c r="AI511" s="255"/>
      <c r="AJ511" s="180"/>
      <c r="AK511" s="193"/>
      <c r="AL511" s="193"/>
      <c r="AM511" s="193"/>
      <c r="AN511" s="193"/>
      <c r="AO511" s="193"/>
      <c r="AP511" s="193"/>
      <c r="AQ511" s="180"/>
      <c r="AR511" s="180"/>
      <c r="AS511" s="180"/>
      <c r="AT511" s="180"/>
      <c r="AU511" s="180"/>
      <c r="AV511" s="180"/>
      <c r="AW511" s="180"/>
    </row>
    <row r="512" spans="1:49" s="4" customFormat="1">
      <c r="A512" s="180"/>
      <c r="B512" s="666" t="s">
        <v>998</v>
      </c>
      <c r="C512" s="441" t="s">
        <v>75</v>
      </c>
      <c r="D512" s="441" t="s">
        <v>246</v>
      </c>
      <c r="E512" s="319">
        <v>8</v>
      </c>
      <c r="F512" s="646"/>
      <c r="H512" s="47">
        <v>0.375</v>
      </c>
      <c r="I512" s="47">
        <v>0.25</v>
      </c>
      <c r="J512" s="319">
        <v>8</v>
      </c>
      <c r="K512" s="646"/>
      <c r="M512" s="441" t="s">
        <v>75</v>
      </c>
      <c r="N512" s="47">
        <v>0.25</v>
      </c>
      <c r="O512" s="319">
        <v>8</v>
      </c>
      <c r="P512" s="646"/>
      <c r="R512" s="1561"/>
      <c r="S512" s="1561"/>
      <c r="T512" s="1561"/>
      <c r="U512" s="646"/>
      <c r="W512" s="1561"/>
      <c r="X512" s="1561"/>
      <c r="Y512" s="1561"/>
      <c r="Z512" s="646"/>
      <c r="AA512" s="328">
        <f t="shared" si="85"/>
        <v>24</v>
      </c>
      <c r="AB512" s="298">
        <f t="shared" si="86"/>
        <v>0</v>
      </c>
      <c r="AD512" s="47"/>
      <c r="AE512" s="47"/>
      <c r="AF512" s="319"/>
      <c r="AG512" s="328">
        <f t="shared" si="87"/>
        <v>0</v>
      </c>
      <c r="AI512" s="255"/>
      <c r="AJ512" s="180"/>
      <c r="AK512" s="193"/>
      <c r="AL512" s="193"/>
      <c r="AM512" s="193"/>
      <c r="AN512" s="193"/>
      <c r="AO512" s="193"/>
      <c r="AP512" s="193"/>
      <c r="AQ512" s="180"/>
      <c r="AR512" s="180"/>
      <c r="AS512" s="180"/>
      <c r="AT512" s="180"/>
      <c r="AU512" s="180"/>
      <c r="AV512" s="180"/>
      <c r="AW512" s="180"/>
    </row>
    <row r="513" spans="1:49" s="4" customFormat="1">
      <c r="A513" s="180"/>
      <c r="B513" s="47" t="s">
        <v>977</v>
      </c>
      <c r="C513" s="667" t="s">
        <v>960</v>
      </c>
      <c r="D513" s="565"/>
      <c r="E513" s="319">
        <v>0</v>
      </c>
      <c r="F513" s="646"/>
      <c r="H513" s="667" t="s">
        <v>960</v>
      </c>
      <c r="I513" s="565"/>
      <c r="J513" s="319">
        <v>0</v>
      </c>
      <c r="K513" s="646"/>
      <c r="M513" s="667" t="s">
        <v>960</v>
      </c>
      <c r="N513" s="565"/>
      <c r="O513" s="319">
        <v>0</v>
      </c>
      <c r="P513" s="646"/>
      <c r="R513" s="1561"/>
      <c r="S513" s="1561"/>
      <c r="T513" s="1561"/>
      <c r="U513" s="646"/>
      <c r="W513" s="1561"/>
      <c r="X513" s="1561"/>
      <c r="Y513" s="1561"/>
      <c r="Z513" s="646"/>
      <c r="AA513" s="328">
        <f t="shared" si="85"/>
        <v>0</v>
      </c>
      <c r="AB513" s="298">
        <f t="shared" si="86"/>
        <v>0</v>
      </c>
      <c r="AD513" s="47"/>
      <c r="AE513" s="47"/>
      <c r="AF513" s="319"/>
      <c r="AG513" s="328">
        <f t="shared" si="87"/>
        <v>0</v>
      </c>
      <c r="AI513" s="255"/>
      <c r="AJ513" s="180"/>
      <c r="AK513" s="193"/>
      <c r="AL513" s="193"/>
      <c r="AM513" s="193"/>
      <c r="AN513" s="193"/>
      <c r="AO513" s="193"/>
      <c r="AP513" s="193"/>
      <c r="AQ513" s="180"/>
      <c r="AR513" s="180"/>
      <c r="AS513" s="180"/>
      <c r="AT513" s="180"/>
      <c r="AU513" s="180"/>
      <c r="AV513" s="180"/>
      <c r="AW513" s="180"/>
    </row>
    <row r="514" spans="1:49" s="4" customFormat="1">
      <c r="A514" s="180"/>
      <c r="B514" s="47" t="s">
        <v>986</v>
      </c>
      <c r="C514" s="643"/>
      <c r="D514" s="519"/>
      <c r="E514" s="520"/>
      <c r="F514" s="647"/>
      <c r="H514" s="519"/>
      <c r="I514" s="519"/>
      <c r="J514" s="520"/>
      <c r="K514" s="647"/>
      <c r="M514" s="519"/>
      <c r="N514" s="519"/>
      <c r="O514" s="520"/>
      <c r="P514" s="647"/>
      <c r="R514" s="1561"/>
      <c r="S514" s="1561"/>
      <c r="T514" s="1561"/>
      <c r="U514" s="646"/>
      <c r="W514" s="1561"/>
      <c r="X514" s="1561"/>
      <c r="Y514" s="1561"/>
      <c r="Z514" s="646"/>
      <c r="AA514" s="328">
        <f t="shared" si="85"/>
        <v>0</v>
      </c>
      <c r="AB514" s="298">
        <f t="shared" si="86"/>
        <v>0</v>
      </c>
      <c r="AD514" s="47"/>
      <c r="AE514" s="47"/>
      <c r="AF514" s="319"/>
      <c r="AG514" s="328">
        <f t="shared" si="87"/>
        <v>0</v>
      </c>
      <c r="AI514" s="255"/>
      <c r="AJ514" s="180"/>
      <c r="AK514" s="193"/>
      <c r="AL514" s="193"/>
      <c r="AM514" s="193"/>
      <c r="AN514" s="193"/>
      <c r="AO514" s="193"/>
      <c r="AP514" s="193"/>
      <c r="AQ514" s="180"/>
      <c r="AR514" s="180"/>
      <c r="AS514" s="180"/>
      <c r="AT514" s="180"/>
      <c r="AU514" s="180"/>
      <c r="AV514" s="180"/>
      <c r="AW514" s="180"/>
    </row>
    <row r="515" spans="1:49" s="4" customFormat="1">
      <c r="A515" s="180"/>
      <c r="B515" s="436" t="s">
        <v>394</v>
      </c>
      <c r="C515" s="47">
        <v>0.375</v>
      </c>
      <c r="D515" s="47">
        <v>0.25</v>
      </c>
      <c r="E515" s="319">
        <v>8</v>
      </c>
      <c r="F515" s="646"/>
      <c r="H515" s="47">
        <v>0.375</v>
      </c>
      <c r="I515" s="47">
        <v>0.25</v>
      </c>
      <c r="J515" s="319">
        <v>8</v>
      </c>
      <c r="K515" s="646"/>
      <c r="M515" s="441" t="s">
        <v>75</v>
      </c>
      <c r="N515" s="47">
        <v>0.25</v>
      </c>
      <c r="O515" s="319">
        <v>8</v>
      </c>
      <c r="P515" s="646"/>
      <c r="R515" s="1561"/>
      <c r="S515" s="1561"/>
      <c r="T515" s="1561"/>
      <c r="U515" s="646"/>
      <c r="W515" s="1561"/>
      <c r="X515" s="1561"/>
      <c r="Y515" s="1561"/>
      <c r="Z515" s="646"/>
      <c r="AA515" s="328">
        <f t="shared" si="85"/>
        <v>24</v>
      </c>
      <c r="AB515" s="298">
        <f t="shared" si="86"/>
        <v>0</v>
      </c>
      <c r="AD515" s="47"/>
      <c r="AE515" s="47"/>
      <c r="AF515" s="319"/>
      <c r="AG515" s="328">
        <f t="shared" si="87"/>
        <v>0</v>
      </c>
      <c r="AI515" s="255"/>
      <c r="AJ515" s="180"/>
      <c r="AK515" s="193"/>
      <c r="AL515" s="193"/>
      <c r="AM515" s="193"/>
      <c r="AN515" s="193"/>
      <c r="AO515" s="193"/>
      <c r="AP515" s="193"/>
      <c r="AQ515" s="180"/>
      <c r="AR515" s="180"/>
      <c r="AS515" s="180"/>
      <c r="AT515" s="180"/>
      <c r="AU515" s="180"/>
      <c r="AV515" s="180"/>
      <c r="AW515" s="180"/>
    </row>
    <row r="516" spans="1:49" s="4" customFormat="1">
      <c r="A516" s="180"/>
      <c r="B516" s="47" t="s">
        <v>519</v>
      </c>
      <c r="C516" s="47">
        <v>0.375</v>
      </c>
      <c r="D516" s="47">
        <v>0.25</v>
      </c>
      <c r="E516" s="319">
        <v>8</v>
      </c>
      <c r="F516" s="646"/>
      <c r="H516" s="47">
        <v>0.375</v>
      </c>
      <c r="I516" s="47">
        <v>0.25</v>
      </c>
      <c r="J516" s="319">
        <v>8</v>
      </c>
      <c r="K516" s="646"/>
      <c r="M516" s="441" t="s">
        <v>75</v>
      </c>
      <c r="N516" s="47">
        <v>0.25</v>
      </c>
      <c r="O516" s="319">
        <v>8</v>
      </c>
      <c r="P516" s="646"/>
      <c r="R516" s="1561"/>
      <c r="S516" s="1561"/>
      <c r="T516" s="1561"/>
      <c r="U516" s="646"/>
      <c r="W516" s="1561"/>
      <c r="X516" s="1561"/>
      <c r="Y516" s="1561"/>
      <c r="Z516" s="646"/>
      <c r="AA516" s="328">
        <f t="shared" si="85"/>
        <v>24</v>
      </c>
      <c r="AB516" s="298">
        <f t="shared" si="86"/>
        <v>0</v>
      </c>
      <c r="AD516" s="47">
        <v>0.375</v>
      </c>
      <c r="AE516" s="47">
        <v>0.20833333333333334</v>
      </c>
      <c r="AF516" s="319">
        <v>8</v>
      </c>
      <c r="AG516" s="328">
        <f t="shared" si="87"/>
        <v>8</v>
      </c>
      <c r="AI516" s="255"/>
      <c r="AJ516" s="180"/>
      <c r="AK516" s="193"/>
      <c r="AL516" s="193"/>
      <c r="AM516" s="193"/>
      <c r="AN516" s="193"/>
      <c r="AO516" s="193"/>
      <c r="AP516" s="193"/>
      <c r="AQ516" s="180"/>
      <c r="AR516" s="180"/>
      <c r="AS516" s="180"/>
      <c r="AT516" s="180"/>
      <c r="AU516" s="180"/>
      <c r="AV516" s="180"/>
      <c r="AW516" s="180"/>
    </row>
    <row r="517" spans="1:49" s="4" customFormat="1">
      <c r="A517" s="180"/>
      <c r="B517" s="532" t="s">
        <v>999</v>
      </c>
      <c r="C517" s="47">
        <v>0.375</v>
      </c>
      <c r="D517" s="47">
        <v>0.25</v>
      </c>
      <c r="E517" s="319">
        <v>8</v>
      </c>
      <c r="F517" s="646"/>
      <c r="H517" s="47">
        <v>0.375</v>
      </c>
      <c r="I517" s="47">
        <v>0.25</v>
      </c>
      <c r="J517" s="319">
        <v>8</v>
      </c>
      <c r="K517" s="646"/>
      <c r="M517" s="441" t="s">
        <v>75</v>
      </c>
      <c r="N517" s="47">
        <v>0.25</v>
      </c>
      <c r="O517" s="319">
        <v>8</v>
      </c>
      <c r="P517" s="646"/>
      <c r="R517" s="1561"/>
      <c r="S517" s="1561"/>
      <c r="T517" s="1561"/>
      <c r="U517" s="646"/>
      <c r="W517" s="1561"/>
      <c r="X517" s="1561"/>
      <c r="Y517" s="1561"/>
      <c r="Z517" s="646"/>
      <c r="AA517" s="328">
        <f t="shared" si="85"/>
        <v>24</v>
      </c>
      <c r="AB517" s="298">
        <f t="shared" si="86"/>
        <v>0</v>
      </c>
      <c r="AD517" s="47"/>
      <c r="AE517" s="47"/>
      <c r="AF517" s="319"/>
      <c r="AG517" s="328">
        <f t="shared" si="87"/>
        <v>0</v>
      </c>
      <c r="AI517" s="255"/>
      <c r="AJ517" s="180"/>
      <c r="AK517" s="193"/>
      <c r="AL517" s="193"/>
      <c r="AM517" s="193"/>
      <c r="AN517" s="193"/>
      <c r="AO517" s="193"/>
      <c r="AP517" s="193"/>
      <c r="AQ517" s="180"/>
      <c r="AR517" s="180"/>
      <c r="AS517" s="180"/>
      <c r="AT517" s="180"/>
      <c r="AU517" s="180"/>
      <c r="AV517" s="180"/>
      <c r="AW517" s="180"/>
    </row>
    <row r="518" spans="1:49" s="4" customFormat="1">
      <c r="A518" s="180"/>
      <c r="B518" s="640" t="s">
        <v>957</v>
      </c>
      <c r="C518" s="643"/>
      <c r="D518" s="519"/>
      <c r="E518" s="520"/>
      <c r="F518" s="647"/>
      <c r="H518" s="519"/>
      <c r="I518" s="519"/>
      <c r="J518" s="520"/>
      <c r="K518" s="647"/>
      <c r="M518" s="519"/>
      <c r="N518" s="519"/>
      <c r="O518" s="520"/>
      <c r="P518" s="647"/>
      <c r="R518" s="1561"/>
      <c r="S518" s="1561"/>
      <c r="T518" s="1561"/>
      <c r="U518" s="646"/>
      <c r="W518" s="1561"/>
      <c r="X518" s="1561"/>
      <c r="Y518" s="1561"/>
      <c r="Z518" s="646"/>
      <c r="AA518" s="328">
        <f t="shared" si="85"/>
        <v>0</v>
      </c>
      <c r="AB518" s="298">
        <f t="shared" si="86"/>
        <v>0</v>
      </c>
      <c r="AD518" s="47"/>
      <c r="AE518" s="47"/>
      <c r="AF518" s="319"/>
      <c r="AG518" s="328">
        <f t="shared" si="87"/>
        <v>0</v>
      </c>
      <c r="AI518" s="255"/>
      <c r="AJ518" s="180"/>
      <c r="AK518" s="193"/>
      <c r="AL518" s="193"/>
      <c r="AM518" s="193"/>
      <c r="AN518" s="193"/>
      <c r="AO518" s="193"/>
      <c r="AP518" s="193"/>
      <c r="AQ518" s="180"/>
      <c r="AR518" s="180"/>
      <c r="AS518" s="180"/>
      <c r="AT518" s="180"/>
      <c r="AU518" s="180"/>
      <c r="AV518" s="180"/>
      <c r="AW518" s="180"/>
    </row>
    <row r="519" spans="1:49" s="4" customFormat="1">
      <c r="A519" s="180"/>
      <c r="B519" s="640" t="s">
        <v>390</v>
      </c>
      <c r="C519" s="643"/>
      <c r="D519" s="519"/>
      <c r="E519" s="520"/>
      <c r="F519" s="647"/>
      <c r="H519" s="519"/>
      <c r="I519" s="519"/>
      <c r="J519" s="520"/>
      <c r="K519" s="647"/>
      <c r="M519" s="519"/>
      <c r="N519" s="519"/>
      <c r="O519" s="520"/>
      <c r="P519" s="647"/>
      <c r="R519" s="1561"/>
      <c r="S519" s="1561"/>
      <c r="T519" s="1561"/>
      <c r="U519" s="646"/>
      <c r="W519" s="1561"/>
      <c r="X519" s="1561"/>
      <c r="Y519" s="1561"/>
      <c r="Z519" s="646"/>
      <c r="AA519" s="328">
        <f t="shared" si="85"/>
        <v>0</v>
      </c>
      <c r="AB519" s="298">
        <f t="shared" si="86"/>
        <v>0</v>
      </c>
      <c r="AD519" s="47"/>
      <c r="AE519" s="47"/>
      <c r="AF519" s="319"/>
      <c r="AG519" s="328">
        <f t="shared" si="87"/>
        <v>0</v>
      </c>
      <c r="AI519" s="255"/>
      <c r="AJ519" s="180"/>
      <c r="AK519" s="193"/>
      <c r="AL519" s="193"/>
      <c r="AM519" s="193"/>
      <c r="AN519" s="510"/>
      <c r="AO519" s="193"/>
      <c r="AP519" s="193"/>
      <c r="AQ519" s="367"/>
      <c r="AR519" s="180"/>
      <c r="AS519" s="180"/>
      <c r="AT519" s="180"/>
      <c r="AU519" s="180"/>
      <c r="AV519" s="180"/>
      <c r="AW519" s="180"/>
    </row>
    <row r="520" spans="1:49" s="4" customFormat="1">
      <c r="A520" s="180"/>
      <c r="B520" s="639" t="s">
        <v>975</v>
      </c>
      <c r="C520" s="643"/>
      <c r="D520" s="519"/>
      <c r="E520" s="520"/>
      <c r="F520" s="647"/>
      <c r="H520" s="519"/>
      <c r="I520" s="519"/>
      <c r="J520" s="520"/>
      <c r="K520" s="647"/>
      <c r="M520" s="519"/>
      <c r="N520" s="519"/>
      <c r="O520" s="520"/>
      <c r="P520" s="647"/>
      <c r="R520" s="1561"/>
      <c r="S520" s="1561"/>
      <c r="T520" s="1561"/>
      <c r="U520" s="646"/>
      <c r="W520" s="1561"/>
      <c r="X520" s="1561"/>
      <c r="Y520" s="1561"/>
      <c r="Z520" s="646"/>
      <c r="AA520" s="328">
        <f t="shared" si="85"/>
        <v>0</v>
      </c>
      <c r="AB520" s="298">
        <f t="shared" si="86"/>
        <v>0</v>
      </c>
      <c r="AD520" s="47"/>
      <c r="AE520" s="47"/>
      <c r="AF520" s="319"/>
      <c r="AG520" s="328">
        <f t="shared" si="87"/>
        <v>0</v>
      </c>
      <c r="AI520" s="255"/>
      <c r="AJ520" s="180"/>
      <c r="AK520" s="193"/>
      <c r="AL520" s="193"/>
      <c r="AM520" s="193"/>
      <c r="AN520" s="193"/>
      <c r="AO520" s="193"/>
      <c r="AP520" s="193"/>
      <c r="AQ520" s="367"/>
      <c r="AR520" s="180"/>
      <c r="AS520" s="180"/>
      <c r="AT520" s="180"/>
      <c r="AU520" s="180"/>
      <c r="AV520" s="180"/>
      <c r="AW520" s="180"/>
    </row>
    <row r="521" spans="1:49" s="4" customFormat="1">
      <c r="A521" s="180"/>
      <c r="B521" s="639" t="s">
        <v>533</v>
      </c>
      <c r="C521" s="643"/>
      <c r="D521" s="519"/>
      <c r="E521" s="520"/>
      <c r="F521" s="647"/>
      <c r="H521" s="519"/>
      <c r="I521" s="519"/>
      <c r="J521" s="520"/>
      <c r="K521" s="647"/>
      <c r="M521" s="519"/>
      <c r="N521" s="519"/>
      <c r="O521" s="520"/>
      <c r="P521" s="647"/>
      <c r="R521" s="1561"/>
      <c r="S521" s="1561"/>
      <c r="T521" s="1561"/>
      <c r="U521" s="646"/>
      <c r="W521" s="1561"/>
      <c r="X521" s="1561"/>
      <c r="Y521" s="1561"/>
      <c r="Z521" s="646"/>
      <c r="AA521" s="328">
        <f t="shared" si="85"/>
        <v>0</v>
      </c>
      <c r="AB521" s="298">
        <f t="shared" si="86"/>
        <v>0</v>
      </c>
      <c r="AD521" s="47"/>
      <c r="AE521" s="47"/>
      <c r="AF521" s="319"/>
      <c r="AG521" s="328">
        <f t="shared" si="87"/>
        <v>0</v>
      </c>
      <c r="AI521" s="255"/>
      <c r="AJ521" s="180"/>
      <c r="AK521" s="193"/>
      <c r="AL521" s="193"/>
      <c r="AM521" s="193"/>
      <c r="AN521" s="193"/>
      <c r="AO521" s="193"/>
      <c r="AP521" s="193"/>
      <c r="AQ521" s="180"/>
      <c r="AR521" s="180"/>
      <c r="AS521" s="180"/>
      <c r="AT521" s="180"/>
      <c r="AU521" s="180"/>
      <c r="AV521" s="180"/>
      <c r="AW521" s="180"/>
    </row>
    <row r="522" spans="1:49" s="4" customFormat="1">
      <c r="A522" s="180"/>
      <c r="B522" s="502" t="s">
        <v>483</v>
      </c>
      <c r="C522" s="5"/>
      <c r="D522" s="5"/>
      <c r="E522" s="319"/>
      <c r="F522" s="646"/>
      <c r="H522" s="5"/>
      <c r="I522" s="5"/>
      <c r="J522" s="319"/>
      <c r="K522" s="646"/>
      <c r="M522" s="5"/>
      <c r="N522" s="5"/>
      <c r="O522" s="319"/>
      <c r="P522" s="646"/>
      <c r="R522" s="1561"/>
      <c r="S522" s="1561"/>
      <c r="T522" s="1561"/>
      <c r="U522" s="646"/>
      <c r="W522" s="1561"/>
      <c r="X522" s="1561"/>
      <c r="Y522" s="1561"/>
      <c r="Z522" s="646"/>
      <c r="AA522" s="328">
        <f t="shared" si="85"/>
        <v>0</v>
      </c>
      <c r="AB522" s="298">
        <f t="shared" si="86"/>
        <v>0</v>
      </c>
      <c r="AD522" s="47"/>
      <c r="AE522" s="47"/>
      <c r="AF522" s="319"/>
      <c r="AG522" s="328">
        <f t="shared" si="87"/>
        <v>0</v>
      </c>
      <c r="AI522" s="255"/>
      <c r="AJ522" s="180"/>
      <c r="AK522" s="193"/>
      <c r="AL522" s="193"/>
      <c r="AM522" s="193"/>
      <c r="AN522" s="193"/>
      <c r="AO522" s="193"/>
      <c r="AP522" s="193"/>
      <c r="AQ522" s="180"/>
      <c r="AR522" s="180"/>
      <c r="AS522" s="180"/>
      <c r="AT522" s="180"/>
      <c r="AU522" s="180"/>
      <c r="AV522" s="180"/>
      <c r="AW522" s="180"/>
    </row>
    <row r="523" spans="1:49" s="4" customFormat="1">
      <c r="A523" s="180"/>
      <c r="B523" s="502" t="s">
        <v>483</v>
      </c>
      <c r="C523" s="47"/>
      <c r="D523" s="47"/>
      <c r="E523" s="319">
        <v>8</v>
      </c>
      <c r="F523" s="646"/>
      <c r="H523" s="47"/>
      <c r="I523" s="47"/>
      <c r="J523" s="319">
        <v>8</v>
      </c>
      <c r="K523" s="646"/>
      <c r="M523" s="47"/>
      <c r="N523" s="47"/>
      <c r="O523" s="319">
        <v>8</v>
      </c>
      <c r="P523" s="646"/>
      <c r="R523" s="1561"/>
      <c r="S523" s="1561"/>
      <c r="T523" s="1561"/>
      <c r="U523" s="646"/>
      <c r="W523" s="673"/>
      <c r="X523" s="673"/>
      <c r="Y523" s="319">
        <v>6</v>
      </c>
      <c r="Z523" s="646"/>
      <c r="AA523" s="328">
        <f t="shared" si="85"/>
        <v>30</v>
      </c>
      <c r="AB523" s="298">
        <f t="shared" si="86"/>
        <v>0</v>
      </c>
      <c r="AD523" s="47"/>
      <c r="AE523" s="47"/>
      <c r="AF523" s="319"/>
      <c r="AG523" s="328">
        <f t="shared" si="87"/>
        <v>0</v>
      </c>
      <c r="AI523" s="255"/>
      <c r="AJ523" s="180"/>
      <c r="AK523" s="193"/>
      <c r="AL523" s="193"/>
      <c r="AM523" s="193"/>
      <c r="AN523" s="193"/>
      <c r="AO523" s="193"/>
      <c r="AP523" s="193"/>
      <c r="AQ523" s="180"/>
      <c r="AR523" s="180"/>
      <c r="AS523" s="180"/>
      <c r="AT523" s="180"/>
      <c r="AU523" s="180"/>
      <c r="AV523" s="180"/>
      <c r="AW523" s="180"/>
    </row>
    <row r="524" spans="1:49" s="4" customFormat="1">
      <c r="A524" s="180"/>
      <c r="B524" s="502" t="s">
        <v>484</v>
      </c>
      <c r="C524" s="47"/>
      <c r="D524" s="47"/>
      <c r="E524" s="319">
        <v>8</v>
      </c>
      <c r="F524" s="646"/>
      <c r="H524" s="47"/>
      <c r="I524" s="47"/>
      <c r="J524" s="319">
        <v>4</v>
      </c>
      <c r="K524" s="646"/>
      <c r="M524" s="47"/>
      <c r="N524" s="47"/>
      <c r="O524" s="319">
        <v>8</v>
      </c>
      <c r="P524" s="646"/>
      <c r="R524" s="1561"/>
      <c r="S524" s="1561"/>
      <c r="T524" s="1561"/>
      <c r="U524" s="646"/>
      <c r="W524" s="673"/>
      <c r="X524" s="673"/>
      <c r="Y524" s="319">
        <v>6</v>
      </c>
      <c r="Z524" s="646"/>
      <c r="AA524" s="328">
        <f t="shared" si="85"/>
        <v>26</v>
      </c>
      <c r="AB524" s="298">
        <f t="shared" si="86"/>
        <v>0</v>
      </c>
      <c r="AD524" s="47"/>
      <c r="AE524" s="47"/>
      <c r="AF524" s="319"/>
      <c r="AG524" s="328">
        <f t="shared" si="87"/>
        <v>0</v>
      </c>
      <c r="AI524" s="255"/>
      <c r="AJ524" s="180"/>
      <c r="AK524" s="193"/>
      <c r="AL524" s="193"/>
      <c r="AM524" s="193"/>
      <c r="AN524" s="193"/>
      <c r="AO524" s="193"/>
      <c r="AP524" s="193"/>
      <c r="AQ524" s="180"/>
      <c r="AR524" s="180"/>
      <c r="AS524" s="180"/>
      <c r="AT524" s="180"/>
      <c r="AU524" s="180"/>
      <c r="AV524" s="180"/>
      <c r="AW524" s="180"/>
    </row>
    <row r="525" spans="1:49" s="4" customFormat="1">
      <c r="A525" s="180"/>
      <c r="B525" s="502" t="s">
        <v>485</v>
      </c>
      <c r="C525" s="47"/>
      <c r="D525" s="47"/>
      <c r="E525" s="319">
        <v>8</v>
      </c>
      <c r="F525" s="646"/>
      <c r="H525" s="47"/>
      <c r="I525" s="47"/>
      <c r="J525" s="319">
        <v>8</v>
      </c>
      <c r="K525" s="646"/>
      <c r="M525" s="47"/>
      <c r="N525" s="47"/>
      <c r="O525" s="319">
        <v>8</v>
      </c>
      <c r="P525" s="646"/>
      <c r="R525" s="1561"/>
      <c r="S525" s="1561"/>
      <c r="T525" s="1561"/>
      <c r="U525" s="646"/>
      <c r="W525" s="673"/>
      <c r="X525" s="673"/>
      <c r="Y525" s="319">
        <v>6</v>
      </c>
      <c r="Z525" s="646"/>
      <c r="AA525" s="328">
        <f t="shared" si="85"/>
        <v>30</v>
      </c>
      <c r="AB525" s="298">
        <f t="shared" si="86"/>
        <v>0</v>
      </c>
      <c r="AD525" s="47"/>
      <c r="AE525" s="47"/>
      <c r="AF525" s="319"/>
      <c r="AG525" s="328">
        <f t="shared" si="87"/>
        <v>0</v>
      </c>
      <c r="AI525" s="255"/>
      <c r="AJ525" s="180"/>
      <c r="AK525" s="193"/>
      <c r="AL525" s="193"/>
      <c r="AM525" s="193"/>
      <c r="AN525" s="193"/>
      <c r="AO525" s="193"/>
      <c r="AP525" s="193"/>
      <c r="AQ525" s="180"/>
      <c r="AR525" s="180"/>
      <c r="AS525" s="180"/>
      <c r="AT525" s="180"/>
      <c r="AU525" s="180"/>
      <c r="AV525" s="180"/>
      <c r="AW525" s="180"/>
    </row>
    <row r="526" spans="1:49" s="4" customFormat="1">
      <c r="A526" s="180"/>
      <c r="B526" s="502" t="s">
        <v>486</v>
      </c>
      <c r="C526" s="5"/>
      <c r="D526" s="5"/>
      <c r="E526" s="319"/>
      <c r="F526" s="646"/>
      <c r="H526" s="5"/>
      <c r="I526" s="5"/>
      <c r="J526" s="319"/>
      <c r="K526" s="646"/>
      <c r="M526" s="5"/>
      <c r="N526" s="5"/>
      <c r="O526" s="319"/>
      <c r="P526" s="646"/>
      <c r="R526" s="1561"/>
      <c r="S526" s="1561"/>
      <c r="T526" s="1561"/>
      <c r="U526" s="646"/>
      <c r="W526" s="673"/>
      <c r="X526" s="673"/>
      <c r="Y526" s="673"/>
      <c r="Z526" s="646"/>
      <c r="AA526" s="328">
        <f t="shared" si="85"/>
        <v>0</v>
      </c>
      <c r="AB526" s="298">
        <f t="shared" si="86"/>
        <v>0</v>
      </c>
      <c r="AD526" s="47"/>
      <c r="AE526" s="47"/>
      <c r="AF526" s="319"/>
      <c r="AG526" s="328">
        <f t="shared" si="87"/>
        <v>0</v>
      </c>
      <c r="AI526" s="255"/>
      <c r="AJ526" s="180"/>
      <c r="AK526" s="193"/>
      <c r="AL526" s="193"/>
      <c r="AM526" s="193"/>
      <c r="AN526" s="193"/>
      <c r="AO526" s="193"/>
      <c r="AP526" s="193"/>
      <c r="AQ526" s="180"/>
      <c r="AR526" s="180"/>
      <c r="AS526" s="180"/>
      <c r="AT526" s="180"/>
      <c r="AU526" s="180"/>
      <c r="AV526" s="180"/>
      <c r="AW526" s="180"/>
    </row>
    <row r="527" spans="1:49" s="4" customFormat="1">
      <c r="A527" s="180"/>
      <c r="B527" s="63" t="s">
        <v>63</v>
      </c>
      <c r="C527" s="663"/>
      <c r="D527" s="663"/>
      <c r="E527" s="319">
        <v>8</v>
      </c>
      <c r="F527" s="646">
        <v>1</v>
      </c>
      <c r="H527" s="663"/>
      <c r="I527" s="663"/>
      <c r="J527" s="319">
        <v>8</v>
      </c>
      <c r="K527" s="646"/>
      <c r="M527" s="47"/>
      <c r="N527" s="47"/>
      <c r="O527" s="319">
        <v>8</v>
      </c>
      <c r="P527" s="646"/>
      <c r="R527" s="1561"/>
      <c r="S527" s="1561"/>
      <c r="T527" s="1561"/>
      <c r="U527" s="646"/>
      <c r="W527" s="673"/>
      <c r="X527" s="673"/>
      <c r="Y527" s="673"/>
      <c r="Z527" s="646"/>
      <c r="AA527" s="328">
        <f t="shared" si="85"/>
        <v>24</v>
      </c>
      <c r="AB527" s="298">
        <f t="shared" si="86"/>
        <v>1</v>
      </c>
      <c r="AD527" s="47"/>
      <c r="AE527" s="47"/>
      <c r="AF527" s="319"/>
      <c r="AG527" s="328">
        <f t="shared" si="87"/>
        <v>0</v>
      </c>
      <c r="AI527" s="255"/>
      <c r="AJ527" s="180"/>
      <c r="AK527" s="193"/>
      <c r="AL527" s="193"/>
      <c r="AM527" s="193"/>
      <c r="AN527" s="193"/>
      <c r="AO527" s="193"/>
      <c r="AP527" s="193"/>
      <c r="AQ527" s="180"/>
      <c r="AR527" s="180"/>
      <c r="AS527" s="180"/>
      <c r="AT527" s="180"/>
      <c r="AU527" s="180"/>
      <c r="AV527" s="180"/>
      <c r="AW527" s="180"/>
    </row>
    <row r="528" spans="1:49" s="4" customFormat="1">
      <c r="A528" s="180"/>
      <c r="B528" s="267" t="s">
        <v>358</v>
      </c>
      <c r="C528" s="663"/>
      <c r="D528" s="663"/>
      <c r="E528" s="319">
        <v>6</v>
      </c>
      <c r="F528" s="646"/>
      <c r="G528" s="438"/>
      <c r="H528" s="663"/>
      <c r="I528" s="663"/>
      <c r="J528" s="319">
        <v>6</v>
      </c>
      <c r="K528" s="646"/>
      <c r="L528" s="438"/>
      <c r="M528" s="663"/>
      <c r="N528" s="663"/>
      <c r="O528" s="319">
        <v>6</v>
      </c>
      <c r="P528" s="646"/>
      <c r="Q528" s="438"/>
      <c r="R528" s="1561"/>
      <c r="S528" s="1561"/>
      <c r="T528" s="1561"/>
      <c r="U528" s="646"/>
      <c r="V528" s="438"/>
      <c r="W528" s="673"/>
      <c r="X528" s="673"/>
      <c r="Y528" s="319">
        <v>6</v>
      </c>
      <c r="Z528" s="646"/>
      <c r="AA528" s="328">
        <f t="shared" si="85"/>
        <v>24</v>
      </c>
      <c r="AB528" s="298">
        <f t="shared" si="86"/>
        <v>0</v>
      </c>
      <c r="AD528" s="47"/>
      <c r="AE528" s="47"/>
      <c r="AF528" s="319"/>
      <c r="AG528" s="328">
        <f t="shared" si="87"/>
        <v>0</v>
      </c>
      <c r="AI528" s="255"/>
      <c r="AJ528" s="180"/>
      <c r="AK528" s="193"/>
      <c r="AL528" s="193"/>
      <c r="AM528" s="193"/>
      <c r="AN528" s="193"/>
      <c r="AO528" s="193"/>
      <c r="AP528" s="193"/>
      <c r="AQ528" s="180"/>
      <c r="AR528" s="180"/>
      <c r="AS528" s="180"/>
      <c r="AT528" s="180"/>
      <c r="AU528" s="180"/>
      <c r="AV528" s="180"/>
      <c r="AW528" s="180"/>
    </row>
    <row r="529" spans="1:49" s="193" customFormat="1">
      <c r="A529" s="180"/>
      <c r="B529" s="267" t="s">
        <v>991</v>
      </c>
      <c r="C529" s="5"/>
      <c r="D529" s="5"/>
      <c r="E529" s="319"/>
      <c r="F529" s="646"/>
      <c r="G529" s="438"/>
      <c r="H529" s="5"/>
      <c r="I529" s="5"/>
      <c r="J529" s="319"/>
      <c r="K529" s="646"/>
      <c r="L529" s="438"/>
      <c r="M529" s="5"/>
      <c r="N529" s="5"/>
      <c r="O529" s="319"/>
      <c r="P529" s="646"/>
      <c r="Q529" s="438"/>
      <c r="R529" s="1561"/>
      <c r="S529" s="1561"/>
      <c r="T529" s="1561"/>
      <c r="U529" s="646"/>
      <c r="V529" s="438"/>
      <c r="W529" s="673"/>
      <c r="X529" s="673"/>
      <c r="Y529" s="673"/>
      <c r="Z529" s="646"/>
      <c r="AA529" s="328">
        <f t="shared" si="85"/>
        <v>0</v>
      </c>
      <c r="AB529" s="298">
        <f t="shared" si="86"/>
        <v>0</v>
      </c>
      <c r="AC529" s="4"/>
      <c r="AD529" s="47"/>
      <c r="AE529" s="47"/>
      <c r="AF529" s="319"/>
      <c r="AG529" s="328">
        <f t="shared" si="87"/>
        <v>0</v>
      </c>
      <c r="AH529" s="4"/>
      <c r="AI529" s="255"/>
      <c r="AJ529" s="180"/>
      <c r="AQ529" s="180"/>
      <c r="AR529" s="180"/>
      <c r="AS529" s="180"/>
      <c r="AT529" s="180"/>
      <c r="AU529" s="180"/>
      <c r="AV529" s="180"/>
      <c r="AW529" s="180"/>
    </row>
    <row r="530" spans="1:49" s="193" customFormat="1">
      <c r="A530" s="180"/>
      <c r="B530" s="267" t="s">
        <v>411</v>
      </c>
      <c r="C530" s="5"/>
      <c r="D530" s="5"/>
      <c r="E530" s="319"/>
      <c r="F530" s="646"/>
      <c r="G530" s="438"/>
      <c r="H530" s="5"/>
      <c r="I530" s="5"/>
      <c r="J530" s="319"/>
      <c r="K530" s="646"/>
      <c r="L530" s="438"/>
      <c r="M530" s="5"/>
      <c r="N530" s="5"/>
      <c r="O530" s="319"/>
      <c r="P530" s="646"/>
      <c r="Q530" s="438"/>
      <c r="R530" s="1561"/>
      <c r="S530" s="1561"/>
      <c r="T530" s="1561"/>
      <c r="U530" s="646"/>
      <c r="V530" s="438"/>
      <c r="W530" s="673"/>
      <c r="X530" s="673"/>
      <c r="Y530" s="673"/>
      <c r="Z530" s="646"/>
      <c r="AA530" s="328">
        <f t="shared" si="85"/>
        <v>0</v>
      </c>
      <c r="AB530" s="298">
        <f t="shared" si="86"/>
        <v>0</v>
      </c>
      <c r="AC530" s="4"/>
      <c r="AD530" s="47"/>
      <c r="AE530" s="47"/>
      <c r="AF530" s="319"/>
      <c r="AG530" s="328">
        <f t="shared" si="87"/>
        <v>0</v>
      </c>
      <c r="AH530" s="4"/>
      <c r="AI530" s="255"/>
      <c r="AJ530" s="180"/>
      <c r="AQ530" s="180"/>
      <c r="AR530" s="180"/>
      <c r="AS530" s="180"/>
      <c r="AT530" s="180"/>
      <c r="AU530" s="180"/>
      <c r="AV530" s="180"/>
      <c r="AW530" s="180"/>
    </row>
    <row r="531" spans="1:49" s="193" customFormat="1">
      <c r="A531" s="180"/>
      <c r="B531" s="267" t="s">
        <v>361</v>
      </c>
      <c r="C531" s="5"/>
      <c r="D531" s="5"/>
      <c r="E531" s="319"/>
      <c r="F531" s="646"/>
      <c r="G531" s="438"/>
      <c r="H531" s="5"/>
      <c r="I531" s="5"/>
      <c r="J531" s="319"/>
      <c r="K531" s="646"/>
      <c r="L531" s="438"/>
      <c r="M531" s="5"/>
      <c r="N531" s="5"/>
      <c r="O531" s="319"/>
      <c r="P531" s="646"/>
      <c r="Q531" s="438"/>
      <c r="R531" s="1561"/>
      <c r="S531" s="1561"/>
      <c r="T531" s="1561"/>
      <c r="U531" s="646"/>
      <c r="V531" s="438"/>
      <c r="W531" s="673"/>
      <c r="X531" s="673"/>
      <c r="Y531" s="673"/>
      <c r="Z531" s="646"/>
      <c r="AA531" s="328">
        <f t="shared" si="85"/>
        <v>0</v>
      </c>
      <c r="AB531" s="298">
        <f t="shared" si="86"/>
        <v>0</v>
      </c>
      <c r="AC531" s="4"/>
      <c r="AD531" s="47"/>
      <c r="AE531" s="47"/>
      <c r="AF531" s="319"/>
      <c r="AG531" s="328">
        <f t="shared" si="87"/>
        <v>0</v>
      </c>
      <c r="AH531" s="4"/>
      <c r="AI531" s="255"/>
      <c r="AJ531" s="180"/>
      <c r="AQ531" s="180"/>
      <c r="AR531" s="180"/>
      <c r="AS531" s="180"/>
      <c r="AT531" s="180"/>
      <c r="AU531" s="180"/>
      <c r="AV531" s="180"/>
      <c r="AW531" s="180"/>
    </row>
    <row r="532" spans="1:49" s="193" customFormat="1">
      <c r="A532" s="180"/>
      <c r="B532" s="267" t="s">
        <v>362</v>
      </c>
      <c r="C532" s="47"/>
      <c r="D532" s="47"/>
      <c r="E532" s="319">
        <v>2</v>
      </c>
      <c r="F532" s="646"/>
      <c r="G532" s="438"/>
      <c r="H532" s="47"/>
      <c r="I532" s="47"/>
      <c r="J532" s="319">
        <v>2</v>
      </c>
      <c r="K532" s="646"/>
      <c r="L532" s="438"/>
      <c r="M532" s="47"/>
      <c r="N532" s="47"/>
      <c r="O532" s="319">
        <v>2</v>
      </c>
      <c r="P532" s="646"/>
      <c r="Q532" s="438"/>
      <c r="R532" s="1561"/>
      <c r="S532" s="1561"/>
      <c r="T532" s="1561"/>
      <c r="U532" s="646"/>
      <c r="V532" s="438"/>
      <c r="W532" s="673"/>
      <c r="X532" s="673"/>
      <c r="Y532" s="319">
        <v>2</v>
      </c>
      <c r="Z532" s="646"/>
      <c r="AA532" s="328">
        <f t="shared" si="85"/>
        <v>8</v>
      </c>
      <c r="AB532" s="298">
        <f t="shared" si="86"/>
        <v>0</v>
      </c>
      <c r="AC532" s="4"/>
      <c r="AD532" s="47"/>
      <c r="AE532" s="47"/>
      <c r="AF532" s="319"/>
      <c r="AG532" s="328">
        <f t="shared" si="87"/>
        <v>0</v>
      </c>
      <c r="AH532" s="4"/>
      <c r="AI532" s="255"/>
      <c r="AJ532" s="180"/>
      <c r="AQ532" s="180"/>
      <c r="AR532" s="180"/>
      <c r="AS532" s="180"/>
      <c r="AT532" s="180"/>
      <c r="AU532" s="180"/>
      <c r="AV532" s="180"/>
      <c r="AW532" s="180"/>
    </row>
    <row r="533" spans="1:49" s="193" customFormat="1">
      <c r="A533" s="180"/>
      <c r="B533" s="437" t="s">
        <v>355</v>
      </c>
      <c r="C533" s="5"/>
      <c r="D533" s="5"/>
      <c r="E533" s="319">
        <v>7.7</v>
      </c>
      <c r="F533" s="646"/>
      <c r="G533" s="438"/>
      <c r="H533" s="5"/>
      <c r="I533" s="5"/>
      <c r="J533" s="319">
        <v>7.7</v>
      </c>
      <c r="K533" s="646"/>
      <c r="L533" s="438"/>
      <c r="M533" s="5"/>
      <c r="N533" s="5"/>
      <c r="O533" s="319">
        <v>7.7</v>
      </c>
      <c r="P533" s="646"/>
      <c r="Q533" s="438"/>
      <c r="R533" s="1561"/>
      <c r="S533" s="1561"/>
      <c r="T533" s="1561"/>
      <c r="U533" s="646"/>
      <c r="V533" s="438"/>
      <c r="W533" s="673"/>
      <c r="X533" s="673"/>
      <c r="Y533" s="319">
        <v>7.7</v>
      </c>
      <c r="Z533" s="646"/>
      <c r="AA533" s="328">
        <f t="shared" si="85"/>
        <v>30.8</v>
      </c>
      <c r="AB533" s="298">
        <f t="shared" si="86"/>
        <v>0</v>
      </c>
      <c r="AC533" s="4"/>
      <c r="AD533" s="47"/>
      <c r="AE533" s="47"/>
      <c r="AF533" s="319"/>
      <c r="AG533" s="328">
        <f t="shared" si="87"/>
        <v>0</v>
      </c>
      <c r="AH533" s="4"/>
      <c r="AI533" s="255"/>
      <c r="AJ533" s="180"/>
      <c r="AQ533" s="180"/>
      <c r="AR533" s="180"/>
      <c r="AS533" s="180"/>
      <c r="AT533" s="180"/>
      <c r="AU533" s="180"/>
      <c r="AV533" s="180"/>
      <c r="AW533" s="180"/>
    </row>
    <row r="534" spans="1:49" s="193" customFormat="1">
      <c r="A534" s="180"/>
      <c r="B534" s="437" t="s">
        <v>356</v>
      </c>
      <c r="C534" s="5"/>
      <c r="D534" s="5"/>
      <c r="E534" s="319">
        <v>15.4</v>
      </c>
      <c r="F534" s="646"/>
      <c r="G534" s="438"/>
      <c r="H534" s="5"/>
      <c r="I534" s="5"/>
      <c r="J534" s="319">
        <v>29.9</v>
      </c>
      <c r="K534" s="646"/>
      <c r="L534" s="438"/>
      <c r="M534" s="5"/>
      <c r="N534" s="5"/>
      <c r="O534" s="319">
        <v>23.6</v>
      </c>
      <c r="P534" s="646"/>
      <c r="Q534" s="438"/>
      <c r="R534" s="1561"/>
      <c r="S534" s="1561"/>
      <c r="T534" s="1561"/>
      <c r="U534" s="646"/>
      <c r="V534" s="438"/>
      <c r="W534" s="673"/>
      <c r="X534" s="673"/>
      <c r="Y534" s="673"/>
      <c r="Z534" s="646"/>
      <c r="AA534" s="328">
        <f t="shared" si="85"/>
        <v>68.900000000000006</v>
      </c>
      <c r="AB534" s="298">
        <f t="shared" si="86"/>
        <v>0</v>
      </c>
      <c r="AC534" s="4"/>
      <c r="AD534" s="47"/>
      <c r="AE534" s="47"/>
      <c r="AF534" s="319"/>
      <c r="AG534" s="328">
        <f t="shared" si="87"/>
        <v>0</v>
      </c>
      <c r="AH534" s="4"/>
      <c r="AI534" s="255"/>
      <c r="AJ534" s="180"/>
      <c r="AQ534" s="180"/>
      <c r="AR534" s="180"/>
      <c r="AS534" s="180"/>
      <c r="AT534" s="180"/>
      <c r="AU534" s="180"/>
      <c r="AV534" s="180"/>
      <c r="AW534" s="180"/>
    </row>
    <row r="535" spans="1:49" s="193" customFormat="1">
      <c r="A535" s="180"/>
      <c r="B535" s="64" t="s">
        <v>61</v>
      </c>
      <c r="C535" s="31"/>
      <c r="D535" s="31"/>
      <c r="E535" s="439">
        <f>SUM(E501:E534)</f>
        <v>175.1</v>
      </c>
      <c r="F535" s="646">
        <f>SUM(F501:F534)</f>
        <v>1</v>
      </c>
      <c r="G535" s="31"/>
      <c r="H535" s="31"/>
      <c r="I535" s="31"/>
      <c r="J535" s="439">
        <f>SUM(J501:J534)</f>
        <v>185.6</v>
      </c>
      <c r="K535" s="646">
        <f>SUM(K501:K534)</f>
        <v>0</v>
      </c>
      <c r="L535" s="31"/>
      <c r="M535" s="31"/>
      <c r="N535" s="31"/>
      <c r="O535" s="439">
        <f>SUM(O501:O534)</f>
        <v>191.29999999999998</v>
      </c>
      <c r="P535" s="646">
        <f>SUM(P501:P534)</f>
        <v>1</v>
      </c>
      <c r="Q535" s="31"/>
      <c r="R535" s="31"/>
      <c r="S535" s="31"/>
      <c r="T535" s="439">
        <f>SUM(T501:T534)</f>
        <v>0</v>
      </c>
      <c r="U535" s="646">
        <f>SUM(U501:U534)</f>
        <v>0</v>
      </c>
      <c r="V535" s="31"/>
      <c r="W535" s="31"/>
      <c r="X535" s="31"/>
      <c r="Y535" s="439">
        <f>SUM(Y501:Y534)</f>
        <v>33.700000000000003</v>
      </c>
      <c r="Z535" s="646">
        <f>SUM(Z501:Z534)</f>
        <v>0</v>
      </c>
      <c r="AA535" s="370">
        <f>SUM(AA501:AA534)</f>
        <v>585.69999999999993</v>
      </c>
      <c r="AB535" s="370">
        <f>SUM(AB501:AB534)</f>
        <v>2</v>
      </c>
      <c r="AC535" s="4"/>
      <c r="AD535" s="64"/>
      <c r="AE535" s="64"/>
      <c r="AF535" s="370">
        <f>SUM(AF501:AF534)</f>
        <v>16</v>
      </c>
      <c r="AG535" s="370">
        <f>SUM(AG501:AG534)</f>
        <v>16</v>
      </c>
      <c r="AH535" s="4"/>
      <c r="AI535" s="255"/>
      <c r="AJ535" s="180"/>
      <c r="AK535" s="407"/>
      <c r="AQ535" s="180"/>
      <c r="AR535" s="180"/>
      <c r="AS535" s="180"/>
      <c r="AT535" s="180"/>
      <c r="AU535" s="180"/>
      <c r="AV535" s="180"/>
      <c r="AW535" s="180"/>
    </row>
    <row r="536" spans="1:49" s="193" customFormat="1">
      <c r="A536" s="180"/>
      <c r="B536" s="63" t="s">
        <v>64</v>
      </c>
      <c r="C536" s="47"/>
      <c r="D536" s="47"/>
      <c r="E536" s="319">
        <v>8</v>
      </c>
      <c r="F536" s="346">
        <v>0.25</v>
      </c>
      <c r="G536" s="613"/>
      <c r="H536" s="47"/>
      <c r="I536" s="47"/>
      <c r="J536" s="319">
        <v>8</v>
      </c>
      <c r="K536" s="346">
        <v>0.5</v>
      </c>
      <c r="L536" s="60"/>
      <c r="M536" s="47"/>
      <c r="N536" s="47"/>
      <c r="O536" s="319">
        <v>8</v>
      </c>
      <c r="P536" s="346">
        <v>0.5</v>
      </c>
      <c r="Q536" s="60"/>
      <c r="R536" s="47"/>
      <c r="S536" s="47"/>
      <c r="T536" s="319">
        <v>0</v>
      </c>
      <c r="U536" s="346"/>
      <c r="V536" s="60"/>
      <c r="W536" s="47"/>
      <c r="X536" s="47"/>
      <c r="Y536" s="319">
        <v>0</v>
      </c>
      <c r="Z536" s="346"/>
      <c r="AA536" s="28">
        <f>SUM(E536+J536+O536+T536+Y536)</f>
        <v>24</v>
      </c>
      <c r="AB536" s="296">
        <f>Z536+U536+P536+K536+F536</f>
        <v>1.25</v>
      </c>
      <c r="AC536" s="4"/>
      <c r="AD536" s="47" t="s">
        <v>29</v>
      </c>
      <c r="AE536" s="47" t="s">
        <v>29</v>
      </c>
      <c r="AF536" s="319">
        <v>2.5</v>
      </c>
      <c r="AG536" s="29">
        <f>AF536</f>
        <v>2.5</v>
      </c>
      <c r="AH536" s="4"/>
      <c r="AI536" s="255"/>
      <c r="AJ536" s="180"/>
      <c r="AK536" s="407"/>
      <c r="AQ536" s="180"/>
      <c r="AR536" s="180"/>
      <c r="AS536" s="180"/>
      <c r="AT536" s="180"/>
      <c r="AU536" s="180"/>
      <c r="AV536" s="180"/>
      <c r="AW536" s="180"/>
    </row>
    <row r="537" spans="1:49" s="193" customFormat="1">
      <c r="A537" s="180"/>
      <c r="B537" s="71" t="s">
        <v>66</v>
      </c>
      <c r="C537" s="371"/>
      <c r="D537" s="371"/>
      <c r="E537" s="71"/>
      <c r="F537" s="613"/>
      <c r="G537" s="71"/>
      <c r="H537" s="71"/>
      <c r="I537" s="71"/>
      <c r="J537" s="71"/>
      <c r="K537" s="613"/>
      <c r="L537" s="71"/>
      <c r="M537" s="71"/>
      <c r="N537" s="71"/>
      <c r="O537" s="71"/>
      <c r="P537" s="613"/>
      <c r="Q537" s="71"/>
      <c r="R537" s="71"/>
      <c r="S537" s="71"/>
      <c r="T537" s="71"/>
      <c r="U537" s="613"/>
      <c r="V537" s="71"/>
      <c r="W537" s="71"/>
      <c r="X537" s="71"/>
      <c r="Y537" s="71"/>
      <c r="Z537" s="613"/>
      <c r="AA537" s="370">
        <f>SUM(AA536:AA536)</f>
        <v>24</v>
      </c>
      <c r="AB537" s="370">
        <f>SUM(AB536:AB536)</f>
        <v>1.25</v>
      </c>
      <c r="AC537" s="4"/>
      <c r="AD537" s="180"/>
      <c r="AE537" s="180"/>
      <c r="AF537" s="180"/>
      <c r="AG537" s="370">
        <f>SUM(AG536:AG536)</f>
        <v>2.5</v>
      </c>
      <c r="AH537" s="4"/>
      <c r="AI537" s="255"/>
      <c r="AJ537" s="180"/>
      <c r="AK537" s="407"/>
      <c r="AQ537" s="180"/>
      <c r="AR537" s="180"/>
      <c r="AS537" s="180"/>
      <c r="AT537" s="180"/>
      <c r="AU537" s="180"/>
      <c r="AV537" s="180"/>
      <c r="AW537" s="180"/>
    </row>
    <row r="538" spans="1:49" s="193" customFormat="1">
      <c r="A538" s="180"/>
      <c r="B538" s="217" t="s">
        <v>67</v>
      </c>
      <c r="C538" s="207">
        <f>C539+C540</f>
        <v>46</v>
      </c>
      <c r="D538" s="207"/>
      <c r="E538" s="209"/>
      <c r="F538" s="209"/>
      <c r="G538" s="207"/>
      <c r="H538" s="209"/>
      <c r="I538" s="209"/>
      <c r="J538" s="209"/>
      <c r="K538" s="209"/>
      <c r="L538" s="207"/>
      <c r="M538" s="207"/>
      <c r="N538" s="207"/>
      <c r="O538" s="207"/>
      <c r="P538" s="209"/>
      <c r="Q538" s="207"/>
      <c r="R538" s="207"/>
      <c r="S538" s="207"/>
      <c r="T538" s="207"/>
      <c r="U538" s="209"/>
      <c r="V538" s="207"/>
      <c r="W538" s="207"/>
      <c r="X538" s="207"/>
      <c r="Y538" s="210"/>
      <c r="Z538" s="209"/>
      <c r="AA538" s="211"/>
      <c r="AB538" s="209"/>
      <c r="AC538" s="211"/>
      <c r="AD538" s="211"/>
      <c r="AE538" s="211"/>
      <c r="AF538" s="211"/>
      <c r="AG538" s="211"/>
      <c r="AH538" s="4"/>
      <c r="AI538" s="255"/>
      <c r="AJ538" s="180"/>
      <c r="AQ538" s="180"/>
      <c r="AR538" s="180"/>
      <c r="AS538" s="180"/>
      <c r="AT538" s="180"/>
      <c r="AU538" s="180"/>
      <c r="AV538" s="180"/>
      <c r="AW538" s="180"/>
    </row>
    <row r="539" spans="1:49" s="193" customFormat="1">
      <c r="A539" s="180"/>
      <c r="B539" s="238" t="s">
        <v>68</v>
      </c>
      <c r="C539" s="239">
        <f>11+10+15+2</f>
        <v>38</v>
      </c>
      <c r="D539" s="207"/>
      <c r="E539" s="209"/>
      <c r="F539" s="209"/>
      <c r="G539" s="207"/>
      <c r="H539" s="209"/>
      <c r="I539" s="209"/>
      <c r="J539" s="209"/>
      <c r="K539" s="209"/>
      <c r="L539" s="207"/>
      <c r="M539" s="207"/>
      <c r="N539" s="207"/>
      <c r="O539" s="207"/>
      <c r="P539" s="209"/>
      <c r="Q539" s="207"/>
      <c r="R539" s="207"/>
      <c r="S539" s="207"/>
      <c r="T539" s="207"/>
      <c r="U539" s="209"/>
      <c r="V539" s="207"/>
      <c r="W539" s="207"/>
      <c r="X539" s="207"/>
      <c r="Y539" s="210"/>
      <c r="Z539" s="209"/>
      <c r="AA539" s="211"/>
      <c r="AB539" s="209"/>
      <c r="AC539" s="211"/>
      <c r="AD539" s="211"/>
      <c r="AE539" s="211"/>
      <c r="AF539" s="211"/>
      <c r="AG539" s="211"/>
      <c r="AH539" s="4"/>
      <c r="AI539" s="255"/>
      <c r="AJ539" s="180"/>
      <c r="AQ539" s="180"/>
      <c r="AR539" s="180"/>
      <c r="AS539" s="180"/>
      <c r="AT539" s="180"/>
      <c r="AU539" s="180"/>
      <c r="AV539" s="180"/>
      <c r="AW539" s="180"/>
    </row>
    <row r="540" spans="1:49" s="193" customFormat="1">
      <c r="A540" s="180"/>
      <c r="B540" s="238" t="s">
        <v>69</v>
      </c>
      <c r="C540" s="239">
        <f>4+4</f>
        <v>8</v>
      </c>
      <c r="D540" s="207"/>
      <c r="E540" s="209"/>
      <c r="F540" s="209"/>
      <c r="G540" s="207"/>
      <c r="H540" s="209"/>
      <c r="I540" s="209"/>
      <c r="J540" s="209"/>
      <c r="K540" s="209"/>
      <c r="L540" s="207"/>
      <c r="M540" s="207"/>
      <c r="N540" s="207"/>
      <c r="O540" s="207"/>
      <c r="P540" s="209"/>
      <c r="Q540" s="207"/>
      <c r="R540" s="207"/>
      <c r="S540" s="207"/>
      <c r="T540" s="207"/>
      <c r="U540" s="209"/>
      <c r="V540" s="207"/>
      <c r="W540" s="207"/>
      <c r="X540" s="207"/>
      <c r="Y540" s="210"/>
      <c r="Z540" s="209"/>
      <c r="AA540" s="211"/>
      <c r="AB540" s="209"/>
      <c r="AC540" s="211"/>
      <c r="AD540" s="211"/>
      <c r="AE540" s="211"/>
      <c r="AF540" s="211"/>
      <c r="AG540" s="211"/>
      <c r="AH540" s="4"/>
      <c r="AI540" s="255"/>
      <c r="AJ540" s="180"/>
      <c r="AQ540" s="180"/>
      <c r="AR540" s="180"/>
      <c r="AS540" s="180"/>
      <c r="AT540" s="180"/>
      <c r="AU540" s="180"/>
      <c r="AV540" s="180"/>
      <c r="AW540" s="180"/>
    </row>
    <row r="541" spans="1:49" s="180" customFormat="1">
      <c r="A541" s="313"/>
      <c r="E541" s="4"/>
      <c r="F541" s="644"/>
      <c r="G541" s="4"/>
      <c r="J541" s="4"/>
      <c r="K541" s="644"/>
      <c r="L541" s="4"/>
      <c r="O541" s="4"/>
      <c r="P541" s="644"/>
      <c r="Q541" s="4"/>
      <c r="T541" s="4"/>
      <c r="U541" s="644"/>
      <c r="V541" s="4"/>
      <c r="Y541" s="4"/>
      <c r="Z541" s="644"/>
      <c r="AA541" s="4"/>
      <c r="AB541" s="4"/>
      <c r="AC541" s="4"/>
      <c r="AH541" s="4"/>
      <c r="AI541" s="255"/>
      <c r="AK541" s="193"/>
      <c r="AL541" s="193"/>
      <c r="AM541" s="193"/>
      <c r="AN541" s="193"/>
      <c r="AO541" s="193"/>
      <c r="AP541" s="193"/>
    </row>
    <row r="542" spans="1:49">
      <c r="A542" s="180"/>
      <c r="B542" s="229"/>
      <c r="C542" s="230"/>
      <c r="D542" s="230"/>
      <c r="E542" s="232"/>
      <c r="F542" s="232"/>
      <c r="G542" s="230"/>
      <c r="H542" s="232"/>
      <c r="I542" s="232"/>
      <c r="J542" s="232"/>
      <c r="K542" s="232"/>
      <c r="L542" s="230"/>
      <c r="M542" s="230"/>
      <c r="N542" s="230"/>
      <c r="O542" s="230"/>
      <c r="P542" s="232"/>
      <c r="Q542" s="230"/>
      <c r="R542" s="230"/>
      <c r="S542" s="230"/>
      <c r="T542" s="230"/>
      <c r="U542" s="232"/>
      <c r="V542" s="230"/>
      <c r="W542" s="230"/>
      <c r="X542" s="230"/>
      <c r="Y542" s="233"/>
      <c r="Z542" s="232"/>
      <c r="AA542" s="234"/>
      <c r="AB542" s="232"/>
      <c r="AC542" s="373"/>
      <c r="AD542" s="236"/>
      <c r="AE542" s="255"/>
      <c r="AF542" s="255"/>
      <c r="AG542" s="255"/>
      <c r="AH542" s="255"/>
      <c r="AJ542" s="255"/>
      <c r="AK542" s="255"/>
      <c r="AL542" s="255"/>
      <c r="AM542" s="255"/>
      <c r="AN542" s="255"/>
      <c r="AO542" s="255"/>
      <c r="AP542" s="255"/>
      <c r="AQ542" s="255"/>
      <c r="AR542" s="255"/>
      <c r="AS542" s="255"/>
      <c r="AT542" s="255"/>
      <c r="AU542" s="255"/>
      <c r="AV542" s="255"/>
      <c r="AW542" s="255"/>
    </row>
    <row r="543" spans="1:49">
      <c r="B543" s="180"/>
      <c r="E543" s="4"/>
      <c r="F543" s="644"/>
      <c r="G543" s="4"/>
      <c r="J543" s="4"/>
      <c r="K543" s="644"/>
      <c r="L543" s="4"/>
      <c r="O543" s="4"/>
      <c r="P543" s="644"/>
      <c r="T543" s="4"/>
      <c r="U543" s="644"/>
      <c r="Y543" s="4"/>
      <c r="Z543" s="644"/>
      <c r="AA543" s="4"/>
      <c r="AB543" s="4"/>
      <c r="AC543" s="4"/>
      <c r="AK543" s="180"/>
      <c r="AL543" s="180"/>
      <c r="AM543" s="180"/>
      <c r="AN543" s="180"/>
      <c r="AO543" s="180"/>
      <c r="AP543" s="180"/>
    </row>
    <row r="544" spans="1:49">
      <c r="A544" s="228"/>
      <c r="B544" s="1518" t="s">
        <v>18</v>
      </c>
      <c r="C544" s="1519">
        <v>45628</v>
      </c>
      <c r="D544" s="1519"/>
      <c r="E544" s="1519"/>
      <c r="F544" s="1519"/>
      <c r="G544" s="365"/>
      <c r="H544" s="1519">
        <v>45629</v>
      </c>
      <c r="I544" s="1519"/>
      <c r="J544" s="1519"/>
      <c r="K544" s="1519"/>
      <c r="L544" s="365"/>
      <c r="M544" s="1519">
        <v>45630</v>
      </c>
      <c r="N544" s="1519"/>
      <c r="O544" s="1519"/>
      <c r="P544" s="1519"/>
      <c r="Q544" s="365"/>
      <c r="R544" s="1519">
        <v>45631</v>
      </c>
      <c r="S544" s="1519"/>
      <c r="T544" s="1519"/>
      <c r="U544" s="1519"/>
      <c r="V544" s="365"/>
      <c r="W544" s="1519">
        <v>45632</v>
      </c>
      <c r="X544" s="1519"/>
      <c r="Y544" s="1519"/>
      <c r="Z544" s="1519"/>
      <c r="AA544" s="1517" t="s">
        <v>19</v>
      </c>
      <c r="AB544" s="1517" t="s">
        <v>20</v>
      </c>
      <c r="AC544" s="4"/>
      <c r="AD544" s="1519">
        <v>45633</v>
      </c>
      <c r="AE544" s="1519"/>
      <c r="AF544" s="1519"/>
      <c r="AG544" s="1517" t="s">
        <v>21</v>
      </c>
      <c r="AI544" s="368"/>
      <c r="AK544" s="194" t="s">
        <v>84</v>
      </c>
      <c r="AL544" s="366"/>
      <c r="AM544" s="366"/>
      <c r="AN544" s="366"/>
      <c r="AO544" s="366"/>
      <c r="AP544" s="366"/>
    </row>
    <row r="545" spans="1:49">
      <c r="A545" s="180"/>
      <c r="B545" s="1518"/>
      <c r="C545" s="21" t="s">
        <v>23</v>
      </c>
      <c r="D545" s="21" t="s">
        <v>24</v>
      </c>
      <c r="E545" s="205" t="s">
        <v>25</v>
      </c>
      <c r="F545" s="645" t="s">
        <v>14</v>
      </c>
      <c r="G545" s="4"/>
      <c r="H545" s="21" t="s">
        <v>23</v>
      </c>
      <c r="I545" s="21" t="s">
        <v>24</v>
      </c>
      <c r="J545" s="18" t="s">
        <v>25</v>
      </c>
      <c r="K545" s="645" t="s">
        <v>14</v>
      </c>
      <c r="L545" s="4"/>
      <c r="M545" s="21" t="s">
        <v>23</v>
      </c>
      <c r="N545" s="21" t="s">
        <v>24</v>
      </c>
      <c r="O545" s="18" t="s">
        <v>25</v>
      </c>
      <c r="P545" s="645" t="s">
        <v>14</v>
      </c>
      <c r="R545" s="21" t="s">
        <v>23</v>
      </c>
      <c r="S545" s="21" t="s">
        <v>24</v>
      </c>
      <c r="T545" s="18" t="s">
        <v>25</v>
      </c>
      <c r="U545" s="645" t="s">
        <v>14</v>
      </c>
      <c r="W545" s="21" t="s">
        <v>23</v>
      </c>
      <c r="X545" s="21" t="s">
        <v>24</v>
      </c>
      <c r="Y545" s="18" t="s">
        <v>25</v>
      </c>
      <c r="Z545" s="645" t="s">
        <v>14</v>
      </c>
      <c r="AA545" s="1517"/>
      <c r="AB545" s="1517"/>
      <c r="AC545" s="4"/>
      <c r="AD545" s="21" t="s">
        <v>23</v>
      </c>
      <c r="AE545" s="21" t="s">
        <v>24</v>
      </c>
      <c r="AF545" s="18" t="s">
        <v>25</v>
      </c>
      <c r="AG545" s="1517"/>
      <c r="AI545" s="368"/>
      <c r="AJ545" s="367"/>
      <c r="AK545" s="188" t="s">
        <v>26</v>
      </c>
      <c r="AL545" s="196">
        <f>AA578</f>
        <v>658.35</v>
      </c>
      <c r="AM545" s="510">
        <v>39.14</v>
      </c>
      <c r="AN545" s="510">
        <f t="shared" ref="AN545:AN551" si="88">AL545*AM545</f>
        <v>25767.819</v>
      </c>
      <c r="AQ545" s="367"/>
      <c r="AR545" s="367"/>
      <c r="AS545" s="367"/>
      <c r="AT545" s="367"/>
      <c r="AU545" s="367"/>
      <c r="AV545" s="367"/>
      <c r="AW545" s="367"/>
    </row>
    <row r="546" spans="1:49">
      <c r="A546" s="180"/>
      <c r="B546" s="4" t="s">
        <v>958</v>
      </c>
      <c r="C546" s="667" t="s">
        <v>960</v>
      </c>
      <c r="D546" s="565"/>
      <c r="E546" s="319">
        <v>0</v>
      </c>
      <c r="F546" s="646"/>
      <c r="G546" s="4"/>
      <c r="H546" s="47">
        <v>0.375</v>
      </c>
      <c r="I546" s="47">
        <v>0.25</v>
      </c>
      <c r="J546" s="319">
        <v>8</v>
      </c>
      <c r="K546" s="646"/>
      <c r="L546" s="4"/>
      <c r="M546" s="667" t="s">
        <v>960</v>
      </c>
      <c r="N546" s="565"/>
      <c r="O546" s="319">
        <v>0</v>
      </c>
      <c r="P546" s="646"/>
      <c r="R546" s="47">
        <v>0.375</v>
      </c>
      <c r="S546" s="47">
        <v>0.25</v>
      </c>
      <c r="T546" s="319">
        <v>8</v>
      </c>
      <c r="U546" s="646"/>
      <c r="W546" s="47">
        <v>0.375</v>
      </c>
      <c r="X546" s="47">
        <v>0.25</v>
      </c>
      <c r="Y546" s="319">
        <v>8</v>
      </c>
      <c r="Z546" s="646"/>
      <c r="AA546" s="328">
        <f t="shared" ref="AA546:AA577" si="89">(E546+J546+O546+T546+Y546)</f>
        <v>24</v>
      </c>
      <c r="AB546" s="298">
        <f t="shared" ref="AB546:AB577" si="90">Z546+U546+P546+K546+F546</f>
        <v>0</v>
      </c>
      <c r="AC546" s="4"/>
      <c r="AD546" s="587"/>
      <c r="AE546" s="531"/>
      <c r="AF546" s="319"/>
      <c r="AG546" s="328">
        <f t="shared" ref="AG546:AG577" si="91">AF546</f>
        <v>0</v>
      </c>
      <c r="AI546" s="368"/>
      <c r="AJ546" s="367"/>
      <c r="AK546" s="188" t="s">
        <v>30</v>
      </c>
      <c r="AL546" s="196">
        <f>AB578</f>
        <v>22.5</v>
      </c>
      <c r="AM546" s="511">
        <f>AM545*1.5</f>
        <v>58.71</v>
      </c>
      <c r="AN546" s="510">
        <f t="shared" si="88"/>
        <v>1320.9749999999999</v>
      </c>
      <c r="AQ546" s="367"/>
      <c r="AR546" s="367"/>
      <c r="AS546" s="367"/>
      <c r="AT546" s="367"/>
      <c r="AU546" s="367"/>
      <c r="AV546" s="367"/>
      <c r="AW546" s="367"/>
    </row>
    <row r="547" spans="1:49">
      <c r="A547" s="367"/>
      <c r="B547" s="47" t="s">
        <v>515</v>
      </c>
      <c r="C547" s="47">
        <v>0.375</v>
      </c>
      <c r="D547" s="47">
        <v>0.25</v>
      </c>
      <c r="E547" s="319">
        <v>8</v>
      </c>
      <c r="F547" s="646"/>
      <c r="G547" s="4"/>
      <c r="H547" s="47">
        <v>0.375</v>
      </c>
      <c r="I547" s="47">
        <v>0.25</v>
      </c>
      <c r="J547" s="319">
        <v>8</v>
      </c>
      <c r="K547" s="646"/>
      <c r="L547" s="4"/>
      <c r="M547" s="47">
        <v>0.375</v>
      </c>
      <c r="N547" s="47">
        <v>0.25</v>
      </c>
      <c r="O547" s="319">
        <v>8</v>
      </c>
      <c r="P547" s="646"/>
      <c r="R547" s="667" t="s">
        <v>960</v>
      </c>
      <c r="S547" s="565"/>
      <c r="T547" s="319">
        <v>0</v>
      </c>
      <c r="U547" s="646"/>
      <c r="W547" s="667" t="s">
        <v>960</v>
      </c>
      <c r="X547" s="565"/>
      <c r="Y547" s="319">
        <v>0</v>
      </c>
      <c r="Z547" s="646"/>
      <c r="AA547" s="328">
        <f t="shared" si="89"/>
        <v>24</v>
      </c>
      <c r="AB547" s="298">
        <f t="shared" si="90"/>
        <v>0</v>
      </c>
      <c r="AC547" s="4"/>
      <c r="AF547" s="319"/>
      <c r="AG547" s="328">
        <f t="shared" si="91"/>
        <v>0</v>
      </c>
      <c r="AH547" s="175"/>
      <c r="AI547" s="402"/>
      <c r="AJ547" s="367"/>
      <c r="AK547" s="188" t="s">
        <v>32</v>
      </c>
      <c r="AL547" s="196">
        <f>AG578</f>
        <v>0</v>
      </c>
      <c r="AM547" s="510">
        <v>58.71</v>
      </c>
      <c r="AN547" s="510">
        <f t="shared" si="88"/>
        <v>0</v>
      </c>
      <c r="AQ547" s="367"/>
      <c r="AR547" s="367"/>
      <c r="AS547" s="367"/>
      <c r="AT547" s="367"/>
      <c r="AU547" s="367"/>
      <c r="AV547" s="367"/>
      <c r="AW547" s="367"/>
    </row>
    <row r="548" spans="1:49">
      <c r="A548" s="367"/>
      <c r="B548" s="441" t="s">
        <v>962</v>
      </c>
      <c r="C548" s="667" t="s">
        <v>960</v>
      </c>
      <c r="D548" s="565"/>
      <c r="E548" s="319">
        <v>0</v>
      </c>
      <c r="F548" s="646"/>
      <c r="G548" s="4"/>
      <c r="H548" s="47">
        <v>0.375</v>
      </c>
      <c r="I548" s="47">
        <v>0.25</v>
      </c>
      <c r="J548" s="319">
        <v>8</v>
      </c>
      <c r="K548" s="646"/>
      <c r="L548" s="4"/>
      <c r="M548" s="47">
        <v>0.375</v>
      </c>
      <c r="N548" s="47">
        <v>0.25</v>
      </c>
      <c r="O548" s="319">
        <v>8</v>
      </c>
      <c r="P548" s="646"/>
      <c r="R548" s="441" t="s">
        <v>75</v>
      </c>
      <c r="S548" s="47">
        <v>0.52083333333333337</v>
      </c>
      <c r="T548" s="319">
        <v>3.5</v>
      </c>
      <c r="U548" s="646"/>
      <c r="W548" s="667" t="s">
        <v>960</v>
      </c>
      <c r="X548" s="565"/>
      <c r="Y548" s="319">
        <v>0</v>
      </c>
      <c r="Z548" s="646"/>
      <c r="AA548" s="328">
        <f t="shared" si="89"/>
        <v>19.5</v>
      </c>
      <c r="AB548" s="298">
        <f t="shared" si="90"/>
        <v>0</v>
      </c>
      <c r="AC548" s="399"/>
      <c r="AD548" s="47"/>
      <c r="AE548" s="47"/>
      <c r="AF548" s="319"/>
      <c r="AG548" s="328">
        <f t="shared" si="91"/>
        <v>0</v>
      </c>
      <c r="AH548" s="175"/>
      <c r="AJ548" s="401"/>
      <c r="AK548" s="403" t="s">
        <v>213</v>
      </c>
      <c r="AL548" s="404">
        <f>AA580</f>
        <v>29</v>
      </c>
      <c r="AM548" s="510">
        <v>51.5</v>
      </c>
      <c r="AN548" s="510">
        <f t="shared" si="88"/>
        <v>1493.5</v>
      </c>
      <c r="AO548" s="405"/>
      <c r="AP548" s="405"/>
      <c r="AQ548" s="367"/>
      <c r="AR548" s="401"/>
      <c r="AS548" s="401"/>
      <c r="AT548" s="401"/>
      <c r="AU548" s="401"/>
      <c r="AV548" s="401"/>
      <c r="AW548" s="401"/>
    </row>
    <row r="549" spans="1:49">
      <c r="A549" s="367"/>
      <c r="B549" s="665" t="s">
        <v>994</v>
      </c>
      <c r="C549" s="667" t="s">
        <v>960</v>
      </c>
      <c r="D549" s="565"/>
      <c r="E549" s="319">
        <v>0</v>
      </c>
      <c r="F549" s="646"/>
      <c r="G549" s="4"/>
      <c r="H549" s="667" t="s">
        <v>960</v>
      </c>
      <c r="I549" s="565"/>
      <c r="J549" s="319">
        <v>0</v>
      </c>
      <c r="K549" s="646"/>
      <c r="L549" s="4"/>
      <c r="M549" s="667" t="s">
        <v>960</v>
      </c>
      <c r="N549" s="565"/>
      <c r="O549" s="319">
        <v>0</v>
      </c>
      <c r="P549" s="646"/>
      <c r="R549" s="667" t="s">
        <v>960</v>
      </c>
      <c r="S549" s="565"/>
      <c r="T549" s="319">
        <v>0</v>
      </c>
      <c r="U549" s="646"/>
      <c r="W549" s="667" t="s">
        <v>960</v>
      </c>
      <c r="X549" s="565"/>
      <c r="Y549" s="319">
        <v>0</v>
      </c>
      <c r="Z549" s="646"/>
      <c r="AA549" s="328">
        <f t="shared" si="89"/>
        <v>0</v>
      </c>
      <c r="AB549" s="298">
        <f t="shared" si="90"/>
        <v>0</v>
      </c>
      <c r="AC549" s="175"/>
      <c r="AD549" s="47"/>
      <c r="AE549" s="47"/>
      <c r="AF549" s="319"/>
      <c r="AG549" s="328">
        <f t="shared" si="91"/>
        <v>0</v>
      </c>
      <c r="AH549" s="175"/>
      <c r="AJ549" s="401"/>
      <c r="AK549" s="188" t="s">
        <v>36</v>
      </c>
      <c r="AL549" s="196">
        <f>AB580</f>
        <v>6.25</v>
      </c>
      <c r="AM549" s="510">
        <f>AM548*1.5</f>
        <v>77.25</v>
      </c>
      <c r="AN549" s="510">
        <f t="shared" si="88"/>
        <v>482.8125</v>
      </c>
      <c r="AO549" s="405"/>
      <c r="AP549" s="405"/>
      <c r="AQ549" s="367"/>
      <c r="AR549" s="401"/>
      <c r="AS549" s="401"/>
      <c r="AT549" s="401"/>
      <c r="AU549" s="401"/>
      <c r="AV549" s="401"/>
      <c r="AW549" s="401"/>
    </row>
    <row r="550" spans="1:49">
      <c r="A550" s="367"/>
      <c r="B550" s="47" t="s">
        <v>967</v>
      </c>
      <c r="C550" s="667" t="s">
        <v>960</v>
      </c>
      <c r="D550" s="565"/>
      <c r="E550" s="319">
        <v>0</v>
      </c>
      <c r="F550" s="646"/>
      <c r="G550" s="4"/>
      <c r="H550" s="667" t="s">
        <v>960</v>
      </c>
      <c r="I550" s="565"/>
      <c r="J550" s="319">
        <v>0</v>
      </c>
      <c r="K550" s="646"/>
      <c r="L550" s="4"/>
      <c r="M550" s="441" t="s">
        <v>75</v>
      </c>
      <c r="N550" s="47">
        <v>0.25</v>
      </c>
      <c r="O550" s="319">
        <v>8</v>
      </c>
      <c r="P550" s="646"/>
      <c r="R550" s="47">
        <v>0.375</v>
      </c>
      <c r="S550" s="47">
        <v>0.25</v>
      </c>
      <c r="T550" s="319">
        <v>8</v>
      </c>
      <c r="U550" s="646"/>
      <c r="W550" s="47">
        <v>0.375</v>
      </c>
      <c r="X550" s="47">
        <v>0.25</v>
      </c>
      <c r="Y550" s="319">
        <v>8</v>
      </c>
      <c r="Z550" s="646"/>
      <c r="AA550" s="328">
        <f t="shared" si="89"/>
        <v>24</v>
      </c>
      <c r="AB550" s="298">
        <f t="shared" si="90"/>
        <v>0</v>
      </c>
      <c r="AC550" s="4"/>
      <c r="AD550" s="47"/>
      <c r="AE550" s="47"/>
      <c r="AF550" s="319"/>
      <c r="AG550" s="328">
        <f t="shared" si="91"/>
        <v>0</v>
      </c>
      <c r="AH550" s="175"/>
      <c r="AI550" s="368"/>
      <c r="AK550" s="188" t="s">
        <v>38</v>
      </c>
      <c r="AL550" s="196">
        <f>AG580</f>
        <v>2</v>
      </c>
      <c r="AM550" s="510">
        <v>77.25</v>
      </c>
      <c r="AN550" s="510">
        <f t="shared" si="88"/>
        <v>154.5</v>
      </c>
      <c r="AQ550" s="367"/>
    </row>
    <row r="551" spans="1:49" s="4" customFormat="1" ht="14.25" thickBot="1">
      <c r="A551" s="180"/>
      <c r="B551" s="532" t="s">
        <v>995</v>
      </c>
      <c r="C551" s="593" t="s">
        <v>1017</v>
      </c>
      <c r="D551" s="565"/>
      <c r="E551" s="319">
        <v>0</v>
      </c>
      <c r="F551" s="646"/>
      <c r="H551" s="593" t="s">
        <v>1017</v>
      </c>
      <c r="I551" s="565"/>
      <c r="J551" s="319">
        <v>0</v>
      </c>
      <c r="K551" s="646"/>
      <c r="M551" s="593" t="s">
        <v>1017</v>
      </c>
      <c r="N551" s="565"/>
      <c r="O551" s="319">
        <v>0</v>
      </c>
      <c r="P551" s="646"/>
      <c r="R551" s="593" t="s">
        <v>1017</v>
      </c>
      <c r="S551" s="565"/>
      <c r="T551" s="319">
        <v>0</v>
      </c>
      <c r="U551" s="646"/>
      <c r="W551" s="593" t="s">
        <v>1017</v>
      </c>
      <c r="X551" s="565"/>
      <c r="Y551" s="319">
        <v>0</v>
      </c>
      <c r="Z551" s="646"/>
      <c r="AA551" s="328">
        <f t="shared" si="89"/>
        <v>0</v>
      </c>
      <c r="AB551" s="298">
        <f t="shared" si="90"/>
        <v>0</v>
      </c>
      <c r="AD551" s="47"/>
      <c r="AE551" s="47"/>
      <c r="AF551" s="319"/>
      <c r="AG551" s="328">
        <f t="shared" si="91"/>
        <v>0</v>
      </c>
      <c r="AI551" s="255"/>
      <c r="AJ551" s="180"/>
      <c r="AK551" s="188" t="s">
        <v>41</v>
      </c>
      <c r="AL551" s="196">
        <f>C581</f>
        <v>47</v>
      </c>
      <c r="AM551" s="512">
        <v>46.35</v>
      </c>
      <c r="AN551" s="512">
        <f t="shared" si="88"/>
        <v>2178.4500000000003</v>
      </c>
      <c r="AO551" s="193"/>
      <c r="AP551" s="193"/>
      <c r="AQ551" s="367"/>
      <c r="AR551" s="180"/>
      <c r="AS551" s="180"/>
      <c r="AT551" s="180"/>
      <c r="AU551" s="180"/>
      <c r="AV551" s="180"/>
      <c r="AW551" s="180"/>
    </row>
    <row r="552" spans="1:49" s="4" customFormat="1" ht="12.6" customHeight="1" thickTop="1">
      <c r="A552" s="180"/>
      <c r="B552" s="436" t="s">
        <v>972</v>
      </c>
      <c r="C552" s="441" t="s">
        <v>75</v>
      </c>
      <c r="D552" s="47">
        <v>0.25</v>
      </c>
      <c r="E552" s="319">
        <v>8</v>
      </c>
      <c r="F552" s="646"/>
      <c r="H552" s="441" t="s">
        <v>75</v>
      </c>
      <c r="I552" s="47">
        <v>0.25</v>
      </c>
      <c r="J552" s="319">
        <v>8</v>
      </c>
      <c r="K552" s="646"/>
      <c r="M552" s="441" t="s">
        <v>75</v>
      </c>
      <c r="N552" s="47">
        <v>0.25</v>
      </c>
      <c r="O552" s="319">
        <v>8</v>
      </c>
      <c r="P552" s="646"/>
      <c r="R552" s="441" t="s">
        <v>75</v>
      </c>
      <c r="S552" s="47">
        <v>0.25</v>
      </c>
      <c r="T552" s="319">
        <v>8</v>
      </c>
      <c r="U552" s="646"/>
      <c r="W552" s="47">
        <v>0.20833333333333334</v>
      </c>
      <c r="X552" s="47">
        <v>0.41666666666666669</v>
      </c>
      <c r="Y552" s="319">
        <v>8</v>
      </c>
      <c r="Z552" s="646">
        <v>8</v>
      </c>
      <c r="AA552" s="328">
        <f t="shared" si="89"/>
        <v>40</v>
      </c>
      <c r="AB552" s="298">
        <f>Z552+U552+P552+K552+F552</f>
        <v>8</v>
      </c>
      <c r="AD552" s="47"/>
      <c r="AE552" s="47"/>
      <c r="AF552" s="319"/>
      <c r="AG552" s="328">
        <f t="shared" si="91"/>
        <v>0</v>
      </c>
      <c r="AI552" s="255"/>
      <c r="AJ552" s="180"/>
      <c r="AK552" s="188"/>
      <c r="AL552" s="196"/>
      <c r="AM552" s="510"/>
      <c r="AN552" s="510"/>
      <c r="AO552" s="193"/>
      <c r="AP552" s="193"/>
      <c r="AQ552" s="367"/>
      <c r="AR552" s="180"/>
      <c r="AS552" s="180"/>
      <c r="AT552" s="180"/>
      <c r="AU552" s="180"/>
      <c r="AV552" s="180"/>
      <c r="AW552" s="180"/>
    </row>
    <row r="553" spans="1:49" s="4" customFormat="1">
      <c r="A553" s="180"/>
      <c r="B553" s="47" t="s">
        <v>974</v>
      </c>
      <c r="C553" s="47">
        <v>0.375</v>
      </c>
      <c r="D553" s="47">
        <v>0.25</v>
      </c>
      <c r="E553" s="319">
        <v>8</v>
      </c>
      <c r="F553" s="646"/>
      <c r="H553" s="47">
        <v>0.375</v>
      </c>
      <c r="I553" s="47">
        <v>0.25</v>
      </c>
      <c r="J553" s="319">
        <v>8</v>
      </c>
      <c r="K553" s="646"/>
      <c r="M553" s="441" t="s">
        <v>125</v>
      </c>
      <c r="N553" s="47">
        <v>0.10416666666666667</v>
      </c>
      <c r="O553" s="319">
        <v>6.5</v>
      </c>
      <c r="P553" s="646"/>
      <c r="R553" s="441" t="s">
        <v>76</v>
      </c>
      <c r="S553" s="47">
        <v>0.20833333333333334</v>
      </c>
      <c r="T553" s="319">
        <v>7.5</v>
      </c>
      <c r="U553" s="646"/>
      <c r="W553" s="667" t="s">
        <v>137</v>
      </c>
      <c r="X553" s="565"/>
      <c r="Y553" s="319">
        <v>0</v>
      </c>
      <c r="Z553" s="646"/>
      <c r="AA553" s="328">
        <f t="shared" si="89"/>
        <v>30</v>
      </c>
      <c r="AB553" s="298">
        <f>Z553+U553+P552+K553+F553</f>
        <v>0</v>
      </c>
      <c r="AD553" s="47"/>
      <c r="AE553" s="47"/>
      <c r="AF553" s="319"/>
      <c r="AG553" s="328">
        <f t="shared" si="91"/>
        <v>0</v>
      </c>
      <c r="AI553" s="255"/>
      <c r="AJ553" s="180"/>
      <c r="AK553" s="193"/>
      <c r="AL553" s="193"/>
      <c r="AM553" s="193"/>
      <c r="AN553" s="510">
        <f>SUM(AN545:AN551)</f>
        <v>31398.056499999999</v>
      </c>
      <c r="AO553" s="193"/>
      <c r="AP553" s="193"/>
      <c r="AQ553" s="367"/>
      <c r="AR553" s="180"/>
      <c r="AS553" s="180"/>
      <c r="AT553" s="180"/>
      <c r="AU553" s="180"/>
      <c r="AV553" s="180"/>
      <c r="AW553" s="180"/>
    </row>
    <row r="554" spans="1:49" s="4" customFormat="1">
      <c r="A554" s="180"/>
      <c r="B554" s="47" t="s">
        <v>517</v>
      </c>
      <c r="C554" s="667" t="s">
        <v>960</v>
      </c>
      <c r="D554" s="565"/>
      <c r="E554" s="319">
        <v>0</v>
      </c>
      <c r="F554" s="646"/>
      <c r="H554" s="667" t="s">
        <v>960</v>
      </c>
      <c r="I554" s="565"/>
      <c r="J554" s="319">
        <v>0</v>
      </c>
      <c r="K554" s="646"/>
      <c r="M554" s="441" t="s">
        <v>125</v>
      </c>
      <c r="N554" s="47">
        <v>0.20833333333333334</v>
      </c>
      <c r="O554" s="319">
        <v>8</v>
      </c>
      <c r="P554" s="646"/>
      <c r="R554" s="441" t="s">
        <v>125</v>
      </c>
      <c r="S554" s="47">
        <v>0.20833333333333334</v>
      </c>
      <c r="T554" s="319">
        <v>8</v>
      </c>
      <c r="U554" s="646"/>
      <c r="W554" s="47">
        <v>0.375</v>
      </c>
      <c r="X554" s="47">
        <v>0.25</v>
      </c>
      <c r="Y554" s="319">
        <v>8</v>
      </c>
      <c r="Z554" s="646"/>
      <c r="AA554" s="328">
        <f t="shared" si="89"/>
        <v>24</v>
      </c>
      <c r="AB554" s="298">
        <f t="shared" si="90"/>
        <v>0</v>
      </c>
      <c r="AD554" s="47"/>
      <c r="AE554" s="47"/>
      <c r="AF554" s="319"/>
      <c r="AG554" s="328">
        <f t="shared" si="91"/>
        <v>0</v>
      </c>
      <c r="AI554" s="255"/>
      <c r="AJ554" s="180"/>
      <c r="AK554" s="193"/>
      <c r="AL554" s="193"/>
      <c r="AM554" s="193"/>
      <c r="AN554" s="193"/>
      <c r="AO554" s="193"/>
      <c r="AP554" s="193"/>
      <c r="AQ554" s="180"/>
      <c r="AR554" s="180"/>
      <c r="AS554" s="180"/>
      <c r="AT554" s="180"/>
      <c r="AU554" s="180"/>
      <c r="AV554" s="180"/>
      <c r="AW554" s="180"/>
    </row>
    <row r="555" spans="1:49" s="4" customFormat="1">
      <c r="A555" s="180"/>
      <c r="B555" s="436" t="s">
        <v>981</v>
      </c>
      <c r="C555" s="441" t="s">
        <v>75</v>
      </c>
      <c r="D555" s="47">
        <v>0.25</v>
      </c>
      <c r="E555" s="319">
        <v>8</v>
      </c>
      <c r="F555" s="646"/>
      <c r="H555" s="441" t="s">
        <v>75</v>
      </c>
      <c r="I555" s="47">
        <v>0.25</v>
      </c>
      <c r="J555" s="319">
        <v>8</v>
      </c>
      <c r="K555" s="646"/>
      <c r="M555" s="441" t="s">
        <v>75</v>
      </c>
      <c r="N555" s="47">
        <v>0.25</v>
      </c>
      <c r="O555" s="319">
        <v>8</v>
      </c>
      <c r="P555" s="646"/>
      <c r="R555" s="441" t="s">
        <v>125</v>
      </c>
      <c r="S555" s="47">
        <v>0.25</v>
      </c>
      <c r="T555" s="319">
        <v>8</v>
      </c>
      <c r="U555" s="646">
        <v>1</v>
      </c>
      <c r="W555" s="47">
        <v>0.20833333333333334</v>
      </c>
      <c r="X555" s="47">
        <v>0.41666666666666669</v>
      </c>
      <c r="Y555" s="319">
        <v>8</v>
      </c>
      <c r="Z555" s="646">
        <v>8</v>
      </c>
      <c r="AA555" s="328">
        <f t="shared" si="89"/>
        <v>40</v>
      </c>
      <c r="AB555" s="298">
        <f t="shared" si="90"/>
        <v>9</v>
      </c>
      <c r="AD555" s="47"/>
      <c r="AE555" s="47"/>
      <c r="AF555" s="319"/>
      <c r="AG555" s="328">
        <f t="shared" si="91"/>
        <v>0</v>
      </c>
      <c r="AI555" s="255"/>
      <c r="AJ555" s="180"/>
      <c r="AK555" s="193"/>
      <c r="AL555" s="193"/>
      <c r="AM555" s="193"/>
      <c r="AN555" s="193"/>
      <c r="AO555" s="193"/>
      <c r="AP555" s="193"/>
      <c r="AQ555" s="180"/>
      <c r="AR555" s="180"/>
      <c r="AS555" s="180"/>
      <c r="AT555" s="180"/>
      <c r="AU555" s="180"/>
      <c r="AV555" s="180"/>
      <c r="AW555" s="180"/>
    </row>
    <row r="556" spans="1:49" s="4" customFormat="1">
      <c r="A556" s="180"/>
      <c r="B556" s="4" t="s">
        <v>976</v>
      </c>
      <c r="C556" s="441" t="s">
        <v>75</v>
      </c>
      <c r="D556" s="47">
        <v>0.25</v>
      </c>
      <c r="E556" s="319">
        <v>8</v>
      </c>
      <c r="F556" s="646"/>
      <c r="H556" s="667" t="s">
        <v>960</v>
      </c>
      <c r="I556" s="565"/>
      <c r="J556" s="319">
        <v>0</v>
      </c>
      <c r="K556" s="646"/>
      <c r="M556" s="441" t="s">
        <v>75</v>
      </c>
      <c r="N556" s="47">
        <v>0.25</v>
      </c>
      <c r="O556" s="319">
        <v>8</v>
      </c>
      <c r="P556" s="646"/>
      <c r="R556" s="667" t="s">
        <v>960</v>
      </c>
      <c r="S556" s="565"/>
      <c r="T556" s="319">
        <v>0</v>
      </c>
      <c r="U556" s="646"/>
      <c r="W556" s="47">
        <v>0.375</v>
      </c>
      <c r="X556" s="47">
        <v>0.25</v>
      </c>
      <c r="Y556" s="319">
        <v>8</v>
      </c>
      <c r="Z556" s="646"/>
      <c r="AA556" s="328">
        <f t="shared" si="89"/>
        <v>24</v>
      </c>
      <c r="AB556" s="298">
        <f t="shared" si="90"/>
        <v>0</v>
      </c>
      <c r="AD556" s="47"/>
      <c r="AE556" s="47"/>
      <c r="AF556" s="319"/>
      <c r="AG556" s="328">
        <f t="shared" si="91"/>
        <v>0</v>
      </c>
      <c r="AI556" s="255"/>
      <c r="AJ556" s="180"/>
      <c r="AK556" s="193"/>
      <c r="AL556" s="193"/>
      <c r="AM556" s="193"/>
      <c r="AN556" s="193"/>
      <c r="AO556" s="193"/>
      <c r="AP556" s="193"/>
      <c r="AQ556" s="180"/>
      <c r="AR556" s="180"/>
      <c r="AS556" s="180"/>
      <c r="AT556" s="180"/>
      <c r="AU556" s="180"/>
      <c r="AV556" s="180"/>
      <c r="AW556" s="180"/>
    </row>
    <row r="557" spans="1:49" s="4" customFormat="1">
      <c r="A557" s="180"/>
      <c r="B557" s="666" t="s">
        <v>998</v>
      </c>
      <c r="C557" s="593" t="s">
        <v>1018</v>
      </c>
      <c r="D557" s="565"/>
      <c r="E557" s="319">
        <v>0</v>
      </c>
      <c r="F557" s="646"/>
      <c r="H557" s="593" t="s">
        <v>1018</v>
      </c>
      <c r="I557" s="565"/>
      <c r="J557" s="319">
        <v>0</v>
      </c>
      <c r="K557" s="646"/>
      <c r="M557" s="593" t="s">
        <v>1018</v>
      </c>
      <c r="N557" s="565"/>
      <c r="O557" s="319">
        <v>0</v>
      </c>
      <c r="P557" s="646"/>
      <c r="R557" s="593" t="s">
        <v>1018</v>
      </c>
      <c r="S557" s="565"/>
      <c r="T557" s="319">
        <v>0</v>
      </c>
      <c r="U557" s="646"/>
      <c r="W557" s="593" t="s">
        <v>1018</v>
      </c>
      <c r="X557" s="565"/>
      <c r="Y557" s="319">
        <v>0</v>
      </c>
      <c r="Z557" s="646"/>
      <c r="AA557" s="328">
        <f t="shared" si="89"/>
        <v>0</v>
      </c>
      <c r="AB557" s="298">
        <f t="shared" si="90"/>
        <v>0</v>
      </c>
      <c r="AD557" s="47"/>
      <c r="AE557" s="47"/>
      <c r="AF557" s="319"/>
      <c r="AG557" s="328">
        <f t="shared" si="91"/>
        <v>0</v>
      </c>
      <c r="AI557" s="255"/>
      <c r="AJ557" s="180"/>
      <c r="AK557" s="193"/>
      <c r="AL557" s="193"/>
      <c r="AM557" s="193"/>
      <c r="AN557" s="193"/>
      <c r="AO557" s="193"/>
      <c r="AP557" s="193"/>
      <c r="AQ557" s="180"/>
      <c r="AR557" s="180"/>
      <c r="AS557" s="180"/>
      <c r="AT557" s="180"/>
      <c r="AU557" s="180"/>
      <c r="AV557" s="180"/>
      <c r="AW557" s="180"/>
    </row>
    <row r="558" spans="1:49" s="4" customFormat="1">
      <c r="A558" s="180"/>
      <c r="B558" s="47" t="s">
        <v>977</v>
      </c>
      <c r="C558" s="47">
        <v>0.375</v>
      </c>
      <c r="D558" s="47">
        <v>0.25</v>
      </c>
      <c r="E558" s="319">
        <v>8</v>
      </c>
      <c r="F558" s="646"/>
      <c r="H558" s="47">
        <v>0.375</v>
      </c>
      <c r="I558" s="47">
        <v>0.25</v>
      </c>
      <c r="J558" s="319">
        <v>8</v>
      </c>
      <c r="K558" s="646"/>
      <c r="M558" s="47">
        <v>0.34375</v>
      </c>
      <c r="N558" s="47">
        <v>0.10416666666666667</v>
      </c>
      <c r="O558" s="319">
        <v>6.5</v>
      </c>
      <c r="P558" s="646"/>
      <c r="R558" s="47">
        <v>0.35416666666666669</v>
      </c>
      <c r="S558" s="47">
        <v>0.20833333333333334</v>
      </c>
      <c r="T558" s="319">
        <v>7.5</v>
      </c>
      <c r="U558" s="646"/>
      <c r="W558" s="47">
        <v>0.375</v>
      </c>
      <c r="X558" s="47">
        <v>0.22916666666666666</v>
      </c>
      <c r="Y558" s="319">
        <v>8</v>
      </c>
      <c r="Z558" s="646">
        <v>0.5</v>
      </c>
      <c r="AA558" s="328">
        <f t="shared" si="89"/>
        <v>38</v>
      </c>
      <c r="AB558" s="298">
        <f t="shared" si="90"/>
        <v>0.5</v>
      </c>
      <c r="AD558" s="47"/>
      <c r="AE558" s="47"/>
      <c r="AF558" s="319"/>
      <c r="AG558" s="328">
        <f t="shared" si="91"/>
        <v>0</v>
      </c>
      <c r="AI558" s="255"/>
      <c r="AJ558" s="180"/>
      <c r="AK558" s="193"/>
      <c r="AL558" s="193"/>
      <c r="AM558" s="193"/>
      <c r="AN558" s="193"/>
      <c r="AO558" s="193"/>
      <c r="AP558" s="193"/>
      <c r="AQ558" s="180"/>
      <c r="AR558" s="180"/>
      <c r="AS558" s="180"/>
      <c r="AT558" s="180"/>
      <c r="AU558" s="180"/>
      <c r="AV558" s="180"/>
      <c r="AW558" s="180"/>
    </row>
    <row r="559" spans="1:49" s="4" customFormat="1">
      <c r="A559" s="180"/>
      <c r="B559" s="436" t="s">
        <v>394</v>
      </c>
      <c r="C559" s="667" t="s">
        <v>137</v>
      </c>
      <c r="D559" s="565"/>
      <c r="E559" s="319">
        <v>0</v>
      </c>
      <c r="F559" s="646"/>
      <c r="H559" s="667" t="s">
        <v>137</v>
      </c>
      <c r="I559" s="565"/>
      <c r="J559" s="319">
        <v>0</v>
      </c>
      <c r="K559" s="646"/>
      <c r="M559" s="667" t="s">
        <v>137</v>
      </c>
      <c r="N559" s="565"/>
      <c r="O559" s="319">
        <v>0</v>
      </c>
      <c r="P559" s="646"/>
      <c r="R559" s="667" t="s">
        <v>137</v>
      </c>
      <c r="S559" s="565"/>
      <c r="T559" s="319">
        <v>0</v>
      </c>
      <c r="U559" s="646"/>
      <c r="W559" s="667" t="s">
        <v>137</v>
      </c>
      <c r="X559" s="565"/>
      <c r="Y559" s="319">
        <v>0</v>
      </c>
      <c r="Z559" s="646"/>
      <c r="AA559" s="328">
        <f t="shared" si="89"/>
        <v>0</v>
      </c>
      <c r="AB559" s="298">
        <f t="shared" si="90"/>
        <v>0</v>
      </c>
      <c r="AD559" s="47"/>
      <c r="AE559" s="47"/>
      <c r="AF559" s="319"/>
      <c r="AG559" s="328">
        <f t="shared" si="91"/>
        <v>0</v>
      </c>
      <c r="AI559" s="255"/>
      <c r="AJ559" s="180"/>
      <c r="AK559" s="193"/>
      <c r="AL559" s="193"/>
      <c r="AM559" s="193"/>
      <c r="AN559" s="193"/>
      <c r="AO559" s="193"/>
      <c r="AP559" s="193"/>
      <c r="AQ559" s="180"/>
      <c r="AR559" s="180"/>
      <c r="AS559" s="180"/>
      <c r="AT559" s="180"/>
      <c r="AU559" s="180"/>
      <c r="AV559" s="180"/>
      <c r="AW559" s="180"/>
    </row>
    <row r="560" spans="1:49" s="4" customFormat="1">
      <c r="A560" s="180"/>
      <c r="B560" s="47" t="s">
        <v>519</v>
      </c>
      <c r="C560" s="47">
        <v>0.375</v>
      </c>
      <c r="D560" s="47">
        <v>0.25</v>
      </c>
      <c r="E560" s="319">
        <v>8</v>
      </c>
      <c r="F560" s="646"/>
      <c r="H560" s="47">
        <v>0.375</v>
      </c>
      <c r="I560" s="47">
        <v>0.25</v>
      </c>
      <c r="J560" s="319">
        <v>8</v>
      </c>
      <c r="K560" s="646"/>
      <c r="M560" s="47">
        <v>0.375</v>
      </c>
      <c r="N560" s="47">
        <v>0.25</v>
      </c>
      <c r="O560" s="319">
        <v>8</v>
      </c>
      <c r="P560" s="646"/>
      <c r="R560" s="47">
        <v>0.375</v>
      </c>
      <c r="S560" s="47">
        <v>0.25</v>
      </c>
      <c r="T560" s="319">
        <v>8</v>
      </c>
      <c r="U560" s="646"/>
      <c r="W560" s="47">
        <v>0.375</v>
      </c>
      <c r="X560" s="47">
        <v>0.22916666666666666</v>
      </c>
      <c r="Y560" s="319">
        <v>8</v>
      </c>
      <c r="Z560" s="646">
        <v>0.5</v>
      </c>
      <c r="AA560" s="328">
        <f t="shared" si="89"/>
        <v>40</v>
      </c>
      <c r="AB560" s="298">
        <f t="shared" si="90"/>
        <v>0.5</v>
      </c>
      <c r="AD560" s="47"/>
      <c r="AE560" s="47"/>
      <c r="AF560" s="319"/>
      <c r="AG560" s="328">
        <f t="shared" si="91"/>
        <v>0</v>
      </c>
      <c r="AI560" s="255"/>
      <c r="AJ560" s="180"/>
      <c r="AK560" s="193"/>
      <c r="AL560" s="193"/>
      <c r="AM560" s="193"/>
      <c r="AN560" s="193"/>
      <c r="AO560" s="193"/>
      <c r="AP560" s="193"/>
      <c r="AQ560" s="180"/>
      <c r="AR560" s="180"/>
      <c r="AS560" s="180"/>
      <c r="AT560" s="180"/>
      <c r="AU560" s="180"/>
      <c r="AV560" s="180"/>
      <c r="AW560" s="180"/>
    </row>
    <row r="561" spans="1:49" s="4" customFormat="1">
      <c r="A561" s="180"/>
      <c r="B561" s="532" t="s">
        <v>999</v>
      </c>
      <c r="C561" s="47">
        <v>0.375</v>
      </c>
      <c r="D561" s="47">
        <v>0.25</v>
      </c>
      <c r="E561" s="319">
        <v>8</v>
      </c>
      <c r="F561" s="646"/>
      <c r="H561" s="47">
        <v>0.375</v>
      </c>
      <c r="I561" s="47">
        <v>0.25</v>
      </c>
      <c r="J561" s="319">
        <v>8</v>
      </c>
      <c r="K561" s="646"/>
      <c r="M561" s="47">
        <v>0.375</v>
      </c>
      <c r="N561" s="47">
        <v>0.25</v>
      </c>
      <c r="O561" s="319">
        <v>8</v>
      </c>
      <c r="P561" s="646"/>
      <c r="R561" s="47">
        <v>0.375</v>
      </c>
      <c r="S561" s="47">
        <v>0.25</v>
      </c>
      <c r="T561" s="319">
        <v>8</v>
      </c>
      <c r="U561" s="646"/>
      <c r="W561" s="47">
        <v>0.375</v>
      </c>
      <c r="X561" s="47">
        <v>0.25</v>
      </c>
      <c r="Y561" s="319">
        <v>8</v>
      </c>
      <c r="Z561" s="646"/>
      <c r="AA561" s="328">
        <f t="shared" si="89"/>
        <v>40</v>
      </c>
      <c r="AB561" s="298">
        <f t="shared" si="90"/>
        <v>0</v>
      </c>
      <c r="AD561" s="47"/>
      <c r="AE561" s="47"/>
      <c r="AF561" s="319"/>
      <c r="AG561" s="328">
        <f t="shared" si="91"/>
        <v>0</v>
      </c>
      <c r="AI561" s="255"/>
      <c r="AJ561" s="180"/>
      <c r="AK561" s="193"/>
      <c r="AL561" s="193"/>
      <c r="AM561" s="193"/>
      <c r="AN561" s="193"/>
      <c r="AO561" s="193"/>
      <c r="AP561" s="193"/>
      <c r="AQ561" s="180"/>
      <c r="AR561" s="180"/>
      <c r="AS561" s="180"/>
      <c r="AT561" s="180"/>
      <c r="AU561" s="180"/>
      <c r="AV561" s="180"/>
      <c r="AW561" s="180"/>
    </row>
    <row r="562" spans="1:49" s="4" customFormat="1">
      <c r="A562" s="180"/>
      <c r="B562" s="640" t="s">
        <v>957</v>
      </c>
      <c r="C562" s="643"/>
      <c r="D562" s="519"/>
      <c r="E562" s="520"/>
      <c r="F562" s="647"/>
      <c r="G562" s="521"/>
      <c r="H562" s="519"/>
      <c r="I562" s="519"/>
      <c r="J562" s="520"/>
      <c r="K562" s="647"/>
      <c r="L562" s="521"/>
      <c r="M562" s="519"/>
      <c r="N562" s="519"/>
      <c r="O562" s="520"/>
      <c r="P562" s="647"/>
      <c r="Q562" s="521"/>
      <c r="R562" s="519"/>
      <c r="S562" s="519"/>
      <c r="T562" s="520"/>
      <c r="U562" s="647"/>
      <c r="V562" s="521"/>
      <c r="W562" s="519"/>
      <c r="X562" s="519"/>
      <c r="Y562" s="520"/>
      <c r="Z562" s="646"/>
      <c r="AA562" s="328">
        <f t="shared" si="89"/>
        <v>0</v>
      </c>
      <c r="AB562" s="298">
        <f t="shared" si="90"/>
        <v>0</v>
      </c>
      <c r="AD562" s="47"/>
      <c r="AE562" s="47"/>
      <c r="AF562" s="319"/>
      <c r="AG562" s="328">
        <f t="shared" si="91"/>
        <v>0</v>
      </c>
      <c r="AI562" s="255"/>
      <c r="AJ562" s="180"/>
      <c r="AK562" s="193"/>
      <c r="AL562" s="193"/>
      <c r="AM562" s="193"/>
      <c r="AN562" s="193"/>
      <c r="AO562" s="193"/>
      <c r="AP562" s="193"/>
      <c r="AQ562" s="180"/>
      <c r="AR562" s="180"/>
      <c r="AS562" s="180"/>
      <c r="AT562" s="180"/>
      <c r="AU562" s="180"/>
      <c r="AV562" s="180"/>
      <c r="AW562" s="180"/>
    </row>
    <row r="563" spans="1:49" s="4" customFormat="1">
      <c r="A563" s="180"/>
      <c r="B563" s="640" t="s">
        <v>390</v>
      </c>
      <c r="C563" s="643"/>
      <c r="D563" s="519"/>
      <c r="E563" s="520"/>
      <c r="F563" s="647"/>
      <c r="G563" s="521"/>
      <c r="H563" s="519"/>
      <c r="I563" s="519"/>
      <c r="J563" s="520"/>
      <c r="K563" s="647"/>
      <c r="L563" s="521"/>
      <c r="M563" s="519"/>
      <c r="N563" s="519"/>
      <c r="O563" s="520"/>
      <c r="P563" s="647"/>
      <c r="Q563" s="521"/>
      <c r="R563" s="519"/>
      <c r="S563" s="519"/>
      <c r="T563" s="520"/>
      <c r="U563" s="647"/>
      <c r="V563" s="521"/>
      <c r="W563" s="519"/>
      <c r="X563" s="519"/>
      <c r="Y563" s="520"/>
      <c r="Z563" s="646"/>
      <c r="AA563" s="328">
        <f t="shared" si="89"/>
        <v>0</v>
      </c>
      <c r="AB563" s="298">
        <f t="shared" si="90"/>
        <v>0</v>
      </c>
      <c r="AD563" s="47"/>
      <c r="AE563" s="47"/>
      <c r="AF563" s="319"/>
      <c r="AG563" s="328">
        <f t="shared" si="91"/>
        <v>0</v>
      </c>
      <c r="AI563" s="255"/>
      <c r="AJ563" s="180"/>
      <c r="AK563" s="193"/>
      <c r="AL563" s="193"/>
      <c r="AM563" s="193"/>
      <c r="AN563" s="510"/>
      <c r="AO563" s="193"/>
      <c r="AP563" s="193"/>
      <c r="AQ563" s="367"/>
      <c r="AR563" s="180"/>
      <c r="AS563" s="180"/>
      <c r="AT563" s="180"/>
      <c r="AU563" s="180"/>
      <c r="AV563" s="180"/>
      <c r="AW563" s="180"/>
    </row>
    <row r="564" spans="1:49" s="4" customFormat="1">
      <c r="A564" s="180"/>
      <c r="B564" s="639" t="s">
        <v>975</v>
      </c>
      <c r="C564" s="643"/>
      <c r="D564" s="519"/>
      <c r="E564" s="520"/>
      <c r="F564" s="647"/>
      <c r="G564" s="521"/>
      <c r="H564" s="519"/>
      <c r="I564" s="519"/>
      <c r="J564" s="520"/>
      <c r="K564" s="647"/>
      <c r="L564" s="521"/>
      <c r="M564" s="519"/>
      <c r="N564" s="519"/>
      <c r="O564" s="520"/>
      <c r="P564" s="647"/>
      <c r="Q564" s="521"/>
      <c r="R564" s="519"/>
      <c r="S564" s="519"/>
      <c r="T564" s="520"/>
      <c r="U564" s="647"/>
      <c r="V564" s="521"/>
      <c r="W564" s="519"/>
      <c r="X564" s="519"/>
      <c r="Y564" s="520"/>
      <c r="Z564" s="646"/>
      <c r="AA564" s="328">
        <f t="shared" si="89"/>
        <v>0</v>
      </c>
      <c r="AB564" s="298">
        <f t="shared" si="90"/>
        <v>0</v>
      </c>
      <c r="AD564" s="47"/>
      <c r="AE564" s="47"/>
      <c r="AF564" s="319"/>
      <c r="AG564" s="328">
        <f t="shared" si="91"/>
        <v>0</v>
      </c>
      <c r="AI564" s="255"/>
      <c r="AJ564" s="180"/>
      <c r="AK564" s="193"/>
      <c r="AL564" s="193"/>
      <c r="AM564" s="193"/>
      <c r="AN564" s="193"/>
      <c r="AO564" s="193"/>
      <c r="AP564" s="193"/>
      <c r="AQ564" s="367"/>
      <c r="AR564" s="180"/>
      <c r="AS564" s="180"/>
      <c r="AT564" s="180"/>
      <c r="AU564" s="180"/>
      <c r="AV564" s="180"/>
      <c r="AW564" s="180"/>
    </row>
    <row r="565" spans="1:49" s="4" customFormat="1">
      <c r="A565" s="180"/>
      <c r="B565" s="639" t="s">
        <v>533</v>
      </c>
      <c r="C565" s="643"/>
      <c r="D565" s="519"/>
      <c r="E565" s="520"/>
      <c r="F565" s="647"/>
      <c r="G565" s="521"/>
      <c r="H565" s="519"/>
      <c r="I565" s="519"/>
      <c r="J565" s="520"/>
      <c r="K565" s="647"/>
      <c r="L565" s="521"/>
      <c r="M565" s="519"/>
      <c r="N565" s="519"/>
      <c r="O565" s="520"/>
      <c r="P565" s="647"/>
      <c r="Q565" s="521"/>
      <c r="R565" s="519"/>
      <c r="S565" s="519"/>
      <c r="T565" s="520"/>
      <c r="U565" s="647"/>
      <c r="V565" s="521"/>
      <c r="W565" s="519"/>
      <c r="X565" s="519"/>
      <c r="Y565" s="520"/>
      <c r="Z565" s="646"/>
      <c r="AA565" s="328">
        <f t="shared" si="89"/>
        <v>0</v>
      </c>
      <c r="AB565" s="298">
        <f t="shared" si="90"/>
        <v>0</v>
      </c>
      <c r="AD565" s="47"/>
      <c r="AE565" s="47"/>
      <c r="AF565" s="319"/>
      <c r="AG565" s="328">
        <f t="shared" si="91"/>
        <v>0</v>
      </c>
      <c r="AI565" s="255"/>
      <c r="AJ565" s="180"/>
      <c r="AK565" s="193"/>
      <c r="AL565" s="193"/>
      <c r="AM565" s="193"/>
      <c r="AN565" s="193"/>
      <c r="AO565" s="193"/>
      <c r="AP565" s="193"/>
      <c r="AQ565" s="180"/>
      <c r="AR565" s="180"/>
      <c r="AS565" s="180"/>
      <c r="AT565" s="180"/>
      <c r="AU565" s="180"/>
      <c r="AV565" s="180"/>
      <c r="AW565" s="180"/>
    </row>
    <row r="566" spans="1:49" s="4" customFormat="1">
      <c r="A566" s="180"/>
      <c r="B566" s="502" t="s">
        <v>483</v>
      </c>
      <c r="C566" s="47"/>
      <c r="D566" s="47"/>
      <c r="E566" s="319">
        <v>8</v>
      </c>
      <c r="F566" s="646">
        <v>1</v>
      </c>
      <c r="H566" s="47"/>
      <c r="I566" s="47"/>
      <c r="J566" s="319">
        <v>3.25</v>
      </c>
      <c r="K566" s="646"/>
      <c r="M566" s="47"/>
      <c r="N566" s="47"/>
      <c r="O566" s="319">
        <v>8</v>
      </c>
      <c r="P566" s="646"/>
      <c r="R566" s="47"/>
      <c r="S566" s="47"/>
      <c r="T566" s="319">
        <v>8</v>
      </c>
      <c r="U566" s="646"/>
      <c r="W566" s="47"/>
      <c r="X566" s="47"/>
      <c r="Y566" s="319"/>
      <c r="Z566" s="646"/>
      <c r="AA566" s="328">
        <f t="shared" si="89"/>
        <v>27.25</v>
      </c>
      <c r="AB566" s="298">
        <f t="shared" si="90"/>
        <v>1</v>
      </c>
      <c r="AD566" s="47"/>
      <c r="AE566" s="47"/>
      <c r="AF566" s="319"/>
      <c r="AG566" s="328">
        <f t="shared" si="91"/>
        <v>0</v>
      </c>
      <c r="AI566" s="255"/>
      <c r="AJ566" s="180"/>
      <c r="AK566" s="193"/>
      <c r="AL566" s="193"/>
      <c r="AM566" s="193"/>
      <c r="AN566" s="193"/>
      <c r="AO566" s="193"/>
      <c r="AP566" s="193"/>
      <c r="AQ566" s="180"/>
      <c r="AR566" s="180"/>
      <c r="AS566" s="180"/>
      <c r="AT566" s="180"/>
      <c r="AU566" s="180"/>
      <c r="AV566" s="180"/>
      <c r="AW566" s="180"/>
    </row>
    <row r="567" spans="1:49" s="4" customFormat="1">
      <c r="A567" s="180"/>
      <c r="B567" s="502" t="s">
        <v>484</v>
      </c>
      <c r="C567" s="47"/>
      <c r="D567" s="47"/>
      <c r="E567" s="319">
        <v>8</v>
      </c>
      <c r="F567" s="646">
        <v>1</v>
      </c>
      <c r="H567" s="47"/>
      <c r="I567" s="47"/>
      <c r="J567" s="319">
        <v>1</v>
      </c>
      <c r="K567" s="646"/>
      <c r="M567" s="47"/>
      <c r="N567" s="47"/>
      <c r="O567" s="319">
        <v>8</v>
      </c>
      <c r="P567" s="646"/>
      <c r="R567" s="47"/>
      <c r="S567" s="47"/>
      <c r="T567" s="319">
        <v>8</v>
      </c>
      <c r="U567" s="646"/>
      <c r="W567" s="47"/>
      <c r="X567" s="47"/>
      <c r="Y567" s="319"/>
      <c r="Z567" s="646"/>
      <c r="AA567" s="328">
        <f t="shared" si="89"/>
        <v>25</v>
      </c>
      <c r="AB567" s="298">
        <f t="shared" si="90"/>
        <v>1</v>
      </c>
      <c r="AD567" s="47"/>
      <c r="AE567" s="47"/>
      <c r="AF567" s="319"/>
      <c r="AG567" s="328">
        <f t="shared" si="91"/>
        <v>0</v>
      </c>
      <c r="AI567" s="255"/>
      <c r="AJ567" s="180"/>
      <c r="AK567" s="193"/>
      <c r="AL567" s="193"/>
      <c r="AM567" s="193"/>
      <c r="AN567" s="193"/>
      <c r="AO567" s="193"/>
      <c r="AP567" s="193"/>
      <c r="AQ567" s="180"/>
      <c r="AR567" s="180"/>
      <c r="AS567" s="180"/>
      <c r="AT567" s="180"/>
      <c r="AU567" s="180"/>
      <c r="AV567" s="180"/>
      <c r="AW567" s="180"/>
    </row>
    <row r="568" spans="1:49" s="4" customFormat="1">
      <c r="A568" s="180"/>
      <c r="B568" s="502" t="s">
        <v>485</v>
      </c>
      <c r="C568" s="47"/>
      <c r="D568" s="47"/>
      <c r="E568" s="319">
        <v>8</v>
      </c>
      <c r="F568" s="646">
        <v>1</v>
      </c>
      <c r="H568" s="47"/>
      <c r="I568" s="47"/>
      <c r="J568" s="319">
        <v>8</v>
      </c>
      <c r="K568" s="646"/>
      <c r="M568" s="47"/>
      <c r="N568" s="47"/>
      <c r="O568" s="319">
        <v>8</v>
      </c>
      <c r="P568" s="646"/>
      <c r="R568" s="47"/>
      <c r="S568" s="47"/>
      <c r="T568" s="319">
        <v>8</v>
      </c>
      <c r="U568" s="646"/>
      <c r="W568" s="47"/>
      <c r="X568" s="47"/>
      <c r="Y568" s="319"/>
      <c r="Z568" s="646"/>
      <c r="AA568" s="328">
        <f t="shared" si="89"/>
        <v>32</v>
      </c>
      <c r="AB568" s="298">
        <f t="shared" si="90"/>
        <v>1</v>
      </c>
      <c r="AD568" s="47"/>
      <c r="AE568" s="47"/>
      <c r="AF568" s="319"/>
      <c r="AG568" s="328">
        <f t="shared" si="91"/>
        <v>0</v>
      </c>
      <c r="AI568" s="255"/>
      <c r="AJ568" s="180"/>
      <c r="AK568" s="193"/>
      <c r="AL568" s="193"/>
      <c r="AM568" s="193"/>
      <c r="AN568" s="193"/>
      <c r="AO568" s="193"/>
      <c r="AP568" s="193"/>
      <c r="AQ568" s="180"/>
      <c r="AR568" s="180"/>
      <c r="AS568" s="180"/>
      <c r="AT568" s="180"/>
      <c r="AU568" s="180"/>
      <c r="AV568" s="180"/>
      <c r="AW568" s="180"/>
    </row>
    <row r="569" spans="1:49" s="4" customFormat="1">
      <c r="A569" s="180"/>
      <c r="B569" s="502" t="s">
        <v>486</v>
      </c>
      <c r="C569" s="5"/>
      <c r="D569" s="5"/>
      <c r="E569" s="319"/>
      <c r="F569" s="646"/>
      <c r="H569" s="5"/>
      <c r="I569" s="5"/>
      <c r="J569" s="319"/>
      <c r="K569" s="646"/>
      <c r="M569" s="5"/>
      <c r="N569" s="5"/>
      <c r="O569" s="319"/>
      <c r="P569" s="646"/>
      <c r="R569" s="5"/>
      <c r="S569" s="5"/>
      <c r="T569" s="319"/>
      <c r="U569" s="646"/>
      <c r="W569" s="5"/>
      <c r="X569" s="5"/>
      <c r="Y569" s="319"/>
      <c r="Z569" s="646"/>
      <c r="AA569" s="328">
        <f t="shared" si="89"/>
        <v>0</v>
      </c>
      <c r="AB569" s="298">
        <f t="shared" si="90"/>
        <v>0</v>
      </c>
      <c r="AD569" s="47"/>
      <c r="AE569" s="47"/>
      <c r="AF569" s="319"/>
      <c r="AG569" s="328">
        <f t="shared" si="91"/>
        <v>0</v>
      </c>
      <c r="AI569" s="255"/>
      <c r="AJ569" s="180"/>
      <c r="AK569" s="193"/>
      <c r="AL569" s="193"/>
      <c r="AM569" s="193"/>
      <c r="AN569" s="193"/>
      <c r="AO569" s="193"/>
      <c r="AP569" s="193"/>
      <c r="AQ569" s="180"/>
      <c r="AR569" s="180"/>
      <c r="AS569" s="180"/>
      <c r="AT569" s="180"/>
      <c r="AU569" s="180"/>
      <c r="AV569" s="180"/>
      <c r="AW569" s="180"/>
    </row>
    <row r="570" spans="1:49" s="4" customFormat="1">
      <c r="A570" s="180"/>
      <c r="B570" s="63" t="s">
        <v>63</v>
      </c>
      <c r="C570" s="663"/>
      <c r="D570" s="663"/>
      <c r="E570" s="319">
        <v>8</v>
      </c>
      <c r="F570" s="646"/>
      <c r="H570" s="663"/>
      <c r="I570" s="663"/>
      <c r="J570" s="319">
        <v>8</v>
      </c>
      <c r="K570" s="646"/>
      <c r="M570" s="47"/>
      <c r="N570" s="47"/>
      <c r="O570" s="319">
        <v>8</v>
      </c>
      <c r="P570" s="646">
        <v>1.5</v>
      </c>
      <c r="R570" s="663"/>
      <c r="S570" s="663"/>
      <c r="T570" s="319">
        <v>8</v>
      </c>
      <c r="U570" s="646"/>
      <c r="W570" s="663"/>
      <c r="X570" s="663"/>
      <c r="Y570" s="319">
        <v>8</v>
      </c>
      <c r="Z570" s="646"/>
      <c r="AA570" s="328">
        <f t="shared" si="89"/>
        <v>40</v>
      </c>
      <c r="AB570" s="298">
        <f t="shared" si="90"/>
        <v>1.5</v>
      </c>
      <c r="AD570" s="47"/>
      <c r="AE570" s="47"/>
      <c r="AF570" s="319"/>
      <c r="AG570" s="328">
        <f t="shared" si="91"/>
        <v>0</v>
      </c>
      <c r="AI570" s="255"/>
      <c r="AJ570" s="180"/>
      <c r="AK570" s="193"/>
      <c r="AL570" s="193"/>
      <c r="AM570" s="193"/>
      <c r="AN570" s="193"/>
      <c r="AO570" s="193"/>
      <c r="AP570" s="193"/>
      <c r="AQ570" s="180"/>
      <c r="AR570" s="180"/>
      <c r="AS570" s="180"/>
      <c r="AT570" s="180"/>
      <c r="AU570" s="180"/>
      <c r="AV570" s="180"/>
      <c r="AW570" s="180"/>
    </row>
    <row r="571" spans="1:49" s="4" customFormat="1">
      <c r="A571" s="180"/>
      <c r="B571" s="267" t="s">
        <v>358</v>
      </c>
      <c r="C571" s="663"/>
      <c r="D571" s="663"/>
      <c r="E571" s="319">
        <v>7</v>
      </c>
      <c r="F571" s="646"/>
      <c r="G571" s="438"/>
      <c r="H571" s="663"/>
      <c r="I571" s="663"/>
      <c r="J571" s="319">
        <v>6</v>
      </c>
      <c r="K571" s="646"/>
      <c r="L571" s="438"/>
      <c r="M571" s="663"/>
      <c r="N571" s="663"/>
      <c r="O571" s="319">
        <v>7</v>
      </c>
      <c r="P571" s="646"/>
      <c r="Q571" s="438"/>
      <c r="R571" s="663"/>
      <c r="S571" s="663"/>
      <c r="T571" s="319">
        <v>6</v>
      </c>
      <c r="U571" s="646"/>
      <c r="V571" s="438"/>
      <c r="W571" s="663"/>
      <c r="X571" s="663"/>
      <c r="Y571" s="319">
        <v>6</v>
      </c>
      <c r="Z571" s="646"/>
      <c r="AA571" s="328">
        <f t="shared" si="89"/>
        <v>32</v>
      </c>
      <c r="AB571" s="298">
        <f t="shared" si="90"/>
        <v>0</v>
      </c>
      <c r="AD571" s="47"/>
      <c r="AE571" s="47"/>
      <c r="AF571" s="319"/>
      <c r="AG571" s="328">
        <f t="shared" si="91"/>
        <v>0</v>
      </c>
      <c r="AI571" s="255"/>
      <c r="AJ571" s="180"/>
      <c r="AK571" s="193"/>
      <c r="AL571" s="193"/>
      <c r="AM571" s="193"/>
      <c r="AN571" s="193"/>
      <c r="AO571" s="193"/>
      <c r="AP571" s="193"/>
      <c r="AQ571" s="180"/>
      <c r="AR571" s="180"/>
      <c r="AS571" s="180"/>
      <c r="AT571" s="180"/>
      <c r="AU571" s="180"/>
      <c r="AV571" s="180"/>
      <c r="AW571" s="180"/>
    </row>
    <row r="572" spans="1:49" s="193" customFormat="1">
      <c r="A572" s="180"/>
      <c r="B572" s="267" t="s">
        <v>991</v>
      </c>
      <c r="C572" s="5"/>
      <c r="D572" s="5"/>
      <c r="E572" s="319"/>
      <c r="F572" s="646"/>
      <c r="G572" s="438"/>
      <c r="H572" s="5"/>
      <c r="I572" s="5"/>
      <c r="J572" s="319"/>
      <c r="K572" s="646"/>
      <c r="L572" s="438"/>
      <c r="M572" s="5"/>
      <c r="N572" s="5"/>
      <c r="O572" s="319"/>
      <c r="P572" s="646"/>
      <c r="Q572" s="438"/>
      <c r="R572" s="5"/>
      <c r="S572" s="5"/>
      <c r="T572" s="319"/>
      <c r="U572" s="646"/>
      <c r="V572" s="438"/>
      <c r="W572" s="5"/>
      <c r="X572" s="5"/>
      <c r="Y572" s="319"/>
      <c r="Z572" s="646"/>
      <c r="AA572" s="328">
        <f t="shared" si="89"/>
        <v>0</v>
      </c>
      <c r="AB572" s="298">
        <f t="shared" si="90"/>
        <v>0</v>
      </c>
      <c r="AC572" s="4"/>
      <c r="AD572" s="47"/>
      <c r="AE572" s="47"/>
      <c r="AF572" s="319"/>
      <c r="AG572" s="328">
        <f t="shared" si="91"/>
        <v>0</v>
      </c>
      <c r="AH572" s="4"/>
      <c r="AI572" s="255"/>
      <c r="AJ572" s="180"/>
      <c r="AQ572" s="180"/>
      <c r="AR572" s="180"/>
      <c r="AS572" s="180"/>
      <c r="AT572" s="180"/>
      <c r="AU572" s="180"/>
      <c r="AV572" s="180"/>
      <c r="AW572" s="180"/>
    </row>
    <row r="573" spans="1:49" s="193" customFormat="1">
      <c r="A573" s="180"/>
      <c r="B573" s="267" t="s">
        <v>411</v>
      </c>
      <c r="C573" s="5"/>
      <c r="D573" s="5"/>
      <c r="E573" s="319"/>
      <c r="F573" s="646"/>
      <c r="G573" s="438"/>
      <c r="H573" s="5"/>
      <c r="I573" s="5"/>
      <c r="J573" s="319"/>
      <c r="K573" s="646"/>
      <c r="L573" s="438"/>
      <c r="M573" s="5"/>
      <c r="N573" s="5"/>
      <c r="O573" s="319"/>
      <c r="P573" s="646"/>
      <c r="Q573" s="438"/>
      <c r="R573" s="5"/>
      <c r="S573" s="5"/>
      <c r="T573" s="319"/>
      <c r="U573" s="646"/>
      <c r="V573" s="438"/>
      <c r="W573" s="5"/>
      <c r="X573" s="5"/>
      <c r="Y573" s="319"/>
      <c r="Z573" s="646"/>
      <c r="AA573" s="328">
        <f t="shared" si="89"/>
        <v>0</v>
      </c>
      <c r="AB573" s="298">
        <f t="shared" si="90"/>
        <v>0</v>
      </c>
      <c r="AC573" s="4"/>
      <c r="AD573" s="47"/>
      <c r="AE573" s="47"/>
      <c r="AF573" s="319"/>
      <c r="AG573" s="328">
        <f t="shared" si="91"/>
        <v>0</v>
      </c>
      <c r="AH573" s="4"/>
      <c r="AI573" s="255"/>
      <c r="AJ573" s="180"/>
      <c r="AQ573" s="180"/>
      <c r="AR573" s="180"/>
      <c r="AS573" s="180"/>
      <c r="AT573" s="180"/>
      <c r="AU573" s="180"/>
      <c r="AV573" s="180"/>
      <c r="AW573" s="180"/>
    </row>
    <row r="574" spans="1:49" s="193" customFormat="1">
      <c r="A574" s="180"/>
      <c r="B574" s="267" t="s">
        <v>361</v>
      </c>
      <c r="C574" s="5"/>
      <c r="D574" s="5"/>
      <c r="E574" s="319"/>
      <c r="F574" s="646"/>
      <c r="G574" s="438"/>
      <c r="H574" s="5"/>
      <c r="I574" s="5"/>
      <c r="J574" s="319"/>
      <c r="K574" s="646"/>
      <c r="L574" s="438"/>
      <c r="M574" s="5"/>
      <c r="N574" s="5"/>
      <c r="O574" s="319"/>
      <c r="P574" s="646"/>
      <c r="Q574" s="438"/>
      <c r="R574" s="5"/>
      <c r="S574" s="5"/>
      <c r="T574" s="319"/>
      <c r="U574" s="646"/>
      <c r="V574" s="438"/>
      <c r="W574" s="5"/>
      <c r="X574" s="5"/>
      <c r="Y574" s="319"/>
      <c r="Z574" s="646"/>
      <c r="AA574" s="328">
        <f t="shared" si="89"/>
        <v>0</v>
      </c>
      <c r="AB574" s="298">
        <f t="shared" si="90"/>
        <v>0</v>
      </c>
      <c r="AC574" s="4"/>
      <c r="AD574" s="47"/>
      <c r="AE574" s="47"/>
      <c r="AF574" s="319"/>
      <c r="AG574" s="328">
        <f t="shared" si="91"/>
        <v>0</v>
      </c>
      <c r="AH574" s="4"/>
      <c r="AI574" s="255"/>
      <c r="AJ574" s="180"/>
      <c r="AQ574" s="180"/>
      <c r="AR574" s="180"/>
      <c r="AS574" s="180"/>
      <c r="AT574" s="180"/>
      <c r="AU574" s="180"/>
      <c r="AV574" s="180"/>
      <c r="AW574" s="180"/>
    </row>
    <row r="575" spans="1:49" s="193" customFormat="1">
      <c r="A575" s="180"/>
      <c r="B575" s="267" t="s">
        <v>362</v>
      </c>
      <c r="C575" s="47"/>
      <c r="D575" s="47"/>
      <c r="E575" s="319">
        <v>2</v>
      </c>
      <c r="F575" s="646"/>
      <c r="G575" s="438"/>
      <c r="H575" s="47"/>
      <c r="I575" s="47"/>
      <c r="J575" s="319">
        <v>1</v>
      </c>
      <c r="K575" s="646"/>
      <c r="L575" s="438"/>
      <c r="M575" s="47"/>
      <c r="N575" s="47"/>
      <c r="O575" s="319">
        <v>2</v>
      </c>
      <c r="P575" s="646"/>
      <c r="Q575" s="438"/>
      <c r="R575" s="47"/>
      <c r="S575" s="47"/>
      <c r="T575" s="319">
        <v>1</v>
      </c>
      <c r="U575" s="646"/>
      <c r="V575" s="438"/>
      <c r="W575" s="5"/>
      <c r="X575" s="5"/>
      <c r="Y575" s="319">
        <v>3</v>
      </c>
      <c r="Z575" s="646"/>
      <c r="AA575" s="328">
        <f t="shared" si="89"/>
        <v>9</v>
      </c>
      <c r="AB575" s="298">
        <f t="shared" si="90"/>
        <v>0</v>
      </c>
      <c r="AC575" s="4"/>
      <c r="AD575" s="47"/>
      <c r="AE575" s="47"/>
      <c r="AF575" s="319"/>
      <c r="AG575" s="328">
        <f t="shared" si="91"/>
        <v>0</v>
      </c>
      <c r="AH575" s="4"/>
      <c r="AI575" s="255"/>
      <c r="AJ575" s="180"/>
      <c r="AQ575" s="180"/>
      <c r="AR575" s="180"/>
      <c r="AS575" s="180"/>
      <c r="AT575" s="180"/>
      <c r="AU575" s="180"/>
      <c r="AV575" s="180"/>
      <c r="AW575" s="180"/>
    </row>
    <row r="576" spans="1:49" s="193" customFormat="1">
      <c r="A576" s="180"/>
      <c r="B576" s="267" t="s">
        <v>1019</v>
      </c>
      <c r="C576" s="441" t="s">
        <v>249</v>
      </c>
      <c r="D576" s="441" t="s">
        <v>1020</v>
      </c>
      <c r="E576" s="319">
        <v>2.5</v>
      </c>
      <c r="F576" s="646"/>
      <c r="G576" s="438"/>
      <c r="H576" s="441" t="s">
        <v>249</v>
      </c>
      <c r="I576" s="441" t="s">
        <v>427</v>
      </c>
      <c r="J576" s="319">
        <v>2</v>
      </c>
      <c r="K576" s="646"/>
      <c r="L576" s="438"/>
      <c r="M576" s="441" t="s">
        <v>249</v>
      </c>
      <c r="N576" s="441" t="s">
        <v>427</v>
      </c>
      <c r="O576" s="319">
        <v>2</v>
      </c>
      <c r="P576" s="646"/>
      <c r="Q576" s="438"/>
      <c r="R576" s="441" t="s">
        <v>249</v>
      </c>
      <c r="S576" s="441" t="s">
        <v>427</v>
      </c>
      <c r="T576" s="319">
        <v>2</v>
      </c>
      <c r="U576" s="646"/>
      <c r="V576" s="438"/>
      <c r="W576" s="441" t="s">
        <v>249</v>
      </c>
      <c r="X576" s="441" t="s">
        <v>427</v>
      </c>
      <c r="Y576" s="319">
        <v>2</v>
      </c>
      <c r="Z576" s="646"/>
      <c r="AA576" s="328">
        <f t="shared" si="89"/>
        <v>10.5</v>
      </c>
      <c r="AB576" s="298">
        <f t="shared" si="90"/>
        <v>0</v>
      </c>
      <c r="AC576" s="4"/>
      <c r="AD576" s="47"/>
      <c r="AE576" s="47"/>
      <c r="AF576" s="319"/>
      <c r="AG576" s="328">
        <f t="shared" si="91"/>
        <v>0</v>
      </c>
      <c r="AH576" s="4"/>
      <c r="AI576" s="255"/>
      <c r="AJ576" s="180"/>
      <c r="AQ576" s="180"/>
      <c r="AR576" s="180"/>
      <c r="AS576" s="180"/>
      <c r="AT576" s="180"/>
      <c r="AU576" s="180"/>
      <c r="AV576" s="180"/>
      <c r="AW576" s="180"/>
    </row>
    <row r="577" spans="1:49" s="193" customFormat="1">
      <c r="A577" s="180"/>
      <c r="B577" s="437" t="s">
        <v>1021</v>
      </c>
      <c r="C577" s="5"/>
      <c r="D577" s="5"/>
      <c r="E577" s="319">
        <v>23.1</v>
      </c>
      <c r="F577" s="646"/>
      <c r="G577" s="438"/>
      <c r="H577" s="5"/>
      <c r="I577" s="5"/>
      <c r="J577" s="319">
        <v>61.4</v>
      </c>
      <c r="K577" s="646"/>
      <c r="L577" s="438"/>
      <c r="M577" s="5"/>
      <c r="N577" s="5"/>
      <c r="O577" s="319">
        <v>10.199999999999999</v>
      </c>
      <c r="P577" s="646"/>
      <c r="Q577" s="438"/>
      <c r="R577" s="5"/>
      <c r="S577" s="5"/>
      <c r="T577" s="319">
        <v>10.199999999999999</v>
      </c>
      <c r="U577" s="646"/>
      <c r="V577" s="438"/>
      <c r="W577" s="5"/>
      <c r="X577" s="5"/>
      <c r="Y577" s="319">
        <v>10.199999999999999</v>
      </c>
      <c r="Z577" s="646"/>
      <c r="AA577" s="328">
        <f t="shared" si="89"/>
        <v>115.10000000000001</v>
      </c>
      <c r="AB577" s="298">
        <f t="shared" si="90"/>
        <v>0</v>
      </c>
      <c r="AC577" s="4"/>
      <c r="AD577" s="47"/>
      <c r="AE577" s="47"/>
      <c r="AF577" s="319"/>
      <c r="AG577" s="328">
        <f t="shared" si="91"/>
        <v>0</v>
      </c>
      <c r="AH577" s="4"/>
      <c r="AI577" s="255"/>
      <c r="AJ577" s="180"/>
      <c r="AQ577" s="180"/>
      <c r="AR577" s="180"/>
      <c r="AS577" s="180"/>
      <c r="AT577" s="180"/>
      <c r="AU577" s="180"/>
      <c r="AV577" s="180"/>
      <c r="AW577" s="180"/>
    </row>
    <row r="578" spans="1:49" s="193" customFormat="1">
      <c r="A578" s="180"/>
      <c r="B578" s="64" t="s">
        <v>61</v>
      </c>
      <c r="C578" s="31"/>
      <c r="D578" s="31"/>
      <c r="E578" s="439">
        <f>SUM(E546:E577)</f>
        <v>130.6</v>
      </c>
      <c r="F578" s="646">
        <f>SUM(F546:F577)</f>
        <v>3</v>
      </c>
      <c r="G578" s="31"/>
      <c r="H578" s="31"/>
      <c r="I578" s="31"/>
      <c r="J578" s="439">
        <f>SUM(J546:J577)</f>
        <v>162.65</v>
      </c>
      <c r="K578" s="646">
        <f>SUM(K546:K577)</f>
        <v>0</v>
      </c>
      <c r="L578" s="31"/>
      <c r="M578" s="31"/>
      <c r="N578" s="31"/>
      <c r="O578" s="439">
        <f>SUM(O546:O577)</f>
        <v>138.19999999999999</v>
      </c>
      <c r="P578" s="646">
        <f>SUM(P546:P577)</f>
        <v>1.5</v>
      </c>
      <c r="Q578" s="31"/>
      <c r="R578" s="31"/>
      <c r="S578" s="31"/>
      <c r="T578" s="439">
        <f>SUM(T546:T577)</f>
        <v>125.7</v>
      </c>
      <c r="U578" s="646">
        <f>SUM(U546:U577)</f>
        <v>1</v>
      </c>
      <c r="V578" s="31"/>
      <c r="W578" s="31"/>
      <c r="X578" s="31"/>
      <c r="Y578" s="439">
        <f>SUM(Y546:Y577)</f>
        <v>101.2</v>
      </c>
      <c r="Z578" s="646">
        <f>SUM(Z546:Z577)</f>
        <v>17</v>
      </c>
      <c r="AA578" s="370">
        <f>SUM(AA546:AA577)</f>
        <v>658.35</v>
      </c>
      <c r="AB578" s="370">
        <f>SUM(AB546:AB577)</f>
        <v>22.5</v>
      </c>
      <c r="AC578" s="4"/>
      <c r="AD578" s="64"/>
      <c r="AE578" s="64"/>
      <c r="AF578" s="370">
        <f>SUM(AF546:AF577)</f>
        <v>0</v>
      </c>
      <c r="AG578" s="370">
        <f>SUM(AG546:AG577)</f>
        <v>0</v>
      </c>
      <c r="AH578" s="4"/>
      <c r="AI578" s="255"/>
      <c r="AJ578" s="180"/>
      <c r="AK578" s="407"/>
      <c r="AQ578" s="180"/>
      <c r="AR578" s="180"/>
      <c r="AS578" s="180"/>
      <c r="AT578" s="180"/>
      <c r="AU578" s="180"/>
      <c r="AV578" s="180"/>
      <c r="AW578" s="180"/>
    </row>
    <row r="579" spans="1:49" s="193" customFormat="1">
      <c r="A579" s="180"/>
      <c r="B579" s="63" t="s">
        <v>64</v>
      </c>
      <c r="C579" s="47"/>
      <c r="D579" s="47"/>
      <c r="E579" s="319">
        <v>6</v>
      </c>
      <c r="F579" s="346">
        <v>1.5</v>
      </c>
      <c r="G579" s="613"/>
      <c r="H579" s="47"/>
      <c r="I579" s="47"/>
      <c r="J579" s="319">
        <v>6</v>
      </c>
      <c r="K579" s="346">
        <v>2</v>
      </c>
      <c r="L579" s="60"/>
      <c r="M579" s="47"/>
      <c r="N579" s="47"/>
      <c r="O579" s="319">
        <v>6</v>
      </c>
      <c r="P579" s="346">
        <v>0.5</v>
      </c>
      <c r="Q579" s="60"/>
      <c r="R579" s="47"/>
      <c r="S579" s="47"/>
      <c r="T579" s="319">
        <v>6</v>
      </c>
      <c r="U579" s="346">
        <v>1.5</v>
      </c>
      <c r="V579" s="60"/>
      <c r="W579" s="47"/>
      <c r="X579" s="47"/>
      <c r="Y579" s="319">
        <v>5</v>
      </c>
      <c r="Z579" s="346">
        <v>0.75</v>
      </c>
      <c r="AA579" s="28">
        <f>SUM(E579+J579+O579+T579+Y579)</f>
        <v>29</v>
      </c>
      <c r="AB579" s="296">
        <f>Z579+U579+P579+K579+F579</f>
        <v>6.25</v>
      </c>
      <c r="AC579" s="4"/>
      <c r="AD579" s="47" t="s">
        <v>29</v>
      </c>
      <c r="AE579" s="47" t="s">
        <v>29</v>
      </c>
      <c r="AF579" s="319">
        <v>2</v>
      </c>
      <c r="AG579" s="29">
        <f>AF579</f>
        <v>2</v>
      </c>
      <c r="AH579" s="4"/>
      <c r="AI579" s="255"/>
      <c r="AJ579" s="180"/>
      <c r="AK579" s="407"/>
      <c r="AQ579" s="180"/>
      <c r="AR579" s="180"/>
      <c r="AS579" s="180"/>
      <c r="AT579" s="180"/>
      <c r="AU579" s="180"/>
      <c r="AV579" s="180"/>
      <c r="AW579" s="180"/>
    </row>
    <row r="580" spans="1:49" s="193" customFormat="1">
      <c r="A580" s="180"/>
      <c r="B580" s="71" t="s">
        <v>66</v>
      </c>
      <c r="C580" s="371"/>
      <c r="D580" s="371"/>
      <c r="E580" s="71"/>
      <c r="F580" s="613"/>
      <c r="G580" s="71"/>
      <c r="H580" s="71"/>
      <c r="I580" s="71"/>
      <c r="J580" s="71"/>
      <c r="K580" s="613"/>
      <c r="L580" s="71"/>
      <c r="M580" s="71"/>
      <c r="N580" s="71"/>
      <c r="O580" s="71"/>
      <c r="P580" s="613"/>
      <c r="Q580" s="71"/>
      <c r="R580" s="71"/>
      <c r="S580" s="71"/>
      <c r="T580" s="71"/>
      <c r="U580" s="613"/>
      <c r="V580" s="71"/>
      <c r="W580" s="71"/>
      <c r="X580" s="71"/>
      <c r="Y580" s="71"/>
      <c r="Z580" s="613"/>
      <c r="AA580" s="370">
        <f>SUM(AA579:AA579)</f>
        <v>29</v>
      </c>
      <c r="AB580" s="370">
        <f>SUM(AB579:AB579)</f>
        <v>6.25</v>
      </c>
      <c r="AC580" s="4"/>
      <c r="AD580" s="180"/>
      <c r="AE580" s="180"/>
      <c r="AF580" s="180"/>
      <c r="AG580" s="370">
        <f>SUM(AG579:AG579)</f>
        <v>2</v>
      </c>
      <c r="AH580" s="4"/>
      <c r="AI580" s="255"/>
      <c r="AJ580" s="180"/>
      <c r="AK580" s="407"/>
      <c r="AQ580" s="180"/>
      <c r="AR580" s="180"/>
      <c r="AS580" s="180"/>
      <c r="AT580" s="180"/>
      <c r="AU580" s="180"/>
      <c r="AV580" s="180"/>
      <c r="AW580" s="180"/>
    </row>
    <row r="581" spans="1:49" s="193" customFormat="1">
      <c r="A581" s="180"/>
      <c r="B581" s="217" t="s">
        <v>67</v>
      </c>
      <c r="C581" s="207">
        <f>C582+C583</f>
        <v>47</v>
      </c>
      <c r="D581" s="207"/>
      <c r="E581" s="209"/>
      <c r="F581" s="209"/>
      <c r="G581" s="207"/>
      <c r="H581" s="209"/>
      <c r="I581" s="209"/>
      <c r="J581" s="209"/>
      <c r="K581" s="209"/>
      <c r="L581" s="207"/>
      <c r="M581" s="207"/>
      <c r="N581" s="207"/>
      <c r="O581" s="207"/>
      <c r="P581" s="209"/>
      <c r="Q581" s="207"/>
      <c r="R581" s="207"/>
      <c r="S581" s="207"/>
      <c r="T581" s="207"/>
      <c r="U581" s="209"/>
      <c r="V581" s="207"/>
      <c r="W581" s="207"/>
      <c r="X581" s="207"/>
      <c r="Y581" s="210"/>
      <c r="Z581" s="209"/>
      <c r="AA581" s="211"/>
      <c r="AB581" s="209"/>
      <c r="AC581" s="211"/>
      <c r="AD581" s="211"/>
      <c r="AE581" s="211"/>
      <c r="AF581" s="211"/>
      <c r="AG581" s="211"/>
      <c r="AH581" s="4"/>
      <c r="AI581" s="255"/>
      <c r="AJ581" s="180"/>
      <c r="AQ581" s="180"/>
      <c r="AR581" s="180"/>
      <c r="AS581" s="180"/>
      <c r="AT581" s="180"/>
      <c r="AU581" s="180"/>
      <c r="AV581" s="180"/>
      <c r="AW581" s="180"/>
    </row>
    <row r="582" spans="1:49" s="193" customFormat="1">
      <c r="A582" s="180"/>
      <c r="B582" s="238" t="s">
        <v>68</v>
      </c>
      <c r="C582" s="239">
        <f>8+9+11+10+9</f>
        <v>47</v>
      </c>
      <c r="D582" s="207"/>
      <c r="E582" s="209"/>
      <c r="F582" s="209"/>
      <c r="G582" s="207"/>
      <c r="H582" s="209"/>
      <c r="I582" s="209"/>
      <c r="J582" s="209"/>
      <c r="K582" s="209"/>
      <c r="L582" s="207"/>
      <c r="M582" s="207"/>
      <c r="N582" s="207"/>
      <c r="O582" s="207"/>
      <c r="P582" s="209"/>
      <c r="Q582" s="207"/>
      <c r="R582" s="207"/>
      <c r="S582" s="207"/>
      <c r="T582" s="207"/>
      <c r="U582" s="209"/>
      <c r="V582" s="207"/>
      <c r="W582" s="207"/>
      <c r="X582" s="207"/>
      <c r="Y582" s="210"/>
      <c r="Z582" s="209"/>
      <c r="AA582" s="211"/>
      <c r="AB582" s="209"/>
      <c r="AC582" s="211"/>
      <c r="AD582" s="211"/>
      <c r="AE582" s="211"/>
      <c r="AF582" s="211"/>
      <c r="AG582" s="211"/>
      <c r="AH582" s="4"/>
      <c r="AI582" s="255"/>
      <c r="AJ582" s="180"/>
      <c r="AQ582" s="180"/>
      <c r="AR582" s="180"/>
      <c r="AS582" s="180"/>
      <c r="AT582" s="180"/>
      <c r="AU582" s="180"/>
      <c r="AV582" s="180"/>
      <c r="AW582" s="180"/>
    </row>
    <row r="583" spans="1:49" s="193" customFormat="1">
      <c r="A583" s="180"/>
      <c r="B583" s="238" t="s">
        <v>69</v>
      </c>
      <c r="C583" s="239"/>
      <c r="D583" s="207"/>
      <c r="E583" s="209"/>
      <c r="F583" s="209"/>
      <c r="G583" s="207"/>
      <c r="H583" s="209"/>
      <c r="I583" s="209"/>
      <c r="J583" s="209"/>
      <c r="K583" s="209"/>
      <c r="L583" s="207"/>
      <c r="M583" s="207"/>
      <c r="N583" s="207"/>
      <c r="O583" s="207"/>
      <c r="P583" s="209"/>
      <c r="Q583" s="207"/>
      <c r="R583" s="207"/>
      <c r="S583" s="207"/>
      <c r="T583" s="207"/>
      <c r="U583" s="209"/>
      <c r="V583" s="207"/>
      <c r="W583" s="207"/>
      <c r="X583" s="207"/>
      <c r="Y583" s="210"/>
      <c r="Z583" s="209"/>
      <c r="AA583" s="211"/>
      <c r="AB583" s="209"/>
      <c r="AC583" s="211"/>
      <c r="AD583" s="211"/>
      <c r="AE583" s="211"/>
      <c r="AF583" s="211"/>
      <c r="AG583" s="211"/>
      <c r="AH583" s="4"/>
      <c r="AI583" s="255"/>
      <c r="AJ583" s="180"/>
      <c r="AQ583" s="180"/>
      <c r="AR583" s="180"/>
      <c r="AS583" s="180"/>
      <c r="AT583" s="180"/>
      <c r="AU583" s="180"/>
      <c r="AV583" s="180"/>
      <c r="AW583" s="180"/>
    </row>
    <row r="584" spans="1:49" s="180" customFormat="1">
      <c r="A584" s="313"/>
      <c r="E584" s="4"/>
      <c r="F584" s="644"/>
      <c r="G584" s="4"/>
      <c r="J584" s="4"/>
      <c r="K584" s="644"/>
      <c r="L584" s="4"/>
      <c r="O584" s="4"/>
      <c r="P584" s="644"/>
      <c r="Q584" s="4"/>
      <c r="T584" s="4"/>
      <c r="U584" s="644"/>
      <c r="V584" s="4"/>
      <c r="Y584" s="4"/>
      <c r="Z584" s="644"/>
      <c r="AA584" s="4"/>
      <c r="AB584" s="4"/>
      <c r="AC584" s="4"/>
      <c r="AH584" s="4"/>
      <c r="AI584" s="255"/>
      <c r="AK584" s="193"/>
      <c r="AL584" s="193"/>
      <c r="AM584" s="193"/>
      <c r="AN584" s="193"/>
      <c r="AO584" s="193"/>
      <c r="AP584" s="193"/>
    </row>
    <row r="585" spans="1:49">
      <c r="A585" s="180"/>
      <c r="B585" s="229"/>
      <c r="C585" s="230"/>
      <c r="D585" s="230"/>
      <c r="E585" s="232"/>
      <c r="F585" s="232"/>
      <c r="G585" s="230"/>
      <c r="H585" s="232"/>
      <c r="I585" s="232"/>
      <c r="J585" s="232"/>
      <c r="K585" s="232"/>
      <c r="L585" s="230"/>
      <c r="M585" s="230"/>
      <c r="N585" s="230"/>
      <c r="O585" s="230"/>
      <c r="P585" s="232"/>
      <c r="Q585" s="230"/>
      <c r="R585" s="230"/>
      <c r="S585" s="230"/>
      <c r="T585" s="230"/>
      <c r="U585" s="232"/>
      <c r="V585" s="230"/>
      <c r="W585" s="230"/>
      <c r="X585" s="230"/>
      <c r="Y585" s="233"/>
      <c r="Z585" s="232"/>
      <c r="AA585" s="234"/>
      <c r="AB585" s="232"/>
      <c r="AC585" s="373"/>
      <c r="AD585" s="236"/>
      <c r="AE585" s="255"/>
      <c r="AF585" s="255"/>
      <c r="AG585" s="255"/>
      <c r="AH585" s="255"/>
      <c r="AJ585" s="255"/>
      <c r="AK585" s="255"/>
      <c r="AL585" s="255"/>
      <c r="AM585" s="255"/>
      <c r="AN585" s="255"/>
      <c r="AO585" s="255"/>
      <c r="AP585" s="255"/>
      <c r="AQ585" s="255"/>
      <c r="AR585" s="255"/>
      <c r="AS585" s="255"/>
      <c r="AT585" s="255"/>
      <c r="AU585" s="255"/>
      <c r="AV585" s="255"/>
      <c r="AW585" s="255"/>
    </row>
    <row r="586" spans="1:49">
      <c r="B586" s="180"/>
      <c r="E586" s="4"/>
      <c r="F586" s="644"/>
      <c r="G586" s="4"/>
      <c r="J586" s="4"/>
      <c r="K586" s="644"/>
      <c r="L586" s="4"/>
      <c r="O586" s="4"/>
      <c r="P586" s="644"/>
      <c r="T586" s="4"/>
      <c r="U586" s="644"/>
      <c r="Y586" s="4"/>
      <c r="Z586" s="644"/>
      <c r="AA586" s="4"/>
      <c r="AB586" s="4"/>
      <c r="AC586" s="4"/>
      <c r="AK586" s="180"/>
      <c r="AL586" s="180"/>
      <c r="AM586" s="180"/>
      <c r="AN586" s="180"/>
      <c r="AO586" s="180"/>
      <c r="AP586" s="180"/>
    </row>
    <row r="587" spans="1:49">
      <c r="A587" s="228"/>
      <c r="B587" s="1518" t="s">
        <v>18</v>
      </c>
      <c r="C587" s="1519">
        <v>45635</v>
      </c>
      <c r="D587" s="1519"/>
      <c r="E587" s="1519"/>
      <c r="F587" s="1519"/>
      <c r="G587" s="365"/>
      <c r="H587" s="1519">
        <v>45636</v>
      </c>
      <c r="I587" s="1519"/>
      <c r="J587" s="1519"/>
      <c r="K587" s="1519"/>
      <c r="L587" s="365"/>
      <c r="M587" s="1519">
        <v>45637</v>
      </c>
      <c r="N587" s="1519"/>
      <c r="O587" s="1519"/>
      <c r="P587" s="1519"/>
      <c r="Q587" s="365"/>
      <c r="R587" s="1519">
        <v>45638</v>
      </c>
      <c r="S587" s="1519"/>
      <c r="T587" s="1519"/>
      <c r="U587" s="1519"/>
      <c r="V587" s="365"/>
      <c r="W587" s="1519">
        <v>45639</v>
      </c>
      <c r="X587" s="1519"/>
      <c r="Y587" s="1519"/>
      <c r="Z587" s="1519"/>
      <c r="AA587" s="1517" t="s">
        <v>19</v>
      </c>
      <c r="AB587" s="1517" t="s">
        <v>20</v>
      </c>
      <c r="AC587" s="4"/>
      <c r="AD587" s="1519"/>
      <c r="AE587" s="1519"/>
      <c r="AF587" s="1519"/>
      <c r="AG587" s="1517" t="s">
        <v>21</v>
      </c>
      <c r="AI587" s="368"/>
      <c r="AK587" s="194" t="s">
        <v>84</v>
      </c>
      <c r="AL587" s="366"/>
      <c r="AM587" s="366"/>
      <c r="AN587" s="366"/>
      <c r="AO587" s="366"/>
      <c r="AP587" s="366"/>
    </row>
    <row r="588" spans="1:49">
      <c r="A588" s="180"/>
      <c r="B588" s="1518"/>
      <c r="C588" s="21" t="s">
        <v>23</v>
      </c>
      <c r="D588" s="21" t="s">
        <v>24</v>
      </c>
      <c r="E588" s="205" t="s">
        <v>25</v>
      </c>
      <c r="F588" s="645" t="s">
        <v>14</v>
      </c>
      <c r="G588" s="4"/>
      <c r="H588" s="21" t="s">
        <v>23</v>
      </c>
      <c r="I588" s="21" t="s">
        <v>24</v>
      </c>
      <c r="J588" s="18" t="s">
        <v>25</v>
      </c>
      <c r="K588" s="645" t="s">
        <v>14</v>
      </c>
      <c r="L588" s="4"/>
      <c r="M588" s="21" t="s">
        <v>23</v>
      </c>
      <c r="N588" s="21" t="s">
        <v>24</v>
      </c>
      <c r="O588" s="18" t="s">
        <v>25</v>
      </c>
      <c r="P588" s="645" t="s">
        <v>14</v>
      </c>
      <c r="R588" s="21" t="s">
        <v>23</v>
      </c>
      <c r="S588" s="21" t="s">
        <v>24</v>
      </c>
      <c r="T588" s="18" t="s">
        <v>25</v>
      </c>
      <c r="U588" s="645" t="s">
        <v>14</v>
      </c>
      <c r="W588" s="21" t="s">
        <v>23</v>
      </c>
      <c r="X588" s="21" t="s">
        <v>24</v>
      </c>
      <c r="Y588" s="18" t="s">
        <v>25</v>
      </c>
      <c r="Z588" s="645" t="s">
        <v>14</v>
      </c>
      <c r="AA588" s="1517"/>
      <c r="AB588" s="1517"/>
      <c r="AC588" s="4"/>
      <c r="AD588" s="21" t="s">
        <v>23</v>
      </c>
      <c r="AE588" s="21" t="s">
        <v>24</v>
      </c>
      <c r="AF588" s="18" t="s">
        <v>25</v>
      </c>
      <c r="AG588" s="1517"/>
      <c r="AI588" s="368"/>
      <c r="AJ588" s="367"/>
      <c r="AK588" s="188" t="s">
        <v>26</v>
      </c>
      <c r="AL588" s="196">
        <f>AA622</f>
        <v>643.29999999999995</v>
      </c>
      <c r="AM588" s="510">
        <v>39.14</v>
      </c>
      <c r="AN588" s="510">
        <f t="shared" ref="AN588:AN593" si="92">AL588*AM588</f>
        <v>25178.761999999999</v>
      </c>
      <c r="AQ588" s="367"/>
      <c r="AR588" s="367"/>
      <c r="AS588" s="367"/>
      <c r="AT588" s="367"/>
      <c r="AU588" s="367"/>
      <c r="AV588" s="367"/>
      <c r="AW588" s="367"/>
    </row>
    <row r="589" spans="1:49">
      <c r="A589" s="180"/>
      <c r="B589" s="4" t="s">
        <v>958</v>
      </c>
      <c r="C589" s="441" t="s">
        <v>212</v>
      </c>
      <c r="D589" s="441" t="s">
        <v>246</v>
      </c>
      <c r="E589" s="319">
        <v>7.75</v>
      </c>
      <c r="F589" s="646"/>
      <c r="G589" s="4"/>
      <c r="H589" s="47">
        <v>0.38541666666666669</v>
      </c>
      <c r="I589" s="47">
        <v>0.25</v>
      </c>
      <c r="J589" s="319">
        <v>7.75</v>
      </c>
      <c r="K589" s="646"/>
      <c r="L589" s="4"/>
      <c r="M589" s="441" t="s">
        <v>154</v>
      </c>
      <c r="N589" s="441" t="s">
        <v>154</v>
      </c>
      <c r="O589" s="319">
        <v>0</v>
      </c>
      <c r="P589" s="646"/>
      <c r="R589" s="47">
        <v>0.375</v>
      </c>
      <c r="S589" s="47">
        <v>0.25</v>
      </c>
      <c r="T589" s="319">
        <v>8</v>
      </c>
      <c r="U589" s="646"/>
      <c r="W589" s="667" t="s">
        <v>137</v>
      </c>
      <c r="X589" s="565"/>
      <c r="Y589" s="319">
        <v>0</v>
      </c>
      <c r="Z589" s="646"/>
      <c r="AA589" s="328">
        <f t="shared" ref="AA589:AA621" si="93">(E589+J589+O589+T589+Y589)</f>
        <v>23.5</v>
      </c>
      <c r="AB589" s="298">
        <f t="shared" ref="AB589:AB621" si="94">Z589+U589+P589+K589+F589</f>
        <v>0</v>
      </c>
      <c r="AC589" s="4"/>
      <c r="AD589" s="587"/>
      <c r="AE589" s="531"/>
      <c r="AF589" s="319"/>
      <c r="AG589" s="328">
        <f t="shared" ref="AG589:AG621" si="95">AF589</f>
        <v>0</v>
      </c>
      <c r="AI589" s="368"/>
      <c r="AJ589" s="367"/>
      <c r="AK589" s="188" t="s">
        <v>30</v>
      </c>
      <c r="AL589" s="196">
        <f>AB622</f>
        <v>22.25</v>
      </c>
      <c r="AM589" s="511">
        <f>AM588*1.5</f>
        <v>58.71</v>
      </c>
      <c r="AN589" s="510">
        <f t="shared" si="92"/>
        <v>1306.2975000000001</v>
      </c>
      <c r="AQ589" s="367"/>
      <c r="AR589" s="367"/>
      <c r="AS589" s="367"/>
      <c r="AT589" s="367"/>
      <c r="AU589" s="367"/>
      <c r="AV589" s="367"/>
      <c r="AW589" s="367"/>
    </row>
    <row r="590" spans="1:49">
      <c r="A590" s="367"/>
      <c r="B590" s="47" t="s">
        <v>515</v>
      </c>
      <c r="C590" s="441" t="s">
        <v>75</v>
      </c>
      <c r="D590" s="47">
        <v>0.20833333333333334</v>
      </c>
      <c r="E590" s="319">
        <v>7</v>
      </c>
      <c r="F590" s="646"/>
      <c r="G590" s="4"/>
      <c r="H590" s="441" t="s">
        <v>75</v>
      </c>
      <c r="I590" s="47">
        <v>0.25</v>
      </c>
      <c r="J590" s="319">
        <v>8</v>
      </c>
      <c r="K590" s="646"/>
      <c r="L590" s="4"/>
      <c r="M590" s="441" t="s">
        <v>125</v>
      </c>
      <c r="N590" s="47">
        <v>0.20833333333333334</v>
      </c>
      <c r="O590" s="319">
        <v>8</v>
      </c>
      <c r="P590" s="646"/>
      <c r="R590" s="667" t="s">
        <v>960</v>
      </c>
      <c r="S590" s="565"/>
      <c r="T590" s="319">
        <v>0</v>
      </c>
      <c r="U590" s="646"/>
      <c r="W590" s="667" t="s">
        <v>960</v>
      </c>
      <c r="X590" s="565"/>
      <c r="Y590" s="319">
        <v>0</v>
      </c>
      <c r="Z590" s="646"/>
      <c r="AA590" s="328">
        <f t="shared" si="93"/>
        <v>23</v>
      </c>
      <c r="AB590" s="298">
        <f t="shared" si="94"/>
        <v>0</v>
      </c>
      <c r="AC590" s="4"/>
      <c r="AF590" s="319"/>
      <c r="AG590" s="328">
        <f t="shared" si="95"/>
        <v>0</v>
      </c>
      <c r="AH590" s="175"/>
      <c r="AI590" s="402"/>
      <c r="AJ590" s="367"/>
      <c r="AK590" s="188" t="s">
        <v>32</v>
      </c>
      <c r="AL590" s="196">
        <f>AG622</f>
        <v>0</v>
      </c>
      <c r="AM590" s="510">
        <v>58.71</v>
      </c>
      <c r="AN590" s="510">
        <f t="shared" si="92"/>
        <v>0</v>
      </c>
      <c r="AQ590" s="367"/>
      <c r="AR590" s="367"/>
      <c r="AS590" s="367"/>
      <c r="AT590" s="367"/>
      <c r="AU590" s="367"/>
      <c r="AV590" s="367"/>
      <c r="AW590" s="367"/>
    </row>
    <row r="591" spans="1:49">
      <c r="A591" s="367"/>
      <c r="B591" s="441" t="s">
        <v>962</v>
      </c>
      <c r="C591" s="441" t="s">
        <v>75</v>
      </c>
      <c r="D591" s="441" t="s">
        <v>246</v>
      </c>
      <c r="E591" s="319">
        <v>8</v>
      </c>
      <c r="F591" s="646"/>
      <c r="G591" s="4"/>
      <c r="H591" s="441" t="s">
        <v>75</v>
      </c>
      <c r="I591" s="47">
        <v>0.25</v>
      </c>
      <c r="J591" s="319">
        <v>8</v>
      </c>
      <c r="K591" s="646"/>
      <c r="L591" s="4"/>
      <c r="M591" s="667" t="s">
        <v>960</v>
      </c>
      <c r="N591" s="565"/>
      <c r="O591" s="319">
        <v>0</v>
      </c>
      <c r="P591" s="646"/>
      <c r="R591" s="667" t="s">
        <v>960</v>
      </c>
      <c r="S591" s="565"/>
      <c r="T591" s="319">
        <v>0</v>
      </c>
      <c r="U591" s="646"/>
      <c r="W591" s="47">
        <v>0.375</v>
      </c>
      <c r="X591" s="47">
        <v>0.25</v>
      </c>
      <c r="Y591" s="319">
        <v>8</v>
      </c>
      <c r="Z591" s="646"/>
      <c r="AA591" s="328">
        <f t="shared" si="93"/>
        <v>24</v>
      </c>
      <c r="AB591" s="298">
        <f t="shared" si="94"/>
        <v>0</v>
      </c>
      <c r="AC591" s="399"/>
      <c r="AD591" s="47"/>
      <c r="AE591" s="47"/>
      <c r="AF591" s="319"/>
      <c r="AG591" s="328">
        <f t="shared" si="95"/>
        <v>0</v>
      </c>
      <c r="AH591" s="175"/>
      <c r="AJ591" s="401"/>
      <c r="AK591" s="403" t="s">
        <v>213</v>
      </c>
      <c r="AL591" s="404">
        <f>AA624</f>
        <v>36.25</v>
      </c>
      <c r="AM591" s="510">
        <v>51.5</v>
      </c>
      <c r="AN591" s="510">
        <f t="shared" si="92"/>
        <v>1866.875</v>
      </c>
      <c r="AO591" s="405"/>
      <c r="AP591" s="405"/>
      <c r="AQ591" s="367"/>
      <c r="AR591" s="401"/>
      <c r="AS591" s="401"/>
      <c r="AT591" s="401"/>
      <c r="AU591" s="401"/>
      <c r="AV591" s="401"/>
      <c r="AW591" s="401"/>
    </row>
    <row r="592" spans="1:49">
      <c r="A592" s="367"/>
      <c r="B592" s="665" t="s">
        <v>994</v>
      </c>
      <c r="C592" s="667" t="s">
        <v>960</v>
      </c>
      <c r="D592" s="565"/>
      <c r="E592" s="319">
        <v>0</v>
      </c>
      <c r="F592" s="646"/>
      <c r="G592" s="4"/>
      <c r="H592" s="667" t="s">
        <v>960</v>
      </c>
      <c r="I592" s="565"/>
      <c r="J592" s="319">
        <v>0</v>
      </c>
      <c r="K592" s="646"/>
      <c r="L592" s="4"/>
      <c r="M592" s="667" t="s">
        <v>960</v>
      </c>
      <c r="N592" s="565"/>
      <c r="O592" s="319">
        <v>0</v>
      </c>
      <c r="P592" s="646"/>
      <c r="R592" s="667" t="s">
        <v>960</v>
      </c>
      <c r="S592" s="565"/>
      <c r="T592" s="319">
        <v>0</v>
      </c>
      <c r="U592" s="646"/>
      <c r="W592" s="667" t="s">
        <v>960</v>
      </c>
      <c r="X592" s="565"/>
      <c r="Y592" s="319">
        <v>0</v>
      </c>
      <c r="Z592" s="646"/>
      <c r="AA592" s="328">
        <f t="shared" si="93"/>
        <v>0</v>
      </c>
      <c r="AB592" s="298">
        <f t="shared" si="94"/>
        <v>0</v>
      </c>
      <c r="AC592" s="175"/>
      <c r="AD592" s="47"/>
      <c r="AE592" s="47"/>
      <c r="AF592" s="319"/>
      <c r="AG592" s="328">
        <f t="shared" si="95"/>
        <v>0</v>
      </c>
      <c r="AH592" s="175"/>
      <c r="AJ592" s="401"/>
      <c r="AK592" s="188" t="s">
        <v>36</v>
      </c>
      <c r="AL592" s="196">
        <f>AB624</f>
        <v>13.75</v>
      </c>
      <c r="AM592" s="510">
        <f>AM591*1.5</f>
        <v>77.25</v>
      </c>
      <c r="AN592" s="510">
        <f t="shared" si="92"/>
        <v>1062.1875</v>
      </c>
      <c r="AO592" s="405"/>
      <c r="AP592" s="405"/>
      <c r="AQ592" s="367"/>
      <c r="AR592" s="401"/>
      <c r="AS592" s="401"/>
      <c r="AT592" s="401"/>
      <c r="AU592" s="401"/>
      <c r="AV592" s="401"/>
      <c r="AW592" s="401"/>
    </row>
    <row r="593" spans="1:49">
      <c r="A593" s="367"/>
      <c r="B593" s="47" t="s">
        <v>967</v>
      </c>
      <c r="C593" s="441" t="s">
        <v>154</v>
      </c>
      <c r="D593" s="441" t="s">
        <v>154</v>
      </c>
      <c r="E593" s="319">
        <v>0</v>
      </c>
      <c r="F593" s="646"/>
      <c r="G593" s="4"/>
      <c r="H593" s="441" t="s">
        <v>75</v>
      </c>
      <c r="I593" s="47">
        <v>0.25</v>
      </c>
      <c r="J593" s="319">
        <v>8</v>
      </c>
      <c r="K593" s="646"/>
      <c r="L593" s="4"/>
      <c r="M593" s="47">
        <v>0.375</v>
      </c>
      <c r="N593" s="436">
        <v>0.5</v>
      </c>
      <c r="O593" s="319">
        <v>3</v>
      </c>
      <c r="P593" s="646"/>
      <c r="R593" s="47">
        <v>0.375</v>
      </c>
      <c r="S593" s="47">
        <v>0.10416666666666667</v>
      </c>
      <c r="T593" s="319">
        <v>4.5</v>
      </c>
      <c r="U593" s="646"/>
      <c r="W593" s="47">
        <v>0.375</v>
      </c>
      <c r="X593" s="47">
        <v>0.5</v>
      </c>
      <c r="Y593" s="319">
        <v>3</v>
      </c>
      <c r="Z593" s="646"/>
      <c r="AA593" s="328">
        <f t="shared" si="93"/>
        <v>18.5</v>
      </c>
      <c r="AB593" s="298">
        <f t="shared" si="94"/>
        <v>0</v>
      </c>
      <c r="AC593" s="4"/>
      <c r="AD593" s="47"/>
      <c r="AE593" s="47"/>
      <c r="AF593" s="319"/>
      <c r="AG593" s="328">
        <f t="shared" si="95"/>
        <v>0</v>
      </c>
      <c r="AH593" s="175"/>
      <c r="AI593" s="368"/>
      <c r="AK593" s="188" t="s">
        <v>38</v>
      </c>
      <c r="AL593" s="196">
        <f>AG624</f>
        <v>1</v>
      </c>
      <c r="AM593" s="510">
        <v>77.25</v>
      </c>
      <c r="AN593" s="510">
        <f t="shared" si="92"/>
        <v>77.25</v>
      </c>
      <c r="AQ593" s="367"/>
    </row>
    <row r="594" spans="1:49" s="4" customFormat="1">
      <c r="A594" s="180"/>
      <c r="B594" s="436" t="s">
        <v>389</v>
      </c>
      <c r="C594" s="441" t="s">
        <v>212</v>
      </c>
      <c r="D594" s="441" t="s">
        <v>246</v>
      </c>
      <c r="E594" s="319">
        <v>7.75</v>
      </c>
      <c r="F594" s="646"/>
      <c r="H594" s="441" t="s">
        <v>75</v>
      </c>
      <c r="I594" s="47">
        <v>0.25</v>
      </c>
      <c r="J594" s="319">
        <v>8</v>
      </c>
      <c r="K594" s="646"/>
      <c r="M594" s="441" t="s">
        <v>212</v>
      </c>
      <c r="N594" s="47">
        <v>0.25</v>
      </c>
      <c r="O594" s="319">
        <v>7.75</v>
      </c>
      <c r="P594" s="646"/>
      <c r="R594" s="47">
        <v>0.375</v>
      </c>
      <c r="S594" s="47">
        <v>0.25</v>
      </c>
      <c r="T594" s="319">
        <v>8</v>
      </c>
      <c r="U594" s="646"/>
      <c r="W594" s="47">
        <v>0.375</v>
      </c>
      <c r="X594" s="47">
        <v>0.25</v>
      </c>
      <c r="Y594" s="319">
        <v>8</v>
      </c>
      <c r="Z594" s="646"/>
      <c r="AA594" s="328">
        <f t="shared" si="93"/>
        <v>39.5</v>
      </c>
      <c r="AB594" s="298">
        <f t="shared" si="94"/>
        <v>0</v>
      </c>
      <c r="AD594" s="47"/>
      <c r="AE594" s="47"/>
      <c r="AF594" s="319"/>
      <c r="AG594" s="328">
        <f t="shared" si="95"/>
        <v>0</v>
      </c>
      <c r="AI594" s="255"/>
      <c r="AJ594" s="180"/>
      <c r="AK594" s="188"/>
      <c r="AL594" s="196"/>
      <c r="AM594" s="510"/>
      <c r="AN594" s="510"/>
      <c r="AO594" s="193"/>
      <c r="AP594" s="193"/>
      <c r="AQ594" s="367"/>
      <c r="AR594" s="180"/>
      <c r="AS594" s="180"/>
      <c r="AT594" s="180"/>
      <c r="AU594" s="180"/>
      <c r="AV594" s="180"/>
      <c r="AW594" s="180"/>
    </row>
    <row r="595" spans="1:49" s="4" customFormat="1">
      <c r="A595" s="180"/>
      <c r="B595" s="47" t="s">
        <v>974</v>
      </c>
      <c r="C595" s="441" t="s">
        <v>344</v>
      </c>
      <c r="D595" s="47">
        <v>0.20833333333333334</v>
      </c>
      <c r="E595" s="319">
        <v>8</v>
      </c>
      <c r="F595" s="646"/>
      <c r="H595" s="441" t="s">
        <v>75</v>
      </c>
      <c r="I595" s="47">
        <v>0.25</v>
      </c>
      <c r="J595" s="319">
        <v>8</v>
      </c>
      <c r="K595" s="646"/>
      <c r="M595" s="441" t="s">
        <v>249</v>
      </c>
      <c r="N595" s="47">
        <v>0.27083333333333331</v>
      </c>
      <c r="O595" s="319">
        <v>8</v>
      </c>
      <c r="P595" s="646"/>
      <c r="R595" s="47">
        <v>0.33333333333333331</v>
      </c>
      <c r="S595" s="47">
        <v>0.20833333333333334</v>
      </c>
      <c r="T595" s="319">
        <v>8</v>
      </c>
      <c r="U595" s="646"/>
      <c r="W595" s="47">
        <v>0.33333333333333331</v>
      </c>
      <c r="X595" s="47">
        <v>0.20833333333333334</v>
      </c>
      <c r="Y595" s="319">
        <v>8</v>
      </c>
      <c r="Z595" s="646"/>
      <c r="AA595" s="328">
        <f t="shared" si="93"/>
        <v>40</v>
      </c>
      <c r="AB595" s="298">
        <f t="shared" si="94"/>
        <v>0</v>
      </c>
      <c r="AD595" s="47"/>
      <c r="AE595" s="47"/>
      <c r="AF595" s="319"/>
      <c r="AG595" s="328">
        <f t="shared" si="95"/>
        <v>0</v>
      </c>
      <c r="AI595" s="255"/>
      <c r="AJ595" s="180"/>
      <c r="AK595" s="193"/>
      <c r="AL595" s="193"/>
      <c r="AM595" s="193"/>
      <c r="AN595" s="510">
        <f>SUM(AN588:AN593)</f>
        <v>29491.371999999999</v>
      </c>
      <c r="AO595" s="193"/>
      <c r="AP595" s="193"/>
      <c r="AQ595" s="367"/>
      <c r="AR595" s="180"/>
      <c r="AS595" s="180"/>
      <c r="AT595" s="180"/>
      <c r="AU595" s="180"/>
      <c r="AV595" s="180"/>
      <c r="AW595" s="180"/>
    </row>
    <row r="596" spans="1:49" s="4" customFormat="1">
      <c r="A596" s="180"/>
      <c r="B596" s="47" t="s">
        <v>517</v>
      </c>
      <c r="C596" s="667" t="s">
        <v>960</v>
      </c>
      <c r="D596" s="565"/>
      <c r="E596" s="319">
        <v>0</v>
      </c>
      <c r="F596" s="646"/>
      <c r="H596" s="441" t="s">
        <v>75</v>
      </c>
      <c r="I596" s="47">
        <v>0.25</v>
      </c>
      <c r="J596" s="319">
        <v>8</v>
      </c>
      <c r="K596" s="646"/>
      <c r="M596" s="667" t="s">
        <v>960</v>
      </c>
      <c r="N596" s="565"/>
      <c r="O596" s="319">
        <v>0</v>
      </c>
      <c r="P596" s="646"/>
      <c r="R596" s="667" t="s">
        <v>960</v>
      </c>
      <c r="S596" s="565"/>
      <c r="T596" s="319">
        <v>0</v>
      </c>
      <c r="U596" s="646"/>
      <c r="W596" s="47">
        <v>0.375</v>
      </c>
      <c r="X596" s="47">
        <v>0.5</v>
      </c>
      <c r="Y596" s="319">
        <v>3</v>
      </c>
      <c r="Z596" s="646"/>
      <c r="AA596" s="328">
        <f t="shared" si="93"/>
        <v>11</v>
      </c>
      <c r="AB596" s="298">
        <f t="shared" si="94"/>
        <v>0</v>
      </c>
      <c r="AD596" s="47"/>
      <c r="AE596" s="47"/>
      <c r="AF596" s="319"/>
      <c r="AG596" s="328">
        <f t="shared" si="95"/>
        <v>0</v>
      </c>
      <c r="AI596" s="255"/>
      <c r="AJ596" s="180"/>
      <c r="AK596" s="193"/>
      <c r="AL596" s="193"/>
      <c r="AM596" s="193"/>
      <c r="AN596" s="193"/>
      <c r="AO596" s="193"/>
      <c r="AP596" s="193"/>
      <c r="AQ596" s="180"/>
      <c r="AR596" s="180"/>
      <c r="AS596" s="180"/>
      <c r="AT596" s="180"/>
      <c r="AU596" s="180"/>
      <c r="AV596" s="180"/>
      <c r="AW596" s="180"/>
    </row>
    <row r="597" spans="1:49" s="4" customFormat="1">
      <c r="A597" s="180"/>
      <c r="B597" s="436" t="s">
        <v>981</v>
      </c>
      <c r="C597" s="441" t="s">
        <v>75</v>
      </c>
      <c r="D597" s="441" t="s">
        <v>246</v>
      </c>
      <c r="E597" s="319">
        <v>8</v>
      </c>
      <c r="F597" s="646"/>
      <c r="H597" s="441" t="s">
        <v>75</v>
      </c>
      <c r="I597" s="47">
        <v>0.22916666666666666</v>
      </c>
      <c r="J597" s="319">
        <v>7.5</v>
      </c>
      <c r="K597" s="646"/>
      <c r="M597" s="47">
        <v>0.375</v>
      </c>
      <c r="N597" s="47">
        <v>0.25</v>
      </c>
      <c r="O597" s="319">
        <v>8</v>
      </c>
      <c r="P597" s="646"/>
      <c r="R597" s="47">
        <v>0.375</v>
      </c>
      <c r="S597" s="47">
        <v>0.25</v>
      </c>
      <c r="T597" s="319">
        <v>8</v>
      </c>
      <c r="U597" s="646"/>
      <c r="W597" s="47">
        <v>0.375</v>
      </c>
      <c r="X597" s="47">
        <v>0.25</v>
      </c>
      <c r="Y597" s="319">
        <v>8</v>
      </c>
      <c r="Z597" s="646"/>
      <c r="AA597" s="328">
        <f t="shared" si="93"/>
        <v>39.5</v>
      </c>
      <c r="AB597" s="298">
        <f t="shared" si="94"/>
        <v>0</v>
      </c>
      <c r="AD597" s="47"/>
      <c r="AE597" s="47"/>
      <c r="AF597" s="319"/>
      <c r="AG597" s="328">
        <f t="shared" si="95"/>
        <v>0</v>
      </c>
      <c r="AI597" s="255"/>
      <c r="AJ597" s="180"/>
      <c r="AK597" s="193"/>
      <c r="AL597" s="193"/>
      <c r="AM597" s="193"/>
      <c r="AN597" s="193"/>
      <c r="AO597" s="193"/>
      <c r="AP597" s="193"/>
      <c r="AQ597" s="180"/>
      <c r="AR597" s="180"/>
      <c r="AS597" s="180"/>
      <c r="AT597" s="180"/>
      <c r="AU597" s="180"/>
      <c r="AV597" s="180"/>
      <c r="AW597" s="180"/>
    </row>
    <row r="598" spans="1:49" s="4" customFormat="1">
      <c r="A598" s="180"/>
      <c r="B598" s="4" t="s">
        <v>976</v>
      </c>
      <c r="C598" s="441" t="s">
        <v>75</v>
      </c>
      <c r="D598" s="441" t="s">
        <v>246</v>
      </c>
      <c r="E598" s="319">
        <v>8</v>
      </c>
      <c r="F598" s="646"/>
      <c r="H598" s="441" t="s">
        <v>154</v>
      </c>
      <c r="I598" s="441" t="s">
        <v>154</v>
      </c>
      <c r="J598" s="319">
        <v>0</v>
      </c>
      <c r="K598" s="646"/>
      <c r="M598" s="441" t="s">
        <v>154</v>
      </c>
      <c r="N598" s="441" t="s">
        <v>154</v>
      </c>
      <c r="O598" s="319">
        <v>0</v>
      </c>
      <c r="P598" s="646"/>
      <c r="R598" s="47">
        <v>0.33333333333333331</v>
      </c>
      <c r="S598" s="47">
        <v>0.20833333333333334</v>
      </c>
      <c r="T598" s="319">
        <v>8</v>
      </c>
      <c r="U598" s="646"/>
      <c r="W598" s="47">
        <v>0.375</v>
      </c>
      <c r="X598" s="47">
        <v>0.25</v>
      </c>
      <c r="Y598" s="319">
        <v>8</v>
      </c>
      <c r="Z598" s="646"/>
      <c r="AA598" s="328">
        <f t="shared" si="93"/>
        <v>24</v>
      </c>
      <c r="AB598" s="298">
        <f t="shared" si="94"/>
        <v>0</v>
      </c>
      <c r="AD598" s="47"/>
      <c r="AE598" s="47"/>
      <c r="AF598" s="319"/>
      <c r="AG598" s="328">
        <f t="shared" si="95"/>
        <v>0</v>
      </c>
      <c r="AI598" s="255"/>
      <c r="AJ598" s="180"/>
      <c r="AK598" s="193"/>
      <c r="AL598" s="193"/>
      <c r="AM598" s="193"/>
      <c r="AN598" s="193"/>
      <c r="AO598" s="193"/>
      <c r="AP598" s="193"/>
      <c r="AQ598" s="180"/>
      <c r="AR598" s="180"/>
      <c r="AS598" s="180"/>
      <c r="AT598" s="180"/>
      <c r="AU598" s="180"/>
      <c r="AV598" s="180"/>
      <c r="AW598" s="180"/>
    </row>
    <row r="599" spans="1:49" s="4" customFormat="1" ht="12.75" customHeight="1">
      <c r="A599" s="180"/>
      <c r="B599" s="666" t="s">
        <v>998</v>
      </c>
      <c r="C599" s="441" t="s">
        <v>75</v>
      </c>
      <c r="D599" s="441" t="s">
        <v>246</v>
      </c>
      <c r="E599" s="319">
        <v>8</v>
      </c>
      <c r="F599" s="646"/>
      <c r="H599" s="441" t="s">
        <v>127</v>
      </c>
      <c r="I599" s="47">
        <v>0.25</v>
      </c>
      <c r="J599" s="319">
        <v>5</v>
      </c>
      <c r="K599" s="646"/>
      <c r="M599" s="47">
        <v>0.375</v>
      </c>
      <c r="N599" s="47">
        <v>0.25</v>
      </c>
      <c r="O599" s="319">
        <v>8</v>
      </c>
      <c r="P599" s="646"/>
      <c r="R599" s="47">
        <v>4.1666666666666664E-2</v>
      </c>
      <c r="S599" s="47">
        <v>0.25</v>
      </c>
      <c r="T599" s="319">
        <v>5</v>
      </c>
      <c r="U599" s="646"/>
      <c r="W599" s="47">
        <v>0.375</v>
      </c>
      <c r="X599" s="47">
        <v>0.25</v>
      </c>
      <c r="Y599" s="319">
        <v>8</v>
      </c>
      <c r="Z599" s="646"/>
      <c r="AA599" s="328">
        <f t="shared" si="93"/>
        <v>34</v>
      </c>
      <c r="AB599" s="298">
        <f t="shared" si="94"/>
        <v>0</v>
      </c>
      <c r="AD599" s="47"/>
      <c r="AE599" s="47"/>
      <c r="AF599" s="319"/>
      <c r="AG599" s="328">
        <f t="shared" si="95"/>
        <v>0</v>
      </c>
      <c r="AI599" s="255"/>
      <c r="AJ599" s="180"/>
      <c r="AK599" s="193"/>
      <c r="AL599" s="193"/>
      <c r="AM599" s="193"/>
      <c r="AN599" s="193"/>
      <c r="AO599" s="193"/>
      <c r="AP599" s="193"/>
      <c r="AQ599" s="180"/>
      <c r="AR599" s="180"/>
      <c r="AS599" s="180"/>
      <c r="AT599" s="180"/>
      <c r="AU599" s="180"/>
      <c r="AV599" s="180"/>
      <c r="AW599" s="180"/>
    </row>
    <row r="600" spans="1:49" s="4" customFormat="1">
      <c r="A600" s="180"/>
      <c r="B600" s="47" t="s">
        <v>977</v>
      </c>
      <c r="C600" s="441" t="s">
        <v>344</v>
      </c>
      <c r="D600" s="47">
        <v>0.16666666666666666</v>
      </c>
      <c r="E600" s="319">
        <v>6.75</v>
      </c>
      <c r="F600" s="646"/>
      <c r="H600" s="667" t="s">
        <v>960</v>
      </c>
      <c r="I600" s="565"/>
      <c r="J600" s="319">
        <v>0</v>
      </c>
      <c r="K600" s="646"/>
      <c r="M600" s="667" t="s">
        <v>960</v>
      </c>
      <c r="N600" s="565"/>
      <c r="O600" s="319">
        <v>0</v>
      </c>
      <c r="P600" s="646"/>
      <c r="R600" s="47">
        <v>0.33333333333333331</v>
      </c>
      <c r="S600" s="47">
        <v>0.20833333333333334</v>
      </c>
      <c r="T600" s="319">
        <v>8</v>
      </c>
      <c r="U600" s="646"/>
      <c r="W600" s="47">
        <v>0.33333333333333331</v>
      </c>
      <c r="X600" s="47">
        <v>0.20833333333333334</v>
      </c>
      <c r="Y600" s="319">
        <v>8</v>
      </c>
      <c r="Z600" s="646"/>
      <c r="AA600" s="328">
        <f t="shared" si="93"/>
        <v>22.75</v>
      </c>
      <c r="AB600" s="298">
        <f t="shared" si="94"/>
        <v>0</v>
      </c>
      <c r="AD600" s="47"/>
      <c r="AE600" s="47"/>
      <c r="AF600" s="319"/>
      <c r="AG600" s="328">
        <f t="shared" si="95"/>
        <v>0</v>
      </c>
      <c r="AI600" s="255"/>
      <c r="AJ600" s="180"/>
      <c r="AK600" s="193"/>
      <c r="AL600" s="193"/>
      <c r="AM600" s="193"/>
      <c r="AN600" s="193"/>
      <c r="AO600" s="193"/>
      <c r="AP600" s="193"/>
      <c r="AQ600" s="180"/>
      <c r="AR600" s="180"/>
      <c r="AS600" s="180"/>
      <c r="AT600" s="180"/>
      <c r="AU600" s="180"/>
      <c r="AV600" s="180"/>
      <c r="AW600" s="180"/>
    </row>
    <row r="601" spans="1:49" s="4" customFormat="1">
      <c r="A601" s="180"/>
      <c r="B601" s="436" t="s">
        <v>394</v>
      </c>
      <c r="C601" s="667" t="s">
        <v>137</v>
      </c>
      <c r="D601" s="565"/>
      <c r="E601" s="319">
        <v>0</v>
      </c>
      <c r="F601" s="646"/>
      <c r="H601" s="667" t="s">
        <v>137</v>
      </c>
      <c r="I601" s="565"/>
      <c r="J601" s="319">
        <v>0</v>
      </c>
      <c r="K601" s="646"/>
      <c r="M601" s="667" t="s">
        <v>137</v>
      </c>
      <c r="N601" s="565"/>
      <c r="O601" s="319">
        <v>0</v>
      </c>
      <c r="P601" s="646"/>
      <c r="R601" s="667" t="s">
        <v>137</v>
      </c>
      <c r="S601" s="565"/>
      <c r="T601" s="319">
        <v>0</v>
      </c>
      <c r="U601" s="646"/>
      <c r="W601" s="667" t="s">
        <v>137</v>
      </c>
      <c r="X601" s="565"/>
      <c r="Y601" s="319">
        <v>0</v>
      </c>
      <c r="Z601" s="646"/>
      <c r="AA601" s="328">
        <f t="shared" si="93"/>
        <v>0</v>
      </c>
      <c r="AB601" s="298">
        <f t="shared" si="94"/>
        <v>0</v>
      </c>
      <c r="AD601" s="47"/>
      <c r="AE601" s="47"/>
      <c r="AF601" s="319"/>
      <c r="AG601" s="328">
        <f t="shared" si="95"/>
        <v>0</v>
      </c>
      <c r="AI601" s="255"/>
      <c r="AJ601" s="180"/>
      <c r="AK601" s="193"/>
      <c r="AL601" s="193"/>
      <c r="AM601" s="193"/>
      <c r="AN601" s="193"/>
      <c r="AO601" s="193"/>
      <c r="AP601" s="193"/>
      <c r="AQ601" s="180"/>
      <c r="AR601" s="180"/>
      <c r="AS601" s="180"/>
      <c r="AT601" s="180"/>
      <c r="AU601" s="180"/>
      <c r="AV601" s="180"/>
      <c r="AW601" s="180"/>
    </row>
    <row r="602" spans="1:49" s="4" customFormat="1">
      <c r="A602" s="180"/>
      <c r="B602" s="47" t="s">
        <v>519</v>
      </c>
      <c r="C602" s="441" t="s">
        <v>344</v>
      </c>
      <c r="D602" s="47">
        <v>0.20833333333333334</v>
      </c>
      <c r="E602" s="319">
        <v>7.75</v>
      </c>
      <c r="F602" s="646"/>
      <c r="H602" s="441" t="s">
        <v>75</v>
      </c>
      <c r="I602" s="47">
        <v>0.22916666666666666</v>
      </c>
      <c r="J602" s="319">
        <v>7.5</v>
      </c>
      <c r="K602" s="646"/>
      <c r="M602" s="667" t="s">
        <v>137</v>
      </c>
      <c r="N602" s="565"/>
      <c r="O602" s="319">
        <v>0</v>
      </c>
      <c r="P602" s="646"/>
      <c r="R602" s="47">
        <v>0.375</v>
      </c>
      <c r="S602" s="47">
        <v>0.25</v>
      </c>
      <c r="T602" s="319">
        <v>8</v>
      </c>
      <c r="U602" s="646"/>
      <c r="W602" s="47">
        <v>0.33333333333333331</v>
      </c>
      <c r="X602" s="47">
        <v>0.20833333333333334</v>
      </c>
      <c r="Y602" s="319">
        <v>8</v>
      </c>
      <c r="Z602" s="646"/>
      <c r="AA602" s="328">
        <f t="shared" si="93"/>
        <v>31.25</v>
      </c>
      <c r="AB602" s="298">
        <f t="shared" si="94"/>
        <v>0</v>
      </c>
      <c r="AD602" s="47"/>
      <c r="AE602" s="47"/>
      <c r="AF602" s="319"/>
      <c r="AG602" s="328">
        <f t="shared" si="95"/>
        <v>0</v>
      </c>
      <c r="AI602" s="255"/>
      <c r="AJ602" s="180"/>
      <c r="AK602" s="193"/>
      <c r="AL602" s="193"/>
      <c r="AM602" s="193"/>
      <c r="AN602" s="193"/>
      <c r="AO602" s="193"/>
      <c r="AP602" s="193"/>
      <c r="AQ602" s="180"/>
      <c r="AR602" s="180"/>
      <c r="AS602" s="180"/>
      <c r="AT602" s="180"/>
      <c r="AU602" s="180"/>
      <c r="AV602" s="180"/>
      <c r="AW602" s="180"/>
    </row>
    <row r="603" spans="1:49" s="4" customFormat="1">
      <c r="A603" s="180"/>
      <c r="B603" s="532" t="s">
        <v>999</v>
      </c>
      <c r="C603" s="441" t="s">
        <v>1006</v>
      </c>
      <c r="D603" s="441" t="s">
        <v>246</v>
      </c>
      <c r="E603" s="319">
        <v>6.5</v>
      </c>
      <c r="F603" s="646"/>
      <c r="H603" s="441" t="s">
        <v>75</v>
      </c>
      <c r="I603" s="47">
        <v>0.25</v>
      </c>
      <c r="J603" s="319">
        <v>8</v>
      </c>
      <c r="K603" s="646"/>
      <c r="M603" s="47">
        <v>0.375</v>
      </c>
      <c r="N603" s="47">
        <v>0.25</v>
      </c>
      <c r="O603" s="319">
        <v>8</v>
      </c>
      <c r="P603" s="646"/>
      <c r="R603" s="47">
        <v>0.375</v>
      </c>
      <c r="S603" s="47">
        <v>0.25</v>
      </c>
      <c r="T603" s="319">
        <v>8</v>
      </c>
      <c r="U603" s="646"/>
      <c r="W603" s="47">
        <v>0.375</v>
      </c>
      <c r="X603" s="47">
        <v>0.25</v>
      </c>
      <c r="Y603" s="319">
        <v>8</v>
      </c>
      <c r="Z603" s="646"/>
      <c r="AA603" s="328">
        <f t="shared" si="93"/>
        <v>38.5</v>
      </c>
      <c r="AB603" s="298">
        <f t="shared" si="94"/>
        <v>0</v>
      </c>
      <c r="AD603" s="47"/>
      <c r="AE603" s="47"/>
      <c r="AF603" s="319"/>
      <c r="AG603" s="328">
        <f t="shared" si="95"/>
        <v>0</v>
      </c>
      <c r="AI603" s="255"/>
      <c r="AJ603" s="180"/>
      <c r="AK603" s="193"/>
      <c r="AL603" s="193"/>
      <c r="AM603" s="193"/>
      <c r="AN603" s="193"/>
      <c r="AO603" s="193"/>
      <c r="AP603" s="193"/>
      <c r="AQ603" s="180"/>
      <c r="AR603" s="180"/>
      <c r="AS603" s="180"/>
      <c r="AT603" s="180"/>
      <c r="AU603" s="180"/>
      <c r="AV603" s="180"/>
      <c r="AW603" s="180"/>
    </row>
    <row r="604" spans="1:49" s="4" customFormat="1">
      <c r="A604" s="180"/>
      <c r="B604" s="640" t="s">
        <v>957</v>
      </c>
      <c r="C604" s="643"/>
      <c r="D604" s="519"/>
      <c r="E604" s="520"/>
      <c r="F604" s="647"/>
      <c r="G604" s="521"/>
      <c r="H604" s="519"/>
      <c r="I604" s="519"/>
      <c r="J604" s="520"/>
      <c r="K604" s="647"/>
      <c r="L604" s="521"/>
      <c r="M604" s="519"/>
      <c r="N604" s="519"/>
      <c r="O604" s="520"/>
      <c r="P604" s="647"/>
      <c r="Q604" s="521"/>
      <c r="R604" s="519"/>
      <c r="S604" s="519"/>
      <c r="T604" s="520"/>
      <c r="U604" s="647"/>
      <c r="V604" s="521"/>
      <c r="W604" s="519"/>
      <c r="X604" s="519"/>
      <c r="Y604" s="520"/>
      <c r="Z604" s="646"/>
      <c r="AA604" s="328">
        <f t="shared" si="93"/>
        <v>0</v>
      </c>
      <c r="AB604" s="298">
        <f t="shared" si="94"/>
        <v>0</v>
      </c>
      <c r="AD604" s="47"/>
      <c r="AE604" s="47"/>
      <c r="AF604" s="319"/>
      <c r="AG604" s="328">
        <f t="shared" si="95"/>
        <v>0</v>
      </c>
      <c r="AI604" s="255"/>
      <c r="AJ604" s="180"/>
      <c r="AK604" s="193"/>
      <c r="AL604" s="193"/>
      <c r="AM604" s="193"/>
      <c r="AN604" s="193"/>
      <c r="AO604" s="193"/>
      <c r="AP604" s="193"/>
      <c r="AQ604" s="180"/>
      <c r="AR604" s="180"/>
      <c r="AS604" s="180"/>
      <c r="AT604" s="180"/>
      <c r="AU604" s="180"/>
      <c r="AV604" s="180"/>
      <c r="AW604" s="180"/>
    </row>
    <row r="605" spans="1:49" s="4" customFormat="1">
      <c r="A605" s="180"/>
      <c r="B605" s="640" t="s">
        <v>390</v>
      </c>
      <c r="C605" s="643"/>
      <c r="D605" s="519"/>
      <c r="E605" s="520"/>
      <c r="F605" s="647"/>
      <c r="G605" s="521"/>
      <c r="H605" s="519"/>
      <c r="I605" s="519"/>
      <c r="J605" s="520"/>
      <c r="K605" s="647"/>
      <c r="L605" s="521"/>
      <c r="M605" s="519"/>
      <c r="N605" s="519"/>
      <c r="O605" s="520"/>
      <c r="P605" s="647"/>
      <c r="Q605" s="521"/>
      <c r="R605" s="519"/>
      <c r="S605" s="519"/>
      <c r="T605" s="520"/>
      <c r="U605" s="647"/>
      <c r="V605" s="521"/>
      <c r="W605" s="519"/>
      <c r="X605" s="519"/>
      <c r="Y605" s="520"/>
      <c r="Z605" s="646"/>
      <c r="AA605" s="328">
        <f t="shared" si="93"/>
        <v>0</v>
      </c>
      <c r="AB605" s="298">
        <f t="shared" si="94"/>
        <v>0</v>
      </c>
      <c r="AD605" s="47"/>
      <c r="AE605" s="47"/>
      <c r="AF605" s="319"/>
      <c r="AG605" s="328">
        <f t="shared" si="95"/>
        <v>0</v>
      </c>
      <c r="AI605" s="255"/>
      <c r="AJ605" s="180"/>
      <c r="AK605" s="193"/>
      <c r="AL605" s="193"/>
      <c r="AM605" s="193"/>
      <c r="AN605" s="510"/>
      <c r="AO605" s="193"/>
      <c r="AP605" s="193"/>
      <c r="AQ605" s="367"/>
      <c r="AR605" s="180"/>
      <c r="AS605" s="180"/>
      <c r="AT605" s="180"/>
      <c r="AU605" s="180"/>
      <c r="AV605" s="180"/>
      <c r="AW605" s="180"/>
    </row>
    <row r="606" spans="1:49" s="4" customFormat="1">
      <c r="A606" s="180"/>
      <c r="B606" s="639" t="s">
        <v>975</v>
      </c>
      <c r="C606" s="643"/>
      <c r="D606" s="519"/>
      <c r="E606" s="520"/>
      <c r="F606" s="647"/>
      <c r="G606" s="521"/>
      <c r="H606" s="519"/>
      <c r="I606" s="519"/>
      <c r="J606" s="520"/>
      <c r="K606" s="647"/>
      <c r="L606" s="521"/>
      <c r="M606" s="519"/>
      <c r="N606" s="519"/>
      <c r="O606" s="520"/>
      <c r="P606" s="647"/>
      <c r="Q606" s="521"/>
      <c r="R606" s="519"/>
      <c r="S606" s="519"/>
      <c r="T606" s="520"/>
      <c r="U606" s="647"/>
      <c r="V606" s="521"/>
      <c r="W606" s="519"/>
      <c r="X606" s="519"/>
      <c r="Y606" s="520"/>
      <c r="Z606" s="646"/>
      <c r="AA606" s="328">
        <f t="shared" si="93"/>
        <v>0</v>
      </c>
      <c r="AB606" s="298">
        <f t="shared" si="94"/>
        <v>0</v>
      </c>
      <c r="AD606" s="47"/>
      <c r="AE606" s="47"/>
      <c r="AF606" s="319"/>
      <c r="AG606" s="328">
        <f t="shared" si="95"/>
        <v>0</v>
      </c>
      <c r="AI606" s="255"/>
      <c r="AJ606" s="180"/>
      <c r="AK606" s="193"/>
      <c r="AL606" s="193"/>
      <c r="AM606" s="193"/>
      <c r="AN606" s="193"/>
      <c r="AO606" s="193"/>
      <c r="AP606" s="193"/>
      <c r="AQ606" s="367"/>
      <c r="AR606" s="180"/>
      <c r="AS606" s="180"/>
      <c r="AT606" s="180"/>
      <c r="AU606" s="180"/>
      <c r="AV606" s="180"/>
      <c r="AW606" s="180"/>
    </row>
    <row r="607" spans="1:49" s="4" customFormat="1">
      <c r="A607" s="180"/>
      <c r="B607" s="639" t="s">
        <v>533</v>
      </c>
      <c r="C607" s="643"/>
      <c r="D607" s="519"/>
      <c r="E607" s="520"/>
      <c r="F607" s="647"/>
      <c r="G607" s="521"/>
      <c r="H607" s="519"/>
      <c r="I607" s="519"/>
      <c r="J607" s="520"/>
      <c r="K607" s="647"/>
      <c r="L607" s="521"/>
      <c r="M607" s="519"/>
      <c r="N607" s="519"/>
      <c r="O607" s="520"/>
      <c r="P607" s="647"/>
      <c r="Q607" s="521"/>
      <c r="R607" s="519"/>
      <c r="S607" s="519"/>
      <c r="T607" s="520"/>
      <c r="U607" s="647"/>
      <c r="V607" s="521"/>
      <c r="W607" s="519"/>
      <c r="X607" s="519"/>
      <c r="Y607" s="520"/>
      <c r="Z607" s="646"/>
      <c r="AA607" s="328">
        <f t="shared" si="93"/>
        <v>0</v>
      </c>
      <c r="AB607" s="298">
        <f t="shared" si="94"/>
        <v>0</v>
      </c>
      <c r="AD607" s="47"/>
      <c r="AE607" s="47"/>
      <c r="AF607" s="319"/>
      <c r="AG607" s="328">
        <f t="shared" si="95"/>
        <v>0</v>
      </c>
      <c r="AI607" s="255"/>
      <c r="AJ607" s="180"/>
      <c r="AK607" s="193"/>
      <c r="AL607" s="193"/>
      <c r="AM607" s="193"/>
      <c r="AN607" s="193"/>
      <c r="AO607" s="193"/>
      <c r="AP607" s="193"/>
      <c r="AQ607" s="180"/>
      <c r="AR607" s="180"/>
      <c r="AS607" s="180"/>
      <c r="AT607" s="180"/>
      <c r="AU607" s="180"/>
      <c r="AV607" s="180"/>
      <c r="AW607" s="180"/>
    </row>
    <row r="608" spans="1:49" s="4" customFormat="1">
      <c r="A608" s="180"/>
      <c r="B608" s="502" t="s">
        <v>483</v>
      </c>
      <c r="C608" s="5"/>
      <c r="D608" s="5"/>
      <c r="E608" s="319"/>
      <c r="F608" s="646"/>
      <c r="H608" s="5"/>
      <c r="I608" s="5"/>
      <c r="J608" s="319"/>
      <c r="K608" s="646"/>
      <c r="M608" s="5"/>
      <c r="N608" s="5"/>
      <c r="O608" s="319"/>
      <c r="P608" s="646"/>
      <c r="R608" s="5"/>
      <c r="S608" s="5"/>
      <c r="T608" s="319"/>
      <c r="U608" s="646"/>
      <c r="W608" s="5"/>
      <c r="X608" s="5"/>
      <c r="Y608" s="319"/>
      <c r="Z608" s="646"/>
      <c r="AA608" s="328">
        <f t="shared" si="93"/>
        <v>0</v>
      </c>
      <c r="AB608" s="298">
        <f t="shared" si="94"/>
        <v>0</v>
      </c>
      <c r="AD608" s="47"/>
      <c r="AE608" s="47"/>
      <c r="AF608" s="319"/>
      <c r="AG608" s="328">
        <f t="shared" si="95"/>
        <v>0</v>
      </c>
      <c r="AI608" s="255"/>
      <c r="AJ608" s="180"/>
      <c r="AK608" s="193"/>
      <c r="AL608" s="193"/>
      <c r="AM608" s="193"/>
      <c r="AN608" s="193"/>
      <c r="AO608" s="193"/>
      <c r="AP608" s="193"/>
      <c r="AQ608" s="180"/>
      <c r="AR608" s="180"/>
      <c r="AS608" s="180"/>
      <c r="AT608" s="180"/>
      <c r="AU608" s="180"/>
      <c r="AV608" s="180"/>
      <c r="AW608" s="180"/>
    </row>
    <row r="609" spans="1:49" s="4" customFormat="1">
      <c r="A609" s="180"/>
      <c r="B609" s="502" t="s">
        <v>483</v>
      </c>
      <c r="C609" s="47"/>
      <c r="D609" s="47"/>
      <c r="E609" s="319">
        <v>8</v>
      </c>
      <c r="F609" s="646">
        <v>0.5</v>
      </c>
      <c r="H609" s="47"/>
      <c r="I609" s="47"/>
      <c r="J609" s="319">
        <v>8</v>
      </c>
      <c r="K609" s="646">
        <v>4</v>
      </c>
      <c r="M609" s="47"/>
      <c r="N609" s="47"/>
      <c r="O609" s="319">
        <v>8</v>
      </c>
      <c r="P609" s="646">
        <v>1</v>
      </c>
      <c r="R609" s="47"/>
      <c r="S609" s="47"/>
      <c r="T609" s="319">
        <v>8</v>
      </c>
      <c r="U609" s="646">
        <v>1.75</v>
      </c>
      <c r="W609" s="47"/>
      <c r="X609" s="47"/>
      <c r="Y609" s="319">
        <v>8</v>
      </c>
      <c r="Z609" s="646"/>
      <c r="AA609" s="328">
        <f t="shared" si="93"/>
        <v>40</v>
      </c>
      <c r="AB609" s="298">
        <f t="shared" si="94"/>
        <v>7.25</v>
      </c>
      <c r="AD609" s="47"/>
      <c r="AE609" s="47"/>
      <c r="AF609" s="319"/>
      <c r="AG609" s="328">
        <f t="shared" si="95"/>
        <v>0</v>
      </c>
      <c r="AI609" s="255"/>
      <c r="AJ609" s="180"/>
      <c r="AK609" s="193"/>
      <c r="AL609" s="193"/>
      <c r="AM609" s="193"/>
      <c r="AN609" s="193"/>
      <c r="AO609" s="193"/>
      <c r="AP609" s="193"/>
      <c r="AQ609" s="180"/>
      <c r="AR609" s="180"/>
      <c r="AS609" s="180"/>
      <c r="AT609" s="180"/>
      <c r="AU609" s="180"/>
      <c r="AV609" s="180"/>
      <c r="AW609" s="180"/>
    </row>
    <row r="610" spans="1:49" s="4" customFormat="1">
      <c r="A610" s="180"/>
      <c r="B610" s="502" t="s">
        <v>484</v>
      </c>
      <c r="C610" s="47"/>
      <c r="D610" s="47"/>
      <c r="E610" s="319">
        <v>8</v>
      </c>
      <c r="F610" s="646">
        <v>0.5</v>
      </c>
      <c r="H610" s="47"/>
      <c r="I610" s="47"/>
      <c r="J610" s="319">
        <v>8</v>
      </c>
      <c r="K610" s="646">
        <v>4</v>
      </c>
      <c r="M610" s="47"/>
      <c r="N610" s="47"/>
      <c r="O610" s="319">
        <v>8</v>
      </c>
      <c r="P610" s="646">
        <v>1</v>
      </c>
      <c r="R610" s="47"/>
      <c r="S610" s="47"/>
      <c r="T610" s="319">
        <v>8</v>
      </c>
      <c r="U610" s="646">
        <v>1.75</v>
      </c>
      <c r="W610" s="47"/>
      <c r="X610" s="47"/>
      <c r="Y610" s="319">
        <v>8</v>
      </c>
      <c r="Z610" s="646"/>
      <c r="AA610" s="328">
        <f t="shared" si="93"/>
        <v>40</v>
      </c>
      <c r="AB610" s="298">
        <f t="shared" si="94"/>
        <v>7.25</v>
      </c>
      <c r="AD610" s="47"/>
      <c r="AE610" s="47"/>
      <c r="AF610" s="319"/>
      <c r="AG610" s="328">
        <f t="shared" si="95"/>
        <v>0</v>
      </c>
      <c r="AI610" s="255"/>
      <c r="AJ610" s="180"/>
      <c r="AK610" s="193"/>
      <c r="AL610" s="193"/>
      <c r="AM610" s="193"/>
      <c r="AN610" s="193"/>
      <c r="AO610" s="193"/>
      <c r="AP610" s="193"/>
      <c r="AQ610" s="180"/>
      <c r="AR610" s="180"/>
      <c r="AS610" s="180"/>
      <c r="AT610" s="180"/>
      <c r="AU610" s="180"/>
      <c r="AV610" s="180"/>
      <c r="AW610" s="180"/>
    </row>
    <row r="611" spans="1:49" s="4" customFormat="1">
      <c r="A611" s="180"/>
      <c r="B611" s="502" t="s">
        <v>485</v>
      </c>
      <c r="C611" s="47"/>
      <c r="D611" s="47"/>
      <c r="E611" s="319">
        <v>8</v>
      </c>
      <c r="F611" s="646">
        <v>0.5</v>
      </c>
      <c r="H611" s="47"/>
      <c r="I611" s="47"/>
      <c r="J611" s="319">
        <v>8</v>
      </c>
      <c r="K611" s="646">
        <v>4</v>
      </c>
      <c r="M611" s="47"/>
      <c r="N611" s="47"/>
      <c r="O611" s="319">
        <v>8</v>
      </c>
      <c r="P611" s="646">
        <v>1</v>
      </c>
      <c r="R611" s="47"/>
      <c r="S611" s="47"/>
      <c r="T611" s="319">
        <v>8</v>
      </c>
      <c r="U611" s="646">
        <v>1.75</v>
      </c>
      <c r="W611" s="47"/>
      <c r="X611" s="47"/>
      <c r="Y611" s="319">
        <v>8</v>
      </c>
      <c r="Z611" s="646"/>
      <c r="AA611" s="328">
        <f t="shared" si="93"/>
        <v>40</v>
      </c>
      <c r="AB611" s="298">
        <f t="shared" si="94"/>
        <v>7.25</v>
      </c>
      <c r="AD611" s="47"/>
      <c r="AE611" s="47"/>
      <c r="AF611" s="319"/>
      <c r="AG611" s="328">
        <f t="shared" si="95"/>
        <v>0</v>
      </c>
      <c r="AI611" s="255"/>
      <c r="AJ611" s="180"/>
      <c r="AK611" s="193"/>
      <c r="AL611" s="193"/>
      <c r="AM611" s="193"/>
      <c r="AN611" s="193"/>
      <c r="AO611" s="193"/>
      <c r="AP611" s="193"/>
      <c r="AQ611" s="180"/>
      <c r="AR611" s="180"/>
      <c r="AS611" s="180"/>
      <c r="AT611" s="180"/>
      <c r="AU611" s="180"/>
      <c r="AV611" s="180"/>
      <c r="AW611" s="180"/>
    </row>
    <row r="612" spans="1:49" s="4" customFormat="1">
      <c r="A612" s="180"/>
      <c r="B612" s="502" t="s">
        <v>486</v>
      </c>
      <c r="C612" s="5"/>
      <c r="D612" s="5"/>
      <c r="E612" s="319"/>
      <c r="F612" s="646"/>
      <c r="H612" s="5"/>
      <c r="I612" s="5"/>
      <c r="J612" s="319"/>
      <c r="K612" s="646"/>
      <c r="M612" s="5"/>
      <c r="N612" s="5"/>
      <c r="O612" s="319"/>
      <c r="P612" s="646"/>
      <c r="R612" s="5"/>
      <c r="S612" s="5"/>
      <c r="T612" s="319"/>
      <c r="U612" s="646"/>
      <c r="W612" s="5"/>
      <c r="X612" s="5"/>
      <c r="Y612" s="319"/>
      <c r="Z612" s="646"/>
      <c r="AA612" s="328">
        <f t="shared" si="93"/>
        <v>0</v>
      </c>
      <c r="AB612" s="298">
        <f t="shared" si="94"/>
        <v>0</v>
      </c>
      <c r="AD612" s="47"/>
      <c r="AE612" s="47"/>
      <c r="AF612" s="319"/>
      <c r="AG612" s="328">
        <f t="shared" si="95"/>
        <v>0</v>
      </c>
      <c r="AI612" s="255"/>
      <c r="AJ612" s="180"/>
      <c r="AK612" s="193"/>
      <c r="AL612" s="193"/>
      <c r="AM612" s="193"/>
      <c r="AN612" s="193"/>
      <c r="AO612" s="193"/>
      <c r="AP612" s="193"/>
      <c r="AQ612" s="180"/>
      <c r="AR612" s="180"/>
      <c r="AS612" s="180"/>
      <c r="AT612" s="180"/>
      <c r="AU612" s="180"/>
      <c r="AV612" s="180"/>
      <c r="AW612" s="180"/>
    </row>
    <row r="613" spans="1:49" s="4" customFormat="1">
      <c r="A613" s="180"/>
      <c r="B613" s="63" t="s">
        <v>63</v>
      </c>
      <c r="C613" s="667" t="s">
        <v>137</v>
      </c>
      <c r="D613" s="565"/>
      <c r="E613" s="319">
        <v>0</v>
      </c>
      <c r="F613" s="646"/>
      <c r="H613" s="667" t="s">
        <v>137</v>
      </c>
      <c r="I613" s="565"/>
      <c r="J613" s="319">
        <v>0</v>
      </c>
      <c r="K613" s="646"/>
      <c r="M613" s="667" t="s">
        <v>137</v>
      </c>
      <c r="N613" s="565"/>
      <c r="O613" s="319">
        <v>0</v>
      </c>
      <c r="P613" s="646"/>
      <c r="R613" s="667" t="s">
        <v>137</v>
      </c>
      <c r="S613" s="565"/>
      <c r="T613" s="319">
        <v>0</v>
      </c>
      <c r="U613" s="646"/>
      <c r="W613" s="663"/>
      <c r="X613" s="663"/>
      <c r="Y613" s="319">
        <v>8</v>
      </c>
      <c r="Z613" s="646">
        <v>0.5</v>
      </c>
      <c r="AA613" s="328">
        <f t="shared" si="93"/>
        <v>8</v>
      </c>
      <c r="AB613" s="298">
        <f t="shared" si="94"/>
        <v>0.5</v>
      </c>
      <c r="AD613" s="47"/>
      <c r="AE613" s="47"/>
      <c r="AF613" s="319"/>
      <c r="AG613" s="328">
        <f t="shared" si="95"/>
        <v>0</v>
      </c>
      <c r="AI613" s="255"/>
      <c r="AJ613" s="180"/>
      <c r="AK613" s="193"/>
      <c r="AL613" s="193"/>
      <c r="AM613" s="193"/>
      <c r="AN613" s="193"/>
      <c r="AO613" s="193"/>
      <c r="AP613" s="193"/>
      <c r="AQ613" s="180"/>
      <c r="AR613" s="180"/>
      <c r="AS613" s="180"/>
      <c r="AT613" s="180"/>
      <c r="AU613" s="180"/>
      <c r="AV613" s="180"/>
      <c r="AW613" s="180"/>
    </row>
    <row r="614" spans="1:49" s="4" customFormat="1">
      <c r="A614" s="180"/>
      <c r="B614" s="267" t="s">
        <v>358</v>
      </c>
      <c r="C614" s="663"/>
      <c r="D614" s="663"/>
      <c r="E614" s="319">
        <v>4</v>
      </c>
      <c r="F614" s="646"/>
      <c r="G614" s="438"/>
      <c r="H614" s="663"/>
      <c r="I614" s="663"/>
      <c r="J614" s="319">
        <v>8</v>
      </c>
      <c r="K614" s="646"/>
      <c r="L614" s="438"/>
      <c r="M614" s="663"/>
      <c r="N614" s="663"/>
      <c r="O614" s="319">
        <v>4</v>
      </c>
      <c r="P614" s="646"/>
      <c r="Q614" s="438"/>
      <c r="R614" s="663"/>
      <c r="S614" s="663"/>
      <c r="T614" s="319">
        <v>4</v>
      </c>
      <c r="U614" s="646"/>
      <c r="V614" s="438"/>
      <c r="W614" s="663"/>
      <c r="X614" s="663"/>
      <c r="Y614" s="319">
        <v>4</v>
      </c>
      <c r="Z614" s="646"/>
      <c r="AA614" s="328">
        <f t="shared" si="93"/>
        <v>24</v>
      </c>
      <c r="AB614" s="298">
        <f t="shared" si="94"/>
        <v>0</v>
      </c>
      <c r="AD614" s="47"/>
      <c r="AE614" s="47"/>
      <c r="AF614" s="319"/>
      <c r="AG614" s="328">
        <f t="shared" si="95"/>
        <v>0</v>
      </c>
      <c r="AI614" s="255"/>
      <c r="AJ614" s="180"/>
      <c r="AK614" s="193"/>
      <c r="AL614" s="193"/>
      <c r="AM614" s="193"/>
      <c r="AN614" s="193"/>
      <c r="AO614" s="193"/>
      <c r="AP614" s="193"/>
      <c r="AQ614" s="180"/>
      <c r="AR614" s="180"/>
      <c r="AS614" s="180"/>
      <c r="AT614" s="180"/>
      <c r="AU614" s="180"/>
      <c r="AV614" s="180"/>
      <c r="AW614" s="180"/>
    </row>
    <row r="615" spans="1:49" s="193" customFormat="1">
      <c r="A615" s="180"/>
      <c r="B615" s="267" t="s">
        <v>991</v>
      </c>
      <c r="C615" s="5"/>
      <c r="D615" s="5"/>
      <c r="E615" s="319"/>
      <c r="F615" s="646"/>
      <c r="G615" s="438"/>
      <c r="H615" s="5"/>
      <c r="I615" s="5"/>
      <c r="J615" s="319"/>
      <c r="K615" s="646"/>
      <c r="L615" s="438"/>
      <c r="M615" s="5"/>
      <c r="N615" s="5"/>
      <c r="O615" s="319"/>
      <c r="P615" s="646"/>
      <c r="Q615" s="438"/>
      <c r="R615" s="5"/>
      <c r="S615" s="5"/>
      <c r="T615" s="319"/>
      <c r="U615" s="646"/>
      <c r="V615" s="438"/>
      <c r="W615" s="5"/>
      <c r="X615" s="5"/>
      <c r="Y615" s="319"/>
      <c r="Z615" s="646"/>
      <c r="AA615" s="328">
        <f t="shared" si="93"/>
        <v>0</v>
      </c>
      <c r="AB615" s="298">
        <f t="shared" si="94"/>
        <v>0</v>
      </c>
      <c r="AC615" s="4"/>
      <c r="AD615" s="47"/>
      <c r="AE615" s="47"/>
      <c r="AF615" s="319"/>
      <c r="AG615" s="328">
        <f t="shared" si="95"/>
        <v>0</v>
      </c>
      <c r="AH615" s="4"/>
      <c r="AI615" s="255"/>
      <c r="AJ615" s="180"/>
      <c r="AQ615" s="180"/>
      <c r="AR615" s="180"/>
      <c r="AS615" s="180"/>
      <c r="AT615" s="180"/>
      <c r="AU615" s="180"/>
      <c r="AV615" s="180"/>
      <c r="AW615" s="180"/>
    </row>
    <row r="616" spans="1:49" s="193" customFormat="1">
      <c r="A616" s="180"/>
      <c r="B616" s="267" t="s">
        <v>411</v>
      </c>
      <c r="C616" s="5"/>
      <c r="D616" s="5"/>
      <c r="E616" s="319"/>
      <c r="F616" s="646"/>
      <c r="G616" s="438"/>
      <c r="H616" s="5"/>
      <c r="I616" s="5"/>
      <c r="J616" s="319"/>
      <c r="K616" s="646"/>
      <c r="L616" s="438"/>
      <c r="M616" s="5"/>
      <c r="N616" s="5"/>
      <c r="O616" s="319"/>
      <c r="P616" s="646"/>
      <c r="Q616" s="438"/>
      <c r="R616" s="5"/>
      <c r="S616" s="5"/>
      <c r="T616" s="319"/>
      <c r="U616" s="646"/>
      <c r="V616" s="438"/>
      <c r="W616" s="5"/>
      <c r="X616" s="5"/>
      <c r="Y616" s="319"/>
      <c r="Z616" s="646"/>
      <c r="AA616" s="328">
        <f t="shared" si="93"/>
        <v>0</v>
      </c>
      <c r="AB616" s="298">
        <f t="shared" si="94"/>
        <v>0</v>
      </c>
      <c r="AC616" s="4"/>
      <c r="AD616" s="47"/>
      <c r="AE616" s="47"/>
      <c r="AF616" s="319"/>
      <c r="AG616" s="328">
        <f t="shared" si="95"/>
        <v>0</v>
      </c>
      <c r="AH616" s="4"/>
      <c r="AI616" s="255"/>
      <c r="AJ616" s="180"/>
      <c r="AQ616" s="180"/>
      <c r="AR616" s="180"/>
      <c r="AS616" s="180"/>
      <c r="AT616" s="180"/>
      <c r="AU616" s="180"/>
      <c r="AV616" s="180"/>
      <c r="AW616" s="180"/>
    </row>
    <row r="617" spans="1:49" s="193" customFormat="1">
      <c r="A617" s="180"/>
      <c r="B617" s="267" t="s">
        <v>361</v>
      </c>
      <c r="C617" s="5"/>
      <c r="D617" s="5"/>
      <c r="E617" s="319"/>
      <c r="F617" s="646"/>
      <c r="G617" s="438"/>
      <c r="H617" s="5"/>
      <c r="I617" s="5"/>
      <c r="J617" s="319"/>
      <c r="K617" s="646"/>
      <c r="L617" s="438"/>
      <c r="M617" s="5"/>
      <c r="N617" s="5"/>
      <c r="O617" s="319"/>
      <c r="P617" s="646"/>
      <c r="Q617" s="438"/>
      <c r="R617" s="5"/>
      <c r="S617" s="5"/>
      <c r="T617" s="319"/>
      <c r="U617" s="646"/>
      <c r="V617" s="438"/>
      <c r="W617" s="5"/>
      <c r="X617" s="5"/>
      <c r="Y617" s="319"/>
      <c r="Z617" s="646"/>
      <c r="AA617" s="328">
        <f t="shared" si="93"/>
        <v>0</v>
      </c>
      <c r="AB617" s="298">
        <f t="shared" si="94"/>
        <v>0</v>
      </c>
      <c r="AC617" s="4"/>
      <c r="AD617" s="47"/>
      <c r="AE617" s="47"/>
      <c r="AF617" s="319"/>
      <c r="AG617" s="328">
        <f t="shared" si="95"/>
        <v>0</v>
      </c>
      <c r="AH617" s="4"/>
      <c r="AI617" s="255"/>
      <c r="AJ617" s="180"/>
      <c r="AQ617" s="180"/>
      <c r="AR617" s="180"/>
      <c r="AS617" s="180"/>
      <c r="AT617" s="180"/>
      <c r="AU617" s="180"/>
      <c r="AV617" s="180"/>
      <c r="AW617" s="180"/>
    </row>
    <row r="618" spans="1:49" s="193" customFormat="1">
      <c r="A618" s="180"/>
      <c r="B618" s="267" t="s">
        <v>362</v>
      </c>
      <c r="C618" s="47"/>
      <c r="D618" s="47"/>
      <c r="E618" s="319">
        <v>2</v>
      </c>
      <c r="F618" s="646"/>
      <c r="G618" s="438"/>
      <c r="H618" s="47"/>
      <c r="I618" s="47"/>
      <c r="J618" s="319">
        <v>2</v>
      </c>
      <c r="K618" s="646"/>
      <c r="L618" s="438"/>
      <c r="M618" s="47"/>
      <c r="N618" s="47"/>
      <c r="O618" s="319">
        <v>2</v>
      </c>
      <c r="P618" s="646"/>
      <c r="Q618" s="438"/>
      <c r="R618" s="47"/>
      <c r="S618" s="47"/>
      <c r="T618" s="319">
        <v>2</v>
      </c>
      <c r="U618" s="646"/>
      <c r="V618" s="438"/>
      <c r="W618" s="5"/>
      <c r="X618" s="5"/>
      <c r="Y618" s="319">
        <v>2</v>
      </c>
      <c r="Z618" s="646"/>
      <c r="AA618" s="328">
        <f t="shared" si="93"/>
        <v>10</v>
      </c>
      <c r="AB618" s="298">
        <f t="shared" si="94"/>
        <v>0</v>
      </c>
      <c r="AC618" s="4"/>
      <c r="AD618" s="47"/>
      <c r="AE618" s="47"/>
      <c r="AF618" s="319"/>
      <c r="AG618" s="328">
        <f t="shared" si="95"/>
        <v>0</v>
      </c>
      <c r="AH618" s="4"/>
      <c r="AI618" s="255"/>
      <c r="AJ618" s="180"/>
      <c r="AQ618" s="180"/>
      <c r="AR618" s="180"/>
      <c r="AS618" s="180"/>
      <c r="AT618" s="180"/>
      <c r="AU618" s="180"/>
      <c r="AV618" s="180"/>
      <c r="AW618" s="180"/>
    </row>
    <row r="619" spans="1:49" s="193" customFormat="1">
      <c r="A619" s="180"/>
      <c r="B619" s="267" t="s">
        <v>1019</v>
      </c>
      <c r="C619" s="441" t="s">
        <v>75</v>
      </c>
      <c r="D619" s="441" t="s">
        <v>1022</v>
      </c>
      <c r="E619" s="319"/>
      <c r="F619" s="646"/>
      <c r="G619" s="438"/>
      <c r="H619" s="441" t="s">
        <v>75</v>
      </c>
      <c r="I619" s="441" t="s">
        <v>127</v>
      </c>
      <c r="J619" s="319">
        <v>4</v>
      </c>
      <c r="K619" s="646"/>
      <c r="L619" s="438"/>
      <c r="M619" s="441" t="s">
        <v>249</v>
      </c>
      <c r="N619" s="441" t="s">
        <v>427</v>
      </c>
      <c r="O619" s="319">
        <v>2</v>
      </c>
      <c r="P619" s="646"/>
      <c r="Q619" s="438"/>
      <c r="R619" s="441" t="s">
        <v>83</v>
      </c>
      <c r="S619" s="441" t="s">
        <v>427</v>
      </c>
      <c r="T619" s="319">
        <v>2.5</v>
      </c>
      <c r="U619" s="646"/>
      <c r="V619" s="438"/>
      <c r="W619" s="441"/>
      <c r="X619" s="441"/>
      <c r="Y619" s="319"/>
      <c r="Z619" s="646"/>
      <c r="AA619" s="328">
        <f t="shared" si="93"/>
        <v>8.5</v>
      </c>
      <c r="AB619" s="298">
        <f t="shared" si="94"/>
        <v>0</v>
      </c>
      <c r="AC619" s="4"/>
      <c r="AD619" s="47"/>
      <c r="AE619" s="47"/>
      <c r="AF619" s="319"/>
      <c r="AG619" s="328">
        <f t="shared" si="95"/>
        <v>0</v>
      </c>
      <c r="AH619" s="4"/>
      <c r="AI619" s="255"/>
      <c r="AJ619" s="180"/>
      <c r="AQ619" s="180"/>
      <c r="AR619" s="180"/>
      <c r="AS619" s="180"/>
      <c r="AT619" s="180"/>
      <c r="AU619" s="180"/>
      <c r="AV619" s="180"/>
      <c r="AW619" s="180"/>
    </row>
    <row r="620" spans="1:49" s="193" customFormat="1">
      <c r="A620" s="180"/>
      <c r="B620" s="437" t="s">
        <v>355</v>
      </c>
      <c r="C620" s="5"/>
      <c r="D620" s="5"/>
      <c r="E620" s="319">
        <v>10.199999999999999</v>
      </c>
      <c r="F620" s="646"/>
      <c r="G620" s="438"/>
      <c r="H620" s="5"/>
      <c r="I620" s="5"/>
      <c r="J620" s="319">
        <v>10.199999999999999</v>
      </c>
      <c r="K620" s="646"/>
      <c r="L620" s="438"/>
      <c r="M620" s="5"/>
      <c r="N620" s="5"/>
      <c r="O620" s="319">
        <v>10.199999999999999</v>
      </c>
      <c r="P620" s="646"/>
      <c r="Q620" s="438"/>
      <c r="R620" s="5"/>
      <c r="S620" s="5"/>
      <c r="T620" s="319">
        <v>10.199999999999999</v>
      </c>
      <c r="U620" s="646"/>
      <c r="V620" s="438"/>
      <c r="W620" s="5"/>
      <c r="X620" s="5"/>
      <c r="Y620" s="319">
        <v>10.199999999999999</v>
      </c>
      <c r="Z620" s="646"/>
      <c r="AA620" s="328">
        <f t="shared" si="93"/>
        <v>51</v>
      </c>
      <c r="AB620" s="298">
        <f t="shared" si="94"/>
        <v>0</v>
      </c>
      <c r="AC620" s="4"/>
      <c r="AD620" s="47"/>
      <c r="AE620" s="47"/>
      <c r="AF620" s="319"/>
      <c r="AG620" s="328">
        <f t="shared" si="95"/>
        <v>0</v>
      </c>
      <c r="AH620" s="4"/>
      <c r="AI620" s="255"/>
      <c r="AJ620" s="180"/>
      <c r="AQ620" s="180"/>
      <c r="AR620" s="180"/>
      <c r="AS620" s="180"/>
      <c r="AT620" s="180"/>
      <c r="AU620" s="180"/>
      <c r="AV620" s="180"/>
      <c r="AW620" s="180"/>
    </row>
    <row r="621" spans="1:49" s="193" customFormat="1">
      <c r="A621" s="180"/>
      <c r="B621" s="437" t="s">
        <v>356</v>
      </c>
      <c r="C621" s="5"/>
      <c r="D621" s="5"/>
      <c r="E621" s="319"/>
      <c r="F621" s="646"/>
      <c r="G621" s="438"/>
      <c r="H621" s="5"/>
      <c r="I621" s="5"/>
      <c r="J621" s="319"/>
      <c r="K621" s="646"/>
      <c r="L621" s="438"/>
      <c r="M621" s="5"/>
      <c r="N621" s="5"/>
      <c r="O621" s="319">
        <v>25</v>
      </c>
      <c r="P621" s="646"/>
      <c r="Q621" s="438"/>
      <c r="R621" s="5"/>
      <c r="S621" s="5"/>
      <c r="T621" s="319">
        <v>12.3</v>
      </c>
      <c r="U621" s="646"/>
      <c r="V621" s="438"/>
      <c r="W621" s="5"/>
      <c r="X621" s="5"/>
      <c r="Y621" s="319">
        <v>15</v>
      </c>
      <c r="Z621" s="646"/>
      <c r="AA621" s="328">
        <f t="shared" si="93"/>
        <v>52.3</v>
      </c>
      <c r="AB621" s="298">
        <f t="shared" si="94"/>
        <v>0</v>
      </c>
      <c r="AC621" s="4"/>
      <c r="AD621" s="47"/>
      <c r="AE621" s="47"/>
      <c r="AF621" s="319"/>
      <c r="AG621" s="328">
        <f t="shared" si="95"/>
        <v>0</v>
      </c>
      <c r="AH621" s="4"/>
      <c r="AI621" s="255"/>
      <c r="AJ621" s="180"/>
      <c r="AQ621" s="180"/>
      <c r="AR621" s="180"/>
      <c r="AS621" s="180"/>
      <c r="AT621" s="180"/>
      <c r="AU621" s="180"/>
      <c r="AV621" s="180"/>
      <c r="AW621" s="180"/>
    </row>
    <row r="622" spans="1:49" s="193" customFormat="1">
      <c r="A622" s="180"/>
      <c r="B622" s="64" t="s">
        <v>61</v>
      </c>
      <c r="C622" s="31"/>
      <c r="D622" s="31"/>
      <c r="E622" s="439">
        <f>SUM(E589:E621)</f>
        <v>123.7</v>
      </c>
      <c r="F622" s="646">
        <f>SUM(F589:F621)</f>
        <v>1.5</v>
      </c>
      <c r="G622" s="31"/>
      <c r="H622" s="31"/>
      <c r="I622" s="31"/>
      <c r="J622" s="439">
        <f>SUM(J589:J621)</f>
        <v>131.94999999999999</v>
      </c>
      <c r="K622" s="646">
        <f>SUM(K589:K621)</f>
        <v>12</v>
      </c>
      <c r="L622" s="31"/>
      <c r="M622" s="31"/>
      <c r="N622" s="31"/>
      <c r="O622" s="439">
        <f>SUM(O589:O621)</f>
        <v>117.95</v>
      </c>
      <c r="P622" s="646">
        <f>SUM(P589:P621)</f>
        <v>3</v>
      </c>
      <c r="Q622" s="31"/>
      <c r="R622" s="31"/>
      <c r="S622" s="31"/>
      <c r="T622" s="439">
        <f>SUM(T589:T621)</f>
        <v>128.5</v>
      </c>
      <c r="U622" s="646">
        <f>SUM(U589:U621)</f>
        <v>5.25</v>
      </c>
      <c r="V622" s="31"/>
      <c r="W622" s="31"/>
      <c r="X622" s="31"/>
      <c r="Y622" s="439">
        <f>SUM(Y589:Y621)</f>
        <v>141.19999999999999</v>
      </c>
      <c r="Z622" s="646">
        <f>SUM(Z589:Z621)</f>
        <v>0.5</v>
      </c>
      <c r="AA622" s="370">
        <f>SUM(AA589:AA621)</f>
        <v>643.29999999999995</v>
      </c>
      <c r="AB622" s="370">
        <f>SUM(AB589:AB621)</f>
        <v>22.25</v>
      </c>
      <c r="AC622" s="4"/>
      <c r="AD622" s="64"/>
      <c r="AE622" s="64"/>
      <c r="AF622" s="370">
        <f>SUM(AF589:AF621)</f>
        <v>0</v>
      </c>
      <c r="AG622" s="370">
        <f>SUM(AG589:AG621)</f>
        <v>0</v>
      </c>
      <c r="AH622" s="4"/>
      <c r="AI622" s="255"/>
      <c r="AJ622" s="180"/>
      <c r="AK622" s="407"/>
      <c r="AQ622" s="180"/>
      <c r="AR622" s="180"/>
      <c r="AS622" s="180"/>
      <c r="AT622" s="180"/>
      <c r="AU622" s="180"/>
      <c r="AV622" s="180"/>
      <c r="AW622" s="180"/>
    </row>
    <row r="623" spans="1:49" s="193" customFormat="1">
      <c r="A623" s="180"/>
      <c r="B623" s="63" t="s">
        <v>64</v>
      </c>
      <c r="C623" s="47"/>
      <c r="D623" s="47"/>
      <c r="E623" s="319">
        <v>6.75</v>
      </c>
      <c r="F623" s="346">
        <v>2</v>
      </c>
      <c r="G623" s="613"/>
      <c r="H623" s="47"/>
      <c r="I623" s="47"/>
      <c r="J623" s="319">
        <v>8</v>
      </c>
      <c r="K623" s="346">
        <v>1.5</v>
      </c>
      <c r="L623" s="60"/>
      <c r="M623" s="47"/>
      <c r="N623" s="47"/>
      <c r="O623" s="319">
        <v>6.5</v>
      </c>
      <c r="P623" s="346">
        <v>5</v>
      </c>
      <c r="Q623" s="60"/>
      <c r="R623" s="47"/>
      <c r="S623" s="47"/>
      <c r="T623" s="319">
        <v>8</v>
      </c>
      <c r="U623" s="346">
        <f>1+1.5+1.25</f>
        <v>3.75</v>
      </c>
      <c r="V623" s="60"/>
      <c r="W623" s="47"/>
      <c r="X623" s="47"/>
      <c r="Y623" s="319">
        <v>7</v>
      </c>
      <c r="Z623" s="346">
        <v>1.5</v>
      </c>
      <c r="AA623" s="28">
        <f>SUM(E623+J623+O623+T623+Y623)</f>
        <v>36.25</v>
      </c>
      <c r="AB623" s="296">
        <f>Z623+U623+P623+K623+F623</f>
        <v>13.75</v>
      </c>
      <c r="AC623" s="4"/>
      <c r="AD623" s="47" t="s">
        <v>29</v>
      </c>
      <c r="AE623" s="47" t="s">
        <v>29</v>
      </c>
      <c r="AF623" s="319">
        <v>1</v>
      </c>
      <c r="AG623" s="29">
        <f>AF623</f>
        <v>1</v>
      </c>
      <c r="AH623" s="4"/>
      <c r="AI623" s="255"/>
      <c r="AJ623" s="180"/>
      <c r="AK623" s="407"/>
      <c r="AQ623" s="180"/>
      <c r="AR623" s="180"/>
      <c r="AS623" s="180"/>
      <c r="AT623" s="180"/>
      <c r="AU623" s="180"/>
      <c r="AV623" s="180"/>
      <c r="AW623" s="180"/>
    </row>
    <row r="624" spans="1:49" s="193" customFormat="1">
      <c r="A624" s="180"/>
      <c r="B624" s="71" t="s">
        <v>66</v>
      </c>
      <c r="C624" s="371"/>
      <c r="D624" s="371"/>
      <c r="E624" s="71"/>
      <c r="F624" s="613"/>
      <c r="G624" s="71"/>
      <c r="H624" s="71"/>
      <c r="I624" s="71"/>
      <c r="J624" s="71"/>
      <c r="K624" s="613"/>
      <c r="L624" s="71"/>
      <c r="M624" s="71"/>
      <c r="N624" s="71"/>
      <c r="O624" s="71"/>
      <c r="P624" s="613"/>
      <c r="Q624" s="71"/>
      <c r="R624" s="71"/>
      <c r="S624" s="71"/>
      <c r="T624" s="71"/>
      <c r="U624" s="613"/>
      <c r="V624" s="71"/>
      <c r="W624" s="71"/>
      <c r="X624" s="71"/>
      <c r="Y624" s="71"/>
      <c r="Z624" s="613"/>
      <c r="AA624" s="370">
        <f>SUM(AA623:AA623)</f>
        <v>36.25</v>
      </c>
      <c r="AB624" s="370">
        <f>SUM(AB623:AB623)</f>
        <v>13.75</v>
      </c>
      <c r="AC624" s="4"/>
      <c r="AD624" s="180"/>
      <c r="AE624" s="180"/>
      <c r="AF624" s="180"/>
      <c r="AG624" s="370">
        <f>SUM(AG623:AG623)</f>
        <v>1</v>
      </c>
      <c r="AH624" s="4"/>
      <c r="AI624" s="255"/>
      <c r="AJ624" s="180"/>
      <c r="AK624" s="407"/>
      <c r="AQ624" s="180"/>
      <c r="AR624" s="180"/>
      <c r="AS624" s="180"/>
      <c r="AT624" s="180"/>
      <c r="AU624" s="180"/>
      <c r="AV624" s="180"/>
      <c r="AW624" s="180"/>
    </row>
    <row r="625" spans="1:49" s="193" customFormat="1">
      <c r="A625" s="180"/>
      <c r="B625" s="217" t="s">
        <v>67</v>
      </c>
      <c r="C625" s="207">
        <f>C626+C627</f>
        <v>41</v>
      </c>
      <c r="D625" s="207"/>
      <c r="E625" s="209"/>
      <c r="F625" s="209"/>
      <c r="G625" s="207"/>
      <c r="H625" s="209"/>
      <c r="I625" s="209"/>
      <c r="J625" s="209"/>
      <c r="K625" s="209"/>
      <c r="L625" s="207"/>
      <c r="M625" s="207"/>
      <c r="N625" s="207"/>
      <c r="O625" s="207"/>
      <c r="P625" s="209"/>
      <c r="Q625" s="207"/>
      <c r="R625" s="207"/>
      <c r="S625" s="207"/>
      <c r="T625" s="207"/>
      <c r="U625" s="209"/>
      <c r="V625" s="207"/>
      <c r="W625" s="207"/>
      <c r="X625" s="207"/>
      <c r="Y625" s="210"/>
      <c r="Z625" s="209"/>
      <c r="AA625" s="211"/>
      <c r="AB625" s="209"/>
      <c r="AC625" s="211"/>
      <c r="AD625" s="211"/>
      <c r="AE625" s="211"/>
      <c r="AF625" s="211"/>
      <c r="AG625" s="211"/>
      <c r="AH625" s="4"/>
      <c r="AI625" s="255"/>
      <c r="AJ625" s="180"/>
      <c r="AQ625" s="180"/>
      <c r="AR625" s="180"/>
      <c r="AS625" s="180"/>
      <c r="AT625" s="180"/>
      <c r="AU625" s="180"/>
      <c r="AV625" s="180"/>
      <c r="AW625" s="180"/>
    </row>
    <row r="626" spans="1:49" s="193" customFormat="1">
      <c r="A626" s="180"/>
      <c r="B626" s="238" t="s">
        <v>68</v>
      </c>
      <c r="C626" s="239">
        <f>8+9+5+7</f>
        <v>29</v>
      </c>
      <c r="D626" s="207"/>
      <c r="E626" s="209"/>
      <c r="F626" s="209"/>
      <c r="G626" s="207"/>
      <c r="H626" s="209"/>
      <c r="I626" s="209"/>
      <c r="J626" s="209"/>
      <c r="K626" s="209"/>
      <c r="L626" s="207"/>
      <c r="M626" s="207"/>
      <c r="N626" s="207"/>
      <c r="O626" s="207"/>
      <c r="P626" s="209"/>
      <c r="Q626" s="207"/>
      <c r="R626" s="207"/>
      <c r="S626" s="207"/>
      <c r="T626" s="207"/>
      <c r="U626" s="209"/>
      <c r="V626" s="207"/>
      <c r="W626" s="207"/>
      <c r="X626" s="207"/>
      <c r="Y626" s="210"/>
      <c r="Z626" s="209"/>
      <c r="AA626" s="211"/>
      <c r="AB626" s="209"/>
      <c r="AC626" s="211"/>
      <c r="AD626" s="211"/>
      <c r="AE626" s="211"/>
      <c r="AF626" s="211"/>
      <c r="AG626" s="211"/>
      <c r="AH626" s="4"/>
      <c r="AI626" s="255"/>
      <c r="AJ626" s="180"/>
      <c r="AQ626" s="180"/>
      <c r="AR626" s="180"/>
      <c r="AS626" s="180"/>
      <c r="AT626" s="180"/>
      <c r="AU626" s="180"/>
      <c r="AV626" s="180"/>
      <c r="AW626" s="180"/>
    </row>
    <row r="627" spans="1:49" s="193" customFormat="1">
      <c r="A627" s="180"/>
      <c r="B627" s="238" t="s">
        <v>69</v>
      </c>
      <c r="C627" s="239">
        <f>5+2+3+2</f>
        <v>12</v>
      </c>
      <c r="D627" s="207"/>
      <c r="E627" s="209"/>
      <c r="F627" s="209"/>
      <c r="G627" s="207"/>
      <c r="H627" s="209"/>
      <c r="I627" s="209"/>
      <c r="J627" s="209"/>
      <c r="K627" s="209"/>
      <c r="L627" s="207"/>
      <c r="M627" s="207"/>
      <c r="N627" s="207"/>
      <c r="O627" s="207"/>
      <c r="P627" s="209"/>
      <c r="Q627" s="207"/>
      <c r="R627" s="207"/>
      <c r="S627" s="207"/>
      <c r="T627" s="207"/>
      <c r="U627" s="209"/>
      <c r="V627" s="207"/>
      <c r="W627" s="207"/>
      <c r="X627" s="207"/>
      <c r="Y627" s="210"/>
      <c r="Z627" s="209"/>
      <c r="AA627" s="211"/>
      <c r="AB627" s="209"/>
      <c r="AC627" s="211"/>
      <c r="AD627" s="211"/>
      <c r="AE627" s="211"/>
      <c r="AF627" s="211"/>
      <c r="AG627" s="211"/>
      <c r="AH627" s="4"/>
      <c r="AI627" s="255"/>
      <c r="AJ627" s="180"/>
      <c r="AQ627" s="180"/>
      <c r="AR627" s="180"/>
      <c r="AS627" s="180"/>
      <c r="AT627" s="180"/>
      <c r="AU627" s="180"/>
      <c r="AV627" s="180"/>
      <c r="AW627" s="180"/>
    </row>
    <row r="628" spans="1:49" s="180" customFormat="1">
      <c r="A628" s="313"/>
      <c r="E628" s="4"/>
      <c r="F628" s="644"/>
      <c r="G628" s="4"/>
      <c r="J628" s="4"/>
      <c r="K628" s="644"/>
      <c r="L628" s="4"/>
      <c r="O628" s="4"/>
      <c r="P628" s="644"/>
      <c r="Q628" s="4"/>
      <c r="T628" s="4"/>
      <c r="U628" s="644"/>
      <c r="V628" s="4"/>
      <c r="Y628" s="4"/>
      <c r="Z628" s="644"/>
      <c r="AA628" s="4"/>
      <c r="AB628" s="4"/>
      <c r="AC628" s="4"/>
      <c r="AH628" s="4"/>
      <c r="AI628" s="255"/>
      <c r="AK628" s="193"/>
      <c r="AL628" s="193"/>
      <c r="AM628" s="193"/>
      <c r="AN628" s="193"/>
      <c r="AO628" s="193"/>
      <c r="AP628" s="193"/>
    </row>
    <row r="629" spans="1:49">
      <c r="A629" s="180"/>
      <c r="B629" s="229"/>
      <c r="C629" s="230"/>
      <c r="D629" s="230"/>
      <c r="E629" s="232"/>
      <c r="F629" s="232"/>
      <c r="G629" s="230"/>
      <c r="H629" s="232"/>
      <c r="I629" s="232"/>
      <c r="J629" s="232"/>
      <c r="K629" s="232"/>
      <c r="L629" s="230"/>
      <c r="M629" s="230"/>
      <c r="N629" s="230"/>
      <c r="O629" s="230"/>
      <c r="P629" s="232"/>
      <c r="Q629" s="230"/>
      <c r="R629" s="230"/>
      <c r="S629" s="230"/>
      <c r="T629" s="230"/>
      <c r="U629" s="232"/>
      <c r="V629" s="230"/>
      <c r="W629" s="230"/>
      <c r="X629" s="230"/>
      <c r="Y629" s="233"/>
      <c r="Z629" s="232"/>
      <c r="AA629" s="234"/>
      <c r="AB629" s="232"/>
      <c r="AC629" s="373"/>
      <c r="AD629" s="236"/>
      <c r="AE629" s="255"/>
      <c r="AF629" s="255"/>
      <c r="AG629" s="255"/>
      <c r="AH629" s="255"/>
      <c r="AJ629" s="255"/>
      <c r="AK629" s="255"/>
      <c r="AL629" s="255"/>
      <c r="AM629" s="255"/>
      <c r="AN629" s="255"/>
      <c r="AO629" s="255"/>
      <c r="AP629" s="255"/>
      <c r="AQ629" s="255"/>
      <c r="AR629" s="255"/>
      <c r="AS629" s="255"/>
      <c r="AT629" s="255"/>
      <c r="AU629" s="255"/>
      <c r="AV629" s="255"/>
      <c r="AW629" s="255"/>
    </row>
    <row r="630" spans="1:49">
      <c r="B630" s="180"/>
      <c r="E630" s="4"/>
      <c r="F630" s="644"/>
      <c r="G630" s="4"/>
      <c r="J630" s="4"/>
      <c r="K630" s="644"/>
      <c r="L630" s="4"/>
      <c r="O630" s="4"/>
      <c r="P630" s="644"/>
      <c r="T630" s="4"/>
      <c r="U630" s="644"/>
      <c r="Y630" s="4"/>
      <c r="Z630" s="644"/>
      <c r="AA630" s="4"/>
      <c r="AB630" s="4"/>
      <c r="AC630" s="4"/>
      <c r="AK630" s="180"/>
      <c r="AL630" s="180"/>
      <c r="AM630" s="180"/>
      <c r="AN630" s="180"/>
      <c r="AO630" s="180"/>
      <c r="AP630" s="180"/>
    </row>
    <row r="631" spans="1:49">
      <c r="A631" s="228"/>
      <c r="B631" s="1518" t="s">
        <v>18</v>
      </c>
      <c r="C631" s="1519">
        <v>45642</v>
      </c>
      <c r="D631" s="1519"/>
      <c r="E631" s="1519"/>
      <c r="F631" s="1519"/>
      <c r="G631" s="365"/>
      <c r="H631" s="1519">
        <v>45643</v>
      </c>
      <c r="I631" s="1519"/>
      <c r="J631" s="1519"/>
      <c r="K631" s="1519"/>
      <c r="L631" s="365"/>
      <c r="M631" s="1519">
        <v>45644</v>
      </c>
      <c r="N631" s="1519"/>
      <c r="O631" s="1519"/>
      <c r="P631" s="1519"/>
      <c r="Q631" s="365"/>
      <c r="R631" s="1519">
        <v>45645</v>
      </c>
      <c r="S631" s="1519"/>
      <c r="T631" s="1519"/>
      <c r="U631" s="1519"/>
      <c r="V631" s="365"/>
      <c r="W631" s="1519">
        <v>45646</v>
      </c>
      <c r="X631" s="1519"/>
      <c r="Y631" s="1519"/>
      <c r="Z631" s="1519"/>
      <c r="AA631" s="1517" t="s">
        <v>19</v>
      </c>
      <c r="AB631" s="1517" t="s">
        <v>20</v>
      </c>
      <c r="AC631" s="4"/>
      <c r="AD631" s="1519">
        <v>45647</v>
      </c>
      <c r="AE631" s="1519"/>
      <c r="AF631" s="1519"/>
      <c r="AG631" s="1517" t="s">
        <v>21</v>
      </c>
      <c r="AI631" s="368"/>
      <c r="AK631" s="194" t="s">
        <v>84</v>
      </c>
      <c r="AL631" s="366"/>
      <c r="AM631" s="366"/>
      <c r="AN631" s="366"/>
      <c r="AO631" s="366"/>
      <c r="AP631" s="366"/>
    </row>
    <row r="632" spans="1:49">
      <c r="A632" s="180"/>
      <c r="B632" s="1518"/>
      <c r="C632" s="21" t="s">
        <v>23</v>
      </c>
      <c r="D632" s="21" t="s">
        <v>24</v>
      </c>
      <c r="E632" s="205" t="s">
        <v>25</v>
      </c>
      <c r="F632" s="645" t="s">
        <v>14</v>
      </c>
      <c r="G632" s="4"/>
      <c r="H632" s="21" t="s">
        <v>23</v>
      </c>
      <c r="I632" s="21" t="s">
        <v>24</v>
      </c>
      <c r="J632" s="18" t="s">
        <v>25</v>
      </c>
      <c r="K632" s="645" t="s">
        <v>14</v>
      </c>
      <c r="L632" s="4"/>
      <c r="M632" s="21" t="s">
        <v>23</v>
      </c>
      <c r="N632" s="21" t="s">
        <v>24</v>
      </c>
      <c r="O632" s="18" t="s">
        <v>25</v>
      </c>
      <c r="P632" s="645" t="s">
        <v>14</v>
      </c>
      <c r="R632" s="21" t="s">
        <v>23</v>
      </c>
      <c r="S632" s="21" t="s">
        <v>24</v>
      </c>
      <c r="T632" s="18" t="s">
        <v>25</v>
      </c>
      <c r="U632" s="645" t="s">
        <v>14</v>
      </c>
      <c r="W632" s="21" t="s">
        <v>23</v>
      </c>
      <c r="X632" s="21" t="s">
        <v>24</v>
      </c>
      <c r="Y632" s="18" t="s">
        <v>25</v>
      </c>
      <c r="Z632" s="645" t="s">
        <v>14</v>
      </c>
      <c r="AA632" s="1517"/>
      <c r="AB632" s="1517"/>
      <c r="AC632" s="4"/>
      <c r="AD632" s="21" t="s">
        <v>23</v>
      </c>
      <c r="AE632" s="21" t="s">
        <v>24</v>
      </c>
      <c r="AF632" s="18" t="s">
        <v>25</v>
      </c>
      <c r="AG632" s="1517"/>
      <c r="AI632" s="368"/>
      <c r="AJ632" s="367"/>
      <c r="AK632" s="188" t="s">
        <v>26</v>
      </c>
      <c r="AL632" s="196">
        <f>AA665</f>
        <v>763.6</v>
      </c>
      <c r="AM632" s="510">
        <v>39.14</v>
      </c>
      <c r="AN632" s="510">
        <f t="shared" ref="AN632:AN635" si="96">AL632*AM632</f>
        <v>29887.304</v>
      </c>
      <c r="AQ632" s="367"/>
      <c r="AR632" s="367"/>
      <c r="AS632" s="367"/>
      <c r="AT632" s="367"/>
      <c r="AU632" s="367"/>
      <c r="AV632" s="367"/>
      <c r="AW632" s="367"/>
    </row>
    <row r="633" spans="1:49">
      <c r="A633" s="180"/>
      <c r="B633" s="4" t="s">
        <v>958</v>
      </c>
      <c r="C633" s="441" t="s">
        <v>83</v>
      </c>
      <c r="D633" s="441" t="s">
        <v>246</v>
      </c>
      <c r="E633" s="319">
        <v>7.5</v>
      </c>
      <c r="F633" s="646"/>
      <c r="G633" s="4"/>
      <c r="H633" s="47">
        <v>0.38541666666666669</v>
      </c>
      <c r="I633" s="47">
        <v>0.25</v>
      </c>
      <c r="J633" s="319">
        <v>7.75</v>
      </c>
      <c r="K633" s="646"/>
      <c r="L633" s="4"/>
      <c r="M633" s="667" t="s">
        <v>960</v>
      </c>
      <c r="N633" s="565"/>
      <c r="O633" s="319">
        <v>0</v>
      </c>
      <c r="P633" s="646"/>
      <c r="R633" s="47">
        <v>0.375</v>
      </c>
      <c r="S633" s="47">
        <v>0.25</v>
      </c>
      <c r="T633" s="319">
        <v>8</v>
      </c>
      <c r="U633" s="646"/>
      <c r="W633" s="47">
        <v>0.39583333333333331</v>
      </c>
      <c r="X633" s="47">
        <v>0.20833333333333334</v>
      </c>
      <c r="Y633" s="319">
        <v>7.5</v>
      </c>
      <c r="Z633" s="646"/>
      <c r="AA633" s="328">
        <f t="shared" ref="AA633:AA664" si="97">(E633+J633+O633+T633+Y633)</f>
        <v>30.75</v>
      </c>
      <c r="AB633" s="298">
        <f t="shared" ref="AB633:AB664" si="98">Z633+U633+P633+K633+F633</f>
        <v>0</v>
      </c>
      <c r="AC633" s="4"/>
      <c r="AD633" s="587"/>
      <c r="AE633" s="531"/>
      <c r="AF633" s="319"/>
      <c r="AG633" s="328">
        <f t="shared" ref="AG633:AG664" si="99">AF633</f>
        <v>0</v>
      </c>
      <c r="AI633" s="368"/>
      <c r="AJ633" s="367"/>
      <c r="AK633" s="188" t="s">
        <v>30</v>
      </c>
      <c r="AL633" s="196">
        <f>AB665</f>
        <v>26.25</v>
      </c>
      <c r="AM633" s="511">
        <f>AM632*1.5</f>
        <v>58.71</v>
      </c>
      <c r="AN633" s="510">
        <f t="shared" si="96"/>
        <v>1541.1375</v>
      </c>
      <c r="AQ633" s="367"/>
      <c r="AR633" s="367"/>
      <c r="AS633" s="367"/>
      <c r="AT633" s="367"/>
      <c r="AU633" s="367"/>
      <c r="AV633" s="367"/>
      <c r="AW633" s="367"/>
    </row>
    <row r="634" spans="1:49" ht="14.25" customHeight="1">
      <c r="A634" s="367"/>
      <c r="B634" s="47" t="s">
        <v>515</v>
      </c>
      <c r="C634" s="47">
        <v>0.375</v>
      </c>
      <c r="D634" s="47">
        <v>0.25</v>
      </c>
      <c r="E634" s="319">
        <v>8</v>
      </c>
      <c r="F634" s="646"/>
      <c r="G634" s="4"/>
      <c r="H634" s="441" t="s">
        <v>125</v>
      </c>
      <c r="I634" s="47">
        <v>0.20833333333333334</v>
      </c>
      <c r="J634" s="319">
        <v>8</v>
      </c>
      <c r="K634" s="646"/>
      <c r="L634" s="4"/>
      <c r="M634" s="47">
        <v>0.375</v>
      </c>
      <c r="N634" s="47">
        <v>0.25</v>
      </c>
      <c r="O634" s="319">
        <v>8</v>
      </c>
      <c r="P634" s="646"/>
      <c r="R634" s="667" t="s">
        <v>960</v>
      </c>
      <c r="S634" s="565"/>
      <c r="T634" s="319">
        <v>0</v>
      </c>
      <c r="U634" s="646"/>
      <c r="W634" s="667" t="s">
        <v>960</v>
      </c>
      <c r="X634" s="565"/>
      <c r="Y634" s="319">
        <v>0</v>
      </c>
      <c r="Z634" s="646"/>
      <c r="AA634" s="328">
        <f t="shared" si="97"/>
        <v>24</v>
      </c>
      <c r="AB634" s="298">
        <f t="shared" si="98"/>
        <v>0</v>
      </c>
      <c r="AC634" s="4"/>
      <c r="AF634" s="319"/>
      <c r="AG634" s="328">
        <f t="shared" si="99"/>
        <v>0</v>
      </c>
      <c r="AH634" s="175"/>
      <c r="AI634" s="402"/>
      <c r="AJ634" s="367"/>
      <c r="AK634" s="188" t="s">
        <v>32</v>
      </c>
      <c r="AL634" s="196">
        <f>AG665</f>
        <v>0</v>
      </c>
      <c r="AM634" s="510">
        <v>58.71</v>
      </c>
      <c r="AN634" s="510">
        <f t="shared" si="96"/>
        <v>0</v>
      </c>
      <c r="AQ634" s="367"/>
      <c r="AR634" s="367"/>
      <c r="AS634" s="367"/>
      <c r="AT634" s="367"/>
      <c r="AU634" s="367"/>
      <c r="AV634" s="367"/>
      <c r="AW634" s="367"/>
    </row>
    <row r="635" spans="1:49">
      <c r="A635" s="367"/>
      <c r="B635" s="441" t="s">
        <v>962</v>
      </c>
      <c r="C635" s="441" t="s">
        <v>75</v>
      </c>
      <c r="D635" s="47">
        <v>0.25</v>
      </c>
      <c r="E635" s="319">
        <v>8</v>
      </c>
      <c r="F635" s="646"/>
      <c r="G635" s="4"/>
      <c r="H635" s="47">
        <v>0.375</v>
      </c>
      <c r="I635" s="47">
        <v>0.25</v>
      </c>
      <c r="J635" s="319">
        <v>8</v>
      </c>
      <c r="K635" s="646"/>
      <c r="L635" s="4"/>
      <c r="M635" s="47">
        <v>0.375</v>
      </c>
      <c r="N635" s="47">
        <v>0.25</v>
      </c>
      <c r="O635" s="319">
        <v>8</v>
      </c>
      <c r="P635" s="646"/>
      <c r="R635" s="47">
        <v>0.375</v>
      </c>
      <c r="S635" s="47">
        <v>0.25</v>
      </c>
      <c r="T635" s="319">
        <v>8</v>
      </c>
      <c r="U635" s="646"/>
      <c r="W635" s="47">
        <v>0.375</v>
      </c>
      <c r="X635" s="47">
        <v>0.25</v>
      </c>
      <c r="Y635" s="319">
        <v>8</v>
      </c>
      <c r="Z635" s="646"/>
      <c r="AA635" s="328">
        <f t="shared" si="97"/>
        <v>40</v>
      </c>
      <c r="AB635" s="298">
        <f t="shared" si="98"/>
        <v>0</v>
      </c>
      <c r="AC635" s="399"/>
      <c r="AD635" s="47"/>
      <c r="AE635" s="47"/>
      <c r="AF635" s="319"/>
      <c r="AG635" s="328">
        <f t="shared" si="99"/>
        <v>0</v>
      </c>
      <c r="AH635" s="175"/>
      <c r="AJ635" s="401"/>
      <c r="AK635" s="403" t="s">
        <v>213</v>
      </c>
      <c r="AL635" s="404">
        <f>AA667</f>
        <v>8</v>
      </c>
      <c r="AM635" s="510">
        <v>51.5</v>
      </c>
      <c r="AN635" s="510">
        <f t="shared" si="96"/>
        <v>412</v>
      </c>
      <c r="AO635" s="405"/>
      <c r="AP635" s="405"/>
      <c r="AQ635" s="367"/>
      <c r="AR635" s="401"/>
      <c r="AS635" s="401"/>
      <c r="AT635" s="401"/>
      <c r="AU635" s="401"/>
      <c r="AV635" s="401"/>
      <c r="AW635" s="401"/>
    </row>
    <row r="636" spans="1:49">
      <c r="A636" s="367"/>
      <c r="B636" s="47" t="s">
        <v>967</v>
      </c>
      <c r="C636" s="441" t="s">
        <v>75</v>
      </c>
      <c r="D636" s="47">
        <v>0.25</v>
      </c>
      <c r="E636" s="319">
        <v>8</v>
      </c>
      <c r="F636" s="646"/>
      <c r="G636" s="4"/>
      <c r="H636" s="47">
        <v>0.375</v>
      </c>
      <c r="I636" s="47">
        <v>0.25</v>
      </c>
      <c r="J636" s="319">
        <v>8</v>
      </c>
      <c r="K636" s="646"/>
      <c r="L636" s="4"/>
      <c r="M636" s="441" t="s">
        <v>212</v>
      </c>
      <c r="N636" s="47">
        <v>0.25</v>
      </c>
      <c r="O636" s="319">
        <v>7.75</v>
      </c>
      <c r="P636" s="646"/>
      <c r="R636" s="47">
        <v>0.375</v>
      </c>
      <c r="S636" s="47">
        <v>0.25</v>
      </c>
      <c r="T636" s="319">
        <v>8</v>
      </c>
      <c r="U636" s="646"/>
      <c r="W636" s="47">
        <v>0.375</v>
      </c>
      <c r="X636" s="47">
        <v>0.25</v>
      </c>
      <c r="Y636" s="319">
        <v>8</v>
      </c>
      <c r="Z636" s="646"/>
      <c r="AA636" s="328">
        <f t="shared" si="97"/>
        <v>39.75</v>
      </c>
      <c r="AB636" s="298">
        <f t="shared" si="98"/>
        <v>0</v>
      </c>
      <c r="AC636" s="4"/>
      <c r="AD636" s="47"/>
      <c r="AE636" s="47"/>
      <c r="AF636" s="319"/>
      <c r="AG636" s="328">
        <f t="shared" si="99"/>
        <v>0</v>
      </c>
      <c r="AH636" s="175"/>
      <c r="AI636" s="368"/>
      <c r="AK636" s="188" t="s">
        <v>36</v>
      </c>
      <c r="AL636" s="196">
        <f>AB667</f>
        <v>0</v>
      </c>
      <c r="AM636" s="510">
        <f>AM635*1.5</f>
        <v>77.25</v>
      </c>
      <c r="AN636" s="510">
        <f>AL636*AM636</f>
        <v>0</v>
      </c>
      <c r="AQ636" s="367"/>
    </row>
    <row r="637" spans="1:49" s="4" customFormat="1">
      <c r="A637" s="180"/>
      <c r="B637" s="436" t="s">
        <v>972</v>
      </c>
      <c r="C637" s="441" t="s">
        <v>75</v>
      </c>
      <c r="D637" s="47">
        <v>0.25</v>
      </c>
      <c r="E637" s="319">
        <v>8</v>
      </c>
      <c r="F637" s="646"/>
      <c r="H637" s="441" t="s">
        <v>75</v>
      </c>
      <c r="I637" s="47">
        <v>0.25</v>
      </c>
      <c r="J637" s="319">
        <v>8</v>
      </c>
      <c r="K637" s="646"/>
      <c r="M637" s="47">
        <v>0.375</v>
      </c>
      <c r="N637" s="47">
        <v>0.25</v>
      </c>
      <c r="O637" s="319">
        <v>8</v>
      </c>
      <c r="P637" s="646"/>
      <c r="R637" s="47">
        <v>0.375</v>
      </c>
      <c r="S637" s="47">
        <v>0.25</v>
      </c>
      <c r="T637" s="319">
        <v>8</v>
      </c>
      <c r="U637" s="646"/>
      <c r="W637" s="47">
        <v>0.375</v>
      </c>
      <c r="X637" s="47">
        <v>0.25</v>
      </c>
      <c r="Y637" s="319">
        <v>8</v>
      </c>
      <c r="Z637" s="646"/>
      <c r="AA637" s="328">
        <f t="shared" si="97"/>
        <v>40</v>
      </c>
      <c r="AB637" s="298">
        <f t="shared" si="98"/>
        <v>0</v>
      </c>
      <c r="AD637" s="47"/>
      <c r="AE637" s="47"/>
      <c r="AF637" s="319"/>
      <c r="AG637" s="328">
        <f t="shared" si="99"/>
        <v>0</v>
      </c>
      <c r="AI637" s="255"/>
      <c r="AJ637" s="180"/>
      <c r="AK637" s="188" t="s">
        <v>38</v>
      </c>
      <c r="AL637" s="196">
        <f>AG667</f>
        <v>0</v>
      </c>
      <c r="AM637" s="510">
        <v>77.25</v>
      </c>
      <c r="AN637" s="510">
        <f>AL637*AM637</f>
        <v>0</v>
      </c>
      <c r="AO637" s="193"/>
      <c r="AP637" s="193"/>
      <c r="AQ637" s="367"/>
      <c r="AR637" s="180"/>
      <c r="AS637" s="180"/>
      <c r="AT637" s="180"/>
      <c r="AU637" s="180"/>
      <c r="AV637" s="180"/>
      <c r="AW637" s="180"/>
    </row>
    <row r="638" spans="1:49" s="4" customFormat="1">
      <c r="A638" s="180"/>
      <c r="B638" s="47" t="s">
        <v>974</v>
      </c>
      <c r="C638" s="441" t="s">
        <v>75</v>
      </c>
      <c r="D638" s="47">
        <v>0.25</v>
      </c>
      <c r="E638" s="319">
        <v>8</v>
      </c>
      <c r="F638" s="646"/>
      <c r="H638" s="441" t="s">
        <v>125</v>
      </c>
      <c r="I638" s="47">
        <v>0.20833333333333334</v>
      </c>
      <c r="J638" s="319">
        <v>8</v>
      </c>
      <c r="K638" s="646"/>
      <c r="M638" s="47">
        <v>0.33333333333333331</v>
      </c>
      <c r="N638" s="47">
        <v>0.20833333333333334</v>
      </c>
      <c r="O638" s="319">
        <v>8</v>
      </c>
      <c r="P638" s="646"/>
      <c r="R638" s="47">
        <v>0.375</v>
      </c>
      <c r="S638" s="47">
        <v>0.25</v>
      </c>
      <c r="T638" s="319">
        <v>8</v>
      </c>
      <c r="U638" s="646"/>
      <c r="W638" s="47">
        <v>0.33333333333333331</v>
      </c>
      <c r="X638" s="47">
        <v>0.20833333333333334</v>
      </c>
      <c r="Y638" s="319">
        <v>8</v>
      </c>
      <c r="Z638" s="646"/>
      <c r="AA638" s="328">
        <f t="shared" si="97"/>
        <v>40</v>
      </c>
      <c r="AB638" s="298">
        <f t="shared" si="98"/>
        <v>0</v>
      </c>
      <c r="AD638" s="47"/>
      <c r="AE638" s="47"/>
      <c r="AF638" s="319"/>
      <c r="AG638" s="328">
        <f t="shared" si="99"/>
        <v>0</v>
      </c>
      <c r="AI638" s="255"/>
      <c r="AJ638" s="180"/>
      <c r="AK638" s="188"/>
      <c r="AL638" s="196"/>
      <c r="AM638" s="510"/>
      <c r="AN638" s="510"/>
      <c r="AO638" s="193"/>
      <c r="AP638" s="193"/>
      <c r="AQ638" s="367"/>
      <c r="AR638" s="180"/>
      <c r="AS638" s="180"/>
      <c r="AT638" s="180"/>
      <c r="AU638" s="180"/>
      <c r="AV638" s="180"/>
      <c r="AW638" s="180"/>
    </row>
    <row r="639" spans="1:49" s="4" customFormat="1">
      <c r="A639" s="180"/>
      <c r="B639" s="47" t="s">
        <v>517</v>
      </c>
      <c r="C639" s="441" t="s">
        <v>75</v>
      </c>
      <c r="D639" s="47">
        <v>0.25</v>
      </c>
      <c r="E639" s="319">
        <v>8</v>
      </c>
      <c r="F639" s="646"/>
      <c r="H639" s="47">
        <v>0.375</v>
      </c>
      <c r="I639" s="47">
        <v>0.25</v>
      </c>
      <c r="J639" s="319">
        <v>8</v>
      </c>
      <c r="K639" s="646"/>
      <c r="M639" s="47">
        <v>0.375</v>
      </c>
      <c r="N639" s="47">
        <v>0.25</v>
      </c>
      <c r="O639" s="319">
        <v>8</v>
      </c>
      <c r="P639" s="646"/>
      <c r="R639" s="47">
        <v>0.375</v>
      </c>
      <c r="S639" s="47">
        <v>0.25</v>
      </c>
      <c r="T639" s="319">
        <v>8</v>
      </c>
      <c r="U639" s="646"/>
      <c r="W639" s="47">
        <v>0.375</v>
      </c>
      <c r="X639" s="47">
        <v>0.25</v>
      </c>
      <c r="Y639" s="319">
        <v>8</v>
      </c>
      <c r="Z639" s="646"/>
      <c r="AA639" s="328">
        <f t="shared" si="97"/>
        <v>40</v>
      </c>
      <c r="AB639" s="298">
        <f t="shared" si="98"/>
        <v>0</v>
      </c>
      <c r="AD639" s="47"/>
      <c r="AE639" s="47"/>
      <c r="AF639" s="319"/>
      <c r="AG639" s="328">
        <f t="shared" si="99"/>
        <v>0</v>
      </c>
      <c r="AI639" s="255"/>
      <c r="AJ639" s="180"/>
      <c r="AK639" s="193"/>
      <c r="AL639" s="193"/>
      <c r="AM639" s="193"/>
      <c r="AN639" s="510">
        <f>SUM(AN632:AN637)</f>
        <v>31840.441500000001</v>
      </c>
      <c r="AO639" s="193"/>
      <c r="AP639" s="193"/>
      <c r="AQ639" s="180"/>
      <c r="AR639" s="180"/>
      <c r="AS639" s="180"/>
      <c r="AT639" s="180"/>
      <c r="AU639" s="180"/>
      <c r="AV639" s="180"/>
      <c r="AW639" s="180"/>
    </row>
    <row r="640" spans="1:49" s="4" customFormat="1">
      <c r="A640" s="180"/>
      <c r="B640" s="436" t="s">
        <v>981</v>
      </c>
      <c r="C640" s="441" t="s">
        <v>75</v>
      </c>
      <c r="D640" s="47">
        <v>0.25</v>
      </c>
      <c r="E640" s="319">
        <v>8</v>
      </c>
      <c r="F640" s="646"/>
      <c r="H640" s="47">
        <v>0.375</v>
      </c>
      <c r="I640" s="47">
        <v>0.25</v>
      </c>
      <c r="J640" s="319">
        <v>8</v>
      </c>
      <c r="K640" s="646"/>
      <c r="M640" s="667" t="s">
        <v>960</v>
      </c>
      <c r="N640" s="565"/>
      <c r="O640" s="319">
        <v>0</v>
      </c>
      <c r="P640" s="646"/>
      <c r="R640" s="47">
        <v>0.33333333333333331</v>
      </c>
      <c r="S640" s="47">
        <v>0.20833333333333334</v>
      </c>
      <c r="T640" s="319">
        <v>8</v>
      </c>
      <c r="U640" s="646"/>
      <c r="W640" s="47">
        <v>0.375</v>
      </c>
      <c r="X640" s="47">
        <v>0.25</v>
      </c>
      <c r="Y640" s="319">
        <v>8</v>
      </c>
      <c r="Z640" s="646"/>
      <c r="AA640" s="328">
        <f t="shared" si="97"/>
        <v>32</v>
      </c>
      <c r="AB640" s="298">
        <f t="shared" si="98"/>
        <v>0</v>
      </c>
      <c r="AD640" s="47" t="s">
        <v>1023</v>
      </c>
      <c r="AE640" s="47"/>
      <c r="AF640" s="319"/>
      <c r="AG640" s="328">
        <f t="shared" si="99"/>
        <v>0</v>
      </c>
      <c r="AI640" s="255"/>
      <c r="AJ640" s="180"/>
      <c r="AK640" s="193"/>
      <c r="AL640" s="193"/>
      <c r="AM640" s="193"/>
      <c r="AN640" s="193"/>
      <c r="AO640" s="193"/>
      <c r="AP640" s="193"/>
      <c r="AQ640" s="180"/>
      <c r="AR640" s="180"/>
      <c r="AS640" s="180"/>
      <c r="AT640" s="180"/>
      <c r="AU640" s="180"/>
      <c r="AV640" s="180"/>
      <c r="AW640" s="180"/>
    </row>
    <row r="641" spans="1:49" s="4" customFormat="1">
      <c r="A641" s="180"/>
      <c r="B641" s="4" t="s">
        <v>976</v>
      </c>
      <c r="C641" s="667" t="s">
        <v>960</v>
      </c>
      <c r="D641" s="565"/>
      <c r="E641" s="319">
        <v>0</v>
      </c>
      <c r="F641" s="646"/>
      <c r="H641" s="667" t="s">
        <v>960</v>
      </c>
      <c r="I641" s="565"/>
      <c r="J641" s="319">
        <v>0</v>
      </c>
      <c r="K641" s="646"/>
      <c r="M641" s="47">
        <v>0.375</v>
      </c>
      <c r="N641" s="47">
        <v>0.25</v>
      </c>
      <c r="O641" s="319">
        <v>8</v>
      </c>
      <c r="P641" s="646"/>
      <c r="R641" s="667" t="s">
        <v>960</v>
      </c>
      <c r="S641" s="565"/>
      <c r="T641" s="319">
        <v>0</v>
      </c>
      <c r="U641" s="646"/>
      <c r="W641" s="47">
        <v>0.375</v>
      </c>
      <c r="X641" s="47">
        <v>0.25</v>
      </c>
      <c r="Y641" s="319">
        <v>8</v>
      </c>
      <c r="Z641" s="646"/>
      <c r="AA641" s="328">
        <f t="shared" si="97"/>
        <v>16</v>
      </c>
      <c r="AB641" s="298">
        <f t="shared" si="98"/>
        <v>0</v>
      </c>
      <c r="AD641" s="47"/>
      <c r="AE641" s="47"/>
      <c r="AF641" s="319"/>
      <c r="AG641" s="328">
        <f t="shared" si="99"/>
        <v>0</v>
      </c>
      <c r="AI641" s="255"/>
      <c r="AJ641" s="180"/>
      <c r="AK641" s="193"/>
      <c r="AL641" s="193"/>
      <c r="AM641" s="193"/>
      <c r="AN641" s="193"/>
      <c r="AO641" s="193"/>
      <c r="AP641" s="193"/>
      <c r="AQ641" s="180"/>
      <c r="AR641" s="180"/>
      <c r="AS641" s="180"/>
      <c r="AT641" s="180"/>
      <c r="AU641" s="180"/>
      <c r="AV641" s="180"/>
      <c r="AW641" s="180"/>
    </row>
    <row r="642" spans="1:49" s="4" customFormat="1">
      <c r="A642" s="180"/>
      <c r="B642" s="666" t="s">
        <v>998</v>
      </c>
      <c r="C642" s="441" t="s">
        <v>75</v>
      </c>
      <c r="D642" s="47">
        <v>0.25</v>
      </c>
      <c r="E642" s="319">
        <v>8</v>
      </c>
      <c r="F642" s="646"/>
      <c r="H642" s="47">
        <v>0.375</v>
      </c>
      <c r="I642" s="47">
        <v>0.25</v>
      </c>
      <c r="J642" s="319">
        <v>8</v>
      </c>
      <c r="K642" s="646"/>
      <c r="M642" s="441" t="s">
        <v>75</v>
      </c>
      <c r="N642" s="326">
        <v>0.25</v>
      </c>
      <c r="O642" s="544">
        <v>8</v>
      </c>
      <c r="P642" s="646"/>
      <c r="R642" s="47">
        <v>0.375</v>
      </c>
      <c r="S642" s="47">
        <v>0.25</v>
      </c>
      <c r="T642" s="319">
        <v>8</v>
      </c>
      <c r="U642" s="646"/>
      <c r="W642" s="47">
        <v>0.375</v>
      </c>
      <c r="X642" s="47">
        <v>0.25</v>
      </c>
      <c r="Y642" s="319">
        <v>8</v>
      </c>
      <c r="Z642" s="646"/>
      <c r="AA642" s="328">
        <f t="shared" si="97"/>
        <v>40</v>
      </c>
      <c r="AB642" s="298">
        <f t="shared" si="98"/>
        <v>0</v>
      </c>
      <c r="AD642" s="47"/>
      <c r="AE642" s="47"/>
      <c r="AF642" s="319"/>
      <c r="AG642" s="328">
        <f t="shared" si="99"/>
        <v>0</v>
      </c>
      <c r="AI642" s="255"/>
      <c r="AJ642" s="180"/>
      <c r="AK642" s="193"/>
      <c r="AL642" s="193"/>
      <c r="AM642" s="193"/>
      <c r="AN642" s="193"/>
      <c r="AO642" s="193"/>
      <c r="AP642" s="193"/>
      <c r="AQ642" s="180"/>
      <c r="AR642" s="180"/>
      <c r="AS642" s="180"/>
      <c r="AT642" s="180"/>
      <c r="AU642" s="180"/>
      <c r="AV642" s="180"/>
      <c r="AW642" s="180"/>
    </row>
    <row r="643" spans="1:49" s="4" customFormat="1">
      <c r="A643" s="180"/>
      <c r="B643" s="47" t="s">
        <v>977</v>
      </c>
      <c r="C643" s="667" t="s">
        <v>960</v>
      </c>
      <c r="D643" s="565"/>
      <c r="E643" s="319">
        <v>0</v>
      </c>
      <c r="F643" s="646"/>
      <c r="H643" s="667" t="s">
        <v>960</v>
      </c>
      <c r="I643" s="565"/>
      <c r="J643" s="319">
        <v>0</v>
      </c>
      <c r="K643" s="646"/>
      <c r="M643" s="47">
        <v>0.375</v>
      </c>
      <c r="N643" s="47">
        <v>0.25</v>
      </c>
      <c r="O643" s="319">
        <v>8</v>
      </c>
      <c r="P643" s="646"/>
      <c r="R643" s="667" t="s">
        <v>960</v>
      </c>
      <c r="S643" s="565"/>
      <c r="T643" s="319">
        <v>0</v>
      </c>
      <c r="U643" s="646"/>
      <c r="W643" s="667" t="s">
        <v>960</v>
      </c>
      <c r="X643" s="565"/>
      <c r="Y643" s="319">
        <v>0</v>
      </c>
      <c r="Z643" s="646"/>
      <c r="AA643" s="328">
        <f t="shared" si="97"/>
        <v>8</v>
      </c>
      <c r="AB643" s="298">
        <f t="shared" si="98"/>
        <v>0</v>
      </c>
      <c r="AD643" s="47"/>
      <c r="AE643" s="47"/>
      <c r="AF643" s="319"/>
      <c r="AG643" s="328">
        <f t="shared" si="99"/>
        <v>0</v>
      </c>
      <c r="AI643" s="255"/>
      <c r="AJ643" s="180"/>
      <c r="AK643" s="193"/>
      <c r="AL643" s="193"/>
      <c r="AM643" s="193"/>
      <c r="AN643" s="193"/>
      <c r="AO643" s="193"/>
      <c r="AP643" s="193"/>
      <c r="AQ643" s="180"/>
      <c r="AR643" s="180"/>
      <c r="AS643" s="180"/>
      <c r="AT643" s="180"/>
      <c r="AU643" s="180"/>
      <c r="AV643" s="180"/>
      <c r="AW643" s="180"/>
    </row>
    <row r="644" spans="1:49" s="4" customFormat="1">
      <c r="A644" s="180"/>
      <c r="B644" s="47" t="s">
        <v>986</v>
      </c>
      <c r="C644" s="667" t="s">
        <v>960</v>
      </c>
      <c r="D644" s="565"/>
      <c r="E644" s="319">
        <v>0</v>
      </c>
      <c r="F644" s="646"/>
      <c r="H644" s="667" t="s">
        <v>960</v>
      </c>
      <c r="I644" s="565"/>
      <c r="J644" s="319">
        <v>0</v>
      </c>
      <c r="K644" s="646"/>
      <c r="M644" s="667" t="s">
        <v>960</v>
      </c>
      <c r="N644" s="565"/>
      <c r="O644" s="319">
        <v>0</v>
      </c>
      <c r="P644" s="646"/>
      <c r="R644" s="667" t="s">
        <v>960</v>
      </c>
      <c r="S644" s="565"/>
      <c r="T644" s="319">
        <v>0</v>
      </c>
      <c r="U644" s="646"/>
      <c r="W644" s="667" t="s">
        <v>960</v>
      </c>
      <c r="X644" s="565"/>
      <c r="Y644" s="319">
        <v>0</v>
      </c>
      <c r="Z644" s="646"/>
      <c r="AA644" s="328">
        <f t="shared" si="97"/>
        <v>0</v>
      </c>
      <c r="AB644" s="298">
        <f t="shared" si="98"/>
        <v>0</v>
      </c>
      <c r="AD644" s="47"/>
      <c r="AE644" s="47"/>
      <c r="AF644" s="319"/>
      <c r="AG644" s="328">
        <f t="shared" si="99"/>
        <v>0</v>
      </c>
      <c r="AI644" s="255"/>
      <c r="AJ644" s="180"/>
      <c r="AK644" s="193"/>
      <c r="AL644" s="193"/>
      <c r="AM644" s="193"/>
      <c r="AN644" s="193"/>
      <c r="AO644" s="193"/>
      <c r="AP644" s="193"/>
      <c r="AQ644" s="180"/>
      <c r="AR644" s="180"/>
      <c r="AS644" s="180"/>
      <c r="AT644" s="180"/>
      <c r="AU644" s="180"/>
      <c r="AV644" s="180"/>
      <c r="AW644" s="180"/>
    </row>
    <row r="645" spans="1:49" s="4" customFormat="1" ht="12" customHeight="1">
      <c r="A645" s="180"/>
      <c r="B645" s="436" t="s">
        <v>394</v>
      </c>
      <c r="C645" s="441" t="s">
        <v>75</v>
      </c>
      <c r="D645" s="47">
        <v>0.25</v>
      </c>
      <c r="E645" s="319">
        <v>8</v>
      </c>
      <c r="F645" s="646"/>
      <c r="H645" s="47">
        <v>0.375</v>
      </c>
      <c r="I645" s="47">
        <v>0.25</v>
      </c>
      <c r="J645" s="319">
        <v>8</v>
      </c>
      <c r="K645" s="646"/>
      <c r="M645" s="47">
        <v>0.375</v>
      </c>
      <c r="N645" s="47">
        <v>0.25</v>
      </c>
      <c r="O645" s="319">
        <v>8</v>
      </c>
      <c r="P645" s="646"/>
      <c r="R645" s="47">
        <v>0.375</v>
      </c>
      <c r="S645" s="47">
        <v>0.25</v>
      </c>
      <c r="T645" s="319">
        <v>8</v>
      </c>
      <c r="U645" s="646"/>
      <c r="W645" s="47">
        <v>0.375</v>
      </c>
      <c r="X645" s="47">
        <v>0.25</v>
      </c>
      <c r="Y645" s="319">
        <v>8</v>
      </c>
      <c r="Z645" s="646"/>
      <c r="AA645" s="328">
        <f t="shared" si="97"/>
        <v>40</v>
      </c>
      <c r="AB645" s="298">
        <f t="shared" si="98"/>
        <v>0</v>
      </c>
      <c r="AD645" s="47"/>
      <c r="AE645" s="47"/>
      <c r="AF645" s="319"/>
      <c r="AG645" s="328">
        <f t="shared" si="99"/>
        <v>0</v>
      </c>
      <c r="AI645" s="255"/>
      <c r="AJ645" s="180"/>
      <c r="AK645" s="193"/>
      <c r="AL645" s="193"/>
      <c r="AM645" s="193"/>
      <c r="AN645" s="193"/>
      <c r="AO645" s="193"/>
      <c r="AP645" s="193"/>
      <c r="AQ645" s="180"/>
      <c r="AR645" s="180"/>
      <c r="AS645" s="180"/>
      <c r="AT645" s="180"/>
      <c r="AU645" s="180"/>
      <c r="AV645" s="180"/>
      <c r="AW645" s="180"/>
    </row>
    <row r="646" spans="1:49" s="4" customFormat="1">
      <c r="A646" s="180"/>
      <c r="B646" s="47" t="s">
        <v>519</v>
      </c>
      <c r="C646" s="667" t="s">
        <v>960</v>
      </c>
      <c r="D646" s="565"/>
      <c r="E646" s="319">
        <v>0</v>
      </c>
      <c r="F646" s="646"/>
      <c r="H646" s="667" t="s">
        <v>960</v>
      </c>
      <c r="I646" s="565"/>
      <c r="J646" s="319">
        <v>0</v>
      </c>
      <c r="K646" s="646"/>
      <c r="M646" s="667" t="s">
        <v>960</v>
      </c>
      <c r="N646" s="565"/>
      <c r="O646" s="319">
        <v>0</v>
      </c>
      <c r="P646" s="646"/>
      <c r="R646" s="667" t="s">
        <v>960</v>
      </c>
      <c r="S646" s="565"/>
      <c r="T646" s="319">
        <v>0</v>
      </c>
      <c r="U646" s="646"/>
      <c r="W646" s="667" t="s">
        <v>960</v>
      </c>
      <c r="X646" s="565"/>
      <c r="Y646" s="319">
        <v>0</v>
      </c>
      <c r="Z646" s="646"/>
      <c r="AA646" s="328">
        <f t="shared" si="97"/>
        <v>0</v>
      </c>
      <c r="AB646" s="298">
        <f t="shared" si="98"/>
        <v>0</v>
      </c>
      <c r="AD646" s="47"/>
      <c r="AE646" s="47"/>
      <c r="AF646" s="319"/>
      <c r="AG646" s="328">
        <f t="shared" si="99"/>
        <v>0</v>
      </c>
      <c r="AI646" s="255"/>
      <c r="AJ646" s="180"/>
      <c r="AK646" s="193"/>
      <c r="AL646" s="193"/>
      <c r="AM646" s="193"/>
      <c r="AN646" s="193"/>
      <c r="AO646" s="193"/>
      <c r="AP646" s="193"/>
      <c r="AQ646" s="180"/>
      <c r="AR646" s="180"/>
      <c r="AS646" s="180"/>
      <c r="AT646" s="180"/>
      <c r="AU646" s="180"/>
      <c r="AV646" s="180"/>
      <c r="AW646" s="180"/>
    </row>
    <row r="647" spans="1:49" s="4" customFormat="1">
      <c r="A647" s="180"/>
      <c r="B647" s="532" t="s">
        <v>999</v>
      </c>
      <c r="C647" s="441" t="s">
        <v>75</v>
      </c>
      <c r="D647" s="47">
        <v>0.25</v>
      </c>
      <c r="E647" s="544">
        <v>9.5</v>
      </c>
      <c r="F647" s="646"/>
      <c r="H647" s="47">
        <v>0.375</v>
      </c>
      <c r="I647" s="47">
        <v>0.25</v>
      </c>
      <c r="J647" s="319">
        <v>8</v>
      </c>
      <c r="K647" s="646"/>
      <c r="M647" s="47">
        <v>0.375</v>
      </c>
      <c r="N647" s="47">
        <v>0.25</v>
      </c>
      <c r="O647" s="319">
        <v>8</v>
      </c>
      <c r="P647" s="646"/>
      <c r="R647" s="47">
        <v>0.375</v>
      </c>
      <c r="S647" s="47">
        <v>0.25</v>
      </c>
      <c r="T647" s="319">
        <v>8</v>
      </c>
      <c r="U647" s="646"/>
      <c r="W647" s="47">
        <v>0.375</v>
      </c>
      <c r="X647" s="47">
        <v>0.25</v>
      </c>
      <c r="Y647" s="319">
        <v>8</v>
      </c>
      <c r="Z647" s="646"/>
      <c r="AA647" s="328">
        <f>(E647+J647+O647+T647+Y647)</f>
        <v>41.5</v>
      </c>
      <c r="AB647" s="298">
        <f t="shared" si="98"/>
        <v>0</v>
      </c>
      <c r="AD647" s="47"/>
      <c r="AE647" s="47"/>
      <c r="AF647" s="319"/>
      <c r="AG647" s="328">
        <f t="shared" si="99"/>
        <v>0</v>
      </c>
      <c r="AI647" s="255"/>
      <c r="AJ647" s="180"/>
      <c r="AK647" s="193"/>
      <c r="AL647" s="193"/>
      <c r="AM647" s="193"/>
      <c r="AN647" s="193"/>
      <c r="AO647" s="193"/>
      <c r="AP647" s="193"/>
      <c r="AQ647" s="180"/>
      <c r="AR647" s="180"/>
      <c r="AS647" s="180"/>
      <c r="AT647" s="180"/>
      <c r="AU647" s="180"/>
      <c r="AV647" s="180"/>
      <c r="AW647" s="180"/>
    </row>
    <row r="648" spans="1:49" s="4" customFormat="1">
      <c r="A648" s="180"/>
      <c r="B648" s="640" t="s">
        <v>957</v>
      </c>
      <c r="C648" s="643"/>
      <c r="D648" s="519"/>
      <c r="E648" s="520"/>
      <c r="F648" s="647"/>
      <c r="G648" s="521"/>
      <c r="H648" s="519"/>
      <c r="I648" s="519"/>
      <c r="J648" s="520"/>
      <c r="K648" s="647"/>
      <c r="L648" s="521"/>
      <c r="M648" s="519"/>
      <c r="N648" s="519"/>
      <c r="O648" s="520"/>
      <c r="P648" s="647"/>
      <c r="Q648" s="521"/>
      <c r="R648" s="519"/>
      <c r="S648" s="519"/>
      <c r="T648" s="520"/>
      <c r="U648" s="647"/>
      <c r="V648" s="521"/>
      <c r="W648" s="519"/>
      <c r="X648" s="519"/>
      <c r="Y648" s="520"/>
      <c r="Z648" s="646"/>
      <c r="AA648" s="328">
        <f>(E648+J648+O648+T648+Y648)</f>
        <v>0</v>
      </c>
      <c r="AB648" s="298">
        <f>Z648+U648+P648+K648+F648</f>
        <v>0</v>
      </c>
      <c r="AD648" s="47"/>
      <c r="AE648" s="47"/>
      <c r="AF648" s="319"/>
      <c r="AG648" s="328">
        <f>AF648</f>
        <v>0</v>
      </c>
      <c r="AI648" s="255"/>
      <c r="AJ648" s="180"/>
      <c r="AK648" s="193"/>
      <c r="AL648" s="193"/>
      <c r="AM648" s="193"/>
      <c r="AN648" s="193"/>
      <c r="AO648" s="193"/>
      <c r="AP648" s="193"/>
      <c r="AQ648" s="180"/>
      <c r="AR648" s="180"/>
      <c r="AS648" s="180"/>
      <c r="AT648" s="180"/>
      <c r="AU648" s="180"/>
      <c r="AV648" s="180"/>
      <c r="AW648" s="180"/>
    </row>
    <row r="649" spans="1:49" s="4" customFormat="1">
      <c r="A649" s="180"/>
      <c r="B649" s="640" t="s">
        <v>390</v>
      </c>
      <c r="C649" s="643"/>
      <c r="D649" s="519"/>
      <c r="E649" s="520"/>
      <c r="F649" s="647"/>
      <c r="G649" s="521"/>
      <c r="H649" s="519"/>
      <c r="I649" s="519"/>
      <c r="J649" s="520"/>
      <c r="K649" s="647"/>
      <c r="L649" s="521"/>
      <c r="M649" s="519"/>
      <c r="N649" s="519"/>
      <c r="O649" s="520"/>
      <c r="P649" s="647"/>
      <c r="Q649" s="521"/>
      <c r="R649" s="519"/>
      <c r="S649" s="519"/>
      <c r="T649" s="520"/>
      <c r="U649" s="647"/>
      <c r="V649" s="521"/>
      <c r="W649" s="519"/>
      <c r="X649" s="519"/>
      <c r="Y649" s="520"/>
      <c r="Z649" s="646"/>
      <c r="AA649" s="328">
        <f>(E649+J649+O649+T649+Y649)</f>
        <v>0</v>
      </c>
      <c r="AB649" s="298">
        <f>Z649+U649+P649+K649+F649</f>
        <v>0</v>
      </c>
      <c r="AD649" s="47"/>
      <c r="AE649" s="47"/>
      <c r="AF649" s="319"/>
      <c r="AG649" s="328">
        <f>AF649</f>
        <v>0</v>
      </c>
      <c r="AI649" s="255"/>
      <c r="AJ649" s="180"/>
      <c r="AK649" s="193"/>
      <c r="AL649" s="193"/>
      <c r="AM649" s="193"/>
      <c r="AN649" s="510"/>
      <c r="AO649" s="193"/>
      <c r="AP649" s="193"/>
      <c r="AQ649" s="367"/>
      <c r="AR649" s="180"/>
      <c r="AS649" s="180"/>
      <c r="AT649" s="180"/>
      <c r="AU649" s="180"/>
      <c r="AV649" s="180"/>
      <c r="AW649" s="180"/>
    </row>
    <row r="650" spans="1:49" s="4" customFormat="1">
      <c r="A650" s="180"/>
      <c r="B650" s="639" t="s">
        <v>975</v>
      </c>
      <c r="C650" s="643"/>
      <c r="D650" s="519"/>
      <c r="E650" s="520"/>
      <c r="F650" s="647"/>
      <c r="G650" s="521"/>
      <c r="H650" s="519"/>
      <c r="I650" s="519"/>
      <c r="J650" s="520"/>
      <c r="K650" s="647"/>
      <c r="L650" s="521"/>
      <c r="M650" s="519"/>
      <c r="N650" s="519"/>
      <c r="O650" s="520"/>
      <c r="P650" s="647"/>
      <c r="Q650" s="521"/>
      <c r="R650" s="519"/>
      <c r="S650" s="519"/>
      <c r="T650" s="520"/>
      <c r="U650" s="647"/>
      <c r="V650" s="521"/>
      <c r="W650" s="519"/>
      <c r="X650" s="519"/>
      <c r="Y650" s="520"/>
      <c r="Z650" s="646"/>
      <c r="AA650" s="328">
        <f>(E650+J650+O650+T650+Y650)</f>
        <v>0</v>
      </c>
      <c r="AB650" s="298">
        <f>Z650+U650+P650+K650+F650</f>
        <v>0</v>
      </c>
      <c r="AD650" s="47"/>
      <c r="AE650" s="47"/>
      <c r="AF650" s="319"/>
      <c r="AG650" s="328">
        <f>AF650</f>
        <v>0</v>
      </c>
      <c r="AI650" s="255"/>
      <c r="AJ650" s="180"/>
      <c r="AK650" s="193"/>
      <c r="AL650" s="193"/>
      <c r="AM650" s="193"/>
      <c r="AN650" s="193"/>
      <c r="AO650" s="193"/>
      <c r="AP650" s="193"/>
      <c r="AQ650" s="367"/>
      <c r="AR650" s="180"/>
      <c r="AS650" s="180"/>
      <c r="AT650" s="180"/>
      <c r="AU650" s="180"/>
      <c r="AV650" s="180"/>
      <c r="AW650" s="180"/>
    </row>
    <row r="651" spans="1:49" s="4" customFormat="1">
      <c r="A651" s="180"/>
      <c r="B651" s="639" t="s">
        <v>533</v>
      </c>
      <c r="C651" s="643"/>
      <c r="D651" s="519"/>
      <c r="E651" s="520"/>
      <c r="F651" s="647"/>
      <c r="G651" s="521"/>
      <c r="H651" s="519"/>
      <c r="I651" s="519"/>
      <c r="J651" s="520"/>
      <c r="K651" s="647"/>
      <c r="L651" s="521"/>
      <c r="M651" s="519"/>
      <c r="N651" s="519"/>
      <c r="O651" s="520"/>
      <c r="P651" s="647"/>
      <c r="Q651" s="521"/>
      <c r="R651" s="519"/>
      <c r="S651" s="519"/>
      <c r="T651" s="520"/>
      <c r="U651" s="647"/>
      <c r="V651" s="521"/>
      <c r="W651" s="519"/>
      <c r="X651" s="519"/>
      <c r="Y651" s="520"/>
      <c r="Z651" s="646"/>
      <c r="AA651" s="328">
        <f>(E651+J651+O651+T651+Y651)</f>
        <v>0</v>
      </c>
      <c r="AB651" s="298">
        <f>Z651+U651+P651+K651+F651</f>
        <v>0</v>
      </c>
      <c r="AD651" s="47"/>
      <c r="AE651" s="47"/>
      <c r="AF651" s="319"/>
      <c r="AG651" s="328">
        <f>AF651</f>
        <v>0</v>
      </c>
      <c r="AI651" s="255"/>
      <c r="AJ651" s="180"/>
      <c r="AK651" s="193"/>
      <c r="AL651" s="193"/>
      <c r="AM651" s="193"/>
      <c r="AN651" s="193"/>
      <c r="AO651" s="193"/>
      <c r="AP651" s="193"/>
      <c r="AQ651" s="180"/>
      <c r="AR651" s="180"/>
      <c r="AS651" s="180"/>
      <c r="AT651" s="180"/>
      <c r="AU651" s="180"/>
      <c r="AV651" s="180"/>
      <c r="AW651" s="180"/>
    </row>
    <row r="652" spans="1:49" s="4" customFormat="1">
      <c r="A652" s="180"/>
      <c r="B652" s="502" t="s">
        <v>483</v>
      </c>
      <c r="C652" s="5"/>
      <c r="D652" s="5"/>
      <c r="E652" s="319"/>
      <c r="F652" s="646"/>
      <c r="H652" s="5"/>
      <c r="I652" s="5"/>
      <c r="J652" s="319"/>
      <c r="K652" s="646"/>
      <c r="M652" s="5"/>
      <c r="N652" s="5"/>
      <c r="O652" s="319"/>
      <c r="P652" s="646"/>
      <c r="R652" s="5"/>
      <c r="S652" s="5"/>
      <c r="T652" s="319"/>
      <c r="U652" s="646"/>
      <c r="W652" s="5"/>
      <c r="X652" s="5"/>
      <c r="Y652" s="319"/>
      <c r="Z652" s="646"/>
      <c r="AA652" s="328">
        <f t="shared" si="97"/>
        <v>0</v>
      </c>
      <c r="AB652" s="298">
        <f t="shared" si="98"/>
        <v>0</v>
      </c>
      <c r="AD652" s="47"/>
      <c r="AE652" s="47"/>
      <c r="AF652" s="319"/>
      <c r="AG652" s="328">
        <f t="shared" si="99"/>
        <v>0</v>
      </c>
      <c r="AI652" s="255"/>
      <c r="AJ652" s="180"/>
      <c r="AK652" s="193"/>
      <c r="AL652" s="193"/>
      <c r="AM652" s="193"/>
      <c r="AN652" s="193"/>
      <c r="AO652" s="193"/>
      <c r="AP652" s="193"/>
      <c r="AQ652" s="180"/>
      <c r="AR652" s="180"/>
      <c r="AS652" s="180"/>
      <c r="AT652" s="180"/>
      <c r="AU652" s="180"/>
      <c r="AV652" s="180"/>
      <c r="AW652" s="180"/>
    </row>
    <row r="653" spans="1:49" s="4" customFormat="1">
      <c r="A653" s="180"/>
      <c r="B653" s="502" t="s">
        <v>483</v>
      </c>
      <c r="C653" s="47"/>
      <c r="D653" s="47"/>
      <c r="E653" s="319">
        <v>8</v>
      </c>
      <c r="F653" s="646">
        <v>0.5</v>
      </c>
      <c r="H653" s="47"/>
      <c r="I653" s="47"/>
      <c r="J653" s="319">
        <v>7</v>
      </c>
      <c r="K653" s="646"/>
      <c r="M653" s="47"/>
      <c r="N653" s="47"/>
      <c r="O653" s="319">
        <v>8</v>
      </c>
      <c r="P653" s="646">
        <v>1</v>
      </c>
      <c r="R653" s="47"/>
      <c r="S653" s="47"/>
      <c r="T653" s="319">
        <v>8</v>
      </c>
      <c r="U653" s="646">
        <v>1.5</v>
      </c>
      <c r="W653" s="47"/>
      <c r="X653" s="47"/>
      <c r="Y653" s="319">
        <v>8</v>
      </c>
      <c r="Z653" s="646">
        <v>1.5</v>
      </c>
      <c r="AA653" s="328">
        <f t="shared" si="97"/>
        <v>39</v>
      </c>
      <c r="AB653" s="298">
        <f t="shared" si="98"/>
        <v>4.5</v>
      </c>
      <c r="AD653" s="47"/>
      <c r="AE653" s="47"/>
      <c r="AF653" s="319"/>
      <c r="AG653" s="328">
        <f t="shared" si="99"/>
        <v>0</v>
      </c>
      <c r="AI653" s="255"/>
      <c r="AJ653" s="180"/>
      <c r="AK653" s="193"/>
      <c r="AL653" s="193"/>
      <c r="AM653" s="193"/>
      <c r="AN653" s="193"/>
      <c r="AO653" s="193"/>
      <c r="AP653" s="193"/>
      <c r="AQ653" s="180"/>
      <c r="AR653" s="180"/>
      <c r="AS653" s="180"/>
      <c r="AT653" s="180"/>
      <c r="AU653" s="180"/>
      <c r="AV653" s="180"/>
      <c r="AW653" s="180"/>
    </row>
    <row r="654" spans="1:49" s="4" customFormat="1">
      <c r="A654" s="180"/>
      <c r="B654" s="502" t="s">
        <v>484</v>
      </c>
      <c r="C654" s="47"/>
      <c r="D654" s="47"/>
      <c r="E654" s="319">
        <v>8</v>
      </c>
      <c r="F654" s="646">
        <v>0.5</v>
      </c>
      <c r="H654" s="47"/>
      <c r="I654" s="47"/>
      <c r="J654" s="319">
        <v>8</v>
      </c>
      <c r="K654" s="646">
        <v>2</v>
      </c>
      <c r="M654" s="47"/>
      <c r="N654" s="47"/>
      <c r="O654" s="319">
        <v>8</v>
      </c>
      <c r="P654" s="646">
        <v>1</v>
      </c>
      <c r="R654" s="47"/>
      <c r="S654" s="47"/>
      <c r="T654" s="319">
        <v>8</v>
      </c>
      <c r="U654" s="646">
        <v>1.5</v>
      </c>
      <c r="W654" s="47"/>
      <c r="X654" s="47"/>
      <c r="Y654" s="319">
        <v>8</v>
      </c>
      <c r="Z654" s="646">
        <v>1.5</v>
      </c>
      <c r="AA654" s="328">
        <f t="shared" si="97"/>
        <v>40</v>
      </c>
      <c r="AB654" s="298">
        <f t="shared" si="98"/>
        <v>6.5</v>
      </c>
      <c r="AD654" s="47"/>
      <c r="AE654" s="47"/>
      <c r="AF654" s="319"/>
      <c r="AG654" s="328">
        <f t="shared" si="99"/>
        <v>0</v>
      </c>
      <c r="AI654" s="255"/>
      <c r="AJ654" s="180"/>
      <c r="AK654" s="193"/>
      <c r="AL654" s="193"/>
      <c r="AM654" s="193"/>
      <c r="AN654" s="193"/>
      <c r="AO654" s="193"/>
      <c r="AP654" s="193"/>
      <c r="AQ654" s="180"/>
      <c r="AR654" s="180"/>
      <c r="AS654" s="180"/>
      <c r="AT654" s="180"/>
      <c r="AU654" s="180"/>
      <c r="AV654" s="180"/>
      <c r="AW654" s="180"/>
    </row>
    <row r="655" spans="1:49" s="4" customFormat="1">
      <c r="A655" s="180"/>
      <c r="B655" s="502" t="s">
        <v>485</v>
      </c>
      <c r="C655" s="47"/>
      <c r="D655" s="47"/>
      <c r="E655" s="319">
        <v>8</v>
      </c>
      <c r="F655" s="646">
        <v>0.5</v>
      </c>
      <c r="H655" s="47"/>
      <c r="I655" s="47"/>
      <c r="J655" s="319">
        <v>8</v>
      </c>
      <c r="K655" s="646">
        <v>2</v>
      </c>
      <c r="M655" s="47"/>
      <c r="N655" s="47"/>
      <c r="O655" s="319">
        <v>8</v>
      </c>
      <c r="P655" s="646">
        <v>1</v>
      </c>
      <c r="R655" s="47"/>
      <c r="S655" s="47"/>
      <c r="T655" s="319">
        <v>8</v>
      </c>
      <c r="U655" s="646">
        <v>1.5</v>
      </c>
      <c r="W655" s="47"/>
      <c r="X655" s="47"/>
      <c r="Y655" s="319">
        <v>8</v>
      </c>
      <c r="Z655" s="646">
        <v>1.5</v>
      </c>
      <c r="AA655" s="328">
        <f t="shared" si="97"/>
        <v>40</v>
      </c>
      <c r="AB655" s="298">
        <f t="shared" si="98"/>
        <v>6.5</v>
      </c>
      <c r="AD655" s="47"/>
      <c r="AE655" s="47"/>
      <c r="AF655" s="319"/>
      <c r="AG655" s="328">
        <f t="shared" si="99"/>
        <v>0</v>
      </c>
      <c r="AI655" s="255"/>
      <c r="AJ655" s="180"/>
      <c r="AK655" s="193"/>
      <c r="AL655" s="193"/>
      <c r="AM655" s="193"/>
      <c r="AN655" s="193"/>
      <c r="AO655" s="193"/>
      <c r="AP655" s="193"/>
      <c r="AQ655" s="180"/>
      <c r="AR655" s="180"/>
      <c r="AS655" s="180"/>
      <c r="AT655" s="180"/>
      <c r="AU655" s="180"/>
      <c r="AV655" s="180"/>
      <c r="AW655" s="180"/>
    </row>
    <row r="656" spans="1:49" s="4" customFormat="1">
      <c r="A656" s="180"/>
      <c r="B656" s="502" t="s">
        <v>486</v>
      </c>
      <c r="C656" s="5"/>
      <c r="D656" s="5"/>
      <c r="E656" s="319"/>
      <c r="F656" s="646"/>
      <c r="H656" s="5"/>
      <c r="I656" s="5"/>
      <c r="J656" s="319"/>
      <c r="K656" s="646"/>
      <c r="M656" s="5"/>
      <c r="N656" s="5"/>
      <c r="O656" s="319"/>
      <c r="P656" s="646"/>
      <c r="R656" s="5"/>
      <c r="S656" s="5"/>
      <c r="T656" s="319"/>
      <c r="U656" s="646"/>
      <c r="W656" s="5"/>
      <c r="X656" s="5"/>
      <c r="Y656" s="319"/>
      <c r="Z656" s="646"/>
      <c r="AA656" s="328">
        <f t="shared" si="97"/>
        <v>0</v>
      </c>
      <c r="AB656" s="298">
        <f t="shared" si="98"/>
        <v>0</v>
      </c>
      <c r="AD656" s="47"/>
      <c r="AE656" s="47"/>
      <c r="AF656" s="319"/>
      <c r="AG656" s="328">
        <f t="shared" si="99"/>
        <v>0</v>
      </c>
      <c r="AI656" s="255"/>
      <c r="AJ656" s="180"/>
      <c r="AK656" s="193"/>
      <c r="AL656" s="193"/>
      <c r="AM656" s="193"/>
      <c r="AN656" s="193"/>
      <c r="AO656" s="193"/>
      <c r="AP656" s="193"/>
      <c r="AQ656" s="180"/>
      <c r="AR656" s="180"/>
      <c r="AS656" s="180"/>
      <c r="AT656" s="180"/>
      <c r="AU656" s="180"/>
      <c r="AV656" s="180"/>
      <c r="AW656" s="180"/>
    </row>
    <row r="657" spans="1:49" s="4" customFormat="1">
      <c r="A657" s="180"/>
      <c r="B657" s="63" t="s">
        <v>63</v>
      </c>
      <c r="C657" s="663"/>
      <c r="D657" s="663"/>
      <c r="E657" s="319">
        <v>8</v>
      </c>
      <c r="F657" s="646">
        <v>1.5</v>
      </c>
      <c r="H657" s="663"/>
      <c r="I657" s="663"/>
      <c r="J657" s="319">
        <v>8</v>
      </c>
      <c r="K657" s="646">
        <v>1.5</v>
      </c>
      <c r="M657" s="47"/>
      <c r="N657" s="47"/>
      <c r="O657" s="319">
        <v>8</v>
      </c>
      <c r="P657" s="646">
        <v>2</v>
      </c>
      <c r="R657" s="663"/>
      <c r="S657" s="663"/>
      <c r="T657" s="319">
        <v>8</v>
      </c>
      <c r="U657" s="646">
        <v>1</v>
      </c>
      <c r="W657" s="663"/>
      <c r="X657" s="663"/>
      <c r="Y657" s="319">
        <v>8</v>
      </c>
      <c r="Z657" s="646">
        <v>0.75</v>
      </c>
      <c r="AA657" s="328">
        <f t="shared" si="97"/>
        <v>40</v>
      </c>
      <c r="AB657" s="298">
        <f t="shared" si="98"/>
        <v>6.75</v>
      </c>
      <c r="AD657" s="47"/>
      <c r="AE657" s="47"/>
      <c r="AF657" s="319"/>
      <c r="AG657" s="328">
        <f t="shared" si="99"/>
        <v>0</v>
      </c>
      <c r="AI657" s="255"/>
      <c r="AJ657" s="180"/>
      <c r="AK657" s="193"/>
      <c r="AL657" s="193"/>
      <c r="AM657" s="193"/>
      <c r="AN657" s="193"/>
      <c r="AO657" s="193"/>
      <c r="AP657" s="193"/>
      <c r="AQ657" s="180"/>
      <c r="AR657" s="180"/>
      <c r="AS657" s="180"/>
      <c r="AT657" s="180"/>
      <c r="AU657" s="180"/>
      <c r="AV657" s="180"/>
      <c r="AW657" s="180"/>
    </row>
    <row r="658" spans="1:49" s="4" customFormat="1">
      <c r="A658" s="180"/>
      <c r="B658" s="267" t="s">
        <v>358</v>
      </c>
      <c r="C658" s="663"/>
      <c r="D658" s="663"/>
      <c r="E658" s="319">
        <v>6</v>
      </c>
      <c r="F658" s="646"/>
      <c r="G658" s="438"/>
      <c r="H658" s="663"/>
      <c r="I658" s="663"/>
      <c r="J658" s="319">
        <v>8</v>
      </c>
      <c r="K658" s="646">
        <v>2</v>
      </c>
      <c r="L658" s="438"/>
      <c r="M658" s="663"/>
      <c r="N658" s="663"/>
      <c r="O658" s="319">
        <v>6</v>
      </c>
      <c r="P658" s="646"/>
      <c r="Q658" s="438"/>
      <c r="R658" s="663"/>
      <c r="S658" s="663"/>
      <c r="T658" s="319">
        <v>8</v>
      </c>
      <c r="U658" s="646"/>
      <c r="V658" s="438"/>
      <c r="W658" s="663"/>
      <c r="X658" s="663"/>
      <c r="Y658" s="319">
        <v>6</v>
      </c>
      <c r="Z658" s="646"/>
      <c r="AA658" s="328">
        <f t="shared" si="97"/>
        <v>34</v>
      </c>
      <c r="AB658" s="298">
        <f t="shared" si="98"/>
        <v>2</v>
      </c>
      <c r="AD658" s="47"/>
      <c r="AE658" s="47"/>
      <c r="AF658" s="319"/>
      <c r="AG658" s="328">
        <f t="shared" si="99"/>
        <v>0</v>
      </c>
      <c r="AI658" s="255"/>
      <c r="AJ658" s="180"/>
      <c r="AK658" s="193"/>
      <c r="AL658" s="193"/>
      <c r="AM658" s="193"/>
      <c r="AN658" s="193"/>
      <c r="AO658" s="193"/>
      <c r="AP658" s="193"/>
      <c r="AQ658" s="180"/>
      <c r="AR658" s="180"/>
      <c r="AS658" s="180"/>
      <c r="AT658" s="180"/>
      <c r="AU658" s="180"/>
      <c r="AV658" s="180"/>
      <c r="AW658" s="180"/>
    </row>
    <row r="659" spans="1:49" s="193" customFormat="1">
      <c r="A659" s="180"/>
      <c r="B659" s="267" t="s">
        <v>991</v>
      </c>
      <c r="C659" s="5"/>
      <c r="D659" s="5"/>
      <c r="E659" s="319"/>
      <c r="F659" s="646"/>
      <c r="G659" s="438"/>
      <c r="H659" s="5"/>
      <c r="I659" s="5"/>
      <c r="J659" s="319"/>
      <c r="K659" s="646"/>
      <c r="L659" s="438"/>
      <c r="M659" s="5"/>
      <c r="N659" s="5"/>
      <c r="O659" s="319"/>
      <c r="P659" s="646"/>
      <c r="Q659" s="438"/>
      <c r="R659" s="5"/>
      <c r="S659" s="5"/>
      <c r="T659" s="319"/>
      <c r="U659" s="646"/>
      <c r="V659" s="438"/>
      <c r="W659" s="5"/>
      <c r="X659" s="5"/>
      <c r="Y659" s="319"/>
      <c r="Z659" s="646"/>
      <c r="AA659" s="328">
        <f t="shared" si="97"/>
        <v>0</v>
      </c>
      <c r="AB659" s="298">
        <f t="shared" si="98"/>
        <v>0</v>
      </c>
      <c r="AC659" s="4"/>
      <c r="AD659" s="47"/>
      <c r="AE659" s="47"/>
      <c r="AF659" s="319"/>
      <c r="AG659" s="328">
        <f t="shared" si="99"/>
        <v>0</v>
      </c>
      <c r="AH659" s="4"/>
      <c r="AI659" s="255"/>
      <c r="AJ659" s="180"/>
      <c r="AQ659" s="180"/>
      <c r="AR659" s="180"/>
      <c r="AS659" s="180"/>
      <c r="AT659" s="180"/>
      <c r="AU659" s="180"/>
      <c r="AV659" s="180"/>
      <c r="AW659" s="180"/>
    </row>
    <row r="660" spans="1:49" s="193" customFormat="1">
      <c r="A660" s="180"/>
      <c r="B660" s="267" t="s">
        <v>411</v>
      </c>
      <c r="C660" s="5"/>
      <c r="D660" s="5"/>
      <c r="E660" s="319"/>
      <c r="F660" s="646"/>
      <c r="G660" s="438"/>
      <c r="H660" s="5"/>
      <c r="I660" s="5"/>
      <c r="J660" s="319"/>
      <c r="K660" s="646"/>
      <c r="L660" s="438"/>
      <c r="M660" s="5"/>
      <c r="N660" s="5"/>
      <c r="O660" s="319"/>
      <c r="P660" s="646"/>
      <c r="Q660" s="438"/>
      <c r="R660" s="5"/>
      <c r="S660" s="5"/>
      <c r="T660" s="319"/>
      <c r="U660" s="646"/>
      <c r="V660" s="438"/>
      <c r="W660" s="5"/>
      <c r="X660" s="5"/>
      <c r="Y660" s="319"/>
      <c r="Z660" s="646"/>
      <c r="AA660" s="328">
        <f t="shared" si="97"/>
        <v>0</v>
      </c>
      <c r="AB660" s="298">
        <f t="shared" si="98"/>
        <v>0</v>
      </c>
      <c r="AC660" s="4"/>
      <c r="AD660" s="47"/>
      <c r="AE660" s="47"/>
      <c r="AF660" s="319"/>
      <c r="AG660" s="328">
        <f t="shared" si="99"/>
        <v>0</v>
      </c>
      <c r="AH660" s="4"/>
      <c r="AI660" s="255"/>
      <c r="AJ660" s="180"/>
      <c r="AQ660" s="180"/>
      <c r="AR660" s="180"/>
      <c r="AS660" s="180"/>
      <c r="AT660" s="180"/>
      <c r="AU660" s="180"/>
      <c r="AV660" s="180"/>
      <c r="AW660" s="180"/>
    </row>
    <row r="661" spans="1:49" s="193" customFormat="1">
      <c r="A661" s="180"/>
      <c r="B661" s="267" t="s">
        <v>361</v>
      </c>
      <c r="C661" s="5"/>
      <c r="D661" s="5"/>
      <c r="E661" s="319"/>
      <c r="F661" s="646"/>
      <c r="G661" s="438"/>
      <c r="H661" s="5"/>
      <c r="I661" s="5"/>
      <c r="J661" s="319"/>
      <c r="K661" s="646"/>
      <c r="L661" s="438"/>
      <c r="M661" s="5"/>
      <c r="N661" s="5"/>
      <c r="O661" s="319"/>
      <c r="P661" s="646"/>
      <c r="Q661" s="438"/>
      <c r="R661" s="5"/>
      <c r="S661" s="5"/>
      <c r="T661" s="319"/>
      <c r="U661" s="646"/>
      <c r="V661" s="438"/>
      <c r="W661" s="5"/>
      <c r="X661" s="5"/>
      <c r="Y661" s="319"/>
      <c r="Z661" s="646"/>
      <c r="AA661" s="328">
        <f t="shared" si="97"/>
        <v>0</v>
      </c>
      <c r="AB661" s="298">
        <f t="shared" si="98"/>
        <v>0</v>
      </c>
      <c r="AC661" s="4"/>
      <c r="AD661" s="47"/>
      <c r="AE661" s="47"/>
      <c r="AF661" s="319"/>
      <c r="AG661" s="328">
        <f t="shared" si="99"/>
        <v>0</v>
      </c>
      <c r="AH661" s="4"/>
      <c r="AI661" s="255"/>
      <c r="AJ661" s="180"/>
      <c r="AQ661" s="180"/>
      <c r="AR661" s="180"/>
      <c r="AS661" s="180"/>
      <c r="AT661" s="180"/>
      <c r="AU661" s="180"/>
      <c r="AV661" s="180"/>
      <c r="AW661" s="180"/>
    </row>
    <row r="662" spans="1:49" s="193" customFormat="1">
      <c r="A662" s="180"/>
      <c r="B662" s="267" t="s">
        <v>362</v>
      </c>
      <c r="C662" s="47"/>
      <c r="D662" s="47"/>
      <c r="E662" s="319">
        <v>2</v>
      </c>
      <c r="F662" s="646"/>
      <c r="G662" s="438"/>
      <c r="H662" s="47"/>
      <c r="I662" s="47"/>
      <c r="J662" s="319">
        <v>2</v>
      </c>
      <c r="K662" s="646"/>
      <c r="L662" s="438"/>
      <c r="M662" s="47"/>
      <c r="N662" s="47"/>
      <c r="O662" s="319">
        <v>2</v>
      </c>
      <c r="P662" s="646"/>
      <c r="Q662" s="438"/>
      <c r="R662" s="47"/>
      <c r="S662" s="47"/>
      <c r="T662" s="319">
        <v>2</v>
      </c>
      <c r="U662" s="646"/>
      <c r="V662" s="438"/>
      <c r="W662" s="5"/>
      <c r="X662" s="5"/>
      <c r="Y662" s="319">
        <v>2</v>
      </c>
      <c r="Z662" s="646"/>
      <c r="AA662" s="328">
        <f t="shared" si="97"/>
        <v>10</v>
      </c>
      <c r="AB662" s="298">
        <f t="shared" si="98"/>
        <v>0</v>
      </c>
      <c r="AC662" s="4"/>
      <c r="AD662" s="47"/>
      <c r="AE662" s="47"/>
      <c r="AF662" s="319"/>
      <c r="AG662" s="328">
        <f t="shared" si="99"/>
        <v>0</v>
      </c>
      <c r="AH662" s="4"/>
      <c r="AI662" s="255"/>
      <c r="AJ662" s="180"/>
      <c r="AQ662" s="180"/>
      <c r="AR662" s="180"/>
      <c r="AS662" s="180"/>
      <c r="AT662" s="180"/>
      <c r="AU662" s="180"/>
      <c r="AV662" s="180"/>
      <c r="AW662" s="180"/>
    </row>
    <row r="663" spans="1:49" s="193" customFormat="1">
      <c r="A663" s="180"/>
      <c r="B663" s="437" t="s">
        <v>355</v>
      </c>
      <c r="C663" s="5"/>
      <c r="D663" s="5"/>
      <c r="E663" s="319">
        <v>15.3</v>
      </c>
      <c r="F663" s="646"/>
      <c r="G663" s="438"/>
      <c r="H663" s="5"/>
      <c r="I663" s="5"/>
      <c r="J663" s="319">
        <v>2.6</v>
      </c>
      <c r="K663" s="646"/>
      <c r="L663" s="438"/>
      <c r="M663" s="5"/>
      <c r="N663" s="5"/>
      <c r="O663" s="319">
        <v>10.199999999999999</v>
      </c>
      <c r="P663" s="646"/>
      <c r="Q663" s="438"/>
      <c r="R663" s="5"/>
      <c r="S663" s="5"/>
      <c r="T663" s="319">
        <v>10.199999999999999</v>
      </c>
      <c r="U663" s="646"/>
      <c r="V663" s="438"/>
      <c r="W663" s="5"/>
      <c r="X663" s="5"/>
      <c r="Y663" s="319">
        <v>10.199999999999999</v>
      </c>
      <c r="Z663" s="646"/>
      <c r="AA663" s="328">
        <f t="shared" si="97"/>
        <v>48.5</v>
      </c>
      <c r="AB663" s="298">
        <f t="shared" si="98"/>
        <v>0</v>
      </c>
      <c r="AC663" s="4"/>
      <c r="AD663" s="47"/>
      <c r="AE663" s="47"/>
      <c r="AF663" s="319"/>
      <c r="AG663" s="328">
        <f t="shared" si="99"/>
        <v>0</v>
      </c>
      <c r="AH663" s="4"/>
      <c r="AI663" s="255"/>
      <c r="AJ663" s="180"/>
      <c r="AQ663" s="180"/>
      <c r="AR663" s="180"/>
      <c r="AS663" s="180"/>
      <c r="AT663" s="180"/>
      <c r="AU663" s="180"/>
      <c r="AV663" s="180"/>
      <c r="AW663" s="180"/>
    </row>
    <row r="664" spans="1:49" s="193" customFormat="1">
      <c r="A664" s="180"/>
      <c r="B664" s="437" t="s">
        <v>356</v>
      </c>
      <c r="C664" s="5"/>
      <c r="D664" s="5"/>
      <c r="E664" s="319"/>
      <c r="F664" s="646"/>
      <c r="G664" s="438"/>
      <c r="H664" s="5"/>
      <c r="I664" s="5"/>
      <c r="J664" s="319">
        <v>66</v>
      </c>
      <c r="K664" s="646"/>
      <c r="L664" s="438"/>
      <c r="M664" s="5"/>
      <c r="N664" s="5"/>
      <c r="O664" s="319">
        <v>14.1</v>
      </c>
      <c r="P664" s="646"/>
      <c r="Q664" s="438"/>
      <c r="R664" s="5"/>
      <c r="S664" s="5"/>
      <c r="T664" s="319"/>
      <c r="U664" s="646"/>
      <c r="V664" s="438"/>
      <c r="W664" s="5"/>
      <c r="X664" s="5"/>
      <c r="Y664" s="319"/>
      <c r="Z664" s="646"/>
      <c r="AA664" s="328">
        <f t="shared" si="97"/>
        <v>80.099999999999994</v>
      </c>
      <c r="AB664" s="298">
        <f t="shared" si="98"/>
        <v>0</v>
      </c>
      <c r="AC664" s="4"/>
      <c r="AD664" s="47"/>
      <c r="AE664" s="47"/>
      <c r="AF664" s="319"/>
      <c r="AG664" s="328">
        <f t="shared" si="99"/>
        <v>0</v>
      </c>
      <c r="AH664" s="4"/>
      <c r="AI664" s="255"/>
      <c r="AJ664" s="180"/>
      <c r="AQ664" s="180"/>
      <c r="AR664" s="180"/>
      <c r="AS664" s="180"/>
      <c r="AT664" s="180"/>
      <c r="AU664" s="180"/>
      <c r="AV664" s="180"/>
      <c r="AW664" s="180"/>
    </row>
    <row r="665" spans="1:49" s="193" customFormat="1">
      <c r="A665" s="180"/>
      <c r="B665" s="64" t="s">
        <v>61</v>
      </c>
      <c r="C665" s="31"/>
      <c r="D665" s="31"/>
      <c r="E665" s="439">
        <f>SUM(E633:E664)</f>
        <v>144.30000000000001</v>
      </c>
      <c r="F665" s="646">
        <f>SUM(F633:F664)</f>
        <v>3</v>
      </c>
      <c r="G665" s="31"/>
      <c r="H665" s="31"/>
      <c r="I665" s="31"/>
      <c r="J665" s="439">
        <f>SUM(J633:J664)</f>
        <v>197.35</v>
      </c>
      <c r="K665" s="646">
        <f>SUM(K633:K664)</f>
        <v>7.5</v>
      </c>
      <c r="L665" s="31"/>
      <c r="M665" s="31"/>
      <c r="N665" s="31"/>
      <c r="O665" s="439">
        <f>SUM(O633:O664)</f>
        <v>152.04999999999998</v>
      </c>
      <c r="P665" s="646">
        <f>SUM(P633:P664)</f>
        <v>5</v>
      </c>
      <c r="Q665" s="31"/>
      <c r="R665" s="31"/>
      <c r="S665" s="31"/>
      <c r="T665" s="439">
        <f>SUM(T633:T664)</f>
        <v>132.19999999999999</v>
      </c>
      <c r="U665" s="646">
        <f>SUM(U633:U664)</f>
        <v>5.5</v>
      </c>
      <c r="V665" s="31"/>
      <c r="W665" s="31"/>
      <c r="X665" s="31"/>
      <c r="Y665" s="439">
        <f>SUM(Y633:Y664)</f>
        <v>137.69999999999999</v>
      </c>
      <c r="Z665" s="646">
        <f>SUM(Z633:Z664)</f>
        <v>5.25</v>
      </c>
      <c r="AA665" s="370">
        <f>SUM(AA633:AA664)</f>
        <v>763.6</v>
      </c>
      <c r="AB665" s="370">
        <f>SUM(AB633:AB664)</f>
        <v>26.25</v>
      </c>
      <c r="AC665" s="4"/>
      <c r="AD665" s="64"/>
      <c r="AE665" s="64"/>
      <c r="AF665" s="370">
        <f>SUM(AF633:AF664)</f>
        <v>0</v>
      </c>
      <c r="AG665" s="370">
        <f>SUM(AG633:AG664)</f>
        <v>0</v>
      </c>
      <c r="AH665" s="4"/>
      <c r="AI665" s="255"/>
      <c r="AJ665" s="180"/>
      <c r="AK665" s="407"/>
      <c r="AQ665" s="180"/>
      <c r="AR665" s="180"/>
      <c r="AS665" s="180"/>
      <c r="AT665" s="180"/>
      <c r="AU665" s="180"/>
      <c r="AV665" s="180"/>
      <c r="AW665" s="180"/>
    </row>
    <row r="666" spans="1:49" s="193" customFormat="1">
      <c r="A666" s="180"/>
      <c r="B666" s="63" t="s">
        <v>64</v>
      </c>
      <c r="C666" s="47"/>
      <c r="D666" s="47"/>
      <c r="E666" s="319">
        <v>8</v>
      </c>
      <c r="F666" s="346"/>
      <c r="G666" s="613"/>
      <c r="H666" s="47"/>
      <c r="I666" s="47"/>
      <c r="J666" s="319">
        <v>0</v>
      </c>
      <c r="K666" s="346"/>
      <c r="L666" s="60"/>
      <c r="M666" s="47"/>
      <c r="N666" s="47"/>
      <c r="O666" s="319">
        <v>0</v>
      </c>
      <c r="P666" s="346"/>
      <c r="Q666" s="60"/>
      <c r="R666" s="47"/>
      <c r="S666" s="47"/>
      <c r="T666" s="319">
        <v>0</v>
      </c>
      <c r="U666" s="346"/>
      <c r="V666" s="60"/>
      <c r="W666" s="47"/>
      <c r="X666" s="47"/>
      <c r="Y666" s="319">
        <v>0</v>
      </c>
      <c r="Z666" s="346"/>
      <c r="AA666" s="28">
        <f>SUM(E666+J666+O666+T666+Y666)</f>
        <v>8</v>
      </c>
      <c r="AB666" s="296">
        <f>Z666+U666+P666+K666+F666</f>
        <v>0</v>
      </c>
      <c r="AC666" s="4"/>
      <c r="AD666" s="47" t="s">
        <v>29</v>
      </c>
      <c r="AE666" s="47" t="s">
        <v>29</v>
      </c>
      <c r="AF666" s="319"/>
      <c r="AG666" s="29">
        <f>AF666</f>
        <v>0</v>
      </c>
      <c r="AH666" s="4"/>
      <c r="AI666" s="255"/>
      <c r="AJ666" s="180"/>
      <c r="AK666" s="407"/>
      <c r="AQ666" s="180"/>
      <c r="AR666" s="180"/>
      <c r="AS666" s="180"/>
      <c r="AT666" s="180"/>
      <c r="AU666" s="180"/>
      <c r="AV666" s="180"/>
      <c r="AW666" s="180"/>
    </row>
    <row r="667" spans="1:49" s="193" customFormat="1">
      <c r="A667" s="180"/>
      <c r="B667" s="71" t="s">
        <v>66</v>
      </c>
      <c r="C667" s="371"/>
      <c r="D667" s="371"/>
      <c r="E667" s="71"/>
      <c r="F667" s="613"/>
      <c r="G667" s="71"/>
      <c r="H667" s="71"/>
      <c r="I667" s="71"/>
      <c r="J667" s="71"/>
      <c r="K667" s="613"/>
      <c r="L667" s="71"/>
      <c r="M667" s="71"/>
      <c r="N667" s="71"/>
      <c r="O667" s="71"/>
      <c r="P667" s="613"/>
      <c r="Q667" s="71"/>
      <c r="R667" s="71"/>
      <c r="S667" s="71"/>
      <c r="T667" s="71"/>
      <c r="U667" s="613"/>
      <c r="V667" s="71"/>
      <c r="W667" s="71"/>
      <c r="X667" s="71"/>
      <c r="Y667" s="71"/>
      <c r="Z667" s="613"/>
      <c r="AA667" s="370">
        <f>SUM(AA666:AA666)</f>
        <v>8</v>
      </c>
      <c r="AB667" s="370">
        <f>SUM(AB666:AB666)</f>
        <v>0</v>
      </c>
      <c r="AC667" s="4"/>
      <c r="AD667" s="180"/>
      <c r="AE667" s="180"/>
      <c r="AF667" s="180"/>
      <c r="AG667" s="370">
        <f>SUM(AG666:AG666)</f>
        <v>0</v>
      </c>
      <c r="AH667" s="4"/>
      <c r="AI667" s="255"/>
      <c r="AJ667" s="180"/>
      <c r="AK667" s="407"/>
      <c r="AQ667" s="180"/>
      <c r="AR667" s="180"/>
      <c r="AS667" s="180"/>
      <c r="AT667" s="180"/>
      <c r="AU667" s="180"/>
      <c r="AV667" s="180"/>
      <c r="AW667" s="180"/>
    </row>
    <row r="668" spans="1:49" s="193" customFormat="1">
      <c r="A668" s="180"/>
      <c r="B668" s="217" t="s">
        <v>67</v>
      </c>
      <c r="C668" s="207">
        <v>54</v>
      </c>
      <c r="D668" s="207"/>
      <c r="E668" s="209"/>
      <c r="F668" s="209"/>
      <c r="G668" s="207"/>
      <c r="H668" s="209"/>
      <c r="I668" s="209"/>
      <c r="J668" s="209"/>
      <c r="K668" s="209"/>
      <c r="L668" s="207"/>
      <c r="M668" s="207"/>
      <c r="N668" s="207"/>
      <c r="O668" s="207"/>
      <c r="P668" s="209"/>
      <c r="Q668" s="207"/>
      <c r="R668" s="207"/>
      <c r="S668" s="207"/>
      <c r="T668" s="207"/>
      <c r="U668" s="209"/>
      <c r="V668" s="207"/>
      <c r="W668" s="207"/>
      <c r="X668" s="207"/>
      <c r="Y668" s="210"/>
      <c r="Z668" s="209"/>
      <c r="AA668" s="211"/>
      <c r="AB668" s="209"/>
      <c r="AC668" s="211"/>
      <c r="AD668" s="211"/>
      <c r="AE668" s="211"/>
      <c r="AF668" s="211"/>
      <c r="AG668" s="211"/>
      <c r="AH668" s="4"/>
      <c r="AI668" s="255"/>
      <c r="AJ668" s="180"/>
      <c r="AQ668" s="180"/>
      <c r="AR668" s="180"/>
      <c r="AS668" s="180"/>
      <c r="AT668" s="180"/>
      <c r="AU668" s="180"/>
      <c r="AV668" s="180"/>
      <c r="AW668" s="180"/>
    </row>
    <row r="669" spans="1:49" s="193" customFormat="1">
      <c r="A669" s="180"/>
      <c r="B669" s="238" t="s">
        <v>68</v>
      </c>
      <c r="C669" s="239">
        <v>40</v>
      </c>
      <c r="D669" s="207"/>
      <c r="E669" s="209"/>
      <c r="F669" s="209"/>
      <c r="G669" s="207"/>
      <c r="H669" s="209"/>
      <c r="I669" s="209"/>
      <c r="J669" s="209"/>
      <c r="K669" s="209"/>
      <c r="L669" s="207"/>
      <c r="M669" s="207"/>
      <c r="N669" s="207"/>
      <c r="O669" s="207"/>
      <c r="P669" s="209"/>
      <c r="Q669" s="207"/>
      <c r="R669" s="207"/>
      <c r="S669" s="207"/>
      <c r="T669" s="207"/>
      <c r="U669" s="209"/>
      <c r="V669" s="207"/>
      <c r="W669" s="207"/>
      <c r="X669" s="207"/>
      <c r="Y669" s="210"/>
      <c r="Z669" s="209"/>
      <c r="AA669" s="211"/>
      <c r="AB669" s="209"/>
      <c r="AC669" s="211"/>
      <c r="AD669" s="211"/>
      <c r="AE669" s="211"/>
      <c r="AF669" s="211"/>
      <c r="AG669" s="211"/>
      <c r="AH669" s="4"/>
      <c r="AI669" s="255"/>
      <c r="AJ669" s="180"/>
      <c r="AQ669" s="180"/>
      <c r="AR669" s="180"/>
      <c r="AS669" s="180"/>
      <c r="AT669" s="180"/>
      <c r="AU669" s="180"/>
      <c r="AV669" s="180"/>
      <c r="AW669" s="180"/>
    </row>
    <row r="670" spans="1:49" s="193" customFormat="1">
      <c r="A670" s="180"/>
      <c r="B670" s="238" t="s">
        <v>69</v>
      </c>
      <c r="C670" s="239">
        <v>14</v>
      </c>
      <c r="D670" s="207"/>
      <c r="E670" s="209"/>
      <c r="F670" s="209"/>
      <c r="G670" s="207"/>
      <c r="H670" s="209"/>
      <c r="I670" s="209"/>
      <c r="J670" s="209"/>
      <c r="K670" s="209"/>
      <c r="L670" s="207"/>
      <c r="M670" s="207"/>
      <c r="N670" s="207"/>
      <c r="O670" s="207"/>
      <c r="P670" s="209"/>
      <c r="Q670" s="207"/>
      <c r="R670" s="207"/>
      <c r="S670" s="207"/>
      <c r="T670" s="207"/>
      <c r="U670" s="209"/>
      <c r="V670" s="207"/>
      <c r="W670" s="207"/>
      <c r="X670" s="207"/>
      <c r="Y670" s="210"/>
      <c r="Z670" s="209"/>
      <c r="AA670" s="211"/>
      <c r="AB670" s="209"/>
      <c r="AC670" s="211"/>
      <c r="AD670" s="211"/>
      <c r="AE670" s="211"/>
      <c r="AF670" s="211"/>
      <c r="AG670" s="211"/>
      <c r="AH670" s="4"/>
      <c r="AI670" s="255"/>
      <c r="AJ670" s="180"/>
      <c r="AQ670" s="180"/>
      <c r="AR670" s="180"/>
      <c r="AS670" s="180"/>
      <c r="AT670" s="180"/>
      <c r="AU670" s="180"/>
      <c r="AV670" s="180"/>
      <c r="AW670" s="180"/>
    </row>
    <row r="671" spans="1:49" s="180" customFormat="1">
      <c r="A671" s="313"/>
      <c r="E671" s="4"/>
      <c r="F671" s="644"/>
      <c r="G671" s="4"/>
      <c r="J671" s="4"/>
      <c r="K671" s="644"/>
      <c r="L671" s="4"/>
      <c r="O671" s="4"/>
      <c r="P671" s="644"/>
      <c r="Q671" s="4"/>
      <c r="T671" s="4"/>
      <c r="U671" s="644"/>
      <c r="V671" s="4"/>
      <c r="Y671" s="4"/>
      <c r="Z671" s="644"/>
      <c r="AA671" s="4"/>
      <c r="AB671" s="4"/>
      <c r="AC671" s="4"/>
      <c r="AH671" s="4"/>
      <c r="AI671" s="255"/>
      <c r="AK671" s="193"/>
      <c r="AL671" s="193"/>
      <c r="AM671" s="193"/>
      <c r="AN671" s="193"/>
      <c r="AO671" s="193"/>
      <c r="AP671" s="193"/>
    </row>
    <row r="672" spans="1:49">
      <c r="A672" s="180"/>
      <c r="B672" s="229"/>
      <c r="C672" s="230"/>
      <c r="D672" s="230"/>
      <c r="E672" s="232"/>
      <c r="F672" s="232"/>
      <c r="G672" s="230"/>
      <c r="H672" s="232"/>
      <c r="I672" s="232"/>
      <c r="J672" s="232"/>
      <c r="K672" s="232"/>
      <c r="L672" s="230"/>
      <c r="M672" s="230"/>
      <c r="N672" s="230"/>
      <c r="O672" s="230"/>
      <c r="P672" s="232"/>
      <c r="Q672" s="230"/>
      <c r="R672" s="230"/>
      <c r="S672" s="230"/>
      <c r="T672" s="230"/>
      <c r="U672" s="232"/>
      <c r="V672" s="230"/>
      <c r="W672" s="230"/>
      <c r="X672" s="230"/>
      <c r="Y672" s="233"/>
      <c r="Z672" s="232"/>
      <c r="AA672" s="234"/>
      <c r="AB672" s="232"/>
      <c r="AC672" s="373"/>
      <c r="AD672" s="236"/>
      <c r="AE672" s="255"/>
      <c r="AF672" s="255"/>
      <c r="AG672" s="255"/>
      <c r="AH672" s="255"/>
      <c r="AJ672" s="255"/>
      <c r="AK672" s="255"/>
      <c r="AL672" s="255"/>
      <c r="AM672" s="255"/>
      <c r="AN672" s="255"/>
      <c r="AO672" s="255"/>
      <c r="AP672" s="255"/>
      <c r="AQ672" s="255"/>
      <c r="AR672" s="255"/>
      <c r="AS672" s="255"/>
      <c r="AT672" s="255"/>
      <c r="AU672" s="255"/>
      <c r="AV672" s="255"/>
      <c r="AW672" s="255"/>
    </row>
    <row r="673" spans="1:49">
      <c r="B673" s="180"/>
      <c r="E673" s="4"/>
      <c r="F673" s="644"/>
      <c r="G673" s="4"/>
      <c r="J673" s="4"/>
      <c r="K673" s="644"/>
      <c r="L673" s="4"/>
      <c r="O673" s="4"/>
      <c r="P673" s="644"/>
      <c r="T673" s="4"/>
      <c r="U673" s="644"/>
      <c r="Y673" s="4"/>
      <c r="Z673" s="644"/>
      <c r="AA673" s="4"/>
      <c r="AB673" s="4"/>
      <c r="AC673" s="4"/>
      <c r="AK673" s="180"/>
      <c r="AL673" s="180"/>
      <c r="AM673" s="180"/>
      <c r="AN673" s="180"/>
      <c r="AO673" s="180"/>
      <c r="AP673" s="180"/>
    </row>
    <row r="674" spans="1:49">
      <c r="A674" s="228"/>
      <c r="B674" s="1518" t="s">
        <v>18</v>
      </c>
      <c r="C674" s="1519">
        <v>45649</v>
      </c>
      <c r="D674" s="1519"/>
      <c r="E674" s="1519"/>
      <c r="F674" s="1519"/>
      <c r="G674" s="365"/>
      <c r="H674" s="1519">
        <v>45650</v>
      </c>
      <c r="I674" s="1519"/>
      <c r="J674" s="1519"/>
      <c r="K674" s="1519"/>
      <c r="L674" s="365"/>
      <c r="M674" s="1519">
        <v>45651</v>
      </c>
      <c r="N674" s="1519"/>
      <c r="O674" s="1519"/>
      <c r="P674" s="1519"/>
      <c r="Q674" s="365"/>
      <c r="R674" s="1519">
        <v>45652</v>
      </c>
      <c r="S674" s="1519"/>
      <c r="T674" s="1519"/>
      <c r="U674" s="1519"/>
      <c r="V674" s="365"/>
      <c r="W674" s="1519">
        <v>45653</v>
      </c>
      <c r="X674" s="1519"/>
      <c r="Y674" s="1519"/>
      <c r="Z674" s="1519"/>
      <c r="AA674" s="1517" t="s">
        <v>19</v>
      </c>
      <c r="AB674" s="1517" t="s">
        <v>20</v>
      </c>
      <c r="AC674" s="4"/>
      <c r="AD674" s="1519"/>
      <c r="AE674" s="1519"/>
      <c r="AF674" s="1519"/>
      <c r="AG674" s="1517" t="s">
        <v>21</v>
      </c>
      <c r="AI674" s="368"/>
      <c r="AK674" s="194" t="s">
        <v>84</v>
      </c>
      <c r="AL674" s="366"/>
      <c r="AM674" s="366"/>
      <c r="AN674" s="366"/>
      <c r="AO674" s="366"/>
      <c r="AP674" s="366"/>
    </row>
    <row r="675" spans="1:49">
      <c r="A675" s="180"/>
      <c r="B675" s="1518"/>
      <c r="C675" s="21" t="s">
        <v>23</v>
      </c>
      <c r="D675" s="21" t="s">
        <v>24</v>
      </c>
      <c r="E675" s="205" t="s">
        <v>25</v>
      </c>
      <c r="F675" s="645" t="s">
        <v>14</v>
      </c>
      <c r="G675" s="4"/>
      <c r="H675" s="21" t="s">
        <v>23</v>
      </c>
      <c r="I675" s="21" t="s">
        <v>24</v>
      </c>
      <c r="J675" s="18" t="s">
        <v>25</v>
      </c>
      <c r="K675" s="645" t="s">
        <v>14</v>
      </c>
      <c r="L675" s="4"/>
      <c r="M675" s="21" t="s">
        <v>23</v>
      </c>
      <c r="N675" s="21" t="s">
        <v>24</v>
      </c>
      <c r="O675" s="18" t="s">
        <v>25</v>
      </c>
      <c r="P675" s="645" t="s">
        <v>14</v>
      </c>
      <c r="R675" s="21" t="s">
        <v>23</v>
      </c>
      <c r="S675" s="21" t="s">
        <v>24</v>
      </c>
      <c r="T675" s="18" t="s">
        <v>25</v>
      </c>
      <c r="U675" s="645" t="s">
        <v>14</v>
      </c>
      <c r="W675" s="21" t="s">
        <v>23</v>
      </c>
      <c r="X675" s="21" t="s">
        <v>24</v>
      </c>
      <c r="Y675" s="18" t="s">
        <v>25</v>
      </c>
      <c r="Z675" s="645" t="s">
        <v>14</v>
      </c>
      <c r="AA675" s="1517"/>
      <c r="AB675" s="1517"/>
      <c r="AC675" s="4"/>
      <c r="AD675" s="21" t="s">
        <v>23</v>
      </c>
      <c r="AE675" s="21" t="s">
        <v>24</v>
      </c>
      <c r="AF675" s="18" t="s">
        <v>25</v>
      </c>
      <c r="AG675" s="1517"/>
      <c r="AI675" s="368"/>
      <c r="AJ675" s="367"/>
      <c r="AK675" s="188" t="s">
        <v>26</v>
      </c>
      <c r="AL675" s="196">
        <f>AA704</f>
        <v>476.84999999999997</v>
      </c>
      <c r="AM675" s="510">
        <v>39.14</v>
      </c>
      <c r="AN675" s="510">
        <f t="shared" ref="AN675:AN678" si="100">AL675*AM675</f>
        <v>18663.909</v>
      </c>
      <c r="AQ675" s="367"/>
      <c r="AR675" s="367"/>
      <c r="AS675" s="367"/>
      <c r="AT675" s="367"/>
      <c r="AU675" s="367"/>
      <c r="AV675" s="367"/>
      <c r="AW675" s="367"/>
    </row>
    <row r="676" spans="1:49">
      <c r="A676" s="180"/>
      <c r="B676" s="4" t="s">
        <v>958</v>
      </c>
      <c r="C676" s="667" t="s">
        <v>960</v>
      </c>
      <c r="D676" s="565"/>
      <c r="E676" s="319">
        <v>0</v>
      </c>
      <c r="F676" s="646"/>
      <c r="G676" s="4"/>
      <c r="H676" s="667" t="s">
        <v>960</v>
      </c>
      <c r="I676" s="565"/>
      <c r="J676" s="319">
        <v>0</v>
      </c>
      <c r="K676" s="646"/>
      <c r="L676" s="4"/>
      <c r="M676" s="1561" t="s">
        <v>1024</v>
      </c>
      <c r="N676" s="1561"/>
      <c r="O676" s="1561"/>
      <c r="P676" s="646"/>
      <c r="R676" s="667" t="s">
        <v>960</v>
      </c>
      <c r="S676" s="565"/>
      <c r="T676" s="319">
        <v>0</v>
      </c>
      <c r="U676" s="646"/>
      <c r="W676" s="667" t="s">
        <v>960</v>
      </c>
      <c r="X676" s="565"/>
      <c r="Y676" s="319">
        <v>0</v>
      </c>
      <c r="Z676" s="646"/>
      <c r="AA676" s="328">
        <f t="shared" ref="AA676:AA703" si="101">(E676+J676+O676+T676+Y676)</f>
        <v>0</v>
      </c>
      <c r="AB676" s="298">
        <f t="shared" ref="AB676:AB703" si="102">Z676+U676+P676+K676+F676</f>
        <v>0</v>
      </c>
      <c r="AC676" s="4"/>
      <c r="AD676" s="587"/>
      <c r="AE676" s="531"/>
      <c r="AF676" s="319"/>
      <c r="AG676" s="328">
        <f t="shared" ref="AG676:AG703" si="103">AF676</f>
        <v>0</v>
      </c>
      <c r="AI676" s="368"/>
      <c r="AJ676" s="367"/>
      <c r="AK676" s="188" t="s">
        <v>30</v>
      </c>
      <c r="AL676" s="196">
        <f>AB704</f>
        <v>3.1</v>
      </c>
      <c r="AM676" s="511">
        <f>AM675*1.5</f>
        <v>58.71</v>
      </c>
      <c r="AN676" s="510">
        <f t="shared" si="100"/>
        <v>182.001</v>
      </c>
      <c r="AQ676" s="367"/>
      <c r="AR676" s="367"/>
      <c r="AS676" s="367"/>
      <c r="AT676" s="367"/>
      <c r="AU676" s="367"/>
      <c r="AV676" s="367"/>
      <c r="AW676" s="367"/>
    </row>
    <row r="677" spans="1:49">
      <c r="A677" s="367"/>
      <c r="B677" s="47" t="s">
        <v>515</v>
      </c>
      <c r="C677" s="47">
        <v>0.375</v>
      </c>
      <c r="D677" s="47">
        <v>0.25</v>
      </c>
      <c r="E677" s="319">
        <v>8</v>
      </c>
      <c r="F677" s="646"/>
      <c r="G677" s="4"/>
      <c r="H677" s="667" t="s">
        <v>960</v>
      </c>
      <c r="I677" s="565"/>
      <c r="J677" s="319">
        <v>0</v>
      </c>
      <c r="K677" s="646"/>
      <c r="L677" s="4"/>
      <c r="M677" s="1561"/>
      <c r="N677" s="1561"/>
      <c r="O677" s="1561"/>
      <c r="P677" s="646"/>
      <c r="R677" s="667" t="s">
        <v>960</v>
      </c>
      <c r="S677" s="565"/>
      <c r="T677" s="319">
        <v>0</v>
      </c>
      <c r="U677" s="646"/>
      <c r="W677" s="667" t="s">
        <v>960</v>
      </c>
      <c r="X677" s="565"/>
      <c r="Y677" s="319">
        <v>0</v>
      </c>
      <c r="Z677" s="646"/>
      <c r="AA677" s="328">
        <f t="shared" si="101"/>
        <v>8</v>
      </c>
      <c r="AB677" s="298">
        <f t="shared" si="102"/>
        <v>0</v>
      </c>
      <c r="AC677" s="4"/>
      <c r="AF677" s="319"/>
      <c r="AG677" s="328">
        <f t="shared" si="103"/>
        <v>0</v>
      </c>
      <c r="AH677" s="175"/>
      <c r="AI677" s="402"/>
      <c r="AJ677" s="367"/>
      <c r="AK677" s="188" t="s">
        <v>32</v>
      </c>
      <c r="AL677" s="196">
        <f>AG704</f>
        <v>0</v>
      </c>
      <c r="AM677" s="510">
        <v>58.71</v>
      </c>
      <c r="AN677" s="510">
        <f t="shared" si="100"/>
        <v>0</v>
      </c>
      <c r="AQ677" s="367"/>
      <c r="AR677" s="367"/>
      <c r="AS677" s="367"/>
      <c r="AT677" s="367"/>
      <c r="AU677" s="367"/>
      <c r="AV677" s="367"/>
      <c r="AW677" s="367"/>
    </row>
    <row r="678" spans="1:49" ht="14.25" customHeight="1">
      <c r="A678" s="367"/>
      <c r="B678" s="441" t="s">
        <v>962</v>
      </c>
      <c r="C678" s="47">
        <v>0.375</v>
      </c>
      <c r="D678" s="47">
        <v>0.25</v>
      </c>
      <c r="E678" s="319">
        <v>8</v>
      </c>
      <c r="F678" s="646"/>
      <c r="G678" s="4"/>
      <c r="H678" s="667" t="s">
        <v>960</v>
      </c>
      <c r="I678" s="565"/>
      <c r="J678" s="319">
        <v>0</v>
      </c>
      <c r="K678" s="646"/>
      <c r="L678" s="4"/>
      <c r="M678" s="1561"/>
      <c r="N678" s="1561"/>
      <c r="O678" s="1561"/>
      <c r="P678" s="646"/>
      <c r="R678" s="47">
        <v>0.375</v>
      </c>
      <c r="S678" s="47">
        <v>0.25</v>
      </c>
      <c r="T678" s="319">
        <v>8</v>
      </c>
      <c r="U678" s="646"/>
      <c r="W678" s="47">
        <v>0.375</v>
      </c>
      <c r="X678" s="47">
        <v>0.25</v>
      </c>
      <c r="Y678" s="319">
        <v>8</v>
      </c>
      <c r="Z678" s="646"/>
      <c r="AA678" s="328">
        <f t="shared" si="101"/>
        <v>24</v>
      </c>
      <c r="AB678" s="298">
        <f t="shared" si="102"/>
        <v>0</v>
      </c>
      <c r="AC678" s="399"/>
      <c r="AD678" s="47"/>
      <c r="AE678" s="47"/>
      <c r="AF678" s="319"/>
      <c r="AG678" s="328">
        <f t="shared" si="103"/>
        <v>0</v>
      </c>
      <c r="AH678" s="175"/>
      <c r="AJ678" s="401"/>
      <c r="AK678" s="403" t="s">
        <v>213</v>
      </c>
      <c r="AL678" s="404">
        <f>AA706</f>
        <v>0</v>
      </c>
      <c r="AM678" s="510">
        <v>51.5</v>
      </c>
      <c r="AN678" s="510">
        <f t="shared" si="100"/>
        <v>0</v>
      </c>
      <c r="AO678" s="405"/>
      <c r="AP678" s="405"/>
      <c r="AQ678" s="367"/>
      <c r="AR678" s="401"/>
      <c r="AS678" s="401"/>
      <c r="AT678" s="401"/>
      <c r="AU678" s="401"/>
      <c r="AV678" s="401"/>
      <c r="AW678" s="401"/>
    </row>
    <row r="679" spans="1:49">
      <c r="A679" s="367"/>
      <c r="B679" s="47" t="s">
        <v>967</v>
      </c>
      <c r="C679" s="667" t="s">
        <v>960</v>
      </c>
      <c r="D679" s="565"/>
      <c r="E679" s="319">
        <v>0</v>
      </c>
      <c r="F679" s="646"/>
      <c r="G679" s="4"/>
      <c r="H679" s="47">
        <v>0.375</v>
      </c>
      <c r="I679" s="47">
        <v>0.25</v>
      </c>
      <c r="J679" s="319">
        <v>8</v>
      </c>
      <c r="K679" s="646"/>
      <c r="L679" s="4"/>
      <c r="M679" s="1561"/>
      <c r="N679" s="1561"/>
      <c r="O679" s="1561"/>
      <c r="P679" s="646"/>
      <c r="R679" s="47">
        <v>0.375</v>
      </c>
      <c r="S679" s="47">
        <v>0.25</v>
      </c>
      <c r="T679" s="319">
        <v>8</v>
      </c>
      <c r="U679" s="646"/>
      <c r="W679" s="47">
        <v>0.375</v>
      </c>
      <c r="X679" s="47">
        <v>0.25</v>
      </c>
      <c r="Y679" s="319">
        <v>8</v>
      </c>
      <c r="Z679" s="646"/>
      <c r="AA679" s="328">
        <f t="shared" si="101"/>
        <v>24</v>
      </c>
      <c r="AB679" s="298">
        <f t="shared" si="102"/>
        <v>0</v>
      </c>
      <c r="AC679" s="4"/>
      <c r="AD679" s="47"/>
      <c r="AE679" s="47"/>
      <c r="AF679" s="319"/>
      <c r="AG679" s="328">
        <f t="shared" si="103"/>
        <v>0</v>
      </c>
      <c r="AH679" s="175"/>
      <c r="AI679" s="368"/>
      <c r="AK679" s="188" t="s">
        <v>36</v>
      </c>
      <c r="AL679" s="196">
        <f>AB706</f>
        <v>0</v>
      </c>
      <c r="AM679" s="510">
        <f>AM678*1.5</f>
        <v>77.25</v>
      </c>
      <c r="AN679" s="510">
        <f>AL679*AM679</f>
        <v>0</v>
      </c>
      <c r="AQ679" s="367"/>
    </row>
    <row r="680" spans="1:49" s="4" customFormat="1">
      <c r="A680" s="180"/>
      <c r="B680" s="436" t="s">
        <v>972</v>
      </c>
      <c r="C680" s="47">
        <v>0.38541666666666669</v>
      </c>
      <c r="D680" s="47">
        <v>0.25</v>
      </c>
      <c r="E680" s="319">
        <v>7.75</v>
      </c>
      <c r="F680" s="646"/>
      <c r="H680" s="47">
        <v>0.375</v>
      </c>
      <c r="I680" s="47">
        <v>0.25</v>
      </c>
      <c r="J680" s="319">
        <v>8</v>
      </c>
      <c r="K680" s="646"/>
      <c r="M680" s="1561"/>
      <c r="N680" s="1561"/>
      <c r="O680" s="1561"/>
      <c r="P680" s="646"/>
      <c r="R680" s="47">
        <v>0.375</v>
      </c>
      <c r="S680" s="47">
        <v>0.25</v>
      </c>
      <c r="T680" s="319">
        <v>8</v>
      </c>
      <c r="U680" s="646"/>
      <c r="W680" s="47">
        <v>0.375</v>
      </c>
      <c r="X680" s="47">
        <v>0.25</v>
      </c>
      <c r="Y680" s="319">
        <v>8</v>
      </c>
      <c r="Z680" s="646"/>
      <c r="AA680" s="328">
        <f t="shared" si="101"/>
        <v>31.75</v>
      </c>
      <c r="AB680" s="298">
        <f t="shared" si="102"/>
        <v>0</v>
      </c>
      <c r="AD680" s="47"/>
      <c r="AE680" s="47"/>
      <c r="AF680" s="319"/>
      <c r="AG680" s="328">
        <f t="shared" si="103"/>
        <v>0</v>
      </c>
      <c r="AI680" s="255"/>
      <c r="AJ680" s="180"/>
      <c r="AK680" s="188" t="s">
        <v>38</v>
      </c>
      <c r="AL680" s="196">
        <f>AG706</f>
        <v>0</v>
      </c>
      <c r="AM680" s="510">
        <v>77.25</v>
      </c>
      <c r="AN680" s="510">
        <f>AL680*AM680</f>
        <v>0</v>
      </c>
      <c r="AO680" s="193"/>
      <c r="AP680" s="193"/>
      <c r="AQ680" s="367"/>
      <c r="AR680" s="180"/>
      <c r="AS680" s="180"/>
      <c r="AT680" s="180"/>
      <c r="AU680" s="180"/>
      <c r="AV680" s="180"/>
      <c r="AW680" s="180"/>
    </row>
    <row r="681" spans="1:49" s="4" customFormat="1">
      <c r="A681" s="180"/>
      <c r="B681" s="47" t="s">
        <v>974</v>
      </c>
      <c r="C681" s="441" t="s">
        <v>125</v>
      </c>
      <c r="D681" s="47">
        <v>0.20833333333333334</v>
      </c>
      <c r="E681" s="319">
        <v>8</v>
      </c>
      <c r="F681" s="646"/>
      <c r="H681" s="667" t="s">
        <v>960</v>
      </c>
      <c r="I681" s="565"/>
      <c r="J681" s="319">
        <v>0</v>
      </c>
      <c r="K681" s="646"/>
      <c r="M681" s="1561"/>
      <c r="N681" s="1561"/>
      <c r="O681" s="1561"/>
      <c r="P681" s="646"/>
      <c r="R681" s="47">
        <v>0.33333333333333331</v>
      </c>
      <c r="S681" s="47">
        <v>0.20833333333333334</v>
      </c>
      <c r="T681" s="319">
        <v>8</v>
      </c>
      <c r="U681" s="646"/>
      <c r="W681" s="47">
        <v>0.33333333333333331</v>
      </c>
      <c r="X681" s="47">
        <v>0.20833333333333334</v>
      </c>
      <c r="Y681" s="319">
        <v>8</v>
      </c>
      <c r="Z681" s="646"/>
      <c r="AA681" s="328">
        <f t="shared" si="101"/>
        <v>24</v>
      </c>
      <c r="AB681" s="298">
        <f t="shared" si="102"/>
        <v>0</v>
      </c>
      <c r="AD681" s="47"/>
      <c r="AE681" s="47"/>
      <c r="AF681" s="319"/>
      <c r="AG681" s="328">
        <f t="shared" si="103"/>
        <v>0</v>
      </c>
      <c r="AI681" s="255"/>
      <c r="AJ681" s="180"/>
      <c r="AK681" s="188"/>
      <c r="AL681" s="196"/>
      <c r="AM681" s="510"/>
      <c r="AN681" s="510"/>
      <c r="AO681" s="193"/>
      <c r="AP681" s="193"/>
      <c r="AQ681" s="367"/>
      <c r="AR681" s="180"/>
      <c r="AS681" s="180"/>
      <c r="AT681" s="180"/>
      <c r="AU681" s="180"/>
      <c r="AV681" s="180"/>
      <c r="AW681" s="180"/>
    </row>
    <row r="682" spans="1:49" s="4" customFormat="1">
      <c r="A682" s="180"/>
      <c r="B682" s="47" t="s">
        <v>517</v>
      </c>
      <c r="C682" s="441" t="s">
        <v>125</v>
      </c>
      <c r="D682" s="47">
        <v>0.20833333333333334</v>
      </c>
      <c r="E682" s="319">
        <v>8</v>
      </c>
      <c r="F682" s="646"/>
      <c r="H682" s="667" t="s">
        <v>960</v>
      </c>
      <c r="I682" s="565"/>
      <c r="J682" s="319">
        <v>0</v>
      </c>
      <c r="K682" s="646"/>
      <c r="M682" s="1561"/>
      <c r="N682" s="1561"/>
      <c r="O682" s="1561"/>
      <c r="P682" s="646"/>
      <c r="R682" s="47">
        <v>0.33333333333333331</v>
      </c>
      <c r="S682" s="47">
        <v>0.20833333333333334</v>
      </c>
      <c r="T682" s="319">
        <v>8</v>
      </c>
      <c r="U682" s="646"/>
      <c r="W682" s="47">
        <v>0.33333333333333331</v>
      </c>
      <c r="X682" s="47">
        <v>0.20833333333333334</v>
      </c>
      <c r="Y682" s="319">
        <v>8</v>
      </c>
      <c r="Z682" s="646"/>
      <c r="AA682" s="328">
        <f t="shared" si="101"/>
        <v>24</v>
      </c>
      <c r="AB682" s="298">
        <f t="shared" si="102"/>
        <v>0</v>
      </c>
      <c r="AD682" s="47"/>
      <c r="AE682" s="47"/>
      <c r="AF682" s="319"/>
      <c r="AG682" s="328">
        <f t="shared" si="103"/>
        <v>0</v>
      </c>
      <c r="AI682" s="255"/>
      <c r="AJ682" s="180"/>
      <c r="AK682" s="193"/>
      <c r="AL682" s="193"/>
      <c r="AM682" s="193"/>
      <c r="AN682" s="510">
        <f>SUM(AN675:AN680)</f>
        <v>18845.91</v>
      </c>
      <c r="AO682" s="193"/>
      <c r="AP682" s="193"/>
      <c r="AQ682" s="180"/>
      <c r="AR682" s="180"/>
      <c r="AS682" s="180"/>
      <c r="AT682" s="180"/>
      <c r="AU682" s="180"/>
      <c r="AV682" s="180"/>
      <c r="AW682" s="180"/>
    </row>
    <row r="683" spans="1:49" s="4" customFormat="1">
      <c r="A683" s="180"/>
      <c r="B683" s="436" t="s">
        <v>981</v>
      </c>
      <c r="C683" s="47">
        <v>0.375</v>
      </c>
      <c r="D683" s="47">
        <v>0.25</v>
      </c>
      <c r="E683" s="319">
        <v>8</v>
      </c>
      <c r="F683" s="646"/>
      <c r="H683" s="441" t="s">
        <v>125</v>
      </c>
      <c r="I683" s="47">
        <v>0.20833333333333334</v>
      </c>
      <c r="J683" s="319">
        <v>8</v>
      </c>
      <c r="K683" s="646"/>
      <c r="M683" s="1561"/>
      <c r="N683" s="1561"/>
      <c r="O683" s="1561"/>
      <c r="P683" s="646"/>
      <c r="R683" s="47">
        <v>0.33333333333333331</v>
      </c>
      <c r="S683" s="47">
        <v>0.20833333333333334</v>
      </c>
      <c r="T683" s="319">
        <v>8</v>
      </c>
      <c r="U683" s="646"/>
      <c r="W683" s="47">
        <v>0.33333333333333331</v>
      </c>
      <c r="X683" s="47">
        <v>0.20833333333333334</v>
      </c>
      <c r="Y683" s="319">
        <v>8</v>
      </c>
      <c r="Z683" s="646"/>
      <c r="AA683" s="328">
        <f t="shared" si="101"/>
        <v>32</v>
      </c>
      <c r="AB683" s="298">
        <f t="shared" si="102"/>
        <v>0</v>
      </c>
      <c r="AD683" s="47"/>
      <c r="AE683" s="47"/>
      <c r="AF683" s="319"/>
      <c r="AG683" s="328">
        <f t="shared" si="103"/>
        <v>0</v>
      </c>
      <c r="AI683" s="255"/>
      <c r="AJ683" s="180"/>
      <c r="AK683" s="193"/>
      <c r="AL683" s="193"/>
      <c r="AM683" s="193"/>
      <c r="AN683" s="193"/>
      <c r="AO683" s="193"/>
      <c r="AP683" s="193"/>
      <c r="AQ683" s="180"/>
      <c r="AR683" s="180"/>
      <c r="AS683" s="180"/>
      <c r="AT683" s="180"/>
      <c r="AU683" s="180"/>
      <c r="AV683" s="180"/>
      <c r="AW683" s="180"/>
    </row>
    <row r="684" spans="1:49" s="4" customFormat="1">
      <c r="A684" s="180"/>
      <c r="B684" s="4" t="s">
        <v>976</v>
      </c>
      <c r="C684" s="47">
        <v>0.375</v>
      </c>
      <c r="D684" s="47">
        <v>0.25</v>
      </c>
      <c r="E684" s="319">
        <v>8</v>
      </c>
      <c r="F684" s="646"/>
      <c r="H684" s="47">
        <v>0.375</v>
      </c>
      <c r="I684" s="47">
        <v>0.25</v>
      </c>
      <c r="J684" s="319">
        <v>8</v>
      </c>
      <c r="K684" s="646"/>
      <c r="M684" s="1561"/>
      <c r="N684" s="1561"/>
      <c r="O684" s="1561"/>
      <c r="P684" s="646"/>
      <c r="R684" s="47">
        <v>0.375</v>
      </c>
      <c r="S684" s="47">
        <v>0.25</v>
      </c>
      <c r="T684" s="319">
        <v>8</v>
      </c>
      <c r="U684" s="646"/>
      <c r="W684" s="47">
        <v>0.375</v>
      </c>
      <c r="X684" s="47">
        <v>0.25</v>
      </c>
      <c r="Y684" s="319">
        <v>8</v>
      </c>
      <c r="Z684" s="646"/>
      <c r="AA684" s="328">
        <f t="shared" si="101"/>
        <v>32</v>
      </c>
      <c r="AB684" s="298">
        <f t="shared" si="102"/>
        <v>0</v>
      </c>
      <c r="AD684" s="47"/>
      <c r="AE684" s="47"/>
      <c r="AF684" s="319"/>
      <c r="AG684" s="328">
        <f t="shared" si="103"/>
        <v>0</v>
      </c>
      <c r="AI684" s="255"/>
      <c r="AJ684" s="180"/>
      <c r="AK684" s="193"/>
      <c r="AL684" s="193"/>
      <c r="AM684" s="193"/>
      <c r="AN684" s="193"/>
      <c r="AO684" s="193"/>
      <c r="AP684" s="193"/>
      <c r="AQ684" s="180"/>
      <c r="AR684" s="180"/>
      <c r="AS684" s="180"/>
      <c r="AT684" s="180"/>
      <c r="AU684" s="180"/>
      <c r="AV684" s="180"/>
      <c r="AW684" s="180"/>
    </row>
    <row r="685" spans="1:49" s="4" customFormat="1">
      <c r="A685" s="180"/>
      <c r="B685" s="666" t="s">
        <v>998</v>
      </c>
      <c r="C685" s="441" t="s">
        <v>125</v>
      </c>
      <c r="D685" s="47">
        <v>0.20833333333333334</v>
      </c>
      <c r="E685" s="319">
        <v>8</v>
      </c>
      <c r="F685" s="646"/>
      <c r="H685" s="47">
        <v>0.375</v>
      </c>
      <c r="I685" s="47">
        <v>0.25</v>
      </c>
      <c r="J685" s="319">
        <v>8</v>
      </c>
      <c r="K685" s="646"/>
      <c r="M685" s="1561"/>
      <c r="N685" s="1561"/>
      <c r="O685" s="1561"/>
      <c r="P685" s="646"/>
      <c r="R685" s="47">
        <v>0.375</v>
      </c>
      <c r="S685" s="47">
        <v>0.25</v>
      </c>
      <c r="T685" s="319">
        <v>8</v>
      </c>
      <c r="U685" s="646"/>
      <c r="W685" s="47">
        <v>0.375</v>
      </c>
      <c r="X685" s="47">
        <v>0.25</v>
      </c>
      <c r="Y685" s="319">
        <v>8</v>
      </c>
      <c r="Z685" s="646"/>
      <c r="AA685" s="328">
        <f t="shared" si="101"/>
        <v>32</v>
      </c>
      <c r="AB685" s="298">
        <f t="shared" si="102"/>
        <v>0</v>
      </c>
      <c r="AD685" s="47"/>
      <c r="AE685" s="47"/>
      <c r="AF685" s="319"/>
      <c r="AG685" s="328">
        <f t="shared" si="103"/>
        <v>0</v>
      </c>
      <c r="AI685" s="255"/>
      <c r="AJ685" s="180"/>
      <c r="AK685" s="193"/>
      <c r="AL685" s="193"/>
      <c r="AM685" s="193"/>
      <c r="AN685" s="193"/>
      <c r="AO685" s="193"/>
      <c r="AP685" s="193"/>
      <c r="AQ685" s="180"/>
      <c r="AR685" s="180"/>
      <c r="AS685" s="180"/>
      <c r="AT685" s="180"/>
      <c r="AU685" s="180"/>
      <c r="AV685" s="180"/>
      <c r="AW685" s="180"/>
    </row>
    <row r="686" spans="1:49" s="4" customFormat="1">
      <c r="A686" s="180"/>
      <c r="B686" s="47" t="s">
        <v>977</v>
      </c>
      <c r="C686" s="441" t="s">
        <v>125</v>
      </c>
      <c r="D686" s="47">
        <v>0.20833333333333334</v>
      </c>
      <c r="E686" s="319">
        <v>8</v>
      </c>
      <c r="F686" s="646"/>
      <c r="H686" s="667" t="s">
        <v>960</v>
      </c>
      <c r="I686" s="565"/>
      <c r="J686" s="319">
        <v>0</v>
      </c>
      <c r="K686" s="646"/>
      <c r="M686" s="1561"/>
      <c r="N686" s="1561"/>
      <c r="O686" s="1561"/>
      <c r="P686" s="646"/>
      <c r="R686" s="667" t="s">
        <v>960</v>
      </c>
      <c r="S686" s="565"/>
      <c r="T686" s="319">
        <v>0</v>
      </c>
      <c r="U686" s="646"/>
      <c r="W686" s="667" t="s">
        <v>960</v>
      </c>
      <c r="X686" s="565"/>
      <c r="Y686" s="319">
        <v>0</v>
      </c>
      <c r="Z686" s="646"/>
      <c r="AA686" s="328">
        <f t="shared" si="101"/>
        <v>8</v>
      </c>
      <c r="AB686" s="298">
        <f t="shared" si="102"/>
        <v>0</v>
      </c>
      <c r="AD686" s="47"/>
      <c r="AE686" s="47"/>
      <c r="AF686" s="319"/>
      <c r="AG686" s="328">
        <f t="shared" si="103"/>
        <v>0</v>
      </c>
      <c r="AI686" s="255"/>
      <c r="AJ686" s="180"/>
      <c r="AK686" s="193"/>
      <c r="AL686" s="193"/>
      <c r="AM686" s="193"/>
      <c r="AN686" s="193"/>
      <c r="AO686" s="193"/>
      <c r="AP686" s="193"/>
      <c r="AQ686" s="180"/>
      <c r="AR686" s="180"/>
      <c r="AS686" s="180"/>
      <c r="AT686" s="180"/>
      <c r="AU686" s="180"/>
      <c r="AV686" s="180"/>
      <c r="AW686" s="180"/>
    </row>
    <row r="687" spans="1:49" s="4" customFormat="1">
      <c r="A687" s="180"/>
      <c r="B687" s="47" t="s">
        <v>986</v>
      </c>
      <c r="C687" s="667" t="s">
        <v>960</v>
      </c>
      <c r="D687" s="565"/>
      <c r="E687" s="319">
        <v>0</v>
      </c>
      <c r="F687" s="646"/>
      <c r="H687" s="667" t="s">
        <v>960</v>
      </c>
      <c r="I687" s="565"/>
      <c r="J687" s="319">
        <v>0</v>
      </c>
      <c r="K687" s="646"/>
      <c r="M687" s="1561"/>
      <c r="N687" s="1561"/>
      <c r="O687" s="1561"/>
      <c r="P687" s="646"/>
      <c r="R687" s="667" t="s">
        <v>960</v>
      </c>
      <c r="S687" s="565"/>
      <c r="T687" s="319">
        <v>0</v>
      </c>
      <c r="U687" s="646"/>
      <c r="W687" s="667" t="s">
        <v>960</v>
      </c>
      <c r="X687" s="565"/>
      <c r="Y687" s="319">
        <v>0</v>
      </c>
      <c r="Z687" s="646"/>
      <c r="AA687" s="328">
        <f t="shared" si="101"/>
        <v>0</v>
      </c>
      <c r="AB687" s="298">
        <f t="shared" si="102"/>
        <v>0</v>
      </c>
      <c r="AD687" s="47"/>
      <c r="AE687" s="47"/>
      <c r="AF687" s="319"/>
      <c r="AG687" s="328">
        <f t="shared" si="103"/>
        <v>0</v>
      </c>
      <c r="AI687" s="255"/>
      <c r="AJ687" s="180"/>
      <c r="AK687" s="193"/>
      <c r="AL687" s="193"/>
      <c r="AM687" s="193"/>
      <c r="AN687" s="193"/>
      <c r="AO687" s="193"/>
      <c r="AP687" s="193"/>
      <c r="AQ687" s="180"/>
      <c r="AR687" s="180"/>
      <c r="AS687" s="180"/>
      <c r="AT687" s="180"/>
      <c r="AU687" s="180"/>
      <c r="AV687" s="180"/>
      <c r="AW687" s="180"/>
    </row>
    <row r="688" spans="1:49" s="4" customFormat="1">
      <c r="A688" s="180"/>
      <c r="B688" s="436" t="s">
        <v>394</v>
      </c>
      <c r="C688" s="47">
        <v>0.375</v>
      </c>
      <c r="D688" s="47">
        <v>0.25</v>
      </c>
      <c r="E688" s="319">
        <v>8</v>
      </c>
      <c r="F688" s="646"/>
      <c r="H688" s="47">
        <v>0.375</v>
      </c>
      <c r="I688" s="47">
        <v>0.25</v>
      </c>
      <c r="J688" s="319">
        <v>8</v>
      </c>
      <c r="K688" s="646"/>
      <c r="M688" s="1561"/>
      <c r="N688" s="1561"/>
      <c r="O688" s="1561"/>
      <c r="P688" s="646"/>
      <c r="R688" s="47">
        <v>0.375</v>
      </c>
      <c r="S688" s="47">
        <v>0.25</v>
      </c>
      <c r="T688" s="319">
        <v>8</v>
      </c>
      <c r="U688" s="646"/>
      <c r="W688" s="47">
        <v>0.375</v>
      </c>
      <c r="X688" s="47">
        <v>0.25</v>
      </c>
      <c r="Y688" s="319">
        <v>8</v>
      </c>
      <c r="Z688" s="646"/>
      <c r="AA688" s="328">
        <f t="shared" si="101"/>
        <v>32</v>
      </c>
      <c r="AB688" s="298">
        <f t="shared" si="102"/>
        <v>0</v>
      </c>
      <c r="AD688" s="47"/>
      <c r="AE688" s="47"/>
      <c r="AF688" s="319"/>
      <c r="AG688" s="328">
        <f t="shared" si="103"/>
        <v>0</v>
      </c>
      <c r="AI688" s="255"/>
      <c r="AJ688" s="180"/>
      <c r="AK688" s="193"/>
      <c r="AL688" s="193"/>
      <c r="AM688" s="193"/>
      <c r="AN688" s="193"/>
      <c r="AO688" s="193"/>
      <c r="AP688" s="193"/>
      <c r="AQ688" s="180"/>
      <c r="AR688" s="180"/>
      <c r="AS688" s="180"/>
      <c r="AT688" s="180"/>
      <c r="AU688" s="180"/>
      <c r="AV688" s="180"/>
      <c r="AW688" s="180"/>
    </row>
    <row r="689" spans="1:49" s="4" customFormat="1">
      <c r="A689" s="180"/>
      <c r="B689" s="47" t="s">
        <v>519</v>
      </c>
      <c r="C689" s="667" t="s">
        <v>960</v>
      </c>
      <c r="D689" s="565"/>
      <c r="E689" s="319">
        <v>0</v>
      </c>
      <c r="F689" s="646"/>
      <c r="H689" s="667" t="s">
        <v>960</v>
      </c>
      <c r="I689" s="565"/>
      <c r="J689" s="319">
        <v>0</v>
      </c>
      <c r="K689" s="646"/>
      <c r="M689" s="1561"/>
      <c r="N689" s="1561"/>
      <c r="O689" s="1561"/>
      <c r="P689" s="646"/>
      <c r="R689" s="667" t="s">
        <v>960</v>
      </c>
      <c r="S689" s="565"/>
      <c r="T689" s="319">
        <v>0</v>
      </c>
      <c r="U689" s="646"/>
      <c r="W689" s="667" t="s">
        <v>960</v>
      </c>
      <c r="X689" s="565"/>
      <c r="Y689" s="319">
        <v>0</v>
      </c>
      <c r="Z689" s="646"/>
      <c r="AA689" s="328">
        <f t="shared" si="101"/>
        <v>0</v>
      </c>
      <c r="AB689" s="298">
        <f t="shared" si="102"/>
        <v>0</v>
      </c>
      <c r="AD689" s="47"/>
      <c r="AE689" s="47"/>
      <c r="AF689" s="319"/>
      <c r="AG689" s="328">
        <f t="shared" si="103"/>
        <v>0</v>
      </c>
      <c r="AI689" s="255"/>
      <c r="AJ689" s="180"/>
      <c r="AK689" s="193"/>
      <c r="AL689" s="193"/>
      <c r="AM689" s="193"/>
      <c r="AN689" s="193"/>
      <c r="AO689" s="193"/>
      <c r="AP689" s="193"/>
      <c r="AQ689" s="180"/>
      <c r="AR689" s="180"/>
      <c r="AS689" s="180"/>
      <c r="AT689" s="180"/>
      <c r="AU689" s="180"/>
      <c r="AV689" s="180"/>
      <c r="AW689" s="180"/>
    </row>
    <row r="690" spans="1:49" s="4" customFormat="1">
      <c r="A690" s="180"/>
      <c r="B690" s="532" t="s">
        <v>999</v>
      </c>
      <c r="C690" s="47">
        <v>0.375</v>
      </c>
      <c r="D690" s="47">
        <v>0.25</v>
      </c>
      <c r="E690" s="319">
        <v>8</v>
      </c>
      <c r="F690" s="646"/>
      <c r="H690" s="47">
        <v>0.375</v>
      </c>
      <c r="I690" s="47">
        <v>0.25</v>
      </c>
      <c r="J690" s="319">
        <v>8</v>
      </c>
      <c r="K690" s="646"/>
      <c r="M690" s="1561"/>
      <c r="N690" s="1561"/>
      <c r="O690" s="1561"/>
      <c r="P690" s="646"/>
      <c r="R690" s="47">
        <v>0.375</v>
      </c>
      <c r="S690" s="47">
        <v>0.25</v>
      </c>
      <c r="T690" s="319">
        <v>8</v>
      </c>
      <c r="U690" s="646"/>
      <c r="W690" s="47">
        <v>0.375</v>
      </c>
      <c r="X690" s="47">
        <v>0.25</v>
      </c>
      <c r="Y690" s="319">
        <v>8</v>
      </c>
      <c r="Z690" s="646"/>
      <c r="AA690" s="328">
        <f t="shared" si="101"/>
        <v>32</v>
      </c>
      <c r="AB690" s="298">
        <f t="shared" si="102"/>
        <v>0</v>
      </c>
      <c r="AD690" s="47"/>
      <c r="AE690" s="47"/>
      <c r="AF690" s="319"/>
      <c r="AG690" s="328">
        <f t="shared" si="103"/>
        <v>0</v>
      </c>
      <c r="AI690" s="255"/>
      <c r="AJ690" s="180"/>
      <c r="AK690" s="193"/>
      <c r="AL690" s="193"/>
      <c r="AM690" s="193"/>
      <c r="AN690" s="193"/>
      <c r="AO690" s="193"/>
      <c r="AP690" s="193"/>
      <c r="AQ690" s="180"/>
      <c r="AR690" s="180"/>
      <c r="AS690" s="180"/>
      <c r="AT690" s="180"/>
      <c r="AU690" s="180"/>
      <c r="AV690" s="180"/>
      <c r="AW690" s="180"/>
    </row>
    <row r="691" spans="1:49" s="4" customFormat="1">
      <c r="A691" s="180"/>
      <c r="B691" s="502" t="s">
        <v>483</v>
      </c>
      <c r="C691" s="5"/>
      <c r="D691" s="5"/>
      <c r="E691" s="319"/>
      <c r="F691" s="646"/>
      <c r="H691" s="5"/>
      <c r="I691" s="5"/>
      <c r="J691" s="319"/>
      <c r="K691" s="646"/>
      <c r="M691" s="1561"/>
      <c r="N691" s="1561"/>
      <c r="O691" s="1561"/>
      <c r="P691" s="646"/>
      <c r="R691" s="5"/>
      <c r="S691" s="5"/>
      <c r="T691" s="319"/>
      <c r="U691" s="646"/>
      <c r="W691" s="5"/>
      <c r="X691" s="5"/>
      <c r="Y691" s="319"/>
      <c r="Z691" s="646"/>
      <c r="AA691" s="328">
        <f t="shared" si="101"/>
        <v>0</v>
      </c>
      <c r="AB691" s="298">
        <f t="shared" si="102"/>
        <v>0</v>
      </c>
      <c r="AD691" s="47"/>
      <c r="AE691" s="47"/>
      <c r="AF691" s="319"/>
      <c r="AG691" s="328">
        <f t="shared" si="103"/>
        <v>0</v>
      </c>
      <c r="AI691" s="255"/>
      <c r="AJ691" s="180"/>
      <c r="AK691" s="193"/>
      <c r="AL691" s="193"/>
      <c r="AM691" s="193"/>
      <c r="AN691" s="193"/>
      <c r="AO691" s="193"/>
      <c r="AP691" s="193"/>
      <c r="AQ691" s="180"/>
      <c r="AR691" s="180"/>
      <c r="AS691" s="180"/>
      <c r="AT691" s="180"/>
      <c r="AU691" s="180"/>
      <c r="AV691" s="180"/>
      <c r="AW691" s="180"/>
    </row>
    <row r="692" spans="1:49" s="4" customFormat="1">
      <c r="A692" s="180"/>
      <c r="B692" s="502" t="s">
        <v>483</v>
      </c>
      <c r="C692" s="47"/>
      <c r="D692" s="47"/>
      <c r="E692" s="319">
        <v>8.6999999999999993</v>
      </c>
      <c r="F692" s="646"/>
      <c r="H692" s="47"/>
      <c r="I692" s="47"/>
      <c r="J692" s="319">
        <v>6.5</v>
      </c>
      <c r="K692" s="646"/>
      <c r="M692" s="1561"/>
      <c r="N692" s="1561"/>
      <c r="O692" s="1561"/>
      <c r="P692" s="646"/>
      <c r="R692" s="47"/>
      <c r="S692" s="47"/>
      <c r="T692" s="319">
        <v>8.5</v>
      </c>
      <c r="U692" s="646"/>
      <c r="W692" s="47"/>
      <c r="X692" s="47"/>
      <c r="Y692" s="319">
        <v>8.5</v>
      </c>
      <c r="Z692" s="646"/>
      <c r="AA692" s="328">
        <f t="shared" si="101"/>
        <v>32.200000000000003</v>
      </c>
      <c r="AB692" s="298">
        <f t="shared" si="102"/>
        <v>0</v>
      </c>
      <c r="AD692" s="47"/>
      <c r="AE692" s="47"/>
      <c r="AF692" s="319"/>
      <c r="AG692" s="328">
        <f t="shared" si="103"/>
        <v>0</v>
      </c>
      <c r="AI692" s="255"/>
      <c r="AJ692" s="180"/>
      <c r="AK692" s="193"/>
      <c r="AL692" s="193"/>
      <c r="AM692" s="193"/>
      <c r="AN692" s="193"/>
      <c r="AO692" s="193"/>
      <c r="AP692" s="193"/>
      <c r="AQ692" s="180"/>
      <c r="AR692" s="180"/>
      <c r="AS692" s="180"/>
      <c r="AT692" s="180"/>
      <c r="AU692" s="180"/>
      <c r="AV692" s="180"/>
      <c r="AW692" s="180"/>
    </row>
    <row r="693" spans="1:49" s="4" customFormat="1">
      <c r="A693" s="180"/>
      <c r="B693" s="502" t="s">
        <v>484</v>
      </c>
      <c r="C693" s="47"/>
      <c r="D693" s="47"/>
      <c r="E693" s="319">
        <v>8.6999999999999993</v>
      </c>
      <c r="F693" s="646"/>
      <c r="H693" s="47"/>
      <c r="I693" s="47"/>
      <c r="J693" s="319">
        <v>6.5</v>
      </c>
      <c r="K693" s="646"/>
      <c r="M693" s="1561"/>
      <c r="N693" s="1561"/>
      <c r="O693" s="1561"/>
      <c r="P693" s="646"/>
      <c r="R693" s="47"/>
      <c r="S693" s="47"/>
      <c r="T693" s="319">
        <v>8.5</v>
      </c>
      <c r="U693" s="646"/>
      <c r="W693" s="47"/>
      <c r="X693" s="47"/>
      <c r="Y693" s="319">
        <v>8.5</v>
      </c>
      <c r="Z693" s="646"/>
      <c r="AA693" s="328">
        <f t="shared" si="101"/>
        <v>32.200000000000003</v>
      </c>
      <c r="AB693" s="298">
        <f t="shared" si="102"/>
        <v>0</v>
      </c>
      <c r="AD693" s="47"/>
      <c r="AE693" s="47"/>
      <c r="AF693" s="319"/>
      <c r="AG693" s="328">
        <f t="shared" si="103"/>
        <v>0</v>
      </c>
      <c r="AI693" s="255"/>
      <c r="AJ693" s="180"/>
      <c r="AK693" s="193"/>
      <c r="AL693" s="193"/>
      <c r="AM693" s="193"/>
      <c r="AN693" s="193"/>
      <c r="AO693" s="193"/>
      <c r="AP693" s="193"/>
      <c r="AQ693" s="180"/>
      <c r="AR693" s="180"/>
      <c r="AS693" s="180"/>
      <c r="AT693" s="180"/>
      <c r="AU693" s="180"/>
      <c r="AV693" s="180"/>
      <c r="AW693" s="180"/>
    </row>
    <row r="694" spans="1:49" s="4" customFormat="1">
      <c r="A694" s="180"/>
      <c r="B694" s="502" t="s">
        <v>485</v>
      </c>
      <c r="C694" s="47"/>
      <c r="D694" s="47"/>
      <c r="E694" s="319">
        <v>8.6999999999999993</v>
      </c>
      <c r="F694" s="646"/>
      <c r="H694" s="47"/>
      <c r="I694" s="47"/>
      <c r="J694" s="319">
        <v>6.5</v>
      </c>
      <c r="K694" s="646"/>
      <c r="M694" s="1561"/>
      <c r="N694" s="1561"/>
      <c r="O694" s="1561"/>
      <c r="P694" s="646"/>
      <c r="R694" s="47"/>
      <c r="S694" s="47"/>
      <c r="T694" s="319">
        <v>8.5</v>
      </c>
      <c r="U694" s="646"/>
      <c r="W694" s="47"/>
      <c r="X694" s="47"/>
      <c r="Y694" s="319">
        <v>8.5</v>
      </c>
      <c r="Z694" s="646"/>
      <c r="AA694" s="328">
        <f t="shared" si="101"/>
        <v>32.200000000000003</v>
      </c>
      <c r="AB694" s="298">
        <f t="shared" si="102"/>
        <v>0</v>
      </c>
      <c r="AD694" s="47"/>
      <c r="AE694" s="47"/>
      <c r="AF694" s="319"/>
      <c r="AG694" s="328">
        <f t="shared" si="103"/>
        <v>0</v>
      </c>
      <c r="AI694" s="255"/>
      <c r="AJ694" s="180"/>
      <c r="AK694" s="193"/>
      <c r="AL694" s="193"/>
      <c r="AM694" s="193"/>
      <c r="AN694" s="193"/>
      <c r="AO694" s="193"/>
      <c r="AP694" s="193"/>
      <c r="AQ694" s="180"/>
      <c r="AR694" s="180"/>
      <c r="AS694" s="180"/>
      <c r="AT694" s="180"/>
      <c r="AU694" s="180"/>
      <c r="AV694" s="180"/>
      <c r="AW694" s="180"/>
    </row>
    <row r="695" spans="1:49" s="4" customFormat="1">
      <c r="A695" s="180"/>
      <c r="B695" s="502" t="s">
        <v>486</v>
      </c>
      <c r="C695" s="5"/>
      <c r="D695" s="5"/>
      <c r="E695" s="319"/>
      <c r="F695" s="646"/>
      <c r="H695" s="5"/>
      <c r="I695" s="5"/>
      <c r="J695" s="319"/>
      <c r="K695" s="646"/>
      <c r="M695" s="1561"/>
      <c r="N695" s="1561"/>
      <c r="O695" s="1561"/>
      <c r="P695" s="646"/>
      <c r="R695" s="5"/>
      <c r="S695" s="5"/>
      <c r="T695" s="319"/>
      <c r="U695" s="646"/>
      <c r="W695" s="5"/>
      <c r="X695" s="5"/>
      <c r="Y695" s="319"/>
      <c r="Z695" s="646"/>
      <c r="AA695" s="328">
        <f t="shared" si="101"/>
        <v>0</v>
      </c>
      <c r="AB695" s="298">
        <f t="shared" si="102"/>
        <v>0</v>
      </c>
      <c r="AD695" s="47"/>
      <c r="AE695" s="47"/>
      <c r="AF695" s="319"/>
      <c r="AG695" s="328">
        <f t="shared" si="103"/>
        <v>0</v>
      </c>
      <c r="AI695" s="255"/>
      <c r="AJ695" s="180"/>
      <c r="AK695" s="193"/>
      <c r="AL695" s="193"/>
      <c r="AM695" s="193"/>
      <c r="AN695" s="193"/>
      <c r="AO695" s="193"/>
      <c r="AP695" s="193"/>
      <c r="AQ695" s="180"/>
      <c r="AR695" s="180"/>
      <c r="AS695" s="180"/>
      <c r="AT695" s="180"/>
      <c r="AU695" s="180"/>
      <c r="AV695" s="180"/>
      <c r="AW695" s="180"/>
    </row>
    <row r="696" spans="1:49" s="4" customFormat="1" ht="12.75" customHeight="1">
      <c r="A696" s="180"/>
      <c r="B696" s="63" t="s">
        <v>63</v>
      </c>
      <c r="C696" s="663"/>
      <c r="D696" s="663"/>
      <c r="E696" s="319">
        <v>8</v>
      </c>
      <c r="F696" s="646">
        <v>0.25</v>
      </c>
      <c r="H696" s="663"/>
      <c r="I696" s="663"/>
      <c r="J696" s="319">
        <v>8</v>
      </c>
      <c r="K696" s="646">
        <v>0.85</v>
      </c>
      <c r="M696" s="1561"/>
      <c r="N696" s="1561"/>
      <c r="O696" s="1561"/>
      <c r="P696" s="646"/>
      <c r="R696" s="663"/>
      <c r="S696" s="663"/>
      <c r="T696" s="319">
        <v>8</v>
      </c>
      <c r="U696" s="646">
        <v>1</v>
      </c>
      <c r="W696" s="663"/>
      <c r="X696" s="663"/>
      <c r="Y696" s="319">
        <v>8</v>
      </c>
      <c r="Z696" s="646">
        <v>1</v>
      </c>
      <c r="AA696" s="328">
        <f t="shared" si="101"/>
        <v>32</v>
      </c>
      <c r="AB696" s="298">
        <f t="shared" si="102"/>
        <v>3.1</v>
      </c>
      <c r="AD696" s="47"/>
      <c r="AE696" s="47"/>
      <c r="AF696" s="319"/>
      <c r="AG696" s="328">
        <f t="shared" si="103"/>
        <v>0</v>
      </c>
      <c r="AI696" s="255"/>
      <c r="AJ696" s="180"/>
      <c r="AK696" s="193"/>
      <c r="AL696" s="193"/>
      <c r="AM696" s="193"/>
      <c r="AN696" s="193"/>
      <c r="AO696" s="193"/>
      <c r="AP696" s="193"/>
      <c r="AQ696" s="180"/>
      <c r="AR696" s="180"/>
      <c r="AS696" s="180"/>
      <c r="AT696" s="180"/>
      <c r="AU696" s="180"/>
      <c r="AV696" s="180"/>
      <c r="AW696" s="180"/>
    </row>
    <row r="697" spans="1:49" s="4" customFormat="1">
      <c r="A697" s="180"/>
      <c r="B697" s="267" t="s">
        <v>358</v>
      </c>
      <c r="C697" s="663"/>
      <c r="D697" s="663"/>
      <c r="E697" s="319">
        <v>4</v>
      </c>
      <c r="F697" s="646"/>
      <c r="G697" s="438"/>
      <c r="H697" s="663"/>
      <c r="I697" s="663"/>
      <c r="J697" s="319">
        <v>4</v>
      </c>
      <c r="K697" s="646"/>
      <c r="L697" s="438"/>
      <c r="M697" s="1561"/>
      <c r="N697" s="1561"/>
      <c r="O697" s="1561"/>
      <c r="P697" s="646"/>
      <c r="Q697" s="438"/>
      <c r="R697" s="663"/>
      <c r="S697" s="663"/>
      <c r="T697" s="319">
        <v>4</v>
      </c>
      <c r="U697" s="646"/>
      <c r="V697" s="438"/>
      <c r="W697" s="663"/>
      <c r="X697" s="663"/>
      <c r="Y697" s="319">
        <v>4</v>
      </c>
      <c r="Z697" s="646"/>
      <c r="AA697" s="328">
        <f t="shared" si="101"/>
        <v>16</v>
      </c>
      <c r="AB697" s="298">
        <f t="shared" si="102"/>
        <v>0</v>
      </c>
      <c r="AD697" s="47"/>
      <c r="AE697" s="47"/>
      <c r="AF697" s="319"/>
      <c r="AG697" s="328">
        <f t="shared" si="103"/>
        <v>0</v>
      </c>
      <c r="AI697" s="255"/>
      <c r="AJ697" s="180"/>
      <c r="AK697" s="193"/>
      <c r="AL697" s="193"/>
      <c r="AM697" s="193"/>
      <c r="AN697" s="193"/>
      <c r="AO697" s="193"/>
      <c r="AP697" s="193"/>
      <c r="AQ697" s="180"/>
      <c r="AR697" s="180"/>
      <c r="AS697" s="180"/>
      <c r="AT697" s="180"/>
      <c r="AU697" s="180"/>
      <c r="AV697" s="180"/>
      <c r="AW697" s="180"/>
    </row>
    <row r="698" spans="1:49" s="193" customFormat="1">
      <c r="A698" s="180"/>
      <c r="B698" s="267" t="s">
        <v>991</v>
      </c>
      <c r="C698" s="5"/>
      <c r="D698" s="5"/>
      <c r="E698" s="319"/>
      <c r="F698" s="646"/>
      <c r="G698" s="438"/>
      <c r="H698" s="5"/>
      <c r="I698" s="5"/>
      <c r="J698" s="319"/>
      <c r="K698" s="646"/>
      <c r="L698" s="438"/>
      <c r="M698" s="1561"/>
      <c r="N698" s="1561"/>
      <c r="O698" s="1561"/>
      <c r="P698" s="646"/>
      <c r="Q698" s="438"/>
      <c r="R698" s="5"/>
      <c r="S698" s="5"/>
      <c r="T698" s="319"/>
      <c r="U698" s="646"/>
      <c r="V698" s="438"/>
      <c r="W698" s="5"/>
      <c r="X698" s="5"/>
      <c r="Y698" s="319"/>
      <c r="Z698" s="646"/>
      <c r="AA698" s="328">
        <f t="shared" si="101"/>
        <v>0</v>
      </c>
      <c r="AB698" s="298">
        <f t="shared" si="102"/>
        <v>0</v>
      </c>
      <c r="AC698" s="4"/>
      <c r="AD698" s="47"/>
      <c r="AE698" s="47"/>
      <c r="AF698" s="319"/>
      <c r="AG698" s="328">
        <f t="shared" si="103"/>
        <v>0</v>
      </c>
      <c r="AH698" s="4"/>
      <c r="AI698" s="255"/>
      <c r="AJ698" s="180"/>
      <c r="AQ698" s="180"/>
      <c r="AR698" s="180"/>
      <c r="AS698" s="180"/>
      <c r="AT698" s="180"/>
      <c r="AU698" s="180"/>
      <c r="AV698" s="180"/>
      <c r="AW698" s="180"/>
    </row>
    <row r="699" spans="1:49" s="193" customFormat="1">
      <c r="A699" s="180"/>
      <c r="B699" s="267" t="s">
        <v>411</v>
      </c>
      <c r="C699" s="5"/>
      <c r="D699" s="5"/>
      <c r="E699" s="319"/>
      <c r="F699" s="646"/>
      <c r="G699" s="438"/>
      <c r="H699" s="5"/>
      <c r="I699" s="5"/>
      <c r="J699" s="319"/>
      <c r="K699" s="646"/>
      <c r="L699" s="438"/>
      <c r="M699" s="1561"/>
      <c r="N699" s="1561"/>
      <c r="O699" s="1561"/>
      <c r="P699" s="646"/>
      <c r="Q699" s="438"/>
      <c r="R699" s="5"/>
      <c r="S699" s="5"/>
      <c r="T699" s="319"/>
      <c r="U699" s="646"/>
      <c r="V699" s="438"/>
      <c r="W699" s="5"/>
      <c r="X699" s="5"/>
      <c r="Y699" s="319"/>
      <c r="Z699" s="646"/>
      <c r="AA699" s="328">
        <f t="shared" si="101"/>
        <v>0</v>
      </c>
      <c r="AB699" s="298">
        <f t="shared" si="102"/>
        <v>0</v>
      </c>
      <c r="AC699" s="4"/>
      <c r="AD699" s="47"/>
      <c r="AE699" s="47"/>
      <c r="AF699" s="319"/>
      <c r="AG699" s="328">
        <f t="shared" si="103"/>
        <v>0</v>
      </c>
      <c r="AH699" s="4"/>
      <c r="AI699" s="255"/>
      <c r="AJ699" s="180"/>
      <c r="AQ699" s="180"/>
      <c r="AR699" s="180"/>
      <c r="AS699" s="180"/>
      <c r="AT699" s="180"/>
      <c r="AU699" s="180"/>
      <c r="AV699" s="180"/>
      <c r="AW699" s="180"/>
    </row>
    <row r="700" spans="1:49" s="193" customFormat="1">
      <c r="A700" s="180"/>
      <c r="B700" s="267" t="s">
        <v>361</v>
      </c>
      <c r="C700" s="5"/>
      <c r="D700" s="5"/>
      <c r="E700" s="319"/>
      <c r="F700" s="646"/>
      <c r="G700" s="438"/>
      <c r="H700" s="5"/>
      <c r="I700" s="5"/>
      <c r="J700" s="319"/>
      <c r="K700" s="646"/>
      <c r="L700" s="438"/>
      <c r="M700" s="1561"/>
      <c r="N700" s="1561"/>
      <c r="O700" s="1561"/>
      <c r="P700" s="646"/>
      <c r="Q700" s="438"/>
      <c r="R700" s="5"/>
      <c r="S700" s="5"/>
      <c r="T700" s="319"/>
      <c r="U700" s="646"/>
      <c r="V700" s="438"/>
      <c r="W700" s="5"/>
      <c r="X700" s="5"/>
      <c r="Y700" s="319"/>
      <c r="Z700" s="646"/>
      <c r="AA700" s="328">
        <f t="shared" si="101"/>
        <v>0</v>
      </c>
      <c r="AB700" s="298">
        <f t="shared" si="102"/>
        <v>0</v>
      </c>
      <c r="AC700" s="4"/>
      <c r="AD700" s="47"/>
      <c r="AE700" s="47"/>
      <c r="AF700" s="319"/>
      <c r="AG700" s="328">
        <f t="shared" si="103"/>
        <v>0</v>
      </c>
      <c r="AH700" s="4"/>
      <c r="AI700" s="255"/>
      <c r="AJ700" s="180"/>
      <c r="AQ700" s="180"/>
      <c r="AR700" s="180"/>
      <c r="AS700" s="180"/>
      <c r="AT700" s="180"/>
      <c r="AU700" s="180"/>
      <c r="AV700" s="180"/>
      <c r="AW700" s="180"/>
    </row>
    <row r="701" spans="1:49" s="193" customFormat="1">
      <c r="A701" s="180"/>
      <c r="B701" s="267" t="s">
        <v>362</v>
      </c>
      <c r="C701" s="47"/>
      <c r="D701" s="47"/>
      <c r="E701" s="319">
        <v>2</v>
      </c>
      <c r="F701" s="646"/>
      <c r="G701" s="438"/>
      <c r="H701" s="47"/>
      <c r="I701" s="47"/>
      <c r="J701" s="319"/>
      <c r="K701" s="646"/>
      <c r="L701" s="438"/>
      <c r="M701" s="1561"/>
      <c r="N701" s="1561"/>
      <c r="O701" s="1561"/>
      <c r="P701" s="646"/>
      <c r="Q701" s="438"/>
      <c r="R701" s="47"/>
      <c r="S701" s="47"/>
      <c r="T701" s="319"/>
      <c r="U701" s="646"/>
      <c r="V701" s="438"/>
      <c r="W701" s="5"/>
      <c r="X701" s="5"/>
      <c r="Y701" s="319"/>
      <c r="Z701" s="646"/>
      <c r="AA701" s="328">
        <f t="shared" si="101"/>
        <v>2</v>
      </c>
      <c r="AB701" s="298">
        <f t="shared" si="102"/>
        <v>0</v>
      </c>
      <c r="AC701" s="4"/>
      <c r="AD701" s="47"/>
      <c r="AE701" s="47"/>
      <c r="AF701" s="319"/>
      <c r="AG701" s="328">
        <f t="shared" si="103"/>
        <v>0</v>
      </c>
      <c r="AH701" s="4"/>
      <c r="AI701" s="255"/>
      <c r="AJ701" s="180"/>
      <c r="AQ701" s="180"/>
      <c r="AR701" s="180"/>
      <c r="AS701" s="180"/>
      <c r="AT701" s="180"/>
      <c r="AU701" s="180"/>
      <c r="AV701" s="180"/>
      <c r="AW701" s="180"/>
    </row>
    <row r="702" spans="1:49" s="193" customFormat="1">
      <c r="A702" s="180"/>
      <c r="B702" s="437" t="s">
        <v>355</v>
      </c>
      <c r="C702" s="5"/>
      <c r="D702" s="5"/>
      <c r="E702" s="319">
        <v>8</v>
      </c>
      <c r="F702" s="646"/>
      <c r="G702" s="438"/>
      <c r="H702" s="5"/>
      <c r="I702" s="5"/>
      <c r="J702" s="319">
        <v>0</v>
      </c>
      <c r="K702" s="646"/>
      <c r="L702" s="438"/>
      <c r="M702" s="1561"/>
      <c r="N702" s="1561"/>
      <c r="O702" s="1561"/>
      <c r="P702" s="646"/>
      <c r="Q702" s="438"/>
      <c r="R702" s="5"/>
      <c r="S702" s="5"/>
      <c r="T702" s="319">
        <v>8</v>
      </c>
      <c r="U702" s="646"/>
      <c r="V702" s="438"/>
      <c r="W702" s="5"/>
      <c r="X702" s="5"/>
      <c r="Y702" s="319">
        <v>8</v>
      </c>
      <c r="Z702" s="646"/>
      <c r="AA702" s="328">
        <f t="shared" si="101"/>
        <v>24</v>
      </c>
      <c r="AB702" s="298">
        <f t="shared" si="102"/>
        <v>0</v>
      </c>
      <c r="AC702" s="4"/>
      <c r="AD702" s="47"/>
      <c r="AE702" s="47"/>
      <c r="AF702" s="319"/>
      <c r="AG702" s="328">
        <f t="shared" si="103"/>
        <v>0</v>
      </c>
      <c r="AH702" s="4"/>
      <c r="AI702" s="255"/>
      <c r="AJ702" s="180"/>
      <c r="AQ702" s="180"/>
      <c r="AR702" s="180"/>
      <c r="AS702" s="180"/>
      <c r="AT702" s="180"/>
      <c r="AU702" s="180"/>
      <c r="AV702" s="180"/>
      <c r="AW702" s="180"/>
    </row>
    <row r="703" spans="1:49" s="193" customFormat="1">
      <c r="A703" s="180"/>
      <c r="B703" s="437" t="s">
        <v>356</v>
      </c>
      <c r="C703" s="5"/>
      <c r="D703" s="5"/>
      <c r="E703" s="319">
        <v>2.5</v>
      </c>
      <c r="F703" s="646"/>
      <c r="G703" s="438"/>
      <c r="H703" s="5"/>
      <c r="I703" s="5"/>
      <c r="J703" s="319">
        <v>0</v>
      </c>
      <c r="K703" s="646"/>
      <c r="L703" s="438"/>
      <c r="M703" s="1561"/>
      <c r="N703" s="1561"/>
      <c r="O703" s="1561"/>
      <c r="P703" s="646"/>
      <c r="Q703" s="438"/>
      <c r="R703" s="5"/>
      <c r="S703" s="5"/>
      <c r="T703" s="319"/>
      <c r="U703" s="646"/>
      <c r="V703" s="438"/>
      <c r="W703" s="5"/>
      <c r="X703" s="5"/>
      <c r="Y703" s="319"/>
      <c r="Z703" s="646"/>
      <c r="AA703" s="328">
        <f t="shared" si="101"/>
        <v>2.5</v>
      </c>
      <c r="AB703" s="298">
        <f t="shared" si="102"/>
        <v>0</v>
      </c>
      <c r="AC703" s="4"/>
      <c r="AD703" s="47"/>
      <c r="AE703" s="47"/>
      <c r="AF703" s="319"/>
      <c r="AG703" s="328">
        <f t="shared" si="103"/>
        <v>0</v>
      </c>
      <c r="AH703" s="4"/>
      <c r="AI703" s="255"/>
      <c r="AJ703" s="180"/>
      <c r="AQ703" s="180"/>
      <c r="AR703" s="180"/>
      <c r="AS703" s="180"/>
      <c r="AT703" s="180"/>
      <c r="AU703" s="180"/>
      <c r="AV703" s="180"/>
      <c r="AW703" s="180"/>
    </row>
    <row r="704" spans="1:49" s="193" customFormat="1">
      <c r="A704" s="180"/>
      <c r="B704" s="64" t="s">
        <v>61</v>
      </c>
      <c r="C704" s="31"/>
      <c r="D704" s="31"/>
      <c r="E704" s="439">
        <f>SUM(E676:E703)</f>
        <v>138.35000000000002</v>
      </c>
      <c r="F704" s="646">
        <f>SUM(F676:F703)</f>
        <v>0.25</v>
      </c>
      <c r="G704" s="438"/>
      <c r="H704" s="31"/>
      <c r="I704" s="31"/>
      <c r="J704" s="439">
        <f>SUM(J676:J703)</f>
        <v>87.5</v>
      </c>
      <c r="K704" s="646">
        <f>SUM(K676:K703)</f>
        <v>0.85</v>
      </c>
      <c r="L704" s="438"/>
      <c r="M704" s="1561"/>
      <c r="N704" s="1561"/>
      <c r="O704" s="1561"/>
      <c r="P704" s="646">
        <f>SUM(P676:P703)</f>
        <v>0</v>
      </c>
      <c r="Q704" s="438"/>
      <c r="R704" s="31"/>
      <c r="S704" s="31"/>
      <c r="T704" s="439">
        <f>SUM(T676:T703)</f>
        <v>125.5</v>
      </c>
      <c r="U704" s="646">
        <f>SUM(U676:U703)</f>
        <v>1</v>
      </c>
      <c r="V704" s="438"/>
      <c r="W704" s="31"/>
      <c r="X704" s="31"/>
      <c r="Y704" s="439">
        <f>SUM(Y676:Y703)</f>
        <v>125.5</v>
      </c>
      <c r="Z704" s="646">
        <f>SUM(Z676:Z703)</f>
        <v>1</v>
      </c>
      <c r="AA704" s="370">
        <f>SUM(AA676:AA703)</f>
        <v>476.84999999999997</v>
      </c>
      <c r="AB704" s="370">
        <f>SUM(AB676:AB703)</f>
        <v>3.1</v>
      </c>
      <c r="AC704" s="4"/>
      <c r="AD704" s="64"/>
      <c r="AE704" s="64"/>
      <c r="AF704" s="370">
        <f>SUM(AF676:AF703)</f>
        <v>0</v>
      </c>
      <c r="AG704" s="370">
        <f>SUM(AG676:AG703)</f>
        <v>0</v>
      </c>
      <c r="AH704" s="4"/>
      <c r="AI704" s="255"/>
      <c r="AJ704" s="180"/>
      <c r="AK704" s="407"/>
      <c r="AQ704" s="180"/>
      <c r="AR704" s="180"/>
      <c r="AS704" s="180"/>
      <c r="AT704" s="180"/>
      <c r="AU704" s="180"/>
      <c r="AV704" s="180"/>
      <c r="AW704" s="180"/>
    </row>
    <row r="705" spans="1:49" s="193" customFormat="1">
      <c r="A705" s="180"/>
      <c r="B705" s="63" t="s">
        <v>64</v>
      </c>
      <c r="C705" s="47"/>
      <c r="D705" s="47"/>
      <c r="E705" s="319">
        <v>0</v>
      </c>
      <c r="F705" s="346"/>
      <c r="G705" s="438"/>
      <c r="H705" s="47"/>
      <c r="I705" s="47"/>
      <c r="J705" s="319">
        <v>0</v>
      </c>
      <c r="K705" s="346"/>
      <c r="L705" s="438"/>
      <c r="M705" s="1561"/>
      <c r="N705" s="1561"/>
      <c r="O705" s="1561"/>
      <c r="P705" s="346"/>
      <c r="Q705" s="60"/>
      <c r="R705" s="47"/>
      <c r="S705" s="47"/>
      <c r="T705" s="319">
        <v>0</v>
      </c>
      <c r="U705" s="346"/>
      <c r="V705" s="438"/>
      <c r="W705" s="47"/>
      <c r="X705" s="47"/>
      <c r="Y705" s="319">
        <v>0</v>
      </c>
      <c r="Z705" s="346"/>
      <c r="AA705" s="28">
        <f>SUM(E705+J705+O705+T705+Y705)</f>
        <v>0</v>
      </c>
      <c r="AB705" s="296">
        <f>Z705+U705+P705+K705+F705</f>
        <v>0</v>
      </c>
      <c r="AC705" s="4"/>
      <c r="AD705" s="47" t="s">
        <v>29</v>
      </c>
      <c r="AE705" s="47" t="s">
        <v>29</v>
      </c>
      <c r="AF705" s="319"/>
      <c r="AG705" s="29">
        <f>AF705</f>
        <v>0</v>
      </c>
      <c r="AH705" s="4"/>
      <c r="AI705" s="255"/>
      <c r="AJ705" s="180"/>
      <c r="AK705" s="407"/>
      <c r="AQ705" s="180"/>
      <c r="AR705" s="180"/>
      <c r="AS705" s="180"/>
      <c r="AT705" s="180"/>
      <c r="AU705" s="180"/>
      <c r="AV705" s="180"/>
      <c r="AW705" s="180"/>
    </row>
    <row r="706" spans="1:49" s="193" customFormat="1">
      <c r="A706" s="180"/>
      <c r="B706" s="71" t="s">
        <v>66</v>
      </c>
      <c r="C706" s="371"/>
      <c r="D706" s="371"/>
      <c r="E706" s="71"/>
      <c r="F706" s="613"/>
      <c r="G706" s="71"/>
      <c r="H706" s="71"/>
      <c r="I706" s="71"/>
      <c r="J706" s="71"/>
      <c r="K706" s="613"/>
      <c r="L706" s="71"/>
      <c r="M706" s="71"/>
      <c r="N706" s="71"/>
      <c r="O706" s="71"/>
      <c r="P706" s="613"/>
      <c r="Q706" s="71"/>
      <c r="R706" s="71"/>
      <c r="S706" s="71"/>
      <c r="T706" s="71"/>
      <c r="U706" s="613"/>
      <c r="V706" s="71"/>
      <c r="W706" s="71"/>
      <c r="X706" s="71"/>
      <c r="Y706" s="71"/>
      <c r="Z706" s="613"/>
      <c r="AA706" s="370">
        <f>SUM(AA705:AA705)</f>
        <v>0</v>
      </c>
      <c r="AB706" s="370">
        <f>SUM(AB705:AB705)</f>
        <v>0</v>
      </c>
      <c r="AC706" s="4"/>
      <c r="AD706" s="180"/>
      <c r="AE706" s="180"/>
      <c r="AF706" s="180"/>
      <c r="AG706" s="370">
        <f>SUM(AG705:AG705)</f>
        <v>0</v>
      </c>
      <c r="AH706" s="4"/>
      <c r="AI706" s="255"/>
      <c r="AJ706" s="180"/>
      <c r="AK706" s="407"/>
      <c r="AQ706" s="180"/>
      <c r="AR706" s="180"/>
      <c r="AS706" s="180"/>
      <c r="AT706" s="180"/>
      <c r="AU706" s="180"/>
      <c r="AV706" s="180"/>
      <c r="AW706" s="180"/>
    </row>
    <row r="707" spans="1:49" s="193" customFormat="1">
      <c r="A707" s="180"/>
      <c r="B707" s="217" t="s">
        <v>67</v>
      </c>
      <c r="C707" s="207">
        <f>C708+C709</f>
        <v>38</v>
      </c>
      <c r="D707" s="207"/>
      <c r="E707" s="209"/>
      <c r="F707" s="209"/>
      <c r="G707" s="207"/>
      <c r="H707" s="209"/>
      <c r="I707" s="209"/>
      <c r="J707" s="209"/>
      <c r="K707" s="209"/>
      <c r="L707" s="207"/>
      <c r="M707" s="207"/>
      <c r="N707" s="207"/>
      <c r="O707" s="207"/>
      <c r="P707" s="209"/>
      <c r="Q707" s="207"/>
      <c r="R707" s="207"/>
      <c r="S707" s="207"/>
      <c r="T707" s="207"/>
      <c r="U707" s="209"/>
      <c r="V707" s="207"/>
      <c r="W707" s="207"/>
      <c r="X707" s="207"/>
      <c r="Y707" s="210"/>
      <c r="Z707" s="209"/>
      <c r="AA707" s="211"/>
      <c r="AB707" s="209"/>
      <c r="AC707" s="211"/>
      <c r="AD707" s="211"/>
      <c r="AE707" s="211"/>
      <c r="AF707" s="211"/>
      <c r="AG707" s="211"/>
      <c r="AH707" s="4"/>
      <c r="AI707" s="255"/>
      <c r="AJ707" s="180"/>
      <c r="AQ707" s="180"/>
      <c r="AR707" s="180"/>
      <c r="AS707" s="180"/>
      <c r="AT707" s="180"/>
      <c r="AU707" s="180"/>
      <c r="AV707" s="180"/>
      <c r="AW707" s="180"/>
    </row>
    <row r="708" spans="1:49" s="193" customFormat="1">
      <c r="A708" s="180"/>
      <c r="B708" s="238" t="s">
        <v>68</v>
      </c>
      <c r="C708" s="239">
        <v>38</v>
      </c>
      <c r="D708" s="207"/>
      <c r="E708" s="209"/>
      <c r="F708" s="209"/>
      <c r="G708" s="207"/>
      <c r="H708" s="209"/>
      <c r="I708" s="209"/>
      <c r="J708" s="209"/>
      <c r="K708" s="209"/>
      <c r="L708" s="207"/>
      <c r="M708" s="207"/>
      <c r="N708" s="207"/>
      <c r="O708" s="207"/>
      <c r="P708" s="209"/>
      <c r="Q708" s="207"/>
      <c r="R708" s="207"/>
      <c r="S708" s="207"/>
      <c r="T708" s="207"/>
      <c r="U708" s="209"/>
      <c r="V708" s="207"/>
      <c r="W708" s="207"/>
      <c r="X708" s="207"/>
      <c r="Y708" s="210"/>
      <c r="Z708" s="209"/>
      <c r="AA708" s="211"/>
      <c r="AB708" s="209"/>
      <c r="AC708" s="211"/>
      <c r="AD708" s="211"/>
      <c r="AE708" s="211"/>
      <c r="AF708" s="211"/>
      <c r="AG708" s="211"/>
      <c r="AH708" s="4"/>
      <c r="AI708" s="255"/>
      <c r="AJ708" s="180"/>
      <c r="AQ708" s="180"/>
      <c r="AR708" s="180"/>
      <c r="AS708" s="180"/>
      <c r="AT708" s="180"/>
      <c r="AU708" s="180"/>
      <c r="AV708" s="180"/>
      <c r="AW708" s="180"/>
    </row>
    <row r="709" spans="1:49" s="193" customFormat="1">
      <c r="A709" s="180"/>
      <c r="B709" s="238" t="s">
        <v>69</v>
      </c>
      <c r="C709" s="239"/>
      <c r="D709" s="207"/>
      <c r="E709" s="209"/>
      <c r="F709" s="209"/>
      <c r="G709" s="207"/>
      <c r="H709" s="209"/>
      <c r="I709" s="209"/>
      <c r="J709" s="209"/>
      <c r="K709" s="209"/>
      <c r="L709" s="207"/>
      <c r="M709" s="207"/>
      <c r="N709" s="207"/>
      <c r="O709" s="207"/>
      <c r="P709" s="209"/>
      <c r="Q709" s="207"/>
      <c r="R709" s="207"/>
      <c r="S709" s="207"/>
      <c r="T709" s="207"/>
      <c r="U709" s="209"/>
      <c r="V709" s="207"/>
      <c r="W709" s="207"/>
      <c r="X709" s="207"/>
      <c r="Y709" s="210"/>
      <c r="Z709" s="209"/>
      <c r="AA709" s="211"/>
      <c r="AB709" s="209"/>
      <c r="AC709" s="211"/>
      <c r="AD709" s="211"/>
      <c r="AE709" s="211"/>
      <c r="AF709" s="211"/>
      <c r="AG709" s="211"/>
      <c r="AH709" s="4"/>
      <c r="AI709" s="255"/>
      <c r="AJ709" s="180"/>
      <c r="AQ709" s="180"/>
      <c r="AR709" s="180"/>
      <c r="AS709" s="180"/>
      <c r="AT709" s="180"/>
      <c r="AU709" s="180"/>
      <c r="AV709" s="180"/>
      <c r="AW709" s="180"/>
    </row>
    <row r="710" spans="1:49" s="180" customFormat="1">
      <c r="A710" s="313"/>
      <c r="E710" s="4"/>
      <c r="F710" s="644"/>
      <c r="G710" s="4"/>
      <c r="J710" s="4"/>
      <c r="K710" s="644"/>
      <c r="L710" s="4"/>
      <c r="O710" s="4"/>
      <c r="P710" s="644"/>
      <c r="Q710" s="4"/>
      <c r="T710" s="4"/>
      <c r="U710" s="644"/>
      <c r="V710" s="4"/>
      <c r="Y710" s="4"/>
      <c r="Z710" s="644"/>
      <c r="AA710" s="4"/>
      <c r="AB710" s="4"/>
      <c r="AC710" s="4"/>
      <c r="AH710" s="4"/>
      <c r="AI710" s="255"/>
      <c r="AK710" s="193"/>
      <c r="AL710" s="193"/>
      <c r="AM710" s="193"/>
      <c r="AN710" s="193"/>
      <c r="AO710" s="193"/>
      <c r="AP710" s="193"/>
    </row>
    <row r="711" spans="1:49">
      <c r="A711" s="180"/>
      <c r="B711" s="229"/>
      <c r="C711" s="230"/>
      <c r="D711" s="230"/>
      <c r="E711" s="232"/>
      <c r="F711" s="232"/>
      <c r="G711" s="230"/>
      <c r="H711" s="232"/>
      <c r="I711" s="232"/>
      <c r="J711" s="232"/>
      <c r="K711" s="232"/>
      <c r="L711" s="230"/>
      <c r="M711" s="230"/>
      <c r="N711" s="230"/>
      <c r="O711" s="230"/>
      <c r="P711" s="232"/>
      <c r="Q711" s="230"/>
      <c r="R711" s="230"/>
      <c r="S711" s="230"/>
      <c r="T711" s="230"/>
      <c r="U711" s="232"/>
      <c r="V711" s="230"/>
      <c r="W711" s="230"/>
      <c r="X711" s="230"/>
      <c r="Y711" s="233"/>
      <c r="Z711" s="232"/>
      <c r="AA711" s="234"/>
      <c r="AB711" s="232"/>
      <c r="AC711" s="373"/>
      <c r="AD711" s="236"/>
      <c r="AE711" s="255"/>
      <c r="AF711" s="255"/>
      <c r="AG711" s="255"/>
      <c r="AH711" s="255"/>
      <c r="AJ711" s="255"/>
      <c r="AK711" s="255"/>
      <c r="AL711" s="255"/>
      <c r="AM711" s="255"/>
      <c r="AN711" s="255"/>
      <c r="AO711" s="255"/>
      <c r="AP711" s="255"/>
      <c r="AQ711" s="255"/>
      <c r="AR711" s="255"/>
      <c r="AS711" s="255"/>
      <c r="AT711" s="255"/>
      <c r="AU711" s="255"/>
      <c r="AV711" s="255"/>
      <c r="AW711" s="255"/>
    </row>
    <row r="712" spans="1:49">
      <c r="B712" s="180"/>
      <c r="E712" s="4"/>
      <c r="F712" s="644"/>
      <c r="G712" s="4"/>
      <c r="J712" s="4"/>
      <c r="K712" s="644"/>
      <c r="L712" s="4"/>
      <c r="O712" s="4"/>
      <c r="P712" s="644"/>
      <c r="T712" s="4"/>
      <c r="U712" s="644"/>
      <c r="Y712" s="4"/>
      <c r="Z712" s="644"/>
      <c r="AA712" s="4"/>
      <c r="AB712" s="4"/>
      <c r="AC712" s="4"/>
      <c r="AK712" s="180"/>
      <c r="AL712" s="180"/>
      <c r="AM712" s="180"/>
      <c r="AN712" s="180"/>
      <c r="AO712" s="180"/>
      <c r="AP712" s="180"/>
    </row>
    <row r="713" spans="1:49">
      <c r="A713" s="228"/>
      <c r="B713" s="1518" t="s">
        <v>18</v>
      </c>
      <c r="C713" s="1519">
        <v>45656</v>
      </c>
      <c r="D713" s="1519"/>
      <c r="E713" s="1519"/>
      <c r="F713" s="1519"/>
      <c r="G713" s="365"/>
      <c r="H713" s="1519">
        <v>45657</v>
      </c>
      <c r="I713" s="1519"/>
      <c r="J713" s="1519"/>
      <c r="K713" s="1519"/>
      <c r="L713" s="365"/>
      <c r="M713" s="1519">
        <v>45658</v>
      </c>
      <c r="N713" s="1519"/>
      <c r="O713" s="1519"/>
      <c r="P713" s="1519"/>
      <c r="Q713" s="365"/>
      <c r="R713" s="1519">
        <v>45659</v>
      </c>
      <c r="S713" s="1519"/>
      <c r="T713" s="1519"/>
      <c r="U713" s="1519"/>
      <c r="V713" s="365"/>
      <c r="W713" s="1519">
        <v>45660</v>
      </c>
      <c r="X713" s="1519"/>
      <c r="Y713" s="1519"/>
      <c r="Z713" s="1519"/>
      <c r="AA713" s="1517" t="s">
        <v>19</v>
      </c>
      <c r="AB713" s="1517" t="s">
        <v>20</v>
      </c>
      <c r="AC713" s="4"/>
      <c r="AD713" s="1519">
        <v>45660</v>
      </c>
      <c r="AE713" s="1519"/>
      <c r="AF713" s="1519"/>
      <c r="AG713" s="1517" t="s">
        <v>21</v>
      </c>
      <c r="AI713" s="368"/>
      <c r="AK713" s="194" t="s">
        <v>84</v>
      </c>
      <c r="AL713" s="366"/>
      <c r="AM713" s="366"/>
      <c r="AN713" s="366"/>
      <c r="AO713" s="366"/>
      <c r="AP713" s="366"/>
    </row>
    <row r="714" spans="1:49">
      <c r="A714" s="180"/>
      <c r="B714" s="1518"/>
      <c r="C714" s="21" t="s">
        <v>23</v>
      </c>
      <c r="D714" s="21" t="s">
        <v>24</v>
      </c>
      <c r="E714" s="205" t="s">
        <v>25</v>
      </c>
      <c r="F714" s="645" t="s">
        <v>14</v>
      </c>
      <c r="G714" s="4"/>
      <c r="H714" s="21" t="s">
        <v>23</v>
      </c>
      <c r="I714" s="21" t="s">
        <v>24</v>
      </c>
      <c r="J714" s="18" t="s">
        <v>25</v>
      </c>
      <c r="K714" s="645" t="s">
        <v>14</v>
      </c>
      <c r="L714" s="4"/>
      <c r="M714" s="21" t="s">
        <v>23</v>
      </c>
      <c r="N714" s="21" t="s">
        <v>24</v>
      </c>
      <c r="O714" s="18" t="s">
        <v>25</v>
      </c>
      <c r="P714" s="645" t="s">
        <v>14</v>
      </c>
      <c r="R714" s="21" t="s">
        <v>23</v>
      </c>
      <c r="S714" s="21" t="s">
        <v>24</v>
      </c>
      <c r="T714" s="18" t="s">
        <v>25</v>
      </c>
      <c r="U714" s="645" t="s">
        <v>14</v>
      </c>
      <c r="W714" s="21" t="s">
        <v>23</v>
      </c>
      <c r="X714" s="21" t="s">
        <v>24</v>
      </c>
      <c r="Y714" s="18" t="s">
        <v>25</v>
      </c>
      <c r="Z714" s="645" t="s">
        <v>14</v>
      </c>
      <c r="AA714" s="1517"/>
      <c r="AB714" s="1517"/>
      <c r="AC714" s="4"/>
      <c r="AD714" s="21" t="s">
        <v>23</v>
      </c>
      <c r="AE714" s="21" t="s">
        <v>24</v>
      </c>
      <c r="AF714" s="18" t="s">
        <v>25</v>
      </c>
      <c r="AG714" s="1517"/>
      <c r="AI714" s="368"/>
      <c r="AJ714" s="367"/>
      <c r="AK714" s="188" t="s">
        <v>26</v>
      </c>
      <c r="AL714" s="196">
        <f>AA743</f>
        <v>375.75</v>
      </c>
      <c r="AM714" s="510">
        <v>39.14</v>
      </c>
      <c r="AN714" s="510">
        <f t="shared" ref="AN714:AN717" si="104">AL714*AM714</f>
        <v>14706.855</v>
      </c>
      <c r="AQ714" s="367"/>
      <c r="AR714" s="367"/>
      <c r="AS714" s="367"/>
      <c r="AT714" s="367"/>
      <c r="AU714" s="367"/>
      <c r="AV714" s="367"/>
      <c r="AW714" s="367"/>
    </row>
    <row r="715" spans="1:49">
      <c r="A715" s="180"/>
      <c r="B715" s="4" t="s">
        <v>958</v>
      </c>
      <c r="C715" s="667" t="s">
        <v>960</v>
      </c>
      <c r="D715" s="565"/>
      <c r="E715" s="319">
        <v>0</v>
      </c>
      <c r="F715" s="646"/>
      <c r="G715" s="4"/>
      <c r="H715" s="667" t="s">
        <v>960</v>
      </c>
      <c r="I715" s="565"/>
      <c r="J715" s="319">
        <v>0</v>
      </c>
      <c r="K715" s="646"/>
      <c r="L715" s="4"/>
      <c r="M715" s="1561" t="s">
        <v>1025</v>
      </c>
      <c r="N715" s="1561"/>
      <c r="O715" s="1561"/>
      <c r="P715" s="646"/>
      <c r="R715" s="667" t="s">
        <v>960</v>
      </c>
      <c r="S715" s="565"/>
      <c r="T715" s="319">
        <v>0</v>
      </c>
      <c r="U715" s="646"/>
      <c r="W715" s="667" t="s">
        <v>960</v>
      </c>
      <c r="X715" s="565"/>
      <c r="Y715" s="319">
        <v>0</v>
      </c>
      <c r="Z715" s="646"/>
      <c r="AA715" s="328">
        <f t="shared" ref="AA715:AA742" si="105">(E715+J715+O715+T715+Y715)</f>
        <v>0</v>
      </c>
      <c r="AB715" s="298">
        <f t="shared" ref="AB715:AB742" si="106">Z715+U715+P715+K715+F715</f>
        <v>0</v>
      </c>
      <c r="AC715" s="4"/>
      <c r="AD715" s="587"/>
      <c r="AE715" s="531"/>
      <c r="AF715" s="319"/>
      <c r="AG715" s="328">
        <f t="shared" ref="AG715:AG742" si="107">AF715</f>
        <v>0</v>
      </c>
      <c r="AI715" s="368"/>
      <c r="AJ715" s="367"/>
      <c r="AK715" s="188" t="s">
        <v>30</v>
      </c>
      <c r="AL715" s="196">
        <f>AB743</f>
        <v>13.5</v>
      </c>
      <c r="AM715" s="511">
        <f>AM714*1.5</f>
        <v>58.71</v>
      </c>
      <c r="AN715" s="510">
        <f t="shared" si="104"/>
        <v>792.58500000000004</v>
      </c>
      <c r="AQ715" s="367"/>
      <c r="AR715" s="367"/>
      <c r="AS715" s="367"/>
      <c r="AT715" s="367"/>
      <c r="AU715" s="367"/>
      <c r="AV715" s="367"/>
      <c r="AW715" s="367"/>
    </row>
    <row r="716" spans="1:49">
      <c r="A716" s="367"/>
      <c r="B716" s="47" t="s">
        <v>515</v>
      </c>
      <c r="C716" s="47">
        <v>0.33333333333333331</v>
      </c>
      <c r="D716" s="47">
        <v>0.20833333333333334</v>
      </c>
      <c r="E716" s="319">
        <v>8</v>
      </c>
      <c r="F716" s="646"/>
      <c r="G716" s="4"/>
      <c r="H716" s="47">
        <v>0.33333333333333331</v>
      </c>
      <c r="I716" s="47">
        <v>0.20833333333333334</v>
      </c>
      <c r="J716" s="319">
        <v>8</v>
      </c>
      <c r="K716" s="646"/>
      <c r="L716" s="4"/>
      <c r="M716" s="1561"/>
      <c r="N716" s="1561"/>
      <c r="O716" s="1561"/>
      <c r="P716" s="646"/>
      <c r="R716" s="667" t="s">
        <v>960</v>
      </c>
      <c r="S716" s="565"/>
      <c r="T716" s="319">
        <v>0</v>
      </c>
      <c r="U716" s="646"/>
      <c r="W716" s="667" t="s">
        <v>960</v>
      </c>
      <c r="X716" s="565"/>
      <c r="Y716" s="319">
        <v>0</v>
      </c>
      <c r="Z716" s="646"/>
      <c r="AA716" s="328">
        <f t="shared" si="105"/>
        <v>16</v>
      </c>
      <c r="AB716" s="298">
        <f t="shared" si="106"/>
        <v>0</v>
      </c>
      <c r="AC716" s="4"/>
      <c r="AF716" s="319"/>
      <c r="AG716" s="328">
        <f t="shared" si="107"/>
        <v>0</v>
      </c>
      <c r="AH716" s="175"/>
      <c r="AI716" s="402"/>
      <c r="AJ716" s="367"/>
      <c r="AK716" s="188" t="s">
        <v>32</v>
      </c>
      <c r="AL716" s="196">
        <f>AG743</f>
        <v>0</v>
      </c>
      <c r="AM716" s="510">
        <v>58.71</v>
      </c>
      <c r="AN716" s="510">
        <f t="shared" si="104"/>
        <v>0</v>
      </c>
      <c r="AQ716" s="367"/>
      <c r="AR716" s="367"/>
      <c r="AS716" s="367"/>
      <c r="AT716" s="367"/>
      <c r="AU716" s="367"/>
      <c r="AV716" s="367"/>
      <c r="AW716" s="367"/>
    </row>
    <row r="717" spans="1:49">
      <c r="A717" s="367"/>
      <c r="B717" s="441" t="s">
        <v>962</v>
      </c>
      <c r="C717" s="667" t="s">
        <v>960</v>
      </c>
      <c r="D717" s="565"/>
      <c r="E717" s="319">
        <v>0</v>
      </c>
      <c r="F717" s="646"/>
      <c r="G717" s="4"/>
      <c r="H717" s="667" t="s">
        <v>960</v>
      </c>
      <c r="I717" s="565"/>
      <c r="J717" s="319">
        <v>0</v>
      </c>
      <c r="K717" s="646"/>
      <c r="L717" s="4"/>
      <c r="M717" s="1561"/>
      <c r="N717" s="1561"/>
      <c r="O717" s="1561"/>
      <c r="P717" s="646"/>
      <c r="R717" s="667" t="s">
        <v>960</v>
      </c>
      <c r="S717" s="565"/>
      <c r="T717" s="319">
        <v>0</v>
      </c>
      <c r="U717" s="646"/>
      <c r="W717" s="667" t="s">
        <v>960</v>
      </c>
      <c r="X717" s="565"/>
      <c r="Y717" s="319">
        <v>0</v>
      </c>
      <c r="Z717" s="646"/>
      <c r="AA717" s="328">
        <f t="shared" si="105"/>
        <v>0</v>
      </c>
      <c r="AB717" s="298">
        <f t="shared" si="106"/>
        <v>0</v>
      </c>
      <c r="AC717" s="399"/>
      <c r="AD717" s="47"/>
      <c r="AE717" s="47"/>
      <c r="AF717" s="319"/>
      <c r="AG717" s="328">
        <f t="shared" si="107"/>
        <v>0</v>
      </c>
      <c r="AH717" s="175"/>
      <c r="AJ717" s="401"/>
      <c r="AK717" s="403" t="s">
        <v>213</v>
      </c>
      <c r="AL717" s="404">
        <f>AA745</f>
        <v>15</v>
      </c>
      <c r="AM717" s="510">
        <v>51.5</v>
      </c>
      <c r="AN717" s="510">
        <f t="shared" si="104"/>
        <v>772.5</v>
      </c>
      <c r="AO717" s="405"/>
      <c r="AP717" s="405"/>
      <c r="AQ717" s="367"/>
      <c r="AR717" s="401"/>
      <c r="AS717" s="401"/>
      <c r="AT717" s="401"/>
      <c r="AU717" s="401"/>
      <c r="AV717" s="401"/>
      <c r="AW717" s="401"/>
    </row>
    <row r="718" spans="1:49">
      <c r="A718" s="367"/>
      <c r="B718" s="47" t="s">
        <v>967</v>
      </c>
      <c r="C718" s="667" t="s">
        <v>960</v>
      </c>
      <c r="D718" s="565"/>
      <c r="E718" s="319">
        <v>0</v>
      </c>
      <c r="F718" s="646"/>
      <c r="G718" s="4"/>
      <c r="H718" s="667" t="s">
        <v>960</v>
      </c>
      <c r="I718" s="565"/>
      <c r="J718" s="319">
        <v>0</v>
      </c>
      <c r="K718" s="646"/>
      <c r="L718" s="4"/>
      <c r="M718" s="1561"/>
      <c r="N718" s="1561"/>
      <c r="O718" s="1561"/>
      <c r="P718" s="646"/>
      <c r="R718" s="667" t="s">
        <v>960</v>
      </c>
      <c r="S718" s="565"/>
      <c r="T718" s="319">
        <v>0</v>
      </c>
      <c r="U718" s="646"/>
      <c r="W718" s="667" t="s">
        <v>960</v>
      </c>
      <c r="X718" s="565"/>
      <c r="Y718" s="319">
        <v>0</v>
      </c>
      <c r="Z718" s="646"/>
      <c r="AA718" s="328">
        <f t="shared" si="105"/>
        <v>0</v>
      </c>
      <c r="AB718" s="298">
        <f t="shared" si="106"/>
        <v>0</v>
      </c>
      <c r="AC718" s="4"/>
      <c r="AD718" s="47"/>
      <c r="AE718" s="47"/>
      <c r="AF718" s="319"/>
      <c r="AG718" s="328">
        <f t="shared" si="107"/>
        <v>0</v>
      </c>
      <c r="AH718" s="175"/>
      <c r="AI718" s="368"/>
      <c r="AK718" s="188" t="s">
        <v>36</v>
      </c>
      <c r="AL718" s="196">
        <f>AB745</f>
        <v>0</v>
      </c>
      <c r="AM718" s="510">
        <f>AM717*1.5</f>
        <v>77.25</v>
      </c>
      <c r="AN718" s="510">
        <f>AL718*AM718</f>
        <v>0</v>
      </c>
      <c r="AQ718" s="367"/>
    </row>
    <row r="719" spans="1:49" s="4" customFormat="1">
      <c r="A719" s="180"/>
      <c r="B719" s="436" t="s">
        <v>972</v>
      </c>
      <c r="C719" s="667" t="s">
        <v>960</v>
      </c>
      <c r="D719" s="565"/>
      <c r="E719" s="319">
        <v>0</v>
      </c>
      <c r="F719" s="646"/>
      <c r="H719" s="667" t="s">
        <v>960</v>
      </c>
      <c r="I719" s="565"/>
      <c r="J719" s="319">
        <v>0</v>
      </c>
      <c r="K719" s="646"/>
      <c r="M719" s="1561"/>
      <c r="N719" s="1561"/>
      <c r="O719" s="1561"/>
      <c r="P719" s="646"/>
      <c r="R719" s="47">
        <v>0.33333333333333331</v>
      </c>
      <c r="S719" s="47">
        <v>0.20833333333333334</v>
      </c>
      <c r="T719" s="319">
        <v>8</v>
      </c>
      <c r="U719" s="646"/>
      <c r="W719" s="47">
        <v>0.375</v>
      </c>
      <c r="X719" s="47">
        <v>0.25</v>
      </c>
      <c r="Y719" s="319">
        <v>8</v>
      </c>
      <c r="Z719" s="646"/>
      <c r="AA719" s="328">
        <f t="shared" si="105"/>
        <v>16</v>
      </c>
      <c r="AB719" s="298">
        <f t="shared" si="106"/>
        <v>0</v>
      </c>
      <c r="AD719" s="47"/>
      <c r="AE719" s="47"/>
      <c r="AF719" s="319"/>
      <c r="AG719" s="328">
        <f t="shared" si="107"/>
        <v>0</v>
      </c>
      <c r="AI719" s="255"/>
      <c r="AJ719" s="180"/>
      <c r="AK719" s="188" t="s">
        <v>38</v>
      </c>
      <c r="AL719" s="196">
        <f>AG745</f>
        <v>0</v>
      </c>
      <c r="AM719" s="510">
        <v>77.25</v>
      </c>
      <c r="AN719" s="510">
        <f>AL719*AM719</f>
        <v>0</v>
      </c>
      <c r="AO719" s="193"/>
      <c r="AP719" s="193"/>
      <c r="AQ719" s="367"/>
      <c r="AR719" s="180"/>
      <c r="AS719" s="180"/>
      <c r="AT719" s="180"/>
      <c r="AU719" s="180"/>
      <c r="AV719" s="180"/>
      <c r="AW719" s="180"/>
    </row>
    <row r="720" spans="1:49" s="4" customFormat="1" ht="14.25" customHeight="1">
      <c r="A720" s="180"/>
      <c r="B720" s="47" t="s">
        <v>974</v>
      </c>
      <c r="C720" s="47">
        <v>0.33333333333333331</v>
      </c>
      <c r="D720" s="47">
        <v>0.20833333333333334</v>
      </c>
      <c r="E720" s="319">
        <v>8</v>
      </c>
      <c r="F720" s="646"/>
      <c r="H720" s="47">
        <v>0.33333333333333331</v>
      </c>
      <c r="I720" s="47">
        <v>0.20833333333333334</v>
      </c>
      <c r="J720" s="319">
        <v>8</v>
      </c>
      <c r="K720" s="646">
        <v>4</v>
      </c>
      <c r="M720" s="1561"/>
      <c r="N720" s="1561"/>
      <c r="O720" s="1561"/>
      <c r="P720" s="646"/>
      <c r="R720" s="47">
        <v>0.33333333333333331</v>
      </c>
      <c r="S720" s="47">
        <v>0.20833333333333334</v>
      </c>
      <c r="T720" s="319">
        <v>8</v>
      </c>
      <c r="U720" s="646"/>
      <c r="W720" s="47">
        <v>0.375</v>
      </c>
      <c r="X720" s="47">
        <v>0.25</v>
      </c>
      <c r="Y720" s="319">
        <v>8</v>
      </c>
      <c r="Z720" s="646"/>
      <c r="AA720" s="328">
        <f t="shared" si="105"/>
        <v>32</v>
      </c>
      <c r="AB720" s="298">
        <f t="shared" si="106"/>
        <v>4</v>
      </c>
      <c r="AD720" s="47"/>
      <c r="AE720" s="47"/>
      <c r="AF720" s="319"/>
      <c r="AG720" s="328">
        <f t="shared" si="107"/>
        <v>0</v>
      </c>
      <c r="AI720" s="255"/>
      <c r="AJ720" s="180"/>
      <c r="AK720" s="188"/>
      <c r="AL720" s="196"/>
      <c r="AM720" s="510"/>
      <c r="AN720" s="510"/>
      <c r="AO720" s="193"/>
      <c r="AP720" s="193"/>
      <c r="AQ720" s="367"/>
      <c r="AR720" s="180"/>
      <c r="AS720" s="180"/>
      <c r="AT720" s="180"/>
      <c r="AU720" s="180"/>
      <c r="AV720" s="180"/>
      <c r="AW720" s="180"/>
    </row>
    <row r="721" spans="1:49" s="4" customFormat="1" ht="12.75" customHeight="1">
      <c r="A721" s="180"/>
      <c r="B721" s="47" t="s">
        <v>517</v>
      </c>
      <c r="C721" s="47">
        <v>0.33333333333333331</v>
      </c>
      <c r="D721" s="47">
        <v>0.20833333333333334</v>
      </c>
      <c r="E721" s="319">
        <v>8</v>
      </c>
      <c r="F721" s="646"/>
      <c r="H721" s="47">
        <v>0.33333333333333331</v>
      </c>
      <c r="I721" s="47">
        <v>0.20833333333333334</v>
      </c>
      <c r="J721" s="319">
        <v>8</v>
      </c>
      <c r="K721" s="646"/>
      <c r="M721" s="1561"/>
      <c r="N721" s="1561"/>
      <c r="O721" s="1561"/>
      <c r="P721" s="646"/>
      <c r="R721" s="47">
        <v>0.33333333333333331</v>
      </c>
      <c r="S721" s="47">
        <v>0.20833333333333334</v>
      </c>
      <c r="T721" s="319">
        <v>8</v>
      </c>
      <c r="U721" s="646"/>
      <c r="W721" s="47">
        <v>0.375</v>
      </c>
      <c r="X721" s="47">
        <v>0.25</v>
      </c>
      <c r="Y721" s="319">
        <v>8</v>
      </c>
      <c r="Z721" s="646"/>
      <c r="AA721" s="328">
        <f t="shared" si="105"/>
        <v>32</v>
      </c>
      <c r="AB721" s="298">
        <f t="shared" si="106"/>
        <v>0</v>
      </c>
      <c r="AD721" s="47"/>
      <c r="AE721" s="47"/>
      <c r="AF721" s="319"/>
      <c r="AG721" s="328">
        <f t="shared" si="107"/>
        <v>0</v>
      </c>
      <c r="AI721" s="255"/>
      <c r="AJ721" s="180"/>
      <c r="AK721" s="193"/>
      <c r="AL721" s="193"/>
      <c r="AM721" s="193"/>
      <c r="AN721" s="510">
        <f>SUM(AN714:AN719)</f>
        <v>16271.939999999999</v>
      </c>
      <c r="AO721" s="193"/>
      <c r="AP721" s="193"/>
      <c r="AQ721" s="180"/>
      <c r="AR721" s="180"/>
      <c r="AS721" s="180"/>
      <c r="AT721" s="180"/>
      <c r="AU721" s="180"/>
      <c r="AV721" s="180"/>
      <c r="AW721" s="180"/>
    </row>
    <row r="722" spans="1:49" s="4" customFormat="1">
      <c r="A722" s="180"/>
      <c r="B722" s="436" t="s">
        <v>981</v>
      </c>
      <c r="C722" s="47">
        <v>0.33333333333333331</v>
      </c>
      <c r="D722" s="47">
        <v>0.20833333333333334</v>
      </c>
      <c r="E722" s="319">
        <v>8</v>
      </c>
      <c r="F722" s="646"/>
      <c r="H722" s="47">
        <v>0.33333333333333331</v>
      </c>
      <c r="I722" s="47">
        <v>0.20833333333333334</v>
      </c>
      <c r="J722" s="319">
        <v>8</v>
      </c>
      <c r="K722" s="646"/>
      <c r="M722" s="1561"/>
      <c r="N722" s="1561"/>
      <c r="O722" s="1561"/>
      <c r="P722" s="646"/>
      <c r="R722" s="47">
        <v>0.33333333333333331</v>
      </c>
      <c r="S722" s="47">
        <v>0.20833333333333334</v>
      </c>
      <c r="T722" s="319">
        <v>8</v>
      </c>
      <c r="U722" s="646"/>
      <c r="W722" s="47">
        <v>0.33333333333333331</v>
      </c>
      <c r="X722" s="47">
        <v>0.20833333333333334</v>
      </c>
      <c r="Y722" s="319">
        <v>8</v>
      </c>
      <c r="Z722" s="646"/>
      <c r="AA722" s="328">
        <f t="shared" si="105"/>
        <v>32</v>
      </c>
      <c r="AB722" s="298">
        <f t="shared" si="106"/>
        <v>0</v>
      </c>
      <c r="AD722" s="47"/>
      <c r="AE722" s="47"/>
      <c r="AF722" s="319"/>
      <c r="AG722" s="328">
        <f t="shared" si="107"/>
        <v>0</v>
      </c>
      <c r="AI722" s="255"/>
      <c r="AJ722" s="180"/>
      <c r="AK722" s="193"/>
      <c r="AL722" s="193"/>
      <c r="AM722" s="193"/>
      <c r="AN722" s="193"/>
      <c r="AO722" s="193"/>
      <c r="AP722" s="193"/>
      <c r="AQ722" s="180"/>
      <c r="AR722" s="180"/>
      <c r="AS722" s="180"/>
      <c r="AT722" s="180"/>
      <c r="AU722" s="180"/>
      <c r="AV722" s="180"/>
      <c r="AW722" s="180"/>
    </row>
    <row r="723" spans="1:49" s="4" customFormat="1">
      <c r="A723" s="180"/>
      <c r="B723" s="4" t="s">
        <v>976</v>
      </c>
      <c r="C723" s="441" t="s">
        <v>75</v>
      </c>
      <c r="D723" s="47">
        <v>0.20833333333333334</v>
      </c>
      <c r="E723" s="319">
        <v>7</v>
      </c>
      <c r="F723" s="646"/>
      <c r="H723" s="695" t="s">
        <v>1026</v>
      </c>
      <c r="I723" s="696"/>
      <c r="J723" s="319"/>
      <c r="K723" s="646"/>
      <c r="M723" s="1561"/>
      <c r="N723" s="1561"/>
      <c r="O723" s="1561"/>
      <c r="P723" s="646"/>
      <c r="R723" s="667" t="s">
        <v>960</v>
      </c>
      <c r="S723" s="565"/>
      <c r="T723" s="319">
        <v>0</v>
      </c>
      <c r="U723" s="646"/>
      <c r="W723" s="667" t="s">
        <v>960</v>
      </c>
      <c r="X723" s="565"/>
      <c r="Y723" s="319">
        <v>0</v>
      </c>
      <c r="Z723" s="646"/>
      <c r="AA723" s="328">
        <f t="shared" si="105"/>
        <v>7</v>
      </c>
      <c r="AB723" s="298">
        <f t="shared" si="106"/>
        <v>0</v>
      </c>
      <c r="AD723" s="47"/>
      <c r="AE723" s="47"/>
      <c r="AF723" s="319"/>
      <c r="AG723" s="328">
        <f t="shared" si="107"/>
        <v>0</v>
      </c>
      <c r="AI723" s="255"/>
      <c r="AJ723" s="180"/>
      <c r="AK723" s="193"/>
      <c r="AL723" s="193"/>
      <c r="AM723" s="193"/>
      <c r="AN723" s="193"/>
      <c r="AO723" s="193"/>
      <c r="AP723" s="193"/>
      <c r="AQ723" s="180"/>
      <c r="AR723" s="180"/>
      <c r="AS723" s="180"/>
      <c r="AT723" s="180"/>
      <c r="AU723" s="180"/>
      <c r="AV723" s="180"/>
      <c r="AW723" s="180"/>
    </row>
    <row r="724" spans="1:49" s="4" customFormat="1">
      <c r="A724" s="180"/>
      <c r="B724" s="666" t="s">
        <v>998</v>
      </c>
      <c r="C724" s="441" t="s">
        <v>75</v>
      </c>
      <c r="D724" s="47">
        <v>0.20833333333333334</v>
      </c>
      <c r="E724" s="319">
        <v>7</v>
      </c>
      <c r="F724" s="646"/>
      <c r="H724" s="667" t="s">
        <v>137</v>
      </c>
      <c r="I724" s="565"/>
      <c r="J724" s="319">
        <v>0</v>
      </c>
      <c r="K724" s="646"/>
      <c r="M724" s="1561"/>
      <c r="N724" s="1561"/>
      <c r="O724" s="1561"/>
      <c r="P724" s="646"/>
      <c r="R724" s="47">
        <v>0.33333333333333331</v>
      </c>
      <c r="S724" s="47">
        <v>0.20833333333333334</v>
      </c>
      <c r="T724" s="319">
        <v>8</v>
      </c>
      <c r="U724" s="646"/>
      <c r="W724" s="47">
        <v>0.10416666666666667</v>
      </c>
      <c r="X724" s="47">
        <v>0.27083333333333331</v>
      </c>
      <c r="Y724" s="319">
        <v>4</v>
      </c>
      <c r="Z724" s="646"/>
      <c r="AA724" s="328">
        <f t="shared" si="105"/>
        <v>19</v>
      </c>
      <c r="AB724" s="298">
        <f t="shared" si="106"/>
        <v>0</v>
      </c>
      <c r="AD724" s="47"/>
      <c r="AE724" s="47"/>
      <c r="AF724" s="319"/>
      <c r="AG724" s="328">
        <f t="shared" si="107"/>
        <v>0</v>
      </c>
      <c r="AI724" s="255"/>
      <c r="AJ724" s="180"/>
      <c r="AK724" s="193"/>
      <c r="AL724" s="193"/>
      <c r="AM724" s="193"/>
      <c r="AN724" s="193"/>
      <c r="AO724" s="193"/>
      <c r="AP724" s="193"/>
      <c r="AQ724" s="180"/>
      <c r="AR724" s="180"/>
      <c r="AS724" s="180"/>
      <c r="AT724" s="180"/>
      <c r="AU724" s="180"/>
      <c r="AV724" s="180"/>
      <c r="AW724" s="180"/>
    </row>
    <row r="725" spans="1:49" s="4" customFormat="1">
      <c r="A725" s="180"/>
      <c r="B725" s="47" t="s">
        <v>977</v>
      </c>
      <c r="C725" s="441" t="s">
        <v>344</v>
      </c>
      <c r="D725" s="47">
        <v>0.20833333333333334</v>
      </c>
      <c r="E725" s="319">
        <v>7.75</v>
      </c>
      <c r="F725" s="646"/>
      <c r="H725" s="47">
        <v>0.33333333333333331</v>
      </c>
      <c r="I725" s="47">
        <v>0.20833333333333334</v>
      </c>
      <c r="J725" s="319">
        <v>8</v>
      </c>
      <c r="K725" s="646"/>
      <c r="M725" s="1561"/>
      <c r="N725" s="1561"/>
      <c r="O725" s="1561"/>
      <c r="P725" s="646"/>
      <c r="R725" s="667" t="s">
        <v>960</v>
      </c>
      <c r="S725" s="565"/>
      <c r="T725" s="319">
        <v>0</v>
      </c>
      <c r="U725" s="646"/>
      <c r="W725" s="47">
        <v>0.33333333333333331</v>
      </c>
      <c r="X725" s="47">
        <v>0.20833333333333334</v>
      </c>
      <c r="Y725" s="319">
        <v>8</v>
      </c>
      <c r="Z725" s="646"/>
      <c r="AA725" s="328">
        <f t="shared" si="105"/>
        <v>23.75</v>
      </c>
      <c r="AB725" s="298">
        <f t="shared" si="106"/>
        <v>0</v>
      </c>
      <c r="AD725" s="47"/>
      <c r="AE725" s="47"/>
      <c r="AF725" s="319"/>
      <c r="AG725" s="328">
        <f t="shared" si="107"/>
        <v>0</v>
      </c>
      <c r="AI725" s="255"/>
      <c r="AJ725" s="180"/>
      <c r="AK725" s="193"/>
      <c r="AL725" s="193"/>
      <c r="AM725" s="193"/>
      <c r="AN725" s="193"/>
      <c r="AO725" s="193"/>
      <c r="AP725" s="193"/>
      <c r="AQ725" s="180"/>
      <c r="AR725" s="180"/>
      <c r="AS725" s="180"/>
      <c r="AT725" s="180"/>
      <c r="AU725" s="180"/>
      <c r="AV725" s="180"/>
      <c r="AW725" s="180"/>
    </row>
    <row r="726" spans="1:49" s="4" customFormat="1">
      <c r="A726" s="180"/>
      <c r="B726" s="47" t="s">
        <v>986</v>
      </c>
      <c r="C726" s="667" t="s">
        <v>960</v>
      </c>
      <c r="D726" s="565"/>
      <c r="E726" s="319">
        <v>0</v>
      </c>
      <c r="F726" s="646"/>
      <c r="H726" s="667" t="s">
        <v>960</v>
      </c>
      <c r="I726" s="565"/>
      <c r="J726" s="319">
        <v>0</v>
      </c>
      <c r="K726" s="646"/>
      <c r="M726" s="1561"/>
      <c r="N726" s="1561"/>
      <c r="O726" s="1561"/>
      <c r="P726" s="646"/>
      <c r="R726" s="667" t="s">
        <v>960</v>
      </c>
      <c r="S726" s="565"/>
      <c r="T726" s="319">
        <v>0</v>
      </c>
      <c r="U726" s="646"/>
      <c r="W726" s="667" t="s">
        <v>960</v>
      </c>
      <c r="X726" s="565"/>
      <c r="Y726" s="319">
        <v>0</v>
      </c>
      <c r="Z726" s="646"/>
      <c r="AA726" s="328">
        <f t="shared" si="105"/>
        <v>0</v>
      </c>
      <c r="AB726" s="298">
        <f t="shared" si="106"/>
        <v>0</v>
      </c>
      <c r="AD726" s="47"/>
      <c r="AE726" s="47"/>
      <c r="AF726" s="319"/>
      <c r="AG726" s="328">
        <f t="shared" si="107"/>
        <v>0</v>
      </c>
      <c r="AI726" s="255"/>
      <c r="AJ726" s="180"/>
      <c r="AK726" s="193"/>
      <c r="AL726" s="193"/>
      <c r="AM726" s="193"/>
      <c r="AN726" s="193"/>
      <c r="AO726" s="193"/>
      <c r="AP726" s="193"/>
      <c r="AQ726" s="180"/>
      <c r="AR726" s="180"/>
      <c r="AS726" s="180"/>
      <c r="AT726" s="180"/>
      <c r="AU726" s="180"/>
      <c r="AV726" s="180"/>
      <c r="AW726" s="180"/>
    </row>
    <row r="727" spans="1:49" s="4" customFormat="1">
      <c r="A727" s="180"/>
      <c r="B727" s="436" t="s">
        <v>394</v>
      </c>
      <c r="C727" s="667" t="s">
        <v>960</v>
      </c>
      <c r="D727" s="565"/>
      <c r="E727" s="319">
        <v>0</v>
      </c>
      <c r="F727" s="646"/>
      <c r="H727" s="667" t="s">
        <v>960</v>
      </c>
      <c r="I727" s="565"/>
      <c r="J727" s="319">
        <v>0</v>
      </c>
      <c r="K727" s="646"/>
      <c r="M727" s="1561"/>
      <c r="N727" s="1561"/>
      <c r="O727" s="1561"/>
      <c r="P727" s="646"/>
      <c r="R727" s="667" t="s">
        <v>960</v>
      </c>
      <c r="S727" s="565"/>
      <c r="T727" s="319">
        <v>0</v>
      </c>
      <c r="U727" s="646"/>
      <c r="W727" s="441" t="s">
        <v>437</v>
      </c>
      <c r="X727" s="47"/>
      <c r="Y727" s="319">
        <v>8</v>
      </c>
      <c r="Z727" s="646"/>
      <c r="AA727" s="328">
        <f t="shared" si="105"/>
        <v>8</v>
      </c>
      <c r="AB727" s="298">
        <f t="shared" si="106"/>
        <v>0</v>
      </c>
      <c r="AD727" s="47"/>
      <c r="AE727" s="47"/>
      <c r="AF727" s="319"/>
      <c r="AG727" s="328">
        <f t="shared" si="107"/>
        <v>0</v>
      </c>
      <c r="AI727" s="255"/>
      <c r="AJ727" s="180"/>
      <c r="AK727" s="193"/>
      <c r="AL727" s="193"/>
      <c r="AM727" s="193"/>
      <c r="AN727" s="193"/>
      <c r="AO727" s="193"/>
      <c r="AP727" s="193"/>
      <c r="AQ727" s="180"/>
      <c r="AR727" s="180"/>
      <c r="AS727" s="180"/>
      <c r="AT727" s="180"/>
      <c r="AU727" s="180"/>
      <c r="AV727" s="180"/>
      <c r="AW727" s="180"/>
    </row>
    <row r="728" spans="1:49" s="4" customFormat="1">
      <c r="A728" s="180"/>
      <c r="B728" s="47" t="s">
        <v>519</v>
      </c>
      <c r="C728" s="667" t="s">
        <v>960</v>
      </c>
      <c r="D728" s="565"/>
      <c r="E728" s="319">
        <v>0</v>
      </c>
      <c r="F728" s="646"/>
      <c r="H728" s="667" t="s">
        <v>960</v>
      </c>
      <c r="I728" s="565"/>
      <c r="J728" s="319">
        <v>0</v>
      </c>
      <c r="K728" s="646"/>
      <c r="M728" s="1561"/>
      <c r="N728" s="1561"/>
      <c r="O728" s="1561"/>
      <c r="P728" s="646"/>
      <c r="R728" s="667" t="s">
        <v>960</v>
      </c>
      <c r="S728" s="565"/>
      <c r="T728" s="319">
        <v>0</v>
      </c>
      <c r="U728" s="646"/>
      <c r="W728" s="47">
        <v>0.33333333333333331</v>
      </c>
      <c r="X728" s="47">
        <v>0.20833333333333334</v>
      </c>
      <c r="Y728" s="319">
        <v>8</v>
      </c>
      <c r="Z728" s="646"/>
      <c r="AA728" s="328">
        <f t="shared" si="105"/>
        <v>8</v>
      </c>
      <c r="AB728" s="298">
        <f t="shared" si="106"/>
        <v>0</v>
      </c>
      <c r="AD728" s="47"/>
      <c r="AE728" s="47"/>
      <c r="AF728" s="319"/>
      <c r="AG728" s="328">
        <f t="shared" si="107"/>
        <v>0</v>
      </c>
      <c r="AI728" s="255"/>
      <c r="AJ728" s="180"/>
      <c r="AK728" s="193"/>
      <c r="AL728" s="193"/>
      <c r="AM728" s="193"/>
      <c r="AN728" s="193"/>
      <c r="AO728" s="193"/>
      <c r="AP728" s="193"/>
      <c r="AQ728" s="180"/>
      <c r="AR728" s="180"/>
      <c r="AS728" s="180"/>
      <c r="AT728" s="180"/>
      <c r="AU728" s="180"/>
      <c r="AV728" s="180"/>
      <c r="AW728" s="180"/>
    </row>
    <row r="729" spans="1:49" s="4" customFormat="1">
      <c r="A729" s="180"/>
      <c r="B729" s="532" t="s">
        <v>999</v>
      </c>
      <c r="C729" s="47">
        <v>0.33333333333333331</v>
      </c>
      <c r="D729" s="47">
        <v>0.20833333333333334</v>
      </c>
      <c r="E729" s="319">
        <v>8</v>
      </c>
      <c r="F729" s="646"/>
      <c r="H729" s="695" t="s">
        <v>1026</v>
      </c>
      <c r="I729" s="696"/>
      <c r="J729" s="319"/>
      <c r="K729" s="646"/>
      <c r="M729" s="1561"/>
      <c r="N729" s="1561"/>
      <c r="O729" s="1561"/>
      <c r="P729" s="646"/>
      <c r="R729" s="47">
        <v>0.33333333333333331</v>
      </c>
      <c r="S729" s="47">
        <v>0.20833333333333334</v>
      </c>
      <c r="T729" s="319">
        <v>8</v>
      </c>
      <c r="U729" s="646"/>
      <c r="W729" s="667" t="s">
        <v>960</v>
      </c>
      <c r="X729" s="565"/>
      <c r="Y729" s="319">
        <v>0</v>
      </c>
      <c r="Z729" s="646"/>
      <c r="AA729" s="328">
        <f t="shared" si="105"/>
        <v>16</v>
      </c>
      <c r="AB729" s="298">
        <f t="shared" si="106"/>
        <v>0</v>
      </c>
      <c r="AD729" s="47"/>
      <c r="AE729" s="47"/>
      <c r="AF729" s="319"/>
      <c r="AG729" s="328">
        <f t="shared" si="107"/>
        <v>0</v>
      </c>
      <c r="AI729" s="255"/>
      <c r="AJ729" s="180"/>
      <c r="AK729" s="193"/>
      <c r="AL729" s="193"/>
      <c r="AM729" s="193"/>
      <c r="AN729" s="193"/>
      <c r="AO729" s="193"/>
      <c r="AP729" s="193"/>
      <c r="AQ729" s="180"/>
      <c r="AR729" s="180"/>
      <c r="AS729" s="180"/>
      <c r="AT729" s="180"/>
      <c r="AU729" s="180"/>
      <c r="AV729" s="180"/>
      <c r="AW729" s="180"/>
    </row>
    <row r="730" spans="1:49" s="4" customFormat="1" ht="12.75" customHeight="1">
      <c r="A730" s="180"/>
      <c r="B730" s="502" t="s">
        <v>483</v>
      </c>
      <c r="C730" s="5"/>
      <c r="D730" s="5"/>
      <c r="E730" s="319"/>
      <c r="F730" s="646"/>
      <c r="H730" s="5"/>
      <c r="I730" s="5"/>
      <c r="J730" s="319"/>
      <c r="K730" s="646"/>
      <c r="M730" s="1561"/>
      <c r="N730" s="1561"/>
      <c r="O730" s="1561"/>
      <c r="P730" s="646"/>
      <c r="R730" s="5"/>
      <c r="S730" s="5"/>
      <c r="T730" s="319"/>
      <c r="U730" s="646"/>
      <c r="W730" s="5"/>
      <c r="X730" s="5"/>
      <c r="Y730" s="319"/>
      <c r="Z730" s="646"/>
      <c r="AA730" s="328">
        <f t="shared" si="105"/>
        <v>0</v>
      </c>
      <c r="AB730" s="298">
        <f t="shared" si="106"/>
        <v>0</v>
      </c>
      <c r="AD730" s="47"/>
      <c r="AE730" s="47"/>
      <c r="AF730" s="319"/>
      <c r="AG730" s="328">
        <f t="shared" si="107"/>
        <v>0</v>
      </c>
      <c r="AI730" s="255"/>
      <c r="AJ730" s="180"/>
      <c r="AK730" s="193"/>
      <c r="AL730" s="193"/>
      <c r="AM730" s="193"/>
      <c r="AN730" s="193"/>
      <c r="AO730" s="193"/>
      <c r="AP730" s="193"/>
      <c r="AQ730" s="180"/>
      <c r="AR730" s="180"/>
      <c r="AS730" s="180"/>
      <c r="AT730" s="180"/>
      <c r="AU730" s="180"/>
      <c r="AV730" s="180"/>
      <c r="AW730" s="180"/>
    </row>
    <row r="731" spans="1:49" s="4" customFormat="1">
      <c r="A731" s="180"/>
      <c r="B731" s="502" t="s">
        <v>483</v>
      </c>
      <c r="C731" s="47"/>
      <c r="D731" s="47"/>
      <c r="E731" s="319">
        <v>7</v>
      </c>
      <c r="F731" s="646"/>
      <c r="H731" s="47"/>
      <c r="I731" s="47"/>
      <c r="J731" s="319">
        <v>8</v>
      </c>
      <c r="K731" s="646"/>
      <c r="M731" s="1561"/>
      <c r="N731" s="1561"/>
      <c r="O731" s="1561"/>
      <c r="P731" s="646"/>
      <c r="R731" s="47"/>
      <c r="S731" s="47"/>
      <c r="T731" s="319">
        <v>8</v>
      </c>
      <c r="U731" s="646"/>
      <c r="W731" s="47"/>
      <c r="X731" s="47"/>
      <c r="Y731" s="319">
        <v>8</v>
      </c>
      <c r="Z731" s="646">
        <v>2.5</v>
      </c>
      <c r="AA731" s="328">
        <f t="shared" si="105"/>
        <v>31</v>
      </c>
      <c r="AB731" s="298">
        <f t="shared" si="106"/>
        <v>2.5</v>
      </c>
      <c r="AD731" s="47"/>
      <c r="AE731" s="47"/>
      <c r="AF731" s="319"/>
      <c r="AG731" s="328">
        <f t="shared" si="107"/>
        <v>0</v>
      </c>
      <c r="AI731" s="255"/>
      <c r="AJ731" s="180"/>
      <c r="AK731" s="193"/>
      <c r="AL731" s="193"/>
      <c r="AM731" s="193"/>
      <c r="AN731" s="193"/>
      <c r="AO731" s="193"/>
      <c r="AP731" s="193"/>
      <c r="AQ731" s="180"/>
      <c r="AR731" s="180"/>
      <c r="AS731" s="180"/>
      <c r="AT731" s="180"/>
      <c r="AU731" s="180"/>
      <c r="AV731" s="180"/>
      <c r="AW731" s="180"/>
    </row>
    <row r="732" spans="1:49" s="4" customFormat="1">
      <c r="A732" s="180"/>
      <c r="B732" s="502" t="s">
        <v>484</v>
      </c>
      <c r="C732" s="47"/>
      <c r="D732" s="47"/>
      <c r="E732" s="319">
        <v>7</v>
      </c>
      <c r="F732" s="646"/>
      <c r="H732" s="47"/>
      <c r="I732" s="47"/>
      <c r="J732" s="319">
        <v>8</v>
      </c>
      <c r="K732" s="646"/>
      <c r="M732" s="1561"/>
      <c r="N732" s="1561"/>
      <c r="O732" s="1561"/>
      <c r="P732" s="646"/>
      <c r="R732" s="47"/>
      <c r="S732" s="47"/>
      <c r="T732" s="319">
        <v>8</v>
      </c>
      <c r="U732" s="646"/>
      <c r="W732" s="47"/>
      <c r="X732" s="47"/>
      <c r="Y732" s="319">
        <v>8</v>
      </c>
      <c r="Z732" s="646">
        <v>2.5</v>
      </c>
      <c r="AA732" s="328">
        <f t="shared" si="105"/>
        <v>31</v>
      </c>
      <c r="AB732" s="298">
        <f t="shared" si="106"/>
        <v>2.5</v>
      </c>
      <c r="AD732" s="47"/>
      <c r="AE732" s="47"/>
      <c r="AF732" s="319"/>
      <c r="AG732" s="328">
        <f t="shared" si="107"/>
        <v>0</v>
      </c>
      <c r="AI732" s="255"/>
      <c r="AJ732" s="180"/>
      <c r="AK732" s="193"/>
      <c r="AL732" s="193"/>
      <c r="AM732" s="193"/>
      <c r="AN732" s="193"/>
      <c r="AO732" s="193"/>
      <c r="AP732" s="193"/>
      <c r="AQ732" s="180"/>
      <c r="AR732" s="180"/>
      <c r="AS732" s="180"/>
      <c r="AT732" s="180"/>
      <c r="AU732" s="180"/>
      <c r="AV732" s="180"/>
      <c r="AW732" s="180"/>
    </row>
    <row r="733" spans="1:49" s="4" customFormat="1">
      <c r="A733" s="180"/>
      <c r="B733" s="502" t="s">
        <v>485</v>
      </c>
      <c r="C733" s="47"/>
      <c r="D733" s="47"/>
      <c r="E733" s="319">
        <v>7</v>
      </c>
      <c r="F733" s="646"/>
      <c r="H733" s="47"/>
      <c r="I733" s="47"/>
      <c r="J733" s="319">
        <v>8</v>
      </c>
      <c r="K733" s="646"/>
      <c r="M733" s="1561"/>
      <c r="N733" s="1561"/>
      <c r="O733" s="1561"/>
      <c r="P733" s="646"/>
      <c r="R733" s="47"/>
      <c r="S733" s="47"/>
      <c r="T733" s="319">
        <v>8</v>
      </c>
      <c r="U733" s="646"/>
      <c r="W733" s="47"/>
      <c r="X733" s="47"/>
      <c r="Y733" s="319">
        <v>8</v>
      </c>
      <c r="Z733" s="646">
        <v>2.5</v>
      </c>
      <c r="AA733" s="328">
        <f t="shared" si="105"/>
        <v>31</v>
      </c>
      <c r="AB733" s="298">
        <f t="shared" si="106"/>
        <v>2.5</v>
      </c>
      <c r="AD733" s="47"/>
      <c r="AE733" s="47"/>
      <c r="AF733" s="319"/>
      <c r="AG733" s="328">
        <f t="shared" si="107"/>
        <v>0</v>
      </c>
      <c r="AI733" s="255"/>
      <c r="AJ733" s="180"/>
      <c r="AK733" s="193"/>
      <c r="AL733" s="193"/>
      <c r="AM733" s="193"/>
      <c r="AN733" s="193"/>
      <c r="AO733" s="193"/>
      <c r="AP733" s="193"/>
      <c r="AQ733" s="180"/>
      <c r="AR733" s="180"/>
      <c r="AS733" s="180"/>
      <c r="AT733" s="180"/>
      <c r="AU733" s="180"/>
      <c r="AV733" s="180"/>
      <c r="AW733" s="180"/>
    </row>
    <row r="734" spans="1:49" s="4" customFormat="1">
      <c r="A734" s="180"/>
      <c r="B734" s="502" t="s">
        <v>486</v>
      </c>
      <c r="C734" s="5"/>
      <c r="D734" s="5"/>
      <c r="E734" s="319"/>
      <c r="F734" s="646"/>
      <c r="H734" s="5"/>
      <c r="I734" s="5"/>
      <c r="J734" s="319"/>
      <c r="K734" s="646"/>
      <c r="M734" s="1561"/>
      <c r="N734" s="1561"/>
      <c r="O734" s="1561"/>
      <c r="P734" s="646"/>
      <c r="R734" s="5"/>
      <c r="S734" s="5"/>
      <c r="T734" s="319"/>
      <c r="U734" s="646"/>
      <c r="W734" s="5"/>
      <c r="X734" s="5"/>
      <c r="Y734" s="319"/>
      <c r="Z734" s="646"/>
      <c r="AA734" s="328">
        <f t="shared" si="105"/>
        <v>0</v>
      </c>
      <c r="AB734" s="298">
        <f t="shared" si="106"/>
        <v>0</v>
      </c>
      <c r="AD734" s="47"/>
      <c r="AE734" s="47"/>
      <c r="AF734" s="319"/>
      <c r="AG734" s="328">
        <f t="shared" si="107"/>
        <v>0</v>
      </c>
      <c r="AI734" s="255"/>
      <c r="AJ734" s="180"/>
      <c r="AK734" s="193"/>
      <c r="AL734" s="193"/>
      <c r="AM734" s="193"/>
      <c r="AN734" s="193"/>
      <c r="AO734" s="193"/>
      <c r="AP734" s="193"/>
      <c r="AQ734" s="180"/>
      <c r="AR734" s="180"/>
      <c r="AS734" s="180"/>
      <c r="AT734" s="180"/>
      <c r="AU734" s="180"/>
      <c r="AV734" s="180"/>
      <c r="AW734" s="180"/>
    </row>
    <row r="735" spans="1:49" s="4" customFormat="1">
      <c r="A735" s="180"/>
      <c r="B735" s="63" t="s">
        <v>63</v>
      </c>
      <c r="C735" s="663"/>
      <c r="D735" s="663"/>
      <c r="E735" s="319">
        <v>8</v>
      </c>
      <c r="F735" s="646">
        <v>1</v>
      </c>
      <c r="H735" s="663"/>
      <c r="I735" s="663"/>
      <c r="J735" s="319">
        <v>8</v>
      </c>
      <c r="K735" s="646"/>
      <c r="M735" s="1561"/>
      <c r="N735" s="1561"/>
      <c r="O735" s="1561"/>
      <c r="P735" s="646"/>
      <c r="R735" s="663"/>
      <c r="S735" s="663"/>
      <c r="T735" s="319">
        <v>8</v>
      </c>
      <c r="U735" s="646">
        <v>1</v>
      </c>
      <c r="W735" s="663"/>
      <c r="X735" s="663"/>
      <c r="Y735" s="319">
        <v>8</v>
      </c>
      <c r="Z735" s="646"/>
      <c r="AA735" s="328">
        <f t="shared" si="105"/>
        <v>32</v>
      </c>
      <c r="AB735" s="298">
        <f t="shared" si="106"/>
        <v>2</v>
      </c>
      <c r="AD735" s="47"/>
      <c r="AE735" s="47"/>
      <c r="AF735" s="319"/>
      <c r="AG735" s="328">
        <f t="shared" si="107"/>
        <v>0</v>
      </c>
      <c r="AI735" s="255"/>
      <c r="AJ735" s="180"/>
      <c r="AK735" s="193"/>
      <c r="AL735" s="193"/>
      <c r="AM735" s="193"/>
      <c r="AN735" s="193"/>
      <c r="AO735" s="193"/>
      <c r="AP735" s="193"/>
      <c r="AQ735" s="180"/>
      <c r="AR735" s="180"/>
      <c r="AS735" s="180"/>
      <c r="AT735" s="180"/>
      <c r="AU735" s="180"/>
      <c r="AV735" s="180"/>
      <c r="AW735" s="180"/>
    </row>
    <row r="736" spans="1:49" s="4" customFormat="1">
      <c r="A736" s="180"/>
      <c r="B736" s="267" t="s">
        <v>358</v>
      </c>
      <c r="C736" s="663"/>
      <c r="D736" s="663"/>
      <c r="E736" s="319">
        <v>4</v>
      </c>
      <c r="F736" s="646"/>
      <c r="G736" s="438"/>
      <c r="H736" s="663"/>
      <c r="I736" s="663"/>
      <c r="J736" s="319">
        <v>4</v>
      </c>
      <c r="K736" s="646"/>
      <c r="L736" s="438"/>
      <c r="M736" s="1561"/>
      <c r="N736" s="1561"/>
      <c r="O736" s="1561"/>
      <c r="P736" s="646"/>
      <c r="Q736" s="438"/>
      <c r="R736" s="663"/>
      <c r="S736" s="663"/>
      <c r="T736" s="319">
        <v>5</v>
      </c>
      <c r="U736" s="646"/>
      <c r="V736" s="438"/>
      <c r="W736" s="663"/>
      <c r="X736" s="663"/>
      <c r="Y736" s="319">
        <v>5</v>
      </c>
      <c r="Z736" s="646"/>
      <c r="AA736" s="328">
        <f t="shared" si="105"/>
        <v>18</v>
      </c>
      <c r="AB736" s="298">
        <f t="shared" si="106"/>
        <v>0</v>
      </c>
      <c r="AD736" s="47"/>
      <c r="AE736" s="47"/>
      <c r="AF736" s="319"/>
      <c r="AG736" s="328">
        <f t="shared" si="107"/>
        <v>0</v>
      </c>
      <c r="AI736" s="255"/>
      <c r="AJ736" s="180"/>
      <c r="AK736" s="193"/>
      <c r="AL736" s="193"/>
      <c r="AM736" s="193"/>
      <c r="AN736" s="193"/>
      <c r="AO736" s="193"/>
      <c r="AP736" s="193"/>
      <c r="AQ736" s="180"/>
      <c r="AR736" s="180"/>
      <c r="AS736" s="180"/>
      <c r="AT736" s="180"/>
      <c r="AU736" s="180"/>
      <c r="AV736" s="180"/>
      <c r="AW736" s="180"/>
    </row>
    <row r="737" spans="1:49" s="193" customFormat="1">
      <c r="A737" s="180"/>
      <c r="B737" s="267" t="s">
        <v>991</v>
      </c>
      <c r="C737" s="5"/>
      <c r="D737" s="5"/>
      <c r="E737" s="319"/>
      <c r="F737" s="646"/>
      <c r="G737" s="438"/>
      <c r="H737" s="5"/>
      <c r="I737" s="5"/>
      <c r="J737" s="319"/>
      <c r="K737" s="646"/>
      <c r="L737" s="438"/>
      <c r="M737" s="1561"/>
      <c r="N737" s="1561"/>
      <c r="O737" s="1561"/>
      <c r="P737" s="646"/>
      <c r="Q737" s="438"/>
      <c r="R737" s="5"/>
      <c r="S737" s="5"/>
      <c r="T737" s="319"/>
      <c r="U737" s="646"/>
      <c r="V737" s="438"/>
      <c r="W737" s="5"/>
      <c r="X737" s="5"/>
      <c r="Y737" s="319"/>
      <c r="Z737" s="646"/>
      <c r="AA737" s="328">
        <f t="shared" si="105"/>
        <v>0</v>
      </c>
      <c r="AB737" s="298">
        <f t="shared" si="106"/>
        <v>0</v>
      </c>
      <c r="AC737" s="4"/>
      <c r="AD737" s="47"/>
      <c r="AE737" s="47"/>
      <c r="AF737" s="319"/>
      <c r="AG737" s="328">
        <f t="shared" si="107"/>
        <v>0</v>
      </c>
      <c r="AH737" s="4"/>
      <c r="AI737" s="255"/>
      <c r="AJ737" s="180"/>
      <c r="AQ737" s="180"/>
      <c r="AR737" s="180"/>
      <c r="AS737" s="180"/>
      <c r="AT737" s="180"/>
      <c r="AU737" s="180"/>
      <c r="AV737" s="180"/>
      <c r="AW737" s="180"/>
    </row>
    <row r="738" spans="1:49" s="193" customFormat="1">
      <c r="A738" s="180"/>
      <c r="B738" s="267" t="s">
        <v>411</v>
      </c>
      <c r="C738" s="5"/>
      <c r="D738" s="5"/>
      <c r="E738" s="319"/>
      <c r="F738" s="646"/>
      <c r="G738" s="438"/>
      <c r="H738" s="5"/>
      <c r="I738" s="5"/>
      <c r="J738" s="319"/>
      <c r="K738" s="646"/>
      <c r="L738" s="438"/>
      <c r="M738" s="1561"/>
      <c r="N738" s="1561"/>
      <c r="O738" s="1561"/>
      <c r="P738" s="646"/>
      <c r="Q738" s="438"/>
      <c r="R738" s="5"/>
      <c r="S738" s="5"/>
      <c r="T738" s="319"/>
      <c r="U738" s="646"/>
      <c r="V738" s="438"/>
      <c r="W738" s="5"/>
      <c r="X738" s="5"/>
      <c r="Y738" s="319"/>
      <c r="Z738" s="646"/>
      <c r="AA738" s="328">
        <f t="shared" si="105"/>
        <v>0</v>
      </c>
      <c r="AB738" s="298">
        <f t="shared" si="106"/>
        <v>0</v>
      </c>
      <c r="AC738" s="4"/>
      <c r="AD738" s="47"/>
      <c r="AE738" s="47"/>
      <c r="AF738" s="319"/>
      <c r="AG738" s="328">
        <f t="shared" si="107"/>
        <v>0</v>
      </c>
      <c r="AH738" s="4"/>
      <c r="AI738" s="255"/>
      <c r="AJ738" s="180"/>
      <c r="AQ738" s="180"/>
      <c r="AR738" s="180"/>
      <c r="AS738" s="180"/>
      <c r="AT738" s="180"/>
      <c r="AU738" s="180"/>
      <c r="AV738" s="180"/>
      <c r="AW738" s="180"/>
    </row>
    <row r="739" spans="1:49" s="193" customFormat="1">
      <c r="A739" s="180"/>
      <c r="B739" s="267" t="s">
        <v>361</v>
      </c>
      <c r="C739" s="5"/>
      <c r="D739" s="5"/>
      <c r="E739" s="319"/>
      <c r="F739" s="646"/>
      <c r="G739" s="438"/>
      <c r="H739" s="5"/>
      <c r="I739" s="5"/>
      <c r="J739" s="319"/>
      <c r="K739" s="646"/>
      <c r="L739" s="438"/>
      <c r="M739" s="1561"/>
      <c r="N739" s="1561"/>
      <c r="O739" s="1561"/>
      <c r="P739" s="646"/>
      <c r="Q739" s="438"/>
      <c r="R739" s="5"/>
      <c r="S739" s="5"/>
      <c r="T739" s="319"/>
      <c r="U739" s="646"/>
      <c r="V739" s="438"/>
      <c r="W739" s="5"/>
      <c r="X739" s="5"/>
      <c r="Y739" s="319"/>
      <c r="Z739" s="646"/>
      <c r="AA739" s="328">
        <f t="shared" si="105"/>
        <v>0</v>
      </c>
      <c r="AB739" s="298">
        <f t="shared" si="106"/>
        <v>0</v>
      </c>
      <c r="AC739" s="4"/>
      <c r="AD739" s="47"/>
      <c r="AE739" s="47"/>
      <c r="AF739" s="319"/>
      <c r="AG739" s="328">
        <f t="shared" si="107"/>
        <v>0</v>
      </c>
      <c r="AH739" s="4"/>
      <c r="AI739" s="255"/>
      <c r="AJ739" s="180"/>
      <c r="AQ739" s="180"/>
      <c r="AR739" s="180"/>
      <c r="AS739" s="180"/>
      <c r="AT739" s="180"/>
      <c r="AU739" s="180"/>
      <c r="AV739" s="180"/>
      <c r="AW739" s="180"/>
    </row>
    <row r="740" spans="1:49" s="193" customFormat="1">
      <c r="A740" s="180"/>
      <c r="B740" s="267" t="s">
        <v>362</v>
      </c>
      <c r="C740" s="47"/>
      <c r="D740" s="47"/>
      <c r="E740" s="319">
        <v>1</v>
      </c>
      <c r="F740" s="646"/>
      <c r="G740" s="438"/>
      <c r="H740" s="47"/>
      <c r="I740" s="47"/>
      <c r="J740" s="319">
        <v>2</v>
      </c>
      <c r="K740" s="646"/>
      <c r="L740" s="438"/>
      <c r="M740" s="1561"/>
      <c r="N740" s="1561"/>
      <c r="O740" s="1561"/>
      <c r="P740" s="646"/>
      <c r="Q740" s="438"/>
      <c r="R740" s="47"/>
      <c r="S740" s="47"/>
      <c r="T740" s="319">
        <v>2</v>
      </c>
      <c r="U740" s="646"/>
      <c r="V740" s="438"/>
      <c r="W740" s="5"/>
      <c r="X740" s="5"/>
      <c r="Y740" s="319">
        <v>2</v>
      </c>
      <c r="Z740" s="646"/>
      <c r="AA740" s="328">
        <f t="shared" si="105"/>
        <v>7</v>
      </c>
      <c r="AB740" s="298">
        <f t="shared" si="106"/>
        <v>0</v>
      </c>
      <c r="AC740" s="4"/>
      <c r="AD740" s="47"/>
      <c r="AE740" s="47"/>
      <c r="AF740" s="319"/>
      <c r="AG740" s="328">
        <f t="shared" si="107"/>
        <v>0</v>
      </c>
      <c r="AH740" s="4"/>
      <c r="AI740" s="255"/>
      <c r="AJ740" s="180"/>
      <c r="AQ740" s="180"/>
      <c r="AR740" s="180"/>
      <c r="AS740" s="180"/>
      <c r="AT740" s="180"/>
      <c r="AU740" s="180"/>
      <c r="AV740" s="180"/>
      <c r="AW740" s="180"/>
    </row>
    <row r="741" spans="1:49" s="193" customFormat="1">
      <c r="A741" s="180"/>
      <c r="B741" s="437" t="s">
        <v>355</v>
      </c>
      <c r="C741" s="5"/>
      <c r="D741" s="5"/>
      <c r="E741" s="319">
        <v>8</v>
      </c>
      <c r="F741" s="646"/>
      <c r="G741" s="438"/>
      <c r="H741" s="5"/>
      <c r="I741" s="5"/>
      <c r="J741" s="319">
        <v>8</v>
      </c>
      <c r="K741" s="646"/>
      <c r="L741" s="438"/>
      <c r="M741" s="1561"/>
      <c r="N741" s="1561"/>
      <c r="O741" s="1561"/>
      <c r="P741" s="646"/>
      <c r="Q741" s="438"/>
      <c r="R741" s="5"/>
      <c r="S741" s="5"/>
      <c r="T741" s="319"/>
      <c r="U741" s="646"/>
      <c r="V741" s="438"/>
      <c r="W741" s="5"/>
      <c r="X741" s="5"/>
      <c r="Y741" s="319"/>
      <c r="Z741" s="646"/>
      <c r="AA741" s="328">
        <f t="shared" si="105"/>
        <v>16</v>
      </c>
      <c r="AB741" s="298">
        <f t="shared" si="106"/>
        <v>0</v>
      </c>
      <c r="AC741" s="4"/>
      <c r="AD741" s="47"/>
      <c r="AE741" s="47"/>
      <c r="AF741" s="319"/>
      <c r="AG741" s="328">
        <f t="shared" si="107"/>
        <v>0</v>
      </c>
      <c r="AH741" s="4"/>
      <c r="AI741" s="255"/>
      <c r="AJ741" s="180"/>
      <c r="AQ741" s="180"/>
      <c r="AR741" s="180"/>
      <c r="AS741" s="180"/>
      <c r="AT741" s="180"/>
      <c r="AU741" s="180"/>
      <c r="AV741" s="180"/>
      <c r="AW741" s="180"/>
    </row>
    <row r="742" spans="1:49" s="193" customFormat="1">
      <c r="A742" s="180"/>
      <c r="B742" s="437" t="s">
        <v>356</v>
      </c>
      <c r="C742" s="5"/>
      <c r="D742" s="5"/>
      <c r="E742" s="319"/>
      <c r="F742" s="646"/>
      <c r="G742" s="438"/>
      <c r="H742" s="5"/>
      <c r="I742" s="5"/>
      <c r="J742" s="319"/>
      <c r="K742" s="646"/>
      <c r="L742" s="438"/>
      <c r="M742" s="1561"/>
      <c r="N742" s="1561"/>
      <c r="O742" s="1561"/>
      <c r="P742" s="646"/>
      <c r="Q742" s="438"/>
      <c r="R742" s="5"/>
      <c r="S742" s="5"/>
      <c r="T742" s="319"/>
      <c r="U742" s="646"/>
      <c r="V742" s="438"/>
      <c r="W742" s="5"/>
      <c r="X742" s="5"/>
      <c r="Y742" s="319"/>
      <c r="Z742" s="646"/>
      <c r="AA742" s="328">
        <f t="shared" si="105"/>
        <v>0</v>
      </c>
      <c r="AB742" s="298">
        <f t="shared" si="106"/>
        <v>0</v>
      </c>
      <c r="AC742" s="4"/>
      <c r="AD742" s="47"/>
      <c r="AE742" s="47"/>
      <c r="AF742" s="319"/>
      <c r="AG742" s="328">
        <f t="shared" si="107"/>
        <v>0</v>
      </c>
      <c r="AH742" s="4"/>
      <c r="AI742" s="255"/>
      <c r="AJ742" s="180"/>
      <c r="AQ742" s="180"/>
      <c r="AR742" s="180"/>
      <c r="AS742" s="180"/>
      <c r="AT742" s="180"/>
      <c r="AU742" s="180"/>
      <c r="AV742" s="180"/>
      <c r="AW742" s="180"/>
    </row>
    <row r="743" spans="1:49" s="193" customFormat="1">
      <c r="A743" s="180"/>
      <c r="B743" s="64" t="s">
        <v>61</v>
      </c>
      <c r="C743" s="31"/>
      <c r="D743" s="31"/>
      <c r="E743" s="439">
        <f>SUM(E715:E742)</f>
        <v>103.75</v>
      </c>
      <c r="F743" s="646">
        <f>SUM(F715:F742)</f>
        <v>1</v>
      </c>
      <c r="G743" s="438"/>
      <c r="H743" s="31"/>
      <c r="I743" s="31"/>
      <c r="J743" s="439">
        <f>SUM(J715:J742)</f>
        <v>86</v>
      </c>
      <c r="K743" s="646">
        <f>SUM(K715:K742)</f>
        <v>4</v>
      </c>
      <c r="L743" s="438"/>
      <c r="M743" s="1561"/>
      <c r="N743" s="1561"/>
      <c r="O743" s="1561"/>
      <c r="P743" s="646">
        <f>SUM(P715:P742)</f>
        <v>0</v>
      </c>
      <c r="Q743" s="438"/>
      <c r="R743" s="31"/>
      <c r="S743" s="31"/>
      <c r="T743" s="439">
        <f>SUM(T715:T742)</f>
        <v>87</v>
      </c>
      <c r="U743" s="646">
        <f>SUM(U715:U742)</f>
        <v>1</v>
      </c>
      <c r="V743" s="438"/>
      <c r="W743" s="31"/>
      <c r="X743" s="31"/>
      <c r="Y743" s="439">
        <f>SUM(Y715:Y742)</f>
        <v>99</v>
      </c>
      <c r="Z743" s="646">
        <f>SUM(Z715:Z742)</f>
        <v>7.5</v>
      </c>
      <c r="AA743" s="370">
        <f>SUM(AA715:AA742)</f>
        <v>375.75</v>
      </c>
      <c r="AB743" s="370">
        <f>SUM(AB715:AB742)</f>
        <v>13.5</v>
      </c>
      <c r="AC743" s="4"/>
      <c r="AD743" s="64"/>
      <c r="AE743" s="64"/>
      <c r="AF743" s="370">
        <f>SUM(AF715:AF742)</f>
        <v>0</v>
      </c>
      <c r="AG743" s="370">
        <f>SUM(AG715:AG742)</f>
        <v>0</v>
      </c>
      <c r="AH743" s="4"/>
      <c r="AI743" s="255"/>
      <c r="AJ743" s="180"/>
      <c r="AK743" s="407"/>
      <c r="AQ743" s="180"/>
      <c r="AR743" s="180"/>
      <c r="AS743" s="180"/>
      <c r="AT743" s="180"/>
      <c r="AU743" s="180"/>
      <c r="AV743" s="180"/>
      <c r="AW743" s="180"/>
    </row>
    <row r="744" spans="1:49" s="193" customFormat="1">
      <c r="A744" s="180"/>
      <c r="B744" s="63" t="s">
        <v>64</v>
      </c>
      <c r="C744" s="47"/>
      <c r="D744" s="47"/>
      <c r="E744" s="319">
        <v>0</v>
      </c>
      <c r="F744" s="346"/>
      <c r="G744" s="613"/>
      <c r="H744" s="47"/>
      <c r="I744" s="47"/>
      <c r="J744" s="319">
        <v>0</v>
      </c>
      <c r="K744" s="346"/>
      <c r="L744" s="60"/>
      <c r="M744" s="47"/>
      <c r="N744" s="47"/>
      <c r="O744" s="319">
        <v>0</v>
      </c>
      <c r="P744" s="346"/>
      <c r="Q744" s="60"/>
      <c r="R744" s="47"/>
      <c r="S744" s="47"/>
      <c r="T744" s="319">
        <v>8</v>
      </c>
      <c r="U744" s="346"/>
      <c r="V744" s="60"/>
      <c r="W744" s="47"/>
      <c r="X744" s="47"/>
      <c r="Y744" s="319">
        <v>7</v>
      </c>
      <c r="Z744" s="346"/>
      <c r="AA744" s="28">
        <f>SUM(E744+J744+O744+T744+Y744)</f>
        <v>15</v>
      </c>
      <c r="AB744" s="296">
        <f>Z744+U744+P744+K744+F744</f>
        <v>0</v>
      </c>
      <c r="AC744" s="4"/>
      <c r="AD744" s="47" t="s">
        <v>29</v>
      </c>
      <c r="AE744" s="47" t="s">
        <v>29</v>
      </c>
      <c r="AF744" s="319"/>
      <c r="AG744" s="29">
        <f>AF744</f>
        <v>0</v>
      </c>
      <c r="AH744" s="4"/>
      <c r="AI744" s="255"/>
      <c r="AJ744" s="180"/>
      <c r="AK744" s="407"/>
      <c r="AQ744" s="180"/>
      <c r="AR744" s="180"/>
      <c r="AS744" s="180"/>
      <c r="AT744" s="180"/>
      <c r="AU744" s="180"/>
      <c r="AV744" s="180"/>
      <c r="AW744" s="180"/>
    </row>
    <row r="745" spans="1:49" s="193" customFormat="1">
      <c r="A745" s="180"/>
      <c r="B745" s="71" t="s">
        <v>66</v>
      </c>
      <c r="C745" s="371"/>
      <c r="D745" s="371"/>
      <c r="E745" s="71"/>
      <c r="F745" s="613"/>
      <c r="G745" s="71"/>
      <c r="H745" s="71"/>
      <c r="I745" s="71"/>
      <c r="J745" s="71"/>
      <c r="K745" s="613"/>
      <c r="L745" s="71"/>
      <c r="M745" s="71"/>
      <c r="N745" s="71"/>
      <c r="O745" s="71"/>
      <c r="P745" s="613"/>
      <c r="Q745" s="71"/>
      <c r="R745" s="71"/>
      <c r="S745" s="71"/>
      <c r="T745" s="71"/>
      <c r="U745" s="613"/>
      <c r="V745" s="71"/>
      <c r="W745" s="71"/>
      <c r="X745" s="71"/>
      <c r="Y745" s="71"/>
      <c r="Z745" s="613"/>
      <c r="AA745" s="370">
        <f>SUM(AA744:AA744)</f>
        <v>15</v>
      </c>
      <c r="AB745" s="370">
        <f>SUM(AB744:AB744)</f>
        <v>0</v>
      </c>
      <c r="AC745" s="4"/>
      <c r="AD745" s="180"/>
      <c r="AE745" s="180"/>
      <c r="AF745" s="180"/>
      <c r="AG745" s="370">
        <f>SUM(AG744:AG744)</f>
        <v>0</v>
      </c>
      <c r="AH745" s="4"/>
      <c r="AI745" s="255"/>
      <c r="AJ745" s="180"/>
      <c r="AK745" s="407"/>
      <c r="AQ745" s="180"/>
      <c r="AR745" s="180"/>
      <c r="AS745" s="180"/>
      <c r="AT745" s="180"/>
      <c r="AU745" s="180"/>
      <c r="AV745" s="180"/>
      <c r="AW745" s="180"/>
    </row>
    <row r="746" spans="1:49" s="193" customFormat="1">
      <c r="A746" s="180"/>
      <c r="B746" s="217" t="s">
        <v>67</v>
      </c>
      <c r="C746" s="207">
        <f>C747+C748</f>
        <v>33</v>
      </c>
      <c r="D746" s="207"/>
      <c r="E746" s="209"/>
      <c r="F746" s="209"/>
      <c r="G746" s="207"/>
      <c r="H746" s="209"/>
      <c r="I746" s="209"/>
      <c r="J746" s="209"/>
      <c r="K746" s="209"/>
      <c r="L746" s="207"/>
      <c r="M746" s="207"/>
      <c r="N746" s="207"/>
      <c r="O746" s="207"/>
      <c r="P746" s="209"/>
      <c r="Q746" s="207"/>
      <c r="R746" s="207"/>
      <c r="S746" s="207"/>
      <c r="T746" s="207"/>
      <c r="U746" s="209"/>
      <c r="V746" s="207"/>
      <c r="W746" s="207"/>
      <c r="X746" s="207"/>
      <c r="Y746" s="210"/>
      <c r="Z746" s="209"/>
      <c r="AA746" s="211"/>
      <c r="AB746" s="209"/>
      <c r="AC746" s="211"/>
      <c r="AD746" s="211"/>
      <c r="AE746" s="211"/>
      <c r="AF746" s="211"/>
      <c r="AG746" s="211"/>
      <c r="AH746" s="4"/>
      <c r="AI746" s="255"/>
      <c r="AJ746" s="180"/>
      <c r="AQ746" s="180"/>
      <c r="AR746" s="180"/>
      <c r="AS746" s="180"/>
      <c r="AT746" s="180"/>
      <c r="AU746" s="180"/>
      <c r="AV746" s="180"/>
      <c r="AW746" s="180"/>
    </row>
    <row r="747" spans="1:49" s="193" customFormat="1">
      <c r="A747" s="180"/>
      <c r="B747" s="238" t="s">
        <v>68</v>
      </c>
      <c r="C747" s="239"/>
      <c r="D747" s="207"/>
      <c r="E747" s="209"/>
      <c r="F747" s="209"/>
      <c r="G747" s="207"/>
      <c r="H747" s="209"/>
      <c r="I747" s="209"/>
      <c r="J747" s="209"/>
      <c r="K747" s="209"/>
      <c r="L747" s="207"/>
      <c r="M747" s="207"/>
      <c r="N747" s="207"/>
      <c r="O747" s="207"/>
      <c r="P747" s="209"/>
      <c r="Q747" s="207"/>
      <c r="R747" s="207"/>
      <c r="S747" s="207"/>
      <c r="T747" s="207"/>
      <c r="U747" s="209"/>
      <c r="V747" s="207"/>
      <c r="W747" s="207"/>
      <c r="X747" s="207"/>
      <c r="Y747" s="210"/>
      <c r="Z747" s="209"/>
      <c r="AA747" s="211"/>
      <c r="AB747" s="209"/>
      <c r="AC747" s="211"/>
      <c r="AD747" s="211"/>
      <c r="AE747" s="211"/>
      <c r="AF747" s="211"/>
      <c r="AG747" s="211"/>
      <c r="AH747" s="4"/>
      <c r="AI747" s="255"/>
      <c r="AJ747" s="180"/>
      <c r="AQ747" s="180"/>
      <c r="AR747" s="180"/>
      <c r="AS747" s="180"/>
      <c r="AT747" s="180"/>
      <c r="AU747" s="180"/>
      <c r="AV747" s="180"/>
      <c r="AW747" s="180"/>
    </row>
    <row r="748" spans="1:49" s="193" customFormat="1">
      <c r="A748" s="180"/>
      <c r="B748" s="238" t="s">
        <v>69</v>
      </c>
      <c r="C748" s="239">
        <f>8+5+6+14</f>
        <v>33</v>
      </c>
      <c r="D748" s="207"/>
      <c r="E748" s="209"/>
      <c r="F748" s="209"/>
      <c r="G748" s="207"/>
      <c r="H748" s="209"/>
      <c r="I748" s="209"/>
      <c r="J748" s="209"/>
      <c r="K748" s="209"/>
      <c r="L748" s="207"/>
      <c r="M748" s="207"/>
      <c r="N748" s="207"/>
      <c r="O748" s="207"/>
      <c r="P748" s="209"/>
      <c r="Q748" s="207"/>
      <c r="R748" s="207"/>
      <c r="S748" s="207"/>
      <c r="T748" s="207"/>
      <c r="U748" s="209"/>
      <c r="V748" s="207"/>
      <c r="W748" s="207"/>
      <c r="X748" s="207"/>
      <c r="Y748" s="210"/>
      <c r="Z748" s="209"/>
      <c r="AA748" s="211"/>
      <c r="AB748" s="209"/>
      <c r="AC748" s="211"/>
      <c r="AD748" s="211"/>
      <c r="AE748" s="211"/>
      <c r="AF748" s="211"/>
      <c r="AG748" s="211"/>
      <c r="AH748" s="4"/>
      <c r="AI748" s="255"/>
      <c r="AJ748" s="180"/>
      <c r="AQ748" s="180"/>
      <c r="AR748" s="180"/>
      <c r="AS748" s="180"/>
      <c r="AT748" s="180"/>
      <c r="AU748" s="180"/>
      <c r="AV748" s="180"/>
      <c r="AW748" s="180"/>
    </row>
    <row r="749" spans="1:49">
      <c r="B749" s="180"/>
      <c r="E749" s="4"/>
      <c r="F749" s="644"/>
      <c r="G749" s="4"/>
      <c r="J749" s="4"/>
      <c r="K749" s="644"/>
      <c r="L749" s="4"/>
      <c r="O749" s="4"/>
      <c r="P749" s="644"/>
      <c r="T749" s="4"/>
      <c r="U749" s="644"/>
      <c r="Y749" s="4"/>
      <c r="Z749" s="644"/>
      <c r="AA749" s="4"/>
      <c r="AB749" s="4"/>
      <c r="AC749" s="4"/>
    </row>
    <row r="750" spans="1:49">
      <c r="A750" s="180"/>
      <c r="B750" s="229"/>
      <c r="C750" s="230"/>
      <c r="D750" s="230"/>
      <c r="E750" s="232"/>
      <c r="F750" s="232"/>
      <c r="G750" s="230"/>
      <c r="H750" s="232"/>
      <c r="I750" s="232"/>
      <c r="J750" s="232"/>
      <c r="K750" s="232"/>
      <c r="L750" s="230"/>
      <c r="M750" s="230"/>
      <c r="N750" s="230"/>
      <c r="O750" s="230"/>
      <c r="P750" s="232"/>
      <c r="Q750" s="230"/>
      <c r="R750" s="230"/>
      <c r="S750" s="230"/>
      <c r="T750" s="230"/>
      <c r="U750" s="232"/>
      <c r="V750" s="230"/>
      <c r="W750" s="230"/>
      <c r="X750" s="230"/>
      <c r="Y750" s="233"/>
      <c r="Z750" s="232"/>
      <c r="AA750" s="234"/>
      <c r="AB750" s="232"/>
      <c r="AC750" s="373"/>
      <c r="AD750" s="236"/>
      <c r="AE750" s="255"/>
      <c r="AF750" s="255"/>
      <c r="AG750" s="255"/>
      <c r="AH750" s="255"/>
      <c r="AJ750" s="255"/>
      <c r="AK750" s="255"/>
      <c r="AL750" s="255"/>
      <c r="AM750" s="255"/>
      <c r="AN750" s="255"/>
      <c r="AO750" s="255"/>
      <c r="AP750" s="255"/>
      <c r="AQ750" s="255"/>
      <c r="AR750" s="255"/>
      <c r="AS750" s="255"/>
      <c r="AT750" s="255"/>
      <c r="AU750" s="255"/>
      <c r="AV750" s="255"/>
      <c r="AW750" s="255"/>
    </row>
    <row r="751" spans="1:49">
      <c r="B751" s="180"/>
      <c r="E751" s="4"/>
      <c r="F751" s="644"/>
      <c r="G751" s="4"/>
      <c r="J751" s="4"/>
      <c r="K751" s="644"/>
      <c r="L751" s="4"/>
      <c r="O751" s="4"/>
      <c r="P751" s="644"/>
      <c r="T751" s="4"/>
      <c r="U751" s="644"/>
      <c r="Y751" s="4"/>
      <c r="Z751" s="644"/>
      <c r="AA751" s="4"/>
      <c r="AB751" s="4"/>
      <c r="AC751" s="4"/>
      <c r="AK751" s="180"/>
      <c r="AL751" s="180"/>
      <c r="AM751" s="180"/>
      <c r="AN751" s="180"/>
      <c r="AO751" s="180"/>
      <c r="AP751" s="180"/>
    </row>
    <row r="752" spans="1:49">
      <c r="A752" s="228"/>
      <c r="B752" s="1518" t="s">
        <v>18</v>
      </c>
      <c r="C752" s="1519">
        <v>45663</v>
      </c>
      <c r="D752" s="1519"/>
      <c r="E752" s="1519"/>
      <c r="F752" s="1519"/>
      <c r="G752" s="365"/>
      <c r="H752" s="1519">
        <v>45664</v>
      </c>
      <c r="I752" s="1519"/>
      <c r="J752" s="1519"/>
      <c r="K752" s="1519"/>
      <c r="L752" s="365"/>
      <c r="M752" s="1519">
        <v>45665</v>
      </c>
      <c r="N752" s="1519"/>
      <c r="O752" s="1519"/>
      <c r="P752" s="1519"/>
      <c r="Q752" s="365"/>
      <c r="R752" s="1519">
        <v>45666</v>
      </c>
      <c r="S752" s="1519"/>
      <c r="T752" s="1519"/>
      <c r="U752" s="1519"/>
      <c r="V752" s="365"/>
      <c r="W752" s="1519">
        <v>45667</v>
      </c>
      <c r="X752" s="1519"/>
      <c r="Y752" s="1519"/>
      <c r="Z752" s="1519"/>
      <c r="AA752" s="1517" t="s">
        <v>19</v>
      </c>
      <c r="AB752" s="1517" t="s">
        <v>20</v>
      </c>
      <c r="AC752" s="4"/>
      <c r="AD752" s="1519"/>
      <c r="AE752" s="1519"/>
      <c r="AF752" s="1519"/>
      <c r="AG752" s="1517" t="s">
        <v>21</v>
      </c>
      <c r="AI752" s="368"/>
      <c r="AK752" s="194" t="s">
        <v>84</v>
      </c>
      <c r="AL752" s="366"/>
      <c r="AM752" s="366"/>
      <c r="AN752" s="366"/>
      <c r="AO752" s="366"/>
      <c r="AP752" s="366"/>
    </row>
    <row r="753" spans="1:49">
      <c r="A753" s="180"/>
      <c r="B753" s="1518"/>
      <c r="C753" s="21" t="s">
        <v>23</v>
      </c>
      <c r="D753" s="21" t="s">
        <v>24</v>
      </c>
      <c r="E753" s="205" t="s">
        <v>25</v>
      </c>
      <c r="F753" s="645" t="s">
        <v>14</v>
      </c>
      <c r="G753" s="4"/>
      <c r="H753" s="21" t="s">
        <v>23</v>
      </c>
      <c r="I753" s="21" t="s">
        <v>24</v>
      </c>
      <c r="J753" s="18" t="s">
        <v>25</v>
      </c>
      <c r="K753" s="645" t="s">
        <v>14</v>
      </c>
      <c r="L753" s="4"/>
      <c r="M753" s="21" t="s">
        <v>23</v>
      </c>
      <c r="N753" s="21" t="s">
        <v>24</v>
      </c>
      <c r="O753" s="18" t="s">
        <v>25</v>
      </c>
      <c r="P753" s="645" t="s">
        <v>14</v>
      </c>
      <c r="R753" s="21" t="s">
        <v>23</v>
      </c>
      <c r="S753" s="21" t="s">
        <v>24</v>
      </c>
      <c r="T753" s="18" t="s">
        <v>25</v>
      </c>
      <c r="U753" s="645" t="s">
        <v>14</v>
      </c>
      <c r="W753" s="21" t="s">
        <v>23</v>
      </c>
      <c r="X753" s="21" t="s">
        <v>24</v>
      </c>
      <c r="Y753" s="18" t="s">
        <v>25</v>
      </c>
      <c r="Z753" s="645" t="s">
        <v>14</v>
      </c>
      <c r="AA753" s="1517"/>
      <c r="AB753" s="1517"/>
      <c r="AC753" s="4"/>
      <c r="AD753" s="21" t="s">
        <v>23</v>
      </c>
      <c r="AE753" s="21" t="s">
        <v>24</v>
      </c>
      <c r="AF753" s="18" t="s">
        <v>25</v>
      </c>
      <c r="AG753" s="1517"/>
      <c r="AI753" s="368"/>
      <c r="AJ753" s="367"/>
      <c r="AK753" s="188" t="s">
        <v>26</v>
      </c>
      <c r="AL753" s="196">
        <f>AA782</f>
        <v>628.04999999999995</v>
      </c>
      <c r="AM753" s="510">
        <v>39.14</v>
      </c>
      <c r="AN753" s="510">
        <f t="shared" ref="AN753:AN756" si="108">AL753*AM753</f>
        <v>24581.876999999997</v>
      </c>
      <c r="AQ753" s="367"/>
      <c r="AR753" s="367"/>
      <c r="AS753" s="367"/>
      <c r="AT753" s="367"/>
      <c r="AU753" s="367"/>
      <c r="AV753" s="367"/>
      <c r="AW753" s="367"/>
    </row>
    <row r="754" spans="1:49">
      <c r="A754" s="180"/>
      <c r="B754" s="4" t="s">
        <v>958</v>
      </c>
      <c r="C754" s="667" t="s">
        <v>960</v>
      </c>
      <c r="D754" s="565"/>
      <c r="E754" s="319">
        <v>0</v>
      </c>
      <c r="F754" s="646"/>
      <c r="G754" s="4"/>
      <c r="H754" s="667" t="s">
        <v>960</v>
      </c>
      <c r="I754" s="565"/>
      <c r="J754" s="319">
        <v>0</v>
      </c>
      <c r="K754" s="646"/>
      <c r="L754" s="4"/>
      <c r="M754" s="667" t="s">
        <v>960</v>
      </c>
      <c r="N754" s="565"/>
      <c r="O754" s="319">
        <v>0</v>
      </c>
      <c r="P754" s="646"/>
      <c r="R754" s="667" t="s">
        <v>960</v>
      </c>
      <c r="S754" s="565"/>
      <c r="T754" s="319">
        <v>0</v>
      </c>
      <c r="U754" s="646"/>
      <c r="W754" s="667" t="s">
        <v>960</v>
      </c>
      <c r="X754" s="565"/>
      <c r="Y754" s="319">
        <v>0</v>
      </c>
      <c r="Z754" s="646"/>
      <c r="AA754" s="328">
        <f t="shared" ref="AA754:AA781" si="109">(E754+J754+O754+T754+Y754)</f>
        <v>0</v>
      </c>
      <c r="AB754" s="298">
        <f t="shared" ref="AB754:AB781" si="110">Z754+U754+P754+K754+F754</f>
        <v>0</v>
      </c>
      <c r="AC754" s="4"/>
      <c r="AD754" s="587"/>
      <c r="AE754" s="531"/>
      <c r="AF754" s="319"/>
      <c r="AG754" s="328">
        <f t="shared" ref="AG754:AG781" si="111">AF754</f>
        <v>0</v>
      </c>
      <c r="AI754" s="368"/>
      <c r="AJ754" s="367"/>
      <c r="AK754" s="188" t="s">
        <v>30</v>
      </c>
      <c r="AL754" s="196">
        <f>AB782</f>
        <v>14.2</v>
      </c>
      <c r="AM754" s="511">
        <f>AM753*1.5</f>
        <v>58.71</v>
      </c>
      <c r="AN754" s="510">
        <f t="shared" si="108"/>
        <v>833.68200000000002</v>
      </c>
      <c r="AQ754" s="367"/>
      <c r="AR754" s="367"/>
      <c r="AS754" s="367"/>
      <c r="AT754" s="367"/>
      <c r="AU754" s="367"/>
      <c r="AV754" s="367"/>
      <c r="AW754" s="367"/>
    </row>
    <row r="755" spans="1:49">
      <c r="A755" s="367"/>
      <c r="B755" s="47" t="s">
        <v>515</v>
      </c>
      <c r="C755" s="47">
        <v>0.375</v>
      </c>
      <c r="D755" s="47">
        <v>0.25</v>
      </c>
      <c r="E755" s="319">
        <v>8</v>
      </c>
      <c r="F755" s="646"/>
      <c r="G755" s="4"/>
      <c r="H755" s="441" t="s">
        <v>75</v>
      </c>
      <c r="I755" s="47">
        <v>0.20833333333333334</v>
      </c>
      <c r="J755" s="319">
        <v>7</v>
      </c>
      <c r="K755" s="646"/>
      <c r="L755" s="4"/>
      <c r="M755" s="441" t="s">
        <v>75</v>
      </c>
      <c r="N755" s="47">
        <v>0.25</v>
      </c>
      <c r="O755" s="319">
        <v>8</v>
      </c>
      <c r="P755" s="646"/>
      <c r="R755" s="667" t="s">
        <v>960</v>
      </c>
      <c r="S755" s="565"/>
      <c r="T755" s="319">
        <v>0</v>
      </c>
      <c r="U755" s="646"/>
      <c r="W755" s="667" t="s">
        <v>960</v>
      </c>
      <c r="X755" s="565"/>
      <c r="Y755" s="319">
        <v>0</v>
      </c>
      <c r="Z755" s="646"/>
      <c r="AA755" s="328">
        <f t="shared" si="109"/>
        <v>23</v>
      </c>
      <c r="AB755" s="298">
        <f t="shared" si="110"/>
        <v>0</v>
      </c>
      <c r="AC755" s="4"/>
      <c r="AF755" s="319"/>
      <c r="AG755" s="328">
        <f t="shared" si="111"/>
        <v>0</v>
      </c>
      <c r="AH755" s="175"/>
      <c r="AI755" s="402"/>
      <c r="AJ755" s="367"/>
      <c r="AK755" s="188" t="s">
        <v>32</v>
      </c>
      <c r="AL755" s="196">
        <f>AG782</f>
        <v>0</v>
      </c>
      <c r="AM755" s="510">
        <v>58.71</v>
      </c>
      <c r="AN755" s="510">
        <f t="shared" si="108"/>
        <v>0</v>
      </c>
      <c r="AQ755" s="367"/>
      <c r="AR755" s="367"/>
      <c r="AS755" s="367"/>
      <c r="AT755" s="367"/>
      <c r="AU755" s="367"/>
      <c r="AV755" s="367"/>
      <c r="AW755" s="367"/>
    </row>
    <row r="756" spans="1:49">
      <c r="A756" s="367"/>
      <c r="B756" s="441" t="s">
        <v>962</v>
      </c>
      <c r="C756" s="667" t="s">
        <v>960</v>
      </c>
      <c r="D756" s="565"/>
      <c r="E756" s="319">
        <v>0</v>
      </c>
      <c r="F756" s="646"/>
      <c r="G756" s="4"/>
      <c r="H756" s="441" t="s">
        <v>75</v>
      </c>
      <c r="I756" s="47">
        <v>0.20833333333333334</v>
      </c>
      <c r="J756" s="319">
        <v>7.5</v>
      </c>
      <c r="K756" s="646"/>
      <c r="L756" s="4"/>
      <c r="M756" s="441" t="s">
        <v>75</v>
      </c>
      <c r="N756" s="47">
        <v>0.25</v>
      </c>
      <c r="O756" s="319">
        <v>8</v>
      </c>
      <c r="P756" s="646"/>
      <c r="R756" s="667" t="s">
        <v>960</v>
      </c>
      <c r="S756" s="565"/>
      <c r="T756" s="319">
        <v>0</v>
      </c>
      <c r="U756" s="646"/>
      <c r="W756" s="441" t="s">
        <v>75</v>
      </c>
      <c r="X756" s="47">
        <v>0.25</v>
      </c>
      <c r="Y756" s="319">
        <v>8</v>
      </c>
      <c r="Z756" s="646"/>
      <c r="AA756" s="328">
        <f t="shared" si="109"/>
        <v>23.5</v>
      </c>
      <c r="AB756" s="298">
        <f t="shared" si="110"/>
        <v>0</v>
      </c>
      <c r="AC756" s="399"/>
      <c r="AD756" s="47"/>
      <c r="AE756" s="47"/>
      <c r="AF756" s="319"/>
      <c r="AG756" s="328">
        <f t="shared" si="111"/>
        <v>0</v>
      </c>
      <c r="AH756" s="175"/>
      <c r="AJ756" s="401"/>
      <c r="AK756" s="403" t="s">
        <v>213</v>
      </c>
      <c r="AL756" s="404">
        <f>AA784</f>
        <v>33</v>
      </c>
      <c r="AM756" s="510">
        <v>51.5</v>
      </c>
      <c r="AN756" s="510">
        <f t="shared" si="108"/>
        <v>1699.5</v>
      </c>
      <c r="AO756" s="405"/>
      <c r="AP756" s="405"/>
      <c r="AQ756" s="367"/>
      <c r="AR756" s="401"/>
      <c r="AS756" s="401"/>
      <c r="AT756" s="401"/>
      <c r="AU756" s="401"/>
      <c r="AV756" s="401"/>
      <c r="AW756" s="401"/>
    </row>
    <row r="757" spans="1:49">
      <c r="A757" s="367"/>
      <c r="B757" s="47" t="s">
        <v>967</v>
      </c>
      <c r="C757" s="667" t="s">
        <v>960</v>
      </c>
      <c r="D757" s="565"/>
      <c r="E757" s="319">
        <v>0</v>
      </c>
      <c r="F757" s="646"/>
      <c r="G757" s="4"/>
      <c r="H757" s="441" t="s">
        <v>75</v>
      </c>
      <c r="I757" s="47">
        <v>0.20833333333333334</v>
      </c>
      <c r="J757" s="319">
        <v>8</v>
      </c>
      <c r="K757" s="646"/>
      <c r="L757" s="4"/>
      <c r="M757" s="441" t="s">
        <v>75</v>
      </c>
      <c r="N757" s="47">
        <v>0.25</v>
      </c>
      <c r="O757" s="319">
        <v>8</v>
      </c>
      <c r="P757" s="646"/>
      <c r="R757" s="441" t="s">
        <v>75</v>
      </c>
      <c r="S757" s="47">
        <v>0.25</v>
      </c>
      <c r="T757" s="319">
        <v>8</v>
      </c>
      <c r="U757" s="646"/>
      <c r="W757" s="441" t="s">
        <v>75</v>
      </c>
      <c r="X757" s="47">
        <v>0.25</v>
      </c>
      <c r="Y757" s="319">
        <v>8</v>
      </c>
      <c r="Z757" s="646"/>
      <c r="AA757" s="328">
        <f t="shared" si="109"/>
        <v>32</v>
      </c>
      <c r="AB757" s="298">
        <f t="shared" si="110"/>
        <v>0</v>
      </c>
      <c r="AC757" s="4"/>
      <c r="AD757" s="47"/>
      <c r="AE757" s="47"/>
      <c r="AF757" s="319"/>
      <c r="AG757" s="328">
        <f t="shared" si="111"/>
        <v>0</v>
      </c>
      <c r="AH757" s="175"/>
      <c r="AI757" s="368"/>
      <c r="AK757" s="188" t="s">
        <v>36</v>
      </c>
      <c r="AL757" s="196">
        <f>AB784</f>
        <v>6.75</v>
      </c>
      <c r="AM757" s="510">
        <f>AM756*1.5</f>
        <v>77.25</v>
      </c>
      <c r="AN757" s="510">
        <f>AL757*AM757</f>
        <v>521.4375</v>
      </c>
      <c r="AQ757" s="367"/>
    </row>
    <row r="758" spans="1:49" s="4" customFormat="1">
      <c r="A758" s="180"/>
      <c r="B758" s="436" t="s">
        <v>972</v>
      </c>
      <c r="C758" s="667" t="s">
        <v>960</v>
      </c>
      <c r="D758" s="565"/>
      <c r="E758" s="319">
        <v>0</v>
      </c>
      <c r="F758" s="646"/>
      <c r="H758" s="441" t="s">
        <v>75</v>
      </c>
      <c r="I758" s="47">
        <v>0.20833333333333334</v>
      </c>
      <c r="J758" s="319">
        <v>8</v>
      </c>
      <c r="K758" s="646"/>
      <c r="M758" s="441" t="s">
        <v>75</v>
      </c>
      <c r="N758" s="47">
        <v>0.25</v>
      </c>
      <c r="O758" s="319">
        <v>8</v>
      </c>
      <c r="P758" s="646"/>
      <c r="R758" s="441" t="s">
        <v>75</v>
      </c>
      <c r="S758" s="47">
        <v>0.25</v>
      </c>
      <c r="T758" s="319">
        <v>8</v>
      </c>
      <c r="U758" s="646"/>
      <c r="W758" s="441" t="s">
        <v>75</v>
      </c>
      <c r="X758" s="47">
        <v>0.25</v>
      </c>
      <c r="Y758" s="319">
        <v>8</v>
      </c>
      <c r="Z758" s="646"/>
      <c r="AA758" s="328">
        <f t="shared" si="109"/>
        <v>32</v>
      </c>
      <c r="AB758" s="298">
        <f t="shared" si="110"/>
        <v>0</v>
      </c>
      <c r="AD758" s="47"/>
      <c r="AE758" s="47"/>
      <c r="AF758" s="319"/>
      <c r="AG758" s="328">
        <f t="shared" si="111"/>
        <v>0</v>
      </c>
      <c r="AI758" s="255"/>
      <c r="AJ758" s="180"/>
      <c r="AK758" s="188" t="s">
        <v>38</v>
      </c>
      <c r="AL758" s="196">
        <f>AG784</f>
        <v>0</v>
      </c>
      <c r="AM758" s="510">
        <v>77.25</v>
      </c>
      <c r="AN758" s="510">
        <f>AL758*AM758</f>
        <v>0</v>
      </c>
      <c r="AO758" s="193"/>
      <c r="AP758" s="193"/>
      <c r="AQ758" s="367"/>
      <c r="AR758" s="180"/>
      <c r="AS758" s="180"/>
      <c r="AT758" s="180"/>
      <c r="AU758" s="180"/>
      <c r="AV758" s="180"/>
      <c r="AW758" s="180"/>
    </row>
    <row r="759" spans="1:49" s="4" customFormat="1">
      <c r="A759" s="180"/>
      <c r="B759" s="47" t="s">
        <v>974</v>
      </c>
      <c r="C759" s="667" t="s">
        <v>960</v>
      </c>
      <c r="D759" s="565"/>
      <c r="E759" s="319">
        <v>0</v>
      </c>
      <c r="F759" s="646"/>
      <c r="H759" s="441" t="s">
        <v>75</v>
      </c>
      <c r="I759" s="47">
        <v>0.20833333333333334</v>
      </c>
      <c r="J759" s="319">
        <v>7.5</v>
      </c>
      <c r="K759" s="646"/>
      <c r="M759" s="441" t="s">
        <v>125</v>
      </c>
      <c r="N759" s="47">
        <v>0.20833333333333334</v>
      </c>
      <c r="O759" s="319">
        <v>8</v>
      </c>
      <c r="P759" s="646"/>
      <c r="R759" s="47">
        <v>0.33333333333333331</v>
      </c>
      <c r="S759" s="47">
        <v>0.25</v>
      </c>
      <c r="T759" s="319">
        <v>8</v>
      </c>
      <c r="U759" s="646"/>
      <c r="W759" s="441" t="s">
        <v>75</v>
      </c>
      <c r="X759" s="47">
        <v>0.25</v>
      </c>
      <c r="Y759" s="319">
        <v>8</v>
      </c>
      <c r="Z759" s="646"/>
      <c r="AA759" s="328">
        <f t="shared" si="109"/>
        <v>31.5</v>
      </c>
      <c r="AB759" s="298">
        <f t="shared" si="110"/>
        <v>0</v>
      </c>
      <c r="AD759" s="47"/>
      <c r="AE759" s="47"/>
      <c r="AF759" s="319"/>
      <c r="AG759" s="328">
        <f t="shared" si="111"/>
        <v>0</v>
      </c>
      <c r="AI759" s="255"/>
      <c r="AJ759" s="180"/>
      <c r="AK759" s="188"/>
      <c r="AL759" s="196"/>
      <c r="AM759" s="510"/>
      <c r="AN759" s="510"/>
      <c r="AO759" s="193"/>
      <c r="AP759" s="193"/>
      <c r="AQ759" s="367"/>
      <c r="AR759" s="180"/>
      <c r="AS759" s="180"/>
      <c r="AT759" s="180"/>
      <c r="AU759" s="180"/>
      <c r="AV759" s="180"/>
      <c r="AW759" s="180"/>
    </row>
    <row r="760" spans="1:49" s="4" customFormat="1">
      <c r="A760" s="180"/>
      <c r="B760" s="47" t="s">
        <v>517</v>
      </c>
      <c r="C760" s="667" t="s">
        <v>960</v>
      </c>
      <c r="D760" s="565"/>
      <c r="E760" s="319">
        <v>0</v>
      </c>
      <c r="F760" s="646"/>
      <c r="H760" s="441" t="s">
        <v>75</v>
      </c>
      <c r="I760" s="47">
        <v>0.20833333333333334</v>
      </c>
      <c r="J760" s="319">
        <v>8</v>
      </c>
      <c r="K760" s="646"/>
      <c r="M760" s="441" t="s">
        <v>75</v>
      </c>
      <c r="N760" s="47">
        <v>0.25</v>
      </c>
      <c r="O760" s="319">
        <v>8</v>
      </c>
      <c r="P760" s="646"/>
      <c r="R760" s="441" t="s">
        <v>75</v>
      </c>
      <c r="S760" s="47">
        <v>0.25</v>
      </c>
      <c r="T760" s="319">
        <v>8</v>
      </c>
      <c r="U760" s="646"/>
      <c r="W760" s="441" t="s">
        <v>75</v>
      </c>
      <c r="X760" s="47">
        <v>0.25</v>
      </c>
      <c r="Y760" s="319">
        <v>8</v>
      </c>
      <c r="Z760" s="646"/>
      <c r="AA760" s="328">
        <f t="shared" si="109"/>
        <v>32</v>
      </c>
      <c r="AB760" s="298">
        <f t="shared" si="110"/>
        <v>0</v>
      </c>
      <c r="AD760" s="47"/>
      <c r="AE760" s="47"/>
      <c r="AF760" s="319"/>
      <c r="AG760" s="328">
        <f t="shared" si="111"/>
        <v>0</v>
      </c>
      <c r="AI760" s="255"/>
      <c r="AJ760" s="180"/>
      <c r="AK760" s="193"/>
      <c r="AL760" s="193"/>
      <c r="AM760" s="193"/>
      <c r="AN760" s="510">
        <f>SUM(AN753:AN758)</f>
        <v>27636.496499999997</v>
      </c>
      <c r="AO760" s="193"/>
      <c r="AP760" s="193"/>
      <c r="AQ760" s="180"/>
      <c r="AR760" s="180"/>
      <c r="AS760" s="180"/>
      <c r="AT760" s="180"/>
      <c r="AU760" s="180"/>
      <c r="AV760" s="180"/>
      <c r="AW760" s="180"/>
    </row>
    <row r="761" spans="1:49" s="4" customFormat="1">
      <c r="A761" s="180"/>
      <c r="B761" s="436" t="s">
        <v>981</v>
      </c>
      <c r="C761" s="667" t="s">
        <v>960</v>
      </c>
      <c r="D761" s="565"/>
      <c r="E761" s="319">
        <v>0</v>
      </c>
      <c r="F761" s="646"/>
      <c r="H761" s="441" t="s">
        <v>75</v>
      </c>
      <c r="I761" s="47">
        <v>0.20833333333333334</v>
      </c>
      <c r="J761" s="319">
        <v>7.65</v>
      </c>
      <c r="K761" s="646"/>
      <c r="M761" s="667" t="s">
        <v>960</v>
      </c>
      <c r="N761" s="565"/>
      <c r="O761" s="319">
        <v>0</v>
      </c>
      <c r="P761" s="646"/>
      <c r="R761" s="441" t="s">
        <v>75</v>
      </c>
      <c r="S761" s="47">
        <v>0.25</v>
      </c>
      <c r="T761" s="319">
        <v>8</v>
      </c>
      <c r="U761" s="646"/>
      <c r="W761" s="441" t="s">
        <v>75</v>
      </c>
      <c r="X761" s="47">
        <v>0.25</v>
      </c>
      <c r="Y761" s="319">
        <v>8</v>
      </c>
      <c r="Z761" s="646"/>
      <c r="AA761" s="328">
        <f t="shared" si="109"/>
        <v>23.65</v>
      </c>
      <c r="AB761" s="298">
        <f t="shared" si="110"/>
        <v>0</v>
      </c>
      <c r="AD761" s="47"/>
      <c r="AE761" s="47"/>
      <c r="AF761" s="319"/>
      <c r="AG761" s="328">
        <f t="shared" si="111"/>
        <v>0</v>
      </c>
      <c r="AI761" s="255"/>
      <c r="AJ761" s="180"/>
      <c r="AK761" s="193"/>
      <c r="AL761" s="193"/>
      <c r="AM761" s="193"/>
      <c r="AN761" s="193"/>
      <c r="AO761" s="193"/>
      <c r="AP761" s="193"/>
      <c r="AQ761" s="180"/>
      <c r="AR761" s="180"/>
      <c r="AS761" s="180"/>
      <c r="AT761" s="180"/>
      <c r="AU761" s="180"/>
      <c r="AV761" s="180"/>
      <c r="AW761" s="180"/>
    </row>
    <row r="762" spans="1:49" s="4" customFormat="1">
      <c r="A762" s="180"/>
      <c r="B762" s="4" t="s">
        <v>976</v>
      </c>
      <c r="C762" s="695" t="s">
        <v>1027</v>
      </c>
      <c r="D762" s="565"/>
      <c r="E762" s="319">
        <v>0</v>
      </c>
      <c r="F762" s="646"/>
      <c r="H762" s="441" t="s">
        <v>75</v>
      </c>
      <c r="I762" s="47">
        <v>0.20833333333333334</v>
      </c>
      <c r="J762" s="319">
        <v>8</v>
      </c>
      <c r="K762" s="646"/>
      <c r="M762" s="441" t="s">
        <v>75</v>
      </c>
      <c r="N762" s="47">
        <v>0.25</v>
      </c>
      <c r="O762" s="319">
        <v>8</v>
      </c>
      <c r="P762" s="646"/>
      <c r="R762" s="441" t="s">
        <v>75</v>
      </c>
      <c r="S762" s="47">
        <v>0.25</v>
      </c>
      <c r="T762" s="319">
        <v>8</v>
      </c>
      <c r="U762" s="646"/>
      <c r="W762" s="441" t="s">
        <v>75</v>
      </c>
      <c r="X762" s="47">
        <v>0.25</v>
      </c>
      <c r="Y762" s="319">
        <v>8</v>
      </c>
      <c r="Z762" s="646"/>
      <c r="AA762" s="328">
        <f t="shared" si="109"/>
        <v>32</v>
      </c>
      <c r="AB762" s="298">
        <f t="shared" si="110"/>
        <v>0</v>
      </c>
      <c r="AD762" s="47"/>
      <c r="AE762" s="47"/>
      <c r="AF762" s="319"/>
      <c r="AG762" s="328">
        <f t="shared" si="111"/>
        <v>0</v>
      </c>
      <c r="AI762" s="255"/>
      <c r="AJ762" s="180"/>
      <c r="AK762" s="193"/>
      <c r="AL762" s="193"/>
      <c r="AM762" s="193"/>
      <c r="AN762" s="193"/>
      <c r="AO762" s="193"/>
      <c r="AP762" s="193"/>
      <c r="AQ762" s="180"/>
      <c r="AR762" s="180"/>
      <c r="AS762" s="180"/>
      <c r="AT762" s="180"/>
      <c r="AU762" s="180"/>
      <c r="AV762" s="180"/>
      <c r="AW762" s="180"/>
    </row>
    <row r="763" spans="1:49" s="4" customFormat="1">
      <c r="A763" s="180"/>
      <c r="B763" s="666" t="s">
        <v>998</v>
      </c>
      <c r="C763" s="667" t="s">
        <v>960</v>
      </c>
      <c r="D763" s="565"/>
      <c r="E763" s="319">
        <v>0</v>
      </c>
      <c r="F763" s="646"/>
      <c r="H763" s="441" t="s">
        <v>75</v>
      </c>
      <c r="I763" s="47">
        <v>0.20833333333333334</v>
      </c>
      <c r="J763" s="319">
        <v>7</v>
      </c>
      <c r="K763" s="646"/>
      <c r="M763" s="441" t="s">
        <v>75</v>
      </c>
      <c r="N763" s="47">
        <v>0.25</v>
      </c>
      <c r="O763" s="319">
        <v>8</v>
      </c>
      <c r="P763" s="646"/>
      <c r="R763" s="441" t="s">
        <v>75</v>
      </c>
      <c r="S763" s="47">
        <v>0.25</v>
      </c>
      <c r="T763" s="319">
        <v>8</v>
      </c>
      <c r="U763" s="646"/>
      <c r="W763" s="441" t="s">
        <v>75</v>
      </c>
      <c r="X763" s="47">
        <v>0.25</v>
      </c>
      <c r="Y763" s="319">
        <v>8</v>
      </c>
      <c r="Z763" s="646"/>
      <c r="AA763" s="328">
        <f t="shared" si="109"/>
        <v>31</v>
      </c>
      <c r="AB763" s="298">
        <f t="shared" si="110"/>
        <v>0</v>
      </c>
      <c r="AD763" s="47"/>
      <c r="AE763" s="47"/>
      <c r="AF763" s="319"/>
      <c r="AG763" s="328">
        <f t="shared" si="111"/>
        <v>0</v>
      </c>
      <c r="AI763" s="255"/>
      <c r="AJ763" s="180"/>
      <c r="AK763" s="193"/>
      <c r="AL763" s="193"/>
      <c r="AM763" s="193"/>
      <c r="AN763" s="193"/>
      <c r="AO763" s="193"/>
      <c r="AP763" s="193"/>
      <c r="AQ763" s="180"/>
      <c r="AR763" s="180"/>
      <c r="AS763" s="180"/>
      <c r="AT763" s="180"/>
      <c r="AU763" s="180"/>
      <c r="AV763" s="180"/>
      <c r="AW763" s="180"/>
    </row>
    <row r="764" spans="1:49" s="4" customFormat="1">
      <c r="A764" s="180"/>
      <c r="B764" s="47" t="s">
        <v>977</v>
      </c>
      <c r="C764" s="667" t="s">
        <v>960</v>
      </c>
      <c r="D764" s="565"/>
      <c r="E764" s="319">
        <v>0</v>
      </c>
      <c r="F764" s="646"/>
      <c r="H764" s="441" t="s">
        <v>75</v>
      </c>
      <c r="I764" s="47">
        <v>0.20833333333333334</v>
      </c>
      <c r="J764" s="319">
        <v>7</v>
      </c>
      <c r="K764" s="646"/>
      <c r="M764" s="441" t="s">
        <v>75</v>
      </c>
      <c r="N764" s="47">
        <v>0.25</v>
      </c>
      <c r="O764" s="319">
        <v>8</v>
      </c>
      <c r="P764" s="646"/>
      <c r="R764" s="667" t="s">
        <v>960</v>
      </c>
      <c r="S764" s="565"/>
      <c r="T764" s="319">
        <v>0</v>
      </c>
      <c r="U764" s="646"/>
      <c r="W764" s="667" t="s">
        <v>960</v>
      </c>
      <c r="X764" s="565"/>
      <c r="Y764" s="319">
        <v>0</v>
      </c>
      <c r="Z764" s="646"/>
      <c r="AA764" s="328">
        <f t="shared" si="109"/>
        <v>15</v>
      </c>
      <c r="AB764" s="298">
        <f t="shared" si="110"/>
        <v>0</v>
      </c>
      <c r="AD764" s="47"/>
      <c r="AE764" s="47"/>
      <c r="AF764" s="319"/>
      <c r="AG764" s="328">
        <f t="shared" si="111"/>
        <v>0</v>
      </c>
      <c r="AI764" s="255"/>
      <c r="AJ764" s="180"/>
      <c r="AK764" s="193"/>
      <c r="AL764" s="193"/>
      <c r="AM764" s="193"/>
      <c r="AN764" s="193"/>
      <c r="AO764" s="193"/>
      <c r="AP764" s="193"/>
      <c r="AQ764" s="180"/>
      <c r="AR764" s="180"/>
      <c r="AS764" s="180"/>
      <c r="AT764" s="180"/>
      <c r="AU764" s="180"/>
      <c r="AV764" s="180"/>
      <c r="AW764" s="180"/>
    </row>
    <row r="765" spans="1:49" s="4" customFormat="1">
      <c r="A765" s="180"/>
      <c r="B765" s="47" t="s">
        <v>986</v>
      </c>
      <c r="C765" s="667" t="s">
        <v>960</v>
      </c>
      <c r="D765" s="565"/>
      <c r="E765" s="319">
        <v>0</v>
      </c>
      <c r="F765" s="646"/>
      <c r="H765" s="667" t="s">
        <v>960</v>
      </c>
      <c r="I765" s="565"/>
      <c r="J765" s="319">
        <v>0</v>
      </c>
      <c r="K765" s="646"/>
      <c r="M765" s="667" t="s">
        <v>960</v>
      </c>
      <c r="N765" s="565"/>
      <c r="O765" s="319">
        <v>0</v>
      </c>
      <c r="P765" s="646"/>
      <c r="R765" s="667" t="s">
        <v>960</v>
      </c>
      <c r="S765" s="565"/>
      <c r="T765" s="319">
        <v>0</v>
      </c>
      <c r="U765" s="646"/>
      <c r="W765" s="667" t="s">
        <v>960</v>
      </c>
      <c r="X765" s="565"/>
      <c r="Y765" s="319">
        <v>0</v>
      </c>
      <c r="Z765" s="646"/>
      <c r="AA765" s="328">
        <f t="shared" si="109"/>
        <v>0</v>
      </c>
      <c r="AB765" s="298">
        <f t="shared" si="110"/>
        <v>0</v>
      </c>
      <c r="AD765" s="47"/>
      <c r="AE765" s="47"/>
      <c r="AF765" s="319"/>
      <c r="AG765" s="328">
        <f t="shared" si="111"/>
        <v>0</v>
      </c>
      <c r="AI765" s="255"/>
      <c r="AJ765" s="180"/>
      <c r="AK765" s="193"/>
      <c r="AL765" s="193"/>
      <c r="AM765" s="193"/>
      <c r="AN765" s="193"/>
      <c r="AO765" s="193"/>
      <c r="AP765" s="193"/>
      <c r="AQ765" s="180"/>
      <c r="AR765" s="180"/>
      <c r="AS765" s="180"/>
      <c r="AT765" s="180"/>
      <c r="AU765" s="180"/>
      <c r="AV765" s="180"/>
      <c r="AW765" s="180"/>
    </row>
    <row r="766" spans="1:49" s="4" customFormat="1">
      <c r="A766" s="180"/>
      <c r="B766" s="436" t="s">
        <v>394</v>
      </c>
      <c r="C766" s="667" t="s">
        <v>960</v>
      </c>
      <c r="D766" s="565"/>
      <c r="E766" s="319">
        <v>0</v>
      </c>
      <c r="F766" s="646"/>
      <c r="H766" s="441" t="s">
        <v>75</v>
      </c>
      <c r="I766" s="47">
        <v>0.20833333333333334</v>
      </c>
      <c r="J766" s="319">
        <v>8</v>
      </c>
      <c r="K766" s="646"/>
      <c r="M766" s="441" t="s">
        <v>75</v>
      </c>
      <c r="N766" s="47">
        <v>0.25</v>
      </c>
      <c r="O766" s="319">
        <v>8</v>
      </c>
      <c r="P766" s="646"/>
      <c r="R766" s="441" t="s">
        <v>75</v>
      </c>
      <c r="S766" s="47">
        <v>0.25</v>
      </c>
      <c r="T766" s="319">
        <v>8</v>
      </c>
      <c r="U766" s="646"/>
      <c r="W766" s="441" t="s">
        <v>75</v>
      </c>
      <c r="X766" s="47">
        <v>0.25</v>
      </c>
      <c r="Y766" s="319">
        <v>8</v>
      </c>
      <c r="Z766" s="646"/>
      <c r="AA766" s="328">
        <f t="shared" si="109"/>
        <v>32</v>
      </c>
      <c r="AB766" s="298">
        <f t="shared" si="110"/>
        <v>0</v>
      </c>
      <c r="AD766" s="47"/>
      <c r="AE766" s="47"/>
      <c r="AF766" s="319"/>
      <c r="AG766" s="328">
        <f t="shared" si="111"/>
        <v>0</v>
      </c>
      <c r="AI766" s="255"/>
      <c r="AJ766" s="180"/>
      <c r="AK766" s="193"/>
      <c r="AL766" s="193"/>
      <c r="AM766" s="193"/>
      <c r="AN766" s="193"/>
      <c r="AO766" s="193"/>
      <c r="AP766" s="193"/>
      <c r="AQ766" s="180"/>
      <c r="AR766" s="180"/>
      <c r="AS766" s="180"/>
      <c r="AT766" s="180"/>
      <c r="AU766" s="180"/>
      <c r="AV766" s="180"/>
      <c r="AW766" s="180"/>
    </row>
    <row r="767" spans="1:49" s="4" customFormat="1">
      <c r="A767" s="180"/>
      <c r="B767" s="47" t="s">
        <v>519</v>
      </c>
      <c r="C767" s="667" t="s">
        <v>960</v>
      </c>
      <c r="D767" s="565"/>
      <c r="E767" s="319">
        <v>0</v>
      </c>
      <c r="F767" s="646"/>
      <c r="H767" s="441" t="s">
        <v>212</v>
      </c>
      <c r="I767" s="47">
        <v>0.20833333333333334</v>
      </c>
      <c r="J767" s="319">
        <v>7</v>
      </c>
      <c r="K767" s="646"/>
      <c r="M767" s="441" t="s">
        <v>212</v>
      </c>
      <c r="N767" s="47">
        <v>0.25</v>
      </c>
      <c r="O767" s="319"/>
      <c r="P767" s="646"/>
      <c r="R767" s="441" t="s">
        <v>75</v>
      </c>
      <c r="S767" s="47">
        <v>0.25</v>
      </c>
      <c r="T767" s="319">
        <v>8</v>
      </c>
      <c r="U767" s="646"/>
      <c r="W767" s="441" t="s">
        <v>125</v>
      </c>
      <c r="X767" s="441" t="s">
        <v>136</v>
      </c>
      <c r="Y767" s="319">
        <v>8</v>
      </c>
      <c r="Z767" s="646"/>
      <c r="AA767" s="328">
        <f t="shared" si="109"/>
        <v>23</v>
      </c>
      <c r="AB767" s="298">
        <f t="shared" si="110"/>
        <v>0</v>
      </c>
      <c r="AD767" s="47"/>
      <c r="AE767" s="47"/>
      <c r="AF767" s="319"/>
      <c r="AG767" s="328">
        <f t="shared" si="111"/>
        <v>0</v>
      </c>
      <c r="AI767" s="255"/>
      <c r="AJ767" s="180"/>
      <c r="AK767" s="193"/>
      <c r="AL767" s="193"/>
      <c r="AM767" s="193"/>
      <c r="AN767" s="193"/>
      <c r="AO767" s="193"/>
      <c r="AP767" s="193"/>
      <c r="AQ767" s="180"/>
      <c r="AR767" s="180"/>
      <c r="AS767" s="180"/>
      <c r="AT767" s="180"/>
      <c r="AU767" s="180"/>
      <c r="AV767" s="180"/>
      <c r="AW767" s="180"/>
    </row>
    <row r="768" spans="1:49" s="4" customFormat="1">
      <c r="A768" s="180"/>
      <c r="B768" s="532" t="s">
        <v>999</v>
      </c>
      <c r="C768" s="695" t="s">
        <v>1027</v>
      </c>
      <c r="D768" s="565"/>
      <c r="E768" s="319"/>
      <c r="F768" s="646"/>
      <c r="H768" s="441" t="s">
        <v>75</v>
      </c>
      <c r="I768" s="47">
        <v>0.20833333333333334</v>
      </c>
      <c r="J768" s="319">
        <v>7</v>
      </c>
      <c r="K768" s="646"/>
      <c r="M768" s="441" t="s">
        <v>75</v>
      </c>
      <c r="N768" s="47">
        <v>0.25</v>
      </c>
      <c r="O768" s="319">
        <v>8</v>
      </c>
      <c r="P768" s="646"/>
      <c r="R768" s="441" t="s">
        <v>75</v>
      </c>
      <c r="S768" s="47">
        <v>0.25</v>
      </c>
      <c r="T768" s="319">
        <v>8</v>
      </c>
      <c r="U768" s="646"/>
      <c r="W768" s="441" t="s">
        <v>75</v>
      </c>
      <c r="X768" s="47">
        <v>0.25</v>
      </c>
      <c r="Y768" s="319">
        <v>8</v>
      </c>
      <c r="Z768" s="646"/>
      <c r="AA768" s="328">
        <f t="shared" si="109"/>
        <v>31</v>
      </c>
      <c r="AB768" s="298">
        <f t="shared" si="110"/>
        <v>0</v>
      </c>
      <c r="AD768" s="47"/>
      <c r="AE768" s="47"/>
      <c r="AF768" s="319"/>
      <c r="AG768" s="328">
        <f t="shared" si="111"/>
        <v>0</v>
      </c>
      <c r="AI768" s="255"/>
      <c r="AJ768" s="180"/>
      <c r="AK768" s="193"/>
      <c r="AL768" s="193"/>
      <c r="AM768" s="193"/>
      <c r="AN768" s="193"/>
      <c r="AO768" s="193"/>
      <c r="AP768" s="193"/>
      <c r="AQ768" s="180"/>
      <c r="AR768" s="180"/>
      <c r="AS768" s="180"/>
      <c r="AT768" s="180"/>
      <c r="AU768" s="180"/>
      <c r="AV768" s="180"/>
      <c r="AW768" s="180"/>
    </row>
    <row r="769" spans="1:49" s="4" customFormat="1">
      <c r="A769" s="180"/>
      <c r="B769" s="502" t="s">
        <v>483</v>
      </c>
      <c r="C769" s="5"/>
      <c r="D769" s="5"/>
      <c r="E769" s="319"/>
      <c r="F769" s="646"/>
      <c r="H769" s="5"/>
      <c r="I769" s="5"/>
      <c r="J769" s="319"/>
      <c r="K769" s="646"/>
      <c r="M769" s="5"/>
      <c r="N769" s="5"/>
      <c r="O769" s="319"/>
      <c r="P769" s="646"/>
      <c r="R769" s="5"/>
      <c r="S769" s="5"/>
      <c r="T769" s="319"/>
      <c r="U769" s="646"/>
      <c r="W769" s="5"/>
      <c r="X769" s="5"/>
      <c r="Y769" s="319"/>
      <c r="Z769" s="646"/>
      <c r="AA769" s="328">
        <f t="shared" si="109"/>
        <v>0</v>
      </c>
      <c r="AB769" s="298">
        <f t="shared" si="110"/>
        <v>0</v>
      </c>
      <c r="AD769" s="47"/>
      <c r="AE769" s="47"/>
      <c r="AF769" s="319"/>
      <c r="AG769" s="328">
        <f t="shared" si="111"/>
        <v>0</v>
      </c>
      <c r="AI769" s="255"/>
      <c r="AJ769" s="180"/>
      <c r="AK769" s="193"/>
      <c r="AL769" s="193"/>
      <c r="AM769" s="193"/>
      <c r="AN769" s="193"/>
      <c r="AO769" s="193"/>
      <c r="AP769" s="193"/>
      <c r="AQ769" s="180"/>
      <c r="AR769" s="180"/>
      <c r="AS769" s="180"/>
      <c r="AT769" s="180"/>
      <c r="AU769" s="180"/>
      <c r="AV769" s="180"/>
      <c r="AW769" s="180"/>
    </row>
    <row r="770" spans="1:49" s="4" customFormat="1">
      <c r="A770" s="180"/>
      <c r="B770" s="502" t="s">
        <v>483</v>
      </c>
      <c r="C770" s="47"/>
      <c r="D770" s="47"/>
      <c r="E770" s="319">
        <v>8</v>
      </c>
      <c r="F770" s="646">
        <v>0.3</v>
      </c>
      <c r="H770" s="47"/>
      <c r="I770" s="47"/>
      <c r="J770" s="319">
        <v>8</v>
      </c>
      <c r="K770" s="646">
        <v>1.3</v>
      </c>
      <c r="M770" s="47"/>
      <c r="N770" s="47"/>
      <c r="O770" s="319">
        <v>8</v>
      </c>
      <c r="P770" s="646">
        <v>0.75</v>
      </c>
      <c r="R770" s="47"/>
      <c r="S770" s="47"/>
      <c r="T770" s="319">
        <v>8</v>
      </c>
      <c r="U770" s="646">
        <v>1.5</v>
      </c>
      <c r="W770" s="47"/>
      <c r="X770" s="47"/>
      <c r="Y770" s="319">
        <v>8</v>
      </c>
      <c r="Z770" s="646">
        <v>0.3</v>
      </c>
      <c r="AA770" s="328">
        <f t="shared" si="109"/>
        <v>40</v>
      </c>
      <c r="AB770" s="298">
        <f t="shared" si="110"/>
        <v>4.1499999999999995</v>
      </c>
      <c r="AD770" s="47"/>
      <c r="AE770" s="47"/>
      <c r="AF770" s="319"/>
      <c r="AG770" s="328">
        <f t="shared" si="111"/>
        <v>0</v>
      </c>
      <c r="AI770" s="255"/>
      <c r="AJ770" s="180"/>
      <c r="AK770" s="193"/>
      <c r="AL770" s="193"/>
      <c r="AM770" s="193"/>
      <c r="AN770" s="193"/>
      <c r="AO770" s="193"/>
      <c r="AP770" s="193"/>
      <c r="AQ770" s="180"/>
      <c r="AR770" s="180"/>
      <c r="AS770" s="180"/>
      <c r="AT770" s="180"/>
      <c r="AU770" s="180"/>
      <c r="AV770" s="180"/>
      <c r="AW770" s="180"/>
    </row>
    <row r="771" spans="1:49" s="4" customFormat="1">
      <c r="A771" s="180"/>
      <c r="B771" s="502" t="s">
        <v>484</v>
      </c>
      <c r="C771" s="47"/>
      <c r="D771" s="47"/>
      <c r="E771" s="319">
        <v>8</v>
      </c>
      <c r="F771" s="646">
        <v>0.3</v>
      </c>
      <c r="H771" s="47"/>
      <c r="I771" s="47"/>
      <c r="J771" s="319">
        <v>8</v>
      </c>
      <c r="K771" s="646">
        <v>1.3</v>
      </c>
      <c r="M771" s="47"/>
      <c r="N771" s="47"/>
      <c r="O771" s="319">
        <v>8</v>
      </c>
      <c r="P771" s="646">
        <v>0.75</v>
      </c>
      <c r="R771" s="47"/>
      <c r="S771" s="47"/>
      <c r="T771" s="319">
        <v>8</v>
      </c>
      <c r="U771" s="646">
        <v>1.5</v>
      </c>
      <c r="W771" s="47"/>
      <c r="X771" s="47"/>
      <c r="Y771" s="319">
        <v>8</v>
      </c>
      <c r="Z771" s="646">
        <v>0.3</v>
      </c>
      <c r="AA771" s="328">
        <f t="shared" si="109"/>
        <v>40</v>
      </c>
      <c r="AB771" s="298">
        <f t="shared" si="110"/>
        <v>4.1499999999999995</v>
      </c>
      <c r="AD771" s="47"/>
      <c r="AE771" s="47"/>
      <c r="AF771" s="319"/>
      <c r="AG771" s="328">
        <f t="shared" si="111"/>
        <v>0</v>
      </c>
      <c r="AI771" s="255"/>
      <c r="AJ771" s="180"/>
      <c r="AK771" s="193"/>
      <c r="AL771" s="193"/>
      <c r="AM771" s="193"/>
      <c r="AN771" s="193"/>
      <c r="AO771" s="193"/>
      <c r="AP771" s="193"/>
      <c r="AQ771" s="180"/>
      <c r="AR771" s="180"/>
      <c r="AS771" s="180"/>
      <c r="AT771" s="180"/>
      <c r="AU771" s="180"/>
      <c r="AV771" s="180"/>
      <c r="AW771" s="180"/>
    </row>
    <row r="772" spans="1:49" s="4" customFormat="1">
      <c r="A772" s="180"/>
      <c r="B772" s="502" t="s">
        <v>485</v>
      </c>
      <c r="C772" s="47"/>
      <c r="D772" s="47"/>
      <c r="E772" s="319">
        <v>8</v>
      </c>
      <c r="F772" s="646">
        <v>0.3</v>
      </c>
      <c r="H772" s="47"/>
      <c r="I772" s="47"/>
      <c r="J772" s="319">
        <v>8</v>
      </c>
      <c r="K772" s="646">
        <v>1.3</v>
      </c>
      <c r="M772" s="47"/>
      <c r="N772" s="47"/>
      <c r="O772" s="319">
        <v>8</v>
      </c>
      <c r="P772" s="646">
        <v>0.75</v>
      </c>
      <c r="R772" s="47"/>
      <c r="S772" s="47"/>
      <c r="T772" s="319">
        <v>8</v>
      </c>
      <c r="U772" s="646">
        <v>1.5</v>
      </c>
      <c r="W772" s="47"/>
      <c r="X772" s="47"/>
      <c r="Y772" s="319">
        <v>8</v>
      </c>
      <c r="Z772" s="646">
        <v>0.3</v>
      </c>
      <c r="AA772" s="328">
        <f t="shared" si="109"/>
        <v>40</v>
      </c>
      <c r="AB772" s="298">
        <f t="shared" si="110"/>
        <v>4.1499999999999995</v>
      </c>
      <c r="AD772" s="47"/>
      <c r="AE772" s="47"/>
      <c r="AF772" s="319"/>
      <c r="AG772" s="328">
        <f t="shared" si="111"/>
        <v>0</v>
      </c>
      <c r="AI772" s="255"/>
      <c r="AJ772" s="180"/>
      <c r="AK772" s="193"/>
      <c r="AL772" s="193"/>
      <c r="AM772" s="193"/>
      <c r="AN772" s="193"/>
      <c r="AO772" s="193"/>
      <c r="AP772" s="193"/>
      <c r="AQ772" s="180"/>
      <c r="AR772" s="180"/>
      <c r="AS772" s="180"/>
      <c r="AT772" s="180"/>
      <c r="AU772" s="180"/>
      <c r="AV772" s="180"/>
      <c r="AW772" s="180"/>
    </row>
    <row r="773" spans="1:49" s="4" customFormat="1">
      <c r="A773" s="180"/>
      <c r="B773" s="502" t="s">
        <v>486</v>
      </c>
      <c r="C773" s="5"/>
      <c r="D773" s="5"/>
      <c r="E773" s="319"/>
      <c r="F773" s="646"/>
      <c r="H773" s="5"/>
      <c r="I773" s="5"/>
      <c r="J773" s="319"/>
      <c r="K773" s="646"/>
      <c r="M773" s="5"/>
      <c r="N773" s="5"/>
      <c r="O773" s="319"/>
      <c r="P773" s="646"/>
      <c r="R773" s="5"/>
      <c r="S773" s="5"/>
      <c r="T773" s="319"/>
      <c r="U773" s="646"/>
      <c r="W773" s="5"/>
      <c r="X773" s="5"/>
      <c r="Y773" s="319"/>
      <c r="Z773" s="646"/>
      <c r="AA773" s="328">
        <f t="shared" si="109"/>
        <v>0</v>
      </c>
      <c r="AB773" s="298">
        <f t="shared" si="110"/>
        <v>0</v>
      </c>
      <c r="AD773" s="47"/>
      <c r="AE773" s="47"/>
      <c r="AF773" s="319"/>
      <c r="AG773" s="328">
        <f t="shared" si="111"/>
        <v>0</v>
      </c>
      <c r="AI773" s="255"/>
      <c r="AJ773" s="180"/>
      <c r="AK773" s="193"/>
      <c r="AL773" s="193"/>
      <c r="AM773" s="193"/>
      <c r="AN773" s="193"/>
      <c r="AO773" s="193"/>
      <c r="AP773" s="193"/>
      <c r="AQ773" s="180"/>
      <c r="AR773" s="180"/>
      <c r="AS773" s="180"/>
      <c r="AT773" s="180"/>
      <c r="AU773" s="180"/>
      <c r="AV773" s="180"/>
      <c r="AW773" s="180"/>
    </row>
    <row r="774" spans="1:49" s="4" customFormat="1" ht="14.25" customHeight="1">
      <c r="A774" s="180"/>
      <c r="B774" s="63" t="s">
        <v>63</v>
      </c>
      <c r="C774" s="663"/>
      <c r="D774" s="663"/>
      <c r="E774" s="319">
        <v>8</v>
      </c>
      <c r="F774" s="646"/>
      <c r="H774" s="663"/>
      <c r="I774" s="663"/>
      <c r="J774" s="319">
        <v>8</v>
      </c>
      <c r="K774" s="646">
        <v>1</v>
      </c>
      <c r="M774" s="47"/>
      <c r="N774" s="47"/>
      <c r="O774" s="319">
        <v>8</v>
      </c>
      <c r="P774" s="646"/>
      <c r="R774" s="663"/>
      <c r="S774" s="663"/>
      <c r="T774" s="319">
        <v>8</v>
      </c>
      <c r="U774" s="646">
        <v>0.75</v>
      </c>
      <c r="W774" s="663"/>
      <c r="X774" s="663"/>
      <c r="Y774" s="319">
        <v>8</v>
      </c>
      <c r="Z774" s="646"/>
      <c r="AA774" s="328">
        <f t="shared" si="109"/>
        <v>40</v>
      </c>
      <c r="AB774" s="298">
        <f t="shared" si="110"/>
        <v>1.75</v>
      </c>
      <c r="AD774" s="47"/>
      <c r="AE774" s="47"/>
      <c r="AF774" s="319"/>
      <c r="AG774" s="328">
        <f t="shared" si="111"/>
        <v>0</v>
      </c>
      <c r="AI774" s="255"/>
      <c r="AJ774" s="180"/>
      <c r="AK774" s="193"/>
      <c r="AL774" s="193"/>
      <c r="AM774" s="193"/>
      <c r="AN774" s="193"/>
      <c r="AO774" s="193"/>
      <c r="AP774" s="193"/>
      <c r="AQ774" s="180"/>
      <c r="AR774" s="180"/>
      <c r="AS774" s="180"/>
      <c r="AT774" s="180"/>
      <c r="AU774" s="180"/>
      <c r="AV774" s="180"/>
      <c r="AW774" s="180"/>
    </row>
    <row r="775" spans="1:49" s="4" customFormat="1">
      <c r="A775" s="180"/>
      <c r="B775" s="267" t="s">
        <v>358</v>
      </c>
      <c r="C775" s="663"/>
      <c r="D775" s="663"/>
      <c r="E775" s="319">
        <v>5</v>
      </c>
      <c r="F775" s="646"/>
      <c r="G775" s="438"/>
      <c r="H775" s="663"/>
      <c r="I775" s="663"/>
      <c r="J775" s="319">
        <v>5</v>
      </c>
      <c r="K775" s="646"/>
      <c r="L775" s="438"/>
      <c r="M775" s="663"/>
      <c r="N775" s="663"/>
      <c r="O775" s="319">
        <v>5</v>
      </c>
      <c r="P775" s="646"/>
      <c r="Q775" s="438"/>
      <c r="R775" s="663"/>
      <c r="S775" s="663"/>
      <c r="T775" s="319">
        <v>5</v>
      </c>
      <c r="U775" s="646"/>
      <c r="V775" s="438"/>
      <c r="W775" s="663"/>
      <c r="X775" s="663"/>
      <c r="Y775" s="319">
        <v>5</v>
      </c>
      <c r="Z775" s="646"/>
      <c r="AA775" s="328">
        <f t="shared" si="109"/>
        <v>25</v>
      </c>
      <c r="AB775" s="298">
        <f t="shared" si="110"/>
        <v>0</v>
      </c>
      <c r="AD775" s="47"/>
      <c r="AE775" s="47"/>
      <c r="AF775" s="319"/>
      <c r="AG775" s="328">
        <f t="shared" si="111"/>
        <v>0</v>
      </c>
      <c r="AI775" s="255"/>
      <c r="AJ775" s="180"/>
      <c r="AK775" s="193"/>
      <c r="AL775" s="193"/>
      <c r="AM775" s="193"/>
      <c r="AN775" s="193"/>
      <c r="AO775" s="193"/>
      <c r="AP775" s="193"/>
      <c r="AQ775" s="180"/>
      <c r="AR775" s="180"/>
      <c r="AS775" s="180"/>
      <c r="AT775" s="180"/>
      <c r="AU775" s="180"/>
      <c r="AV775" s="180"/>
      <c r="AW775" s="180"/>
    </row>
    <row r="776" spans="1:49" s="193" customFormat="1">
      <c r="A776" s="180"/>
      <c r="B776" s="267" t="s">
        <v>991</v>
      </c>
      <c r="C776" s="5"/>
      <c r="D776" s="5"/>
      <c r="E776" s="319"/>
      <c r="F776" s="646"/>
      <c r="G776" s="438"/>
      <c r="H776" s="5"/>
      <c r="I776" s="5"/>
      <c r="J776" s="319"/>
      <c r="K776" s="646"/>
      <c r="L776" s="438"/>
      <c r="M776" s="5"/>
      <c r="N776" s="5"/>
      <c r="O776" s="319"/>
      <c r="P776" s="646"/>
      <c r="Q776" s="438"/>
      <c r="R776" s="5"/>
      <c r="S776" s="5"/>
      <c r="T776" s="319"/>
      <c r="U776" s="646"/>
      <c r="V776" s="438"/>
      <c r="W776" s="5"/>
      <c r="X776" s="5"/>
      <c r="Y776" s="319"/>
      <c r="Z776" s="646"/>
      <c r="AA776" s="328">
        <f t="shared" si="109"/>
        <v>0</v>
      </c>
      <c r="AB776" s="298">
        <f t="shared" si="110"/>
        <v>0</v>
      </c>
      <c r="AC776" s="4"/>
      <c r="AD776" s="47"/>
      <c r="AE776" s="47"/>
      <c r="AF776" s="319"/>
      <c r="AG776" s="328">
        <f t="shared" si="111"/>
        <v>0</v>
      </c>
      <c r="AH776" s="4"/>
      <c r="AI776" s="255"/>
      <c r="AJ776" s="180"/>
      <c r="AQ776" s="180"/>
      <c r="AR776" s="180"/>
      <c r="AS776" s="180"/>
      <c r="AT776" s="180"/>
      <c r="AU776" s="180"/>
      <c r="AV776" s="180"/>
      <c r="AW776" s="180"/>
    </row>
    <row r="777" spans="1:49" s="193" customFormat="1">
      <c r="A777" s="180"/>
      <c r="B777" s="267" t="s">
        <v>411</v>
      </c>
      <c r="C777" s="5"/>
      <c r="D777" s="5"/>
      <c r="E777" s="319"/>
      <c r="F777" s="646"/>
      <c r="G777" s="438"/>
      <c r="H777" s="5"/>
      <c r="I777" s="5"/>
      <c r="J777" s="319"/>
      <c r="K777" s="646"/>
      <c r="L777" s="438"/>
      <c r="M777" s="5"/>
      <c r="N777" s="5"/>
      <c r="O777" s="319"/>
      <c r="P777" s="646"/>
      <c r="Q777" s="438"/>
      <c r="R777" s="5"/>
      <c r="S777" s="5"/>
      <c r="T777" s="319"/>
      <c r="U777" s="646"/>
      <c r="V777" s="438"/>
      <c r="W777" s="5"/>
      <c r="X777" s="5"/>
      <c r="Y777" s="319"/>
      <c r="Z777" s="646"/>
      <c r="AA777" s="328">
        <f t="shared" si="109"/>
        <v>0</v>
      </c>
      <c r="AB777" s="298">
        <f t="shared" si="110"/>
        <v>0</v>
      </c>
      <c r="AC777" s="4"/>
      <c r="AD777" s="47"/>
      <c r="AE777" s="47"/>
      <c r="AF777" s="319"/>
      <c r="AG777" s="328">
        <f t="shared" si="111"/>
        <v>0</v>
      </c>
      <c r="AH777" s="4"/>
      <c r="AI777" s="255"/>
      <c r="AJ777" s="180"/>
      <c r="AQ777" s="180"/>
      <c r="AR777" s="180"/>
      <c r="AS777" s="180"/>
      <c r="AT777" s="180"/>
      <c r="AU777" s="180"/>
      <c r="AV777" s="180"/>
      <c r="AW777" s="180"/>
    </row>
    <row r="778" spans="1:49" s="193" customFormat="1">
      <c r="A778" s="180"/>
      <c r="B778" s="267" t="s">
        <v>361</v>
      </c>
      <c r="C778" s="5"/>
      <c r="D778" s="5"/>
      <c r="E778" s="319"/>
      <c r="F778" s="646"/>
      <c r="G778" s="438"/>
      <c r="H778" s="5"/>
      <c r="I778" s="5"/>
      <c r="J778" s="319"/>
      <c r="K778" s="646"/>
      <c r="L778" s="438"/>
      <c r="M778" s="5"/>
      <c r="N778" s="5"/>
      <c r="O778" s="319"/>
      <c r="P778" s="646"/>
      <c r="Q778" s="438"/>
      <c r="R778" s="5"/>
      <c r="S778" s="5"/>
      <c r="T778" s="319"/>
      <c r="U778" s="646"/>
      <c r="V778" s="438"/>
      <c r="W778" s="5"/>
      <c r="X778" s="5"/>
      <c r="Y778" s="319"/>
      <c r="Z778" s="646"/>
      <c r="AA778" s="328">
        <f t="shared" si="109"/>
        <v>0</v>
      </c>
      <c r="AB778" s="298">
        <f t="shared" si="110"/>
        <v>0</v>
      </c>
      <c r="AC778" s="4"/>
      <c r="AD778" s="47"/>
      <c r="AE778" s="47"/>
      <c r="AF778" s="319"/>
      <c r="AG778" s="328">
        <f t="shared" si="111"/>
        <v>0</v>
      </c>
      <c r="AH778" s="4"/>
      <c r="AI778" s="255"/>
      <c r="AJ778" s="180"/>
      <c r="AQ778" s="180"/>
      <c r="AR778" s="180"/>
      <c r="AS778" s="180"/>
      <c r="AT778" s="180"/>
      <c r="AU778" s="180"/>
      <c r="AV778" s="180"/>
      <c r="AW778" s="180"/>
    </row>
    <row r="779" spans="1:49" s="193" customFormat="1">
      <c r="A779" s="180"/>
      <c r="B779" s="267" t="s">
        <v>362</v>
      </c>
      <c r="C779" s="47"/>
      <c r="D779" s="47"/>
      <c r="E779" s="319">
        <v>2</v>
      </c>
      <c r="F779" s="646"/>
      <c r="G779" s="438"/>
      <c r="H779" s="47"/>
      <c r="I779" s="47"/>
      <c r="J779" s="319">
        <v>2</v>
      </c>
      <c r="K779" s="646"/>
      <c r="L779" s="438"/>
      <c r="M779" s="47"/>
      <c r="N779" s="47"/>
      <c r="O779" s="319">
        <v>2</v>
      </c>
      <c r="P779" s="646"/>
      <c r="Q779" s="438"/>
      <c r="R779" s="47"/>
      <c r="S779" s="47"/>
      <c r="T779" s="319">
        <v>2</v>
      </c>
      <c r="U779" s="646"/>
      <c r="V779" s="438"/>
      <c r="W779" s="5"/>
      <c r="X779" s="5"/>
      <c r="Y779" s="319">
        <v>2</v>
      </c>
      <c r="Z779" s="646"/>
      <c r="AA779" s="328">
        <f t="shared" si="109"/>
        <v>10</v>
      </c>
      <c r="AB779" s="298">
        <f t="shared" si="110"/>
        <v>0</v>
      </c>
      <c r="AC779" s="4"/>
      <c r="AD779" s="47"/>
      <c r="AE779" s="47"/>
      <c r="AF779" s="319"/>
      <c r="AG779" s="328">
        <f t="shared" si="111"/>
        <v>0</v>
      </c>
      <c r="AH779" s="4"/>
      <c r="AI779" s="255"/>
      <c r="AJ779" s="180"/>
      <c r="AQ779" s="180"/>
      <c r="AR779" s="180"/>
      <c r="AS779" s="180"/>
      <c r="AT779" s="180"/>
      <c r="AU779" s="180"/>
      <c r="AV779" s="180"/>
      <c r="AW779" s="180"/>
    </row>
    <row r="780" spans="1:49" s="193" customFormat="1">
      <c r="A780" s="180"/>
      <c r="B780" s="437" t="s">
        <v>355</v>
      </c>
      <c r="C780" s="5"/>
      <c r="D780" s="5"/>
      <c r="E780" s="319">
        <v>7.7</v>
      </c>
      <c r="F780" s="646"/>
      <c r="G780" s="438"/>
      <c r="H780" s="5"/>
      <c r="I780" s="5"/>
      <c r="J780" s="319">
        <v>7.7</v>
      </c>
      <c r="K780" s="646"/>
      <c r="L780" s="438"/>
      <c r="M780" s="5"/>
      <c r="N780" s="5"/>
      <c r="O780" s="319">
        <v>7.7</v>
      </c>
      <c r="P780" s="646"/>
      <c r="Q780" s="438"/>
      <c r="R780" s="5"/>
      <c r="S780" s="5"/>
      <c r="T780" s="319">
        <v>7.7</v>
      </c>
      <c r="U780" s="646"/>
      <c r="V780" s="438"/>
      <c r="W780" s="5"/>
      <c r="X780" s="5"/>
      <c r="Y780" s="319">
        <v>7.7</v>
      </c>
      <c r="Z780" s="646"/>
      <c r="AA780" s="328">
        <f t="shared" si="109"/>
        <v>38.5</v>
      </c>
      <c r="AB780" s="298">
        <f t="shared" si="110"/>
        <v>0</v>
      </c>
      <c r="AC780" s="4"/>
      <c r="AD780" s="47"/>
      <c r="AE780" s="47"/>
      <c r="AF780" s="319"/>
      <c r="AG780" s="328">
        <f t="shared" si="111"/>
        <v>0</v>
      </c>
      <c r="AH780" s="4"/>
      <c r="AI780" s="255"/>
      <c r="AJ780" s="180"/>
      <c r="AQ780" s="180"/>
      <c r="AR780" s="180"/>
      <c r="AS780" s="180"/>
      <c r="AT780" s="180"/>
      <c r="AU780" s="180"/>
      <c r="AV780" s="180"/>
      <c r="AW780" s="180"/>
    </row>
    <row r="781" spans="1:49" s="193" customFormat="1">
      <c r="A781" s="180"/>
      <c r="B781" s="437" t="s">
        <v>356</v>
      </c>
      <c r="C781" s="5"/>
      <c r="D781" s="5"/>
      <c r="E781" s="319"/>
      <c r="F781" s="646"/>
      <c r="G781" s="438"/>
      <c r="H781" s="5"/>
      <c r="I781" s="5"/>
      <c r="J781" s="319">
        <v>18.899999999999999</v>
      </c>
      <c r="K781" s="646"/>
      <c r="L781" s="438"/>
      <c r="M781" s="5"/>
      <c r="N781" s="5"/>
      <c r="O781" s="319">
        <v>14</v>
      </c>
      <c r="P781" s="646"/>
      <c r="Q781" s="438"/>
      <c r="R781" s="5"/>
      <c r="S781" s="5"/>
      <c r="T781" s="319"/>
      <c r="U781" s="646"/>
      <c r="V781" s="438"/>
      <c r="W781" s="5"/>
      <c r="X781" s="5"/>
      <c r="Y781" s="319"/>
      <c r="Z781" s="646"/>
      <c r="AA781" s="328">
        <f t="shared" si="109"/>
        <v>32.9</v>
      </c>
      <c r="AB781" s="298">
        <f t="shared" si="110"/>
        <v>0</v>
      </c>
      <c r="AC781" s="4"/>
      <c r="AD781" s="47"/>
      <c r="AE781" s="47"/>
      <c r="AF781" s="319"/>
      <c r="AG781" s="328">
        <f t="shared" si="111"/>
        <v>0</v>
      </c>
      <c r="AH781" s="4"/>
      <c r="AI781" s="255"/>
      <c r="AJ781" s="180"/>
      <c r="AQ781" s="180"/>
      <c r="AR781" s="180"/>
      <c r="AS781" s="180"/>
      <c r="AT781" s="180"/>
      <c r="AU781" s="180"/>
      <c r="AV781" s="180"/>
      <c r="AW781" s="180"/>
    </row>
    <row r="782" spans="1:49" s="193" customFormat="1">
      <c r="A782" s="180"/>
      <c r="B782" s="64" t="s">
        <v>61</v>
      </c>
      <c r="C782" s="31"/>
      <c r="D782" s="31"/>
      <c r="E782" s="439">
        <f>SUM(E754:E781)</f>
        <v>54.7</v>
      </c>
      <c r="F782" s="646">
        <f>SUM(F754:F781)</f>
        <v>0.89999999999999991</v>
      </c>
      <c r="G782" s="31"/>
      <c r="H782" s="31"/>
      <c r="I782" s="31"/>
      <c r="J782" s="439">
        <f>SUM(J754:J781)</f>
        <v>163.25</v>
      </c>
      <c r="K782" s="646">
        <f>SUM(K754:K781)</f>
        <v>4.9000000000000004</v>
      </c>
      <c r="L782" s="31"/>
      <c r="M782" s="31"/>
      <c r="N782" s="31"/>
      <c r="O782" s="439">
        <f>SUM(O754:O781)</f>
        <v>148.69999999999999</v>
      </c>
      <c r="P782" s="646">
        <f>SUM(P754:P781)</f>
        <v>2.25</v>
      </c>
      <c r="Q782" s="31"/>
      <c r="R782" s="31"/>
      <c r="S782" s="31"/>
      <c r="T782" s="439">
        <f>SUM(T754:T781)</f>
        <v>126.7</v>
      </c>
      <c r="U782" s="646">
        <f>SUM(U754:U781)</f>
        <v>5.25</v>
      </c>
      <c r="V782" s="31"/>
      <c r="W782" s="31"/>
      <c r="X782" s="31"/>
      <c r="Y782" s="439">
        <f>SUM(Y754:Y781)</f>
        <v>134.69999999999999</v>
      </c>
      <c r="Z782" s="646">
        <f>SUM(Z754:Z781)</f>
        <v>0.89999999999999991</v>
      </c>
      <c r="AA782" s="370">
        <f>SUM(AA754:AA781)</f>
        <v>628.04999999999995</v>
      </c>
      <c r="AB782" s="370">
        <f>SUM(AB754:AB781)</f>
        <v>14.2</v>
      </c>
      <c r="AC782" s="4"/>
      <c r="AD782" s="64"/>
      <c r="AE782" s="64"/>
      <c r="AF782" s="370">
        <f>SUM(AF754:AF781)</f>
        <v>0</v>
      </c>
      <c r="AG782" s="370">
        <f>SUM(AG754:AG781)</f>
        <v>0</v>
      </c>
      <c r="AH782" s="4"/>
      <c r="AI782" s="255"/>
      <c r="AJ782" s="180"/>
      <c r="AK782" s="407"/>
      <c r="AQ782" s="180"/>
      <c r="AR782" s="180"/>
      <c r="AS782" s="180"/>
      <c r="AT782" s="180"/>
      <c r="AU782" s="180"/>
      <c r="AV782" s="180"/>
      <c r="AW782" s="180"/>
    </row>
    <row r="783" spans="1:49" s="193" customFormat="1">
      <c r="A783" s="180"/>
      <c r="B783" s="63" t="s">
        <v>64</v>
      </c>
      <c r="C783" s="47"/>
      <c r="D783" s="47"/>
      <c r="E783" s="319">
        <v>7</v>
      </c>
      <c r="F783" s="346">
        <v>2</v>
      </c>
      <c r="G783" s="613"/>
      <c r="H783" s="47"/>
      <c r="I783" s="47"/>
      <c r="J783" s="319">
        <v>7.5</v>
      </c>
      <c r="K783" s="346">
        <v>2</v>
      </c>
      <c r="L783" s="60"/>
      <c r="M783" s="47"/>
      <c r="N783" s="47"/>
      <c r="O783" s="319">
        <v>8</v>
      </c>
      <c r="P783" s="346">
        <v>1</v>
      </c>
      <c r="Q783" s="60"/>
      <c r="R783" s="47"/>
      <c r="S783" s="47"/>
      <c r="T783" s="319">
        <v>3</v>
      </c>
      <c r="U783" s="346">
        <v>1</v>
      </c>
      <c r="V783" s="60"/>
      <c r="W783" s="47"/>
      <c r="X783" s="47"/>
      <c r="Y783" s="319">
        <v>7.5</v>
      </c>
      <c r="Z783" s="346">
        <v>0.75</v>
      </c>
      <c r="AA783" s="28">
        <f>SUM(E783+J783+O783+T783+Y783)</f>
        <v>33</v>
      </c>
      <c r="AB783" s="296">
        <f>Z783+U783+P783+K783+F783</f>
        <v>6.75</v>
      </c>
      <c r="AC783" s="4"/>
      <c r="AD783" s="47" t="s">
        <v>29</v>
      </c>
      <c r="AE783" s="47" t="s">
        <v>29</v>
      </c>
      <c r="AF783" s="319"/>
      <c r="AG783" s="29">
        <f>AF783</f>
        <v>0</v>
      </c>
      <c r="AH783" s="4"/>
      <c r="AI783" s="255"/>
      <c r="AJ783" s="180"/>
      <c r="AK783" s="407"/>
      <c r="AQ783" s="180"/>
      <c r="AR783" s="180"/>
      <c r="AS783" s="180"/>
      <c r="AT783" s="180"/>
      <c r="AU783" s="180"/>
      <c r="AV783" s="180"/>
      <c r="AW783" s="180"/>
    </row>
    <row r="784" spans="1:49" s="193" customFormat="1">
      <c r="A784" s="180"/>
      <c r="B784" s="71" t="s">
        <v>66</v>
      </c>
      <c r="C784" s="371"/>
      <c r="D784" s="371"/>
      <c r="E784" s="71"/>
      <c r="F784" s="613"/>
      <c r="G784" s="71"/>
      <c r="H784" s="71"/>
      <c r="I784" s="71"/>
      <c r="J784" s="71"/>
      <c r="K784" s="613"/>
      <c r="L784" s="71"/>
      <c r="M784" s="71"/>
      <c r="N784" s="71"/>
      <c r="O784" s="71"/>
      <c r="P784" s="613"/>
      <c r="Q784" s="71"/>
      <c r="R784" s="71"/>
      <c r="S784" s="71"/>
      <c r="T784" s="71"/>
      <c r="U784" s="613"/>
      <c r="V784" s="71"/>
      <c r="W784" s="71"/>
      <c r="X784" s="71"/>
      <c r="Y784" s="71"/>
      <c r="Z784" s="613"/>
      <c r="AA784" s="370">
        <f>SUM(AA783:AA783)</f>
        <v>33</v>
      </c>
      <c r="AB784" s="370">
        <f>SUM(AB783:AB783)</f>
        <v>6.75</v>
      </c>
      <c r="AC784" s="4"/>
      <c r="AD784" s="180"/>
      <c r="AE784" s="180"/>
      <c r="AF784" s="180"/>
      <c r="AG784" s="370">
        <f>SUM(AG783:AG783)</f>
        <v>0</v>
      </c>
      <c r="AH784" s="4"/>
      <c r="AI784" s="255"/>
      <c r="AJ784" s="180"/>
      <c r="AK784" s="407"/>
      <c r="AQ784" s="180"/>
      <c r="AR784" s="180"/>
      <c r="AS784" s="180"/>
      <c r="AT784" s="180"/>
      <c r="AU784" s="180"/>
      <c r="AV784" s="180"/>
      <c r="AW784" s="180"/>
    </row>
    <row r="785" spans="1:49" s="193" customFormat="1">
      <c r="A785" s="180"/>
      <c r="B785" s="217" t="s">
        <v>67</v>
      </c>
      <c r="C785" s="207">
        <f>C786+C787</f>
        <v>62</v>
      </c>
      <c r="D785" s="207"/>
      <c r="E785" s="209"/>
      <c r="F785" s="209"/>
      <c r="G785" s="207"/>
      <c r="H785" s="209"/>
      <c r="I785" s="209"/>
      <c r="J785" s="209"/>
      <c r="K785" s="209"/>
      <c r="L785" s="207"/>
      <c r="M785" s="207"/>
      <c r="N785" s="207"/>
      <c r="O785" s="207"/>
      <c r="P785" s="209"/>
      <c r="Q785" s="207"/>
      <c r="R785" s="207"/>
      <c r="S785" s="207"/>
      <c r="T785" s="207"/>
      <c r="U785" s="209"/>
      <c r="V785" s="207"/>
      <c r="W785" s="207"/>
      <c r="X785" s="207"/>
      <c r="Y785" s="210"/>
      <c r="Z785" s="209"/>
      <c r="AA785" s="211"/>
      <c r="AB785" s="209"/>
      <c r="AC785" s="211"/>
      <c r="AD785" s="211"/>
      <c r="AE785" s="211"/>
      <c r="AF785" s="211"/>
      <c r="AG785" s="211"/>
      <c r="AH785" s="4"/>
      <c r="AI785" s="255"/>
      <c r="AJ785" s="180"/>
      <c r="AQ785" s="180"/>
      <c r="AR785" s="180"/>
      <c r="AS785" s="180"/>
      <c r="AT785" s="180"/>
      <c r="AU785" s="180"/>
      <c r="AV785" s="180"/>
      <c r="AW785" s="180"/>
    </row>
    <row r="786" spans="1:49" s="193" customFormat="1">
      <c r="A786" s="180"/>
      <c r="B786" s="238" t="s">
        <v>68</v>
      </c>
      <c r="C786" s="239">
        <f>14+13+12+11</f>
        <v>50</v>
      </c>
      <c r="D786" s="207"/>
      <c r="E786" s="209"/>
      <c r="F786" s="209"/>
      <c r="G786" s="207"/>
      <c r="H786" s="209"/>
      <c r="I786" s="209"/>
      <c r="J786" s="209"/>
      <c r="K786" s="209"/>
      <c r="L786" s="207"/>
      <c r="M786" s="207"/>
      <c r="N786" s="207"/>
      <c r="O786" s="207"/>
      <c r="P786" s="209"/>
      <c r="Q786" s="207"/>
      <c r="R786" s="207"/>
      <c r="S786" s="207"/>
      <c r="T786" s="207"/>
      <c r="U786" s="209"/>
      <c r="V786" s="207"/>
      <c r="W786" s="207"/>
      <c r="X786" s="207"/>
      <c r="Y786" s="210"/>
      <c r="Z786" s="209"/>
      <c r="AA786" s="211"/>
      <c r="AB786" s="209"/>
      <c r="AC786" s="211"/>
      <c r="AD786" s="211"/>
      <c r="AE786" s="211"/>
      <c r="AF786" s="211"/>
      <c r="AG786" s="211"/>
      <c r="AH786" s="4"/>
      <c r="AI786" s="255"/>
      <c r="AJ786" s="180"/>
      <c r="AQ786" s="180"/>
      <c r="AR786" s="180"/>
      <c r="AS786" s="180"/>
      <c r="AT786" s="180"/>
      <c r="AU786" s="180"/>
      <c r="AV786" s="180"/>
      <c r="AW786" s="180"/>
    </row>
    <row r="787" spans="1:49" s="193" customFormat="1">
      <c r="A787" s="180"/>
      <c r="B787" s="238" t="s">
        <v>69</v>
      </c>
      <c r="C787" s="239">
        <f>4+1+1+2+4</f>
        <v>12</v>
      </c>
      <c r="D787" s="207"/>
      <c r="E787" s="209"/>
      <c r="F787" s="209"/>
      <c r="G787" s="207"/>
      <c r="H787" s="209"/>
      <c r="I787" s="209"/>
      <c r="J787" s="209"/>
      <c r="K787" s="209"/>
      <c r="L787" s="207"/>
      <c r="M787" s="207"/>
      <c r="N787" s="207"/>
      <c r="O787" s="207"/>
      <c r="P787" s="209"/>
      <c r="Q787" s="207"/>
      <c r="R787" s="207"/>
      <c r="S787" s="207"/>
      <c r="T787" s="207"/>
      <c r="U787" s="209"/>
      <c r="V787" s="207"/>
      <c r="W787" s="207"/>
      <c r="X787" s="207"/>
      <c r="Y787" s="210"/>
      <c r="Z787" s="209"/>
      <c r="AA787" s="211"/>
      <c r="AB787" s="209"/>
      <c r="AC787" s="211"/>
      <c r="AD787" s="211"/>
      <c r="AE787" s="211"/>
      <c r="AF787" s="211"/>
      <c r="AG787" s="211"/>
      <c r="AH787" s="4"/>
      <c r="AI787" s="255"/>
      <c r="AJ787" s="180"/>
      <c r="AQ787" s="180"/>
      <c r="AR787" s="180"/>
      <c r="AS787" s="180"/>
      <c r="AT787" s="180"/>
      <c r="AU787" s="180"/>
      <c r="AV787" s="180"/>
      <c r="AW787" s="180"/>
    </row>
    <row r="788" spans="1:49">
      <c r="B788" s="180"/>
      <c r="E788" s="4"/>
      <c r="F788" s="644"/>
      <c r="G788" s="4"/>
      <c r="J788" s="4"/>
      <c r="K788" s="644"/>
      <c r="L788" s="4"/>
      <c r="O788" s="4"/>
      <c r="P788" s="644"/>
      <c r="T788" s="4"/>
      <c r="U788" s="644"/>
      <c r="Y788" s="4"/>
      <c r="Z788" s="644"/>
      <c r="AA788" s="4"/>
      <c r="AB788" s="4"/>
      <c r="AC788" s="4"/>
    </row>
    <row r="789" spans="1:49">
      <c r="A789" s="180"/>
      <c r="B789" s="229"/>
      <c r="C789" s="230"/>
      <c r="D789" s="230"/>
      <c r="E789" s="232"/>
      <c r="F789" s="232"/>
      <c r="G789" s="230"/>
      <c r="H789" s="232"/>
      <c r="I789" s="232"/>
      <c r="J789" s="232"/>
      <c r="K789" s="232"/>
      <c r="L789" s="230"/>
      <c r="M789" s="230"/>
      <c r="N789" s="230"/>
      <c r="O789" s="230"/>
      <c r="P789" s="232"/>
      <c r="Q789" s="230"/>
      <c r="R789" s="230"/>
      <c r="S789" s="230"/>
      <c r="T789" s="230"/>
      <c r="U789" s="232"/>
      <c r="V789" s="230"/>
      <c r="W789" s="230"/>
      <c r="X789" s="230"/>
      <c r="Y789" s="233"/>
      <c r="Z789" s="232"/>
      <c r="AA789" s="234"/>
      <c r="AB789" s="232"/>
      <c r="AC789" s="373"/>
      <c r="AD789" s="236"/>
      <c r="AE789" s="255"/>
      <c r="AF789" s="255"/>
      <c r="AG789" s="255"/>
      <c r="AH789" s="255"/>
      <c r="AJ789" s="255"/>
      <c r="AK789" s="255"/>
      <c r="AL789" s="255"/>
      <c r="AM789" s="255"/>
      <c r="AN789" s="255"/>
      <c r="AO789" s="255"/>
      <c r="AP789" s="255"/>
      <c r="AQ789" s="255"/>
      <c r="AR789" s="255"/>
      <c r="AS789" s="255"/>
      <c r="AT789" s="255"/>
      <c r="AU789" s="255"/>
      <c r="AV789" s="255"/>
      <c r="AW789" s="255"/>
    </row>
    <row r="790" spans="1:49">
      <c r="B790" s="180"/>
      <c r="E790" s="4"/>
      <c r="F790" s="644"/>
      <c r="G790" s="4"/>
      <c r="J790" s="4"/>
      <c r="K790" s="644"/>
      <c r="L790" s="4"/>
      <c r="O790" s="4"/>
      <c r="P790" s="644"/>
      <c r="T790" s="4"/>
      <c r="U790" s="644"/>
      <c r="Y790" s="4"/>
      <c r="Z790" s="644"/>
      <c r="AA790" s="4"/>
      <c r="AB790" s="4"/>
      <c r="AC790" s="4"/>
      <c r="AK790" s="180"/>
      <c r="AL790" s="180"/>
      <c r="AM790" s="180"/>
      <c r="AN790" s="180"/>
      <c r="AO790" s="180"/>
      <c r="AP790" s="180"/>
    </row>
    <row r="791" spans="1:49">
      <c r="A791" s="228"/>
      <c r="B791" s="1518" t="s">
        <v>18</v>
      </c>
      <c r="C791" s="1519">
        <v>45670</v>
      </c>
      <c r="D791" s="1519"/>
      <c r="E791" s="1519"/>
      <c r="F791" s="1519"/>
      <c r="G791" s="365"/>
      <c r="H791" s="1519">
        <v>45671</v>
      </c>
      <c r="I791" s="1519"/>
      <c r="J791" s="1519"/>
      <c r="K791" s="1519"/>
      <c r="L791" s="365"/>
      <c r="M791" s="1519">
        <v>45672</v>
      </c>
      <c r="N791" s="1519"/>
      <c r="O791" s="1519"/>
      <c r="P791" s="1519"/>
      <c r="Q791" s="365"/>
      <c r="R791" s="1519">
        <v>45673</v>
      </c>
      <c r="S791" s="1519"/>
      <c r="T791" s="1519"/>
      <c r="U791" s="1519"/>
      <c r="V791" s="365"/>
      <c r="W791" s="1519">
        <v>45674</v>
      </c>
      <c r="X791" s="1519"/>
      <c r="Y791" s="1519"/>
      <c r="Z791" s="1519"/>
      <c r="AA791" s="1517" t="s">
        <v>19</v>
      </c>
      <c r="AB791" s="1517" t="s">
        <v>20</v>
      </c>
      <c r="AC791" s="4"/>
      <c r="AD791" s="1519"/>
      <c r="AE791" s="1519"/>
      <c r="AF791" s="1519"/>
      <c r="AG791" s="1517" t="s">
        <v>21</v>
      </c>
      <c r="AI791" s="368"/>
      <c r="AK791" s="194" t="s">
        <v>84</v>
      </c>
      <c r="AL791" s="366"/>
      <c r="AM791" s="366"/>
      <c r="AN791" s="366"/>
      <c r="AO791" s="366"/>
      <c r="AP791" s="366"/>
    </row>
    <row r="792" spans="1:49">
      <c r="A792" s="180"/>
      <c r="B792" s="1518"/>
      <c r="C792" s="21" t="s">
        <v>23</v>
      </c>
      <c r="D792" s="21" t="s">
        <v>24</v>
      </c>
      <c r="E792" s="205" t="s">
        <v>25</v>
      </c>
      <c r="F792" s="645" t="s">
        <v>14</v>
      </c>
      <c r="G792" s="4"/>
      <c r="H792" s="21" t="s">
        <v>23</v>
      </c>
      <c r="I792" s="21" t="s">
        <v>24</v>
      </c>
      <c r="J792" s="18" t="s">
        <v>25</v>
      </c>
      <c r="K792" s="645" t="s">
        <v>14</v>
      </c>
      <c r="L792" s="4"/>
      <c r="M792" s="21" t="s">
        <v>23</v>
      </c>
      <c r="N792" s="21" t="s">
        <v>24</v>
      </c>
      <c r="O792" s="18" t="s">
        <v>25</v>
      </c>
      <c r="P792" s="645" t="s">
        <v>14</v>
      </c>
      <c r="R792" s="21" t="s">
        <v>23</v>
      </c>
      <c r="S792" s="21" t="s">
        <v>24</v>
      </c>
      <c r="T792" s="18" t="s">
        <v>25</v>
      </c>
      <c r="U792" s="645" t="s">
        <v>14</v>
      </c>
      <c r="W792" s="21" t="s">
        <v>23</v>
      </c>
      <c r="X792" s="21" t="s">
        <v>24</v>
      </c>
      <c r="Y792" s="18" t="s">
        <v>25</v>
      </c>
      <c r="Z792" s="645" t="s">
        <v>14</v>
      </c>
      <c r="AA792" s="1517"/>
      <c r="AB792" s="1517"/>
      <c r="AC792" s="4"/>
      <c r="AD792" s="21" t="s">
        <v>23</v>
      </c>
      <c r="AE792" s="21" t="s">
        <v>24</v>
      </c>
      <c r="AF792" s="18" t="s">
        <v>25</v>
      </c>
      <c r="AG792" s="1517"/>
      <c r="AI792" s="368"/>
      <c r="AJ792" s="367"/>
      <c r="AK792" s="188" t="s">
        <v>26</v>
      </c>
      <c r="AL792" s="196">
        <f>AA820</f>
        <v>657.5</v>
      </c>
      <c r="AM792" s="510">
        <v>39.14</v>
      </c>
      <c r="AN792" s="510">
        <f t="shared" ref="AN792:AN795" si="112">AL792*AM792</f>
        <v>25734.55</v>
      </c>
      <c r="AQ792" s="367"/>
      <c r="AR792" s="367"/>
      <c r="AS792" s="367"/>
      <c r="AT792" s="367"/>
      <c r="AU792" s="367"/>
      <c r="AV792" s="367"/>
      <c r="AW792" s="367"/>
    </row>
    <row r="793" spans="1:49">
      <c r="A793" s="180"/>
      <c r="B793" s="4" t="s">
        <v>958</v>
      </c>
      <c r="C793" s="667" t="s">
        <v>960</v>
      </c>
      <c r="D793" s="565"/>
      <c r="E793" s="319">
        <v>0</v>
      </c>
      <c r="F793" s="646"/>
      <c r="G793" s="4"/>
      <c r="H793" s="667" t="s">
        <v>960</v>
      </c>
      <c r="I793" s="565"/>
      <c r="J793" s="319">
        <v>0</v>
      </c>
      <c r="K793" s="646"/>
      <c r="L793" s="4"/>
      <c r="M793" s="667" t="s">
        <v>960</v>
      </c>
      <c r="N793" s="565"/>
      <c r="O793" s="319">
        <v>0</v>
      </c>
      <c r="P793" s="646"/>
      <c r="R793" s="441" t="s">
        <v>75</v>
      </c>
      <c r="S793" s="47">
        <v>0.25</v>
      </c>
      <c r="T793" s="319">
        <v>8</v>
      </c>
      <c r="U793" s="646"/>
      <c r="W793" s="47">
        <v>0.39583333333333331</v>
      </c>
      <c r="X793" s="47">
        <v>0.25</v>
      </c>
      <c r="Y793" s="319">
        <v>7.5</v>
      </c>
      <c r="Z793" s="646"/>
      <c r="AA793" s="328">
        <f t="shared" ref="AA793:AA819" si="113">(E793+J793+O793+T793+Y793)</f>
        <v>15.5</v>
      </c>
      <c r="AB793" s="298">
        <f t="shared" ref="AB793:AB819" si="114">Z793+U793+P793+K793+F793</f>
        <v>0</v>
      </c>
      <c r="AC793" s="4"/>
      <c r="AD793" s="587"/>
      <c r="AE793" s="531"/>
      <c r="AF793" s="319"/>
      <c r="AG793" s="328">
        <f t="shared" ref="AG793:AG819" si="115">AF793</f>
        <v>0</v>
      </c>
      <c r="AI793" s="368"/>
      <c r="AJ793" s="367"/>
      <c r="AK793" s="188" t="s">
        <v>30</v>
      </c>
      <c r="AL793" s="196">
        <f>AB820</f>
        <v>11.5</v>
      </c>
      <c r="AM793" s="511">
        <f>AM792*1.5</f>
        <v>58.71</v>
      </c>
      <c r="AN793" s="510">
        <f t="shared" si="112"/>
        <v>675.16499999999996</v>
      </c>
      <c r="AQ793" s="367"/>
      <c r="AR793" s="367"/>
      <c r="AS793" s="367"/>
      <c r="AT793" s="367"/>
      <c r="AU793" s="367"/>
      <c r="AV793" s="367"/>
      <c r="AW793" s="367"/>
    </row>
    <row r="794" spans="1:49">
      <c r="A794" s="367"/>
      <c r="B794" s="47" t="s">
        <v>515</v>
      </c>
      <c r="C794" s="441" t="s">
        <v>75</v>
      </c>
      <c r="D794" s="47">
        <v>0.25</v>
      </c>
      <c r="E794" s="319">
        <v>8</v>
      </c>
      <c r="F794" s="646"/>
      <c r="G794" s="4"/>
      <c r="H794" s="441" t="s">
        <v>75</v>
      </c>
      <c r="I794" s="47">
        <v>0.25</v>
      </c>
      <c r="J794" s="319">
        <v>8</v>
      </c>
      <c r="K794" s="646"/>
      <c r="L794" s="4"/>
      <c r="M794" s="441" t="s">
        <v>75</v>
      </c>
      <c r="N794" s="47">
        <v>0.25</v>
      </c>
      <c r="O794" s="319">
        <v>8</v>
      </c>
      <c r="P794" s="646"/>
      <c r="R794" s="667" t="s">
        <v>960</v>
      </c>
      <c r="S794" s="565"/>
      <c r="T794" s="319">
        <v>0</v>
      </c>
      <c r="U794" s="646"/>
      <c r="W794" s="667" t="s">
        <v>960</v>
      </c>
      <c r="X794" s="565"/>
      <c r="Y794" s="319">
        <v>0</v>
      </c>
      <c r="Z794" s="646"/>
      <c r="AA794" s="328">
        <f t="shared" si="113"/>
        <v>24</v>
      </c>
      <c r="AB794" s="298">
        <f t="shared" si="114"/>
        <v>0</v>
      </c>
      <c r="AC794" s="4"/>
      <c r="AF794" s="319"/>
      <c r="AG794" s="328">
        <f t="shared" si="115"/>
        <v>0</v>
      </c>
      <c r="AH794" s="175"/>
      <c r="AI794" s="402"/>
      <c r="AJ794" s="367"/>
      <c r="AK794" s="188" t="s">
        <v>32</v>
      </c>
      <c r="AL794" s="196">
        <f>AG820</f>
        <v>0</v>
      </c>
      <c r="AM794" s="510">
        <v>58.71</v>
      </c>
      <c r="AN794" s="510">
        <f t="shared" si="112"/>
        <v>0</v>
      </c>
      <c r="AQ794" s="367"/>
      <c r="AR794" s="367"/>
      <c r="AS794" s="367"/>
      <c r="AT794" s="367"/>
      <c r="AU794" s="367"/>
      <c r="AV794" s="367"/>
      <c r="AW794" s="367"/>
    </row>
    <row r="795" spans="1:49">
      <c r="A795" s="367"/>
      <c r="B795" s="441" t="s">
        <v>962</v>
      </c>
      <c r="C795" s="441" t="s">
        <v>75</v>
      </c>
      <c r="D795" s="47">
        <v>0.25</v>
      </c>
      <c r="E795" s="319">
        <v>8</v>
      </c>
      <c r="F795" s="646"/>
      <c r="G795" s="4"/>
      <c r="H795" s="441" t="s">
        <v>75</v>
      </c>
      <c r="I795" s="47">
        <v>0.25</v>
      </c>
      <c r="J795" s="319">
        <v>8</v>
      </c>
      <c r="K795" s="646"/>
      <c r="L795" s="4"/>
      <c r="M795" s="441" t="s">
        <v>75</v>
      </c>
      <c r="N795" s="47">
        <v>0.25</v>
      </c>
      <c r="O795" s="319">
        <v>8</v>
      </c>
      <c r="P795" s="646"/>
      <c r="R795" s="441" t="s">
        <v>75</v>
      </c>
      <c r="S795" s="47">
        <v>0.25</v>
      </c>
      <c r="T795" s="319">
        <v>8</v>
      </c>
      <c r="U795" s="646"/>
      <c r="W795" s="441" t="s">
        <v>75</v>
      </c>
      <c r="X795" s="47">
        <v>0.25</v>
      </c>
      <c r="Y795" s="319">
        <v>8</v>
      </c>
      <c r="Z795" s="646"/>
      <c r="AA795" s="328">
        <f t="shared" si="113"/>
        <v>40</v>
      </c>
      <c r="AB795" s="298">
        <f t="shared" si="114"/>
        <v>0</v>
      </c>
      <c r="AC795" s="399"/>
      <c r="AD795" s="47"/>
      <c r="AE795" s="47"/>
      <c r="AF795" s="319"/>
      <c r="AG795" s="328">
        <f t="shared" si="115"/>
        <v>0</v>
      </c>
      <c r="AH795" s="175"/>
      <c r="AJ795" s="401"/>
      <c r="AK795" s="403" t="s">
        <v>213</v>
      </c>
      <c r="AL795" s="404">
        <f>AA822</f>
        <v>38</v>
      </c>
      <c r="AM795" s="510">
        <v>51.5</v>
      </c>
      <c r="AN795" s="510">
        <f t="shared" si="112"/>
        <v>1957</v>
      </c>
      <c r="AO795" s="405"/>
      <c r="AP795" s="405"/>
      <c r="AQ795" s="367"/>
      <c r="AR795" s="401"/>
      <c r="AS795" s="401"/>
      <c r="AT795" s="401"/>
      <c r="AU795" s="401"/>
      <c r="AV795" s="401"/>
      <c r="AW795" s="401"/>
    </row>
    <row r="796" spans="1:49">
      <c r="A796" s="367"/>
      <c r="B796" s="47" t="s">
        <v>967</v>
      </c>
      <c r="C796" s="441" t="s">
        <v>75</v>
      </c>
      <c r="D796" s="47">
        <v>0.25</v>
      </c>
      <c r="E796" s="319">
        <v>8</v>
      </c>
      <c r="F796" s="646"/>
      <c r="G796" s="4"/>
      <c r="H796" s="441" t="s">
        <v>75</v>
      </c>
      <c r="I796" s="47">
        <v>0.25</v>
      </c>
      <c r="J796" s="319">
        <v>8</v>
      </c>
      <c r="K796" s="646"/>
      <c r="L796" s="4"/>
      <c r="M796" s="441" t="s">
        <v>75</v>
      </c>
      <c r="N796" s="47">
        <v>0.25</v>
      </c>
      <c r="O796" s="319">
        <v>8</v>
      </c>
      <c r="P796" s="646"/>
      <c r="R796" s="441" t="s">
        <v>75</v>
      </c>
      <c r="S796" s="47">
        <v>0.25</v>
      </c>
      <c r="T796" s="319">
        <v>8</v>
      </c>
      <c r="U796" s="646"/>
      <c r="W796" s="441" t="s">
        <v>75</v>
      </c>
      <c r="X796" s="47">
        <v>0.25</v>
      </c>
      <c r="Y796" s="319">
        <v>8</v>
      </c>
      <c r="Z796" s="646"/>
      <c r="AA796" s="328">
        <f t="shared" si="113"/>
        <v>40</v>
      </c>
      <c r="AB796" s="298">
        <f t="shared" si="114"/>
        <v>0</v>
      </c>
      <c r="AC796" s="4"/>
      <c r="AD796" s="47"/>
      <c r="AE796" s="47"/>
      <c r="AF796" s="319"/>
      <c r="AG796" s="328">
        <f t="shared" si="115"/>
        <v>0</v>
      </c>
      <c r="AH796" s="175"/>
      <c r="AI796" s="368"/>
      <c r="AK796" s="188" t="s">
        <v>36</v>
      </c>
      <c r="AL796" s="196">
        <f>AB822</f>
        <v>2</v>
      </c>
      <c r="AM796" s="510">
        <f>AM795*1.5</f>
        <v>77.25</v>
      </c>
      <c r="AN796" s="510">
        <f>AL796*AM796</f>
        <v>154.5</v>
      </c>
      <c r="AQ796" s="367"/>
    </row>
    <row r="797" spans="1:49" s="4" customFormat="1">
      <c r="A797" s="180"/>
      <c r="B797" s="436" t="s">
        <v>972</v>
      </c>
      <c r="C797" s="441" t="s">
        <v>75</v>
      </c>
      <c r="D797" s="47">
        <v>0.25</v>
      </c>
      <c r="E797" s="319">
        <v>8</v>
      </c>
      <c r="F797" s="646"/>
      <c r="H797" s="441" t="s">
        <v>1028</v>
      </c>
      <c r="I797" s="47">
        <v>0.25</v>
      </c>
      <c r="J797" s="319">
        <v>7.5</v>
      </c>
      <c r="K797" s="646"/>
      <c r="M797" s="441" t="s">
        <v>75</v>
      </c>
      <c r="N797" s="47">
        <v>0.25</v>
      </c>
      <c r="O797" s="319">
        <v>8</v>
      </c>
      <c r="P797" s="646"/>
      <c r="R797" s="441" t="s">
        <v>75</v>
      </c>
      <c r="S797" s="47">
        <v>0.25</v>
      </c>
      <c r="T797" s="319">
        <v>8</v>
      </c>
      <c r="U797" s="646"/>
      <c r="W797" s="441" t="s">
        <v>75</v>
      </c>
      <c r="X797" s="47">
        <v>0.25</v>
      </c>
      <c r="Y797" s="319">
        <v>8</v>
      </c>
      <c r="Z797" s="646"/>
      <c r="AA797" s="328">
        <f t="shared" si="113"/>
        <v>39.5</v>
      </c>
      <c r="AB797" s="298">
        <f t="shared" si="114"/>
        <v>0</v>
      </c>
      <c r="AD797" s="47"/>
      <c r="AE797" s="47"/>
      <c r="AF797" s="319"/>
      <c r="AG797" s="328">
        <f t="shared" si="115"/>
        <v>0</v>
      </c>
      <c r="AI797" s="255"/>
      <c r="AJ797" s="180"/>
      <c r="AK797" s="188" t="s">
        <v>38</v>
      </c>
      <c r="AL797" s="196">
        <f>AG822</f>
        <v>0</v>
      </c>
      <c r="AM797" s="510">
        <v>77.25</v>
      </c>
      <c r="AN797" s="510">
        <f>AL797*AM797</f>
        <v>0</v>
      </c>
      <c r="AO797" s="193"/>
      <c r="AP797" s="193"/>
      <c r="AQ797" s="367"/>
      <c r="AR797" s="180"/>
      <c r="AS797" s="180"/>
      <c r="AT797" s="180"/>
      <c r="AU797" s="180"/>
      <c r="AV797" s="180"/>
      <c r="AW797" s="180"/>
    </row>
    <row r="798" spans="1:49" s="4" customFormat="1">
      <c r="A798" s="180"/>
      <c r="B798" s="47" t="s">
        <v>974</v>
      </c>
      <c r="C798" s="441" t="s">
        <v>75</v>
      </c>
      <c r="D798" s="47">
        <v>0.25</v>
      </c>
      <c r="E798" s="319">
        <v>8</v>
      </c>
      <c r="F798" s="646"/>
      <c r="H798" s="441" t="s">
        <v>75</v>
      </c>
      <c r="I798" s="47">
        <v>0.25</v>
      </c>
      <c r="J798" s="319">
        <v>8</v>
      </c>
      <c r="K798" s="646"/>
      <c r="M798" s="441" t="s">
        <v>75</v>
      </c>
      <c r="N798" s="47">
        <v>0.25</v>
      </c>
      <c r="O798" s="319">
        <v>8</v>
      </c>
      <c r="P798" s="646"/>
      <c r="R798" s="441" t="s">
        <v>75</v>
      </c>
      <c r="S798" s="47">
        <v>0.25</v>
      </c>
      <c r="T798" s="319">
        <v>8</v>
      </c>
      <c r="U798" s="646"/>
      <c r="W798" s="47">
        <v>0.33333333333333331</v>
      </c>
      <c r="X798" s="47">
        <v>0.20833333333333334</v>
      </c>
      <c r="Y798" s="319">
        <v>8</v>
      </c>
      <c r="Z798" s="646"/>
      <c r="AA798" s="328">
        <f t="shared" si="113"/>
        <v>40</v>
      </c>
      <c r="AB798" s="298">
        <f t="shared" si="114"/>
        <v>0</v>
      </c>
      <c r="AD798" s="47"/>
      <c r="AE798" s="47"/>
      <c r="AF798" s="319"/>
      <c r="AG798" s="328">
        <f t="shared" si="115"/>
        <v>0</v>
      </c>
      <c r="AI798" s="255"/>
      <c r="AJ798" s="180"/>
      <c r="AK798" s="188"/>
      <c r="AL798" s="196"/>
      <c r="AM798" s="510"/>
      <c r="AN798" s="510"/>
      <c r="AO798" s="193"/>
      <c r="AP798" s="193"/>
      <c r="AQ798" s="367"/>
      <c r="AR798" s="180"/>
      <c r="AS798" s="180"/>
      <c r="AT798" s="180"/>
      <c r="AU798" s="180"/>
      <c r="AV798" s="180"/>
      <c r="AW798" s="180"/>
    </row>
    <row r="799" spans="1:49" s="4" customFormat="1">
      <c r="A799" s="180"/>
      <c r="B799" s="47" t="s">
        <v>517</v>
      </c>
      <c r="C799" s="667" t="s">
        <v>960</v>
      </c>
      <c r="D799" s="565"/>
      <c r="E799" s="319">
        <v>0</v>
      </c>
      <c r="F799" s="646"/>
      <c r="H799" s="441" t="s">
        <v>75</v>
      </c>
      <c r="I799" s="47">
        <v>0.25</v>
      </c>
      <c r="J799" s="319">
        <v>8</v>
      </c>
      <c r="K799" s="646"/>
      <c r="M799" s="441" t="s">
        <v>75</v>
      </c>
      <c r="N799" s="47">
        <v>0.25</v>
      </c>
      <c r="O799" s="319">
        <v>8</v>
      </c>
      <c r="P799" s="646"/>
      <c r="R799" s="441" t="s">
        <v>75</v>
      </c>
      <c r="S799" s="47">
        <v>0.25</v>
      </c>
      <c r="T799" s="319">
        <v>8</v>
      </c>
      <c r="U799" s="646"/>
      <c r="W799" s="441" t="s">
        <v>75</v>
      </c>
      <c r="X799" s="47">
        <v>0.25</v>
      </c>
      <c r="Y799" s="319">
        <v>8</v>
      </c>
      <c r="Z799" s="646"/>
      <c r="AA799" s="328">
        <f t="shared" si="113"/>
        <v>32</v>
      </c>
      <c r="AB799" s="298">
        <f t="shared" si="114"/>
        <v>0</v>
      </c>
      <c r="AD799" s="47"/>
      <c r="AE799" s="47"/>
      <c r="AF799" s="319"/>
      <c r="AG799" s="328">
        <f t="shared" si="115"/>
        <v>0</v>
      </c>
      <c r="AI799" s="255"/>
      <c r="AJ799" s="180"/>
      <c r="AK799" s="193"/>
      <c r="AL799" s="193"/>
      <c r="AM799" s="193"/>
      <c r="AN799" s="510">
        <f>SUM(AN792:AN797)</f>
        <v>28521.215</v>
      </c>
      <c r="AO799" s="193"/>
      <c r="AP799" s="193"/>
      <c r="AQ799" s="180"/>
      <c r="AR799" s="180"/>
      <c r="AS799" s="180"/>
      <c r="AT799" s="180"/>
      <c r="AU799" s="180"/>
      <c r="AV799" s="180"/>
      <c r="AW799" s="180"/>
    </row>
    <row r="800" spans="1:49" s="4" customFormat="1">
      <c r="A800" s="180"/>
      <c r="B800" s="436" t="s">
        <v>981</v>
      </c>
      <c r="C800" s="441" t="s">
        <v>75</v>
      </c>
      <c r="D800" s="47">
        <v>0.25</v>
      </c>
      <c r="E800" s="319">
        <v>8</v>
      </c>
      <c r="F800" s="646"/>
      <c r="H800" s="441" t="s">
        <v>75</v>
      </c>
      <c r="I800" s="47">
        <v>0.25</v>
      </c>
      <c r="J800" s="319">
        <v>8</v>
      </c>
      <c r="K800" s="646"/>
      <c r="M800" s="441" t="s">
        <v>75</v>
      </c>
      <c r="N800" s="47">
        <v>0.25</v>
      </c>
      <c r="O800" s="319">
        <v>8</v>
      </c>
      <c r="P800" s="646"/>
      <c r="R800" s="441" t="s">
        <v>75</v>
      </c>
      <c r="S800" s="47">
        <v>0.25</v>
      </c>
      <c r="T800" s="319">
        <v>8</v>
      </c>
      <c r="U800" s="646"/>
      <c r="W800" s="441" t="s">
        <v>75</v>
      </c>
      <c r="X800" s="47">
        <v>0.25</v>
      </c>
      <c r="Y800" s="319">
        <v>8</v>
      </c>
      <c r="Z800" s="646"/>
      <c r="AA800" s="328">
        <f t="shared" si="113"/>
        <v>40</v>
      </c>
      <c r="AB800" s="298">
        <f t="shared" si="114"/>
        <v>0</v>
      </c>
      <c r="AD800" s="47"/>
      <c r="AE800" s="47"/>
      <c r="AF800" s="319"/>
      <c r="AG800" s="328">
        <f t="shared" si="115"/>
        <v>0</v>
      </c>
      <c r="AI800" s="255"/>
      <c r="AJ800" s="180"/>
      <c r="AK800" s="193"/>
      <c r="AL800" s="193"/>
      <c r="AM800" s="193"/>
      <c r="AN800" s="193"/>
      <c r="AO800" s="193"/>
      <c r="AP800" s="193"/>
      <c r="AQ800" s="180"/>
      <c r="AR800" s="180"/>
      <c r="AS800" s="180"/>
      <c r="AT800" s="180"/>
      <c r="AU800" s="180"/>
      <c r="AV800" s="180"/>
      <c r="AW800" s="180"/>
    </row>
    <row r="801" spans="1:49" s="4" customFormat="1">
      <c r="A801" s="180"/>
      <c r="B801" s="4" t="s">
        <v>976</v>
      </c>
      <c r="C801" s="667" t="s">
        <v>960</v>
      </c>
      <c r="D801" s="565"/>
      <c r="E801" s="319">
        <v>0</v>
      </c>
      <c r="F801" s="646"/>
      <c r="H801" s="441" t="s">
        <v>75</v>
      </c>
      <c r="I801" s="47">
        <v>0.25</v>
      </c>
      <c r="J801" s="319">
        <v>8</v>
      </c>
      <c r="K801" s="646"/>
      <c r="M801" s="441" t="s">
        <v>75</v>
      </c>
      <c r="N801" s="47">
        <v>0.25</v>
      </c>
      <c r="O801" s="319">
        <v>8</v>
      </c>
      <c r="P801" s="646"/>
      <c r="R801" s="441" t="s">
        <v>75</v>
      </c>
      <c r="S801" s="47">
        <v>0.25</v>
      </c>
      <c r="T801" s="319">
        <v>8</v>
      </c>
      <c r="U801" s="646"/>
      <c r="W801" s="47">
        <v>0.375</v>
      </c>
      <c r="X801" s="47">
        <v>0.25</v>
      </c>
      <c r="Y801" s="319">
        <v>8</v>
      </c>
      <c r="Z801" s="646"/>
      <c r="AA801" s="328">
        <f t="shared" si="113"/>
        <v>32</v>
      </c>
      <c r="AB801" s="298">
        <f t="shared" si="114"/>
        <v>0</v>
      </c>
      <c r="AD801" s="47"/>
      <c r="AE801" s="47"/>
      <c r="AF801" s="319"/>
      <c r="AG801" s="328">
        <f t="shared" si="115"/>
        <v>0</v>
      </c>
      <c r="AI801" s="255"/>
      <c r="AJ801" s="180"/>
      <c r="AK801" s="193"/>
      <c r="AL801" s="193"/>
      <c r="AM801" s="193"/>
      <c r="AN801" s="193"/>
      <c r="AO801" s="193"/>
      <c r="AP801" s="193"/>
      <c r="AQ801" s="180"/>
      <c r="AR801" s="180"/>
      <c r="AS801" s="180"/>
      <c r="AT801" s="180"/>
      <c r="AU801" s="180"/>
      <c r="AV801" s="180"/>
      <c r="AW801" s="180"/>
    </row>
    <row r="802" spans="1:49" s="4" customFormat="1">
      <c r="A802" s="180"/>
      <c r="B802" s="666" t="s">
        <v>998</v>
      </c>
      <c r="C802" s="667" t="s">
        <v>137</v>
      </c>
      <c r="D802" s="565"/>
      <c r="E802" s="319">
        <v>0</v>
      </c>
      <c r="F802" s="646"/>
      <c r="H802" s="667" t="s">
        <v>137</v>
      </c>
      <c r="I802" s="565"/>
      <c r="J802" s="319">
        <v>0</v>
      </c>
      <c r="K802" s="646"/>
      <c r="M802" s="667" t="s">
        <v>137</v>
      </c>
      <c r="N802" s="565"/>
      <c r="O802" s="319">
        <v>0</v>
      </c>
      <c r="P802" s="646"/>
      <c r="R802" s="667" t="s">
        <v>137</v>
      </c>
      <c r="S802" s="565"/>
      <c r="T802" s="319">
        <v>0</v>
      </c>
      <c r="U802" s="646"/>
      <c r="W802" s="667" t="s">
        <v>137</v>
      </c>
      <c r="X802" s="565"/>
      <c r="Y802" s="319">
        <v>0</v>
      </c>
      <c r="Z802" s="646"/>
      <c r="AA802" s="328">
        <f t="shared" si="113"/>
        <v>0</v>
      </c>
      <c r="AB802" s="298">
        <f t="shared" si="114"/>
        <v>0</v>
      </c>
      <c r="AD802" s="47"/>
      <c r="AE802" s="47"/>
      <c r="AF802" s="319"/>
      <c r="AG802" s="328">
        <f t="shared" si="115"/>
        <v>0</v>
      </c>
      <c r="AI802" s="255"/>
      <c r="AJ802" s="180"/>
      <c r="AK802" s="193"/>
      <c r="AL802" s="193"/>
      <c r="AM802" s="193"/>
      <c r="AN802" s="193"/>
      <c r="AO802" s="193"/>
      <c r="AP802" s="193"/>
      <c r="AQ802" s="180"/>
      <c r="AR802" s="180"/>
      <c r="AS802" s="180"/>
      <c r="AT802" s="180"/>
      <c r="AU802" s="180"/>
      <c r="AV802" s="180"/>
      <c r="AW802" s="180"/>
    </row>
    <row r="803" spans="1:49" s="4" customFormat="1">
      <c r="A803" s="180"/>
      <c r="B803" s="47" t="s">
        <v>977</v>
      </c>
      <c r="C803" s="667" t="s">
        <v>960</v>
      </c>
      <c r="D803" s="565"/>
      <c r="E803" s="319">
        <v>0</v>
      </c>
      <c r="F803" s="646"/>
      <c r="H803" s="667" t="s">
        <v>960</v>
      </c>
      <c r="I803" s="565"/>
      <c r="J803" s="319">
        <v>0</v>
      </c>
      <c r="K803" s="646"/>
      <c r="M803" s="667" t="s">
        <v>960</v>
      </c>
      <c r="N803" s="565"/>
      <c r="O803" s="319">
        <v>0</v>
      </c>
      <c r="P803" s="646"/>
      <c r="R803" s="441" t="s">
        <v>125</v>
      </c>
      <c r="S803" s="47">
        <v>0.20833333333333334</v>
      </c>
      <c r="T803" s="319">
        <v>8</v>
      </c>
      <c r="U803" s="646"/>
      <c r="W803" s="667" t="s">
        <v>960</v>
      </c>
      <c r="X803" s="565"/>
      <c r="Y803" s="319">
        <v>0</v>
      </c>
      <c r="Z803" s="646"/>
      <c r="AA803" s="328">
        <f t="shared" si="113"/>
        <v>8</v>
      </c>
      <c r="AB803" s="298">
        <f t="shared" si="114"/>
        <v>0</v>
      </c>
      <c r="AD803" s="47"/>
      <c r="AE803" s="47"/>
      <c r="AF803" s="319"/>
      <c r="AG803" s="328">
        <f t="shared" si="115"/>
        <v>0</v>
      </c>
      <c r="AI803" s="255"/>
      <c r="AJ803" s="180"/>
      <c r="AK803" s="193"/>
      <c r="AL803" s="193"/>
      <c r="AM803" s="193"/>
      <c r="AN803" s="193"/>
      <c r="AO803" s="193"/>
      <c r="AP803" s="193"/>
      <c r="AQ803" s="180"/>
      <c r="AR803" s="180"/>
      <c r="AS803" s="180"/>
      <c r="AT803" s="180"/>
      <c r="AU803" s="180"/>
      <c r="AV803" s="180"/>
      <c r="AW803" s="180"/>
    </row>
    <row r="804" spans="1:49" s="4" customFormat="1">
      <c r="A804" s="180"/>
      <c r="B804" s="436" t="s">
        <v>394</v>
      </c>
      <c r="C804" s="441" t="s">
        <v>75</v>
      </c>
      <c r="D804" s="47">
        <v>0.25</v>
      </c>
      <c r="E804" s="319">
        <v>8</v>
      </c>
      <c r="F804" s="646"/>
      <c r="H804" s="441" t="s">
        <v>75</v>
      </c>
      <c r="I804" s="47">
        <v>0.25</v>
      </c>
      <c r="J804" s="319">
        <v>8</v>
      </c>
      <c r="K804" s="646"/>
      <c r="M804" s="441" t="s">
        <v>75</v>
      </c>
      <c r="N804" s="47">
        <v>0.25</v>
      </c>
      <c r="O804" s="319">
        <v>8</v>
      </c>
      <c r="P804" s="646"/>
      <c r="R804" s="441" t="s">
        <v>75</v>
      </c>
      <c r="S804" s="47">
        <v>0.25</v>
      </c>
      <c r="T804" s="319">
        <v>8</v>
      </c>
      <c r="U804" s="646"/>
      <c r="W804" s="441" t="s">
        <v>75</v>
      </c>
      <c r="X804" s="47">
        <v>0.25</v>
      </c>
      <c r="Y804" s="319">
        <v>8</v>
      </c>
      <c r="Z804" s="646"/>
      <c r="AA804" s="328">
        <f t="shared" si="113"/>
        <v>40</v>
      </c>
      <c r="AB804" s="298">
        <f t="shared" si="114"/>
        <v>0</v>
      </c>
      <c r="AD804" s="47"/>
      <c r="AE804" s="47"/>
      <c r="AF804" s="319"/>
      <c r="AG804" s="328">
        <f t="shared" si="115"/>
        <v>0</v>
      </c>
      <c r="AI804" s="255"/>
      <c r="AJ804" s="180"/>
      <c r="AK804" s="193"/>
      <c r="AL804" s="193"/>
      <c r="AM804" s="193"/>
      <c r="AN804" s="193"/>
      <c r="AO804" s="193"/>
      <c r="AP804" s="193"/>
      <c r="AQ804" s="180"/>
      <c r="AR804" s="180"/>
      <c r="AS804" s="180"/>
      <c r="AT804" s="180"/>
      <c r="AU804" s="180"/>
      <c r="AV804" s="180"/>
      <c r="AW804" s="180"/>
    </row>
    <row r="805" spans="1:49" s="4" customFormat="1">
      <c r="A805" s="180"/>
      <c r="B805" s="47" t="s">
        <v>519</v>
      </c>
      <c r="C805" s="441" t="s">
        <v>75</v>
      </c>
      <c r="D805" s="47">
        <v>0.25</v>
      </c>
      <c r="E805" s="319">
        <v>8</v>
      </c>
      <c r="F805" s="646"/>
      <c r="H805" s="667" t="s">
        <v>960</v>
      </c>
      <c r="I805" s="565"/>
      <c r="J805" s="319">
        <v>0</v>
      </c>
      <c r="K805" s="646"/>
      <c r="M805" s="441" t="s">
        <v>75</v>
      </c>
      <c r="N805" s="47">
        <v>0.25</v>
      </c>
      <c r="O805" s="319">
        <v>8</v>
      </c>
      <c r="P805" s="646"/>
      <c r="R805" s="441" t="s">
        <v>125</v>
      </c>
      <c r="S805" s="47">
        <v>0.20833333333333334</v>
      </c>
      <c r="T805" s="319">
        <v>8</v>
      </c>
      <c r="U805" s="646"/>
      <c r="W805" s="441" t="s">
        <v>75</v>
      </c>
      <c r="X805" s="441" t="s">
        <v>246</v>
      </c>
      <c r="Y805" s="319">
        <v>8</v>
      </c>
      <c r="Z805" s="646"/>
      <c r="AA805" s="328">
        <f t="shared" si="113"/>
        <v>32</v>
      </c>
      <c r="AB805" s="298">
        <f t="shared" si="114"/>
        <v>0</v>
      </c>
      <c r="AD805" s="47"/>
      <c r="AE805" s="47"/>
      <c r="AF805" s="319"/>
      <c r="AG805" s="328">
        <f t="shared" si="115"/>
        <v>0</v>
      </c>
      <c r="AI805" s="255"/>
      <c r="AJ805" s="180"/>
      <c r="AK805" s="193"/>
      <c r="AL805" s="193"/>
      <c r="AM805" s="193"/>
      <c r="AN805" s="193"/>
      <c r="AO805" s="193"/>
      <c r="AP805" s="193"/>
      <c r="AQ805" s="180"/>
      <c r="AR805" s="180"/>
      <c r="AS805" s="180"/>
      <c r="AT805" s="180"/>
      <c r="AU805" s="180"/>
      <c r="AV805" s="180"/>
      <c r="AW805" s="180"/>
    </row>
    <row r="806" spans="1:49" s="4" customFormat="1">
      <c r="A806" s="180"/>
      <c r="B806" s="702" t="s">
        <v>999</v>
      </c>
      <c r="C806" s="703" t="s">
        <v>75</v>
      </c>
      <c r="D806" s="704">
        <v>0.25</v>
      </c>
      <c r="E806" s="705">
        <v>8</v>
      </c>
      <c r="F806" s="706"/>
      <c r="G806" s="707"/>
      <c r="H806" s="703" t="s">
        <v>75</v>
      </c>
      <c r="I806" s="704">
        <v>0.25</v>
      </c>
      <c r="J806" s="705">
        <v>8</v>
      </c>
      <c r="K806" s="706"/>
      <c r="L806" s="707"/>
      <c r="M806" s="703" t="s">
        <v>75</v>
      </c>
      <c r="N806" s="704">
        <v>0.25</v>
      </c>
      <c r="O806" s="705">
        <v>8</v>
      </c>
      <c r="P806" s="706"/>
      <c r="Q806" s="707"/>
      <c r="R806" s="703" t="s">
        <v>75</v>
      </c>
      <c r="S806" s="704">
        <v>0.25</v>
      </c>
      <c r="T806" s="705">
        <v>8</v>
      </c>
      <c r="U806" s="706"/>
      <c r="V806" s="707"/>
      <c r="W806" s="441" t="s">
        <v>75</v>
      </c>
      <c r="X806" s="47">
        <v>0.25</v>
      </c>
      <c r="Y806" s="319">
        <v>8</v>
      </c>
      <c r="Z806" s="706"/>
      <c r="AA806" s="708">
        <f t="shared" si="113"/>
        <v>40</v>
      </c>
      <c r="AB806" s="709">
        <f t="shared" si="114"/>
        <v>0</v>
      </c>
      <c r="AC806" s="707"/>
      <c r="AD806" s="704"/>
      <c r="AE806" s="704"/>
      <c r="AF806" s="705"/>
      <c r="AG806" s="708">
        <f t="shared" si="115"/>
        <v>0</v>
      </c>
      <c r="AH806" s="707"/>
      <c r="AI806" s="710"/>
      <c r="AJ806" s="180"/>
      <c r="AK806" s="193"/>
      <c r="AL806" s="193"/>
      <c r="AM806" s="193"/>
      <c r="AN806" s="193"/>
      <c r="AO806" s="193"/>
      <c r="AP806" s="193"/>
      <c r="AQ806" s="180"/>
      <c r="AR806" s="180"/>
      <c r="AS806" s="180"/>
      <c r="AT806" s="180"/>
      <c r="AU806" s="180"/>
      <c r="AV806" s="180"/>
      <c r="AW806" s="180"/>
    </row>
    <row r="807" spans="1:49" s="4" customFormat="1">
      <c r="A807" s="180"/>
      <c r="B807" s="532" t="s">
        <v>545</v>
      </c>
      <c r="C807" s="441"/>
      <c r="D807" s="47"/>
      <c r="E807" s="319"/>
      <c r="F807" s="646"/>
      <c r="H807" s="441"/>
      <c r="I807" s="47"/>
      <c r="J807" s="319"/>
      <c r="K807" s="646"/>
      <c r="M807" s="441"/>
      <c r="N807" s="47"/>
      <c r="O807" s="319"/>
      <c r="P807" s="646"/>
      <c r="R807" s="441"/>
      <c r="S807" s="47"/>
      <c r="T807" s="319"/>
      <c r="U807" s="646"/>
      <c r="W807" s="441" t="s">
        <v>114</v>
      </c>
      <c r="X807" s="47"/>
      <c r="Y807" s="319"/>
      <c r="Z807" s="646"/>
      <c r="AA807" s="328"/>
      <c r="AB807" s="298"/>
      <c r="AD807" s="47"/>
      <c r="AE807" s="47"/>
      <c r="AF807" s="319"/>
      <c r="AG807" s="328"/>
      <c r="AI807" s="255"/>
      <c r="AJ807" s="180"/>
      <c r="AK807" s="193"/>
      <c r="AL807" s="193"/>
      <c r="AM807" s="193"/>
      <c r="AN807" s="193"/>
      <c r="AO807" s="193"/>
      <c r="AP807" s="193"/>
      <c r="AQ807" s="180"/>
      <c r="AR807" s="180"/>
      <c r="AS807" s="180"/>
      <c r="AT807" s="180"/>
      <c r="AU807" s="180"/>
      <c r="AV807" s="180"/>
      <c r="AW807" s="180"/>
    </row>
    <row r="808" spans="1:49" s="4" customFormat="1">
      <c r="A808" s="180"/>
      <c r="B808" s="502" t="s">
        <v>483</v>
      </c>
      <c r="C808" s="5"/>
      <c r="D808" s="5"/>
      <c r="E808" s="319"/>
      <c r="F808" s="646"/>
      <c r="H808" s="5"/>
      <c r="I808" s="5"/>
      <c r="J808" s="319"/>
      <c r="K808" s="646"/>
      <c r="M808" s="5"/>
      <c r="N808" s="5"/>
      <c r="O808" s="319"/>
      <c r="P808" s="646"/>
      <c r="R808" s="5"/>
      <c r="S808" s="5"/>
      <c r="T808" s="319"/>
      <c r="U808" s="646"/>
      <c r="W808" s="5"/>
      <c r="X808" s="5"/>
      <c r="Y808" s="319"/>
      <c r="Z808" s="646"/>
      <c r="AA808" s="328">
        <f t="shared" si="113"/>
        <v>0</v>
      </c>
      <c r="AB808" s="298">
        <f t="shared" si="114"/>
        <v>0</v>
      </c>
      <c r="AD808" s="47"/>
      <c r="AE808" s="47"/>
      <c r="AF808" s="319"/>
      <c r="AG808" s="328">
        <f t="shared" si="115"/>
        <v>0</v>
      </c>
      <c r="AI808" s="255"/>
      <c r="AJ808" s="180"/>
      <c r="AK808" s="193"/>
      <c r="AL808" s="193"/>
      <c r="AM808" s="193"/>
      <c r="AN808" s="193"/>
      <c r="AO808" s="193"/>
      <c r="AP808" s="193"/>
      <c r="AQ808" s="180"/>
      <c r="AR808" s="180"/>
      <c r="AS808" s="180"/>
      <c r="AT808" s="180"/>
      <c r="AU808" s="180"/>
      <c r="AV808" s="180"/>
      <c r="AW808" s="180"/>
    </row>
    <row r="809" spans="1:49" s="4" customFormat="1">
      <c r="A809" s="180"/>
      <c r="B809" s="502" t="s">
        <v>483</v>
      </c>
      <c r="C809" s="47"/>
      <c r="D809" s="47"/>
      <c r="E809" s="319">
        <v>8</v>
      </c>
      <c r="F809" s="646">
        <v>1</v>
      </c>
      <c r="H809" s="47"/>
      <c r="I809" s="47"/>
      <c r="J809" s="319">
        <v>8</v>
      </c>
      <c r="K809" s="646">
        <v>0.5</v>
      </c>
      <c r="M809" s="47"/>
      <c r="N809" s="47"/>
      <c r="O809" s="319">
        <v>8</v>
      </c>
      <c r="P809" s="646">
        <v>0.5</v>
      </c>
      <c r="R809" s="47"/>
      <c r="S809" s="47"/>
      <c r="T809" s="319">
        <v>8</v>
      </c>
      <c r="U809" s="646"/>
      <c r="W809" s="47"/>
      <c r="X809" s="47"/>
      <c r="Y809" s="319">
        <v>8</v>
      </c>
      <c r="Z809" s="646">
        <v>1</v>
      </c>
      <c r="AA809" s="328">
        <f t="shared" si="113"/>
        <v>40</v>
      </c>
      <c r="AB809" s="298">
        <f t="shared" si="114"/>
        <v>3</v>
      </c>
      <c r="AD809" s="47"/>
      <c r="AE809" s="47"/>
      <c r="AF809" s="319"/>
      <c r="AG809" s="328">
        <f t="shared" si="115"/>
        <v>0</v>
      </c>
      <c r="AI809" s="255"/>
      <c r="AJ809" s="180"/>
      <c r="AK809" s="193"/>
      <c r="AL809" s="193"/>
      <c r="AM809" s="193"/>
      <c r="AN809" s="193"/>
      <c r="AO809" s="193"/>
      <c r="AP809" s="193"/>
      <c r="AQ809" s="180"/>
      <c r="AR809" s="180"/>
      <c r="AS809" s="180"/>
      <c r="AT809" s="180"/>
      <c r="AU809" s="180"/>
      <c r="AV809" s="180"/>
      <c r="AW809" s="180"/>
    </row>
    <row r="810" spans="1:49" s="4" customFormat="1">
      <c r="A810" s="180"/>
      <c r="B810" s="502" t="s">
        <v>484</v>
      </c>
      <c r="C810" s="47"/>
      <c r="D810" s="47"/>
      <c r="E810" s="319">
        <v>8</v>
      </c>
      <c r="F810" s="646">
        <v>1</v>
      </c>
      <c r="H810" s="47"/>
      <c r="I810" s="47"/>
      <c r="J810" s="319">
        <v>8</v>
      </c>
      <c r="K810" s="646">
        <v>1.5</v>
      </c>
      <c r="M810" s="47"/>
      <c r="N810" s="47"/>
      <c r="O810" s="319">
        <v>8</v>
      </c>
      <c r="P810" s="646">
        <v>0.5</v>
      </c>
      <c r="R810" s="47"/>
      <c r="S810" s="47"/>
      <c r="T810" s="319">
        <v>8</v>
      </c>
      <c r="U810" s="646"/>
      <c r="W810" s="47"/>
      <c r="X810" s="47"/>
      <c r="Y810" s="319">
        <v>8</v>
      </c>
      <c r="Z810" s="646">
        <v>1</v>
      </c>
      <c r="AA810" s="328">
        <f t="shared" si="113"/>
        <v>40</v>
      </c>
      <c r="AB810" s="298">
        <f t="shared" si="114"/>
        <v>4</v>
      </c>
      <c r="AD810" s="47"/>
      <c r="AE810" s="47"/>
      <c r="AF810" s="319"/>
      <c r="AG810" s="328">
        <f t="shared" si="115"/>
        <v>0</v>
      </c>
      <c r="AI810" s="255"/>
      <c r="AJ810" s="180"/>
      <c r="AK810" s="193"/>
      <c r="AL810" s="193"/>
      <c r="AM810" s="193"/>
      <c r="AN810" s="193"/>
      <c r="AO810" s="193"/>
      <c r="AP810" s="193"/>
      <c r="AQ810" s="180"/>
      <c r="AR810" s="180"/>
      <c r="AS810" s="180"/>
      <c r="AT810" s="180"/>
      <c r="AU810" s="180"/>
      <c r="AV810" s="180"/>
      <c r="AW810" s="180"/>
    </row>
    <row r="811" spans="1:49" s="4" customFormat="1">
      <c r="A811" s="180"/>
      <c r="B811" s="502" t="s">
        <v>485</v>
      </c>
      <c r="C811" s="47"/>
      <c r="D811" s="47"/>
      <c r="E811" s="319">
        <v>8</v>
      </c>
      <c r="F811" s="646">
        <v>1</v>
      </c>
      <c r="H811" s="47"/>
      <c r="I811" s="47"/>
      <c r="J811" s="319">
        <v>8</v>
      </c>
      <c r="K811" s="646">
        <v>1.5</v>
      </c>
      <c r="M811" s="47"/>
      <c r="N811" s="47"/>
      <c r="O811" s="319">
        <v>8</v>
      </c>
      <c r="P811" s="646">
        <v>0.5</v>
      </c>
      <c r="R811" s="47"/>
      <c r="S811" s="47"/>
      <c r="T811" s="319">
        <v>8</v>
      </c>
      <c r="U811" s="646"/>
      <c r="W811" s="47"/>
      <c r="X811" s="47"/>
      <c r="Y811" s="319">
        <v>8</v>
      </c>
      <c r="Z811" s="646">
        <v>1</v>
      </c>
      <c r="AA811" s="328">
        <f t="shared" si="113"/>
        <v>40</v>
      </c>
      <c r="AB811" s="298">
        <f t="shared" si="114"/>
        <v>4</v>
      </c>
      <c r="AD811" s="47"/>
      <c r="AE811" s="47"/>
      <c r="AF811" s="319"/>
      <c r="AG811" s="328">
        <f t="shared" si="115"/>
        <v>0</v>
      </c>
      <c r="AI811" s="255"/>
      <c r="AJ811" s="180"/>
      <c r="AK811" s="193"/>
      <c r="AL811" s="193"/>
      <c r="AM811" s="193"/>
      <c r="AN811" s="193"/>
      <c r="AO811" s="193"/>
      <c r="AP811" s="193"/>
      <c r="AQ811" s="180"/>
      <c r="AR811" s="180"/>
      <c r="AS811" s="180"/>
      <c r="AT811" s="180"/>
      <c r="AU811" s="180"/>
      <c r="AV811" s="180"/>
      <c r="AW811" s="180"/>
    </row>
    <row r="812" spans="1:49" s="4" customFormat="1">
      <c r="A812" s="180"/>
      <c r="B812" s="63" t="s">
        <v>63</v>
      </c>
      <c r="C812" s="663"/>
      <c r="D812" s="663"/>
      <c r="E812" s="319">
        <v>8</v>
      </c>
      <c r="F812" s="646">
        <v>0.5</v>
      </c>
      <c r="H812" s="663"/>
      <c r="I812" s="663"/>
      <c r="J812" s="319">
        <v>8</v>
      </c>
      <c r="K812" s="646"/>
      <c r="M812" s="47"/>
      <c r="N812" s="47"/>
      <c r="O812" s="319">
        <v>8</v>
      </c>
      <c r="P812" s="646"/>
      <c r="R812" s="663"/>
      <c r="S812" s="663"/>
      <c r="T812" s="319">
        <v>8</v>
      </c>
      <c r="U812" s="646"/>
      <c r="W812" s="663"/>
      <c r="X812" s="663"/>
      <c r="Y812" s="319">
        <v>8</v>
      </c>
      <c r="Z812" s="646"/>
      <c r="AA812" s="328">
        <f t="shared" si="113"/>
        <v>40</v>
      </c>
      <c r="AB812" s="298">
        <f t="shared" si="114"/>
        <v>0.5</v>
      </c>
      <c r="AD812" s="47"/>
      <c r="AE812" s="47"/>
      <c r="AF812" s="319"/>
      <c r="AG812" s="328">
        <f t="shared" si="115"/>
        <v>0</v>
      </c>
      <c r="AI812" s="255"/>
      <c r="AJ812" s="180"/>
      <c r="AK812" s="193"/>
      <c r="AL812" s="193"/>
      <c r="AM812" s="193"/>
      <c r="AN812" s="193"/>
      <c r="AO812" s="193"/>
      <c r="AP812" s="193"/>
      <c r="AQ812" s="180"/>
      <c r="AR812" s="180"/>
      <c r="AS812" s="180"/>
      <c r="AT812" s="180"/>
      <c r="AU812" s="180"/>
      <c r="AV812" s="180"/>
      <c r="AW812" s="180"/>
    </row>
    <row r="813" spans="1:49" s="4" customFormat="1">
      <c r="A813" s="180"/>
      <c r="B813" s="267" t="s">
        <v>358</v>
      </c>
      <c r="C813" s="663"/>
      <c r="D813" s="663"/>
      <c r="E813" s="319">
        <v>5</v>
      </c>
      <c r="F813" s="646"/>
      <c r="G813" s="438"/>
      <c r="H813" s="663"/>
      <c r="I813" s="663"/>
      <c r="J813" s="319">
        <v>5</v>
      </c>
      <c r="K813" s="646"/>
      <c r="L813" s="438"/>
      <c r="M813" s="663"/>
      <c r="N813" s="663"/>
      <c r="O813" s="319">
        <v>5</v>
      </c>
      <c r="P813" s="646"/>
      <c r="Q813" s="438"/>
      <c r="R813" s="663"/>
      <c r="S813" s="663"/>
      <c r="T813" s="319">
        <v>5</v>
      </c>
      <c r="U813" s="646"/>
      <c r="V813" s="438"/>
      <c r="W813" s="663"/>
      <c r="X813" s="663"/>
      <c r="Y813" s="319">
        <v>0</v>
      </c>
      <c r="Z813" s="646"/>
      <c r="AA813" s="328">
        <f t="shared" si="113"/>
        <v>20</v>
      </c>
      <c r="AB813" s="298">
        <f t="shared" si="114"/>
        <v>0</v>
      </c>
      <c r="AD813" s="47"/>
      <c r="AE813" s="47"/>
      <c r="AF813" s="319"/>
      <c r="AG813" s="328">
        <f t="shared" si="115"/>
        <v>0</v>
      </c>
      <c r="AI813" s="255"/>
      <c r="AJ813" s="180"/>
      <c r="AK813" s="193"/>
      <c r="AL813" s="193"/>
      <c r="AM813" s="193"/>
      <c r="AN813" s="193"/>
      <c r="AO813" s="193"/>
      <c r="AP813" s="193"/>
      <c r="AQ813" s="180"/>
      <c r="AR813" s="180"/>
      <c r="AS813" s="180"/>
      <c r="AT813" s="180"/>
      <c r="AU813" s="180"/>
      <c r="AV813" s="180"/>
      <c r="AW813" s="180"/>
    </row>
    <row r="814" spans="1:49" s="193" customFormat="1">
      <c r="A814" s="180"/>
      <c r="B814" s="267" t="s">
        <v>991</v>
      </c>
      <c r="C814" s="5"/>
      <c r="D814" s="5"/>
      <c r="E814" s="319"/>
      <c r="F814" s="646"/>
      <c r="G814" s="438"/>
      <c r="H814" s="5"/>
      <c r="I814" s="5"/>
      <c r="J814" s="319"/>
      <c r="K814" s="646"/>
      <c r="L814" s="438"/>
      <c r="M814" s="5"/>
      <c r="N814" s="5"/>
      <c r="O814" s="319"/>
      <c r="P814" s="646"/>
      <c r="Q814" s="438"/>
      <c r="R814" s="5"/>
      <c r="S814" s="5"/>
      <c r="T814" s="319"/>
      <c r="U814" s="646"/>
      <c r="V814" s="438"/>
      <c r="W814" s="5"/>
      <c r="X814" s="5"/>
      <c r="Y814" s="319"/>
      <c r="Z814" s="646"/>
      <c r="AA814" s="328">
        <f t="shared" si="113"/>
        <v>0</v>
      </c>
      <c r="AB814" s="298">
        <f t="shared" si="114"/>
        <v>0</v>
      </c>
      <c r="AC814" s="4"/>
      <c r="AD814" s="47"/>
      <c r="AE814" s="47"/>
      <c r="AF814" s="319"/>
      <c r="AG814" s="328">
        <f t="shared" si="115"/>
        <v>0</v>
      </c>
      <c r="AH814" s="4"/>
      <c r="AI814" s="255"/>
      <c r="AJ814" s="180"/>
      <c r="AQ814" s="180"/>
      <c r="AR814" s="180"/>
      <c r="AS814" s="180"/>
      <c r="AT814" s="180"/>
      <c r="AU814" s="180"/>
      <c r="AV814" s="180"/>
      <c r="AW814" s="180"/>
    </row>
    <row r="815" spans="1:49" s="193" customFormat="1">
      <c r="A815" s="180"/>
      <c r="B815" s="267" t="s">
        <v>411</v>
      </c>
      <c r="C815" s="5"/>
      <c r="D815" s="5"/>
      <c r="E815" s="319"/>
      <c r="F815" s="646"/>
      <c r="G815" s="438"/>
      <c r="H815" s="5"/>
      <c r="I815" s="5"/>
      <c r="J815" s="319"/>
      <c r="K815" s="646"/>
      <c r="L815" s="438"/>
      <c r="M815" s="5"/>
      <c r="N815" s="5"/>
      <c r="O815" s="319"/>
      <c r="P815" s="646"/>
      <c r="Q815" s="438"/>
      <c r="R815" s="5"/>
      <c r="S815" s="5"/>
      <c r="T815" s="319"/>
      <c r="U815" s="646"/>
      <c r="V815" s="438"/>
      <c r="W815" s="5"/>
      <c r="X815" s="5"/>
      <c r="Y815" s="319"/>
      <c r="Z815" s="646"/>
      <c r="AA815" s="328">
        <f t="shared" si="113"/>
        <v>0</v>
      </c>
      <c r="AB815" s="298">
        <f t="shared" si="114"/>
        <v>0</v>
      </c>
      <c r="AC815" s="4"/>
      <c r="AD815" s="47"/>
      <c r="AE815" s="47"/>
      <c r="AF815" s="319"/>
      <c r="AG815" s="328">
        <f t="shared" si="115"/>
        <v>0</v>
      </c>
      <c r="AH815" s="4"/>
      <c r="AI815" s="255"/>
      <c r="AJ815" s="180"/>
      <c r="AQ815" s="180"/>
      <c r="AR815" s="180"/>
      <c r="AS815" s="180"/>
      <c r="AT815" s="180"/>
      <c r="AU815" s="180"/>
      <c r="AV815" s="180"/>
      <c r="AW815" s="180"/>
    </row>
    <row r="816" spans="1:49" s="193" customFormat="1">
      <c r="A816" s="180"/>
      <c r="B816" s="267" t="s">
        <v>361</v>
      </c>
      <c r="C816" s="5"/>
      <c r="D816" s="5"/>
      <c r="E816" s="319"/>
      <c r="F816" s="646"/>
      <c r="G816" s="438"/>
      <c r="H816" s="5"/>
      <c r="I816" s="5"/>
      <c r="J816" s="319"/>
      <c r="K816" s="646"/>
      <c r="L816" s="438"/>
      <c r="M816" s="5"/>
      <c r="N816" s="5"/>
      <c r="O816" s="319"/>
      <c r="P816" s="646"/>
      <c r="Q816" s="438"/>
      <c r="R816" s="5"/>
      <c r="S816" s="5"/>
      <c r="T816" s="319"/>
      <c r="U816" s="646"/>
      <c r="V816" s="438"/>
      <c r="W816" s="5"/>
      <c r="X816" s="5"/>
      <c r="Y816" s="319"/>
      <c r="Z816" s="646"/>
      <c r="AA816" s="328">
        <f t="shared" si="113"/>
        <v>0</v>
      </c>
      <c r="AB816" s="298">
        <f t="shared" si="114"/>
        <v>0</v>
      </c>
      <c r="AC816" s="4"/>
      <c r="AD816" s="47"/>
      <c r="AE816" s="47"/>
      <c r="AF816" s="319"/>
      <c r="AG816" s="328">
        <f t="shared" si="115"/>
        <v>0</v>
      </c>
      <c r="AH816" s="4"/>
      <c r="AI816" s="255"/>
      <c r="AJ816" s="180"/>
      <c r="AQ816" s="180"/>
      <c r="AR816" s="180"/>
      <c r="AS816" s="180"/>
      <c r="AT816" s="180"/>
      <c r="AU816" s="180"/>
      <c r="AV816" s="180"/>
      <c r="AW816" s="180"/>
    </row>
    <row r="817" spans="1:49" s="193" customFormat="1">
      <c r="A817" s="180"/>
      <c r="B817" s="267" t="s">
        <v>362</v>
      </c>
      <c r="C817" s="47"/>
      <c r="D817" s="47"/>
      <c r="E817" s="319">
        <v>2</v>
      </c>
      <c r="F817" s="646"/>
      <c r="G817" s="438"/>
      <c r="H817" s="47"/>
      <c r="I817" s="47"/>
      <c r="J817" s="319">
        <v>2</v>
      </c>
      <c r="K817" s="646"/>
      <c r="L817" s="438"/>
      <c r="M817" s="47"/>
      <c r="N817" s="47"/>
      <c r="O817" s="319">
        <v>2</v>
      </c>
      <c r="P817" s="646"/>
      <c r="Q817" s="438"/>
      <c r="R817" s="47"/>
      <c r="S817" s="47"/>
      <c r="T817" s="319">
        <v>2</v>
      </c>
      <c r="U817" s="646"/>
      <c r="V817" s="438"/>
      <c r="W817" s="5"/>
      <c r="X817" s="5"/>
      <c r="Y817" s="319">
        <v>8</v>
      </c>
      <c r="Z817" s="646"/>
      <c r="AA817" s="328">
        <f t="shared" si="113"/>
        <v>16</v>
      </c>
      <c r="AB817" s="298">
        <f t="shared" si="114"/>
        <v>0</v>
      </c>
      <c r="AC817" s="4"/>
      <c r="AD817" s="47"/>
      <c r="AE817" s="47"/>
      <c r="AF817" s="319"/>
      <c r="AG817" s="328">
        <f t="shared" si="115"/>
        <v>0</v>
      </c>
      <c r="AH817" s="4"/>
      <c r="AI817" s="255"/>
      <c r="AJ817" s="180"/>
      <c r="AQ817" s="180"/>
      <c r="AR817" s="180"/>
      <c r="AS817" s="180"/>
      <c r="AT817" s="180"/>
      <c r="AU817" s="180"/>
      <c r="AV817" s="180"/>
      <c r="AW817" s="180"/>
    </row>
    <row r="818" spans="1:49" s="193" customFormat="1">
      <c r="A818" s="180"/>
      <c r="B818" s="437" t="s">
        <v>355</v>
      </c>
      <c r="C818" s="5"/>
      <c r="D818" s="5"/>
      <c r="E818" s="319">
        <v>7.7</v>
      </c>
      <c r="F818" s="646"/>
      <c r="G818" s="438"/>
      <c r="H818" s="5"/>
      <c r="I818" s="5"/>
      <c r="J818" s="319">
        <v>7.7</v>
      </c>
      <c r="K818" s="646"/>
      <c r="L818" s="438"/>
      <c r="M818" s="5"/>
      <c r="N818" s="5"/>
      <c r="O818" s="319">
        <v>7.7</v>
      </c>
      <c r="P818" s="646"/>
      <c r="Q818" s="438"/>
      <c r="R818" s="5"/>
      <c r="S818" s="5"/>
      <c r="T818" s="319">
        <v>7.7</v>
      </c>
      <c r="U818" s="646"/>
      <c r="V818" s="438"/>
      <c r="W818" s="5"/>
      <c r="X818" s="5"/>
      <c r="Y818" s="319">
        <v>7.7</v>
      </c>
      <c r="Z818" s="646"/>
      <c r="AA818" s="328">
        <f t="shared" si="113"/>
        <v>38.5</v>
      </c>
      <c r="AB818" s="298">
        <f t="shared" si="114"/>
        <v>0</v>
      </c>
      <c r="AC818" s="4"/>
      <c r="AD818" s="47"/>
      <c r="AE818" s="47"/>
      <c r="AF818" s="319"/>
      <c r="AG818" s="328">
        <f t="shared" si="115"/>
        <v>0</v>
      </c>
      <c r="AH818" s="4"/>
      <c r="AI818" s="255"/>
      <c r="AJ818" s="180"/>
      <c r="AQ818" s="180"/>
      <c r="AR818" s="180"/>
      <c r="AS818" s="180"/>
      <c r="AT818" s="180"/>
      <c r="AU818" s="180"/>
      <c r="AV818" s="180"/>
      <c r="AW818" s="180"/>
    </row>
    <row r="819" spans="1:49" s="193" customFormat="1">
      <c r="A819" s="180"/>
      <c r="B819" s="437" t="s">
        <v>356</v>
      </c>
      <c r="C819" s="5"/>
      <c r="D819" s="5"/>
      <c r="E819" s="319"/>
      <c r="F819" s="646"/>
      <c r="G819" s="438"/>
      <c r="H819" s="5"/>
      <c r="I819" s="5"/>
      <c r="J819" s="319"/>
      <c r="K819" s="646"/>
      <c r="L819" s="438"/>
      <c r="M819" s="5"/>
      <c r="N819" s="5"/>
      <c r="O819" s="319"/>
      <c r="P819" s="646"/>
      <c r="Q819" s="438"/>
      <c r="R819" s="5"/>
      <c r="S819" s="5"/>
      <c r="T819" s="319"/>
      <c r="U819" s="646"/>
      <c r="V819" s="438"/>
      <c r="W819" s="5"/>
      <c r="X819" s="5"/>
      <c r="Y819" s="319"/>
      <c r="Z819" s="646"/>
      <c r="AA819" s="328">
        <f t="shared" si="113"/>
        <v>0</v>
      </c>
      <c r="AB819" s="298">
        <f t="shared" si="114"/>
        <v>0</v>
      </c>
      <c r="AC819" s="4"/>
      <c r="AD819" s="47"/>
      <c r="AE819" s="47"/>
      <c r="AF819" s="319"/>
      <c r="AG819" s="328">
        <f t="shared" si="115"/>
        <v>0</v>
      </c>
      <c r="AH819" s="4"/>
      <c r="AI819" s="255"/>
      <c r="AJ819" s="180"/>
      <c r="AQ819" s="180"/>
      <c r="AR819" s="180"/>
      <c r="AS819" s="180"/>
      <c r="AT819" s="180"/>
      <c r="AU819" s="180"/>
      <c r="AV819" s="180"/>
      <c r="AW819" s="180"/>
    </row>
    <row r="820" spans="1:49" s="193" customFormat="1">
      <c r="A820" s="180"/>
      <c r="B820" s="64" t="s">
        <v>61</v>
      </c>
      <c r="C820" s="31"/>
      <c r="D820" s="31"/>
      <c r="E820" s="439">
        <f>SUM(E793:E819)</f>
        <v>118.7</v>
      </c>
      <c r="F820" s="646">
        <f>SUM(F793:F819)</f>
        <v>3.5</v>
      </c>
      <c r="G820" s="31"/>
      <c r="H820" s="31"/>
      <c r="I820" s="31"/>
      <c r="J820" s="439">
        <f>SUM(J793:J819)</f>
        <v>126.2</v>
      </c>
      <c r="K820" s="646">
        <f>SUM(K793:K819)</f>
        <v>3.5</v>
      </c>
      <c r="L820" s="31"/>
      <c r="M820" s="31"/>
      <c r="N820" s="31"/>
      <c r="O820" s="439">
        <f>SUM(O793:O819)</f>
        <v>134.69999999999999</v>
      </c>
      <c r="P820" s="646">
        <f>SUM(P793:P819)</f>
        <v>1.5</v>
      </c>
      <c r="Q820" s="31"/>
      <c r="R820" s="31"/>
      <c r="S820" s="31"/>
      <c r="T820" s="439">
        <f>SUM(T793:T819)</f>
        <v>142.69999999999999</v>
      </c>
      <c r="U820" s="646">
        <f>SUM(U793:U819)</f>
        <v>0</v>
      </c>
      <c r="V820" s="31"/>
      <c r="W820" s="31"/>
      <c r="X820" s="31"/>
      <c r="Y820" s="439">
        <f>SUM(Y793:Y819)</f>
        <v>135.19999999999999</v>
      </c>
      <c r="Z820" s="646">
        <f>SUM(Z793:Z819)</f>
        <v>3</v>
      </c>
      <c r="AA820" s="370">
        <f>SUM(AA793:AA819)</f>
        <v>657.5</v>
      </c>
      <c r="AB820" s="370">
        <f>SUM(AB793:AB819)</f>
        <v>11.5</v>
      </c>
      <c r="AC820" s="4"/>
      <c r="AD820" s="64"/>
      <c r="AE820" s="64"/>
      <c r="AF820" s="370">
        <f>SUM(AF793:AF819)</f>
        <v>0</v>
      </c>
      <c r="AG820" s="370">
        <f>SUM(AG793:AG819)</f>
        <v>0</v>
      </c>
      <c r="AH820" s="4"/>
      <c r="AI820" s="255"/>
      <c r="AJ820" s="180"/>
      <c r="AK820" s="407"/>
      <c r="AQ820" s="180"/>
      <c r="AR820" s="180"/>
      <c r="AS820" s="180"/>
      <c r="AT820" s="180"/>
      <c r="AU820" s="180"/>
      <c r="AV820" s="180"/>
      <c r="AW820" s="180"/>
    </row>
    <row r="821" spans="1:49" s="193" customFormat="1">
      <c r="A821" s="180"/>
      <c r="B821" s="63" t="s">
        <v>64</v>
      </c>
      <c r="C821" s="47"/>
      <c r="D821" s="47"/>
      <c r="E821" s="319">
        <v>8</v>
      </c>
      <c r="F821" s="346">
        <v>0.25</v>
      </c>
      <c r="G821" s="613"/>
      <c r="H821" s="47"/>
      <c r="I821" s="47"/>
      <c r="J821" s="319">
        <v>7.5</v>
      </c>
      <c r="K821" s="346"/>
      <c r="L821" s="60"/>
      <c r="M821" s="47"/>
      <c r="N821" s="47"/>
      <c r="O821" s="319">
        <v>8</v>
      </c>
      <c r="P821" s="346">
        <v>0.75</v>
      </c>
      <c r="Q821" s="60"/>
      <c r="R821" s="47"/>
      <c r="S821" s="47"/>
      <c r="T821" s="319">
        <v>8</v>
      </c>
      <c r="U821" s="346">
        <v>0.5</v>
      </c>
      <c r="V821" s="60"/>
      <c r="W821" s="47"/>
      <c r="X821" s="47"/>
      <c r="Y821" s="319">
        <v>6.5</v>
      </c>
      <c r="Z821" s="346">
        <v>0.5</v>
      </c>
      <c r="AA821" s="28">
        <f>SUM(E821+J821+O821+T821+Y821)</f>
        <v>38</v>
      </c>
      <c r="AB821" s="296">
        <f>Z821+U821+P821+K821+F821</f>
        <v>2</v>
      </c>
      <c r="AC821" s="4"/>
      <c r="AD821" s="47" t="s">
        <v>29</v>
      </c>
      <c r="AE821" s="47" t="s">
        <v>29</v>
      </c>
      <c r="AF821" s="319"/>
      <c r="AG821" s="29">
        <f>AF821</f>
        <v>0</v>
      </c>
      <c r="AH821" s="4"/>
      <c r="AI821" s="255"/>
      <c r="AJ821" s="180"/>
      <c r="AK821" s="407"/>
      <c r="AQ821" s="180"/>
      <c r="AR821" s="180"/>
      <c r="AS821" s="180"/>
      <c r="AT821" s="180"/>
      <c r="AU821" s="180"/>
      <c r="AV821" s="180"/>
      <c r="AW821" s="180"/>
    </row>
    <row r="822" spans="1:49" s="193" customFormat="1">
      <c r="A822" s="180"/>
      <c r="B822" s="71" t="s">
        <v>66</v>
      </c>
      <c r="C822" s="371"/>
      <c r="D822" s="371"/>
      <c r="E822" s="71"/>
      <c r="F822" s="613"/>
      <c r="G822" s="71"/>
      <c r="H822" s="71"/>
      <c r="I822" s="71"/>
      <c r="J822" s="71"/>
      <c r="K822" s="613"/>
      <c r="L822" s="71"/>
      <c r="M822" s="71"/>
      <c r="N822" s="71"/>
      <c r="O822" s="71"/>
      <c r="P822" s="613"/>
      <c r="Q822" s="71"/>
      <c r="R822" s="71"/>
      <c r="S822" s="71"/>
      <c r="T822" s="71"/>
      <c r="U822" s="613"/>
      <c r="V822" s="71"/>
      <c r="W822" s="71"/>
      <c r="X822" s="71"/>
      <c r="Y822" s="71"/>
      <c r="Z822" s="613"/>
      <c r="AA822" s="370">
        <f>SUM(AA821:AA821)</f>
        <v>38</v>
      </c>
      <c r="AB822" s="370">
        <f>SUM(AB821:AB821)</f>
        <v>2</v>
      </c>
      <c r="AC822" s="4"/>
      <c r="AD822" s="180"/>
      <c r="AE822" s="180"/>
      <c r="AF822" s="180"/>
      <c r="AG822" s="370">
        <f>SUM(AG821:AG821)</f>
        <v>0</v>
      </c>
      <c r="AH822" s="4"/>
      <c r="AI822" s="255"/>
      <c r="AJ822" s="180"/>
      <c r="AK822" s="407"/>
      <c r="AQ822" s="180"/>
      <c r="AR822" s="180"/>
      <c r="AS822" s="180"/>
      <c r="AT822" s="180"/>
      <c r="AU822" s="180"/>
      <c r="AV822" s="180"/>
      <c r="AW822" s="180"/>
    </row>
    <row r="823" spans="1:49" s="193" customFormat="1">
      <c r="A823" s="180"/>
      <c r="B823" s="217" t="s">
        <v>67</v>
      </c>
      <c r="C823" s="207">
        <f>C824+C825</f>
        <v>52</v>
      </c>
      <c r="D823" s="207"/>
      <c r="E823" s="209"/>
      <c r="F823" s="209"/>
      <c r="G823" s="207"/>
      <c r="H823" s="209"/>
      <c r="I823" s="209"/>
      <c r="J823" s="209"/>
      <c r="K823" s="209"/>
      <c r="L823" s="207"/>
      <c r="M823" s="207"/>
      <c r="N823" s="207"/>
      <c r="O823" s="207"/>
      <c r="P823" s="209"/>
      <c r="Q823" s="207"/>
      <c r="R823" s="207"/>
      <c r="S823" s="207"/>
      <c r="T823" s="207"/>
      <c r="U823" s="209"/>
      <c r="V823" s="207"/>
      <c r="W823" s="207"/>
      <c r="X823" s="207"/>
      <c r="Y823" s="210"/>
      <c r="Z823" s="209"/>
      <c r="AA823" s="211"/>
      <c r="AB823" s="209"/>
      <c r="AC823" s="211"/>
      <c r="AD823" s="211"/>
      <c r="AE823" s="211"/>
      <c r="AF823" s="211"/>
      <c r="AG823" s="211"/>
      <c r="AH823" s="4"/>
      <c r="AI823" s="255"/>
      <c r="AJ823" s="180"/>
      <c r="AQ823" s="180"/>
      <c r="AR823" s="180"/>
      <c r="AS823" s="180"/>
      <c r="AT823" s="180"/>
      <c r="AU823" s="180"/>
      <c r="AV823" s="180"/>
      <c r="AW823" s="180"/>
    </row>
    <row r="824" spans="1:49" s="193" customFormat="1">
      <c r="A824" s="180"/>
      <c r="B824" s="238" t="s">
        <v>68</v>
      </c>
      <c r="C824" s="239">
        <f>9+10+10+8+11</f>
        <v>48</v>
      </c>
      <c r="D824" s="207"/>
      <c r="E824" s="209"/>
      <c r="F824" s="209"/>
      <c r="G824" s="207"/>
      <c r="H824" s="209"/>
      <c r="I824" s="209"/>
      <c r="J824" s="209"/>
      <c r="K824" s="209"/>
      <c r="L824" s="207"/>
      <c r="M824" s="207"/>
      <c r="N824" s="207"/>
      <c r="O824" s="207"/>
      <c r="P824" s="209"/>
      <c r="Q824" s="207"/>
      <c r="R824" s="207"/>
      <c r="S824" s="207"/>
      <c r="T824" s="207"/>
      <c r="U824" s="209"/>
      <c r="V824" s="207"/>
      <c r="W824" s="207"/>
      <c r="X824" s="207"/>
      <c r="Y824" s="210"/>
      <c r="Z824" s="209"/>
      <c r="AA824" s="211"/>
      <c r="AB824" s="209"/>
      <c r="AC824" s="211"/>
      <c r="AD824" s="211"/>
      <c r="AE824" s="211"/>
      <c r="AF824" s="211"/>
      <c r="AG824" s="211"/>
      <c r="AH824" s="4"/>
      <c r="AI824" s="255"/>
      <c r="AJ824" s="180"/>
      <c r="AQ824" s="180"/>
      <c r="AR824" s="180"/>
      <c r="AS824" s="180"/>
      <c r="AT824" s="180"/>
      <c r="AU824" s="180"/>
      <c r="AV824" s="180"/>
      <c r="AW824" s="180"/>
    </row>
    <row r="825" spans="1:49" s="193" customFormat="1">
      <c r="A825" s="180"/>
      <c r="B825" s="238" t="s">
        <v>69</v>
      </c>
      <c r="C825" s="239">
        <f>1+3</f>
        <v>4</v>
      </c>
      <c r="D825" s="207"/>
      <c r="E825" s="209"/>
      <c r="F825" s="209"/>
      <c r="G825" s="207"/>
      <c r="H825" s="209"/>
      <c r="I825" s="209"/>
      <c r="J825" s="209"/>
      <c r="K825" s="209"/>
      <c r="L825" s="207"/>
      <c r="M825" s="207"/>
      <c r="N825" s="207"/>
      <c r="O825" s="207"/>
      <c r="P825" s="209"/>
      <c r="Q825" s="207"/>
      <c r="R825" s="207"/>
      <c r="S825" s="207"/>
      <c r="T825" s="207"/>
      <c r="U825" s="209"/>
      <c r="V825" s="207"/>
      <c r="W825" s="207"/>
      <c r="X825" s="207"/>
      <c r="Y825" s="210"/>
      <c r="Z825" s="209"/>
      <c r="AA825" s="211"/>
      <c r="AB825" s="209"/>
      <c r="AC825" s="211"/>
      <c r="AD825" s="211"/>
      <c r="AE825" s="211"/>
      <c r="AF825" s="211"/>
      <c r="AG825" s="211"/>
      <c r="AH825" s="4"/>
      <c r="AI825" s="255"/>
      <c r="AJ825" s="180"/>
      <c r="AQ825" s="180"/>
      <c r="AR825" s="180"/>
      <c r="AS825" s="180"/>
      <c r="AT825" s="180"/>
      <c r="AU825" s="180"/>
      <c r="AV825" s="180"/>
      <c r="AW825" s="180"/>
    </row>
    <row r="826" spans="1:49">
      <c r="B826" s="180"/>
      <c r="E826" s="4"/>
      <c r="F826" s="644"/>
      <c r="G826" s="4"/>
      <c r="J826" s="4"/>
      <c r="K826" s="644"/>
      <c r="L826" s="4"/>
      <c r="O826" s="4"/>
      <c r="P826" s="644"/>
      <c r="T826" s="4"/>
      <c r="U826" s="644"/>
      <c r="Y826" s="4"/>
      <c r="Z826" s="644"/>
      <c r="AA826" s="4"/>
      <c r="AB826" s="4"/>
      <c r="AC826" s="4"/>
    </row>
    <row r="827" spans="1:49">
      <c r="A827" s="180"/>
      <c r="B827" s="229"/>
      <c r="C827" s="230"/>
      <c r="D827" s="230"/>
      <c r="E827" s="232"/>
      <c r="F827" s="232"/>
      <c r="G827" s="230"/>
      <c r="H827" s="232"/>
      <c r="I827" s="232"/>
      <c r="J827" s="232"/>
      <c r="K827" s="232"/>
      <c r="L827" s="230"/>
      <c r="M827" s="230"/>
      <c r="N827" s="230"/>
      <c r="O827" s="230"/>
      <c r="P827" s="232"/>
      <c r="Q827" s="230"/>
      <c r="R827" s="230"/>
      <c r="S827" s="230"/>
      <c r="T827" s="230"/>
      <c r="U827" s="232"/>
      <c r="V827" s="230"/>
      <c r="W827" s="230"/>
      <c r="X827" s="230"/>
      <c r="Y827" s="233"/>
      <c r="Z827" s="232"/>
      <c r="AA827" s="234"/>
      <c r="AB827" s="232"/>
      <c r="AC827" s="373"/>
      <c r="AD827" s="236"/>
      <c r="AE827" s="255"/>
      <c r="AF827" s="255"/>
      <c r="AG827" s="255"/>
      <c r="AH827" s="255"/>
      <c r="AJ827" s="255"/>
      <c r="AK827" s="255"/>
      <c r="AL827" s="255"/>
      <c r="AM827" s="255"/>
      <c r="AN827" s="255"/>
      <c r="AO827" s="255"/>
      <c r="AP827" s="255"/>
      <c r="AQ827" s="255"/>
      <c r="AR827" s="255"/>
      <c r="AS827" s="255"/>
      <c r="AT827" s="255"/>
      <c r="AU827" s="255"/>
      <c r="AV827" s="255"/>
      <c r="AW827" s="255"/>
    </row>
    <row r="828" spans="1:49">
      <c r="B828" s="180"/>
      <c r="E828" s="4"/>
      <c r="F828" s="644"/>
      <c r="G828" s="4"/>
      <c r="J828" s="4"/>
      <c r="K828" s="644"/>
      <c r="L828" s="4"/>
      <c r="O828" s="4"/>
      <c r="P828" s="644"/>
      <c r="T828" s="4"/>
      <c r="U828" s="644"/>
      <c r="Y828" s="4"/>
      <c r="Z828" s="644"/>
      <c r="AA828" s="4"/>
      <c r="AB828" s="4"/>
      <c r="AC828" s="4"/>
      <c r="AK828" s="180"/>
      <c r="AL828" s="180"/>
      <c r="AM828" s="180"/>
      <c r="AN828" s="180"/>
      <c r="AO828" s="180"/>
      <c r="AP828" s="180"/>
    </row>
    <row r="829" spans="1:49">
      <c r="A829" s="228"/>
      <c r="B829" s="1518" t="s">
        <v>18</v>
      </c>
      <c r="C829" s="1519">
        <v>45677</v>
      </c>
      <c r="D829" s="1519"/>
      <c r="E829" s="1519"/>
      <c r="F829" s="1519"/>
      <c r="G829" s="365"/>
      <c r="H829" s="1519">
        <v>45678</v>
      </c>
      <c r="I829" s="1519"/>
      <c r="J829" s="1519"/>
      <c r="K829" s="1519"/>
      <c r="L829" s="365"/>
      <c r="M829" s="1519">
        <v>45679</v>
      </c>
      <c r="N829" s="1519"/>
      <c r="O829" s="1519"/>
      <c r="P829" s="1519"/>
      <c r="Q829" s="365"/>
      <c r="R829" s="1519">
        <v>45680</v>
      </c>
      <c r="S829" s="1519"/>
      <c r="T829" s="1519"/>
      <c r="U829" s="1519"/>
      <c r="V829" s="365"/>
      <c r="W829" s="1519">
        <v>45681</v>
      </c>
      <c r="X829" s="1519"/>
      <c r="Y829" s="1519"/>
      <c r="Z829" s="1519"/>
      <c r="AA829" s="1517" t="s">
        <v>19</v>
      </c>
      <c r="AB829" s="1517" t="s">
        <v>20</v>
      </c>
      <c r="AC829" s="4"/>
      <c r="AD829" s="1519"/>
      <c r="AE829" s="1519"/>
      <c r="AF829" s="1519"/>
      <c r="AG829" s="1517" t="s">
        <v>21</v>
      </c>
      <c r="AI829" s="368"/>
      <c r="AK829" s="194" t="s">
        <v>84</v>
      </c>
      <c r="AL829" s="366"/>
      <c r="AM829" s="366"/>
      <c r="AN829" s="366"/>
      <c r="AO829" s="366"/>
      <c r="AP829" s="366"/>
    </row>
    <row r="830" spans="1:49">
      <c r="A830" s="180"/>
      <c r="B830" s="1518"/>
      <c r="C830" s="21" t="s">
        <v>23</v>
      </c>
      <c r="D830" s="21" t="s">
        <v>24</v>
      </c>
      <c r="E830" s="205" t="s">
        <v>25</v>
      </c>
      <c r="F830" s="645" t="s">
        <v>14</v>
      </c>
      <c r="G830" s="4"/>
      <c r="H830" s="21" t="s">
        <v>23</v>
      </c>
      <c r="I830" s="21" t="s">
        <v>24</v>
      </c>
      <c r="J830" s="18" t="s">
        <v>25</v>
      </c>
      <c r="K830" s="645" t="s">
        <v>14</v>
      </c>
      <c r="L830" s="4"/>
      <c r="M830" s="21" t="s">
        <v>23</v>
      </c>
      <c r="N830" s="21" t="s">
        <v>24</v>
      </c>
      <c r="O830" s="18" t="s">
        <v>25</v>
      </c>
      <c r="P830" s="645" t="s">
        <v>14</v>
      </c>
      <c r="R830" s="21" t="s">
        <v>23</v>
      </c>
      <c r="S830" s="21" t="s">
        <v>24</v>
      </c>
      <c r="T830" s="18" t="s">
        <v>25</v>
      </c>
      <c r="U830" s="645" t="s">
        <v>14</v>
      </c>
      <c r="W830" s="21" t="s">
        <v>23</v>
      </c>
      <c r="X830" s="21" t="s">
        <v>24</v>
      </c>
      <c r="Y830" s="18" t="s">
        <v>25</v>
      </c>
      <c r="Z830" s="645" t="s">
        <v>14</v>
      </c>
      <c r="AA830" s="1517"/>
      <c r="AB830" s="1517"/>
      <c r="AC830" s="4"/>
      <c r="AD830" s="21" t="s">
        <v>23</v>
      </c>
      <c r="AE830" s="21" t="s">
        <v>24</v>
      </c>
      <c r="AF830" s="18" t="s">
        <v>25</v>
      </c>
      <c r="AG830" s="1517"/>
      <c r="AI830" s="368"/>
      <c r="AJ830" s="367"/>
      <c r="AK830" s="188" t="s">
        <v>26</v>
      </c>
      <c r="AL830" s="196">
        <f>AA861</f>
        <v>520.85</v>
      </c>
      <c r="AM830" s="510">
        <v>39.14</v>
      </c>
      <c r="AN830" s="510">
        <f t="shared" ref="AN830:AN833" si="116">AL830*AM830</f>
        <v>20386.069</v>
      </c>
      <c r="AQ830" s="367"/>
      <c r="AR830" s="367"/>
      <c r="AS830" s="367"/>
      <c r="AT830" s="367"/>
      <c r="AU830" s="367"/>
      <c r="AV830" s="367"/>
      <c r="AW830" s="367"/>
    </row>
    <row r="831" spans="1:49" ht="13.5" customHeight="1">
      <c r="A831" s="180"/>
      <c r="B831" s="4" t="s">
        <v>958</v>
      </c>
      <c r="C831" s="1561" t="s">
        <v>1029</v>
      </c>
      <c r="D831" s="1561"/>
      <c r="E831" s="1561"/>
      <c r="F831" s="646"/>
      <c r="G831" s="4"/>
      <c r="H831" s="47">
        <v>0.35416666666666669</v>
      </c>
      <c r="I831" s="47">
        <v>0.20833333333333334</v>
      </c>
      <c r="J831" s="319">
        <v>7.5</v>
      </c>
      <c r="K831" s="646"/>
      <c r="L831" s="4"/>
      <c r="M831" s="441" t="s">
        <v>83</v>
      </c>
      <c r="N831" s="47">
        <v>0.25</v>
      </c>
      <c r="O831" s="319">
        <v>7.5</v>
      </c>
      <c r="P831" s="646"/>
      <c r="R831" s="47">
        <v>0.42708333333333331</v>
      </c>
      <c r="S831" s="47">
        <v>0.25</v>
      </c>
      <c r="T831" s="319">
        <v>6.75</v>
      </c>
      <c r="U831" s="646"/>
      <c r="W831" s="667" t="s">
        <v>960</v>
      </c>
      <c r="X831" s="565"/>
      <c r="Y831" s="319">
        <v>0</v>
      </c>
      <c r="Z831" s="646"/>
      <c r="AA831" s="328">
        <f t="shared" ref="AA831:AA860" si="117">(E831+J831+O831+T831+Y831)</f>
        <v>21.75</v>
      </c>
      <c r="AB831" s="298">
        <f t="shared" ref="AB831:AB860" si="118">Z831+U831+P831+K831+F831</f>
        <v>0</v>
      </c>
      <c r="AC831" s="4"/>
      <c r="AD831" s="587"/>
      <c r="AE831" s="531"/>
      <c r="AF831" s="319"/>
      <c r="AG831" s="328">
        <f t="shared" ref="AG831:AG860" si="119">AF831</f>
        <v>0</v>
      </c>
      <c r="AI831" s="368"/>
      <c r="AJ831" s="367"/>
      <c r="AK831" s="188" t="s">
        <v>30</v>
      </c>
      <c r="AL831" s="196">
        <f>AB861</f>
        <v>8</v>
      </c>
      <c r="AM831" s="511">
        <f>AM830*1.5</f>
        <v>58.71</v>
      </c>
      <c r="AN831" s="510">
        <f t="shared" si="116"/>
        <v>469.68</v>
      </c>
      <c r="AQ831" s="367"/>
      <c r="AR831" s="367"/>
      <c r="AS831" s="367"/>
      <c r="AT831" s="367"/>
      <c r="AU831" s="367"/>
      <c r="AV831" s="367"/>
      <c r="AW831" s="367"/>
    </row>
    <row r="832" spans="1:49">
      <c r="A832" s="367"/>
      <c r="B832" s="47" t="s">
        <v>515</v>
      </c>
      <c r="C832" s="1561"/>
      <c r="D832" s="1561"/>
      <c r="E832" s="1561"/>
      <c r="F832" s="646"/>
      <c r="G832" s="4"/>
      <c r="H832" s="441" t="s">
        <v>125</v>
      </c>
      <c r="I832" s="47">
        <v>0.20833333333333334</v>
      </c>
      <c r="J832" s="319">
        <v>8</v>
      </c>
      <c r="K832" s="646"/>
      <c r="L832" s="4"/>
      <c r="M832" s="667" t="s">
        <v>137</v>
      </c>
      <c r="N832" s="565"/>
      <c r="O832" s="319">
        <v>0</v>
      </c>
      <c r="P832" s="646"/>
      <c r="R832" s="667" t="s">
        <v>960</v>
      </c>
      <c r="S832" s="565"/>
      <c r="T832" s="319">
        <v>0</v>
      </c>
      <c r="U832" s="646"/>
      <c r="W832" s="667" t="s">
        <v>960</v>
      </c>
      <c r="X832" s="565"/>
      <c r="Y832" s="319">
        <v>0</v>
      </c>
      <c r="Z832" s="646"/>
      <c r="AA832" s="328">
        <f t="shared" si="117"/>
        <v>8</v>
      </c>
      <c r="AB832" s="298">
        <f t="shared" si="118"/>
        <v>0</v>
      </c>
      <c r="AC832" s="4"/>
      <c r="AF832" s="319"/>
      <c r="AG832" s="328">
        <f t="shared" si="119"/>
        <v>0</v>
      </c>
      <c r="AH832" s="175"/>
      <c r="AI832" s="402"/>
      <c r="AJ832" s="367"/>
      <c r="AK832" s="188" t="s">
        <v>32</v>
      </c>
      <c r="AL832" s="196">
        <f>AG861</f>
        <v>0</v>
      </c>
      <c r="AM832" s="510">
        <v>58.71</v>
      </c>
      <c r="AN832" s="510">
        <f t="shared" si="116"/>
        <v>0</v>
      </c>
      <c r="AQ832" s="367"/>
      <c r="AR832" s="367"/>
      <c r="AS832" s="367"/>
      <c r="AT832" s="367"/>
      <c r="AU832" s="367"/>
      <c r="AV832" s="367"/>
      <c r="AW832" s="367"/>
    </row>
    <row r="833" spans="1:49">
      <c r="A833" s="367"/>
      <c r="B833" s="441" t="s">
        <v>962</v>
      </c>
      <c r="C833" s="1561"/>
      <c r="D833" s="1561"/>
      <c r="E833" s="1561"/>
      <c r="F833" s="646"/>
      <c r="G833" s="4"/>
      <c r="H833" s="47">
        <v>0.34375</v>
      </c>
      <c r="I833" s="47">
        <v>0.20833333333333334</v>
      </c>
      <c r="J833" s="319">
        <v>7.5</v>
      </c>
      <c r="K833" s="646"/>
      <c r="L833" s="4"/>
      <c r="M833" s="667" t="s">
        <v>960</v>
      </c>
      <c r="N833" s="565"/>
      <c r="O833" s="319">
        <v>0</v>
      </c>
      <c r="P833" s="646"/>
      <c r="R833" s="47">
        <v>0.375</v>
      </c>
      <c r="S833" s="47">
        <v>0.25</v>
      </c>
      <c r="T833" s="319">
        <v>8</v>
      </c>
      <c r="U833" s="646"/>
      <c r="W833" s="667" t="s">
        <v>960</v>
      </c>
      <c r="X833" s="565"/>
      <c r="Y833" s="319">
        <v>0</v>
      </c>
      <c r="Z833" s="646"/>
      <c r="AA833" s="328">
        <f t="shared" si="117"/>
        <v>15.5</v>
      </c>
      <c r="AB833" s="298">
        <f t="shared" si="118"/>
        <v>0</v>
      </c>
      <c r="AC833" s="399"/>
      <c r="AD833" s="47"/>
      <c r="AE833" s="47"/>
      <c r="AF833" s="319"/>
      <c r="AG833" s="328">
        <f t="shared" si="119"/>
        <v>0</v>
      </c>
      <c r="AH833" s="175"/>
      <c r="AJ833" s="401"/>
      <c r="AK833" s="403" t="s">
        <v>213</v>
      </c>
      <c r="AL833" s="404">
        <f>AA863</f>
        <v>30.5</v>
      </c>
      <c r="AM833" s="510">
        <v>51.5</v>
      </c>
      <c r="AN833" s="510">
        <f t="shared" si="116"/>
        <v>1570.75</v>
      </c>
      <c r="AO833" s="405"/>
      <c r="AP833" s="405"/>
      <c r="AQ833" s="367"/>
      <c r="AR833" s="401"/>
      <c r="AS833" s="401"/>
      <c r="AT833" s="401"/>
      <c r="AU833" s="401"/>
      <c r="AV833" s="401"/>
      <c r="AW833" s="401"/>
    </row>
    <row r="834" spans="1:49">
      <c r="A834" s="367"/>
      <c r="B834" s="47" t="s">
        <v>967</v>
      </c>
      <c r="C834" s="1561"/>
      <c r="D834" s="1561"/>
      <c r="E834" s="1561"/>
      <c r="F834" s="646"/>
      <c r="G834" s="4"/>
      <c r="H834" s="667" t="s">
        <v>137</v>
      </c>
      <c r="I834" s="565"/>
      <c r="J834" s="319">
        <v>0</v>
      </c>
      <c r="K834" s="646"/>
      <c r="L834" s="4"/>
      <c r="M834" s="667" t="s">
        <v>137</v>
      </c>
      <c r="N834" s="565"/>
      <c r="O834" s="319">
        <v>0</v>
      </c>
      <c r="P834" s="646"/>
      <c r="R834" s="667" t="s">
        <v>960</v>
      </c>
      <c r="S834" s="565"/>
      <c r="T834" s="319">
        <v>0</v>
      </c>
      <c r="U834" s="646"/>
      <c r="W834" s="667" t="s">
        <v>960</v>
      </c>
      <c r="X834" s="565"/>
      <c r="Y834" s="319">
        <v>0</v>
      </c>
      <c r="Z834" s="646"/>
      <c r="AA834" s="328">
        <f t="shared" si="117"/>
        <v>0</v>
      </c>
      <c r="AB834" s="298">
        <f t="shared" si="118"/>
        <v>0</v>
      </c>
      <c r="AC834" s="4"/>
      <c r="AD834" s="47"/>
      <c r="AE834" s="47"/>
      <c r="AF834" s="319"/>
      <c r="AG834" s="328">
        <f t="shared" si="119"/>
        <v>0</v>
      </c>
      <c r="AH834" s="175"/>
      <c r="AI834" s="368"/>
      <c r="AK834" s="188" t="s">
        <v>36</v>
      </c>
      <c r="AL834" s="196">
        <f>AB863</f>
        <v>5.5</v>
      </c>
      <c r="AM834" s="510">
        <f>AM833*1.5</f>
        <v>77.25</v>
      </c>
      <c r="AN834" s="510">
        <f>AL834*AM834</f>
        <v>424.875</v>
      </c>
      <c r="AQ834" s="367"/>
    </row>
    <row r="835" spans="1:49" s="4" customFormat="1">
      <c r="A835" s="180"/>
      <c r="B835" s="436" t="s">
        <v>972</v>
      </c>
      <c r="C835" s="1561"/>
      <c r="D835" s="1561"/>
      <c r="E835" s="1561"/>
      <c r="F835" s="646"/>
      <c r="H835" s="441" t="s">
        <v>212</v>
      </c>
      <c r="I835" s="47">
        <v>0.25</v>
      </c>
      <c r="J835" s="319">
        <v>7.75</v>
      </c>
      <c r="K835" s="646"/>
      <c r="M835" s="441" t="s">
        <v>75</v>
      </c>
      <c r="N835" s="47">
        <v>0.25</v>
      </c>
      <c r="O835" s="319">
        <v>8</v>
      </c>
      <c r="P835" s="646"/>
      <c r="R835" s="47">
        <v>0.375</v>
      </c>
      <c r="S835" s="47">
        <v>0.25</v>
      </c>
      <c r="T835" s="319">
        <v>8</v>
      </c>
      <c r="U835" s="646"/>
      <c r="W835" s="47">
        <v>0.20833333333333334</v>
      </c>
      <c r="X835" s="47">
        <v>0.25</v>
      </c>
      <c r="Y835" s="319">
        <v>8</v>
      </c>
      <c r="Z835" s="646">
        <v>4</v>
      </c>
      <c r="AA835" s="328">
        <f t="shared" si="117"/>
        <v>31.75</v>
      </c>
      <c r="AB835" s="298">
        <f t="shared" si="118"/>
        <v>4</v>
      </c>
      <c r="AD835" s="47"/>
      <c r="AE835" s="47"/>
      <c r="AF835" s="319"/>
      <c r="AG835" s="328">
        <f t="shared" si="119"/>
        <v>0</v>
      </c>
      <c r="AI835" s="255"/>
      <c r="AJ835" s="180"/>
      <c r="AK835" s="188" t="s">
        <v>38</v>
      </c>
      <c r="AL835" s="196">
        <f>AG863</f>
        <v>1</v>
      </c>
      <c r="AM835" s="510">
        <v>77.25</v>
      </c>
      <c r="AN835" s="510">
        <f>AL835*AM835</f>
        <v>77.25</v>
      </c>
      <c r="AO835" s="193"/>
      <c r="AP835" s="193"/>
      <c r="AQ835" s="367"/>
      <c r="AR835" s="180"/>
      <c r="AS835" s="180"/>
      <c r="AT835" s="180"/>
      <c r="AU835" s="180"/>
      <c r="AV835" s="180"/>
      <c r="AW835" s="180"/>
    </row>
    <row r="836" spans="1:49" s="4" customFormat="1">
      <c r="A836" s="180"/>
      <c r="B836" s="47" t="s">
        <v>974</v>
      </c>
      <c r="C836" s="1561"/>
      <c r="D836" s="1561"/>
      <c r="E836" s="1561"/>
      <c r="F836" s="646"/>
      <c r="H836" s="441" t="s">
        <v>125</v>
      </c>
      <c r="I836" s="47">
        <v>0.20833333333333334</v>
      </c>
      <c r="J836" s="319">
        <v>8</v>
      </c>
      <c r="K836" s="646"/>
      <c r="M836" s="441" t="s">
        <v>75</v>
      </c>
      <c r="N836" s="47">
        <v>0.25</v>
      </c>
      <c r="O836" s="319">
        <v>8</v>
      </c>
      <c r="P836" s="646"/>
      <c r="R836" s="47">
        <v>0.375</v>
      </c>
      <c r="S836" s="47">
        <v>0.25</v>
      </c>
      <c r="T836" s="319">
        <v>8</v>
      </c>
      <c r="U836" s="646"/>
      <c r="W836" s="47">
        <v>0.33333333333333331</v>
      </c>
      <c r="X836" s="47">
        <v>0.20833333333333334</v>
      </c>
      <c r="Y836" s="319">
        <v>8</v>
      </c>
      <c r="Z836" s="646"/>
      <c r="AA836" s="328">
        <f t="shared" si="117"/>
        <v>32</v>
      </c>
      <c r="AB836" s="298">
        <f t="shared" si="118"/>
        <v>0</v>
      </c>
      <c r="AD836" s="47"/>
      <c r="AE836" s="47"/>
      <c r="AF836" s="319"/>
      <c r="AG836" s="328">
        <f t="shared" si="119"/>
        <v>0</v>
      </c>
      <c r="AI836" s="255"/>
      <c r="AJ836" s="180"/>
      <c r="AK836" s="188"/>
      <c r="AL836" s="196"/>
      <c r="AM836" s="510"/>
      <c r="AN836" s="510"/>
      <c r="AO836" s="193"/>
      <c r="AP836" s="193"/>
      <c r="AQ836" s="367"/>
      <c r="AR836" s="180"/>
      <c r="AS836" s="180"/>
      <c r="AT836" s="180"/>
      <c r="AU836" s="180"/>
      <c r="AV836" s="180"/>
      <c r="AW836" s="180"/>
    </row>
    <row r="837" spans="1:49" s="4" customFormat="1">
      <c r="A837" s="180"/>
      <c r="B837" s="47" t="s">
        <v>517</v>
      </c>
      <c r="C837" s="1561"/>
      <c r="D837" s="1561"/>
      <c r="E837" s="1561"/>
      <c r="F837" s="646"/>
      <c r="H837" s="667" t="s">
        <v>960</v>
      </c>
      <c r="I837" s="565"/>
      <c r="J837" s="319">
        <v>0</v>
      </c>
      <c r="K837" s="646"/>
      <c r="M837" s="47">
        <v>0.375</v>
      </c>
      <c r="N837" s="47">
        <v>0.25</v>
      </c>
      <c r="O837" s="319">
        <v>8</v>
      </c>
      <c r="P837" s="646"/>
      <c r="R837" s="47">
        <v>0.375</v>
      </c>
      <c r="S837" s="47">
        <v>0.20833333333333334</v>
      </c>
      <c r="T837" s="319">
        <v>8</v>
      </c>
      <c r="U837" s="646"/>
      <c r="W837" s="47">
        <v>0.375</v>
      </c>
      <c r="X837" s="47">
        <v>0.25</v>
      </c>
      <c r="Y837" s="319">
        <v>8</v>
      </c>
      <c r="Z837" s="646"/>
      <c r="AA837" s="328">
        <f t="shared" si="117"/>
        <v>24</v>
      </c>
      <c r="AB837" s="298">
        <f t="shared" si="118"/>
        <v>0</v>
      </c>
      <c r="AD837" s="47"/>
      <c r="AE837" s="47"/>
      <c r="AF837" s="319"/>
      <c r="AG837" s="328">
        <f t="shared" si="119"/>
        <v>0</v>
      </c>
      <c r="AI837" s="255"/>
      <c r="AJ837" s="180"/>
      <c r="AK837" s="193"/>
      <c r="AL837" s="193"/>
      <c r="AM837" s="193"/>
      <c r="AN837" s="510">
        <f>SUM(AN830:AN835)</f>
        <v>22928.624</v>
      </c>
      <c r="AO837" s="193"/>
      <c r="AP837" s="193"/>
      <c r="AQ837" s="180"/>
      <c r="AR837" s="180"/>
      <c r="AS837" s="180"/>
      <c r="AT837" s="180"/>
      <c r="AU837" s="180"/>
      <c r="AV837" s="180"/>
      <c r="AW837" s="180"/>
    </row>
    <row r="838" spans="1:49" s="4" customFormat="1">
      <c r="A838" s="180"/>
      <c r="B838" s="436" t="s">
        <v>981</v>
      </c>
      <c r="C838" s="1561"/>
      <c r="D838" s="1561"/>
      <c r="E838" s="1561"/>
      <c r="F838" s="646"/>
      <c r="H838" s="441" t="s">
        <v>125</v>
      </c>
      <c r="I838" s="47">
        <v>0.20833333333333334</v>
      </c>
      <c r="J838" s="319">
        <v>8</v>
      </c>
      <c r="K838" s="646"/>
      <c r="M838" s="667" t="s">
        <v>960</v>
      </c>
      <c r="N838" s="565"/>
      <c r="O838" s="319">
        <v>0</v>
      </c>
      <c r="P838" s="646"/>
      <c r="R838" s="667" t="s">
        <v>960</v>
      </c>
      <c r="S838" s="565"/>
      <c r="T838" s="319">
        <v>0</v>
      </c>
      <c r="U838" s="646"/>
      <c r="W838" s="667" t="s">
        <v>960</v>
      </c>
      <c r="X838" s="565"/>
      <c r="Y838" s="319">
        <v>0</v>
      </c>
      <c r="Z838" s="646"/>
      <c r="AA838" s="328">
        <f t="shared" si="117"/>
        <v>8</v>
      </c>
      <c r="AB838" s="298">
        <f t="shared" si="118"/>
        <v>0</v>
      </c>
      <c r="AD838" s="47"/>
      <c r="AE838" s="47"/>
      <c r="AF838" s="319"/>
      <c r="AG838" s="328">
        <f t="shared" si="119"/>
        <v>0</v>
      </c>
      <c r="AI838" s="255"/>
      <c r="AJ838" s="180"/>
      <c r="AK838" s="193"/>
      <c r="AL838" s="193"/>
      <c r="AM838" s="193"/>
      <c r="AN838" s="193"/>
      <c r="AO838" s="193"/>
      <c r="AP838" s="193"/>
      <c r="AQ838" s="180"/>
      <c r="AR838" s="180"/>
      <c r="AS838" s="180"/>
      <c r="AT838" s="180"/>
      <c r="AU838" s="180"/>
      <c r="AV838" s="180"/>
      <c r="AW838" s="180"/>
    </row>
    <row r="839" spans="1:49" s="4" customFormat="1">
      <c r="A839" s="180"/>
      <c r="B839" s="4" t="s">
        <v>976</v>
      </c>
      <c r="C839" s="1561"/>
      <c r="D839" s="1561"/>
      <c r="E839" s="1561"/>
      <c r="F839" s="646"/>
      <c r="H839" s="667" t="s">
        <v>960</v>
      </c>
      <c r="I839" s="565"/>
      <c r="J839" s="319">
        <v>0</v>
      </c>
      <c r="K839" s="646"/>
      <c r="M839" s="441" t="s">
        <v>75</v>
      </c>
      <c r="N839" s="47">
        <v>4.1666666666666664E-2</v>
      </c>
      <c r="O839" s="319">
        <v>4</v>
      </c>
      <c r="P839" s="646"/>
      <c r="R839" s="667" t="s">
        <v>960</v>
      </c>
      <c r="S839" s="565"/>
      <c r="T839" s="319">
        <v>0</v>
      </c>
      <c r="U839" s="646"/>
      <c r="W839" s="47">
        <v>0.52083333333333337</v>
      </c>
      <c r="X839" s="47">
        <v>0.1875</v>
      </c>
      <c r="Y839" s="319">
        <v>4</v>
      </c>
      <c r="Z839" s="646"/>
      <c r="AA839" s="328">
        <f t="shared" si="117"/>
        <v>8</v>
      </c>
      <c r="AB839" s="298">
        <f t="shared" si="118"/>
        <v>0</v>
      </c>
      <c r="AD839" s="47"/>
      <c r="AE839" s="47"/>
      <c r="AF839" s="319"/>
      <c r="AG839" s="328">
        <f t="shared" si="119"/>
        <v>0</v>
      </c>
      <c r="AI839" s="255"/>
      <c r="AJ839" s="180"/>
      <c r="AK839" s="193"/>
      <c r="AL839" s="193"/>
      <c r="AM839" s="193"/>
      <c r="AN839" s="193"/>
      <c r="AO839" s="193"/>
      <c r="AP839" s="193"/>
      <c r="AQ839" s="180"/>
      <c r="AR839" s="180"/>
      <c r="AS839" s="180"/>
      <c r="AT839" s="180"/>
      <c r="AU839" s="180"/>
      <c r="AV839" s="180"/>
      <c r="AW839" s="180"/>
    </row>
    <row r="840" spans="1:49" s="4" customFormat="1">
      <c r="A840" s="180"/>
      <c r="B840" s="374" t="s">
        <v>998</v>
      </c>
      <c r="C840" s="1561"/>
      <c r="D840" s="1561"/>
      <c r="E840" s="1561"/>
      <c r="F840" s="646"/>
      <c r="H840" s="441" t="s">
        <v>75</v>
      </c>
      <c r="I840" s="47">
        <v>0.25</v>
      </c>
      <c r="J840" s="319">
        <v>8</v>
      </c>
      <c r="K840" s="646"/>
      <c r="M840" s="441" t="s">
        <v>75</v>
      </c>
      <c r="N840" s="47">
        <v>0.25</v>
      </c>
      <c r="O840" s="319">
        <v>8</v>
      </c>
      <c r="P840" s="646"/>
      <c r="R840" s="47">
        <v>0.375</v>
      </c>
      <c r="S840" s="47">
        <v>0.25</v>
      </c>
      <c r="T840" s="319">
        <v>8</v>
      </c>
      <c r="U840" s="646"/>
      <c r="W840" s="47">
        <v>0.375</v>
      </c>
      <c r="X840" s="47">
        <v>0.25</v>
      </c>
      <c r="Y840" s="319">
        <v>8</v>
      </c>
      <c r="Z840" s="646"/>
      <c r="AA840" s="328">
        <f t="shared" si="117"/>
        <v>32</v>
      </c>
      <c r="AB840" s="298">
        <f t="shared" si="118"/>
        <v>0</v>
      </c>
      <c r="AD840" s="47"/>
      <c r="AE840" s="47"/>
      <c r="AF840" s="319"/>
      <c r="AG840" s="328">
        <f t="shared" si="119"/>
        <v>0</v>
      </c>
      <c r="AI840" s="255"/>
      <c r="AJ840" s="180"/>
      <c r="AK840" s="193"/>
      <c r="AL840" s="193"/>
      <c r="AM840" s="193"/>
      <c r="AN840" s="193"/>
      <c r="AO840" s="193"/>
      <c r="AP840" s="193"/>
      <c r="AQ840" s="180"/>
      <c r="AR840" s="180"/>
      <c r="AS840" s="180"/>
      <c r="AT840" s="180"/>
      <c r="AU840" s="180"/>
      <c r="AV840" s="180"/>
      <c r="AW840" s="180"/>
    </row>
    <row r="841" spans="1:49" s="4" customFormat="1">
      <c r="A841" s="180"/>
      <c r="B841" s="47" t="s">
        <v>977</v>
      </c>
      <c r="C841" s="1561"/>
      <c r="D841" s="1561"/>
      <c r="E841" s="1561"/>
      <c r="F841" s="646"/>
      <c r="H841" s="441" t="s">
        <v>125</v>
      </c>
      <c r="I841" s="47">
        <v>0.20833333333333334</v>
      </c>
      <c r="J841" s="319">
        <v>8</v>
      </c>
      <c r="K841" s="646"/>
      <c r="M841" s="441" t="s">
        <v>344</v>
      </c>
      <c r="N841" s="47">
        <v>0.20833333333333334</v>
      </c>
      <c r="O841" s="319">
        <v>7.75</v>
      </c>
      <c r="P841" s="646"/>
      <c r="R841" s="47">
        <v>0.375</v>
      </c>
      <c r="S841" s="47">
        <v>0.25</v>
      </c>
      <c r="T841" s="319">
        <v>8</v>
      </c>
      <c r="U841" s="646"/>
      <c r="W841" s="47">
        <v>0.375</v>
      </c>
      <c r="X841" s="47">
        <v>0.20833333333333334</v>
      </c>
      <c r="Y841" s="319">
        <v>7</v>
      </c>
      <c r="Z841" s="646"/>
      <c r="AA841" s="328">
        <f t="shared" si="117"/>
        <v>30.75</v>
      </c>
      <c r="AB841" s="298">
        <f t="shared" si="118"/>
        <v>0</v>
      </c>
      <c r="AD841" s="47"/>
      <c r="AE841" s="47"/>
      <c r="AF841" s="319"/>
      <c r="AG841" s="328">
        <f t="shared" si="119"/>
        <v>0</v>
      </c>
      <c r="AI841" s="255"/>
      <c r="AJ841" s="180"/>
      <c r="AK841" s="193"/>
      <c r="AL841" s="193"/>
      <c r="AM841" s="193"/>
      <c r="AN841" s="193"/>
      <c r="AO841" s="193"/>
      <c r="AP841" s="193"/>
      <c r="AQ841" s="180"/>
      <c r="AR841" s="180"/>
      <c r="AS841" s="180"/>
      <c r="AT841" s="180"/>
      <c r="AU841" s="180"/>
      <c r="AV841" s="180"/>
      <c r="AW841" s="180"/>
    </row>
    <row r="842" spans="1:49" s="4" customFormat="1">
      <c r="A842" s="180"/>
      <c r="B842" s="436" t="s">
        <v>394</v>
      </c>
      <c r="C842" s="1561"/>
      <c r="D842" s="1561"/>
      <c r="E842" s="1561"/>
      <c r="F842" s="646"/>
      <c r="H842" s="441" t="s">
        <v>75</v>
      </c>
      <c r="I842" s="47">
        <v>0.25</v>
      </c>
      <c r="J842" s="319">
        <v>8</v>
      </c>
      <c r="K842" s="646"/>
      <c r="M842" s="667" t="s">
        <v>1030</v>
      </c>
      <c r="N842" s="319">
        <v>8</v>
      </c>
      <c r="O842" s="319">
        <v>0</v>
      </c>
      <c r="P842" s="646"/>
      <c r="R842" s="667" t="s">
        <v>1030</v>
      </c>
      <c r="S842" s="319">
        <v>8</v>
      </c>
      <c r="T842" s="319">
        <v>0</v>
      </c>
      <c r="U842" s="646"/>
      <c r="W842" s="667" t="s">
        <v>1030</v>
      </c>
      <c r="X842" s="319">
        <v>8</v>
      </c>
      <c r="Y842" s="319">
        <v>0</v>
      </c>
      <c r="Z842" s="646"/>
      <c r="AA842" s="328">
        <f t="shared" si="117"/>
        <v>8</v>
      </c>
      <c r="AB842" s="298">
        <f t="shared" si="118"/>
        <v>0</v>
      </c>
      <c r="AD842" s="47"/>
      <c r="AE842" s="47"/>
      <c r="AF842" s="319"/>
      <c r="AG842" s="328">
        <f t="shared" si="119"/>
        <v>0</v>
      </c>
      <c r="AI842" s="255"/>
      <c r="AJ842" s="180"/>
      <c r="AK842" s="193"/>
      <c r="AL842" s="193"/>
      <c r="AM842" s="193"/>
      <c r="AN842" s="193"/>
      <c r="AO842" s="193"/>
      <c r="AP842" s="193"/>
      <c r="AQ842" s="180"/>
      <c r="AR842" s="180"/>
      <c r="AS842" s="180"/>
      <c r="AT842" s="180"/>
      <c r="AU842" s="180"/>
      <c r="AV842" s="180"/>
      <c r="AW842" s="180"/>
    </row>
    <row r="843" spans="1:49" s="4" customFormat="1">
      <c r="A843" s="180"/>
      <c r="B843" s="47" t="s">
        <v>519</v>
      </c>
      <c r="C843" s="1561"/>
      <c r="D843" s="1561"/>
      <c r="E843" s="1561"/>
      <c r="F843" s="646"/>
      <c r="H843" s="441" t="s">
        <v>125</v>
      </c>
      <c r="I843" s="441" t="s">
        <v>136</v>
      </c>
      <c r="J843" s="319">
        <v>8</v>
      </c>
      <c r="K843" s="646"/>
      <c r="M843" s="441" t="s">
        <v>344</v>
      </c>
      <c r="N843" s="441" t="s">
        <v>136</v>
      </c>
      <c r="O843" s="319">
        <v>8</v>
      </c>
      <c r="P843" s="646"/>
      <c r="R843" s="441" t="s">
        <v>75</v>
      </c>
      <c r="S843" s="47">
        <v>0.25</v>
      </c>
      <c r="T843" s="319">
        <v>8</v>
      </c>
      <c r="U843" s="646"/>
      <c r="W843" s="441" t="s">
        <v>125</v>
      </c>
      <c r="X843" s="441" t="s">
        <v>136</v>
      </c>
      <c r="Y843" s="319">
        <v>8</v>
      </c>
      <c r="Z843" s="646"/>
      <c r="AA843" s="328">
        <f t="shared" si="117"/>
        <v>32</v>
      </c>
      <c r="AB843" s="298">
        <f t="shared" si="118"/>
        <v>0</v>
      </c>
      <c r="AD843" s="47"/>
      <c r="AE843" s="47"/>
      <c r="AF843" s="319"/>
      <c r="AG843" s="328">
        <f t="shared" si="119"/>
        <v>0</v>
      </c>
      <c r="AI843" s="255"/>
      <c r="AJ843" s="180"/>
      <c r="AK843" s="193"/>
      <c r="AL843" s="193"/>
      <c r="AM843" s="193"/>
      <c r="AN843" s="193"/>
      <c r="AO843" s="193"/>
      <c r="AP843" s="193"/>
      <c r="AQ843" s="180"/>
      <c r="AR843" s="180"/>
      <c r="AS843" s="180"/>
      <c r="AT843" s="180"/>
      <c r="AU843" s="180"/>
      <c r="AV843" s="180"/>
      <c r="AW843" s="180"/>
    </row>
    <row r="844" spans="1:49" s="4" customFormat="1">
      <c r="A844" s="180"/>
      <c r="B844" s="327" t="s">
        <v>999</v>
      </c>
      <c r="C844" s="1561"/>
      <c r="D844" s="1561"/>
      <c r="E844" s="1561"/>
      <c r="F844" s="646"/>
      <c r="H844" s="441" t="s">
        <v>75</v>
      </c>
      <c r="I844" s="47">
        <v>0.25</v>
      </c>
      <c r="J844" s="319">
        <v>8</v>
      </c>
      <c r="K844" s="646"/>
      <c r="M844" s="667" t="s">
        <v>960</v>
      </c>
      <c r="N844" s="565"/>
      <c r="O844" s="319">
        <v>0</v>
      </c>
      <c r="P844" s="646"/>
      <c r="R844" s="47">
        <v>0.375</v>
      </c>
      <c r="S844" s="47">
        <v>0.25</v>
      </c>
      <c r="T844" s="319">
        <v>8</v>
      </c>
      <c r="U844" s="646"/>
      <c r="W844" s="47">
        <v>0.375</v>
      </c>
      <c r="X844" s="47">
        <v>0.25</v>
      </c>
      <c r="Y844" s="319">
        <v>8</v>
      </c>
      <c r="Z844" s="646"/>
      <c r="AA844" s="328">
        <f t="shared" si="117"/>
        <v>24</v>
      </c>
      <c r="AB844" s="298">
        <f t="shared" si="118"/>
        <v>0</v>
      </c>
      <c r="AD844" s="47"/>
      <c r="AE844" s="47"/>
      <c r="AF844" s="319"/>
      <c r="AG844" s="328">
        <f t="shared" si="119"/>
        <v>0</v>
      </c>
      <c r="AI844" s="255"/>
      <c r="AJ844" s="180"/>
      <c r="AK844" s="193"/>
      <c r="AL844" s="193"/>
      <c r="AM844" s="193"/>
      <c r="AN844" s="193"/>
      <c r="AO844" s="193"/>
      <c r="AP844" s="193"/>
      <c r="AQ844" s="180"/>
      <c r="AR844" s="180"/>
      <c r="AS844" s="180"/>
      <c r="AT844" s="180"/>
      <c r="AU844" s="180"/>
      <c r="AV844" s="180"/>
      <c r="AW844" s="180"/>
    </row>
    <row r="845" spans="1:49" s="4" customFormat="1">
      <c r="A845" s="180"/>
      <c r="B845" s="532" t="s">
        <v>545</v>
      </c>
      <c r="C845" s="1561"/>
      <c r="D845" s="1561"/>
      <c r="E845" s="1561"/>
      <c r="F845" s="646"/>
      <c r="H845" s="441" t="s">
        <v>125</v>
      </c>
      <c r="I845" s="47">
        <v>8.3333333333333329E-2</v>
      </c>
      <c r="J845" s="319">
        <v>6</v>
      </c>
      <c r="K845" s="646"/>
      <c r="M845" s="667" t="s">
        <v>960</v>
      </c>
      <c r="N845" s="565"/>
      <c r="O845" s="319">
        <v>0</v>
      </c>
      <c r="P845" s="646"/>
      <c r="R845" s="667" t="s">
        <v>960</v>
      </c>
      <c r="S845" s="565"/>
      <c r="T845" s="319">
        <v>0</v>
      </c>
      <c r="U845" s="646"/>
      <c r="W845" s="667" t="s">
        <v>960</v>
      </c>
      <c r="X845" s="565"/>
      <c r="Y845" s="319">
        <v>0</v>
      </c>
      <c r="Z845" s="646"/>
      <c r="AA845" s="328">
        <f t="shared" ref="AA845:AA847" si="120">(E845+J845+O845+T845+Y845)</f>
        <v>6</v>
      </c>
      <c r="AB845" s="298">
        <f t="shared" ref="AB845:AB847" si="121">Z845+U845+P845+K845+F845</f>
        <v>0</v>
      </c>
      <c r="AD845" s="47"/>
      <c r="AE845" s="47"/>
      <c r="AF845" s="319"/>
      <c r="AG845" s="328">
        <f t="shared" ref="AG845:AG847" si="122">AF845</f>
        <v>0</v>
      </c>
      <c r="AI845" s="255"/>
      <c r="AJ845" s="180"/>
      <c r="AK845" s="193"/>
      <c r="AL845" s="193"/>
      <c r="AM845" s="193"/>
      <c r="AN845" s="193"/>
      <c r="AO845" s="193"/>
      <c r="AP845" s="193"/>
      <c r="AQ845" s="180"/>
      <c r="AR845" s="180"/>
      <c r="AS845" s="180"/>
      <c r="AT845" s="180"/>
      <c r="AU845" s="180"/>
      <c r="AV845" s="180"/>
      <c r="AW845" s="180"/>
    </row>
    <row r="846" spans="1:49" s="4" customFormat="1">
      <c r="A846" s="180"/>
      <c r="B846" s="532" t="s">
        <v>1031</v>
      </c>
      <c r="C846" s="1561"/>
      <c r="D846" s="1561"/>
      <c r="E846" s="1561"/>
      <c r="F846" s="646"/>
      <c r="H846" s="667" t="s">
        <v>960</v>
      </c>
      <c r="I846" s="565"/>
      <c r="J846" s="319">
        <v>0</v>
      </c>
      <c r="K846" s="646"/>
      <c r="M846" s="667" t="s">
        <v>960</v>
      </c>
      <c r="N846" s="565"/>
      <c r="O846" s="319">
        <v>0</v>
      </c>
      <c r="P846" s="646"/>
      <c r="R846" s="47">
        <v>0.375</v>
      </c>
      <c r="S846" s="47">
        <v>0.25</v>
      </c>
      <c r="T846" s="319">
        <v>8</v>
      </c>
      <c r="U846" s="646"/>
      <c r="W846" s="667" t="s">
        <v>960</v>
      </c>
      <c r="X846" s="565"/>
      <c r="Y846" s="319">
        <v>0</v>
      </c>
      <c r="Z846" s="646"/>
      <c r="AA846" s="328">
        <f t="shared" si="120"/>
        <v>8</v>
      </c>
      <c r="AB846" s="298">
        <f t="shared" si="121"/>
        <v>0</v>
      </c>
      <c r="AD846" s="47"/>
      <c r="AE846" s="47"/>
      <c r="AF846" s="319"/>
      <c r="AG846" s="328">
        <f t="shared" si="122"/>
        <v>0</v>
      </c>
      <c r="AI846" s="255"/>
      <c r="AJ846" s="180"/>
      <c r="AK846" s="193"/>
      <c r="AL846" s="193"/>
      <c r="AM846" s="193"/>
      <c r="AN846" s="193"/>
      <c r="AO846" s="193"/>
      <c r="AP846" s="193"/>
      <c r="AQ846" s="180"/>
      <c r="AR846" s="180"/>
      <c r="AS846" s="180"/>
      <c r="AT846" s="180"/>
      <c r="AU846" s="180"/>
      <c r="AV846" s="180"/>
      <c r="AW846" s="180"/>
    </row>
    <row r="847" spans="1:49" s="4" customFormat="1">
      <c r="A847" s="180"/>
      <c r="B847" s="532" t="s">
        <v>1032</v>
      </c>
      <c r="C847" s="1561"/>
      <c r="D847" s="1561"/>
      <c r="E847" s="1561"/>
      <c r="F847" s="646"/>
      <c r="H847" s="667" t="s">
        <v>960</v>
      </c>
      <c r="I847" s="565"/>
      <c r="J847" s="319">
        <v>0</v>
      </c>
      <c r="K847" s="646"/>
      <c r="M847" s="667" t="s">
        <v>960</v>
      </c>
      <c r="N847" s="565"/>
      <c r="O847" s="319">
        <v>0</v>
      </c>
      <c r="P847" s="646"/>
      <c r="R847" s="667" t="s">
        <v>960</v>
      </c>
      <c r="S847" s="565"/>
      <c r="T847" s="319">
        <v>0</v>
      </c>
      <c r="U847" s="646"/>
      <c r="W847" s="47">
        <v>0.375</v>
      </c>
      <c r="X847" s="47">
        <v>0.25</v>
      </c>
      <c r="Y847" s="319">
        <v>8</v>
      </c>
      <c r="Z847" s="646"/>
      <c r="AA847" s="328">
        <f t="shared" si="120"/>
        <v>8</v>
      </c>
      <c r="AB847" s="298">
        <f t="shared" si="121"/>
        <v>0</v>
      </c>
      <c r="AD847" s="47"/>
      <c r="AE847" s="47"/>
      <c r="AF847" s="319"/>
      <c r="AG847" s="328">
        <f t="shared" si="122"/>
        <v>0</v>
      </c>
      <c r="AI847" s="255"/>
      <c r="AJ847" s="180"/>
      <c r="AK847" s="193"/>
      <c r="AL847" s="193"/>
      <c r="AM847" s="193"/>
      <c r="AN847" s="193"/>
      <c r="AO847" s="193"/>
      <c r="AP847" s="193"/>
      <c r="AQ847" s="180"/>
      <c r="AR847" s="180"/>
      <c r="AS847" s="180"/>
      <c r="AT847" s="180"/>
      <c r="AU847" s="180"/>
      <c r="AV847" s="180"/>
      <c r="AW847" s="180"/>
    </row>
    <row r="848" spans="1:49" s="4" customFormat="1">
      <c r="A848" s="180"/>
      <c r="B848" s="502"/>
      <c r="C848" s="1561"/>
      <c r="D848" s="1561"/>
      <c r="E848" s="1561"/>
      <c r="F848" s="646"/>
      <c r="H848" s="5"/>
      <c r="I848" s="5"/>
      <c r="J848" s="319"/>
      <c r="K848" s="646"/>
      <c r="M848" s="5"/>
      <c r="N848" s="5"/>
      <c r="O848" s="319"/>
      <c r="P848" s="646"/>
      <c r="R848" s="5"/>
      <c r="S848" s="5"/>
      <c r="T848" s="319"/>
      <c r="U848" s="646"/>
      <c r="W848" s="5"/>
      <c r="X848" s="5"/>
      <c r="Y848" s="319"/>
      <c r="Z848" s="646"/>
      <c r="AA848" s="328">
        <f t="shared" si="117"/>
        <v>0</v>
      </c>
      <c r="AB848" s="298">
        <f t="shared" si="118"/>
        <v>0</v>
      </c>
      <c r="AD848" s="47"/>
      <c r="AE848" s="47"/>
      <c r="AF848" s="319"/>
      <c r="AG848" s="328">
        <f t="shared" si="119"/>
        <v>0</v>
      </c>
      <c r="AI848" s="255"/>
      <c r="AJ848" s="180"/>
      <c r="AK848" s="193"/>
      <c r="AL848" s="193"/>
      <c r="AM848" s="193"/>
      <c r="AN848" s="193"/>
      <c r="AO848" s="193"/>
      <c r="AP848" s="193"/>
      <c r="AQ848" s="180"/>
      <c r="AR848" s="180"/>
      <c r="AS848" s="180"/>
      <c r="AT848" s="180"/>
      <c r="AU848" s="180"/>
      <c r="AV848" s="180"/>
      <c r="AW848" s="180"/>
    </row>
    <row r="849" spans="1:49" s="4" customFormat="1">
      <c r="A849" s="180"/>
      <c r="B849" s="502" t="s">
        <v>483</v>
      </c>
      <c r="C849" s="1561"/>
      <c r="D849" s="1561"/>
      <c r="E849" s="1561"/>
      <c r="F849" s="646"/>
      <c r="H849" s="47"/>
      <c r="I849" s="47"/>
      <c r="J849" s="319">
        <v>9.5</v>
      </c>
      <c r="K849" s="646"/>
      <c r="M849" s="47"/>
      <c r="N849" s="47"/>
      <c r="O849" s="319">
        <v>9</v>
      </c>
      <c r="P849" s="646"/>
      <c r="R849" s="47"/>
      <c r="S849" s="47"/>
      <c r="T849" s="319">
        <v>11.7</v>
      </c>
      <c r="U849" s="646"/>
      <c r="W849" s="47"/>
      <c r="X849" s="47"/>
      <c r="Y849" s="319">
        <v>9</v>
      </c>
      <c r="Z849" s="646"/>
      <c r="AA849" s="328">
        <f t="shared" si="117"/>
        <v>39.200000000000003</v>
      </c>
      <c r="AB849" s="298">
        <f t="shared" si="118"/>
        <v>0</v>
      </c>
      <c r="AD849" s="47"/>
      <c r="AE849" s="47"/>
      <c r="AF849" s="319"/>
      <c r="AG849" s="328">
        <f t="shared" si="119"/>
        <v>0</v>
      </c>
      <c r="AI849" s="255"/>
      <c r="AJ849" s="180"/>
      <c r="AK849" s="193"/>
      <c r="AL849" s="193"/>
      <c r="AM849" s="193"/>
      <c r="AN849" s="193"/>
      <c r="AO849" s="193"/>
      <c r="AP849" s="193"/>
      <c r="AQ849" s="180"/>
      <c r="AR849" s="180"/>
      <c r="AS849" s="180"/>
      <c r="AT849" s="180"/>
      <c r="AU849" s="180"/>
      <c r="AV849" s="180"/>
      <c r="AW849" s="180"/>
    </row>
    <row r="850" spans="1:49" s="4" customFormat="1">
      <c r="A850" s="180"/>
      <c r="B850" s="502" t="s">
        <v>484</v>
      </c>
      <c r="C850" s="1561"/>
      <c r="D850" s="1561"/>
      <c r="E850" s="1561"/>
      <c r="F850" s="646"/>
      <c r="H850" s="47"/>
      <c r="I850" s="47"/>
      <c r="J850" s="319">
        <v>9.5</v>
      </c>
      <c r="K850" s="646"/>
      <c r="M850" s="47"/>
      <c r="N850" s="47"/>
      <c r="O850" s="319">
        <v>9</v>
      </c>
      <c r="P850" s="646"/>
      <c r="R850" s="47"/>
      <c r="S850" s="47"/>
      <c r="T850" s="319">
        <v>11.7</v>
      </c>
      <c r="U850" s="646"/>
      <c r="W850" s="47"/>
      <c r="X850" s="47"/>
      <c r="Y850" s="319">
        <v>9</v>
      </c>
      <c r="Z850" s="646"/>
      <c r="AA850" s="328">
        <f t="shared" si="117"/>
        <v>39.200000000000003</v>
      </c>
      <c r="AB850" s="298">
        <f t="shared" si="118"/>
        <v>0</v>
      </c>
      <c r="AD850" s="47"/>
      <c r="AE850" s="47"/>
      <c r="AF850" s="319"/>
      <c r="AG850" s="328">
        <f t="shared" si="119"/>
        <v>0</v>
      </c>
      <c r="AI850" s="255"/>
      <c r="AJ850" s="180"/>
      <c r="AK850" s="193"/>
      <c r="AL850" s="193"/>
      <c r="AM850" s="193"/>
      <c r="AN850" s="193"/>
      <c r="AO850" s="193"/>
      <c r="AP850" s="193"/>
      <c r="AQ850" s="180"/>
      <c r="AR850" s="180"/>
      <c r="AS850" s="180"/>
      <c r="AT850" s="180"/>
      <c r="AU850" s="180"/>
      <c r="AV850" s="180"/>
      <c r="AW850" s="180"/>
    </row>
    <row r="851" spans="1:49" s="4" customFormat="1">
      <c r="A851" s="180"/>
      <c r="B851" s="502" t="s">
        <v>485</v>
      </c>
      <c r="C851" s="1561"/>
      <c r="D851" s="1561"/>
      <c r="E851" s="1561"/>
      <c r="F851" s="646"/>
      <c r="H851" s="47"/>
      <c r="I851" s="47"/>
      <c r="J851" s="319">
        <v>9.5</v>
      </c>
      <c r="K851" s="646"/>
      <c r="M851" s="47"/>
      <c r="N851" s="47"/>
      <c r="O851" s="319">
        <v>9</v>
      </c>
      <c r="P851" s="646"/>
      <c r="R851" s="47"/>
      <c r="S851" s="47"/>
      <c r="T851" s="319">
        <v>11.7</v>
      </c>
      <c r="U851" s="646"/>
      <c r="W851" s="47"/>
      <c r="X851" s="47"/>
      <c r="Y851" s="319">
        <v>9</v>
      </c>
      <c r="Z851" s="646"/>
      <c r="AA851" s="328">
        <f t="shared" si="117"/>
        <v>39.200000000000003</v>
      </c>
      <c r="AB851" s="298">
        <f t="shared" si="118"/>
        <v>0</v>
      </c>
      <c r="AD851" s="47"/>
      <c r="AE851" s="47"/>
      <c r="AF851" s="319"/>
      <c r="AG851" s="328">
        <f t="shared" si="119"/>
        <v>0</v>
      </c>
      <c r="AI851" s="255"/>
      <c r="AJ851" s="180"/>
      <c r="AK851" s="193"/>
      <c r="AL851" s="193"/>
      <c r="AM851" s="193"/>
      <c r="AN851" s="193"/>
      <c r="AO851" s="193"/>
      <c r="AP851" s="193"/>
      <c r="AQ851" s="180"/>
      <c r="AR851" s="180"/>
      <c r="AS851" s="180"/>
      <c r="AT851" s="180"/>
      <c r="AU851" s="180"/>
      <c r="AV851" s="180"/>
      <c r="AW851" s="180"/>
    </row>
    <row r="852" spans="1:49" s="4" customFormat="1">
      <c r="A852" s="180"/>
      <c r="B852" s="502"/>
      <c r="C852" s="1561"/>
      <c r="D852" s="1561"/>
      <c r="E852" s="1561"/>
      <c r="F852" s="646"/>
      <c r="H852" s="5"/>
      <c r="I852" s="5"/>
      <c r="J852" s="319"/>
      <c r="K852" s="646"/>
      <c r="M852" s="5"/>
      <c r="N852" s="5"/>
      <c r="O852" s="319"/>
      <c r="P852" s="646"/>
      <c r="R852" s="5"/>
      <c r="S852" s="5"/>
      <c r="T852" s="319"/>
      <c r="U852" s="646"/>
      <c r="W852" s="5"/>
      <c r="X852" s="5"/>
      <c r="Y852" s="319"/>
      <c r="Z852" s="646"/>
      <c r="AA852" s="328">
        <f t="shared" si="117"/>
        <v>0</v>
      </c>
      <c r="AB852" s="298">
        <f t="shared" si="118"/>
        <v>0</v>
      </c>
      <c r="AD852" s="47"/>
      <c r="AE852" s="47"/>
      <c r="AF852" s="319"/>
      <c r="AG852" s="328">
        <f t="shared" si="119"/>
        <v>0</v>
      </c>
      <c r="AI852" s="255"/>
      <c r="AJ852" s="180"/>
      <c r="AK852" s="193"/>
      <c r="AL852" s="193"/>
      <c r="AM852" s="193"/>
      <c r="AN852" s="193"/>
      <c r="AO852" s="193"/>
      <c r="AP852" s="193"/>
      <c r="AQ852" s="180"/>
      <c r="AR852" s="180"/>
      <c r="AS852" s="180"/>
      <c r="AT852" s="180"/>
      <c r="AU852" s="180"/>
      <c r="AV852" s="180"/>
      <c r="AW852" s="180"/>
    </row>
    <row r="853" spans="1:49" s="4" customFormat="1">
      <c r="A853" s="180"/>
      <c r="B853" s="63" t="s">
        <v>63</v>
      </c>
      <c r="C853" s="1561"/>
      <c r="D853" s="1561"/>
      <c r="E853" s="1561"/>
      <c r="F853" s="646"/>
      <c r="H853" s="663"/>
      <c r="I853" s="663"/>
      <c r="J853" s="319">
        <v>8</v>
      </c>
      <c r="K853" s="646">
        <v>1</v>
      </c>
      <c r="M853" s="47"/>
      <c r="N853" s="47"/>
      <c r="O853" s="319">
        <v>8</v>
      </c>
      <c r="P853" s="646">
        <v>1</v>
      </c>
      <c r="R853" s="663"/>
      <c r="S853" s="663"/>
      <c r="T853" s="319">
        <v>8</v>
      </c>
      <c r="U853" s="646">
        <v>1</v>
      </c>
      <c r="W853" s="663"/>
      <c r="X853" s="663"/>
      <c r="Y853" s="319">
        <v>8</v>
      </c>
      <c r="Z853" s="646">
        <v>1</v>
      </c>
      <c r="AA853" s="328">
        <f t="shared" si="117"/>
        <v>32</v>
      </c>
      <c r="AB853" s="298">
        <f t="shared" si="118"/>
        <v>4</v>
      </c>
      <c r="AD853" s="47"/>
      <c r="AE853" s="47"/>
      <c r="AF853" s="319"/>
      <c r="AG853" s="328">
        <f t="shared" si="119"/>
        <v>0</v>
      </c>
      <c r="AI853" s="255"/>
      <c r="AJ853" s="180"/>
      <c r="AK853" s="193"/>
      <c r="AL853" s="193"/>
      <c r="AM853" s="193"/>
      <c r="AN853" s="193"/>
      <c r="AO853" s="193"/>
      <c r="AP853" s="193"/>
      <c r="AQ853" s="180"/>
      <c r="AR853" s="180"/>
      <c r="AS853" s="180"/>
      <c r="AT853" s="180"/>
      <c r="AU853" s="180"/>
      <c r="AV853" s="180"/>
      <c r="AW853" s="180"/>
    </row>
    <row r="854" spans="1:49" s="4" customFormat="1">
      <c r="A854" s="180"/>
      <c r="B854" s="267" t="s">
        <v>358</v>
      </c>
      <c r="C854" s="1561"/>
      <c r="D854" s="1561"/>
      <c r="E854" s="1561"/>
      <c r="F854" s="646"/>
      <c r="G854" s="438"/>
      <c r="H854" s="663"/>
      <c r="I854" s="663"/>
      <c r="J854" s="319">
        <v>6</v>
      </c>
      <c r="K854" s="646"/>
      <c r="L854" s="438"/>
      <c r="M854" s="663"/>
      <c r="N854" s="663"/>
      <c r="O854" s="319">
        <v>6</v>
      </c>
      <c r="P854" s="646"/>
      <c r="Q854" s="438"/>
      <c r="R854" s="663"/>
      <c r="S854" s="663"/>
      <c r="T854" s="319">
        <v>9</v>
      </c>
      <c r="U854" s="646"/>
      <c r="V854" s="438"/>
      <c r="W854" s="712" t="s">
        <v>137</v>
      </c>
      <c r="X854" s="663"/>
      <c r="Y854" s="319">
        <v>0</v>
      </c>
      <c r="Z854" s="646"/>
      <c r="AA854" s="328">
        <f t="shared" si="117"/>
        <v>21</v>
      </c>
      <c r="AB854" s="298">
        <f t="shared" si="118"/>
        <v>0</v>
      </c>
      <c r="AD854" s="47"/>
      <c r="AE854" s="47"/>
      <c r="AF854" s="319"/>
      <c r="AG854" s="328">
        <f t="shared" si="119"/>
        <v>0</v>
      </c>
      <c r="AI854" s="255"/>
      <c r="AJ854" s="180"/>
      <c r="AK854" s="193"/>
      <c r="AL854" s="193"/>
      <c r="AM854" s="193"/>
      <c r="AN854" s="193"/>
      <c r="AO854" s="193"/>
      <c r="AP854" s="193"/>
      <c r="AQ854" s="180"/>
      <c r="AR854" s="180"/>
      <c r="AS854" s="180"/>
      <c r="AT854" s="180"/>
      <c r="AU854" s="180"/>
      <c r="AV854" s="180"/>
      <c r="AW854" s="180"/>
    </row>
    <row r="855" spans="1:49" s="193" customFormat="1">
      <c r="A855" s="180"/>
      <c r="B855" s="267"/>
      <c r="C855" s="1561"/>
      <c r="D855" s="1561"/>
      <c r="E855" s="1561"/>
      <c r="F855" s="646"/>
      <c r="G855" s="438"/>
      <c r="H855" s="5"/>
      <c r="I855" s="5"/>
      <c r="J855" s="319"/>
      <c r="K855" s="646"/>
      <c r="L855" s="438"/>
      <c r="M855" s="5"/>
      <c r="N855" s="5"/>
      <c r="O855" s="319"/>
      <c r="P855" s="646"/>
      <c r="Q855" s="438"/>
      <c r="R855" s="5"/>
      <c r="S855" s="5"/>
      <c r="T855" s="319"/>
      <c r="U855" s="646"/>
      <c r="V855" s="438"/>
      <c r="W855" s="5"/>
      <c r="X855" s="5"/>
      <c r="Y855" s="319"/>
      <c r="Z855" s="646"/>
      <c r="AA855" s="328">
        <f t="shared" si="117"/>
        <v>0</v>
      </c>
      <c r="AB855" s="298">
        <f t="shared" si="118"/>
        <v>0</v>
      </c>
      <c r="AC855" s="4"/>
      <c r="AD855" s="47"/>
      <c r="AE855" s="47"/>
      <c r="AF855" s="319"/>
      <c r="AG855" s="328">
        <f t="shared" si="119"/>
        <v>0</v>
      </c>
      <c r="AH855" s="4"/>
      <c r="AI855" s="255"/>
      <c r="AJ855" s="180"/>
      <c r="AQ855" s="180"/>
      <c r="AR855" s="180"/>
      <c r="AS855" s="180"/>
      <c r="AT855" s="180"/>
      <c r="AU855" s="180"/>
      <c r="AV855" s="180"/>
      <c r="AW855" s="180"/>
    </row>
    <row r="856" spans="1:49" s="193" customFormat="1">
      <c r="A856" s="180"/>
      <c r="B856" s="267" t="s">
        <v>411</v>
      </c>
      <c r="C856" s="1561"/>
      <c r="D856" s="1561"/>
      <c r="E856" s="1561"/>
      <c r="F856" s="646"/>
      <c r="G856" s="438"/>
      <c r="H856" s="5"/>
      <c r="I856" s="5"/>
      <c r="J856" s="319"/>
      <c r="K856" s="646"/>
      <c r="L856" s="438"/>
      <c r="M856" s="5"/>
      <c r="N856" s="5"/>
      <c r="O856" s="319"/>
      <c r="P856" s="646"/>
      <c r="Q856" s="438"/>
      <c r="R856" s="5"/>
      <c r="S856" s="5"/>
      <c r="T856" s="319"/>
      <c r="U856" s="646"/>
      <c r="V856" s="438"/>
      <c r="W856" s="5"/>
      <c r="X856" s="5"/>
      <c r="Y856" s="319"/>
      <c r="Z856" s="646"/>
      <c r="AA856" s="328">
        <f t="shared" si="117"/>
        <v>0</v>
      </c>
      <c r="AB856" s="298">
        <f t="shared" si="118"/>
        <v>0</v>
      </c>
      <c r="AC856" s="4"/>
      <c r="AD856" s="47"/>
      <c r="AE856" s="47"/>
      <c r="AF856" s="319"/>
      <c r="AG856" s="328">
        <f t="shared" si="119"/>
        <v>0</v>
      </c>
      <c r="AH856" s="4"/>
      <c r="AI856" s="255"/>
      <c r="AJ856" s="180"/>
      <c r="AQ856" s="180"/>
      <c r="AR856" s="180"/>
      <c r="AS856" s="180"/>
      <c r="AT856" s="180"/>
      <c r="AU856" s="180"/>
      <c r="AV856" s="180"/>
      <c r="AW856" s="180"/>
    </row>
    <row r="857" spans="1:49" s="193" customFormat="1">
      <c r="A857" s="180"/>
      <c r="B857" s="267" t="s">
        <v>361</v>
      </c>
      <c r="C857" s="1561"/>
      <c r="D857" s="1561"/>
      <c r="E857" s="1561"/>
      <c r="F857" s="646"/>
      <c r="G857" s="438"/>
      <c r="H857" s="5"/>
      <c r="I857" s="5"/>
      <c r="J857" s="319"/>
      <c r="K857" s="646"/>
      <c r="L857" s="438"/>
      <c r="M857" s="5"/>
      <c r="N857" s="5"/>
      <c r="O857" s="319"/>
      <c r="P857" s="646"/>
      <c r="Q857" s="438"/>
      <c r="R857" s="5"/>
      <c r="S857" s="5"/>
      <c r="T857" s="319"/>
      <c r="U857" s="646"/>
      <c r="V857" s="438"/>
      <c r="W857" s="5"/>
      <c r="X857" s="5"/>
      <c r="Y857" s="319"/>
      <c r="Z857" s="646"/>
      <c r="AA857" s="328">
        <f t="shared" si="117"/>
        <v>0</v>
      </c>
      <c r="AB857" s="298">
        <f t="shared" si="118"/>
        <v>0</v>
      </c>
      <c r="AC857" s="4"/>
      <c r="AD857" s="47"/>
      <c r="AE857" s="47"/>
      <c r="AF857" s="319"/>
      <c r="AG857" s="328">
        <f t="shared" si="119"/>
        <v>0</v>
      </c>
      <c r="AH857" s="4"/>
      <c r="AI857" s="255"/>
      <c r="AJ857" s="180"/>
      <c r="AQ857" s="180"/>
      <c r="AR857" s="180"/>
      <c r="AS857" s="180"/>
      <c r="AT857" s="180"/>
      <c r="AU857" s="180"/>
      <c r="AV857" s="180"/>
      <c r="AW857" s="180"/>
    </row>
    <row r="858" spans="1:49" s="193" customFormat="1">
      <c r="A858" s="180"/>
      <c r="B858" s="267" t="s">
        <v>362</v>
      </c>
      <c r="C858" s="1561"/>
      <c r="D858" s="1561"/>
      <c r="E858" s="1561"/>
      <c r="F858" s="646"/>
      <c r="G858" s="438"/>
      <c r="H858" s="47"/>
      <c r="I858" s="47"/>
      <c r="J858" s="319">
        <v>1</v>
      </c>
      <c r="K858" s="646"/>
      <c r="L858" s="438"/>
      <c r="M858" s="47"/>
      <c r="N858" s="47"/>
      <c r="O858" s="319">
        <v>1</v>
      </c>
      <c r="P858" s="646"/>
      <c r="Q858" s="438"/>
      <c r="R858" s="47"/>
      <c r="S858" s="47"/>
      <c r="T858" s="319">
        <v>1</v>
      </c>
      <c r="U858" s="646"/>
      <c r="V858" s="438"/>
      <c r="W858" s="5"/>
      <c r="X858" s="5"/>
      <c r="Y858" s="319"/>
      <c r="Z858" s="646"/>
      <c r="AA858" s="328">
        <f t="shared" si="117"/>
        <v>3</v>
      </c>
      <c r="AB858" s="298">
        <f t="shared" si="118"/>
        <v>0</v>
      </c>
      <c r="AC858" s="4"/>
      <c r="AD858" s="47"/>
      <c r="AE858" s="47"/>
      <c r="AF858" s="319"/>
      <c r="AG858" s="328">
        <f t="shared" si="119"/>
        <v>0</v>
      </c>
      <c r="AH858" s="4"/>
      <c r="AI858" s="255"/>
      <c r="AJ858" s="180"/>
      <c r="AQ858" s="180"/>
      <c r="AR858" s="180"/>
      <c r="AS858" s="180"/>
      <c r="AT858" s="180"/>
      <c r="AU858" s="180"/>
      <c r="AV858" s="180"/>
      <c r="AW858" s="180"/>
    </row>
    <row r="859" spans="1:49" s="193" customFormat="1">
      <c r="A859" s="180"/>
      <c r="B859" s="437" t="s">
        <v>355</v>
      </c>
      <c r="C859" s="1561"/>
      <c r="D859" s="1561"/>
      <c r="E859" s="1561"/>
      <c r="F859" s="646"/>
      <c r="G859" s="438"/>
      <c r="H859" s="5"/>
      <c r="I859" s="5"/>
      <c r="J859" s="319">
        <v>7.7</v>
      </c>
      <c r="K859" s="646"/>
      <c r="L859" s="438"/>
      <c r="M859" s="5"/>
      <c r="N859" s="5"/>
      <c r="O859" s="319">
        <v>7.7</v>
      </c>
      <c r="P859" s="646"/>
      <c r="Q859" s="438"/>
      <c r="R859" s="5"/>
      <c r="S859" s="5"/>
      <c r="T859" s="319">
        <v>7.7</v>
      </c>
      <c r="U859" s="646"/>
      <c r="V859" s="438"/>
      <c r="W859" s="5"/>
      <c r="X859" s="5"/>
      <c r="Y859" s="319">
        <v>7.7</v>
      </c>
      <c r="Z859" s="646"/>
      <c r="AA859" s="328">
        <f t="shared" si="117"/>
        <v>30.8</v>
      </c>
      <c r="AB859" s="298">
        <f t="shared" si="118"/>
        <v>0</v>
      </c>
      <c r="AC859" s="4"/>
      <c r="AD859" s="47"/>
      <c r="AE859" s="47"/>
      <c r="AF859" s="319"/>
      <c r="AG859" s="328">
        <f t="shared" si="119"/>
        <v>0</v>
      </c>
      <c r="AH859" s="4"/>
      <c r="AI859" s="255"/>
      <c r="AJ859" s="180"/>
      <c r="AQ859" s="180"/>
      <c r="AR859" s="180"/>
      <c r="AS859" s="180"/>
      <c r="AT859" s="180"/>
      <c r="AU859" s="180"/>
      <c r="AV859" s="180"/>
      <c r="AW859" s="180"/>
    </row>
    <row r="860" spans="1:49" s="193" customFormat="1">
      <c r="A860" s="180"/>
      <c r="B860" s="437" t="s">
        <v>356</v>
      </c>
      <c r="C860" s="1561"/>
      <c r="D860" s="1561"/>
      <c r="E860" s="1561"/>
      <c r="F860" s="646"/>
      <c r="G860" s="438"/>
      <c r="H860" s="5"/>
      <c r="I860" s="5"/>
      <c r="J860" s="319"/>
      <c r="K860" s="646"/>
      <c r="L860" s="438"/>
      <c r="M860" s="5"/>
      <c r="N860" s="5"/>
      <c r="O860" s="319"/>
      <c r="P860" s="646"/>
      <c r="Q860" s="438"/>
      <c r="R860" s="5"/>
      <c r="S860" s="5"/>
      <c r="T860" s="319"/>
      <c r="U860" s="646"/>
      <c r="V860" s="438"/>
      <c r="W860" s="5"/>
      <c r="X860" s="5"/>
      <c r="Y860" s="319">
        <v>18.7</v>
      </c>
      <c r="Z860" s="646"/>
      <c r="AA860" s="328">
        <f t="shared" si="117"/>
        <v>18.7</v>
      </c>
      <c r="AB860" s="298">
        <f t="shared" si="118"/>
        <v>0</v>
      </c>
      <c r="AC860" s="4"/>
      <c r="AD860" s="47"/>
      <c r="AE860" s="47"/>
      <c r="AF860" s="319"/>
      <c r="AG860" s="328">
        <f t="shared" si="119"/>
        <v>0</v>
      </c>
      <c r="AH860" s="4"/>
      <c r="AI860" s="255"/>
      <c r="AJ860" s="180"/>
      <c r="AQ860" s="180"/>
      <c r="AR860" s="180"/>
      <c r="AS860" s="180"/>
      <c r="AT860" s="180"/>
      <c r="AU860" s="180"/>
      <c r="AV860" s="180"/>
      <c r="AW860" s="180"/>
    </row>
    <row r="861" spans="1:49" s="193" customFormat="1">
      <c r="A861" s="180"/>
      <c r="B861" s="64" t="s">
        <v>61</v>
      </c>
      <c r="C861" s="1561"/>
      <c r="D861" s="1561"/>
      <c r="E861" s="1561"/>
      <c r="F861" s="646">
        <f>SUM(F831:F860)</f>
        <v>0</v>
      </c>
      <c r="G861" s="31"/>
      <c r="H861" s="31"/>
      <c r="I861" s="31"/>
      <c r="J861" s="439">
        <f>SUM(J831:J860)</f>
        <v>143.94999999999999</v>
      </c>
      <c r="K861" s="646">
        <f>SUM(K831:K860)</f>
        <v>1</v>
      </c>
      <c r="L861" s="31"/>
      <c r="M861" s="31"/>
      <c r="N861" s="31"/>
      <c r="O861" s="439">
        <f>SUM(O831:O860)</f>
        <v>108.95</v>
      </c>
      <c r="P861" s="646">
        <f>SUM(P831:P860)</f>
        <v>1</v>
      </c>
      <c r="Q861" s="31"/>
      <c r="R861" s="31"/>
      <c r="S861" s="31"/>
      <c r="T861" s="439">
        <f>SUM(T831:T860)</f>
        <v>139.55000000000001</v>
      </c>
      <c r="U861" s="646">
        <f>SUM(U831:U860)</f>
        <v>1</v>
      </c>
      <c r="V861" s="31"/>
      <c r="W861" s="31"/>
      <c r="X861" s="31"/>
      <c r="Y861" s="439">
        <f>SUM(Y831:Y860)</f>
        <v>128.4</v>
      </c>
      <c r="Z861" s="646">
        <f>SUM(Z831:Z860)</f>
        <v>5</v>
      </c>
      <c r="AA861" s="370">
        <f>SUM(AA831:AA860)</f>
        <v>520.85</v>
      </c>
      <c r="AB861" s="370">
        <f>SUM(AB831:AB860)</f>
        <v>8</v>
      </c>
      <c r="AC861" s="4"/>
      <c r="AD861" s="64"/>
      <c r="AE861" s="64"/>
      <c r="AF861" s="370">
        <f>SUM(AF831:AF860)</f>
        <v>0</v>
      </c>
      <c r="AG861" s="370">
        <f>SUM(AG831:AG860)</f>
        <v>0</v>
      </c>
      <c r="AH861" s="4"/>
      <c r="AI861" s="255"/>
      <c r="AJ861" s="180"/>
      <c r="AK861" s="407"/>
      <c r="AQ861" s="180"/>
      <c r="AR861" s="180"/>
      <c r="AS861" s="180"/>
      <c r="AT861" s="180"/>
      <c r="AU861" s="180"/>
      <c r="AV861" s="180"/>
      <c r="AW861" s="180"/>
    </row>
    <row r="862" spans="1:49" s="193" customFormat="1">
      <c r="A862" s="180"/>
      <c r="B862" s="63" t="s">
        <v>64</v>
      </c>
      <c r="C862" s="1561"/>
      <c r="D862" s="1561"/>
      <c r="E862" s="1561"/>
      <c r="F862" s="346"/>
      <c r="G862" s="613"/>
      <c r="H862" s="47"/>
      <c r="I862" s="47"/>
      <c r="J862" s="319">
        <v>7.5</v>
      </c>
      <c r="K862" s="346">
        <v>0.25</v>
      </c>
      <c r="L862" s="60"/>
      <c r="M862" s="47"/>
      <c r="N862" s="47"/>
      <c r="O862" s="319">
        <v>7.5</v>
      </c>
      <c r="P862" s="346">
        <v>1</v>
      </c>
      <c r="Q862" s="60"/>
      <c r="R862" s="47"/>
      <c r="S862" s="47"/>
      <c r="T862" s="319">
        <v>7.5</v>
      </c>
      <c r="U862" s="346">
        <v>1.25</v>
      </c>
      <c r="V862" s="60"/>
      <c r="W862" s="47"/>
      <c r="X862" s="47"/>
      <c r="Y862" s="319">
        <v>8</v>
      </c>
      <c r="Z862" s="346">
        <f>0.5+1+1.5</f>
        <v>3</v>
      </c>
      <c r="AA862" s="28">
        <f>SUM(E862+J862+O862+T862+Y862)</f>
        <v>30.5</v>
      </c>
      <c r="AB862" s="296">
        <f>Z862+U862+P862+K862+F862</f>
        <v>5.5</v>
      </c>
      <c r="AC862" s="4"/>
      <c r="AD862" s="47" t="s">
        <v>29</v>
      </c>
      <c r="AE862" s="47" t="s">
        <v>29</v>
      </c>
      <c r="AF862" s="319">
        <v>1</v>
      </c>
      <c r="AG862" s="29">
        <f>AF862</f>
        <v>1</v>
      </c>
      <c r="AH862" s="4"/>
      <c r="AI862" s="255"/>
      <c r="AJ862" s="180"/>
      <c r="AK862" s="407"/>
      <c r="AQ862" s="180"/>
      <c r="AR862" s="180"/>
      <c r="AS862" s="180"/>
      <c r="AT862" s="180"/>
      <c r="AU862" s="180"/>
      <c r="AV862" s="180"/>
      <c r="AW862" s="180"/>
    </row>
    <row r="863" spans="1:49" s="193" customFormat="1">
      <c r="A863" s="180"/>
      <c r="B863" s="71" t="s">
        <v>66</v>
      </c>
      <c r="C863" s="371"/>
      <c r="D863" s="371"/>
      <c r="E863" s="71"/>
      <c r="F863" s="613"/>
      <c r="G863" s="71"/>
      <c r="H863" s="71"/>
      <c r="I863" s="71"/>
      <c r="J863" s="71"/>
      <c r="K863" s="613"/>
      <c r="L863" s="71"/>
      <c r="M863" s="71"/>
      <c r="N863" s="71"/>
      <c r="O863" s="71"/>
      <c r="P863" s="613"/>
      <c r="Q863" s="71"/>
      <c r="R863" s="71"/>
      <c r="S863" s="71"/>
      <c r="T863" s="71"/>
      <c r="U863" s="613"/>
      <c r="V863" s="71"/>
      <c r="W863" s="71"/>
      <c r="X863" s="71"/>
      <c r="Y863" s="71"/>
      <c r="Z863" s="613"/>
      <c r="AA863" s="370">
        <f>SUM(AA862:AA862)</f>
        <v>30.5</v>
      </c>
      <c r="AB863" s="370">
        <f>SUM(AB862:AB862)</f>
        <v>5.5</v>
      </c>
      <c r="AC863" s="4"/>
      <c r="AD863" s="180"/>
      <c r="AE863" s="180"/>
      <c r="AF863" s="180"/>
      <c r="AG863" s="370">
        <f>SUM(AG862:AG862)</f>
        <v>1</v>
      </c>
      <c r="AH863" s="4"/>
      <c r="AI863" s="255"/>
      <c r="AJ863" s="180"/>
      <c r="AK863" s="407"/>
      <c r="AQ863" s="180"/>
      <c r="AR863" s="180"/>
      <c r="AS863" s="180"/>
      <c r="AT863" s="180"/>
      <c r="AU863" s="180"/>
      <c r="AV863" s="180"/>
      <c r="AW863" s="180"/>
    </row>
    <row r="864" spans="1:49" s="193" customFormat="1">
      <c r="A864" s="180"/>
      <c r="B864" s="217" t="s">
        <v>67</v>
      </c>
      <c r="C864" s="207">
        <f>C865+C866</f>
        <v>51</v>
      </c>
      <c r="D864" s="207"/>
      <c r="E864" s="209"/>
      <c r="F864" s="209"/>
      <c r="G864" s="207"/>
      <c r="H864" s="209"/>
      <c r="I864" s="209"/>
      <c r="J864" s="209"/>
      <c r="K864" s="209"/>
      <c r="L864" s="207"/>
      <c r="M864" s="207"/>
      <c r="N864" s="207"/>
      <c r="O864" s="207"/>
      <c r="P864" s="209"/>
      <c r="Q864" s="207"/>
      <c r="R864" s="207"/>
      <c r="S864" s="207"/>
      <c r="T864" s="207"/>
      <c r="U864" s="209"/>
      <c r="V864" s="207"/>
      <c r="W864" s="207"/>
      <c r="X864" s="207"/>
      <c r="Y864" s="210"/>
      <c r="Z864" s="209"/>
      <c r="AA864" s="211"/>
      <c r="AB864" s="209"/>
      <c r="AC864" s="211"/>
      <c r="AD864" s="211"/>
      <c r="AE864" s="211"/>
      <c r="AF864" s="211"/>
      <c r="AG864" s="211"/>
      <c r="AH864" s="4"/>
      <c r="AI864" s="255"/>
      <c r="AJ864" s="180"/>
      <c r="AQ864" s="180"/>
      <c r="AR864" s="180"/>
      <c r="AS864" s="180"/>
      <c r="AT864" s="180"/>
      <c r="AU864" s="180"/>
      <c r="AV864" s="180"/>
      <c r="AW864" s="180"/>
    </row>
    <row r="865" spans="1:49" s="193" customFormat="1">
      <c r="A865" s="180"/>
      <c r="B865" s="238" t="s">
        <v>68</v>
      </c>
      <c r="C865" s="239">
        <f>5+4+9+5</f>
        <v>23</v>
      </c>
      <c r="D865" s="207"/>
      <c r="E865" s="209"/>
      <c r="F865" s="209"/>
      <c r="G865" s="207"/>
      <c r="H865" s="209"/>
      <c r="I865" s="209"/>
      <c r="J865" s="209"/>
      <c r="K865" s="209"/>
      <c r="L865" s="207"/>
      <c r="M865" s="207"/>
      <c r="N865" s="207"/>
      <c r="O865" s="207"/>
      <c r="P865" s="209"/>
      <c r="Q865" s="207"/>
      <c r="R865" s="207"/>
      <c r="S865" s="207"/>
      <c r="T865" s="207"/>
      <c r="U865" s="209"/>
      <c r="V865" s="207"/>
      <c r="W865" s="207"/>
      <c r="X865" s="207"/>
      <c r="Y865" s="210"/>
      <c r="Z865" s="209"/>
      <c r="AA865" s="211"/>
      <c r="AB865" s="209"/>
      <c r="AC865" s="211"/>
      <c r="AD865" s="211"/>
      <c r="AE865" s="211"/>
      <c r="AF865" s="211"/>
      <c r="AG865" s="211"/>
      <c r="AH865" s="4"/>
      <c r="AI865" s="255"/>
      <c r="AJ865" s="180"/>
      <c r="AQ865" s="180"/>
      <c r="AR865" s="180"/>
      <c r="AS865" s="180"/>
      <c r="AT865" s="180"/>
      <c r="AU865" s="180"/>
      <c r="AV865" s="180"/>
      <c r="AW865" s="180"/>
    </row>
    <row r="866" spans="1:49" s="193" customFormat="1">
      <c r="A866" s="180"/>
      <c r="B866" s="238" t="s">
        <v>69</v>
      </c>
      <c r="C866" s="239">
        <f>8+6+7+1+6</f>
        <v>28</v>
      </c>
      <c r="D866" s="207"/>
      <c r="E866" s="209"/>
      <c r="F866" s="209"/>
      <c r="G866" s="207"/>
      <c r="H866" s="209"/>
      <c r="I866" s="209"/>
      <c r="J866" s="209"/>
      <c r="K866" s="209"/>
      <c r="L866" s="207"/>
      <c r="M866" s="207"/>
      <c r="N866" s="207"/>
      <c r="O866" s="207"/>
      <c r="P866" s="209"/>
      <c r="Q866" s="207"/>
      <c r="R866" s="207"/>
      <c r="S866" s="207"/>
      <c r="T866" s="207"/>
      <c r="U866" s="209"/>
      <c r="V866" s="207"/>
      <c r="W866" s="207"/>
      <c r="X866" s="207"/>
      <c r="Y866" s="210"/>
      <c r="Z866" s="209"/>
      <c r="AA866" s="211"/>
      <c r="AB866" s="209"/>
      <c r="AC866" s="211"/>
      <c r="AD866" s="211"/>
      <c r="AE866" s="211"/>
      <c r="AF866" s="211"/>
      <c r="AG866" s="211"/>
      <c r="AH866" s="4"/>
      <c r="AI866" s="255"/>
      <c r="AJ866" s="180"/>
      <c r="AQ866" s="180"/>
      <c r="AR866" s="180"/>
      <c r="AS866" s="180"/>
      <c r="AT866" s="180"/>
      <c r="AU866" s="180"/>
      <c r="AV866" s="180"/>
      <c r="AW866" s="180"/>
    </row>
    <row r="867" spans="1:49">
      <c r="B867" s="180"/>
      <c r="E867" s="4"/>
      <c r="F867" s="644"/>
      <c r="G867" s="4"/>
      <c r="J867" s="4"/>
      <c r="K867" s="644"/>
      <c r="L867" s="4"/>
      <c r="O867" s="4"/>
      <c r="P867" s="644"/>
      <c r="T867" s="4"/>
      <c r="U867" s="644"/>
      <c r="Y867" s="4"/>
      <c r="Z867" s="644"/>
      <c r="AA867" s="4"/>
      <c r="AB867" s="4"/>
      <c r="AC867" s="4"/>
    </row>
    <row r="868" spans="1:49">
      <c r="A868" s="180"/>
      <c r="B868" s="229"/>
      <c r="C868" s="230"/>
      <c r="D868" s="230"/>
      <c r="E868" s="232"/>
      <c r="F868" s="232"/>
      <c r="G868" s="230"/>
      <c r="H868" s="232"/>
      <c r="I868" s="232"/>
      <c r="J868" s="232"/>
      <c r="K868" s="232"/>
      <c r="L868" s="230"/>
      <c r="M868" s="230"/>
      <c r="N868" s="230"/>
      <c r="O868" s="230"/>
      <c r="P868" s="232"/>
      <c r="Q868" s="230"/>
      <c r="R868" s="230"/>
      <c r="S868" s="230"/>
      <c r="T868" s="230"/>
      <c r="U868" s="232"/>
      <c r="V868" s="230"/>
      <c r="W868" s="230"/>
      <c r="X868" s="230"/>
      <c r="Y868" s="233"/>
      <c r="Z868" s="232"/>
      <c r="AA868" s="234"/>
      <c r="AB868" s="232"/>
      <c r="AC868" s="373"/>
      <c r="AD868" s="236"/>
      <c r="AE868" s="255"/>
      <c r="AF868" s="255"/>
      <c r="AG868" s="255"/>
      <c r="AH868" s="255"/>
      <c r="AJ868" s="255"/>
      <c r="AK868" s="255"/>
      <c r="AL868" s="255"/>
      <c r="AM868" s="255"/>
      <c r="AN868" s="255"/>
      <c r="AO868" s="255"/>
      <c r="AP868" s="255"/>
      <c r="AQ868" s="255"/>
      <c r="AR868" s="255"/>
      <c r="AS868" s="255"/>
      <c r="AT868" s="255"/>
      <c r="AU868" s="255"/>
      <c r="AV868" s="255"/>
      <c r="AW868" s="255"/>
    </row>
    <row r="869" spans="1:49">
      <c r="B869" s="180"/>
      <c r="E869" s="4"/>
      <c r="F869" s="644"/>
      <c r="G869" s="4"/>
      <c r="J869" s="4"/>
      <c r="K869" s="644"/>
      <c r="L869" s="4"/>
      <c r="O869" s="4"/>
      <c r="P869" s="644"/>
      <c r="T869" s="4"/>
      <c r="U869" s="644"/>
      <c r="Y869" s="4"/>
      <c r="Z869" s="644"/>
      <c r="AA869" s="4"/>
      <c r="AB869" s="4"/>
      <c r="AC869" s="4"/>
      <c r="AK869" s="180"/>
      <c r="AL869" s="180"/>
      <c r="AM869" s="180"/>
      <c r="AN869" s="180"/>
      <c r="AO869" s="180"/>
      <c r="AP869" s="180"/>
    </row>
    <row r="870" spans="1:49">
      <c r="A870" s="228"/>
      <c r="B870" s="1518" t="s">
        <v>18</v>
      </c>
      <c r="C870" s="1519">
        <v>45684</v>
      </c>
      <c r="D870" s="1519"/>
      <c r="E870" s="1519"/>
      <c r="F870" s="1519"/>
      <c r="G870" s="365"/>
      <c r="H870" s="1519">
        <v>45685</v>
      </c>
      <c r="I870" s="1519"/>
      <c r="J870" s="1519"/>
      <c r="K870" s="1519"/>
      <c r="L870" s="365"/>
      <c r="M870" s="1519">
        <v>45686</v>
      </c>
      <c r="N870" s="1519"/>
      <c r="O870" s="1519"/>
      <c r="P870" s="1519"/>
      <c r="Q870" s="365"/>
      <c r="R870" s="1519">
        <v>45687</v>
      </c>
      <c r="S870" s="1519"/>
      <c r="T870" s="1519"/>
      <c r="U870" s="1519"/>
      <c r="V870" s="365"/>
      <c r="W870" s="1519">
        <v>45688</v>
      </c>
      <c r="X870" s="1519"/>
      <c r="Y870" s="1519"/>
      <c r="Z870" s="1519"/>
      <c r="AA870" s="1517" t="s">
        <v>19</v>
      </c>
      <c r="AB870" s="1517" t="s">
        <v>20</v>
      </c>
      <c r="AC870" s="4"/>
      <c r="AD870" s="1519">
        <v>45689</v>
      </c>
      <c r="AE870" s="1519"/>
      <c r="AF870" s="1519"/>
      <c r="AG870" s="1517" t="s">
        <v>21</v>
      </c>
      <c r="AI870" s="368"/>
      <c r="AK870" s="194" t="s">
        <v>84</v>
      </c>
      <c r="AL870" s="366"/>
      <c r="AM870" s="366"/>
      <c r="AN870" s="366"/>
      <c r="AO870" s="366"/>
      <c r="AP870" s="366"/>
    </row>
    <row r="871" spans="1:49">
      <c r="A871" s="180"/>
      <c r="B871" s="1518"/>
      <c r="C871" s="21" t="s">
        <v>23</v>
      </c>
      <c r="D871" s="21" t="s">
        <v>24</v>
      </c>
      <c r="E871" s="205" t="s">
        <v>25</v>
      </c>
      <c r="F871" s="645" t="s">
        <v>14</v>
      </c>
      <c r="G871" s="4"/>
      <c r="H871" s="21" t="s">
        <v>23</v>
      </c>
      <c r="I871" s="21" t="s">
        <v>24</v>
      </c>
      <c r="J871" s="18" t="s">
        <v>25</v>
      </c>
      <c r="K871" s="645" t="s">
        <v>14</v>
      </c>
      <c r="L871" s="4"/>
      <c r="M871" s="21" t="s">
        <v>23</v>
      </c>
      <c r="N871" s="21" t="s">
        <v>24</v>
      </c>
      <c r="O871" s="18" t="s">
        <v>25</v>
      </c>
      <c r="P871" s="645" t="s">
        <v>14</v>
      </c>
      <c r="R871" s="21" t="s">
        <v>23</v>
      </c>
      <c r="S871" s="21" t="s">
        <v>24</v>
      </c>
      <c r="T871" s="18" t="s">
        <v>25</v>
      </c>
      <c r="U871" s="645" t="s">
        <v>14</v>
      </c>
      <c r="W871" s="21" t="s">
        <v>23</v>
      </c>
      <c r="X871" s="21" t="s">
        <v>24</v>
      </c>
      <c r="Y871" s="18" t="s">
        <v>25</v>
      </c>
      <c r="Z871" s="645" t="s">
        <v>14</v>
      </c>
      <c r="AA871" s="1517"/>
      <c r="AB871" s="1517"/>
      <c r="AC871" s="4"/>
      <c r="AD871" s="21" t="s">
        <v>23</v>
      </c>
      <c r="AE871" s="21" t="s">
        <v>24</v>
      </c>
      <c r="AF871" s="18" t="s">
        <v>25</v>
      </c>
      <c r="AG871" s="1517"/>
      <c r="AI871" s="368"/>
      <c r="AJ871" s="367"/>
      <c r="AK871" s="188" t="s">
        <v>26</v>
      </c>
      <c r="AL871" s="196">
        <f>AA896</f>
        <v>573.5</v>
      </c>
      <c r="AM871" s="510">
        <v>39.14</v>
      </c>
      <c r="AN871" s="510">
        <f t="shared" ref="AN871:AN874" si="123">AL871*AM871</f>
        <v>22446.79</v>
      </c>
      <c r="AQ871" s="367"/>
      <c r="AR871" s="367"/>
      <c r="AS871" s="367"/>
      <c r="AT871" s="367"/>
      <c r="AU871" s="367"/>
      <c r="AV871" s="367"/>
      <c r="AW871" s="367"/>
    </row>
    <row r="872" spans="1:49">
      <c r="A872" s="180"/>
      <c r="B872" s="4" t="s">
        <v>958</v>
      </c>
      <c r="C872" s="441" t="s">
        <v>76</v>
      </c>
      <c r="D872" s="441" t="s">
        <v>136</v>
      </c>
      <c r="E872" s="319">
        <v>7.5</v>
      </c>
      <c r="F872" s="646"/>
      <c r="G872" s="4"/>
      <c r="H872" s="47">
        <v>0.35416666666666669</v>
      </c>
      <c r="I872" s="47">
        <v>0.20833333333333334</v>
      </c>
      <c r="J872" s="319">
        <v>7.5</v>
      </c>
      <c r="K872" s="646"/>
      <c r="L872" s="4"/>
      <c r="M872" s="441" t="s">
        <v>75</v>
      </c>
      <c r="N872" s="47">
        <v>0.20833333333333334</v>
      </c>
      <c r="O872" s="319">
        <v>7</v>
      </c>
      <c r="P872" s="646"/>
      <c r="R872" s="47">
        <v>0.36458333333333331</v>
      </c>
      <c r="S872" s="47">
        <v>0.20833333333333334</v>
      </c>
      <c r="T872" s="319">
        <v>7.25</v>
      </c>
      <c r="U872" s="646"/>
      <c r="W872" s="667" t="s">
        <v>1033</v>
      </c>
      <c r="X872" s="565"/>
      <c r="Y872" s="319">
        <v>0</v>
      </c>
      <c r="Z872" s="646"/>
      <c r="AA872" s="328">
        <f t="shared" ref="AA872:AA895" si="124">(E872+J872+O872+T872+Y872)</f>
        <v>29.25</v>
      </c>
      <c r="AB872" s="298">
        <f t="shared" ref="AB872:AB895" si="125">Z872+U872+P872+K872+F872</f>
        <v>0</v>
      </c>
      <c r="AC872" s="4"/>
      <c r="AD872" s="587"/>
      <c r="AE872" s="531"/>
      <c r="AF872" s="319"/>
      <c r="AG872" s="328">
        <f t="shared" ref="AG872:AG895" si="126">AF872</f>
        <v>0</v>
      </c>
      <c r="AI872" s="368"/>
      <c r="AJ872" s="367"/>
      <c r="AK872" s="188" t="s">
        <v>30</v>
      </c>
      <c r="AL872" s="196">
        <f>AB896</f>
        <v>20</v>
      </c>
      <c r="AM872" s="511">
        <f>AM871*1.5</f>
        <v>58.71</v>
      </c>
      <c r="AN872" s="510">
        <f t="shared" si="123"/>
        <v>1174.2</v>
      </c>
      <c r="AQ872" s="367"/>
      <c r="AR872" s="367"/>
      <c r="AS872" s="367"/>
      <c r="AT872" s="367"/>
      <c r="AU872" s="367"/>
      <c r="AV872" s="367"/>
      <c r="AW872" s="367"/>
    </row>
    <row r="873" spans="1:49">
      <c r="A873" s="367"/>
      <c r="B873" s="47" t="s">
        <v>515</v>
      </c>
      <c r="C873" s="47">
        <v>0.33333333333333331</v>
      </c>
      <c r="D873" s="47">
        <v>0.20833333333333334</v>
      </c>
      <c r="E873" s="319">
        <v>8</v>
      </c>
      <c r="F873" s="646"/>
      <c r="G873" s="4"/>
      <c r="H873" s="47">
        <v>0.33333333333333331</v>
      </c>
      <c r="I873" s="47">
        <v>0.20833333333333334</v>
      </c>
      <c r="J873" s="319">
        <v>8</v>
      </c>
      <c r="K873" s="646"/>
      <c r="L873" s="4"/>
      <c r="M873" s="47">
        <v>0.33333333333333331</v>
      </c>
      <c r="N873" s="47">
        <v>0.20833333333333334</v>
      </c>
      <c r="O873" s="319">
        <v>8</v>
      </c>
      <c r="P873" s="646"/>
      <c r="R873" s="667"/>
      <c r="S873" s="565"/>
      <c r="T873" s="319">
        <v>0</v>
      </c>
      <c r="U873" s="646"/>
      <c r="W873" s="667"/>
      <c r="X873" s="565"/>
      <c r="Y873" s="319">
        <v>0</v>
      </c>
      <c r="Z873" s="646"/>
      <c r="AA873" s="328">
        <f t="shared" si="124"/>
        <v>24</v>
      </c>
      <c r="AB873" s="298">
        <f t="shared" si="125"/>
        <v>0</v>
      </c>
      <c r="AC873" s="4"/>
      <c r="AF873" s="319"/>
      <c r="AG873" s="328">
        <f t="shared" si="126"/>
        <v>0</v>
      </c>
      <c r="AH873" s="175"/>
      <c r="AI873" s="402"/>
      <c r="AJ873" s="367"/>
      <c r="AK873" s="188" t="s">
        <v>32</v>
      </c>
      <c r="AL873" s="196">
        <f>AG896</f>
        <v>0</v>
      </c>
      <c r="AM873" s="510">
        <v>58.71</v>
      </c>
      <c r="AN873" s="510">
        <f t="shared" si="123"/>
        <v>0</v>
      </c>
      <c r="AQ873" s="367"/>
      <c r="AR873" s="367"/>
      <c r="AS873" s="367"/>
      <c r="AT873" s="367"/>
      <c r="AU873" s="367"/>
      <c r="AV873" s="367"/>
      <c r="AW873" s="367"/>
    </row>
    <row r="874" spans="1:49">
      <c r="A874" s="367"/>
      <c r="B874" s="441" t="s">
        <v>962</v>
      </c>
      <c r="C874" s="441" t="s">
        <v>75</v>
      </c>
      <c r="D874" s="47">
        <v>0.20833333333333334</v>
      </c>
      <c r="E874" s="319">
        <v>7</v>
      </c>
      <c r="F874" s="646"/>
      <c r="G874" s="4"/>
      <c r="H874" s="47">
        <v>0.33333333333333331</v>
      </c>
      <c r="I874" s="47">
        <v>0.20833333333333334</v>
      </c>
      <c r="J874" s="319">
        <v>8</v>
      </c>
      <c r="K874" s="646"/>
      <c r="L874" s="4"/>
      <c r="M874" s="441" t="s">
        <v>125</v>
      </c>
      <c r="N874" s="47">
        <v>0.20833333333333334</v>
      </c>
      <c r="O874" s="319">
        <v>8</v>
      </c>
      <c r="P874" s="646"/>
      <c r="R874" s="667"/>
      <c r="S874" s="565"/>
      <c r="T874" s="319">
        <v>0</v>
      </c>
      <c r="U874" s="646"/>
      <c r="W874" s="47">
        <v>0.375</v>
      </c>
      <c r="X874" s="47">
        <v>0.20833333333333334</v>
      </c>
      <c r="Y874" s="319">
        <v>7</v>
      </c>
      <c r="Z874" s="646"/>
      <c r="AA874" s="328">
        <f t="shared" si="124"/>
        <v>30</v>
      </c>
      <c r="AB874" s="298">
        <f t="shared" si="125"/>
        <v>0</v>
      </c>
      <c r="AC874" s="399"/>
      <c r="AD874" s="47"/>
      <c r="AE874" s="47"/>
      <c r="AF874" s="319"/>
      <c r="AG874" s="328">
        <f t="shared" si="126"/>
        <v>0</v>
      </c>
      <c r="AH874" s="175"/>
      <c r="AJ874" s="401"/>
      <c r="AK874" s="403" t="s">
        <v>213</v>
      </c>
      <c r="AL874" s="404">
        <f>AA898</f>
        <v>33</v>
      </c>
      <c r="AM874" s="510">
        <v>51.5</v>
      </c>
      <c r="AN874" s="510">
        <f t="shared" si="123"/>
        <v>1699.5</v>
      </c>
      <c r="AO874" s="405"/>
      <c r="AP874" s="405"/>
      <c r="AQ874" s="367"/>
      <c r="AR874" s="401"/>
      <c r="AS874" s="401"/>
      <c r="AT874" s="401"/>
      <c r="AU874" s="401"/>
      <c r="AV874" s="401"/>
      <c r="AW874" s="401"/>
    </row>
    <row r="875" spans="1:49">
      <c r="A875" s="367"/>
      <c r="B875" s="436" t="s">
        <v>972</v>
      </c>
      <c r="C875" s="441" t="s">
        <v>75</v>
      </c>
      <c r="D875" s="47">
        <v>0.20833333333333334</v>
      </c>
      <c r="E875" s="319">
        <v>7</v>
      </c>
      <c r="F875" s="646"/>
      <c r="G875" s="4"/>
      <c r="H875" s="441" t="s">
        <v>75</v>
      </c>
      <c r="I875" s="47">
        <v>0.20833333333333334</v>
      </c>
      <c r="J875" s="319">
        <v>7</v>
      </c>
      <c r="K875" s="646"/>
      <c r="L875" s="4"/>
      <c r="M875" s="441" t="s">
        <v>75</v>
      </c>
      <c r="N875" s="47">
        <v>0.20833333333333334</v>
      </c>
      <c r="O875" s="319">
        <v>7</v>
      </c>
      <c r="P875" s="646"/>
      <c r="R875" s="441" t="s">
        <v>75</v>
      </c>
      <c r="S875" s="47">
        <v>0.20833333333333334</v>
      </c>
      <c r="T875" s="319">
        <v>7</v>
      </c>
      <c r="U875" s="646"/>
      <c r="W875" s="441" t="s">
        <v>75</v>
      </c>
      <c r="X875" s="47">
        <v>0.20833333333333334</v>
      </c>
      <c r="Y875" s="319">
        <v>7</v>
      </c>
      <c r="Z875" s="646"/>
      <c r="AA875" s="328">
        <f t="shared" si="124"/>
        <v>35</v>
      </c>
      <c r="AB875" s="298">
        <f t="shared" si="125"/>
        <v>0</v>
      </c>
      <c r="AC875" s="4"/>
      <c r="AD875" s="47"/>
      <c r="AE875" s="47"/>
      <c r="AF875" s="319"/>
      <c r="AG875" s="328">
        <f t="shared" si="126"/>
        <v>0</v>
      </c>
      <c r="AH875" s="175"/>
      <c r="AI875" s="368"/>
      <c r="AK875" s="188" t="s">
        <v>36</v>
      </c>
      <c r="AL875" s="196">
        <f>AB898</f>
        <v>2.75</v>
      </c>
      <c r="AM875" s="510">
        <f>AM874*1.5</f>
        <v>77.25</v>
      </c>
      <c r="AN875" s="510">
        <f>AL875*AM875</f>
        <v>212.4375</v>
      </c>
      <c r="AQ875" s="367"/>
    </row>
    <row r="876" spans="1:49" s="4" customFormat="1">
      <c r="A876" s="180"/>
      <c r="B876" s="47" t="s">
        <v>974</v>
      </c>
      <c r="C876" s="441" t="s">
        <v>76</v>
      </c>
      <c r="D876" s="47">
        <v>0.20833333333333334</v>
      </c>
      <c r="E876" s="319">
        <v>7.5</v>
      </c>
      <c r="F876" s="646"/>
      <c r="H876" s="441" t="s">
        <v>125</v>
      </c>
      <c r="I876" s="47"/>
      <c r="J876" s="319">
        <v>8</v>
      </c>
      <c r="K876" s="646"/>
      <c r="M876" s="441" t="s">
        <v>125</v>
      </c>
      <c r="N876" s="47"/>
      <c r="O876" s="319">
        <v>8</v>
      </c>
      <c r="P876" s="646"/>
      <c r="R876" s="47">
        <v>0.33333333333333331</v>
      </c>
      <c r="S876" s="47"/>
      <c r="T876" s="319">
        <v>8</v>
      </c>
      <c r="U876" s="646"/>
      <c r="W876" s="667"/>
      <c r="X876" s="565"/>
      <c r="Y876" s="319">
        <v>0</v>
      </c>
      <c r="Z876" s="646"/>
      <c r="AA876" s="328">
        <f t="shared" si="124"/>
        <v>31.5</v>
      </c>
      <c r="AB876" s="298">
        <f t="shared" si="125"/>
        <v>0</v>
      </c>
      <c r="AD876" s="47"/>
      <c r="AE876" s="47"/>
      <c r="AF876" s="319"/>
      <c r="AG876" s="328">
        <f t="shared" si="126"/>
        <v>0</v>
      </c>
      <c r="AI876" s="255"/>
      <c r="AJ876" s="180"/>
      <c r="AK876" s="188" t="s">
        <v>38</v>
      </c>
      <c r="AL876" s="196">
        <f>AG898</f>
        <v>0</v>
      </c>
      <c r="AM876" s="510">
        <v>77.25</v>
      </c>
      <c r="AN876" s="510">
        <f>AL876*AM876</f>
        <v>0</v>
      </c>
      <c r="AO876" s="193"/>
      <c r="AP876" s="193"/>
      <c r="AQ876" s="367"/>
      <c r="AR876" s="180"/>
      <c r="AS876" s="180"/>
      <c r="AT876" s="180"/>
      <c r="AU876" s="180"/>
      <c r="AV876" s="180"/>
      <c r="AW876" s="180"/>
    </row>
    <row r="877" spans="1:49" s="4" customFormat="1">
      <c r="A877" s="180"/>
      <c r="B877" s="374" t="s">
        <v>998</v>
      </c>
      <c r="C877" s="667" t="s">
        <v>960</v>
      </c>
      <c r="D877" s="565"/>
      <c r="E877" s="319">
        <v>0</v>
      </c>
      <c r="F877" s="646"/>
      <c r="H877" s="441" t="s">
        <v>75</v>
      </c>
      <c r="I877" s="47"/>
      <c r="J877" s="319">
        <v>8</v>
      </c>
      <c r="K877" s="646"/>
      <c r="M877" s="441" t="s">
        <v>75</v>
      </c>
      <c r="N877" s="47">
        <v>0.20833333333333334</v>
      </c>
      <c r="O877" s="319">
        <v>7</v>
      </c>
      <c r="P877" s="646"/>
      <c r="R877" s="667"/>
      <c r="S877" s="565"/>
      <c r="T877" s="319">
        <v>0</v>
      </c>
      <c r="U877" s="646"/>
      <c r="W877" s="667"/>
      <c r="X877" s="565"/>
      <c r="Y877" s="319">
        <v>0</v>
      </c>
      <c r="Z877" s="646"/>
      <c r="AA877" s="328">
        <f t="shared" si="124"/>
        <v>15</v>
      </c>
      <c r="AB877" s="298">
        <f t="shared" si="125"/>
        <v>0</v>
      </c>
      <c r="AD877" s="47"/>
      <c r="AE877" s="47"/>
      <c r="AF877" s="319"/>
      <c r="AG877" s="328">
        <f t="shared" si="126"/>
        <v>0</v>
      </c>
      <c r="AI877" s="255"/>
      <c r="AJ877" s="180"/>
      <c r="AK877" s="193"/>
      <c r="AL877" s="193"/>
      <c r="AM877" s="193"/>
      <c r="AN877" s="510">
        <f>SUM(AN871:AN876)</f>
        <v>25532.927500000002</v>
      </c>
      <c r="AO877" s="193"/>
      <c r="AP877" s="193"/>
      <c r="AQ877" s="180"/>
      <c r="AR877" s="180"/>
      <c r="AS877" s="180"/>
      <c r="AT877" s="180"/>
      <c r="AU877" s="180"/>
      <c r="AV877" s="180"/>
      <c r="AW877" s="180"/>
    </row>
    <row r="878" spans="1:49" s="4" customFormat="1">
      <c r="A878" s="180"/>
      <c r="B878" s="47" t="s">
        <v>977</v>
      </c>
      <c r="C878" s="441" t="s">
        <v>344</v>
      </c>
      <c r="D878" s="47">
        <v>0.20833333333333334</v>
      </c>
      <c r="E878" s="319">
        <v>7.75</v>
      </c>
      <c r="F878" s="646"/>
      <c r="H878" s="441" t="s">
        <v>125</v>
      </c>
      <c r="I878" s="47"/>
      <c r="J878" s="319">
        <v>8</v>
      </c>
      <c r="K878" s="646"/>
      <c r="M878" s="441" t="s">
        <v>125</v>
      </c>
      <c r="N878" s="47">
        <v>0.20833333333333334</v>
      </c>
      <c r="O878" s="319">
        <v>8</v>
      </c>
      <c r="P878" s="646"/>
      <c r="R878" s="47">
        <v>0.33333333333333331</v>
      </c>
      <c r="S878" s="47">
        <v>0.20833333333333334</v>
      </c>
      <c r="T878" s="319">
        <v>8</v>
      </c>
      <c r="U878" s="646"/>
      <c r="W878" s="47">
        <v>0.35416666666666669</v>
      </c>
      <c r="X878" s="47">
        <v>0.20833333333333334</v>
      </c>
      <c r="Y878" s="319">
        <v>7.5</v>
      </c>
      <c r="Z878" s="646"/>
      <c r="AA878" s="328">
        <f t="shared" si="124"/>
        <v>39.25</v>
      </c>
      <c r="AB878" s="298">
        <f t="shared" si="125"/>
        <v>0</v>
      </c>
      <c r="AD878" s="47"/>
      <c r="AE878" s="47"/>
      <c r="AF878" s="319"/>
      <c r="AG878" s="328">
        <f t="shared" si="126"/>
        <v>0</v>
      </c>
      <c r="AI878" s="255"/>
      <c r="AJ878" s="180"/>
      <c r="AK878" s="193"/>
      <c r="AL878" s="193"/>
      <c r="AM878" s="193"/>
      <c r="AN878" s="193"/>
      <c r="AO878" s="193"/>
      <c r="AP878" s="193"/>
      <c r="AQ878" s="180"/>
      <c r="AR878" s="180"/>
      <c r="AS878" s="180"/>
      <c r="AT878" s="180"/>
      <c r="AU878" s="180"/>
      <c r="AV878" s="180"/>
      <c r="AW878" s="180"/>
    </row>
    <row r="879" spans="1:49" s="4" customFormat="1">
      <c r="A879" s="180"/>
      <c r="B879" s="47" t="s">
        <v>519</v>
      </c>
      <c r="C879" s="441" t="s">
        <v>344</v>
      </c>
      <c r="D879" s="441"/>
      <c r="E879" s="319">
        <v>7.75</v>
      </c>
      <c r="F879" s="646"/>
      <c r="H879" s="441" t="s">
        <v>75</v>
      </c>
      <c r="I879" s="441" t="s">
        <v>136</v>
      </c>
      <c r="J879" s="319">
        <v>7</v>
      </c>
      <c r="K879" s="646"/>
      <c r="M879" s="441" t="s">
        <v>125</v>
      </c>
      <c r="N879" s="441" t="s">
        <v>136</v>
      </c>
      <c r="O879" s="319">
        <v>8</v>
      </c>
      <c r="P879" s="646"/>
      <c r="R879" s="667"/>
      <c r="S879" s="565"/>
      <c r="T879" s="319">
        <v>0</v>
      </c>
      <c r="U879" s="646"/>
      <c r="W879" s="441" t="s">
        <v>125</v>
      </c>
      <c r="X879" s="441" t="s">
        <v>136</v>
      </c>
      <c r="Y879" s="319">
        <v>8</v>
      </c>
      <c r="Z879" s="646"/>
      <c r="AA879" s="328">
        <f t="shared" si="124"/>
        <v>30.75</v>
      </c>
      <c r="AB879" s="298">
        <f t="shared" si="125"/>
        <v>0</v>
      </c>
      <c r="AD879" s="47"/>
      <c r="AE879" s="47"/>
      <c r="AF879" s="319"/>
      <c r="AG879" s="328">
        <f t="shared" si="126"/>
        <v>0</v>
      </c>
      <c r="AI879" s="255"/>
      <c r="AJ879" s="180"/>
      <c r="AK879" s="193"/>
      <c r="AL879" s="193"/>
      <c r="AM879" s="193"/>
      <c r="AN879" s="193"/>
      <c r="AO879" s="193"/>
      <c r="AP879" s="193"/>
      <c r="AQ879" s="180"/>
      <c r="AR879" s="180"/>
      <c r="AS879" s="180"/>
      <c r="AT879" s="180"/>
      <c r="AU879" s="180"/>
      <c r="AV879" s="180"/>
      <c r="AW879" s="180"/>
    </row>
    <row r="880" spans="1:49" s="4" customFormat="1">
      <c r="A880" s="180"/>
      <c r="B880" s="327" t="s">
        <v>999</v>
      </c>
      <c r="C880" s="667" t="s">
        <v>960</v>
      </c>
      <c r="D880" s="565"/>
      <c r="E880" s="319">
        <v>0</v>
      </c>
      <c r="F880" s="646"/>
      <c r="H880" s="441" t="s">
        <v>75</v>
      </c>
      <c r="I880" s="47"/>
      <c r="J880" s="319">
        <v>7</v>
      </c>
      <c r="K880" s="646"/>
      <c r="M880" s="441" t="s">
        <v>75</v>
      </c>
      <c r="N880" s="441" t="s">
        <v>136</v>
      </c>
      <c r="O880" s="319">
        <v>7</v>
      </c>
      <c r="P880" s="646"/>
      <c r="R880" s="667"/>
      <c r="S880" s="565"/>
      <c r="T880" s="319">
        <v>0</v>
      </c>
      <c r="U880" s="646"/>
      <c r="W880" s="441" t="s">
        <v>75</v>
      </c>
      <c r="X880" s="441" t="s">
        <v>136</v>
      </c>
      <c r="Y880" s="319">
        <v>8</v>
      </c>
      <c r="Z880" s="646"/>
      <c r="AA880" s="328">
        <f t="shared" si="124"/>
        <v>22</v>
      </c>
      <c r="AB880" s="298">
        <f t="shared" si="125"/>
        <v>0</v>
      </c>
      <c r="AD880" s="47"/>
      <c r="AE880" s="47"/>
      <c r="AF880" s="319"/>
      <c r="AG880" s="328">
        <f t="shared" si="126"/>
        <v>0</v>
      </c>
      <c r="AI880" s="255"/>
      <c r="AJ880" s="180"/>
      <c r="AK880" s="193"/>
      <c r="AL880" s="193"/>
      <c r="AM880" s="193"/>
      <c r="AN880" s="193"/>
      <c r="AO880" s="193"/>
      <c r="AP880" s="193"/>
      <c r="AQ880" s="180"/>
      <c r="AR880" s="180"/>
      <c r="AS880" s="180"/>
      <c r="AT880" s="180"/>
      <c r="AU880" s="180"/>
      <c r="AV880" s="180"/>
      <c r="AW880" s="180"/>
    </row>
    <row r="881" spans="1:49" s="4" customFormat="1">
      <c r="A881" s="180"/>
      <c r="B881" s="532" t="s">
        <v>545</v>
      </c>
      <c r="C881" s="441" t="s">
        <v>75</v>
      </c>
      <c r="D881" s="47"/>
      <c r="E881" s="319">
        <v>7</v>
      </c>
      <c r="F881" s="646"/>
      <c r="H881" s="441" t="s">
        <v>960</v>
      </c>
      <c r="I881" s="47"/>
      <c r="J881" s="319">
        <v>0</v>
      </c>
      <c r="K881" s="646"/>
      <c r="M881" s="441"/>
      <c r="N881" s="441"/>
      <c r="O881" s="319">
        <v>0</v>
      </c>
      <c r="P881" s="646"/>
      <c r="R881" s="441"/>
      <c r="S881" s="441"/>
      <c r="T881" s="319">
        <v>0</v>
      </c>
      <c r="U881" s="646"/>
      <c r="W881" s="441" t="s">
        <v>75</v>
      </c>
      <c r="X881" s="441" t="s">
        <v>222</v>
      </c>
      <c r="Y881" s="319">
        <v>6</v>
      </c>
      <c r="Z881" s="646"/>
      <c r="AA881" s="328">
        <f t="shared" si="124"/>
        <v>13</v>
      </c>
      <c r="AB881" s="298">
        <f t="shared" si="125"/>
        <v>0</v>
      </c>
      <c r="AD881" s="47"/>
      <c r="AE881" s="47"/>
      <c r="AF881" s="319"/>
      <c r="AG881" s="328">
        <f t="shared" si="126"/>
        <v>0</v>
      </c>
      <c r="AI881" s="255"/>
      <c r="AJ881" s="180"/>
      <c r="AK881" s="193"/>
      <c r="AL881" s="193"/>
      <c r="AM881" s="193"/>
      <c r="AN881" s="193"/>
      <c r="AO881" s="193"/>
      <c r="AP881" s="193"/>
      <c r="AQ881" s="180"/>
      <c r="AR881" s="180"/>
      <c r="AS881" s="180"/>
      <c r="AT881" s="180"/>
      <c r="AU881" s="180"/>
      <c r="AV881" s="180"/>
      <c r="AW881" s="180"/>
    </row>
    <row r="882" spans="1:49" s="4" customFormat="1">
      <c r="A882" s="180"/>
      <c r="B882" s="532" t="s">
        <v>1034</v>
      </c>
      <c r="C882" s="441" t="s">
        <v>125</v>
      </c>
      <c r="D882" s="47"/>
      <c r="E882" s="319">
        <v>8</v>
      </c>
      <c r="F882" s="646"/>
      <c r="H882" s="441"/>
      <c r="I882" s="47"/>
      <c r="J882" s="319">
        <v>0</v>
      </c>
      <c r="K882" s="646"/>
      <c r="M882" s="441" t="s">
        <v>125</v>
      </c>
      <c r="N882" s="47">
        <v>0.20833333333333334</v>
      </c>
      <c r="O882" s="319">
        <v>8</v>
      </c>
      <c r="P882" s="646"/>
      <c r="R882" s="667"/>
      <c r="S882" s="565"/>
      <c r="T882" s="319">
        <v>0</v>
      </c>
      <c r="U882" s="646"/>
      <c r="W882" s="441" t="s">
        <v>75</v>
      </c>
      <c r="X882" s="441" t="s">
        <v>222</v>
      </c>
      <c r="Y882" s="319">
        <v>6</v>
      </c>
      <c r="Z882" s="646"/>
      <c r="AA882" s="328">
        <f t="shared" si="124"/>
        <v>22</v>
      </c>
      <c r="AB882" s="298">
        <f t="shared" si="125"/>
        <v>0</v>
      </c>
      <c r="AD882" s="47"/>
      <c r="AE882" s="47"/>
      <c r="AF882" s="319"/>
      <c r="AG882" s="328">
        <f t="shared" si="126"/>
        <v>0</v>
      </c>
      <c r="AI882" s="255"/>
      <c r="AJ882" s="180"/>
      <c r="AK882" s="193"/>
      <c r="AL882" s="193"/>
      <c r="AM882" s="193"/>
      <c r="AN882" s="193"/>
      <c r="AO882" s="193"/>
      <c r="AP882" s="193"/>
      <c r="AQ882" s="180"/>
      <c r="AR882" s="180"/>
      <c r="AS882" s="180"/>
      <c r="AT882" s="180"/>
      <c r="AU882" s="180"/>
      <c r="AV882" s="180"/>
      <c r="AW882" s="180"/>
    </row>
    <row r="883" spans="1:49" s="4" customFormat="1">
      <c r="A883" s="180"/>
      <c r="B883" s="532" t="s">
        <v>1032</v>
      </c>
      <c r="C883" s="441" t="s">
        <v>125</v>
      </c>
      <c r="D883" s="47"/>
      <c r="E883" s="319">
        <v>8</v>
      </c>
      <c r="F883" s="646"/>
      <c r="H883" s="441" t="s">
        <v>76</v>
      </c>
      <c r="I883" s="47"/>
      <c r="J883" s="319">
        <v>7.5</v>
      </c>
      <c r="K883" s="646"/>
      <c r="M883" s="441" t="s">
        <v>76</v>
      </c>
      <c r="N883" s="441"/>
      <c r="O883" s="319">
        <v>7.5</v>
      </c>
      <c r="P883" s="646"/>
      <c r="R883" s="441" t="s">
        <v>74</v>
      </c>
      <c r="S883" s="441"/>
      <c r="T883" s="319">
        <v>7.25</v>
      </c>
      <c r="U883" s="646"/>
      <c r="W883" s="667" t="s">
        <v>960</v>
      </c>
      <c r="X883" s="565"/>
      <c r="Y883" s="319">
        <v>0</v>
      </c>
      <c r="Z883" s="646"/>
      <c r="AA883" s="328">
        <f t="shared" si="124"/>
        <v>30.25</v>
      </c>
      <c r="AB883" s="298">
        <f t="shared" si="125"/>
        <v>0</v>
      </c>
      <c r="AD883" s="47"/>
      <c r="AE883" s="47"/>
      <c r="AF883" s="319"/>
      <c r="AG883" s="328">
        <f t="shared" si="126"/>
        <v>0</v>
      </c>
      <c r="AI883" s="255"/>
      <c r="AJ883" s="180"/>
      <c r="AK883" s="193"/>
      <c r="AL883" s="193"/>
      <c r="AM883" s="193"/>
      <c r="AN883" s="193"/>
      <c r="AO883" s="193"/>
      <c r="AP883" s="193"/>
      <c r="AQ883" s="180"/>
      <c r="AR883" s="180"/>
      <c r="AS883" s="180"/>
      <c r="AT883" s="180"/>
      <c r="AU883" s="180"/>
      <c r="AV883" s="180"/>
      <c r="AW883" s="180"/>
    </row>
    <row r="884" spans="1:49" s="4" customFormat="1">
      <c r="A884" s="180"/>
      <c r="B884" s="711" t="s">
        <v>517</v>
      </c>
      <c r="C884" s="441" t="s">
        <v>125</v>
      </c>
      <c r="D884" s="47"/>
      <c r="E884" s="319">
        <v>8</v>
      </c>
      <c r="F884" s="646"/>
      <c r="H884" s="441"/>
      <c r="I884" s="47"/>
      <c r="J884" s="319">
        <v>0</v>
      </c>
      <c r="K884" s="646"/>
      <c r="M884" s="47">
        <v>0.33333333333333331</v>
      </c>
      <c r="N884" s="47"/>
      <c r="O884" s="319">
        <v>8</v>
      </c>
      <c r="P884" s="646"/>
      <c r="R884" s="47"/>
      <c r="S884" s="47"/>
      <c r="T884" s="319">
        <v>0</v>
      </c>
      <c r="U884" s="646"/>
      <c r="W884" s="47"/>
      <c r="X884" s="47"/>
      <c r="Y884" s="319">
        <v>0</v>
      </c>
      <c r="Z884" s="646"/>
      <c r="AA884" s="328">
        <f>(E884+J884+O884+T884+Y884)</f>
        <v>16</v>
      </c>
      <c r="AB884" s="298">
        <f>Z884+U884+P884+K884+F884</f>
        <v>0</v>
      </c>
      <c r="AD884" s="47"/>
      <c r="AE884" s="47"/>
      <c r="AF884" s="319"/>
      <c r="AG884" s="328">
        <f>AF884</f>
        <v>0</v>
      </c>
      <c r="AI884" s="255"/>
      <c r="AJ884" s="180"/>
      <c r="AK884" s="193"/>
      <c r="AL884" s="193"/>
      <c r="AM884" s="193"/>
      <c r="AN884" s="193"/>
      <c r="AO884" s="193"/>
      <c r="AP884" s="193"/>
      <c r="AQ884" s="180"/>
      <c r="AR884" s="180"/>
      <c r="AS884" s="180"/>
      <c r="AT884" s="180"/>
      <c r="AU884" s="180"/>
      <c r="AV884" s="180"/>
      <c r="AW884" s="180"/>
    </row>
    <row r="885" spans="1:49" s="4" customFormat="1">
      <c r="A885" s="180"/>
      <c r="B885" s="502" t="s">
        <v>483</v>
      </c>
      <c r="C885" s="47"/>
      <c r="D885" s="47"/>
      <c r="E885" s="319">
        <v>8</v>
      </c>
      <c r="F885" s="646">
        <v>1.5</v>
      </c>
      <c r="H885" s="47"/>
      <c r="I885" s="47"/>
      <c r="J885" s="319">
        <v>8</v>
      </c>
      <c r="K885" s="646">
        <v>1.25</v>
      </c>
      <c r="M885" s="47"/>
      <c r="N885" s="47"/>
      <c r="O885" s="319">
        <v>8</v>
      </c>
      <c r="P885" s="646">
        <v>1</v>
      </c>
      <c r="R885" s="47"/>
      <c r="S885" s="47"/>
      <c r="T885" s="319">
        <v>8</v>
      </c>
      <c r="U885" s="646">
        <v>1</v>
      </c>
      <c r="W885" s="47"/>
      <c r="X885" s="47"/>
      <c r="Y885" s="319">
        <v>8</v>
      </c>
      <c r="Z885" s="646">
        <v>0.5</v>
      </c>
      <c r="AA885" s="328">
        <f t="shared" si="124"/>
        <v>40</v>
      </c>
      <c r="AB885" s="298">
        <f t="shared" si="125"/>
        <v>5.25</v>
      </c>
      <c r="AD885" s="47"/>
      <c r="AE885" s="47"/>
      <c r="AF885" s="319"/>
      <c r="AG885" s="328">
        <f t="shared" si="126"/>
        <v>0</v>
      </c>
      <c r="AI885" s="255"/>
      <c r="AJ885" s="180"/>
      <c r="AK885" s="193"/>
      <c r="AL885" s="193"/>
      <c r="AM885" s="193"/>
      <c r="AN885" s="193"/>
      <c r="AO885" s="193"/>
      <c r="AP885" s="193"/>
      <c r="AQ885" s="180"/>
      <c r="AR885" s="180"/>
      <c r="AS885" s="180"/>
      <c r="AT885" s="180"/>
      <c r="AU885" s="180"/>
      <c r="AV885" s="180"/>
      <c r="AW885" s="180"/>
    </row>
    <row r="886" spans="1:49" s="4" customFormat="1">
      <c r="A886" s="180"/>
      <c r="B886" s="502" t="s">
        <v>484</v>
      </c>
      <c r="C886" s="47"/>
      <c r="D886" s="47"/>
      <c r="E886" s="319">
        <v>8</v>
      </c>
      <c r="F886" s="646">
        <v>1.5</v>
      </c>
      <c r="H886" s="47"/>
      <c r="I886" s="47"/>
      <c r="J886" s="319">
        <v>8</v>
      </c>
      <c r="K886" s="646">
        <v>1.25</v>
      </c>
      <c r="M886" s="47"/>
      <c r="N886" s="47"/>
      <c r="O886" s="319">
        <v>8</v>
      </c>
      <c r="P886" s="646">
        <v>1</v>
      </c>
      <c r="R886" s="47"/>
      <c r="S886" s="47"/>
      <c r="T886" s="319">
        <v>8</v>
      </c>
      <c r="U886" s="646">
        <v>1</v>
      </c>
      <c r="W886" s="47"/>
      <c r="X886" s="47"/>
      <c r="Y886" s="319">
        <v>8</v>
      </c>
      <c r="Z886" s="646">
        <v>0.5</v>
      </c>
      <c r="AA886" s="328">
        <f t="shared" si="124"/>
        <v>40</v>
      </c>
      <c r="AB886" s="298">
        <f t="shared" si="125"/>
        <v>5.25</v>
      </c>
      <c r="AD886" s="47"/>
      <c r="AE886" s="47"/>
      <c r="AF886" s="319"/>
      <c r="AG886" s="328">
        <f t="shared" si="126"/>
        <v>0</v>
      </c>
      <c r="AI886" s="255"/>
      <c r="AJ886" s="180"/>
      <c r="AK886" s="193"/>
      <c r="AL886" s="193"/>
      <c r="AM886" s="193"/>
      <c r="AN886" s="193"/>
      <c r="AO886" s="193"/>
      <c r="AP886" s="193"/>
      <c r="AQ886" s="180"/>
      <c r="AR886" s="180"/>
      <c r="AS886" s="180"/>
      <c r="AT886" s="180"/>
      <c r="AU886" s="180"/>
      <c r="AV886" s="180"/>
      <c r="AW886" s="180"/>
    </row>
    <row r="887" spans="1:49" s="4" customFormat="1">
      <c r="A887" s="180"/>
      <c r="B887" s="502" t="s">
        <v>485</v>
      </c>
      <c r="C887" s="47"/>
      <c r="D887" s="47"/>
      <c r="E887" s="319">
        <v>8</v>
      </c>
      <c r="F887" s="646">
        <v>1.5</v>
      </c>
      <c r="H887" s="47"/>
      <c r="I887" s="47"/>
      <c r="J887" s="319">
        <v>8</v>
      </c>
      <c r="K887" s="646">
        <v>1.25</v>
      </c>
      <c r="M887" s="47"/>
      <c r="N887" s="47"/>
      <c r="O887" s="319">
        <v>8</v>
      </c>
      <c r="P887" s="646">
        <v>1</v>
      </c>
      <c r="R887" s="47"/>
      <c r="S887" s="47"/>
      <c r="T887" s="319">
        <v>8</v>
      </c>
      <c r="U887" s="646">
        <v>1</v>
      </c>
      <c r="W887" s="47"/>
      <c r="X887" s="47"/>
      <c r="Y887" s="319">
        <v>8</v>
      </c>
      <c r="Z887" s="646">
        <v>0.5</v>
      </c>
      <c r="AA887" s="328">
        <f t="shared" si="124"/>
        <v>40</v>
      </c>
      <c r="AB887" s="298">
        <f t="shared" si="125"/>
        <v>5.25</v>
      </c>
      <c r="AD887" s="47"/>
      <c r="AE887" s="47"/>
      <c r="AF887" s="319"/>
      <c r="AG887" s="328">
        <f t="shared" si="126"/>
        <v>0</v>
      </c>
      <c r="AI887" s="255"/>
      <c r="AJ887" s="180"/>
      <c r="AK887" s="193"/>
      <c r="AL887" s="193"/>
      <c r="AM887" s="193"/>
      <c r="AN887" s="193"/>
      <c r="AO887" s="193"/>
      <c r="AP887" s="193"/>
      <c r="AQ887" s="180"/>
      <c r="AR887" s="180"/>
      <c r="AS887" s="180"/>
      <c r="AT887" s="180"/>
      <c r="AU887" s="180"/>
      <c r="AV887" s="180"/>
      <c r="AW887" s="180"/>
    </row>
    <row r="888" spans="1:49" s="4" customFormat="1">
      <c r="A888" s="180"/>
      <c r="B888" s="63" t="s">
        <v>63</v>
      </c>
      <c r="C888" s="663"/>
      <c r="D888" s="663"/>
      <c r="E888" s="319">
        <v>8</v>
      </c>
      <c r="F888" s="646">
        <v>1</v>
      </c>
      <c r="H888" s="663"/>
      <c r="I888" s="663"/>
      <c r="J888" s="319">
        <v>8</v>
      </c>
      <c r="K888" s="646">
        <v>0.75</v>
      </c>
      <c r="M888" s="47"/>
      <c r="N888" s="47"/>
      <c r="O888" s="319">
        <v>8</v>
      </c>
      <c r="P888" s="646">
        <v>0.5</v>
      </c>
      <c r="R888" s="663"/>
      <c r="S888" s="663"/>
      <c r="T888" s="319">
        <v>8</v>
      </c>
      <c r="U888" s="646">
        <v>1</v>
      </c>
      <c r="W888" s="663"/>
      <c r="X888" s="663"/>
      <c r="Y888" s="319">
        <v>8</v>
      </c>
      <c r="Z888" s="646">
        <v>1</v>
      </c>
      <c r="AA888" s="328">
        <f t="shared" si="124"/>
        <v>40</v>
      </c>
      <c r="AB888" s="298">
        <f t="shared" si="125"/>
        <v>4.25</v>
      </c>
      <c r="AD888" s="47"/>
      <c r="AE888" s="47"/>
      <c r="AF888" s="319"/>
      <c r="AG888" s="328">
        <f t="shared" si="126"/>
        <v>0</v>
      </c>
      <c r="AI888" s="255"/>
      <c r="AJ888" s="180"/>
      <c r="AK888" s="193"/>
      <c r="AL888" s="193"/>
      <c r="AM888" s="193"/>
      <c r="AN888" s="193"/>
      <c r="AO888" s="193"/>
      <c r="AP888" s="193"/>
      <c r="AQ888" s="180"/>
      <c r="AR888" s="180"/>
      <c r="AS888" s="180"/>
      <c r="AT888" s="180"/>
      <c r="AU888" s="180"/>
      <c r="AV888" s="180"/>
      <c r="AW888" s="180"/>
    </row>
    <row r="889" spans="1:49" s="4" customFormat="1">
      <c r="A889" s="180"/>
      <c r="B889" s="267" t="s">
        <v>358</v>
      </c>
      <c r="C889" s="663"/>
      <c r="D889" s="663"/>
      <c r="E889" s="319">
        <v>8</v>
      </c>
      <c r="F889" s="646"/>
      <c r="G889" s="438"/>
      <c r="H889" s="663"/>
      <c r="I889" s="663"/>
      <c r="J889" s="319">
        <v>7</v>
      </c>
      <c r="K889" s="646"/>
      <c r="L889" s="438"/>
      <c r="M889" s="663"/>
      <c r="N889" s="663"/>
      <c r="O889" s="319">
        <v>6</v>
      </c>
      <c r="P889" s="646"/>
      <c r="Q889" s="438"/>
      <c r="R889" s="663"/>
      <c r="S889" s="663"/>
      <c r="T889" s="319">
        <v>6</v>
      </c>
      <c r="U889" s="646"/>
      <c r="V889" s="438"/>
      <c r="W889" s="663"/>
      <c r="X889" s="663"/>
      <c r="Y889" s="319">
        <v>6</v>
      </c>
      <c r="Z889" s="646"/>
      <c r="AA889" s="328">
        <f t="shared" si="124"/>
        <v>33</v>
      </c>
      <c r="AB889" s="298">
        <f t="shared" si="125"/>
        <v>0</v>
      </c>
      <c r="AD889" s="47"/>
      <c r="AE889" s="47"/>
      <c r="AF889" s="319"/>
      <c r="AG889" s="328">
        <f t="shared" si="126"/>
        <v>0</v>
      </c>
      <c r="AI889" s="255"/>
      <c r="AJ889" s="180"/>
      <c r="AK889" s="193"/>
      <c r="AL889" s="193"/>
      <c r="AM889" s="193"/>
      <c r="AN889" s="193"/>
      <c r="AO889" s="193"/>
      <c r="AP889" s="193"/>
      <c r="AQ889" s="180"/>
      <c r="AR889" s="180"/>
      <c r="AS889" s="180"/>
      <c r="AT889" s="180"/>
      <c r="AU889" s="180"/>
      <c r="AV889" s="180"/>
      <c r="AW889" s="180"/>
    </row>
    <row r="890" spans="1:49" s="193" customFormat="1">
      <c r="A890" s="180"/>
      <c r="B890" s="267"/>
      <c r="C890" s="5"/>
      <c r="D890" s="5"/>
      <c r="E890" s="319"/>
      <c r="F890" s="646"/>
      <c r="G890" s="438"/>
      <c r="H890" s="5"/>
      <c r="I890" s="5"/>
      <c r="J890" s="319"/>
      <c r="K890" s="646"/>
      <c r="L890" s="438"/>
      <c r="M890" s="5"/>
      <c r="N890" s="5"/>
      <c r="O890" s="319"/>
      <c r="P890" s="646"/>
      <c r="Q890" s="438"/>
      <c r="R890" s="5"/>
      <c r="S890" s="5"/>
      <c r="T890" s="319"/>
      <c r="U890" s="646"/>
      <c r="V890" s="438"/>
      <c r="W890" s="5"/>
      <c r="X890" s="5"/>
      <c r="Y890" s="319"/>
      <c r="Z890" s="646"/>
      <c r="AA890" s="328">
        <f t="shared" si="124"/>
        <v>0</v>
      </c>
      <c r="AB890" s="298">
        <f t="shared" si="125"/>
        <v>0</v>
      </c>
      <c r="AC890" s="4"/>
      <c r="AD890" s="47"/>
      <c r="AE890" s="47"/>
      <c r="AF890" s="319"/>
      <c r="AG890" s="328">
        <f t="shared" si="126"/>
        <v>0</v>
      </c>
      <c r="AH890" s="4"/>
      <c r="AI890" s="255"/>
      <c r="AJ890" s="180"/>
      <c r="AQ890" s="180"/>
      <c r="AR890" s="180"/>
      <c r="AS890" s="180"/>
      <c r="AT890" s="180"/>
      <c r="AU890" s="180"/>
      <c r="AV890" s="180"/>
      <c r="AW890" s="180"/>
    </row>
    <row r="891" spans="1:49" s="193" customFormat="1">
      <c r="A891" s="180"/>
      <c r="B891" s="267" t="s">
        <v>411</v>
      </c>
      <c r="C891" s="5"/>
      <c r="D891" s="5"/>
      <c r="E891" s="319"/>
      <c r="F891" s="646"/>
      <c r="G891" s="438"/>
      <c r="H891" s="5"/>
      <c r="I891" s="5"/>
      <c r="J891" s="319"/>
      <c r="K891" s="646"/>
      <c r="L891" s="438"/>
      <c r="M891" s="5"/>
      <c r="N891" s="5"/>
      <c r="O891" s="319"/>
      <c r="P891" s="646"/>
      <c r="Q891" s="438"/>
      <c r="R891" s="5"/>
      <c r="S891" s="5"/>
      <c r="T891" s="319"/>
      <c r="U891" s="646"/>
      <c r="V891" s="438"/>
      <c r="W891" s="5"/>
      <c r="X891" s="5"/>
      <c r="Y891" s="319"/>
      <c r="Z891" s="646"/>
      <c r="AA891" s="328">
        <f t="shared" si="124"/>
        <v>0</v>
      </c>
      <c r="AB891" s="298">
        <f t="shared" si="125"/>
        <v>0</v>
      </c>
      <c r="AC891" s="4"/>
      <c r="AD891" s="47"/>
      <c r="AE891" s="47"/>
      <c r="AF891" s="319"/>
      <c r="AG891" s="328">
        <f t="shared" si="126"/>
        <v>0</v>
      </c>
      <c r="AH891" s="4"/>
      <c r="AI891" s="255"/>
      <c r="AJ891" s="180"/>
      <c r="AQ891" s="180"/>
      <c r="AR891" s="180"/>
      <c r="AS891" s="180"/>
      <c r="AT891" s="180"/>
      <c r="AU891" s="180"/>
      <c r="AV891" s="180"/>
      <c r="AW891" s="180"/>
    </row>
    <row r="892" spans="1:49" s="193" customFormat="1">
      <c r="A892" s="180"/>
      <c r="B892" s="267" t="s">
        <v>361</v>
      </c>
      <c r="C892" s="5"/>
      <c r="D892" s="5"/>
      <c r="E892" s="319"/>
      <c r="F892" s="646"/>
      <c r="G892" s="438"/>
      <c r="H892" s="5"/>
      <c r="I892" s="5"/>
      <c r="J892" s="319"/>
      <c r="K892" s="646"/>
      <c r="L892" s="438"/>
      <c r="M892" s="5"/>
      <c r="N892" s="5"/>
      <c r="O892" s="319"/>
      <c r="P892" s="646"/>
      <c r="Q892" s="438"/>
      <c r="R892" s="5"/>
      <c r="S892" s="5"/>
      <c r="T892" s="319"/>
      <c r="U892" s="646"/>
      <c r="V892" s="438"/>
      <c r="W892" s="5"/>
      <c r="X892" s="5"/>
      <c r="Y892" s="319"/>
      <c r="Z892" s="646"/>
      <c r="AA892" s="328">
        <f t="shared" si="124"/>
        <v>0</v>
      </c>
      <c r="AB892" s="298">
        <f t="shared" si="125"/>
        <v>0</v>
      </c>
      <c r="AC892" s="4"/>
      <c r="AD892" s="47"/>
      <c r="AE892" s="47"/>
      <c r="AF892" s="319"/>
      <c r="AG892" s="328">
        <f t="shared" si="126"/>
        <v>0</v>
      </c>
      <c r="AH892" s="4"/>
      <c r="AI892" s="255"/>
      <c r="AJ892" s="180"/>
      <c r="AQ892" s="180"/>
      <c r="AR892" s="180"/>
      <c r="AS892" s="180"/>
      <c r="AT892" s="180"/>
      <c r="AU892" s="180"/>
      <c r="AV892" s="180"/>
      <c r="AW892" s="180"/>
    </row>
    <row r="893" spans="1:49" s="193" customFormat="1">
      <c r="A893" s="180"/>
      <c r="B893" s="267" t="s">
        <v>362</v>
      </c>
      <c r="C893" s="436" t="s">
        <v>137</v>
      </c>
      <c r="D893" s="47"/>
      <c r="E893" s="319"/>
      <c r="F893" s="646"/>
      <c r="G893" s="438"/>
      <c r="H893" s="47"/>
      <c r="I893" s="47"/>
      <c r="J893" s="319">
        <v>2</v>
      </c>
      <c r="K893" s="646"/>
      <c r="L893" s="438"/>
      <c r="M893" s="47"/>
      <c r="N893" s="47"/>
      <c r="O893" s="319"/>
      <c r="P893" s="646"/>
      <c r="Q893" s="438"/>
      <c r="R893" s="47"/>
      <c r="S893" s="47"/>
      <c r="T893" s="319">
        <v>1</v>
      </c>
      <c r="U893" s="646"/>
      <c r="V893" s="438"/>
      <c r="W893" s="5"/>
      <c r="X893" s="5"/>
      <c r="Y893" s="319">
        <v>1</v>
      </c>
      <c r="Z893" s="646"/>
      <c r="AA893" s="328">
        <f t="shared" si="124"/>
        <v>4</v>
      </c>
      <c r="AB893" s="298">
        <f t="shared" si="125"/>
        <v>0</v>
      </c>
      <c r="AC893" s="4"/>
      <c r="AD893" s="47"/>
      <c r="AE893" s="47"/>
      <c r="AF893" s="319"/>
      <c r="AG893" s="328">
        <f t="shared" si="126"/>
        <v>0</v>
      </c>
      <c r="AH893" s="4"/>
      <c r="AI893" s="255"/>
      <c r="AJ893" s="180"/>
      <c r="AQ893" s="180"/>
      <c r="AR893" s="180"/>
      <c r="AS893" s="180"/>
      <c r="AT893" s="180"/>
      <c r="AU893" s="180"/>
      <c r="AV893" s="180"/>
      <c r="AW893" s="180"/>
    </row>
    <row r="894" spans="1:49" s="193" customFormat="1">
      <c r="A894" s="180"/>
      <c r="B894" s="437" t="s">
        <v>355</v>
      </c>
      <c r="C894" s="5"/>
      <c r="D894" s="5"/>
      <c r="E894" s="319">
        <v>7.7</v>
      </c>
      <c r="F894" s="646"/>
      <c r="G894" s="438"/>
      <c r="H894" s="5"/>
      <c r="I894" s="5"/>
      <c r="J894" s="319">
        <v>7.7</v>
      </c>
      <c r="K894" s="646"/>
      <c r="L894" s="438"/>
      <c r="M894" s="5"/>
      <c r="N894" s="5"/>
      <c r="O894" s="319">
        <v>7.7</v>
      </c>
      <c r="P894" s="646"/>
      <c r="Q894" s="438"/>
      <c r="R894" s="5"/>
      <c r="S894" s="5"/>
      <c r="T894" s="319">
        <v>7.7</v>
      </c>
      <c r="U894" s="646"/>
      <c r="V894" s="438"/>
      <c r="W894" s="5"/>
      <c r="X894" s="5"/>
      <c r="Y894" s="319">
        <v>7.7</v>
      </c>
      <c r="Z894" s="646"/>
      <c r="AA894" s="328">
        <f t="shared" si="124"/>
        <v>38.5</v>
      </c>
      <c r="AB894" s="298">
        <f t="shared" si="125"/>
        <v>0</v>
      </c>
      <c r="AC894" s="4"/>
      <c r="AD894" s="47"/>
      <c r="AE894" s="47"/>
      <c r="AF894" s="319"/>
      <c r="AG894" s="328">
        <f t="shared" si="126"/>
        <v>0</v>
      </c>
      <c r="AH894" s="4"/>
      <c r="AI894" s="255"/>
      <c r="AJ894" s="180"/>
      <c r="AQ894" s="180"/>
      <c r="AR894" s="180"/>
      <c r="AS894" s="180"/>
      <c r="AT894" s="180"/>
      <c r="AU894" s="180"/>
      <c r="AV894" s="180"/>
      <c r="AW894" s="180"/>
    </row>
    <row r="895" spans="1:49" s="193" customFormat="1">
      <c r="A895" s="180"/>
      <c r="B895" s="437" t="s">
        <v>356</v>
      </c>
      <c r="C895" s="5"/>
      <c r="D895" s="5"/>
      <c r="E895" s="319"/>
      <c r="F895" s="646"/>
      <c r="G895" s="438"/>
      <c r="H895" s="5"/>
      <c r="I895" s="5"/>
      <c r="J895" s="319"/>
      <c r="K895" s="646"/>
      <c r="L895" s="438"/>
      <c r="M895" s="5"/>
      <c r="N895" s="5"/>
      <c r="O895" s="319"/>
      <c r="P895" s="646"/>
      <c r="Q895" s="438"/>
      <c r="R895" s="5"/>
      <c r="S895" s="5"/>
      <c r="T895" s="319"/>
      <c r="U895" s="646"/>
      <c r="V895" s="438"/>
      <c r="W895" s="5"/>
      <c r="X895" s="5"/>
      <c r="Y895" s="319"/>
      <c r="Z895" s="646"/>
      <c r="AA895" s="328">
        <f t="shared" si="124"/>
        <v>0</v>
      </c>
      <c r="AB895" s="298">
        <f t="shared" si="125"/>
        <v>0</v>
      </c>
      <c r="AC895" s="4"/>
      <c r="AD895" s="47"/>
      <c r="AE895" s="47"/>
      <c r="AF895" s="319"/>
      <c r="AG895" s="328">
        <f t="shared" si="126"/>
        <v>0</v>
      </c>
      <c r="AH895" s="4"/>
      <c r="AI895" s="255"/>
      <c r="AJ895" s="180"/>
      <c r="AQ895" s="180"/>
      <c r="AR895" s="180"/>
      <c r="AS895" s="180"/>
      <c r="AT895" s="180"/>
      <c r="AU895" s="180"/>
      <c r="AV895" s="180"/>
      <c r="AW895" s="180"/>
    </row>
    <row r="896" spans="1:49" s="193" customFormat="1">
      <c r="A896" s="180"/>
      <c r="B896" s="64" t="s">
        <v>61</v>
      </c>
      <c r="C896" s="31"/>
      <c r="D896" s="31"/>
      <c r="E896" s="439">
        <f>SUM(E872:E895)</f>
        <v>131.19999999999999</v>
      </c>
      <c r="F896" s="646">
        <f>SUM(F872:F895)</f>
        <v>5.5</v>
      </c>
      <c r="G896" s="31"/>
      <c r="H896" s="31"/>
      <c r="I896" s="31"/>
      <c r="J896" s="439">
        <f>SUM(J872:J895)</f>
        <v>124.7</v>
      </c>
      <c r="K896" s="646">
        <f>SUM(K872:K895)</f>
        <v>4.5</v>
      </c>
      <c r="L896" s="31"/>
      <c r="M896" s="31"/>
      <c r="N896" s="31"/>
      <c r="O896" s="439">
        <f>SUM(O872:O895)</f>
        <v>137.19999999999999</v>
      </c>
      <c r="P896" s="646">
        <f>SUM(P872:P895)</f>
        <v>3.5</v>
      </c>
      <c r="Q896" s="31"/>
      <c r="R896" s="31"/>
      <c r="S896" s="31"/>
      <c r="T896" s="439">
        <f>SUM(T872:T895)</f>
        <v>84.2</v>
      </c>
      <c r="U896" s="646">
        <f>SUM(U872:U895)</f>
        <v>4</v>
      </c>
      <c r="V896" s="31"/>
      <c r="W896" s="31"/>
      <c r="X896" s="31"/>
      <c r="Y896" s="439">
        <f>SUM(Y872:Y895)</f>
        <v>96.2</v>
      </c>
      <c r="Z896" s="646">
        <f>SUM(Z872:Z895)</f>
        <v>2.5</v>
      </c>
      <c r="AA896" s="370">
        <f>SUM(AA872:AA895)</f>
        <v>573.5</v>
      </c>
      <c r="AB896" s="370">
        <f>SUM(AB872:AB895)</f>
        <v>20</v>
      </c>
      <c r="AC896" s="4"/>
      <c r="AD896" s="64"/>
      <c r="AE896" s="64"/>
      <c r="AF896" s="370">
        <f>SUM(AF872:AF895)</f>
        <v>0</v>
      </c>
      <c r="AG896" s="370">
        <f>SUM(AG872:AG895)</f>
        <v>0</v>
      </c>
      <c r="AH896" s="4"/>
      <c r="AI896" s="255"/>
      <c r="AJ896" s="180"/>
      <c r="AK896" s="407"/>
      <c r="AQ896" s="180"/>
      <c r="AR896" s="180"/>
      <c r="AS896" s="180"/>
      <c r="AT896" s="180"/>
      <c r="AU896" s="180"/>
      <c r="AV896" s="180"/>
      <c r="AW896" s="180"/>
    </row>
    <row r="897" spans="1:49" s="193" customFormat="1">
      <c r="A897" s="180"/>
      <c r="B897" s="63" t="s">
        <v>64</v>
      </c>
      <c r="C897" s="47"/>
      <c r="D897" s="47"/>
      <c r="E897" s="319">
        <v>8</v>
      </c>
      <c r="F897" s="346">
        <v>0.5</v>
      </c>
      <c r="G897" s="613"/>
      <c r="H897" s="47"/>
      <c r="I897" s="47"/>
      <c r="J897" s="319">
        <v>8</v>
      </c>
      <c r="K897" s="346">
        <v>0.75</v>
      </c>
      <c r="L897" s="60"/>
      <c r="M897" s="47"/>
      <c r="N897" s="47"/>
      <c r="O897" s="319">
        <v>7</v>
      </c>
      <c r="P897" s="346"/>
      <c r="Q897" s="60"/>
      <c r="R897" s="47"/>
      <c r="S897" s="47"/>
      <c r="T897" s="319">
        <v>3</v>
      </c>
      <c r="U897" s="346">
        <v>1</v>
      </c>
      <c r="V897" s="60"/>
      <c r="W897" s="47"/>
      <c r="X897" s="47"/>
      <c r="Y897" s="319">
        <v>7</v>
      </c>
      <c r="Z897" s="346">
        <v>0.5</v>
      </c>
      <c r="AA897" s="28">
        <f>SUM(E897+J897+O897+T897+Y897)</f>
        <v>33</v>
      </c>
      <c r="AB897" s="296">
        <f>Z897+U897+P897+K897+F897</f>
        <v>2.75</v>
      </c>
      <c r="AC897" s="4"/>
      <c r="AD897" s="47" t="s">
        <v>29</v>
      </c>
      <c r="AE897" s="47" t="s">
        <v>29</v>
      </c>
      <c r="AF897" s="319"/>
      <c r="AG897" s="29">
        <f>AF897</f>
        <v>0</v>
      </c>
      <c r="AH897" s="4"/>
      <c r="AI897" s="255"/>
      <c r="AJ897" s="180"/>
      <c r="AK897" s="407"/>
      <c r="AQ897" s="180"/>
      <c r="AR897" s="180"/>
      <c r="AS897" s="180"/>
      <c r="AT897" s="180"/>
      <c r="AU897" s="180"/>
      <c r="AV897" s="180"/>
      <c r="AW897" s="180"/>
    </row>
    <row r="898" spans="1:49" s="193" customFormat="1">
      <c r="A898" s="180"/>
      <c r="B898" s="71" t="s">
        <v>66</v>
      </c>
      <c r="C898" s="371"/>
      <c r="D898" s="371"/>
      <c r="E898" s="71"/>
      <c r="F898" s="613"/>
      <c r="G898" s="71"/>
      <c r="H898" s="71"/>
      <c r="I898" s="71"/>
      <c r="J898" s="71"/>
      <c r="K898" s="613"/>
      <c r="L898" s="71"/>
      <c r="M898" s="71"/>
      <c r="N898" s="71"/>
      <c r="O898" s="71"/>
      <c r="P898" s="613"/>
      <c r="Q898" s="71"/>
      <c r="R898" s="71"/>
      <c r="S898" s="71"/>
      <c r="T898" s="71"/>
      <c r="U898" s="613"/>
      <c r="V898" s="71"/>
      <c r="W898" s="71"/>
      <c r="X898" s="71"/>
      <c r="Y898" s="71"/>
      <c r="Z898" s="613"/>
      <c r="AA898" s="370">
        <f>SUM(AA897:AA897)</f>
        <v>33</v>
      </c>
      <c r="AB898" s="370">
        <f>SUM(AB897:AB897)</f>
        <v>2.75</v>
      </c>
      <c r="AC898" s="4"/>
      <c r="AD898" s="180"/>
      <c r="AE898" s="180"/>
      <c r="AF898" s="180"/>
      <c r="AG898" s="370">
        <f>SUM(AG897:AG897)</f>
        <v>0</v>
      </c>
      <c r="AH898" s="4"/>
      <c r="AI898" s="255"/>
      <c r="AJ898" s="180"/>
      <c r="AK898" s="407"/>
      <c r="AQ898" s="180"/>
      <c r="AR898" s="180"/>
      <c r="AS898" s="180"/>
      <c r="AT898" s="180"/>
      <c r="AU898" s="180"/>
      <c r="AV898" s="180"/>
      <c r="AW898" s="180"/>
    </row>
    <row r="899" spans="1:49" s="193" customFormat="1">
      <c r="A899" s="180"/>
      <c r="B899" s="217" t="s">
        <v>67</v>
      </c>
      <c r="C899" s="207">
        <f>C900+C901</f>
        <v>44</v>
      </c>
      <c r="D899" s="207"/>
      <c r="E899" s="209"/>
      <c r="F899" s="209"/>
      <c r="G899" s="207"/>
      <c r="H899" s="209"/>
      <c r="I899" s="209"/>
      <c r="J899" s="209"/>
      <c r="K899" s="209"/>
      <c r="L899" s="207"/>
      <c r="M899" s="207"/>
      <c r="N899" s="207"/>
      <c r="O899" s="207"/>
      <c r="P899" s="209"/>
      <c r="Q899" s="207"/>
      <c r="R899" s="207"/>
      <c r="S899" s="207"/>
      <c r="T899" s="207"/>
      <c r="U899" s="209"/>
      <c r="V899" s="207"/>
      <c r="W899" s="207"/>
      <c r="X899" s="207"/>
      <c r="Y899" s="210"/>
      <c r="Z899" s="209"/>
      <c r="AA899" s="211"/>
      <c r="AB899" s="209"/>
      <c r="AC899" s="211"/>
      <c r="AD899" s="211"/>
      <c r="AE899" s="211"/>
      <c r="AF899" s="211"/>
      <c r="AG899" s="211"/>
      <c r="AH899" s="4"/>
      <c r="AI899" s="255"/>
      <c r="AJ899" s="180"/>
      <c r="AQ899" s="180"/>
      <c r="AR899" s="180"/>
      <c r="AS899" s="180"/>
      <c r="AT899" s="180"/>
      <c r="AU899" s="180"/>
      <c r="AV899" s="180"/>
      <c r="AW899" s="180"/>
    </row>
    <row r="900" spans="1:49" s="193" customFormat="1">
      <c r="A900" s="180"/>
      <c r="B900" s="238" t="s">
        <v>68</v>
      </c>
      <c r="C900" s="239">
        <f>3</f>
        <v>3</v>
      </c>
      <c r="D900" s="207"/>
      <c r="E900" s="209"/>
      <c r="F900" s="209"/>
      <c r="G900" s="207"/>
      <c r="H900" s="209"/>
      <c r="I900" s="209"/>
      <c r="J900" s="209"/>
      <c r="K900" s="209"/>
      <c r="L900" s="207"/>
      <c r="M900" s="207"/>
      <c r="N900" s="207"/>
      <c r="O900" s="207"/>
      <c r="P900" s="209"/>
      <c r="Q900" s="207"/>
      <c r="R900" s="207"/>
      <c r="S900" s="207"/>
      <c r="T900" s="207"/>
      <c r="U900" s="209"/>
      <c r="V900" s="207"/>
      <c r="W900" s="207"/>
      <c r="X900" s="207"/>
      <c r="Y900" s="210"/>
      <c r="Z900" s="209"/>
      <c r="AA900" s="211"/>
      <c r="AB900" s="209"/>
      <c r="AC900" s="211"/>
      <c r="AD900" s="211"/>
      <c r="AE900" s="211"/>
      <c r="AF900" s="211"/>
      <c r="AG900" s="211"/>
      <c r="AH900" s="4"/>
      <c r="AI900" s="255"/>
      <c r="AJ900" s="180"/>
      <c r="AQ900" s="180"/>
      <c r="AR900" s="180"/>
      <c r="AS900" s="180"/>
      <c r="AT900" s="180"/>
      <c r="AU900" s="180"/>
      <c r="AV900" s="180"/>
      <c r="AW900" s="180"/>
    </row>
    <row r="901" spans="1:49" s="193" customFormat="1">
      <c r="A901" s="180"/>
      <c r="B901" s="238" t="s">
        <v>69</v>
      </c>
      <c r="C901" s="239">
        <f>11+8+6+3+7+6</f>
        <v>41</v>
      </c>
      <c r="D901" s="207"/>
      <c r="E901" s="209"/>
      <c r="F901" s="209"/>
      <c r="G901" s="207"/>
      <c r="H901" s="209"/>
      <c r="I901" s="209"/>
      <c r="J901" s="209"/>
      <c r="K901" s="209"/>
      <c r="L901" s="207"/>
      <c r="M901" s="207"/>
      <c r="N901" s="207"/>
      <c r="O901" s="207"/>
      <c r="P901" s="209"/>
      <c r="Q901" s="207"/>
      <c r="R901" s="207"/>
      <c r="S901" s="207"/>
      <c r="T901" s="207"/>
      <c r="U901" s="209"/>
      <c r="V901" s="207"/>
      <c r="W901" s="207"/>
      <c r="X901" s="207"/>
      <c r="Y901" s="210"/>
      <c r="Z901" s="209"/>
      <c r="AA901" s="211"/>
      <c r="AB901" s="209"/>
      <c r="AC901" s="211"/>
      <c r="AD901" s="211"/>
      <c r="AE901" s="211"/>
      <c r="AF901" s="211"/>
      <c r="AG901" s="211"/>
      <c r="AH901" s="4"/>
      <c r="AI901" s="255"/>
      <c r="AJ901" s="180"/>
      <c r="AQ901" s="180"/>
      <c r="AR901" s="180"/>
      <c r="AS901" s="180"/>
      <c r="AT901" s="180"/>
      <c r="AU901" s="180"/>
      <c r="AV901" s="180"/>
      <c r="AW901" s="180"/>
    </row>
    <row r="902" spans="1:49">
      <c r="B902" s="180"/>
      <c r="E902" s="4"/>
      <c r="F902" s="644"/>
      <c r="G902" s="4"/>
      <c r="J902" s="4"/>
      <c r="K902" s="644"/>
      <c r="L902" s="4"/>
      <c r="O902" s="4"/>
      <c r="P902" s="644"/>
      <c r="T902" s="4"/>
      <c r="U902" s="644"/>
      <c r="Y902" s="4"/>
      <c r="Z902" s="644"/>
      <c r="AA902" s="4"/>
      <c r="AB902" s="4"/>
      <c r="AC902" s="4"/>
    </row>
    <row r="903" spans="1:49">
      <c r="A903" s="180"/>
      <c r="B903" s="229"/>
      <c r="C903" s="230"/>
      <c r="D903" s="230"/>
      <c r="E903" s="232"/>
      <c r="F903" s="232"/>
      <c r="G903" s="230"/>
      <c r="H903" s="232"/>
      <c r="I903" s="232"/>
      <c r="J903" s="232"/>
      <c r="K903" s="232"/>
      <c r="L903" s="230"/>
      <c r="M903" s="230"/>
      <c r="N903" s="230"/>
      <c r="O903" s="230"/>
      <c r="P903" s="232"/>
      <c r="Q903" s="230"/>
      <c r="R903" s="230"/>
      <c r="S903" s="230"/>
      <c r="T903" s="230"/>
      <c r="U903" s="232"/>
      <c r="V903" s="230"/>
      <c r="W903" s="230"/>
      <c r="X903" s="230"/>
      <c r="Y903" s="233"/>
      <c r="Z903" s="232"/>
      <c r="AA903" s="234"/>
      <c r="AB903" s="232"/>
      <c r="AC903" s="373"/>
      <c r="AD903" s="236"/>
      <c r="AE903" s="255"/>
      <c r="AF903" s="255"/>
      <c r="AG903" s="255"/>
      <c r="AH903" s="255"/>
      <c r="AJ903" s="255"/>
      <c r="AK903" s="255"/>
      <c r="AL903" s="255"/>
      <c r="AM903" s="255"/>
      <c r="AN903" s="255"/>
      <c r="AO903" s="255"/>
      <c r="AP903" s="255"/>
      <c r="AQ903" s="255"/>
      <c r="AR903" s="255"/>
      <c r="AS903" s="255"/>
      <c r="AT903" s="255"/>
      <c r="AU903" s="255"/>
      <c r="AV903" s="255"/>
      <c r="AW903" s="255"/>
    </row>
    <row r="904" spans="1:49">
      <c r="B904" s="180"/>
      <c r="E904" s="4"/>
      <c r="F904" s="644"/>
      <c r="G904" s="4"/>
      <c r="J904" s="4"/>
      <c r="K904" s="644"/>
      <c r="L904" s="4"/>
      <c r="O904" s="4"/>
      <c r="P904" s="644"/>
      <c r="T904" s="4"/>
      <c r="U904" s="644"/>
      <c r="Y904" s="4"/>
      <c r="Z904" s="644"/>
      <c r="AA904" s="4"/>
      <c r="AB904" s="4"/>
      <c r="AC904" s="4"/>
      <c r="AK904" s="180"/>
      <c r="AL904" s="180"/>
      <c r="AM904" s="180"/>
      <c r="AN904" s="180"/>
      <c r="AO904" s="180"/>
      <c r="AP904" s="180"/>
    </row>
    <row r="905" spans="1:49">
      <c r="A905" s="228"/>
      <c r="B905" s="1518" t="s">
        <v>18</v>
      </c>
      <c r="C905" s="1519">
        <v>45691</v>
      </c>
      <c r="D905" s="1519"/>
      <c r="E905" s="1519"/>
      <c r="F905" s="1519"/>
      <c r="G905" s="365"/>
      <c r="H905" s="1519">
        <v>45692</v>
      </c>
      <c r="I905" s="1519"/>
      <c r="J905" s="1519"/>
      <c r="K905" s="1519"/>
      <c r="L905" s="365"/>
      <c r="M905" s="1519">
        <v>45693</v>
      </c>
      <c r="N905" s="1519"/>
      <c r="O905" s="1519"/>
      <c r="P905" s="1519"/>
      <c r="Q905" s="365"/>
      <c r="R905" s="1519">
        <v>45694</v>
      </c>
      <c r="S905" s="1519"/>
      <c r="T905" s="1519"/>
      <c r="U905" s="1519"/>
      <c r="V905" s="365"/>
      <c r="W905" s="1519">
        <v>45695</v>
      </c>
      <c r="X905" s="1519"/>
      <c r="Y905" s="1519"/>
      <c r="Z905" s="1519"/>
      <c r="AA905" s="1517" t="s">
        <v>19</v>
      </c>
      <c r="AB905" s="1517" t="s">
        <v>20</v>
      </c>
      <c r="AC905" s="4"/>
      <c r="AD905" s="1519"/>
      <c r="AE905" s="1519"/>
      <c r="AF905" s="1519"/>
      <c r="AG905" s="1517" t="s">
        <v>21</v>
      </c>
      <c r="AI905" s="368"/>
      <c r="AK905" s="194" t="s">
        <v>84</v>
      </c>
      <c r="AL905" s="366"/>
      <c r="AM905" s="366"/>
      <c r="AN905" s="366"/>
      <c r="AO905" s="366"/>
      <c r="AP905" s="366"/>
    </row>
    <row r="906" spans="1:49">
      <c r="A906" s="180"/>
      <c r="B906" s="1518"/>
      <c r="C906" s="21" t="s">
        <v>23</v>
      </c>
      <c r="D906" s="21" t="s">
        <v>24</v>
      </c>
      <c r="E906" s="205" t="s">
        <v>25</v>
      </c>
      <c r="F906" s="645" t="s">
        <v>14</v>
      </c>
      <c r="G906" s="4"/>
      <c r="H906" s="21" t="s">
        <v>23</v>
      </c>
      <c r="I906" s="21" t="s">
        <v>24</v>
      </c>
      <c r="J906" s="18" t="s">
        <v>25</v>
      </c>
      <c r="K906" s="645" t="s">
        <v>14</v>
      </c>
      <c r="L906" s="4"/>
      <c r="M906" s="21" t="s">
        <v>23</v>
      </c>
      <c r="N906" s="21" t="s">
        <v>24</v>
      </c>
      <c r="O906" s="18" t="s">
        <v>25</v>
      </c>
      <c r="P906" s="645" t="s">
        <v>14</v>
      </c>
      <c r="R906" s="21" t="s">
        <v>23</v>
      </c>
      <c r="S906" s="21" t="s">
        <v>24</v>
      </c>
      <c r="T906" s="18" t="s">
        <v>25</v>
      </c>
      <c r="U906" s="645" t="s">
        <v>14</v>
      </c>
      <c r="W906" s="21" t="s">
        <v>23</v>
      </c>
      <c r="X906" s="21" t="s">
        <v>24</v>
      </c>
      <c r="Y906" s="18" t="s">
        <v>25</v>
      </c>
      <c r="Z906" s="645" t="s">
        <v>14</v>
      </c>
      <c r="AA906" s="1517"/>
      <c r="AB906" s="1517"/>
      <c r="AC906" s="4"/>
      <c r="AD906" s="21" t="s">
        <v>23</v>
      </c>
      <c r="AE906" s="21" t="s">
        <v>24</v>
      </c>
      <c r="AF906" s="18" t="s">
        <v>25</v>
      </c>
      <c r="AG906" s="1517"/>
      <c r="AI906" s="368"/>
      <c r="AJ906" s="367"/>
      <c r="AK906" s="188" t="s">
        <v>26</v>
      </c>
      <c r="AL906" s="196">
        <f>AA934</f>
        <v>486.8</v>
      </c>
      <c r="AM906" s="510">
        <v>39.14</v>
      </c>
      <c r="AN906" s="510">
        <f t="shared" ref="AN906:AN909" si="127">AL906*AM906</f>
        <v>19053.351999999999</v>
      </c>
      <c r="AQ906" s="367"/>
      <c r="AR906" s="367"/>
      <c r="AS906" s="367"/>
      <c r="AT906" s="367"/>
      <c r="AU906" s="367"/>
      <c r="AV906" s="367"/>
      <c r="AW906" s="367"/>
    </row>
    <row r="907" spans="1:49">
      <c r="A907" s="180"/>
      <c r="B907" s="4" t="s">
        <v>958</v>
      </c>
      <c r="C907" s="441" t="s">
        <v>75</v>
      </c>
      <c r="D907" s="441" t="s">
        <v>136</v>
      </c>
      <c r="E907" s="319">
        <v>7</v>
      </c>
      <c r="F907" s="646"/>
      <c r="G907" s="4"/>
      <c r="H907" s="47">
        <v>0.375</v>
      </c>
      <c r="I907" s="47">
        <v>0.20833333333333334</v>
      </c>
      <c r="J907" s="319">
        <v>7</v>
      </c>
      <c r="K907" s="646"/>
      <c r="L907" s="4"/>
      <c r="M907" s="441" t="s">
        <v>212</v>
      </c>
      <c r="N907" s="47">
        <v>0.20833333333333334</v>
      </c>
      <c r="O907" s="319">
        <v>6.75</v>
      </c>
      <c r="P907" s="646"/>
      <c r="R907" s="47">
        <v>4.1666666666666664E-2</v>
      </c>
      <c r="S907" s="47">
        <v>0.20833333333333334</v>
      </c>
      <c r="T907" s="319">
        <v>4</v>
      </c>
      <c r="U907" s="646"/>
      <c r="W907" s="667"/>
      <c r="X907" s="565"/>
      <c r="Y907" s="319">
        <v>0</v>
      </c>
      <c r="Z907" s="646"/>
      <c r="AA907" s="328">
        <f t="shared" ref="AA907:AA919" si="128">(E907+J907+O907+T907+Y907)</f>
        <v>24.75</v>
      </c>
      <c r="AB907" s="298">
        <f t="shared" ref="AB907:AB919" si="129">Z907+U907+P907+K907+F907</f>
        <v>0</v>
      </c>
      <c r="AC907" s="4"/>
      <c r="AD907" s="587"/>
      <c r="AE907" s="531"/>
      <c r="AF907" s="319"/>
      <c r="AG907" s="328">
        <f t="shared" ref="AG907:AG919" si="130">AF907</f>
        <v>0</v>
      </c>
      <c r="AI907" s="368"/>
      <c r="AJ907" s="367"/>
      <c r="AK907" s="188" t="s">
        <v>30</v>
      </c>
      <c r="AL907" s="196">
        <f>AB934</f>
        <v>19.149999999999999</v>
      </c>
      <c r="AM907" s="511">
        <f>AM906*1.5</f>
        <v>58.71</v>
      </c>
      <c r="AN907" s="510">
        <f t="shared" si="127"/>
        <v>1124.2964999999999</v>
      </c>
      <c r="AQ907" s="367"/>
      <c r="AR907" s="367"/>
      <c r="AS907" s="367"/>
      <c r="AT907" s="367"/>
      <c r="AU907" s="367"/>
      <c r="AV907" s="367"/>
      <c r="AW907" s="367"/>
    </row>
    <row r="908" spans="1:49">
      <c r="A908" s="367"/>
      <c r="B908" s="47" t="s">
        <v>515</v>
      </c>
      <c r="C908" s="47">
        <v>0.33333333333333331</v>
      </c>
      <c r="D908" s="47">
        <v>0.20833333333333334</v>
      </c>
      <c r="E908" s="319">
        <v>8</v>
      </c>
      <c r="F908" s="646"/>
      <c r="G908" s="4"/>
      <c r="H908" s="47">
        <v>0.33333333333333331</v>
      </c>
      <c r="I908" s="47">
        <v>0.20833333333333334</v>
      </c>
      <c r="J908" s="319">
        <v>8</v>
      </c>
      <c r="K908" s="646"/>
      <c r="L908" s="4"/>
      <c r="M908" s="667"/>
      <c r="N908" s="565"/>
      <c r="O908" s="319">
        <v>0</v>
      </c>
      <c r="P908" s="646"/>
      <c r="R908" s="667"/>
      <c r="S908" s="565"/>
      <c r="T908" s="319">
        <v>0</v>
      </c>
      <c r="U908" s="646"/>
      <c r="W908" s="667"/>
      <c r="X908" s="565"/>
      <c r="Y908" s="319">
        <v>0</v>
      </c>
      <c r="Z908" s="646"/>
      <c r="AA908" s="328">
        <f t="shared" si="128"/>
        <v>16</v>
      </c>
      <c r="AB908" s="298">
        <f t="shared" si="129"/>
        <v>0</v>
      </c>
      <c r="AC908" s="4"/>
      <c r="AF908" s="319"/>
      <c r="AG908" s="328">
        <f t="shared" si="130"/>
        <v>0</v>
      </c>
      <c r="AH908" s="175"/>
      <c r="AI908" s="402"/>
      <c r="AJ908" s="367"/>
      <c r="AK908" s="188" t="s">
        <v>32</v>
      </c>
      <c r="AL908" s="196">
        <f>AG934</f>
        <v>0</v>
      </c>
      <c r="AM908" s="510">
        <v>58.71</v>
      </c>
      <c r="AN908" s="510">
        <f t="shared" si="127"/>
        <v>0</v>
      </c>
      <c r="AQ908" s="367"/>
      <c r="AR908" s="367"/>
      <c r="AS908" s="367"/>
      <c r="AT908" s="367"/>
      <c r="AU908" s="367"/>
      <c r="AV908" s="367"/>
      <c r="AW908" s="367"/>
    </row>
    <row r="909" spans="1:49">
      <c r="A909" s="367"/>
      <c r="B909" s="441" t="s">
        <v>962</v>
      </c>
      <c r="C909" s="441" t="s">
        <v>125</v>
      </c>
      <c r="D909" s="47">
        <v>0.20833333333333334</v>
      </c>
      <c r="E909" s="319">
        <v>8</v>
      </c>
      <c r="F909" s="646"/>
      <c r="G909" s="4"/>
      <c r="H909" s="47">
        <v>0.34375</v>
      </c>
      <c r="I909" s="47">
        <v>0.20833333333333334</v>
      </c>
      <c r="J909" s="319">
        <v>7.75</v>
      </c>
      <c r="K909" s="646"/>
      <c r="L909" s="4"/>
      <c r="M909" s="667"/>
      <c r="N909" s="565"/>
      <c r="O909" s="319">
        <v>0</v>
      </c>
      <c r="P909" s="646"/>
      <c r="R909" s="667"/>
      <c r="S909" s="565"/>
      <c r="T909" s="319">
        <v>0</v>
      </c>
      <c r="U909" s="646"/>
      <c r="W909" s="47">
        <v>0.34375</v>
      </c>
      <c r="X909" s="47">
        <v>0.20833333333333334</v>
      </c>
      <c r="Y909" s="319">
        <v>7.75</v>
      </c>
      <c r="Z909" s="646"/>
      <c r="AA909" s="328">
        <f t="shared" si="128"/>
        <v>23.5</v>
      </c>
      <c r="AB909" s="298">
        <f t="shared" si="129"/>
        <v>0</v>
      </c>
      <c r="AC909" s="399"/>
      <c r="AD909" s="47"/>
      <c r="AE909" s="47"/>
      <c r="AF909" s="319"/>
      <c r="AG909" s="328">
        <f t="shared" si="130"/>
        <v>0</v>
      </c>
      <c r="AH909" s="175"/>
      <c r="AJ909" s="401"/>
      <c r="AK909" s="403" t="s">
        <v>213</v>
      </c>
      <c r="AL909" s="404">
        <f>AA936</f>
        <v>35</v>
      </c>
      <c r="AM909" s="510">
        <v>51.5</v>
      </c>
      <c r="AN909" s="510">
        <f t="shared" si="127"/>
        <v>1802.5</v>
      </c>
      <c r="AO909" s="405"/>
      <c r="AP909" s="405"/>
      <c r="AQ909" s="367"/>
      <c r="AR909" s="401"/>
      <c r="AS909" s="401"/>
      <c r="AT909" s="401"/>
      <c r="AU909" s="401"/>
      <c r="AV909" s="401"/>
      <c r="AW909" s="401"/>
    </row>
    <row r="910" spans="1:49">
      <c r="A910" s="367"/>
      <c r="B910" s="436" t="s">
        <v>972</v>
      </c>
      <c r="C910" s="667" t="s">
        <v>960</v>
      </c>
      <c r="D910" s="565"/>
      <c r="E910" s="319">
        <v>0</v>
      </c>
      <c r="F910" s="646"/>
      <c r="G910" s="4"/>
      <c r="H910" s="441" t="s">
        <v>344</v>
      </c>
      <c r="I910" s="47">
        <v>0.20833333333333334</v>
      </c>
      <c r="J910" s="319">
        <v>7.75</v>
      </c>
      <c r="K910" s="646"/>
      <c r="L910" s="4"/>
      <c r="M910" s="441" t="s">
        <v>249</v>
      </c>
      <c r="N910" s="47">
        <v>0.20833333333333334</v>
      </c>
      <c r="O910" s="319">
        <v>6</v>
      </c>
      <c r="P910" s="646"/>
      <c r="R910" s="47">
        <v>0.375</v>
      </c>
      <c r="S910" s="47">
        <v>0.25</v>
      </c>
      <c r="T910" s="319">
        <v>8</v>
      </c>
      <c r="U910" s="646"/>
      <c r="W910" s="47">
        <v>0.40625</v>
      </c>
      <c r="X910" s="47">
        <v>0.20833333333333334</v>
      </c>
      <c r="Y910" s="319">
        <v>6.25</v>
      </c>
      <c r="Z910" s="646"/>
      <c r="AA910" s="328">
        <f t="shared" si="128"/>
        <v>28</v>
      </c>
      <c r="AB910" s="298">
        <f t="shared" si="129"/>
        <v>0</v>
      </c>
      <c r="AC910" s="4"/>
      <c r="AD910" s="47"/>
      <c r="AE910" s="47"/>
      <c r="AF910" s="319"/>
      <c r="AG910" s="328">
        <f t="shared" si="130"/>
        <v>0</v>
      </c>
      <c r="AH910" s="175"/>
      <c r="AI910" s="368"/>
      <c r="AK910" s="188" t="s">
        <v>36</v>
      </c>
      <c r="AL910" s="196">
        <f>AB936</f>
        <v>8</v>
      </c>
      <c r="AM910" s="510">
        <f>AM909*1.5</f>
        <v>77.25</v>
      </c>
      <c r="AN910" s="510">
        <f>AL910*AM910</f>
        <v>618</v>
      </c>
      <c r="AQ910" s="367"/>
    </row>
    <row r="911" spans="1:49" s="4" customFormat="1">
      <c r="A911" s="180"/>
      <c r="B911" s="47" t="s">
        <v>974</v>
      </c>
      <c r="C911" s="667" t="s">
        <v>960</v>
      </c>
      <c r="D911" s="565"/>
      <c r="E911" s="319">
        <v>0</v>
      </c>
      <c r="F911" s="646"/>
      <c r="H911" s="667" t="s">
        <v>960</v>
      </c>
      <c r="I911" s="565"/>
      <c r="J911" s="319">
        <v>0</v>
      </c>
      <c r="K911" s="646"/>
      <c r="M911" s="667" t="s">
        <v>960</v>
      </c>
      <c r="N911" s="565"/>
      <c r="O911" s="319">
        <v>0</v>
      </c>
      <c r="P911" s="646"/>
      <c r="R911" s="667" t="s">
        <v>960</v>
      </c>
      <c r="S911" s="565"/>
      <c r="T911" s="319">
        <v>0</v>
      </c>
      <c r="U911" s="646"/>
      <c r="W911" s="667" t="s">
        <v>960</v>
      </c>
      <c r="X911" s="565"/>
      <c r="Y911" s="319">
        <v>0</v>
      </c>
      <c r="Z911" s="646"/>
      <c r="AA911" s="328">
        <f t="shared" si="128"/>
        <v>0</v>
      </c>
      <c r="AB911" s="298">
        <f t="shared" si="129"/>
        <v>0</v>
      </c>
      <c r="AD911" s="47"/>
      <c r="AE911" s="47"/>
      <c r="AF911" s="319"/>
      <c r="AG911" s="328">
        <f t="shared" si="130"/>
        <v>0</v>
      </c>
      <c r="AI911" s="255"/>
      <c r="AJ911" s="180"/>
      <c r="AK911" s="188" t="s">
        <v>38</v>
      </c>
      <c r="AL911" s="196">
        <f>AG936</f>
        <v>0</v>
      </c>
      <c r="AM911" s="510">
        <v>77.25</v>
      </c>
      <c r="AN911" s="510">
        <f>AL911*AM911</f>
        <v>0</v>
      </c>
      <c r="AO911" s="193"/>
      <c r="AP911" s="193"/>
      <c r="AQ911" s="367"/>
      <c r="AR911" s="180"/>
      <c r="AS911" s="180"/>
      <c r="AT911" s="180"/>
      <c r="AU911" s="180"/>
      <c r="AV911" s="180"/>
      <c r="AW911" s="180"/>
    </row>
    <row r="912" spans="1:49" s="4" customFormat="1">
      <c r="A912" s="180"/>
      <c r="B912" s="374" t="s">
        <v>998</v>
      </c>
      <c r="C912" s="667" t="s">
        <v>960</v>
      </c>
      <c r="D912" s="565"/>
      <c r="E912" s="319">
        <v>0</v>
      </c>
      <c r="F912" s="646"/>
      <c r="H912" s="667" t="s">
        <v>960</v>
      </c>
      <c r="I912" s="565"/>
      <c r="J912" s="319">
        <v>0</v>
      </c>
      <c r="K912" s="646"/>
      <c r="M912" s="667" t="s">
        <v>960</v>
      </c>
      <c r="N912" s="565"/>
      <c r="O912" s="319">
        <v>0</v>
      </c>
      <c r="P912" s="646"/>
      <c r="R912" s="667" t="s">
        <v>960</v>
      </c>
      <c r="S912" s="565"/>
      <c r="T912" s="319">
        <v>0</v>
      </c>
      <c r="U912" s="646"/>
      <c r="W912" s="667" t="s">
        <v>960</v>
      </c>
      <c r="X912" s="565"/>
      <c r="Y912" s="319">
        <v>0</v>
      </c>
      <c r="Z912" s="646"/>
      <c r="AA912" s="328">
        <f t="shared" si="128"/>
        <v>0</v>
      </c>
      <c r="AB912" s="298">
        <f t="shared" si="129"/>
        <v>0</v>
      </c>
      <c r="AD912" s="47"/>
      <c r="AE912" s="47"/>
      <c r="AF912" s="319"/>
      <c r="AG912" s="328">
        <f t="shared" si="130"/>
        <v>0</v>
      </c>
      <c r="AI912" s="255"/>
      <c r="AJ912" s="180"/>
      <c r="AK912" s="193"/>
      <c r="AL912" s="193"/>
      <c r="AM912" s="193"/>
      <c r="AN912" s="510">
        <f>SUM(AN906:AN911)</f>
        <v>22598.148499999999</v>
      </c>
      <c r="AO912" s="193"/>
      <c r="AP912" s="193"/>
      <c r="AQ912" s="180"/>
      <c r="AR912" s="180"/>
      <c r="AS912" s="180"/>
      <c r="AT912" s="180"/>
      <c r="AU912" s="180"/>
      <c r="AV912" s="180"/>
      <c r="AW912" s="180"/>
    </row>
    <row r="913" spans="1:49" s="4" customFormat="1">
      <c r="A913" s="180"/>
      <c r="B913" s="47" t="s">
        <v>977</v>
      </c>
      <c r="C913" s="441" t="s">
        <v>125</v>
      </c>
      <c r="D913" s="47">
        <v>0.20833333333333334</v>
      </c>
      <c r="E913" s="319">
        <v>8</v>
      </c>
      <c r="F913" s="646"/>
      <c r="H913" s="441" t="s">
        <v>125</v>
      </c>
      <c r="I913" s="47"/>
      <c r="J913" s="319">
        <v>8</v>
      </c>
      <c r="K913" s="646"/>
      <c r="M913" s="667" t="s">
        <v>960</v>
      </c>
      <c r="N913" s="565"/>
      <c r="O913" s="319">
        <v>0</v>
      </c>
      <c r="P913" s="646"/>
      <c r="R913" s="47">
        <v>0.375</v>
      </c>
      <c r="S913" s="47">
        <v>0.41666666666666669</v>
      </c>
      <c r="T913" s="319">
        <v>1</v>
      </c>
      <c r="U913" s="646"/>
      <c r="W913" s="47">
        <v>0.33333333333333331</v>
      </c>
      <c r="X913" s="47">
        <v>0.20833333333333334</v>
      </c>
      <c r="Y913" s="319">
        <v>8</v>
      </c>
      <c r="Z913" s="646"/>
      <c r="AA913" s="328">
        <f t="shared" si="128"/>
        <v>25</v>
      </c>
      <c r="AB913" s="298">
        <f t="shared" si="129"/>
        <v>0</v>
      </c>
      <c r="AD913" s="47"/>
      <c r="AE913" s="47"/>
      <c r="AF913" s="319"/>
      <c r="AG913" s="328">
        <f t="shared" si="130"/>
        <v>0</v>
      </c>
      <c r="AI913" s="255"/>
      <c r="AJ913" s="180"/>
      <c r="AK913" s="193"/>
      <c r="AL913" s="193"/>
      <c r="AM913" s="193"/>
      <c r="AN913" s="193"/>
      <c r="AO913" s="193"/>
      <c r="AP913" s="193"/>
      <c r="AQ913" s="180"/>
      <c r="AR913" s="180"/>
      <c r="AS913" s="180"/>
      <c r="AT913" s="180"/>
      <c r="AU913" s="180"/>
      <c r="AV913" s="180"/>
      <c r="AW913" s="180"/>
    </row>
    <row r="914" spans="1:49" s="4" customFormat="1">
      <c r="A914" s="180"/>
      <c r="B914" s="47" t="s">
        <v>986</v>
      </c>
      <c r="C914" s="667" t="s">
        <v>960</v>
      </c>
      <c r="D914" s="565"/>
      <c r="E914" s="319">
        <v>0</v>
      </c>
      <c r="F914" s="646"/>
      <c r="H914" s="667" t="s">
        <v>960</v>
      </c>
      <c r="I914" s="565"/>
      <c r="J914" s="319">
        <v>0</v>
      </c>
      <c r="K914" s="646"/>
      <c r="M914" s="667" t="s">
        <v>960</v>
      </c>
      <c r="N914" s="565"/>
      <c r="O914" s="319">
        <v>0</v>
      </c>
      <c r="P914" s="646"/>
      <c r="R914" s="667" t="s">
        <v>960</v>
      </c>
      <c r="S914" s="565"/>
      <c r="T914" s="319">
        <v>0</v>
      </c>
      <c r="U914" s="646"/>
      <c r="W914" s="667" t="s">
        <v>960</v>
      </c>
      <c r="X914" s="565"/>
      <c r="Y914" s="319">
        <v>0</v>
      </c>
      <c r="Z914" s="646"/>
      <c r="AA914" s="328">
        <f t="shared" si="128"/>
        <v>0</v>
      </c>
      <c r="AB914" s="298">
        <f t="shared" si="129"/>
        <v>0</v>
      </c>
      <c r="AD914" s="47"/>
      <c r="AE914" s="47"/>
      <c r="AF914" s="319"/>
      <c r="AG914" s="328">
        <f t="shared" si="130"/>
        <v>0</v>
      </c>
      <c r="AI914" s="255"/>
      <c r="AJ914" s="180"/>
      <c r="AK914" s="193"/>
      <c r="AL914" s="193"/>
      <c r="AM914" s="193"/>
      <c r="AN914" s="193"/>
      <c r="AO914" s="193"/>
      <c r="AP914" s="193"/>
      <c r="AQ914" s="180"/>
      <c r="AR914" s="180"/>
      <c r="AS914" s="180"/>
      <c r="AT914" s="180"/>
      <c r="AU914" s="180"/>
      <c r="AV914" s="180"/>
      <c r="AW914" s="180"/>
    </row>
    <row r="915" spans="1:49" s="4" customFormat="1" ht="10.15" customHeight="1">
      <c r="A915" s="180"/>
      <c r="B915" s="47" t="s">
        <v>519</v>
      </c>
      <c r="C915" s="441" t="s">
        <v>344</v>
      </c>
      <c r="D915" s="441" t="s">
        <v>136</v>
      </c>
      <c r="E915" s="319">
        <v>7.75</v>
      </c>
      <c r="F915" s="646"/>
      <c r="H915" s="441" t="s">
        <v>344</v>
      </c>
      <c r="I915" s="441" t="s">
        <v>136</v>
      </c>
      <c r="J915" s="319">
        <v>7.75</v>
      </c>
      <c r="K915" s="646"/>
      <c r="M915" s="441" t="s">
        <v>125</v>
      </c>
      <c r="N915" s="441" t="s">
        <v>136</v>
      </c>
      <c r="O915" s="319">
        <v>8</v>
      </c>
      <c r="P915" s="646"/>
      <c r="R915" s="441" t="s">
        <v>75</v>
      </c>
      <c r="S915" s="441"/>
      <c r="T915" s="319">
        <v>8</v>
      </c>
      <c r="U915" s="646">
        <v>1</v>
      </c>
      <c r="W915" s="441" t="s">
        <v>125</v>
      </c>
      <c r="X915" s="441" t="s">
        <v>136</v>
      </c>
      <c r="Y915" s="319">
        <v>8</v>
      </c>
      <c r="Z915" s="646"/>
      <c r="AA915" s="328">
        <f t="shared" si="128"/>
        <v>39.5</v>
      </c>
      <c r="AB915" s="298">
        <f t="shared" si="129"/>
        <v>1</v>
      </c>
      <c r="AD915" s="47"/>
      <c r="AE915" s="47"/>
      <c r="AF915" s="319"/>
      <c r="AG915" s="328">
        <f t="shared" si="130"/>
        <v>0</v>
      </c>
      <c r="AI915" s="255"/>
      <c r="AJ915" s="180"/>
      <c r="AK915" s="193"/>
      <c r="AL915" s="193"/>
      <c r="AM915" s="193"/>
      <c r="AN915" s="193"/>
      <c r="AO915" s="193"/>
      <c r="AP915" s="193"/>
      <c r="AQ915" s="180"/>
      <c r="AR915" s="180"/>
      <c r="AS915" s="180"/>
      <c r="AT915" s="180"/>
      <c r="AU915" s="180"/>
      <c r="AV915" s="180"/>
      <c r="AW915" s="180"/>
    </row>
    <row r="916" spans="1:49" s="4" customFormat="1">
      <c r="A916" s="180"/>
      <c r="B916" s="327" t="s">
        <v>999</v>
      </c>
      <c r="C916" s="667" t="s">
        <v>960</v>
      </c>
      <c r="D916" s="565"/>
      <c r="E916" s="319">
        <v>0</v>
      </c>
      <c r="F916" s="646"/>
      <c r="H916" s="667" t="s">
        <v>960</v>
      </c>
      <c r="I916" s="565"/>
      <c r="J916" s="319">
        <v>0</v>
      </c>
      <c r="K916" s="646"/>
      <c r="M916" s="667" t="s">
        <v>960</v>
      </c>
      <c r="N916" s="565"/>
      <c r="O916" s="319">
        <v>0</v>
      </c>
      <c r="P916" s="646"/>
      <c r="R916" s="667" t="s">
        <v>960</v>
      </c>
      <c r="S916" s="565"/>
      <c r="T916" s="319">
        <v>0</v>
      </c>
      <c r="U916" s="646"/>
      <c r="W916" s="667" t="s">
        <v>960</v>
      </c>
      <c r="X916" s="565"/>
      <c r="Y916" s="319">
        <v>0</v>
      </c>
      <c r="Z916" s="646"/>
      <c r="AA916" s="328">
        <f t="shared" si="128"/>
        <v>0</v>
      </c>
      <c r="AB916" s="298">
        <f t="shared" si="129"/>
        <v>0</v>
      </c>
      <c r="AD916" s="47"/>
      <c r="AE916" s="47"/>
      <c r="AF916" s="319"/>
      <c r="AG916" s="328">
        <f t="shared" si="130"/>
        <v>0</v>
      </c>
      <c r="AI916" s="255"/>
      <c r="AJ916" s="180"/>
      <c r="AK916" s="193"/>
      <c r="AL916" s="193"/>
      <c r="AM916" s="193"/>
      <c r="AN916" s="193"/>
      <c r="AO916" s="193"/>
      <c r="AP916" s="193"/>
      <c r="AQ916" s="180"/>
      <c r="AR916" s="180"/>
      <c r="AS916" s="180"/>
      <c r="AT916" s="180"/>
      <c r="AU916" s="180"/>
      <c r="AV916" s="180"/>
      <c r="AW916" s="180"/>
    </row>
    <row r="917" spans="1:49" s="4" customFormat="1">
      <c r="A917" s="180"/>
      <c r="B917" s="532" t="s">
        <v>545</v>
      </c>
      <c r="C917" s="441" t="s">
        <v>75</v>
      </c>
      <c r="D917" s="47">
        <v>0.20833333333333334</v>
      </c>
      <c r="E917" s="319">
        <v>7</v>
      </c>
      <c r="F917" s="646"/>
      <c r="H917" s="441" t="s">
        <v>125</v>
      </c>
      <c r="I917" s="47">
        <v>0.5</v>
      </c>
      <c r="J917" s="319">
        <v>4</v>
      </c>
      <c r="K917" s="646"/>
      <c r="M917" s="441" t="s">
        <v>125</v>
      </c>
      <c r="N917" s="441" t="s">
        <v>427</v>
      </c>
      <c r="O917" s="319">
        <v>4</v>
      </c>
      <c r="P917" s="646"/>
      <c r="R917" s="441" t="s">
        <v>125</v>
      </c>
      <c r="S917" s="441" t="s">
        <v>130</v>
      </c>
      <c r="T917" s="319">
        <v>5.25</v>
      </c>
      <c r="U917" s="646"/>
      <c r="W917" s="441" t="s">
        <v>75</v>
      </c>
      <c r="X917" s="441" t="s">
        <v>1020</v>
      </c>
      <c r="Y917" s="319">
        <v>3.5</v>
      </c>
      <c r="Z917" s="646"/>
      <c r="AA917" s="328">
        <f t="shared" si="128"/>
        <v>23.75</v>
      </c>
      <c r="AB917" s="298">
        <f t="shared" si="129"/>
        <v>0</v>
      </c>
      <c r="AD917" s="47"/>
      <c r="AE917" s="47"/>
      <c r="AF917" s="319"/>
      <c r="AG917" s="328">
        <f t="shared" si="130"/>
        <v>0</v>
      </c>
      <c r="AI917" s="255"/>
      <c r="AJ917" s="180"/>
      <c r="AK917" s="193"/>
      <c r="AL917" s="193"/>
      <c r="AM917" s="193"/>
      <c r="AN917" s="193"/>
      <c r="AO917" s="193"/>
      <c r="AP917" s="193"/>
      <c r="AQ917" s="180"/>
      <c r="AR917" s="180"/>
      <c r="AS917" s="180"/>
      <c r="AT917" s="180"/>
      <c r="AU917" s="180"/>
      <c r="AV917" s="180"/>
      <c r="AW917" s="180"/>
    </row>
    <row r="918" spans="1:49" s="4" customFormat="1">
      <c r="A918" s="180"/>
      <c r="B918" s="532" t="s">
        <v>1031</v>
      </c>
      <c r="C918" s="441" t="s">
        <v>249</v>
      </c>
      <c r="D918" s="47">
        <v>0.20833333333333334</v>
      </c>
      <c r="E918" s="319">
        <v>6</v>
      </c>
      <c r="F918" s="646"/>
      <c r="H918" s="47">
        <v>0.33333333333333331</v>
      </c>
      <c r="I918" s="47">
        <v>0.20833333333333334</v>
      </c>
      <c r="J918" s="319">
        <v>8</v>
      </c>
      <c r="K918" s="646"/>
      <c r="M918" s="47">
        <v>0.33333333333333331</v>
      </c>
      <c r="N918" s="47">
        <v>0.20833333333333334</v>
      </c>
      <c r="O918" s="319">
        <v>8</v>
      </c>
      <c r="P918" s="646"/>
      <c r="R918" s="667"/>
      <c r="S918" s="565"/>
      <c r="T918" s="319">
        <v>0</v>
      </c>
      <c r="U918" s="646"/>
      <c r="W918" s="441" t="s">
        <v>83</v>
      </c>
      <c r="X918" s="441" t="s">
        <v>366</v>
      </c>
      <c r="Y918" s="319">
        <v>4</v>
      </c>
      <c r="Z918" s="646"/>
      <c r="AA918" s="328">
        <f t="shared" si="128"/>
        <v>26</v>
      </c>
      <c r="AB918" s="298">
        <f t="shared" si="129"/>
        <v>0</v>
      </c>
      <c r="AD918" s="47"/>
      <c r="AE918" s="47"/>
      <c r="AF918" s="319"/>
      <c r="AG918" s="328">
        <f t="shared" si="130"/>
        <v>0</v>
      </c>
      <c r="AI918" s="255"/>
      <c r="AJ918" s="180"/>
      <c r="AK918" s="193"/>
      <c r="AL918" s="193"/>
      <c r="AM918" s="193"/>
      <c r="AN918" s="193"/>
      <c r="AO918" s="193"/>
      <c r="AP918" s="193"/>
      <c r="AQ918" s="180"/>
      <c r="AR918" s="180"/>
      <c r="AS918" s="180"/>
      <c r="AT918" s="180"/>
      <c r="AU918" s="180"/>
      <c r="AV918" s="180"/>
      <c r="AW918" s="180"/>
    </row>
    <row r="919" spans="1:49" s="4" customFormat="1">
      <c r="A919" s="180"/>
      <c r="B919" s="532" t="s">
        <v>1032</v>
      </c>
      <c r="C919" s="667" t="s">
        <v>960</v>
      </c>
      <c r="D919" s="565"/>
      <c r="E919" s="319">
        <v>0</v>
      </c>
      <c r="F919" s="646"/>
      <c r="H919" s="667" t="s">
        <v>960</v>
      </c>
      <c r="I919" s="565"/>
      <c r="J919" s="319">
        <v>0</v>
      </c>
      <c r="K919" s="646"/>
      <c r="M919" s="441"/>
      <c r="N919" s="441"/>
      <c r="O919" s="319">
        <v>8</v>
      </c>
      <c r="P919" s="646"/>
      <c r="R919" s="667" t="s">
        <v>960</v>
      </c>
      <c r="S919" s="565"/>
      <c r="T919" s="319">
        <v>0</v>
      </c>
      <c r="U919" s="646"/>
      <c r="W919" s="667" t="s">
        <v>960</v>
      </c>
      <c r="X919" s="565"/>
      <c r="Y919" s="319">
        <v>0</v>
      </c>
      <c r="Z919" s="646"/>
      <c r="AA919" s="328">
        <f t="shared" si="128"/>
        <v>8</v>
      </c>
      <c r="AB919" s="298">
        <f t="shared" si="129"/>
        <v>0</v>
      </c>
      <c r="AD919" s="47"/>
      <c r="AE919" s="47"/>
      <c r="AF919" s="319"/>
      <c r="AG919" s="328">
        <f t="shared" si="130"/>
        <v>0</v>
      </c>
      <c r="AI919" s="255"/>
      <c r="AJ919" s="180"/>
      <c r="AK919" s="193"/>
      <c r="AL919" s="193"/>
      <c r="AM919" s="193"/>
      <c r="AN919" s="193"/>
      <c r="AO919" s="193"/>
      <c r="AP919" s="193"/>
      <c r="AQ919" s="180"/>
      <c r="AR919" s="180"/>
      <c r="AS919" s="180"/>
      <c r="AT919" s="180"/>
      <c r="AU919" s="180"/>
      <c r="AV919" s="180"/>
      <c r="AW919" s="180"/>
    </row>
    <row r="920" spans="1:49" s="4" customFormat="1">
      <c r="A920" s="180"/>
      <c r="B920" s="711" t="s">
        <v>517</v>
      </c>
      <c r="C920" s="441" t="s">
        <v>249</v>
      </c>
      <c r="D920" s="47"/>
      <c r="E920" s="319"/>
      <c r="F920" s="646"/>
      <c r="H920" s="441"/>
      <c r="I920" s="47"/>
      <c r="J920" s="319"/>
      <c r="K920" s="646"/>
      <c r="M920" s="47"/>
      <c r="N920" s="47"/>
      <c r="O920" s="319"/>
      <c r="P920" s="646"/>
      <c r="R920" s="47"/>
      <c r="S920" s="47"/>
      <c r="T920" s="319"/>
      <c r="U920" s="646"/>
      <c r="W920" s="47"/>
      <c r="X920" s="47"/>
      <c r="Y920" s="319"/>
      <c r="Z920" s="646"/>
      <c r="AA920" s="328">
        <f>(E920+J920+O920+T920+Y920)</f>
        <v>0</v>
      </c>
      <c r="AB920" s="298">
        <f>Z920+U920+P920+K920+F920</f>
        <v>0</v>
      </c>
      <c r="AD920" s="47"/>
      <c r="AE920" s="47"/>
      <c r="AF920" s="319"/>
      <c r="AG920" s="328">
        <f>AF920</f>
        <v>0</v>
      </c>
      <c r="AI920" s="255"/>
      <c r="AJ920" s="180"/>
      <c r="AK920" s="193"/>
      <c r="AL920" s="193"/>
      <c r="AM920" s="193"/>
      <c r="AN920" s="193"/>
      <c r="AO920" s="193"/>
      <c r="AP920" s="193"/>
      <c r="AQ920" s="180"/>
      <c r="AR920" s="180"/>
      <c r="AS920" s="180"/>
      <c r="AT920" s="180"/>
      <c r="AU920" s="180"/>
      <c r="AV920" s="180"/>
      <c r="AW920" s="180"/>
    </row>
    <row r="921" spans="1:49" s="4" customFormat="1">
      <c r="A921" s="180"/>
      <c r="B921" s="502" t="s">
        <v>483</v>
      </c>
      <c r="C921" s="5"/>
      <c r="D921" s="5"/>
      <c r="E921" s="319"/>
      <c r="F921" s="646"/>
      <c r="H921" s="5"/>
      <c r="I921" s="5"/>
      <c r="J921" s="319"/>
      <c r="K921" s="646"/>
      <c r="M921" s="5"/>
      <c r="N921" s="5"/>
      <c r="O921" s="319"/>
      <c r="P921" s="646"/>
      <c r="R921" s="5"/>
      <c r="S921" s="5"/>
      <c r="T921" s="319"/>
      <c r="U921" s="646"/>
      <c r="W921" s="5"/>
      <c r="X921" s="5"/>
      <c r="Y921" s="319"/>
      <c r="Z921" s="646"/>
      <c r="AA921" s="328">
        <f t="shared" ref="AA921:AA933" si="131">(E921+J921+O921+T921+Y921)</f>
        <v>0</v>
      </c>
      <c r="AB921" s="298">
        <f t="shared" ref="AB921:AB933" si="132">Z921+U921+P921+K921+F921</f>
        <v>0</v>
      </c>
      <c r="AD921" s="47"/>
      <c r="AE921" s="47"/>
      <c r="AF921" s="319"/>
      <c r="AG921" s="328">
        <f t="shared" ref="AG921:AG933" si="133">AF921</f>
        <v>0</v>
      </c>
      <c r="AI921" s="255"/>
      <c r="AJ921" s="180"/>
      <c r="AK921" s="193"/>
      <c r="AL921" s="193"/>
      <c r="AM921" s="193"/>
      <c r="AN921" s="193"/>
      <c r="AO921" s="193"/>
      <c r="AP921" s="193"/>
      <c r="AQ921" s="180"/>
      <c r="AR921" s="180"/>
      <c r="AS921" s="180"/>
      <c r="AT921" s="180"/>
      <c r="AU921" s="180"/>
      <c r="AV921" s="180"/>
      <c r="AW921" s="180"/>
    </row>
    <row r="922" spans="1:49" s="4" customFormat="1">
      <c r="A922" s="180"/>
      <c r="B922" s="502" t="s">
        <v>483</v>
      </c>
      <c r="C922" s="47"/>
      <c r="D922" s="47"/>
      <c r="E922" s="319">
        <v>8</v>
      </c>
      <c r="F922" s="646">
        <v>1.5</v>
      </c>
      <c r="H922" s="47"/>
      <c r="I922" s="47"/>
      <c r="J922" s="319">
        <v>8</v>
      </c>
      <c r="K922" s="646">
        <v>0.8</v>
      </c>
      <c r="M922" s="47"/>
      <c r="N922" s="47"/>
      <c r="O922" s="319">
        <v>8</v>
      </c>
      <c r="P922" s="646">
        <v>0.8</v>
      </c>
      <c r="R922" s="47"/>
      <c r="S922" s="47"/>
      <c r="T922" s="319">
        <v>8</v>
      </c>
      <c r="U922" s="646">
        <v>1.2</v>
      </c>
      <c r="W922" s="47"/>
      <c r="X922" s="47"/>
      <c r="Y922" s="319">
        <v>8</v>
      </c>
      <c r="Z922" s="646">
        <v>0.5</v>
      </c>
      <c r="AA922" s="328">
        <f t="shared" si="131"/>
        <v>40</v>
      </c>
      <c r="AB922" s="298">
        <f t="shared" si="132"/>
        <v>4.8</v>
      </c>
      <c r="AD922" s="47"/>
      <c r="AE922" s="47"/>
      <c r="AF922" s="319"/>
      <c r="AG922" s="328">
        <f t="shared" si="133"/>
        <v>0</v>
      </c>
      <c r="AI922" s="255"/>
      <c r="AJ922" s="180"/>
      <c r="AK922" s="193"/>
      <c r="AL922" s="193"/>
      <c r="AM922" s="193"/>
      <c r="AN922" s="193"/>
      <c r="AO922" s="193"/>
      <c r="AP922" s="193"/>
      <c r="AQ922" s="180"/>
      <c r="AR922" s="180"/>
      <c r="AS922" s="180"/>
      <c r="AT922" s="180"/>
      <c r="AU922" s="180"/>
      <c r="AV922" s="180"/>
      <c r="AW922" s="180"/>
    </row>
    <row r="923" spans="1:49" s="4" customFormat="1">
      <c r="A923" s="180"/>
      <c r="B923" s="502" t="s">
        <v>484</v>
      </c>
      <c r="C923" s="47"/>
      <c r="D923" s="47"/>
      <c r="E923" s="319">
        <v>8</v>
      </c>
      <c r="F923" s="646">
        <v>1.5</v>
      </c>
      <c r="H923" s="47"/>
      <c r="I923" s="47"/>
      <c r="J923" s="319">
        <v>8</v>
      </c>
      <c r="K923" s="646">
        <v>0.8</v>
      </c>
      <c r="M923" s="47"/>
      <c r="N923" s="47"/>
      <c r="O923" s="319">
        <v>8</v>
      </c>
      <c r="P923" s="646">
        <v>0.8</v>
      </c>
      <c r="R923" s="47"/>
      <c r="S923" s="47"/>
      <c r="T923" s="319">
        <v>8</v>
      </c>
      <c r="U923" s="646">
        <v>1.2</v>
      </c>
      <c r="W923" s="47"/>
      <c r="X923" s="47"/>
      <c r="Y923" s="319">
        <v>8</v>
      </c>
      <c r="Z923" s="646">
        <v>0.5</v>
      </c>
      <c r="AA923" s="328">
        <f t="shared" si="131"/>
        <v>40</v>
      </c>
      <c r="AB923" s="298">
        <f t="shared" si="132"/>
        <v>4.8</v>
      </c>
      <c r="AD923" s="47"/>
      <c r="AE923" s="47"/>
      <c r="AF923" s="319"/>
      <c r="AG923" s="328">
        <f t="shared" si="133"/>
        <v>0</v>
      </c>
      <c r="AI923" s="255"/>
      <c r="AJ923" s="180"/>
      <c r="AK923" s="193"/>
      <c r="AL923" s="193"/>
      <c r="AM923" s="193"/>
      <c r="AN923" s="193"/>
      <c r="AO923" s="193"/>
      <c r="AP923" s="193"/>
      <c r="AQ923" s="180"/>
      <c r="AR923" s="180"/>
      <c r="AS923" s="180"/>
      <c r="AT923" s="180"/>
      <c r="AU923" s="180"/>
      <c r="AV923" s="180"/>
      <c r="AW923" s="180"/>
    </row>
    <row r="924" spans="1:49" s="4" customFormat="1">
      <c r="A924" s="180"/>
      <c r="B924" s="502" t="s">
        <v>485</v>
      </c>
      <c r="C924" s="47"/>
      <c r="D924" s="47"/>
      <c r="E924" s="319">
        <v>8</v>
      </c>
      <c r="F924" s="646">
        <v>1.5</v>
      </c>
      <c r="H924" s="47"/>
      <c r="I924" s="47"/>
      <c r="J924" s="319">
        <v>8</v>
      </c>
      <c r="K924" s="646">
        <v>0.8</v>
      </c>
      <c r="M924" s="47"/>
      <c r="N924" s="47"/>
      <c r="O924" s="319">
        <v>8</v>
      </c>
      <c r="P924" s="646">
        <v>0.8</v>
      </c>
      <c r="R924" s="47"/>
      <c r="S924" s="47"/>
      <c r="T924" s="319">
        <v>8</v>
      </c>
      <c r="U924" s="646">
        <v>1.2</v>
      </c>
      <c r="W924" s="47"/>
      <c r="X924" s="47"/>
      <c r="Y924" s="319">
        <v>8</v>
      </c>
      <c r="Z924" s="646">
        <v>0.5</v>
      </c>
      <c r="AA924" s="328">
        <f t="shared" si="131"/>
        <v>40</v>
      </c>
      <c r="AB924" s="298">
        <f t="shared" si="132"/>
        <v>4.8</v>
      </c>
      <c r="AD924" s="47"/>
      <c r="AE924" s="47"/>
      <c r="AF924" s="319"/>
      <c r="AG924" s="328">
        <f t="shared" si="133"/>
        <v>0</v>
      </c>
      <c r="AI924" s="255"/>
      <c r="AJ924" s="180"/>
      <c r="AK924" s="193"/>
      <c r="AL924" s="193"/>
      <c r="AM924" s="193"/>
      <c r="AN924" s="193"/>
      <c r="AO924" s="193"/>
      <c r="AP924" s="193"/>
      <c r="AQ924" s="180"/>
      <c r="AR924" s="180"/>
      <c r="AS924" s="180"/>
      <c r="AT924" s="180"/>
      <c r="AU924" s="180"/>
      <c r="AV924" s="180"/>
      <c r="AW924" s="180"/>
    </row>
    <row r="925" spans="1:49" s="4" customFormat="1">
      <c r="A925" s="180"/>
      <c r="B925" s="502" t="s">
        <v>486</v>
      </c>
      <c r="C925" s="5"/>
      <c r="D925" s="5"/>
      <c r="E925" s="319"/>
      <c r="F925" s="646"/>
      <c r="H925" s="5"/>
      <c r="I925" s="5"/>
      <c r="J925" s="319"/>
      <c r="K925" s="646"/>
      <c r="M925" s="5"/>
      <c r="N925" s="5"/>
      <c r="O925" s="319"/>
      <c r="P925" s="646"/>
      <c r="R925" s="5"/>
      <c r="S925" s="5"/>
      <c r="T925" s="319"/>
      <c r="U925" s="646"/>
      <c r="W925" s="5"/>
      <c r="X925" s="5"/>
      <c r="Y925" s="319"/>
      <c r="Z925" s="646"/>
      <c r="AA925" s="328">
        <f t="shared" si="131"/>
        <v>0</v>
      </c>
      <c r="AB925" s="298">
        <f t="shared" si="132"/>
        <v>0</v>
      </c>
      <c r="AD925" s="47"/>
      <c r="AE925" s="47"/>
      <c r="AF925" s="319"/>
      <c r="AG925" s="328">
        <f t="shared" si="133"/>
        <v>0</v>
      </c>
      <c r="AI925" s="255"/>
      <c r="AJ925" s="180"/>
      <c r="AK925" s="193"/>
      <c r="AL925" s="193"/>
      <c r="AM925" s="193"/>
      <c r="AN925" s="193"/>
      <c r="AO925" s="193"/>
      <c r="AP925" s="193"/>
      <c r="AQ925" s="180"/>
      <c r="AR925" s="180"/>
      <c r="AS925" s="180"/>
      <c r="AT925" s="180"/>
      <c r="AU925" s="180"/>
      <c r="AV925" s="180"/>
      <c r="AW925" s="180"/>
    </row>
    <row r="926" spans="1:49" s="4" customFormat="1">
      <c r="A926" s="180"/>
      <c r="B926" s="63" t="s">
        <v>63</v>
      </c>
      <c r="C926" s="663"/>
      <c r="D926" s="663"/>
      <c r="E926" s="319">
        <v>8</v>
      </c>
      <c r="F926" s="646">
        <v>0.75</v>
      </c>
      <c r="H926" s="663"/>
      <c r="I926" s="663"/>
      <c r="J926" s="319">
        <v>8</v>
      </c>
      <c r="K926" s="646">
        <v>1</v>
      </c>
      <c r="M926" s="47"/>
      <c r="N926" s="47"/>
      <c r="O926" s="319">
        <v>8</v>
      </c>
      <c r="P926" s="646">
        <v>0.25</v>
      </c>
      <c r="R926" s="663"/>
      <c r="S926" s="663"/>
      <c r="T926" s="319">
        <v>8</v>
      </c>
      <c r="U926" s="646">
        <v>1.25</v>
      </c>
      <c r="W926" s="663"/>
      <c r="X926" s="663"/>
      <c r="Y926" s="319">
        <v>8</v>
      </c>
      <c r="Z926" s="646">
        <v>0.5</v>
      </c>
      <c r="AA926" s="328">
        <f t="shared" si="131"/>
        <v>40</v>
      </c>
      <c r="AB926" s="298">
        <f t="shared" si="132"/>
        <v>3.75</v>
      </c>
      <c r="AD926" s="47"/>
      <c r="AE926" s="47"/>
      <c r="AF926" s="319"/>
      <c r="AG926" s="328">
        <f t="shared" si="133"/>
        <v>0</v>
      </c>
      <c r="AI926" s="255"/>
      <c r="AJ926" s="180"/>
      <c r="AK926" s="193"/>
      <c r="AL926" s="193"/>
      <c r="AM926" s="193"/>
      <c r="AN926" s="193"/>
      <c r="AO926" s="193"/>
      <c r="AP926" s="193"/>
      <c r="AQ926" s="180"/>
      <c r="AR926" s="180"/>
      <c r="AS926" s="180"/>
      <c r="AT926" s="180"/>
      <c r="AU926" s="180"/>
      <c r="AV926" s="180"/>
      <c r="AW926" s="180"/>
    </row>
    <row r="927" spans="1:49" s="4" customFormat="1">
      <c r="A927" s="180"/>
      <c r="B927" s="267" t="s">
        <v>358</v>
      </c>
      <c r="C927" s="663"/>
      <c r="D927" s="663"/>
      <c r="E927" s="319">
        <v>6</v>
      </c>
      <c r="F927" s="646"/>
      <c r="G927" s="438"/>
      <c r="H927" s="663"/>
      <c r="I927" s="663"/>
      <c r="J927" s="319">
        <v>6</v>
      </c>
      <c r="K927" s="646"/>
      <c r="L927" s="438"/>
      <c r="M927" s="663"/>
      <c r="N927" s="663"/>
      <c r="O927" s="319">
        <v>6</v>
      </c>
      <c r="P927" s="646"/>
      <c r="Q927" s="438"/>
      <c r="R927" s="663"/>
      <c r="S927" s="663"/>
      <c r="T927" s="319">
        <v>6</v>
      </c>
      <c r="U927" s="646"/>
      <c r="V927" s="438"/>
      <c r="W927" s="663"/>
      <c r="X927" s="663"/>
      <c r="Y927" s="319">
        <v>6</v>
      </c>
      <c r="Z927" s="646"/>
      <c r="AA927" s="328">
        <f t="shared" si="131"/>
        <v>30</v>
      </c>
      <c r="AB927" s="298">
        <f t="shared" si="132"/>
        <v>0</v>
      </c>
      <c r="AD927" s="47"/>
      <c r="AE927" s="47"/>
      <c r="AF927" s="319"/>
      <c r="AG927" s="328">
        <f t="shared" si="133"/>
        <v>0</v>
      </c>
      <c r="AI927" s="255"/>
      <c r="AJ927" s="180"/>
      <c r="AK927" s="193"/>
      <c r="AL927" s="193"/>
      <c r="AM927" s="193"/>
      <c r="AN927" s="193"/>
      <c r="AO927" s="193"/>
      <c r="AP927" s="193"/>
      <c r="AQ927" s="180"/>
      <c r="AR927" s="180"/>
      <c r="AS927" s="180"/>
      <c r="AT927" s="180"/>
      <c r="AU927" s="180"/>
      <c r="AV927" s="180"/>
      <c r="AW927" s="180"/>
    </row>
    <row r="928" spans="1:49" s="193" customFormat="1">
      <c r="A928" s="180"/>
      <c r="B928" s="267" t="s">
        <v>991</v>
      </c>
      <c r="C928" s="5"/>
      <c r="D928" s="5"/>
      <c r="E928" s="319"/>
      <c r="F928" s="646"/>
      <c r="G928" s="438"/>
      <c r="H928" s="5"/>
      <c r="I928" s="5"/>
      <c r="J928" s="319"/>
      <c r="K928" s="646"/>
      <c r="L928" s="438"/>
      <c r="M928" s="5"/>
      <c r="N928" s="5"/>
      <c r="O928" s="319"/>
      <c r="P928" s="646"/>
      <c r="Q928" s="438"/>
      <c r="R928" s="5"/>
      <c r="S928" s="5"/>
      <c r="T928" s="319"/>
      <c r="U928" s="646"/>
      <c r="V928" s="438"/>
      <c r="W928" s="5"/>
      <c r="X928" s="5"/>
      <c r="Y928" s="319"/>
      <c r="Z928" s="646"/>
      <c r="AA928" s="328">
        <f t="shared" si="131"/>
        <v>0</v>
      </c>
      <c r="AB928" s="298">
        <f t="shared" si="132"/>
        <v>0</v>
      </c>
      <c r="AC928" s="4"/>
      <c r="AD928" s="47"/>
      <c r="AE928" s="47"/>
      <c r="AF928" s="319"/>
      <c r="AG928" s="328">
        <f t="shared" si="133"/>
        <v>0</v>
      </c>
      <c r="AH928" s="4"/>
      <c r="AI928" s="255"/>
      <c r="AJ928" s="180"/>
      <c r="AQ928" s="180"/>
      <c r="AR928" s="180"/>
      <c r="AS928" s="180"/>
      <c r="AT928" s="180"/>
      <c r="AU928" s="180"/>
      <c r="AV928" s="180"/>
      <c r="AW928" s="180"/>
    </row>
    <row r="929" spans="1:49" s="193" customFormat="1">
      <c r="A929" s="180"/>
      <c r="B929" s="267" t="s">
        <v>411</v>
      </c>
      <c r="C929" s="5"/>
      <c r="D929" s="5"/>
      <c r="E929" s="319"/>
      <c r="F929" s="646"/>
      <c r="G929" s="438"/>
      <c r="H929" s="5"/>
      <c r="I929" s="5"/>
      <c r="J929" s="319"/>
      <c r="K929" s="646"/>
      <c r="L929" s="438"/>
      <c r="M929" s="5"/>
      <c r="N929" s="5"/>
      <c r="O929" s="319"/>
      <c r="P929" s="646"/>
      <c r="Q929" s="438"/>
      <c r="R929" s="5"/>
      <c r="S929" s="5"/>
      <c r="T929" s="319"/>
      <c r="U929" s="646"/>
      <c r="V929" s="438"/>
      <c r="W929" s="5"/>
      <c r="X929" s="5"/>
      <c r="Y929" s="319"/>
      <c r="Z929" s="646"/>
      <c r="AA929" s="328">
        <f t="shared" si="131"/>
        <v>0</v>
      </c>
      <c r="AB929" s="298">
        <f t="shared" si="132"/>
        <v>0</v>
      </c>
      <c r="AC929" s="4"/>
      <c r="AD929" s="47"/>
      <c r="AE929" s="47"/>
      <c r="AF929" s="319"/>
      <c r="AG929" s="328">
        <f t="shared" si="133"/>
        <v>0</v>
      </c>
      <c r="AH929" s="4"/>
      <c r="AI929" s="255"/>
      <c r="AJ929" s="180"/>
      <c r="AQ929" s="180"/>
      <c r="AR929" s="180"/>
      <c r="AS929" s="180"/>
      <c r="AT929" s="180"/>
      <c r="AU929" s="180"/>
      <c r="AV929" s="180"/>
      <c r="AW929" s="180"/>
    </row>
    <row r="930" spans="1:49" s="193" customFormat="1">
      <c r="A930" s="180"/>
      <c r="B930" s="267" t="s">
        <v>361</v>
      </c>
      <c r="C930" s="5"/>
      <c r="D930" s="5"/>
      <c r="E930" s="319"/>
      <c r="F930" s="646"/>
      <c r="G930" s="438"/>
      <c r="H930" s="5"/>
      <c r="I930" s="5"/>
      <c r="J930" s="319"/>
      <c r="K930" s="646"/>
      <c r="L930" s="438"/>
      <c r="M930" s="5"/>
      <c r="N930" s="5"/>
      <c r="O930" s="319"/>
      <c r="P930" s="646"/>
      <c r="Q930" s="438"/>
      <c r="R930" s="5"/>
      <c r="S930" s="5"/>
      <c r="T930" s="319"/>
      <c r="U930" s="646"/>
      <c r="V930" s="438"/>
      <c r="W930" s="5"/>
      <c r="X930" s="5"/>
      <c r="Y930" s="319"/>
      <c r="Z930" s="646"/>
      <c r="AA930" s="328">
        <f t="shared" si="131"/>
        <v>0</v>
      </c>
      <c r="AB930" s="298">
        <f t="shared" si="132"/>
        <v>0</v>
      </c>
      <c r="AC930" s="4"/>
      <c r="AD930" s="47"/>
      <c r="AE930" s="47"/>
      <c r="AF930" s="319"/>
      <c r="AG930" s="328">
        <f t="shared" si="133"/>
        <v>0</v>
      </c>
      <c r="AH930" s="4"/>
      <c r="AI930" s="255"/>
      <c r="AJ930" s="180"/>
      <c r="AQ930" s="180"/>
      <c r="AR930" s="180"/>
      <c r="AS930" s="180"/>
      <c r="AT930" s="180"/>
      <c r="AU930" s="180"/>
      <c r="AV930" s="180"/>
      <c r="AW930" s="180"/>
    </row>
    <row r="931" spans="1:49" s="193" customFormat="1">
      <c r="A931" s="180"/>
      <c r="B931" s="267" t="s">
        <v>362</v>
      </c>
      <c r="C931" s="47"/>
      <c r="D931" s="47"/>
      <c r="E931" s="319">
        <v>1</v>
      </c>
      <c r="F931" s="646"/>
      <c r="G931" s="438"/>
      <c r="H931" s="47"/>
      <c r="I931" s="47"/>
      <c r="J931" s="319">
        <v>1</v>
      </c>
      <c r="K931" s="646"/>
      <c r="L931" s="438"/>
      <c r="M931" s="47"/>
      <c r="N931" s="47"/>
      <c r="O931" s="319">
        <v>1</v>
      </c>
      <c r="P931" s="646"/>
      <c r="Q931" s="438"/>
      <c r="R931" s="47"/>
      <c r="S931" s="47"/>
      <c r="T931" s="319">
        <v>1</v>
      </c>
      <c r="U931" s="646"/>
      <c r="V931" s="438"/>
      <c r="W931" s="5"/>
      <c r="X931" s="5"/>
      <c r="Y931" s="319">
        <v>1</v>
      </c>
      <c r="Z931" s="646"/>
      <c r="AA931" s="328">
        <f t="shared" si="131"/>
        <v>5</v>
      </c>
      <c r="AB931" s="298">
        <f t="shared" si="132"/>
        <v>0</v>
      </c>
      <c r="AC931" s="4"/>
      <c r="AD931" s="47"/>
      <c r="AE931" s="47"/>
      <c r="AF931" s="319"/>
      <c r="AG931" s="328">
        <f t="shared" si="133"/>
        <v>0</v>
      </c>
      <c r="AH931" s="4"/>
      <c r="AI931" s="255"/>
      <c r="AJ931" s="180"/>
      <c r="AQ931" s="180"/>
      <c r="AR931" s="180"/>
      <c r="AS931" s="180"/>
      <c r="AT931" s="180"/>
      <c r="AU931" s="180"/>
      <c r="AV931" s="180"/>
      <c r="AW931" s="180"/>
    </row>
    <row r="932" spans="1:49" s="193" customFormat="1">
      <c r="A932" s="180"/>
      <c r="B932" s="437" t="s">
        <v>355</v>
      </c>
      <c r="C932" s="5"/>
      <c r="D932" s="5"/>
      <c r="E932" s="319">
        <v>7.7</v>
      </c>
      <c r="F932" s="646"/>
      <c r="G932" s="438"/>
      <c r="H932" s="5"/>
      <c r="I932" s="5"/>
      <c r="J932" s="319">
        <v>7.7</v>
      </c>
      <c r="K932" s="646"/>
      <c r="L932" s="438"/>
      <c r="M932" s="5"/>
      <c r="N932" s="5"/>
      <c r="O932" s="319">
        <v>7.7</v>
      </c>
      <c r="P932" s="646"/>
      <c r="Q932" s="438"/>
      <c r="R932" s="5"/>
      <c r="S932" s="5"/>
      <c r="T932" s="319">
        <v>7.7</v>
      </c>
      <c r="U932" s="646"/>
      <c r="V932" s="438"/>
      <c r="W932" s="5"/>
      <c r="X932" s="5"/>
      <c r="Y932" s="319">
        <v>7.7</v>
      </c>
      <c r="Z932" s="646"/>
      <c r="AA932" s="328">
        <f t="shared" si="131"/>
        <v>38.5</v>
      </c>
      <c r="AB932" s="298">
        <f t="shared" si="132"/>
        <v>0</v>
      </c>
      <c r="AC932" s="4"/>
      <c r="AD932" s="47"/>
      <c r="AE932" s="47"/>
      <c r="AF932" s="319"/>
      <c r="AG932" s="328">
        <f t="shared" si="133"/>
        <v>0</v>
      </c>
      <c r="AH932" s="4"/>
      <c r="AI932" s="255"/>
      <c r="AJ932" s="180"/>
      <c r="AQ932" s="180"/>
      <c r="AR932" s="180"/>
      <c r="AS932" s="180"/>
      <c r="AT932" s="180"/>
      <c r="AU932" s="180"/>
      <c r="AV932" s="180"/>
      <c r="AW932" s="180"/>
    </row>
    <row r="933" spans="1:49" s="193" customFormat="1">
      <c r="A933" s="180"/>
      <c r="B933" s="437" t="s">
        <v>356</v>
      </c>
      <c r="C933" s="5"/>
      <c r="D933" s="5"/>
      <c r="E933" s="319">
        <v>15.8</v>
      </c>
      <c r="F933" s="646"/>
      <c r="G933" s="438"/>
      <c r="H933" s="5"/>
      <c r="I933" s="5"/>
      <c r="J933" s="319"/>
      <c r="K933" s="646"/>
      <c r="L933" s="438"/>
      <c r="M933" s="5"/>
      <c r="N933" s="5"/>
      <c r="O933" s="319"/>
      <c r="P933" s="646"/>
      <c r="Q933" s="438"/>
      <c r="R933" s="5"/>
      <c r="S933" s="5"/>
      <c r="T933" s="319"/>
      <c r="U933" s="646"/>
      <c r="V933" s="438"/>
      <c r="W933" s="5"/>
      <c r="X933" s="5"/>
      <c r="Y933" s="319">
        <v>23</v>
      </c>
      <c r="Z933" s="646"/>
      <c r="AA933" s="328">
        <f t="shared" si="131"/>
        <v>38.799999999999997</v>
      </c>
      <c r="AB933" s="298">
        <f t="shared" si="132"/>
        <v>0</v>
      </c>
      <c r="AC933" s="4"/>
      <c r="AD933" s="47"/>
      <c r="AE933" s="47"/>
      <c r="AF933" s="319"/>
      <c r="AG933" s="328">
        <f t="shared" si="133"/>
        <v>0</v>
      </c>
      <c r="AH933" s="4"/>
      <c r="AI933" s="255"/>
      <c r="AJ933" s="180"/>
      <c r="AQ933" s="180"/>
      <c r="AR933" s="180"/>
      <c r="AS933" s="180"/>
      <c r="AT933" s="180"/>
      <c r="AU933" s="180"/>
      <c r="AV933" s="180"/>
      <c r="AW933" s="180"/>
    </row>
    <row r="934" spans="1:49" s="193" customFormat="1">
      <c r="A934" s="180"/>
      <c r="B934" s="64" t="s">
        <v>61</v>
      </c>
      <c r="C934" s="31"/>
      <c r="D934" s="31"/>
      <c r="E934" s="439">
        <f>SUM(E907:E933)</f>
        <v>114.25</v>
      </c>
      <c r="F934" s="646">
        <f>SUM(F907:F933)</f>
        <v>5.25</v>
      </c>
      <c r="G934" s="31"/>
      <c r="H934" s="31"/>
      <c r="I934" s="31"/>
      <c r="J934" s="439">
        <f>SUM(J907:J933)</f>
        <v>104.95</v>
      </c>
      <c r="K934" s="646">
        <f>SUM(K907:K933)</f>
        <v>3.4000000000000004</v>
      </c>
      <c r="L934" s="31"/>
      <c r="M934" s="31"/>
      <c r="N934" s="31"/>
      <c r="O934" s="439">
        <f>SUM(O907:O933)</f>
        <v>87.45</v>
      </c>
      <c r="P934" s="646">
        <f>SUM(P907:P933)</f>
        <v>2.6500000000000004</v>
      </c>
      <c r="Q934" s="31"/>
      <c r="R934" s="31"/>
      <c r="S934" s="31"/>
      <c r="T934" s="439">
        <f>SUM(T907:T933)</f>
        <v>72.95</v>
      </c>
      <c r="U934" s="646">
        <f>SUM(U907:U933)</f>
        <v>5.8500000000000005</v>
      </c>
      <c r="V934" s="31"/>
      <c r="W934" s="31"/>
      <c r="X934" s="31"/>
      <c r="Y934" s="439">
        <f>SUM(Y907:Y933)</f>
        <v>107.2</v>
      </c>
      <c r="Z934" s="646">
        <f>SUM(Z907:Z933)</f>
        <v>2</v>
      </c>
      <c r="AA934" s="370">
        <f>SUM(AA907:AA933)</f>
        <v>486.8</v>
      </c>
      <c r="AB934" s="370">
        <f>SUM(AB907:AB933)</f>
        <v>19.149999999999999</v>
      </c>
      <c r="AC934" s="4"/>
      <c r="AD934" s="64"/>
      <c r="AE934" s="64"/>
      <c r="AF934" s="370">
        <f>SUM(AF907:AF933)</f>
        <v>0</v>
      </c>
      <c r="AG934" s="370">
        <f>SUM(AG907:AG933)</f>
        <v>0</v>
      </c>
      <c r="AH934" s="4"/>
      <c r="AI934" s="255"/>
      <c r="AJ934" s="180"/>
      <c r="AK934" s="407"/>
      <c r="AQ934" s="180"/>
      <c r="AR934" s="180"/>
      <c r="AS934" s="180"/>
      <c r="AT934" s="180"/>
      <c r="AU934" s="180"/>
      <c r="AV934" s="180"/>
      <c r="AW934" s="180"/>
    </row>
    <row r="935" spans="1:49" s="193" customFormat="1">
      <c r="A935" s="180"/>
      <c r="B935" s="63" t="s">
        <v>64</v>
      </c>
      <c r="C935" s="47"/>
      <c r="D935" s="47"/>
      <c r="E935" s="319">
        <v>6.5</v>
      </c>
      <c r="F935" s="346">
        <v>1.25</v>
      </c>
      <c r="G935" s="613"/>
      <c r="H935" s="47"/>
      <c r="I935" s="47"/>
      <c r="J935" s="319">
        <v>6.5</v>
      </c>
      <c r="K935" s="346">
        <f>1.25+1</f>
        <v>2.25</v>
      </c>
      <c r="L935" s="60"/>
      <c r="M935" s="47"/>
      <c r="N935" s="47"/>
      <c r="O935" s="319">
        <v>7</v>
      </c>
      <c r="P935" s="346">
        <v>1.75</v>
      </c>
      <c r="Q935" s="60"/>
      <c r="R935" s="47"/>
      <c r="S935" s="47"/>
      <c r="T935" s="319">
        <v>7.5</v>
      </c>
      <c r="U935" s="346">
        <f>1+0.5</f>
        <v>1.5</v>
      </c>
      <c r="V935" s="60"/>
      <c r="W935" s="47"/>
      <c r="X935" s="47"/>
      <c r="Y935" s="319">
        <v>7.5</v>
      </c>
      <c r="Z935" s="346">
        <v>1.25</v>
      </c>
      <c r="AA935" s="28">
        <f>SUM(E935+J935+O935+T935+Y935)</f>
        <v>35</v>
      </c>
      <c r="AB935" s="296">
        <f>Z935+U935+P935+K935+F935</f>
        <v>8</v>
      </c>
      <c r="AC935" s="4"/>
      <c r="AD935" s="47" t="s">
        <v>29</v>
      </c>
      <c r="AE935" s="47" t="s">
        <v>29</v>
      </c>
      <c r="AF935" s="319"/>
      <c r="AG935" s="29">
        <f>AF935</f>
        <v>0</v>
      </c>
      <c r="AH935" s="4"/>
      <c r="AI935" s="255"/>
      <c r="AJ935" s="180"/>
      <c r="AK935" s="407"/>
      <c r="AQ935" s="180"/>
      <c r="AR935" s="180"/>
      <c r="AS935" s="180"/>
      <c r="AT935" s="180"/>
      <c r="AU935" s="180"/>
      <c r="AV935" s="180"/>
      <c r="AW935" s="180"/>
    </row>
    <row r="936" spans="1:49" s="193" customFormat="1">
      <c r="A936" s="180"/>
      <c r="B936" s="71" t="s">
        <v>66</v>
      </c>
      <c r="C936" s="371"/>
      <c r="D936" s="371"/>
      <c r="E936" s="71"/>
      <c r="F936" s="613"/>
      <c r="G936" s="71"/>
      <c r="H936" s="71"/>
      <c r="I936" s="71"/>
      <c r="J936" s="71"/>
      <c r="K936" s="613"/>
      <c r="L936" s="71"/>
      <c r="M936" s="71"/>
      <c r="N936" s="71"/>
      <c r="O936" s="71"/>
      <c r="P936" s="613"/>
      <c r="Q936" s="71"/>
      <c r="R936" s="71"/>
      <c r="S936" s="71"/>
      <c r="T936" s="71"/>
      <c r="U936" s="613"/>
      <c r="V936" s="71"/>
      <c r="W936" s="71"/>
      <c r="X936" s="71"/>
      <c r="Y936" s="71"/>
      <c r="Z936" s="613"/>
      <c r="AA936" s="370">
        <f>SUM(AA935:AA935)</f>
        <v>35</v>
      </c>
      <c r="AB936" s="370">
        <f>SUM(AB935:AB935)</f>
        <v>8</v>
      </c>
      <c r="AC936" s="4"/>
      <c r="AD936" s="180"/>
      <c r="AE936" s="180"/>
      <c r="AF936" s="180"/>
      <c r="AG936" s="370">
        <f>SUM(AG935:AG935)</f>
        <v>0</v>
      </c>
      <c r="AH936" s="4"/>
      <c r="AI936" s="255"/>
      <c r="AJ936" s="180"/>
      <c r="AK936" s="407"/>
      <c r="AQ936" s="180"/>
      <c r="AR936" s="180"/>
      <c r="AS936" s="180"/>
      <c r="AT936" s="180"/>
      <c r="AU936" s="180"/>
      <c r="AV936" s="180"/>
      <c r="AW936" s="180"/>
    </row>
    <row r="937" spans="1:49" s="193" customFormat="1">
      <c r="A937" s="180"/>
      <c r="B937" s="217" t="s">
        <v>67</v>
      </c>
      <c r="C937" s="207">
        <f>C938+C939</f>
        <v>31</v>
      </c>
      <c r="D937" s="207"/>
      <c r="E937" s="209"/>
      <c r="F937" s="209"/>
      <c r="G937" s="207"/>
      <c r="H937" s="209"/>
      <c r="I937" s="209"/>
      <c r="J937" s="209"/>
      <c r="K937" s="209"/>
      <c r="L937" s="207"/>
      <c r="M937" s="207"/>
      <c r="N937" s="207"/>
      <c r="O937" s="207"/>
      <c r="P937" s="209"/>
      <c r="Q937" s="207"/>
      <c r="R937" s="207"/>
      <c r="S937" s="207"/>
      <c r="T937" s="207"/>
      <c r="U937" s="209"/>
      <c r="V937" s="207"/>
      <c r="W937" s="207"/>
      <c r="X937" s="207"/>
      <c r="Y937" s="210"/>
      <c r="Z937" s="209"/>
      <c r="AA937" s="211"/>
      <c r="AB937" s="209"/>
      <c r="AC937" s="211"/>
      <c r="AD937" s="211"/>
      <c r="AE937" s="211"/>
      <c r="AF937" s="211"/>
      <c r="AG937" s="211"/>
      <c r="AH937" s="4"/>
      <c r="AI937" s="255"/>
      <c r="AJ937" s="180"/>
      <c r="AQ937" s="180"/>
      <c r="AR937" s="180"/>
      <c r="AS937" s="180"/>
      <c r="AT937" s="180"/>
      <c r="AU937" s="180"/>
      <c r="AV937" s="180"/>
      <c r="AW937" s="180"/>
    </row>
    <row r="938" spans="1:49" s="193" customFormat="1">
      <c r="A938" s="180"/>
      <c r="B938" s="238" t="s">
        <v>68</v>
      </c>
      <c r="C938" s="239">
        <v>3</v>
      </c>
      <c r="D938" s="207"/>
      <c r="E938" s="209"/>
      <c r="F938" s="209"/>
      <c r="G938" s="207"/>
      <c r="H938" s="209"/>
      <c r="I938" s="209"/>
      <c r="J938" s="209"/>
      <c r="K938" s="209"/>
      <c r="L938" s="207"/>
      <c r="M938" s="207"/>
      <c r="N938" s="207"/>
      <c r="O938" s="207"/>
      <c r="P938" s="209"/>
      <c r="Q938" s="207"/>
      <c r="R938" s="207"/>
      <c r="S938" s="207"/>
      <c r="T938" s="207"/>
      <c r="U938" s="209"/>
      <c r="V938" s="207"/>
      <c r="W938" s="207"/>
      <c r="X938" s="207"/>
      <c r="Y938" s="210"/>
      <c r="Z938" s="209"/>
      <c r="AA938" s="211"/>
      <c r="AB938" s="209"/>
      <c r="AC938" s="211"/>
      <c r="AD938" s="211"/>
      <c r="AE938" s="211"/>
      <c r="AF938" s="211"/>
      <c r="AG938" s="211"/>
      <c r="AH938" s="4"/>
      <c r="AI938" s="255"/>
      <c r="AJ938" s="180"/>
      <c r="AQ938" s="180"/>
      <c r="AR938" s="180"/>
      <c r="AS938" s="180"/>
      <c r="AT938" s="180"/>
      <c r="AU938" s="180"/>
      <c r="AV938" s="180"/>
      <c r="AW938" s="180"/>
    </row>
    <row r="939" spans="1:49" s="193" customFormat="1">
      <c r="A939" s="180"/>
      <c r="B939" s="238" t="s">
        <v>69</v>
      </c>
      <c r="C939" s="239">
        <f>7+7+5+3+6</f>
        <v>28</v>
      </c>
      <c r="D939" s="207"/>
      <c r="E939" s="209"/>
      <c r="F939" s="209"/>
      <c r="G939" s="207"/>
      <c r="H939" s="209"/>
      <c r="I939" s="209"/>
      <c r="J939" s="209"/>
      <c r="K939" s="209"/>
      <c r="L939" s="207"/>
      <c r="M939" s="207"/>
      <c r="N939" s="207"/>
      <c r="O939" s="207"/>
      <c r="P939" s="209"/>
      <c r="Q939" s="207"/>
      <c r="R939" s="207"/>
      <c r="S939" s="207"/>
      <c r="T939" s="207"/>
      <c r="U939" s="209"/>
      <c r="V939" s="207"/>
      <c r="W939" s="207"/>
      <c r="X939" s="207"/>
      <c r="Y939" s="210"/>
      <c r="Z939" s="209"/>
      <c r="AA939" s="211"/>
      <c r="AB939" s="209"/>
      <c r="AC939" s="211"/>
      <c r="AD939" s="211"/>
      <c r="AE939" s="211"/>
      <c r="AF939" s="211"/>
      <c r="AG939" s="211"/>
      <c r="AH939" s="4"/>
      <c r="AI939" s="255"/>
      <c r="AJ939" s="180"/>
      <c r="AQ939" s="180"/>
      <c r="AR939" s="180"/>
      <c r="AS939" s="180"/>
      <c r="AT939" s="180"/>
      <c r="AU939" s="180"/>
      <c r="AV939" s="180"/>
      <c r="AW939" s="180"/>
    </row>
    <row r="940" spans="1:49">
      <c r="B940" s="180"/>
      <c r="E940" s="4"/>
      <c r="F940" s="644"/>
      <c r="G940" s="4"/>
      <c r="J940" s="4"/>
      <c r="K940" s="644"/>
      <c r="L940" s="4"/>
      <c r="O940" s="4"/>
      <c r="P940" s="644"/>
      <c r="T940" s="4"/>
      <c r="U940" s="644"/>
      <c r="Y940" s="4"/>
      <c r="Z940" s="644"/>
      <c r="AA940" s="4"/>
      <c r="AB940" s="4"/>
      <c r="AC940" s="4"/>
    </row>
    <row r="941" spans="1:49">
      <c r="A941" s="180"/>
      <c r="B941" s="229"/>
      <c r="C941" s="230"/>
      <c r="D941" s="230"/>
      <c r="E941" s="232"/>
      <c r="F941" s="232"/>
      <c r="G941" s="230"/>
      <c r="H941" s="232"/>
      <c r="I941" s="232"/>
      <c r="J941" s="232"/>
      <c r="K941" s="232"/>
      <c r="L941" s="230"/>
      <c r="M941" s="230"/>
      <c r="N941" s="230"/>
      <c r="O941" s="230"/>
      <c r="P941" s="232"/>
      <c r="Q941" s="230"/>
      <c r="R941" s="230"/>
      <c r="S941" s="230"/>
      <c r="T941" s="230"/>
      <c r="U941" s="232"/>
      <c r="V941" s="230"/>
      <c r="W941" s="230"/>
      <c r="X941" s="230"/>
      <c r="Y941" s="233"/>
      <c r="Z941" s="232"/>
      <c r="AA941" s="234"/>
      <c r="AB941" s="232"/>
      <c r="AC941" s="373"/>
      <c r="AD941" s="236"/>
      <c r="AE941" s="255"/>
      <c r="AF941" s="255"/>
      <c r="AG941" s="255"/>
      <c r="AH941" s="255"/>
      <c r="AJ941" s="255"/>
      <c r="AK941" s="255"/>
      <c r="AL941" s="255"/>
      <c r="AM941" s="255"/>
      <c r="AN941" s="255"/>
      <c r="AO941" s="255"/>
      <c r="AP941" s="255"/>
      <c r="AQ941" s="255"/>
      <c r="AR941" s="255"/>
      <c r="AS941" s="255"/>
      <c r="AT941" s="255"/>
      <c r="AU941" s="255"/>
      <c r="AV941" s="255"/>
      <c r="AW941" s="255"/>
    </row>
    <row r="942" spans="1:49">
      <c r="B942" s="180"/>
      <c r="E942" s="4"/>
      <c r="F942" s="644"/>
      <c r="G942" s="4"/>
      <c r="J942" s="4"/>
      <c r="K942" s="644"/>
      <c r="L942" s="4"/>
      <c r="O942" s="4"/>
      <c r="P942" s="644"/>
      <c r="T942" s="4"/>
      <c r="U942" s="644"/>
      <c r="Y942" s="4"/>
      <c r="Z942" s="644"/>
      <c r="AA942" s="4"/>
      <c r="AB942" s="4"/>
      <c r="AC942" s="4"/>
      <c r="AK942" s="180"/>
      <c r="AL942" s="180"/>
      <c r="AM942" s="180"/>
      <c r="AN942" s="180"/>
      <c r="AO942" s="180"/>
      <c r="AP942" s="180"/>
    </row>
    <row r="943" spans="1:49">
      <c r="A943" s="228"/>
      <c r="B943" s="1518" t="s">
        <v>18</v>
      </c>
      <c r="C943" s="1519">
        <v>45698</v>
      </c>
      <c r="D943" s="1519"/>
      <c r="E943" s="1519"/>
      <c r="F943" s="1519"/>
      <c r="G943" s="365"/>
      <c r="H943" s="1519">
        <v>45699</v>
      </c>
      <c r="I943" s="1519"/>
      <c r="J943" s="1519"/>
      <c r="K943" s="1519"/>
      <c r="L943" s="365"/>
      <c r="M943" s="1519">
        <v>45700</v>
      </c>
      <c r="N943" s="1519"/>
      <c r="O943" s="1519"/>
      <c r="P943" s="1519"/>
      <c r="Q943" s="365"/>
      <c r="R943" s="1519">
        <v>45701</v>
      </c>
      <c r="S943" s="1519"/>
      <c r="T943" s="1519"/>
      <c r="U943" s="1519"/>
      <c r="V943" s="365"/>
      <c r="W943" s="1519">
        <v>45702</v>
      </c>
      <c r="X943" s="1519"/>
      <c r="Y943" s="1519"/>
      <c r="Z943" s="1519"/>
      <c r="AA943" s="1517" t="s">
        <v>19</v>
      </c>
      <c r="AB943" s="1517" t="s">
        <v>20</v>
      </c>
      <c r="AC943" s="4"/>
      <c r="AD943" s="1519"/>
      <c r="AE943" s="1519"/>
      <c r="AF943" s="1519"/>
      <c r="AG943" s="1517" t="s">
        <v>21</v>
      </c>
      <c r="AI943" s="368"/>
      <c r="AK943" s="194" t="s">
        <v>84</v>
      </c>
      <c r="AL943" s="366"/>
      <c r="AM943" s="366"/>
      <c r="AN943" s="366"/>
      <c r="AO943" s="366"/>
      <c r="AP943" s="366"/>
    </row>
    <row r="944" spans="1:49">
      <c r="A944" s="180"/>
      <c r="B944" s="1518"/>
      <c r="C944" s="21" t="s">
        <v>23</v>
      </c>
      <c r="D944" s="21" t="s">
        <v>24</v>
      </c>
      <c r="E944" s="205" t="s">
        <v>25</v>
      </c>
      <c r="F944" s="645" t="s">
        <v>14</v>
      </c>
      <c r="G944" s="4"/>
      <c r="H944" s="21" t="s">
        <v>23</v>
      </c>
      <c r="I944" s="21" t="s">
        <v>24</v>
      </c>
      <c r="J944" s="18" t="s">
        <v>25</v>
      </c>
      <c r="K944" s="645" t="s">
        <v>14</v>
      </c>
      <c r="L944" s="4"/>
      <c r="M944" s="21" t="s">
        <v>23</v>
      </c>
      <c r="N944" s="21" t="s">
        <v>24</v>
      </c>
      <c r="O944" s="18" t="s">
        <v>25</v>
      </c>
      <c r="P944" s="645" t="s">
        <v>14</v>
      </c>
      <c r="R944" s="21" t="s">
        <v>23</v>
      </c>
      <c r="S944" s="21" t="s">
        <v>24</v>
      </c>
      <c r="T944" s="18" t="s">
        <v>25</v>
      </c>
      <c r="U944" s="645" t="s">
        <v>14</v>
      </c>
      <c r="W944" s="21" t="s">
        <v>23</v>
      </c>
      <c r="X944" s="21" t="s">
        <v>24</v>
      </c>
      <c r="Y944" s="18" t="s">
        <v>25</v>
      </c>
      <c r="Z944" s="645" t="s">
        <v>14</v>
      </c>
      <c r="AA944" s="1517"/>
      <c r="AB944" s="1517"/>
      <c r="AC944" s="4"/>
      <c r="AD944" s="21" t="s">
        <v>23</v>
      </c>
      <c r="AE944" s="21" t="s">
        <v>24</v>
      </c>
      <c r="AF944" s="18" t="s">
        <v>25</v>
      </c>
      <c r="AG944" s="1517"/>
      <c r="AI944" s="368"/>
      <c r="AJ944" s="367"/>
      <c r="AK944" s="188" t="s">
        <v>26</v>
      </c>
      <c r="AL944" s="196">
        <f>AA971</f>
        <v>508.90000000000003</v>
      </c>
      <c r="AM944" s="510">
        <v>39.14</v>
      </c>
      <c r="AN944" s="510">
        <f t="shared" ref="AN944:AN949" si="134">AL944*AM944</f>
        <v>19918.346000000001</v>
      </c>
      <c r="AQ944" s="367"/>
      <c r="AR944" s="367"/>
      <c r="AS944" s="367"/>
      <c r="AT944" s="367"/>
      <c r="AU944" s="367"/>
      <c r="AV944" s="367"/>
      <c r="AW944" s="367"/>
    </row>
    <row r="945" spans="1:49">
      <c r="A945" s="180"/>
      <c r="B945" s="4" t="s">
        <v>958</v>
      </c>
      <c r="C945" s="1558" t="s">
        <v>1033</v>
      </c>
      <c r="D945" s="1558"/>
      <c r="E945" s="319">
        <v>0</v>
      </c>
      <c r="F945" s="646"/>
      <c r="G945" s="4"/>
      <c r="H945" s="1558" t="s">
        <v>1033</v>
      </c>
      <c r="I945" s="1558"/>
      <c r="J945" s="319">
        <v>0</v>
      </c>
      <c r="K945" s="646"/>
      <c r="L945" s="4"/>
      <c r="M945" s="642"/>
      <c r="N945" s="642"/>
      <c r="O945" s="319">
        <v>0</v>
      </c>
      <c r="P945" s="646"/>
      <c r="R945" s="47">
        <v>0.38541666666666669</v>
      </c>
      <c r="S945" s="47">
        <v>0.20833333333333334</v>
      </c>
      <c r="T945" s="319">
        <v>6.75</v>
      </c>
      <c r="U945" s="646"/>
      <c r="W945" s="642"/>
      <c r="X945" s="642"/>
      <c r="Y945" s="319">
        <v>0</v>
      </c>
      <c r="Z945" s="646"/>
      <c r="AA945" s="328">
        <f t="shared" ref="AA945:AA970" si="135">(E945+J945+O945+T945+Y945)</f>
        <v>6.75</v>
      </c>
      <c r="AB945" s="298">
        <f t="shared" ref="AB945:AB970" si="136">Z945+U945+P945+K945+F945</f>
        <v>0</v>
      </c>
      <c r="AC945" s="4"/>
      <c r="AD945" s="587"/>
      <c r="AE945" s="531"/>
      <c r="AF945" s="319"/>
      <c r="AG945" s="328">
        <f t="shared" ref="AG945:AG970" si="137">AF945</f>
        <v>0</v>
      </c>
      <c r="AI945" s="368"/>
      <c r="AJ945" s="367"/>
      <c r="AK945" s="188" t="s">
        <v>30</v>
      </c>
      <c r="AL945" s="196">
        <f>AB971</f>
        <v>26.75</v>
      </c>
      <c r="AM945" s="511">
        <f>AM944*1.5</f>
        <v>58.71</v>
      </c>
      <c r="AN945" s="510">
        <f t="shared" si="134"/>
        <v>1570.4925000000001</v>
      </c>
      <c r="AQ945" s="367"/>
      <c r="AR945" s="367"/>
      <c r="AS945" s="367"/>
      <c r="AT945" s="367"/>
      <c r="AU945" s="367"/>
      <c r="AV945" s="367"/>
      <c r="AW945" s="367"/>
    </row>
    <row r="946" spans="1:49">
      <c r="A946" s="367"/>
      <c r="B946" s="47" t="s">
        <v>515</v>
      </c>
      <c r="C946" s="47">
        <v>0.33333333333333331</v>
      </c>
      <c r="D946" s="47">
        <v>0.20833333333333334</v>
      </c>
      <c r="E946" s="319">
        <v>8</v>
      </c>
      <c r="F946" s="646"/>
      <c r="G946" s="4"/>
      <c r="H946" s="441" t="s">
        <v>125</v>
      </c>
      <c r="I946" s="47" t="s">
        <v>434</v>
      </c>
      <c r="J946" s="319">
        <v>8</v>
      </c>
      <c r="K946" s="646"/>
      <c r="L946" s="4"/>
      <c r="M946" s="441" t="s">
        <v>125</v>
      </c>
      <c r="N946" s="47" t="s">
        <v>434</v>
      </c>
      <c r="O946" s="319">
        <v>8</v>
      </c>
      <c r="P946" s="646"/>
      <c r="R946" s="642"/>
      <c r="S946" s="642"/>
      <c r="T946" s="319">
        <v>0</v>
      </c>
      <c r="U946" s="646"/>
      <c r="W946" s="642"/>
      <c r="X946" s="642"/>
      <c r="Y946" s="319">
        <v>0</v>
      </c>
      <c r="Z946" s="646"/>
      <c r="AA946" s="328">
        <f t="shared" si="135"/>
        <v>24</v>
      </c>
      <c r="AB946" s="298">
        <f t="shared" si="136"/>
        <v>0</v>
      </c>
      <c r="AC946" s="4"/>
      <c r="AF946" s="319"/>
      <c r="AG946" s="328">
        <f t="shared" si="137"/>
        <v>0</v>
      </c>
      <c r="AH946" s="175"/>
      <c r="AI946" s="402"/>
      <c r="AJ946" s="367"/>
      <c r="AK946" s="188" t="s">
        <v>32</v>
      </c>
      <c r="AL946" s="196">
        <f>AG971</f>
        <v>0</v>
      </c>
      <c r="AM946" s="510">
        <v>58.71</v>
      </c>
      <c r="AN946" s="510">
        <f t="shared" si="134"/>
        <v>0</v>
      </c>
      <c r="AQ946" s="367"/>
      <c r="AR946" s="367"/>
      <c r="AS946" s="367"/>
      <c r="AT946" s="367"/>
      <c r="AU946" s="367"/>
      <c r="AV946" s="367"/>
      <c r="AW946" s="367"/>
    </row>
    <row r="947" spans="1:49">
      <c r="A947" s="367"/>
      <c r="B947" s="441" t="s">
        <v>962</v>
      </c>
      <c r="C947" s="1558" t="s">
        <v>1033</v>
      </c>
      <c r="D947" s="1558"/>
      <c r="E947" s="319">
        <v>0</v>
      </c>
      <c r="F947" s="646"/>
      <c r="G947" s="4"/>
      <c r="H947" s="47">
        <v>0.36458333333333331</v>
      </c>
      <c r="I947" s="47" t="s">
        <v>434</v>
      </c>
      <c r="J947" s="319">
        <v>7.25</v>
      </c>
      <c r="K947" s="646"/>
      <c r="L947" s="4"/>
      <c r="M947" s="441" t="s">
        <v>125</v>
      </c>
      <c r="N947" s="47" t="s">
        <v>1035</v>
      </c>
      <c r="O947" s="319">
        <v>8</v>
      </c>
      <c r="P947" s="646"/>
      <c r="R947" s="47">
        <v>0.33333333333333331</v>
      </c>
      <c r="S947" s="47" t="s">
        <v>434</v>
      </c>
      <c r="T947" s="319">
        <v>8</v>
      </c>
      <c r="U947" s="646">
        <v>1</v>
      </c>
      <c r="W947" s="47">
        <v>0.40625</v>
      </c>
      <c r="X947" s="47">
        <v>8.3333333333333329E-2</v>
      </c>
      <c r="Y947" s="319">
        <v>4.25</v>
      </c>
      <c r="Z947" s="646"/>
      <c r="AA947" s="328">
        <f t="shared" si="135"/>
        <v>27.5</v>
      </c>
      <c r="AB947" s="298">
        <f t="shared" si="136"/>
        <v>1</v>
      </c>
      <c r="AC947" s="399"/>
      <c r="AD947" s="47"/>
      <c r="AE947" s="47"/>
      <c r="AF947" s="319"/>
      <c r="AG947" s="328">
        <f t="shared" si="137"/>
        <v>0</v>
      </c>
      <c r="AH947" s="175"/>
      <c r="AJ947" s="401"/>
      <c r="AK947" s="403" t="s">
        <v>213</v>
      </c>
      <c r="AL947" s="404">
        <f>AA973</f>
        <v>39.5</v>
      </c>
      <c r="AM947" s="510">
        <v>51.5</v>
      </c>
      <c r="AN947" s="510">
        <f t="shared" si="134"/>
        <v>2034.25</v>
      </c>
      <c r="AO947" s="405"/>
      <c r="AP947" s="405"/>
      <c r="AQ947" s="367"/>
      <c r="AR947" s="401"/>
      <c r="AS947" s="401"/>
      <c r="AT947" s="401"/>
      <c r="AU947" s="401"/>
      <c r="AV947" s="401"/>
      <c r="AW947" s="401"/>
    </row>
    <row r="948" spans="1:49">
      <c r="A948" s="367"/>
      <c r="B948" s="436" t="s">
        <v>972</v>
      </c>
      <c r="C948" s="441" t="s">
        <v>75</v>
      </c>
      <c r="D948" s="47" t="s">
        <v>1036</v>
      </c>
      <c r="E948" s="319">
        <v>8</v>
      </c>
      <c r="F948" s="646"/>
      <c r="G948" s="4"/>
      <c r="H948" s="441" t="s">
        <v>75</v>
      </c>
      <c r="I948" s="47" t="s">
        <v>1037</v>
      </c>
      <c r="J948" s="319">
        <v>8</v>
      </c>
      <c r="K948" s="646"/>
      <c r="L948" s="4"/>
      <c r="M948" s="441" t="s">
        <v>75</v>
      </c>
      <c r="N948" s="47" t="s">
        <v>1037</v>
      </c>
      <c r="O948" s="319">
        <v>8</v>
      </c>
      <c r="P948" s="646"/>
      <c r="R948" s="47">
        <v>0.375</v>
      </c>
      <c r="S948" s="47" t="s">
        <v>1038</v>
      </c>
      <c r="T948" s="319">
        <v>8</v>
      </c>
      <c r="U948" s="646"/>
      <c r="W948" s="47">
        <v>0.34375</v>
      </c>
      <c r="X948" s="47" t="s">
        <v>1038</v>
      </c>
      <c r="Y948" s="319">
        <v>8</v>
      </c>
      <c r="Z948" s="646"/>
      <c r="AA948" s="328">
        <f t="shared" si="135"/>
        <v>40</v>
      </c>
      <c r="AB948" s="298">
        <f t="shared" si="136"/>
        <v>0</v>
      </c>
      <c r="AC948" s="4"/>
      <c r="AD948" s="47"/>
      <c r="AE948" s="47"/>
      <c r="AF948" s="319"/>
      <c r="AG948" s="328">
        <f t="shared" si="137"/>
        <v>0</v>
      </c>
      <c r="AH948" s="175"/>
      <c r="AI948" s="368"/>
      <c r="AK948" s="188" t="s">
        <v>36</v>
      </c>
      <c r="AL948" s="196">
        <f>AB973</f>
        <v>11.5</v>
      </c>
      <c r="AM948" s="510">
        <f>AM947*1.5</f>
        <v>77.25</v>
      </c>
      <c r="AN948" s="510">
        <f t="shared" si="134"/>
        <v>888.375</v>
      </c>
      <c r="AQ948" s="367"/>
    </row>
    <row r="949" spans="1:49" s="4" customFormat="1">
      <c r="A949" s="180"/>
      <c r="B949" s="47" t="s">
        <v>974</v>
      </c>
      <c r="C949" s="441" t="s">
        <v>125</v>
      </c>
      <c r="D949" s="47">
        <v>0.20833333333333334</v>
      </c>
      <c r="E949" s="319">
        <v>8</v>
      </c>
      <c r="F949" s="646"/>
      <c r="H949" s="441" t="s">
        <v>125</v>
      </c>
      <c r="I949" s="47" t="s">
        <v>434</v>
      </c>
      <c r="J949" s="319">
        <v>8</v>
      </c>
      <c r="K949" s="646"/>
      <c r="M949" s="441" t="s">
        <v>1039</v>
      </c>
      <c r="N949" s="47" t="s">
        <v>434</v>
      </c>
      <c r="O949" s="319">
        <v>5.75</v>
      </c>
      <c r="P949" s="646"/>
      <c r="R949" s="1558" t="s">
        <v>1033</v>
      </c>
      <c r="S949" s="1558"/>
      <c r="T949" s="319">
        <v>0</v>
      </c>
      <c r="U949" s="646"/>
      <c r="W949" s="47">
        <v>0.35416666666666669</v>
      </c>
      <c r="X949" s="47" t="s">
        <v>434</v>
      </c>
      <c r="Y949" s="319">
        <v>8</v>
      </c>
      <c r="Z949" s="646"/>
      <c r="AA949" s="328">
        <f t="shared" si="135"/>
        <v>29.75</v>
      </c>
      <c r="AB949" s="298">
        <f t="shared" si="136"/>
        <v>0</v>
      </c>
      <c r="AD949" s="47"/>
      <c r="AE949" s="47"/>
      <c r="AF949" s="319"/>
      <c r="AG949" s="328">
        <f t="shared" si="137"/>
        <v>0</v>
      </c>
      <c r="AI949" s="255"/>
      <c r="AJ949" s="180"/>
      <c r="AK949" s="188" t="s">
        <v>38</v>
      </c>
      <c r="AL949" s="196">
        <f>AG973</f>
        <v>0</v>
      </c>
      <c r="AM949" s="510">
        <v>77.25</v>
      </c>
      <c r="AN949" s="510">
        <f t="shared" si="134"/>
        <v>0</v>
      </c>
      <c r="AO949" s="193"/>
      <c r="AP949" s="193"/>
      <c r="AQ949" s="367"/>
      <c r="AR949" s="180"/>
      <c r="AS949" s="180"/>
      <c r="AT949" s="180"/>
      <c r="AU949" s="180"/>
      <c r="AV949" s="180"/>
      <c r="AW949" s="180"/>
    </row>
    <row r="950" spans="1:49" s="4" customFormat="1">
      <c r="A950" s="180"/>
      <c r="B950" s="374" t="s">
        <v>998</v>
      </c>
      <c r="C950" s="642"/>
      <c r="D950" s="642"/>
      <c r="E950" s="319">
        <v>0</v>
      </c>
      <c r="F950" s="646"/>
      <c r="H950" s="441" t="s">
        <v>75</v>
      </c>
      <c r="I950" s="47" t="s">
        <v>1037</v>
      </c>
      <c r="J950" s="319">
        <v>8</v>
      </c>
      <c r="K950" s="646"/>
      <c r="M950" s="441" t="s">
        <v>75</v>
      </c>
      <c r="N950" s="47" t="s">
        <v>1037</v>
      </c>
      <c r="O950" s="319">
        <v>8</v>
      </c>
      <c r="P950" s="646"/>
      <c r="R950" s="47">
        <v>0.375</v>
      </c>
      <c r="S950" s="47" t="s">
        <v>1038</v>
      </c>
      <c r="T950" s="319">
        <v>8</v>
      </c>
      <c r="U950" s="646"/>
      <c r="W950" s="642"/>
      <c r="X950" s="642"/>
      <c r="Y950" s="319">
        <v>0</v>
      </c>
      <c r="Z950" s="646"/>
      <c r="AA950" s="328">
        <f t="shared" si="135"/>
        <v>24</v>
      </c>
      <c r="AB950" s="298">
        <f t="shared" si="136"/>
        <v>0</v>
      </c>
      <c r="AD950" s="47"/>
      <c r="AE950" s="47"/>
      <c r="AF950" s="319"/>
      <c r="AG950" s="328">
        <f t="shared" si="137"/>
        <v>0</v>
      </c>
      <c r="AI950" s="255"/>
      <c r="AJ950" s="180"/>
      <c r="AK950" s="193"/>
      <c r="AL950" s="193"/>
      <c r="AM950" s="193"/>
      <c r="AN950" s="510">
        <f>SUM(AN944:AN949)</f>
        <v>24411.463500000002</v>
      </c>
      <c r="AO950" s="193"/>
      <c r="AP950" s="193"/>
      <c r="AQ950" s="180"/>
      <c r="AR950" s="180"/>
      <c r="AS950" s="180"/>
      <c r="AT950" s="180"/>
      <c r="AU950" s="180"/>
      <c r="AV950" s="180"/>
      <c r="AW950" s="180"/>
    </row>
    <row r="951" spans="1:49" s="4" customFormat="1">
      <c r="A951" s="180"/>
      <c r="B951" s="47" t="s">
        <v>977</v>
      </c>
      <c r="C951" s="1558" t="s">
        <v>1033</v>
      </c>
      <c r="D951" s="1558"/>
      <c r="E951" s="319">
        <v>0</v>
      </c>
      <c r="F951" s="646"/>
      <c r="H951" s="441" t="s">
        <v>125</v>
      </c>
      <c r="I951" s="47" t="s">
        <v>1040</v>
      </c>
      <c r="J951" s="319">
        <v>8</v>
      </c>
      <c r="K951" s="646"/>
      <c r="M951" s="441" t="s">
        <v>125</v>
      </c>
      <c r="N951" s="47" t="s">
        <v>434</v>
      </c>
      <c r="O951" s="319">
        <v>8</v>
      </c>
      <c r="P951" s="646"/>
      <c r="R951" s="47">
        <v>0.33333333333333331</v>
      </c>
      <c r="S951" s="47" t="s">
        <v>434</v>
      </c>
      <c r="T951" s="319">
        <v>8</v>
      </c>
      <c r="U951" s="646">
        <v>1</v>
      </c>
      <c r="W951" s="47">
        <v>0.33333333333333331</v>
      </c>
      <c r="X951" s="47" t="s">
        <v>434</v>
      </c>
      <c r="Y951" s="319">
        <v>8</v>
      </c>
      <c r="Z951" s="646"/>
      <c r="AA951" s="328">
        <f t="shared" si="135"/>
        <v>32</v>
      </c>
      <c r="AB951" s="298">
        <f t="shared" si="136"/>
        <v>1</v>
      </c>
      <c r="AD951" s="47"/>
      <c r="AE951" s="47"/>
      <c r="AF951" s="319"/>
      <c r="AG951" s="328">
        <f t="shared" si="137"/>
        <v>0</v>
      </c>
      <c r="AI951" s="255"/>
      <c r="AJ951" s="180"/>
      <c r="AK951" s="193"/>
      <c r="AL951" s="193"/>
      <c r="AM951" s="193"/>
      <c r="AN951" s="193"/>
      <c r="AO951" s="193"/>
      <c r="AP951" s="193"/>
      <c r="AQ951" s="180"/>
      <c r="AR951" s="180"/>
      <c r="AS951" s="180"/>
      <c r="AT951" s="180"/>
      <c r="AU951" s="180"/>
      <c r="AV951" s="180"/>
      <c r="AW951" s="180"/>
    </row>
    <row r="952" spans="1:49" s="4" customFormat="1">
      <c r="A952" s="180"/>
      <c r="B952" s="47" t="s">
        <v>519</v>
      </c>
      <c r="C952" s="441" t="s">
        <v>125</v>
      </c>
      <c r="D952" s="441" t="s">
        <v>136</v>
      </c>
      <c r="E952" s="319">
        <v>8</v>
      </c>
      <c r="F952" s="646">
        <v>1</v>
      </c>
      <c r="H952" s="441" t="s">
        <v>76</v>
      </c>
      <c r="I952" s="441" t="s">
        <v>434</v>
      </c>
      <c r="J952" s="319">
        <v>7.5</v>
      </c>
      <c r="K952" s="646"/>
      <c r="M952" s="441" t="s">
        <v>344</v>
      </c>
      <c r="N952" s="441" t="s">
        <v>434</v>
      </c>
      <c r="O952" s="319">
        <v>7.75</v>
      </c>
      <c r="P952" s="646"/>
      <c r="R952" s="441" t="s">
        <v>344</v>
      </c>
      <c r="S952" s="441" t="s">
        <v>434</v>
      </c>
      <c r="T952" s="319">
        <v>7.75</v>
      </c>
      <c r="U952" s="646">
        <v>0.75</v>
      </c>
      <c r="W952" s="441" t="s">
        <v>125</v>
      </c>
      <c r="X952" s="441" t="s">
        <v>434</v>
      </c>
      <c r="Y952" s="319">
        <v>8</v>
      </c>
      <c r="Z952" s="646"/>
      <c r="AA952" s="328">
        <f t="shared" si="135"/>
        <v>39</v>
      </c>
      <c r="AB952" s="298">
        <f t="shared" si="136"/>
        <v>1.75</v>
      </c>
      <c r="AD952" s="47"/>
      <c r="AE952" s="47"/>
      <c r="AF952" s="319"/>
      <c r="AG952" s="328">
        <f t="shared" si="137"/>
        <v>0</v>
      </c>
      <c r="AI952" s="255"/>
      <c r="AJ952" s="180"/>
      <c r="AK952" s="193"/>
      <c r="AL952" s="193"/>
      <c r="AM952" s="193"/>
      <c r="AN952" s="193"/>
      <c r="AO952" s="193"/>
      <c r="AP952" s="193"/>
      <c r="AQ952" s="180"/>
      <c r="AR952" s="180"/>
      <c r="AS952" s="180"/>
      <c r="AT952" s="180"/>
      <c r="AU952" s="180"/>
      <c r="AV952" s="180"/>
      <c r="AW952" s="180"/>
    </row>
    <row r="953" spans="1:49" s="4" customFormat="1">
      <c r="A953" s="180"/>
      <c r="B953" s="327" t="s">
        <v>999</v>
      </c>
      <c r="C953" s="4" t="s">
        <v>1041</v>
      </c>
      <c r="D953" s="441" t="s">
        <v>1036</v>
      </c>
      <c r="E953" s="319">
        <v>8</v>
      </c>
      <c r="F953" s="646"/>
      <c r="H953" s="441" t="s">
        <v>75</v>
      </c>
      <c r="I953" s="47" t="s">
        <v>1037</v>
      </c>
      <c r="J953" s="319"/>
      <c r="K953" s="646"/>
      <c r="M953" s="441" t="s">
        <v>75</v>
      </c>
      <c r="N953" s="441" t="s">
        <v>1037</v>
      </c>
      <c r="O953" s="319"/>
      <c r="P953" s="646"/>
      <c r="R953" s="441" t="s">
        <v>75</v>
      </c>
      <c r="S953" s="441" t="s">
        <v>1038</v>
      </c>
      <c r="T953" s="319"/>
      <c r="U953" s="646"/>
      <c r="W953" s="441"/>
      <c r="X953" s="441" t="s">
        <v>1038</v>
      </c>
      <c r="Y953" s="319">
        <v>0</v>
      </c>
      <c r="Z953" s="646"/>
      <c r="AA953" s="328">
        <f t="shared" si="135"/>
        <v>8</v>
      </c>
      <c r="AB953" s="298">
        <f t="shared" si="136"/>
        <v>0</v>
      </c>
      <c r="AD953" s="47"/>
      <c r="AE953" s="47"/>
      <c r="AF953" s="319"/>
      <c r="AG953" s="328">
        <f t="shared" si="137"/>
        <v>0</v>
      </c>
      <c r="AI953" s="255"/>
      <c r="AJ953" s="180"/>
      <c r="AK953" s="193"/>
      <c r="AL953" s="193"/>
      <c r="AM953" s="193"/>
      <c r="AN953" s="193"/>
      <c r="AO953" s="193"/>
      <c r="AP953" s="193"/>
      <c r="AQ953" s="180"/>
      <c r="AR953" s="180"/>
      <c r="AS953" s="180"/>
      <c r="AT953" s="180"/>
      <c r="AU953" s="180"/>
      <c r="AV953" s="180"/>
      <c r="AW953" s="180"/>
    </row>
    <row r="954" spans="1:49" s="4" customFormat="1">
      <c r="A954" s="180"/>
      <c r="B954" s="532" t="s">
        <v>545</v>
      </c>
      <c r="C954" s="441" t="s">
        <v>1042</v>
      </c>
      <c r="D954" s="47"/>
      <c r="E954" s="319">
        <v>2</v>
      </c>
      <c r="F954" s="646"/>
      <c r="H954" s="441"/>
      <c r="I954" s="47"/>
      <c r="J954" s="319">
        <v>0</v>
      </c>
      <c r="K954" s="646"/>
      <c r="M954" s="441"/>
      <c r="N954" s="441"/>
      <c r="O954" s="319">
        <v>0</v>
      </c>
      <c r="P954" s="646"/>
      <c r="R954" s="441"/>
      <c r="S954" s="441" t="s">
        <v>1043</v>
      </c>
      <c r="T954" s="319">
        <v>1</v>
      </c>
      <c r="U954" s="646"/>
      <c r="W954" s="441"/>
      <c r="X954" s="441"/>
      <c r="Y954" s="319">
        <v>0</v>
      </c>
      <c r="Z954" s="646"/>
      <c r="AA954" s="328">
        <f t="shared" si="135"/>
        <v>3</v>
      </c>
      <c r="AB954" s="298">
        <f t="shared" si="136"/>
        <v>0</v>
      </c>
      <c r="AD954" s="47"/>
      <c r="AE954" s="47"/>
      <c r="AF954" s="319"/>
      <c r="AG954" s="328">
        <f t="shared" si="137"/>
        <v>0</v>
      </c>
      <c r="AI954" s="255"/>
      <c r="AJ954" s="180"/>
      <c r="AK954" s="193"/>
      <c r="AL954" s="193"/>
      <c r="AM954" s="193"/>
      <c r="AN954" s="193"/>
      <c r="AO954" s="193"/>
      <c r="AP954" s="193"/>
      <c r="AQ954" s="180"/>
      <c r="AR954" s="180"/>
      <c r="AS954" s="180"/>
      <c r="AT954" s="180"/>
      <c r="AU954" s="180"/>
      <c r="AV954" s="180"/>
      <c r="AW954" s="180"/>
    </row>
    <row r="955" spans="1:49" s="4" customFormat="1">
      <c r="A955" s="180"/>
      <c r="B955" s="532" t="s">
        <v>1031</v>
      </c>
      <c r="C955" s="1558" t="s">
        <v>1033</v>
      </c>
      <c r="D955" s="1558"/>
      <c r="E955" s="319">
        <v>0</v>
      </c>
      <c r="F955" s="646"/>
      <c r="H955" s="441"/>
      <c r="I955" s="47"/>
      <c r="J955" s="319"/>
      <c r="K955" s="646"/>
      <c r="M955" s="441"/>
      <c r="N955" s="441"/>
      <c r="O955" s="319"/>
      <c r="P955" s="646"/>
      <c r="R955" s="441"/>
      <c r="S955" s="441"/>
      <c r="T955" s="319"/>
      <c r="U955" s="646"/>
      <c r="W955" s="441"/>
      <c r="X955" s="441"/>
      <c r="Y955" s="319"/>
      <c r="Z955" s="646"/>
      <c r="AA955" s="328">
        <f t="shared" si="135"/>
        <v>0</v>
      </c>
      <c r="AB955" s="298">
        <f t="shared" si="136"/>
        <v>0</v>
      </c>
      <c r="AD955" s="47"/>
      <c r="AE955" s="47"/>
      <c r="AF955" s="319"/>
      <c r="AG955" s="328">
        <f t="shared" si="137"/>
        <v>0</v>
      </c>
      <c r="AI955" s="255"/>
      <c r="AJ955" s="180"/>
      <c r="AK955" s="193"/>
      <c r="AL955" s="193"/>
      <c r="AM955" s="193"/>
      <c r="AN955" s="193"/>
      <c r="AO955" s="193"/>
      <c r="AP955" s="193"/>
      <c r="AQ955" s="180"/>
      <c r="AR955" s="180"/>
      <c r="AS955" s="180"/>
      <c r="AT955" s="180"/>
      <c r="AU955" s="180"/>
      <c r="AV955" s="180"/>
      <c r="AW955" s="180"/>
    </row>
    <row r="956" spans="1:49" s="4" customFormat="1">
      <c r="A956" s="180"/>
      <c r="B956" s="532" t="s">
        <v>1032</v>
      </c>
      <c r="C956" s="441"/>
      <c r="D956" s="47"/>
      <c r="E956" s="319">
        <v>0</v>
      </c>
      <c r="F956" s="646"/>
      <c r="H956" s="441"/>
      <c r="I956" s="47"/>
      <c r="J956" s="319"/>
      <c r="K956" s="646"/>
      <c r="M956" s="441"/>
      <c r="N956" s="441"/>
      <c r="O956" s="319"/>
      <c r="P956" s="646"/>
      <c r="R956" s="441"/>
      <c r="S956" s="441"/>
      <c r="T956" s="319"/>
      <c r="U956" s="646"/>
      <c r="W956" s="441"/>
      <c r="X956" s="441"/>
      <c r="Y956" s="319"/>
      <c r="Z956" s="646"/>
      <c r="AA956" s="328">
        <f t="shared" si="135"/>
        <v>0</v>
      </c>
      <c r="AB956" s="298">
        <f t="shared" si="136"/>
        <v>0</v>
      </c>
      <c r="AD956" s="47"/>
      <c r="AE956" s="47"/>
      <c r="AF956" s="319"/>
      <c r="AG956" s="328">
        <f t="shared" si="137"/>
        <v>0</v>
      </c>
      <c r="AI956" s="255"/>
      <c r="AJ956" s="180"/>
      <c r="AK956" s="193"/>
      <c r="AL956" s="193"/>
      <c r="AM956" s="193"/>
      <c r="AN956" s="193"/>
      <c r="AO956" s="193"/>
      <c r="AP956" s="193"/>
      <c r="AQ956" s="180"/>
      <c r="AR956" s="180"/>
      <c r="AS956" s="180"/>
      <c r="AT956" s="180"/>
      <c r="AU956" s="180"/>
      <c r="AV956" s="180"/>
      <c r="AW956" s="180"/>
    </row>
    <row r="957" spans="1:49" s="4" customFormat="1">
      <c r="A957" s="180"/>
      <c r="B957" s="711"/>
      <c r="C957" s="441"/>
      <c r="D957" s="47"/>
      <c r="E957" s="319"/>
      <c r="F957" s="646"/>
      <c r="H957" s="441"/>
      <c r="I957" s="47"/>
      <c r="J957" s="319"/>
      <c r="K957" s="646"/>
      <c r="M957" s="47"/>
      <c r="N957" s="47"/>
      <c r="O957" s="319"/>
      <c r="P957" s="646"/>
      <c r="R957" s="47"/>
      <c r="S957" s="47"/>
      <c r="T957" s="319"/>
      <c r="U957" s="646"/>
      <c r="W957" s="47"/>
      <c r="X957" s="47"/>
      <c r="Y957" s="319"/>
      <c r="Z957" s="646"/>
      <c r="AA957" s="328">
        <f t="shared" si="135"/>
        <v>0</v>
      </c>
      <c r="AB957" s="298">
        <f t="shared" si="136"/>
        <v>0</v>
      </c>
      <c r="AD957" s="47"/>
      <c r="AE957" s="47"/>
      <c r="AF957" s="319"/>
      <c r="AG957" s="328">
        <f t="shared" si="137"/>
        <v>0</v>
      </c>
      <c r="AI957" s="255"/>
      <c r="AJ957" s="180"/>
      <c r="AK957" s="193"/>
      <c r="AL957" s="193"/>
      <c r="AM957" s="193"/>
      <c r="AN957" s="193"/>
      <c r="AO957" s="193"/>
      <c r="AP957" s="193"/>
      <c r="AQ957" s="180"/>
      <c r="AR957" s="180"/>
      <c r="AS957" s="180"/>
      <c r="AT957" s="180"/>
      <c r="AU957" s="180"/>
      <c r="AV957" s="180"/>
      <c r="AW957" s="180"/>
    </row>
    <row r="958" spans="1:49" s="4" customFormat="1">
      <c r="A958" s="180"/>
      <c r="B958" s="502" t="s">
        <v>483</v>
      </c>
      <c r="C958" s="5"/>
      <c r="D958" s="5"/>
      <c r="E958" s="319"/>
      <c r="F958" s="646"/>
      <c r="H958" s="5"/>
      <c r="I958" s="5"/>
      <c r="J958" s="319"/>
      <c r="K958" s="646"/>
      <c r="M958" s="5"/>
      <c r="N958" s="5"/>
      <c r="O958" s="319"/>
      <c r="P958" s="646"/>
      <c r="R958" s="5"/>
      <c r="S958" s="5"/>
      <c r="T958" s="319"/>
      <c r="U958" s="646"/>
      <c r="W958" s="5"/>
      <c r="X958" s="5"/>
      <c r="Y958" s="319"/>
      <c r="Z958" s="646"/>
      <c r="AA958" s="328">
        <f t="shared" si="135"/>
        <v>0</v>
      </c>
      <c r="AB958" s="298">
        <f t="shared" si="136"/>
        <v>0</v>
      </c>
      <c r="AD958" s="47"/>
      <c r="AE958" s="47"/>
      <c r="AF958" s="319"/>
      <c r="AG958" s="328">
        <f t="shared" si="137"/>
        <v>0</v>
      </c>
      <c r="AI958" s="255"/>
      <c r="AJ958" s="180"/>
      <c r="AK958" s="193"/>
      <c r="AL958" s="193"/>
      <c r="AM958" s="193"/>
      <c r="AN958" s="193"/>
      <c r="AO958" s="193"/>
      <c r="AP958" s="193"/>
      <c r="AQ958" s="180"/>
      <c r="AR958" s="180"/>
      <c r="AS958" s="180"/>
      <c r="AT958" s="180"/>
      <c r="AU958" s="180"/>
      <c r="AV958" s="180"/>
      <c r="AW958" s="180"/>
    </row>
    <row r="959" spans="1:49" s="4" customFormat="1">
      <c r="A959" s="180"/>
      <c r="B959" s="502" t="s">
        <v>483</v>
      </c>
      <c r="C959" s="47"/>
      <c r="D959" s="47"/>
      <c r="E959" s="319">
        <v>8</v>
      </c>
      <c r="F959" s="646">
        <v>1.25</v>
      </c>
      <c r="H959" s="47"/>
      <c r="I959" s="47"/>
      <c r="J959" s="319">
        <v>8</v>
      </c>
      <c r="K959" s="646">
        <v>2.25</v>
      </c>
      <c r="M959" s="47"/>
      <c r="N959" s="47"/>
      <c r="O959" s="319">
        <v>7.8</v>
      </c>
      <c r="P959" s="646"/>
      <c r="R959" s="47"/>
      <c r="S959" s="47"/>
      <c r="T959" s="319">
        <v>8</v>
      </c>
      <c r="U959" s="646">
        <v>1</v>
      </c>
      <c r="W959" s="47"/>
      <c r="X959" s="47"/>
      <c r="Y959" s="319">
        <v>8</v>
      </c>
      <c r="Z959" s="646">
        <v>1.25</v>
      </c>
      <c r="AA959" s="328">
        <f t="shared" si="135"/>
        <v>39.799999999999997</v>
      </c>
      <c r="AB959" s="298">
        <f t="shared" si="136"/>
        <v>5.75</v>
      </c>
      <c r="AD959" s="47"/>
      <c r="AE959" s="47"/>
      <c r="AF959" s="319"/>
      <c r="AG959" s="328">
        <f t="shared" si="137"/>
        <v>0</v>
      </c>
      <c r="AI959" s="255"/>
      <c r="AJ959" s="180"/>
      <c r="AK959" s="193"/>
      <c r="AL959" s="193"/>
      <c r="AM959" s="193"/>
      <c r="AN959" s="193"/>
      <c r="AO959" s="193"/>
      <c r="AP959" s="193"/>
      <c r="AQ959" s="180"/>
      <c r="AR959" s="180"/>
      <c r="AS959" s="180"/>
      <c r="AT959" s="180"/>
      <c r="AU959" s="180"/>
      <c r="AV959" s="180"/>
      <c r="AW959" s="180"/>
    </row>
    <row r="960" spans="1:49" s="4" customFormat="1">
      <c r="A960" s="180"/>
      <c r="B960" s="502" t="s">
        <v>484</v>
      </c>
      <c r="C960" s="47"/>
      <c r="D960" s="47"/>
      <c r="E960" s="319">
        <v>8</v>
      </c>
      <c r="F960" s="646">
        <v>1.25</v>
      </c>
      <c r="H960" s="47"/>
      <c r="I960" s="47"/>
      <c r="J960" s="319">
        <v>8</v>
      </c>
      <c r="K960" s="646">
        <v>2.25</v>
      </c>
      <c r="M960" s="47"/>
      <c r="N960" s="47"/>
      <c r="O960" s="319">
        <v>8</v>
      </c>
      <c r="P960" s="646">
        <v>0.75</v>
      </c>
      <c r="R960" s="47"/>
      <c r="S960" s="47"/>
      <c r="T960" s="319">
        <v>8</v>
      </c>
      <c r="U960" s="646">
        <v>1</v>
      </c>
      <c r="W960" s="47"/>
      <c r="X960" s="47"/>
      <c r="Y960" s="319">
        <v>8</v>
      </c>
      <c r="Z960" s="646">
        <v>1.25</v>
      </c>
      <c r="AA960" s="328">
        <f t="shared" si="135"/>
        <v>40</v>
      </c>
      <c r="AB960" s="298">
        <f t="shared" si="136"/>
        <v>6.5</v>
      </c>
      <c r="AD960" s="47"/>
      <c r="AE960" s="47"/>
      <c r="AF960" s="319"/>
      <c r="AG960" s="328">
        <f t="shared" si="137"/>
        <v>0</v>
      </c>
      <c r="AI960" s="255"/>
      <c r="AJ960" s="180"/>
      <c r="AK960" s="193"/>
      <c r="AL960" s="193"/>
      <c r="AM960" s="193"/>
      <c r="AN960" s="193"/>
      <c r="AO960" s="193"/>
      <c r="AP960" s="193"/>
      <c r="AQ960" s="180"/>
      <c r="AR960" s="180"/>
      <c r="AS960" s="180"/>
      <c r="AT960" s="180"/>
      <c r="AU960" s="180"/>
      <c r="AV960" s="180"/>
      <c r="AW960" s="180"/>
    </row>
    <row r="961" spans="1:49" s="4" customFormat="1">
      <c r="A961" s="180"/>
      <c r="B961" s="502" t="s">
        <v>485</v>
      </c>
      <c r="C961" s="47"/>
      <c r="D961" s="47"/>
      <c r="E961" s="319">
        <v>8</v>
      </c>
      <c r="F961" s="646">
        <v>1.25</v>
      </c>
      <c r="H961" s="47"/>
      <c r="I961" s="47"/>
      <c r="J961" s="319">
        <v>8</v>
      </c>
      <c r="K961" s="646">
        <v>2.25</v>
      </c>
      <c r="M961" s="47"/>
      <c r="N961" s="47"/>
      <c r="O961" s="319">
        <v>8</v>
      </c>
      <c r="P961" s="646">
        <v>0.75</v>
      </c>
      <c r="R961" s="47"/>
      <c r="S961" s="47"/>
      <c r="T961" s="319">
        <v>8</v>
      </c>
      <c r="U961" s="646">
        <v>1</v>
      </c>
      <c r="W961" s="47"/>
      <c r="X961" s="47"/>
      <c r="Y961" s="319">
        <v>8</v>
      </c>
      <c r="Z961" s="646">
        <v>1.25</v>
      </c>
      <c r="AA961" s="328">
        <f t="shared" si="135"/>
        <v>40</v>
      </c>
      <c r="AB961" s="298">
        <f t="shared" si="136"/>
        <v>6.5</v>
      </c>
      <c r="AD961" s="47"/>
      <c r="AE961" s="47"/>
      <c r="AF961" s="319"/>
      <c r="AG961" s="328">
        <f t="shared" si="137"/>
        <v>0</v>
      </c>
      <c r="AI961" s="255"/>
      <c r="AJ961" s="180"/>
      <c r="AK961" s="193"/>
      <c r="AL961" s="193"/>
      <c r="AM961" s="193"/>
      <c r="AN961" s="193"/>
      <c r="AO961" s="193"/>
      <c r="AP961" s="193"/>
      <c r="AQ961" s="180"/>
      <c r="AR961" s="180"/>
      <c r="AS961" s="180"/>
      <c r="AT961" s="180"/>
      <c r="AU961" s="180"/>
      <c r="AV961" s="180"/>
      <c r="AW961" s="180"/>
    </row>
    <row r="962" spans="1:49" s="4" customFormat="1">
      <c r="A962" s="180"/>
      <c r="B962" s="502" t="s">
        <v>486</v>
      </c>
      <c r="C962" s="5"/>
      <c r="D962" s="5"/>
      <c r="E962" s="319"/>
      <c r="F962" s="646"/>
      <c r="H962" s="5"/>
      <c r="I962" s="5"/>
      <c r="J962" s="319"/>
      <c r="K962" s="646"/>
      <c r="M962" s="5"/>
      <c r="N962" s="5"/>
      <c r="O962" s="319"/>
      <c r="P962" s="646"/>
      <c r="R962" s="5"/>
      <c r="S962" s="5"/>
      <c r="T962" s="319"/>
      <c r="U962" s="646"/>
      <c r="W962" s="5"/>
      <c r="X962" s="5"/>
      <c r="Y962" s="319"/>
      <c r="Z962" s="646"/>
      <c r="AA962" s="328">
        <f t="shared" si="135"/>
        <v>0</v>
      </c>
      <c r="AB962" s="298">
        <f t="shared" si="136"/>
        <v>0</v>
      </c>
      <c r="AD962" s="47"/>
      <c r="AE962" s="47"/>
      <c r="AF962" s="319"/>
      <c r="AG962" s="328">
        <f t="shared" si="137"/>
        <v>0</v>
      </c>
      <c r="AI962" s="255"/>
      <c r="AJ962" s="180"/>
      <c r="AK962" s="193"/>
      <c r="AL962" s="193"/>
      <c r="AM962" s="193"/>
      <c r="AN962" s="193"/>
      <c r="AO962" s="193"/>
      <c r="AP962" s="193"/>
      <c r="AQ962" s="180"/>
      <c r="AR962" s="180"/>
      <c r="AS962" s="180"/>
      <c r="AT962" s="180"/>
      <c r="AU962" s="180"/>
      <c r="AV962" s="180"/>
      <c r="AW962" s="180"/>
    </row>
    <row r="963" spans="1:49" s="4" customFormat="1">
      <c r="A963" s="180"/>
      <c r="B963" s="63" t="s">
        <v>63</v>
      </c>
      <c r="C963" s="663"/>
      <c r="D963" s="663"/>
      <c r="E963" s="319">
        <v>8</v>
      </c>
      <c r="F963" s="646"/>
      <c r="H963" s="663"/>
      <c r="I963" s="663"/>
      <c r="J963" s="319">
        <v>8</v>
      </c>
      <c r="K963" s="646">
        <v>1.75</v>
      </c>
      <c r="M963" s="47"/>
      <c r="N963" s="47"/>
      <c r="O963" s="319">
        <v>8</v>
      </c>
      <c r="P963" s="646">
        <v>0.25</v>
      </c>
      <c r="R963" s="663"/>
      <c r="S963" s="663"/>
      <c r="T963" s="319">
        <v>8</v>
      </c>
      <c r="U963" s="646">
        <v>1.75</v>
      </c>
      <c r="W963" s="663"/>
      <c r="X963" s="663"/>
      <c r="Y963" s="319">
        <v>8</v>
      </c>
      <c r="Z963" s="646">
        <v>0.5</v>
      </c>
      <c r="AA963" s="328">
        <f t="shared" si="135"/>
        <v>40</v>
      </c>
      <c r="AB963" s="298">
        <f t="shared" si="136"/>
        <v>4.25</v>
      </c>
      <c r="AD963" s="47"/>
      <c r="AE963" s="47"/>
      <c r="AF963" s="319"/>
      <c r="AG963" s="328">
        <f t="shared" si="137"/>
        <v>0</v>
      </c>
      <c r="AI963" s="255"/>
      <c r="AJ963" s="180"/>
      <c r="AK963" s="193"/>
      <c r="AL963" s="193"/>
      <c r="AM963" s="193"/>
      <c r="AN963" s="193"/>
      <c r="AO963" s="193"/>
      <c r="AP963" s="193"/>
      <c r="AQ963" s="180"/>
      <c r="AR963" s="180"/>
      <c r="AS963" s="180"/>
      <c r="AT963" s="180"/>
      <c r="AU963" s="180"/>
      <c r="AV963" s="180"/>
      <c r="AW963" s="180"/>
    </row>
    <row r="964" spans="1:49" s="4" customFormat="1">
      <c r="A964" s="180"/>
      <c r="B964" s="267" t="s">
        <v>358</v>
      </c>
      <c r="C964" s="663"/>
      <c r="D964" s="663"/>
      <c r="E964" s="319">
        <v>6</v>
      </c>
      <c r="F964" s="646"/>
      <c r="G964" s="438"/>
      <c r="H964" s="663"/>
      <c r="I964" s="663"/>
      <c r="J964" s="319">
        <v>6</v>
      </c>
      <c r="K964" s="646"/>
      <c r="L964" s="438"/>
      <c r="M964" s="663"/>
      <c r="N964" s="663"/>
      <c r="O964" s="319">
        <v>6</v>
      </c>
      <c r="P964" s="646"/>
      <c r="Q964" s="438"/>
      <c r="R964" s="663"/>
      <c r="S964" s="663"/>
      <c r="T964" s="319">
        <v>6</v>
      </c>
      <c r="U964" s="646"/>
      <c r="V964" s="438"/>
      <c r="W964" s="663"/>
      <c r="X964" s="663"/>
      <c r="Y964" s="319">
        <v>6</v>
      </c>
      <c r="Z964" s="646"/>
      <c r="AA964" s="328">
        <f t="shared" si="135"/>
        <v>30</v>
      </c>
      <c r="AB964" s="298">
        <f t="shared" si="136"/>
        <v>0</v>
      </c>
      <c r="AD964" s="47"/>
      <c r="AE964" s="47"/>
      <c r="AF964" s="319"/>
      <c r="AG964" s="328">
        <f t="shared" si="137"/>
        <v>0</v>
      </c>
      <c r="AI964" s="255"/>
      <c r="AJ964" s="180"/>
      <c r="AK964" s="193"/>
      <c r="AL964" s="193"/>
      <c r="AM964" s="193"/>
      <c r="AN964" s="193"/>
      <c r="AO964" s="193"/>
      <c r="AP964" s="193"/>
      <c r="AQ964" s="180"/>
      <c r="AR964" s="180"/>
      <c r="AS964" s="180"/>
      <c r="AT964" s="180"/>
      <c r="AU964" s="180"/>
      <c r="AV964" s="180"/>
      <c r="AW964" s="180"/>
    </row>
    <row r="965" spans="1:49" s="193" customFormat="1">
      <c r="A965" s="180"/>
      <c r="B965" s="267" t="s">
        <v>991</v>
      </c>
      <c r="C965" s="5"/>
      <c r="D965" s="5"/>
      <c r="E965" s="319"/>
      <c r="F965" s="646"/>
      <c r="G965" s="438"/>
      <c r="H965" s="5"/>
      <c r="I965" s="5"/>
      <c r="J965" s="319"/>
      <c r="K965" s="646"/>
      <c r="L965" s="438"/>
      <c r="M965" s="5"/>
      <c r="N965" s="5"/>
      <c r="O965" s="319"/>
      <c r="P965" s="646"/>
      <c r="Q965" s="438"/>
      <c r="R965" s="5"/>
      <c r="S965" s="5"/>
      <c r="T965" s="319"/>
      <c r="U965" s="646"/>
      <c r="V965" s="438"/>
      <c r="W965" s="5"/>
      <c r="X965" s="5"/>
      <c r="Y965" s="319"/>
      <c r="Z965" s="646"/>
      <c r="AA965" s="328">
        <f t="shared" si="135"/>
        <v>0</v>
      </c>
      <c r="AB965" s="298">
        <f t="shared" si="136"/>
        <v>0</v>
      </c>
      <c r="AC965" s="4"/>
      <c r="AD965" s="47"/>
      <c r="AE965" s="47"/>
      <c r="AF965" s="319"/>
      <c r="AG965" s="328">
        <f t="shared" si="137"/>
        <v>0</v>
      </c>
      <c r="AH965" s="4"/>
      <c r="AI965" s="255"/>
      <c r="AJ965" s="180"/>
      <c r="AQ965" s="180"/>
      <c r="AR965" s="180"/>
      <c r="AS965" s="180"/>
      <c r="AT965" s="180"/>
      <c r="AU965" s="180"/>
      <c r="AV965" s="180"/>
      <c r="AW965" s="180"/>
    </row>
    <row r="966" spans="1:49" s="193" customFormat="1">
      <c r="A966" s="180"/>
      <c r="B966" s="267" t="s">
        <v>411</v>
      </c>
      <c r="C966" s="5"/>
      <c r="D966" s="5"/>
      <c r="E966" s="319"/>
      <c r="F966" s="646"/>
      <c r="G966" s="438"/>
      <c r="H966" s="5"/>
      <c r="I966" s="5"/>
      <c r="J966" s="319"/>
      <c r="K966" s="646"/>
      <c r="L966" s="438"/>
      <c r="M966" s="5"/>
      <c r="N966" s="5"/>
      <c r="O966" s="319"/>
      <c r="P966" s="646"/>
      <c r="Q966" s="438"/>
      <c r="R966" s="5"/>
      <c r="S966" s="5"/>
      <c r="T966" s="319"/>
      <c r="U966" s="646"/>
      <c r="V966" s="438"/>
      <c r="W966" s="5"/>
      <c r="X966" s="5"/>
      <c r="Y966" s="319"/>
      <c r="Z966" s="646"/>
      <c r="AA966" s="328">
        <f t="shared" si="135"/>
        <v>0</v>
      </c>
      <c r="AB966" s="298">
        <f t="shared" si="136"/>
        <v>0</v>
      </c>
      <c r="AC966" s="4"/>
      <c r="AD966" s="47"/>
      <c r="AE966" s="47"/>
      <c r="AF966" s="319"/>
      <c r="AG966" s="328">
        <f t="shared" si="137"/>
        <v>0</v>
      </c>
      <c r="AH966" s="4"/>
      <c r="AI966" s="255"/>
      <c r="AJ966" s="180"/>
      <c r="AQ966" s="180"/>
      <c r="AR966" s="180"/>
      <c r="AS966" s="180"/>
      <c r="AT966" s="180"/>
      <c r="AU966" s="180"/>
      <c r="AV966" s="180"/>
      <c r="AW966" s="180"/>
    </row>
    <row r="967" spans="1:49" s="193" customFormat="1">
      <c r="A967" s="180"/>
      <c r="B967" s="267" t="s">
        <v>361</v>
      </c>
      <c r="C967" s="5"/>
      <c r="D967" s="5"/>
      <c r="E967" s="319"/>
      <c r="F967" s="646"/>
      <c r="G967" s="438"/>
      <c r="H967" s="5"/>
      <c r="I967" s="5"/>
      <c r="J967" s="319"/>
      <c r="K967" s="646"/>
      <c r="L967" s="438"/>
      <c r="M967" s="5"/>
      <c r="N967" s="5"/>
      <c r="O967" s="319"/>
      <c r="P967" s="646"/>
      <c r="Q967" s="438"/>
      <c r="R967" s="5"/>
      <c r="S967" s="5"/>
      <c r="T967" s="319"/>
      <c r="U967" s="646"/>
      <c r="V967" s="438"/>
      <c r="W967" s="5"/>
      <c r="X967" s="5"/>
      <c r="Y967" s="319"/>
      <c r="Z967" s="646"/>
      <c r="AA967" s="328">
        <f t="shared" si="135"/>
        <v>0</v>
      </c>
      <c r="AB967" s="298">
        <f t="shared" si="136"/>
        <v>0</v>
      </c>
      <c r="AC967" s="4"/>
      <c r="AD967" s="47"/>
      <c r="AE967" s="47"/>
      <c r="AF967" s="319"/>
      <c r="AG967" s="328">
        <f t="shared" si="137"/>
        <v>0</v>
      </c>
      <c r="AH967" s="4"/>
      <c r="AI967" s="255"/>
      <c r="AJ967" s="180"/>
      <c r="AQ967" s="180"/>
      <c r="AR967" s="180"/>
      <c r="AS967" s="180"/>
      <c r="AT967" s="180"/>
      <c r="AU967" s="180"/>
      <c r="AV967" s="180"/>
      <c r="AW967" s="180"/>
    </row>
    <row r="968" spans="1:49" s="193" customFormat="1">
      <c r="A968" s="180"/>
      <c r="B968" s="267" t="s">
        <v>362</v>
      </c>
      <c r="C968" s="47"/>
      <c r="D968" s="47"/>
      <c r="E968" s="319">
        <v>1</v>
      </c>
      <c r="F968" s="646"/>
      <c r="G968" s="438"/>
      <c r="H968" s="47"/>
      <c r="I968" s="47"/>
      <c r="J968" s="319">
        <v>1</v>
      </c>
      <c r="K968" s="646"/>
      <c r="L968" s="438"/>
      <c r="M968" s="47"/>
      <c r="N968" s="47"/>
      <c r="O968" s="319">
        <v>1</v>
      </c>
      <c r="P968" s="646"/>
      <c r="Q968" s="438"/>
      <c r="R968" s="47"/>
      <c r="S968" s="47"/>
      <c r="T968" s="319">
        <v>1</v>
      </c>
      <c r="U968" s="646"/>
      <c r="V968" s="438"/>
      <c r="W968" s="5"/>
      <c r="X968" s="5"/>
      <c r="Y968" s="319">
        <v>1</v>
      </c>
      <c r="Z968" s="646"/>
      <c r="AA968" s="328">
        <f t="shared" si="135"/>
        <v>5</v>
      </c>
      <c r="AB968" s="298">
        <f t="shared" si="136"/>
        <v>0</v>
      </c>
      <c r="AC968" s="4"/>
      <c r="AD968" s="47"/>
      <c r="AE968" s="47"/>
      <c r="AF968" s="319"/>
      <c r="AG968" s="328">
        <f t="shared" si="137"/>
        <v>0</v>
      </c>
      <c r="AH968" s="4"/>
      <c r="AI968" s="255"/>
      <c r="AJ968" s="180"/>
      <c r="AQ968" s="180"/>
      <c r="AR968" s="180"/>
      <c r="AS968" s="180"/>
      <c r="AT968" s="180"/>
      <c r="AU968" s="180"/>
      <c r="AV968" s="180"/>
      <c r="AW968" s="180"/>
    </row>
    <row r="969" spans="1:49" s="193" customFormat="1">
      <c r="A969" s="180"/>
      <c r="B969" s="437" t="s">
        <v>355</v>
      </c>
      <c r="C969" s="5"/>
      <c r="D969" s="5"/>
      <c r="E969" s="319">
        <v>7.7</v>
      </c>
      <c r="F969" s="646"/>
      <c r="G969" s="438"/>
      <c r="H969" s="5"/>
      <c r="I969" s="5"/>
      <c r="J969" s="319">
        <v>7.7</v>
      </c>
      <c r="K969" s="646"/>
      <c r="L969" s="438"/>
      <c r="M969" s="5"/>
      <c r="N969" s="5"/>
      <c r="O969" s="319">
        <v>7.7</v>
      </c>
      <c r="P969" s="646"/>
      <c r="Q969" s="438"/>
      <c r="R969" s="5"/>
      <c r="S969" s="5"/>
      <c r="T969" s="319">
        <v>7.7</v>
      </c>
      <c r="U969" s="646"/>
      <c r="V969" s="438"/>
      <c r="W969" s="5"/>
      <c r="X969" s="5"/>
      <c r="Y969" s="319">
        <v>7.7</v>
      </c>
      <c r="Z969" s="646"/>
      <c r="AA969" s="328">
        <f t="shared" si="135"/>
        <v>38.5</v>
      </c>
      <c r="AB969" s="298">
        <f t="shared" si="136"/>
        <v>0</v>
      </c>
      <c r="AC969" s="4"/>
      <c r="AD969" s="47"/>
      <c r="AE969" s="47"/>
      <c r="AF969" s="319"/>
      <c r="AG969" s="328">
        <f t="shared" si="137"/>
        <v>0</v>
      </c>
      <c r="AH969" s="4"/>
      <c r="AI969" s="255"/>
      <c r="AJ969" s="180"/>
      <c r="AQ969" s="180"/>
      <c r="AR969" s="180"/>
      <c r="AS969" s="180"/>
      <c r="AT969" s="180"/>
      <c r="AU969" s="180"/>
      <c r="AV969" s="180"/>
      <c r="AW969" s="180"/>
    </row>
    <row r="970" spans="1:49" s="193" customFormat="1">
      <c r="A970" s="180"/>
      <c r="B970" s="437" t="s">
        <v>356</v>
      </c>
      <c r="C970" s="5"/>
      <c r="D970" s="5"/>
      <c r="E970" s="319"/>
      <c r="F970" s="646"/>
      <c r="G970" s="438"/>
      <c r="H970" s="5"/>
      <c r="I970" s="5"/>
      <c r="J970" s="319"/>
      <c r="K970" s="646"/>
      <c r="L970" s="438"/>
      <c r="M970" s="5"/>
      <c r="N970" s="5"/>
      <c r="O970" s="319">
        <v>41.6</v>
      </c>
      <c r="P970" s="646"/>
      <c r="Q970" s="438"/>
      <c r="R970" s="5"/>
      <c r="S970" s="5"/>
      <c r="T970" s="319"/>
      <c r="U970" s="646"/>
      <c r="V970" s="438"/>
      <c r="W970" s="5"/>
      <c r="X970" s="5"/>
      <c r="Y970" s="319"/>
      <c r="Z970" s="646"/>
      <c r="AA970" s="328">
        <f t="shared" si="135"/>
        <v>41.6</v>
      </c>
      <c r="AB970" s="298">
        <f t="shared" si="136"/>
        <v>0</v>
      </c>
      <c r="AC970" s="4"/>
      <c r="AD970" s="47"/>
      <c r="AE970" s="47"/>
      <c r="AF970" s="319"/>
      <c r="AG970" s="328">
        <f t="shared" si="137"/>
        <v>0</v>
      </c>
      <c r="AH970" s="4"/>
      <c r="AI970" s="255"/>
      <c r="AJ970" s="180"/>
      <c r="AQ970" s="180"/>
      <c r="AR970" s="180"/>
      <c r="AS970" s="180"/>
      <c r="AT970" s="180"/>
      <c r="AU970" s="180"/>
      <c r="AV970" s="180"/>
      <c r="AW970" s="180"/>
    </row>
    <row r="971" spans="1:49" s="193" customFormat="1">
      <c r="A971" s="180"/>
      <c r="B971" s="64" t="s">
        <v>61</v>
      </c>
      <c r="C971" s="31"/>
      <c r="D971" s="31"/>
      <c r="E971" s="439"/>
      <c r="F971" s="646"/>
      <c r="G971" s="31"/>
      <c r="H971" s="31"/>
      <c r="I971" s="31"/>
      <c r="J971" s="439"/>
      <c r="K971" s="646"/>
      <c r="L971" s="31"/>
      <c r="M971" s="31"/>
      <c r="N971" s="31"/>
      <c r="O971" s="439"/>
      <c r="P971" s="646"/>
      <c r="Q971" s="31"/>
      <c r="R971" s="31"/>
      <c r="S971" s="31"/>
      <c r="T971" s="439"/>
      <c r="U971" s="646"/>
      <c r="V971" s="31"/>
      <c r="W971" s="31"/>
      <c r="X971" s="31"/>
      <c r="Y971" s="439"/>
      <c r="Z971" s="646"/>
      <c r="AA971" s="370">
        <f>SUM(AA945:AA970)</f>
        <v>508.90000000000003</v>
      </c>
      <c r="AB971" s="370">
        <f>SUM(AB945:AB970)</f>
        <v>26.75</v>
      </c>
      <c r="AC971" s="4"/>
      <c r="AD971" s="64"/>
      <c r="AE971" s="64"/>
      <c r="AF971" s="370">
        <f>SUM(AF945:AF970)</f>
        <v>0</v>
      </c>
      <c r="AG971" s="370">
        <f>SUM(AG945:AG970)</f>
        <v>0</v>
      </c>
      <c r="AH971" s="4"/>
      <c r="AI971" s="255"/>
      <c r="AJ971" s="180"/>
      <c r="AK971" s="407"/>
      <c r="AQ971" s="180"/>
      <c r="AR971" s="180"/>
      <c r="AS971" s="180"/>
      <c r="AT971" s="180"/>
      <c r="AU971" s="180"/>
      <c r="AV971" s="180"/>
      <c r="AW971" s="180"/>
    </row>
    <row r="972" spans="1:49" s="193" customFormat="1">
      <c r="A972" s="180"/>
      <c r="B972" s="63" t="s">
        <v>64</v>
      </c>
      <c r="C972" s="47"/>
      <c r="D972" s="47"/>
      <c r="E972" s="319">
        <v>8</v>
      </c>
      <c r="F972" s="346">
        <f>1+1.5</f>
        <v>2.5</v>
      </c>
      <c r="G972" s="613"/>
      <c r="H972" s="47"/>
      <c r="I972" s="47"/>
      <c r="J972" s="319">
        <v>8</v>
      </c>
      <c r="K972" s="346">
        <f>2+0.75</f>
        <v>2.75</v>
      </c>
      <c r="L972" s="60"/>
      <c r="M972" s="47"/>
      <c r="N972" s="47"/>
      <c r="O972" s="319">
        <v>8</v>
      </c>
      <c r="P972" s="346">
        <v>0.75</v>
      </c>
      <c r="Q972" s="60"/>
      <c r="R972" s="47"/>
      <c r="S972" s="47"/>
      <c r="T972" s="319">
        <v>8</v>
      </c>
      <c r="U972" s="346">
        <f>0.5+2</f>
        <v>2.5</v>
      </c>
      <c r="V972" s="60"/>
      <c r="W972" s="47"/>
      <c r="X972" s="47"/>
      <c r="Y972" s="319">
        <v>7.5</v>
      </c>
      <c r="Z972" s="346">
        <v>3</v>
      </c>
      <c r="AA972" s="28">
        <f>SUM(E972+J972+O972+T972+Y972)</f>
        <v>39.5</v>
      </c>
      <c r="AB972" s="296">
        <f>Z972+U972+P972+K972+F972</f>
        <v>11.5</v>
      </c>
      <c r="AC972" s="4"/>
      <c r="AD972" s="47" t="s">
        <v>29</v>
      </c>
      <c r="AE972" s="47" t="s">
        <v>29</v>
      </c>
      <c r="AF972" s="319"/>
      <c r="AG972" s="29">
        <f>AF972</f>
        <v>0</v>
      </c>
      <c r="AH972" s="4"/>
      <c r="AI972" s="255"/>
      <c r="AJ972" s="180"/>
      <c r="AK972" s="407"/>
      <c r="AQ972" s="180"/>
      <c r="AR972" s="180"/>
      <c r="AS972" s="180"/>
      <c r="AT972" s="180"/>
      <c r="AU972" s="180"/>
      <c r="AV972" s="180"/>
      <c r="AW972" s="180"/>
    </row>
    <row r="973" spans="1:49" s="193" customFormat="1">
      <c r="A973" s="180"/>
      <c r="B973" s="71" t="s">
        <v>66</v>
      </c>
      <c r="C973" s="371"/>
      <c r="D973" s="371"/>
      <c r="E973" s="71"/>
      <c r="F973" s="613"/>
      <c r="G973" s="71"/>
      <c r="H973" s="71"/>
      <c r="I973" s="71"/>
      <c r="J973" s="71"/>
      <c r="K973" s="613"/>
      <c r="L973" s="71"/>
      <c r="M973" s="71"/>
      <c r="N973" s="71"/>
      <c r="O973" s="71"/>
      <c r="P973" s="613"/>
      <c r="Q973" s="71"/>
      <c r="R973" s="71"/>
      <c r="S973" s="71"/>
      <c r="T973" s="71"/>
      <c r="U973" s="613"/>
      <c r="V973" s="71"/>
      <c r="W973" s="71"/>
      <c r="X973" s="71"/>
      <c r="Y973" s="71"/>
      <c r="Z973" s="613"/>
      <c r="AA973" s="370">
        <f>SUM(AA972:AA972)</f>
        <v>39.5</v>
      </c>
      <c r="AB973" s="370">
        <f>SUM(AB972:AB972)</f>
        <v>11.5</v>
      </c>
      <c r="AC973" s="4"/>
      <c r="AD973" s="180"/>
      <c r="AE973" s="180"/>
      <c r="AF973" s="180"/>
      <c r="AG973" s="370">
        <f>SUM(AG972:AG972)</f>
        <v>0</v>
      </c>
      <c r="AH973" s="4"/>
      <c r="AI973" s="255"/>
      <c r="AJ973" s="180"/>
      <c r="AK973" s="407"/>
      <c r="AQ973" s="180"/>
      <c r="AR973" s="180"/>
      <c r="AS973" s="180"/>
      <c r="AT973" s="180"/>
      <c r="AU973" s="180"/>
      <c r="AV973" s="180"/>
      <c r="AW973" s="180"/>
    </row>
    <row r="974" spans="1:49" s="193" customFormat="1">
      <c r="A974" s="180"/>
      <c r="B974" s="217" t="s">
        <v>67</v>
      </c>
      <c r="C974" s="207">
        <f>C975+C976</f>
        <v>36</v>
      </c>
      <c r="D974" s="207"/>
      <c r="E974" s="209"/>
      <c r="F974" s="209"/>
      <c r="G974" s="207"/>
      <c r="H974" s="209"/>
      <c r="I974" s="209"/>
      <c r="J974" s="209"/>
      <c r="K974" s="209"/>
      <c r="L974" s="207"/>
      <c r="M974" s="207"/>
      <c r="N974" s="207"/>
      <c r="O974" s="207"/>
      <c r="P974" s="209"/>
      <c r="Q974" s="207"/>
      <c r="R974" s="207"/>
      <c r="S974" s="207"/>
      <c r="T974" s="207"/>
      <c r="U974" s="209"/>
      <c r="V974" s="207"/>
      <c r="W974" s="207"/>
      <c r="X974" s="207"/>
      <c r="Y974" s="210"/>
      <c r="Z974" s="209"/>
      <c r="AA974" s="211"/>
      <c r="AB974" s="209"/>
      <c r="AC974" s="211"/>
      <c r="AD974" s="211"/>
      <c r="AE974" s="211"/>
      <c r="AF974" s="211"/>
      <c r="AG974" s="211"/>
      <c r="AH974" s="4"/>
      <c r="AI974" s="255"/>
      <c r="AJ974" s="180"/>
      <c r="AQ974" s="180"/>
      <c r="AR974" s="180"/>
      <c r="AS974" s="180"/>
      <c r="AT974" s="180"/>
      <c r="AU974" s="180"/>
      <c r="AV974" s="180"/>
      <c r="AW974" s="180"/>
    </row>
    <row r="975" spans="1:49" s="193" customFormat="1">
      <c r="A975" s="180"/>
      <c r="B975" s="238" t="s">
        <v>68</v>
      </c>
      <c r="C975" s="239">
        <f>2+3+3+3+2</f>
        <v>13</v>
      </c>
      <c r="D975" s="207"/>
      <c r="E975" s="209"/>
      <c r="F975" s="209"/>
      <c r="G975" s="207"/>
      <c r="H975" s="209"/>
      <c r="I975" s="209"/>
      <c r="J975" s="209"/>
      <c r="K975" s="209"/>
      <c r="L975" s="207"/>
      <c r="M975" s="207"/>
      <c r="N975" s="207"/>
      <c r="O975" s="207"/>
      <c r="P975" s="209"/>
      <c r="Q975" s="207"/>
      <c r="R975" s="207"/>
      <c r="S975" s="207"/>
      <c r="T975" s="207"/>
      <c r="U975" s="209"/>
      <c r="V975" s="207"/>
      <c r="W975" s="207"/>
      <c r="X975" s="207"/>
      <c r="Y975" s="210"/>
      <c r="Z975" s="209"/>
      <c r="AA975" s="211"/>
      <c r="AB975" s="209"/>
      <c r="AC975" s="211"/>
      <c r="AD975" s="211"/>
      <c r="AE975" s="211"/>
      <c r="AF975" s="211"/>
      <c r="AG975" s="211"/>
      <c r="AH975" s="4"/>
      <c r="AI975" s="255"/>
      <c r="AJ975" s="180"/>
      <c r="AQ975" s="180"/>
      <c r="AR975" s="180"/>
      <c r="AS975" s="180"/>
      <c r="AT975" s="180"/>
      <c r="AU975" s="180"/>
      <c r="AV975" s="180"/>
      <c r="AW975" s="180"/>
    </row>
    <row r="976" spans="1:49" s="193" customFormat="1">
      <c r="A976" s="180"/>
      <c r="B976" s="238" t="s">
        <v>69</v>
      </c>
      <c r="C976" s="239">
        <f>3+6+6+4+4</f>
        <v>23</v>
      </c>
      <c r="D976" s="207"/>
      <c r="E976" s="209"/>
      <c r="F976" s="209"/>
      <c r="G976" s="207"/>
      <c r="H976" s="209"/>
      <c r="I976" s="209"/>
      <c r="J976" s="209"/>
      <c r="K976" s="209"/>
      <c r="L976" s="207"/>
      <c r="M976" s="207"/>
      <c r="N976" s="207"/>
      <c r="O976" s="207"/>
      <c r="P976" s="209"/>
      <c r="Q976" s="207"/>
      <c r="R976" s="207"/>
      <c r="S976" s="207"/>
      <c r="T976" s="207"/>
      <c r="U976" s="209"/>
      <c r="V976" s="207"/>
      <c r="W976" s="207"/>
      <c r="X976" s="207"/>
      <c r="Y976" s="210"/>
      <c r="Z976" s="209"/>
      <c r="AA976" s="211"/>
      <c r="AB976" s="209"/>
      <c r="AC976" s="211"/>
      <c r="AD976" s="211"/>
      <c r="AE976" s="211"/>
      <c r="AF976" s="211"/>
      <c r="AG976" s="211"/>
      <c r="AH976" s="4"/>
      <c r="AI976" s="255"/>
      <c r="AJ976" s="180"/>
      <c r="AQ976" s="180"/>
      <c r="AR976" s="180"/>
      <c r="AS976" s="180"/>
      <c r="AT976" s="180"/>
      <c r="AU976" s="180"/>
      <c r="AV976" s="180"/>
      <c r="AW976" s="180"/>
    </row>
    <row r="978" spans="1:49">
      <c r="A978" s="180"/>
      <c r="B978" s="229"/>
      <c r="C978" s="230"/>
      <c r="D978" s="230"/>
      <c r="E978" s="232"/>
      <c r="F978" s="232"/>
      <c r="G978" s="230"/>
      <c r="H978" s="232"/>
      <c r="I978" s="232"/>
      <c r="J978" s="232"/>
      <c r="K978" s="232"/>
      <c r="L978" s="230"/>
      <c r="M978" s="230"/>
      <c r="N978" s="230"/>
      <c r="O978" s="230"/>
      <c r="P978" s="232"/>
      <c r="Q978" s="230"/>
      <c r="R978" s="230"/>
      <c r="S978" s="230"/>
      <c r="T978" s="230"/>
      <c r="U978" s="232"/>
      <c r="V978" s="230"/>
      <c r="W978" s="230"/>
      <c r="X978" s="230"/>
      <c r="Y978" s="233"/>
      <c r="Z978" s="232"/>
      <c r="AA978" s="234"/>
      <c r="AB978" s="232"/>
      <c r="AC978" s="373"/>
      <c r="AD978" s="236"/>
      <c r="AE978" s="255"/>
      <c r="AF978" s="255"/>
      <c r="AG978" s="255"/>
      <c r="AH978" s="255"/>
      <c r="AJ978" s="255"/>
      <c r="AK978" s="255"/>
      <c r="AL978" s="255"/>
      <c r="AM978" s="255"/>
      <c r="AN978" s="255"/>
      <c r="AO978" s="255"/>
      <c r="AP978" s="255"/>
      <c r="AQ978" s="255"/>
      <c r="AR978" s="255"/>
      <c r="AS978" s="255"/>
      <c r="AT978" s="255"/>
      <c r="AU978" s="255"/>
      <c r="AV978" s="255"/>
      <c r="AW978" s="255"/>
    </row>
    <row r="979" spans="1:49">
      <c r="B979" s="180"/>
      <c r="E979" s="4"/>
      <c r="F979" s="644"/>
      <c r="G979" s="4"/>
      <c r="J979" s="4"/>
      <c r="K979" s="644"/>
      <c r="L979" s="4"/>
      <c r="O979" s="4"/>
      <c r="P979" s="644"/>
      <c r="T979" s="4"/>
      <c r="U979" s="644"/>
      <c r="Y979" s="4"/>
      <c r="Z979" s="644"/>
      <c r="AA979" s="4"/>
      <c r="AB979" s="4"/>
      <c r="AC979" s="4"/>
      <c r="AK979" s="180"/>
      <c r="AL979" s="180"/>
      <c r="AM979" s="180"/>
      <c r="AN979" s="180"/>
      <c r="AO979" s="180"/>
      <c r="AP979" s="180"/>
    </row>
    <row r="980" spans="1:49">
      <c r="A980" s="228"/>
      <c r="B980" s="1518" t="s">
        <v>18</v>
      </c>
      <c r="C980" s="1519">
        <v>45705</v>
      </c>
      <c r="D980" s="1519"/>
      <c r="E980" s="1519"/>
      <c r="F980" s="1519"/>
      <c r="G980" s="365"/>
      <c r="H980" s="1519">
        <v>45706</v>
      </c>
      <c r="I980" s="1519"/>
      <c r="J980" s="1519"/>
      <c r="K980" s="1519"/>
      <c r="L980" s="365"/>
      <c r="M980" s="1519">
        <v>45707</v>
      </c>
      <c r="N980" s="1519"/>
      <c r="O980" s="1519"/>
      <c r="P980" s="1519"/>
      <c r="Q980" s="365"/>
      <c r="R980" s="1519">
        <v>45708</v>
      </c>
      <c r="S980" s="1519"/>
      <c r="T980" s="1519"/>
      <c r="U980" s="1519"/>
      <c r="V980" s="365"/>
      <c r="W980" s="1519">
        <v>45709</v>
      </c>
      <c r="X980" s="1519"/>
      <c r="Y980" s="1519"/>
      <c r="Z980" s="1519"/>
      <c r="AA980" s="1517" t="s">
        <v>19</v>
      </c>
      <c r="AB980" s="1517" t="s">
        <v>20</v>
      </c>
      <c r="AC980" s="4"/>
      <c r="AD980" s="1519">
        <v>45711</v>
      </c>
      <c r="AE980" s="1519"/>
      <c r="AF980" s="1519"/>
      <c r="AG980" s="1517" t="s">
        <v>21</v>
      </c>
      <c r="AI980" s="368"/>
      <c r="AK980" s="194" t="s">
        <v>84</v>
      </c>
      <c r="AL980" s="366"/>
      <c r="AM980" s="366"/>
      <c r="AN980" s="366"/>
      <c r="AO980" s="366"/>
      <c r="AP980" s="366"/>
    </row>
    <row r="981" spans="1:49">
      <c r="A981" s="180"/>
      <c r="B981" s="1518"/>
      <c r="C981" s="21" t="s">
        <v>23</v>
      </c>
      <c r="D981" s="21" t="s">
        <v>24</v>
      </c>
      <c r="E981" s="205" t="s">
        <v>25</v>
      </c>
      <c r="F981" s="645" t="s">
        <v>14</v>
      </c>
      <c r="G981" s="4"/>
      <c r="H981" s="21" t="s">
        <v>23</v>
      </c>
      <c r="I981" s="21" t="s">
        <v>24</v>
      </c>
      <c r="J981" s="18" t="s">
        <v>25</v>
      </c>
      <c r="K981" s="645" t="s">
        <v>14</v>
      </c>
      <c r="L981" s="4"/>
      <c r="M981" s="21" t="s">
        <v>23</v>
      </c>
      <c r="N981" s="21" t="s">
        <v>24</v>
      </c>
      <c r="O981" s="18" t="s">
        <v>25</v>
      </c>
      <c r="P981" s="645" t="s">
        <v>14</v>
      </c>
      <c r="R981" s="21" t="s">
        <v>23</v>
      </c>
      <c r="S981" s="21" t="s">
        <v>24</v>
      </c>
      <c r="T981" s="18" t="s">
        <v>25</v>
      </c>
      <c r="U981" s="645" t="s">
        <v>14</v>
      </c>
      <c r="W981" s="21" t="s">
        <v>23</v>
      </c>
      <c r="X981" s="21" t="s">
        <v>24</v>
      </c>
      <c r="Y981" s="18" t="s">
        <v>25</v>
      </c>
      <c r="Z981" s="645" t="s">
        <v>14</v>
      </c>
      <c r="AA981" s="1517"/>
      <c r="AB981" s="1517"/>
      <c r="AC981" s="4"/>
      <c r="AD981" s="21" t="s">
        <v>23</v>
      </c>
      <c r="AE981" s="21" t="s">
        <v>24</v>
      </c>
      <c r="AF981" s="18" t="s">
        <v>25</v>
      </c>
      <c r="AG981" s="1517"/>
      <c r="AI981" s="368"/>
      <c r="AJ981" s="367"/>
      <c r="AK981" s="188" t="s">
        <v>26</v>
      </c>
      <c r="AL981" s="196">
        <f>AA1008</f>
        <v>329.3</v>
      </c>
      <c r="AM981" s="510">
        <v>39.14</v>
      </c>
      <c r="AN981" s="510">
        <f t="shared" ref="AN981:AN986" si="138">AL981*AM981</f>
        <v>12888.802000000001</v>
      </c>
      <c r="AQ981" s="367"/>
      <c r="AR981" s="367"/>
      <c r="AS981" s="367"/>
      <c r="AT981" s="367"/>
      <c r="AU981" s="367"/>
      <c r="AV981" s="367"/>
      <c r="AW981" s="367"/>
    </row>
    <row r="982" spans="1:49" ht="10.9" customHeight="1">
      <c r="A982" s="180"/>
      <c r="B982" s="4" t="s">
        <v>958</v>
      </c>
      <c r="C982" s="1560" t="s">
        <v>1044</v>
      </c>
      <c r="D982" s="1560"/>
      <c r="E982" s="1560"/>
      <c r="F982" s="646"/>
      <c r="G982" s="4"/>
      <c r="H982" s="642"/>
      <c r="I982" s="642"/>
      <c r="J982" s="319">
        <v>0</v>
      </c>
      <c r="K982" s="646"/>
      <c r="L982" s="4"/>
      <c r="M982" s="642"/>
      <c r="N982" s="642"/>
      <c r="O982" s="319">
        <v>0</v>
      </c>
      <c r="P982" s="646"/>
      <c r="R982" s="642"/>
      <c r="S982" s="642"/>
      <c r="T982" s="319">
        <v>0</v>
      </c>
      <c r="U982" s="646"/>
      <c r="W982" s="642"/>
      <c r="X982" s="642"/>
      <c r="Y982" s="319">
        <v>0</v>
      </c>
      <c r="Z982" s="646"/>
      <c r="AA982" s="328">
        <f t="shared" ref="AA982:AA1007" si="139">(E982+J982+O982+T982+Y982)</f>
        <v>0</v>
      </c>
      <c r="AB982" s="298">
        <f t="shared" ref="AB982:AB1007" si="140">Z982+U982+P982+K982+F982</f>
        <v>0</v>
      </c>
      <c r="AC982" s="4"/>
      <c r="AD982" s="587"/>
      <c r="AE982" s="531"/>
      <c r="AF982" s="319"/>
      <c r="AG982" s="328">
        <f t="shared" ref="AG982:AG1007" si="141">AF982</f>
        <v>0</v>
      </c>
      <c r="AI982" s="368"/>
      <c r="AJ982" s="367"/>
      <c r="AK982" s="188" t="s">
        <v>30</v>
      </c>
      <c r="AL982" s="196">
        <f>AB1008</f>
        <v>5</v>
      </c>
      <c r="AM982" s="511">
        <f>AM981*1.5</f>
        <v>58.71</v>
      </c>
      <c r="AN982" s="510">
        <f t="shared" si="138"/>
        <v>293.55</v>
      </c>
      <c r="AQ982" s="367"/>
      <c r="AR982" s="367"/>
      <c r="AS982" s="367"/>
      <c r="AT982" s="367"/>
      <c r="AU982" s="367"/>
      <c r="AV982" s="367"/>
      <c r="AW982" s="367"/>
    </row>
    <row r="983" spans="1:49">
      <c r="A983" s="367"/>
      <c r="B983" s="47" t="s">
        <v>515</v>
      </c>
      <c r="C983" s="1560"/>
      <c r="D983" s="1560"/>
      <c r="E983" s="1560"/>
      <c r="F983" s="646"/>
      <c r="G983" s="4"/>
      <c r="H983" s="441" t="s">
        <v>75</v>
      </c>
      <c r="I983" s="47">
        <v>0.125</v>
      </c>
      <c r="J983" s="319">
        <v>6</v>
      </c>
      <c r="K983" s="646"/>
      <c r="L983" s="4"/>
      <c r="M983" s="1558" t="s">
        <v>1033</v>
      </c>
      <c r="N983" s="1558"/>
      <c r="O983" s="319">
        <v>0</v>
      </c>
      <c r="P983" s="646"/>
      <c r="R983" s="642"/>
      <c r="S983" s="642"/>
      <c r="T983" s="319">
        <v>0</v>
      </c>
      <c r="U983" s="646"/>
      <c r="W983" s="642"/>
      <c r="X983" s="642"/>
      <c r="Y983" s="319">
        <v>0</v>
      </c>
      <c r="Z983" s="646"/>
      <c r="AA983" s="328">
        <f t="shared" si="139"/>
        <v>6</v>
      </c>
      <c r="AB983" s="298">
        <f t="shared" si="140"/>
        <v>0</v>
      </c>
      <c r="AC983" s="4"/>
      <c r="AF983" s="319"/>
      <c r="AG983" s="328">
        <f t="shared" si="141"/>
        <v>0</v>
      </c>
      <c r="AH983" s="175"/>
      <c r="AI983" s="402"/>
      <c r="AJ983" s="367"/>
      <c r="AK983" s="188" t="s">
        <v>32</v>
      </c>
      <c r="AL983" s="196">
        <f>AG1008</f>
        <v>19</v>
      </c>
      <c r="AM983" s="510">
        <v>58.71</v>
      </c>
      <c r="AN983" s="510">
        <f t="shared" si="138"/>
        <v>1115.49</v>
      </c>
      <c r="AQ983" s="367"/>
      <c r="AR983" s="367"/>
      <c r="AS983" s="367"/>
      <c r="AT983" s="367"/>
      <c r="AU983" s="367"/>
      <c r="AV983" s="367"/>
      <c r="AW983" s="367"/>
    </row>
    <row r="984" spans="1:49">
      <c r="A984" s="367"/>
      <c r="B984" s="441" t="s">
        <v>962</v>
      </c>
      <c r="C984" s="1560"/>
      <c r="D984" s="1560"/>
      <c r="E984" s="1560"/>
      <c r="F984" s="646"/>
      <c r="G984" s="4"/>
      <c r="H984" s="47">
        <v>0.45833333333333331</v>
      </c>
      <c r="I984" s="47">
        <v>8.3333333333333329E-2</v>
      </c>
      <c r="J984" s="319">
        <v>3</v>
      </c>
      <c r="K984" s="646"/>
      <c r="L984" s="4"/>
      <c r="M984" s="642"/>
      <c r="N984" s="642"/>
      <c r="O984" s="319">
        <v>0</v>
      </c>
      <c r="P984" s="646"/>
      <c r="R984" s="642"/>
      <c r="S984" s="642"/>
      <c r="T984" s="319">
        <v>0</v>
      </c>
      <c r="U984" s="646"/>
      <c r="W984" s="47">
        <v>0.33333333333333331</v>
      </c>
      <c r="X984" s="47" t="s">
        <v>434</v>
      </c>
      <c r="Y984" s="319">
        <v>8</v>
      </c>
      <c r="Z984" s="646">
        <v>1</v>
      </c>
      <c r="AA984" s="328">
        <f t="shared" si="139"/>
        <v>11</v>
      </c>
      <c r="AB984" s="298">
        <f t="shared" si="140"/>
        <v>1</v>
      </c>
      <c r="AC984" s="399"/>
      <c r="AD984" s="47"/>
      <c r="AE984" s="47"/>
      <c r="AF984" s="319"/>
      <c r="AG984" s="328">
        <f t="shared" si="141"/>
        <v>0</v>
      </c>
      <c r="AH984" s="175"/>
      <c r="AJ984" s="401"/>
      <c r="AK984" s="403" t="s">
        <v>213</v>
      </c>
      <c r="AL984" s="404">
        <f>AA1010</f>
        <v>31.5</v>
      </c>
      <c r="AM984" s="510">
        <v>51.5</v>
      </c>
      <c r="AN984" s="510">
        <f t="shared" si="138"/>
        <v>1622.25</v>
      </c>
      <c r="AO984" s="405"/>
      <c r="AP984" s="405"/>
      <c r="AQ984" s="367"/>
      <c r="AR984" s="401"/>
      <c r="AS984" s="401"/>
      <c r="AT984" s="401"/>
      <c r="AU984" s="401"/>
      <c r="AV984" s="401"/>
      <c r="AW984" s="401"/>
    </row>
    <row r="985" spans="1:49">
      <c r="A985" s="367"/>
      <c r="B985" s="436" t="s">
        <v>972</v>
      </c>
      <c r="C985" s="1560"/>
      <c r="D985" s="1560"/>
      <c r="E985" s="1560"/>
      <c r="F985" s="646"/>
      <c r="G985" s="4"/>
      <c r="H985" s="642"/>
      <c r="I985" s="642"/>
      <c r="J985" s="319">
        <v>0</v>
      </c>
      <c r="K985" s="646"/>
      <c r="L985" s="4"/>
      <c r="M985" s="441" t="s">
        <v>75</v>
      </c>
      <c r="N985" s="47" t="s">
        <v>1045</v>
      </c>
      <c r="O985" s="319">
        <v>8</v>
      </c>
      <c r="P985" s="646"/>
      <c r="R985" s="47">
        <v>0.375</v>
      </c>
      <c r="S985" s="47" t="s">
        <v>1046</v>
      </c>
      <c r="T985" s="319">
        <v>8</v>
      </c>
      <c r="U985" s="646"/>
      <c r="W985" s="47">
        <v>0.375</v>
      </c>
      <c r="X985" s="47" t="s">
        <v>1047</v>
      </c>
      <c r="Y985" s="319">
        <v>8</v>
      </c>
      <c r="Z985" s="646"/>
      <c r="AA985" s="328">
        <f t="shared" si="139"/>
        <v>24</v>
      </c>
      <c r="AB985" s="298">
        <f t="shared" si="140"/>
        <v>0</v>
      </c>
      <c r="AC985" s="4"/>
      <c r="AD985" s="47">
        <v>0.375</v>
      </c>
      <c r="AE985" s="47">
        <v>0.20833333333333334</v>
      </c>
      <c r="AF985" s="319">
        <v>8</v>
      </c>
      <c r="AG985" s="328">
        <f t="shared" si="141"/>
        <v>8</v>
      </c>
      <c r="AH985" s="175"/>
      <c r="AI985" s="368"/>
      <c r="AK985" s="188" t="s">
        <v>36</v>
      </c>
      <c r="AL985" s="196">
        <f>AB1010</f>
        <v>3.5</v>
      </c>
      <c r="AM985" s="510">
        <f>AM984*1.5</f>
        <v>77.25</v>
      </c>
      <c r="AN985" s="510">
        <f t="shared" si="138"/>
        <v>270.375</v>
      </c>
      <c r="AQ985" s="367"/>
    </row>
    <row r="986" spans="1:49" s="4" customFormat="1">
      <c r="A986" s="180"/>
      <c r="B986" s="47" t="s">
        <v>974</v>
      </c>
      <c r="C986" s="1560"/>
      <c r="D986" s="1560"/>
      <c r="E986" s="1560"/>
      <c r="F986" s="646"/>
      <c r="H986" s="642"/>
      <c r="I986" s="642"/>
      <c r="J986" s="319">
        <v>0</v>
      </c>
      <c r="K986" s="646"/>
      <c r="M986" s="642"/>
      <c r="N986" s="642"/>
      <c r="O986" s="319">
        <v>0</v>
      </c>
      <c r="P986" s="646"/>
      <c r="R986" s="47"/>
      <c r="S986" s="47" t="s">
        <v>434</v>
      </c>
      <c r="T986" s="319">
        <v>8</v>
      </c>
      <c r="U986" s="646"/>
      <c r="W986" s="47">
        <v>0.33333333333333331</v>
      </c>
      <c r="X986" s="47" t="s">
        <v>434</v>
      </c>
      <c r="Y986" s="319">
        <v>8</v>
      </c>
      <c r="Z986" s="646">
        <v>1</v>
      </c>
      <c r="AA986" s="328">
        <f t="shared" si="139"/>
        <v>16</v>
      </c>
      <c r="AB986" s="298">
        <f t="shared" si="140"/>
        <v>1</v>
      </c>
      <c r="AD986" s="47"/>
      <c r="AE986" s="47"/>
      <c r="AF986" s="319"/>
      <c r="AG986" s="328">
        <f t="shared" si="141"/>
        <v>0</v>
      </c>
      <c r="AI986" s="255"/>
      <c r="AJ986" s="180"/>
      <c r="AK986" s="188" t="s">
        <v>38</v>
      </c>
      <c r="AL986" s="196">
        <f>AG1010</f>
        <v>3.75</v>
      </c>
      <c r="AM986" s="510">
        <v>77.25</v>
      </c>
      <c r="AN986" s="510">
        <f t="shared" si="138"/>
        <v>289.6875</v>
      </c>
      <c r="AO986" s="193"/>
      <c r="AP986" s="193"/>
      <c r="AQ986" s="367"/>
      <c r="AR986" s="180"/>
      <c r="AS986" s="180"/>
      <c r="AT986" s="180"/>
      <c r="AU986" s="180"/>
      <c r="AV986" s="180"/>
      <c r="AW986" s="180"/>
    </row>
    <row r="987" spans="1:49" s="4" customFormat="1" ht="12.75" customHeight="1">
      <c r="A987" s="180"/>
      <c r="B987" s="374" t="s">
        <v>998</v>
      </c>
      <c r="C987" s="1560"/>
      <c r="D987" s="1560"/>
      <c r="E987" s="1560"/>
      <c r="F987" s="646"/>
      <c r="H987" s="642"/>
      <c r="I987" s="642"/>
      <c r="J987" s="319">
        <v>0</v>
      </c>
      <c r="K987" s="646"/>
      <c r="M987" s="441" t="s">
        <v>75</v>
      </c>
      <c r="N987" s="47" t="s">
        <v>1037</v>
      </c>
      <c r="O987" s="319">
        <v>8</v>
      </c>
      <c r="P987" s="646"/>
      <c r="R987" s="47">
        <v>0.375</v>
      </c>
      <c r="S987" s="47" t="s">
        <v>1045</v>
      </c>
      <c r="T987" s="319">
        <v>8</v>
      </c>
      <c r="U987" s="646"/>
      <c r="W987" s="642"/>
      <c r="X987" s="642"/>
      <c r="Y987" s="319">
        <v>0</v>
      </c>
      <c r="Z987" s="646"/>
      <c r="AA987" s="328">
        <f t="shared" si="139"/>
        <v>16</v>
      </c>
      <c r="AB987" s="298">
        <f t="shared" si="140"/>
        <v>0</v>
      </c>
      <c r="AD987" s="47"/>
      <c r="AE987" s="47"/>
      <c r="AF987" s="319"/>
      <c r="AG987" s="328">
        <f t="shared" si="141"/>
        <v>0</v>
      </c>
      <c r="AI987" s="255"/>
      <c r="AJ987" s="180"/>
      <c r="AK987" s="193"/>
      <c r="AL987" s="193"/>
      <c r="AM987" s="193"/>
      <c r="AN987" s="510">
        <f>SUM(AN981:AN986)</f>
        <v>16480.154500000001</v>
      </c>
      <c r="AO987" s="193"/>
      <c r="AP987" s="193"/>
      <c r="AQ987" s="180"/>
      <c r="AR987" s="180"/>
      <c r="AS987" s="180"/>
      <c r="AT987" s="180"/>
      <c r="AU987" s="180"/>
      <c r="AV987" s="180"/>
      <c r="AW987" s="180"/>
    </row>
    <row r="988" spans="1:49" s="4" customFormat="1">
      <c r="A988" s="180"/>
      <c r="B988" s="47" t="s">
        <v>977</v>
      </c>
      <c r="C988" s="1560"/>
      <c r="D988" s="1560"/>
      <c r="E988" s="1560"/>
      <c r="F988" s="646"/>
      <c r="H988" s="441" t="s">
        <v>75</v>
      </c>
      <c r="I988" s="47">
        <v>0.25</v>
      </c>
      <c r="J988" s="319">
        <v>8</v>
      </c>
      <c r="K988" s="646"/>
      <c r="M988" s="642"/>
      <c r="N988" s="642"/>
      <c r="O988" s="319">
        <v>0</v>
      </c>
      <c r="P988" s="646"/>
      <c r="R988" s="47">
        <v>0.36458333333333331</v>
      </c>
      <c r="S988" s="47" t="s">
        <v>434</v>
      </c>
      <c r="T988" s="319">
        <v>7.25</v>
      </c>
      <c r="U988" s="646"/>
      <c r="W988" s="47">
        <v>0.4375</v>
      </c>
      <c r="X988" s="47">
        <v>0.20833333333333334</v>
      </c>
      <c r="Y988" s="319">
        <v>6</v>
      </c>
      <c r="Z988" s="646"/>
      <c r="AA988" s="328">
        <f t="shared" si="139"/>
        <v>21.25</v>
      </c>
      <c r="AB988" s="298">
        <f t="shared" si="140"/>
        <v>0</v>
      </c>
      <c r="AD988" s="47">
        <v>0.375</v>
      </c>
      <c r="AE988" s="47">
        <v>0.20833333333333334</v>
      </c>
      <c r="AF988" s="319">
        <v>8</v>
      </c>
      <c r="AG988" s="328">
        <f t="shared" si="141"/>
        <v>8</v>
      </c>
      <c r="AI988" s="255"/>
      <c r="AJ988" s="180"/>
      <c r="AK988" s="193"/>
      <c r="AL988" s="193"/>
      <c r="AM988" s="193"/>
      <c r="AN988" s="193"/>
      <c r="AO988" s="193"/>
      <c r="AP988" s="193"/>
      <c r="AQ988" s="180"/>
      <c r="AR988" s="180"/>
      <c r="AS988" s="180"/>
      <c r="AT988" s="180"/>
      <c r="AU988" s="180"/>
      <c r="AV988" s="180"/>
      <c r="AW988" s="180"/>
    </row>
    <row r="989" spans="1:49" s="4" customFormat="1">
      <c r="A989" s="180"/>
      <c r="B989" s="47" t="s">
        <v>519</v>
      </c>
      <c r="C989" s="1560"/>
      <c r="D989" s="1560"/>
      <c r="E989" s="1560"/>
      <c r="F989" s="646"/>
      <c r="H989" s="642"/>
      <c r="I989" s="642"/>
      <c r="J989" s="319">
        <v>0</v>
      </c>
      <c r="K989" s="646"/>
      <c r="M989" s="642"/>
      <c r="N989" s="642"/>
      <c r="O989" s="319">
        <v>0</v>
      </c>
      <c r="P989" s="646"/>
      <c r="R989" s="441"/>
      <c r="S989" s="441" t="s">
        <v>1048</v>
      </c>
      <c r="T989" s="319">
        <v>1</v>
      </c>
      <c r="U989" s="646"/>
      <c r="W989" s="441" t="s">
        <v>125</v>
      </c>
      <c r="X989" s="441" t="s">
        <v>434</v>
      </c>
      <c r="Y989" s="319">
        <v>8</v>
      </c>
      <c r="Z989" s="646">
        <v>1</v>
      </c>
      <c r="AA989" s="328">
        <f t="shared" si="139"/>
        <v>9</v>
      </c>
      <c r="AB989" s="298">
        <f t="shared" si="140"/>
        <v>1</v>
      </c>
      <c r="AD989" s="47"/>
      <c r="AE989" s="47"/>
      <c r="AF989" s="319"/>
      <c r="AG989" s="328">
        <f t="shared" si="141"/>
        <v>0</v>
      </c>
      <c r="AI989" s="255"/>
      <c r="AJ989" s="180"/>
      <c r="AK989" s="193"/>
      <c r="AL989" s="193"/>
      <c r="AM989" s="193"/>
      <c r="AN989" s="193"/>
      <c r="AO989" s="193"/>
      <c r="AP989" s="193"/>
      <c r="AQ989" s="180"/>
      <c r="AR989" s="180"/>
      <c r="AS989" s="180"/>
      <c r="AT989" s="180"/>
      <c r="AU989" s="180"/>
      <c r="AV989" s="180"/>
      <c r="AW989" s="180"/>
    </row>
    <row r="990" spans="1:49" s="4" customFormat="1">
      <c r="A990" s="180"/>
      <c r="B990" s="327" t="s">
        <v>999</v>
      </c>
      <c r="C990" s="1560"/>
      <c r="D990" s="1560"/>
      <c r="E990" s="1560"/>
      <c r="F990" s="646"/>
      <c r="H990" s="642"/>
      <c r="I990" s="642"/>
      <c r="J990" s="319">
        <v>0</v>
      </c>
      <c r="K990" s="646"/>
      <c r="M990" s="47">
        <v>0.375</v>
      </c>
      <c r="N990" s="47" t="s">
        <v>1045</v>
      </c>
      <c r="O990" s="319">
        <v>8</v>
      </c>
      <c r="P990" s="646"/>
      <c r="R990" s="47">
        <v>0.375</v>
      </c>
      <c r="S990" s="47" t="s">
        <v>1045</v>
      </c>
      <c r="T990" s="319">
        <v>8</v>
      </c>
      <c r="U990" s="646"/>
      <c r="W990" s="441"/>
      <c r="X990" s="441"/>
      <c r="Y990" s="319">
        <v>0</v>
      </c>
      <c r="Z990" s="646"/>
      <c r="AA990" s="328">
        <f t="shared" si="139"/>
        <v>16</v>
      </c>
      <c r="AB990" s="298">
        <f t="shared" si="140"/>
        <v>0</v>
      </c>
      <c r="AD990" s="47"/>
      <c r="AE990" s="47"/>
      <c r="AF990" s="319"/>
      <c r="AG990" s="328">
        <f t="shared" si="141"/>
        <v>0</v>
      </c>
      <c r="AI990" s="255"/>
      <c r="AJ990" s="180"/>
      <c r="AK990" s="193"/>
      <c r="AL990" s="193"/>
      <c r="AM990" s="193"/>
      <c r="AN990" s="193"/>
      <c r="AO990" s="193"/>
      <c r="AP990" s="193"/>
      <c r="AQ990" s="180"/>
      <c r="AR990" s="180"/>
      <c r="AS990" s="180"/>
      <c r="AT990" s="180"/>
      <c r="AU990" s="180"/>
      <c r="AV990" s="180"/>
      <c r="AW990" s="180"/>
    </row>
    <row r="991" spans="1:49" s="4" customFormat="1">
      <c r="A991" s="180"/>
      <c r="B991" s="532" t="s">
        <v>545</v>
      </c>
      <c r="C991" s="1560"/>
      <c r="D991" s="1560"/>
      <c r="E991" s="1560"/>
      <c r="F991" s="646"/>
      <c r="H991" s="441" t="s">
        <v>1049</v>
      </c>
      <c r="I991" s="47"/>
      <c r="J991" s="319">
        <v>1</v>
      </c>
      <c r="K991" s="646"/>
      <c r="M991" s="441" t="s">
        <v>75</v>
      </c>
      <c r="N991" s="441" t="s">
        <v>127</v>
      </c>
      <c r="O991" s="319">
        <v>4</v>
      </c>
      <c r="P991" s="646"/>
      <c r="R991" s="441"/>
      <c r="S991" s="441"/>
      <c r="T991" s="319"/>
      <c r="U991" s="646"/>
      <c r="W991" s="441"/>
      <c r="X991" s="441"/>
      <c r="Y991" s="319"/>
      <c r="Z991" s="646"/>
      <c r="AA991" s="328">
        <f t="shared" si="139"/>
        <v>5</v>
      </c>
      <c r="AB991" s="298">
        <f t="shared" si="140"/>
        <v>0</v>
      </c>
      <c r="AD991" s="47"/>
      <c r="AE991" s="47"/>
      <c r="AF991" s="319"/>
      <c r="AG991" s="328">
        <f t="shared" si="141"/>
        <v>0</v>
      </c>
      <c r="AI991" s="255"/>
      <c r="AJ991" s="180"/>
      <c r="AK991" s="193"/>
      <c r="AL991" s="193"/>
      <c r="AM991" s="193"/>
      <c r="AN991" s="193"/>
      <c r="AO991" s="193"/>
      <c r="AP991" s="193"/>
      <c r="AQ991" s="180"/>
      <c r="AR991" s="180"/>
      <c r="AS991" s="180"/>
      <c r="AT991" s="180"/>
      <c r="AU991" s="180"/>
      <c r="AV991" s="180"/>
      <c r="AW991" s="180"/>
    </row>
    <row r="992" spans="1:49" s="4" customFormat="1">
      <c r="A992" s="180"/>
      <c r="B992" s="532" t="s">
        <v>1031</v>
      </c>
      <c r="C992" s="1560"/>
      <c r="D992" s="1560"/>
      <c r="E992" s="1560"/>
      <c r="F992" s="646"/>
      <c r="H992" s="441"/>
      <c r="I992" s="47"/>
      <c r="J992" s="319"/>
      <c r="K992" s="646"/>
      <c r="M992" s="441"/>
      <c r="N992" s="441"/>
      <c r="O992" s="319"/>
      <c r="P992" s="646"/>
      <c r="R992" s="441"/>
      <c r="S992" s="441"/>
      <c r="T992" s="319"/>
      <c r="U992" s="646"/>
      <c r="W992" s="441"/>
      <c r="X992" s="441"/>
      <c r="Y992" s="319"/>
      <c r="Z992" s="646"/>
      <c r="AA992" s="328">
        <f t="shared" si="139"/>
        <v>0</v>
      </c>
      <c r="AB992" s="298">
        <f t="shared" si="140"/>
        <v>0</v>
      </c>
      <c r="AD992" s="47"/>
      <c r="AE992" s="47"/>
      <c r="AF992" s="319"/>
      <c r="AG992" s="328">
        <f t="shared" si="141"/>
        <v>0</v>
      </c>
      <c r="AI992" s="255"/>
      <c r="AJ992" s="180"/>
      <c r="AK992" s="193"/>
      <c r="AL992" s="193"/>
      <c r="AM992" s="193"/>
      <c r="AN992" s="193"/>
      <c r="AO992" s="193"/>
      <c r="AP992" s="193"/>
      <c r="AQ992" s="180"/>
      <c r="AR992" s="180"/>
      <c r="AS992" s="180"/>
      <c r="AT992" s="180"/>
      <c r="AU992" s="180"/>
      <c r="AV992" s="180"/>
      <c r="AW992" s="180"/>
    </row>
    <row r="993" spans="1:49" s="4" customFormat="1">
      <c r="A993" s="180"/>
      <c r="B993" s="532" t="s">
        <v>1032</v>
      </c>
      <c r="C993" s="1560"/>
      <c r="D993" s="1560"/>
      <c r="E993" s="1560"/>
      <c r="F993" s="646"/>
      <c r="H993" s="441"/>
      <c r="I993" s="47"/>
      <c r="J993" s="319"/>
      <c r="K993" s="646"/>
      <c r="M993" s="441"/>
      <c r="N993" s="441"/>
      <c r="O993" s="319"/>
      <c r="P993" s="646"/>
      <c r="R993" s="441"/>
      <c r="S993" s="441"/>
      <c r="T993" s="319"/>
      <c r="U993" s="646"/>
      <c r="W993" s="441"/>
      <c r="X993" s="441"/>
      <c r="Y993" s="319"/>
      <c r="Z993" s="646"/>
      <c r="AA993" s="328">
        <f t="shared" si="139"/>
        <v>0</v>
      </c>
      <c r="AB993" s="298">
        <f t="shared" si="140"/>
        <v>0</v>
      </c>
      <c r="AD993" s="47"/>
      <c r="AE993" s="47"/>
      <c r="AF993" s="319"/>
      <c r="AG993" s="328">
        <f t="shared" si="141"/>
        <v>0</v>
      </c>
      <c r="AI993" s="255"/>
      <c r="AJ993" s="180"/>
      <c r="AK993" s="193"/>
      <c r="AL993" s="193"/>
      <c r="AM993" s="193"/>
      <c r="AN993" s="193"/>
      <c r="AO993" s="193"/>
      <c r="AP993" s="193"/>
      <c r="AQ993" s="180"/>
      <c r="AR993" s="180"/>
      <c r="AS993" s="180"/>
      <c r="AT993" s="180"/>
      <c r="AU993" s="180"/>
      <c r="AV993" s="180"/>
      <c r="AW993" s="180"/>
    </row>
    <row r="994" spans="1:49" s="4" customFormat="1">
      <c r="A994" s="180"/>
      <c r="B994" s="711" t="s">
        <v>517</v>
      </c>
      <c r="C994" s="1560"/>
      <c r="D994" s="1560"/>
      <c r="E994" s="1560"/>
      <c r="F994" s="646"/>
      <c r="H994" s="441"/>
      <c r="I994" s="47"/>
      <c r="J994" s="319"/>
      <c r="K994" s="646"/>
      <c r="M994" s="47"/>
      <c r="N994" s="47"/>
      <c r="O994" s="319"/>
      <c r="P994" s="646"/>
      <c r="R994" s="47"/>
      <c r="S994" s="47"/>
      <c r="T994" s="319"/>
      <c r="U994" s="646"/>
      <c r="W994" s="47"/>
      <c r="X994" s="47"/>
      <c r="Y994" s="319"/>
      <c r="Z994" s="646"/>
      <c r="AA994" s="328">
        <f t="shared" si="139"/>
        <v>0</v>
      </c>
      <c r="AB994" s="298">
        <f t="shared" si="140"/>
        <v>0</v>
      </c>
      <c r="AD994" s="47"/>
      <c r="AE994" s="47"/>
      <c r="AF994" s="319"/>
      <c r="AG994" s="328">
        <f t="shared" si="141"/>
        <v>0</v>
      </c>
      <c r="AI994" s="255"/>
      <c r="AJ994" s="180"/>
      <c r="AK994" s="193"/>
      <c r="AL994" s="193"/>
      <c r="AM994" s="193"/>
      <c r="AN994" s="193"/>
      <c r="AO994" s="193"/>
      <c r="AP994" s="193"/>
      <c r="AQ994" s="180"/>
      <c r="AR994" s="180"/>
      <c r="AS994" s="180"/>
      <c r="AT994" s="180"/>
      <c r="AU994" s="180"/>
      <c r="AV994" s="180"/>
      <c r="AW994" s="180"/>
    </row>
    <row r="995" spans="1:49" s="4" customFormat="1">
      <c r="A995" s="180"/>
      <c r="B995" s="502" t="s">
        <v>483</v>
      </c>
      <c r="C995" s="1560"/>
      <c r="D995" s="1560"/>
      <c r="E995" s="1560"/>
      <c r="F995" s="646"/>
      <c r="H995" s="5"/>
      <c r="I995" s="5"/>
      <c r="J995" s="319"/>
      <c r="K995" s="646"/>
      <c r="M995" s="5"/>
      <c r="N995" s="5"/>
      <c r="O995" s="319"/>
      <c r="P995" s="646"/>
      <c r="R995" s="5"/>
      <c r="S995" s="5"/>
      <c r="T995" s="319"/>
      <c r="U995" s="646"/>
      <c r="W995" s="5"/>
      <c r="X995" s="5"/>
      <c r="Y995" s="319"/>
      <c r="Z995" s="646"/>
      <c r="AA995" s="328">
        <f t="shared" si="139"/>
        <v>0</v>
      </c>
      <c r="AB995" s="298">
        <f t="shared" si="140"/>
        <v>0</v>
      </c>
      <c r="AD995" s="47"/>
      <c r="AE995" s="47"/>
      <c r="AF995" s="319"/>
      <c r="AG995" s="328">
        <f t="shared" si="141"/>
        <v>0</v>
      </c>
      <c r="AI995" s="255"/>
      <c r="AJ995" s="180"/>
      <c r="AK995" s="193"/>
      <c r="AL995" s="193"/>
      <c r="AM995" s="193"/>
      <c r="AN995" s="193"/>
      <c r="AO995" s="193"/>
      <c r="AP995" s="193"/>
      <c r="AQ995" s="180"/>
      <c r="AR995" s="180"/>
      <c r="AS995" s="180"/>
      <c r="AT995" s="180"/>
      <c r="AU995" s="180"/>
      <c r="AV995" s="180"/>
      <c r="AW995" s="180"/>
    </row>
    <row r="996" spans="1:49" s="4" customFormat="1">
      <c r="A996" s="180"/>
      <c r="B996" s="502" t="s">
        <v>483</v>
      </c>
      <c r="C996" s="1560"/>
      <c r="D996" s="1560"/>
      <c r="E996" s="1560"/>
      <c r="F996" s="646"/>
      <c r="H996" s="47"/>
      <c r="I996" s="47"/>
      <c r="J996" s="319">
        <v>9</v>
      </c>
      <c r="K996" s="646"/>
      <c r="M996" s="47"/>
      <c r="N996" s="47"/>
      <c r="O996" s="319">
        <v>8.5</v>
      </c>
      <c r="P996" s="646"/>
      <c r="R996" s="47"/>
      <c r="S996" s="47"/>
      <c r="T996" s="319">
        <v>8.5</v>
      </c>
      <c r="U996" s="646"/>
      <c r="W996" s="47"/>
      <c r="X996" s="47"/>
      <c r="Y996" s="319">
        <v>8.25</v>
      </c>
      <c r="Z996" s="646"/>
      <c r="AA996" s="328">
        <f t="shared" si="139"/>
        <v>34.25</v>
      </c>
      <c r="AB996" s="298">
        <f t="shared" si="140"/>
        <v>0</v>
      </c>
      <c r="AD996" s="47"/>
      <c r="AE996" s="47"/>
      <c r="AF996" s="319"/>
      <c r="AG996" s="328">
        <f t="shared" si="141"/>
        <v>0</v>
      </c>
      <c r="AI996" s="255"/>
      <c r="AJ996" s="180"/>
      <c r="AK996" s="193"/>
      <c r="AL996" s="193"/>
      <c r="AM996" s="193"/>
      <c r="AN996" s="193"/>
      <c r="AO996" s="193"/>
      <c r="AP996" s="193"/>
      <c r="AQ996" s="180"/>
      <c r="AR996" s="180"/>
      <c r="AS996" s="180"/>
      <c r="AT996" s="180"/>
      <c r="AU996" s="180"/>
      <c r="AV996" s="180"/>
      <c r="AW996" s="180"/>
    </row>
    <row r="997" spans="1:49" s="4" customFormat="1">
      <c r="A997" s="180"/>
      <c r="B997" s="502" t="s">
        <v>484</v>
      </c>
      <c r="C997" s="1560"/>
      <c r="D997" s="1560"/>
      <c r="E997" s="1560"/>
      <c r="F997" s="646"/>
      <c r="H997" s="47"/>
      <c r="I997" s="47"/>
      <c r="J997" s="319">
        <v>9</v>
      </c>
      <c r="K997" s="646"/>
      <c r="M997" s="47"/>
      <c r="N997" s="47"/>
      <c r="O997" s="319">
        <v>8.5</v>
      </c>
      <c r="P997" s="646"/>
      <c r="R997" s="47"/>
      <c r="S997" s="47"/>
      <c r="T997" s="319">
        <v>8.5</v>
      </c>
      <c r="U997" s="646"/>
      <c r="W997" s="47"/>
      <c r="X997" s="47"/>
      <c r="Y997" s="319">
        <v>8.25</v>
      </c>
      <c r="Z997" s="646"/>
      <c r="AA997" s="328">
        <f t="shared" si="139"/>
        <v>34.25</v>
      </c>
      <c r="AB997" s="298">
        <f t="shared" si="140"/>
        <v>0</v>
      </c>
      <c r="AD997" s="47"/>
      <c r="AE997" s="47"/>
      <c r="AF997" s="319"/>
      <c r="AG997" s="328">
        <f t="shared" si="141"/>
        <v>0</v>
      </c>
      <c r="AI997" s="255"/>
      <c r="AJ997" s="180"/>
      <c r="AK997" s="193"/>
      <c r="AL997" s="193"/>
      <c r="AM997" s="193"/>
      <c r="AN997" s="193"/>
      <c r="AO997" s="193"/>
      <c r="AP997" s="193"/>
      <c r="AQ997" s="180"/>
      <c r="AR997" s="180"/>
      <c r="AS997" s="180"/>
      <c r="AT997" s="180"/>
      <c r="AU997" s="180"/>
      <c r="AV997" s="180"/>
      <c r="AW997" s="180"/>
    </row>
    <row r="998" spans="1:49" s="4" customFormat="1">
      <c r="A998" s="180"/>
      <c r="B998" s="502" t="s">
        <v>485</v>
      </c>
      <c r="C998" s="1560"/>
      <c r="D998" s="1560"/>
      <c r="E998" s="1560"/>
      <c r="F998" s="646"/>
      <c r="H998" s="47"/>
      <c r="I998" s="47"/>
      <c r="J998" s="319">
        <v>9</v>
      </c>
      <c r="K998" s="646"/>
      <c r="M998" s="47"/>
      <c r="N998" s="47"/>
      <c r="O998" s="319">
        <v>8.5</v>
      </c>
      <c r="P998" s="646"/>
      <c r="R998" s="47"/>
      <c r="S998" s="47"/>
      <c r="T998" s="319">
        <v>8.5</v>
      </c>
      <c r="U998" s="646"/>
      <c r="W998" s="47"/>
      <c r="X998" s="47"/>
      <c r="Y998" s="319">
        <v>8.25</v>
      </c>
      <c r="Z998" s="646"/>
      <c r="AA998" s="328">
        <f t="shared" si="139"/>
        <v>34.25</v>
      </c>
      <c r="AB998" s="298">
        <f t="shared" si="140"/>
        <v>0</v>
      </c>
      <c r="AD998" s="47"/>
      <c r="AE998" s="47"/>
      <c r="AF998" s="319"/>
      <c r="AG998" s="328">
        <f t="shared" si="141"/>
        <v>0</v>
      </c>
      <c r="AI998" s="255"/>
      <c r="AJ998" s="180"/>
      <c r="AK998" s="193"/>
      <c r="AL998" s="193"/>
      <c r="AM998" s="193"/>
      <c r="AN998" s="193"/>
      <c r="AO998" s="193"/>
      <c r="AP998" s="193"/>
      <c r="AQ998" s="180"/>
      <c r="AR998" s="180"/>
      <c r="AS998" s="180"/>
      <c r="AT998" s="180"/>
      <c r="AU998" s="180"/>
      <c r="AV998" s="180"/>
      <c r="AW998" s="180"/>
    </row>
    <row r="999" spans="1:49" s="4" customFormat="1">
      <c r="A999" s="180"/>
      <c r="B999" s="502" t="s">
        <v>486</v>
      </c>
      <c r="C999" s="1560"/>
      <c r="D999" s="1560"/>
      <c r="E999" s="1560"/>
      <c r="F999" s="646"/>
      <c r="H999" s="5"/>
      <c r="I999" s="5"/>
      <c r="J999" s="319"/>
      <c r="K999" s="646"/>
      <c r="M999" s="5"/>
      <c r="N999" s="5"/>
      <c r="O999" s="319"/>
      <c r="P999" s="646"/>
      <c r="R999" s="5"/>
      <c r="S999" s="5"/>
      <c r="T999" s="319"/>
      <c r="U999" s="646"/>
      <c r="W999" s="5"/>
      <c r="X999" s="5"/>
      <c r="Y999" s="319"/>
      <c r="Z999" s="646"/>
      <c r="AA999" s="328">
        <f t="shared" si="139"/>
        <v>0</v>
      </c>
      <c r="AB999" s="298">
        <f t="shared" si="140"/>
        <v>0</v>
      </c>
      <c r="AD999" s="47"/>
      <c r="AE999" s="47"/>
      <c r="AF999" s="319"/>
      <c r="AG999" s="328">
        <f t="shared" si="141"/>
        <v>0</v>
      </c>
      <c r="AI999" s="255"/>
      <c r="AJ999" s="180"/>
      <c r="AK999" s="193"/>
      <c r="AL999" s="193"/>
      <c r="AM999" s="193"/>
      <c r="AN999" s="193"/>
      <c r="AO999" s="193"/>
      <c r="AP999" s="193"/>
      <c r="AQ999" s="180"/>
      <c r="AR999" s="180"/>
      <c r="AS999" s="180"/>
      <c r="AT999" s="180"/>
      <c r="AU999" s="180"/>
      <c r="AV999" s="180"/>
      <c r="AW999" s="180"/>
    </row>
    <row r="1000" spans="1:49" s="4" customFormat="1">
      <c r="A1000" s="180"/>
      <c r="B1000" s="63" t="s">
        <v>63</v>
      </c>
      <c r="C1000" s="1560"/>
      <c r="D1000" s="1560"/>
      <c r="E1000" s="1560"/>
      <c r="F1000" s="646"/>
      <c r="H1000" s="663"/>
      <c r="I1000" s="663"/>
      <c r="J1000" s="319">
        <v>8</v>
      </c>
      <c r="K1000" s="646">
        <v>0.5</v>
      </c>
      <c r="M1000" s="47"/>
      <c r="N1000" s="47"/>
      <c r="O1000" s="319">
        <v>8</v>
      </c>
      <c r="P1000" s="646">
        <v>0.5</v>
      </c>
      <c r="R1000" s="663"/>
      <c r="S1000" s="663"/>
      <c r="T1000" s="319">
        <v>8</v>
      </c>
      <c r="U1000" s="646">
        <v>1</v>
      </c>
      <c r="W1000" s="663"/>
      <c r="X1000" s="663"/>
      <c r="Y1000" s="319">
        <v>8</v>
      </c>
      <c r="Z1000" s="646"/>
      <c r="AA1000" s="328">
        <f t="shared" si="139"/>
        <v>32</v>
      </c>
      <c r="AB1000" s="298">
        <f t="shared" si="140"/>
        <v>2</v>
      </c>
      <c r="AD1000" s="47"/>
      <c r="AE1000" s="47"/>
      <c r="AF1000" s="319"/>
      <c r="AG1000" s="328">
        <f t="shared" si="141"/>
        <v>0</v>
      </c>
      <c r="AI1000" s="255"/>
      <c r="AJ1000" s="180"/>
      <c r="AK1000" s="193"/>
      <c r="AL1000" s="193"/>
      <c r="AM1000" s="193"/>
      <c r="AN1000" s="193"/>
      <c r="AO1000" s="193"/>
      <c r="AP1000" s="193"/>
      <c r="AQ1000" s="180"/>
      <c r="AR1000" s="180"/>
      <c r="AS1000" s="180"/>
      <c r="AT1000" s="180"/>
      <c r="AU1000" s="180"/>
      <c r="AV1000" s="180"/>
      <c r="AW1000" s="180"/>
    </row>
    <row r="1001" spans="1:49" s="4" customFormat="1">
      <c r="A1001" s="180"/>
      <c r="B1001" s="267" t="s">
        <v>358</v>
      </c>
      <c r="C1001" s="1560"/>
      <c r="D1001" s="1560"/>
      <c r="E1001" s="1560"/>
      <c r="F1001" s="646"/>
      <c r="G1001" s="438"/>
      <c r="H1001" s="663"/>
      <c r="I1001" s="663"/>
      <c r="J1001" s="319">
        <v>6</v>
      </c>
      <c r="K1001" s="646"/>
      <c r="L1001" s="438"/>
      <c r="M1001" s="663"/>
      <c r="N1001" s="663"/>
      <c r="O1001" s="319">
        <v>6</v>
      </c>
      <c r="P1001" s="646"/>
      <c r="Q1001" s="438"/>
      <c r="R1001" s="663"/>
      <c r="S1001" s="663"/>
      <c r="T1001" s="319">
        <v>6</v>
      </c>
      <c r="U1001" s="646"/>
      <c r="V1001" s="438"/>
      <c r="W1001" s="663"/>
      <c r="X1001" s="663"/>
      <c r="Y1001" s="319">
        <v>6</v>
      </c>
      <c r="Z1001" s="646"/>
      <c r="AA1001" s="328">
        <f t="shared" si="139"/>
        <v>24</v>
      </c>
      <c r="AB1001" s="298">
        <f t="shared" si="140"/>
        <v>0</v>
      </c>
      <c r="AD1001" s="47"/>
      <c r="AE1001" s="47"/>
      <c r="AF1001" s="319"/>
      <c r="AG1001" s="328">
        <f t="shared" si="141"/>
        <v>0</v>
      </c>
      <c r="AI1001" s="255"/>
      <c r="AJ1001" s="180"/>
      <c r="AK1001" s="193"/>
      <c r="AL1001" s="193"/>
      <c r="AM1001" s="193"/>
      <c r="AN1001" s="193"/>
      <c r="AO1001" s="193"/>
      <c r="AP1001" s="193"/>
      <c r="AQ1001" s="180"/>
      <c r="AR1001" s="180"/>
      <c r="AS1001" s="180"/>
      <c r="AT1001" s="180"/>
      <c r="AU1001" s="180"/>
      <c r="AV1001" s="180"/>
      <c r="AW1001" s="180"/>
    </row>
    <row r="1002" spans="1:49" s="193" customFormat="1">
      <c r="A1002" s="180"/>
      <c r="B1002" s="267" t="s">
        <v>991</v>
      </c>
      <c r="C1002" s="1560"/>
      <c r="D1002" s="1560"/>
      <c r="E1002" s="1560"/>
      <c r="F1002" s="646"/>
      <c r="G1002" s="438"/>
      <c r="H1002" s="5"/>
      <c r="I1002" s="5"/>
      <c r="J1002" s="319"/>
      <c r="K1002" s="646"/>
      <c r="L1002" s="438"/>
      <c r="M1002" s="5"/>
      <c r="N1002" s="5"/>
      <c r="O1002" s="319"/>
      <c r="P1002" s="646"/>
      <c r="Q1002" s="438"/>
      <c r="R1002" s="5"/>
      <c r="S1002" s="5"/>
      <c r="T1002" s="319"/>
      <c r="U1002" s="646"/>
      <c r="V1002" s="438"/>
      <c r="W1002" s="5"/>
      <c r="X1002" s="5"/>
      <c r="Y1002" s="319"/>
      <c r="Z1002" s="646"/>
      <c r="AA1002" s="328">
        <f t="shared" si="139"/>
        <v>0</v>
      </c>
      <c r="AB1002" s="298">
        <f t="shared" si="140"/>
        <v>0</v>
      </c>
      <c r="AC1002" s="4"/>
      <c r="AD1002" s="47"/>
      <c r="AE1002" s="47"/>
      <c r="AF1002" s="319"/>
      <c r="AG1002" s="328">
        <f t="shared" si="141"/>
        <v>0</v>
      </c>
      <c r="AH1002" s="4"/>
      <c r="AI1002" s="255"/>
      <c r="AJ1002" s="180"/>
      <c r="AQ1002" s="180"/>
      <c r="AR1002" s="180"/>
      <c r="AS1002" s="180"/>
      <c r="AT1002" s="180"/>
      <c r="AU1002" s="180"/>
      <c r="AV1002" s="180"/>
      <c r="AW1002" s="180"/>
    </row>
    <row r="1003" spans="1:49" s="193" customFormat="1">
      <c r="A1003" s="180"/>
      <c r="B1003" s="267" t="s">
        <v>411</v>
      </c>
      <c r="C1003" s="1560"/>
      <c r="D1003" s="1560"/>
      <c r="E1003" s="1560"/>
      <c r="F1003" s="646"/>
      <c r="G1003" s="438"/>
      <c r="H1003" s="5"/>
      <c r="I1003" s="5"/>
      <c r="J1003" s="319"/>
      <c r="K1003" s="646"/>
      <c r="L1003" s="438"/>
      <c r="M1003" s="5"/>
      <c r="N1003" s="5"/>
      <c r="O1003" s="319"/>
      <c r="P1003" s="646"/>
      <c r="Q1003" s="438"/>
      <c r="R1003" s="5"/>
      <c r="S1003" s="5"/>
      <c r="T1003" s="319"/>
      <c r="U1003" s="646"/>
      <c r="V1003" s="438"/>
      <c r="W1003" s="5"/>
      <c r="X1003" s="5"/>
      <c r="Y1003" s="319"/>
      <c r="Z1003" s="646"/>
      <c r="AA1003" s="328">
        <f t="shared" si="139"/>
        <v>0</v>
      </c>
      <c r="AB1003" s="298">
        <f t="shared" si="140"/>
        <v>0</v>
      </c>
      <c r="AC1003" s="4"/>
      <c r="AD1003" s="47"/>
      <c r="AE1003" s="47"/>
      <c r="AF1003" s="319"/>
      <c r="AG1003" s="328">
        <f t="shared" si="141"/>
        <v>0</v>
      </c>
      <c r="AH1003" s="4"/>
      <c r="AI1003" s="255"/>
      <c r="AJ1003" s="180"/>
      <c r="AQ1003" s="180"/>
      <c r="AR1003" s="180"/>
      <c r="AS1003" s="180"/>
      <c r="AT1003" s="180"/>
      <c r="AU1003" s="180"/>
      <c r="AV1003" s="180"/>
      <c r="AW1003" s="180"/>
    </row>
    <row r="1004" spans="1:49" s="193" customFormat="1">
      <c r="A1004" s="180"/>
      <c r="B1004" s="267" t="s">
        <v>361</v>
      </c>
      <c r="C1004" s="1560"/>
      <c r="D1004" s="1560"/>
      <c r="E1004" s="1560"/>
      <c r="F1004" s="646"/>
      <c r="G1004" s="438"/>
      <c r="H1004" s="5"/>
      <c r="I1004" s="5"/>
      <c r="J1004" s="319"/>
      <c r="K1004" s="646"/>
      <c r="L1004" s="438"/>
      <c r="M1004" s="5"/>
      <c r="N1004" s="5"/>
      <c r="O1004" s="319"/>
      <c r="P1004" s="646"/>
      <c r="Q1004" s="438"/>
      <c r="R1004" s="5"/>
      <c r="S1004" s="5"/>
      <c r="T1004" s="319"/>
      <c r="U1004" s="646"/>
      <c r="V1004" s="438"/>
      <c r="W1004" s="5"/>
      <c r="X1004" s="5"/>
      <c r="Y1004" s="319"/>
      <c r="Z1004" s="646"/>
      <c r="AA1004" s="328">
        <f t="shared" si="139"/>
        <v>0</v>
      </c>
      <c r="AB1004" s="298">
        <f t="shared" si="140"/>
        <v>0</v>
      </c>
      <c r="AC1004" s="4"/>
      <c r="AD1004" s="47"/>
      <c r="AE1004" s="47"/>
      <c r="AF1004" s="319"/>
      <c r="AG1004" s="328">
        <f t="shared" si="141"/>
        <v>0</v>
      </c>
      <c r="AH1004" s="4"/>
      <c r="AI1004" s="255"/>
      <c r="AJ1004" s="180"/>
      <c r="AQ1004" s="180"/>
      <c r="AR1004" s="180"/>
      <c r="AS1004" s="180"/>
      <c r="AT1004" s="180"/>
      <c r="AU1004" s="180"/>
      <c r="AV1004" s="180"/>
      <c r="AW1004" s="180"/>
    </row>
    <row r="1005" spans="1:49" s="193" customFormat="1">
      <c r="A1005" s="180"/>
      <c r="B1005" s="267" t="s">
        <v>362</v>
      </c>
      <c r="C1005" s="1560"/>
      <c r="D1005" s="1560"/>
      <c r="E1005" s="1560"/>
      <c r="F1005" s="646"/>
      <c r="G1005" s="438"/>
      <c r="H1005" s="47"/>
      <c r="I1005" s="47"/>
      <c r="J1005" s="319">
        <v>1</v>
      </c>
      <c r="K1005" s="646"/>
      <c r="L1005" s="438"/>
      <c r="M1005" s="47"/>
      <c r="N1005" s="47"/>
      <c r="O1005" s="319">
        <v>1</v>
      </c>
      <c r="P1005" s="646"/>
      <c r="Q1005" s="438"/>
      <c r="R1005" s="47"/>
      <c r="S1005" s="47"/>
      <c r="T1005" s="319">
        <v>1</v>
      </c>
      <c r="U1005" s="646"/>
      <c r="V1005" s="438"/>
      <c r="W1005" s="5"/>
      <c r="X1005" s="5"/>
      <c r="Y1005" s="319">
        <v>1</v>
      </c>
      <c r="Z1005" s="646"/>
      <c r="AA1005" s="328">
        <f t="shared" si="139"/>
        <v>4</v>
      </c>
      <c r="AB1005" s="298">
        <f t="shared" si="140"/>
        <v>0</v>
      </c>
      <c r="AC1005" s="4"/>
      <c r="AD1005" s="47"/>
      <c r="AE1005" s="47"/>
      <c r="AF1005" s="319"/>
      <c r="AG1005" s="328">
        <f t="shared" si="141"/>
        <v>0</v>
      </c>
      <c r="AH1005" s="4"/>
      <c r="AI1005" s="255"/>
      <c r="AJ1005" s="180"/>
      <c r="AQ1005" s="180"/>
      <c r="AR1005" s="180"/>
      <c r="AS1005" s="180"/>
      <c r="AT1005" s="180"/>
      <c r="AU1005" s="180"/>
      <c r="AV1005" s="180"/>
      <c r="AW1005" s="180"/>
    </row>
    <row r="1006" spans="1:49" s="193" customFormat="1">
      <c r="A1006" s="180"/>
      <c r="B1006" s="437" t="s">
        <v>355</v>
      </c>
      <c r="C1006" s="1560"/>
      <c r="D1006" s="1560"/>
      <c r="E1006" s="1560"/>
      <c r="F1006" s="646"/>
      <c r="G1006" s="438"/>
      <c r="H1006" s="5"/>
      <c r="I1006" s="5"/>
      <c r="J1006" s="319">
        <v>7.7</v>
      </c>
      <c r="K1006" s="646"/>
      <c r="L1006" s="438"/>
      <c r="M1006" s="5"/>
      <c r="N1006" s="5"/>
      <c r="O1006" s="319">
        <v>7.7</v>
      </c>
      <c r="P1006" s="646"/>
      <c r="Q1006" s="438"/>
      <c r="R1006" s="5"/>
      <c r="S1006" s="5"/>
      <c r="T1006" s="319">
        <v>7.7</v>
      </c>
      <c r="U1006" s="646"/>
      <c r="V1006" s="438"/>
      <c r="W1006" s="5"/>
      <c r="X1006" s="5"/>
      <c r="Y1006" s="319">
        <v>7.7</v>
      </c>
      <c r="Z1006" s="646"/>
      <c r="AA1006" s="328">
        <f t="shared" si="139"/>
        <v>30.8</v>
      </c>
      <c r="AB1006" s="298">
        <f t="shared" si="140"/>
        <v>0</v>
      </c>
      <c r="AC1006" s="4"/>
      <c r="AD1006" s="47">
        <v>0.3125</v>
      </c>
      <c r="AE1006" s="47">
        <v>0.375</v>
      </c>
      <c r="AF1006" s="319">
        <v>1.5</v>
      </c>
      <c r="AG1006" s="328">
        <f t="shared" si="141"/>
        <v>1.5</v>
      </c>
      <c r="AH1006" s="4"/>
      <c r="AI1006" s="255"/>
      <c r="AJ1006" s="180"/>
      <c r="AQ1006" s="180"/>
      <c r="AR1006" s="180"/>
      <c r="AS1006" s="180"/>
      <c r="AT1006" s="180"/>
      <c r="AU1006" s="180"/>
      <c r="AV1006" s="180"/>
      <c r="AW1006" s="180"/>
    </row>
    <row r="1007" spans="1:49" s="193" customFormat="1">
      <c r="A1007" s="180"/>
      <c r="B1007" s="437" t="s">
        <v>356</v>
      </c>
      <c r="C1007" s="1560"/>
      <c r="D1007" s="1560"/>
      <c r="E1007" s="1560"/>
      <c r="F1007" s="646"/>
      <c r="G1007" s="438"/>
      <c r="H1007" s="5"/>
      <c r="I1007" s="5"/>
      <c r="J1007" s="319"/>
      <c r="K1007" s="646"/>
      <c r="L1007" s="438"/>
      <c r="M1007" s="5"/>
      <c r="N1007" s="5"/>
      <c r="O1007" s="319">
        <v>11.5</v>
      </c>
      <c r="P1007" s="646"/>
      <c r="Q1007" s="438"/>
      <c r="R1007" s="5"/>
      <c r="S1007" s="5"/>
      <c r="T1007" s="319"/>
      <c r="U1007" s="646"/>
      <c r="V1007" s="438"/>
      <c r="W1007" s="5"/>
      <c r="X1007" s="5"/>
      <c r="Y1007" s="319"/>
      <c r="Z1007" s="646"/>
      <c r="AA1007" s="328">
        <f t="shared" si="139"/>
        <v>11.5</v>
      </c>
      <c r="AB1007" s="298">
        <f t="shared" si="140"/>
        <v>0</v>
      </c>
      <c r="AC1007" s="4"/>
      <c r="AD1007" s="47">
        <v>0.3125</v>
      </c>
      <c r="AE1007" s="47">
        <v>0.375</v>
      </c>
      <c r="AF1007" s="319">
        <v>1.5</v>
      </c>
      <c r="AG1007" s="328">
        <f t="shared" si="141"/>
        <v>1.5</v>
      </c>
      <c r="AH1007" s="4"/>
      <c r="AI1007" s="255"/>
      <c r="AJ1007" s="180"/>
      <c r="AQ1007" s="180"/>
      <c r="AR1007" s="180"/>
      <c r="AS1007" s="180"/>
      <c r="AT1007" s="180"/>
      <c r="AU1007" s="180"/>
      <c r="AV1007" s="180"/>
      <c r="AW1007" s="180"/>
    </row>
    <row r="1008" spans="1:49" s="193" customFormat="1">
      <c r="A1008" s="180"/>
      <c r="B1008" s="64" t="s">
        <v>61</v>
      </c>
      <c r="C1008" s="31"/>
      <c r="D1008" s="31"/>
      <c r="E1008" s="439"/>
      <c r="F1008" s="646"/>
      <c r="G1008" s="31"/>
      <c r="H1008" s="31"/>
      <c r="I1008" s="31"/>
      <c r="J1008" s="439"/>
      <c r="K1008" s="646"/>
      <c r="L1008" s="31"/>
      <c r="M1008" s="31"/>
      <c r="N1008" s="31"/>
      <c r="O1008" s="439"/>
      <c r="P1008" s="646"/>
      <c r="Q1008" s="31"/>
      <c r="R1008" s="31"/>
      <c r="S1008" s="31"/>
      <c r="T1008" s="439"/>
      <c r="U1008" s="646"/>
      <c r="V1008" s="31"/>
      <c r="W1008" s="31"/>
      <c r="X1008" s="31"/>
      <c r="Y1008" s="439"/>
      <c r="Z1008" s="646"/>
      <c r="AA1008" s="370">
        <f>SUM(AA982:AA1007)</f>
        <v>329.3</v>
      </c>
      <c r="AB1008" s="370">
        <f>SUM(AB982:AB1007)</f>
        <v>5</v>
      </c>
      <c r="AC1008" s="4"/>
      <c r="AD1008" s="64"/>
      <c r="AE1008" s="64"/>
      <c r="AF1008" s="370">
        <f>SUM(AF982:AF1007)</f>
        <v>19</v>
      </c>
      <c r="AG1008" s="370">
        <f>SUM(AG982:AG1007)</f>
        <v>19</v>
      </c>
      <c r="AH1008" s="4"/>
      <c r="AI1008" s="255"/>
      <c r="AJ1008" s="180"/>
      <c r="AK1008" s="407"/>
      <c r="AQ1008" s="180"/>
      <c r="AR1008" s="180"/>
      <c r="AS1008" s="180"/>
      <c r="AT1008" s="180"/>
      <c r="AU1008" s="180"/>
      <c r="AV1008" s="180"/>
      <c r="AW1008" s="180"/>
    </row>
    <row r="1009" spans="1:49" s="193" customFormat="1">
      <c r="A1009" s="180"/>
      <c r="B1009" s="63" t="s">
        <v>64</v>
      </c>
      <c r="C1009" s="47"/>
      <c r="D1009" s="47"/>
      <c r="E1009" s="319"/>
      <c r="F1009" s="346"/>
      <c r="G1009" s="613"/>
      <c r="H1009" s="47"/>
      <c r="I1009" s="47"/>
      <c r="J1009" s="319">
        <v>8</v>
      </c>
      <c r="K1009" s="346">
        <v>0.5</v>
      </c>
      <c r="L1009" s="60"/>
      <c r="M1009" s="47"/>
      <c r="N1009" s="47"/>
      <c r="O1009" s="319">
        <v>8</v>
      </c>
      <c r="P1009" s="346">
        <v>0.5</v>
      </c>
      <c r="Q1009" s="60"/>
      <c r="R1009" s="47"/>
      <c r="S1009" s="47"/>
      <c r="T1009" s="319">
        <v>8</v>
      </c>
      <c r="U1009" s="346">
        <v>1.25</v>
      </c>
      <c r="V1009" s="60"/>
      <c r="W1009" s="47"/>
      <c r="X1009" s="47"/>
      <c r="Y1009" s="319">
        <v>7.5</v>
      </c>
      <c r="Z1009" s="346">
        <v>1.25</v>
      </c>
      <c r="AA1009" s="28">
        <f>SUM(E1009+J1009+O1009+T1009+Y1009)</f>
        <v>31.5</v>
      </c>
      <c r="AB1009" s="296">
        <f>Z1009+U1009+P1009+K1009+F1009</f>
        <v>3.5</v>
      </c>
      <c r="AC1009" s="4"/>
      <c r="AD1009" s="47"/>
      <c r="AE1009" s="47"/>
      <c r="AF1009" s="319">
        <f>2+0.75+1</f>
        <v>3.75</v>
      </c>
      <c r="AG1009" s="29">
        <f>AF1009</f>
        <v>3.75</v>
      </c>
      <c r="AH1009" s="4"/>
      <c r="AI1009" s="255"/>
      <c r="AJ1009" s="180"/>
      <c r="AK1009" s="407"/>
      <c r="AQ1009" s="180"/>
      <c r="AR1009" s="180"/>
      <c r="AS1009" s="180"/>
      <c r="AT1009" s="180"/>
      <c r="AU1009" s="180"/>
      <c r="AV1009" s="180"/>
      <c r="AW1009" s="180"/>
    </row>
    <row r="1010" spans="1:49" s="193" customFormat="1">
      <c r="A1010" s="180"/>
      <c r="B1010" s="71" t="s">
        <v>66</v>
      </c>
      <c r="C1010" s="371"/>
      <c r="D1010" s="371"/>
      <c r="E1010" s="71"/>
      <c r="F1010" s="613"/>
      <c r="G1010" s="71"/>
      <c r="H1010" s="71"/>
      <c r="I1010" s="71"/>
      <c r="J1010" s="71"/>
      <c r="K1010" s="613"/>
      <c r="L1010" s="71"/>
      <c r="M1010" s="71"/>
      <c r="N1010" s="71"/>
      <c r="O1010" s="71"/>
      <c r="P1010" s="613"/>
      <c r="Q1010" s="71"/>
      <c r="R1010" s="71"/>
      <c r="S1010" s="71"/>
      <c r="T1010" s="71"/>
      <c r="U1010" s="613"/>
      <c r="V1010" s="71"/>
      <c r="W1010" s="71"/>
      <c r="X1010" s="71"/>
      <c r="Y1010" s="71"/>
      <c r="Z1010" s="613"/>
      <c r="AA1010" s="370">
        <f>SUM(AA1009:AA1009)</f>
        <v>31.5</v>
      </c>
      <c r="AB1010" s="370">
        <f>SUM(AB1009:AB1009)</f>
        <v>3.5</v>
      </c>
      <c r="AC1010" s="4"/>
      <c r="AD1010" s="180"/>
      <c r="AE1010" s="180"/>
      <c r="AF1010" s="180"/>
      <c r="AG1010" s="370">
        <f>SUM(AG1009:AG1009)</f>
        <v>3.75</v>
      </c>
      <c r="AH1010" s="4"/>
      <c r="AI1010" s="255"/>
      <c r="AJ1010" s="180"/>
      <c r="AK1010" s="407"/>
      <c r="AQ1010" s="180"/>
      <c r="AR1010" s="180"/>
      <c r="AS1010" s="180"/>
      <c r="AT1010" s="180"/>
      <c r="AU1010" s="180"/>
      <c r="AV1010" s="180"/>
      <c r="AW1010" s="180"/>
    </row>
    <row r="1011" spans="1:49" s="193" customFormat="1">
      <c r="A1011" s="180"/>
      <c r="B1011" s="217" t="s">
        <v>67</v>
      </c>
      <c r="C1011" s="207">
        <f>C1012+C1013</f>
        <v>21</v>
      </c>
      <c r="D1011" s="207"/>
      <c r="E1011" s="209"/>
      <c r="F1011" s="209"/>
      <c r="G1011" s="207"/>
      <c r="H1011" s="209"/>
      <c r="I1011" s="209"/>
      <c r="J1011" s="209"/>
      <c r="K1011" s="209"/>
      <c r="L1011" s="207"/>
      <c r="M1011" s="207"/>
      <c r="N1011" s="207"/>
      <c r="O1011" s="207"/>
      <c r="P1011" s="209"/>
      <c r="Q1011" s="207"/>
      <c r="R1011" s="207"/>
      <c r="S1011" s="207"/>
      <c r="T1011" s="207"/>
      <c r="U1011" s="209"/>
      <c r="V1011" s="207"/>
      <c r="W1011" s="207"/>
      <c r="X1011" s="207"/>
      <c r="Y1011" s="210"/>
      <c r="Z1011" s="209"/>
      <c r="AA1011" s="211"/>
      <c r="AB1011" s="209"/>
      <c r="AC1011" s="211"/>
      <c r="AD1011" s="211"/>
      <c r="AE1011" s="211"/>
      <c r="AF1011" s="211"/>
      <c r="AG1011" s="211"/>
      <c r="AH1011" s="4"/>
      <c r="AI1011" s="255"/>
      <c r="AJ1011" s="180"/>
      <c r="AQ1011" s="180"/>
      <c r="AR1011" s="180"/>
      <c r="AS1011" s="180"/>
      <c r="AT1011" s="180"/>
      <c r="AU1011" s="180"/>
      <c r="AV1011" s="180"/>
      <c r="AW1011" s="180"/>
    </row>
    <row r="1012" spans="1:49" s="193" customFormat="1">
      <c r="A1012" s="180"/>
      <c r="B1012" s="238" t="s">
        <v>68</v>
      </c>
      <c r="C1012" s="239">
        <f>9</f>
        <v>9</v>
      </c>
      <c r="D1012" s="207"/>
      <c r="E1012" s="209"/>
      <c r="F1012" s="209"/>
      <c r="G1012" s="207"/>
      <c r="H1012" s="209"/>
      <c r="I1012" s="209"/>
      <c r="J1012" s="209"/>
      <c r="K1012" s="209"/>
      <c r="L1012" s="207"/>
      <c r="M1012" s="207"/>
      <c r="N1012" s="207"/>
      <c r="O1012" s="207"/>
      <c r="P1012" s="209"/>
      <c r="Q1012" s="207"/>
      <c r="R1012" s="207"/>
      <c r="S1012" s="207"/>
      <c r="T1012" s="207"/>
      <c r="U1012" s="209"/>
      <c r="V1012" s="207"/>
      <c r="W1012" s="207"/>
      <c r="X1012" s="207"/>
      <c r="Y1012" s="210"/>
      <c r="Z1012" s="209"/>
      <c r="AA1012" s="211"/>
      <c r="AB1012" s="209"/>
      <c r="AC1012" s="211"/>
      <c r="AD1012" s="211"/>
      <c r="AE1012" s="211"/>
      <c r="AF1012" s="211"/>
      <c r="AG1012" s="211"/>
      <c r="AH1012" s="4"/>
      <c r="AI1012" s="255"/>
      <c r="AJ1012" s="180"/>
      <c r="AQ1012" s="180"/>
      <c r="AR1012" s="180"/>
      <c r="AS1012" s="180"/>
      <c r="AT1012" s="180"/>
      <c r="AU1012" s="180"/>
      <c r="AV1012" s="180"/>
      <c r="AW1012" s="180"/>
    </row>
    <row r="1013" spans="1:49" s="193" customFormat="1">
      <c r="A1013" s="180"/>
      <c r="B1013" s="238" t="s">
        <v>69</v>
      </c>
      <c r="C1013" s="239">
        <f>3+1+2+4+2</f>
        <v>12</v>
      </c>
      <c r="D1013" s="207"/>
      <c r="E1013" s="209"/>
      <c r="F1013" s="209"/>
      <c r="G1013" s="207"/>
      <c r="H1013" s="209"/>
      <c r="I1013" s="209"/>
      <c r="J1013" s="209"/>
      <c r="K1013" s="209"/>
      <c r="L1013" s="207"/>
      <c r="M1013" s="207"/>
      <c r="N1013" s="207"/>
      <c r="O1013" s="207"/>
      <c r="P1013" s="209"/>
      <c r="Q1013" s="207"/>
      <c r="R1013" s="207"/>
      <c r="S1013" s="207"/>
      <c r="T1013" s="207"/>
      <c r="U1013" s="209"/>
      <c r="V1013" s="207"/>
      <c r="W1013" s="207"/>
      <c r="X1013" s="207"/>
      <c r="Y1013" s="210"/>
      <c r="Z1013" s="209"/>
      <c r="AA1013" s="211"/>
      <c r="AB1013" s="209"/>
      <c r="AC1013" s="211"/>
      <c r="AD1013" s="211"/>
      <c r="AE1013" s="211"/>
      <c r="AF1013" s="211"/>
      <c r="AG1013" s="211"/>
      <c r="AH1013" s="4"/>
      <c r="AI1013" s="255"/>
      <c r="AJ1013" s="180"/>
      <c r="AQ1013" s="180"/>
      <c r="AR1013" s="180"/>
      <c r="AS1013" s="180"/>
      <c r="AT1013" s="180"/>
      <c r="AU1013" s="180"/>
      <c r="AV1013" s="180"/>
      <c r="AW1013" s="180"/>
    </row>
    <row r="1015" spans="1:49">
      <c r="A1015" s="180"/>
      <c r="B1015" s="229"/>
      <c r="C1015" s="230"/>
      <c r="D1015" s="230"/>
      <c r="E1015" s="232"/>
      <c r="F1015" s="232"/>
      <c r="G1015" s="230"/>
      <c r="H1015" s="232"/>
      <c r="I1015" s="232"/>
      <c r="J1015" s="232"/>
      <c r="K1015" s="232"/>
      <c r="L1015" s="230"/>
      <c r="M1015" s="230"/>
      <c r="N1015" s="230"/>
      <c r="O1015" s="230"/>
      <c r="P1015" s="232"/>
      <c r="Q1015" s="230"/>
      <c r="R1015" s="230"/>
      <c r="S1015" s="230"/>
      <c r="T1015" s="230"/>
      <c r="U1015" s="232"/>
      <c r="V1015" s="230"/>
      <c r="W1015" s="230"/>
      <c r="X1015" s="230"/>
      <c r="Y1015" s="233"/>
      <c r="Z1015" s="232"/>
      <c r="AA1015" s="234"/>
      <c r="AB1015" s="232"/>
      <c r="AC1015" s="373"/>
      <c r="AD1015" s="236"/>
      <c r="AE1015" s="255"/>
      <c r="AF1015" s="255"/>
      <c r="AG1015" s="255"/>
      <c r="AH1015" s="255"/>
      <c r="AJ1015" s="255"/>
      <c r="AK1015" s="255"/>
      <c r="AL1015" s="255"/>
      <c r="AM1015" s="255"/>
      <c r="AN1015" s="255"/>
      <c r="AO1015" s="255"/>
      <c r="AP1015" s="255"/>
      <c r="AQ1015" s="255"/>
      <c r="AR1015" s="255"/>
      <c r="AS1015" s="255"/>
      <c r="AT1015" s="255"/>
      <c r="AU1015" s="255"/>
      <c r="AV1015" s="255"/>
      <c r="AW1015" s="255"/>
    </row>
    <row r="1016" spans="1:49">
      <c r="B1016" s="180"/>
      <c r="E1016" s="4"/>
      <c r="F1016" s="644"/>
      <c r="G1016" s="4"/>
      <c r="J1016" s="4"/>
      <c r="K1016" s="644"/>
      <c r="L1016" s="4"/>
      <c r="O1016" s="4"/>
      <c r="P1016" s="644"/>
      <c r="T1016" s="4"/>
      <c r="U1016" s="644"/>
      <c r="Y1016" s="4"/>
      <c r="Z1016" s="644"/>
      <c r="AA1016" s="4"/>
      <c r="AB1016" s="4"/>
      <c r="AC1016" s="4"/>
      <c r="AK1016" s="180"/>
      <c r="AL1016" s="180"/>
      <c r="AM1016" s="180"/>
      <c r="AN1016" s="180"/>
      <c r="AO1016" s="180"/>
      <c r="AP1016" s="180"/>
    </row>
    <row r="1017" spans="1:49">
      <c r="A1017" s="228"/>
      <c r="B1017" s="1518" t="s">
        <v>18</v>
      </c>
      <c r="C1017" s="1519"/>
      <c r="D1017" s="1519"/>
      <c r="E1017" s="1519"/>
      <c r="F1017" s="1519"/>
      <c r="G1017" s="365"/>
      <c r="H1017" s="1519"/>
      <c r="I1017" s="1519"/>
      <c r="J1017" s="1519"/>
      <c r="K1017" s="1519"/>
      <c r="L1017" s="365"/>
      <c r="M1017" s="1519"/>
      <c r="N1017" s="1519"/>
      <c r="O1017" s="1519"/>
      <c r="P1017" s="1519"/>
      <c r="Q1017" s="365"/>
      <c r="R1017" s="1519"/>
      <c r="S1017" s="1519"/>
      <c r="T1017" s="1519"/>
      <c r="U1017" s="1519"/>
      <c r="V1017" s="365"/>
      <c r="W1017" s="1519"/>
      <c r="X1017" s="1519"/>
      <c r="Y1017" s="1519"/>
      <c r="Z1017" s="1519"/>
      <c r="AA1017" s="1517" t="s">
        <v>19</v>
      </c>
      <c r="AB1017" s="1517" t="s">
        <v>20</v>
      </c>
      <c r="AC1017" s="4"/>
      <c r="AD1017" s="1519"/>
      <c r="AE1017" s="1519"/>
      <c r="AF1017" s="1519"/>
      <c r="AG1017" s="1517" t="s">
        <v>21</v>
      </c>
      <c r="AI1017" s="368"/>
      <c r="AK1017" s="194" t="s">
        <v>84</v>
      </c>
      <c r="AL1017" s="366"/>
      <c r="AM1017" s="366"/>
      <c r="AN1017" s="366"/>
      <c r="AO1017" s="366"/>
      <c r="AP1017" s="366"/>
    </row>
    <row r="1018" spans="1:49">
      <c r="A1018" s="180"/>
      <c r="B1018" s="1518"/>
      <c r="C1018" s="21" t="s">
        <v>23</v>
      </c>
      <c r="D1018" s="21" t="s">
        <v>24</v>
      </c>
      <c r="E1018" s="205" t="s">
        <v>25</v>
      </c>
      <c r="F1018" s="645" t="s">
        <v>14</v>
      </c>
      <c r="G1018" s="4"/>
      <c r="H1018" s="21" t="s">
        <v>23</v>
      </c>
      <c r="I1018" s="21" t="s">
        <v>24</v>
      </c>
      <c r="J1018" s="18" t="s">
        <v>25</v>
      </c>
      <c r="K1018" s="645" t="s">
        <v>14</v>
      </c>
      <c r="L1018" s="4"/>
      <c r="M1018" s="21" t="s">
        <v>23</v>
      </c>
      <c r="N1018" s="21" t="s">
        <v>24</v>
      </c>
      <c r="O1018" s="18" t="s">
        <v>25</v>
      </c>
      <c r="P1018" s="645" t="s">
        <v>14</v>
      </c>
      <c r="R1018" s="21" t="s">
        <v>23</v>
      </c>
      <c r="S1018" s="21" t="s">
        <v>24</v>
      </c>
      <c r="T1018" s="18" t="s">
        <v>25</v>
      </c>
      <c r="U1018" s="645" t="s">
        <v>14</v>
      </c>
      <c r="W1018" s="21" t="s">
        <v>23</v>
      </c>
      <c r="X1018" s="21" t="s">
        <v>24</v>
      </c>
      <c r="Y1018" s="18" t="s">
        <v>25</v>
      </c>
      <c r="Z1018" s="645" t="s">
        <v>14</v>
      </c>
      <c r="AA1018" s="1517"/>
      <c r="AB1018" s="1517"/>
      <c r="AC1018" s="4"/>
      <c r="AD1018" s="21" t="s">
        <v>23</v>
      </c>
      <c r="AE1018" s="21" t="s">
        <v>24</v>
      </c>
      <c r="AF1018" s="18" t="s">
        <v>25</v>
      </c>
      <c r="AG1018" s="1517"/>
      <c r="AI1018" s="368"/>
      <c r="AJ1018" s="367"/>
      <c r="AK1018" s="188" t="s">
        <v>26</v>
      </c>
      <c r="AL1018" s="196">
        <f>AA1046</f>
        <v>0</v>
      </c>
      <c r="AM1018" s="510">
        <v>39.14</v>
      </c>
      <c r="AN1018" s="510">
        <f t="shared" ref="AN1018:AN1023" si="142">AL1018*AM1018</f>
        <v>0</v>
      </c>
      <c r="AQ1018" s="367"/>
      <c r="AR1018" s="367"/>
      <c r="AS1018" s="367"/>
      <c r="AT1018" s="367"/>
      <c r="AU1018" s="367"/>
      <c r="AV1018" s="367"/>
      <c r="AW1018" s="367"/>
    </row>
    <row r="1019" spans="1:49">
      <c r="A1019" s="180"/>
      <c r="B1019" s="4" t="s">
        <v>958</v>
      </c>
      <c r="C1019" s="1559" t="s">
        <v>1050</v>
      </c>
      <c r="D1019" s="1559"/>
      <c r="E1019" s="319"/>
      <c r="F1019" s="646"/>
      <c r="G1019" s="4"/>
      <c r="H1019" s="47"/>
      <c r="I1019" s="47"/>
      <c r="J1019" s="319"/>
      <c r="K1019" s="646"/>
      <c r="L1019" s="4"/>
      <c r="M1019" s="441"/>
      <c r="N1019" s="47"/>
      <c r="O1019" s="319"/>
      <c r="P1019" s="646"/>
      <c r="R1019" s="47"/>
      <c r="S1019" s="47"/>
      <c r="T1019" s="319"/>
      <c r="U1019" s="646"/>
      <c r="W1019" s="47"/>
      <c r="X1019" s="47"/>
      <c r="Y1019" s="319"/>
      <c r="Z1019" s="646"/>
      <c r="AA1019" s="328">
        <f t="shared" ref="AA1019:AA1045" si="143">(E1019+J1019+O1019+T1019+Y1019)</f>
        <v>0</v>
      </c>
      <c r="AB1019" s="298">
        <f t="shared" ref="AB1019:AB1045" si="144">Z1019+U1019+P1019+K1019+F1019</f>
        <v>0</v>
      </c>
      <c r="AC1019" s="4"/>
      <c r="AD1019" s="587"/>
      <c r="AE1019" s="531"/>
      <c r="AF1019" s="319"/>
      <c r="AG1019" s="328">
        <f t="shared" ref="AG1019:AG1045" si="145">AF1019</f>
        <v>0</v>
      </c>
      <c r="AI1019" s="368"/>
      <c r="AJ1019" s="367"/>
      <c r="AK1019" s="188" t="s">
        <v>30</v>
      </c>
      <c r="AL1019" s="196">
        <f>AB1046</f>
        <v>0</v>
      </c>
      <c r="AM1019" s="511">
        <f>AM1018*1.5</f>
        <v>58.71</v>
      </c>
      <c r="AN1019" s="510">
        <f t="shared" si="142"/>
        <v>0</v>
      </c>
      <c r="AQ1019" s="367"/>
      <c r="AR1019" s="367"/>
      <c r="AS1019" s="367"/>
      <c r="AT1019" s="367"/>
      <c r="AU1019" s="367"/>
      <c r="AV1019" s="367"/>
      <c r="AW1019" s="367"/>
    </row>
    <row r="1020" spans="1:49">
      <c r="A1020" s="367"/>
      <c r="B1020" s="47" t="s">
        <v>515</v>
      </c>
      <c r="C1020" s="1559"/>
      <c r="D1020" s="1559"/>
      <c r="E1020" s="319"/>
      <c r="F1020" s="646"/>
      <c r="G1020" s="4"/>
      <c r="H1020" s="441"/>
      <c r="I1020" s="47"/>
      <c r="J1020" s="319"/>
      <c r="K1020" s="646"/>
      <c r="L1020" s="4"/>
      <c r="M1020" s="1558"/>
      <c r="N1020" s="1558"/>
      <c r="O1020" s="319"/>
      <c r="P1020" s="646"/>
      <c r="R1020" s="47"/>
      <c r="S1020" s="47"/>
      <c r="T1020" s="319"/>
      <c r="U1020" s="646"/>
      <c r="W1020" s="47"/>
      <c r="X1020" s="47"/>
      <c r="Y1020" s="319"/>
      <c r="Z1020" s="646"/>
      <c r="AA1020" s="328">
        <f t="shared" si="143"/>
        <v>0</v>
      </c>
      <c r="AB1020" s="298">
        <f t="shared" si="144"/>
        <v>0</v>
      </c>
      <c r="AC1020" s="4"/>
      <c r="AF1020" s="319"/>
      <c r="AG1020" s="328">
        <f t="shared" si="145"/>
        <v>0</v>
      </c>
      <c r="AH1020" s="175"/>
      <c r="AI1020" s="402"/>
      <c r="AJ1020" s="367"/>
      <c r="AK1020" s="188" t="s">
        <v>32</v>
      </c>
      <c r="AL1020" s="196">
        <f>AG1046</f>
        <v>0</v>
      </c>
      <c r="AM1020" s="510">
        <v>58.71</v>
      </c>
      <c r="AN1020" s="510">
        <f t="shared" si="142"/>
        <v>0</v>
      </c>
      <c r="AQ1020" s="367"/>
      <c r="AR1020" s="367"/>
      <c r="AS1020" s="367"/>
      <c r="AT1020" s="367"/>
      <c r="AU1020" s="367"/>
      <c r="AV1020" s="367"/>
      <c r="AW1020" s="367"/>
    </row>
    <row r="1021" spans="1:49">
      <c r="A1021" s="367"/>
      <c r="B1021" s="441" t="s">
        <v>962</v>
      </c>
      <c r="C1021" s="1559"/>
      <c r="D1021" s="1559"/>
      <c r="E1021" s="319"/>
      <c r="F1021" s="646"/>
      <c r="G1021" s="4"/>
      <c r="H1021" s="47"/>
      <c r="I1021" s="47"/>
      <c r="J1021" s="319"/>
      <c r="K1021" s="646"/>
      <c r="L1021" s="4"/>
      <c r="M1021" s="441"/>
      <c r="N1021" s="47"/>
      <c r="O1021" s="319"/>
      <c r="P1021" s="646"/>
      <c r="R1021" s="47"/>
      <c r="S1021" s="47"/>
      <c r="T1021" s="319"/>
      <c r="U1021" s="646"/>
      <c r="W1021" s="47"/>
      <c r="X1021" s="47"/>
      <c r="Y1021" s="319"/>
      <c r="Z1021" s="646"/>
      <c r="AA1021" s="328">
        <f t="shared" si="143"/>
        <v>0</v>
      </c>
      <c r="AB1021" s="298">
        <f t="shared" si="144"/>
        <v>0</v>
      </c>
      <c r="AC1021" s="399"/>
      <c r="AD1021" s="47"/>
      <c r="AE1021" s="47"/>
      <c r="AF1021" s="319"/>
      <c r="AG1021" s="328">
        <f t="shared" si="145"/>
        <v>0</v>
      </c>
      <c r="AH1021" s="175"/>
      <c r="AJ1021" s="401"/>
      <c r="AK1021" s="403" t="s">
        <v>213</v>
      </c>
      <c r="AL1021" s="404">
        <f>AA1048</f>
        <v>0</v>
      </c>
      <c r="AM1021" s="510">
        <v>51.5</v>
      </c>
      <c r="AN1021" s="510">
        <f t="shared" si="142"/>
        <v>0</v>
      </c>
      <c r="AO1021" s="405"/>
      <c r="AP1021" s="405"/>
      <c r="AQ1021" s="367"/>
      <c r="AR1021" s="401"/>
      <c r="AS1021" s="401"/>
      <c r="AT1021" s="401"/>
      <c r="AU1021" s="401"/>
      <c r="AV1021" s="401"/>
      <c r="AW1021" s="401"/>
    </row>
    <row r="1022" spans="1:49">
      <c r="A1022" s="367"/>
      <c r="B1022" s="436" t="s">
        <v>972</v>
      </c>
      <c r="C1022" s="1559"/>
      <c r="D1022" s="1559"/>
      <c r="E1022" s="319"/>
      <c r="F1022" s="646"/>
      <c r="G1022" s="4"/>
      <c r="H1022" s="441"/>
      <c r="I1022" s="47"/>
      <c r="J1022" s="319"/>
      <c r="K1022" s="646"/>
      <c r="L1022" s="4"/>
      <c r="M1022" s="441"/>
      <c r="N1022" s="47"/>
      <c r="O1022" s="319"/>
      <c r="P1022" s="646"/>
      <c r="R1022" s="47"/>
      <c r="S1022" s="47"/>
      <c r="T1022" s="319"/>
      <c r="U1022" s="646"/>
      <c r="W1022" s="47"/>
      <c r="X1022" s="47"/>
      <c r="Y1022" s="319"/>
      <c r="Z1022" s="646"/>
      <c r="AA1022" s="328">
        <f t="shared" si="143"/>
        <v>0</v>
      </c>
      <c r="AB1022" s="298">
        <f t="shared" si="144"/>
        <v>0</v>
      </c>
      <c r="AC1022" s="4"/>
      <c r="AD1022" s="47"/>
      <c r="AE1022" s="47"/>
      <c r="AF1022" s="319"/>
      <c r="AG1022" s="328">
        <f t="shared" si="145"/>
        <v>0</v>
      </c>
      <c r="AH1022" s="175"/>
      <c r="AI1022" s="368"/>
      <c r="AK1022" s="188" t="s">
        <v>36</v>
      </c>
      <c r="AL1022" s="196">
        <f>AB1048</f>
        <v>0</v>
      </c>
      <c r="AM1022" s="510">
        <f>AM1021*1.5</f>
        <v>77.25</v>
      </c>
      <c r="AN1022" s="510">
        <f t="shared" si="142"/>
        <v>0</v>
      </c>
      <c r="AQ1022" s="367"/>
    </row>
    <row r="1023" spans="1:49" s="4" customFormat="1">
      <c r="A1023" s="180"/>
      <c r="B1023" s="47" t="s">
        <v>974</v>
      </c>
      <c r="C1023" s="1559"/>
      <c r="D1023" s="1559"/>
      <c r="E1023" s="319"/>
      <c r="F1023" s="646"/>
      <c r="H1023" s="441"/>
      <c r="I1023" s="47"/>
      <c r="J1023" s="319"/>
      <c r="K1023" s="646"/>
      <c r="M1023" s="441"/>
      <c r="N1023" s="47"/>
      <c r="O1023" s="319"/>
      <c r="P1023" s="646"/>
      <c r="R1023" s="47"/>
      <c r="S1023" s="47"/>
      <c r="T1023" s="319"/>
      <c r="U1023" s="646"/>
      <c r="W1023" s="47"/>
      <c r="X1023" s="47"/>
      <c r="Y1023" s="319"/>
      <c r="Z1023" s="646"/>
      <c r="AA1023" s="328">
        <f t="shared" si="143"/>
        <v>0</v>
      </c>
      <c r="AB1023" s="298">
        <f t="shared" si="144"/>
        <v>0</v>
      </c>
      <c r="AD1023" s="47"/>
      <c r="AE1023" s="47"/>
      <c r="AF1023" s="319"/>
      <c r="AG1023" s="328">
        <f t="shared" si="145"/>
        <v>0</v>
      </c>
      <c r="AI1023" s="255"/>
      <c r="AJ1023" s="180"/>
      <c r="AK1023" s="188" t="s">
        <v>38</v>
      </c>
      <c r="AL1023" s="196">
        <f>AG1048</f>
        <v>0</v>
      </c>
      <c r="AM1023" s="510">
        <v>77.25</v>
      </c>
      <c r="AN1023" s="510">
        <f t="shared" si="142"/>
        <v>0</v>
      </c>
      <c r="AO1023" s="193"/>
      <c r="AP1023" s="193"/>
      <c r="AQ1023" s="367"/>
      <c r="AR1023" s="180"/>
      <c r="AS1023" s="180"/>
      <c r="AT1023" s="180"/>
      <c r="AU1023" s="180"/>
      <c r="AV1023" s="180"/>
      <c r="AW1023" s="180"/>
    </row>
    <row r="1024" spans="1:49" s="4" customFormat="1">
      <c r="A1024" s="180"/>
      <c r="B1024" s="374" t="s">
        <v>998</v>
      </c>
      <c r="C1024" s="1559"/>
      <c r="D1024" s="1559"/>
      <c r="E1024" s="319"/>
      <c r="F1024" s="646"/>
      <c r="H1024" s="441"/>
      <c r="I1024" s="47"/>
      <c r="J1024" s="319"/>
      <c r="K1024" s="646"/>
      <c r="M1024" s="441"/>
      <c r="N1024" s="47"/>
      <c r="O1024" s="319"/>
      <c r="P1024" s="646"/>
      <c r="R1024" s="47"/>
      <c r="S1024" s="47"/>
      <c r="T1024" s="319"/>
      <c r="U1024" s="646"/>
      <c r="W1024" s="47"/>
      <c r="X1024" s="47"/>
      <c r="Y1024" s="319"/>
      <c r="Z1024" s="646"/>
      <c r="AA1024" s="328">
        <f t="shared" si="143"/>
        <v>0</v>
      </c>
      <c r="AB1024" s="298">
        <f t="shared" si="144"/>
        <v>0</v>
      </c>
      <c r="AD1024" s="47"/>
      <c r="AE1024" s="47"/>
      <c r="AF1024" s="319"/>
      <c r="AG1024" s="328">
        <f t="shared" si="145"/>
        <v>0</v>
      </c>
      <c r="AI1024" s="255"/>
      <c r="AJ1024" s="180"/>
      <c r="AK1024" s="193"/>
      <c r="AL1024" s="193"/>
      <c r="AM1024" s="193"/>
      <c r="AN1024" s="510">
        <f>SUM(AN1018:AN1023)</f>
        <v>0</v>
      </c>
      <c r="AO1024" s="193"/>
      <c r="AP1024" s="193"/>
      <c r="AQ1024" s="180"/>
      <c r="AR1024" s="180"/>
      <c r="AS1024" s="180"/>
      <c r="AT1024" s="180"/>
      <c r="AU1024" s="180"/>
      <c r="AV1024" s="180"/>
      <c r="AW1024" s="180"/>
    </row>
    <row r="1025" spans="1:49" s="4" customFormat="1">
      <c r="A1025" s="180"/>
      <c r="B1025" s="47" t="s">
        <v>977</v>
      </c>
      <c r="C1025" s="1559"/>
      <c r="D1025" s="1559"/>
      <c r="E1025" s="319"/>
      <c r="F1025" s="646"/>
      <c r="H1025" s="441"/>
      <c r="I1025" s="47"/>
      <c r="J1025" s="319"/>
      <c r="K1025" s="646"/>
      <c r="M1025" s="441"/>
      <c r="N1025" s="47"/>
      <c r="O1025" s="319"/>
      <c r="P1025" s="646"/>
      <c r="R1025" s="47"/>
      <c r="S1025" s="47"/>
      <c r="T1025" s="319"/>
      <c r="U1025" s="646"/>
      <c r="W1025" s="47"/>
      <c r="X1025" s="47"/>
      <c r="Y1025" s="319"/>
      <c r="Z1025" s="646"/>
      <c r="AA1025" s="328">
        <f t="shared" si="143"/>
        <v>0</v>
      </c>
      <c r="AB1025" s="298">
        <f t="shared" si="144"/>
        <v>0</v>
      </c>
      <c r="AD1025" s="47"/>
      <c r="AE1025" s="47"/>
      <c r="AF1025" s="319"/>
      <c r="AG1025" s="328">
        <f t="shared" si="145"/>
        <v>0</v>
      </c>
      <c r="AI1025" s="255"/>
      <c r="AJ1025" s="180"/>
      <c r="AK1025" s="193"/>
      <c r="AL1025" s="193"/>
      <c r="AM1025" s="193"/>
      <c r="AN1025" s="193"/>
      <c r="AO1025" s="193"/>
      <c r="AP1025" s="193"/>
      <c r="AQ1025" s="180"/>
      <c r="AR1025" s="180"/>
      <c r="AS1025" s="180"/>
      <c r="AT1025" s="180"/>
      <c r="AU1025" s="180"/>
      <c r="AV1025" s="180"/>
      <c r="AW1025" s="180"/>
    </row>
    <row r="1026" spans="1:49" s="4" customFormat="1">
      <c r="A1026" s="180"/>
      <c r="B1026" s="47" t="s">
        <v>986</v>
      </c>
      <c r="C1026" s="1559"/>
      <c r="D1026" s="1559"/>
      <c r="E1026" s="319"/>
      <c r="F1026" s="646"/>
      <c r="H1026" s="441"/>
      <c r="I1026" s="47"/>
      <c r="J1026" s="319"/>
      <c r="K1026" s="646"/>
      <c r="M1026" s="441"/>
      <c r="N1026" s="47"/>
      <c r="O1026" s="319"/>
      <c r="P1026" s="646"/>
      <c r="R1026" s="47"/>
      <c r="S1026" s="47"/>
      <c r="T1026" s="319"/>
      <c r="U1026" s="646"/>
      <c r="W1026" s="47"/>
      <c r="X1026" s="47"/>
      <c r="Y1026" s="319"/>
      <c r="Z1026" s="646"/>
      <c r="AA1026" s="328">
        <f t="shared" si="143"/>
        <v>0</v>
      </c>
      <c r="AB1026" s="298">
        <f t="shared" si="144"/>
        <v>0</v>
      </c>
      <c r="AD1026" s="47"/>
      <c r="AE1026" s="47"/>
      <c r="AF1026" s="319"/>
      <c r="AG1026" s="328">
        <f t="shared" si="145"/>
        <v>0</v>
      </c>
      <c r="AI1026" s="255"/>
      <c r="AJ1026" s="180"/>
      <c r="AK1026" s="193"/>
      <c r="AL1026" s="193"/>
      <c r="AM1026" s="193"/>
      <c r="AN1026" s="193"/>
      <c r="AO1026" s="193"/>
      <c r="AP1026" s="193"/>
      <c r="AQ1026" s="180"/>
      <c r="AR1026" s="180"/>
      <c r="AS1026" s="180"/>
      <c r="AT1026" s="180"/>
      <c r="AU1026" s="180"/>
      <c r="AV1026" s="180"/>
      <c r="AW1026" s="180"/>
    </row>
    <row r="1027" spans="1:49" s="4" customFormat="1">
      <c r="A1027" s="180"/>
      <c r="B1027" s="47" t="s">
        <v>519</v>
      </c>
      <c r="C1027" s="1559"/>
      <c r="D1027" s="1559"/>
      <c r="E1027" s="319"/>
      <c r="F1027" s="646"/>
      <c r="H1027" s="441"/>
      <c r="I1027" s="441"/>
      <c r="J1027" s="319"/>
      <c r="K1027" s="646"/>
      <c r="M1027" s="441"/>
      <c r="N1027" s="441"/>
      <c r="O1027" s="319"/>
      <c r="P1027" s="646"/>
      <c r="R1027" s="441"/>
      <c r="S1027" s="441"/>
      <c r="T1027" s="319"/>
      <c r="U1027" s="646"/>
      <c r="W1027" s="441"/>
      <c r="X1027" s="441"/>
      <c r="Y1027" s="319"/>
      <c r="Z1027" s="646"/>
      <c r="AA1027" s="328">
        <f t="shared" si="143"/>
        <v>0</v>
      </c>
      <c r="AB1027" s="298">
        <f t="shared" si="144"/>
        <v>0</v>
      </c>
      <c r="AD1027" s="47"/>
      <c r="AE1027" s="47"/>
      <c r="AF1027" s="319"/>
      <c r="AG1027" s="328">
        <f t="shared" si="145"/>
        <v>0</v>
      </c>
      <c r="AI1027" s="255"/>
      <c r="AJ1027" s="180"/>
      <c r="AK1027" s="193"/>
      <c r="AL1027" s="193"/>
      <c r="AM1027" s="193"/>
      <c r="AN1027" s="193"/>
      <c r="AO1027" s="193"/>
      <c r="AP1027" s="193"/>
      <c r="AQ1027" s="180"/>
      <c r="AR1027" s="180"/>
      <c r="AS1027" s="180"/>
      <c r="AT1027" s="180"/>
      <c r="AU1027" s="180"/>
      <c r="AV1027" s="180"/>
      <c r="AW1027" s="180"/>
    </row>
    <row r="1028" spans="1:49" s="4" customFormat="1">
      <c r="A1028" s="180"/>
      <c r="B1028" s="327" t="s">
        <v>999</v>
      </c>
      <c r="C1028" s="1559"/>
      <c r="D1028" s="1559"/>
      <c r="E1028" s="319"/>
      <c r="F1028" s="646"/>
      <c r="H1028" s="441"/>
      <c r="I1028" s="47"/>
      <c r="J1028" s="319"/>
      <c r="K1028" s="646"/>
      <c r="M1028" s="441"/>
      <c r="N1028" s="441"/>
      <c r="O1028" s="319"/>
      <c r="P1028" s="646"/>
      <c r="R1028" s="441"/>
      <c r="S1028" s="441"/>
      <c r="T1028" s="319"/>
      <c r="U1028" s="646"/>
      <c r="W1028" s="441"/>
      <c r="X1028" s="441"/>
      <c r="Y1028" s="319"/>
      <c r="Z1028" s="646"/>
      <c r="AA1028" s="328">
        <f t="shared" si="143"/>
        <v>0</v>
      </c>
      <c r="AB1028" s="298">
        <f t="shared" si="144"/>
        <v>0</v>
      </c>
      <c r="AD1028" s="47"/>
      <c r="AE1028" s="47"/>
      <c r="AF1028" s="319"/>
      <c r="AG1028" s="328">
        <f t="shared" si="145"/>
        <v>0</v>
      </c>
      <c r="AI1028" s="255"/>
      <c r="AJ1028" s="180"/>
      <c r="AK1028" s="193"/>
      <c r="AL1028" s="193"/>
      <c r="AM1028" s="193"/>
      <c r="AN1028" s="193"/>
      <c r="AO1028" s="193"/>
      <c r="AP1028" s="193"/>
      <c r="AQ1028" s="180"/>
      <c r="AR1028" s="180"/>
      <c r="AS1028" s="180"/>
      <c r="AT1028" s="180"/>
      <c r="AU1028" s="180"/>
      <c r="AV1028" s="180"/>
      <c r="AW1028" s="180"/>
    </row>
    <row r="1029" spans="1:49" s="4" customFormat="1">
      <c r="A1029" s="180"/>
      <c r="B1029" s="532" t="s">
        <v>545</v>
      </c>
      <c r="C1029" s="1559"/>
      <c r="D1029" s="1559"/>
      <c r="E1029" s="319"/>
      <c r="F1029" s="646"/>
      <c r="H1029" s="441"/>
      <c r="I1029" s="47"/>
      <c r="J1029" s="319"/>
      <c r="K1029" s="646"/>
      <c r="M1029" s="441"/>
      <c r="N1029" s="441"/>
      <c r="O1029" s="319"/>
      <c r="P1029" s="646"/>
      <c r="R1029" s="441"/>
      <c r="S1029" s="441"/>
      <c r="T1029" s="319"/>
      <c r="U1029" s="646"/>
      <c r="W1029" s="441"/>
      <c r="X1029" s="441"/>
      <c r="Y1029" s="319"/>
      <c r="Z1029" s="646"/>
      <c r="AA1029" s="328">
        <f t="shared" si="143"/>
        <v>0</v>
      </c>
      <c r="AB1029" s="298">
        <f t="shared" si="144"/>
        <v>0</v>
      </c>
      <c r="AD1029" s="47"/>
      <c r="AE1029" s="47"/>
      <c r="AF1029" s="319"/>
      <c r="AG1029" s="328">
        <f t="shared" si="145"/>
        <v>0</v>
      </c>
      <c r="AI1029" s="255"/>
      <c r="AJ1029" s="180"/>
      <c r="AK1029" s="193"/>
      <c r="AL1029" s="193"/>
      <c r="AM1029" s="193"/>
      <c r="AN1029" s="193"/>
      <c r="AO1029" s="193"/>
      <c r="AP1029" s="193"/>
      <c r="AQ1029" s="180"/>
      <c r="AR1029" s="180"/>
      <c r="AS1029" s="180"/>
      <c r="AT1029" s="180"/>
      <c r="AU1029" s="180"/>
      <c r="AV1029" s="180"/>
      <c r="AW1029" s="180"/>
    </row>
    <row r="1030" spans="1:49" s="4" customFormat="1">
      <c r="A1030" s="180"/>
      <c r="B1030" s="532" t="s">
        <v>1031</v>
      </c>
      <c r="C1030" s="1559"/>
      <c r="D1030" s="1559"/>
      <c r="E1030" s="319"/>
      <c r="F1030" s="646"/>
      <c r="H1030" s="441"/>
      <c r="I1030" s="47"/>
      <c r="J1030" s="319"/>
      <c r="K1030" s="646"/>
      <c r="M1030" s="441"/>
      <c r="N1030" s="441"/>
      <c r="O1030" s="319"/>
      <c r="P1030" s="646"/>
      <c r="R1030" s="441"/>
      <c r="S1030" s="441"/>
      <c r="T1030" s="319"/>
      <c r="U1030" s="646"/>
      <c r="W1030" s="441"/>
      <c r="X1030" s="441"/>
      <c r="Y1030" s="319"/>
      <c r="Z1030" s="646"/>
      <c r="AA1030" s="328">
        <f t="shared" si="143"/>
        <v>0</v>
      </c>
      <c r="AB1030" s="298">
        <f t="shared" si="144"/>
        <v>0</v>
      </c>
      <c r="AD1030" s="47"/>
      <c r="AE1030" s="47"/>
      <c r="AF1030" s="319"/>
      <c r="AG1030" s="328">
        <f t="shared" si="145"/>
        <v>0</v>
      </c>
      <c r="AI1030" s="255"/>
      <c r="AJ1030" s="180"/>
      <c r="AK1030" s="193"/>
      <c r="AL1030" s="193"/>
      <c r="AM1030" s="193"/>
      <c r="AN1030" s="193"/>
      <c r="AO1030" s="193"/>
      <c r="AP1030" s="193"/>
      <c r="AQ1030" s="180"/>
      <c r="AR1030" s="180"/>
      <c r="AS1030" s="180"/>
      <c r="AT1030" s="180"/>
      <c r="AU1030" s="180"/>
      <c r="AV1030" s="180"/>
      <c r="AW1030" s="180"/>
    </row>
    <row r="1031" spans="1:49" s="4" customFormat="1">
      <c r="A1031" s="180"/>
      <c r="B1031" s="532" t="s">
        <v>1032</v>
      </c>
      <c r="C1031" s="1559"/>
      <c r="D1031" s="1559"/>
      <c r="E1031" s="319"/>
      <c r="F1031" s="646"/>
      <c r="H1031" s="441"/>
      <c r="I1031" s="47"/>
      <c r="J1031" s="319"/>
      <c r="K1031" s="646"/>
      <c r="M1031" s="441"/>
      <c r="N1031" s="441"/>
      <c r="O1031" s="319"/>
      <c r="P1031" s="646"/>
      <c r="R1031" s="441"/>
      <c r="S1031" s="441"/>
      <c r="T1031" s="319"/>
      <c r="U1031" s="646"/>
      <c r="W1031" s="441"/>
      <c r="X1031" s="441"/>
      <c r="Y1031" s="319"/>
      <c r="Z1031" s="646"/>
      <c r="AA1031" s="328">
        <f t="shared" si="143"/>
        <v>0</v>
      </c>
      <c r="AB1031" s="298">
        <f t="shared" si="144"/>
        <v>0</v>
      </c>
      <c r="AD1031" s="47"/>
      <c r="AE1031" s="47"/>
      <c r="AF1031" s="319"/>
      <c r="AG1031" s="328">
        <f t="shared" si="145"/>
        <v>0</v>
      </c>
      <c r="AI1031" s="255"/>
      <c r="AJ1031" s="180"/>
      <c r="AK1031" s="193"/>
      <c r="AL1031" s="193"/>
      <c r="AM1031" s="193"/>
      <c r="AN1031" s="193"/>
      <c r="AO1031" s="193"/>
      <c r="AP1031" s="193"/>
      <c r="AQ1031" s="180"/>
      <c r="AR1031" s="180"/>
      <c r="AS1031" s="180"/>
      <c r="AT1031" s="180"/>
      <c r="AU1031" s="180"/>
      <c r="AV1031" s="180"/>
      <c r="AW1031" s="180"/>
    </row>
    <row r="1032" spans="1:49" s="4" customFormat="1">
      <c r="A1032" s="180"/>
      <c r="B1032" s="711" t="s">
        <v>517</v>
      </c>
      <c r="C1032" s="1559"/>
      <c r="D1032" s="1559"/>
      <c r="E1032" s="319"/>
      <c r="F1032" s="646"/>
      <c r="H1032" s="441"/>
      <c r="I1032" s="47"/>
      <c r="J1032" s="319"/>
      <c r="K1032" s="646"/>
      <c r="M1032" s="47"/>
      <c r="N1032" s="47"/>
      <c r="O1032" s="319"/>
      <c r="P1032" s="646"/>
      <c r="R1032" s="47"/>
      <c r="S1032" s="47"/>
      <c r="T1032" s="319"/>
      <c r="U1032" s="646"/>
      <c r="W1032" s="47"/>
      <c r="X1032" s="47"/>
      <c r="Y1032" s="319"/>
      <c r="Z1032" s="646"/>
      <c r="AA1032" s="328">
        <f t="shared" si="143"/>
        <v>0</v>
      </c>
      <c r="AB1032" s="298">
        <f t="shared" si="144"/>
        <v>0</v>
      </c>
      <c r="AD1032" s="47"/>
      <c r="AE1032" s="47"/>
      <c r="AF1032" s="319"/>
      <c r="AG1032" s="328">
        <f t="shared" si="145"/>
        <v>0</v>
      </c>
      <c r="AI1032" s="255"/>
      <c r="AJ1032" s="180"/>
      <c r="AK1032" s="193"/>
      <c r="AL1032" s="193"/>
      <c r="AM1032" s="193"/>
      <c r="AN1032" s="193"/>
      <c r="AO1032" s="193"/>
      <c r="AP1032" s="193"/>
      <c r="AQ1032" s="180"/>
      <c r="AR1032" s="180"/>
      <c r="AS1032" s="180"/>
      <c r="AT1032" s="180"/>
      <c r="AU1032" s="180"/>
      <c r="AV1032" s="180"/>
      <c r="AW1032" s="180"/>
    </row>
    <row r="1033" spans="1:49" s="4" customFormat="1">
      <c r="A1033" s="180"/>
      <c r="B1033" s="502" t="s">
        <v>483</v>
      </c>
      <c r="C1033" s="1559"/>
      <c r="D1033" s="1559"/>
      <c r="E1033" s="319"/>
      <c r="F1033" s="646"/>
      <c r="H1033" s="5"/>
      <c r="I1033" s="5"/>
      <c r="J1033" s="319"/>
      <c r="K1033" s="646"/>
      <c r="M1033" s="5"/>
      <c r="N1033" s="5"/>
      <c r="O1033" s="319"/>
      <c r="P1033" s="646"/>
      <c r="R1033" s="5"/>
      <c r="S1033" s="5"/>
      <c r="T1033" s="319"/>
      <c r="U1033" s="646"/>
      <c r="W1033" s="5"/>
      <c r="X1033" s="5"/>
      <c r="Y1033" s="319"/>
      <c r="Z1033" s="646"/>
      <c r="AA1033" s="328">
        <f t="shared" si="143"/>
        <v>0</v>
      </c>
      <c r="AB1033" s="298">
        <f t="shared" si="144"/>
        <v>0</v>
      </c>
      <c r="AD1033" s="47"/>
      <c r="AE1033" s="47"/>
      <c r="AF1033" s="319"/>
      <c r="AG1033" s="328">
        <f t="shared" si="145"/>
        <v>0</v>
      </c>
      <c r="AI1033" s="255"/>
      <c r="AJ1033" s="180"/>
      <c r="AK1033" s="193"/>
      <c r="AL1033" s="193"/>
      <c r="AM1033" s="193"/>
      <c r="AN1033" s="193"/>
      <c r="AO1033" s="193"/>
      <c r="AP1033" s="193"/>
      <c r="AQ1033" s="180"/>
      <c r="AR1033" s="180"/>
      <c r="AS1033" s="180"/>
      <c r="AT1033" s="180"/>
      <c r="AU1033" s="180"/>
      <c r="AV1033" s="180"/>
      <c r="AW1033" s="180"/>
    </row>
    <row r="1034" spans="1:49" s="4" customFormat="1">
      <c r="A1034" s="180"/>
      <c r="B1034" s="502" t="s">
        <v>483</v>
      </c>
      <c r="C1034" s="1559"/>
      <c r="D1034" s="1559"/>
      <c r="E1034" s="319"/>
      <c r="F1034" s="646"/>
      <c r="H1034" s="47"/>
      <c r="I1034" s="47"/>
      <c r="J1034" s="319"/>
      <c r="K1034" s="646"/>
      <c r="M1034" s="47"/>
      <c r="N1034" s="47"/>
      <c r="O1034" s="319"/>
      <c r="P1034" s="646"/>
      <c r="R1034" s="47"/>
      <c r="S1034" s="47"/>
      <c r="T1034" s="319"/>
      <c r="U1034" s="646"/>
      <c r="W1034" s="47"/>
      <c r="X1034" s="47"/>
      <c r="Y1034" s="319"/>
      <c r="Z1034" s="646"/>
      <c r="AA1034" s="328">
        <f t="shared" si="143"/>
        <v>0</v>
      </c>
      <c r="AB1034" s="298">
        <f t="shared" si="144"/>
        <v>0</v>
      </c>
      <c r="AD1034" s="47"/>
      <c r="AE1034" s="47"/>
      <c r="AF1034" s="319"/>
      <c r="AG1034" s="328">
        <f t="shared" si="145"/>
        <v>0</v>
      </c>
      <c r="AI1034" s="255"/>
      <c r="AJ1034" s="180"/>
      <c r="AK1034" s="193"/>
      <c r="AL1034" s="193"/>
      <c r="AM1034" s="193"/>
      <c r="AN1034" s="193"/>
      <c r="AO1034" s="193"/>
      <c r="AP1034" s="193"/>
      <c r="AQ1034" s="180"/>
      <c r="AR1034" s="180"/>
      <c r="AS1034" s="180"/>
      <c r="AT1034" s="180"/>
      <c r="AU1034" s="180"/>
      <c r="AV1034" s="180"/>
      <c r="AW1034" s="180"/>
    </row>
    <row r="1035" spans="1:49" s="4" customFormat="1">
      <c r="A1035" s="180"/>
      <c r="B1035" s="502" t="s">
        <v>484</v>
      </c>
      <c r="C1035" s="1559"/>
      <c r="D1035" s="1559"/>
      <c r="E1035" s="319"/>
      <c r="F1035" s="646"/>
      <c r="H1035" s="47"/>
      <c r="I1035" s="47"/>
      <c r="J1035" s="319"/>
      <c r="K1035" s="646"/>
      <c r="M1035" s="47"/>
      <c r="N1035" s="47"/>
      <c r="O1035" s="319"/>
      <c r="P1035" s="646"/>
      <c r="R1035" s="47"/>
      <c r="S1035" s="47"/>
      <c r="T1035" s="319"/>
      <c r="U1035" s="646"/>
      <c r="W1035" s="47"/>
      <c r="X1035" s="47"/>
      <c r="Y1035" s="319"/>
      <c r="Z1035" s="646"/>
      <c r="AA1035" s="328">
        <f t="shared" si="143"/>
        <v>0</v>
      </c>
      <c r="AB1035" s="298">
        <f t="shared" si="144"/>
        <v>0</v>
      </c>
      <c r="AD1035" s="47"/>
      <c r="AE1035" s="47"/>
      <c r="AF1035" s="319"/>
      <c r="AG1035" s="328">
        <f t="shared" si="145"/>
        <v>0</v>
      </c>
      <c r="AI1035" s="255"/>
      <c r="AJ1035" s="180"/>
      <c r="AK1035" s="193"/>
      <c r="AL1035" s="193"/>
      <c r="AM1035" s="193"/>
      <c r="AN1035" s="193"/>
      <c r="AO1035" s="193"/>
      <c r="AP1035" s="193"/>
      <c r="AQ1035" s="180"/>
      <c r="AR1035" s="180"/>
      <c r="AS1035" s="180"/>
      <c r="AT1035" s="180"/>
      <c r="AU1035" s="180"/>
      <c r="AV1035" s="180"/>
      <c r="AW1035" s="180"/>
    </row>
    <row r="1036" spans="1:49" s="4" customFormat="1">
      <c r="A1036" s="180"/>
      <c r="B1036" s="502" t="s">
        <v>485</v>
      </c>
      <c r="C1036" s="1559"/>
      <c r="D1036" s="1559"/>
      <c r="E1036" s="319"/>
      <c r="F1036" s="646"/>
      <c r="H1036" s="47"/>
      <c r="I1036" s="47"/>
      <c r="J1036" s="319"/>
      <c r="K1036" s="646"/>
      <c r="M1036" s="47"/>
      <c r="N1036" s="47"/>
      <c r="O1036" s="319"/>
      <c r="P1036" s="646"/>
      <c r="R1036" s="47"/>
      <c r="S1036" s="47"/>
      <c r="T1036" s="319"/>
      <c r="U1036" s="646"/>
      <c r="W1036" s="47"/>
      <c r="X1036" s="47"/>
      <c r="Y1036" s="319"/>
      <c r="Z1036" s="646"/>
      <c r="AA1036" s="328">
        <f t="shared" si="143"/>
        <v>0</v>
      </c>
      <c r="AB1036" s="298">
        <f t="shared" si="144"/>
        <v>0</v>
      </c>
      <c r="AD1036" s="47"/>
      <c r="AE1036" s="47"/>
      <c r="AF1036" s="319"/>
      <c r="AG1036" s="328">
        <f t="shared" si="145"/>
        <v>0</v>
      </c>
      <c r="AI1036" s="255"/>
      <c r="AJ1036" s="180"/>
      <c r="AK1036" s="193"/>
      <c r="AL1036" s="193"/>
      <c r="AM1036" s="193"/>
      <c r="AN1036" s="193"/>
      <c r="AO1036" s="193"/>
      <c r="AP1036" s="193"/>
      <c r="AQ1036" s="180"/>
      <c r="AR1036" s="180"/>
      <c r="AS1036" s="180"/>
      <c r="AT1036" s="180"/>
      <c r="AU1036" s="180"/>
      <c r="AV1036" s="180"/>
      <c r="AW1036" s="180"/>
    </row>
    <row r="1037" spans="1:49" s="4" customFormat="1">
      <c r="A1037" s="180"/>
      <c r="B1037" s="502" t="s">
        <v>486</v>
      </c>
      <c r="C1037" s="1559"/>
      <c r="D1037" s="1559"/>
      <c r="E1037" s="319"/>
      <c r="F1037" s="646"/>
      <c r="H1037" s="5"/>
      <c r="I1037" s="5"/>
      <c r="J1037" s="319"/>
      <c r="K1037" s="646"/>
      <c r="M1037" s="5"/>
      <c r="N1037" s="5"/>
      <c r="O1037" s="319"/>
      <c r="P1037" s="646"/>
      <c r="R1037" s="5"/>
      <c r="S1037" s="5"/>
      <c r="T1037" s="319"/>
      <c r="U1037" s="646"/>
      <c r="W1037" s="5"/>
      <c r="X1037" s="5"/>
      <c r="Y1037" s="319"/>
      <c r="Z1037" s="646"/>
      <c r="AA1037" s="328">
        <f t="shared" si="143"/>
        <v>0</v>
      </c>
      <c r="AB1037" s="298">
        <f t="shared" si="144"/>
        <v>0</v>
      </c>
      <c r="AD1037" s="47"/>
      <c r="AE1037" s="47"/>
      <c r="AF1037" s="319"/>
      <c r="AG1037" s="328">
        <f t="shared" si="145"/>
        <v>0</v>
      </c>
      <c r="AI1037" s="255"/>
      <c r="AJ1037" s="180"/>
      <c r="AK1037" s="193"/>
      <c r="AL1037" s="193"/>
      <c r="AM1037" s="193"/>
      <c r="AN1037" s="193"/>
      <c r="AO1037" s="193"/>
      <c r="AP1037" s="193"/>
      <c r="AQ1037" s="180"/>
      <c r="AR1037" s="180"/>
      <c r="AS1037" s="180"/>
      <c r="AT1037" s="180"/>
      <c r="AU1037" s="180"/>
      <c r="AV1037" s="180"/>
      <c r="AW1037" s="180"/>
    </row>
    <row r="1038" spans="1:49" s="4" customFormat="1">
      <c r="A1038" s="180"/>
      <c r="B1038" s="63" t="s">
        <v>63</v>
      </c>
      <c r="C1038" s="1559"/>
      <c r="D1038" s="1559"/>
      <c r="E1038" s="319"/>
      <c r="F1038" s="646"/>
      <c r="H1038" s="663"/>
      <c r="I1038" s="663"/>
      <c r="J1038" s="319"/>
      <c r="K1038" s="646"/>
      <c r="M1038" s="47"/>
      <c r="N1038" s="47"/>
      <c r="O1038" s="319"/>
      <c r="P1038" s="646"/>
      <c r="R1038" s="663"/>
      <c r="S1038" s="663"/>
      <c r="T1038" s="319"/>
      <c r="U1038" s="646"/>
      <c r="W1038" s="663"/>
      <c r="X1038" s="663"/>
      <c r="Y1038" s="319"/>
      <c r="Z1038" s="646"/>
      <c r="AA1038" s="328">
        <f t="shared" si="143"/>
        <v>0</v>
      </c>
      <c r="AB1038" s="298">
        <f t="shared" si="144"/>
        <v>0</v>
      </c>
      <c r="AD1038" s="47"/>
      <c r="AE1038" s="47"/>
      <c r="AF1038" s="319"/>
      <c r="AG1038" s="328">
        <f t="shared" si="145"/>
        <v>0</v>
      </c>
      <c r="AI1038" s="255"/>
      <c r="AJ1038" s="180"/>
      <c r="AK1038" s="193"/>
      <c r="AL1038" s="193"/>
      <c r="AM1038" s="193"/>
      <c r="AN1038" s="193"/>
      <c r="AO1038" s="193"/>
      <c r="AP1038" s="193"/>
      <c r="AQ1038" s="180"/>
      <c r="AR1038" s="180"/>
      <c r="AS1038" s="180"/>
      <c r="AT1038" s="180"/>
      <c r="AU1038" s="180"/>
      <c r="AV1038" s="180"/>
      <c r="AW1038" s="180"/>
    </row>
    <row r="1039" spans="1:49" s="4" customFormat="1">
      <c r="A1039" s="180"/>
      <c r="B1039" s="267" t="s">
        <v>358</v>
      </c>
      <c r="C1039" s="1559"/>
      <c r="D1039" s="1559"/>
      <c r="E1039" s="319"/>
      <c r="F1039" s="646"/>
      <c r="G1039" s="438"/>
      <c r="H1039" s="663"/>
      <c r="I1039" s="663"/>
      <c r="J1039" s="319"/>
      <c r="K1039" s="646"/>
      <c r="L1039" s="438"/>
      <c r="M1039" s="663"/>
      <c r="N1039" s="663"/>
      <c r="O1039" s="319"/>
      <c r="P1039" s="646"/>
      <c r="Q1039" s="438"/>
      <c r="R1039" s="663"/>
      <c r="S1039" s="663"/>
      <c r="T1039" s="319"/>
      <c r="U1039" s="646"/>
      <c r="V1039" s="438"/>
      <c r="W1039" s="663"/>
      <c r="X1039" s="663"/>
      <c r="Y1039" s="319"/>
      <c r="Z1039" s="646"/>
      <c r="AA1039" s="328">
        <f t="shared" si="143"/>
        <v>0</v>
      </c>
      <c r="AB1039" s="298">
        <f t="shared" si="144"/>
        <v>0</v>
      </c>
      <c r="AD1039" s="47"/>
      <c r="AE1039" s="47"/>
      <c r="AF1039" s="319"/>
      <c r="AG1039" s="328">
        <f t="shared" si="145"/>
        <v>0</v>
      </c>
      <c r="AI1039" s="255"/>
      <c r="AJ1039" s="180"/>
      <c r="AK1039" s="193"/>
      <c r="AL1039" s="193"/>
      <c r="AM1039" s="193"/>
      <c r="AN1039" s="193"/>
      <c r="AO1039" s="193"/>
      <c r="AP1039" s="193"/>
      <c r="AQ1039" s="180"/>
      <c r="AR1039" s="180"/>
      <c r="AS1039" s="180"/>
      <c r="AT1039" s="180"/>
      <c r="AU1039" s="180"/>
      <c r="AV1039" s="180"/>
      <c r="AW1039" s="180"/>
    </row>
    <row r="1040" spans="1:49" s="193" customFormat="1">
      <c r="A1040" s="180"/>
      <c r="B1040" s="267" t="s">
        <v>991</v>
      </c>
      <c r="C1040" s="1559"/>
      <c r="D1040" s="1559"/>
      <c r="E1040" s="319"/>
      <c r="F1040" s="646"/>
      <c r="G1040" s="438"/>
      <c r="H1040" s="5"/>
      <c r="I1040" s="5"/>
      <c r="J1040" s="319"/>
      <c r="K1040" s="646"/>
      <c r="L1040" s="438"/>
      <c r="M1040" s="5"/>
      <c r="N1040" s="5"/>
      <c r="O1040" s="319"/>
      <c r="P1040" s="646"/>
      <c r="Q1040" s="438"/>
      <c r="R1040" s="5"/>
      <c r="S1040" s="5"/>
      <c r="T1040" s="319"/>
      <c r="U1040" s="646"/>
      <c r="V1040" s="438"/>
      <c r="W1040" s="5"/>
      <c r="X1040" s="5"/>
      <c r="Y1040" s="319"/>
      <c r="Z1040" s="646"/>
      <c r="AA1040" s="328">
        <f t="shared" si="143"/>
        <v>0</v>
      </c>
      <c r="AB1040" s="298">
        <f t="shared" si="144"/>
        <v>0</v>
      </c>
      <c r="AC1040" s="4"/>
      <c r="AD1040" s="47"/>
      <c r="AE1040" s="47"/>
      <c r="AF1040" s="319"/>
      <c r="AG1040" s="328">
        <f t="shared" si="145"/>
        <v>0</v>
      </c>
      <c r="AH1040" s="4"/>
      <c r="AI1040" s="255"/>
      <c r="AJ1040" s="180"/>
      <c r="AQ1040" s="180"/>
      <c r="AR1040" s="180"/>
      <c r="AS1040" s="180"/>
      <c r="AT1040" s="180"/>
      <c r="AU1040" s="180"/>
      <c r="AV1040" s="180"/>
      <c r="AW1040" s="180"/>
    </row>
    <row r="1041" spans="1:49" s="193" customFormat="1">
      <c r="A1041" s="180"/>
      <c r="B1041" s="267" t="s">
        <v>411</v>
      </c>
      <c r="C1041" s="1559"/>
      <c r="D1041" s="1559"/>
      <c r="E1041" s="319"/>
      <c r="F1041" s="646"/>
      <c r="G1041" s="438"/>
      <c r="H1041" s="5"/>
      <c r="I1041" s="5"/>
      <c r="J1041" s="319"/>
      <c r="K1041" s="646"/>
      <c r="L1041" s="438"/>
      <c r="M1041" s="5"/>
      <c r="N1041" s="5"/>
      <c r="O1041" s="319"/>
      <c r="P1041" s="646"/>
      <c r="Q1041" s="438"/>
      <c r="R1041" s="5"/>
      <c r="S1041" s="5"/>
      <c r="T1041" s="319"/>
      <c r="U1041" s="646"/>
      <c r="V1041" s="438"/>
      <c r="W1041" s="5"/>
      <c r="X1041" s="5"/>
      <c r="Y1041" s="319"/>
      <c r="Z1041" s="646"/>
      <c r="AA1041" s="328">
        <f t="shared" si="143"/>
        <v>0</v>
      </c>
      <c r="AB1041" s="298">
        <f t="shared" si="144"/>
        <v>0</v>
      </c>
      <c r="AC1041" s="4"/>
      <c r="AD1041" s="47"/>
      <c r="AE1041" s="47"/>
      <c r="AF1041" s="319"/>
      <c r="AG1041" s="328">
        <f t="shared" si="145"/>
        <v>0</v>
      </c>
      <c r="AH1041" s="4"/>
      <c r="AI1041" s="255"/>
      <c r="AJ1041" s="180"/>
      <c r="AQ1041" s="180"/>
      <c r="AR1041" s="180"/>
      <c r="AS1041" s="180"/>
      <c r="AT1041" s="180"/>
      <c r="AU1041" s="180"/>
      <c r="AV1041" s="180"/>
      <c r="AW1041" s="180"/>
    </row>
    <row r="1042" spans="1:49" s="193" customFormat="1">
      <c r="A1042" s="180"/>
      <c r="B1042" s="267" t="s">
        <v>361</v>
      </c>
      <c r="C1042" s="1559"/>
      <c r="D1042" s="1559"/>
      <c r="E1042" s="319"/>
      <c r="F1042" s="646"/>
      <c r="G1042" s="438"/>
      <c r="H1042" s="5"/>
      <c r="I1042" s="5"/>
      <c r="J1042" s="319"/>
      <c r="K1042" s="646"/>
      <c r="L1042" s="438"/>
      <c r="M1042" s="5"/>
      <c r="N1042" s="5"/>
      <c r="O1042" s="319"/>
      <c r="P1042" s="646"/>
      <c r="Q1042" s="438"/>
      <c r="R1042" s="5"/>
      <c r="S1042" s="5"/>
      <c r="T1042" s="319"/>
      <c r="U1042" s="646"/>
      <c r="V1042" s="438"/>
      <c r="W1042" s="5"/>
      <c r="X1042" s="5"/>
      <c r="Y1042" s="319"/>
      <c r="Z1042" s="646"/>
      <c r="AA1042" s="328">
        <f t="shared" si="143"/>
        <v>0</v>
      </c>
      <c r="AB1042" s="298">
        <f t="shared" si="144"/>
        <v>0</v>
      </c>
      <c r="AC1042" s="4"/>
      <c r="AD1042" s="47"/>
      <c r="AE1042" s="47"/>
      <c r="AF1042" s="319"/>
      <c r="AG1042" s="328">
        <f t="shared" si="145"/>
        <v>0</v>
      </c>
      <c r="AH1042" s="4"/>
      <c r="AI1042" s="255"/>
      <c r="AJ1042" s="180"/>
      <c r="AQ1042" s="180"/>
      <c r="AR1042" s="180"/>
      <c r="AS1042" s="180"/>
      <c r="AT1042" s="180"/>
      <c r="AU1042" s="180"/>
      <c r="AV1042" s="180"/>
      <c r="AW1042" s="180"/>
    </row>
    <row r="1043" spans="1:49" s="193" customFormat="1">
      <c r="A1043" s="180"/>
      <c r="B1043" s="267" t="s">
        <v>362</v>
      </c>
      <c r="C1043" s="1559"/>
      <c r="D1043" s="1559"/>
      <c r="E1043" s="319"/>
      <c r="F1043" s="646"/>
      <c r="G1043" s="438"/>
      <c r="H1043" s="47"/>
      <c r="I1043" s="47"/>
      <c r="J1043" s="319"/>
      <c r="K1043" s="646"/>
      <c r="L1043" s="438"/>
      <c r="M1043" s="47"/>
      <c r="N1043" s="47"/>
      <c r="O1043" s="319"/>
      <c r="P1043" s="646"/>
      <c r="Q1043" s="438"/>
      <c r="R1043" s="47"/>
      <c r="S1043" s="47"/>
      <c r="T1043" s="319"/>
      <c r="U1043" s="646"/>
      <c r="V1043" s="438"/>
      <c r="W1043" s="5"/>
      <c r="X1043" s="5"/>
      <c r="Y1043" s="319"/>
      <c r="Z1043" s="646"/>
      <c r="AA1043" s="328">
        <f t="shared" si="143"/>
        <v>0</v>
      </c>
      <c r="AB1043" s="298">
        <f t="shared" si="144"/>
        <v>0</v>
      </c>
      <c r="AC1043" s="4"/>
      <c r="AD1043" s="47"/>
      <c r="AE1043" s="47"/>
      <c r="AF1043" s="319"/>
      <c r="AG1043" s="328">
        <f t="shared" si="145"/>
        <v>0</v>
      </c>
      <c r="AH1043" s="4"/>
      <c r="AI1043" s="255"/>
      <c r="AJ1043" s="180"/>
      <c r="AQ1043" s="180"/>
      <c r="AR1043" s="180"/>
      <c r="AS1043" s="180"/>
      <c r="AT1043" s="180"/>
      <c r="AU1043" s="180"/>
      <c r="AV1043" s="180"/>
      <c r="AW1043" s="180"/>
    </row>
    <row r="1044" spans="1:49" s="193" customFormat="1">
      <c r="A1044" s="180"/>
      <c r="B1044" s="437" t="s">
        <v>355</v>
      </c>
      <c r="C1044" s="1559"/>
      <c r="D1044" s="1559"/>
      <c r="E1044" s="319"/>
      <c r="F1044" s="646"/>
      <c r="G1044" s="438"/>
      <c r="H1044" s="5"/>
      <c r="I1044" s="5"/>
      <c r="J1044" s="319"/>
      <c r="K1044" s="646"/>
      <c r="L1044" s="438"/>
      <c r="M1044" s="5"/>
      <c r="N1044" s="5"/>
      <c r="O1044" s="319"/>
      <c r="P1044" s="646"/>
      <c r="Q1044" s="438"/>
      <c r="R1044" s="5"/>
      <c r="S1044" s="5"/>
      <c r="T1044" s="319"/>
      <c r="U1044" s="646"/>
      <c r="V1044" s="438"/>
      <c r="W1044" s="5"/>
      <c r="X1044" s="5"/>
      <c r="Y1044" s="319"/>
      <c r="Z1044" s="646"/>
      <c r="AA1044" s="328">
        <f t="shared" si="143"/>
        <v>0</v>
      </c>
      <c r="AB1044" s="298">
        <f t="shared" si="144"/>
        <v>0</v>
      </c>
      <c r="AC1044" s="4"/>
      <c r="AD1044" s="47"/>
      <c r="AE1044" s="47"/>
      <c r="AF1044" s="319"/>
      <c r="AG1044" s="328">
        <f t="shared" si="145"/>
        <v>0</v>
      </c>
      <c r="AH1044" s="4"/>
      <c r="AI1044" s="255"/>
      <c r="AJ1044" s="180"/>
      <c r="AQ1044" s="180"/>
      <c r="AR1044" s="180"/>
      <c r="AS1044" s="180"/>
      <c r="AT1044" s="180"/>
      <c r="AU1044" s="180"/>
      <c r="AV1044" s="180"/>
      <c r="AW1044" s="180"/>
    </row>
    <row r="1045" spans="1:49" s="193" customFormat="1">
      <c r="A1045" s="180"/>
      <c r="B1045" s="437" t="s">
        <v>356</v>
      </c>
      <c r="C1045" s="1559"/>
      <c r="D1045" s="1559"/>
      <c r="E1045" s="319"/>
      <c r="F1045" s="646"/>
      <c r="G1045" s="438"/>
      <c r="H1045" s="5"/>
      <c r="I1045" s="5"/>
      <c r="J1045" s="319"/>
      <c r="K1045" s="646"/>
      <c r="L1045" s="438"/>
      <c r="M1045" s="5"/>
      <c r="N1045" s="5"/>
      <c r="O1045" s="319"/>
      <c r="P1045" s="646"/>
      <c r="Q1045" s="438"/>
      <c r="R1045" s="5"/>
      <c r="S1045" s="5"/>
      <c r="T1045" s="319"/>
      <c r="U1045" s="646"/>
      <c r="V1045" s="438"/>
      <c r="W1045" s="5"/>
      <c r="X1045" s="5"/>
      <c r="Y1045" s="319"/>
      <c r="Z1045" s="646"/>
      <c r="AA1045" s="328">
        <f t="shared" si="143"/>
        <v>0</v>
      </c>
      <c r="AB1045" s="298">
        <f t="shared" si="144"/>
        <v>0</v>
      </c>
      <c r="AC1045" s="4"/>
      <c r="AD1045" s="47"/>
      <c r="AE1045" s="47"/>
      <c r="AF1045" s="319"/>
      <c r="AG1045" s="328">
        <f t="shared" si="145"/>
        <v>0</v>
      </c>
      <c r="AH1045" s="4"/>
      <c r="AI1045" s="255"/>
      <c r="AJ1045" s="180"/>
      <c r="AQ1045" s="180"/>
      <c r="AR1045" s="180"/>
      <c r="AS1045" s="180"/>
      <c r="AT1045" s="180"/>
      <c r="AU1045" s="180"/>
      <c r="AV1045" s="180"/>
      <c r="AW1045" s="180"/>
    </row>
    <row r="1046" spans="1:49" s="193" customFormat="1">
      <c r="A1046" s="180"/>
      <c r="B1046" s="64" t="s">
        <v>61</v>
      </c>
      <c r="C1046" s="31"/>
      <c r="D1046" s="31"/>
      <c r="E1046" s="439"/>
      <c r="F1046" s="646"/>
      <c r="G1046" s="31"/>
      <c r="H1046" s="31"/>
      <c r="I1046" s="31"/>
      <c r="J1046" s="439"/>
      <c r="K1046" s="646"/>
      <c r="L1046" s="31"/>
      <c r="M1046" s="31"/>
      <c r="N1046" s="31"/>
      <c r="O1046" s="439"/>
      <c r="P1046" s="646"/>
      <c r="Q1046" s="31"/>
      <c r="R1046" s="31"/>
      <c r="S1046" s="31"/>
      <c r="T1046" s="439"/>
      <c r="U1046" s="646"/>
      <c r="V1046" s="31"/>
      <c r="W1046" s="31"/>
      <c r="X1046" s="31"/>
      <c r="Y1046" s="439"/>
      <c r="Z1046" s="646"/>
      <c r="AA1046" s="370">
        <f>SUM(AA1019:AA1045)</f>
        <v>0</v>
      </c>
      <c r="AB1046" s="370">
        <f>SUM(AB1019:AB1045)</f>
        <v>0</v>
      </c>
      <c r="AC1046" s="4"/>
      <c r="AD1046" s="64"/>
      <c r="AE1046" s="64"/>
      <c r="AF1046" s="370">
        <f>SUM(AF1019:AF1045)</f>
        <v>0</v>
      </c>
      <c r="AG1046" s="370">
        <f>SUM(AG1019:AG1045)</f>
        <v>0</v>
      </c>
      <c r="AH1046" s="4"/>
      <c r="AI1046" s="255"/>
      <c r="AJ1046" s="180"/>
      <c r="AK1046" s="407"/>
      <c r="AQ1046" s="180"/>
      <c r="AR1046" s="180"/>
      <c r="AS1046" s="180"/>
      <c r="AT1046" s="180"/>
      <c r="AU1046" s="180"/>
      <c r="AV1046" s="180"/>
      <c r="AW1046" s="180"/>
    </row>
    <row r="1047" spans="1:49" s="193" customFormat="1">
      <c r="A1047" s="180"/>
      <c r="B1047" s="63" t="s">
        <v>64</v>
      </c>
      <c r="C1047" s="47"/>
      <c r="D1047" s="47"/>
      <c r="E1047" s="319"/>
      <c r="F1047" s="346"/>
      <c r="G1047" s="613"/>
      <c r="H1047" s="47"/>
      <c r="I1047" s="47"/>
      <c r="J1047" s="319"/>
      <c r="K1047" s="346"/>
      <c r="L1047" s="60"/>
      <c r="M1047" s="47"/>
      <c r="N1047" s="47"/>
      <c r="O1047" s="319"/>
      <c r="P1047" s="346"/>
      <c r="Q1047" s="60"/>
      <c r="R1047" s="47"/>
      <c r="S1047" s="47"/>
      <c r="T1047" s="319"/>
      <c r="U1047" s="346"/>
      <c r="V1047" s="60"/>
      <c r="W1047" s="47"/>
      <c r="X1047" s="47"/>
      <c r="Y1047" s="319"/>
      <c r="Z1047" s="346"/>
      <c r="AA1047" s="28">
        <f>SUM(E1047+J1047+O1047+T1047+Y1047)</f>
        <v>0</v>
      </c>
      <c r="AB1047" s="296">
        <f>Z1047+U1047+P1047+K1047+F1047</f>
        <v>0</v>
      </c>
      <c r="AC1047" s="4"/>
      <c r="AD1047" s="47"/>
      <c r="AE1047" s="47"/>
      <c r="AF1047" s="319"/>
      <c r="AG1047" s="29">
        <f>AF1047</f>
        <v>0</v>
      </c>
      <c r="AH1047" s="4"/>
      <c r="AI1047" s="255"/>
      <c r="AJ1047" s="180"/>
      <c r="AK1047" s="407"/>
      <c r="AQ1047" s="180"/>
      <c r="AR1047" s="180"/>
      <c r="AS1047" s="180"/>
      <c r="AT1047" s="180"/>
      <c r="AU1047" s="180"/>
      <c r="AV1047" s="180"/>
      <c r="AW1047" s="180"/>
    </row>
    <row r="1048" spans="1:49" s="193" customFormat="1">
      <c r="A1048" s="180"/>
      <c r="B1048" s="71" t="s">
        <v>66</v>
      </c>
      <c r="C1048" s="371"/>
      <c r="D1048" s="371"/>
      <c r="E1048" s="71"/>
      <c r="F1048" s="613"/>
      <c r="G1048" s="71"/>
      <c r="H1048" s="71"/>
      <c r="I1048" s="71"/>
      <c r="J1048" s="71"/>
      <c r="K1048" s="613"/>
      <c r="L1048" s="71"/>
      <c r="M1048" s="71"/>
      <c r="N1048" s="71"/>
      <c r="O1048" s="71"/>
      <c r="P1048" s="613"/>
      <c r="Q1048" s="71"/>
      <c r="R1048" s="71"/>
      <c r="S1048" s="71"/>
      <c r="T1048" s="71"/>
      <c r="U1048" s="613"/>
      <c r="V1048" s="71"/>
      <c r="W1048" s="71"/>
      <c r="X1048" s="71"/>
      <c r="Y1048" s="71"/>
      <c r="Z1048" s="613"/>
      <c r="AA1048" s="370">
        <f>SUM(AA1047:AA1047)</f>
        <v>0</v>
      </c>
      <c r="AB1048" s="370">
        <f>SUM(AB1047:AB1047)</f>
        <v>0</v>
      </c>
      <c r="AC1048" s="4"/>
      <c r="AD1048" s="180"/>
      <c r="AE1048" s="180"/>
      <c r="AF1048" s="180"/>
      <c r="AG1048" s="370">
        <f>SUM(AG1047:AG1047)</f>
        <v>0</v>
      </c>
      <c r="AH1048" s="4"/>
      <c r="AI1048" s="255"/>
      <c r="AJ1048" s="180"/>
      <c r="AK1048" s="407"/>
      <c r="AQ1048" s="180"/>
      <c r="AR1048" s="180"/>
      <c r="AS1048" s="180"/>
      <c r="AT1048" s="180"/>
      <c r="AU1048" s="180"/>
      <c r="AV1048" s="180"/>
      <c r="AW1048" s="180"/>
    </row>
    <row r="1049" spans="1:49" s="193" customFormat="1">
      <c r="A1049" s="180"/>
      <c r="B1049" s="217" t="s">
        <v>67</v>
      </c>
      <c r="C1049" s="207">
        <f>C1050+C1051</f>
        <v>0</v>
      </c>
      <c r="D1049" s="207"/>
      <c r="E1049" s="209"/>
      <c r="F1049" s="209"/>
      <c r="G1049" s="207"/>
      <c r="H1049" s="209"/>
      <c r="I1049" s="209"/>
      <c r="J1049" s="209"/>
      <c r="K1049" s="209"/>
      <c r="L1049" s="207"/>
      <c r="M1049" s="207"/>
      <c r="N1049" s="207"/>
      <c r="O1049" s="207"/>
      <c r="P1049" s="209"/>
      <c r="Q1049" s="207"/>
      <c r="R1049" s="207"/>
      <c r="S1049" s="207"/>
      <c r="T1049" s="207"/>
      <c r="U1049" s="209"/>
      <c r="V1049" s="207"/>
      <c r="W1049" s="207"/>
      <c r="X1049" s="207"/>
      <c r="Y1049" s="210"/>
      <c r="Z1049" s="209"/>
      <c r="AA1049" s="211"/>
      <c r="AB1049" s="209"/>
      <c r="AC1049" s="211"/>
      <c r="AD1049" s="211"/>
      <c r="AE1049" s="211"/>
      <c r="AF1049" s="211"/>
      <c r="AG1049" s="211"/>
      <c r="AH1049" s="4"/>
      <c r="AI1049" s="255"/>
      <c r="AJ1049" s="180"/>
      <c r="AQ1049" s="180"/>
      <c r="AR1049" s="180"/>
      <c r="AS1049" s="180"/>
      <c r="AT1049" s="180"/>
      <c r="AU1049" s="180"/>
      <c r="AV1049" s="180"/>
      <c r="AW1049" s="180"/>
    </row>
    <row r="1050" spans="1:49" s="193" customFormat="1">
      <c r="A1050" s="180"/>
      <c r="B1050" s="238" t="s">
        <v>68</v>
      </c>
      <c r="C1050" s="239"/>
      <c r="D1050" s="207"/>
      <c r="E1050" s="209"/>
      <c r="F1050" s="209"/>
      <c r="G1050" s="207"/>
      <c r="H1050" s="209"/>
      <c r="I1050" s="209"/>
      <c r="J1050" s="209"/>
      <c r="K1050" s="209"/>
      <c r="L1050" s="207"/>
      <c r="M1050" s="207"/>
      <c r="N1050" s="207"/>
      <c r="O1050" s="207"/>
      <c r="P1050" s="209"/>
      <c r="Q1050" s="207"/>
      <c r="R1050" s="207"/>
      <c r="S1050" s="207"/>
      <c r="T1050" s="207"/>
      <c r="U1050" s="209"/>
      <c r="V1050" s="207"/>
      <c r="W1050" s="207"/>
      <c r="X1050" s="207"/>
      <c r="Y1050" s="210"/>
      <c r="Z1050" s="209"/>
      <c r="AA1050" s="211"/>
      <c r="AB1050" s="209"/>
      <c r="AC1050" s="211"/>
      <c r="AD1050" s="211"/>
      <c r="AE1050" s="211"/>
      <c r="AF1050" s="211"/>
      <c r="AG1050" s="211"/>
      <c r="AH1050" s="4"/>
      <c r="AI1050" s="255"/>
      <c r="AJ1050" s="180"/>
      <c r="AQ1050" s="180"/>
      <c r="AR1050" s="180"/>
      <c r="AS1050" s="180"/>
      <c r="AT1050" s="180"/>
      <c r="AU1050" s="180"/>
      <c r="AV1050" s="180"/>
      <c r="AW1050" s="180"/>
    </row>
    <row r="1051" spans="1:49" s="193" customFormat="1">
      <c r="A1051" s="180"/>
      <c r="B1051" s="238" t="s">
        <v>69</v>
      </c>
      <c r="C1051" s="239"/>
      <c r="D1051" s="207"/>
      <c r="E1051" s="209"/>
      <c r="F1051" s="209"/>
      <c r="G1051" s="207"/>
      <c r="H1051" s="209"/>
      <c r="I1051" s="209"/>
      <c r="J1051" s="209"/>
      <c r="K1051" s="209"/>
      <c r="L1051" s="207"/>
      <c r="M1051" s="207"/>
      <c r="N1051" s="207"/>
      <c r="O1051" s="207"/>
      <c r="P1051" s="209"/>
      <c r="Q1051" s="207"/>
      <c r="R1051" s="207"/>
      <c r="S1051" s="207"/>
      <c r="T1051" s="207"/>
      <c r="U1051" s="209"/>
      <c r="V1051" s="207"/>
      <c r="W1051" s="207"/>
      <c r="X1051" s="207"/>
      <c r="Y1051" s="210"/>
      <c r="Z1051" s="209"/>
      <c r="AA1051" s="211"/>
      <c r="AB1051" s="209"/>
      <c r="AC1051" s="211"/>
      <c r="AD1051" s="211"/>
      <c r="AE1051" s="211"/>
      <c r="AF1051" s="211"/>
      <c r="AG1051" s="211"/>
      <c r="AH1051" s="4"/>
      <c r="AI1051" s="255"/>
      <c r="AJ1051" s="180"/>
      <c r="AQ1051" s="180"/>
      <c r="AR1051" s="180"/>
      <c r="AS1051" s="180"/>
      <c r="AT1051" s="180"/>
      <c r="AU1051" s="180"/>
      <c r="AV1051" s="180"/>
      <c r="AW1051" s="180"/>
    </row>
  </sheetData>
  <sortState xmlns:xlrd2="http://schemas.microsoft.com/office/spreadsheetml/2017/richdata2" ref="M551:P554">
    <sortCondition ref="M554"/>
  </sortState>
  <mergeCells count="303">
    <mergeCell ref="B905:B906"/>
    <mergeCell ref="C905:F905"/>
    <mergeCell ref="H905:K905"/>
    <mergeCell ref="M905:P905"/>
    <mergeCell ref="R905:U905"/>
    <mergeCell ref="W905:Z905"/>
    <mergeCell ref="AA905:AA906"/>
    <mergeCell ref="AB905:AB906"/>
    <mergeCell ref="AD905:AF905"/>
    <mergeCell ref="AG905:AG906"/>
    <mergeCell ref="AG631:AG632"/>
    <mergeCell ref="B674:B675"/>
    <mergeCell ref="C674:F674"/>
    <mergeCell ref="H674:K674"/>
    <mergeCell ref="M674:P674"/>
    <mergeCell ref="R674:U674"/>
    <mergeCell ref="W674:Z674"/>
    <mergeCell ref="AA674:AA675"/>
    <mergeCell ref="AB674:AB675"/>
    <mergeCell ref="AD674:AF674"/>
    <mergeCell ref="AG674:AG675"/>
    <mergeCell ref="B631:B632"/>
    <mergeCell ref="C631:F631"/>
    <mergeCell ref="H631:K631"/>
    <mergeCell ref="M631:P631"/>
    <mergeCell ref="R631:U631"/>
    <mergeCell ref="W631:Z631"/>
    <mergeCell ref="AA631:AA632"/>
    <mergeCell ref="AB631:AB632"/>
    <mergeCell ref="AD631:AF631"/>
    <mergeCell ref="AG713:AG714"/>
    <mergeCell ref="B752:B753"/>
    <mergeCell ref="C752:F752"/>
    <mergeCell ref="AG587:AG588"/>
    <mergeCell ref="W501:Y522"/>
    <mergeCell ref="B587:B588"/>
    <mergeCell ref="C587:F587"/>
    <mergeCell ref="H587:K587"/>
    <mergeCell ref="M587:P587"/>
    <mergeCell ref="R587:U587"/>
    <mergeCell ref="W587:Z587"/>
    <mergeCell ref="AA587:AA588"/>
    <mergeCell ref="AB587:AB588"/>
    <mergeCell ref="AD587:AF587"/>
    <mergeCell ref="W319:Z319"/>
    <mergeCell ref="AA319:AA320"/>
    <mergeCell ref="AB319:AB320"/>
    <mergeCell ref="AD319:AF319"/>
    <mergeCell ref="AG319:AG320"/>
    <mergeCell ref="B319:B320"/>
    <mergeCell ref="C319:F319"/>
    <mergeCell ref="H319:K319"/>
    <mergeCell ref="M319:P319"/>
    <mergeCell ref="R319:U319"/>
    <mergeCell ref="C302:D302"/>
    <mergeCell ref="H302:I302"/>
    <mergeCell ref="R302:S302"/>
    <mergeCell ref="W302:X302"/>
    <mergeCell ref="C303:D303"/>
    <mergeCell ref="H303:I303"/>
    <mergeCell ref="M303:N303"/>
    <mergeCell ref="R303:S303"/>
    <mergeCell ref="W303:X303"/>
    <mergeCell ref="W278:Z278"/>
    <mergeCell ref="AA278:AA279"/>
    <mergeCell ref="AB278:AB279"/>
    <mergeCell ref="AD278:AF278"/>
    <mergeCell ref="AG278:AG279"/>
    <mergeCell ref="B278:B279"/>
    <mergeCell ref="C278:F278"/>
    <mergeCell ref="H278:K278"/>
    <mergeCell ref="M278:P278"/>
    <mergeCell ref="R278:U278"/>
    <mergeCell ref="R261:S261"/>
    <mergeCell ref="W261:X261"/>
    <mergeCell ref="C262:D262"/>
    <mergeCell ref="H262:I262"/>
    <mergeCell ref="M262:N262"/>
    <mergeCell ref="R262:S262"/>
    <mergeCell ref="W262:X262"/>
    <mergeCell ref="C261:D261"/>
    <mergeCell ref="H261:I261"/>
    <mergeCell ref="W237:Z237"/>
    <mergeCell ref="AA237:AA238"/>
    <mergeCell ref="AB237:AB238"/>
    <mergeCell ref="AD237:AF237"/>
    <mergeCell ref="AG237:AG238"/>
    <mergeCell ref="B237:B238"/>
    <mergeCell ref="C237:F237"/>
    <mergeCell ref="H237:K237"/>
    <mergeCell ref="M237:P237"/>
    <mergeCell ref="R237:U237"/>
    <mergeCell ref="H180:I180"/>
    <mergeCell ref="C180:D180"/>
    <mergeCell ref="R220:S220"/>
    <mergeCell ref="W220:X220"/>
    <mergeCell ref="C220:D220"/>
    <mergeCell ref="H220:I220"/>
    <mergeCell ref="M220:N220"/>
    <mergeCell ref="W196:Z196"/>
    <mergeCell ref="W179:X179"/>
    <mergeCell ref="W180:X180"/>
    <mergeCell ref="R179:S179"/>
    <mergeCell ref="R180:S180"/>
    <mergeCell ref="M180:N180"/>
    <mergeCell ref="W68:Z68"/>
    <mergeCell ref="AA68:AA69"/>
    <mergeCell ref="AB68:AB69"/>
    <mergeCell ref="AD68:AF68"/>
    <mergeCell ref="AG68:AG69"/>
    <mergeCell ref="B68:B69"/>
    <mergeCell ref="C68:F68"/>
    <mergeCell ref="H68:K68"/>
    <mergeCell ref="M68:P68"/>
    <mergeCell ref="R68:U68"/>
    <mergeCell ref="B16:B17"/>
    <mergeCell ref="C16:F16"/>
    <mergeCell ref="H16:K16"/>
    <mergeCell ref="M16:P16"/>
    <mergeCell ref="R16:U16"/>
    <mergeCell ref="S1:AG1"/>
    <mergeCell ref="AK1:AP1"/>
    <mergeCell ref="AK2:AP2"/>
    <mergeCell ref="AA16:AA17"/>
    <mergeCell ref="AB16:AB17"/>
    <mergeCell ref="AD16:AF16"/>
    <mergeCell ref="AG16:AG17"/>
    <mergeCell ref="W16:Z16"/>
    <mergeCell ref="AE2:AF2"/>
    <mergeCell ref="AE3:AF3"/>
    <mergeCell ref="AE4:AF4"/>
    <mergeCell ref="AE6:AF6"/>
    <mergeCell ref="AE5:AF5"/>
    <mergeCell ref="AG114:AG115"/>
    <mergeCell ref="B155:B156"/>
    <mergeCell ref="C155:F155"/>
    <mergeCell ref="H155:K155"/>
    <mergeCell ref="M155:P155"/>
    <mergeCell ref="R155:U155"/>
    <mergeCell ref="W155:Z155"/>
    <mergeCell ref="AA155:AA156"/>
    <mergeCell ref="AB155:AB156"/>
    <mergeCell ref="AD155:AF155"/>
    <mergeCell ref="AG155:AG156"/>
    <mergeCell ref="B114:B115"/>
    <mergeCell ref="C114:F114"/>
    <mergeCell ref="H114:K114"/>
    <mergeCell ref="M114:P114"/>
    <mergeCell ref="R114:U114"/>
    <mergeCell ref="W114:Z114"/>
    <mergeCell ref="AA114:AA115"/>
    <mergeCell ref="AB114:AB115"/>
    <mergeCell ref="AD114:AF114"/>
    <mergeCell ref="AA196:AA197"/>
    <mergeCell ref="AB196:AB197"/>
    <mergeCell ref="AD196:AF196"/>
    <mergeCell ref="AG196:AG197"/>
    <mergeCell ref="B196:B197"/>
    <mergeCell ref="C196:F196"/>
    <mergeCell ref="H196:K196"/>
    <mergeCell ref="M196:P196"/>
    <mergeCell ref="R196:U196"/>
    <mergeCell ref="AG364:AG365"/>
    <mergeCell ref="B409:B410"/>
    <mergeCell ref="C409:F409"/>
    <mergeCell ref="H409:K409"/>
    <mergeCell ref="M409:P409"/>
    <mergeCell ref="R409:U409"/>
    <mergeCell ref="W409:Z409"/>
    <mergeCell ref="AA409:AA410"/>
    <mergeCell ref="AB409:AB410"/>
    <mergeCell ref="AD409:AF409"/>
    <mergeCell ref="AG409:AG410"/>
    <mergeCell ref="B364:B365"/>
    <mergeCell ref="C364:F364"/>
    <mergeCell ref="H364:K364"/>
    <mergeCell ref="M364:P364"/>
    <mergeCell ref="R364:U364"/>
    <mergeCell ref="W364:Z364"/>
    <mergeCell ref="AA364:AA365"/>
    <mergeCell ref="AB364:AB365"/>
    <mergeCell ref="AD364:AF364"/>
    <mergeCell ref="AG454:AG455"/>
    <mergeCell ref="B454:B455"/>
    <mergeCell ref="C454:F454"/>
    <mergeCell ref="H454:K454"/>
    <mergeCell ref="M454:P454"/>
    <mergeCell ref="R454:U454"/>
    <mergeCell ref="W454:Z454"/>
    <mergeCell ref="AA454:AA455"/>
    <mergeCell ref="AB454:AB455"/>
    <mergeCell ref="AD454:AF454"/>
    <mergeCell ref="AG499:AG500"/>
    <mergeCell ref="B544:B545"/>
    <mergeCell ref="C544:F544"/>
    <mergeCell ref="H544:K544"/>
    <mergeCell ref="M544:P544"/>
    <mergeCell ref="R544:U544"/>
    <mergeCell ref="W544:Z544"/>
    <mergeCell ref="AA544:AA545"/>
    <mergeCell ref="AB544:AB545"/>
    <mergeCell ref="AD544:AF544"/>
    <mergeCell ref="AG544:AG545"/>
    <mergeCell ref="B499:B500"/>
    <mergeCell ref="C499:F499"/>
    <mergeCell ref="H499:K499"/>
    <mergeCell ref="M499:P499"/>
    <mergeCell ref="R499:U499"/>
    <mergeCell ref="W499:Z499"/>
    <mergeCell ref="AA499:AA500"/>
    <mergeCell ref="AB499:AB500"/>
    <mergeCell ref="AD499:AF499"/>
    <mergeCell ref="R501:T534"/>
    <mergeCell ref="AB752:AB753"/>
    <mergeCell ref="AD752:AF752"/>
    <mergeCell ref="AG752:AG753"/>
    <mergeCell ref="B713:B714"/>
    <mergeCell ref="C713:F713"/>
    <mergeCell ref="H713:K713"/>
    <mergeCell ref="M713:P713"/>
    <mergeCell ref="R713:U713"/>
    <mergeCell ref="W713:Z713"/>
    <mergeCell ref="AA713:AA714"/>
    <mergeCell ref="AB713:AB714"/>
    <mergeCell ref="AD713:AF713"/>
    <mergeCell ref="M676:O705"/>
    <mergeCell ref="M715:O743"/>
    <mergeCell ref="B791:B792"/>
    <mergeCell ref="C791:F791"/>
    <mergeCell ref="H791:K791"/>
    <mergeCell ref="M791:P791"/>
    <mergeCell ref="R791:U791"/>
    <mergeCell ref="W791:Z791"/>
    <mergeCell ref="AA791:AA792"/>
    <mergeCell ref="H752:K752"/>
    <mergeCell ref="M752:P752"/>
    <mergeCell ref="R752:U752"/>
    <mergeCell ref="W752:Z752"/>
    <mergeCell ref="AA752:AA753"/>
    <mergeCell ref="AB791:AB792"/>
    <mergeCell ref="AD791:AF791"/>
    <mergeCell ref="AG791:AG792"/>
    <mergeCell ref="B829:B830"/>
    <mergeCell ref="C829:F829"/>
    <mergeCell ref="H829:K829"/>
    <mergeCell ref="M829:P829"/>
    <mergeCell ref="R829:U829"/>
    <mergeCell ref="W829:Z829"/>
    <mergeCell ref="AA829:AA830"/>
    <mergeCell ref="AB829:AB830"/>
    <mergeCell ref="AD829:AF829"/>
    <mergeCell ref="AG829:AG830"/>
    <mergeCell ref="AG870:AG871"/>
    <mergeCell ref="C831:E862"/>
    <mergeCell ref="B870:B871"/>
    <mergeCell ref="C870:F870"/>
    <mergeCell ref="H870:K870"/>
    <mergeCell ref="M870:P870"/>
    <mergeCell ref="R870:U870"/>
    <mergeCell ref="W870:Z870"/>
    <mergeCell ref="AA870:AA871"/>
    <mergeCell ref="AB870:AB871"/>
    <mergeCell ref="AD870:AF870"/>
    <mergeCell ref="B943:B944"/>
    <mergeCell ref="C943:F943"/>
    <mergeCell ref="H943:K943"/>
    <mergeCell ref="M943:P943"/>
    <mergeCell ref="R943:U943"/>
    <mergeCell ref="W943:Z943"/>
    <mergeCell ref="AA943:AA944"/>
    <mergeCell ref="AB943:AB944"/>
    <mergeCell ref="AD943:AF943"/>
    <mergeCell ref="B980:B981"/>
    <mergeCell ref="C980:F980"/>
    <mergeCell ref="H980:K980"/>
    <mergeCell ref="M980:P980"/>
    <mergeCell ref="R980:U980"/>
    <mergeCell ref="W980:Z980"/>
    <mergeCell ref="AA980:AA981"/>
    <mergeCell ref="AB980:AB981"/>
    <mergeCell ref="AD980:AF980"/>
    <mergeCell ref="C945:D945"/>
    <mergeCell ref="H945:I945"/>
    <mergeCell ref="C982:E1007"/>
    <mergeCell ref="M983:N983"/>
    <mergeCell ref="R949:S949"/>
    <mergeCell ref="AG943:AG944"/>
    <mergeCell ref="C947:D947"/>
    <mergeCell ref="C951:D951"/>
    <mergeCell ref="C955:D955"/>
    <mergeCell ref="AG980:AG981"/>
    <mergeCell ref="AG1017:AG1018"/>
    <mergeCell ref="M1020:N1020"/>
    <mergeCell ref="C1019:D1045"/>
    <mergeCell ref="B1017:B1018"/>
    <mergeCell ref="C1017:F1017"/>
    <mergeCell ref="H1017:K1017"/>
    <mergeCell ref="M1017:P1017"/>
    <mergeCell ref="R1017:U1017"/>
    <mergeCell ref="W1017:Z1017"/>
    <mergeCell ref="AA1017:AA1018"/>
    <mergeCell ref="AB1017:AB1018"/>
    <mergeCell ref="AD1017:AF1017"/>
  </mergeCells>
  <phoneticPr fontId="9" type="noConversion"/>
  <conditionalFormatting sqref="AE2:AE3">
    <cfRule type="cellIs" dxfId="14" priority="1" operator="lessThan">
      <formula>0</formula>
    </cfRule>
  </conditionalFormatting>
  <pageMargins left="0.7" right="0.7" top="0.75" bottom="0.75" header="0.3" footer="0.3"/>
  <pageSetup orientation="portrait"/>
  <ignoredErrors>
    <ignoredError sqref="C593:D593 C595 H598:J598 H597 H596 H595 H594 H593" numberStoredAsText="1"/>
  </ignoredErrors>
  <drawing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D0912-5F74-45DC-9A06-4D27FB78897D}">
  <sheetPr codeName="Sheet16">
    <tabColor rgb="FF92D050"/>
  </sheetPr>
  <dimension ref="A1:AT246"/>
  <sheetViews>
    <sheetView topLeftCell="B167" workbookViewId="0">
      <selection activeCell="B162" sqref="B162"/>
    </sheetView>
  </sheetViews>
  <sheetFormatPr defaultRowHeight="16.5" customHeight="1"/>
  <cols>
    <col min="2" max="2" width="22.28515625" bestFit="1" customWidth="1"/>
    <col min="3" max="3" width="4.85546875" bestFit="1" customWidth="1"/>
    <col min="4" max="4" width="6" bestFit="1" customWidth="1"/>
    <col min="5" max="5" width="4.5703125" bestFit="1" customWidth="1"/>
    <col min="6" max="6" width="3" bestFit="1" customWidth="1"/>
    <col min="7" max="7" width="4" hidden="1" customWidth="1"/>
    <col min="8" max="8" width="4.85546875" bestFit="1" customWidth="1"/>
    <col min="9" max="9" width="4.42578125" bestFit="1" customWidth="1"/>
    <col min="10" max="10" width="4.5703125" bestFit="1" customWidth="1"/>
    <col min="11" max="11" width="3" bestFit="1" customWidth="1"/>
    <col min="12" max="12" width="4" hidden="1" customWidth="1"/>
    <col min="13" max="14" width="4.42578125" bestFit="1" customWidth="1"/>
    <col min="15" max="15" width="3.7109375" customWidth="1"/>
    <col min="16" max="16" width="3" bestFit="1" customWidth="1"/>
    <col min="17" max="17" width="1.85546875" hidden="1" customWidth="1"/>
    <col min="18" max="18" width="4.42578125" customWidth="1"/>
    <col min="19" max="19" width="3.85546875" customWidth="1"/>
    <col min="20" max="20" width="4.5703125" bestFit="1" customWidth="1"/>
    <col min="21" max="21" width="3.42578125" bestFit="1" customWidth="1"/>
    <col min="22" max="22" width="4.85546875" hidden="1" customWidth="1"/>
    <col min="23" max="23" width="4.85546875" bestFit="1" customWidth="1"/>
    <col min="24" max="24" width="4.28515625" customWidth="1"/>
    <col min="25" max="25" width="3.28515625" customWidth="1"/>
    <col min="26" max="26" width="3" bestFit="1" customWidth="1"/>
    <col min="27" max="27" width="23.140625" customWidth="1"/>
    <col min="28" max="28" width="9.7109375" bestFit="1" customWidth="1"/>
    <col min="29" max="29" width="1.85546875" hidden="1" customWidth="1"/>
    <col min="30" max="30" width="6" customWidth="1"/>
    <col min="31" max="31" width="4.7109375" customWidth="1"/>
    <col min="32" max="32" width="7.5703125" bestFit="1" customWidth="1"/>
    <col min="33" max="33" width="7.140625" customWidth="1"/>
    <col min="34" max="34" width="4.42578125" bestFit="1" customWidth="1"/>
    <col min="35" max="35" width="7.85546875" bestFit="1" customWidth="1"/>
    <col min="36" max="36" width="10.140625" customWidth="1"/>
    <col min="37" max="37" width="4.85546875" customWidth="1"/>
    <col min="40" max="40" width="54.140625" bestFit="1" customWidth="1"/>
    <col min="41" max="41" width="11.85546875" bestFit="1" customWidth="1"/>
    <col min="42" max="42" width="6.85546875" bestFit="1" customWidth="1"/>
    <col min="43" max="43" width="9.85546875" bestFit="1" customWidth="1"/>
  </cols>
  <sheetData>
    <row r="1" spans="1:46" ht="16.5" customHeight="1">
      <c r="A1" s="180"/>
      <c r="B1" s="180"/>
      <c r="C1" s="180"/>
      <c r="D1" s="180"/>
      <c r="E1" s="4"/>
      <c r="F1" s="644"/>
      <c r="G1" s="4"/>
      <c r="H1" s="180"/>
      <c r="I1" s="180"/>
      <c r="J1" s="4"/>
      <c r="K1" s="644"/>
      <c r="L1" s="4"/>
      <c r="M1" s="180"/>
      <c r="N1" s="180"/>
      <c r="O1" s="4"/>
      <c r="P1" s="644"/>
      <c r="Q1" s="4"/>
      <c r="R1" s="180"/>
      <c r="S1" s="1520" t="s">
        <v>322</v>
      </c>
      <c r="T1" s="1520"/>
      <c r="U1" s="1520"/>
      <c r="V1" s="1520"/>
      <c r="W1" s="1520"/>
      <c r="X1" s="1520"/>
      <c r="Y1" s="1520"/>
      <c r="Z1" s="1520"/>
      <c r="AA1" s="1520"/>
      <c r="AB1" s="1520"/>
      <c r="AC1" s="1520"/>
      <c r="AD1" s="1520"/>
      <c r="AE1" s="1520"/>
      <c r="AF1" s="1520"/>
      <c r="AG1" s="1520"/>
      <c r="AH1" s="1520"/>
      <c r="AI1" s="1520"/>
      <c r="AJ1" s="1520"/>
      <c r="AK1" s="4"/>
      <c r="AL1" s="255"/>
      <c r="AM1" s="180"/>
      <c r="AN1" s="1517"/>
      <c r="AO1" s="1517"/>
      <c r="AP1" s="1517"/>
      <c r="AQ1" s="1517"/>
      <c r="AR1" s="1517"/>
      <c r="AS1" s="1517"/>
      <c r="AT1" s="180"/>
    </row>
    <row r="2" spans="1:46" ht="16.5" customHeight="1">
      <c r="A2" s="180"/>
      <c r="B2" s="180"/>
      <c r="C2" s="180"/>
      <c r="D2" s="180"/>
      <c r="E2" s="4"/>
      <c r="F2" s="644"/>
      <c r="G2" s="4"/>
      <c r="H2" s="180"/>
      <c r="I2" s="180"/>
      <c r="J2" s="4"/>
      <c r="K2" s="644"/>
      <c r="L2" s="4"/>
      <c r="M2" s="180"/>
      <c r="N2" s="180"/>
      <c r="O2" s="4"/>
      <c r="P2" s="644"/>
      <c r="Q2" s="4"/>
      <c r="R2" s="180"/>
      <c r="S2" s="258"/>
      <c r="T2" s="258"/>
      <c r="U2" s="644"/>
      <c r="V2" s="258"/>
      <c r="W2" s="258"/>
      <c r="X2" s="657"/>
      <c r="Y2" s="657" t="s">
        <v>2</v>
      </c>
      <c r="Z2" s="692"/>
      <c r="AA2" s="659">
        <v>14375</v>
      </c>
      <c r="AB2" s="37"/>
      <c r="AC2" s="657"/>
      <c r="AD2" s="651" t="s">
        <v>942</v>
      </c>
      <c r="AE2" s="1562">
        <f>AA2-((3534.18)+(AA7+AF7))</f>
        <v>9128.82</v>
      </c>
      <c r="AF2" s="1562"/>
      <c r="AG2" s="651"/>
      <c r="AH2" s="1562"/>
      <c r="AI2" s="1562"/>
      <c r="AJ2" s="180"/>
      <c r="AK2" s="4"/>
      <c r="AL2" s="255"/>
      <c r="AM2" s="180"/>
      <c r="AN2" s="1521"/>
      <c r="AO2" s="1521"/>
      <c r="AP2" s="1521"/>
      <c r="AQ2" s="1521"/>
      <c r="AR2" s="1521"/>
      <c r="AS2" s="1521"/>
      <c r="AT2" s="180"/>
    </row>
    <row r="3" spans="1:46" ht="16.5" customHeight="1">
      <c r="A3" s="180"/>
      <c r="B3" s="180"/>
      <c r="C3" s="180"/>
      <c r="D3" s="180"/>
      <c r="E3" s="4"/>
      <c r="F3" s="644"/>
      <c r="G3" s="4"/>
      <c r="H3" s="180"/>
      <c r="I3" s="180"/>
      <c r="J3" s="4"/>
      <c r="K3" s="644"/>
      <c r="L3" s="4"/>
      <c r="M3" s="180"/>
      <c r="N3" s="180"/>
      <c r="O3" s="4"/>
      <c r="P3" s="644"/>
      <c r="Q3" s="4"/>
      <c r="R3" s="180"/>
      <c r="S3" s="258"/>
      <c r="T3" s="258"/>
      <c r="U3" s="644"/>
      <c r="V3" s="258"/>
      <c r="W3" s="258"/>
      <c r="X3" s="657"/>
      <c r="Y3" s="657" t="s">
        <v>1051</v>
      </c>
      <c r="AA3" s="659">
        <v>725</v>
      </c>
      <c r="AC3" s="657"/>
      <c r="AD3" s="651" t="s">
        <v>1052</v>
      </c>
      <c r="AE3" s="1562">
        <f>AA3-AF7</f>
        <v>404</v>
      </c>
      <c r="AF3" s="1562"/>
      <c r="AG3" s="651"/>
      <c r="AH3" s="1562"/>
      <c r="AI3" s="1562"/>
      <c r="AJ3" s="180"/>
      <c r="AK3" s="4"/>
      <c r="AL3" s="255"/>
      <c r="AM3" s="180"/>
      <c r="AN3" s="192" t="s">
        <v>6</v>
      </c>
      <c r="AO3" s="193"/>
      <c r="AP3" s="193"/>
      <c r="AQ3" s="193"/>
      <c r="AR3" s="193"/>
      <c r="AS3" s="193"/>
      <c r="AT3" s="180"/>
    </row>
    <row r="4" spans="1:46" ht="16.5" customHeight="1">
      <c r="A4" s="180"/>
      <c r="B4" s="180"/>
      <c r="C4" s="180"/>
      <c r="D4" s="180"/>
      <c r="E4" s="4"/>
      <c r="F4" s="644"/>
      <c r="G4" s="4"/>
      <c r="H4" s="180"/>
      <c r="I4" s="180"/>
      <c r="J4" s="4"/>
      <c r="K4" s="644"/>
      <c r="L4" s="4"/>
      <c r="M4" s="180"/>
      <c r="N4" s="180"/>
      <c r="O4" s="4"/>
      <c r="P4" s="644"/>
      <c r="Q4" s="4"/>
      <c r="R4" s="180"/>
      <c r="S4" s="258"/>
      <c r="T4" s="258"/>
      <c r="U4" s="644"/>
      <c r="V4" s="258"/>
      <c r="W4" s="258"/>
      <c r="X4" s="657"/>
      <c r="Y4" s="657" t="s">
        <v>5</v>
      </c>
      <c r="Z4" s="658"/>
      <c r="AA4" s="660">
        <v>630</v>
      </c>
      <c r="AB4" s="37"/>
      <c r="AC4" s="657"/>
      <c r="AD4" s="651" t="s">
        <v>944</v>
      </c>
      <c r="AE4" s="1563">
        <f>X4-(X8+(AF8*1.5))</f>
        <v>0</v>
      </c>
      <c r="AF4" s="1563"/>
      <c r="AG4" s="651"/>
      <c r="AH4" s="1563"/>
      <c r="AI4" s="1563"/>
      <c r="AJ4" s="180"/>
      <c r="AK4" s="4"/>
      <c r="AL4" s="255"/>
      <c r="AM4" s="180"/>
      <c r="AN4" s="193" t="s">
        <v>8</v>
      </c>
      <c r="AO4" s="193"/>
      <c r="AP4" s="193"/>
      <c r="AQ4" s="193"/>
      <c r="AR4" s="193"/>
      <c r="AS4" s="193"/>
      <c r="AT4" s="180"/>
    </row>
    <row r="5" spans="1:46" ht="16.5" customHeight="1">
      <c r="A5" s="180"/>
      <c r="B5" s="180"/>
      <c r="C5" s="180"/>
      <c r="D5" s="180"/>
      <c r="E5" s="4"/>
      <c r="F5" s="644"/>
      <c r="G5" s="4"/>
      <c r="H5" s="180"/>
      <c r="I5" s="180"/>
      <c r="J5" s="4"/>
      <c r="K5" s="644"/>
      <c r="L5" s="4"/>
      <c r="M5" s="180"/>
      <c r="N5" s="180"/>
      <c r="O5" s="4"/>
      <c r="P5" s="650"/>
      <c r="Q5" s="4"/>
      <c r="R5" s="180"/>
      <c r="S5" s="258"/>
      <c r="T5" s="258"/>
      <c r="U5" s="644"/>
      <c r="V5" s="258"/>
      <c r="W5" s="258"/>
      <c r="X5" s="38"/>
      <c r="Y5" s="657" t="s">
        <v>1053</v>
      </c>
      <c r="Z5" s="658"/>
      <c r="AA5" s="660">
        <v>0</v>
      </c>
      <c r="AB5" s="37"/>
      <c r="AC5" s="657"/>
      <c r="AD5" s="651" t="s">
        <v>1054</v>
      </c>
      <c r="AE5" s="1563">
        <f>X5-AF8</f>
        <v>0</v>
      </c>
      <c r="AF5" s="1563"/>
      <c r="AG5" s="651"/>
      <c r="AH5" s="1563"/>
      <c r="AI5" s="1563"/>
      <c r="AJ5" s="180"/>
      <c r="AK5" s="4"/>
      <c r="AL5" s="255"/>
      <c r="AM5" s="180"/>
      <c r="AN5" s="193" t="s">
        <v>11</v>
      </c>
      <c r="AO5" s="193"/>
      <c r="AP5" s="193"/>
      <c r="AQ5" s="193"/>
      <c r="AR5" s="193"/>
      <c r="AS5" s="193"/>
      <c r="AT5" s="180"/>
    </row>
    <row r="6" spans="1:46" ht="16.5" customHeight="1">
      <c r="A6" s="180"/>
      <c r="B6" s="180"/>
      <c r="C6" s="180"/>
      <c r="D6" s="180"/>
      <c r="E6" s="4"/>
      <c r="F6" s="644"/>
      <c r="G6" s="4"/>
      <c r="H6" s="180"/>
      <c r="I6" s="180"/>
      <c r="J6" s="4"/>
      <c r="K6" s="644"/>
      <c r="L6" s="4"/>
      <c r="M6" s="180"/>
      <c r="N6" s="180"/>
      <c r="O6" s="4"/>
      <c r="P6" s="644"/>
      <c r="Q6" s="4"/>
      <c r="R6" s="180"/>
      <c r="S6" s="258"/>
      <c r="T6" s="180"/>
      <c r="U6" s="644"/>
      <c r="V6" s="258"/>
      <c r="W6" s="180"/>
      <c r="X6" s="38"/>
      <c r="Y6" s="657" t="s">
        <v>7</v>
      </c>
      <c r="Z6" s="658"/>
      <c r="AA6" s="659">
        <v>1856</v>
      </c>
      <c r="AB6" s="37"/>
      <c r="AC6" s="657"/>
      <c r="AD6" s="651" t="s">
        <v>945</v>
      </c>
      <c r="AF6" s="674">
        <f>X6-X9</f>
        <v>0</v>
      </c>
      <c r="AG6" s="651"/>
      <c r="AI6" s="674"/>
      <c r="AJ6" s="180"/>
      <c r="AK6" s="4"/>
      <c r="AL6" s="255"/>
      <c r="AM6" s="180"/>
      <c r="AN6" s="310" t="s">
        <v>14</v>
      </c>
      <c r="AO6" s="465" t="s">
        <v>325</v>
      </c>
      <c r="AP6" s="193"/>
      <c r="AQ6" s="193"/>
      <c r="AR6" s="193"/>
      <c r="AS6" s="193"/>
      <c r="AT6" s="180"/>
    </row>
    <row r="7" spans="1:46" ht="16.5" customHeight="1">
      <c r="A7" s="180"/>
      <c r="B7" s="180"/>
      <c r="C7" s="180"/>
      <c r="D7" s="180"/>
      <c r="E7" s="4"/>
      <c r="F7" s="644"/>
      <c r="G7" s="4"/>
      <c r="H7" s="180"/>
      <c r="I7" s="180"/>
      <c r="J7" s="4"/>
      <c r="K7" s="644"/>
      <c r="L7" s="4"/>
      <c r="M7" s="180"/>
      <c r="N7" s="180"/>
      <c r="O7" s="4"/>
      <c r="P7" s="644"/>
      <c r="Q7" s="4"/>
      <c r="R7" s="180"/>
      <c r="S7" s="258"/>
      <c r="T7" s="180"/>
      <c r="U7" s="644"/>
      <c r="V7" s="258"/>
      <c r="W7" s="180"/>
      <c r="X7" s="38"/>
      <c r="Y7" s="657" t="s">
        <v>9</v>
      </c>
      <c r="Z7" s="658"/>
      <c r="AA7" s="661">
        <f>AA37+AA71+AA105+AA139+AA173</f>
        <v>1391</v>
      </c>
      <c r="AB7" s="37"/>
      <c r="AC7" s="38"/>
      <c r="AD7" s="652" t="s">
        <v>10</v>
      </c>
      <c r="AE7" s="675"/>
      <c r="AF7" s="675">
        <f>Y37+AG37+Y71+AG71+Y105+AG105+Y139+Y173+AG173</f>
        <v>321</v>
      </c>
      <c r="AG7" s="652"/>
      <c r="AH7" s="675"/>
      <c r="AI7" s="675"/>
      <c r="AJ7" s="180"/>
      <c r="AK7" s="4"/>
      <c r="AL7" s="255"/>
      <c r="AM7" s="180"/>
      <c r="AN7" s="202" t="s">
        <v>16</v>
      </c>
      <c r="AO7" s="193"/>
      <c r="AP7" s="193"/>
      <c r="AQ7" s="193"/>
      <c r="AR7" s="193"/>
      <c r="AS7" s="193"/>
      <c r="AT7" s="180"/>
    </row>
    <row r="8" spans="1:46" ht="16.5" customHeight="1">
      <c r="A8" s="180"/>
      <c r="B8" s="180"/>
      <c r="C8" s="180"/>
      <c r="D8" s="180"/>
      <c r="E8" s="4"/>
      <c r="F8" s="644"/>
      <c r="G8" s="4"/>
      <c r="H8" s="180"/>
      <c r="I8" s="180"/>
      <c r="J8" s="4"/>
      <c r="K8" s="644"/>
      <c r="L8" s="4"/>
      <c r="M8" s="180"/>
      <c r="N8" s="180"/>
      <c r="O8" s="4"/>
      <c r="P8" s="644"/>
      <c r="Q8" s="4"/>
      <c r="R8" s="180"/>
      <c r="S8" s="258"/>
      <c r="T8" s="180"/>
      <c r="U8" s="644"/>
      <c r="V8" s="258"/>
      <c r="W8" s="180"/>
      <c r="X8" s="38"/>
      <c r="Y8" s="657" t="s">
        <v>12</v>
      </c>
      <c r="Z8" s="658"/>
      <c r="AA8" s="661">
        <f>AA39+AA73+AA107+AA141+AA175</f>
        <v>144</v>
      </c>
      <c r="AB8" s="37"/>
      <c r="AC8" s="38"/>
      <c r="AD8" s="652" t="s">
        <v>13</v>
      </c>
      <c r="AE8" s="675"/>
      <c r="AF8" s="675">
        <f>AG39+AG73+AG107+AG141+AG175</f>
        <v>0</v>
      </c>
      <c r="AG8" s="652"/>
      <c r="AH8" s="675"/>
      <c r="AI8" s="675"/>
      <c r="AJ8" s="180"/>
      <c r="AK8" s="4"/>
      <c r="AL8" s="255"/>
      <c r="AM8" s="180"/>
      <c r="AN8" s="203" t="s">
        <v>17</v>
      </c>
      <c r="AO8" s="193"/>
      <c r="AP8" s="193"/>
      <c r="AQ8" s="193"/>
      <c r="AR8" s="193"/>
      <c r="AS8" s="193"/>
      <c r="AT8" s="180"/>
    </row>
    <row r="9" spans="1:46" ht="16.5" customHeight="1">
      <c r="A9" s="180"/>
      <c r="B9" s="180"/>
      <c r="C9" s="180"/>
      <c r="D9" s="180"/>
      <c r="E9" s="4"/>
      <c r="F9" s="644"/>
      <c r="G9" s="4"/>
      <c r="H9" s="180"/>
      <c r="I9" s="180"/>
      <c r="J9" s="4"/>
      <c r="K9" s="644"/>
      <c r="L9" s="4"/>
      <c r="M9" s="180"/>
      <c r="N9" s="180"/>
      <c r="O9" s="4"/>
      <c r="P9" s="644"/>
      <c r="Q9" s="4"/>
      <c r="R9" s="180"/>
      <c r="S9" s="258"/>
      <c r="T9" s="258"/>
      <c r="U9" s="644"/>
      <c r="V9" s="258"/>
      <c r="W9" s="180"/>
      <c r="X9" s="258"/>
      <c r="Y9" s="657" t="s">
        <v>15</v>
      </c>
      <c r="Z9" s="658"/>
      <c r="AA9" s="661">
        <f>C40+C74+C108+C142+C176</f>
        <v>143</v>
      </c>
      <c r="AB9" s="37"/>
      <c r="AC9" s="38"/>
      <c r="AD9" s="38"/>
      <c r="AE9" s="154"/>
      <c r="AF9" s="38"/>
      <c r="AG9" s="38"/>
      <c r="AH9" s="154"/>
      <c r="AI9" s="38"/>
      <c r="AJ9" s="259"/>
      <c r="AK9" s="4"/>
      <c r="AL9" s="255"/>
      <c r="AM9" s="180"/>
      <c r="AN9" s="193"/>
      <c r="AO9" s="193"/>
      <c r="AP9" s="193"/>
      <c r="AQ9" s="193"/>
      <c r="AR9" s="193"/>
      <c r="AS9" s="193"/>
      <c r="AT9" s="180"/>
    </row>
    <row r="10" spans="1:46" ht="16.5" customHeight="1">
      <c r="A10" s="313"/>
      <c r="B10" s="180"/>
      <c r="C10" s="180"/>
      <c r="D10" s="180"/>
      <c r="E10" s="4"/>
      <c r="F10" s="644"/>
      <c r="G10" s="4"/>
      <c r="H10" s="180"/>
      <c r="I10" s="180"/>
      <c r="J10" s="4"/>
      <c r="K10" s="644"/>
      <c r="L10" s="4"/>
      <c r="M10" s="180"/>
      <c r="N10" s="180"/>
      <c r="O10" s="4"/>
      <c r="P10" s="644"/>
      <c r="Q10" s="4"/>
      <c r="R10" s="180"/>
      <c r="S10" s="180"/>
      <c r="T10" s="4"/>
      <c r="U10" s="644"/>
      <c r="V10" s="4"/>
      <c r="W10" s="180"/>
      <c r="X10" s="180"/>
      <c r="Y10" s="4"/>
      <c r="Z10" s="644"/>
      <c r="AA10" s="4"/>
      <c r="AB10" s="4"/>
      <c r="AC10" s="4"/>
      <c r="AD10" s="180"/>
      <c r="AE10" s="180"/>
      <c r="AF10" s="180"/>
      <c r="AG10" s="180"/>
      <c r="AH10" s="180"/>
      <c r="AI10" s="180"/>
      <c r="AJ10" s="180"/>
      <c r="AK10" s="4"/>
      <c r="AL10" s="255"/>
      <c r="AM10" s="180"/>
      <c r="AN10" s="180"/>
      <c r="AO10" s="180"/>
      <c r="AP10" s="180"/>
      <c r="AQ10" s="180"/>
      <c r="AR10" s="180"/>
      <c r="AS10" s="180"/>
      <c r="AT10" s="180"/>
    </row>
    <row r="11" spans="1:46" ht="16.5" customHeight="1">
      <c r="A11" s="313"/>
      <c r="B11" s="180"/>
      <c r="C11" s="180"/>
      <c r="D11" s="180"/>
      <c r="E11" s="4"/>
      <c r="F11" s="644"/>
      <c r="G11" s="4"/>
      <c r="H11" s="180"/>
      <c r="I11" s="180"/>
      <c r="J11" s="4"/>
      <c r="K11" s="644"/>
      <c r="L11" s="4"/>
      <c r="M11" s="180"/>
      <c r="N11" s="180"/>
      <c r="O11" s="4"/>
      <c r="P11" s="644"/>
      <c r="Q11" s="4"/>
      <c r="R11" s="180"/>
      <c r="S11" s="180"/>
      <c r="T11" s="4"/>
      <c r="U11" s="644"/>
      <c r="V11" s="4"/>
      <c r="W11" s="180"/>
      <c r="X11" s="180"/>
      <c r="Y11" s="4"/>
      <c r="Z11" s="644"/>
      <c r="AA11" s="4"/>
      <c r="AB11" s="4"/>
      <c r="AC11" s="4"/>
      <c r="AD11" s="180"/>
      <c r="AE11" s="180"/>
      <c r="AF11" s="180"/>
      <c r="AG11" s="180"/>
      <c r="AH11" s="180"/>
      <c r="AI11" s="180"/>
      <c r="AJ11" s="180"/>
      <c r="AK11" s="4"/>
      <c r="AL11" s="255"/>
      <c r="AM11" s="180"/>
      <c r="AN11" s="180"/>
      <c r="AO11" s="180"/>
      <c r="AP11" s="180"/>
      <c r="AQ11" s="180"/>
      <c r="AR11" s="180"/>
      <c r="AS11" s="180"/>
      <c r="AT11" s="180"/>
    </row>
    <row r="12" spans="1:46" ht="16.5" customHeight="1">
      <c r="A12" s="180"/>
      <c r="B12" s="229"/>
      <c r="C12" s="230"/>
      <c r="D12" s="230"/>
      <c r="E12" s="232"/>
      <c r="F12" s="232"/>
      <c r="G12" s="230"/>
      <c r="H12" s="232"/>
      <c r="I12" s="232"/>
      <c r="J12" s="232"/>
      <c r="K12" s="232"/>
      <c r="L12" s="230"/>
      <c r="M12" s="230"/>
      <c r="N12" s="230"/>
      <c r="O12" s="230"/>
      <c r="P12" s="232"/>
      <c r="Q12" s="230"/>
      <c r="R12" s="230"/>
      <c r="S12" s="230"/>
      <c r="T12" s="230"/>
      <c r="U12" s="232"/>
      <c r="V12" s="230"/>
      <c r="W12" s="230"/>
      <c r="X12" s="230"/>
      <c r="Y12" s="233"/>
      <c r="Z12" s="232"/>
      <c r="AA12" s="234"/>
      <c r="AB12" s="232"/>
      <c r="AC12" s="373"/>
      <c r="AD12" s="236"/>
      <c r="AE12" s="255"/>
      <c r="AF12" s="255"/>
      <c r="AG12" s="236"/>
      <c r="AH12" s="255"/>
      <c r="AI12" s="255"/>
      <c r="AJ12" s="255"/>
      <c r="AK12" s="255"/>
      <c r="AL12" s="255"/>
      <c r="AM12" s="255"/>
      <c r="AN12" s="255"/>
      <c r="AO12" s="255"/>
      <c r="AP12" s="255"/>
      <c r="AQ12" s="255"/>
      <c r="AR12" s="255"/>
      <c r="AS12" s="255"/>
      <c r="AT12" s="255"/>
    </row>
    <row r="13" spans="1:46" ht="16.5" customHeight="1">
      <c r="A13" s="313"/>
      <c r="B13" s="180"/>
      <c r="C13" s="180"/>
      <c r="D13" s="180"/>
      <c r="E13" s="4"/>
      <c r="F13" s="644"/>
      <c r="G13" s="4"/>
      <c r="H13" s="180"/>
      <c r="I13" s="180"/>
      <c r="J13" s="4"/>
      <c r="K13" s="644"/>
      <c r="L13" s="4"/>
      <c r="M13" s="180"/>
      <c r="N13" s="180"/>
      <c r="O13" s="4"/>
      <c r="P13" s="644"/>
      <c r="Q13" s="4"/>
      <c r="R13" s="180"/>
      <c r="S13" s="180"/>
      <c r="T13" s="4"/>
      <c r="U13" s="644"/>
      <c r="V13" s="4"/>
      <c r="W13" s="180"/>
      <c r="X13" s="180"/>
      <c r="Y13" s="4"/>
      <c r="Z13" s="644"/>
      <c r="AA13" s="4"/>
      <c r="AB13" s="4"/>
      <c r="AC13" s="4"/>
      <c r="AD13" s="180"/>
      <c r="AE13" s="180"/>
      <c r="AF13" s="180"/>
      <c r="AG13" s="180"/>
      <c r="AH13" s="180"/>
      <c r="AI13" s="180"/>
      <c r="AJ13" s="180"/>
      <c r="AK13" s="4"/>
      <c r="AL13" s="255"/>
      <c r="AM13" s="180"/>
      <c r="AN13" s="180"/>
      <c r="AO13" s="180"/>
      <c r="AP13" s="180"/>
      <c r="AQ13" s="180"/>
      <c r="AR13" s="180"/>
      <c r="AS13" s="180"/>
      <c r="AT13" s="180"/>
    </row>
    <row r="14" spans="1:46" ht="16.5" customHeight="1">
      <c r="A14" s="228"/>
      <c r="B14" s="1518" t="s">
        <v>18</v>
      </c>
      <c r="C14" s="1567"/>
      <c r="D14" s="1567"/>
      <c r="E14" s="1567"/>
      <c r="F14" s="1567"/>
      <c r="G14" s="680"/>
      <c r="H14" s="1567"/>
      <c r="I14" s="1567"/>
      <c r="J14" s="1567"/>
      <c r="K14" s="1567"/>
      <c r="L14" s="680"/>
      <c r="M14" s="1567"/>
      <c r="N14" s="1567"/>
      <c r="O14" s="1567"/>
      <c r="P14" s="1567"/>
      <c r="Q14" s="365"/>
      <c r="R14" s="1519">
        <v>45638</v>
      </c>
      <c r="S14" s="1519"/>
      <c r="T14" s="1519"/>
      <c r="U14" s="1519"/>
      <c r="V14" s="365"/>
      <c r="W14" s="1519">
        <v>45639</v>
      </c>
      <c r="X14" s="1519"/>
      <c r="Y14" s="1519"/>
      <c r="Z14" s="1519"/>
      <c r="AA14" s="1517" t="s">
        <v>19</v>
      </c>
      <c r="AB14" s="1517" t="s">
        <v>20</v>
      </c>
      <c r="AC14" s="4"/>
      <c r="AD14" s="1519">
        <v>45640</v>
      </c>
      <c r="AE14" s="1519"/>
      <c r="AF14" s="1519"/>
      <c r="AG14" s="1519">
        <v>45641</v>
      </c>
      <c r="AH14" s="1519"/>
      <c r="AI14" s="1519"/>
      <c r="AJ14" s="1517" t="s">
        <v>21</v>
      </c>
      <c r="AK14" s="4"/>
      <c r="AL14" s="368"/>
      <c r="AM14" s="180"/>
      <c r="AN14" s="194" t="s">
        <v>84</v>
      </c>
      <c r="AO14" s="366"/>
      <c r="AP14" s="366"/>
      <c r="AQ14" s="366"/>
      <c r="AR14" s="366"/>
      <c r="AS14" s="366"/>
      <c r="AT14" s="180"/>
    </row>
    <row r="15" spans="1:46" ht="16.5" customHeight="1">
      <c r="A15" s="180"/>
      <c r="B15" s="1518"/>
      <c r="C15" s="681" t="s">
        <v>23</v>
      </c>
      <c r="D15" s="681" t="s">
        <v>24</v>
      </c>
      <c r="E15" s="682" t="s">
        <v>25</v>
      </c>
      <c r="F15" s="683" t="s">
        <v>14</v>
      </c>
      <c r="G15" s="684"/>
      <c r="H15" s="681" t="s">
        <v>23</v>
      </c>
      <c r="I15" s="681" t="s">
        <v>24</v>
      </c>
      <c r="J15" s="685" t="s">
        <v>25</v>
      </c>
      <c r="K15" s="683" t="s">
        <v>14</v>
      </c>
      <c r="L15" s="684"/>
      <c r="M15" s="681" t="s">
        <v>23</v>
      </c>
      <c r="N15" s="681" t="s">
        <v>24</v>
      </c>
      <c r="O15" s="685" t="s">
        <v>25</v>
      </c>
      <c r="P15" s="683" t="s">
        <v>14</v>
      </c>
      <c r="Q15" s="4"/>
      <c r="R15" s="21" t="s">
        <v>23</v>
      </c>
      <c r="S15" s="21" t="s">
        <v>24</v>
      </c>
      <c r="T15" s="18" t="s">
        <v>25</v>
      </c>
      <c r="U15" s="645" t="s">
        <v>14</v>
      </c>
      <c r="V15" s="4"/>
      <c r="W15" s="21" t="s">
        <v>23</v>
      </c>
      <c r="X15" s="21" t="s">
        <v>24</v>
      </c>
      <c r="Y15" s="18" t="s">
        <v>25</v>
      </c>
      <c r="Z15" s="645" t="s">
        <v>14</v>
      </c>
      <c r="AA15" s="1517"/>
      <c r="AB15" s="1517"/>
      <c r="AC15" s="4"/>
      <c r="AD15" s="21" t="s">
        <v>23</v>
      </c>
      <c r="AE15" s="21" t="s">
        <v>24</v>
      </c>
      <c r="AF15" s="18" t="s">
        <v>25</v>
      </c>
      <c r="AG15" s="21" t="s">
        <v>23</v>
      </c>
      <c r="AH15" s="21" t="s">
        <v>24</v>
      </c>
      <c r="AI15" s="18" t="s">
        <v>25</v>
      </c>
      <c r="AJ15" s="1517"/>
      <c r="AK15" s="4"/>
      <c r="AL15" s="368"/>
      <c r="AM15" s="367"/>
      <c r="AN15" s="691" t="s">
        <v>26</v>
      </c>
      <c r="AO15" s="196">
        <f>AA37</f>
        <v>24</v>
      </c>
      <c r="AP15" s="510">
        <v>39.14</v>
      </c>
      <c r="AQ15" s="510">
        <f t="shared" ref="AQ15:AQ21" si="0">AO15*AP15</f>
        <v>939.36</v>
      </c>
      <c r="AR15" s="193"/>
      <c r="AS15" s="193"/>
      <c r="AT15" s="367"/>
    </row>
    <row r="16" spans="1:46" ht="16.5" customHeight="1">
      <c r="A16" s="180"/>
      <c r="B16" s="422" t="s">
        <v>1055</v>
      </c>
      <c r="C16" s="686"/>
      <c r="D16" s="687"/>
      <c r="E16" s="688"/>
      <c r="F16" s="689"/>
      <c r="G16" s="684"/>
      <c r="H16" s="686"/>
      <c r="I16" s="687"/>
      <c r="J16" s="688"/>
      <c r="K16" s="689"/>
      <c r="L16" s="684"/>
      <c r="M16" s="686"/>
      <c r="N16" s="687"/>
      <c r="O16" s="688"/>
      <c r="P16" s="689"/>
      <c r="Q16" s="455"/>
      <c r="R16" s="441" t="s">
        <v>1056</v>
      </c>
      <c r="S16" s="47" t="s">
        <v>1057</v>
      </c>
      <c r="T16" s="319">
        <v>8</v>
      </c>
      <c r="U16" s="646"/>
      <c r="W16" s="327" t="s">
        <v>1058</v>
      </c>
      <c r="X16" s="327" t="s">
        <v>1057</v>
      </c>
      <c r="Y16" s="319">
        <v>8</v>
      </c>
      <c r="Z16" s="646"/>
      <c r="AA16" s="328">
        <f>(E16+J16+O16+T16+Y16)</f>
        <v>16</v>
      </c>
      <c r="AB16" s="298">
        <f t="shared" ref="AB16:AB33" si="1">Z16+U16+P16+K16+F16</f>
        <v>0</v>
      </c>
      <c r="AC16" s="4"/>
      <c r="AD16" s="587"/>
      <c r="AE16" s="531"/>
      <c r="AF16" s="319"/>
      <c r="AG16" s="587"/>
      <c r="AH16" s="531"/>
      <c r="AI16" s="319"/>
      <c r="AJ16" s="328">
        <f t="shared" ref="AJ16:AJ36" si="2">AI16+AF16</f>
        <v>0</v>
      </c>
      <c r="AK16" s="4"/>
      <c r="AL16" s="368"/>
      <c r="AM16" s="367"/>
      <c r="AN16" s="691" t="s">
        <v>30</v>
      </c>
      <c r="AO16" s="196">
        <f>AB37</f>
        <v>0</v>
      </c>
      <c r="AP16" s="511">
        <f>AP15*1.5</f>
        <v>58.71</v>
      </c>
      <c r="AQ16" s="510">
        <f t="shared" si="0"/>
        <v>0</v>
      </c>
      <c r="AR16" s="193"/>
      <c r="AS16" s="193"/>
      <c r="AT16" s="367"/>
    </row>
    <row r="17" spans="1:46" ht="16.5" customHeight="1">
      <c r="A17" s="367"/>
      <c r="B17" s="422" t="s">
        <v>1059</v>
      </c>
      <c r="C17" s="686"/>
      <c r="D17" s="687"/>
      <c r="E17" s="688"/>
      <c r="F17" s="689"/>
      <c r="G17" s="684"/>
      <c r="H17" s="686"/>
      <c r="I17" s="687"/>
      <c r="J17" s="688"/>
      <c r="K17" s="689"/>
      <c r="L17" s="684"/>
      <c r="M17" s="686"/>
      <c r="N17" s="687"/>
      <c r="O17" s="688"/>
      <c r="P17" s="689"/>
      <c r="Q17" s="441"/>
      <c r="R17" s="441" t="s">
        <v>1056</v>
      </c>
      <c r="S17" s="47" t="s">
        <v>1057</v>
      </c>
      <c r="T17" s="319">
        <v>8</v>
      </c>
      <c r="U17" s="646"/>
      <c r="V17" s="1"/>
      <c r="W17" s="441" t="s">
        <v>1058</v>
      </c>
      <c r="X17" s="47" t="s">
        <v>1057</v>
      </c>
      <c r="Y17" s="319">
        <v>8</v>
      </c>
      <c r="Z17" s="646"/>
      <c r="AA17" s="328">
        <f t="shared" ref="AA17:AA23" si="3">(E17+J17+O17+U17+Y17)</f>
        <v>8</v>
      </c>
      <c r="AB17" s="298">
        <f t="shared" si="1"/>
        <v>0</v>
      </c>
      <c r="AC17" s="4"/>
      <c r="AD17" s="180"/>
      <c r="AE17" s="180"/>
      <c r="AF17" s="319"/>
      <c r="AG17" s="180"/>
      <c r="AH17" s="180"/>
      <c r="AI17" s="319"/>
      <c r="AJ17" s="328">
        <f t="shared" si="2"/>
        <v>0</v>
      </c>
      <c r="AK17" s="175"/>
      <c r="AL17" s="402"/>
      <c r="AM17" s="367"/>
      <c r="AN17" s="691" t="s">
        <v>32</v>
      </c>
      <c r="AO17" s="196">
        <f>AJ37</f>
        <v>0</v>
      </c>
      <c r="AP17" s="510">
        <v>58.71</v>
      </c>
      <c r="AQ17" s="510">
        <f t="shared" si="0"/>
        <v>0</v>
      </c>
      <c r="AR17" s="193"/>
      <c r="AS17" s="193"/>
      <c r="AT17" s="367"/>
    </row>
    <row r="18" spans="1:46" ht="16.5" customHeight="1">
      <c r="A18" s="367"/>
      <c r="B18" s="422" t="s">
        <v>1060</v>
      </c>
      <c r="C18" s="687"/>
      <c r="D18" s="687"/>
      <c r="E18" s="688"/>
      <c r="F18" s="689"/>
      <c r="G18" s="684"/>
      <c r="H18" s="686"/>
      <c r="I18" s="687"/>
      <c r="J18" s="688"/>
      <c r="K18" s="689"/>
      <c r="L18" s="684"/>
      <c r="M18" s="686"/>
      <c r="N18" s="687"/>
      <c r="O18" s="688"/>
      <c r="P18" s="689"/>
      <c r="Q18" s="47"/>
      <c r="R18" s="47"/>
      <c r="S18" s="47"/>
      <c r="T18" s="319"/>
      <c r="U18" s="646"/>
      <c r="V18" s="1"/>
      <c r="W18" s="441" t="s">
        <v>154</v>
      </c>
      <c r="X18" s="47">
        <v>0</v>
      </c>
      <c r="Y18" s="319">
        <v>0</v>
      </c>
      <c r="Z18" s="646"/>
      <c r="AA18" s="328">
        <f t="shared" si="3"/>
        <v>0</v>
      </c>
      <c r="AB18" s="298">
        <f t="shared" si="1"/>
        <v>0</v>
      </c>
      <c r="AC18" s="4"/>
      <c r="AD18" s="531"/>
      <c r="AE18" s="531"/>
      <c r="AF18" s="319"/>
      <c r="AG18" s="531"/>
      <c r="AH18" s="531"/>
      <c r="AI18" s="319"/>
      <c r="AJ18" s="328">
        <f t="shared" si="2"/>
        <v>0</v>
      </c>
      <c r="AK18" s="175"/>
      <c r="AL18" s="402"/>
      <c r="AM18" s="367"/>
      <c r="AN18" s="403" t="s">
        <v>213</v>
      </c>
      <c r="AO18" s="404">
        <f>AA39</f>
        <v>40</v>
      </c>
      <c r="AP18" s="510">
        <v>51.5</v>
      </c>
      <c r="AQ18" s="510">
        <f t="shared" si="0"/>
        <v>2060</v>
      </c>
      <c r="AR18" s="193"/>
      <c r="AS18" s="193"/>
      <c r="AT18" s="367"/>
    </row>
    <row r="19" spans="1:46" ht="16.5" customHeight="1">
      <c r="A19" s="367"/>
      <c r="B19" s="422" t="s">
        <v>1061</v>
      </c>
      <c r="C19" s="687"/>
      <c r="D19" s="687"/>
      <c r="E19" s="688"/>
      <c r="F19" s="689"/>
      <c r="G19" s="684"/>
      <c r="H19" s="686"/>
      <c r="I19" s="687"/>
      <c r="J19" s="688"/>
      <c r="K19" s="689"/>
      <c r="L19" s="684"/>
      <c r="M19" s="686"/>
      <c r="N19" s="687"/>
      <c r="O19" s="688"/>
      <c r="P19" s="689"/>
      <c r="Q19" s="47"/>
      <c r="R19" s="47"/>
      <c r="S19" s="47"/>
      <c r="T19" s="319"/>
      <c r="U19" s="646"/>
      <c r="V19" s="1"/>
      <c r="W19" s="441" t="s">
        <v>154</v>
      </c>
      <c r="X19" s="47">
        <v>0</v>
      </c>
      <c r="Y19" s="319">
        <v>0</v>
      </c>
      <c r="Z19" s="646"/>
      <c r="AA19" s="328">
        <f t="shared" si="3"/>
        <v>0</v>
      </c>
      <c r="AB19" s="298">
        <f t="shared" si="1"/>
        <v>0</v>
      </c>
      <c r="AC19" s="399"/>
      <c r="AD19" s="47"/>
      <c r="AE19" s="47"/>
      <c r="AF19" s="319"/>
      <c r="AG19" s="47"/>
      <c r="AH19" s="47"/>
      <c r="AI19" s="319"/>
      <c r="AJ19" s="328">
        <f t="shared" si="2"/>
        <v>0</v>
      </c>
      <c r="AK19" s="175"/>
      <c r="AL19" s="255"/>
      <c r="AM19" s="401"/>
      <c r="AN19" s="188" t="s">
        <v>36</v>
      </c>
      <c r="AO19" s="196">
        <f>AB39</f>
        <v>0</v>
      </c>
      <c r="AP19" s="510">
        <f>AP18*1.5</f>
        <v>77.25</v>
      </c>
      <c r="AQ19" s="510">
        <f t="shared" si="0"/>
        <v>0</v>
      </c>
      <c r="AR19" s="405"/>
      <c r="AS19" s="405"/>
      <c r="AT19" s="401"/>
    </row>
    <row r="20" spans="1:46" ht="16.5" customHeight="1">
      <c r="A20" s="367"/>
      <c r="B20" s="422" t="s">
        <v>1062</v>
      </c>
      <c r="C20" s="687"/>
      <c r="D20" s="687"/>
      <c r="E20" s="688"/>
      <c r="F20" s="689"/>
      <c r="G20" s="684"/>
      <c r="H20" s="687"/>
      <c r="I20" s="687"/>
      <c r="J20" s="688"/>
      <c r="K20" s="689"/>
      <c r="L20" s="684"/>
      <c r="M20" s="687"/>
      <c r="N20" s="687"/>
      <c r="O20" s="688"/>
      <c r="P20" s="689"/>
      <c r="Q20" s="47"/>
      <c r="R20" s="47"/>
      <c r="S20" s="47"/>
      <c r="T20" s="319"/>
      <c r="U20" s="646"/>
      <c r="V20" s="1"/>
      <c r="W20" s="47">
        <v>0</v>
      </c>
      <c r="X20" s="47">
        <v>0</v>
      </c>
      <c r="Y20" s="319">
        <v>0</v>
      </c>
      <c r="Z20" s="646"/>
      <c r="AA20" s="328">
        <f t="shared" si="3"/>
        <v>0</v>
      </c>
      <c r="AB20" s="298">
        <f t="shared" si="1"/>
        <v>0</v>
      </c>
      <c r="AC20" s="175"/>
      <c r="AD20" s="47"/>
      <c r="AE20" s="47"/>
      <c r="AF20" s="319"/>
      <c r="AG20" s="47"/>
      <c r="AH20" s="47"/>
      <c r="AI20" s="319"/>
      <c r="AJ20" s="328">
        <f t="shared" si="2"/>
        <v>0</v>
      </c>
      <c r="AK20" s="175"/>
      <c r="AL20" s="255"/>
      <c r="AM20" s="401"/>
      <c r="AN20" s="188" t="s">
        <v>38</v>
      </c>
      <c r="AO20" s="196">
        <f>AJ39</f>
        <v>0</v>
      </c>
      <c r="AP20" s="510">
        <v>77.25</v>
      </c>
      <c r="AQ20" s="510">
        <f t="shared" si="0"/>
        <v>0</v>
      </c>
      <c r="AR20" s="405"/>
      <c r="AS20" s="405"/>
      <c r="AT20" s="401"/>
    </row>
    <row r="21" spans="1:46" ht="16.5" customHeight="1" thickBot="1">
      <c r="A21" s="367"/>
      <c r="B21" s="422" t="s">
        <v>1063</v>
      </c>
      <c r="C21" s="687"/>
      <c r="D21" s="687"/>
      <c r="E21" s="688"/>
      <c r="F21" s="689"/>
      <c r="G21" s="684"/>
      <c r="H21" s="687"/>
      <c r="I21" s="687"/>
      <c r="J21" s="688"/>
      <c r="K21" s="689"/>
      <c r="L21" s="684"/>
      <c r="M21" s="687"/>
      <c r="N21" s="687"/>
      <c r="O21" s="688"/>
      <c r="P21" s="689"/>
      <c r="Q21" s="47"/>
      <c r="R21" s="47"/>
      <c r="S21" s="47"/>
      <c r="T21" s="319"/>
      <c r="U21" s="646"/>
      <c r="V21" s="1"/>
      <c r="W21" s="47">
        <v>0</v>
      </c>
      <c r="X21" s="47">
        <v>0</v>
      </c>
      <c r="Y21" s="319">
        <v>0</v>
      </c>
      <c r="Z21" s="646"/>
      <c r="AA21" s="328">
        <f t="shared" si="3"/>
        <v>0</v>
      </c>
      <c r="AB21" s="298">
        <f t="shared" si="1"/>
        <v>0</v>
      </c>
      <c r="AC21" s="4"/>
      <c r="AD21" s="47"/>
      <c r="AE21" s="47"/>
      <c r="AF21" s="319"/>
      <c r="AG21" s="47"/>
      <c r="AH21" s="47"/>
      <c r="AI21" s="319"/>
      <c r="AJ21" s="328">
        <f t="shared" si="2"/>
        <v>0</v>
      </c>
      <c r="AK21" s="175"/>
      <c r="AL21" s="368"/>
      <c r="AM21" s="180"/>
      <c r="AN21" s="188" t="s">
        <v>41</v>
      </c>
      <c r="AO21" s="196">
        <f>C40</f>
        <v>3</v>
      </c>
      <c r="AP21" s="512">
        <v>46.35</v>
      </c>
      <c r="AQ21" s="512">
        <f t="shared" si="0"/>
        <v>139.05000000000001</v>
      </c>
      <c r="AR21" s="193"/>
      <c r="AS21" s="193"/>
      <c r="AT21" s="180"/>
    </row>
    <row r="22" spans="1:46" ht="16.5" customHeight="1" thickTop="1">
      <c r="A22" s="401"/>
      <c r="B22" s="422" t="s">
        <v>1064</v>
      </c>
      <c r="C22" s="687"/>
      <c r="D22" s="687"/>
      <c r="E22" s="688"/>
      <c r="F22" s="689"/>
      <c r="G22" s="684"/>
      <c r="H22" s="686"/>
      <c r="I22" s="687"/>
      <c r="J22" s="688"/>
      <c r="K22" s="689"/>
      <c r="L22" s="684"/>
      <c r="M22" s="686"/>
      <c r="N22" s="687"/>
      <c r="O22" s="688"/>
      <c r="P22" s="689"/>
      <c r="Q22" s="47"/>
      <c r="R22" s="47"/>
      <c r="S22" s="47"/>
      <c r="T22" s="319"/>
      <c r="U22" s="646"/>
      <c r="V22" s="1"/>
      <c r="W22" s="441" t="s">
        <v>154</v>
      </c>
      <c r="X22" s="47">
        <v>0</v>
      </c>
      <c r="Y22" s="319">
        <v>0</v>
      </c>
      <c r="Z22" s="646"/>
      <c r="AA22" s="328">
        <f t="shared" si="3"/>
        <v>0</v>
      </c>
      <c r="AB22" s="298">
        <f t="shared" si="1"/>
        <v>0</v>
      </c>
      <c r="AC22" s="4"/>
      <c r="AD22" s="47"/>
      <c r="AE22" s="47"/>
      <c r="AF22" s="319"/>
      <c r="AG22" s="47"/>
      <c r="AH22" s="47"/>
      <c r="AI22" s="319"/>
      <c r="AJ22" s="328">
        <f t="shared" si="2"/>
        <v>0</v>
      </c>
      <c r="AK22" s="4"/>
      <c r="AL22" s="255"/>
      <c r="AM22" s="367"/>
      <c r="AN22" s="193"/>
      <c r="AO22" s="193"/>
      <c r="AP22" s="193"/>
      <c r="AQ22" s="510">
        <f>SUM(AQ15:AQ21)</f>
        <v>3138.4100000000003</v>
      </c>
      <c r="AR22" s="193"/>
      <c r="AS22" s="193"/>
      <c r="AT22" s="367"/>
    </row>
    <row r="23" spans="1:46" ht="16.5" customHeight="1">
      <c r="A23" s="367"/>
      <c r="B23" s="422" t="s">
        <v>1065</v>
      </c>
      <c r="C23" s="687"/>
      <c r="D23" s="687"/>
      <c r="E23" s="688"/>
      <c r="F23" s="689"/>
      <c r="G23" s="684"/>
      <c r="H23" s="687"/>
      <c r="I23" s="687"/>
      <c r="J23" s="688"/>
      <c r="K23" s="689"/>
      <c r="L23" s="684"/>
      <c r="M23" s="687"/>
      <c r="N23" s="687"/>
      <c r="O23" s="688"/>
      <c r="P23" s="689"/>
      <c r="Q23" s="47"/>
      <c r="R23" s="47"/>
      <c r="S23" s="47"/>
      <c r="T23" s="319"/>
      <c r="U23" s="646"/>
      <c r="V23" s="1"/>
      <c r="W23" s="47">
        <v>0</v>
      </c>
      <c r="X23" s="47">
        <v>0</v>
      </c>
      <c r="Y23" s="319">
        <v>0</v>
      </c>
      <c r="Z23" s="646"/>
      <c r="AA23" s="328">
        <f t="shared" si="3"/>
        <v>0</v>
      </c>
      <c r="AB23" s="298">
        <f t="shared" si="1"/>
        <v>0</v>
      </c>
      <c r="AC23" s="4"/>
      <c r="AD23" s="47"/>
      <c r="AE23" s="47"/>
      <c r="AF23" s="319"/>
      <c r="AG23" s="47"/>
      <c r="AH23" s="47"/>
      <c r="AI23" s="319"/>
      <c r="AJ23" s="328">
        <f t="shared" si="2"/>
        <v>0</v>
      </c>
      <c r="AK23" s="4"/>
      <c r="AL23" s="255"/>
      <c r="AM23" s="180"/>
      <c r="AN23" s="193"/>
      <c r="AO23" s="193"/>
      <c r="AP23" s="193"/>
      <c r="AQ23" s="193"/>
      <c r="AR23" s="193"/>
      <c r="AS23" s="193"/>
      <c r="AT23" s="180"/>
    </row>
    <row r="24" spans="1:46" ht="16.5" customHeight="1">
      <c r="A24" s="180"/>
      <c r="B24" s="693" t="s">
        <v>1066</v>
      </c>
      <c r="C24" s="686"/>
      <c r="D24" s="687"/>
      <c r="E24" s="688"/>
      <c r="F24" s="689"/>
      <c r="G24" s="684"/>
      <c r="H24" s="687"/>
      <c r="I24" s="687"/>
      <c r="J24" s="688"/>
      <c r="K24" s="689"/>
      <c r="L24" s="684"/>
      <c r="M24" s="687"/>
      <c r="N24" s="687"/>
      <c r="O24" s="688"/>
      <c r="P24" s="689"/>
      <c r="Q24" s="4"/>
      <c r="R24" s="47"/>
      <c r="S24" s="47"/>
      <c r="T24" s="319"/>
      <c r="U24" s="646"/>
      <c r="W24" s="4">
        <v>0</v>
      </c>
      <c r="X24" s="47">
        <v>0</v>
      </c>
      <c r="Y24" s="319">
        <v>0</v>
      </c>
      <c r="Z24" s="646"/>
      <c r="AA24" s="328">
        <f t="shared" ref="AA24:AA33" si="4">(E24+J24+O24+T24+Y24)</f>
        <v>0</v>
      </c>
      <c r="AB24" s="298">
        <f t="shared" si="1"/>
        <v>0</v>
      </c>
      <c r="AC24" s="4"/>
      <c r="AD24" s="47"/>
      <c r="AE24" s="47"/>
      <c r="AF24" s="319"/>
      <c r="AG24" s="47"/>
      <c r="AH24" s="47"/>
      <c r="AI24" s="319"/>
      <c r="AJ24" s="328">
        <f t="shared" si="2"/>
        <v>0</v>
      </c>
      <c r="AK24" s="4"/>
      <c r="AL24" s="255"/>
      <c r="AM24" s="180"/>
      <c r="AN24" s="193"/>
      <c r="AO24" s="193"/>
      <c r="AP24" s="193"/>
      <c r="AQ24" s="193"/>
      <c r="AR24" s="193"/>
      <c r="AS24" s="193"/>
      <c r="AT24" s="180"/>
    </row>
    <row r="25" spans="1:46" ht="16.5" customHeight="1">
      <c r="A25" s="180"/>
      <c r="B25" s="678" t="s">
        <v>1067</v>
      </c>
      <c r="C25" s="686"/>
      <c r="D25" s="687"/>
      <c r="E25" s="688"/>
      <c r="F25" s="689"/>
      <c r="G25" s="684"/>
      <c r="H25" s="686"/>
      <c r="I25" s="687"/>
      <c r="J25" s="688"/>
      <c r="K25" s="689"/>
      <c r="L25" s="684"/>
      <c r="M25" s="686"/>
      <c r="N25" s="687"/>
      <c r="O25" s="688"/>
      <c r="P25" s="689"/>
      <c r="Q25" s="4"/>
      <c r="R25" s="441"/>
      <c r="S25" s="47"/>
      <c r="T25" s="319"/>
      <c r="U25" s="646"/>
      <c r="V25" s="4"/>
      <c r="W25" s="441" t="s">
        <v>154</v>
      </c>
      <c r="X25" s="47">
        <v>0</v>
      </c>
      <c r="Y25" s="319">
        <v>0</v>
      </c>
      <c r="Z25" s="646"/>
      <c r="AA25" s="328">
        <f t="shared" si="4"/>
        <v>0</v>
      </c>
      <c r="AB25" s="298">
        <f t="shared" si="1"/>
        <v>0</v>
      </c>
      <c r="AC25" s="4"/>
      <c r="AD25" s="47"/>
      <c r="AE25" s="47"/>
      <c r="AF25" s="319"/>
      <c r="AG25" s="47"/>
      <c r="AH25" s="47"/>
      <c r="AI25" s="319"/>
      <c r="AJ25" s="328">
        <f t="shared" si="2"/>
        <v>0</v>
      </c>
      <c r="AK25" s="4"/>
      <c r="AL25" s="255"/>
      <c r="AM25" s="180"/>
      <c r="AN25" s="193"/>
      <c r="AO25" s="193"/>
      <c r="AP25" s="193"/>
      <c r="AQ25" s="193"/>
      <c r="AR25" s="193"/>
      <c r="AS25" s="193"/>
      <c r="AT25" s="180"/>
    </row>
    <row r="26" spans="1:46" ht="16.5" customHeight="1">
      <c r="A26" s="180"/>
      <c r="B26" s="422" t="s">
        <v>1068</v>
      </c>
      <c r="C26" s="686"/>
      <c r="D26" s="687"/>
      <c r="E26" s="688"/>
      <c r="F26" s="689"/>
      <c r="G26" s="684"/>
      <c r="H26" s="687"/>
      <c r="I26" s="687"/>
      <c r="J26" s="688"/>
      <c r="K26" s="689"/>
      <c r="L26" s="684"/>
      <c r="M26" s="687"/>
      <c r="N26" s="687"/>
      <c r="O26" s="688"/>
      <c r="P26" s="689"/>
      <c r="Q26" s="4"/>
      <c r="R26" s="47"/>
      <c r="S26" s="47"/>
      <c r="T26" s="319"/>
      <c r="U26" s="646"/>
      <c r="V26" s="4"/>
      <c r="W26" s="47"/>
      <c r="X26" s="47"/>
      <c r="Y26" s="319"/>
      <c r="Z26" s="646"/>
      <c r="AA26" s="328">
        <f t="shared" si="4"/>
        <v>0</v>
      </c>
      <c r="AB26" s="298">
        <f t="shared" si="1"/>
        <v>0</v>
      </c>
      <c r="AC26" s="4"/>
      <c r="AD26" s="47"/>
      <c r="AE26" s="47"/>
      <c r="AF26" s="319"/>
      <c r="AG26" s="47"/>
      <c r="AH26" s="47"/>
      <c r="AI26" s="319"/>
      <c r="AJ26" s="328">
        <f t="shared" si="2"/>
        <v>0</v>
      </c>
      <c r="AK26" s="4"/>
      <c r="AL26" s="255"/>
      <c r="AM26" s="180"/>
      <c r="AN26" s="193"/>
      <c r="AO26" s="193"/>
      <c r="AP26" s="193"/>
      <c r="AQ26" s="193"/>
      <c r="AR26" s="193"/>
      <c r="AS26" s="193"/>
      <c r="AT26" s="180"/>
    </row>
    <row r="27" spans="1:46" ht="16.5" customHeight="1">
      <c r="A27" s="180"/>
      <c r="B27" s="422" t="s">
        <v>1069</v>
      </c>
      <c r="C27" s="686"/>
      <c r="D27" s="687"/>
      <c r="E27" s="688"/>
      <c r="F27" s="689"/>
      <c r="G27" s="684"/>
      <c r="H27" s="687"/>
      <c r="I27" s="687"/>
      <c r="J27" s="688"/>
      <c r="K27" s="689"/>
      <c r="L27" s="684"/>
      <c r="M27" s="687"/>
      <c r="N27" s="687"/>
      <c r="O27" s="688"/>
      <c r="P27" s="689"/>
      <c r="Q27" s="4"/>
      <c r="R27" s="47"/>
      <c r="S27" s="47"/>
      <c r="T27" s="319"/>
      <c r="U27" s="646"/>
      <c r="V27" s="4"/>
      <c r="W27" s="47"/>
      <c r="X27" s="47"/>
      <c r="Y27" s="319"/>
      <c r="Z27" s="646"/>
      <c r="AA27" s="328">
        <f t="shared" si="4"/>
        <v>0</v>
      </c>
      <c r="AB27" s="298">
        <f t="shared" si="1"/>
        <v>0</v>
      </c>
      <c r="AC27" s="4"/>
      <c r="AD27" s="47"/>
      <c r="AE27" s="47"/>
      <c r="AF27" s="319"/>
      <c r="AG27" s="47"/>
      <c r="AH27" s="47"/>
      <c r="AI27" s="319"/>
      <c r="AJ27" s="328">
        <f t="shared" si="2"/>
        <v>0</v>
      </c>
      <c r="AK27" s="4"/>
      <c r="AL27" s="255"/>
      <c r="AM27" s="180"/>
      <c r="AN27" s="193"/>
      <c r="AO27" s="193"/>
      <c r="AP27" s="193"/>
      <c r="AQ27" s="193"/>
      <c r="AR27" s="193"/>
      <c r="AS27" s="193"/>
      <c r="AT27" s="180"/>
    </row>
    <row r="28" spans="1:46" ht="16.5" customHeight="1">
      <c r="A28" s="180"/>
      <c r="B28" s="422" t="s">
        <v>1070</v>
      </c>
      <c r="C28" s="686"/>
      <c r="D28" s="687"/>
      <c r="E28" s="688"/>
      <c r="F28" s="689"/>
      <c r="G28" s="684"/>
      <c r="H28" s="686"/>
      <c r="I28" s="687"/>
      <c r="J28" s="688"/>
      <c r="K28" s="689"/>
      <c r="L28" s="684"/>
      <c r="M28" s="686"/>
      <c r="N28" s="687"/>
      <c r="O28" s="688"/>
      <c r="P28" s="689"/>
      <c r="Q28" s="4"/>
      <c r="R28" s="441"/>
      <c r="S28" s="47"/>
      <c r="T28" s="319"/>
      <c r="U28" s="646"/>
      <c r="V28" s="4"/>
      <c r="W28" s="441"/>
      <c r="X28" s="47"/>
      <c r="Y28" s="319"/>
      <c r="Z28" s="646"/>
      <c r="AA28" s="328">
        <f t="shared" si="4"/>
        <v>0</v>
      </c>
      <c r="AB28" s="298">
        <f t="shared" si="1"/>
        <v>0</v>
      </c>
      <c r="AC28" s="4"/>
      <c r="AD28" s="47"/>
      <c r="AE28" s="47"/>
      <c r="AF28" s="319"/>
      <c r="AG28" s="47"/>
      <c r="AH28" s="47"/>
      <c r="AI28" s="319"/>
      <c r="AJ28" s="328">
        <f t="shared" si="2"/>
        <v>0</v>
      </c>
      <c r="AK28" s="4"/>
      <c r="AL28" s="255"/>
      <c r="AM28" s="180"/>
      <c r="AN28" s="193"/>
      <c r="AO28" s="193"/>
      <c r="AP28" s="193"/>
      <c r="AQ28" s="193"/>
      <c r="AR28" s="193"/>
      <c r="AS28" s="193"/>
      <c r="AT28" s="180"/>
    </row>
    <row r="29" spans="1:46" ht="16.5" customHeight="1">
      <c r="A29" s="180"/>
      <c r="B29" s="422" t="s">
        <v>1071</v>
      </c>
      <c r="C29" s="686"/>
      <c r="D29" s="687"/>
      <c r="E29" s="688"/>
      <c r="F29" s="689"/>
      <c r="G29" s="684"/>
      <c r="H29" s="690"/>
      <c r="I29" s="687"/>
      <c r="J29" s="688"/>
      <c r="K29" s="689"/>
      <c r="L29" s="684"/>
      <c r="M29" s="687"/>
      <c r="N29" s="687"/>
      <c r="O29" s="688"/>
      <c r="P29" s="689"/>
      <c r="Q29" s="4"/>
      <c r="R29" s="47"/>
      <c r="S29" s="47"/>
      <c r="T29" s="319"/>
      <c r="U29" s="646"/>
      <c r="V29" s="4"/>
      <c r="W29" s="47"/>
      <c r="X29" s="47"/>
      <c r="Y29" s="319"/>
      <c r="Z29" s="646"/>
      <c r="AA29" s="328">
        <f t="shared" si="4"/>
        <v>0</v>
      </c>
      <c r="AB29" s="298">
        <f t="shared" si="1"/>
        <v>0</v>
      </c>
      <c r="AC29" s="4"/>
      <c r="AD29" s="47"/>
      <c r="AE29" s="47"/>
      <c r="AF29" s="319"/>
      <c r="AG29" s="47"/>
      <c r="AH29" s="47"/>
      <c r="AI29" s="319"/>
      <c r="AJ29" s="328">
        <f t="shared" si="2"/>
        <v>0</v>
      </c>
      <c r="AK29" s="4"/>
      <c r="AL29" s="255"/>
      <c r="AM29" s="180"/>
      <c r="AN29" s="193"/>
      <c r="AO29" s="193"/>
      <c r="AP29" s="193"/>
      <c r="AQ29" s="193"/>
      <c r="AR29" s="193"/>
      <c r="AS29" s="193"/>
      <c r="AT29" s="180"/>
    </row>
    <row r="30" spans="1:46" ht="16.5" customHeight="1">
      <c r="A30" s="180"/>
      <c r="B30" s="422" t="s">
        <v>1072</v>
      </c>
      <c r="C30" s="686"/>
      <c r="D30" s="687"/>
      <c r="E30" s="688"/>
      <c r="F30" s="689"/>
      <c r="G30" s="684"/>
      <c r="H30" s="687"/>
      <c r="I30" s="687"/>
      <c r="J30" s="688"/>
      <c r="K30" s="689"/>
      <c r="L30" s="684"/>
      <c r="M30" s="686"/>
      <c r="N30" s="687"/>
      <c r="O30" s="688"/>
      <c r="P30" s="689"/>
      <c r="Q30" s="4"/>
      <c r="R30" s="441"/>
      <c r="S30" s="47"/>
      <c r="T30" s="319"/>
      <c r="U30" s="646"/>
      <c r="V30" s="4"/>
      <c r="W30" s="441"/>
      <c r="X30" s="47"/>
      <c r="Y30" s="319"/>
      <c r="Z30" s="646"/>
      <c r="AA30" s="328">
        <f t="shared" si="4"/>
        <v>0</v>
      </c>
      <c r="AB30" s="298">
        <f t="shared" si="1"/>
        <v>0</v>
      </c>
      <c r="AC30" s="4"/>
      <c r="AD30" s="47"/>
      <c r="AE30" s="47"/>
      <c r="AF30" s="319"/>
      <c r="AG30" s="47"/>
      <c r="AH30" s="47"/>
      <c r="AI30" s="319"/>
      <c r="AJ30" s="328">
        <f t="shared" si="2"/>
        <v>0</v>
      </c>
      <c r="AK30" s="4"/>
      <c r="AL30" s="255"/>
      <c r="AM30" s="180"/>
      <c r="AN30" s="193"/>
      <c r="AO30" s="193"/>
      <c r="AP30" s="193"/>
      <c r="AQ30" s="193"/>
      <c r="AR30" s="193"/>
      <c r="AS30" s="193"/>
      <c r="AT30" s="180"/>
    </row>
    <row r="31" spans="1:46" ht="16.5" customHeight="1">
      <c r="A31" s="180"/>
      <c r="B31" s="422" t="s">
        <v>1073</v>
      </c>
      <c r="C31" s="686"/>
      <c r="D31" s="687"/>
      <c r="E31" s="688"/>
      <c r="F31" s="689"/>
      <c r="G31" s="684"/>
      <c r="H31" s="687"/>
      <c r="I31" s="687"/>
      <c r="J31" s="688"/>
      <c r="K31" s="689"/>
      <c r="L31" s="684"/>
      <c r="M31" s="687"/>
      <c r="N31" s="687"/>
      <c r="O31" s="688"/>
      <c r="P31" s="689"/>
      <c r="Q31" s="4"/>
      <c r="R31" s="47"/>
      <c r="S31" s="47"/>
      <c r="T31" s="319"/>
      <c r="U31" s="646"/>
      <c r="V31" s="4"/>
      <c r="W31" s="47"/>
      <c r="X31" s="47"/>
      <c r="Y31" s="319"/>
      <c r="Z31" s="646"/>
      <c r="AA31" s="328">
        <f t="shared" si="4"/>
        <v>0</v>
      </c>
      <c r="AB31" s="298">
        <f t="shared" si="1"/>
        <v>0</v>
      </c>
      <c r="AC31" s="4"/>
      <c r="AD31" s="47"/>
      <c r="AE31" s="47"/>
      <c r="AF31" s="319"/>
      <c r="AG31" s="47"/>
      <c r="AH31" s="47"/>
      <c r="AI31" s="319"/>
      <c r="AJ31" s="328">
        <f t="shared" si="2"/>
        <v>0</v>
      </c>
      <c r="AK31" s="4"/>
      <c r="AL31" s="255"/>
      <c r="AM31" s="180"/>
      <c r="AN31" s="193"/>
      <c r="AO31" s="193"/>
      <c r="AP31" s="193"/>
      <c r="AQ31" s="193"/>
      <c r="AR31" s="193"/>
      <c r="AS31" s="193"/>
      <c r="AT31" s="180"/>
    </row>
    <row r="32" spans="1:46" ht="16.5" customHeight="1">
      <c r="A32" s="180"/>
      <c r="B32" s="422" t="s">
        <v>1074</v>
      </c>
      <c r="C32" s="686"/>
      <c r="D32" s="687"/>
      <c r="E32" s="688"/>
      <c r="F32" s="689"/>
      <c r="G32" s="684"/>
      <c r="H32" s="687"/>
      <c r="I32" s="687"/>
      <c r="J32" s="688"/>
      <c r="K32" s="689"/>
      <c r="L32" s="684"/>
      <c r="M32" s="687"/>
      <c r="N32" s="687"/>
      <c r="O32" s="688"/>
      <c r="P32" s="689"/>
      <c r="Q32" s="4"/>
      <c r="R32" s="47"/>
      <c r="S32" s="47"/>
      <c r="T32" s="319"/>
      <c r="U32" s="646"/>
      <c r="V32" s="4"/>
      <c r="W32" s="47"/>
      <c r="X32" s="47"/>
      <c r="Y32" s="319"/>
      <c r="Z32" s="646"/>
      <c r="AA32" s="328">
        <f t="shared" si="4"/>
        <v>0</v>
      </c>
      <c r="AB32" s="298">
        <f t="shared" si="1"/>
        <v>0</v>
      </c>
      <c r="AC32" s="4"/>
      <c r="AD32" s="47"/>
      <c r="AE32" s="47"/>
      <c r="AF32" s="319"/>
      <c r="AG32" s="47"/>
      <c r="AH32" s="47"/>
      <c r="AI32" s="319"/>
      <c r="AJ32" s="328">
        <f t="shared" si="2"/>
        <v>0</v>
      </c>
      <c r="AK32" s="4"/>
      <c r="AL32" s="255"/>
      <c r="AM32" s="180"/>
      <c r="AN32" s="193"/>
      <c r="AO32" s="193"/>
      <c r="AP32" s="193"/>
      <c r="AQ32" s="193"/>
      <c r="AR32" s="193"/>
      <c r="AS32" s="193"/>
      <c r="AT32" s="180"/>
    </row>
    <row r="33" spans="1:46" ht="16.5" customHeight="1">
      <c r="A33" s="180"/>
      <c r="B33" s="422" t="s">
        <v>1075</v>
      </c>
      <c r="C33" s="686"/>
      <c r="D33" s="687"/>
      <c r="E33" s="688"/>
      <c r="F33" s="689"/>
      <c r="G33" s="684"/>
      <c r="H33" s="687"/>
      <c r="I33" s="687"/>
      <c r="J33" s="688"/>
      <c r="K33" s="689"/>
      <c r="L33" s="684"/>
      <c r="M33" s="687"/>
      <c r="N33" s="687"/>
      <c r="O33" s="688"/>
      <c r="P33" s="689"/>
      <c r="Q33" s="4"/>
      <c r="R33" s="47"/>
      <c r="S33" s="47"/>
      <c r="T33" s="319"/>
      <c r="U33" s="646"/>
      <c r="V33" s="4"/>
      <c r="W33" s="47"/>
      <c r="X33" s="47"/>
      <c r="Y33" s="319"/>
      <c r="Z33" s="646"/>
      <c r="AA33" s="328">
        <f t="shared" si="4"/>
        <v>0</v>
      </c>
      <c r="AB33" s="298">
        <f t="shared" si="1"/>
        <v>0</v>
      </c>
      <c r="AC33" s="4"/>
      <c r="AD33" s="47"/>
      <c r="AE33" s="47"/>
      <c r="AF33" s="319"/>
      <c r="AG33" s="47"/>
      <c r="AH33" s="47"/>
      <c r="AI33" s="319"/>
      <c r="AJ33" s="328">
        <f t="shared" si="2"/>
        <v>0</v>
      </c>
      <c r="AK33" s="4"/>
      <c r="AL33" s="255"/>
      <c r="AM33" s="180"/>
      <c r="AN33" s="193"/>
      <c r="AO33" s="193"/>
      <c r="AP33" s="193"/>
      <c r="AQ33" s="193"/>
      <c r="AR33" s="193"/>
      <c r="AS33" s="193"/>
      <c r="AT33" s="180"/>
    </row>
    <row r="34" spans="1:46" ht="16.5" customHeight="1">
      <c r="A34" s="180"/>
      <c r="B34" s="422" t="s">
        <v>1076</v>
      </c>
      <c r="C34" s="686"/>
      <c r="D34" s="687"/>
      <c r="E34" s="688"/>
      <c r="F34" s="689"/>
      <c r="G34" s="684"/>
      <c r="H34" s="687"/>
      <c r="I34" s="687"/>
      <c r="J34" s="688"/>
      <c r="K34" s="689"/>
      <c r="L34" s="684"/>
      <c r="M34" s="687"/>
      <c r="N34" s="687"/>
      <c r="O34" s="688"/>
      <c r="P34" s="689"/>
      <c r="Q34" s="4"/>
      <c r="R34" s="47"/>
      <c r="S34" s="47"/>
      <c r="T34" s="319"/>
      <c r="U34" s="646"/>
      <c r="V34" s="4"/>
      <c r="W34" s="47"/>
      <c r="X34" s="47"/>
      <c r="Y34" s="319"/>
      <c r="Z34" s="646"/>
      <c r="AA34" s="328"/>
      <c r="AB34" s="298"/>
      <c r="AC34" s="4"/>
      <c r="AD34" s="47"/>
      <c r="AE34" s="47"/>
      <c r="AF34" s="319"/>
      <c r="AG34" s="47"/>
      <c r="AH34" s="47"/>
      <c r="AI34" s="319"/>
      <c r="AJ34" s="328">
        <f t="shared" si="2"/>
        <v>0</v>
      </c>
      <c r="AK34" s="4"/>
      <c r="AL34" s="255"/>
      <c r="AM34" s="180"/>
      <c r="AN34" s="193"/>
      <c r="AO34" s="193"/>
      <c r="AP34" s="193"/>
      <c r="AQ34" s="193"/>
      <c r="AR34" s="193"/>
      <c r="AS34" s="193"/>
      <c r="AT34" s="180"/>
    </row>
    <row r="35" spans="1:46" ht="16.5" customHeight="1">
      <c r="A35" s="180"/>
      <c r="B35" s="422" t="s">
        <v>1077</v>
      </c>
      <c r="C35" s="686"/>
      <c r="D35" s="687"/>
      <c r="E35" s="688"/>
      <c r="F35" s="689"/>
      <c r="G35" s="684"/>
      <c r="H35" s="687"/>
      <c r="I35" s="687"/>
      <c r="J35" s="688"/>
      <c r="K35" s="689"/>
      <c r="L35" s="684"/>
      <c r="M35" s="687"/>
      <c r="N35" s="687"/>
      <c r="O35" s="688"/>
      <c r="P35" s="689"/>
      <c r="Q35" s="4"/>
      <c r="R35" s="47"/>
      <c r="S35" s="47"/>
      <c r="T35" s="319"/>
      <c r="U35" s="646"/>
      <c r="V35" s="4"/>
      <c r="W35" s="47"/>
      <c r="X35" s="47"/>
      <c r="Y35" s="319"/>
      <c r="Z35" s="646"/>
      <c r="AA35" s="328"/>
      <c r="AB35" s="298"/>
      <c r="AC35" s="4"/>
      <c r="AD35" s="47"/>
      <c r="AE35" s="47"/>
      <c r="AF35" s="319"/>
      <c r="AG35" s="47"/>
      <c r="AH35" s="47"/>
      <c r="AI35" s="319"/>
      <c r="AJ35" s="328">
        <f t="shared" si="2"/>
        <v>0</v>
      </c>
      <c r="AK35" s="4"/>
      <c r="AL35" s="255"/>
      <c r="AM35" s="180"/>
      <c r="AN35" s="193"/>
      <c r="AO35" s="193"/>
      <c r="AP35" s="193"/>
      <c r="AQ35" s="193"/>
      <c r="AR35" s="193"/>
      <c r="AS35" s="193"/>
      <c r="AT35" s="180"/>
    </row>
    <row r="36" spans="1:46" ht="16.5" customHeight="1">
      <c r="A36" s="180"/>
      <c r="B36" s="422" t="s">
        <v>1078</v>
      </c>
      <c r="C36" s="686"/>
      <c r="D36" s="687"/>
      <c r="E36" s="688"/>
      <c r="F36" s="689"/>
      <c r="G36" s="684"/>
      <c r="H36" s="687"/>
      <c r="I36" s="687"/>
      <c r="J36" s="688"/>
      <c r="K36" s="689"/>
      <c r="L36" s="684"/>
      <c r="M36" s="687"/>
      <c r="N36" s="687"/>
      <c r="O36" s="688"/>
      <c r="P36" s="689"/>
      <c r="Q36" s="4"/>
      <c r="R36" s="47"/>
      <c r="S36" s="47"/>
      <c r="T36" s="319"/>
      <c r="U36" s="646"/>
      <c r="V36" s="4"/>
      <c r="W36" s="47"/>
      <c r="X36" s="47"/>
      <c r="Y36" s="319"/>
      <c r="Z36" s="646"/>
      <c r="AA36" s="328">
        <f>(E36+J36+O36+T36+Y36)</f>
        <v>0</v>
      </c>
      <c r="AB36" s="298">
        <f>Z36+U36+P36+K36+F36</f>
        <v>0</v>
      </c>
      <c r="AC36" s="4"/>
      <c r="AD36" s="47"/>
      <c r="AE36" s="47"/>
      <c r="AF36" s="319"/>
      <c r="AG36" s="47"/>
      <c r="AH36" s="47"/>
      <c r="AI36" s="319"/>
      <c r="AJ36" s="328">
        <f t="shared" si="2"/>
        <v>0</v>
      </c>
      <c r="AK36" s="4"/>
      <c r="AL36" s="255"/>
      <c r="AM36" s="180"/>
      <c r="AN36" s="193"/>
      <c r="AO36" s="193"/>
      <c r="AP36" s="193"/>
      <c r="AQ36" s="193"/>
      <c r="AR36" s="193"/>
      <c r="AS36" s="193"/>
      <c r="AT36" s="180"/>
    </row>
    <row r="37" spans="1:46" ht="16.5" customHeight="1">
      <c r="A37" s="180"/>
      <c r="B37" s="64" t="s">
        <v>61</v>
      </c>
      <c r="C37" s="31"/>
      <c r="D37" s="31"/>
      <c r="E37" s="439">
        <f>SUM(E16:E36)</f>
        <v>0</v>
      </c>
      <c r="F37" s="646">
        <f>SUM(F16:F36)</f>
        <v>0</v>
      </c>
      <c r="G37" s="31"/>
      <c r="H37" s="31"/>
      <c r="I37" s="31"/>
      <c r="J37" s="439">
        <f>SUM(J16:J36)</f>
        <v>0</v>
      </c>
      <c r="K37" s="646">
        <f>SUM(K16:K36)</f>
        <v>0</v>
      </c>
      <c r="L37" s="31"/>
      <c r="M37" s="31"/>
      <c r="N37" s="31"/>
      <c r="O37" s="439">
        <f>SUM(O16:O36)</f>
        <v>0</v>
      </c>
      <c r="P37" s="646">
        <f>SUM(P16:P36)</f>
        <v>0</v>
      </c>
      <c r="Q37" s="31"/>
      <c r="R37" s="31"/>
      <c r="S37" s="31"/>
      <c r="T37" s="439">
        <f>SUM(T16:T36)</f>
        <v>16</v>
      </c>
      <c r="U37" s="646">
        <f>SUM(U16:U36)</f>
        <v>0</v>
      </c>
      <c r="V37" s="31"/>
      <c r="W37" s="31"/>
      <c r="X37" s="31"/>
      <c r="Y37" s="439">
        <f>SUM(Y16:Y36)</f>
        <v>16</v>
      </c>
      <c r="Z37" s="646">
        <f>SUM(Z16:Z36)</f>
        <v>0</v>
      </c>
      <c r="AA37" s="370">
        <f>SUM(AA16:AA36)</f>
        <v>24</v>
      </c>
      <c r="AB37" s="370">
        <f>SUM(AB16:AB36)</f>
        <v>0</v>
      </c>
      <c r="AC37" s="4"/>
      <c r="AD37" s="64"/>
      <c r="AE37" s="64"/>
      <c r="AF37" s="370">
        <f>SUM(AF16:AF36)</f>
        <v>0</v>
      </c>
      <c r="AG37" s="64"/>
      <c r="AH37" s="64"/>
      <c r="AI37" s="370">
        <f>SUM(AI16:AI36)</f>
        <v>0</v>
      </c>
      <c r="AJ37" s="370">
        <f>SUM(AJ16:AJ36)</f>
        <v>0</v>
      </c>
      <c r="AK37" s="4"/>
      <c r="AL37" s="255"/>
      <c r="AM37" s="180"/>
      <c r="AN37" s="407"/>
      <c r="AO37" s="193"/>
      <c r="AP37" s="193"/>
      <c r="AQ37" s="193"/>
      <c r="AR37" s="193"/>
      <c r="AS37" s="193"/>
      <c r="AT37" s="180"/>
    </row>
    <row r="38" spans="1:46" ht="16.5" customHeight="1">
      <c r="A38" s="180"/>
      <c r="B38" s="63" t="s">
        <v>146</v>
      </c>
      <c r="C38" s="47"/>
      <c r="D38" s="47"/>
      <c r="E38" s="319">
        <v>8</v>
      </c>
      <c r="F38" s="648"/>
      <c r="G38" s="613"/>
      <c r="H38" s="47"/>
      <c r="I38" s="47"/>
      <c r="J38" s="319">
        <v>8</v>
      </c>
      <c r="K38" s="648"/>
      <c r="L38" s="60"/>
      <c r="M38" s="47"/>
      <c r="N38" s="47"/>
      <c r="O38" s="319">
        <v>8</v>
      </c>
      <c r="P38" s="648"/>
      <c r="Q38" s="60"/>
      <c r="R38" s="47"/>
      <c r="S38" s="47"/>
      <c r="T38" s="319">
        <v>8</v>
      </c>
      <c r="U38" s="648"/>
      <c r="V38" s="60"/>
      <c r="W38" s="47"/>
      <c r="X38" s="47"/>
      <c r="Y38" s="319">
        <v>8</v>
      </c>
      <c r="Z38" s="648"/>
      <c r="AA38" s="28">
        <f>SUM(E38+J38+O38+T38+Y38)</f>
        <v>40</v>
      </c>
      <c r="AB38" s="296">
        <f>Z38+U38+P38+K38+F38</f>
        <v>0</v>
      </c>
      <c r="AC38" s="4"/>
      <c r="AD38" s="47" t="s">
        <v>29</v>
      </c>
      <c r="AE38" s="47" t="s">
        <v>29</v>
      </c>
      <c r="AF38" s="319"/>
      <c r="AG38" s="47" t="s">
        <v>29</v>
      </c>
      <c r="AH38" s="47" t="s">
        <v>29</v>
      </c>
      <c r="AI38" s="319"/>
      <c r="AJ38" s="29">
        <f>AI38+AF38</f>
        <v>0</v>
      </c>
      <c r="AK38" s="4"/>
      <c r="AL38" s="255"/>
      <c r="AM38" s="180"/>
      <c r="AN38" s="407"/>
      <c r="AO38" s="193"/>
      <c r="AP38" s="193"/>
      <c r="AQ38" s="193"/>
      <c r="AR38" s="193"/>
      <c r="AS38" s="193"/>
      <c r="AT38" s="180"/>
    </row>
    <row r="39" spans="1:46" ht="16.5" customHeight="1">
      <c r="A39" s="180"/>
      <c r="B39" s="71" t="s">
        <v>66</v>
      </c>
      <c r="C39" s="371"/>
      <c r="D39" s="371"/>
      <c r="E39" s="71"/>
      <c r="F39" s="613"/>
      <c r="G39" s="71"/>
      <c r="H39" s="71"/>
      <c r="I39" s="71"/>
      <c r="J39" s="71"/>
      <c r="K39" s="613"/>
      <c r="L39" s="71"/>
      <c r="M39" s="71"/>
      <c r="N39" s="71"/>
      <c r="O39" s="71"/>
      <c r="P39" s="613"/>
      <c r="Q39" s="71"/>
      <c r="R39" s="71"/>
      <c r="S39" s="71"/>
      <c r="T39" s="71"/>
      <c r="U39" s="613"/>
      <c r="V39" s="71"/>
      <c r="W39" s="71"/>
      <c r="X39" s="71"/>
      <c r="Y39" s="71"/>
      <c r="Z39" s="613"/>
      <c r="AA39" s="370">
        <f>SUM(AA38:AA38)</f>
        <v>40</v>
      </c>
      <c r="AB39" s="370">
        <f>SUM(AB38:AB38)</f>
        <v>0</v>
      </c>
      <c r="AC39" s="4"/>
      <c r="AD39" s="180"/>
      <c r="AE39" s="180"/>
      <c r="AF39" s="180"/>
      <c r="AG39" s="180"/>
      <c r="AH39" s="180"/>
      <c r="AI39" s="180"/>
      <c r="AJ39" s="370">
        <f>SUM(AJ38:AJ38)</f>
        <v>0</v>
      </c>
      <c r="AK39" s="4"/>
      <c r="AL39" s="255"/>
      <c r="AM39" s="180"/>
      <c r="AN39" s="193"/>
      <c r="AO39" s="193"/>
      <c r="AP39" s="193"/>
      <c r="AQ39" s="193"/>
      <c r="AR39" s="193"/>
      <c r="AS39" s="193"/>
      <c r="AT39" s="180"/>
    </row>
    <row r="40" spans="1:46" ht="16.5" customHeight="1">
      <c r="A40" s="180"/>
      <c r="B40" s="217" t="s">
        <v>67</v>
      </c>
      <c r="C40" s="207">
        <f>C41+C42</f>
        <v>3</v>
      </c>
      <c r="D40" s="207"/>
      <c r="E40" s="209"/>
      <c r="F40" s="209"/>
      <c r="G40" s="207"/>
      <c r="H40" s="209"/>
      <c r="I40" s="209"/>
      <c r="J40" s="209"/>
      <c r="K40" s="209"/>
      <c r="L40" s="207"/>
      <c r="M40" s="207"/>
      <c r="N40" s="207"/>
      <c r="O40" s="207"/>
      <c r="P40" s="209"/>
      <c r="Q40" s="207"/>
      <c r="R40" s="207"/>
      <c r="S40" s="207"/>
      <c r="T40" s="207"/>
      <c r="U40" s="209"/>
      <c r="V40" s="207"/>
      <c r="W40" s="207"/>
      <c r="X40" s="207"/>
      <c r="Y40" s="210"/>
      <c r="Z40" s="209"/>
      <c r="AA40" s="211"/>
      <c r="AB40" s="209"/>
      <c r="AC40" s="211"/>
      <c r="AD40" s="211"/>
      <c r="AE40" s="211"/>
      <c r="AF40" s="211"/>
      <c r="AG40" s="211"/>
      <c r="AH40" s="211"/>
      <c r="AI40" s="211"/>
      <c r="AJ40" s="211"/>
      <c r="AK40" s="4"/>
      <c r="AL40" s="255"/>
      <c r="AM40" s="180"/>
      <c r="AN40" s="193"/>
      <c r="AO40" s="193"/>
      <c r="AP40" s="193"/>
      <c r="AQ40" s="193"/>
      <c r="AR40" s="193"/>
      <c r="AS40" s="193"/>
      <c r="AT40" s="180"/>
    </row>
    <row r="41" spans="1:46" ht="16.5" customHeight="1">
      <c r="A41" s="180"/>
      <c r="B41" s="238" t="s">
        <v>68</v>
      </c>
      <c r="C41" s="239">
        <v>3</v>
      </c>
      <c r="D41" s="207"/>
      <c r="E41" s="209"/>
      <c r="F41" s="209"/>
      <c r="G41" s="207"/>
      <c r="H41" s="209"/>
      <c r="I41" s="209"/>
      <c r="J41" s="209"/>
      <c r="K41" s="209"/>
      <c r="L41" s="207"/>
      <c r="M41" s="207"/>
      <c r="N41" s="207"/>
      <c r="O41" s="207"/>
      <c r="P41" s="209"/>
      <c r="Q41" s="207"/>
      <c r="R41" s="207"/>
      <c r="S41" s="207"/>
      <c r="T41" s="207"/>
      <c r="U41" s="209"/>
      <c r="V41" s="207"/>
      <c r="W41" s="207"/>
      <c r="X41" s="207"/>
      <c r="Y41" s="210"/>
      <c r="Z41" s="209"/>
      <c r="AA41" s="211"/>
      <c r="AB41" s="209"/>
      <c r="AC41" s="211"/>
      <c r="AD41" s="211"/>
      <c r="AE41" s="211"/>
      <c r="AF41" s="211"/>
      <c r="AG41" s="211"/>
      <c r="AH41" s="211"/>
      <c r="AI41" s="211"/>
      <c r="AJ41" s="211"/>
      <c r="AK41" s="4"/>
      <c r="AL41" s="255"/>
      <c r="AM41" s="180"/>
      <c r="AN41" s="193"/>
      <c r="AO41" s="193"/>
      <c r="AP41" s="193"/>
      <c r="AQ41" s="193"/>
      <c r="AR41" s="193"/>
      <c r="AS41" s="193"/>
      <c r="AT41" s="180"/>
    </row>
    <row r="42" spans="1:46" ht="16.5" customHeight="1">
      <c r="A42" s="180"/>
      <c r="B42" s="238" t="s">
        <v>69</v>
      </c>
      <c r="C42" s="239">
        <v>0</v>
      </c>
      <c r="D42" s="207"/>
      <c r="E42" s="209"/>
      <c r="F42" s="209"/>
      <c r="G42" s="207"/>
      <c r="H42" s="209"/>
      <c r="I42" s="209"/>
      <c r="J42" s="209"/>
      <c r="K42" s="209"/>
      <c r="L42" s="207"/>
      <c r="M42" s="207"/>
      <c r="N42" s="207"/>
      <c r="O42" s="207"/>
      <c r="P42" s="209"/>
      <c r="Q42" s="207"/>
      <c r="R42" s="207"/>
      <c r="S42" s="207"/>
      <c r="T42" s="207"/>
      <c r="U42" s="209"/>
      <c r="V42" s="207"/>
      <c r="W42" s="207"/>
      <c r="X42" s="207"/>
      <c r="Y42" s="210"/>
      <c r="Z42" s="209"/>
      <c r="AA42" s="211"/>
      <c r="AB42" s="209"/>
      <c r="AC42" s="211"/>
      <c r="AD42" s="211"/>
      <c r="AE42" s="211"/>
      <c r="AF42" s="211"/>
      <c r="AG42" s="211"/>
      <c r="AH42" s="211"/>
      <c r="AI42" s="211"/>
      <c r="AJ42" s="211"/>
      <c r="AK42" s="4"/>
      <c r="AL42" s="255"/>
      <c r="AM42" s="180"/>
      <c r="AN42" s="193"/>
      <c r="AO42" s="193"/>
      <c r="AP42" s="193"/>
      <c r="AQ42" s="193"/>
      <c r="AR42" s="193"/>
      <c r="AS42" s="193"/>
      <c r="AT42" s="180"/>
    </row>
    <row r="43" spans="1:46" ht="16.5" customHeight="1">
      <c r="A43" s="180"/>
      <c r="B43" s="180"/>
      <c r="C43" s="180"/>
      <c r="D43" s="180"/>
      <c r="E43" s="4"/>
      <c r="F43" s="644"/>
      <c r="G43" s="4"/>
      <c r="H43" s="180"/>
      <c r="I43" s="180"/>
      <c r="J43" s="4"/>
      <c r="K43" s="644"/>
      <c r="L43" s="4"/>
      <c r="M43" s="180"/>
      <c r="N43" s="180"/>
      <c r="O43" s="4"/>
      <c r="P43" s="644"/>
      <c r="Q43" s="4"/>
      <c r="R43" s="180"/>
      <c r="S43" s="180"/>
      <c r="T43" s="4"/>
      <c r="U43" s="644"/>
      <c r="V43" s="4"/>
      <c r="W43" s="180"/>
      <c r="X43" s="180"/>
      <c r="Y43" s="4"/>
      <c r="Z43" s="644"/>
      <c r="AA43" s="4"/>
      <c r="AB43" s="4"/>
      <c r="AC43" s="4"/>
      <c r="AD43" s="180"/>
      <c r="AE43" s="180"/>
      <c r="AF43" s="180"/>
      <c r="AG43" s="180"/>
      <c r="AH43" s="180"/>
      <c r="AI43" s="180"/>
      <c r="AJ43" s="180"/>
      <c r="AK43" s="4"/>
      <c r="AL43" s="255"/>
      <c r="AM43" s="180"/>
      <c r="AN43" s="193"/>
      <c r="AO43" s="193"/>
      <c r="AP43" s="193"/>
      <c r="AQ43" s="193"/>
      <c r="AR43" s="193"/>
      <c r="AS43" s="193"/>
      <c r="AT43" s="180"/>
    </row>
    <row r="44" spans="1:46" ht="16.5" customHeight="1">
      <c r="A44" s="180"/>
      <c r="B44" s="229"/>
      <c r="C44" s="230"/>
      <c r="D44" s="230"/>
      <c r="E44" s="232"/>
      <c r="F44" s="232"/>
      <c r="G44" s="230"/>
      <c r="H44" s="232"/>
      <c r="I44" s="232"/>
      <c r="J44" s="232"/>
      <c r="K44" s="232"/>
      <c r="L44" s="230"/>
      <c r="M44" s="230"/>
      <c r="N44" s="230"/>
      <c r="O44" s="230"/>
      <c r="P44" s="232"/>
      <c r="Q44" s="230"/>
      <c r="R44" s="230"/>
      <c r="S44" s="230"/>
      <c r="T44" s="230"/>
      <c r="U44" s="232"/>
      <c r="V44" s="230"/>
      <c r="W44" s="230"/>
      <c r="X44" s="230"/>
      <c r="Y44" s="233"/>
      <c r="Z44" s="232"/>
      <c r="AA44" s="234"/>
      <c r="AB44" s="232"/>
      <c r="AC44" s="373"/>
      <c r="AD44" s="236"/>
      <c r="AE44" s="255"/>
      <c r="AF44" s="255"/>
      <c r="AG44" s="236"/>
      <c r="AH44" s="255"/>
      <c r="AI44" s="255"/>
      <c r="AJ44" s="255"/>
      <c r="AK44" s="255"/>
      <c r="AL44" s="255"/>
      <c r="AM44" s="255"/>
      <c r="AN44" s="255"/>
      <c r="AO44" s="255"/>
      <c r="AP44" s="255"/>
      <c r="AQ44" s="255"/>
      <c r="AR44" s="255"/>
      <c r="AS44" s="255"/>
      <c r="AT44" s="255"/>
    </row>
    <row r="45" spans="1:46" ht="16.5" customHeight="1">
      <c r="A45" s="313"/>
      <c r="B45" s="180"/>
      <c r="C45" s="180"/>
      <c r="D45" s="180"/>
      <c r="E45" s="4"/>
      <c r="F45" s="644"/>
      <c r="G45" s="4"/>
      <c r="H45" s="180"/>
      <c r="I45" s="180"/>
      <c r="J45" s="4"/>
      <c r="K45" s="644"/>
      <c r="L45" s="4"/>
      <c r="M45" s="180"/>
      <c r="N45" s="180"/>
      <c r="O45" s="4"/>
      <c r="P45" s="644"/>
      <c r="Q45" s="4"/>
      <c r="R45" s="180"/>
      <c r="S45" s="180"/>
      <c r="T45" s="4"/>
      <c r="U45" s="644"/>
      <c r="V45" s="4"/>
      <c r="W45" s="180"/>
      <c r="X45" s="180"/>
      <c r="Y45" s="4"/>
      <c r="Z45" s="644"/>
      <c r="AA45" s="4"/>
      <c r="AB45" s="4"/>
      <c r="AC45" s="4"/>
      <c r="AD45" s="180"/>
      <c r="AE45" s="180"/>
      <c r="AF45" s="180"/>
      <c r="AG45" s="180"/>
      <c r="AH45" s="180"/>
      <c r="AI45" s="180"/>
      <c r="AJ45" s="180"/>
      <c r="AK45" s="4"/>
      <c r="AL45" s="255"/>
      <c r="AM45" s="180"/>
      <c r="AN45" s="180"/>
      <c r="AO45" s="180"/>
      <c r="AP45" s="180"/>
      <c r="AQ45" s="180"/>
      <c r="AR45" s="180"/>
      <c r="AS45" s="180"/>
      <c r="AT45" s="180"/>
    </row>
    <row r="46" spans="1:46" ht="16.5" customHeight="1">
      <c r="A46" s="228"/>
      <c r="B46" s="1518" t="s">
        <v>18</v>
      </c>
      <c r="C46" s="1519">
        <v>45642</v>
      </c>
      <c r="D46" s="1519"/>
      <c r="E46" s="1519"/>
      <c r="F46" s="1519"/>
      <c r="G46" s="1519">
        <v>45643</v>
      </c>
      <c r="H46" s="1519">
        <v>45552</v>
      </c>
      <c r="I46" s="1519"/>
      <c r="J46" s="1519"/>
      <c r="K46" s="1519">
        <v>45644</v>
      </c>
      <c r="L46" s="1519"/>
      <c r="M46" s="1519"/>
      <c r="N46" s="1519"/>
      <c r="O46" s="1519">
        <v>45645</v>
      </c>
      <c r="P46" s="1519"/>
      <c r="Q46" s="1519"/>
      <c r="R46" s="1519">
        <v>45554</v>
      </c>
      <c r="S46" s="1519">
        <v>45646</v>
      </c>
      <c r="T46" s="1519"/>
      <c r="U46" s="1519"/>
      <c r="V46" s="1519"/>
      <c r="W46" s="1519">
        <v>45647</v>
      </c>
      <c r="X46" s="1519"/>
      <c r="Y46" s="1519"/>
      <c r="Z46" s="1519"/>
      <c r="AA46" s="1517" t="s">
        <v>19</v>
      </c>
      <c r="AB46" s="1517" t="s">
        <v>20</v>
      </c>
      <c r="AC46" s="4"/>
      <c r="AD46" s="1519">
        <v>45648</v>
      </c>
      <c r="AE46" s="1519"/>
      <c r="AF46" s="1519"/>
      <c r="AG46" s="1519">
        <v>45648</v>
      </c>
      <c r="AH46" s="1519"/>
      <c r="AI46" s="1519"/>
      <c r="AJ46" s="1517" t="s">
        <v>21</v>
      </c>
      <c r="AK46" s="4"/>
      <c r="AL46" s="368"/>
      <c r="AM46" s="180"/>
      <c r="AN46" s="194" t="s">
        <v>84</v>
      </c>
      <c r="AO46" s="366"/>
      <c r="AP46" s="366"/>
      <c r="AQ46" s="366"/>
      <c r="AR46" s="366"/>
      <c r="AS46" s="366"/>
      <c r="AT46" s="180"/>
    </row>
    <row r="47" spans="1:46" ht="16.5" customHeight="1">
      <c r="A47" s="180"/>
      <c r="B47" s="1518"/>
      <c r="C47" s="21" t="s">
        <v>23</v>
      </c>
      <c r="D47" s="21" t="s">
        <v>24</v>
      </c>
      <c r="E47" s="205" t="s">
        <v>25</v>
      </c>
      <c r="F47" s="645" t="s">
        <v>14</v>
      </c>
      <c r="G47" s="4"/>
      <c r="H47" s="21" t="s">
        <v>23</v>
      </c>
      <c r="I47" s="21" t="s">
        <v>24</v>
      </c>
      <c r="J47" s="18" t="s">
        <v>25</v>
      </c>
      <c r="K47" s="645" t="s">
        <v>14</v>
      </c>
      <c r="L47" s="4"/>
      <c r="M47" s="21" t="s">
        <v>23</v>
      </c>
      <c r="N47" s="21" t="s">
        <v>24</v>
      </c>
      <c r="O47" s="18" t="s">
        <v>25</v>
      </c>
      <c r="P47" s="645" t="s">
        <v>14</v>
      </c>
      <c r="Q47" s="4"/>
      <c r="R47" s="21" t="s">
        <v>23</v>
      </c>
      <c r="S47" s="21" t="s">
        <v>24</v>
      </c>
      <c r="T47" s="18" t="s">
        <v>25</v>
      </c>
      <c r="U47" s="645" t="s">
        <v>14</v>
      </c>
      <c r="V47" s="4"/>
      <c r="W47" s="21" t="s">
        <v>23</v>
      </c>
      <c r="X47" s="21" t="s">
        <v>24</v>
      </c>
      <c r="Y47" s="18" t="s">
        <v>25</v>
      </c>
      <c r="Z47" s="645" t="s">
        <v>14</v>
      </c>
      <c r="AA47" s="1517"/>
      <c r="AB47" s="1517"/>
      <c r="AC47" s="4"/>
      <c r="AD47" s="21" t="s">
        <v>23</v>
      </c>
      <c r="AE47" s="21" t="s">
        <v>24</v>
      </c>
      <c r="AF47" s="18" t="s">
        <v>25</v>
      </c>
      <c r="AG47" s="21" t="s">
        <v>23</v>
      </c>
      <c r="AH47" s="21" t="s">
        <v>24</v>
      </c>
      <c r="AI47" s="18" t="s">
        <v>25</v>
      </c>
      <c r="AJ47" s="1517"/>
      <c r="AK47" s="4"/>
      <c r="AL47" s="368"/>
      <c r="AM47" s="367"/>
      <c r="AN47" s="691" t="s">
        <v>26</v>
      </c>
      <c r="AO47" s="196">
        <f>AA71</f>
        <v>324</v>
      </c>
      <c r="AP47" s="510">
        <v>39.14</v>
      </c>
      <c r="AQ47" s="510">
        <f t="shared" ref="AQ47:AQ53" si="5">AO47*AP47</f>
        <v>12681.36</v>
      </c>
      <c r="AR47" s="193"/>
      <c r="AS47" s="193"/>
      <c r="AT47" s="367"/>
    </row>
    <row r="48" spans="1:46" ht="16.5" customHeight="1">
      <c r="A48" s="180"/>
      <c r="B48" s="422" t="s">
        <v>1055</v>
      </c>
      <c r="C48" s="640" t="s">
        <v>1056</v>
      </c>
      <c r="D48" s="639" t="s">
        <v>1057</v>
      </c>
      <c r="E48" s="319">
        <v>8</v>
      </c>
      <c r="F48" s="646"/>
      <c r="G48" s="4"/>
      <c r="H48" s="640" t="s">
        <v>1079</v>
      </c>
      <c r="I48" s="639" t="s">
        <v>1057</v>
      </c>
      <c r="J48" s="319">
        <v>8</v>
      </c>
      <c r="K48" s="646"/>
      <c r="L48" s="4"/>
      <c r="M48" s="4" t="s">
        <v>1058</v>
      </c>
      <c r="N48" s="640" t="s">
        <v>1057</v>
      </c>
      <c r="O48" s="319">
        <v>8</v>
      </c>
      <c r="P48" s="646"/>
      <c r="Q48" s="4"/>
      <c r="R48" s="640" t="s">
        <v>1056</v>
      </c>
      <c r="S48" s="639" t="s">
        <v>1057</v>
      </c>
      <c r="T48" s="319">
        <v>8</v>
      </c>
      <c r="U48" s="646"/>
      <c r="V48" s="4"/>
      <c r="W48" s="640" t="s">
        <v>1056</v>
      </c>
      <c r="X48" s="639" t="s">
        <v>1057</v>
      </c>
      <c r="Y48" s="319">
        <v>8</v>
      </c>
      <c r="Z48" s="646"/>
      <c r="AA48" s="328">
        <f t="shared" ref="AA48:AA70" si="6">(E48+J48+O48+T48+Y48)</f>
        <v>40</v>
      </c>
      <c r="AB48" s="298">
        <f t="shared" ref="AB48:AB70" si="7">Z48+U48+P48+K48+F48</f>
        <v>0</v>
      </c>
      <c r="AC48" s="4"/>
      <c r="AD48" s="587"/>
      <c r="AE48" s="531"/>
      <c r="AF48" s="319"/>
      <c r="AG48" s="587"/>
      <c r="AH48" s="531"/>
      <c r="AI48" s="319"/>
      <c r="AJ48" s="328">
        <f t="shared" ref="AJ48:AJ68" si="8">AI48+AF48</f>
        <v>0</v>
      </c>
      <c r="AK48" s="4"/>
      <c r="AL48" s="368"/>
      <c r="AM48" s="367"/>
      <c r="AN48" s="691" t="s">
        <v>30</v>
      </c>
      <c r="AO48" s="196">
        <f>AB71</f>
        <v>4</v>
      </c>
      <c r="AP48" s="511">
        <f>AP47*1.5</f>
        <v>58.71</v>
      </c>
      <c r="AQ48" s="510">
        <f t="shared" si="5"/>
        <v>234.84</v>
      </c>
      <c r="AR48" s="193"/>
      <c r="AS48" s="193"/>
      <c r="AT48" s="367"/>
    </row>
    <row r="49" spans="1:46" ht="16.5" customHeight="1">
      <c r="A49" s="367"/>
      <c r="B49" s="422" t="s">
        <v>1059</v>
      </c>
      <c r="C49" s="441" t="s">
        <v>1080</v>
      </c>
      <c r="D49" s="47" t="s">
        <v>1081</v>
      </c>
      <c r="E49" s="319">
        <v>8</v>
      </c>
      <c r="F49" s="646"/>
      <c r="G49" s="4"/>
      <c r="H49" s="441" t="s">
        <v>1082</v>
      </c>
      <c r="I49" s="47" t="s">
        <v>1081</v>
      </c>
      <c r="J49" s="319">
        <v>8</v>
      </c>
      <c r="K49" s="646"/>
      <c r="L49" s="4"/>
      <c r="M49" s="4" t="s">
        <v>1058</v>
      </c>
      <c r="N49" s="441" t="s">
        <v>1081</v>
      </c>
      <c r="O49" s="319">
        <v>8</v>
      </c>
      <c r="P49" s="646">
        <v>1</v>
      </c>
      <c r="Q49" s="4"/>
      <c r="R49" s="441" t="s">
        <v>1056</v>
      </c>
      <c r="S49" s="47" t="s">
        <v>1081</v>
      </c>
      <c r="T49" s="319">
        <v>8</v>
      </c>
      <c r="U49" s="646">
        <v>1</v>
      </c>
      <c r="V49" s="4"/>
      <c r="W49" s="441" t="s">
        <v>1056</v>
      </c>
      <c r="X49" s="47" t="s">
        <v>1081</v>
      </c>
      <c r="Y49" s="319">
        <v>8</v>
      </c>
      <c r="Z49" s="646">
        <v>1</v>
      </c>
      <c r="AA49" s="328">
        <f t="shared" si="6"/>
        <v>40</v>
      </c>
      <c r="AB49" s="298">
        <f t="shared" si="7"/>
        <v>3</v>
      </c>
      <c r="AC49" s="4"/>
      <c r="AD49" s="180"/>
      <c r="AE49" s="180"/>
      <c r="AF49" s="319"/>
      <c r="AG49" s="180"/>
      <c r="AH49" s="180"/>
      <c r="AI49" s="319"/>
      <c r="AJ49" s="328">
        <f t="shared" si="8"/>
        <v>0</v>
      </c>
      <c r="AK49" s="175"/>
      <c r="AL49" s="402"/>
      <c r="AM49" s="367"/>
      <c r="AN49" s="691" t="s">
        <v>32</v>
      </c>
      <c r="AO49" s="196">
        <f>AJ71</f>
        <v>0</v>
      </c>
      <c r="AP49" s="510">
        <v>58.71</v>
      </c>
      <c r="AQ49" s="510">
        <f t="shared" si="5"/>
        <v>0</v>
      </c>
      <c r="AR49" s="193"/>
      <c r="AS49" s="193"/>
      <c r="AT49" s="367"/>
    </row>
    <row r="50" spans="1:46" ht="16.5" customHeight="1">
      <c r="A50" s="367"/>
      <c r="B50" s="422" t="s">
        <v>1060</v>
      </c>
      <c r="C50" s="441"/>
      <c r="D50" s="47"/>
      <c r="E50" s="319"/>
      <c r="F50" s="646"/>
      <c r="G50" s="4"/>
      <c r="H50" s="441" t="s">
        <v>1058</v>
      </c>
      <c r="I50" s="47" t="s">
        <v>1057</v>
      </c>
      <c r="J50" s="319">
        <v>8</v>
      </c>
      <c r="K50" s="646"/>
      <c r="L50" s="4"/>
      <c r="M50" s="4" t="s">
        <v>1058</v>
      </c>
      <c r="N50" s="441" t="s">
        <v>1057</v>
      </c>
      <c r="O50" s="319">
        <v>8</v>
      </c>
      <c r="P50" s="646"/>
      <c r="Q50" s="4"/>
      <c r="R50" s="441" t="s">
        <v>1056</v>
      </c>
      <c r="S50" s="47" t="s">
        <v>1057</v>
      </c>
      <c r="T50" s="319">
        <v>8</v>
      </c>
      <c r="U50" s="646"/>
      <c r="V50" s="4"/>
      <c r="W50" s="441" t="s">
        <v>1056</v>
      </c>
      <c r="X50" s="47" t="s">
        <v>1057</v>
      </c>
      <c r="Y50" s="319">
        <v>8</v>
      </c>
      <c r="Z50" s="646"/>
      <c r="AA50" s="328">
        <f t="shared" si="6"/>
        <v>32</v>
      </c>
      <c r="AB50" s="298">
        <f t="shared" si="7"/>
        <v>0</v>
      </c>
      <c r="AC50" s="4"/>
      <c r="AD50" s="531"/>
      <c r="AE50" s="531"/>
      <c r="AF50" s="319"/>
      <c r="AG50" s="531"/>
      <c r="AH50" s="531"/>
      <c r="AI50" s="319"/>
      <c r="AJ50" s="328">
        <f t="shared" si="8"/>
        <v>0</v>
      </c>
      <c r="AK50" s="175"/>
      <c r="AL50" s="402"/>
      <c r="AM50" s="367"/>
      <c r="AN50" s="403" t="s">
        <v>213</v>
      </c>
      <c r="AO50" s="404">
        <f>AA73</f>
        <v>40</v>
      </c>
      <c r="AP50" s="510">
        <v>51.5</v>
      </c>
      <c r="AQ50" s="510">
        <f t="shared" si="5"/>
        <v>2060</v>
      </c>
      <c r="AR50" s="193"/>
      <c r="AS50" s="193"/>
      <c r="AT50" s="367"/>
    </row>
    <row r="51" spans="1:46" ht="16.5" customHeight="1">
      <c r="A51" s="367"/>
      <c r="B51" s="422" t="s">
        <v>1061</v>
      </c>
      <c r="C51" s="640"/>
      <c r="D51" s="639"/>
      <c r="E51" s="319"/>
      <c r="F51" s="646"/>
      <c r="G51" s="4"/>
      <c r="H51" s="640" t="s">
        <v>1058</v>
      </c>
      <c r="I51" s="639" t="s">
        <v>1081</v>
      </c>
      <c r="J51" s="319">
        <v>9</v>
      </c>
      <c r="K51" s="646"/>
      <c r="L51" s="4"/>
      <c r="M51" s="4" t="s">
        <v>1058</v>
      </c>
      <c r="N51" s="640" t="s">
        <v>1081</v>
      </c>
      <c r="O51" s="319">
        <v>9</v>
      </c>
      <c r="P51" s="646"/>
      <c r="Q51" s="4"/>
      <c r="R51" s="640" t="s">
        <v>1056</v>
      </c>
      <c r="S51" s="639" t="s">
        <v>1081</v>
      </c>
      <c r="T51" s="319">
        <v>8</v>
      </c>
      <c r="U51" s="646">
        <v>1</v>
      </c>
      <c r="V51" s="4"/>
      <c r="W51" s="640" t="s">
        <v>1056</v>
      </c>
      <c r="X51" s="639" t="s">
        <v>1081</v>
      </c>
      <c r="Y51" s="319">
        <v>8</v>
      </c>
      <c r="Z51" s="646"/>
      <c r="AA51" s="328">
        <f t="shared" si="6"/>
        <v>34</v>
      </c>
      <c r="AB51" s="298">
        <f t="shared" si="7"/>
        <v>1</v>
      </c>
      <c r="AC51" s="399"/>
      <c r="AD51" s="47"/>
      <c r="AE51" s="47"/>
      <c r="AF51" s="319"/>
      <c r="AG51" s="47"/>
      <c r="AH51" s="47"/>
      <c r="AI51" s="319"/>
      <c r="AJ51" s="328">
        <f t="shared" si="8"/>
        <v>0</v>
      </c>
      <c r="AK51" s="175"/>
      <c r="AL51" s="255"/>
      <c r="AM51" s="401"/>
      <c r="AN51" s="188" t="s">
        <v>36</v>
      </c>
      <c r="AO51" s="196">
        <f>AB73</f>
        <v>0</v>
      </c>
      <c r="AP51" s="510">
        <f>AP50*1.5</f>
        <v>77.25</v>
      </c>
      <c r="AQ51" s="510">
        <f t="shared" si="5"/>
        <v>0</v>
      </c>
      <c r="AR51" s="405"/>
      <c r="AS51" s="405"/>
      <c r="AT51" s="367"/>
    </row>
    <row r="52" spans="1:46" ht="16.5" customHeight="1">
      <c r="A52" s="367"/>
      <c r="B52" s="422" t="s">
        <v>1062</v>
      </c>
      <c r="C52" s="441"/>
      <c r="D52" s="47"/>
      <c r="E52" s="319"/>
      <c r="F52" s="646"/>
      <c r="G52" s="4"/>
      <c r="H52" s="47" t="s">
        <v>1058</v>
      </c>
      <c r="I52" s="47" t="s">
        <v>1057</v>
      </c>
      <c r="J52" s="319">
        <v>8</v>
      </c>
      <c r="K52" s="646"/>
      <c r="L52" s="4"/>
      <c r="M52" s="4" t="s">
        <v>1058</v>
      </c>
      <c r="N52" s="441" t="s">
        <v>1057</v>
      </c>
      <c r="O52" s="319">
        <v>8</v>
      </c>
      <c r="P52" s="646"/>
      <c r="Q52" s="4"/>
      <c r="R52" s="441" t="s">
        <v>1056</v>
      </c>
      <c r="S52" s="47" t="s">
        <v>1057</v>
      </c>
      <c r="T52" s="319">
        <v>8</v>
      </c>
      <c r="U52" s="646"/>
      <c r="V52" s="4"/>
      <c r="W52" s="441" t="s">
        <v>1056</v>
      </c>
      <c r="X52" s="47" t="s">
        <v>1057</v>
      </c>
      <c r="Y52" s="319">
        <v>8</v>
      </c>
      <c r="Z52" s="646"/>
      <c r="AA52" s="328">
        <f t="shared" si="6"/>
        <v>32</v>
      </c>
      <c r="AB52" s="298">
        <f t="shared" si="7"/>
        <v>0</v>
      </c>
      <c r="AC52" s="175"/>
      <c r="AD52" s="47"/>
      <c r="AE52" s="47"/>
      <c r="AF52" s="319"/>
      <c r="AG52" s="47"/>
      <c r="AH52" s="47"/>
      <c r="AI52" s="319"/>
      <c r="AJ52" s="328">
        <f t="shared" si="8"/>
        <v>0</v>
      </c>
      <c r="AK52" s="175"/>
      <c r="AL52" s="255"/>
      <c r="AM52" s="401"/>
      <c r="AN52" s="188" t="s">
        <v>38</v>
      </c>
      <c r="AO52" s="196">
        <f>AJ73</f>
        <v>0</v>
      </c>
      <c r="AP52" s="510">
        <v>77.25</v>
      </c>
      <c r="AQ52" s="510">
        <f t="shared" si="5"/>
        <v>0</v>
      </c>
      <c r="AR52" s="405"/>
      <c r="AS52" s="405"/>
      <c r="AT52" s="367"/>
    </row>
    <row r="53" spans="1:46" ht="16.5" customHeight="1" thickBot="1">
      <c r="A53" s="367"/>
      <c r="B53" s="422" t="s">
        <v>1063</v>
      </c>
      <c r="C53" s="441"/>
      <c r="D53" s="47"/>
      <c r="E53" s="319"/>
      <c r="F53" s="646"/>
      <c r="G53" s="4"/>
      <c r="H53" s="47" t="s">
        <v>1058</v>
      </c>
      <c r="I53" s="47" t="s">
        <v>1057</v>
      </c>
      <c r="J53" s="319">
        <v>8</v>
      </c>
      <c r="K53" s="646"/>
      <c r="L53" s="4"/>
      <c r="M53" s="4" t="s">
        <v>1058</v>
      </c>
      <c r="N53" s="441" t="s">
        <v>1057</v>
      </c>
      <c r="O53" s="319">
        <v>8</v>
      </c>
      <c r="P53" s="646"/>
      <c r="Q53" s="4"/>
      <c r="R53" s="441" t="s">
        <v>1056</v>
      </c>
      <c r="S53" s="47" t="s">
        <v>1057</v>
      </c>
      <c r="T53" s="319">
        <v>8</v>
      </c>
      <c r="U53" s="646"/>
      <c r="V53" s="4"/>
      <c r="W53" s="441" t="s">
        <v>1056</v>
      </c>
      <c r="X53" s="47" t="s">
        <v>1057</v>
      </c>
      <c r="Y53" s="319">
        <v>8</v>
      </c>
      <c r="Z53" s="646"/>
      <c r="AA53" s="328">
        <f t="shared" si="6"/>
        <v>32</v>
      </c>
      <c r="AB53" s="298">
        <f t="shared" si="7"/>
        <v>0</v>
      </c>
      <c r="AC53" s="4"/>
      <c r="AD53" s="47"/>
      <c r="AE53" s="47"/>
      <c r="AF53" s="319"/>
      <c r="AG53" s="47"/>
      <c r="AH53" s="47"/>
      <c r="AI53" s="319"/>
      <c r="AJ53" s="328">
        <f t="shared" si="8"/>
        <v>0</v>
      </c>
      <c r="AK53" s="175"/>
      <c r="AL53" s="368"/>
      <c r="AM53" s="180"/>
      <c r="AN53" s="188" t="s">
        <v>41</v>
      </c>
      <c r="AO53" s="196">
        <f>C74</f>
        <v>32</v>
      </c>
      <c r="AP53" s="512">
        <v>46.35</v>
      </c>
      <c r="AQ53" s="512">
        <f t="shared" si="5"/>
        <v>1483.2</v>
      </c>
      <c r="AR53" s="193"/>
      <c r="AS53" s="193"/>
      <c r="AT53" s="367"/>
    </row>
    <row r="54" spans="1:46" ht="16.5" customHeight="1" thickTop="1">
      <c r="A54" s="180"/>
      <c r="B54" s="422" t="s">
        <v>1064</v>
      </c>
      <c r="C54" s="441"/>
      <c r="D54" s="47"/>
      <c r="E54" s="319"/>
      <c r="F54" s="646"/>
      <c r="G54" s="4"/>
      <c r="H54" s="47" t="s">
        <v>1058</v>
      </c>
      <c r="I54" s="47" t="s">
        <v>1057</v>
      </c>
      <c r="J54" s="319">
        <v>8</v>
      </c>
      <c r="K54" s="646"/>
      <c r="L54" s="4"/>
      <c r="M54" s="4" t="s">
        <v>1058</v>
      </c>
      <c r="N54" s="441" t="s">
        <v>1057</v>
      </c>
      <c r="O54" s="319">
        <v>8</v>
      </c>
      <c r="P54" s="646"/>
      <c r="Q54" s="4"/>
      <c r="R54" s="441" t="s">
        <v>1058</v>
      </c>
      <c r="S54" s="47" t="s">
        <v>1083</v>
      </c>
      <c r="T54" s="319">
        <v>5</v>
      </c>
      <c r="U54" s="646"/>
      <c r="V54" s="4"/>
      <c r="W54" s="441" t="s">
        <v>1058</v>
      </c>
      <c r="X54" s="47" t="s">
        <v>1083</v>
      </c>
      <c r="Y54" s="319">
        <v>5</v>
      </c>
      <c r="Z54" s="646"/>
      <c r="AA54" s="328">
        <f t="shared" si="6"/>
        <v>26</v>
      </c>
      <c r="AB54" s="298">
        <f t="shared" si="7"/>
        <v>0</v>
      </c>
      <c r="AC54" s="4"/>
      <c r="AD54" s="47"/>
      <c r="AE54" s="47"/>
      <c r="AF54" s="319"/>
      <c r="AG54" s="47"/>
      <c r="AH54" s="47"/>
      <c r="AI54" s="319"/>
      <c r="AJ54" s="328">
        <f t="shared" si="8"/>
        <v>0</v>
      </c>
      <c r="AK54" s="4"/>
      <c r="AL54" s="255"/>
      <c r="AM54" s="180"/>
      <c r="AN54" s="193"/>
      <c r="AO54" s="193"/>
      <c r="AP54" s="193"/>
      <c r="AQ54" s="510">
        <f>SUM(AQ47:AQ53)</f>
        <v>16459.400000000001</v>
      </c>
      <c r="AR54" s="193"/>
      <c r="AS54" s="193"/>
      <c r="AT54" s="367"/>
    </row>
    <row r="55" spans="1:46" ht="16.5" customHeight="1">
      <c r="A55" s="180"/>
      <c r="B55" s="422" t="s">
        <v>1065</v>
      </c>
      <c r="C55" s="640"/>
      <c r="D55" s="639"/>
      <c r="E55" s="319"/>
      <c r="F55" s="646"/>
      <c r="G55" s="4"/>
      <c r="H55" s="640" t="s">
        <v>1058</v>
      </c>
      <c r="I55" s="639" t="s">
        <v>1057</v>
      </c>
      <c r="J55" s="319">
        <v>8</v>
      </c>
      <c r="K55" s="646"/>
      <c r="L55" s="4"/>
      <c r="M55" s="4" t="s">
        <v>1082</v>
      </c>
      <c r="N55" s="640" t="s">
        <v>1081</v>
      </c>
      <c r="O55" s="319">
        <v>8</v>
      </c>
      <c r="P55" s="646"/>
      <c r="Q55" s="4"/>
      <c r="R55" s="640" t="s">
        <v>1082</v>
      </c>
      <c r="S55" s="639" t="s">
        <v>1081</v>
      </c>
      <c r="T55" s="319">
        <v>8</v>
      </c>
      <c r="U55" s="646"/>
      <c r="V55" s="4"/>
      <c r="W55" s="640" t="s">
        <v>1082</v>
      </c>
      <c r="X55" s="639" t="s">
        <v>1081</v>
      </c>
      <c r="Y55" s="319">
        <v>8</v>
      </c>
      <c r="Z55" s="646"/>
      <c r="AA55" s="328">
        <f t="shared" si="6"/>
        <v>32</v>
      </c>
      <c r="AB55" s="298">
        <f t="shared" si="7"/>
        <v>0</v>
      </c>
      <c r="AC55" s="4"/>
      <c r="AD55" s="47"/>
      <c r="AE55" s="47"/>
      <c r="AF55" s="319"/>
      <c r="AG55" s="47"/>
      <c r="AH55" s="47"/>
      <c r="AI55" s="319"/>
      <c r="AJ55" s="328">
        <f t="shared" si="8"/>
        <v>0</v>
      </c>
      <c r="AK55" s="4"/>
      <c r="AL55" s="255"/>
      <c r="AM55" s="180"/>
      <c r="AN55" s="193"/>
      <c r="AO55" s="193"/>
      <c r="AP55" s="193"/>
      <c r="AQ55" s="193"/>
      <c r="AR55" s="193"/>
      <c r="AS55" s="193"/>
      <c r="AT55" s="367"/>
    </row>
    <row r="56" spans="1:46" ht="16.5" customHeight="1">
      <c r="A56" s="180"/>
      <c r="B56" s="693" t="s">
        <v>1066</v>
      </c>
      <c r="C56" s="441"/>
      <c r="D56" s="47"/>
      <c r="E56" s="319"/>
      <c r="F56" s="646"/>
      <c r="G56" s="4"/>
      <c r="H56" s="640" t="s">
        <v>1058</v>
      </c>
      <c r="I56" s="639" t="s">
        <v>1057</v>
      </c>
      <c r="J56" s="319">
        <v>8</v>
      </c>
      <c r="K56" s="646"/>
      <c r="L56" s="4"/>
      <c r="M56" s="4" t="s">
        <v>1058</v>
      </c>
      <c r="N56" s="441" t="s">
        <v>1057</v>
      </c>
      <c r="O56" s="319">
        <v>8</v>
      </c>
      <c r="P56" s="646"/>
      <c r="Q56" s="4"/>
      <c r="R56" s="441" t="s">
        <v>1056</v>
      </c>
      <c r="S56" s="47" t="s">
        <v>1057</v>
      </c>
      <c r="T56" s="319">
        <v>8</v>
      </c>
      <c r="U56" s="646"/>
      <c r="V56" s="4"/>
      <c r="W56" s="441" t="s">
        <v>1056</v>
      </c>
      <c r="X56" s="47" t="s">
        <v>1057</v>
      </c>
      <c r="Y56" s="319">
        <v>8</v>
      </c>
      <c r="Z56" s="646"/>
      <c r="AA56" s="328">
        <f t="shared" si="6"/>
        <v>32</v>
      </c>
      <c r="AB56" s="298">
        <f t="shared" si="7"/>
        <v>0</v>
      </c>
      <c r="AC56" s="4"/>
      <c r="AD56" s="47"/>
      <c r="AE56" s="47"/>
      <c r="AF56" s="319"/>
      <c r="AG56" s="47"/>
      <c r="AH56" s="47"/>
      <c r="AI56" s="319"/>
      <c r="AJ56" s="328">
        <f t="shared" si="8"/>
        <v>0</v>
      </c>
      <c r="AK56" s="4"/>
      <c r="AL56" s="255"/>
      <c r="AM56" s="180"/>
      <c r="AN56" s="193"/>
      <c r="AO56" s="193"/>
      <c r="AP56" s="193"/>
      <c r="AQ56" s="193"/>
      <c r="AR56" s="193"/>
      <c r="AS56" s="193"/>
      <c r="AT56" s="367"/>
    </row>
    <row r="57" spans="1:46" ht="16.5" customHeight="1">
      <c r="A57" s="180"/>
      <c r="B57" s="678" t="s">
        <v>1067</v>
      </c>
      <c r="C57" s="441"/>
      <c r="D57" s="47"/>
      <c r="E57" s="319"/>
      <c r="F57" s="646"/>
      <c r="G57" s="4"/>
      <c r="H57" s="47"/>
      <c r="I57" s="47"/>
      <c r="J57" s="319"/>
      <c r="K57" s="646"/>
      <c r="L57" s="4"/>
      <c r="M57" s="4" t="s">
        <v>1058</v>
      </c>
      <c r="N57" s="441" t="s">
        <v>1057</v>
      </c>
      <c r="O57" s="319">
        <v>8</v>
      </c>
      <c r="P57" s="646"/>
      <c r="Q57" s="4"/>
      <c r="R57" s="4" t="s">
        <v>1058</v>
      </c>
      <c r="S57" s="441" t="s">
        <v>1057</v>
      </c>
      <c r="T57" s="319">
        <v>8</v>
      </c>
      <c r="U57" s="646"/>
      <c r="V57" s="4"/>
      <c r="W57" s="4" t="s">
        <v>1058</v>
      </c>
      <c r="X57" s="441" t="s">
        <v>1057</v>
      </c>
      <c r="Y57" s="319">
        <v>8</v>
      </c>
      <c r="Z57" s="646"/>
      <c r="AA57" s="328">
        <f t="shared" si="6"/>
        <v>24</v>
      </c>
      <c r="AB57" s="298">
        <f t="shared" si="7"/>
        <v>0</v>
      </c>
      <c r="AC57" s="4"/>
      <c r="AD57" s="47" t="s">
        <v>1084</v>
      </c>
      <c r="AE57" s="47" t="s">
        <v>1085</v>
      </c>
      <c r="AF57" s="319">
        <v>6</v>
      </c>
      <c r="AG57" s="47" t="s">
        <v>1084</v>
      </c>
      <c r="AH57" s="47" t="s">
        <v>1085</v>
      </c>
      <c r="AI57" s="319">
        <v>6</v>
      </c>
      <c r="AJ57" s="328">
        <f t="shared" si="8"/>
        <v>12</v>
      </c>
      <c r="AK57" s="4"/>
      <c r="AL57" s="255"/>
      <c r="AM57" s="180"/>
      <c r="AN57" s="193"/>
      <c r="AO57" s="193"/>
      <c r="AP57" s="193"/>
      <c r="AQ57" s="193"/>
      <c r="AR57" s="193"/>
      <c r="AS57" s="193"/>
      <c r="AT57" s="180"/>
    </row>
    <row r="58" spans="1:46" ht="16.5" customHeight="1">
      <c r="A58" s="180"/>
      <c r="B58" s="422" t="s">
        <v>1068</v>
      </c>
      <c r="C58" s="441"/>
      <c r="D58" s="47"/>
      <c r="E58" s="319"/>
      <c r="F58" s="646"/>
      <c r="G58" s="4"/>
      <c r="H58" s="47"/>
      <c r="I58" s="47"/>
      <c r="J58" s="319"/>
      <c r="K58" s="646"/>
      <c r="L58" s="4"/>
      <c r="M58" s="47"/>
      <c r="N58" s="47"/>
      <c r="O58" s="319"/>
      <c r="P58" s="646"/>
      <c r="Q58" s="4"/>
      <c r="R58" s="47"/>
      <c r="S58" s="47"/>
      <c r="T58" s="319"/>
      <c r="U58" s="646"/>
      <c r="V58" s="4"/>
      <c r="W58" s="47"/>
      <c r="X58" s="47"/>
      <c r="Y58" s="319"/>
      <c r="Z58" s="646"/>
      <c r="AA58" s="328">
        <f t="shared" si="6"/>
        <v>0</v>
      </c>
      <c r="AB58" s="298">
        <f t="shared" si="7"/>
        <v>0</v>
      </c>
      <c r="AC58" s="4"/>
      <c r="AD58" s="47"/>
      <c r="AE58" s="47"/>
      <c r="AF58" s="319"/>
      <c r="AG58" s="47"/>
      <c r="AH58" s="47"/>
      <c r="AI58" s="319"/>
      <c r="AJ58" s="328">
        <f t="shared" si="8"/>
        <v>0</v>
      </c>
      <c r="AK58" s="4"/>
      <c r="AL58" s="255"/>
      <c r="AM58" s="180"/>
      <c r="AN58" s="193"/>
      <c r="AO58" s="193"/>
      <c r="AP58" s="193"/>
      <c r="AQ58" s="193"/>
      <c r="AR58" s="193"/>
      <c r="AS58" s="193"/>
      <c r="AT58" s="180"/>
    </row>
    <row r="59" spans="1:46" ht="16.5" customHeight="1">
      <c r="A59" s="180"/>
      <c r="B59" s="422" t="s">
        <v>1069</v>
      </c>
      <c r="C59" s="441"/>
      <c r="D59" s="47"/>
      <c r="E59" s="319"/>
      <c r="F59" s="646"/>
      <c r="G59" s="4"/>
      <c r="H59" s="47"/>
      <c r="I59" s="47"/>
      <c r="J59" s="319"/>
      <c r="K59" s="646"/>
      <c r="L59" s="4"/>
      <c r="M59" s="47"/>
      <c r="N59" s="47"/>
      <c r="O59" s="319"/>
      <c r="P59" s="646"/>
      <c r="Q59" s="4"/>
      <c r="R59" s="47"/>
      <c r="S59" s="47"/>
      <c r="T59" s="319"/>
      <c r="U59" s="646"/>
      <c r="V59" s="4"/>
      <c r="W59" s="47"/>
      <c r="X59" s="47"/>
      <c r="Y59" s="319"/>
      <c r="Z59" s="646"/>
      <c r="AA59" s="328">
        <f t="shared" si="6"/>
        <v>0</v>
      </c>
      <c r="AB59" s="298">
        <f t="shared" si="7"/>
        <v>0</v>
      </c>
      <c r="AC59" s="4"/>
      <c r="AD59" s="47"/>
      <c r="AE59" s="47"/>
      <c r="AF59" s="319"/>
      <c r="AG59" s="47"/>
      <c r="AH59" s="47"/>
      <c r="AI59" s="319"/>
      <c r="AJ59" s="328">
        <f t="shared" si="8"/>
        <v>0</v>
      </c>
      <c r="AK59" s="4"/>
      <c r="AL59" s="255"/>
      <c r="AM59" s="180"/>
      <c r="AN59" s="193"/>
      <c r="AO59" s="193"/>
      <c r="AP59" s="193"/>
      <c r="AQ59" s="193"/>
      <c r="AR59" s="193"/>
      <c r="AS59" s="193"/>
      <c r="AT59" s="180"/>
    </row>
    <row r="60" spans="1:46" ht="16.5" customHeight="1">
      <c r="A60" s="180"/>
      <c r="B60" s="422" t="s">
        <v>1070</v>
      </c>
      <c r="C60" s="441"/>
      <c r="D60" s="47"/>
      <c r="E60" s="319"/>
      <c r="F60" s="646"/>
      <c r="G60" s="4"/>
      <c r="H60" s="441"/>
      <c r="I60" s="47"/>
      <c r="J60" s="319"/>
      <c r="K60" s="646"/>
      <c r="L60" s="4"/>
      <c r="M60" s="441"/>
      <c r="N60" s="47"/>
      <c r="O60" s="319"/>
      <c r="P60" s="646"/>
      <c r="Q60" s="4"/>
      <c r="R60" s="441"/>
      <c r="S60" s="47"/>
      <c r="T60" s="319"/>
      <c r="U60" s="646"/>
      <c r="V60" s="4"/>
      <c r="W60" s="441"/>
      <c r="X60" s="47"/>
      <c r="Y60" s="319"/>
      <c r="Z60" s="646"/>
      <c r="AA60" s="328">
        <f t="shared" si="6"/>
        <v>0</v>
      </c>
      <c r="AB60" s="298">
        <f t="shared" si="7"/>
        <v>0</v>
      </c>
      <c r="AC60" s="4"/>
      <c r="AD60" s="47"/>
      <c r="AE60" s="47"/>
      <c r="AF60" s="319"/>
      <c r="AG60" s="47"/>
      <c r="AH60" s="47"/>
      <c r="AI60" s="319"/>
      <c r="AJ60" s="328">
        <f t="shared" si="8"/>
        <v>0</v>
      </c>
      <c r="AK60" s="4"/>
      <c r="AL60" s="255"/>
      <c r="AM60" s="180"/>
      <c r="AN60" s="193"/>
      <c r="AO60" s="193"/>
      <c r="AP60" s="193"/>
      <c r="AQ60" s="193"/>
      <c r="AR60" s="193"/>
      <c r="AS60" s="193"/>
      <c r="AT60" s="180"/>
    </row>
    <row r="61" spans="1:46" ht="16.5" customHeight="1">
      <c r="A61" s="180"/>
      <c r="B61" s="422" t="s">
        <v>1071</v>
      </c>
      <c r="C61" s="441"/>
      <c r="D61" s="47"/>
      <c r="E61" s="319"/>
      <c r="F61" s="646"/>
      <c r="G61" s="4"/>
      <c r="H61" s="326"/>
      <c r="I61" s="47"/>
      <c r="J61" s="319"/>
      <c r="K61" s="646"/>
      <c r="L61" s="4"/>
      <c r="M61" s="47"/>
      <c r="N61" s="47"/>
      <c r="O61" s="319"/>
      <c r="P61" s="646"/>
      <c r="Q61" s="4"/>
      <c r="R61" s="47"/>
      <c r="S61" s="47"/>
      <c r="T61" s="319"/>
      <c r="U61" s="646"/>
      <c r="V61" s="4"/>
      <c r="W61" s="47"/>
      <c r="X61" s="47"/>
      <c r="Y61" s="319"/>
      <c r="Z61" s="646"/>
      <c r="AA61" s="328">
        <f t="shared" si="6"/>
        <v>0</v>
      </c>
      <c r="AB61" s="298">
        <f t="shared" si="7"/>
        <v>0</v>
      </c>
      <c r="AC61" s="4"/>
      <c r="AD61" s="47"/>
      <c r="AE61" s="47"/>
      <c r="AF61" s="319"/>
      <c r="AG61" s="47"/>
      <c r="AH61" s="47"/>
      <c r="AI61" s="319"/>
      <c r="AJ61" s="328">
        <f t="shared" si="8"/>
        <v>0</v>
      </c>
      <c r="AK61" s="4"/>
      <c r="AL61" s="255"/>
      <c r="AM61" s="180"/>
      <c r="AN61" s="193"/>
      <c r="AO61" s="193"/>
      <c r="AP61" s="193"/>
      <c r="AQ61" s="193"/>
      <c r="AR61" s="193"/>
      <c r="AS61" s="193"/>
      <c r="AT61" s="180"/>
    </row>
    <row r="62" spans="1:46" ht="16.5" customHeight="1">
      <c r="A62" s="180"/>
      <c r="B62" s="422" t="s">
        <v>1072</v>
      </c>
      <c r="C62" s="441"/>
      <c r="D62" s="47"/>
      <c r="E62" s="319"/>
      <c r="F62" s="646"/>
      <c r="G62" s="4"/>
      <c r="H62" s="47"/>
      <c r="I62" s="47"/>
      <c r="J62" s="319"/>
      <c r="K62" s="646"/>
      <c r="L62" s="4"/>
      <c r="M62" s="441"/>
      <c r="N62" s="47"/>
      <c r="O62" s="319"/>
      <c r="P62" s="646"/>
      <c r="Q62" s="4"/>
      <c r="R62" s="441"/>
      <c r="S62" s="47"/>
      <c r="T62" s="319"/>
      <c r="U62" s="646"/>
      <c r="V62" s="4"/>
      <c r="W62" s="441"/>
      <c r="X62" s="47"/>
      <c r="Y62" s="319"/>
      <c r="Z62" s="646"/>
      <c r="AA62" s="328">
        <f t="shared" si="6"/>
        <v>0</v>
      </c>
      <c r="AB62" s="298">
        <f t="shared" si="7"/>
        <v>0</v>
      </c>
      <c r="AC62" s="4"/>
      <c r="AD62" s="47"/>
      <c r="AE62" s="47"/>
      <c r="AF62" s="319"/>
      <c r="AG62" s="47"/>
      <c r="AH62" s="47"/>
      <c r="AI62" s="319"/>
      <c r="AJ62" s="328">
        <f t="shared" si="8"/>
        <v>0</v>
      </c>
      <c r="AK62" s="4"/>
      <c r="AL62" s="255"/>
      <c r="AM62" s="180"/>
      <c r="AN62" s="193"/>
      <c r="AO62" s="193"/>
      <c r="AP62" s="193"/>
      <c r="AQ62" s="193"/>
      <c r="AR62" s="193"/>
      <c r="AS62" s="193"/>
      <c r="AT62" s="180"/>
    </row>
    <row r="63" spans="1:46" ht="16.5" customHeight="1">
      <c r="A63" s="180"/>
      <c r="B63" s="422" t="s">
        <v>1073</v>
      </c>
      <c r="C63" s="441"/>
      <c r="D63" s="47"/>
      <c r="E63" s="319"/>
      <c r="F63" s="646"/>
      <c r="G63" s="4"/>
      <c r="H63" s="47"/>
      <c r="I63" s="47"/>
      <c r="J63" s="319"/>
      <c r="K63" s="646"/>
      <c r="L63" s="4"/>
      <c r="M63" s="47"/>
      <c r="N63" s="47"/>
      <c r="O63" s="319"/>
      <c r="P63" s="646"/>
      <c r="Q63" s="4"/>
      <c r="R63" s="47"/>
      <c r="S63" s="47"/>
      <c r="T63" s="319"/>
      <c r="U63" s="646"/>
      <c r="V63" s="4"/>
      <c r="W63" s="47"/>
      <c r="X63" s="47"/>
      <c r="Y63" s="319"/>
      <c r="Z63" s="646"/>
      <c r="AA63" s="328">
        <f t="shared" si="6"/>
        <v>0</v>
      </c>
      <c r="AB63" s="298">
        <f t="shared" si="7"/>
        <v>0</v>
      </c>
      <c r="AC63" s="4"/>
      <c r="AD63" s="47"/>
      <c r="AE63" s="47"/>
      <c r="AF63" s="319"/>
      <c r="AG63" s="47"/>
      <c r="AH63" s="47"/>
      <c r="AI63" s="319"/>
      <c r="AJ63" s="328">
        <f t="shared" si="8"/>
        <v>0</v>
      </c>
      <c r="AK63" s="4"/>
      <c r="AL63" s="255"/>
      <c r="AM63" s="180"/>
      <c r="AN63" s="193"/>
      <c r="AO63" s="193"/>
      <c r="AP63" s="193"/>
      <c r="AQ63" s="193"/>
      <c r="AR63" s="193"/>
      <c r="AS63" s="193"/>
      <c r="AT63" s="180"/>
    </row>
    <row r="64" spans="1:46" ht="16.5" customHeight="1">
      <c r="A64" s="180"/>
      <c r="B64" s="422" t="s">
        <v>1074</v>
      </c>
      <c r="C64" s="441"/>
      <c r="D64" s="47"/>
      <c r="E64" s="319"/>
      <c r="F64" s="646"/>
      <c r="G64" s="4"/>
      <c r="H64" s="47"/>
      <c r="I64" s="47"/>
      <c r="J64" s="319"/>
      <c r="K64" s="646"/>
      <c r="L64" s="4"/>
      <c r="M64" s="47"/>
      <c r="N64" s="47"/>
      <c r="O64" s="319"/>
      <c r="P64" s="646"/>
      <c r="Q64" s="4"/>
      <c r="R64" s="47"/>
      <c r="S64" s="47"/>
      <c r="T64" s="319"/>
      <c r="U64" s="646"/>
      <c r="V64" s="4"/>
      <c r="W64" s="47"/>
      <c r="X64" s="47"/>
      <c r="Y64" s="319"/>
      <c r="Z64" s="646"/>
      <c r="AA64" s="328">
        <f t="shared" si="6"/>
        <v>0</v>
      </c>
      <c r="AB64" s="298">
        <f t="shared" si="7"/>
        <v>0</v>
      </c>
      <c r="AC64" s="4"/>
      <c r="AD64" s="47"/>
      <c r="AE64" s="47"/>
      <c r="AF64" s="319"/>
      <c r="AG64" s="47"/>
      <c r="AH64" s="47"/>
      <c r="AI64" s="319"/>
      <c r="AJ64" s="328">
        <f t="shared" si="8"/>
        <v>0</v>
      </c>
      <c r="AK64" s="4"/>
      <c r="AL64" s="255"/>
      <c r="AM64" s="180"/>
      <c r="AN64" s="193"/>
      <c r="AO64" s="193"/>
      <c r="AP64" s="193"/>
      <c r="AQ64" s="193"/>
      <c r="AR64" s="193"/>
      <c r="AS64" s="193"/>
      <c r="AT64" s="180"/>
    </row>
    <row r="65" spans="1:46" ht="16.5" customHeight="1">
      <c r="A65" s="180"/>
      <c r="B65" s="422" t="s">
        <v>1075</v>
      </c>
      <c r="C65" s="441"/>
      <c r="D65" s="47"/>
      <c r="E65" s="319"/>
      <c r="F65" s="646"/>
      <c r="G65" s="4"/>
      <c r="H65" s="47"/>
      <c r="I65" s="47"/>
      <c r="J65" s="319"/>
      <c r="K65" s="646"/>
      <c r="L65" s="4"/>
      <c r="M65" s="47"/>
      <c r="N65" s="47"/>
      <c r="O65" s="319"/>
      <c r="P65" s="646"/>
      <c r="Q65" s="4"/>
      <c r="R65" s="47"/>
      <c r="S65" s="47"/>
      <c r="T65" s="319"/>
      <c r="U65" s="646"/>
      <c r="V65" s="4"/>
      <c r="W65" s="47"/>
      <c r="X65" s="47"/>
      <c r="Y65" s="319"/>
      <c r="Z65" s="646"/>
      <c r="AA65" s="328">
        <f t="shared" si="6"/>
        <v>0</v>
      </c>
      <c r="AB65" s="298">
        <f t="shared" si="7"/>
        <v>0</v>
      </c>
      <c r="AC65" s="4"/>
      <c r="AD65" s="47"/>
      <c r="AE65" s="47"/>
      <c r="AF65" s="319"/>
      <c r="AG65" s="47"/>
      <c r="AH65" s="47"/>
      <c r="AI65" s="319"/>
      <c r="AJ65" s="328">
        <f t="shared" si="8"/>
        <v>0</v>
      </c>
      <c r="AK65" s="4"/>
      <c r="AL65" s="255"/>
      <c r="AM65" s="180"/>
      <c r="AN65" s="193"/>
      <c r="AO65" s="193"/>
      <c r="AP65" s="193"/>
      <c r="AQ65" s="193"/>
      <c r="AR65" s="193"/>
      <c r="AS65" s="193"/>
      <c r="AT65" s="180"/>
    </row>
    <row r="66" spans="1:46" ht="16.5" customHeight="1">
      <c r="A66" s="180"/>
      <c r="B66" s="422" t="s">
        <v>1076</v>
      </c>
      <c r="C66" s="441"/>
      <c r="D66" s="47"/>
      <c r="E66" s="319"/>
      <c r="F66" s="646"/>
      <c r="G66" s="4"/>
      <c r="H66" s="47"/>
      <c r="I66" s="47"/>
      <c r="J66" s="319"/>
      <c r="K66" s="646"/>
      <c r="L66" s="4"/>
      <c r="M66" s="47"/>
      <c r="N66" s="47"/>
      <c r="O66" s="319"/>
      <c r="P66" s="646"/>
      <c r="Q66" s="4"/>
      <c r="R66" s="47"/>
      <c r="S66" s="47"/>
      <c r="T66" s="319"/>
      <c r="U66" s="646"/>
      <c r="V66" s="4"/>
      <c r="W66" s="47"/>
      <c r="X66" s="47"/>
      <c r="Y66" s="319"/>
      <c r="Z66" s="646"/>
      <c r="AA66" s="328">
        <f t="shared" si="6"/>
        <v>0</v>
      </c>
      <c r="AB66" s="298">
        <f t="shared" si="7"/>
        <v>0</v>
      </c>
      <c r="AC66" s="4"/>
      <c r="AD66" s="47"/>
      <c r="AE66" s="47"/>
      <c r="AF66" s="319"/>
      <c r="AG66" s="47"/>
      <c r="AH66" s="47"/>
      <c r="AI66" s="319"/>
      <c r="AJ66" s="328">
        <f t="shared" si="8"/>
        <v>0</v>
      </c>
      <c r="AK66" s="4"/>
      <c r="AL66" s="255"/>
      <c r="AM66" s="180"/>
      <c r="AN66" s="193"/>
      <c r="AO66" s="193"/>
      <c r="AP66" s="193"/>
      <c r="AQ66" s="193"/>
      <c r="AR66" s="193"/>
      <c r="AS66" s="193"/>
      <c r="AT66" s="180"/>
    </row>
    <row r="67" spans="1:46" ht="16.5" customHeight="1">
      <c r="A67" s="180"/>
      <c r="B67" s="422" t="s">
        <v>1077</v>
      </c>
      <c r="C67" s="441"/>
      <c r="D67" s="47"/>
      <c r="E67" s="319"/>
      <c r="F67" s="646"/>
      <c r="G67" s="4"/>
      <c r="H67" s="47"/>
      <c r="I67" s="47"/>
      <c r="J67" s="319"/>
      <c r="K67" s="646"/>
      <c r="L67" s="4"/>
      <c r="M67" s="47"/>
      <c r="N67" s="47"/>
      <c r="O67" s="319"/>
      <c r="P67" s="646"/>
      <c r="Q67" s="4"/>
      <c r="R67" s="47"/>
      <c r="S67" s="47"/>
      <c r="T67" s="319"/>
      <c r="U67" s="646"/>
      <c r="V67" s="4"/>
      <c r="W67" s="47"/>
      <c r="X67" s="47"/>
      <c r="Y67" s="319"/>
      <c r="Z67" s="646"/>
      <c r="AA67" s="328">
        <f t="shared" si="6"/>
        <v>0</v>
      </c>
      <c r="AB67" s="298">
        <f t="shared" si="7"/>
        <v>0</v>
      </c>
      <c r="AC67" s="4"/>
      <c r="AD67" s="47"/>
      <c r="AE67" s="47"/>
      <c r="AF67" s="319"/>
      <c r="AG67" s="47"/>
      <c r="AH67" s="47"/>
      <c r="AI67" s="319"/>
      <c r="AJ67" s="328">
        <f t="shared" si="8"/>
        <v>0</v>
      </c>
      <c r="AK67" s="4"/>
      <c r="AL67" s="255"/>
      <c r="AM67" s="180"/>
      <c r="AN67" s="193"/>
      <c r="AO67" s="193"/>
      <c r="AP67" s="193"/>
      <c r="AQ67" s="193"/>
      <c r="AR67" s="193"/>
      <c r="AS67" s="193"/>
      <c r="AT67" s="180"/>
    </row>
    <row r="68" spans="1:46" ht="16.5" customHeight="1">
      <c r="A68" s="180"/>
      <c r="B68" s="422" t="s">
        <v>1078</v>
      </c>
      <c r="C68" s="441"/>
      <c r="D68" s="16"/>
      <c r="E68" s="319"/>
      <c r="F68" s="646"/>
      <c r="G68" s="4"/>
      <c r="H68" s="47"/>
      <c r="I68" s="16"/>
      <c r="J68" s="319"/>
      <c r="K68" s="646"/>
      <c r="L68" s="4"/>
      <c r="M68" s="47"/>
      <c r="N68" s="16"/>
      <c r="O68" s="319"/>
      <c r="P68" s="646"/>
      <c r="Q68" s="4"/>
      <c r="R68" s="47"/>
      <c r="S68" s="16"/>
      <c r="T68" s="319"/>
      <c r="U68" s="646"/>
      <c r="V68" s="4"/>
      <c r="W68" s="47"/>
      <c r="X68" s="16"/>
      <c r="Y68" s="319"/>
      <c r="Z68" s="646"/>
      <c r="AA68" s="328">
        <f t="shared" si="6"/>
        <v>0</v>
      </c>
      <c r="AB68" s="298">
        <f t="shared" si="7"/>
        <v>0</v>
      </c>
      <c r="AC68" s="4"/>
      <c r="AD68" s="47"/>
      <c r="AE68" s="47"/>
      <c r="AF68" s="319"/>
      <c r="AG68" s="47"/>
      <c r="AH68" s="47"/>
      <c r="AI68" s="319"/>
      <c r="AJ68" s="328">
        <f t="shared" si="8"/>
        <v>0</v>
      </c>
      <c r="AK68" s="4"/>
      <c r="AL68" s="255"/>
      <c r="AM68" s="180"/>
      <c r="AN68" s="193"/>
      <c r="AO68" s="193"/>
      <c r="AP68" s="193"/>
      <c r="AQ68" s="193"/>
      <c r="AR68" s="193"/>
      <c r="AS68" s="193"/>
      <c r="AT68" s="180"/>
    </row>
    <row r="69" spans="1:46" ht="16.5" customHeight="1">
      <c r="A69" s="180"/>
      <c r="B69" s="422" t="s">
        <v>1086</v>
      </c>
      <c r="C69" s="47"/>
      <c r="D69" s="47"/>
      <c r="E69" s="319"/>
      <c r="F69" s="646"/>
      <c r="G69" s="4"/>
      <c r="H69" s="47"/>
      <c r="I69" s="47"/>
      <c r="J69" s="319"/>
      <c r="K69" s="646"/>
      <c r="L69" s="4"/>
      <c r="M69" s="47"/>
      <c r="N69" s="47"/>
      <c r="O69" s="319"/>
      <c r="P69" s="646"/>
      <c r="Q69" s="4"/>
      <c r="R69" s="47"/>
      <c r="S69" s="47"/>
      <c r="T69" s="319"/>
      <c r="U69" s="646"/>
      <c r="V69" s="4"/>
      <c r="W69" s="47"/>
      <c r="X69" s="47"/>
      <c r="Y69" s="319"/>
      <c r="Z69" s="646"/>
      <c r="AA69" s="328">
        <f t="shared" si="6"/>
        <v>0</v>
      </c>
      <c r="AB69" s="298">
        <f t="shared" si="7"/>
        <v>0</v>
      </c>
      <c r="AC69" s="4"/>
      <c r="AD69" s="47"/>
      <c r="AE69" s="47"/>
      <c r="AF69" s="319"/>
      <c r="AG69" s="47"/>
      <c r="AH69" s="47"/>
      <c r="AI69" s="319"/>
      <c r="AJ69" s="370">
        <f>SUM(AJ48:AJ68)</f>
        <v>12</v>
      </c>
      <c r="AK69" s="4"/>
      <c r="AL69" s="255"/>
      <c r="AM69" s="180"/>
      <c r="AN69" s="193"/>
      <c r="AO69" s="193"/>
      <c r="AP69" s="193"/>
      <c r="AQ69" s="193"/>
      <c r="AR69" s="193"/>
      <c r="AS69" s="193"/>
      <c r="AT69" s="180"/>
    </row>
    <row r="70" spans="1:46" ht="16.5" customHeight="1">
      <c r="A70" s="180"/>
      <c r="B70" s="422" t="s">
        <v>1087</v>
      </c>
      <c r="C70" s="47"/>
      <c r="D70" s="47"/>
      <c r="E70" s="319"/>
      <c r="F70" s="646"/>
      <c r="G70" s="4"/>
      <c r="H70" s="47"/>
      <c r="I70" s="47"/>
      <c r="J70" s="319"/>
      <c r="K70" s="646"/>
      <c r="L70" s="4"/>
      <c r="M70" s="47"/>
      <c r="N70" s="47"/>
      <c r="O70" s="319"/>
      <c r="P70" s="646"/>
      <c r="Q70" s="4"/>
      <c r="R70" s="47"/>
      <c r="S70" s="47"/>
      <c r="T70" s="319"/>
      <c r="U70" s="646"/>
      <c r="V70" s="4"/>
      <c r="W70" s="47"/>
      <c r="X70" s="47"/>
      <c r="Y70" s="319"/>
      <c r="Z70" s="646"/>
      <c r="AA70" s="328">
        <f t="shared" si="6"/>
        <v>0</v>
      </c>
      <c r="AB70" s="298">
        <f t="shared" si="7"/>
        <v>0</v>
      </c>
      <c r="AC70" s="4"/>
      <c r="AD70" s="47"/>
      <c r="AE70" s="47"/>
      <c r="AF70" s="319"/>
      <c r="AG70" s="47"/>
      <c r="AH70" s="47"/>
      <c r="AI70" s="319"/>
      <c r="AJ70" s="29">
        <f>AI70+AF70</f>
        <v>0</v>
      </c>
      <c r="AK70" s="4"/>
      <c r="AL70" s="255"/>
      <c r="AM70" s="180"/>
      <c r="AN70" s="193"/>
      <c r="AO70" s="193"/>
      <c r="AP70" s="193"/>
      <c r="AQ70" s="193"/>
      <c r="AR70" s="193"/>
      <c r="AS70" s="193"/>
      <c r="AT70" s="180"/>
    </row>
    <row r="71" spans="1:46" ht="16.5" customHeight="1">
      <c r="A71" s="180"/>
      <c r="B71" s="64" t="s">
        <v>61</v>
      </c>
      <c r="C71" s="31"/>
      <c r="D71" s="31"/>
      <c r="E71" s="439">
        <f>SUM(E48:E70)</f>
        <v>16</v>
      </c>
      <c r="F71" s="646">
        <f>SUM(F48:F70)</f>
        <v>0</v>
      </c>
      <c r="G71" s="31"/>
      <c r="H71" s="31"/>
      <c r="I71" s="31"/>
      <c r="J71" s="439">
        <f>SUM(J48:J70)</f>
        <v>73</v>
      </c>
      <c r="K71" s="646">
        <f>SUM(K48:K70)</f>
        <v>0</v>
      </c>
      <c r="L71" s="31"/>
      <c r="M71" s="31"/>
      <c r="N71" s="31"/>
      <c r="O71" s="439">
        <f>SUM(O48:O70)</f>
        <v>81</v>
      </c>
      <c r="P71" s="646">
        <f>SUM(P48:P70)</f>
        <v>1</v>
      </c>
      <c r="Q71" s="31"/>
      <c r="R71" s="31"/>
      <c r="S71" s="31"/>
      <c r="T71" s="439">
        <f>SUM(T48:T70)</f>
        <v>77</v>
      </c>
      <c r="U71" s="646">
        <f>SUM(U48:U70)</f>
        <v>2</v>
      </c>
      <c r="V71" s="31"/>
      <c r="W71" s="31"/>
      <c r="X71" s="31"/>
      <c r="Y71" s="439">
        <f>SUM(Y48:Y70)</f>
        <v>77</v>
      </c>
      <c r="Z71" s="646">
        <f>SUM(Z48:Z70)</f>
        <v>1</v>
      </c>
      <c r="AA71" s="370">
        <f>SUM(AA48:AA70)</f>
        <v>324</v>
      </c>
      <c r="AB71" s="370">
        <f>SUM(AB48:AB70)</f>
        <v>4</v>
      </c>
      <c r="AC71" s="4"/>
      <c r="AD71" s="64"/>
      <c r="AE71" s="64"/>
      <c r="AF71" s="370">
        <f>SUM(AF48:AF70)</f>
        <v>6</v>
      </c>
      <c r="AG71" s="64"/>
      <c r="AH71" s="64"/>
      <c r="AI71" s="370">
        <f>SUM(AI48:AI70)</f>
        <v>6</v>
      </c>
      <c r="AJ71" s="370">
        <f>SUM(AJ70:AJ70)</f>
        <v>0</v>
      </c>
      <c r="AK71" s="4"/>
      <c r="AL71" s="255"/>
      <c r="AM71" s="180"/>
      <c r="AN71" s="407"/>
      <c r="AO71" s="193"/>
      <c r="AP71" s="193"/>
      <c r="AQ71" s="193"/>
      <c r="AR71" s="193"/>
      <c r="AS71" s="193"/>
      <c r="AT71" s="180"/>
    </row>
    <row r="72" spans="1:46" ht="16.5" customHeight="1">
      <c r="A72" s="180"/>
      <c r="B72" s="63" t="s">
        <v>146</v>
      </c>
      <c r="C72" s="47"/>
      <c r="D72" s="47"/>
      <c r="E72" s="319">
        <v>8</v>
      </c>
      <c r="F72" s="648"/>
      <c r="G72" s="613"/>
      <c r="H72" s="47"/>
      <c r="I72" s="47"/>
      <c r="J72" s="319">
        <v>8</v>
      </c>
      <c r="K72" s="648"/>
      <c r="L72" s="60"/>
      <c r="M72" s="47"/>
      <c r="N72" s="47"/>
      <c r="O72" s="319">
        <v>8</v>
      </c>
      <c r="P72" s="648"/>
      <c r="Q72" s="60"/>
      <c r="R72" s="47"/>
      <c r="S72" s="47"/>
      <c r="T72" s="319">
        <v>8</v>
      </c>
      <c r="U72" s="648"/>
      <c r="V72" s="60"/>
      <c r="W72" s="47"/>
      <c r="X72" s="47"/>
      <c r="Y72" s="319">
        <v>8</v>
      </c>
      <c r="Z72" s="648"/>
      <c r="AA72" s="28">
        <f>SUM(E72+J72+O72+T72+Y72)</f>
        <v>40</v>
      </c>
      <c r="AB72" s="296">
        <f>Z72+U72+P72+K72+F72</f>
        <v>0</v>
      </c>
      <c r="AC72" s="4"/>
      <c r="AD72" s="47" t="s">
        <v>29</v>
      </c>
      <c r="AE72" s="47" t="s">
        <v>29</v>
      </c>
      <c r="AF72" s="319"/>
      <c r="AG72" s="47" t="s">
        <v>29</v>
      </c>
      <c r="AH72" s="47" t="s">
        <v>29</v>
      </c>
      <c r="AI72" s="319"/>
      <c r="AJ72" s="29">
        <f>AI72</f>
        <v>0</v>
      </c>
      <c r="AK72" s="4"/>
      <c r="AL72" s="255"/>
      <c r="AM72" s="180"/>
      <c r="AN72" s="407"/>
      <c r="AO72" s="193"/>
      <c r="AP72" s="193"/>
      <c r="AQ72" s="193"/>
      <c r="AR72" s="193"/>
      <c r="AS72" s="193"/>
      <c r="AT72" s="180"/>
    </row>
    <row r="73" spans="1:46" ht="16.5" customHeight="1">
      <c r="A73" s="180"/>
      <c r="B73" s="71" t="s">
        <v>66</v>
      </c>
      <c r="C73" s="371"/>
      <c r="D73" s="371"/>
      <c r="E73" s="71"/>
      <c r="F73" s="613"/>
      <c r="G73" s="71"/>
      <c r="H73" s="71"/>
      <c r="I73" s="71"/>
      <c r="J73" s="71"/>
      <c r="K73" s="613"/>
      <c r="L73" s="71"/>
      <c r="M73" s="71"/>
      <c r="N73" s="71"/>
      <c r="O73" s="71"/>
      <c r="P73" s="613"/>
      <c r="Q73" s="71"/>
      <c r="R73" s="71"/>
      <c r="S73" s="71"/>
      <c r="T73" s="71"/>
      <c r="U73" s="613"/>
      <c r="V73" s="71"/>
      <c r="W73" s="71"/>
      <c r="X73" s="71"/>
      <c r="Y73" s="71"/>
      <c r="Z73" s="613"/>
      <c r="AA73" s="370">
        <f>SUM(AA72:AA72)</f>
        <v>40</v>
      </c>
      <c r="AB73" s="370">
        <f>SUM(AB72:AB72)</f>
        <v>0</v>
      </c>
      <c r="AC73" s="4"/>
      <c r="AD73" s="180"/>
      <c r="AE73" s="180"/>
      <c r="AF73" s="180"/>
      <c r="AG73" s="180"/>
      <c r="AH73" s="180"/>
      <c r="AI73" s="180"/>
      <c r="AJ73" s="370">
        <f>SUM(AJ72:AJ72)</f>
        <v>0</v>
      </c>
      <c r="AK73" s="4"/>
      <c r="AL73" s="255"/>
      <c r="AM73" s="180"/>
      <c r="AN73" s="193"/>
      <c r="AO73" s="193"/>
      <c r="AP73" s="193"/>
      <c r="AQ73" s="193"/>
      <c r="AR73" s="193"/>
      <c r="AS73" s="193"/>
      <c r="AT73" s="180"/>
    </row>
    <row r="74" spans="1:46" ht="16.5" customHeight="1">
      <c r="A74" s="180"/>
      <c r="B74" s="217" t="s">
        <v>67</v>
      </c>
      <c r="C74" s="207">
        <v>32</v>
      </c>
      <c r="D74" s="207"/>
      <c r="E74" s="209"/>
      <c r="F74" s="209"/>
      <c r="G74" s="207"/>
      <c r="H74" s="209"/>
      <c r="I74" s="209"/>
      <c r="J74" s="209"/>
      <c r="K74" s="209"/>
      <c r="L74" s="207"/>
      <c r="M74" s="207"/>
      <c r="N74" s="207"/>
      <c r="O74" s="207"/>
      <c r="P74" s="209"/>
      <c r="Q74" s="207"/>
      <c r="R74" s="207"/>
      <c r="S74" s="207"/>
      <c r="T74" s="207"/>
      <c r="U74" s="209"/>
      <c r="V74" s="207"/>
      <c r="W74" s="207"/>
      <c r="X74" s="207"/>
      <c r="Y74" s="210"/>
      <c r="Z74" s="209"/>
      <c r="AA74" s="211"/>
      <c r="AB74" s="209"/>
      <c r="AC74" s="211"/>
      <c r="AD74" s="211"/>
      <c r="AE74" s="211"/>
      <c r="AF74" s="211"/>
      <c r="AG74" s="211"/>
      <c r="AH74" s="211"/>
      <c r="AI74" s="211"/>
      <c r="AJ74" s="211"/>
      <c r="AK74" s="4"/>
      <c r="AL74" s="255"/>
      <c r="AM74" s="180"/>
      <c r="AN74" s="193"/>
      <c r="AO74" s="193"/>
      <c r="AP74" s="193"/>
      <c r="AQ74" s="193"/>
      <c r="AR74" s="193"/>
      <c r="AS74" s="193"/>
      <c r="AT74" s="180"/>
    </row>
    <row r="75" spans="1:46" ht="16.5" customHeight="1">
      <c r="A75" s="180"/>
      <c r="B75" s="238" t="s">
        <v>68</v>
      </c>
      <c r="C75" s="239">
        <v>32</v>
      </c>
      <c r="D75" s="207"/>
      <c r="E75" s="209"/>
      <c r="F75" s="209"/>
      <c r="G75" s="207"/>
      <c r="H75" s="209"/>
      <c r="I75" s="209"/>
      <c r="J75" s="209"/>
      <c r="K75" s="209"/>
      <c r="L75" s="207"/>
      <c r="M75" s="207"/>
      <c r="N75" s="207"/>
      <c r="O75" s="207"/>
      <c r="P75" s="209"/>
      <c r="Q75" s="207"/>
      <c r="R75" s="207"/>
      <c r="S75" s="207"/>
      <c r="T75" s="207"/>
      <c r="U75" s="209"/>
      <c r="V75" s="207"/>
      <c r="W75" s="207"/>
      <c r="X75" s="207"/>
      <c r="Y75" s="210"/>
      <c r="Z75" s="209"/>
      <c r="AA75" s="211"/>
      <c r="AB75" s="209"/>
      <c r="AC75" s="211"/>
      <c r="AD75" s="211"/>
      <c r="AE75" s="211"/>
      <c r="AF75" s="211"/>
      <c r="AG75" s="211"/>
      <c r="AH75" s="211"/>
      <c r="AI75" s="211"/>
      <c r="AJ75" s="211"/>
      <c r="AK75" s="4"/>
      <c r="AL75" s="255"/>
      <c r="AM75" s="180"/>
      <c r="AN75" s="193"/>
      <c r="AO75" s="193"/>
      <c r="AP75" s="193"/>
      <c r="AQ75" s="193"/>
      <c r="AR75" s="193"/>
      <c r="AS75" s="193"/>
      <c r="AT75" s="180"/>
    </row>
    <row r="76" spans="1:46" ht="16.5" customHeight="1">
      <c r="A76" s="180"/>
      <c r="B76" s="238" t="s">
        <v>69</v>
      </c>
      <c r="C76" s="239">
        <v>0</v>
      </c>
      <c r="D76" s="207"/>
      <c r="E76" s="209"/>
      <c r="F76" s="209"/>
      <c r="G76" s="207"/>
      <c r="H76" s="209"/>
      <c r="I76" s="209"/>
      <c r="J76" s="209"/>
      <c r="K76" s="209"/>
      <c r="L76" s="207"/>
      <c r="M76" s="207"/>
      <c r="N76" s="207"/>
      <c r="O76" s="207"/>
      <c r="P76" s="209"/>
      <c r="Q76" s="207"/>
      <c r="R76" s="207"/>
      <c r="S76" s="207"/>
      <c r="T76" s="207"/>
      <c r="U76" s="209"/>
      <c r="V76" s="207"/>
      <c r="W76" s="207"/>
      <c r="X76" s="207"/>
      <c r="Y76" s="210"/>
      <c r="Z76" s="209"/>
      <c r="AA76" s="211"/>
      <c r="AB76" s="209"/>
      <c r="AC76" s="211"/>
      <c r="AD76" s="211"/>
      <c r="AE76" s="211"/>
      <c r="AF76" s="211"/>
      <c r="AG76" s="211"/>
      <c r="AH76" s="211"/>
      <c r="AI76" s="211"/>
      <c r="AJ76" s="211"/>
      <c r="AK76" s="4"/>
      <c r="AL76" s="255"/>
      <c r="AM76" s="180"/>
      <c r="AN76" s="193"/>
      <c r="AO76" s="193"/>
      <c r="AP76" s="193"/>
      <c r="AQ76" s="193"/>
      <c r="AR76" s="193"/>
      <c r="AS76" s="193"/>
      <c r="AT76" s="180"/>
    </row>
    <row r="77" spans="1:46" ht="16.5" customHeight="1">
      <c r="A77" s="313"/>
      <c r="B77" s="180"/>
      <c r="C77" s="180"/>
      <c r="D77" s="180"/>
      <c r="E77" s="4"/>
      <c r="F77" s="644"/>
      <c r="G77" s="4"/>
      <c r="H77" s="180"/>
      <c r="I77" s="180"/>
      <c r="J77" s="4"/>
      <c r="K77" s="644"/>
      <c r="L77" s="4"/>
      <c r="M77" s="180"/>
      <c r="N77" s="180"/>
      <c r="O77" s="4"/>
      <c r="P77" s="644"/>
      <c r="Q77" s="4"/>
      <c r="R77" s="180"/>
      <c r="S77" s="180"/>
      <c r="T77" s="4"/>
      <c r="U77" s="644"/>
      <c r="V77" s="4"/>
      <c r="W77" s="180"/>
      <c r="X77" s="180"/>
      <c r="Y77" s="4"/>
      <c r="Z77" s="644"/>
      <c r="AA77" s="4"/>
      <c r="AB77" s="4"/>
      <c r="AC77" s="4"/>
      <c r="AD77" s="180"/>
      <c r="AE77" s="180"/>
      <c r="AF77" s="180"/>
      <c r="AG77" s="180"/>
      <c r="AH77" s="180"/>
      <c r="AI77" s="180"/>
      <c r="AJ77" s="180"/>
      <c r="AK77" s="4"/>
      <c r="AL77" s="255"/>
      <c r="AM77" s="180"/>
      <c r="AN77" s="193"/>
      <c r="AO77" s="193"/>
      <c r="AP77" s="193"/>
      <c r="AQ77" s="193"/>
      <c r="AR77" s="193"/>
      <c r="AS77" s="193"/>
      <c r="AT77" s="180"/>
    </row>
    <row r="78" spans="1:46" ht="16.5" customHeight="1">
      <c r="A78" s="180"/>
      <c r="B78" s="229"/>
      <c r="C78" s="230"/>
      <c r="D78" s="230"/>
      <c r="E78" s="232"/>
      <c r="F78" s="232"/>
      <c r="G78" s="230"/>
      <c r="H78" s="232"/>
      <c r="I78" s="232"/>
      <c r="J78" s="232"/>
      <c r="K78" s="232"/>
      <c r="L78" s="230"/>
      <c r="M78" s="230"/>
      <c r="N78" s="230"/>
      <c r="O78" s="230"/>
      <c r="P78" s="232"/>
      <c r="Q78" s="230"/>
      <c r="R78" s="230"/>
      <c r="S78" s="230"/>
      <c r="T78" s="230"/>
      <c r="U78" s="232"/>
      <c r="V78" s="230"/>
      <c r="W78" s="230"/>
      <c r="X78" s="230"/>
      <c r="Y78" s="233"/>
      <c r="Z78" s="232"/>
      <c r="AA78" s="234"/>
      <c r="AB78" s="232"/>
      <c r="AC78" s="373"/>
      <c r="AD78" s="236"/>
      <c r="AE78" s="255"/>
      <c r="AF78" s="255"/>
      <c r="AG78" s="236"/>
      <c r="AH78" s="255"/>
      <c r="AI78" s="255"/>
      <c r="AJ78" s="255"/>
      <c r="AK78" s="255"/>
      <c r="AL78" s="255"/>
      <c r="AM78" s="255"/>
      <c r="AN78" s="255"/>
      <c r="AO78" s="255"/>
      <c r="AP78" s="255"/>
      <c r="AQ78" s="255"/>
      <c r="AR78" s="255"/>
      <c r="AS78" s="255"/>
      <c r="AT78" s="255"/>
    </row>
    <row r="79" spans="1:46" ht="16.5" customHeight="1">
      <c r="A79" s="313"/>
      <c r="B79" s="180"/>
      <c r="C79" s="180"/>
      <c r="D79" s="180"/>
      <c r="E79" s="4"/>
      <c r="F79" s="644"/>
      <c r="G79" s="4"/>
      <c r="H79" s="180"/>
      <c r="I79" s="180"/>
      <c r="J79" s="4"/>
      <c r="K79" s="644"/>
      <c r="L79" s="4"/>
      <c r="M79" s="180"/>
      <c r="N79" s="180"/>
      <c r="O79" s="4"/>
      <c r="P79" s="644"/>
      <c r="Q79" s="4"/>
      <c r="R79" s="180"/>
      <c r="S79" s="180"/>
      <c r="T79" s="4"/>
      <c r="U79" s="644"/>
      <c r="V79" s="4"/>
      <c r="W79" s="180"/>
      <c r="X79" s="180"/>
      <c r="Y79" s="4"/>
      <c r="Z79" s="644"/>
      <c r="AA79" s="4"/>
      <c r="AB79" s="4"/>
      <c r="AC79" s="4"/>
      <c r="AD79" s="180"/>
      <c r="AE79" s="180"/>
      <c r="AF79" s="180"/>
      <c r="AG79" s="180"/>
      <c r="AH79" s="180"/>
      <c r="AI79" s="180"/>
      <c r="AJ79" s="180"/>
      <c r="AK79" s="4"/>
      <c r="AL79" s="255"/>
      <c r="AM79" s="180"/>
      <c r="AN79" s="180"/>
      <c r="AO79" s="180"/>
      <c r="AP79" s="180"/>
      <c r="AQ79" s="180"/>
      <c r="AR79" s="180"/>
      <c r="AS79" s="180"/>
      <c r="AT79" s="180"/>
    </row>
    <row r="80" spans="1:46" ht="16.5" customHeight="1">
      <c r="A80" s="228"/>
      <c r="B80" s="1518" t="s">
        <v>18</v>
      </c>
      <c r="C80" s="1519">
        <v>45649</v>
      </c>
      <c r="D80" s="1519"/>
      <c r="E80" s="1519"/>
      <c r="F80" s="1519"/>
      <c r="G80" s="365"/>
      <c r="H80" s="1519">
        <v>45650</v>
      </c>
      <c r="I80" s="1519"/>
      <c r="J80" s="1519"/>
      <c r="K80" s="1519"/>
      <c r="L80" s="365"/>
      <c r="M80" s="1519">
        <v>45651</v>
      </c>
      <c r="N80" s="1519"/>
      <c r="O80" s="1519"/>
      <c r="P80" s="1519"/>
      <c r="Q80" s="365"/>
      <c r="R80" s="1519">
        <v>45652</v>
      </c>
      <c r="S80" s="1519"/>
      <c r="T80" s="1519"/>
      <c r="U80" s="1519"/>
      <c r="V80" s="365"/>
      <c r="W80" s="1519">
        <v>45653</v>
      </c>
      <c r="X80" s="1519"/>
      <c r="Y80" s="1519"/>
      <c r="Z80" s="1519"/>
      <c r="AA80" s="1517" t="s">
        <v>19</v>
      </c>
      <c r="AB80" s="1517" t="s">
        <v>20</v>
      </c>
      <c r="AC80" s="4"/>
      <c r="AD80" s="1519">
        <v>45654</v>
      </c>
      <c r="AE80" s="1519"/>
      <c r="AF80" s="1519"/>
      <c r="AG80" s="1519">
        <v>45654</v>
      </c>
      <c r="AH80" s="1519"/>
      <c r="AI80" s="1519"/>
      <c r="AJ80" s="1517" t="s">
        <v>21</v>
      </c>
      <c r="AK80" s="4"/>
      <c r="AL80" s="368"/>
      <c r="AM80" s="180"/>
      <c r="AN80" s="194" t="s">
        <v>84</v>
      </c>
      <c r="AO80" s="366"/>
      <c r="AP80" s="366"/>
      <c r="AQ80" s="366"/>
      <c r="AR80" s="366"/>
      <c r="AS80" s="366"/>
      <c r="AT80" s="180"/>
    </row>
    <row r="81" spans="1:46" ht="16.5" customHeight="1">
      <c r="A81" s="180"/>
      <c r="B81" s="1518"/>
      <c r="C81" s="21" t="s">
        <v>23</v>
      </c>
      <c r="D81" s="21" t="s">
        <v>24</v>
      </c>
      <c r="E81" s="205" t="s">
        <v>25</v>
      </c>
      <c r="F81" s="645" t="s">
        <v>14</v>
      </c>
      <c r="G81" s="4"/>
      <c r="H81" s="21" t="s">
        <v>23</v>
      </c>
      <c r="I81" s="21" t="s">
        <v>24</v>
      </c>
      <c r="J81" s="18" t="s">
        <v>25</v>
      </c>
      <c r="K81" s="645" t="s">
        <v>14</v>
      </c>
      <c r="L81" s="4"/>
      <c r="M81" s="21" t="s">
        <v>23</v>
      </c>
      <c r="N81" s="21" t="s">
        <v>24</v>
      </c>
      <c r="O81" s="18" t="s">
        <v>25</v>
      </c>
      <c r="P81" s="645" t="s">
        <v>14</v>
      </c>
      <c r="Q81" s="4"/>
      <c r="R81" s="21" t="s">
        <v>23</v>
      </c>
      <c r="S81" s="21" t="s">
        <v>24</v>
      </c>
      <c r="T81" s="18" t="s">
        <v>25</v>
      </c>
      <c r="U81" s="645" t="s">
        <v>14</v>
      </c>
      <c r="V81" s="4"/>
      <c r="W81" s="21" t="s">
        <v>23</v>
      </c>
      <c r="X81" s="21" t="s">
        <v>24</v>
      </c>
      <c r="Y81" s="18" t="s">
        <v>25</v>
      </c>
      <c r="Z81" s="645" t="s">
        <v>14</v>
      </c>
      <c r="AA81" s="1517"/>
      <c r="AB81" s="1517"/>
      <c r="AC81" s="4"/>
      <c r="AD81" s="21" t="s">
        <v>23</v>
      </c>
      <c r="AE81" s="21" t="s">
        <v>24</v>
      </c>
      <c r="AF81" s="18" t="s">
        <v>25</v>
      </c>
      <c r="AG81" s="21" t="s">
        <v>23</v>
      </c>
      <c r="AH81" s="21" t="s">
        <v>24</v>
      </c>
      <c r="AI81" s="18" t="s">
        <v>25</v>
      </c>
      <c r="AJ81" s="1517"/>
      <c r="AK81" s="4"/>
      <c r="AL81" s="368"/>
      <c r="AM81" s="367"/>
      <c r="AN81" s="691" t="s">
        <v>26</v>
      </c>
      <c r="AO81" s="196">
        <f>AA105</f>
        <v>144</v>
      </c>
      <c r="AP81" s="510">
        <v>39.14</v>
      </c>
      <c r="AQ81" s="510">
        <f t="shared" ref="AQ81:AQ87" si="9">AO81*AP81</f>
        <v>5636.16</v>
      </c>
      <c r="AR81" s="193"/>
      <c r="AS81" s="193"/>
      <c r="AT81" s="367"/>
    </row>
    <row r="82" spans="1:46" ht="16.5" customHeight="1">
      <c r="A82" s="180"/>
      <c r="B82" s="422" t="s">
        <v>1055</v>
      </c>
      <c r="C82" s="640" t="s">
        <v>1056</v>
      </c>
      <c r="D82" s="639" t="s">
        <v>1057</v>
      </c>
      <c r="E82" s="319">
        <v>8</v>
      </c>
      <c r="F82" s="646"/>
      <c r="G82" s="4"/>
      <c r="H82" s="640" t="s">
        <v>154</v>
      </c>
      <c r="I82" s="639">
        <v>0</v>
      </c>
      <c r="J82" s="319">
        <v>0</v>
      </c>
      <c r="K82" s="646"/>
      <c r="L82" s="4"/>
      <c r="M82" s="640" t="s">
        <v>154</v>
      </c>
      <c r="N82" s="639">
        <v>0</v>
      </c>
      <c r="O82" s="319">
        <v>0</v>
      </c>
      <c r="P82" s="646"/>
      <c r="Q82" s="4"/>
      <c r="R82" s="640" t="s">
        <v>1056</v>
      </c>
      <c r="S82" s="639" t="s">
        <v>1057</v>
      </c>
      <c r="T82" s="319">
        <v>8</v>
      </c>
      <c r="U82" s="646"/>
      <c r="V82" s="4"/>
      <c r="W82" s="640" t="s">
        <v>1056</v>
      </c>
      <c r="X82" s="639" t="s">
        <v>1057</v>
      </c>
      <c r="Y82" s="319">
        <v>8</v>
      </c>
      <c r="Z82" s="646"/>
      <c r="AA82" s="328">
        <f t="shared" ref="AA82:AA104" si="10">(E82+J82+O82+T82+Y82)</f>
        <v>24</v>
      </c>
      <c r="AB82" s="298">
        <f t="shared" ref="AB82:AB104" si="11">Z82+U82+P82+K82+F82</f>
        <v>0</v>
      </c>
      <c r="AC82" s="4"/>
      <c r="AD82" s="587"/>
      <c r="AE82" s="531"/>
      <c r="AF82" s="319"/>
      <c r="AG82" s="587"/>
      <c r="AH82" s="531"/>
      <c r="AI82" s="319"/>
      <c r="AJ82" s="328">
        <f t="shared" ref="AJ82:AJ104" si="12">AI82</f>
        <v>0</v>
      </c>
      <c r="AK82" s="4"/>
      <c r="AL82" s="368"/>
      <c r="AM82" s="367"/>
      <c r="AN82" s="691" t="s">
        <v>30</v>
      </c>
      <c r="AO82" s="196">
        <f>AB105</f>
        <v>4</v>
      </c>
      <c r="AP82" s="511">
        <f>AP81*1.5</f>
        <v>58.71</v>
      </c>
      <c r="AQ82" s="510">
        <f t="shared" si="9"/>
        <v>234.84</v>
      </c>
      <c r="AR82" s="193"/>
      <c r="AS82" s="193"/>
      <c r="AT82" s="367"/>
    </row>
    <row r="83" spans="1:46" ht="16.5" customHeight="1">
      <c r="A83" s="367"/>
      <c r="B83" s="422" t="s">
        <v>1059</v>
      </c>
      <c r="C83" s="441" t="s">
        <v>1056</v>
      </c>
      <c r="D83" s="47" t="s">
        <v>1081</v>
      </c>
      <c r="E83" s="319">
        <v>9</v>
      </c>
      <c r="F83" s="646"/>
      <c r="G83" s="4"/>
      <c r="H83" s="441" t="s">
        <v>154</v>
      </c>
      <c r="I83" s="47">
        <v>0</v>
      </c>
      <c r="J83" s="319">
        <v>0</v>
      </c>
      <c r="K83" s="646"/>
      <c r="L83" s="4"/>
      <c r="M83" s="441" t="s">
        <v>154</v>
      </c>
      <c r="N83" s="47">
        <v>0</v>
      </c>
      <c r="O83" s="319">
        <v>0</v>
      </c>
      <c r="P83" s="646"/>
      <c r="Q83" s="4"/>
      <c r="R83" s="441" t="s">
        <v>154</v>
      </c>
      <c r="S83" s="47">
        <v>0</v>
      </c>
      <c r="T83" s="319">
        <v>0</v>
      </c>
      <c r="U83" s="646"/>
      <c r="V83" s="4"/>
      <c r="W83" s="441" t="s">
        <v>154</v>
      </c>
      <c r="X83" s="47">
        <v>0</v>
      </c>
      <c r="Y83" s="319">
        <v>0</v>
      </c>
      <c r="Z83" s="646"/>
      <c r="AA83" s="328">
        <f t="shared" si="10"/>
        <v>9</v>
      </c>
      <c r="AB83" s="298">
        <f t="shared" si="11"/>
        <v>0</v>
      </c>
      <c r="AC83" s="4"/>
      <c r="AD83" s="180"/>
      <c r="AE83" s="180"/>
      <c r="AF83" s="319"/>
      <c r="AG83" s="180"/>
      <c r="AH83" s="180"/>
      <c r="AI83" s="319"/>
      <c r="AJ83" s="328">
        <f t="shared" si="12"/>
        <v>0</v>
      </c>
      <c r="AK83" s="175"/>
      <c r="AL83" s="402"/>
      <c r="AM83" s="367"/>
      <c r="AN83" s="691" t="s">
        <v>32</v>
      </c>
      <c r="AO83" s="196">
        <f>AJ105</f>
        <v>15</v>
      </c>
      <c r="AP83" s="510">
        <v>58.71</v>
      </c>
      <c r="AQ83" s="510">
        <f t="shared" si="9"/>
        <v>880.65</v>
      </c>
      <c r="AR83" s="193"/>
      <c r="AS83" s="193"/>
      <c r="AT83" s="367"/>
    </row>
    <row r="84" spans="1:46" ht="16.5" customHeight="1">
      <c r="A84" s="367"/>
      <c r="B84" s="422" t="s">
        <v>1060</v>
      </c>
      <c r="C84" s="441" t="s">
        <v>1056</v>
      </c>
      <c r="D84" s="47" t="s">
        <v>1057</v>
      </c>
      <c r="E84" s="319">
        <v>0</v>
      </c>
      <c r="F84" s="646"/>
      <c r="G84" s="4"/>
      <c r="H84" s="441" t="s">
        <v>154</v>
      </c>
      <c r="I84" s="47">
        <v>0</v>
      </c>
      <c r="J84" s="319">
        <v>0</v>
      </c>
      <c r="K84" s="646"/>
      <c r="L84" s="4"/>
      <c r="M84" s="441" t="s">
        <v>154</v>
      </c>
      <c r="N84" s="47">
        <v>0</v>
      </c>
      <c r="O84" s="319">
        <v>0</v>
      </c>
      <c r="P84" s="646"/>
      <c r="Q84" s="4"/>
      <c r="R84" s="441" t="s">
        <v>1056</v>
      </c>
      <c r="S84" s="47" t="s">
        <v>1057</v>
      </c>
      <c r="T84" s="319">
        <v>8</v>
      </c>
      <c r="U84" s="646"/>
      <c r="V84" s="4"/>
      <c r="W84" s="441" t="s">
        <v>1056</v>
      </c>
      <c r="X84" s="47" t="s">
        <v>1057</v>
      </c>
      <c r="Y84" s="319">
        <v>0</v>
      </c>
      <c r="Z84" s="646"/>
      <c r="AA84" s="328">
        <f t="shared" si="10"/>
        <v>8</v>
      </c>
      <c r="AB84" s="298">
        <f t="shared" si="11"/>
        <v>0</v>
      </c>
      <c r="AC84" s="4"/>
      <c r="AD84" s="531"/>
      <c r="AE84" s="531"/>
      <c r="AF84" s="319"/>
      <c r="AG84" s="531"/>
      <c r="AH84" s="531"/>
      <c r="AI84" s="319"/>
      <c r="AJ84" s="328">
        <f t="shared" si="12"/>
        <v>0</v>
      </c>
      <c r="AK84" s="175"/>
      <c r="AL84" s="402"/>
      <c r="AM84" s="367"/>
      <c r="AN84" s="403" t="s">
        <v>213</v>
      </c>
      <c r="AO84" s="404">
        <f>AA107</f>
        <v>32</v>
      </c>
      <c r="AP84" s="510">
        <v>51.5</v>
      </c>
      <c r="AQ84" s="510">
        <f t="shared" si="9"/>
        <v>1648</v>
      </c>
      <c r="AR84" s="193"/>
      <c r="AS84" s="193"/>
      <c r="AT84" s="367"/>
    </row>
    <row r="85" spans="1:46" ht="16.5" customHeight="1">
      <c r="A85" s="367"/>
      <c r="B85" s="422" t="s">
        <v>1061</v>
      </c>
      <c r="C85" s="640" t="s">
        <v>1056</v>
      </c>
      <c r="D85" s="639" t="s">
        <v>1081</v>
      </c>
      <c r="E85" s="319">
        <v>8</v>
      </c>
      <c r="F85" s="646"/>
      <c r="G85" s="4"/>
      <c r="H85" s="640" t="s">
        <v>1058</v>
      </c>
      <c r="I85" s="639" t="s">
        <v>1088</v>
      </c>
      <c r="J85" s="319">
        <v>6</v>
      </c>
      <c r="K85" s="646"/>
      <c r="L85" s="4"/>
      <c r="M85" s="640" t="s">
        <v>154</v>
      </c>
      <c r="N85" s="639">
        <v>0</v>
      </c>
      <c r="O85" s="319">
        <v>0</v>
      </c>
      <c r="P85" s="646"/>
      <c r="Q85" s="4"/>
      <c r="R85" s="640" t="s">
        <v>154</v>
      </c>
      <c r="S85" s="639">
        <v>0</v>
      </c>
      <c r="T85" s="319">
        <v>0</v>
      </c>
      <c r="U85" s="646"/>
      <c r="V85" s="4"/>
      <c r="W85" s="640" t="s">
        <v>1084</v>
      </c>
      <c r="X85" s="639" t="s">
        <v>1089</v>
      </c>
      <c r="Y85" s="319">
        <v>8</v>
      </c>
      <c r="Z85" s="646">
        <v>1</v>
      </c>
      <c r="AA85" s="328">
        <f t="shared" si="10"/>
        <v>22</v>
      </c>
      <c r="AB85" s="298">
        <f t="shared" si="11"/>
        <v>1</v>
      </c>
      <c r="AC85" s="399"/>
      <c r="AD85" s="47"/>
      <c r="AE85" s="47"/>
      <c r="AF85" s="319"/>
      <c r="AG85" s="47"/>
      <c r="AH85" s="47"/>
      <c r="AI85" s="319"/>
      <c r="AJ85" s="328">
        <f t="shared" si="12"/>
        <v>0</v>
      </c>
      <c r="AK85" s="175"/>
      <c r="AL85" s="255"/>
      <c r="AM85" s="401"/>
      <c r="AN85" s="188" t="s">
        <v>36</v>
      </c>
      <c r="AO85" s="196">
        <f>AB107</f>
        <v>0</v>
      </c>
      <c r="AP85" s="510">
        <f>AP84*1.5</f>
        <v>77.25</v>
      </c>
      <c r="AQ85" s="510">
        <f t="shared" si="9"/>
        <v>0</v>
      </c>
      <c r="AR85" s="405"/>
      <c r="AS85" s="405"/>
      <c r="AT85" s="367"/>
    </row>
    <row r="86" spans="1:46" ht="16.5" customHeight="1">
      <c r="A86" s="367"/>
      <c r="B86" s="422" t="s">
        <v>1062</v>
      </c>
      <c r="C86" s="441" t="s">
        <v>1056</v>
      </c>
      <c r="D86" s="47" t="s">
        <v>1057</v>
      </c>
      <c r="E86" s="319">
        <v>8</v>
      </c>
      <c r="F86" s="646"/>
      <c r="G86" s="4"/>
      <c r="H86" s="441" t="s">
        <v>154</v>
      </c>
      <c r="I86" s="47">
        <v>0</v>
      </c>
      <c r="J86" s="319">
        <v>0</v>
      </c>
      <c r="K86" s="646"/>
      <c r="L86" s="4"/>
      <c r="M86" s="441" t="s">
        <v>154</v>
      </c>
      <c r="N86" s="47">
        <v>0</v>
      </c>
      <c r="O86" s="319">
        <v>0</v>
      </c>
      <c r="P86" s="646"/>
      <c r="Q86" s="4"/>
      <c r="R86" s="441" t="s">
        <v>154</v>
      </c>
      <c r="S86" s="47">
        <v>0</v>
      </c>
      <c r="T86" s="319">
        <v>0</v>
      </c>
      <c r="U86" s="646"/>
      <c r="V86" s="4"/>
      <c r="W86" s="441" t="s">
        <v>154</v>
      </c>
      <c r="X86" s="47">
        <v>0</v>
      </c>
      <c r="Y86" s="319">
        <v>0</v>
      </c>
      <c r="Z86" s="646"/>
      <c r="AA86" s="328">
        <f t="shared" si="10"/>
        <v>8</v>
      </c>
      <c r="AB86" s="298">
        <f t="shared" si="11"/>
        <v>0</v>
      </c>
      <c r="AC86" s="175"/>
      <c r="AD86" s="47" t="s">
        <v>1058</v>
      </c>
      <c r="AE86" s="47" t="s">
        <v>1090</v>
      </c>
      <c r="AF86" s="319">
        <v>8</v>
      </c>
      <c r="AG86" s="47" t="s">
        <v>1058</v>
      </c>
      <c r="AH86" s="47" t="s">
        <v>1090</v>
      </c>
      <c r="AI86" s="319">
        <v>8</v>
      </c>
      <c r="AJ86" s="328">
        <f t="shared" si="12"/>
        <v>8</v>
      </c>
      <c r="AK86" s="175"/>
      <c r="AL86" s="255"/>
      <c r="AM86" s="401"/>
      <c r="AN86" s="188" t="s">
        <v>38</v>
      </c>
      <c r="AO86" s="196">
        <f>AJ107</f>
        <v>0</v>
      </c>
      <c r="AP86" s="510">
        <v>77.25</v>
      </c>
      <c r="AQ86" s="510">
        <f t="shared" si="9"/>
        <v>0</v>
      </c>
      <c r="AR86" s="405"/>
      <c r="AS86" s="405"/>
      <c r="AT86" s="367"/>
    </row>
    <row r="87" spans="1:46" ht="16.5" customHeight="1" thickBot="1">
      <c r="A87" s="367"/>
      <c r="B87" s="422" t="s">
        <v>1063</v>
      </c>
      <c r="C87" s="441" t="s">
        <v>154</v>
      </c>
      <c r="D87" s="47">
        <v>0</v>
      </c>
      <c r="E87" s="319">
        <v>0</v>
      </c>
      <c r="F87" s="646"/>
      <c r="G87" s="4"/>
      <c r="H87" s="441" t="s">
        <v>154</v>
      </c>
      <c r="I87" s="47">
        <v>0</v>
      </c>
      <c r="J87" s="319">
        <v>0</v>
      </c>
      <c r="K87" s="646"/>
      <c r="L87" s="4"/>
      <c r="M87" s="441" t="s">
        <v>154</v>
      </c>
      <c r="N87" s="47">
        <v>0</v>
      </c>
      <c r="O87" s="319">
        <v>0</v>
      </c>
      <c r="P87" s="646"/>
      <c r="Q87" s="4"/>
      <c r="R87" s="640" t="s">
        <v>154</v>
      </c>
      <c r="S87" s="639">
        <v>0</v>
      </c>
      <c r="T87" s="319">
        <v>0</v>
      </c>
      <c r="U87" s="646"/>
      <c r="V87" s="4"/>
      <c r="W87" s="441" t="s">
        <v>154</v>
      </c>
      <c r="X87" s="47">
        <v>0</v>
      </c>
      <c r="Y87" s="319">
        <v>0</v>
      </c>
      <c r="Z87" s="646"/>
      <c r="AA87" s="328">
        <f t="shared" si="10"/>
        <v>0</v>
      </c>
      <c r="AB87" s="298">
        <f t="shared" si="11"/>
        <v>0</v>
      </c>
      <c r="AC87" s="4"/>
      <c r="AD87" s="47"/>
      <c r="AE87" s="47"/>
      <c r="AF87" s="319"/>
      <c r="AG87" s="47"/>
      <c r="AH87" s="47"/>
      <c r="AI87" s="319"/>
      <c r="AJ87" s="328">
        <f t="shared" si="12"/>
        <v>0</v>
      </c>
      <c r="AK87" s="175"/>
      <c r="AL87" s="368"/>
      <c r="AM87" s="180"/>
      <c r="AN87" s="188" t="s">
        <v>41</v>
      </c>
      <c r="AO87" s="196">
        <f>C108</f>
        <v>54</v>
      </c>
      <c r="AP87" s="512">
        <v>46.35</v>
      </c>
      <c r="AQ87" s="512">
        <f t="shared" si="9"/>
        <v>2502.9</v>
      </c>
      <c r="AR87" s="193"/>
      <c r="AS87" s="193"/>
      <c r="AT87" s="367"/>
    </row>
    <row r="88" spans="1:46" ht="16.5" customHeight="1" thickTop="1">
      <c r="A88" s="180"/>
      <c r="B88" s="422" t="s">
        <v>1064</v>
      </c>
      <c r="C88" s="441" t="s">
        <v>1058</v>
      </c>
      <c r="D88" s="47" t="s">
        <v>1083</v>
      </c>
      <c r="E88" s="319">
        <v>5</v>
      </c>
      <c r="F88" s="646"/>
      <c r="G88" s="4"/>
      <c r="H88" s="441" t="s">
        <v>1084</v>
      </c>
      <c r="I88" s="47" t="s">
        <v>1090</v>
      </c>
      <c r="J88" s="319">
        <v>7</v>
      </c>
      <c r="K88" s="646"/>
      <c r="L88" s="4"/>
      <c r="M88" s="441" t="s">
        <v>154</v>
      </c>
      <c r="N88" s="47">
        <v>0</v>
      </c>
      <c r="O88" s="319">
        <v>0</v>
      </c>
      <c r="P88" s="646"/>
      <c r="Q88" s="4"/>
      <c r="R88" s="441" t="s">
        <v>154</v>
      </c>
      <c r="S88" s="47">
        <v>0</v>
      </c>
      <c r="T88" s="319">
        <v>0</v>
      </c>
      <c r="U88" s="646"/>
      <c r="V88" s="4"/>
      <c r="W88" s="441" t="s">
        <v>1056</v>
      </c>
      <c r="X88" s="47" t="s">
        <v>1091</v>
      </c>
      <c r="Y88" s="319">
        <v>8</v>
      </c>
      <c r="Z88" s="646">
        <v>3</v>
      </c>
      <c r="AA88" s="328">
        <f t="shared" si="10"/>
        <v>20</v>
      </c>
      <c r="AB88" s="298">
        <f t="shared" si="11"/>
        <v>3</v>
      </c>
      <c r="AC88" s="4"/>
      <c r="AD88" s="47" t="s">
        <v>1082</v>
      </c>
      <c r="AE88" s="47" t="s">
        <v>1081</v>
      </c>
      <c r="AF88" s="319">
        <v>7</v>
      </c>
      <c r="AG88" s="47" t="s">
        <v>1082</v>
      </c>
      <c r="AH88" s="47" t="s">
        <v>1081</v>
      </c>
      <c r="AI88" s="319">
        <v>7</v>
      </c>
      <c r="AJ88" s="328">
        <f t="shared" si="12"/>
        <v>7</v>
      </c>
      <c r="AK88" s="4"/>
      <c r="AL88" s="255"/>
      <c r="AM88" s="180"/>
      <c r="AN88" s="193"/>
      <c r="AO88" s="193"/>
      <c r="AP88" s="193"/>
      <c r="AQ88" s="510">
        <f>SUM(AQ81:AQ87)</f>
        <v>10902.55</v>
      </c>
      <c r="AR88" s="193"/>
      <c r="AS88" s="193"/>
      <c r="AT88" s="367"/>
    </row>
    <row r="89" spans="1:46" ht="16.5" customHeight="1">
      <c r="A89" s="180"/>
      <c r="B89" s="422" t="s">
        <v>1065</v>
      </c>
      <c r="C89" s="640" t="s">
        <v>1082</v>
      </c>
      <c r="D89" s="639" t="s">
        <v>1081</v>
      </c>
      <c r="E89" s="319">
        <v>8</v>
      </c>
      <c r="F89" s="646"/>
      <c r="G89" s="4"/>
      <c r="H89" s="640" t="s">
        <v>154</v>
      </c>
      <c r="I89" s="639">
        <v>0</v>
      </c>
      <c r="J89" s="319">
        <v>0</v>
      </c>
      <c r="K89" s="646"/>
      <c r="L89" s="4"/>
      <c r="M89" s="640" t="s">
        <v>154</v>
      </c>
      <c r="N89" s="639">
        <v>0</v>
      </c>
      <c r="O89" s="319">
        <v>0</v>
      </c>
      <c r="P89" s="646"/>
      <c r="Q89" s="4"/>
      <c r="R89" s="640" t="s">
        <v>1084</v>
      </c>
      <c r="S89" s="639" t="s">
        <v>1057</v>
      </c>
      <c r="T89" s="319">
        <v>6</v>
      </c>
      <c r="U89" s="646"/>
      <c r="V89" s="4"/>
      <c r="W89" s="640" t="s">
        <v>1056</v>
      </c>
      <c r="X89" s="639" t="s">
        <v>1090</v>
      </c>
      <c r="Y89" s="319">
        <v>8</v>
      </c>
      <c r="Z89" s="646"/>
      <c r="AA89" s="328">
        <f t="shared" si="10"/>
        <v>22</v>
      </c>
      <c r="AB89" s="298">
        <f t="shared" si="11"/>
        <v>0</v>
      </c>
      <c r="AC89" s="4"/>
      <c r="AD89" s="47"/>
      <c r="AE89" s="47"/>
      <c r="AF89" s="319"/>
      <c r="AG89" s="47"/>
      <c r="AH89" s="47"/>
      <c r="AI89" s="319"/>
      <c r="AJ89" s="328">
        <f t="shared" si="12"/>
        <v>0</v>
      </c>
      <c r="AK89" s="4"/>
      <c r="AL89" s="255"/>
      <c r="AM89" s="180"/>
      <c r="AN89" s="193"/>
      <c r="AO89" s="193"/>
      <c r="AP89" s="193"/>
      <c r="AQ89" s="193"/>
      <c r="AR89" s="193"/>
      <c r="AS89" s="193"/>
      <c r="AT89" s="367"/>
    </row>
    <row r="90" spans="1:46" ht="16.5" customHeight="1">
      <c r="A90" s="180"/>
      <c r="B90" s="693" t="s">
        <v>1066</v>
      </c>
      <c r="C90" s="441" t="s">
        <v>1056</v>
      </c>
      <c r="D90" s="47" t="s">
        <v>1057</v>
      </c>
      <c r="E90" s="319">
        <v>8</v>
      </c>
      <c r="F90" s="646"/>
      <c r="G90" s="4"/>
      <c r="H90" s="441" t="s">
        <v>1056</v>
      </c>
      <c r="I90" s="47" t="s">
        <v>1057</v>
      </c>
      <c r="J90" s="319">
        <v>7</v>
      </c>
      <c r="K90" s="646"/>
      <c r="L90" s="4"/>
      <c r="M90" s="640" t="s">
        <v>154</v>
      </c>
      <c r="N90" s="639">
        <v>0</v>
      </c>
      <c r="O90" s="319">
        <v>0</v>
      </c>
      <c r="P90" s="646"/>
      <c r="Q90" s="4"/>
      <c r="R90" s="441" t="s">
        <v>1056</v>
      </c>
      <c r="S90" s="47" t="s">
        <v>1057</v>
      </c>
      <c r="T90" s="319">
        <v>8</v>
      </c>
      <c r="U90" s="646"/>
      <c r="V90" s="4"/>
      <c r="W90" s="47">
        <v>0</v>
      </c>
      <c r="X90" s="47">
        <v>0</v>
      </c>
      <c r="Y90" s="319">
        <v>0</v>
      </c>
      <c r="Z90" s="646"/>
      <c r="AA90" s="328">
        <f t="shared" si="10"/>
        <v>23</v>
      </c>
      <c r="AB90" s="298">
        <f t="shared" si="11"/>
        <v>0</v>
      </c>
      <c r="AC90" s="4"/>
      <c r="AD90" s="47"/>
      <c r="AE90" s="47"/>
      <c r="AF90" s="319"/>
      <c r="AG90" s="47"/>
      <c r="AH90" s="47"/>
      <c r="AI90" s="319"/>
      <c r="AJ90" s="328">
        <f t="shared" si="12"/>
        <v>0</v>
      </c>
      <c r="AK90" s="4"/>
      <c r="AL90" s="255"/>
      <c r="AM90" s="180"/>
      <c r="AN90" s="193"/>
      <c r="AO90" s="193"/>
      <c r="AP90" s="193"/>
      <c r="AQ90" s="193"/>
      <c r="AR90" s="193"/>
      <c r="AS90" s="193"/>
      <c r="AT90" s="367"/>
    </row>
    <row r="91" spans="1:46" ht="16.5" customHeight="1">
      <c r="A91" s="180"/>
      <c r="B91" s="678" t="s">
        <v>1067</v>
      </c>
      <c r="C91" s="441" t="s">
        <v>1056</v>
      </c>
      <c r="D91" s="47" t="s">
        <v>1057</v>
      </c>
      <c r="E91" s="319">
        <v>8</v>
      </c>
      <c r="F91" s="646"/>
      <c r="G91" s="4"/>
      <c r="H91" s="441" t="s">
        <v>154</v>
      </c>
      <c r="I91" s="47">
        <v>0</v>
      </c>
      <c r="J91" s="319">
        <v>0</v>
      </c>
      <c r="K91" s="646"/>
      <c r="L91" s="4"/>
      <c r="M91" s="47">
        <v>0</v>
      </c>
      <c r="N91" s="47">
        <v>0</v>
      </c>
      <c r="O91" s="319">
        <v>0</v>
      </c>
      <c r="P91" s="646"/>
      <c r="Q91" s="4"/>
      <c r="R91" s="47">
        <v>0</v>
      </c>
      <c r="S91" s="47">
        <v>0</v>
      </c>
      <c r="T91" s="319">
        <v>0</v>
      </c>
      <c r="U91" s="646"/>
      <c r="V91" s="4"/>
      <c r="W91" s="47">
        <v>0</v>
      </c>
      <c r="X91" s="47">
        <v>0</v>
      </c>
      <c r="Y91" s="319">
        <v>0</v>
      </c>
      <c r="Z91" s="646"/>
      <c r="AA91" s="328">
        <f t="shared" si="10"/>
        <v>8</v>
      </c>
      <c r="AB91" s="298">
        <f t="shared" si="11"/>
        <v>0</v>
      </c>
      <c r="AC91" s="4"/>
      <c r="AD91" s="47"/>
      <c r="AE91" s="47"/>
      <c r="AF91" s="319"/>
      <c r="AG91" s="47"/>
      <c r="AH91" s="47"/>
      <c r="AI91" s="319"/>
      <c r="AJ91" s="328">
        <f t="shared" si="12"/>
        <v>0</v>
      </c>
      <c r="AK91" s="4"/>
      <c r="AL91" s="255"/>
      <c r="AM91" s="180"/>
      <c r="AN91" s="193"/>
      <c r="AO91" s="193"/>
      <c r="AP91" s="193"/>
      <c r="AQ91" s="193"/>
      <c r="AR91" s="193"/>
      <c r="AS91" s="193"/>
      <c r="AT91" s="180"/>
    </row>
    <row r="92" spans="1:46" ht="16.5" customHeight="1">
      <c r="A92" s="180"/>
      <c r="B92" s="422" t="s">
        <v>1068</v>
      </c>
      <c r="C92" s="441"/>
      <c r="D92" s="47"/>
      <c r="E92" s="319"/>
      <c r="F92" s="646"/>
      <c r="G92" s="4"/>
      <c r="H92" s="441"/>
      <c r="I92" s="47"/>
      <c r="J92" s="319"/>
      <c r="K92" s="646"/>
      <c r="L92" s="4"/>
      <c r="M92" s="441"/>
      <c r="N92" s="47"/>
      <c r="O92" s="319"/>
      <c r="P92" s="646"/>
      <c r="Q92" s="4"/>
      <c r="R92" s="441"/>
      <c r="S92" s="47"/>
      <c r="T92" s="319"/>
      <c r="U92" s="646"/>
      <c r="V92" s="4"/>
      <c r="W92" s="441"/>
      <c r="X92" s="47"/>
      <c r="Y92" s="319"/>
      <c r="Z92" s="646"/>
      <c r="AA92" s="328">
        <f t="shared" si="10"/>
        <v>0</v>
      </c>
      <c r="AB92" s="298">
        <f t="shared" si="11"/>
        <v>0</v>
      </c>
      <c r="AC92" s="4"/>
      <c r="AD92" s="47"/>
      <c r="AE92" s="47"/>
      <c r="AF92" s="319"/>
      <c r="AG92" s="47"/>
      <c r="AH92" s="47"/>
      <c r="AI92" s="319"/>
      <c r="AJ92" s="328">
        <f t="shared" si="12"/>
        <v>0</v>
      </c>
      <c r="AK92" s="4"/>
      <c r="AL92" s="255"/>
      <c r="AM92" s="180"/>
      <c r="AN92" s="193"/>
      <c r="AO92" s="193"/>
      <c r="AP92" s="193"/>
      <c r="AQ92" s="193"/>
      <c r="AR92" s="193"/>
      <c r="AS92" s="193"/>
      <c r="AT92" s="180"/>
    </row>
    <row r="93" spans="1:46" ht="16.5" customHeight="1">
      <c r="A93" s="180"/>
      <c r="B93" s="422" t="s">
        <v>1069</v>
      </c>
      <c r="C93" s="441"/>
      <c r="D93" s="47"/>
      <c r="E93" s="319"/>
      <c r="F93" s="646"/>
      <c r="G93" s="4"/>
      <c r="H93" s="441"/>
      <c r="I93" s="47"/>
      <c r="J93" s="319"/>
      <c r="K93" s="646"/>
      <c r="L93" s="4"/>
      <c r="M93" s="441"/>
      <c r="N93" s="47"/>
      <c r="O93" s="319"/>
      <c r="P93" s="646"/>
      <c r="Q93" s="4"/>
      <c r="R93" s="441"/>
      <c r="S93" s="47"/>
      <c r="T93" s="319"/>
      <c r="U93" s="646"/>
      <c r="V93" s="4"/>
      <c r="W93" s="441"/>
      <c r="X93" s="47"/>
      <c r="Y93" s="319"/>
      <c r="Z93" s="646"/>
      <c r="AA93" s="328">
        <f t="shared" si="10"/>
        <v>0</v>
      </c>
      <c r="AB93" s="298">
        <f t="shared" si="11"/>
        <v>0</v>
      </c>
      <c r="AC93" s="4"/>
      <c r="AD93" s="47"/>
      <c r="AE93" s="47"/>
      <c r="AF93" s="319"/>
      <c r="AG93" s="47"/>
      <c r="AH93" s="47"/>
      <c r="AI93" s="319"/>
      <c r="AJ93" s="328">
        <f t="shared" si="12"/>
        <v>0</v>
      </c>
      <c r="AK93" s="4"/>
      <c r="AL93" s="255"/>
      <c r="AM93" s="180"/>
      <c r="AN93" s="193"/>
      <c r="AO93" s="193"/>
      <c r="AP93" s="193"/>
      <c r="AQ93" s="193"/>
      <c r="AR93" s="193"/>
      <c r="AS93" s="193"/>
      <c r="AT93" s="180"/>
    </row>
    <row r="94" spans="1:46" ht="16.5" customHeight="1">
      <c r="A94" s="180"/>
      <c r="B94" s="422" t="s">
        <v>1070</v>
      </c>
      <c r="C94" s="441"/>
      <c r="D94" s="47"/>
      <c r="E94" s="319"/>
      <c r="F94" s="646"/>
      <c r="G94" s="4"/>
      <c r="H94" s="441"/>
      <c r="I94" s="47"/>
      <c r="J94" s="319"/>
      <c r="K94" s="646"/>
      <c r="L94" s="4"/>
      <c r="M94" s="441"/>
      <c r="N94" s="47"/>
      <c r="O94" s="319"/>
      <c r="P94" s="646"/>
      <c r="Q94" s="4"/>
      <c r="R94" s="47"/>
      <c r="S94" s="47"/>
      <c r="T94" s="319"/>
      <c r="U94" s="646"/>
      <c r="V94" s="4"/>
      <c r="W94" s="441"/>
      <c r="X94" s="47"/>
      <c r="Y94" s="319"/>
      <c r="Z94" s="646"/>
      <c r="AA94" s="328">
        <f t="shared" si="10"/>
        <v>0</v>
      </c>
      <c r="AB94" s="298">
        <f t="shared" si="11"/>
        <v>0</v>
      </c>
      <c r="AC94" s="4"/>
      <c r="AD94" s="47"/>
      <c r="AE94" s="47"/>
      <c r="AF94" s="319"/>
      <c r="AG94" s="47"/>
      <c r="AH94" s="47"/>
      <c r="AI94" s="319"/>
      <c r="AJ94" s="328">
        <f t="shared" si="12"/>
        <v>0</v>
      </c>
      <c r="AK94" s="4"/>
      <c r="AL94" s="255"/>
      <c r="AM94" s="180"/>
      <c r="AN94" s="193"/>
      <c r="AO94" s="193"/>
      <c r="AP94" s="193"/>
      <c r="AQ94" s="193"/>
      <c r="AR94" s="193"/>
      <c r="AS94" s="193"/>
      <c r="AT94" s="180"/>
    </row>
    <row r="95" spans="1:46" ht="16.5" customHeight="1">
      <c r="A95" s="180"/>
      <c r="B95" s="422" t="s">
        <v>1071</v>
      </c>
      <c r="C95" s="441"/>
      <c r="D95" s="47"/>
      <c r="E95" s="319"/>
      <c r="F95" s="646"/>
      <c r="G95" s="4"/>
      <c r="H95" s="441"/>
      <c r="I95" s="47"/>
      <c r="J95" s="319"/>
      <c r="K95" s="646"/>
      <c r="L95" s="4"/>
      <c r="M95" s="441"/>
      <c r="N95" s="47"/>
      <c r="O95" s="319"/>
      <c r="P95" s="646"/>
      <c r="Q95" s="4"/>
      <c r="R95" s="441"/>
      <c r="S95" s="47"/>
      <c r="T95" s="319"/>
      <c r="U95" s="646"/>
      <c r="V95" s="4"/>
      <c r="W95" s="441"/>
      <c r="X95" s="47"/>
      <c r="Y95" s="319"/>
      <c r="Z95" s="646"/>
      <c r="AA95" s="328">
        <f t="shared" si="10"/>
        <v>0</v>
      </c>
      <c r="AB95" s="298">
        <f t="shared" si="11"/>
        <v>0</v>
      </c>
      <c r="AC95" s="4"/>
      <c r="AD95" s="47"/>
      <c r="AE95" s="47"/>
      <c r="AF95" s="319"/>
      <c r="AG95" s="47"/>
      <c r="AH95" s="47"/>
      <c r="AI95" s="319"/>
      <c r="AJ95" s="328">
        <f t="shared" si="12"/>
        <v>0</v>
      </c>
      <c r="AK95" s="4"/>
      <c r="AL95" s="255"/>
      <c r="AM95" s="180"/>
      <c r="AN95" s="193"/>
      <c r="AO95" s="193"/>
      <c r="AP95" s="193"/>
      <c r="AQ95" s="193"/>
      <c r="AR95" s="193"/>
      <c r="AS95" s="193"/>
      <c r="AT95" s="180"/>
    </row>
    <row r="96" spans="1:46" ht="16.5" customHeight="1">
      <c r="A96" s="180"/>
      <c r="B96" s="422" t="s">
        <v>1072</v>
      </c>
      <c r="C96" s="441"/>
      <c r="D96" s="47"/>
      <c r="E96" s="319"/>
      <c r="F96" s="646"/>
      <c r="G96" s="4"/>
      <c r="H96" s="441"/>
      <c r="I96" s="47"/>
      <c r="J96" s="319"/>
      <c r="K96" s="646"/>
      <c r="L96" s="4"/>
      <c r="M96" s="441"/>
      <c r="N96" s="47"/>
      <c r="O96" s="319"/>
      <c r="P96" s="646"/>
      <c r="Q96" s="4"/>
      <c r="R96" s="441"/>
      <c r="S96" s="47"/>
      <c r="T96" s="319"/>
      <c r="U96" s="646"/>
      <c r="V96" s="4"/>
      <c r="W96" s="441"/>
      <c r="X96" s="47"/>
      <c r="Y96" s="319"/>
      <c r="Z96" s="646"/>
      <c r="AA96" s="328">
        <f t="shared" si="10"/>
        <v>0</v>
      </c>
      <c r="AB96" s="298">
        <f t="shared" si="11"/>
        <v>0</v>
      </c>
      <c r="AC96" s="4"/>
      <c r="AD96" s="47"/>
      <c r="AE96" s="47"/>
      <c r="AF96" s="319"/>
      <c r="AG96" s="47"/>
      <c r="AH96" s="47"/>
      <c r="AI96" s="319"/>
      <c r="AJ96" s="328">
        <f t="shared" si="12"/>
        <v>0</v>
      </c>
      <c r="AK96" s="4"/>
      <c r="AL96" s="255"/>
      <c r="AM96" s="180"/>
      <c r="AN96" s="193"/>
      <c r="AO96" s="193"/>
      <c r="AP96" s="193"/>
      <c r="AQ96" s="193"/>
      <c r="AR96" s="193"/>
      <c r="AS96" s="193"/>
      <c r="AT96" s="180"/>
    </row>
    <row r="97" spans="1:46" ht="16.5" customHeight="1">
      <c r="A97" s="180"/>
      <c r="B97" s="422" t="s">
        <v>1073</v>
      </c>
      <c r="C97" s="441"/>
      <c r="D97" s="47"/>
      <c r="E97" s="319"/>
      <c r="F97" s="646"/>
      <c r="G97" s="4"/>
      <c r="H97" s="441"/>
      <c r="I97" s="47"/>
      <c r="J97" s="319"/>
      <c r="K97" s="646"/>
      <c r="L97" s="4"/>
      <c r="M97" s="441"/>
      <c r="N97" s="47"/>
      <c r="O97" s="319"/>
      <c r="P97" s="646"/>
      <c r="Q97" s="4"/>
      <c r="R97" s="441"/>
      <c r="S97" s="47"/>
      <c r="T97" s="319"/>
      <c r="U97" s="646"/>
      <c r="V97" s="4"/>
      <c r="W97" s="47"/>
      <c r="X97" s="47"/>
      <c r="Y97" s="319"/>
      <c r="Z97" s="646"/>
      <c r="AA97" s="328">
        <f t="shared" si="10"/>
        <v>0</v>
      </c>
      <c r="AB97" s="298">
        <f t="shared" si="11"/>
        <v>0</v>
      </c>
      <c r="AC97" s="4"/>
      <c r="AD97" s="47"/>
      <c r="AE97" s="47"/>
      <c r="AF97" s="319"/>
      <c r="AG97" s="47"/>
      <c r="AH97" s="47"/>
      <c r="AI97" s="319"/>
      <c r="AJ97" s="328">
        <f t="shared" si="12"/>
        <v>0</v>
      </c>
      <c r="AK97" s="4"/>
      <c r="AL97" s="255"/>
      <c r="AM97" s="180"/>
      <c r="AN97" s="193"/>
      <c r="AO97" s="193"/>
      <c r="AP97" s="193"/>
      <c r="AQ97" s="193"/>
      <c r="AR97" s="193"/>
      <c r="AS97" s="193"/>
      <c r="AT97" s="180"/>
    </row>
    <row r="98" spans="1:46" ht="16.5" customHeight="1">
      <c r="A98" s="180"/>
      <c r="B98" s="422" t="s">
        <v>1074</v>
      </c>
      <c r="C98" s="441"/>
      <c r="D98" s="47"/>
      <c r="E98" s="319"/>
      <c r="F98" s="646"/>
      <c r="G98" s="4"/>
      <c r="H98" s="441"/>
      <c r="I98" s="47"/>
      <c r="J98" s="319"/>
      <c r="K98" s="646"/>
      <c r="L98" s="4"/>
      <c r="M98" s="441"/>
      <c r="N98" s="47"/>
      <c r="O98" s="319"/>
      <c r="P98" s="646"/>
      <c r="Q98" s="4"/>
      <c r="R98" s="441"/>
      <c r="S98" s="47"/>
      <c r="T98" s="319"/>
      <c r="U98" s="646"/>
      <c r="V98" s="4"/>
      <c r="W98" s="47"/>
      <c r="X98" s="47"/>
      <c r="Y98" s="319"/>
      <c r="Z98" s="646"/>
      <c r="AA98" s="328">
        <f t="shared" si="10"/>
        <v>0</v>
      </c>
      <c r="AB98" s="298">
        <f t="shared" si="11"/>
        <v>0</v>
      </c>
      <c r="AC98" s="4"/>
      <c r="AD98" s="47"/>
      <c r="AE98" s="47"/>
      <c r="AF98" s="319"/>
      <c r="AG98" s="47"/>
      <c r="AH98" s="47"/>
      <c r="AI98" s="319"/>
      <c r="AJ98" s="328">
        <f t="shared" si="12"/>
        <v>0</v>
      </c>
      <c r="AK98" s="4"/>
      <c r="AL98" s="255"/>
      <c r="AM98" s="180"/>
      <c r="AN98" s="193"/>
      <c r="AO98" s="193"/>
      <c r="AP98" s="193"/>
      <c r="AQ98" s="193"/>
      <c r="AR98" s="193"/>
      <c r="AS98" s="193"/>
      <c r="AT98" s="180"/>
    </row>
    <row r="99" spans="1:46" ht="16.5" customHeight="1">
      <c r="A99" s="180"/>
      <c r="B99" s="422" t="s">
        <v>1075</v>
      </c>
      <c r="C99" s="47"/>
      <c r="D99" s="47"/>
      <c r="E99" s="319"/>
      <c r="F99" s="646"/>
      <c r="G99" s="4"/>
      <c r="H99" s="47"/>
      <c r="I99" s="47"/>
      <c r="J99" s="319"/>
      <c r="K99" s="646"/>
      <c r="L99" s="4"/>
      <c r="M99" s="47"/>
      <c r="N99" s="47"/>
      <c r="O99" s="319"/>
      <c r="P99" s="646"/>
      <c r="Q99" s="4"/>
      <c r="R99" s="47"/>
      <c r="S99" s="47"/>
      <c r="T99" s="319"/>
      <c r="U99" s="646"/>
      <c r="V99" s="4"/>
      <c r="W99" s="47"/>
      <c r="X99" s="47"/>
      <c r="Y99" s="319"/>
      <c r="Z99" s="646"/>
      <c r="AA99" s="328">
        <f t="shared" si="10"/>
        <v>0</v>
      </c>
      <c r="AB99" s="298">
        <f t="shared" si="11"/>
        <v>0</v>
      </c>
      <c r="AC99" s="4"/>
      <c r="AD99" s="47"/>
      <c r="AE99" s="47"/>
      <c r="AF99" s="319"/>
      <c r="AG99" s="47"/>
      <c r="AH99" s="47"/>
      <c r="AI99" s="319"/>
      <c r="AJ99" s="328">
        <f t="shared" si="12"/>
        <v>0</v>
      </c>
      <c r="AK99" s="4"/>
      <c r="AL99" s="255"/>
      <c r="AM99" s="180"/>
      <c r="AN99" s="193"/>
      <c r="AO99" s="193"/>
      <c r="AP99" s="193"/>
      <c r="AQ99" s="193"/>
      <c r="AR99" s="193"/>
      <c r="AS99" s="193"/>
      <c r="AT99" s="180"/>
    </row>
    <row r="100" spans="1:46" ht="16.5" customHeight="1">
      <c r="A100" s="180"/>
      <c r="B100" s="422" t="s">
        <v>1076</v>
      </c>
      <c r="C100" s="47"/>
      <c r="D100" s="47"/>
      <c r="E100" s="319"/>
      <c r="F100" s="646"/>
      <c r="G100" s="4"/>
      <c r="H100" s="47"/>
      <c r="I100" s="47"/>
      <c r="J100" s="319"/>
      <c r="K100" s="646"/>
      <c r="L100" s="4"/>
      <c r="M100" s="47"/>
      <c r="N100" s="47"/>
      <c r="O100" s="319"/>
      <c r="P100" s="646"/>
      <c r="Q100" s="4"/>
      <c r="R100" s="47"/>
      <c r="S100" s="47"/>
      <c r="T100" s="319"/>
      <c r="U100" s="646"/>
      <c r="V100" s="4"/>
      <c r="W100" s="47"/>
      <c r="X100" s="47"/>
      <c r="Y100" s="319"/>
      <c r="Z100" s="646"/>
      <c r="AA100" s="328">
        <f t="shared" si="10"/>
        <v>0</v>
      </c>
      <c r="AB100" s="298">
        <f t="shared" si="11"/>
        <v>0</v>
      </c>
      <c r="AC100" s="4"/>
      <c r="AD100" s="47"/>
      <c r="AE100" s="47"/>
      <c r="AF100" s="319"/>
      <c r="AG100" s="47"/>
      <c r="AH100" s="47"/>
      <c r="AI100" s="319"/>
      <c r="AJ100" s="328">
        <f t="shared" si="12"/>
        <v>0</v>
      </c>
      <c r="AK100" s="4"/>
      <c r="AL100" s="255"/>
      <c r="AM100" s="180"/>
      <c r="AN100" s="193"/>
      <c r="AO100" s="193"/>
      <c r="AP100" s="193"/>
      <c r="AQ100" s="193"/>
      <c r="AR100" s="193"/>
      <c r="AS100" s="193"/>
      <c r="AT100" s="180"/>
    </row>
    <row r="101" spans="1:46" ht="16.5" customHeight="1">
      <c r="A101" s="180"/>
      <c r="B101" s="422" t="s">
        <v>1077</v>
      </c>
      <c r="C101" s="47"/>
      <c r="D101" s="47"/>
      <c r="E101" s="319"/>
      <c r="F101" s="646"/>
      <c r="G101" s="4"/>
      <c r="H101" s="47"/>
      <c r="I101" s="47"/>
      <c r="J101" s="319"/>
      <c r="K101" s="646"/>
      <c r="L101" s="4"/>
      <c r="M101" s="47"/>
      <c r="N101" s="47"/>
      <c r="O101" s="319"/>
      <c r="P101" s="646"/>
      <c r="Q101" s="4"/>
      <c r="R101" s="47"/>
      <c r="S101" s="47"/>
      <c r="T101" s="319"/>
      <c r="U101" s="646"/>
      <c r="V101" s="4"/>
      <c r="W101" s="47"/>
      <c r="X101" s="47"/>
      <c r="Y101" s="319"/>
      <c r="Z101" s="646"/>
      <c r="AA101" s="328">
        <f t="shared" si="10"/>
        <v>0</v>
      </c>
      <c r="AB101" s="298">
        <f t="shared" si="11"/>
        <v>0</v>
      </c>
      <c r="AC101" s="4"/>
      <c r="AD101" s="47"/>
      <c r="AE101" s="47"/>
      <c r="AF101" s="319"/>
      <c r="AG101" s="47"/>
      <c r="AH101" s="47"/>
      <c r="AI101" s="319"/>
      <c r="AJ101" s="328">
        <f t="shared" si="12"/>
        <v>0</v>
      </c>
      <c r="AK101" s="4"/>
      <c r="AL101" s="255"/>
      <c r="AM101" s="180"/>
      <c r="AN101" s="193"/>
      <c r="AO101" s="193"/>
      <c r="AP101" s="193"/>
      <c r="AQ101" s="193"/>
      <c r="AR101" s="193"/>
      <c r="AS101" s="193"/>
      <c r="AT101" s="180"/>
    </row>
    <row r="102" spans="1:46" ht="16.5" customHeight="1">
      <c r="A102" s="180"/>
      <c r="B102" s="422" t="s">
        <v>1078</v>
      </c>
      <c r="C102" s="47"/>
      <c r="D102" s="47"/>
      <c r="E102" s="319"/>
      <c r="F102" s="646"/>
      <c r="G102" s="4"/>
      <c r="H102" s="47"/>
      <c r="I102" s="47"/>
      <c r="J102" s="319"/>
      <c r="K102" s="646"/>
      <c r="L102" s="4"/>
      <c r="M102" s="47"/>
      <c r="N102" s="47"/>
      <c r="O102" s="319"/>
      <c r="P102" s="646"/>
      <c r="Q102" s="4"/>
      <c r="R102" s="47"/>
      <c r="S102" s="47"/>
      <c r="T102" s="319"/>
      <c r="U102" s="646"/>
      <c r="V102" s="4"/>
      <c r="W102" s="47"/>
      <c r="X102" s="47"/>
      <c r="Y102" s="319"/>
      <c r="Z102" s="646"/>
      <c r="AA102" s="328">
        <f t="shared" si="10"/>
        <v>0</v>
      </c>
      <c r="AB102" s="298">
        <f t="shared" si="11"/>
        <v>0</v>
      </c>
      <c r="AC102" s="4"/>
      <c r="AD102" s="47"/>
      <c r="AE102" s="47"/>
      <c r="AF102" s="319"/>
      <c r="AG102" s="47"/>
      <c r="AH102" s="47"/>
      <c r="AI102" s="319"/>
      <c r="AJ102" s="328">
        <f t="shared" si="12"/>
        <v>0</v>
      </c>
      <c r="AK102" s="4"/>
      <c r="AL102" s="255"/>
      <c r="AM102" s="180"/>
      <c r="AN102" s="193"/>
      <c r="AO102" s="193"/>
      <c r="AP102" s="193"/>
      <c r="AQ102" s="193"/>
      <c r="AR102" s="193"/>
      <c r="AS102" s="193"/>
      <c r="AT102" s="180"/>
    </row>
    <row r="103" spans="1:46" ht="16.5" customHeight="1">
      <c r="A103" s="180"/>
      <c r="B103" s="422" t="s">
        <v>1086</v>
      </c>
      <c r="C103" s="47"/>
      <c r="D103" s="47"/>
      <c r="E103" s="319"/>
      <c r="F103" s="646"/>
      <c r="G103" s="4"/>
      <c r="H103" s="47"/>
      <c r="I103" s="47"/>
      <c r="J103" s="319"/>
      <c r="K103" s="646"/>
      <c r="L103" s="4"/>
      <c r="M103" s="47"/>
      <c r="N103" s="47"/>
      <c r="O103" s="319"/>
      <c r="P103" s="646"/>
      <c r="Q103" s="4"/>
      <c r="R103" s="47"/>
      <c r="S103" s="47"/>
      <c r="T103" s="319"/>
      <c r="U103" s="646"/>
      <c r="V103" s="4"/>
      <c r="W103" s="47"/>
      <c r="X103" s="47"/>
      <c r="Y103" s="319"/>
      <c r="Z103" s="646"/>
      <c r="AA103" s="328">
        <f t="shared" si="10"/>
        <v>0</v>
      </c>
      <c r="AB103" s="298">
        <f t="shared" si="11"/>
        <v>0</v>
      </c>
      <c r="AC103" s="4"/>
      <c r="AD103" s="47"/>
      <c r="AE103" s="47"/>
      <c r="AF103" s="319"/>
      <c r="AG103" s="47"/>
      <c r="AH103" s="47"/>
      <c r="AI103" s="319"/>
      <c r="AJ103" s="328">
        <f t="shared" si="12"/>
        <v>0</v>
      </c>
      <c r="AK103" s="4"/>
      <c r="AL103" s="255"/>
      <c r="AM103" s="180"/>
      <c r="AN103" s="193"/>
      <c r="AO103" s="193"/>
      <c r="AP103" s="193"/>
      <c r="AQ103" s="193"/>
      <c r="AR103" s="193"/>
      <c r="AS103" s="193"/>
      <c r="AT103" s="180"/>
    </row>
    <row r="104" spans="1:46" ht="16.5" customHeight="1">
      <c r="A104" s="180"/>
      <c r="B104" s="422" t="s">
        <v>1087</v>
      </c>
      <c r="C104" s="47"/>
      <c r="D104" s="47"/>
      <c r="E104" s="319"/>
      <c r="F104" s="646"/>
      <c r="G104" s="4"/>
      <c r="H104" s="47"/>
      <c r="I104" s="47"/>
      <c r="J104" s="319"/>
      <c r="K104" s="646"/>
      <c r="L104" s="4"/>
      <c r="M104" s="47"/>
      <c r="N104" s="47"/>
      <c r="O104" s="319"/>
      <c r="P104" s="646"/>
      <c r="Q104" s="4"/>
      <c r="R104" s="47"/>
      <c r="S104" s="47"/>
      <c r="T104" s="319"/>
      <c r="U104" s="646"/>
      <c r="V104" s="4"/>
      <c r="W104" s="47"/>
      <c r="X104" s="47"/>
      <c r="Y104" s="319"/>
      <c r="Z104" s="646"/>
      <c r="AA104" s="328">
        <f t="shared" si="10"/>
        <v>0</v>
      </c>
      <c r="AB104" s="298">
        <f t="shared" si="11"/>
        <v>0</v>
      </c>
      <c r="AC104" s="4"/>
      <c r="AD104" s="47"/>
      <c r="AE104" s="47"/>
      <c r="AF104" s="319"/>
      <c r="AG104" s="47"/>
      <c r="AH104" s="47"/>
      <c r="AI104" s="319"/>
      <c r="AJ104" s="328">
        <f t="shared" si="12"/>
        <v>0</v>
      </c>
      <c r="AK104" s="4"/>
      <c r="AL104" s="255"/>
      <c r="AM104" s="180"/>
      <c r="AN104" s="193"/>
      <c r="AO104" s="193"/>
      <c r="AP104" s="193"/>
      <c r="AQ104" s="193"/>
      <c r="AR104" s="193"/>
      <c r="AS104" s="193"/>
      <c r="AT104" s="180"/>
    </row>
    <row r="105" spans="1:46" ht="16.5" customHeight="1">
      <c r="A105" s="180"/>
      <c r="B105" s="64" t="s">
        <v>61</v>
      </c>
      <c r="C105" s="31"/>
      <c r="D105" s="31"/>
      <c r="E105" s="439"/>
      <c r="F105" s="646">
        <f>SUM(F82:F104)</f>
        <v>0</v>
      </c>
      <c r="G105" s="31"/>
      <c r="H105" s="31"/>
      <c r="I105" s="31"/>
      <c r="J105" s="439"/>
      <c r="K105" s="646">
        <f>SUM(K82:K104)</f>
        <v>0</v>
      </c>
      <c r="L105" s="31"/>
      <c r="M105" s="31"/>
      <c r="N105" s="31"/>
      <c r="O105" s="439">
        <f>SUM(O82:O104)</f>
        <v>0</v>
      </c>
      <c r="P105" s="646">
        <f>SUM(P82:P104)</f>
        <v>0</v>
      </c>
      <c r="Q105" s="31"/>
      <c r="R105" s="31"/>
      <c r="S105" s="31"/>
      <c r="T105" s="439">
        <f>SUM(T82:T104)</f>
        <v>30</v>
      </c>
      <c r="U105" s="646">
        <f>SUM(U82:U104)</f>
        <v>0</v>
      </c>
      <c r="V105" s="31"/>
      <c r="W105" s="31"/>
      <c r="X105" s="31"/>
      <c r="Y105" s="439">
        <f>SUM(Y82:Y104)</f>
        <v>32</v>
      </c>
      <c r="Z105" s="646">
        <f>SUM(Z82:Z104)</f>
        <v>4</v>
      </c>
      <c r="AA105" s="370">
        <f>SUM(AA82:AA104)</f>
        <v>144</v>
      </c>
      <c r="AB105" s="370">
        <f>SUM(AB82:AB104)</f>
        <v>4</v>
      </c>
      <c r="AC105" s="4"/>
      <c r="AD105" s="64"/>
      <c r="AE105" s="64"/>
      <c r="AF105" s="370">
        <f>SUM(AF82:AF104)</f>
        <v>15</v>
      </c>
      <c r="AG105" s="64"/>
      <c r="AH105" s="64"/>
      <c r="AI105" s="370">
        <f>SUM(AI82:AI104)</f>
        <v>15</v>
      </c>
      <c r="AJ105" s="370">
        <f>SUM(AJ82:AJ104)</f>
        <v>15</v>
      </c>
      <c r="AK105" s="4"/>
      <c r="AL105" s="255"/>
      <c r="AM105" s="180"/>
      <c r="AN105" s="407"/>
      <c r="AO105" s="193"/>
      <c r="AP105" s="193"/>
      <c r="AQ105" s="193"/>
      <c r="AR105" s="193"/>
      <c r="AS105" s="193"/>
      <c r="AT105" s="180"/>
    </row>
    <row r="106" spans="1:46" ht="16.5" customHeight="1">
      <c r="A106" s="180"/>
      <c r="B106" s="63" t="s">
        <v>146</v>
      </c>
      <c r="C106" s="47"/>
      <c r="D106" s="47"/>
      <c r="E106" s="319">
        <v>8</v>
      </c>
      <c r="F106" s="346"/>
      <c r="G106" s="613"/>
      <c r="H106" s="47"/>
      <c r="I106" s="47"/>
      <c r="J106" s="319">
        <v>8</v>
      </c>
      <c r="K106" s="346"/>
      <c r="L106" s="60"/>
      <c r="M106" s="47"/>
      <c r="N106" s="47"/>
      <c r="O106" s="319">
        <v>0</v>
      </c>
      <c r="P106" s="346"/>
      <c r="Q106" s="60"/>
      <c r="R106" s="47"/>
      <c r="S106" s="47"/>
      <c r="T106" s="319">
        <v>8</v>
      </c>
      <c r="U106" s="346"/>
      <c r="V106" s="60"/>
      <c r="W106" s="47"/>
      <c r="X106" s="47"/>
      <c r="Y106" s="319">
        <v>8</v>
      </c>
      <c r="Z106" s="346"/>
      <c r="AA106" s="28">
        <f>SUM(E106+J106+O106+T106+Y106)</f>
        <v>32</v>
      </c>
      <c r="AB106" s="296">
        <f>Z106+U106+P106+K106+F106</f>
        <v>0</v>
      </c>
      <c r="AC106" s="4"/>
      <c r="AD106" s="47" t="s">
        <v>29</v>
      </c>
      <c r="AE106" s="47" t="s">
        <v>29</v>
      </c>
      <c r="AF106" s="319"/>
      <c r="AG106" s="47" t="s">
        <v>29</v>
      </c>
      <c r="AH106" s="47" t="s">
        <v>29</v>
      </c>
      <c r="AI106" s="319"/>
      <c r="AJ106" s="29">
        <f>AI106</f>
        <v>0</v>
      </c>
      <c r="AK106" s="4"/>
      <c r="AL106" s="255"/>
      <c r="AM106" s="180"/>
      <c r="AN106" s="407"/>
      <c r="AO106" s="193"/>
      <c r="AP106" s="193"/>
      <c r="AQ106" s="193"/>
      <c r="AR106" s="193"/>
      <c r="AS106" s="193"/>
      <c r="AT106" s="180"/>
    </row>
    <row r="107" spans="1:46" ht="16.5" customHeight="1">
      <c r="A107" s="180"/>
      <c r="B107" s="71" t="s">
        <v>66</v>
      </c>
      <c r="C107" s="371"/>
      <c r="D107" s="371"/>
      <c r="E107" s="71"/>
      <c r="F107" s="613"/>
      <c r="G107" s="71"/>
      <c r="H107" s="71"/>
      <c r="I107" s="71"/>
      <c r="J107" s="71"/>
      <c r="K107" s="613"/>
      <c r="L107" s="71"/>
      <c r="M107" s="71"/>
      <c r="N107" s="71"/>
      <c r="O107" s="71"/>
      <c r="P107" s="613"/>
      <c r="Q107" s="71"/>
      <c r="R107" s="71"/>
      <c r="S107" s="71"/>
      <c r="T107" s="71"/>
      <c r="U107" s="613"/>
      <c r="V107" s="71"/>
      <c r="W107" s="71"/>
      <c r="X107" s="71"/>
      <c r="Y107" s="71"/>
      <c r="Z107" s="613"/>
      <c r="AA107" s="370">
        <f>SUM(AA106:AA106)</f>
        <v>32</v>
      </c>
      <c r="AB107" s="370">
        <f>SUM(AB106:AB106)</f>
        <v>0</v>
      </c>
      <c r="AC107" s="4"/>
      <c r="AD107" s="180"/>
      <c r="AE107" s="180"/>
      <c r="AF107" s="180"/>
      <c r="AG107" s="180"/>
      <c r="AH107" s="180"/>
      <c r="AI107" s="180"/>
      <c r="AJ107" s="370">
        <f>SUM(AJ106:AJ106)</f>
        <v>0</v>
      </c>
      <c r="AK107" s="4"/>
      <c r="AL107" s="255"/>
      <c r="AM107" s="180"/>
      <c r="AN107" s="193"/>
      <c r="AO107" s="193"/>
      <c r="AP107" s="193"/>
      <c r="AQ107" s="193"/>
      <c r="AR107" s="193"/>
      <c r="AS107" s="193"/>
      <c r="AT107" s="180"/>
    </row>
    <row r="108" spans="1:46" ht="16.5" customHeight="1">
      <c r="A108" s="180"/>
      <c r="B108" s="217" t="s">
        <v>67</v>
      </c>
      <c r="C108" s="207">
        <v>54</v>
      </c>
      <c r="D108" s="207"/>
      <c r="E108" s="209"/>
      <c r="F108" s="209"/>
      <c r="G108" s="207"/>
      <c r="H108" s="209"/>
      <c r="I108" s="209"/>
      <c r="J108" s="209"/>
      <c r="K108" s="209"/>
      <c r="L108" s="207"/>
      <c r="M108" s="207"/>
      <c r="N108" s="207"/>
      <c r="O108" s="207"/>
      <c r="P108" s="209"/>
      <c r="Q108" s="207"/>
      <c r="R108" s="207"/>
      <c r="S108" s="207"/>
      <c r="T108" s="207"/>
      <c r="U108" s="209"/>
      <c r="V108" s="207"/>
      <c r="W108" s="207"/>
      <c r="X108" s="207"/>
      <c r="Y108" s="210"/>
      <c r="Z108" s="209"/>
      <c r="AA108" s="211"/>
      <c r="AB108" s="209"/>
      <c r="AC108" s="211"/>
      <c r="AD108" s="211"/>
      <c r="AE108" s="211"/>
      <c r="AF108" s="211"/>
      <c r="AG108" s="211"/>
      <c r="AH108" s="211"/>
      <c r="AI108" s="211"/>
      <c r="AJ108" s="211"/>
      <c r="AK108" s="4"/>
      <c r="AL108" s="255"/>
      <c r="AM108" s="180"/>
      <c r="AN108" s="193"/>
      <c r="AO108" s="193"/>
      <c r="AP108" s="193"/>
      <c r="AQ108" s="193"/>
      <c r="AR108" s="193"/>
      <c r="AS108" s="193"/>
      <c r="AT108" s="180"/>
    </row>
    <row r="109" spans="1:46" ht="16.5" customHeight="1">
      <c r="A109" s="180"/>
      <c r="B109" s="238" t="s">
        <v>68</v>
      </c>
      <c r="C109" s="239">
        <v>54</v>
      </c>
      <c r="D109" s="207"/>
      <c r="E109" s="209"/>
      <c r="F109" s="209"/>
      <c r="G109" s="207"/>
      <c r="H109" s="209"/>
      <c r="I109" s="209"/>
      <c r="J109" s="209"/>
      <c r="K109" s="209"/>
      <c r="L109" s="207"/>
      <c r="M109" s="207"/>
      <c r="N109" s="207"/>
      <c r="O109" s="207"/>
      <c r="P109" s="209"/>
      <c r="Q109" s="207"/>
      <c r="R109" s="207"/>
      <c r="S109" s="207"/>
      <c r="T109" s="207"/>
      <c r="U109" s="209"/>
      <c r="V109" s="207"/>
      <c r="W109" s="207"/>
      <c r="X109" s="207"/>
      <c r="Y109" s="210"/>
      <c r="Z109" s="209"/>
      <c r="AA109" s="211"/>
      <c r="AB109" s="209"/>
      <c r="AC109" s="211"/>
      <c r="AD109" s="211"/>
      <c r="AE109" s="211"/>
      <c r="AF109" s="211"/>
      <c r="AG109" s="211"/>
      <c r="AH109" s="211"/>
      <c r="AI109" s="211"/>
      <c r="AJ109" s="211"/>
      <c r="AK109" s="4"/>
      <c r="AL109" s="255"/>
      <c r="AM109" s="180"/>
      <c r="AN109" s="193"/>
      <c r="AO109" s="193"/>
      <c r="AP109" s="193"/>
      <c r="AQ109" s="193"/>
      <c r="AR109" s="193"/>
      <c r="AS109" s="193"/>
      <c r="AT109" s="180"/>
    </row>
    <row r="110" spans="1:46" ht="16.5" customHeight="1">
      <c r="A110" s="180"/>
      <c r="B110" s="238" t="s">
        <v>69</v>
      </c>
      <c r="C110" s="239">
        <v>0</v>
      </c>
      <c r="D110" s="207"/>
      <c r="E110" s="209"/>
      <c r="F110" s="209"/>
      <c r="G110" s="207"/>
      <c r="H110" s="209"/>
      <c r="I110" s="209"/>
      <c r="J110" s="209"/>
      <c r="K110" s="209"/>
      <c r="L110" s="207"/>
      <c r="M110" s="207"/>
      <c r="N110" s="207"/>
      <c r="O110" s="207"/>
      <c r="P110" s="209"/>
      <c r="Q110" s="207"/>
      <c r="R110" s="207"/>
      <c r="S110" s="207"/>
      <c r="T110" s="207"/>
      <c r="U110" s="209"/>
      <c r="V110" s="207"/>
      <c r="W110" s="207"/>
      <c r="X110" s="207"/>
      <c r="Y110" s="210"/>
      <c r="Z110" s="209"/>
      <c r="AA110" s="211"/>
      <c r="AB110" s="209"/>
      <c r="AC110" s="211"/>
      <c r="AD110" s="211"/>
      <c r="AE110" s="211"/>
      <c r="AF110" s="211"/>
      <c r="AG110" s="211"/>
      <c r="AH110" s="211"/>
      <c r="AI110" s="211"/>
      <c r="AJ110" s="211"/>
      <c r="AK110" s="4"/>
      <c r="AL110" s="255"/>
      <c r="AM110" s="180"/>
      <c r="AN110" s="193"/>
      <c r="AO110" s="193"/>
      <c r="AP110" s="193"/>
      <c r="AQ110" s="193"/>
      <c r="AR110" s="193"/>
      <c r="AS110" s="193"/>
      <c r="AT110" s="180"/>
    </row>
    <row r="111" spans="1:46" ht="16.5" customHeight="1">
      <c r="A111" s="313"/>
      <c r="B111" s="180"/>
      <c r="C111" s="180"/>
      <c r="D111" s="180"/>
      <c r="E111" s="4"/>
      <c r="F111" s="644"/>
      <c r="G111" s="4"/>
      <c r="H111" s="180"/>
      <c r="I111" s="180"/>
      <c r="J111" s="4"/>
      <c r="K111" s="644"/>
      <c r="L111" s="4"/>
      <c r="M111" s="180"/>
      <c r="N111" s="180"/>
      <c r="O111" s="4"/>
      <c r="P111" s="644"/>
      <c r="Q111" s="4"/>
      <c r="R111" s="180"/>
      <c r="S111" s="180"/>
      <c r="T111" s="4"/>
      <c r="U111" s="644"/>
      <c r="V111" s="4"/>
      <c r="W111" s="180"/>
      <c r="X111" s="180"/>
      <c r="Y111" s="4"/>
      <c r="Z111" s="644"/>
      <c r="AA111" s="4"/>
      <c r="AB111" s="4"/>
      <c r="AC111" s="4"/>
      <c r="AD111" s="180"/>
      <c r="AE111" s="180"/>
      <c r="AF111" s="180"/>
      <c r="AG111" s="180"/>
      <c r="AH111" s="180"/>
      <c r="AI111" s="180"/>
      <c r="AJ111" s="180"/>
      <c r="AK111" s="4"/>
      <c r="AL111" s="255"/>
      <c r="AM111" s="180"/>
      <c r="AN111" s="193"/>
      <c r="AO111" s="193"/>
      <c r="AP111" s="193"/>
      <c r="AQ111" s="193"/>
      <c r="AR111" s="193"/>
      <c r="AS111" s="193"/>
      <c r="AT111" s="180"/>
    </row>
    <row r="112" spans="1:46" ht="16.5" customHeight="1">
      <c r="A112" s="180"/>
      <c r="B112" s="229"/>
      <c r="C112" s="230"/>
      <c r="D112" s="230"/>
      <c r="E112" s="232"/>
      <c r="F112" s="232"/>
      <c r="G112" s="230"/>
      <c r="H112" s="232"/>
      <c r="I112" s="232"/>
      <c r="J112" s="232"/>
      <c r="K112" s="232"/>
      <c r="L112" s="230"/>
      <c r="M112" s="230"/>
      <c r="N112" s="230"/>
      <c r="O112" s="230"/>
      <c r="P112" s="232"/>
      <c r="Q112" s="230"/>
      <c r="R112" s="230"/>
      <c r="S112" s="230"/>
      <c r="T112" s="230"/>
      <c r="U112" s="232"/>
      <c r="V112" s="230"/>
      <c r="W112" s="230"/>
      <c r="X112" s="230"/>
      <c r="Y112" s="233"/>
      <c r="Z112" s="232"/>
      <c r="AA112" s="234"/>
      <c r="AB112" s="232"/>
      <c r="AC112" s="373"/>
      <c r="AD112" s="236"/>
      <c r="AE112" s="255"/>
      <c r="AF112" s="255"/>
      <c r="AG112" s="236"/>
      <c r="AH112" s="255"/>
      <c r="AI112" s="255"/>
      <c r="AJ112" s="255"/>
      <c r="AK112" s="255"/>
      <c r="AL112" s="255"/>
      <c r="AM112" s="255"/>
      <c r="AN112" s="255"/>
      <c r="AO112" s="255"/>
      <c r="AP112" s="255"/>
      <c r="AQ112" s="255"/>
      <c r="AR112" s="255"/>
      <c r="AS112" s="255"/>
      <c r="AT112" s="255"/>
    </row>
    <row r="113" spans="1:46" ht="16.5" customHeight="1">
      <c r="A113" s="313"/>
      <c r="B113" s="180"/>
      <c r="C113" s="180"/>
      <c r="D113" s="180"/>
      <c r="E113" s="4"/>
      <c r="F113" s="644"/>
      <c r="G113" s="4"/>
      <c r="H113" s="180"/>
      <c r="I113" s="180"/>
      <c r="J113" s="4"/>
      <c r="K113" s="644"/>
      <c r="L113" s="4"/>
      <c r="M113" s="180"/>
      <c r="N113" s="180"/>
      <c r="O113" s="4"/>
      <c r="P113" s="644"/>
      <c r="Q113" s="4"/>
      <c r="R113" s="180"/>
      <c r="S113" s="180"/>
      <c r="T113" s="4"/>
      <c r="U113" s="644"/>
      <c r="V113" s="4"/>
      <c r="W113" s="180"/>
      <c r="X113" s="180"/>
      <c r="Y113" s="4"/>
      <c r="Z113" s="644"/>
      <c r="AA113" s="4"/>
      <c r="AB113" s="4"/>
      <c r="AC113" s="4"/>
      <c r="AD113" s="180"/>
      <c r="AE113" s="180"/>
      <c r="AF113" s="180"/>
      <c r="AG113" s="180"/>
      <c r="AH113" s="180"/>
      <c r="AI113" s="180"/>
      <c r="AJ113" s="180"/>
      <c r="AK113" s="4"/>
      <c r="AL113" s="255"/>
      <c r="AM113" s="180"/>
      <c r="AN113" s="180"/>
      <c r="AO113" s="180"/>
      <c r="AP113" s="180"/>
      <c r="AQ113" s="180"/>
      <c r="AR113" s="180"/>
      <c r="AS113" s="180"/>
      <c r="AT113" s="180"/>
    </row>
    <row r="114" spans="1:46" ht="16.5" customHeight="1">
      <c r="A114" s="228"/>
      <c r="B114" s="1518" t="s">
        <v>18</v>
      </c>
      <c r="C114" s="1519">
        <v>45656</v>
      </c>
      <c r="D114" s="1519"/>
      <c r="E114" s="1519"/>
      <c r="F114" s="1519"/>
      <c r="G114" s="1519">
        <v>45657</v>
      </c>
      <c r="H114" s="1519">
        <v>45566</v>
      </c>
      <c r="I114" s="1519"/>
      <c r="J114" s="1519"/>
      <c r="K114" s="1519">
        <v>45658</v>
      </c>
      <c r="L114" s="1519"/>
      <c r="M114" s="1519"/>
      <c r="N114" s="1519"/>
      <c r="O114" s="1519">
        <v>45659</v>
      </c>
      <c r="P114" s="1519"/>
      <c r="Q114" s="1519"/>
      <c r="R114" s="1519">
        <v>45568</v>
      </c>
      <c r="S114" s="1519">
        <v>45660</v>
      </c>
      <c r="T114" s="1519"/>
      <c r="U114" s="1519"/>
      <c r="V114" s="1519"/>
      <c r="W114" s="1519">
        <v>45661</v>
      </c>
      <c r="X114" s="1519"/>
      <c r="Y114" s="1519"/>
      <c r="Z114" s="1519"/>
      <c r="AA114" s="1517" t="s">
        <v>19</v>
      </c>
      <c r="AB114" s="1517" t="s">
        <v>20</v>
      </c>
      <c r="AC114" s="4"/>
      <c r="AD114" s="1519">
        <v>45662</v>
      </c>
      <c r="AE114" s="1519"/>
      <c r="AF114" s="1519"/>
      <c r="AG114" s="1519">
        <v>45663</v>
      </c>
      <c r="AH114" s="1519"/>
      <c r="AI114" s="1519"/>
      <c r="AJ114" s="1517" t="s">
        <v>21</v>
      </c>
      <c r="AK114" s="4"/>
      <c r="AL114" s="368"/>
      <c r="AM114" s="180"/>
      <c r="AN114" s="194" t="s">
        <v>84</v>
      </c>
      <c r="AO114" s="366"/>
      <c r="AP114" s="366"/>
      <c r="AQ114" s="366"/>
      <c r="AR114" s="366"/>
      <c r="AS114" s="366"/>
      <c r="AT114" s="180"/>
    </row>
    <row r="115" spans="1:46" ht="16.5" customHeight="1">
      <c r="A115" s="180"/>
      <c r="B115" s="1518"/>
      <c r="C115" s="21" t="s">
        <v>23</v>
      </c>
      <c r="D115" s="21" t="s">
        <v>24</v>
      </c>
      <c r="E115" s="205" t="s">
        <v>25</v>
      </c>
      <c r="F115" s="645" t="s">
        <v>14</v>
      </c>
      <c r="G115" s="4"/>
      <c r="H115" s="21" t="s">
        <v>23</v>
      </c>
      <c r="I115" s="21" t="s">
        <v>24</v>
      </c>
      <c r="J115" s="18" t="s">
        <v>25</v>
      </c>
      <c r="K115" s="645" t="s">
        <v>14</v>
      </c>
      <c r="L115" s="4"/>
      <c r="M115" s="21" t="s">
        <v>23</v>
      </c>
      <c r="N115" s="21" t="s">
        <v>24</v>
      </c>
      <c r="O115" s="18" t="s">
        <v>25</v>
      </c>
      <c r="P115" s="645" t="s">
        <v>14</v>
      </c>
      <c r="Q115" s="4"/>
      <c r="R115" s="21" t="s">
        <v>23</v>
      </c>
      <c r="S115" s="21" t="s">
        <v>24</v>
      </c>
      <c r="T115" s="18" t="s">
        <v>25</v>
      </c>
      <c r="U115" s="645" t="s">
        <v>14</v>
      </c>
      <c r="V115" s="4"/>
      <c r="W115" s="21" t="s">
        <v>23</v>
      </c>
      <c r="X115" s="21" t="s">
        <v>24</v>
      </c>
      <c r="Y115" s="18" t="s">
        <v>25</v>
      </c>
      <c r="Z115" s="645" t="s">
        <v>14</v>
      </c>
      <c r="AA115" s="1517"/>
      <c r="AB115" s="1517"/>
      <c r="AC115" s="4"/>
      <c r="AD115" s="21" t="s">
        <v>23</v>
      </c>
      <c r="AE115" s="21" t="s">
        <v>24</v>
      </c>
      <c r="AF115" s="18" t="s">
        <v>25</v>
      </c>
      <c r="AG115" s="21" t="s">
        <v>23</v>
      </c>
      <c r="AH115" s="21" t="s">
        <v>24</v>
      </c>
      <c r="AI115" s="18" t="s">
        <v>25</v>
      </c>
      <c r="AJ115" s="1517"/>
      <c r="AK115" s="4"/>
      <c r="AL115" s="368"/>
      <c r="AM115" s="367"/>
      <c r="AN115" s="691" t="s">
        <v>26</v>
      </c>
      <c r="AO115" s="196">
        <f>AA139</f>
        <v>289</v>
      </c>
      <c r="AP115" s="510">
        <v>39.14</v>
      </c>
      <c r="AQ115" s="510">
        <f t="shared" ref="AQ115:AQ121" si="13">AO115*AP115</f>
        <v>11311.460000000001</v>
      </c>
      <c r="AR115" s="193"/>
      <c r="AS115" s="193"/>
      <c r="AT115" s="367"/>
    </row>
    <row r="116" spans="1:46" ht="16.5" customHeight="1">
      <c r="A116" s="180"/>
      <c r="B116" s="422" t="s">
        <v>1055</v>
      </c>
      <c r="C116" s="5" t="s">
        <v>1056</v>
      </c>
      <c r="D116" s="5" t="s">
        <v>1057</v>
      </c>
      <c r="E116" s="319">
        <v>8</v>
      </c>
      <c r="F116" s="646"/>
      <c r="G116" s="4"/>
      <c r="H116" s="5" t="s">
        <v>1056</v>
      </c>
      <c r="I116" s="5" t="s">
        <v>1090</v>
      </c>
      <c r="J116" s="319">
        <v>8</v>
      </c>
      <c r="K116" s="646">
        <v>1</v>
      </c>
      <c r="L116" s="4"/>
      <c r="M116" s="5">
        <v>0</v>
      </c>
      <c r="N116" s="5">
        <v>0</v>
      </c>
      <c r="O116" s="319">
        <v>0</v>
      </c>
      <c r="P116" s="646"/>
      <c r="Q116" s="4"/>
      <c r="R116" s="5" t="s">
        <v>1056</v>
      </c>
      <c r="S116" s="5" t="s">
        <v>1090</v>
      </c>
      <c r="T116" s="319">
        <v>8</v>
      </c>
      <c r="U116" s="646">
        <v>1</v>
      </c>
      <c r="V116" s="4"/>
      <c r="W116" s="5" t="s">
        <v>1056</v>
      </c>
      <c r="X116" s="5" t="s">
        <v>1090</v>
      </c>
      <c r="Y116" s="319">
        <v>8</v>
      </c>
      <c r="Z116" s="646">
        <v>1</v>
      </c>
      <c r="AA116" s="328">
        <f t="shared" ref="AA116:AA138" si="14">(E116+J116+O116+T116+Y116)</f>
        <v>32</v>
      </c>
      <c r="AB116" s="298">
        <f t="shared" ref="AB116:AB138" si="15">Z116+U116+P116+K116+F116</f>
        <v>3</v>
      </c>
      <c r="AC116" s="4"/>
      <c r="AD116" s="587" t="s">
        <v>1058</v>
      </c>
      <c r="AE116" s="698" t="s">
        <v>1057</v>
      </c>
      <c r="AF116" s="319">
        <v>7</v>
      </c>
      <c r="AG116" s="587"/>
      <c r="AH116" s="531"/>
      <c r="AI116" s="319"/>
      <c r="AJ116" s="328">
        <f t="shared" ref="AJ116:AJ138" si="16">AI116</f>
        <v>0</v>
      </c>
      <c r="AK116" s="4"/>
      <c r="AL116" s="368"/>
      <c r="AM116" s="367"/>
      <c r="AN116" s="691" t="s">
        <v>30</v>
      </c>
      <c r="AO116" s="196">
        <f>AB139</f>
        <v>33.5</v>
      </c>
      <c r="AP116" s="511">
        <f>AP115*1.5</f>
        <v>58.71</v>
      </c>
      <c r="AQ116" s="510">
        <f t="shared" si="13"/>
        <v>1966.7850000000001</v>
      </c>
      <c r="AR116" s="193"/>
      <c r="AS116" s="193"/>
      <c r="AT116" s="367"/>
    </row>
    <row r="117" spans="1:46" ht="16.5" customHeight="1">
      <c r="A117" s="367"/>
      <c r="B117" s="699" t="s">
        <v>1059</v>
      </c>
      <c r="C117" s="47">
        <v>0</v>
      </c>
      <c r="D117" s="47">
        <v>0</v>
      </c>
      <c r="E117" s="319">
        <v>0</v>
      </c>
      <c r="F117" s="646"/>
      <c r="G117" s="4"/>
      <c r="H117" s="47">
        <v>0</v>
      </c>
      <c r="I117" s="47">
        <v>0</v>
      </c>
      <c r="J117" s="319">
        <v>0</v>
      </c>
      <c r="K117" s="646"/>
      <c r="L117" s="4"/>
      <c r="M117" s="47">
        <v>0</v>
      </c>
      <c r="N117" s="47">
        <v>0</v>
      </c>
      <c r="O117" s="319">
        <v>0</v>
      </c>
      <c r="P117" s="646"/>
      <c r="Q117" s="4"/>
      <c r="R117" s="47" t="s">
        <v>1056</v>
      </c>
      <c r="S117" s="47" t="s">
        <v>1081</v>
      </c>
      <c r="T117" s="319">
        <v>8</v>
      </c>
      <c r="U117" s="646">
        <v>2</v>
      </c>
      <c r="V117" s="4"/>
      <c r="W117" s="47" t="s">
        <v>1056</v>
      </c>
      <c r="X117" s="47" t="s">
        <v>1090</v>
      </c>
      <c r="Y117" s="319">
        <v>8</v>
      </c>
      <c r="Z117" s="646">
        <v>1</v>
      </c>
      <c r="AA117" s="328">
        <f t="shared" si="14"/>
        <v>16</v>
      </c>
      <c r="AB117" s="298">
        <f t="shared" si="15"/>
        <v>3</v>
      </c>
      <c r="AC117" s="4"/>
      <c r="AD117" s="180"/>
      <c r="AE117" s="180"/>
      <c r="AF117" s="319"/>
      <c r="AG117" s="180"/>
      <c r="AH117" s="180"/>
      <c r="AI117" s="319"/>
      <c r="AJ117" s="328">
        <f t="shared" si="16"/>
        <v>0</v>
      </c>
      <c r="AK117" s="175"/>
      <c r="AL117" s="402"/>
      <c r="AM117" s="367"/>
      <c r="AN117" s="691" t="s">
        <v>32</v>
      </c>
      <c r="AO117" s="196">
        <f>AJ139</f>
        <v>8</v>
      </c>
      <c r="AP117" s="510">
        <v>58.71</v>
      </c>
      <c r="AQ117" s="510">
        <f t="shared" si="13"/>
        <v>469.68</v>
      </c>
      <c r="AR117" s="193"/>
      <c r="AS117" s="193"/>
      <c r="AT117" s="367"/>
    </row>
    <row r="118" spans="1:46" ht="16.5" customHeight="1">
      <c r="A118" s="367"/>
      <c r="B118" s="422" t="s">
        <v>1060</v>
      </c>
      <c r="C118" s="5" t="s">
        <v>1056</v>
      </c>
      <c r="D118" s="5" t="s">
        <v>1057</v>
      </c>
      <c r="E118" s="319">
        <v>8</v>
      </c>
      <c r="F118" s="646"/>
      <c r="G118" s="4"/>
      <c r="H118" s="47" t="s">
        <v>1056</v>
      </c>
      <c r="I118" s="47" t="s">
        <v>1057</v>
      </c>
      <c r="J118" s="319">
        <v>8</v>
      </c>
      <c r="K118" s="646"/>
      <c r="L118" s="4"/>
      <c r="M118" s="47">
        <v>0</v>
      </c>
      <c r="N118" s="47">
        <v>0</v>
      </c>
      <c r="O118" s="319">
        <v>0</v>
      </c>
      <c r="P118" s="646"/>
      <c r="Q118" s="4"/>
      <c r="R118" s="47" t="s">
        <v>1056</v>
      </c>
      <c r="S118" s="47" t="s">
        <v>1092</v>
      </c>
      <c r="T118" s="319">
        <v>8</v>
      </c>
      <c r="U118" s="646">
        <v>0.5</v>
      </c>
      <c r="V118" s="4"/>
      <c r="W118" s="47" t="s">
        <v>1056</v>
      </c>
      <c r="X118" s="47" t="s">
        <v>1090</v>
      </c>
      <c r="Y118" s="319">
        <v>8</v>
      </c>
      <c r="Z118" s="646">
        <v>1</v>
      </c>
      <c r="AA118" s="328">
        <f t="shared" si="14"/>
        <v>32</v>
      </c>
      <c r="AB118" s="298">
        <f t="shared" si="15"/>
        <v>1.5</v>
      </c>
      <c r="AC118" s="175"/>
      <c r="AD118" s="47"/>
      <c r="AE118" s="47"/>
      <c r="AF118" s="319"/>
      <c r="AG118" s="47"/>
      <c r="AH118" s="47"/>
      <c r="AI118" s="319"/>
      <c r="AJ118" s="328">
        <f t="shared" si="16"/>
        <v>0</v>
      </c>
      <c r="AK118" s="175"/>
      <c r="AL118" s="255"/>
      <c r="AM118" s="401"/>
      <c r="AN118" s="403" t="s">
        <v>213</v>
      </c>
      <c r="AO118" s="404">
        <f>AA141</f>
        <v>32</v>
      </c>
      <c r="AP118" s="510">
        <v>51.5</v>
      </c>
      <c r="AQ118" s="510">
        <f t="shared" si="13"/>
        <v>1648</v>
      </c>
      <c r="AR118" s="405"/>
      <c r="AS118" s="405"/>
      <c r="AT118" s="367"/>
    </row>
    <row r="119" spans="1:46" ht="16.5" customHeight="1">
      <c r="A119" s="367"/>
      <c r="B119" s="422" t="s">
        <v>1061</v>
      </c>
      <c r="C119" s="5" t="s">
        <v>1056</v>
      </c>
      <c r="D119" s="5" t="s">
        <v>1057</v>
      </c>
      <c r="E119" s="319">
        <v>8</v>
      </c>
      <c r="F119" s="646"/>
      <c r="G119" s="4"/>
      <c r="H119" s="47">
        <v>0</v>
      </c>
      <c r="I119" s="47">
        <v>0</v>
      </c>
      <c r="J119" s="319">
        <v>0</v>
      </c>
      <c r="K119" s="646"/>
      <c r="L119" s="4"/>
      <c r="M119" s="47">
        <v>0</v>
      </c>
      <c r="N119" s="47">
        <v>0</v>
      </c>
      <c r="O119" s="319">
        <v>0</v>
      </c>
      <c r="P119" s="646"/>
      <c r="Q119" s="4"/>
      <c r="R119" s="47" t="s">
        <v>1056</v>
      </c>
      <c r="S119" s="47" t="s">
        <v>1057</v>
      </c>
      <c r="T119" s="319">
        <v>8</v>
      </c>
      <c r="U119" s="646"/>
      <c r="V119" s="4"/>
      <c r="W119" s="47" t="s">
        <v>1056</v>
      </c>
      <c r="X119" s="47" t="s">
        <v>1081</v>
      </c>
      <c r="Y119" s="319">
        <v>8</v>
      </c>
      <c r="Z119" s="646">
        <v>1</v>
      </c>
      <c r="AA119" s="328">
        <f t="shared" si="14"/>
        <v>24</v>
      </c>
      <c r="AB119" s="298">
        <f t="shared" si="15"/>
        <v>1</v>
      </c>
      <c r="AC119" s="4"/>
      <c r="AD119" s="47"/>
      <c r="AE119" s="47"/>
      <c r="AF119" s="319"/>
      <c r="AG119" s="47"/>
      <c r="AH119" s="47"/>
      <c r="AI119" s="319"/>
      <c r="AJ119" s="328">
        <f t="shared" si="16"/>
        <v>0</v>
      </c>
      <c r="AK119" s="175"/>
      <c r="AL119" s="255"/>
      <c r="AM119" s="401"/>
      <c r="AN119" s="188" t="s">
        <v>36</v>
      </c>
      <c r="AO119" s="196">
        <f>AB141</f>
        <v>0</v>
      </c>
      <c r="AP119" s="510">
        <f>AP118*1.5</f>
        <v>77.25</v>
      </c>
      <c r="AQ119" s="510">
        <f t="shared" si="13"/>
        <v>0</v>
      </c>
      <c r="AR119" s="405"/>
      <c r="AS119" s="405"/>
      <c r="AT119" s="367"/>
    </row>
    <row r="120" spans="1:46" ht="16.5" customHeight="1">
      <c r="A120" s="367"/>
      <c r="B120" s="422" t="s">
        <v>1062</v>
      </c>
      <c r="C120" s="5" t="s">
        <v>1056</v>
      </c>
      <c r="D120" s="5" t="s">
        <v>1057</v>
      </c>
      <c r="E120" s="319">
        <v>8</v>
      </c>
      <c r="F120" s="646"/>
      <c r="G120" s="4"/>
      <c r="H120" s="5" t="s">
        <v>1056</v>
      </c>
      <c r="I120" s="5" t="s">
        <v>1093</v>
      </c>
      <c r="J120" s="319">
        <v>8</v>
      </c>
      <c r="K120" s="646">
        <v>6</v>
      </c>
      <c r="L120" s="4"/>
      <c r="M120" s="5">
        <v>0</v>
      </c>
      <c r="N120" s="5">
        <v>0</v>
      </c>
      <c r="O120" s="319">
        <v>0</v>
      </c>
      <c r="P120" s="646"/>
      <c r="Q120" s="4"/>
      <c r="R120" s="5" t="s">
        <v>1056</v>
      </c>
      <c r="S120" s="5" t="s">
        <v>1094</v>
      </c>
      <c r="T120" s="319">
        <v>8</v>
      </c>
      <c r="U120" s="646">
        <v>3</v>
      </c>
      <c r="V120" s="4"/>
      <c r="W120" s="5" t="s">
        <v>1056</v>
      </c>
      <c r="X120" s="5" t="s">
        <v>1090</v>
      </c>
      <c r="Y120" s="319">
        <v>8</v>
      </c>
      <c r="Z120" s="646">
        <v>1</v>
      </c>
      <c r="AA120" s="328">
        <f t="shared" si="14"/>
        <v>32</v>
      </c>
      <c r="AB120" s="298">
        <f t="shared" si="15"/>
        <v>10</v>
      </c>
      <c r="AC120" s="4"/>
      <c r="AD120" s="47"/>
      <c r="AE120" s="47"/>
      <c r="AF120" s="319"/>
      <c r="AG120" s="47"/>
      <c r="AH120" s="47"/>
      <c r="AI120" s="319"/>
      <c r="AJ120" s="328">
        <f t="shared" si="16"/>
        <v>0</v>
      </c>
      <c r="AK120" s="175"/>
      <c r="AL120" s="368"/>
      <c r="AM120" s="180"/>
      <c r="AN120" s="188" t="s">
        <v>38</v>
      </c>
      <c r="AO120" s="196">
        <f>AJ141</f>
        <v>8</v>
      </c>
      <c r="AP120" s="510">
        <v>77.25</v>
      </c>
      <c r="AQ120" s="510">
        <f t="shared" si="13"/>
        <v>618</v>
      </c>
      <c r="AR120" s="193"/>
      <c r="AS120" s="193"/>
      <c r="AT120" s="367"/>
    </row>
    <row r="121" spans="1:46" ht="16.5" customHeight="1" thickBot="1">
      <c r="A121" s="180"/>
      <c r="B121" s="422" t="s">
        <v>1063</v>
      </c>
      <c r="C121" s="47">
        <v>0</v>
      </c>
      <c r="D121" s="47">
        <v>0</v>
      </c>
      <c r="E121" s="319">
        <v>0</v>
      </c>
      <c r="F121" s="646"/>
      <c r="G121" s="4"/>
      <c r="H121" s="47">
        <v>0</v>
      </c>
      <c r="I121" s="47">
        <v>0</v>
      </c>
      <c r="J121" s="319">
        <v>0</v>
      </c>
      <c r="K121" s="646"/>
      <c r="L121" s="4"/>
      <c r="M121" s="47">
        <v>0</v>
      </c>
      <c r="N121" s="47">
        <v>0</v>
      </c>
      <c r="O121" s="319">
        <v>0</v>
      </c>
      <c r="P121" s="646"/>
      <c r="Q121" s="4">
        <v>0</v>
      </c>
      <c r="R121" s="1564">
        <v>0</v>
      </c>
      <c r="S121" s="1564"/>
      <c r="T121" s="319">
        <v>0</v>
      </c>
      <c r="U121" s="646"/>
      <c r="W121" s="663" t="s">
        <v>1056</v>
      </c>
      <c r="X121" t="s">
        <v>1090</v>
      </c>
      <c r="Y121" s="319">
        <v>0</v>
      </c>
      <c r="Z121" s="646"/>
      <c r="AA121" s="328">
        <f t="shared" si="14"/>
        <v>0</v>
      </c>
      <c r="AB121" s="298">
        <f t="shared" si="15"/>
        <v>0</v>
      </c>
      <c r="AC121" s="4"/>
      <c r="AD121" s="47"/>
      <c r="AE121" s="47"/>
      <c r="AF121" s="319"/>
      <c r="AG121" s="47"/>
      <c r="AH121" s="47"/>
      <c r="AI121" s="319"/>
      <c r="AJ121" s="328">
        <f t="shared" si="16"/>
        <v>0</v>
      </c>
      <c r="AK121" s="4"/>
      <c r="AL121" s="255"/>
      <c r="AM121" s="180"/>
      <c r="AN121" s="188" t="s">
        <v>41</v>
      </c>
      <c r="AO121" s="196">
        <f>C142</f>
        <v>54</v>
      </c>
      <c r="AP121" s="512">
        <v>46.35</v>
      </c>
      <c r="AQ121" s="512">
        <f t="shared" si="13"/>
        <v>2502.9</v>
      </c>
      <c r="AR121" s="193"/>
      <c r="AS121" s="193"/>
      <c r="AT121" s="367"/>
    </row>
    <row r="122" spans="1:46" ht="16.5" customHeight="1" thickTop="1">
      <c r="A122" s="180"/>
      <c r="B122" s="422" t="s">
        <v>1064</v>
      </c>
      <c r="C122" s="5" t="s">
        <v>1056</v>
      </c>
      <c r="D122" s="5" t="s">
        <v>1095</v>
      </c>
      <c r="E122" s="319">
        <v>8</v>
      </c>
      <c r="F122" s="646">
        <v>1</v>
      </c>
      <c r="G122" s="438"/>
      <c r="H122" s="1566" t="s">
        <v>1096</v>
      </c>
      <c r="I122" s="1566"/>
      <c r="J122" s="319">
        <v>8</v>
      </c>
      <c r="K122" s="646">
        <v>3</v>
      </c>
      <c r="L122" s="438"/>
      <c r="M122" s="1564">
        <v>0</v>
      </c>
      <c r="N122" s="1564"/>
      <c r="O122" s="319">
        <v>0</v>
      </c>
      <c r="P122" s="646"/>
      <c r="Q122" s="663"/>
      <c r="R122" s="663" t="s">
        <v>1056</v>
      </c>
      <c r="S122" s="313" t="s">
        <v>1095</v>
      </c>
      <c r="T122" s="319">
        <v>8</v>
      </c>
      <c r="U122" s="646">
        <v>3</v>
      </c>
      <c r="W122" s="663" t="s">
        <v>1056</v>
      </c>
      <c r="X122" t="s">
        <v>1090</v>
      </c>
      <c r="Y122" s="319">
        <v>8</v>
      </c>
      <c r="Z122" s="646">
        <v>1</v>
      </c>
      <c r="AA122" s="328">
        <f t="shared" si="14"/>
        <v>32</v>
      </c>
      <c r="AB122" s="298">
        <f t="shared" si="15"/>
        <v>8</v>
      </c>
      <c r="AC122" s="4"/>
      <c r="AD122" s="47" t="s">
        <v>1058</v>
      </c>
      <c r="AE122" s="47" t="s">
        <v>1090</v>
      </c>
      <c r="AF122" s="319">
        <v>8</v>
      </c>
      <c r="AG122" s="47"/>
      <c r="AH122" s="47"/>
      <c r="AI122" s="319"/>
      <c r="AJ122" s="328">
        <f t="shared" si="16"/>
        <v>0</v>
      </c>
      <c r="AK122" s="4"/>
      <c r="AL122" s="255"/>
      <c r="AM122" s="180"/>
      <c r="AN122" s="193"/>
      <c r="AO122" s="193"/>
      <c r="AP122" s="193"/>
      <c r="AQ122" s="510">
        <f>SUM(AQ115:AQ121)</f>
        <v>18516.825000000001</v>
      </c>
      <c r="AR122" s="193"/>
      <c r="AS122" s="193"/>
      <c r="AT122" s="367"/>
    </row>
    <row r="123" spans="1:46" ht="16.5" customHeight="1">
      <c r="A123" s="180"/>
      <c r="B123" s="422" t="s">
        <v>1065</v>
      </c>
      <c r="C123" s="5" t="s">
        <v>1056</v>
      </c>
      <c r="D123" s="5" t="s">
        <v>1090</v>
      </c>
      <c r="E123" s="319">
        <v>8</v>
      </c>
      <c r="F123" s="646"/>
      <c r="H123" s="694" t="s">
        <v>1058</v>
      </c>
      <c r="I123" s="5" t="s">
        <v>1057</v>
      </c>
      <c r="J123" s="319">
        <v>8</v>
      </c>
      <c r="K123" s="646"/>
      <c r="L123" s="438"/>
      <c r="M123" s="5">
        <v>0</v>
      </c>
      <c r="N123" s="5">
        <v>0</v>
      </c>
      <c r="O123" s="319">
        <v>0</v>
      </c>
      <c r="P123" s="646"/>
      <c r="Q123" s="438"/>
      <c r="R123" s="5" t="s">
        <v>1056</v>
      </c>
      <c r="S123" s="5" t="s">
        <v>1090</v>
      </c>
      <c r="T123" s="319">
        <v>8</v>
      </c>
      <c r="U123" s="646">
        <v>1</v>
      </c>
      <c r="V123" s="438"/>
      <c r="W123" s="5" t="s">
        <v>1084</v>
      </c>
      <c r="X123" s="5" t="s">
        <v>1090</v>
      </c>
      <c r="Y123" s="319">
        <v>8</v>
      </c>
      <c r="Z123" s="646">
        <v>1</v>
      </c>
      <c r="AA123" s="328">
        <f t="shared" si="14"/>
        <v>32</v>
      </c>
      <c r="AB123" s="298">
        <f t="shared" si="15"/>
        <v>2</v>
      </c>
      <c r="AC123" s="4"/>
      <c r="AD123" s="47"/>
      <c r="AE123" s="47"/>
      <c r="AF123" s="319"/>
      <c r="AG123" s="47"/>
      <c r="AH123" s="47"/>
      <c r="AI123" s="319"/>
      <c r="AJ123" s="328">
        <f t="shared" si="16"/>
        <v>0</v>
      </c>
      <c r="AK123" s="4"/>
      <c r="AL123" s="255"/>
      <c r="AM123" s="180"/>
      <c r="AN123" s="193"/>
      <c r="AO123" s="193"/>
      <c r="AP123" s="193"/>
      <c r="AQ123" s="193"/>
      <c r="AR123" s="193"/>
      <c r="AS123" s="193"/>
      <c r="AT123" s="367"/>
    </row>
    <row r="124" spans="1:46" ht="16.5" customHeight="1">
      <c r="A124" s="180"/>
      <c r="B124" s="693" t="s">
        <v>1066</v>
      </c>
      <c r="C124" s="5">
        <v>0</v>
      </c>
      <c r="D124" s="5">
        <v>0</v>
      </c>
      <c r="E124" s="319">
        <v>0</v>
      </c>
      <c r="F124" s="646"/>
      <c r="H124" s="694" t="s">
        <v>1058</v>
      </c>
      <c r="I124" s="5" t="s">
        <v>1057</v>
      </c>
      <c r="J124" s="319">
        <v>8</v>
      </c>
      <c r="K124" s="646"/>
      <c r="L124" s="438"/>
      <c r="M124" s="5">
        <v>0</v>
      </c>
      <c r="N124" s="5">
        <v>0</v>
      </c>
      <c r="O124" s="319">
        <v>0</v>
      </c>
      <c r="P124" s="646"/>
      <c r="Q124" s="438"/>
      <c r="R124" s="5" t="s">
        <v>1056</v>
      </c>
      <c r="S124" s="5" t="s">
        <v>1090</v>
      </c>
      <c r="T124" s="319">
        <v>8</v>
      </c>
      <c r="U124" s="646">
        <v>1</v>
      </c>
      <c r="V124" s="438"/>
      <c r="W124" s="5" t="s">
        <v>1056</v>
      </c>
      <c r="X124" s="5" t="s">
        <v>1090</v>
      </c>
      <c r="Y124" s="319">
        <v>8</v>
      </c>
      <c r="Z124" s="646">
        <v>1</v>
      </c>
      <c r="AA124" s="328">
        <f t="shared" si="14"/>
        <v>24</v>
      </c>
      <c r="AB124" s="298">
        <f t="shared" si="15"/>
        <v>2</v>
      </c>
      <c r="AC124" s="4"/>
      <c r="AD124" s="47"/>
      <c r="AE124" s="47"/>
      <c r="AF124" s="319"/>
      <c r="AG124" s="47"/>
      <c r="AH124" s="47"/>
      <c r="AI124" s="319"/>
      <c r="AJ124" s="328">
        <f t="shared" si="16"/>
        <v>0</v>
      </c>
      <c r="AK124" s="4"/>
      <c r="AL124" s="255"/>
      <c r="AM124" s="180"/>
      <c r="AN124" s="193"/>
      <c r="AO124" s="193"/>
      <c r="AP124" s="193"/>
      <c r="AQ124" s="193"/>
      <c r="AR124" s="193"/>
      <c r="AS124" s="193"/>
      <c r="AT124" s="180"/>
    </row>
    <row r="125" spans="1:46" ht="16.5" customHeight="1">
      <c r="A125" s="180"/>
      <c r="B125" s="678" t="s">
        <v>1097</v>
      </c>
      <c r="C125" s="5">
        <v>0</v>
      </c>
      <c r="D125" s="5">
        <v>0</v>
      </c>
      <c r="E125" s="319">
        <v>0</v>
      </c>
      <c r="F125" s="646"/>
      <c r="H125" s="694" t="s">
        <v>1058</v>
      </c>
      <c r="I125" s="5" t="s">
        <v>1057</v>
      </c>
      <c r="J125" s="319">
        <v>8</v>
      </c>
      <c r="K125" s="646"/>
      <c r="L125" s="438"/>
      <c r="M125" s="5">
        <v>0</v>
      </c>
      <c r="N125" s="5">
        <v>0</v>
      </c>
      <c r="O125" s="319">
        <v>0</v>
      </c>
      <c r="P125" s="646"/>
      <c r="Q125" s="438"/>
      <c r="R125" s="5" t="s">
        <v>1056</v>
      </c>
      <c r="S125" s="5" t="s">
        <v>1057</v>
      </c>
      <c r="T125" s="319">
        <v>8</v>
      </c>
      <c r="U125" s="646">
        <v>1</v>
      </c>
      <c r="V125" s="438"/>
      <c r="W125" s="5">
        <v>0</v>
      </c>
      <c r="X125" s="5">
        <v>0</v>
      </c>
      <c r="Y125" s="319">
        <v>0</v>
      </c>
      <c r="Z125" s="646"/>
      <c r="AA125" s="328">
        <f t="shared" si="14"/>
        <v>16</v>
      </c>
      <c r="AB125" s="298">
        <f t="shared" si="15"/>
        <v>1</v>
      </c>
      <c r="AC125" s="4"/>
      <c r="AD125" s="47"/>
      <c r="AE125" s="47"/>
      <c r="AF125" s="319"/>
      <c r="AG125" s="47"/>
      <c r="AH125" s="47"/>
      <c r="AI125" s="319"/>
      <c r="AJ125" s="328">
        <f t="shared" si="16"/>
        <v>0</v>
      </c>
      <c r="AK125" s="4"/>
      <c r="AL125" s="255"/>
      <c r="AM125" s="180"/>
      <c r="AN125" s="193"/>
      <c r="AO125" s="193"/>
      <c r="AP125" s="193"/>
      <c r="AQ125" s="193"/>
      <c r="AR125" s="193"/>
      <c r="AS125" s="193"/>
      <c r="AT125" s="180"/>
    </row>
    <row r="126" spans="1:46" ht="16.5" customHeight="1">
      <c r="A126" s="180"/>
      <c r="B126" s="422" t="s">
        <v>44</v>
      </c>
      <c r="C126" s="47">
        <v>0</v>
      </c>
      <c r="D126" s="47">
        <v>0</v>
      </c>
      <c r="E126" s="319">
        <v>0</v>
      </c>
      <c r="F126" s="646"/>
      <c r="G126" s="438"/>
      <c r="H126" s="47">
        <v>0</v>
      </c>
      <c r="I126" s="47">
        <v>0</v>
      </c>
      <c r="J126" s="319">
        <v>0</v>
      </c>
      <c r="K126" s="646"/>
      <c r="L126" s="438"/>
      <c r="M126" s="47">
        <v>0</v>
      </c>
      <c r="N126" s="47">
        <v>0</v>
      </c>
      <c r="O126" s="319">
        <v>0</v>
      </c>
      <c r="P126" s="646"/>
      <c r="Q126" s="438"/>
      <c r="R126" s="47" t="s">
        <v>1098</v>
      </c>
      <c r="S126" s="47" t="s">
        <v>1099</v>
      </c>
      <c r="T126" s="319">
        <v>8</v>
      </c>
      <c r="U126" s="646">
        <v>2</v>
      </c>
      <c r="V126" s="438"/>
      <c r="W126" s="47" t="s">
        <v>1056</v>
      </c>
      <c r="X126" s="47" t="s">
        <v>1057</v>
      </c>
      <c r="Y126" s="456">
        <v>8</v>
      </c>
      <c r="Z126" s="646"/>
      <c r="AA126" s="328">
        <f t="shared" si="14"/>
        <v>16</v>
      </c>
      <c r="AB126" s="298">
        <f t="shared" si="15"/>
        <v>2</v>
      </c>
      <c r="AC126" s="4"/>
      <c r="AD126" s="47"/>
      <c r="AE126" s="47"/>
      <c r="AF126" s="319"/>
      <c r="AG126" s="47"/>
      <c r="AH126" s="47"/>
      <c r="AI126" s="319"/>
      <c r="AJ126" s="328">
        <f t="shared" si="16"/>
        <v>0</v>
      </c>
      <c r="AK126" s="4"/>
      <c r="AL126" s="255"/>
      <c r="AM126" s="180"/>
      <c r="AN126" s="193"/>
      <c r="AO126" s="193"/>
      <c r="AP126" s="193"/>
      <c r="AQ126" s="193"/>
      <c r="AR126" s="193"/>
      <c r="AS126" s="193"/>
      <c r="AT126" s="180"/>
    </row>
    <row r="127" spans="1:46" ht="16.5" customHeight="1">
      <c r="A127" s="180"/>
      <c r="B127" s="699" t="s">
        <v>241</v>
      </c>
      <c r="C127" s="5">
        <v>0</v>
      </c>
      <c r="D127" s="5">
        <v>0</v>
      </c>
      <c r="E127" s="319">
        <v>0</v>
      </c>
      <c r="F127" s="646"/>
      <c r="G127" s="438"/>
      <c r="H127" s="5">
        <v>0</v>
      </c>
      <c r="I127" s="5">
        <v>0</v>
      </c>
      <c r="J127" s="319">
        <v>0</v>
      </c>
      <c r="K127" s="646"/>
      <c r="L127" s="438"/>
      <c r="M127" s="5">
        <v>0</v>
      </c>
      <c r="N127" s="5">
        <v>0</v>
      </c>
      <c r="O127" s="319">
        <v>0</v>
      </c>
      <c r="P127" s="646"/>
      <c r="Q127" s="438"/>
      <c r="R127" s="5">
        <v>0</v>
      </c>
      <c r="S127" s="5">
        <v>0</v>
      </c>
      <c r="T127" s="319">
        <v>0</v>
      </c>
      <c r="U127" s="646"/>
      <c r="V127" s="438"/>
      <c r="W127" s="5">
        <v>0</v>
      </c>
      <c r="X127" s="5">
        <v>0</v>
      </c>
      <c r="Y127" s="319">
        <v>0</v>
      </c>
      <c r="Z127" s="646"/>
      <c r="AA127" s="328">
        <f t="shared" si="14"/>
        <v>0</v>
      </c>
      <c r="AB127" s="298">
        <f t="shared" si="15"/>
        <v>0</v>
      </c>
      <c r="AC127" s="4"/>
      <c r="AD127" s="47"/>
      <c r="AE127" s="47"/>
      <c r="AF127" s="319"/>
      <c r="AG127" s="47"/>
      <c r="AH127" s="47"/>
      <c r="AI127" s="319"/>
      <c r="AJ127" s="328">
        <f t="shared" si="16"/>
        <v>0</v>
      </c>
      <c r="AK127" s="4"/>
      <c r="AL127" s="255"/>
      <c r="AM127" s="180"/>
      <c r="AN127" s="193"/>
      <c r="AO127" s="193"/>
      <c r="AP127" s="193"/>
      <c r="AQ127" s="193"/>
      <c r="AR127" s="193"/>
      <c r="AS127" s="193"/>
      <c r="AT127" s="180"/>
    </row>
    <row r="128" spans="1:46" ht="16.5" customHeight="1">
      <c r="A128" s="180"/>
      <c r="B128" s="700" t="s">
        <v>354</v>
      </c>
      <c r="C128" s="5">
        <v>0</v>
      </c>
      <c r="D128" s="5">
        <v>0</v>
      </c>
      <c r="E128" s="319">
        <v>0</v>
      </c>
      <c r="F128" s="646"/>
      <c r="G128" s="438"/>
      <c r="H128" s="5">
        <v>9</v>
      </c>
      <c r="I128" s="5">
        <v>5</v>
      </c>
      <c r="J128" s="319">
        <v>8</v>
      </c>
      <c r="K128" s="646"/>
      <c r="L128" s="438"/>
      <c r="M128" s="5">
        <v>0</v>
      </c>
      <c r="N128" s="5">
        <v>0</v>
      </c>
      <c r="O128" s="319">
        <v>0</v>
      </c>
      <c r="P128" s="646"/>
      <c r="Q128" s="438"/>
      <c r="R128" s="5"/>
      <c r="S128" s="5"/>
      <c r="T128" s="319"/>
      <c r="U128" s="646"/>
      <c r="V128" s="438"/>
      <c r="W128" s="5"/>
      <c r="X128" s="5"/>
      <c r="Y128" s="319"/>
      <c r="Z128" s="646"/>
      <c r="AA128" s="328">
        <f t="shared" si="14"/>
        <v>8</v>
      </c>
      <c r="AB128" s="298">
        <f t="shared" si="15"/>
        <v>0</v>
      </c>
      <c r="AC128" s="4"/>
      <c r="AD128" s="47"/>
      <c r="AE128" s="47"/>
      <c r="AF128" s="319"/>
      <c r="AG128" s="47"/>
      <c r="AH128" s="47"/>
      <c r="AI128" s="319"/>
      <c r="AJ128" s="328">
        <f t="shared" si="16"/>
        <v>0</v>
      </c>
      <c r="AK128" s="4"/>
      <c r="AL128" s="255"/>
      <c r="AM128" s="180"/>
      <c r="AN128" s="193"/>
      <c r="AO128" s="193"/>
      <c r="AP128" s="193"/>
      <c r="AQ128" s="193"/>
      <c r="AR128" s="193"/>
      <c r="AS128" s="193"/>
      <c r="AT128" s="180"/>
    </row>
    <row r="129" spans="1:46" ht="16.5" customHeight="1">
      <c r="A129" s="180"/>
      <c r="B129" s="701" t="s">
        <v>39</v>
      </c>
      <c r="C129" s="5">
        <v>0</v>
      </c>
      <c r="D129" s="5">
        <v>0</v>
      </c>
      <c r="E129" s="319">
        <v>0</v>
      </c>
      <c r="F129" s="646"/>
      <c r="G129" s="438"/>
      <c r="H129" s="5">
        <v>0</v>
      </c>
      <c r="I129" s="5">
        <v>0</v>
      </c>
      <c r="J129" s="319">
        <v>0</v>
      </c>
      <c r="K129" s="646"/>
      <c r="L129" s="438"/>
      <c r="M129" s="5">
        <v>0</v>
      </c>
      <c r="N129" s="5">
        <v>0</v>
      </c>
      <c r="O129" s="319">
        <v>0</v>
      </c>
      <c r="P129" s="646"/>
      <c r="Q129" s="438"/>
      <c r="R129" s="5">
        <v>0</v>
      </c>
      <c r="S129" s="5">
        <v>0</v>
      </c>
      <c r="T129" s="319">
        <v>0</v>
      </c>
      <c r="U129" s="646"/>
      <c r="V129" s="438"/>
      <c r="W129" s="5">
        <v>0</v>
      </c>
      <c r="X129" s="5">
        <v>0</v>
      </c>
      <c r="Y129" s="319">
        <v>0</v>
      </c>
      <c r="Z129" s="646"/>
      <c r="AA129" s="328">
        <f t="shared" si="14"/>
        <v>0</v>
      </c>
      <c r="AB129" s="298">
        <f t="shared" si="15"/>
        <v>0</v>
      </c>
      <c r="AC129" s="4"/>
      <c r="AD129" s="47"/>
      <c r="AE129" s="47"/>
      <c r="AF129" s="319"/>
      <c r="AG129" s="47" t="s">
        <v>1100</v>
      </c>
      <c r="AH129" s="47" t="s">
        <v>1101</v>
      </c>
      <c r="AI129" s="319">
        <v>8</v>
      </c>
      <c r="AJ129" s="328">
        <f t="shared" si="16"/>
        <v>8</v>
      </c>
      <c r="AK129" s="4"/>
      <c r="AL129" s="255"/>
      <c r="AM129" s="180"/>
      <c r="AN129" s="193"/>
      <c r="AO129" s="193"/>
      <c r="AP129" s="193"/>
      <c r="AQ129" s="193"/>
      <c r="AR129" s="193"/>
      <c r="AS129" s="193"/>
      <c r="AT129" s="180"/>
    </row>
    <row r="130" spans="1:46" ht="16.5" customHeight="1">
      <c r="A130" s="180"/>
      <c r="B130" s="699" t="s">
        <v>1102</v>
      </c>
      <c r="C130" s="5"/>
      <c r="D130" s="5"/>
      <c r="E130" s="319"/>
      <c r="F130" s="646"/>
      <c r="G130" s="438"/>
      <c r="H130" s="5" t="s">
        <v>1084</v>
      </c>
      <c r="I130" s="5" t="s">
        <v>1057</v>
      </c>
      <c r="J130" s="319">
        <v>7</v>
      </c>
      <c r="K130" s="646"/>
      <c r="L130" s="438"/>
      <c r="M130" s="5">
        <v>0</v>
      </c>
      <c r="N130" s="5">
        <v>0</v>
      </c>
      <c r="O130" s="319">
        <v>0</v>
      </c>
      <c r="P130" s="646"/>
      <c r="Q130" s="438"/>
      <c r="R130" s="5">
        <v>0</v>
      </c>
      <c r="S130" s="5">
        <v>0</v>
      </c>
      <c r="T130" s="319">
        <v>0</v>
      </c>
      <c r="U130" s="646"/>
      <c r="V130" s="438"/>
      <c r="W130" s="5">
        <v>0</v>
      </c>
      <c r="X130" s="5">
        <v>0</v>
      </c>
      <c r="Y130" s="319">
        <v>0</v>
      </c>
      <c r="Z130" s="646"/>
      <c r="AA130" s="328">
        <f t="shared" si="14"/>
        <v>7</v>
      </c>
      <c r="AB130" s="298">
        <f t="shared" si="15"/>
        <v>0</v>
      </c>
      <c r="AC130" s="4"/>
      <c r="AD130" s="47"/>
      <c r="AE130" s="47"/>
      <c r="AF130" s="319"/>
      <c r="AG130" s="47"/>
      <c r="AH130" s="47"/>
      <c r="AI130" s="319"/>
      <c r="AJ130" s="328">
        <f t="shared" si="16"/>
        <v>0</v>
      </c>
      <c r="AK130" s="4"/>
      <c r="AL130" s="255"/>
      <c r="AM130" s="180"/>
      <c r="AN130" s="193"/>
      <c r="AO130" s="193"/>
      <c r="AP130" s="193"/>
      <c r="AQ130" s="193"/>
      <c r="AR130" s="193"/>
      <c r="AS130" s="193"/>
      <c r="AT130" s="180"/>
    </row>
    <row r="131" spans="1:46" ht="16.5" customHeight="1">
      <c r="A131" s="180"/>
      <c r="B131" s="699" t="s">
        <v>1103</v>
      </c>
      <c r="C131" s="5">
        <v>0</v>
      </c>
      <c r="D131" s="5">
        <v>0</v>
      </c>
      <c r="E131" s="319">
        <v>0</v>
      </c>
      <c r="F131" s="646"/>
      <c r="G131" s="438"/>
      <c r="H131" s="5" t="s">
        <v>1084</v>
      </c>
      <c r="I131" s="5" t="s">
        <v>1090</v>
      </c>
      <c r="J131" s="319">
        <v>8</v>
      </c>
      <c r="K131" s="646"/>
      <c r="L131" s="438"/>
      <c r="M131" s="5">
        <v>0</v>
      </c>
      <c r="N131" s="5">
        <v>0</v>
      </c>
      <c r="O131" s="319">
        <v>0</v>
      </c>
      <c r="P131" s="646"/>
      <c r="Q131" s="438"/>
      <c r="R131" s="5">
        <v>0</v>
      </c>
      <c r="S131" s="5">
        <v>0</v>
      </c>
      <c r="T131" s="319">
        <v>0</v>
      </c>
      <c r="U131" s="646"/>
      <c r="V131" s="438"/>
      <c r="W131" s="5">
        <v>0</v>
      </c>
      <c r="X131" s="5">
        <v>0</v>
      </c>
      <c r="Y131" s="319">
        <v>0</v>
      </c>
      <c r="Z131" s="646"/>
      <c r="AA131" s="328">
        <f t="shared" si="14"/>
        <v>8</v>
      </c>
      <c r="AB131" s="298">
        <f t="shared" si="15"/>
        <v>0</v>
      </c>
      <c r="AC131" s="4"/>
      <c r="AD131" s="47"/>
      <c r="AE131" s="47"/>
      <c r="AF131" s="319"/>
      <c r="AG131" s="47"/>
      <c r="AH131" s="47"/>
      <c r="AI131" s="319"/>
      <c r="AJ131" s="328">
        <f t="shared" si="16"/>
        <v>0</v>
      </c>
      <c r="AK131" s="4"/>
      <c r="AL131" s="255"/>
      <c r="AM131" s="180"/>
      <c r="AN131" s="193"/>
      <c r="AO131" s="193"/>
      <c r="AP131" s="193"/>
      <c r="AQ131" s="193"/>
      <c r="AR131" s="193"/>
      <c r="AS131" s="193"/>
      <c r="AT131" s="180"/>
    </row>
    <row r="132" spans="1:46" ht="16.5" customHeight="1">
      <c r="A132" s="180"/>
      <c r="B132" s="422" t="s">
        <v>1104</v>
      </c>
      <c r="C132" s="5"/>
      <c r="D132" s="5"/>
      <c r="E132" s="319"/>
      <c r="F132" s="646"/>
      <c r="G132" s="438"/>
      <c r="H132" s="5"/>
      <c r="I132" s="5"/>
      <c r="J132" s="319"/>
      <c r="K132" s="646"/>
      <c r="L132" s="438"/>
      <c r="M132" s="5"/>
      <c r="N132" s="5"/>
      <c r="O132" s="319"/>
      <c r="P132" s="646"/>
      <c r="Q132" s="438"/>
      <c r="R132" s="5"/>
      <c r="S132" s="5"/>
      <c r="T132" s="319"/>
      <c r="U132" s="646"/>
      <c r="V132" s="438"/>
      <c r="W132" s="5"/>
      <c r="X132" s="5"/>
      <c r="Y132" s="319"/>
      <c r="Z132" s="646"/>
      <c r="AA132" s="328">
        <f t="shared" si="14"/>
        <v>0</v>
      </c>
      <c r="AB132" s="298">
        <f t="shared" si="15"/>
        <v>0</v>
      </c>
      <c r="AC132" s="4"/>
      <c r="AD132" s="47"/>
      <c r="AE132" s="47"/>
      <c r="AF132" s="319"/>
      <c r="AG132" s="47"/>
      <c r="AH132" s="47"/>
      <c r="AI132" s="319"/>
      <c r="AJ132" s="328">
        <f t="shared" si="16"/>
        <v>0</v>
      </c>
      <c r="AK132" s="4"/>
      <c r="AL132" s="255"/>
      <c r="AM132" s="180"/>
      <c r="AN132" s="193"/>
      <c r="AO132" s="193"/>
      <c r="AP132" s="193"/>
      <c r="AQ132" s="193"/>
      <c r="AR132" s="193"/>
      <c r="AS132" s="193"/>
      <c r="AT132" s="180"/>
    </row>
    <row r="133" spans="1:46" ht="16.5" customHeight="1">
      <c r="A133" s="180"/>
      <c r="B133" s="422" t="s">
        <v>1075</v>
      </c>
      <c r="C133" s="5"/>
      <c r="D133" s="5"/>
      <c r="E133" s="319"/>
      <c r="F133" s="646"/>
      <c r="G133" s="438"/>
      <c r="H133" s="5"/>
      <c r="I133" s="5"/>
      <c r="J133" s="319"/>
      <c r="K133" s="646"/>
      <c r="L133" s="438"/>
      <c r="M133" s="5"/>
      <c r="N133" s="5"/>
      <c r="O133" s="319"/>
      <c r="P133" s="646"/>
      <c r="Q133" s="438"/>
      <c r="R133" s="5"/>
      <c r="S133" s="5"/>
      <c r="T133" s="319"/>
      <c r="U133" s="646"/>
      <c r="V133" s="438"/>
      <c r="W133" s="5"/>
      <c r="X133" s="5"/>
      <c r="Y133" s="319"/>
      <c r="Z133" s="646"/>
      <c r="AA133" s="328">
        <f t="shared" si="14"/>
        <v>0</v>
      </c>
      <c r="AB133" s="298">
        <f t="shared" si="15"/>
        <v>0</v>
      </c>
      <c r="AC133" s="4"/>
      <c r="AD133" s="47"/>
      <c r="AE133" s="47"/>
      <c r="AF133" s="319"/>
      <c r="AG133" s="47"/>
      <c r="AH133" s="47"/>
      <c r="AI133" s="319"/>
      <c r="AJ133" s="328">
        <f t="shared" si="16"/>
        <v>0</v>
      </c>
      <c r="AK133" s="4"/>
      <c r="AL133" s="255"/>
      <c r="AM133" s="180"/>
      <c r="AN133" s="193"/>
      <c r="AO133" s="193"/>
      <c r="AP133" s="193"/>
      <c r="AQ133" s="193"/>
      <c r="AR133" s="193"/>
      <c r="AS133" s="193"/>
      <c r="AT133" s="180"/>
    </row>
    <row r="134" spans="1:46" ht="16.5" customHeight="1">
      <c r="A134" s="180"/>
      <c r="B134" s="422" t="s">
        <v>1076</v>
      </c>
      <c r="C134" s="5"/>
      <c r="D134" s="5"/>
      <c r="E134" s="319"/>
      <c r="F134" s="646"/>
      <c r="G134" s="438"/>
      <c r="H134" s="5"/>
      <c r="I134" s="5"/>
      <c r="J134" s="319"/>
      <c r="K134" s="646"/>
      <c r="L134" s="438"/>
      <c r="M134" s="5"/>
      <c r="N134" s="5"/>
      <c r="O134" s="319"/>
      <c r="P134" s="646"/>
      <c r="Q134" s="438"/>
      <c r="R134" s="5"/>
      <c r="S134" s="5"/>
      <c r="T134" s="319"/>
      <c r="U134" s="646"/>
      <c r="V134" s="438"/>
      <c r="W134" s="5"/>
      <c r="X134" s="5"/>
      <c r="Y134" s="319"/>
      <c r="Z134" s="646"/>
      <c r="AA134" s="328">
        <f t="shared" si="14"/>
        <v>0</v>
      </c>
      <c r="AB134" s="298">
        <f t="shared" si="15"/>
        <v>0</v>
      </c>
      <c r="AC134" s="4"/>
      <c r="AD134" s="47"/>
      <c r="AE134" s="47"/>
      <c r="AF134" s="319"/>
      <c r="AG134" s="47"/>
      <c r="AH134" s="47"/>
      <c r="AI134" s="319"/>
      <c r="AJ134" s="328">
        <f t="shared" si="16"/>
        <v>0</v>
      </c>
      <c r="AK134" s="4"/>
      <c r="AL134" s="255"/>
      <c r="AM134" s="180"/>
      <c r="AN134" s="193"/>
      <c r="AO134" s="193"/>
      <c r="AP134" s="193"/>
      <c r="AQ134" s="193"/>
      <c r="AR134" s="193"/>
      <c r="AS134" s="193"/>
      <c r="AT134" s="180"/>
    </row>
    <row r="135" spans="1:46" ht="16.5" customHeight="1">
      <c r="A135" s="180"/>
      <c r="B135" s="422" t="s">
        <v>1077</v>
      </c>
      <c r="C135" s="5"/>
      <c r="D135" s="5"/>
      <c r="E135" s="319"/>
      <c r="F135" s="646"/>
      <c r="G135" s="438"/>
      <c r="H135" s="5"/>
      <c r="I135" s="5"/>
      <c r="J135" s="319"/>
      <c r="K135" s="646"/>
      <c r="L135" s="438"/>
      <c r="M135" s="5"/>
      <c r="N135" s="5"/>
      <c r="O135" s="319"/>
      <c r="P135" s="646"/>
      <c r="Q135" s="438"/>
      <c r="R135" s="5"/>
      <c r="S135" s="5"/>
      <c r="T135" s="319"/>
      <c r="U135" s="646"/>
      <c r="V135" s="438"/>
      <c r="W135" s="5"/>
      <c r="X135" s="5"/>
      <c r="Y135" s="319"/>
      <c r="Z135" s="646"/>
      <c r="AA135" s="328">
        <f t="shared" si="14"/>
        <v>0</v>
      </c>
      <c r="AB135" s="298">
        <f t="shared" si="15"/>
        <v>0</v>
      </c>
      <c r="AC135" s="4"/>
      <c r="AD135" s="47"/>
      <c r="AE135" s="47"/>
      <c r="AF135" s="319"/>
      <c r="AG135" s="47"/>
      <c r="AH135" s="47"/>
      <c r="AI135" s="319"/>
      <c r="AJ135" s="328">
        <f t="shared" si="16"/>
        <v>0</v>
      </c>
      <c r="AK135" s="4"/>
      <c r="AL135" s="255"/>
      <c r="AM135" s="180"/>
      <c r="AN135" s="193"/>
      <c r="AO135" s="193"/>
      <c r="AP135" s="193"/>
      <c r="AQ135" s="193"/>
      <c r="AR135" s="193"/>
      <c r="AS135" s="193"/>
      <c r="AT135" s="180"/>
    </row>
    <row r="136" spans="1:46" ht="16.5" customHeight="1">
      <c r="A136" s="180"/>
      <c r="B136" s="422" t="s">
        <v>1078</v>
      </c>
      <c r="C136" s="5"/>
      <c r="D136" s="5"/>
      <c r="E136" s="319"/>
      <c r="F136" s="646"/>
      <c r="G136" s="438"/>
      <c r="H136" s="5"/>
      <c r="I136" s="5"/>
      <c r="J136" s="319"/>
      <c r="K136" s="646"/>
      <c r="L136" s="438"/>
      <c r="M136" s="5"/>
      <c r="N136" s="5"/>
      <c r="O136" s="319"/>
      <c r="P136" s="646"/>
      <c r="Q136" s="438"/>
      <c r="R136" s="5"/>
      <c r="S136" s="5"/>
      <c r="T136" s="319"/>
      <c r="U136" s="646"/>
      <c r="V136" s="438"/>
      <c r="W136" s="5"/>
      <c r="X136" s="5"/>
      <c r="Y136" s="319"/>
      <c r="Z136" s="646"/>
      <c r="AA136" s="328">
        <f t="shared" si="14"/>
        <v>0</v>
      </c>
      <c r="AB136" s="298">
        <f t="shared" si="15"/>
        <v>0</v>
      </c>
      <c r="AC136" s="4"/>
      <c r="AD136" s="47"/>
      <c r="AE136" s="47"/>
      <c r="AF136" s="319"/>
      <c r="AG136" s="47"/>
      <c r="AH136" s="47"/>
      <c r="AI136" s="319"/>
      <c r="AJ136" s="328">
        <f t="shared" si="16"/>
        <v>0</v>
      </c>
      <c r="AK136" s="4"/>
      <c r="AL136" s="255"/>
      <c r="AM136" s="180"/>
      <c r="AN136" s="193"/>
      <c r="AO136" s="193"/>
      <c r="AP136" s="193"/>
      <c r="AQ136" s="193"/>
      <c r="AR136" s="193"/>
      <c r="AS136" s="193"/>
      <c r="AT136" s="180"/>
    </row>
    <row r="137" spans="1:46" ht="16.5" customHeight="1">
      <c r="A137" s="180"/>
      <c r="B137" s="422" t="s">
        <v>1086</v>
      </c>
      <c r="C137" s="5"/>
      <c r="D137" s="5"/>
      <c r="E137" s="319"/>
      <c r="F137" s="646"/>
      <c r="G137" s="438"/>
      <c r="H137" s="5"/>
      <c r="I137" s="5"/>
      <c r="J137" s="319"/>
      <c r="K137" s="646"/>
      <c r="L137" s="438"/>
      <c r="M137" s="5"/>
      <c r="N137" s="5"/>
      <c r="O137" s="319"/>
      <c r="P137" s="646"/>
      <c r="Q137" s="438"/>
      <c r="R137" s="5"/>
      <c r="S137" s="5"/>
      <c r="T137" s="319"/>
      <c r="U137" s="646"/>
      <c r="V137" s="438"/>
      <c r="W137" s="5"/>
      <c r="X137" s="5"/>
      <c r="Y137" s="319"/>
      <c r="Z137" s="646"/>
      <c r="AA137" s="328">
        <f t="shared" si="14"/>
        <v>0</v>
      </c>
      <c r="AB137" s="298">
        <f t="shared" si="15"/>
        <v>0</v>
      </c>
      <c r="AC137" s="4"/>
      <c r="AD137" s="47"/>
      <c r="AE137" s="47"/>
      <c r="AF137" s="319"/>
      <c r="AG137" s="47"/>
      <c r="AH137" s="47"/>
      <c r="AI137" s="319"/>
      <c r="AJ137" s="328">
        <f t="shared" si="16"/>
        <v>0</v>
      </c>
      <c r="AK137" s="4"/>
      <c r="AL137" s="255"/>
      <c r="AM137" s="180"/>
      <c r="AN137" s="193"/>
      <c r="AO137" s="193"/>
      <c r="AP137" s="193"/>
      <c r="AQ137" s="193"/>
      <c r="AR137" s="193"/>
      <c r="AS137" s="193"/>
      <c r="AT137" s="180"/>
    </row>
    <row r="138" spans="1:46" ht="16.5" customHeight="1">
      <c r="A138" s="180"/>
      <c r="B138" s="422" t="s">
        <v>813</v>
      </c>
      <c r="C138" s="16"/>
      <c r="D138" s="16"/>
      <c r="E138" s="319">
        <v>2</v>
      </c>
      <c r="F138" s="646"/>
      <c r="G138" s="4"/>
      <c r="H138" s="16"/>
      <c r="I138" s="16"/>
      <c r="J138" s="319">
        <v>2</v>
      </c>
      <c r="K138" s="646"/>
      <c r="L138" s="4"/>
      <c r="M138" s="16"/>
      <c r="N138" s="16"/>
      <c r="O138" s="319">
        <v>2</v>
      </c>
      <c r="P138" s="646"/>
      <c r="Q138" s="4"/>
      <c r="R138" s="1564"/>
      <c r="S138" s="1564"/>
      <c r="T138" s="319">
        <v>2</v>
      </c>
      <c r="U138" s="646"/>
      <c r="V138" s="4"/>
      <c r="W138" s="1564"/>
      <c r="X138" s="1564"/>
      <c r="Y138" s="319">
        <v>2</v>
      </c>
      <c r="Z138" s="646"/>
      <c r="AA138" s="328">
        <f t="shared" si="14"/>
        <v>10</v>
      </c>
      <c r="AB138" s="298">
        <f t="shared" si="15"/>
        <v>0</v>
      </c>
      <c r="AC138" s="4"/>
      <c r="AD138" s="47"/>
      <c r="AE138" s="47"/>
      <c r="AF138" s="319"/>
      <c r="AG138" s="47"/>
      <c r="AH138" s="47"/>
      <c r="AI138" s="319"/>
      <c r="AJ138" s="328">
        <f t="shared" si="16"/>
        <v>0</v>
      </c>
      <c r="AK138" s="4"/>
      <c r="AL138" s="255"/>
      <c r="AM138" s="180"/>
      <c r="AN138" s="193"/>
      <c r="AO138" s="193"/>
      <c r="AP138" s="193"/>
      <c r="AQ138" s="193"/>
      <c r="AR138" s="193"/>
      <c r="AS138" s="193"/>
      <c r="AT138" s="180"/>
    </row>
    <row r="139" spans="1:46" ht="16.5" customHeight="1">
      <c r="A139" s="180"/>
      <c r="B139" s="64" t="s">
        <v>61</v>
      </c>
      <c r="C139" s="31"/>
      <c r="D139" s="31"/>
      <c r="E139" s="439">
        <f>SUM(E116:E138)</f>
        <v>50</v>
      </c>
      <c r="F139" s="646">
        <f>SUM(F116:F138)</f>
        <v>1</v>
      </c>
      <c r="G139" s="31"/>
      <c r="H139" s="31"/>
      <c r="I139" s="31"/>
      <c r="J139" s="439">
        <f>SUM(J116:J138)</f>
        <v>81</v>
      </c>
      <c r="K139" s="646">
        <f>SUM(K116:K138)</f>
        <v>10</v>
      </c>
      <c r="L139" s="31"/>
      <c r="M139" s="31"/>
      <c r="N139" s="31"/>
      <c r="O139" s="439">
        <f>SUM(O116:O138)</f>
        <v>2</v>
      </c>
      <c r="P139" s="646">
        <f>SUM(P116:P138)</f>
        <v>0</v>
      </c>
      <c r="Q139" s="31"/>
      <c r="R139" s="31"/>
      <c r="S139" s="31"/>
      <c r="T139" s="439">
        <f>SUM(T116:T138)</f>
        <v>82</v>
      </c>
      <c r="U139" s="646">
        <f>SUM(U116:U138)</f>
        <v>14.5</v>
      </c>
      <c r="V139" s="31"/>
      <c r="W139" s="31"/>
      <c r="X139" s="31"/>
      <c r="Y139" s="439">
        <f>SUM(Y116:Y138)</f>
        <v>74</v>
      </c>
      <c r="Z139" s="646">
        <f>SUM(Z116:Z138)</f>
        <v>8</v>
      </c>
      <c r="AA139" s="370">
        <f>SUM(AA116:AA138)</f>
        <v>289</v>
      </c>
      <c r="AB139" s="370">
        <f>SUM(AB116:AB138)</f>
        <v>33.5</v>
      </c>
      <c r="AC139" s="4"/>
      <c r="AD139" s="64"/>
      <c r="AE139" s="64"/>
      <c r="AF139" s="370">
        <f>SUM(AF116:AF138)</f>
        <v>15</v>
      </c>
      <c r="AG139" s="64"/>
      <c r="AH139" s="64"/>
      <c r="AI139" s="370">
        <f>SUM(AI116:AI138)</f>
        <v>8</v>
      </c>
      <c r="AJ139" s="370">
        <f>SUM(AJ116:AJ138)</f>
        <v>8</v>
      </c>
      <c r="AK139" s="4"/>
      <c r="AL139" s="255"/>
      <c r="AM139" s="180"/>
      <c r="AN139" s="407"/>
      <c r="AO139" s="193"/>
      <c r="AP139" s="193"/>
      <c r="AQ139" s="193"/>
      <c r="AR139" s="193"/>
      <c r="AS139" s="193"/>
      <c r="AT139" s="180"/>
    </row>
    <row r="140" spans="1:46" ht="16.5" customHeight="1">
      <c r="A140" s="180"/>
      <c r="B140" s="63" t="s">
        <v>146</v>
      </c>
      <c r="C140" s="47"/>
      <c r="D140" s="47"/>
      <c r="E140" s="319">
        <v>8</v>
      </c>
      <c r="F140" s="648"/>
      <c r="G140" s="613"/>
      <c r="H140" s="47"/>
      <c r="I140" s="47"/>
      <c r="J140" s="319">
        <v>8</v>
      </c>
      <c r="K140" s="346"/>
      <c r="L140" s="60"/>
      <c r="M140" s="47"/>
      <c r="N140" s="47"/>
      <c r="O140" s="319"/>
      <c r="P140" s="346"/>
      <c r="Q140" s="60"/>
      <c r="R140" s="47"/>
      <c r="S140" s="47"/>
      <c r="T140" s="319">
        <v>8</v>
      </c>
      <c r="U140" s="346"/>
      <c r="V140" s="60"/>
      <c r="W140" s="47"/>
      <c r="X140" s="47"/>
      <c r="Y140" s="319">
        <v>8</v>
      </c>
      <c r="Z140" s="346"/>
      <c r="AA140" s="28">
        <f>SUM(E140+J140+O140+T140+Y140)</f>
        <v>32</v>
      </c>
      <c r="AB140" s="296">
        <f>Z140+U140+P140+K140+F140</f>
        <v>0</v>
      </c>
      <c r="AC140" s="4"/>
      <c r="AD140" s="47" t="s">
        <v>29</v>
      </c>
      <c r="AE140" s="47" t="s">
        <v>29</v>
      </c>
      <c r="AF140" s="319">
        <v>8</v>
      </c>
      <c r="AG140" s="47" t="s">
        <v>29</v>
      </c>
      <c r="AH140" s="47" t="s">
        <v>29</v>
      </c>
      <c r="AI140" s="319">
        <v>8</v>
      </c>
      <c r="AJ140" s="29">
        <f>AI140</f>
        <v>8</v>
      </c>
      <c r="AK140" s="4"/>
      <c r="AL140" s="255"/>
      <c r="AM140" s="180"/>
      <c r="AN140" s="407"/>
      <c r="AO140" s="193"/>
      <c r="AP140" s="193"/>
      <c r="AQ140" s="193"/>
      <c r="AR140" s="193"/>
      <c r="AS140" s="193"/>
      <c r="AT140" s="180"/>
    </row>
    <row r="141" spans="1:46" ht="16.5" customHeight="1">
      <c r="A141" s="180"/>
      <c r="B141" s="71" t="s">
        <v>66</v>
      </c>
      <c r="C141" s="371"/>
      <c r="D141" s="371"/>
      <c r="E141" s="71"/>
      <c r="F141" s="613"/>
      <c r="G141" s="71"/>
      <c r="H141" s="71"/>
      <c r="I141" s="71"/>
      <c r="J141" s="71"/>
      <c r="K141" s="613"/>
      <c r="L141" s="71"/>
      <c r="M141" s="71"/>
      <c r="N141" s="71"/>
      <c r="O141" s="71"/>
      <c r="P141" s="613"/>
      <c r="Q141" s="71"/>
      <c r="R141" s="71"/>
      <c r="S141" s="71"/>
      <c r="T141" s="71"/>
      <c r="U141" s="613"/>
      <c r="V141" s="71"/>
      <c r="W141" s="71"/>
      <c r="X141" s="71"/>
      <c r="Y141" s="71"/>
      <c r="Z141" s="613"/>
      <c r="AA141" s="370">
        <f>SUM(AA140:AA140)</f>
        <v>32</v>
      </c>
      <c r="AB141" s="370">
        <f>SUM(AB140:AB140)</f>
        <v>0</v>
      </c>
      <c r="AC141" s="4"/>
      <c r="AD141" s="180"/>
      <c r="AE141" s="180"/>
      <c r="AF141" s="180"/>
      <c r="AG141" s="180"/>
      <c r="AH141" s="180"/>
      <c r="AI141" s="180"/>
      <c r="AJ141" s="370">
        <f>SUM(AJ140:AJ140)</f>
        <v>8</v>
      </c>
      <c r="AK141" s="4"/>
      <c r="AL141" s="255"/>
      <c r="AM141" s="180"/>
      <c r="AN141" s="407"/>
      <c r="AO141" s="193"/>
      <c r="AP141" s="193"/>
      <c r="AQ141" s="193"/>
      <c r="AR141" s="193"/>
      <c r="AS141" s="193"/>
      <c r="AT141" s="180"/>
    </row>
    <row r="142" spans="1:46" ht="16.5" customHeight="1">
      <c r="A142" s="180"/>
      <c r="B142" s="217" t="s">
        <v>67</v>
      </c>
      <c r="C142" s="207">
        <v>54</v>
      </c>
      <c r="D142" s="207"/>
      <c r="E142" s="209"/>
      <c r="F142" s="209"/>
      <c r="G142" s="207"/>
      <c r="H142" s="209"/>
      <c r="I142" s="209"/>
      <c r="J142" s="209"/>
      <c r="K142" s="209"/>
      <c r="L142" s="207"/>
      <c r="M142" s="207"/>
      <c r="N142" s="207"/>
      <c r="O142" s="207"/>
      <c r="P142" s="209"/>
      <c r="Q142" s="207"/>
      <c r="R142" s="207"/>
      <c r="S142" s="207"/>
      <c r="T142" s="207"/>
      <c r="U142" s="209"/>
      <c r="V142" s="207"/>
      <c r="W142" s="207"/>
      <c r="X142" s="207"/>
      <c r="Y142" s="210"/>
      <c r="Z142" s="209"/>
      <c r="AA142" s="211"/>
      <c r="AB142" s="209"/>
      <c r="AC142" s="211"/>
      <c r="AD142" s="211"/>
      <c r="AE142" s="211"/>
      <c r="AF142" s="211"/>
      <c r="AG142" s="211"/>
      <c r="AH142" s="211"/>
      <c r="AI142" s="211"/>
      <c r="AJ142" s="211"/>
      <c r="AK142" s="4"/>
      <c r="AL142" s="255"/>
      <c r="AM142" s="180"/>
      <c r="AN142" s="407"/>
      <c r="AO142" s="193"/>
      <c r="AP142" s="193"/>
      <c r="AQ142" s="193"/>
      <c r="AR142" s="193"/>
      <c r="AS142" s="193"/>
      <c r="AT142" s="180"/>
    </row>
    <row r="143" spans="1:46" ht="16.5" customHeight="1">
      <c r="A143" s="180"/>
      <c r="B143" s="238" t="s">
        <v>68</v>
      </c>
      <c r="C143" s="207">
        <v>54</v>
      </c>
      <c r="D143" s="207"/>
      <c r="E143" s="209"/>
      <c r="F143" s="209"/>
      <c r="G143" s="207"/>
      <c r="H143" s="209"/>
      <c r="I143" s="209"/>
      <c r="J143" s="209"/>
      <c r="K143" s="209"/>
      <c r="L143" s="207"/>
      <c r="M143" s="207"/>
      <c r="N143" s="207"/>
      <c r="O143" s="207"/>
      <c r="P143" s="209"/>
      <c r="Q143" s="207"/>
      <c r="R143" s="207"/>
      <c r="S143" s="207"/>
      <c r="T143" s="207"/>
      <c r="U143" s="209"/>
      <c r="V143" s="207"/>
      <c r="W143" s="207"/>
      <c r="X143" s="207"/>
      <c r="Y143" s="210"/>
      <c r="Z143" s="209"/>
      <c r="AA143" s="211"/>
      <c r="AB143" s="209"/>
      <c r="AC143" s="211"/>
      <c r="AD143" s="211"/>
      <c r="AE143" s="211"/>
      <c r="AF143" s="211"/>
      <c r="AG143" s="211"/>
      <c r="AH143" s="211"/>
      <c r="AI143" s="211"/>
      <c r="AJ143" s="211"/>
      <c r="AK143" s="4"/>
      <c r="AL143" s="255"/>
      <c r="AM143" s="180"/>
      <c r="AN143" s="193"/>
      <c r="AO143" s="193"/>
      <c r="AP143" s="193"/>
      <c r="AQ143" s="193"/>
      <c r="AR143" s="193"/>
      <c r="AS143" s="193"/>
      <c r="AT143" s="180"/>
    </row>
    <row r="144" spans="1:46" ht="16.5" customHeight="1">
      <c r="A144" s="180"/>
      <c r="B144" s="238" t="s">
        <v>69</v>
      </c>
      <c r="C144" s="207"/>
      <c r="D144" s="207"/>
      <c r="E144" s="209"/>
      <c r="F144" s="209"/>
      <c r="G144" s="207"/>
      <c r="H144" s="209"/>
      <c r="I144" s="209"/>
      <c r="J144" s="209"/>
      <c r="K144" s="209"/>
      <c r="L144" s="207"/>
      <c r="M144" s="207"/>
      <c r="N144" s="207"/>
      <c r="O144" s="207"/>
      <c r="P144" s="209"/>
      <c r="Q144" s="207"/>
      <c r="R144" s="207"/>
      <c r="S144" s="207"/>
      <c r="T144" s="207"/>
      <c r="U144" s="209"/>
      <c r="V144" s="207"/>
      <c r="W144" s="207"/>
      <c r="X144" s="207"/>
      <c r="Y144" s="210"/>
      <c r="Z144" s="209"/>
      <c r="AA144" s="211"/>
      <c r="AB144" s="209"/>
      <c r="AC144" s="211"/>
      <c r="AD144" s="211"/>
      <c r="AE144" s="211"/>
      <c r="AF144" s="211"/>
      <c r="AG144" s="211"/>
      <c r="AH144" s="211"/>
      <c r="AI144" s="211"/>
      <c r="AJ144" s="211"/>
      <c r="AK144" s="4"/>
      <c r="AL144" s="255"/>
      <c r="AM144" s="180"/>
      <c r="AN144" s="193"/>
      <c r="AO144" s="193"/>
      <c r="AP144" s="193"/>
      <c r="AQ144" s="193"/>
      <c r="AR144" s="193"/>
      <c r="AS144" s="193"/>
      <c r="AT144" s="180"/>
    </row>
    <row r="145" spans="1:46" ht="16.5" customHeight="1">
      <c r="A145" s="180"/>
      <c r="B145" s="193"/>
      <c r="C145" s="193"/>
      <c r="D145" s="193"/>
      <c r="E145" s="193"/>
      <c r="F145" s="193"/>
      <c r="G145" s="193"/>
      <c r="H145" s="193"/>
      <c r="I145" s="193"/>
      <c r="J145" s="193"/>
      <c r="K145" s="193"/>
      <c r="L145" s="193"/>
      <c r="M145" s="193"/>
      <c r="N145" s="193"/>
      <c r="O145" s="193"/>
      <c r="P145" s="193"/>
      <c r="Q145" s="193"/>
      <c r="R145" s="193"/>
      <c r="S145" s="193"/>
      <c r="T145" s="193"/>
      <c r="U145" s="193"/>
      <c r="V145" s="193"/>
      <c r="W145" s="193"/>
      <c r="X145" s="193"/>
      <c r="Y145" s="193"/>
      <c r="Z145" s="193"/>
      <c r="AA145" s="193"/>
      <c r="AB145" s="193"/>
      <c r="AC145" s="193"/>
      <c r="AD145" s="193"/>
      <c r="AE145" s="193"/>
      <c r="AF145" s="193"/>
      <c r="AG145" s="193"/>
      <c r="AH145" s="193"/>
      <c r="AI145" s="193"/>
      <c r="AJ145" s="193"/>
      <c r="AK145" s="4"/>
      <c r="AL145" s="255"/>
      <c r="AM145" s="180"/>
      <c r="AN145" s="193"/>
      <c r="AO145" s="193"/>
      <c r="AP145" s="193"/>
      <c r="AQ145" s="193"/>
      <c r="AR145" s="193"/>
      <c r="AS145" s="193"/>
      <c r="AT145" s="180"/>
    </row>
    <row r="146" spans="1:46" ht="16.5" customHeight="1">
      <c r="A146" s="180"/>
      <c r="B146" s="229"/>
      <c r="C146" s="230"/>
      <c r="D146" s="230"/>
      <c r="E146" s="232"/>
      <c r="F146" s="232"/>
      <c r="G146" s="230"/>
      <c r="H146" s="232"/>
      <c r="I146" s="232"/>
      <c r="J146" s="232"/>
      <c r="K146" s="232"/>
      <c r="L146" s="230"/>
      <c r="M146" s="230"/>
      <c r="N146" s="230"/>
      <c r="O146" s="230"/>
      <c r="P146" s="232"/>
      <c r="Q146" s="230"/>
      <c r="R146" s="230"/>
      <c r="S146" s="230"/>
      <c r="T146" s="230"/>
      <c r="U146" s="232"/>
      <c r="V146" s="230"/>
      <c r="W146" s="230"/>
      <c r="X146" s="230"/>
      <c r="Y146" s="233"/>
      <c r="Z146" s="232"/>
      <c r="AA146" s="234"/>
      <c r="AB146" s="232"/>
      <c r="AC146" s="373"/>
      <c r="AD146" s="236"/>
      <c r="AE146" s="255"/>
      <c r="AF146" s="255"/>
      <c r="AG146" s="236"/>
      <c r="AH146" s="255"/>
      <c r="AI146" s="255"/>
      <c r="AJ146" s="255"/>
      <c r="AK146" s="255"/>
      <c r="AL146" s="255"/>
      <c r="AM146" s="255"/>
      <c r="AN146" s="255"/>
      <c r="AO146" s="255"/>
      <c r="AP146" s="255"/>
      <c r="AQ146" s="255"/>
      <c r="AR146" s="255"/>
      <c r="AS146" s="255"/>
      <c r="AT146" s="255"/>
    </row>
    <row r="147" spans="1:46" ht="16.5" customHeight="1">
      <c r="A147" s="313"/>
      <c r="B147" s="180"/>
      <c r="C147" s="180"/>
      <c r="D147" s="180"/>
      <c r="E147" s="4"/>
      <c r="F147" s="644"/>
      <c r="G147" s="4"/>
      <c r="H147" s="180"/>
      <c r="I147" s="180"/>
      <c r="J147" s="4"/>
      <c r="K147" s="644"/>
      <c r="L147" s="4"/>
      <c r="M147" s="180"/>
      <c r="N147" s="180"/>
      <c r="O147" s="4"/>
      <c r="P147" s="644"/>
      <c r="Q147" s="4"/>
      <c r="R147" s="180"/>
      <c r="S147" s="180"/>
      <c r="T147" s="4"/>
      <c r="U147" s="644"/>
      <c r="V147" s="4"/>
      <c r="W147" s="180"/>
      <c r="X147" s="180"/>
      <c r="Y147" s="4"/>
      <c r="Z147" s="644"/>
      <c r="AA147" s="4"/>
      <c r="AB147" s="4"/>
      <c r="AC147" s="4"/>
      <c r="AD147" s="180"/>
      <c r="AE147" s="180"/>
      <c r="AF147" s="180"/>
      <c r="AG147" s="180"/>
      <c r="AH147" s="180"/>
      <c r="AI147" s="180"/>
      <c r="AJ147" s="180"/>
      <c r="AK147" s="4"/>
      <c r="AL147" s="255"/>
      <c r="AM147" s="180"/>
      <c r="AN147" s="180"/>
      <c r="AO147" s="180"/>
      <c r="AP147" s="180"/>
      <c r="AQ147" s="180"/>
      <c r="AR147" s="180"/>
      <c r="AS147" s="180"/>
      <c r="AT147" s="180"/>
    </row>
    <row r="148" spans="1:46" ht="16.5" customHeight="1">
      <c r="A148" s="228"/>
      <c r="B148" s="1518" t="s">
        <v>18</v>
      </c>
      <c r="C148" s="1519">
        <v>45663</v>
      </c>
      <c r="D148" s="1519"/>
      <c r="E148" s="1519"/>
      <c r="F148" s="1519"/>
      <c r="G148" s="1519">
        <v>45664</v>
      </c>
      <c r="H148" s="1519"/>
      <c r="I148" s="1519"/>
      <c r="J148" s="1519"/>
      <c r="K148" s="1519">
        <v>45665</v>
      </c>
      <c r="L148" s="1519"/>
      <c r="M148" s="1519"/>
      <c r="N148" s="1519"/>
      <c r="O148" s="1519">
        <v>45666</v>
      </c>
      <c r="P148" s="1519"/>
      <c r="Q148" s="1519"/>
      <c r="R148" s="1519"/>
      <c r="S148" s="1519">
        <v>45667</v>
      </c>
      <c r="T148" s="1519"/>
      <c r="U148" s="1519"/>
      <c r="V148" s="1519"/>
      <c r="W148" s="1519">
        <v>45668</v>
      </c>
      <c r="X148" s="1519"/>
      <c r="Y148" s="1519"/>
      <c r="Z148" s="1519"/>
      <c r="AA148" s="1517" t="s">
        <v>19</v>
      </c>
      <c r="AB148" s="1517" t="s">
        <v>20</v>
      </c>
      <c r="AC148" s="4"/>
      <c r="AD148" s="1519">
        <v>45669</v>
      </c>
      <c r="AE148" s="1519"/>
      <c r="AF148" s="1519"/>
      <c r="AG148" s="1519">
        <v>45669</v>
      </c>
      <c r="AH148" s="1519"/>
      <c r="AI148" s="1519"/>
      <c r="AJ148" s="1517" t="s">
        <v>21</v>
      </c>
      <c r="AK148" s="4"/>
      <c r="AL148" s="368"/>
      <c r="AM148" s="180"/>
      <c r="AN148" s="194" t="s">
        <v>84</v>
      </c>
      <c r="AO148" s="366"/>
      <c r="AP148" s="366"/>
      <c r="AQ148" s="366"/>
      <c r="AR148" s="366"/>
      <c r="AS148" s="366"/>
      <c r="AT148" s="180"/>
    </row>
    <row r="149" spans="1:46" ht="16.5" customHeight="1">
      <c r="A149" s="180"/>
      <c r="B149" s="1518"/>
      <c r="C149" s="21" t="s">
        <v>23</v>
      </c>
      <c r="D149" s="21" t="s">
        <v>24</v>
      </c>
      <c r="E149" s="205" t="s">
        <v>25</v>
      </c>
      <c r="F149" s="645" t="s">
        <v>14</v>
      </c>
      <c r="G149" s="4"/>
      <c r="H149" s="21" t="s">
        <v>23</v>
      </c>
      <c r="I149" s="21" t="s">
        <v>24</v>
      </c>
      <c r="J149" s="18" t="s">
        <v>25</v>
      </c>
      <c r="K149" s="645" t="s">
        <v>14</v>
      </c>
      <c r="L149" s="4"/>
      <c r="M149" s="21" t="s">
        <v>23</v>
      </c>
      <c r="N149" s="21" t="s">
        <v>24</v>
      </c>
      <c r="O149" s="18" t="s">
        <v>25</v>
      </c>
      <c r="P149" s="645" t="s">
        <v>14</v>
      </c>
      <c r="Q149" s="4"/>
      <c r="R149" s="21" t="s">
        <v>23</v>
      </c>
      <c r="S149" s="21" t="s">
        <v>24</v>
      </c>
      <c r="T149" s="18" t="s">
        <v>25</v>
      </c>
      <c r="U149" s="645" t="s">
        <v>14</v>
      </c>
      <c r="V149" s="4"/>
      <c r="W149" s="21" t="s">
        <v>23</v>
      </c>
      <c r="X149" s="21" t="s">
        <v>24</v>
      </c>
      <c r="Y149" s="18" t="s">
        <v>25</v>
      </c>
      <c r="Z149" s="645" t="s">
        <v>14</v>
      </c>
      <c r="AA149" s="1517"/>
      <c r="AB149" s="1517"/>
      <c r="AC149" s="4"/>
      <c r="AD149" s="21" t="s">
        <v>23</v>
      </c>
      <c r="AE149" s="21" t="s">
        <v>24</v>
      </c>
      <c r="AF149" s="18" t="s">
        <v>25</v>
      </c>
      <c r="AG149" s="21" t="s">
        <v>23</v>
      </c>
      <c r="AH149" s="21" t="s">
        <v>24</v>
      </c>
      <c r="AI149" s="18" t="s">
        <v>25</v>
      </c>
      <c r="AJ149" s="1517"/>
      <c r="AK149" s="4"/>
      <c r="AL149" s="368"/>
      <c r="AM149" s="367"/>
      <c r="AN149" s="691" t="s">
        <v>26</v>
      </c>
      <c r="AO149" s="196">
        <f>AA173</f>
        <v>610</v>
      </c>
      <c r="AP149" s="510">
        <v>39.14</v>
      </c>
      <c r="AQ149" s="510">
        <f t="shared" ref="AQ149:AQ155" si="17">AO149*AP149</f>
        <v>23875.4</v>
      </c>
      <c r="AR149" s="193"/>
      <c r="AS149" s="193"/>
      <c r="AT149" s="367"/>
    </row>
    <row r="150" spans="1:46" ht="16.5" customHeight="1">
      <c r="A150" s="180"/>
      <c r="B150" s="422" t="s">
        <v>1055</v>
      </c>
      <c r="C150" s="441" t="s">
        <v>1056</v>
      </c>
      <c r="D150" s="47" t="s">
        <v>1090</v>
      </c>
      <c r="E150" s="319">
        <v>8</v>
      </c>
      <c r="F150" s="646">
        <v>1</v>
      </c>
      <c r="G150" s="4"/>
      <c r="H150" s="441" t="s">
        <v>1058</v>
      </c>
      <c r="I150" s="47" t="s">
        <v>1090</v>
      </c>
      <c r="J150" s="319">
        <v>8</v>
      </c>
      <c r="K150" s="646">
        <v>1</v>
      </c>
      <c r="L150" s="4"/>
      <c r="M150" s="441" t="s">
        <v>1058</v>
      </c>
      <c r="N150" s="47" t="s">
        <v>1090</v>
      </c>
      <c r="O150" s="319">
        <v>8</v>
      </c>
      <c r="P150" s="646">
        <v>1</v>
      </c>
      <c r="Q150" s="4"/>
      <c r="R150" s="441" t="s">
        <v>1058</v>
      </c>
      <c r="S150" s="47" t="s">
        <v>1090</v>
      </c>
      <c r="T150" s="319">
        <v>8</v>
      </c>
      <c r="U150" s="646">
        <v>1</v>
      </c>
      <c r="V150" s="4"/>
      <c r="W150" s="47"/>
      <c r="X150" s="47"/>
      <c r="Y150" s="319">
        <v>8</v>
      </c>
      <c r="Z150" s="646"/>
      <c r="AA150" s="328">
        <f t="shared" ref="AA150:AA172" si="18">(E150+J150+O150+T150+Y150)</f>
        <v>40</v>
      </c>
      <c r="AB150" s="298">
        <f t="shared" ref="AB150:AB172" si="19">Z150+U150+P150+K150+F150</f>
        <v>4</v>
      </c>
      <c r="AC150" s="4"/>
      <c r="AD150" s="587"/>
      <c r="AE150" s="531"/>
      <c r="AF150" s="319"/>
      <c r="AG150" s="587"/>
      <c r="AH150" s="531"/>
      <c r="AI150" s="319"/>
      <c r="AJ150" s="328">
        <f t="shared" ref="AJ150:AJ172" si="20">AI150</f>
        <v>0</v>
      </c>
      <c r="AK150" s="4"/>
      <c r="AL150" s="368"/>
      <c r="AM150" s="367"/>
      <c r="AN150" s="691" t="s">
        <v>30</v>
      </c>
      <c r="AO150" s="196">
        <f>AB173</f>
        <v>57</v>
      </c>
      <c r="AP150" s="511">
        <f>AP149*1.5</f>
        <v>58.71</v>
      </c>
      <c r="AQ150" s="510">
        <f t="shared" si="17"/>
        <v>3346.4700000000003</v>
      </c>
      <c r="AR150" s="193"/>
      <c r="AS150" s="193"/>
      <c r="AT150" s="367"/>
    </row>
    <row r="151" spans="1:46" ht="16.5" customHeight="1">
      <c r="A151" s="367"/>
      <c r="B151" s="699" t="s">
        <v>1059</v>
      </c>
      <c r="C151" s="441" t="s">
        <v>1056</v>
      </c>
      <c r="D151" s="47" t="s">
        <v>1090</v>
      </c>
      <c r="E151" s="319">
        <v>8</v>
      </c>
      <c r="F151" s="646">
        <v>1</v>
      </c>
      <c r="G151" s="4"/>
      <c r="H151" s="441" t="s">
        <v>1058</v>
      </c>
      <c r="I151" s="47" t="s">
        <v>1101</v>
      </c>
      <c r="J151" s="319">
        <v>8</v>
      </c>
      <c r="K151" s="646">
        <v>1</v>
      </c>
      <c r="L151" s="4"/>
      <c r="M151" s="441" t="s">
        <v>1058</v>
      </c>
      <c r="N151" s="47" t="s">
        <v>1101</v>
      </c>
      <c r="O151" s="319">
        <v>8</v>
      </c>
      <c r="P151" s="646">
        <v>1</v>
      </c>
      <c r="Q151" s="4"/>
      <c r="R151" s="441" t="s">
        <v>1058</v>
      </c>
      <c r="S151" s="47" t="s">
        <v>1090</v>
      </c>
      <c r="T151" s="319">
        <v>8</v>
      </c>
      <c r="U151" s="646">
        <v>1</v>
      </c>
      <c r="V151" s="4"/>
      <c r="W151" s="47"/>
      <c r="X151" s="47"/>
      <c r="Y151" s="319">
        <v>8</v>
      </c>
      <c r="Z151" s="646"/>
      <c r="AA151" s="328">
        <f t="shared" si="18"/>
        <v>40</v>
      </c>
      <c r="AB151" s="298">
        <f t="shared" si="19"/>
        <v>4</v>
      </c>
      <c r="AC151" s="4"/>
      <c r="AD151" s="180"/>
      <c r="AE151" s="180"/>
      <c r="AF151" s="319"/>
      <c r="AG151" s="180"/>
      <c r="AH151" s="180"/>
      <c r="AI151" s="319"/>
      <c r="AJ151" s="328">
        <f t="shared" si="20"/>
        <v>0</v>
      </c>
      <c r="AK151" s="175"/>
      <c r="AL151" s="402"/>
      <c r="AM151" s="367"/>
      <c r="AN151" s="691" t="s">
        <v>32</v>
      </c>
      <c r="AO151" s="196">
        <f>AJ173</f>
        <v>0</v>
      </c>
      <c r="AP151" s="510">
        <v>58.71</v>
      </c>
      <c r="AQ151" s="510">
        <f t="shared" si="17"/>
        <v>0</v>
      </c>
      <c r="AR151" s="193"/>
      <c r="AS151" s="193"/>
      <c r="AT151" s="367"/>
    </row>
    <row r="152" spans="1:46" ht="16.5" customHeight="1">
      <c r="A152" s="367"/>
      <c r="B152" s="422" t="s">
        <v>1060</v>
      </c>
      <c r="C152" s="441" t="s">
        <v>1056</v>
      </c>
      <c r="D152" s="47" t="s">
        <v>1090</v>
      </c>
      <c r="E152" s="319">
        <v>8</v>
      </c>
      <c r="F152" s="646">
        <v>1</v>
      </c>
      <c r="G152" s="4"/>
      <c r="H152" s="441" t="s">
        <v>1058</v>
      </c>
      <c r="I152" s="47" t="s">
        <v>1090</v>
      </c>
      <c r="J152" s="319">
        <v>8</v>
      </c>
      <c r="K152" s="646">
        <v>1</v>
      </c>
      <c r="L152" s="4"/>
      <c r="M152" s="441" t="s">
        <v>1058</v>
      </c>
      <c r="N152" s="47" t="s">
        <v>1090</v>
      </c>
      <c r="O152" s="319">
        <v>8</v>
      </c>
      <c r="P152" s="646">
        <v>1</v>
      </c>
      <c r="Q152" s="4"/>
      <c r="R152" s="441" t="s">
        <v>1058</v>
      </c>
      <c r="S152" s="47" t="s">
        <v>1105</v>
      </c>
      <c r="T152" s="319">
        <v>8</v>
      </c>
      <c r="U152" s="646">
        <v>4</v>
      </c>
      <c r="V152" s="4"/>
      <c r="W152" s="47"/>
      <c r="X152" s="47"/>
      <c r="Y152" s="319">
        <v>8</v>
      </c>
      <c r="Z152" s="646"/>
      <c r="AA152" s="328">
        <f t="shared" si="18"/>
        <v>40</v>
      </c>
      <c r="AB152" s="298">
        <f t="shared" si="19"/>
        <v>7</v>
      </c>
      <c r="AC152" s="399"/>
      <c r="AD152" s="47"/>
      <c r="AE152" s="47"/>
      <c r="AF152" s="319"/>
      <c r="AG152" s="47"/>
      <c r="AH152" s="47"/>
      <c r="AI152" s="319"/>
      <c r="AJ152" s="328">
        <f t="shared" si="20"/>
        <v>0</v>
      </c>
      <c r="AK152" s="175"/>
      <c r="AL152" s="255"/>
      <c r="AM152" s="401"/>
      <c r="AN152" s="403" t="s">
        <v>213</v>
      </c>
      <c r="AO152" s="404">
        <f>AA175</f>
        <v>0</v>
      </c>
      <c r="AP152" s="510">
        <v>51.5</v>
      </c>
      <c r="AQ152" s="510">
        <f t="shared" si="17"/>
        <v>0</v>
      </c>
      <c r="AR152" s="405"/>
      <c r="AS152" s="405"/>
      <c r="AT152" s="367"/>
    </row>
    <row r="153" spans="1:46" ht="16.5" customHeight="1">
      <c r="A153" s="367"/>
      <c r="B153" s="422" t="s">
        <v>1061</v>
      </c>
      <c r="C153" s="441" t="s">
        <v>1056</v>
      </c>
      <c r="D153" s="5" t="s">
        <v>1090</v>
      </c>
      <c r="E153" s="319">
        <v>8</v>
      </c>
      <c r="F153" s="646">
        <v>1</v>
      </c>
      <c r="G153" s="4"/>
      <c r="H153" s="441" t="s">
        <v>1058</v>
      </c>
      <c r="I153" s="47" t="s">
        <v>1105</v>
      </c>
      <c r="J153" s="319">
        <v>8</v>
      </c>
      <c r="K153" s="646">
        <v>4</v>
      </c>
      <c r="L153" s="4"/>
      <c r="M153" s="441" t="s">
        <v>1058</v>
      </c>
      <c r="N153" s="47" t="s">
        <v>1105</v>
      </c>
      <c r="O153" s="319">
        <v>8</v>
      </c>
      <c r="P153" s="646">
        <v>4</v>
      </c>
      <c r="Q153" s="4"/>
      <c r="R153" s="441" t="s">
        <v>1058</v>
      </c>
      <c r="S153" s="47" t="s">
        <v>1106</v>
      </c>
      <c r="T153" s="319">
        <v>8</v>
      </c>
      <c r="U153" s="646">
        <v>5</v>
      </c>
      <c r="V153" s="4"/>
      <c r="W153" s="5"/>
      <c r="X153" s="5"/>
      <c r="Y153" s="319">
        <v>8</v>
      </c>
      <c r="Z153" s="646"/>
      <c r="AA153" s="328">
        <f t="shared" si="18"/>
        <v>40</v>
      </c>
      <c r="AB153" s="298">
        <f t="shared" si="19"/>
        <v>14</v>
      </c>
      <c r="AC153" s="175"/>
      <c r="AD153" s="47"/>
      <c r="AE153" s="47"/>
      <c r="AF153" s="319"/>
      <c r="AG153" s="47"/>
      <c r="AH153" s="47"/>
      <c r="AI153" s="319"/>
      <c r="AJ153" s="328">
        <f t="shared" si="20"/>
        <v>0</v>
      </c>
      <c r="AK153" s="175"/>
      <c r="AL153" s="255"/>
      <c r="AM153" s="401"/>
      <c r="AN153" s="188" t="s">
        <v>36</v>
      </c>
      <c r="AO153" s="196">
        <f>AB175</f>
        <v>0</v>
      </c>
      <c r="AP153" s="510">
        <f>AP152*1.5</f>
        <v>77.25</v>
      </c>
      <c r="AQ153" s="510">
        <f t="shared" si="17"/>
        <v>0</v>
      </c>
      <c r="AR153" s="405"/>
      <c r="AS153" s="405"/>
      <c r="AT153" s="367"/>
    </row>
    <row r="154" spans="1:46" ht="16.5" customHeight="1">
      <c r="A154" s="367"/>
      <c r="B154" s="422" t="s">
        <v>1062</v>
      </c>
      <c r="C154" s="441" t="s">
        <v>1056</v>
      </c>
      <c r="D154" s="47" t="s">
        <v>1057</v>
      </c>
      <c r="E154" s="319">
        <v>8</v>
      </c>
      <c r="F154" s="646">
        <v>0</v>
      </c>
      <c r="G154" s="4"/>
      <c r="H154" s="441" t="s">
        <v>1058</v>
      </c>
      <c r="I154" s="47" t="s">
        <v>1107</v>
      </c>
      <c r="J154" s="319">
        <v>8</v>
      </c>
      <c r="K154" s="646">
        <v>1</v>
      </c>
      <c r="L154" s="4"/>
      <c r="M154" s="441" t="s">
        <v>1058</v>
      </c>
      <c r="N154" s="47" t="s">
        <v>1107</v>
      </c>
      <c r="O154" s="319">
        <v>8</v>
      </c>
      <c r="P154" s="646">
        <v>1</v>
      </c>
      <c r="Q154" s="4"/>
      <c r="R154" s="441" t="s">
        <v>1058</v>
      </c>
      <c r="S154" s="47" t="s">
        <v>1090</v>
      </c>
      <c r="T154" s="319">
        <v>8</v>
      </c>
      <c r="U154" s="646">
        <v>1</v>
      </c>
      <c r="V154" s="4"/>
      <c r="W154" s="47"/>
      <c r="X154" s="47"/>
      <c r="Y154" s="319">
        <v>8</v>
      </c>
      <c r="Z154" s="646"/>
      <c r="AA154" s="328">
        <f t="shared" si="18"/>
        <v>40</v>
      </c>
      <c r="AB154" s="298">
        <f t="shared" si="19"/>
        <v>3</v>
      </c>
      <c r="AC154" s="4"/>
      <c r="AD154" s="47"/>
      <c r="AE154" s="47"/>
      <c r="AF154" s="319"/>
      <c r="AG154" s="47"/>
      <c r="AH154" s="47"/>
      <c r="AI154" s="319"/>
      <c r="AJ154" s="328">
        <f t="shared" si="20"/>
        <v>0</v>
      </c>
      <c r="AK154" s="175"/>
      <c r="AL154" s="368"/>
      <c r="AM154" s="180"/>
      <c r="AN154" s="188" t="s">
        <v>38</v>
      </c>
      <c r="AO154" s="196">
        <f>AJ175</f>
        <v>0</v>
      </c>
      <c r="AP154" s="510">
        <v>77.25</v>
      </c>
      <c r="AQ154" s="510">
        <f t="shared" si="17"/>
        <v>0</v>
      </c>
      <c r="AR154" s="193"/>
      <c r="AS154" s="193"/>
      <c r="AT154" s="367"/>
    </row>
    <row r="155" spans="1:46" ht="16.5" customHeight="1" thickBot="1">
      <c r="A155" s="180"/>
      <c r="B155" s="422" t="s">
        <v>1063</v>
      </c>
      <c r="C155" s="441" t="s">
        <v>1056</v>
      </c>
      <c r="D155" s="47" t="s">
        <v>1090</v>
      </c>
      <c r="E155" s="319">
        <v>8</v>
      </c>
      <c r="F155" s="646">
        <v>1</v>
      </c>
      <c r="G155" s="4"/>
      <c r="H155" s="441" t="s">
        <v>1058</v>
      </c>
      <c r="I155" s="47" t="s">
        <v>1090</v>
      </c>
      <c r="J155" s="319">
        <v>8</v>
      </c>
      <c r="K155" s="646">
        <v>1</v>
      </c>
      <c r="L155" s="4"/>
      <c r="M155" s="441" t="s">
        <v>1058</v>
      </c>
      <c r="N155" s="47" t="s">
        <v>1090</v>
      </c>
      <c r="O155" s="319">
        <v>8</v>
      </c>
      <c r="P155" s="646">
        <v>1</v>
      </c>
      <c r="Q155" s="4"/>
      <c r="R155" s="441" t="s">
        <v>1058</v>
      </c>
      <c r="S155" s="47" t="s">
        <v>1090</v>
      </c>
      <c r="T155" s="319">
        <v>8</v>
      </c>
      <c r="U155" s="646">
        <v>1</v>
      </c>
      <c r="V155" s="4"/>
      <c r="W155" s="47"/>
      <c r="X155" s="47"/>
      <c r="Y155" s="319">
        <v>8</v>
      </c>
      <c r="Z155" s="646"/>
      <c r="AA155" s="328">
        <f t="shared" si="18"/>
        <v>40</v>
      </c>
      <c r="AB155" s="298">
        <f t="shared" si="19"/>
        <v>4</v>
      </c>
      <c r="AC155" s="4"/>
      <c r="AD155" s="47"/>
      <c r="AE155" s="47"/>
      <c r="AF155" s="319"/>
      <c r="AG155" s="47"/>
      <c r="AH155" s="47"/>
      <c r="AI155" s="319"/>
      <c r="AJ155" s="328">
        <f t="shared" si="20"/>
        <v>0</v>
      </c>
      <c r="AK155" s="4"/>
      <c r="AL155" s="255"/>
      <c r="AM155" s="180"/>
      <c r="AN155" s="188" t="s">
        <v>41</v>
      </c>
      <c r="AO155" s="196">
        <f>C176</f>
        <v>0</v>
      </c>
      <c r="AP155" s="512">
        <v>46.35</v>
      </c>
      <c r="AQ155" s="512">
        <f t="shared" si="17"/>
        <v>0</v>
      </c>
      <c r="AR155" s="193"/>
      <c r="AS155" s="193"/>
      <c r="AT155" s="367"/>
    </row>
    <row r="156" spans="1:46" ht="16.5" customHeight="1" thickTop="1">
      <c r="A156" s="180"/>
      <c r="B156" s="422" t="s">
        <v>1064</v>
      </c>
      <c r="C156" s="441" t="s">
        <v>1056</v>
      </c>
      <c r="D156" s="47" t="s">
        <v>1090</v>
      </c>
      <c r="E156" s="319">
        <v>8</v>
      </c>
      <c r="F156" s="646">
        <v>1</v>
      </c>
      <c r="G156" s="4"/>
      <c r="H156" s="441" t="s">
        <v>1058</v>
      </c>
      <c r="I156" s="47" t="s">
        <v>1089</v>
      </c>
      <c r="J156" s="319">
        <v>8</v>
      </c>
      <c r="K156" s="646">
        <v>3</v>
      </c>
      <c r="L156" s="4"/>
      <c r="M156" s="441" t="s">
        <v>1058</v>
      </c>
      <c r="N156" s="47" t="s">
        <v>1089</v>
      </c>
      <c r="O156" s="319">
        <v>8</v>
      </c>
      <c r="P156" s="646">
        <v>3</v>
      </c>
      <c r="Q156" s="4"/>
      <c r="R156" s="441" t="s">
        <v>1058</v>
      </c>
      <c r="S156" s="47" t="s">
        <v>1089</v>
      </c>
      <c r="T156" s="319">
        <v>8</v>
      </c>
      <c r="U156" s="646">
        <v>3</v>
      </c>
      <c r="V156" s="4"/>
      <c r="W156" s="47"/>
      <c r="X156" s="47"/>
      <c r="Y156" s="319">
        <v>8</v>
      </c>
      <c r="Z156" s="646"/>
      <c r="AA156" s="328">
        <f t="shared" si="18"/>
        <v>40</v>
      </c>
      <c r="AB156" s="298">
        <f t="shared" si="19"/>
        <v>10</v>
      </c>
      <c r="AC156" s="4"/>
      <c r="AD156" s="47"/>
      <c r="AE156" s="47"/>
      <c r="AF156" s="319"/>
      <c r="AG156" s="47"/>
      <c r="AH156" s="47"/>
      <c r="AI156" s="319"/>
      <c r="AJ156" s="328">
        <f t="shared" si="20"/>
        <v>0</v>
      </c>
      <c r="AK156" s="4"/>
      <c r="AL156" s="255"/>
      <c r="AM156" s="180"/>
      <c r="AN156" s="193"/>
      <c r="AO156" s="193"/>
      <c r="AP156" s="193"/>
      <c r="AQ156" s="510">
        <f>SUM(AQ149:AQ155)</f>
        <v>27221.870000000003</v>
      </c>
      <c r="AR156" s="193"/>
      <c r="AS156" s="193"/>
      <c r="AT156" s="367"/>
    </row>
    <row r="157" spans="1:46" ht="16.5" customHeight="1">
      <c r="A157" s="180"/>
      <c r="B157" s="422" t="s">
        <v>1065</v>
      </c>
      <c r="C157" s="441" t="s">
        <v>1056</v>
      </c>
      <c r="D157" s="47" t="s">
        <v>1090</v>
      </c>
      <c r="E157" s="319">
        <v>8</v>
      </c>
      <c r="F157" s="646">
        <v>1</v>
      </c>
      <c r="G157" s="4"/>
      <c r="H157" s="441" t="s">
        <v>1058</v>
      </c>
      <c r="I157" s="47" t="s">
        <v>1090</v>
      </c>
      <c r="J157" s="319">
        <v>8</v>
      </c>
      <c r="K157" s="646">
        <v>1</v>
      </c>
      <c r="L157" s="4"/>
      <c r="M157" s="441" t="s">
        <v>1058</v>
      </c>
      <c r="N157" s="47" t="s">
        <v>1090</v>
      </c>
      <c r="O157" s="319">
        <v>8</v>
      </c>
      <c r="P157" s="646">
        <v>1</v>
      </c>
      <c r="Q157" s="4"/>
      <c r="R157" s="441" t="s">
        <v>1058</v>
      </c>
      <c r="S157" s="47" t="s">
        <v>1090</v>
      </c>
      <c r="T157" s="319">
        <v>8</v>
      </c>
      <c r="U157" s="646">
        <v>1</v>
      </c>
      <c r="V157" s="4"/>
      <c r="W157" s="47"/>
      <c r="X157" s="47"/>
      <c r="Y157" s="319">
        <v>8</v>
      </c>
      <c r="Z157" s="646"/>
      <c r="AA157" s="328">
        <f t="shared" si="18"/>
        <v>40</v>
      </c>
      <c r="AB157" s="298">
        <f t="shared" si="19"/>
        <v>4</v>
      </c>
      <c r="AC157" s="4"/>
      <c r="AD157" s="47"/>
      <c r="AE157" s="47"/>
      <c r="AF157" s="319"/>
      <c r="AG157" s="47"/>
      <c r="AH157" s="47"/>
      <c r="AI157" s="319"/>
      <c r="AJ157" s="328">
        <f t="shared" si="20"/>
        <v>0</v>
      </c>
      <c r="AK157" s="4"/>
      <c r="AL157" s="255"/>
      <c r="AM157" s="180"/>
      <c r="AN157" s="193"/>
      <c r="AO157" s="193"/>
      <c r="AP157" s="193"/>
      <c r="AQ157" s="193"/>
      <c r="AR157" s="193"/>
      <c r="AS157" s="193"/>
      <c r="AT157" s="367"/>
    </row>
    <row r="158" spans="1:46" ht="16.5" customHeight="1">
      <c r="A158" s="180"/>
      <c r="B158" s="693" t="s">
        <v>1066</v>
      </c>
      <c r="C158" s="441" t="s">
        <v>1056</v>
      </c>
      <c r="D158" s="47" t="s">
        <v>1090</v>
      </c>
      <c r="E158" s="319">
        <v>8</v>
      </c>
      <c r="F158" s="646">
        <v>1</v>
      </c>
      <c r="G158" s="4"/>
      <c r="H158" s="441" t="s">
        <v>1058</v>
      </c>
      <c r="I158" s="47" t="s">
        <v>1057</v>
      </c>
      <c r="J158" s="319">
        <v>8</v>
      </c>
      <c r="K158" s="646">
        <v>0</v>
      </c>
      <c r="L158" s="4"/>
      <c r="M158" s="441" t="s">
        <v>1058</v>
      </c>
      <c r="N158" s="47" t="s">
        <v>1057</v>
      </c>
      <c r="O158" s="319">
        <v>8</v>
      </c>
      <c r="P158" s="646">
        <v>0</v>
      </c>
      <c r="Q158" s="4"/>
      <c r="R158" s="441" t="s">
        <v>1058</v>
      </c>
      <c r="S158" s="47" t="s">
        <v>1057</v>
      </c>
      <c r="T158" s="319">
        <v>8</v>
      </c>
      <c r="U158" s="646">
        <v>0</v>
      </c>
      <c r="V158" s="4"/>
      <c r="W158" s="47"/>
      <c r="X158" s="47"/>
      <c r="Y158" s="319">
        <v>8</v>
      </c>
      <c r="Z158" s="646"/>
      <c r="AA158" s="328">
        <f t="shared" si="18"/>
        <v>40</v>
      </c>
      <c r="AB158" s="298">
        <f t="shared" si="19"/>
        <v>1</v>
      </c>
      <c r="AC158" s="4"/>
      <c r="AD158" s="47"/>
      <c r="AE158" s="47"/>
      <c r="AF158" s="319"/>
      <c r="AG158" s="47"/>
      <c r="AH158" s="47"/>
      <c r="AI158" s="319"/>
      <c r="AJ158" s="328">
        <f t="shared" si="20"/>
        <v>0</v>
      </c>
      <c r="AK158" s="4"/>
      <c r="AL158" s="255"/>
      <c r="AM158" s="180"/>
      <c r="AN158" s="193"/>
      <c r="AO158" s="193"/>
      <c r="AP158" s="193"/>
      <c r="AQ158" s="193"/>
      <c r="AR158" s="193"/>
      <c r="AS158" s="193"/>
      <c r="AT158" s="180"/>
    </row>
    <row r="159" spans="1:46" ht="16.5" customHeight="1">
      <c r="A159" s="180"/>
      <c r="B159" s="678" t="s">
        <v>1067</v>
      </c>
      <c r="C159" s="441" t="s">
        <v>1056</v>
      </c>
      <c r="D159" s="47" t="s">
        <v>1057</v>
      </c>
      <c r="E159" s="319">
        <v>8</v>
      </c>
      <c r="F159" s="646">
        <v>0</v>
      </c>
      <c r="G159" s="4"/>
      <c r="H159" s="441" t="s">
        <v>1058</v>
      </c>
      <c r="I159" s="47" t="s">
        <v>1108</v>
      </c>
      <c r="J159" s="319">
        <v>8</v>
      </c>
      <c r="K159" s="646">
        <v>0</v>
      </c>
      <c r="L159" s="4"/>
      <c r="M159" s="441" t="s">
        <v>1058</v>
      </c>
      <c r="N159" s="47" t="s">
        <v>1108</v>
      </c>
      <c r="O159" s="319">
        <v>8</v>
      </c>
      <c r="P159" s="646">
        <v>0</v>
      </c>
      <c r="Q159" s="4"/>
      <c r="R159" s="441" t="s">
        <v>1058</v>
      </c>
      <c r="S159" s="47" t="s">
        <v>1057</v>
      </c>
      <c r="T159" s="319">
        <v>8</v>
      </c>
      <c r="U159" s="646">
        <v>0</v>
      </c>
      <c r="V159" s="4"/>
      <c r="W159" s="47"/>
      <c r="X159" s="47"/>
      <c r="Y159" s="319">
        <v>8</v>
      </c>
      <c r="Z159" s="646"/>
      <c r="AA159" s="328">
        <f t="shared" si="18"/>
        <v>40</v>
      </c>
      <c r="AB159" s="298">
        <f t="shared" si="19"/>
        <v>0</v>
      </c>
      <c r="AC159" s="4"/>
      <c r="AD159" s="47"/>
      <c r="AE159" s="47"/>
      <c r="AF159" s="319"/>
      <c r="AG159" s="47"/>
      <c r="AH159" s="47"/>
      <c r="AI159" s="319"/>
      <c r="AJ159" s="328">
        <f t="shared" si="20"/>
        <v>0</v>
      </c>
      <c r="AK159" s="4"/>
      <c r="AL159" s="255"/>
      <c r="AM159" s="180"/>
      <c r="AN159" s="193"/>
      <c r="AO159" s="193"/>
      <c r="AP159" s="193"/>
      <c r="AQ159" s="193"/>
      <c r="AR159" s="193"/>
      <c r="AS159" s="193"/>
      <c r="AT159" s="180"/>
    </row>
    <row r="160" spans="1:46" ht="16.5" customHeight="1">
      <c r="A160" s="180"/>
      <c r="B160" s="422" t="s">
        <v>44</v>
      </c>
      <c r="C160" s="441" t="s">
        <v>1056</v>
      </c>
      <c r="D160" s="47" t="s">
        <v>1090</v>
      </c>
      <c r="E160" s="319">
        <v>8</v>
      </c>
      <c r="F160" s="646">
        <v>1</v>
      </c>
      <c r="G160" s="4"/>
      <c r="H160" s="441" t="s">
        <v>1058</v>
      </c>
      <c r="I160" s="47" t="s">
        <v>1108</v>
      </c>
      <c r="J160" s="319">
        <v>8</v>
      </c>
      <c r="K160" s="646">
        <v>0</v>
      </c>
      <c r="L160" s="4"/>
      <c r="M160" s="441" t="s">
        <v>1058</v>
      </c>
      <c r="N160" s="47" t="s">
        <v>1108</v>
      </c>
      <c r="O160" s="319">
        <v>8</v>
      </c>
      <c r="P160" s="646">
        <v>0</v>
      </c>
      <c r="Q160" s="4"/>
      <c r="R160" s="441" t="s">
        <v>1058</v>
      </c>
      <c r="S160" s="47" t="s">
        <v>1057</v>
      </c>
      <c r="T160" s="319">
        <v>8</v>
      </c>
      <c r="U160" s="646">
        <v>0</v>
      </c>
      <c r="V160" s="4"/>
      <c r="W160" s="47"/>
      <c r="X160" s="47"/>
      <c r="Y160" s="319">
        <v>8</v>
      </c>
      <c r="Z160" s="646"/>
      <c r="AA160" s="328">
        <f t="shared" si="18"/>
        <v>40</v>
      </c>
      <c r="AB160" s="298">
        <f t="shared" si="19"/>
        <v>1</v>
      </c>
      <c r="AC160" s="4"/>
      <c r="AD160" s="47"/>
      <c r="AE160" s="47"/>
      <c r="AF160" s="319"/>
      <c r="AG160" s="47"/>
      <c r="AH160" s="47"/>
      <c r="AI160" s="319"/>
      <c r="AJ160" s="328">
        <f t="shared" si="20"/>
        <v>0</v>
      </c>
      <c r="AK160" s="4"/>
      <c r="AL160" s="255"/>
      <c r="AM160" s="180"/>
      <c r="AN160" s="193"/>
      <c r="AO160" s="193"/>
      <c r="AP160" s="193"/>
      <c r="AQ160" s="193"/>
      <c r="AR160" s="193"/>
      <c r="AS160" s="193"/>
      <c r="AT160" s="180"/>
    </row>
    <row r="161" spans="1:46" ht="16.5" customHeight="1">
      <c r="A161" s="180"/>
      <c r="B161" s="699" t="s">
        <v>241</v>
      </c>
      <c r="C161" s="441" t="s">
        <v>1056</v>
      </c>
      <c r="D161" s="47" t="s">
        <v>1090</v>
      </c>
      <c r="E161" s="319">
        <v>8</v>
      </c>
      <c r="F161" s="646">
        <v>1</v>
      </c>
      <c r="G161" s="4"/>
      <c r="H161" s="441" t="s">
        <v>1058</v>
      </c>
      <c r="I161" s="47" t="s">
        <v>1090</v>
      </c>
      <c r="J161" s="319">
        <v>8</v>
      </c>
      <c r="K161" s="646"/>
      <c r="L161" s="4"/>
      <c r="M161" s="441" t="s">
        <v>1058</v>
      </c>
      <c r="N161" s="47" t="s">
        <v>1090</v>
      </c>
      <c r="O161" s="319">
        <v>8</v>
      </c>
      <c r="P161" s="646"/>
      <c r="Q161" s="4"/>
      <c r="R161" s="441" t="s">
        <v>1058</v>
      </c>
      <c r="S161" s="47" t="s">
        <v>1090</v>
      </c>
      <c r="T161" s="319">
        <v>8</v>
      </c>
      <c r="U161" s="646"/>
      <c r="V161" s="4"/>
      <c r="W161" s="47"/>
      <c r="X161" s="47"/>
      <c r="Y161" s="319">
        <v>8</v>
      </c>
      <c r="Z161" s="646"/>
      <c r="AA161" s="328">
        <f t="shared" si="18"/>
        <v>40</v>
      </c>
      <c r="AB161" s="298">
        <f t="shared" si="19"/>
        <v>1</v>
      </c>
      <c r="AC161" s="4"/>
      <c r="AD161" s="47"/>
      <c r="AE161" s="47"/>
      <c r="AF161" s="319"/>
      <c r="AG161" s="47"/>
      <c r="AH161" s="47"/>
      <c r="AI161" s="319"/>
      <c r="AJ161" s="328">
        <f t="shared" si="20"/>
        <v>0</v>
      </c>
      <c r="AK161" s="4"/>
      <c r="AL161" s="255"/>
      <c r="AM161" s="180"/>
      <c r="AN161" s="193"/>
      <c r="AO161" s="193"/>
      <c r="AP161" s="193"/>
      <c r="AQ161" s="193"/>
      <c r="AR161" s="193"/>
      <c r="AS161" s="193"/>
      <c r="AT161" s="180"/>
    </row>
    <row r="162" spans="1:46" ht="16.5" customHeight="1">
      <c r="A162" s="180"/>
      <c r="B162" s="700" t="s">
        <v>354</v>
      </c>
      <c r="C162" s="441" t="s">
        <v>154</v>
      </c>
      <c r="D162" s="47">
        <v>0</v>
      </c>
      <c r="E162" s="319">
        <v>0</v>
      </c>
      <c r="F162" s="646">
        <v>0</v>
      </c>
      <c r="G162" s="4"/>
      <c r="H162" s="441" t="s">
        <v>1058</v>
      </c>
      <c r="I162" s="47" t="s">
        <v>1090</v>
      </c>
      <c r="J162" s="319">
        <v>8</v>
      </c>
      <c r="K162" s="646"/>
      <c r="L162" s="4"/>
      <c r="M162" s="441" t="s">
        <v>1058</v>
      </c>
      <c r="N162" s="47" t="s">
        <v>1090</v>
      </c>
      <c r="O162" s="319">
        <v>8</v>
      </c>
      <c r="P162" s="646"/>
      <c r="Q162" s="4"/>
      <c r="R162" s="441"/>
      <c r="S162" s="47"/>
      <c r="T162" s="319">
        <v>8</v>
      </c>
      <c r="U162" s="646"/>
      <c r="V162" s="4"/>
      <c r="W162" s="47"/>
      <c r="X162" s="47"/>
      <c r="Y162" s="319">
        <v>8</v>
      </c>
      <c r="Z162" s="646"/>
      <c r="AA162" s="328">
        <f t="shared" si="18"/>
        <v>32</v>
      </c>
      <c r="AB162" s="298">
        <f t="shared" si="19"/>
        <v>0</v>
      </c>
      <c r="AC162" s="4"/>
      <c r="AD162" s="47"/>
      <c r="AE162" s="47"/>
      <c r="AF162" s="319"/>
      <c r="AG162" s="47"/>
      <c r="AH162" s="47"/>
      <c r="AI162" s="319"/>
      <c r="AJ162" s="328">
        <f t="shared" si="20"/>
        <v>0</v>
      </c>
      <c r="AK162" s="4"/>
      <c r="AL162" s="255"/>
      <c r="AM162" s="180"/>
      <c r="AN162" s="193"/>
      <c r="AO162" s="193"/>
      <c r="AP162" s="193"/>
      <c r="AQ162" s="193"/>
      <c r="AR162" s="193"/>
      <c r="AS162" s="193"/>
      <c r="AT162" s="180"/>
    </row>
    <row r="163" spans="1:46" ht="16.5" customHeight="1">
      <c r="A163" s="180"/>
      <c r="B163" s="700" t="s">
        <v>242</v>
      </c>
      <c r="C163" s="441" t="s">
        <v>1056</v>
      </c>
      <c r="D163" s="47" t="s">
        <v>1057</v>
      </c>
      <c r="E163" s="319">
        <v>8</v>
      </c>
      <c r="F163" s="646">
        <v>0</v>
      </c>
      <c r="G163" s="4"/>
      <c r="H163" s="441" t="s">
        <v>1058</v>
      </c>
      <c r="I163" s="47" t="s">
        <v>1057</v>
      </c>
      <c r="J163" s="319">
        <v>8</v>
      </c>
      <c r="K163" s="646">
        <v>0</v>
      </c>
      <c r="L163" s="4"/>
      <c r="M163" s="441" t="s">
        <v>1058</v>
      </c>
      <c r="N163" s="47" t="s">
        <v>1057</v>
      </c>
      <c r="O163" s="319">
        <v>8</v>
      </c>
      <c r="P163" s="646">
        <v>0</v>
      </c>
      <c r="Q163" s="4"/>
      <c r="R163" s="441"/>
      <c r="S163" s="47"/>
      <c r="T163" s="319">
        <v>8</v>
      </c>
      <c r="U163" s="646">
        <v>0</v>
      </c>
      <c r="V163" s="4"/>
      <c r="W163" s="47"/>
      <c r="X163" s="47"/>
      <c r="Y163" s="319">
        <v>8</v>
      </c>
      <c r="Z163" s="646"/>
      <c r="AA163" s="328">
        <f t="shared" si="18"/>
        <v>40</v>
      </c>
      <c r="AB163" s="298">
        <f t="shared" si="19"/>
        <v>0</v>
      </c>
      <c r="AC163" s="4"/>
      <c r="AD163" s="47"/>
      <c r="AE163" s="47"/>
      <c r="AF163" s="319"/>
      <c r="AG163" s="47"/>
      <c r="AH163" s="47"/>
      <c r="AI163" s="319"/>
      <c r="AJ163" s="328">
        <f t="shared" si="20"/>
        <v>0</v>
      </c>
      <c r="AK163" s="4"/>
      <c r="AL163" s="255"/>
      <c r="AM163" s="180"/>
      <c r="AN163" s="193"/>
      <c r="AO163" s="193"/>
      <c r="AP163" s="193"/>
      <c r="AQ163" s="193"/>
      <c r="AR163" s="193"/>
      <c r="AS163" s="193"/>
      <c r="AT163" s="180"/>
    </row>
    <row r="164" spans="1:46" ht="16.5" customHeight="1">
      <c r="A164" s="180"/>
      <c r="B164" s="697" t="s">
        <v>1104</v>
      </c>
      <c r="C164" s="441" t="s">
        <v>1056</v>
      </c>
      <c r="D164" s="47" t="s">
        <v>1090</v>
      </c>
      <c r="E164" s="319">
        <v>8</v>
      </c>
      <c r="F164" s="646">
        <v>1</v>
      </c>
      <c r="G164" s="4"/>
      <c r="H164" s="441" t="s">
        <v>1058</v>
      </c>
      <c r="I164" s="47" t="s">
        <v>1090</v>
      </c>
      <c r="J164" s="319">
        <v>8</v>
      </c>
      <c r="K164" s="646">
        <v>1</v>
      </c>
      <c r="L164" s="4"/>
      <c r="M164" s="441" t="s">
        <v>1058</v>
      </c>
      <c r="N164" s="47" t="s">
        <v>1090</v>
      </c>
      <c r="O164" s="319">
        <v>8</v>
      </c>
      <c r="P164" s="646">
        <v>1</v>
      </c>
      <c r="Q164" s="4"/>
      <c r="R164" s="441" t="s">
        <v>1058</v>
      </c>
      <c r="S164" s="47" t="s">
        <v>1090</v>
      </c>
      <c r="T164" s="319">
        <v>8</v>
      </c>
      <c r="U164" s="646">
        <v>1</v>
      </c>
      <c r="V164" s="4"/>
      <c r="W164" s="47"/>
      <c r="X164" s="47"/>
      <c r="Y164" s="319">
        <v>8</v>
      </c>
      <c r="Z164" s="646"/>
      <c r="AA164" s="328">
        <f t="shared" si="18"/>
        <v>40</v>
      </c>
      <c r="AB164" s="298">
        <f t="shared" si="19"/>
        <v>4</v>
      </c>
      <c r="AC164" s="4"/>
      <c r="AD164" s="47"/>
      <c r="AE164" s="47"/>
      <c r="AF164" s="319"/>
      <c r="AG164" s="47"/>
      <c r="AH164" s="47"/>
      <c r="AI164" s="319"/>
      <c r="AJ164" s="328">
        <f t="shared" si="20"/>
        <v>0</v>
      </c>
      <c r="AK164" s="4"/>
      <c r="AL164" s="255"/>
      <c r="AM164" s="180"/>
      <c r="AN164" s="193"/>
      <c r="AO164" s="193"/>
      <c r="AP164" s="193"/>
      <c r="AQ164" s="193"/>
      <c r="AR164" s="193"/>
      <c r="AS164" s="193"/>
      <c r="AT164" s="180"/>
    </row>
    <row r="165" spans="1:46" ht="16.5" customHeight="1">
      <c r="A165" s="180"/>
      <c r="B165" s="699" t="s">
        <v>1102</v>
      </c>
      <c r="C165" s="441" t="s">
        <v>1084</v>
      </c>
      <c r="D165" s="47" t="s">
        <v>1090</v>
      </c>
      <c r="E165" s="319">
        <v>8</v>
      </c>
      <c r="F165" s="646">
        <v>0</v>
      </c>
      <c r="G165" s="4"/>
      <c r="H165" s="441" t="s">
        <v>154</v>
      </c>
      <c r="I165" s="47">
        <v>0</v>
      </c>
      <c r="J165" s="319">
        <v>0</v>
      </c>
      <c r="K165" s="646">
        <v>0</v>
      </c>
      <c r="L165" s="4"/>
      <c r="M165" s="441"/>
      <c r="N165" s="47"/>
      <c r="O165" s="319"/>
      <c r="P165" s="646"/>
      <c r="Q165" s="4"/>
      <c r="R165" s="47"/>
      <c r="S165" s="47"/>
      <c r="T165" s="319"/>
      <c r="U165" s="646"/>
      <c r="V165" s="4"/>
      <c r="W165" s="47"/>
      <c r="X165" s="47"/>
      <c r="Y165" s="319"/>
      <c r="Z165" s="646"/>
      <c r="AA165" s="328">
        <f t="shared" si="18"/>
        <v>8</v>
      </c>
      <c r="AB165" s="298">
        <f t="shared" si="19"/>
        <v>0</v>
      </c>
      <c r="AC165" s="4"/>
      <c r="AD165" s="47"/>
      <c r="AE165" s="47"/>
      <c r="AF165" s="319"/>
      <c r="AG165" s="47"/>
      <c r="AH165" s="47"/>
      <c r="AI165" s="319"/>
      <c r="AJ165" s="328">
        <f t="shared" si="20"/>
        <v>0</v>
      </c>
      <c r="AK165" s="4"/>
      <c r="AL165" s="255"/>
      <c r="AM165" s="180"/>
      <c r="AN165" s="193"/>
      <c r="AO165" s="193"/>
      <c r="AP165" s="193"/>
      <c r="AQ165" s="193"/>
      <c r="AR165" s="193"/>
      <c r="AS165" s="193"/>
      <c r="AT165" s="180"/>
    </row>
    <row r="166" spans="1:46" ht="16.5" customHeight="1">
      <c r="A166" s="180"/>
      <c r="B166" s="422"/>
      <c r="C166" s="441"/>
      <c r="D166" s="47"/>
      <c r="E166" s="319"/>
      <c r="F166" s="646"/>
      <c r="G166" s="4"/>
      <c r="H166" s="441"/>
      <c r="I166" s="47"/>
      <c r="J166" s="319"/>
      <c r="K166" s="646"/>
      <c r="L166" s="4"/>
      <c r="M166" s="441"/>
      <c r="N166" s="47"/>
      <c r="O166" s="319"/>
      <c r="P166" s="646"/>
      <c r="Q166" s="4"/>
      <c r="R166" s="47"/>
      <c r="S166" s="47"/>
      <c r="T166" s="319"/>
      <c r="U166" s="646"/>
      <c r="V166" s="4"/>
      <c r="W166" s="47"/>
      <c r="X166" s="47"/>
      <c r="Y166" s="319"/>
      <c r="Z166" s="646"/>
      <c r="AA166" s="328">
        <f t="shared" si="18"/>
        <v>0</v>
      </c>
      <c r="AB166" s="298">
        <f t="shared" si="19"/>
        <v>0</v>
      </c>
      <c r="AC166" s="4"/>
      <c r="AD166" s="47"/>
      <c r="AE166" s="47"/>
      <c r="AF166" s="319"/>
      <c r="AG166" s="47"/>
      <c r="AH166" s="47"/>
      <c r="AI166" s="319"/>
      <c r="AJ166" s="328">
        <f t="shared" si="20"/>
        <v>0</v>
      </c>
      <c r="AK166" s="4"/>
      <c r="AL166" s="255"/>
      <c r="AM166" s="180"/>
      <c r="AN166" s="193"/>
      <c r="AO166" s="193"/>
      <c r="AP166" s="193"/>
      <c r="AQ166" s="193"/>
      <c r="AR166" s="193"/>
      <c r="AS166" s="193"/>
      <c r="AT166" s="180"/>
    </row>
    <row r="167" spans="1:46" ht="16.5" customHeight="1">
      <c r="A167" s="180"/>
      <c r="B167" s="422" t="s">
        <v>1075</v>
      </c>
      <c r="C167" s="441"/>
      <c r="D167" s="47"/>
      <c r="E167" s="319"/>
      <c r="F167" s="646"/>
      <c r="G167" s="4"/>
      <c r="H167" s="441"/>
      <c r="I167" s="47"/>
      <c r="J167" s="319"/>
      <c r="K167" s="646"/>
      <c r="L167" s="4"/>
      <c r="M167" s="441"/>
      <c r="N167" s="47"/>
      <c r="O167" s="319"/>
      <c r="P167" s="646"/>
      <c r="Q167" s="4"/>
      <c r="R167" s="47"/>
      <c r="S167" s="47"/>
      <c r="T167" s="319"/>
      <c r="U167" s="646"/>
      <c r="V167" s="4"/>
      <c r="W167" s="47"/>
      <c r="X167" s="47"/>
      <c r="Y167" s="319"/>
      <c r="Z167" s="646"/>
      <c r="AA167" s="328">
        <f t="shared" si="18"/>
        <v>0</v>
      </c>
      <c r="AB167" s="298">
        <f t="shared" si="19"/>
        <v>0</v>
      </c>
      <c r="AC167" s="4"/>
      <c r="AD167" s="47"/>
      <c r="AE167" s="47"/>
      <c r="AF167" s="319"/>
      <c r="AG167" s="47"/>
      <c r="AH167" s="47"/>
      <c r="AI167" s="319"/>
      <c r="AJ167" s="328">
        <f t="shared" si="20"/>
        <v>0</v>
      </c>
      <c r="AK167" s="4"/>
      <c r="AL167" s="255"/>
      <c r="AM167" s="180"/>
      <c r="AN167" s="193"/>
      <c r="AO167" s="193"/>
      <c r="AP167" s="193"/>
      <c r="AQ167" s="193"/>
      <c r="AR167" s="193"/>
      <c r="AS167" s="193"/>
      <c r="AT167" s="180"/>
    </row>
    <row r="168" spans="1:46" ht="16.5" customHeight="1">
      <c r="A168" s="180"/>
      <c r="B168" s="422" t="s">
        <v>1076</v>
      </c>
      <c r="C168" s="679"/>
      <c r="D168" s="16"/>
      <c r="E168" s="319"/>
      <c r="F168" s="646"/>
      <c r="G168" s="4"/>
      <c r="H168" s="679"/>
      <c r="I168" s="16"/>
      <c r="J168" s="319"/>
      <c r="K168" s="646"/>
      <c r="L168" s="4"/>
      <c r="M168" s="679"/>
      <c r="N168" s="16"/>
      <c r="O168" s="319"/>
      <c r="P168" s="646"/>
      <c r="Q168" s="4"/>
      <c r="R168" s="16"/>
      <c r="S168" s="16"/>
      <c r="T168" s="319"/>
      <c r="U168" s="646"/>
      <c r="V168" s="4"/>
      <c r="W168" s="16"/>
      <c r="X168" s="16"/>
      <c r="Y168" s="319"/>
      <c r="Z168" s="646"/>
      <c r="AA168" s="328">
        <f t="shared" si="18"/>
        <v>0</v>
      </c>
      <c r="AB168" s="298">
        <f t="shared" si="19"/>
        <v>0</v>
      </c>
      <c r="AC168" s="4"/>
      <c r="AD168" s="47"/>
      <c r="AE168" s="47"/>
      <c r="AF168" s="319"/>
      <c r="AG168" s="47"/>
      <c r="AH168" s="47"/>
      <c r="AI168" s="319"/>
      <c r="AJ168" s="328">
        <f t="shared" si="20"/>
        <v>0</v>
      </c>
      <c r="AK168" s="4"/>
      <c r="AL168" s="255"/>
      <c r="AM168" s="180"/>
      <c r="AN168" s="193"/>
      <c r="AO168" s="193"/>
      <c r="AP168" s="193"/>
      <c r="AQ168" s="193"/>
      <c r="AR168" s="193"/>
      <c r="AS168" s="193"/>
      <c r="AT168" s="180"/>
    </row>
    <row r="169" spans="1:46" ht="16.5" customHeight="1">
      <c r="A169" s="180"/>
      <c r="B169" s="422" t="s">
        <v>1077</v>
      </c>
      <c r="C169" s="679"/>
      <c r="D169" s="16"/>
      <c r="E169" s="319"/>
      <c r="F169" s="646"/>
      <c r="G169" s="4"/>
      <c r="H169" s="679"/>
      <c r="I169" s="16"/>
      <c r="J169" s="319"/>
      <c r="K169" s="646"/>
      <c r="L169" s="4"/>
      <c r="M169" s="679"/>
      <c r="N169" s="16"/>
      <c r="O169" s="319"/>
      <c r="P169" s="646"/>
      <c r="Q169" s="4"/>
      <c r="R169" s="16"/>
      <c r="S169" s="16"/>
      <c r="T169" s="319"/>
      <c r="U169" s="646"/>
      <c r="V169" s="4"/>
      <c r="W169" s="16"/>
      <c r="X169" s="16"/>
      <c r="Y169" s="319"/>
      <c r="Z169" s="646"/>
      <c r="AA169" s="328">
        <f t="shared" si="18"/>
        <v>0</v>
      </c>
      <c r="AB169" s="298">
        <f t="shared" si="19"/>
        <v>0</v>
      </c>
      <c r="AC169" s="4"/>
      <c r="AD169" s="47"/>
      <c r="AE169" s="47"/>
      <c r="AF169" s="319"/>
      <c r="AG169" s="47"/>
      <c r="AH169" s="47"/>
      <c r="AI169" s="319"/>
      <c r="AJ169" s="328">
        <f t="shared" si="20"/>
        <v>0</v>
      </c>
      <c r="AK169" s="4"/>
      <c r="AL169" s="255"/>
      <c r="AM169" s="180"/>
      <c r="AN169" s="193"/>
      <c r="AO169" s="193"/>
      <c r="AP169" s="193"/>
      <c r="AQ169" s="193"/>
      <c r="AR169" s="193"/>
      <c r="AS169" s="193"/>
      <c r="AT169" s="180"/>
    </row>
    <row r="170" spans="1:46" ht="16.5" customHeight="1">
      <c r="A170" s="180"/>
      <c r="B170" s="422" t="s">
        <v>1078</v>
      </c>
      <c r="C170" s="679"/>
      <c r="D170" s="16"/>
      <c r="E170" s="319"/>
      <c r="F170" s="646"/>
      <c r="G170" s="4"/>
      <c r="H170" s="679"/>
      <c r="I170" s="16"/>
      <c r="J170" s="319"/>
      <c r="K170" s="646"/>
      <c r="L170" s="4"/>
      <c r="M170" s="679"/>
      <c r="N170" s="16"/>
      <c r="O170" s="319"/>
      <c r="P170" s="646"/>
      <c r="Q170" s="4"/>
      <c r="R170" s="16"/>
      <c r="S170" s="16"/>
      <c r="T170" s="319"/>
      <c r="U170" s="646"/>
      <c r="V170" s="4"/>
      <c r="W170" s="16"/>
      <c r="X170" s="16"/>
      <c r="Y170" s="319"/>
      <c r="Z170" s="646"/>
      <c r="AA170" s="328">
        <f t="shared" si="18"/>
        <v>0</v>
      </c>
      <c r="AB170" s="298">
        <f t="shared" si="19"/>
        <v>0</v>
      </c>
      <c r="AC170" s="4"/>
      <c r="AD170" s="47"/>
      <c r="AE170" s="47"/>
      <c r="AF170" s="319"/>
      <c r="AG170" s="47"/>
      <c r="AH170" s="47"/>
      <c r="AI170" s="319"/>
      <c r="AJ170" s="328">
        <f t="shared" si="20"/>
        <v>0</v>
      </c>
      <c r="AK170" s="4"/>
      <c r="AL170" s="255"/>
      <c r="AM170" s="180"/>
      <c r="AN170" s="193"/>
      <c r="AO170" s="193"/>
      <c r="AP170" s="193"/>
      <c r="AQ170" s="193"/>
      <c r="AR170" s="193"/>
      <c r="AS170" s="193"/>
      <c r="AT170" s="180"/>
    </row>
    <row r="171" spans="1:46" ht="16.5" customHeight="1">
      <c r="A171" s="180"/>
      <c r="B171" s="422" t="s">
        <v>1086</v>
      </c>
      <c r="C171" s="441"/>
      <c r="D171" s="47"/>
      <c r="E171" s="319"/>
      <c r="F171" s="646"/>
      <c r="G171" s="4"/>
      <c r="H171" s="441"/>
      <c r="I171" s="47"/>
      <c r="J171" s="319"/>
      <c r="K171" s="646"/>
      <c r="L171" s="4"/>
      <c r="M171" s="441"/>
      <c r="N171" s="47"/>
      <c r="O171" s="319"/>
      <c r="P171" s="646"/>
      <c r="Q171" s="4"/>
      <c r="R171" s="47"/>
      <c r="S171" s="47"/>
      <c r="T171" s="319"/>
      <c r="U171" s="646"/>
      <c r="V171" s="4"/>
      <c r="W171" s="47"/>
      <c r="X171" s="47"/>
      <c r="Y171" s="319"/>
      <c r="Z171" s="646"/>
      <c r="AA171" s="328">
        <f t="shared" si="18"/>
        <v>0</v>
      </c>
      <c r="AB171" s="298">
        <f t="shared" si="19"/>
        <v>0</v>
      </c>
      <c r="AC171" s="4"/>
      <c r="AD171" s="47"/>
      <c r="AE171" s="47"/>
      <c r="AF171" s="319"/>
      <c r="AG171" s="47"/>
      <c r="AH171" s="47"/>
      <c r="AI171" s="319"/>
      <c r="AJ171" s="328">
        <f t="shared" si="20"/>
        <v>0</v>
      </c>
      <c r="AK171" s="4"/>
      <c r="AL171" s="255"/>
      <c r="AM171" s="180"/>
      <c r="AN171" s="193"/>
      <c r="AO171" s="193"/>
      <c r="AP171" s="193"/>
      <c r="AQ171" s="193"/>
      <c r="AR171" s="193"/>
      <c r="AS171" s="193"/>
      <c r="AT171" s="180"/>
    </row>
    <row r="172" spans="1:46" ht="16.5" customHeight="1">
      <c r="A172" s="180"/>
      <c r="B172" s="422" t="s">
        <v>813</v>
      </c>
      <c r="C172" s="1564"/>
      <c r="D172" s="1564"/>
      <c r="E172" s="319">
        <v>2</v>
      </c>
      <c r="F172" s="646"/>
      <c r="G172" s="4"/>
      <c r="H172" s="1564"/>
      <c r="I172" s="1564"/>
      <c r="J172" s="319">
        <v>2</v>
      </c>
      <c r="K172" s="646"/>
      <c r="L172" s="4"/>
      <c r="M172" s="1564"/>
      <c r="N172" s="1564"/>
      <c r="O172" s="319">
        <v>2</v>
      </c>
      <c r="P172" s="646"/>
      <c r="Q172" s="4"/>
      <c r="R172" s="1564"/>
      <c r="S172" s="1564"/>
      <c r="T172" s="319">
        <v>2</v>
      </c>
      <c r="U172" s="646"/>
      <c r="V172" s="4"/>
      <c r="W172" s="1564"/>
      <c r="X172" s="1564"/>
      <c r="Y172" s="319">
        <v>2</v>
      </c>
      <c r="Z172" s="646"/>
      <c r="AA172" s="328">
        <f t="shared" si="18"/>
        <v>10</v>
      </c>
      <c r="AB172" s="298">
        <f t="shared" si="19"/>
        <v>0</v>
      </c>
      <c r="AC172" s="4"/>
      <c r="AD172" s="47"/>
      <c r="AE172" s="47"/>
      <c r="AF172" s="319"/>
      <c r="AG172" s="47"/>
      <c r="AH172" s="47"/>
      <c r="AI172" s="319"/>
      <c r="AJ172" s="328">
        <f t="shared" si="20"/>
        <v>0</v>
      </c>
      <c r="AK172" s="4"/>
      <c r="AL172" s="255"/>
      <c r="AM172" s="180"/>
      <c r="AN172" s="193"/>
      <c r="AO172" s="193"/>
      <c r="AP172" s="193"/>
      <c r="AQ172" s="193"/>
      <c r="AR172" s="193"/>
      <c r="AS172" s="193"/>
      <c r="AT172" s="180"/>
    </row>
    <row r="173" spans="1:46" ht="16.5" customHeight="1">
      <c r="A173" s="180"/>
      <c r="B173" s="64" t="s">
        <v>61</v>
      </c>
      <c r="C173" s="31"/>
      <c r="D173" s="31"/>
      <c r="E173" s="439">
        <f>SUM(E150:E172)</f>
        <v>122</v>
      </c>
      <c r="F173" s="646">
        <f>SUM(F150:F172)</f>
        <v>11</v>
      </c>
      <c r="G173" s="31"/>
      <c r="H173" s="31"/>
      <c r="I173" s="31"/>
      <c r="J173" s="439">
        <f>SUM(J150:J172)</f>
        <v>122</v>
      </c>
      <c r="K173" s="646">
        <f>SUM(K150:K172)</f>
        <v>14</v>
      </c>
      <c r="L173" s="31"/>
      <c r="M173" s="31"/>
      <c r="N173" s="31"/>
      <c r="O173" s="439">
        <f>SUM(O150:O172)</f>
        <v>122</v>
      </c>
      <c r="P173" s="646">
        <f>SUM(P150:P172)</f>
        <v>14</v>
      </c>
      <c r="Q173" s="31"/>
      <c r="R173" s="31"/>
      <c r="S173" s="31"/>
      <c r="T173" s="439">
        <f>SUM(T150:T172)</f>
        <v>122</v>
      </c>
      <c r="U173" s="646">
        <f>SUM(U150:U172)</f>
        <v>18</v>
      </c>
      <c r="V173" s="31"/>
      <c r="W173" s="31"/>
      <c r="X173" s="31"/>
      <c r="Y173" s="439">
        <f>SUM(Y150:Y172)</f>
        <v>122</v>
      </c>
      <c r="Z173" s="646">
        <f>SUM(Z150:Z172)</f>
        <v>0</v>
      </c>
      <c r="AA173" s="370">
        <f>SUM(AA150:AA172)</f>
        <v>610</v>
      </c>
      <c r="AB173" s="370">
        <f>SUM(AB150:AB172)</f>
        <v>57</v>
      </c>
      <c r="AC173" s="4"/>
      <c r="AD173" s="64"/>
      <c r="AE173" s="64"/>
      <c r="AF173" s="370">
        <f>SUM(AF150:AF172)</f>
        <v>0</v>
      </c>
      <c r="AG173" s="64"/>
      <c r="AH173" s="64"/>
      <c r="AI173" s="370">
        <f>SUM(AI150:AI172)</f>
        <v>0</v>
      </c>
      <c r="AJ173" s="370">
        <f>SUM(AJ150:AJ172)</f>
        <v>0</v>
      </c>
      <c r="AK173" s="4"/>
      <c r="AL173" s="255"/>
      <c r="AM173" s="180"/>
      <c r="AN173" s="407"/>
      <c r="AO173" s="193"/>
      <c r="AP173" s="193"/>
      <c r="AQ173" s="193"/>
      <c r="AR173" s="193"/>
      <c r="AS173" s="193"/>
      <c r="AT173" s="180"/>
    </row>
    <row r="174" spans="1:46" ht="16.5" customHeight="1">
      <c r="A174" s="180"/>
      <c r="B174" s="63"/>
      <c r="C174" s="47"/>
      <c r="D174" s="47"/>
      <c r="E174" s="319"/>
      <c r="F174" s="346"/>
      <c r="G174" s="613"/>
      <c r="H174" s="47"/>
      <c r="I174" s="47"/>
      <c r="J174" s="319"/>
      <c r="K174" s="346"/>
      <c r="L174" s="60"/>
      <c r="M174" s="47"/>
      <c r="N174" s="47"/>
      <c r="O174" s="319"/>
      <c r="P174" s="346"/>
      <c r="Q174" s="60"/>
      <c r="R174" s="47"/>
      <c r="S174" s="47"/>
      <c r="T174" s="319"/>
      <c r="U174" s="346"/>
      <c r="V174" s="60"/>
      <c r="W174" s="47"/>
      <c r="X174" s="47"/>
      <c r="Y174" s="319"/>
      <c r="Z174" s="346"/>
      <c r="AA174" s="28">
        <f>SUM(E174+J174+O174+T174+Y174)</f>
        <v>0</v>
      </c>
      <c r="AB174" s="296">
        <f>Z174+U174+P174+K174+F174</f>
        <v>0</v>
      </c>
      <c r="AC174" s="4"/>
      <c r="AD174" s="47" t="s">
        <v>29</v>
      </c>
      <c r="AE174" s="47" t="s">
        <v>29</v>
      </c>
      <c r="AF174" s="319"/>
      <c r="AG174" s="47" t="s">
        <v>29</v>
      </c>
      <c r="AH174" s="47" t="s">
        <v>29</v>
      </c>
      <c r="AI174" s="319"/>
      <c r="AJ174" s="29">
        <f>AI174</f>
        <v>0</v>
      </c>
      <c r="AK174" s="4"/>
      <c r="AL174" s="255"/>
      <c r="AM174" s="180"/>
      <c r="AN174" s="407"/>
      <c r="AO174" s="193"/>
      <c r="AP174" s="193"/>
      <c r="AQ174" s="193"/>
      <c r="AR174" s="193"/>
      <c r="AS174" s="193"/>
      <c r="AT174" s="180"/>
    </row>
    <row r="175" spans="1:46" ht="16.5" customHeight="1">
      <c r="A175" s="180"/>
      <c r="B175" s="71" t="s">
        <v>66</v>
      </c>
      <c r="C175" s="371"/>
      <c r="D175" s="371"/>
      <c r="E175" s="71"/>
      <c r="F175" s="613"/>
      <c r="G175" s="71"/>
      <c r="H175" s="71"/>
      <c r="I175" s="71"/>
      <c r="J175" s="71"/>
      <c r="K175" s="613"/>
      <c r="L175" s="71"/>
      <c r="M175" s="71"/>
      <c r="N175" s="71"/>
      <c r="O175" s="71"/>
      <c r="P175" s="613"/>
      <c r="Q175" s="71"/>
      <c r="R175" s="71"/>
      <c r="S175" s="71"/>
      <c r="T175" s="71"/>
      <c r="U175" s="613"/>
      <c r="V175" s="71"/>
      <c r="W175" s="71"/>
      <c r="X175" s="71"/>
      <c r="Y175" s="71"/>
      <c r="Z175" s="613"/>
      <c r="AA175" s="370">
        <f>SUM(AA174:AA174)</f>
        <v>0</v>
      </c>
      <c r="AB175" s="370">
        <f>SUM(AB174:AB174)</f>
        <v>0</v>
      </c>
      <c r="AC175" s="4"/>
      <c r="AD175" s="180"/>
      <c r="AE175" s="180"/>
      <c r="AF175" s="180"/>
      <c r="AG175" s="180"/>
      <c r="AH175" s="180"/>
      <c r="AI175" s="180"/>
      <c r="AJ175" s="370">
        <f>SUM(AJ174:AJ174)</f>
        <v>0</v>
      </c>
      <c r="AK175" s="4"/>
      <c r="AL175" s="255"/>
      <c r="AM175" s="180"/>
      <c r="AN175" s="193"/>
      <c r="AO175" s="193"/>
      <c r="AP175" s="193"/>
      <c r="AQ175" s="193"/>
      <c r="AR175" s="193"/>
      <c r="AS175" s="193"/>
      <c r="AT175" s="180"/>
    </row>
    <row r="176" spans="1:46" ht="16.5" customHeight="1">
      <c r="A176" s="180"/>
      <c r="B176" s="217" t="s">
        <v>67</v>
      </c>
      <c r="C176" s="207"/>
      <c r="D176" s="207"/>
      <c r="E176" s="209"/>
      <c r="F176" s="209"/>
      <c r="G176" s="207"/>
      <c r="H176" s="209"/>
      <c r="I176" s="209"/>
      <c r="J176" s="209"/>
      <c r="K176" s="209"/>
      <c r="L176" s="207"/>
      <c r="M176" s="207"/>
      <c r="N176" s="207"/>
      <c r="O176" s="207"/>
      <c r="P176" s="209"/>
      <c r="Q176" s="207"/>
      <c r="R176" s="207"/>
      <c r="S176" s="207"/>
      <c r="T176" s="207"/>
      <c r="U176" s="209"/>
      <c r="V176" s="207"/>
      <c r="W176" s="207"/>
      <c r="X176" s="207"/>
      <c r="Y176" s="210"/>
      <c r="Z176" s="209"/>
      <c r="AA176" s="211"/>
      <c r="AB176" s="209"/>
      <c r="AC176" s="211"/>
      <c r="AD176" s="211"/>
      <c r="AE176" s="211"/>
      <c r="AF176" s="211"/>
      <c r="AG176" s="211"/>
      <c r="AH176" s="211"/>
      <c r="AI176" s="211"/>
      <c r="AJ176" s="211"/>
      <c r="AK176" s="4"/>
      <c r="AL176" s="255"/>
      <c r="AM176" s="180"/>
      <c r="AN176" s="193"/>
      <c r="AO176" s="193"/>
      <c r="AP176" s="193"/>
      <c r="AQ176" s="193"/>
      <c r="AR176" s="193"/>
      <c r="AS176" s="193"/>
      <c r="AT176" s="180"/>
    </row>
    <row r="177" spans="1:46" ht="16.5" customHeight="1">
      <c r="A177" s="180"/>
      <c r="B177" s="238" t="s">
        <v>68</v>
      </c>
      <c r="C177" s="239"/>
      <c r="D177" s="207"/>
      <c r="E177" s="209"/>
      <c r="F177" s="209"/>
      <c r="G177" s="207"/>
      <c r="H177" s="209"/>
      <c r="I177" s="209"/>
      <c r="J177" s="209"/>
      <c r="K177" s="209"/>
      <c r="L177" s="207"/>
      <c r="M177" s="207"/>
      <c r="N177" s="207"/>
      <c r="O177" s="207"/>
      <c r="P177" s="209"/>
      <c r="Q177" s="207"/>
      <c r="R177" s="207"/>
      <c r="S177" s="207"/>
      <c r="T177" s="207"/>
      <c r="U177" s="209"/>
      <c r="V177" s="207"/>
      <c r="W177" s="207"/>
      <c r="X177" s="207"/>
      <c r="Y177" s="210"/>
      <c r="Z177" s="209"/>
      <c r="AA177" s="211"/>
      <c r="AB177" s="209"/>
      <c r="AC177" s="211"/>
      <c r="AD177" s="211"/>
      <c r="AE177" s="211"/>
      <c r="AF177" s="211"/>
      <c r="AG177" s="211"/>
      <c r="AH177" s="211"/>
      <c r="AI177" s="211"/>
      <c r="AJ177" s="211"/>
      <c r="AK177" s="4"/>
      <c r="AL177" s="255"/>
      <c r="AM177" s="180"/>
      <c r="AN177" s="193"/>
      <c r="AO177" s="193"/>
      <c r="AP177" s="193"/>
      <c r="AQ177" s="193"/>
      <c r="AR177" s="193"/>
      <c r="AS177" s="193"/>
      <c r="AT177" s="180"/>
    </row>
    <row r="178" spans="1:46" ht="16.5" customHeight="1">
      <c r="A178" s="180"/>
      <c r="B178" s="238" t="s">
        <v>69</v>
      </c>
      <c r="C178" s="239"/>
      <c r="D178" s="207"/>
      <c r="E178" s="209"/>
      <c r="F178" s="209"/>
      <c r="G178" s="207"/>
      <c r="H178" s="209"/>
      <c r="I178" s="209"/>
      <c r="J178" s="209"/>
      <c r="K178" s="209"/>
      <c r="L178" s="207"/>
      <c r="M178" s="207"/>
      <c r="N178" s="207"/>
      <c r="O178" s="207"/>
      <c r="P178" s="209"/>
      <c r="Q178" s="207"/>
      <c r="R178" s="207"/>
      <c r="S178" s="207"/>
      <c r="T178" s="207"/>
      <c r="U178" s="209"/>
      <c r="V178" s="207"/>
      <c r="W178" s="207"/>
      <c r="X178" s="207"/>
      <c r="Y178" s="210"/>
      <c r="Z178" s="209"/>
      <c r="AA178" s="211"/>
      <c r="AB178" s="209"/>
      <c r="AC178" s="211"/>
      <c r="AD178" s="211"/>
      <c r="AE178" s="211"/>
      <c r="AF178" s="211"/>
      <c r="AG178" s="211"/>
      <c r="AH178" s="211"/>
      <c r="AI178" s="211"/>
      <c r="AJ178" s="211"/>
      <c r="AK178" s="4"/>
      <c r="AL178" s="255"/>
      <c r="AM178" s="180"/>
      <c r="AN178" s="193"/>
      <c r="AO178" s="193"/>
      <c r="AP178" s="193"/>
      <c r="AQ178" s="193"/>
      <c r="AR178" s="193"/>
      <c r="AS178" s="193"/>
      <c r="AT178" s="180"/>
    </row>
    <row r="179" spans="1:46" ht="16.5" customHeight="1">
      <c r="A179" s="180"/>
      <c r="B179" s="193"/>
      <c r="C179" s="193"/>
      <c r="D179" s="193"/>
      <c r="E179" s="193"/>
      <c r="F179" s="193"/>
      <c r="G179" s="193"/>
      <c r="H179" s="193"/>
      <c r="I179" s="193"/>
      <c r="J179" s="193"/>
      <c r="K179" s="193"/>
      <c r="L179" s="193"/>
      <c r="M179" s="193"/>
      <c r="N179" s="193"/>
      <c r="O179" s="193"/>
      <c r="P179" s="193"/>
      <c r="Q179" s="193"/>
      <c r="R179" s="193"/>
      <c r="S179" s="193"/>
      <c r="T179" s="193"/>
      <c r="U179" s="193"/>
      <c r="V179" s="193"/>
      <c r="W179" s="193"/>
      <c r="X179" s="193"/>
      <c r="Y179" s="193"/>
      <c r="Z179" s="193"/>
      <c r="AA179" s="193"/>
      <c r="AB179" s="193"/>
      <c r="AC179" s="193"/>
      <c r="AD179" s="193"/>
      <c r="AE179" s="193"/>
      <c r="AF179" s="193"/>
      <c r="AG179" s="193"/>
      <c r="AH179" s="193"/>
      <c r="AI179" s="193"/>
      <c r="AJ179" s="193"/>
      <c r="AK179" s="4"/>
      <c r="AL179" s="255"/>
      <c r="AM179" s="180"/>
      <c r="AN179" s="193"/>
      <c r="AO179" s="193"/>
      <c r="AP179" s="193"/>
      <c r="AQ179" s="193"/>
      <c r="AR179" s="193"/>
      <c r="AS179" s="193"/>
      <c r="AT179" s="180"/>
    </row>
    <row r="180" spans="1:46" ht="16.5" customHeight="1">
      <c r="A180" s="180"/>
      <c r="B180" s="229"/>
      <c r="C180" s="230"/>
      <c r="D180" s="230"/>
      <c r="E180" s="232"/>
      <c r="F180" s="232"/>
      <c r="G180" s="230"/>
      <c r="H180" s="232"/>
      <c r="I180" s="232"/>
      <c r="J180" s="232"/>
      <c r="K180" s="232"/>
      <c r="L180" s="230"/>
      <c r="M180" s="230"/>
      <c r="N180" s="230"/>
      <c r="O180" s="230"/>
      <c r="P180" s="232"/>
      <c r="Q180" s="230"/>
      <c r="R180" s="230"/>
      <c r="S180" s="230"/>
      <c r="T180" s="230"/>
      <c r="U180" s="232"/>
      <c r="V180" s="230"/>
      <c r="W180" s="230"/>
      <c r="X180" s="230"/>
      <c r="Y180" s="233"/>
      <c r="Z180" s="232"/>
      <c r="AA180" s="234"/>
      <c r="AB180" s="232"/>
      <c r="AC180" s="373"/>
      <c r="AD180" s="236"/>
      <c r="AE180" s="255"/>
      <c r="AF180" s="255"/>
      <c r="AG180" s="236"/>
      <c r="AH180" s="255"/>
      <c r="AI180" s="255"/>
      <c r="AJ180" s="255"/>
      <c r="AK180" s="255"/>
      <c r="AL180" s="255"/>
      <c r="AM180" s="255"/>
      <c r="AN180" s="255"/>
      <c r="AO180" s="255"/>
      <c r="AP180" s="255"/>
      <c r="AQ180" s="255"/>
      <c r="AR180" s="255"/>
      <c r="AS180" s="255"/>
      <c r="AT180" s="255"/>
    </row>
    <row r="181" spans="1:46" ht="16.5" customHeight="1">
      <c r="A181" s="228"/>
      <c r="B181" s="1518" t="s">
        <v>18</v>
      </c>
      <c r="C181" s="1519">
        <v>45663</v>
      </c>
      <c r="D181" s="1519"/>
      <c r="E181" s="1519"/>
      <c r="F181" s="1519"/>
      <c r="G181" s="1519">
        <v>45664</v>
      </c>
      <c r="H181" s="1519"/>
      <c r="I181" s="1519"/>
      <c r="J181" s="1519"/>
      <c r="K181" s="1519">
        <v>45665</v>
      </c>
      <c r="L181" s="1519"/>
      <c r="M181" s="1519"/>
      <c r="N181" s="1519"/>
      <c r="O181" s="1519">
        <v>45666</v>
      </c>
      <c r="P181" s="1519"/>
      <c r="Q181" s="1519"/>
      <c r="R181" s="1519"/>
      <c r="S181" s="1519">
        <v>45667</v>
      </c>
      <c r="T181" s="1519"/>
      <c r="U181" s="1519"/>
      <c r="V181" s="1519"/>
      <c r="W181" s="1519">
        <v>45668</v>
      </c>
      <c r="X181" s="1519"/>
      <c r="Y181" s="1519"/>
      <c r="Z181" s="1519"/>
      <c r="AA181" s="1517" t="s">
        <v>19</v>
      </c>
      <c r="AB181" s="1517" t="s">
        <v>20</v>
      </c>
      <c r="AC181" s="4"/>
      <c r="AD181" s="1519">
        <v>45669</v>
      </c>
      <c r="AE181" s="1519"/>
      <c r="AF181" s="1519"/>
      <c r="AG181" s="1519">
        <v>45669</v>
      </c>
      <c r="AH181" s="1519"/>
      <c r="AI181" s="1519"/>
      <c r="AJ181" s="1517" t="s">
        <v>21</v>
      </c>
      <c r="AK181" s="4"/>
      <c r="AL181" s="368"/>
      <c r="AM181" s="180"/>
      <c r="AN181" s="194" t="s">
        <v>84</v>
      </c>
      <c r="AO181" s="366"/>
      <c r="AP181" s="366"/>
      <c r="AQ181" s="366"/>
      <c r="AR181" s="366"/>
      <c r="AS181" s="366"/>
      <c r="AT181" s="180"/>
    </row>
    <row r="182" spans="1:46" ht="16.5" customHeight="1">
      <c r="A182" s="180"/>
      <c r="B182" s="1518"/>
      <c r="C182" s="21" t="s">
        <v>23</v>
      </c>
      <c r="D182" s="21" t="s">
        <v>24</v>
      </c>
      <c r="E182" s="205" t="s">
        <v>25</v>
      </c>
      <c r="F182" s="645" t="s">
        <v>14</v>
      </c>
      <c r="G182" s="4"/>
      <c r="H182" s="21" t="s">
        <v>23</v>
      </c>
      <c r="I182" s="21" t="s">
        <v>24</v>
      </c>
      <c r="J182" s="18" t="s">
        <v>25</v>
      </c>
      <c r="K182" s="645" t="s">
        <v>14</v>
      </c>
      <c r="L182" s="4"/>
      <c r="M182" s="21" t="s">
        <v>23</v>
      </c>
      <c r="N182" s="21" t="s">
        <v>24</v>
      </c>
      <c r="O182" s="18" t="s">
        <v>25</v>
      </c>
      <c r="P182" s="645" t="s">
        <v>14</v>
      </c>
      <c r="Q182" s="4"/>
      <c r="R182" s="21" t="s">
        <v>23</v>
      </c>
      <c r="S182" s="21" t="s">
        <v>24</v>
      </c>
      <c r="T182" s="18" t="s">
        <v>25</v>
      </c>
      <c r="U182" s="645" t="s">
        <v>14</v>
      </c>
      <c r="V182" s="4"/>
      <c r="W182" s="21" t="s">
        <v>23</v>
      </c>
      <c r="X182" s="21" t="s">
        <v>24</v>
      </c>
      <c r="Y182" s="18" t="s">
        <v>25</v>
      </c>
      <c r="Z182" s="645" t="s">
        <v>14</v>
      </c>
      <c r="AA182" s="1517"/>
      <c r="AB182" s="1517"/>
      <c r="AC182" s="4"/>
      <c r="AD182" s="21" t="s">
        <v>23</v>
      </c>
      <c r="AE182" s="21" t="s">
        <v>24</v>
      </c>
      <c r="AF182" s="18" t="s">
        <v>25</v>
      </c>
      <c r="AG182" s="21" t="s">
        <v>23</v>
      </c>
      <c r="AH182" s="21" t="s">
        <v>24</v>
      </c>
      <c r="AI182" s="18" t="s">
        <v>25</v>
      </c>
      <c r="AJ182" s="1517"/>
      <c r="AK182" s="4"/>
      <c r="AL182" s="368"/>
      <c r="AM182" s="367"/>
      <c r="AN182" s="691" t="s">
        <v>26</v>
      </c>
      <c r="AO182" s="196">
        <f>AA206</f>
        <v>0</v>
      </c>
      <c r="AP182" s="510">
        <v>39.14</v>
      </c>
      <c r="AQ182" s="510">
        <f t="shared" ref="AQ182:AQ188" si="21">AO182*AP182</f>
        <v>0</v>
      </c>
      <c r="AR182" s="193"/>
      <c r="AS182" s="193"/>
      <c r="AT182" s="367"/>
    </row>
    <row r="183" spans="1:46" ht="16.5" customHeight="1">
      <c r="A183" s="180"/>
      <c r="B183" s="422" t="s">
        <v>1055</v>
      </c>
      <c r="C183" s="441" t="s">
        <v>1056</v>
      </c>
      <c r="D183" s="47"/>
      <c r="E183" s="319"/>
      <c r="F183" s="646"/>
      <c r="G183" s="4"/>
      <c r="H183" s="441"/>
      <c r="I183" s="47"/>
      <c r="J183" s="319"/>
      <c r="K183" s="646"/>
      <c r="L183" s="4"/>
      <c r="M183" s="441"/>
      <c r="N183" s="47"/>
      <c r="O183" s="319"/>
      <c r="P183" s="646"/>
      <c r="Q183" s="4"/>
      <c r="R183" s="47"/>
      <c r="S183" s="47"/>
      <c r="T183" s="319"/>
      <c r="U183" s="646"/>
      <c r="V183" s="4"/>
      <c r="W183" s="47"/>
      <c r="X183" s="47"/>
      <c r="Y183" s="319"/>
      <c r="Z183" s="646"/>
      <c r="AA183" s="328">
        <f t="shared" ref="AA183:AA205" si="22">(E183+J183+O183+T183+Y183)</f>
        <v>0</v>
      </c>
      <c r="AB183" s="298">
        <f t="shared" ref="AB183:AB205" si="23">Z183+U183+P183+K183+F183</f>
        <v>0</v>
      </c>
      <c r="AC183" s="4"/>
      <c r="AD183" s="587"/>
      <c r="AE183" s="531"/>
      <c r="AF183" s="319"/>
      <c r="AG183" s="587"/>
      <c r="AH183" s="531"/>
      <c r="AI183" s="319"/>
      <c r="AJ183" s="328">
        <f t="shared" ref="AJ183:AJ205" si="24">AI183</f>
        <v>0</v>
      </c>
      <c r="AK183" s="4"/>
      <c r="AL183" s="368"/>
      <c r="AM183" s="367"/>
      <c r="AN183" s="691" t="s">
        <v>30</v>
      </c>
      <c r="AO183" s="196">
        <f>AB206</f>
        <v>0</v>
      </c>
      <c r="AP183" s="511">
        <f>AP182*1.5</f>
        <v>58.71</v>
      </c>
      <c r="AQ183" s="510">
        <f t="shared" si="21"/>
        <v>0</v>
      </c>
      <c r="AR183" s="193"/>
      <c r="AS183" s="193"/>
      <c r="AT183" s="367"/>
    </row>
    <row r="184" spans="1:46" ht="16.5" customHeight="1">
      <c r="A184" s="367"/>
      <c r="B184" s="422" t="s">
        <v>1059</v>
      </c>
      <c r="C184" s="441" t="s">
        <v>1056</v>
      </c>
      <c r="D184" s="47"/>
      <c r="E184" s="319"/>
      <c r="F184" s="646"/>
      <c r="G184" s="4"/>
      <c r="H184" s="441"/>
      <c r="I184" s="47"/>
      <c r="J184" s="319"/>
      <c r="K184" s="646"/>
      <c r="L184" s="4"/>
      <c r="M184" s="441"/>
      <c r="N184" s="47"/>
      <c r="O184" s="319"/>
      <c r="P184" s="646"/>
      <c r="Q184" s="4"/>
      <c r="R184" s="47"/>
      <c r="S184" s="47"/>
      <c r="T184" s="319"/>
      <c r="U184" s="646"/>
      <c r="V184" s="4"/>
      <c r="W184" s="47"/>
      <c r="X184" s="47"/>
      <c r="Y184" s="319"/>
      <c r="Z184" s="646"/>
      <c r="AA184" s="328">
        <f t="shared" si="22"/>
        <v>0</v>
      </c>
      <c r="AB184" s="298">
        <f t="shared" si="23"/>
        <v>0</v>
      </c>
      <c r="AC184" s="4"/>
      <c r="AD184" s="180"/>
      <c r="AE184" s="180"/>
      <c r="AF184" s="319"/>
      <c r="AG184" s="180"/>
      <c r="AH184" s="180"/>
      <c r="AI184" s="319"/>
      <c r="AJ184" s="328">
        <f t="shared" si="24"/>
        <v>0</v>
      </c>
      <c r="AK184" s="175"/>
      <c r="AL184" s="402"/>
      <c r="AM184" s="367"/>
      <c r="AN184" s="691" t="s">
        <v>32</v>
      </c>
      <c r="AO184" s="196">
        <f>AJ206</f>
        <v>0</v>
      </c>
      <c r="AP184" s="510">
        <v>58.71</v>
      </c>
      <c r="AQ184" s="510">
        <f t="shared" si="21"/>
        <v>0</v>
      </c>
      <c r="AR184" s="193"/>
      <c r="AS184" s="193"/>
      <c r="AT184" s="367"/>
    </row>
    <row r="185" spans="1:46" ht="16.5" customHeight="1">
      <c r="A185" s="367"/>
      <c r="B185" s="422" t="s">
        <v>1060</v>
      </c>
      <c r="C185" s="441" t="s">
        <v>1056</v>
      </c>
      <c r="D185" s="47"/>
      <c r="E185" s="319"/>
      <c r="F185" s="646"/>
      <c r="G185" s="4"/>
      <c r="H185" s="441"/>
      <c r="I185" s="47"/>
      <c r="J185" s="319"/>
      <c r="K185" s="646"/>
      <c r="L185" s="4"/>
      <c r="M185" s="326"/>
      <c r="N185" s="47"/>
      <c r="O185" s="319"/>
      <c r="P185" s="646"/>
      <c r="Q185" s="4"/>
      <c r="R185" s="47"/>
      <c r="S185" s="47"/>
      <c r="T185" s="319"/>
      <c r="U185" s="646"/>
      <c r="V185" s="4"/>
      <c r="W185" s="47"/>
      <c r="X185" s="47"/>
      <c r="Y185" s="319"/>
      <c r="Z185" s="646"/>
      <c r="AA185" s="328">
        <f t="shared" si="22"/>
        <v>0</v>
      </c>
      <c r="AB185" s="298">
        <f t="shared" si="23"/>
        <v>0</v>
      </c>
      <c r="AC185" s="399"/>
      <c r="AD185" s="47"/>
      <c r="AE185" s="47"/>
      <c r="AF185" s="319"/>
      <c r="AG185" s="47"/>
      <c r="AH185" s="47"/>
      <c r="AI185" s="319"/>
      <c r="AJ185" s="328">
        <f t="shared" si="24"/>
        <v>0</v>
      </c>
      <c r="AK185" s="175"/>
      <c r="AL185" s="255"/>
      <c r="AM185" s="401"/>
      <c r="AN185" s="403" t="s">
        <v>213</v>
      </c>
      <c r="AO185" s="404">
        <f>AA208</f>
        <v>0</v>
      </c>
      <c r="AP185" s="510">
        <v>51.5</v>
      </c>
      <c r="AQ185" s="510">
        <f t="shared" si="21"/>
        <v>0</v>
      </c>
      <c r="AR185" s="405"/>
      <c r="AS185" s="405"/>
      <c r="AT185" s="367"/>
    </row>
    <row r="186" spans="1:46" ht="16.5" customHeight="1">
      <c r="A186" s="367"/>
      <c r="B186" s="422" t="s">
        <v>1061</v>
      </c>
      <c r="C186" s="441" t="s">
        <v>1056</v>
      </c>
      <c r="D186" s="5"/>
      <c r="E186" s="319"/>
      <c r="F186" s="646"/>
      <c r="G186" s="4"/>
      <c r="H186" s="441"/>
      <c r="I186" s="47"/>
      <c r="J186" s="319"/>
      <c r="K186" s="646"/>
      <c r="L186" s="4"/>
      <c r="M186" s="441"/>
      <c r="N186" s="5"/>
      <c r="O186" s="319"/>
      <c r="P186" s="646"/>
      <c r="Q186" s="4"/>
      <c r="R186" s="47"/>
      <c r="S186" s="47"/>
      <c r="T186" s="319"/>
      <c r="U186" s="646"/>
      <c r="V186" s="4"/>
      <c r="W186" s="5"/>
      <c r="X186" s="5"/>
      <c r="Y186" s="319"/>
      <c r="Z186" s="646"/>
      <c r="AA186" s="328">
        <f t="shared" si="22"/>
        <v>0</v>
      </c>
      <c r="AB186" s="298">
        <f t="shared" si="23"/>
        <v>0</v>
      </c>
      <c r="AC186" s="175"/>
      <c r="AD186" s="47"/>
      <c r="AE186" s="47"/>
      <c r="AF186" s="319"/>
      <c r="AG186" s="47"/>
      <c r="AH186" s="47"/>
      <c r="AI186" s="319"/>
      <c r="AJ186" s="328">
        <f t="shared" si="24"/>
        <v>0</v>
      </c>
      <c r="AK186" s="175"/>
      <c r="AL186" s="255"/>
      <c r="AM186" s="401"/>
      <c r="AN186" s="188" t="s">
        <v>36</v>
      </c>
      <c r="AO186" s="196">
        <f>AB208</f>
        <v>0</v>
      </c>
      <c r="AP186" s="510">
        <f>AP185*1.5</f>
        <v>77.25</v>
      </c>
      <c r="AQ186" s="510">
        <f t="shared" si="21"/>
        <v>0</v>
      </c>
      <c r="AR186" s="405"/>
      <c r="AS186" s="405"/>
      <c r="AT186" s="367"/>
    </row>
    <row r="187" spans="1:46" ht="16.5" customHeight="1">
      <c r="A187" s="367"/>
      <c r="B187" s="422" t="s">
        <v>1062</v>
      </c>
      <c r="C187" s="441" t="s">
        <v>1056</v>
      </c>
      <c r="D187" s="47"/>
      <c r="E187" s="319"/>
      <c r="F187" s="646"/>
      <c r="G187" s="4"/>
      <c r="H187" s="441"/>
      <c r="I187" s="47"/>
      <c r="J187" s="319"/>
      <c r="K187" s="646"/>
      <c r="L187" s="4"/>
      <c r="M187" s="326"/>
      <c r="N187" s="47"/>
      <c r="O187" s="319"/>
      <c r="P187" s="646"/>
      <c r="Q187" s="4"/>
      <c r="R187" s="47"/>
      <c r="S187" s="47"/>
      <c r="T187" s="319"/>
      <c r="U187" s="646"/>
      <c r="V187" s="4"/>
      <c r="W187" s="47"/>
      <c r="X187" s="47"/>
      <c r="Y187" s="319"/>
      <c r="Z187" s="646"/>
      <c r="AA187" s="328">
        <f t="shared" si="22"/>
        <v>0</v>
      </c>
      <c r="AB187" s="298">
        <f t="shared" si="23"/>
        <v>0</v>
      </c>
      <c r="AC187" s="4"/>
      <c r="AD187" s="47"/>
      <c r="AE187" s="47"/>
      <c r="AF187" s="319"/>
      <c r="AG187" s="47"/>
      <c r="AH187" s="47"/>
      <c r="AI187" s="319"/>
      <c r="AJ187" s="328">
        <f t="shared" si="24"/>
        <v>0</v>
      </c>
      <c r="AK187" s="175"/>
      <c r="AL187" s="368"/>
      <c r="AM187" s="180"/>
      <c r="AN187" s="188" t="s">
        <v>38</v>
      </c>
      <c r="AO187" s="196">
        <f>AJ208</f>
        <v>0</v>
      </c>
      <c r="AP187" s="510">
        <v>77.25</v>
      </c>
      <c r="AQ187" s="510">
        <f t="shared" si="21"/>
        <v>0</v>
      </c>
      <c r="AR187" s="193"/>
      <c r="AS187" s="193"/>
      <c r="AT187" s="367"/>
    </row>
    <row r="188" spans="1:46" ht="16.5" customHeight="1" thickBot="1">
      <c r="A188" s="180"/>
      <c r="B188" s="422" t="s">
        <v>1063</v>
      </c>
      <c r="C188" s="441" t="s">
        <v>1056</v>
      </c>
      <c r="D188" s="47"/>
      <c r="E188" s="319"/>
      <c r="F188" s="646"/>
      <c r="G188" s="4"/>
      <c r="H188" s="441"/>
      <c r="I188" s="47"/>
      <c r="J188" s="319"/>
      <c r="K188" s="646"/>
      <c r="L188" s="4"/>
      <c r="M188" s="47"/>
      <c r="N188" s="47"/>
      <c r="O188" s="319"/>
      <c r="P188" s="646"/>
      <c r="Q188" s="4"/>
      <c r="R188" s="47"/>
      <c r="S188" s="47"/>
      <c r="T188" s="319"/>
      <c r="U188" s="646"/>
      <c r="V188" s="4"/>
      <c r="W188" s="47"/>
      <c r="X188" s="47"/>
      <c r="Y188" s="319"/>
      <c r="Z188" s="646"/>
      <c r="AA188" s="328">
        <f t="shared" si="22"/>
        <v>0</v>
      </c>
      <c r="AB188" s="298">
        <f t="shared" si="23"/>
        <v>0</v>
      </c>
      <c r="AC188" s="4"/>
      <c r="AD188" s="47"/>
      <c r="AE188" s="47"/>
      <c r="AF188" s="319"/>
      <c r="AG188" s="47"/>
      <c r="AH188" s="47"/>
      <c r="AI188" s="319"/>
      <c r="AJ188" s="328">
        <f t="shared" si="24"/>
        <v>0</v>
      </c>
      <c r="AK188" s="4"/>
      <c r="AL188" s="255"/>
      <c r="AM188" s="180"/>
      <c r="AN188" s="188" t="s">
        <v>41</v>
      </c>
      <c r="AO188" s="196">
        <f>C209</f>
        <v>0</v>
      </c>
      <c r="AP188" s="512">
        <v>46.35</v>
      </c>
      <c r="AQ188" s="512">
        <f t="shared" si="21"/>
        <v>0</v>
      </c>
      <c r="AR188" s="193"/>
      <c r="AS188" s="193"/>
      <c r="AT188" s="367"/>
    </row>
    <row r="189" spans="1:46" ht="16.5" customHeight="1" thickTop="1">
      <c r="A189" s="180"/>
      <c r="B189" s="422" t="s">
        <v>1064</v>
      </c>
      <c r="C189" s="441" t="s">
        <v>1056</v>
      </c>
      <c r="D189" s="47"/>
      <c r="E189" s="319"/>
      <c r="F189" s="646"/>
      <c r="G189" s="4"/>
      <c r="H189" s="441"/>
      <c r="I189" s="47"/>
      <c r="J189" s="319"/>
      <c r="K189" s="646"/>
      <c r="L189" s="4"/>
      <c r="M189" s="441"/>
      <c r="N189" s="47"/>
      <c r="O189" s="319"/>
      <c r="P189" s="646"/>
      <c r="Q189" s="4"/>
      <c r="R189" s="47"/>
      <c r="S189" s="47"/>
      <c r="T189" s="319"/>
      <c r="U189" s="646"/>
      <c r="V189" s="4"/>
      <c r="W189" s="47"/>
      <c r="X189" s="47"/>
      <c r="Y189" s="319"/>
      <c r="Z189" s="646"/>
      <c r="AA189" s="328">
        <f t="shared" si="22"/>
        <v>0</v>
      </c>
      <c r="AB189" s="298">
        <f t="shared" si="23"/>
        <v>0</v>
      </c>
      <c r="AC189" s="4"/>
      <c r="AD189" s="47"/>
      <c r="AE189" s="47"/>
      <c r="AF189" s="319"/>
      <c r="AG189" s="47"/>
      <c r="AH189" s="47"/>
      <c r="AI189" s="319"/>
      <c r="AJ189" s="328">
        <f t="shared" si="24"/>
        <v>0</v>
      </c>
      <c r="AK189" s="4"/>
      <c r="AL189" s="255"/>
      <c r="AM189" s="180"/>
      <c r="AN189" s="193"/>
      <c r="AO189" s="193"/>
      <c r="AP189" s="193"/>
      <c r="AQ189" s="510">
        <f>SUM(AQ182:AQ188)</f>
        <v>0</v>
      </c>
      <c r="AR189" s="193"/>
      <c r="AS189" s="193"/>
      <c r="AT189" s="367"/>
    </row>
    <row r="190" spans="1:46" ht="16.5" customHeight="1">
      <c r="A190" s="180"/>
      <c r="B190" s="422" t="s">
        <v>1065</v>
      </c>
      <c r="C190" s="441" t="s">
        <v>1056</v>
      </c>
      <c r="D190" s="47"/>
      <c r="E190" s="319"/>
      <c r="F190" s="646"/>
      <c r="G190" s="4"/>
      <c r="H190" s="441"/>
      <c r="I190" s="47"/>
      <c r="J190" s="319"/>
      <c r="K190" s="646"/>
      <c r="L190" s="4"/>
      <c r="M190" s="441"/>
      <c r="N190" s="47"/>
      <c r="O190" s="319"/>
      <c r="P190" s="646"/>
      <c r="Q190" s="4"/>
      <c r="R190" s="47"/>
      <c r="S190" s="47"/>
      <c r="T190" s="319"/>
      <c r="U190" s="646"/>
      <c r="V190" s="4"/>
      <c r="W190" s="47"/>
      <c r="X190" s="47"/>
      <c r="Y190" s="319"/>
      <c r="Z190" s="646"/>
      <c r="AA190" s="328">
        <f t="shared" si="22"/>
        <v>0</v>
      </c>
      <c r="AB190" s="298">
        <f t="shared" si="23"/>
        <v>0</v>
      </c>
      <c r="AC190" s="4"/>
      <c r="AD190" s="47"/>
      <c r="AE190" s="47"/>
      <c r="AF190" s="319"/>
      <c r="AG190" s="47"/>
      <c r="AH190" s="47"/>
      <c r="AI190" s="319"/>
      <c r="AJ190" s="328">
        <f t="shared" si="24"/>
        <v>0</v>
      </c>
      <c r="AK190" s="4"/>
      <c r="AL190" s="255"/>
      <c r="AM190" s="180"/>
      <c r="AN190" s="193"/>
      <c r="AO190" s="193"/>
      <c r="AP190" s="193"/>
      <c r="AQ190" s="193"/>
      <c r="AR190" s="193"/>
      <c r="AS190" s="193"/>
      <c r="AT190" s="367"/>
    </row>
    <row r="191" spans="1:46" ht="16.5" customHeight="1">
      <c r="A191" s="180"/>
      <c r="B191" s="693" t="s">
        <v>1066</v>
      </c>
      <c r="C191" s="441" t="s">
        <v>1056</v>
      </c>
      <c r="D191" s="47"/>
      <c r="E191" s="319"/>
      <c r="F191" s="646"/>
      <c r="G191" s="4"/>
      <c r="H191" s="441"/>
      <c r="I191" s="47"/>
      <c r="J191" s="319"/>
      <c r="K191" s="646"/>
      <c r="L191" s="4"/>
      <c r="M191" s="441"/>
      <c r="N191" s="47"/>
      <c r="O191" s="319"/>
      <c r="P191" s="646"/>
      <c r="Q191" s="4"/>
      <c r="R191" s="47"/>
      <c r="S191" s="47"/>
      <c r="T191" s="319"/>
      <c r="U191" s="646"/>
      <c r="V191" s="4"/>
      <c r="W191" s="47"/>
      <c r="X191" s="47"/>
      <c r="Y191" s="319"/>
      <c r="Z191" s="646"/>
      <c r="AA191" s="328">
        <f t="shared" si="22"/>
        <v>0</v>
      </c>
      <c r="AB191" s="298">
        <f t="shared" si="23"/>
        <v>0</v>
      </c>
      <c r="AC191" s="4"/>
      <c r="AD191" s="47"/>
      <c r="AE191" s="47"/>
      <c r="AF191" s="319"/>
      <c r="AG191" s="47"/>
      <c r="AH191" s="47"/>
      <c r="AI191" s="319"/>
      <c r="AJ191" s="328">
        <f t="shared" si="24"/>
        <v>0</v>
      </c>
      <c r="AK191" s="4"/>
      <c r="AL191" s="255"/>
      <c r="AM191" s="180"/>
      <c r="AN191" s="193"/>
      <c r="AO191" s="193"/>
      <c r="AP191" s="193"/>
      <c r="AQ191" s="193"/>
      <c r="AR191" s="193"/>
      <c r="AS191" s="193"/>
      <c r="AT191" s="180"/>
    </row>
    <row r="192" spans="1:46" ht="16.5" customHeight="1">
      <c r="A192" s="180"/>
      <c r="B192" s="678" t="s">
        <v>1067</v>
      </c>
      <c r="C192" s="441" t="s">
        <v>1056</v>
      </c>
      <c r="D192" s="47"/>
      <c r="E192" s="319"/>
      <c r="F192" s="646"/>
      <c r="G192" s="4"/>
      <c r="H192" s="441"/>
      <c r="I192" s="47"/>
      <c r="J192" s="319"/>
      <c r="K192" s="646"/>
      <c r="L192" s="4"/>
      <c r="M192" s="441"/>
      <c r="N192" s="47"/>
      <c r="O192" s="319"/>
      <c r="P192" s="646"/>
      <c r="Q192" s="4"/>
      <c r="R192" s="47"/>
      <c r="S192" s="47"/>
      <c r="T192" s="319"/>
      <c r="U192" s="646"/>
      <c r="V192" s="4"/>
      <c r="W192" s="47"/>
      <c r="X192" s="47"/>
      <c r="Y192" s="319"/>
      <c r="Z192" s="646"/>
      <c r="AA192" s="328">
        <f t="shared" si="22"/>
        <v>0</v>
      </c>
      <c r="AB192" s="298">
        <f t="shared" si="23"/>
        <v>0</v>
      </c>
      <c r="AC192" s="4"/>
      <c r="AD192" s="47"/>
      <c r="AE192" s="47"/>
      <c r="AF192" s="319"/>
      <c r="AG192" s="47"/>
      <c r="AH192" s="47"/>
      <c r="AI192" s="319"/>
      <c r="AJ192" s="328">
        <f t="shared" si="24"/>
        <v>0</v>
      </c>
      <c r="AK192" s="4"/>
      <c r="AL192" s="255"/>
      <c r="AM192" s="180"/>
      <c r="AN192" s="193"/>
      <c r="AO192" s="193"/>
      <c r="AP192" s="193"/>
      <c r="AQ192" s="193"/>
      <c r="AR192" s="193"/>
      <c r="AS192" s="193"/>
      <c r="AT192" s="180"/>
    </row>
    <row r="193" spans="1:46" ht="16.5" customHeight="1">
      <c r="A193" s="180"/>
      <c r="B193" s="422" t="s">
        <v>44</v>
      </c>
      <c r="C193" s="441" t="s">
        <v>1056</v>
      </c>
      <c r="D193" s="47"/>
      <c r="E193" s="319"/>
      <c r="F193" s="646"/>
      <c r="G193" s="4"/>
      <c r="H193" s="441"/>
      <c r="I193" s="47"/>
      <c r="J193" s="319"/>
      <c r="K193" s="646"/>
      <c r="L193" s="4"/>
      <c r="M193" s="441"/>
      <c r="N193" s="47"/>
      <c r="O193" s="319"/>
      <c r="P193" s="646"/>
      <c r="Q193" s="4"/>
      <c r="R193" s="47"/>
      <c r="S193" s="47"/>
      <c r="T193" s="319"/>
      <c r="U193" s="646"/>
      <c r="V193" s="4"/>
      <c r="W193" s="47"/>
      <c r="X193" s="47"/>
      <c r="Y193" s="319"/>
      <c r="Z193" s="646"/>
      <c r="AA193" s="328">
        <f t="shared" si="22"/>
        <v>0</v>
      </c>
      <c r="AB193" s="298">
        <f t="shared" si="23"/>
        <v>0</v>
      </c>
      <c r="AC193" s="4"/>
      <c r="AD193" s="47"/>
      <c r="AE193" s="47"/>
      <c r="AF193" s="319"/>
      <c r="AG193" s="47"/>
      <c r="AH193" s="47"/>
      <c r="AI193" s="319"/>
      <c r="AJ193" s="328">
        <f t="shared" si="24"/>
        <v>0</v>
      </c>
      <c r="AK193" s="4"/>
      <c r="AL193" s="255"/>
      <c r="AM193" s="180"/>
      <c r="AN193" s="193"/>
      <c r="AO193" s="193"/>
      <c r="AP193" s="193"/>
      <c r="AQ193" s="193"/>
      <c r="AR193" s="193"/>
      <c r="AS193" s="193"/>
      <c r="AT193" s="180"/>
    </row>
    <row r="194" spans="1:46" ht="16.5" customHeight="1">
      <c r="A194" s="180"/>
      <c r="B194" s="422" t="s">
        <v>241</v>
      </c>
      <c r="C194" s="441" t="s">
        <v>1056</v>
      </c>
      <c r="D194" s="47"/>
      <c r="E194" s="319"/>
      <c r="F194" s="646"/>
      <c r="G194" s="4"/>
      <c r="H194" s="441"/>
      <c r="I194" s="47"/>
      <c r="J194" s="319"/>
      <c r="K194" s="646"/>
      <c r="L194" s="4"/>
      <c r="M194" s="441"/>
      <c r="N194" s="47"/>
      <c r="O194" s="319"/>
      <c r="P194" s="646"/>
      <c r="Q194" s="4"/>
      <c r="R194" s="47"/>
      <c r="S194" s="47"/>
      <c r="T194" s="319"/>
      <c r="U194" s="646"/>
      <c r="V194" s="4"/>
      <c r="W194" s="47"/>
      <c r="X194" s="47"/>
      <c r="Y194" s="319"/>
      <c r="Z194" s="646"/>
      <c r="AA194" s="328">
        <f t="shared" si="22"/>
        <v>0</v>
      </c>
      <c r="AB194" s="298">
        <f t="shared" si="23"/>
        <v>0</v>
      </c>
      <c r="AC194" s="4"/>
      <c r="AD194" s="47"/>
      <c r="AE194" s="47"/>
      <c r="AF194" s="319"/>
      <c r="AG194" s="47"/>
      <c r="AH194" s="47"/>
      <c r="AI194" s="319"/>
      <c r="AJ194" s="328">
        <f t="shared" si="24"/>
        <v>0</v>
      </c>
      <c r="AK194" s="4"/>
      <c r="AL194" s="255"/>
      <c r="AM194" s="180"/>
      <c r="AN194" s="193"/>
      <c r="AO194" s="193"/>
      <c r="AP194" s="193"/>
      <c r="AQ194" s="193"/>
      <c r="AR194" s="193"/>
      <c r="AS194" s="193"/>
      <c r="AT194" s="180"/>
    </row>
    <row r="195" spans="1:46" ht="16.5" customHeight="1">
      <c r="A195" s="180"/>
      <c r="B195" s="678" t="s">
        <v>354</v>
      </c>
      <c r="C195" s="441" t="s">
        <v>154</v>
      </c>
      <c r="D195" s="47"/>
      <c r="E195" s="319"/>
      <c r="F195" s="646"/>
      <c r="G195" s="4"/>
      <c r="H195" s="441"/>
      <c r="I195" s="47"/>
      <c r="J195" s="319"/>
      <c r="K195" s="646"/>
      <c r="L195" s="4"/>
      <c r="M195" s="441"/>
      <c r="N195" s="47"/>
      <c r="O195" s="319"/>
      <c r="P195" s="646"/>
      <c r="Q195" s="4"/>
      <c r="R195" s="47"/>
      <c r="S195" s="47"/>
      <c r="T195" s="319"/>
      <c r="U195" s="646"/>
      <c r="V195" s="4"/>
      <c r="W195" s="47"/>
      <c r="X195" s="47"/>
      <c r="Y195" s="319"/>
      <c r="Z195" s="646"/>
      <c r="AA195" s="328">
        <f t="shared" si="22"/>
        <v>0</v>
      </c>
      <c r="AB195" s="298">
        <f t="shared" si="23"/>
        <v>0</v>
      </c>
      <c r="AC195" s="4"/>
      <c r="AD195" s="47"/>
      <c r="AE195" s="47"/>
      <c r="AF195" s="319"/>
      <c r="AG195" s="47"/>
      <c r="AH195" s="47"/>
      <c r="AI195" s="319"/>
      <c r="AJ195" s="328">
        <f t="shared" si="24"/>
        <v>0</v>
      </c>
      <c r="AK195" s="4"/>
      <c r="AL195" s="255"/>
      <c r="AM195" s="180"/>
      <c r="AN195" s="193"/>
      <c r="AO195" s="193"/>
      <c r="AP195" s="193"/>
      <c r="AQ195" s="193"/>
      <c r="AR195" s="193"/>
      <c r="AS195" s="193"/>
      <c r="AT195" s="180"/>
    </row>
    <row r="196" spans="1:46" ht="16.5" customHeight="1">
      <c r="A196" s="180"/>
      <c r="B196" s="678" t="s">
        <v>242</v>
      </c>
      <c r="C196" s="441" t="s">
        <v>1056</v>
      </c>
      <c r="D196" s="47"/>
      <c r="E196" s="319"/>
      <c r="F196" s="646"/>
      <c r="G196" s="4"/>
      <c r="H196" s="441"/>
      <c r="I196" s="47"/>
      <c r="J196" s="319"/>
      <c r="K196" s="646"/>
      <c r="L196" s="4"/>
      <c r="M196" s="441"/>
      <c r="N196" s="47"/>
      <c r="O196" s="319"/>
      <c r="P196" s="646"/>
      <c r="Q196" s="4"/>
      <c r="R196" s="47"/>
      <c r="S196" s="47"/>
      <c r="T196" s="319"/>
      <c r="U196" s="646"/>
      <c r="V196" s="4"/>
      <c r="W196" s="47"/>
      <c r="X196" s="47"/>
      <c r="Y196" s="319"/>
      <c r="Z196" s="646"/>
      <c r="AA196" s="328">
        <f t="shared" si="22"/>
        <v>0</v>
      </c>
      <c r="AB196" s="298">
        <f t="shared" si="23"/>
        <v>0</v>
      </c>
      <c r="AC196" s="4"/>
      <c r="AD196" s="47"/>
      <c r="AE196" s="47"/>
      <c r="AF196" s="319"/>
      <c r="AG196" s="47"/>
      <c r="AH196" s="47"/>
      <c r="AI196" s="319"/>
      <c r="AJ196" s="328">
        <f t="shared" si="24"/>
        <v>0</v>
      </c>
      <c r="AK196" s="4"/>
      <c r="AL196" s="255"/>
      <c r="AM196" s="180"/>
      <c r="AN196" s="193"/>
      <c r="AO196" s="193"/>
      <c r="AP196" s="193"/>
      <c r="AQ196" s="193"/>
      <c r="AR196" s="193"/>
      <c r="AS196" s="193"/>
      <c r="AT196" s="180"/>
    </row>
    <row r="197" spans="1:46" ht="16.5" customHeight="1">
      <c r="A197" s="180"/>
      <c r="B197" s="422" t="s">
        <v>1072</v>
      </c>
      <c r="C197" s="441"/>
      <c r="D197" s="47"/>
      <c r="E197" s="319"/>
      <c r="F197" s="646"/>
      <c r="G197" s="4"/>
      <c r="H197" s="441"/>
      <c r="I197" s="47"/>
      <c r="J197" s="319"/>
      <c r="K197" s="646"/>
      <c r="L197" s="4"/>
      <c r="M197" s="441"/>
      <c r="N197" s="47"/>
      <c r="O197" s="319"/>
      <c r="P197" s="646"/>
      <c r="Q197" s="4"/>
      <c r="R197" s="47"/>
      <c r="S197" s="47"/>
      <c r="T197" s="319"/>
      <c r="U197" s="646"/>
      <c r="V197" s="4"/>
      <c r="W197" s="47"/>
      <c r="X197" s="47"/>
      <c r="Y197" s="319"/>
      <c r="Z197" s="646"/>
      <c r="AA197" s="328">
        <f t="shared" si="22"/>
        <v>0</v>
      </c>
      <c r="AB197" s="298">
        <f t="shared" si="23"/>
        <v>0</v>
      </c>
      <c r="AC197" s="4"/>
      <c r="AD197" s="47"/>
      <c r="AE197" s="47"/>
      <c r="AF197" s="319"/>
      <c r="AG197" s="47"/>
      <c r="AH197" s="47"/>
      <c r="AI197" s="319"/>
      <c r="AJ197" s="328">
        <f t="shared" si="24"/>
        <v>0</v>
      </c>
      <c r="AK197" s="4"/>
      <c r="AL197" s="255"/>
      <c r="AM197" s="180"/>
      <c r="AN197" s="193"/>
      <c r="AO197" s="193"/>
      <c r="AP197" s="193"/>
      <c r="AQ197" s="193"/>
      <c r="AR197" s="193"/>
      <c r="AS197" s="193"/>
      <c r="AT197" s="180"/>
    </row>
    <row r="198" spans="1:46" ht="16.5" customHeight="1">
      <c r="A198" s="180"/>
      <c r="B198" s="422" t="s">
        <v>1073</v>
      </c>
      <c r="C198" s="441"/>
      <c r="D198" s="47"/>
      <c r="E198" s="319"/>
      <c r="F198" s="646"/>
      <c r="G198" s="4"/>
      <c r="H198" s="441"/>
      <c r="I198" s="47"/>
      <c r="J198" s="319"/>
      <c r="K198" s="646"/>
      <c r="L198" s="4"/>
      <c r="M198" s="441"/>
      <c r="N198" s="47"/>
      <c r="O198" s="319"/>
      <c r="P198" s="646"/>
      <c r="Q198" s="4"/>
      <c r="R198" s="47"/>
      <c r="S198" s="47"/>
      <c r="T198" s="319"/>
      <c r="U198" s="646"/>
      <c r="V198" s="4"/>
      <c r="W198" s="47"/>
      <c r="X198" s="47"/>
      <c r="Y198" s="319"/>
      <c r="Z198" s="646"/>
      <c r="AA198" s="328">
        <f t="shared" si="22"/>
        <v>0</v>
      </c>
      <c r="AB198" s="298">
        <f t="shared" si="23"/>
        <v>0</v>
      </c>
      <c r="AC198" s="4"/>
      <c r="AD198" s="47"/>
      <c r="AE198" s="47"/>
      <c r="AF198" s="319"/>
      <c r="AG198" s="47"/>
      <c r="AH198" s="47"/>
      <c r="AI198" s="319"/>
      <c r="AJ198" s="328">
        <f t="shared" si="24"/>
        <v>0</v>
      </c>
      <c r="AK198" s="4"/>
      <c r="AL198" s="255"/>
      <c r="AM198" s="180"/>
      <c r="AN198" s="193"/>
      <c r="AO198" s="193"/>
      <c r="AP198" s="193"/>
      <c r="AQ198" s="193"/>
      <c r="AR198" s="193"/>
      <c r="AS198" s="193"/>
      <c r="AT198" s="180"/>
    </row>
    <row r="199" spans="1:46" ht="16.5" customHeight="1">
      <c r="A199" s="180"/>
      <c r="B199" s="422" t="s">
        <v>1074</v>
      </c>
      <c r="C199" s="441"/>
      <c r="D199" s="47"/>
      <c r="E199" s="319"/>
      <c r="F199" s="646"/>
      <c r="G199" s="4"/>
      <c r="H199" s="441"/>
      <c r="I199" s="47"/>
      <c r="J199" s="319"/>
      <c r="K199" s="646"/>
      <c r="L199" s="4"/>
      <c r="M199" s="441"/>
      <c r="N199" s="47"/>
      <c r="O199" s="319"/>
      <c r="P199" s="646"/>
      <c r="Q199" s="4"/>
      <c r="R199" s="47"/>
      <c r="S199" s="47"/>
      <c r="T199" s="319"/>
      <c r="U199" s="646"/>
      <c r="V199" s="4"/>
      <c r="W199" s="47"/>
      <c r="X199" s="47"/>
      <c r="Y199" s="319"/>
      <c r="Z199" s="646"/>
      <c r="AA199" s="328">
        <f t="shared" si="22"/>
        <v>0</v>
      </c>
      <c r="AB199" s="298">
        <f t="shared" si="23"/>
        <v>0</v>
      </c>
      <c r="AC199" s="4"/>
      <c r="AD199" s="47"/>
      <c r="AE199" s="47"/>
      <c r="AF199" s="319"/>
      <c r="AG199" s="47"/>
      <c r="AH199" s="47"/>
      <c r="AI199" s="319"/>
      <c r="AJ199" s="328">
        <f t="shared" si="24"/>
        <v>0</v>
      </c>
      <c r="AK199" s="4"/>
      <c r="AL199" s="255"/>
      <c r="AM199" s="180"/>
      <c r="AN199" s="193"/>
      <c r="AO199" s="193"/>
      <c r="AP199" s="193"/>
      <c r="AQ199" s="193"/>
      <c r="AR199" s="193"/>
      <c r="AS199" s="193"/>
      <c r="AT199" s="180"/>
    </row>
    <row r="200" spans="1:46" ht="16.5" customHeight="1">
      <c r="A200" s="180"/>
      <c r="B200" s="422" t="s">
        <v>1075</v>
      </c>
      <c r="C200" s="441"/>
      <c r="D200" s="47"/>
      <c r="E200" s="319"/>
      <c r="F200" s="646"/>
      <c r="G200" s="4"/>
      <c r="H200" s="441"/>
      <c r="I200" s="47"/>
      <c r="J200" s="319"/>
      <c r="K200" s="646"/>
      <c r="L200" s="4"/>
      <c r="M200" s="441"/>
      <c r="N200" s="47"/>
      <c r="O200" s="319"/>
      <c r="P200" s="646"/>
      <c r="Q200" s="4"/>
      <c r="R200" s="47"/>
      <c r="S200" s="47"/>
      <c r="T200" s="319"/>
      <c r="U200" s="646"/>
      <c r="V200" s="4"/>
      <c r="W200" s="47"/>
      <c r="X200" s="47"/>
      <c r="Y200" s="319"/>
      <c r="Z200" s="646"/>
      <c r="AA200" s="328">
        <f t="shared" si="22"/>
        <v>0</v>
      </c>
      <c r="AB200" s="298">
        <f t="shared" si="23"/>
        <v>0</v>
      </c>
      <c r="AC200" s="4"/>
      <c r="AD200" s="47"/>
      <c r="AE200" s="47"/>
      <c r="AF200" s="319"/>
      <c r="AG200" s="47"/>
      <c r="AH200" s="47"/>
      <c r="AI200" s="319"/>
      <c r="AJ200" s="328">
        <f t="shared" si="24"/>
        <v>0</v>
      </c>
      <c r="AK200" s="4"/>
      <c r="AL200" s="255"/>
      <c r="AM200" s="180"/>
      <c r="AN200" s="193"/>
      <c r="AO200" s="193"/>
      <c r="AP200" s="193"/>
      <c r="AQ200" s="193"/>
      <c r="AR200" s="193"/>
      <c r="AS200" s="193"/>
      <c r="AT200" s="180"/>
    </row>
    <row r="201" spans="1:46" ht="16.5" customHeight="1">
      <c r="A201" s="180"/>
      <c r="B201" s="422" t="s">
        <v>1076</v>
      </c>
      <c r="C201" s="441"/>
      <c r="D201" s="47"/>
      <c r="E201" s="319"/>
      <c r="F201" s="646"/>
      <c r="G201" s="4"/>
      <c r="H201" s="441"/>
      <c r="I201" s="47"/>
      <c r="J201" s="319"/>
      <c r="K201" s="646"/>
      <c r="L201" s="4"/>
      <c r="M201" s="441"/>
      <c r="N201" s="47"/>
      <c r="O201" s="319"/>
      <c r="P201" s="646"/>
      <c r="Q201" s="4"/>
      <c r="R201" s="47"/>
      <c r="S201" s="47"/>
      <c r="T201" s="319"/>
      <c r="U201" s="646"/>
      <c r="V201" s="4"/>
      <c r="W201" s="47"/>
      <c r="X201" s="47"/>
      <c r="Y201" s="319"/>
      <c r="Z201" s="646"/>
      <c r="AA201" s="328">
        <f t="shared" si="22"/>
        <v>0</v>
      </c>
      <c r="AB201" s="298">
        <f t="shared" si="23"/>
        <v>0</v>
      </c>
      <c r="AC201" s="4"/>
      <c r="AD201" s="47"/>
      <c r="AE201" s="47"/>
      <c r="AF201" s="319"/>
      <c r="AG201" s="47"/>
      <c r="AH201" s="47"/>
      <c r="AI201" s="319"/>
      <c r="AJ201" s="328">
        <f t="shared" si="24"/>
        <v>0</v>
      </c>
      <c r="AK201" s="4"/>
      <c r="AL201" s="255"/>
      <c r="AM201" s="180"/>
      <c r="AN201" s="193"/>
      <c r="AO201" s="193"/>
      <c r="AP201" s="193"/>
      <c r="AQ201" s="193"/>
      <c r="AR201" s="193"/>
      <c r="AS201" s="193"/>
      <c r="AT201" s="180"/>
    </row>
    <row r="202" spans="1:46" ht="16.5" customHeight="1">
      <c r="A202" s="180"/>
      <c r="B202" s="422" t="s">
        <v>1077</v>
      </c>
      <c r="C202" s="441"/>
      <c r="D202" s="47"/>
      <c r="E202" s="319"/>
      <c r="F202" s="646"/>
      <c r="G202" s="4"/>
      <c r="H202" s="441"/>
      <c r="I202" s="47"/>
      <c r="J202" s="319"/>
      <c r="K202" s="646"/>
      <c r="L202" s="4"/>
      <c r="M202" s="441"/>
      <c r="N202" s="47"/>
      <c r="O202" s="319"/>
      <c r="P202" s="646"/>
      <c r="Q202" s="4"/>
      <c r="R202" s="47"/>
      <c r="S202" s="47"/>
      <c r="T202" s="319"/>
      <c r="U202" s="646"/>
      <c r="V202" s="4"/>
      <c r="W202" s="47"/>
      <c r="X202" s="47"/>
      <c r="Y202" s="319"/>
      <c r="Z202" s="646"/>
      <c r="AA202" s="328">
        <f t="shared" si="22"/>
        <v>0</v>
      </c>
      <c r="AB202" s="298">
        <f t="shared" si="23"/>
        <v>0</v>
      </c>
      <c r="AC202" s="4"/>
      <c r="AD202" s="47"/>
      <c r="AE202" s="47"/>
      <c r="AF202" s="319"/>
      <c r="AG202" s="47"/>
      <c r="AH202" s="47"/>
      <c r="AI202" s="319"/>
      <c r="AJ202" s="328">
        <f t="shared" si="24"/>
        <v>0</v>
      </c>
      <c r="AK202" s="4"/>
      <c r="AL202" s="255"/>
      <c r="AM202" s="180"/>
      <c r="AN202" s="193"/>
      <c r="AO202" s="193"/>
      <c r="AP202" s="193"/>
      <c r="AQ202" s="193"/>
      <c r="AR202" s="193"/>
      <c r="AS202" s="193"/>
      <c r="AT202" s="180"/>
    </row>
    <row r="203" spans="1:46" ht="16.5" customHeight="1">
      <c r="A203" s="180"/>
      <c r="B203" s="422" t="s">
        <v>1078</v>
      </c>
      <c r="C203" s="441"/>
      <c r="D203" s="47"/>
      <c r="E203" s="319"/>
      <c r="F203" s="646"/>
      <c r="G203" s="4"/>
      <c r="H203" s="441"/>
      <c r="I203" s="47"/>
      <c r="J203" s="319"/>
      <c r="K203" s="646"/>
      <c r="L203" s="4"/>
      <c r="M203" s="441"/>
      <c r="N203" s="47"/>
      <c r="O203" s="319"/>
      <c r="P203" s="646"/>
      <c r="Q203" s="4"/>
      <c r="R203" s="47"/>
      <c r="S203" s="47"/>
      <c r="T203" s="319"/>
      <c r="U203" s="646"/>
      <c r="V203" s="4"/>
      <c r="W203" s="47"/>
      <c r="X203" s="47"/>
      <c r="Y203" s="319"/>
      <c r="Z203" s="646"/>
      <c r="AA203" s="328">
        <f t="shared" si="22"/>
        <v>0</v>
      </c>
      <c r="AB203" s="298">
        <f t="shared" si="23"/>
        <v>0</v>
      </c>
      <c r="AC203" s="4"/>
      <c r="AD203" s="47"/>
      <c r="AE203" s="47"/>
      <c r="AF203" s="319"/>
      <c r="AG203" s="47"/>
      <c r="AH203" s="47"/>
      <c r="AI203" s="319"/>
      <c r="AJ203" s="328">
        <f t="shared" si="24"/>
        <v>0</v>
      </c>
      <c r="AK203" s="4"/>
      <c r="AL203" s="255"/>
      <c r="AM203" s="180"/>
      <c r="AN203" s="193"/>
      <c r="AO203" s="193"/>
      <c r="AP203" s="193"/>
      <c r="AQ203" s="193"/>
      <c r="AR203" s="193"/>
      <c r="AS203" s="193"/>
      <c r="AT203" s="180"/>
    </row>
    <row r="204" spans="1:46" ht="16.5" customHeight="1">
      <c r="A204" s="180"/>
      <c r="B204" s="422" t="s">
        <v>1086</v>
      </c>
      <c r="C204" s="441"/>
      <c r="D204" s="47"/>
      <c r="E204" s="319"/>
      <c r="F204" s="646"/>
      <c r="G204" s="4"/>
      <c r="H204" s="441"/>
      <c r="I204" s="47"/>
      <c r="J204" s="319"/>
      <c r="K204" s="646"/>
      <c r="L204" s="4"/>
      <c r="M204" s="441"/>
      <c r="N204" s="47"/>
      <c r="O204" s="319"/>
      <c r="P204" s="646"/>
      <c r="Q204" s="4"/>
      <c r="R204" s="47"/>
      <c r="S204" s="47"/>
      <c r="T204" s="319"/>
      <c r="U204" s="646"/>
      <c r="V204" s="4"/>
      <c r="W204" s="47"/>
      <c r="X204" s="47"/>
      <c r="Y204" s="319"/>
      <c r="Z204" s="646"/>
      <c r="AA204" s="328">
        <f t="shared" si="22"/>
        <v>0</v>
      </c>
      <c r="AB204" s="298">
        <f t="shared" si="23"/>
        <v>0</v>
      </c>
      <c r="AC204" s="4"/>
      <c r="AD204" s="47"/>
      <c r="AE204" s="47"/>
      <c r="AF204" s="319"/>
      <c r="AG204" s="47"/>
      <c r="AH204" s="47"/>
      <c r="AI204" s="319"/>
      <c r="AJ204" s="328">
        <f t="shared" si="24"/>
        <v>0</v>
      </c>
      <c r="AK204" s="4"/>
      <c r="AL204" s="255"/>
      <c r="AM204" s="180"/>
      <c r="AN204" s="193"/>
      <c r="AO204" s="193"/>
      <c r="AP204" s="193"/>
      <c r="AQ204" s="193"/>
      <c r="AR204" s="193"/>
      <c r="AS204" s="193"/>
      <c r="AT204" s="180"/>
    </row>
    <row r="205" spans="1:46" ht="16.5" customHeight="1">
      <c r="A205" s="180"/>
      <c r="B205" s="422" t="s">
        <v>1087</v>
      </c>
      <c r="C205" s="1564"/>
      <c r="D205" s="1564"/>
      <c r="E205" s="319"/>
      <c r="F205" s="646"/>
      <c r="G205" s="4"/>
      <c r="H205" s="1564"/>
      <c r="I205" s="1564"/>
      <c r="J205" s="319"/>
      <c r="K205" s="646"/>
      <c r="L205" s="4"/>
      <c r="M205" s="1564"/>
      <c r="N205" s="1564"/>
      <c r="O205" s="319"/>
      <c r="P205" s="646"/>
      <c r="Q205" s="4"/>
      <c r="R205" s="1564"/>
      <c r="S205" s="1564"/>
      <c r="T205" s="319"/>
      <c r="U205" s="646"/>
      <c r="V205" s="4"/>
      <c r="W205" s="1564"/>
      <c r="X205" s="1564"/>
      <c r="Y205" s="319"/>
      <c r="Z205" s="646"/>
      <c r="AA205" s="328">
        <f t="shared" si="22"/>
        <v>0</v>
      </c>
      <c r="AB205" s="298">
        <f t="shared" si="23"/>
        <v>0</v>
      </c>
      <c r="AC205" s="4"/>
      <c r="AD205" s="47"/>
      <c r="AE205" s="47"/>
      <c r="AF205" s="319"/>
      <c r="AG205" s="47"/>
      <c r="AH205" s="47"/>
      <c r="AI205" s="319"/>
      <c r="AJ205" s="328">
        <f t="shared" si="24"/>
        <v>0</v>
      </c>
      <c r="AK205" s="4"/>
      <c r="AL205" s="255"/>
      <c r="AM205" s="180"/>
      <c r="AN205" s="193"/>
      <c r="AO205" s="193"/>
      <c r="AP205" s="193"/>
      <c r="AQ205" s="193"/>
      <c r="AR205" s="193"/>
      <c r="AS205" s="193"/>
      <c r="AT205" s="180"/>
    </row>
    <row r="206" spans="1:46" ht="16.5" customHeight="1">
      <c r="A206" s="180"/>
      <c r="B206" s="64" t="s">
        <v>61</v>
      </c>
      <c r="C206" s="31"/>
      <c r="D206" s="31"/>
      <c r="E206" s="439">
        <f>SUM(E183:E205)</f>
        <v>0</v>
      </c>
      <c r="F206" s="646">
        <f>SUM(F183:F205)</f>
        <v>0</v>
      </c>
      <c r="G206" s="31"/>
      <c r="H206" s="31"/>
      <c r="I206" s="31"/>
      <c r="J206" s="439">
        <f>SUM(J183:J205)</f>
        <v>0</v>
      </c>
      <c r="K206" s="646">
        <f>SUM(K183:K205)</f>
        <v>0</v>
      </c>
      <c r="L206" s="31"/>
      <c r="M206" s="31"/>
      <c r="N206" s="31"/>
      <c r="O206" s="439">
        <f>SUM(O183:O205)</f>
        <v>0</v>
      </c>
      <c r="P206" s="646">
        <f>SUM(P183:P205)</f>
        <v>0</v>
      </c>
      <c r="Q206" s="31"/>
      <c r="R206" s="31"/>
      <c r="S206" s="31"/>
      <c r="T206" s="439">
        <f>SUM(T183:T205)</f>
        <v>0</v>
      </c>
      <c r="U206" s="646">
        <f>SUM(U183:U205)</f>
        <v>0</v>
      </c>
      <c r="V206" s="31"/>
      <c r="W206" s="31"/>
      <c r="X206" s="31"/>
      <c r="Y206" s="439">
        <f>SUM(Y183:Y205)</f>
        <v>0</v>
      </c>
      <c r="Z206" s="646">
        <f>SUM(Z183:Z205)</f>
        <v>0</v>
      </c>
      <c r="AA206" s="370">
        <f>SUM(AA183:AA205)</f>
        <v>0</v>
      </c>
      <c r="AB206" s="370">
        <f>SUM(AB183:AB205)</f>
        <v>0</v>
      </c>
      <c r="AC206" s="4"/>
      <c r="AD206" s="64"/>
      <c r="AE206" s="64"/>
      <c r="AF206" s="370">
        <f>SUM(AF183:AF205)</f>
        <v>0</v>
      </c>
      <c r="AG206" s="64"/>
      <c r="AH206" s="64"/>
      <c r="AI206" s="370">
        <f>SUM(AI183:AI205)</f>
        <v>0</v>
      </c>
      <c r="AJ206" s="370">
        <f>SUM(AJ183:AJ205)</f>
        <v>0</v>
      </c>
      <c r="AK206" s="4"/>
      <c r="AL206" s="255"/>
      <c r="AM206" s="180"/>
      <c r="AN206" s="407"/>
      <c r="AO206" s="193"/>
      <c r="AP206" s="193"/>
      <c r="AQ206" s="193"/>
      <c r="AR206" s="193"/>
      <c r="AS206" s="193"/>
      <c r="AT206" s="180"/>
    </row>
    <row r="207" spans="1:46" ht="16.5" customHeight="1">
      <c r="A207" s="180"/>
      <c r="B207" s="63"/>
      <c r="C207" s="47"/>
      <c r="D207" s="47"/>
      <c r="E207" s="319"/>
      <c r="F207" s="346"/>
      <c r="G207" s="613"/>
      <c r="H207" s="47"/>
      <c r="I207" s="47"/>
      <c r="J207" s="319"/>
      <c r="K207" s="346"/>
      <c r="L207" s="60"/>
      <c r="M207" s="47"/>
      <c r="N207" s="47"/>
      <c r="O207" s="319"/>
      <c r="P207" s="346"/>
      <c r="Q207" s="60"/>
      <c r="R207" s="47"/>
      <c r="S207" s="47"/>
      <c r="T207" s="319"/>
      <c r="U207" s="346"/>
      <c r="V207" s="60"/>
      <c r="W207" s="47"/>
      <c r="X207" s="47"/>
      <c r="Y207" s="319"/>
      <c r="Z207" s="346"/>
      <c r="AA207" s="28">
        <f>SUM(E207+J207+O207+T207+Y207)</f>
        <v>0</v>
      </c>
      <c r="AB207" s="296">
        <f>Z207+U207+P207+K207+F207</f>
        <v>0</v>
      </c>
      <c r="AC207" s="4"/>
      <c r="AD207" s="47" t="s">
        <v>29</v>
      </c>
      <c r="AE207" s="47" t="s">
        <v>29</v>
      </c>
      <c r="AF207" s="319"/>
      <c r="AG207" s="47" t="s">
        <v>29</v>
      </c>
      <c r="AH207" s="47" t="s">
        <v>29</v>
      </c>
      <c r="AI207" s="319"/>
      <c r="AJ207" s="29">
        <f>AI207</f>
        <v>0</v>
      </c>
      <c r="AK207" s="4"/>
      <c r="AL207" s="255"/>
      <c r="AM207" s="180"/>
      <c r="AN207" s="407"/>
      <c r="AO207" s="193"/>
      <c r="AP207" s="193"/>
      <c r="AQ207" s="193"/>
      <c r="AR207" s="193"/>
      <c r="AS207" s="193"/>
      <c r="AT207" s="180"/>
    </row>
    <row r="208" spans="1:46" ht="16.5" customHeight="1">
      <c r="A208" s="180"/>
      <c r="B208" s="71" t="s">
        <v>66</v>
      </c>
      <c r="C208" s="371"/>
      <c r="D208" s="371"/>
      <c r="E208" s="71"/>
      <c r="F208" s="613"/>
      <c r="G208" s="71"/>
      <c r="H208" s="71"/>
      <c r="I208" s="71"/>
      <c r="J208" s="71"/>
      <c r="K208" s="613"/>
      <c r="L208" s="71"/>
      <c r="M208" s="71"/>
      <c r="N208" s="71"/>
      <c r="O208" s="71"/>
      <c r="P208" s="613"/>
      <c r="Q208" s="71"/>
      <c r="R208" s="71"/>
      <c r="S208" s="71"/>
      <c r="T208" s="71"/>
      <c r="U208" s="613"/>
      <c r="V208" s="71"/>
      <c r="W208" s="71"/>
      <c r="X208" s="71"/>
      <c r="Y208" s="71"/>
      <c r="Z208" s="613"/>
      <c r="AA208" s="370">
        <f>SUM(AA207:AA207)</f>
        <v>0</v>
      </c>
      <c r="AB208" s="370">
        <f>SUM(AB207:AB207)</f>
        <v>0</v>
      </c>
      <c r="AC208" s="4"/>
      <c r="AD208" s="180"/>
      <c r="AE208" s="180"/>
      <c r="AF208" s="180"/>
      <c r="AG208" s="180"/>
      <c r="AH208" s="180"/>
      <c r="AI208" s="180"/>
      <c r="AJ208" s="370">
        <f>SUM(AJ207:AJ207)</f>
        <v>0</v>
      </c>
      <c r="AK208" s="4"/>
      <c r="AL208" s="255"/>
      <c r="AM208" s="180"/>
      <c r="AN208" s="193"/>
      <c r="AO208" s="193"/>
      <c r="AP208" s="193"/>
      <c r="AQ208" s="193"/>
      <c r="AR208" s="193"/>
      <c r="AS208" s="193"/>
      <c r="AT208" s="180"/>
    </row>
    <row r="209" spans="1:46" ht="16.5" customHeight="1">
      <c r="A209" s="180"/>
      <c r="B209" s="217" t="s">
        <v>67</v>
      </c>
      <c r="C209" s="207"/>
      <c r="D209" s="207"/>
      <c r="E209" s="209"/>
      <c r="F209" s="209"/>
      <c r="G209" s="207"/>
      <c r="H209" s="209"/>
      <c r="I209" s="209"/>
      <c r="J209" s="209"/>
      <c r="K209" s="209"/>
      <c r="L209" s="207"/>
      <c r="M209" s="207"/>
      <c r="N209" s="207"/>
      <c r="O209" s="207"/>
      <c r="P209" s="209"/>
      <c r="Q209" s="207"/>
      <c r="R209" s="207"/>
      <c r="S209" s="207"/>
      <c r="T209" s="207"/>
      <c r="U209" s="209"/>
      <c r="V209" s="207"/>
      <c r="W209" s="207"/>
      <c r="X209" s="207"/>
      <c r="Y209" s="210"/>
      <c r="Z209" s="209"/>
      <c r="AA209" s="211"/>
      <c r="AB209" s="209"/>
      <c r="AC209" s="211"/>
      <c r="AD209" s="211"/>
      <c r="AE209" s="211"/>
      <c r="AF209" s="211"/>
      <c r="AG209" s="211"/>
      <c r="AH209" s="211"/>
      <c r="AI209" s="211"/>
      <c r="AJ209" s="211"/>
      <c r="AK209" s="4"/>
      <c r="AL209" s="255"/>
      <c r="AM209" s="180"/>
      <c r="AN209" s="193"/>
      <c r="AO209" s="193"/>
      <c r="AP209" s="193"/>
      <c r="AQ209" s="193"/>
      <c r="AR209" s="193"/>
      <c r="AS209" s="193"/>
      <c r="AT209" s="180"/>
    </row>
    <row r="210" spans="1:46" ht="16.5" customHeight="1">
      <c r="A210" s="180"/>
      <c r="B210" s="238" t="s">
        <v>68</v>
      </c>
      <c r="C210" s="239"/>
      <c r="D210" s="207"/>
      <c r="E210" s="209"/>
      <c r="F210" s="209"/>
      <c r="G210" s="207"/>
      <c r="H210" s="209"/>
      <c r="I210" s="209"/>
      <c r="J210" s="209"/>
      <c r="K210" s="209"/>
      <c r="L210" s="207"/>
      <c r="M210" s="207"/>
      <c r="N210" s="207"/>
      <c r="O210" s="207"/>
      <c r="P210" s="209"/>
      <c r="Q210" s="207"/>
      <c r="R210" s="207"/>
      <c r="S210" s="207"/>
      <c r="T210" s="207"/>
      <c r="U210" s="209"/>
      <c r="V210" s="207"/>
      <c r="W210" s="207"/>
      <c r="X210" s="207"/>
      <c r="Y210" s="210"/>
      <c r="Z210" s="209"/>
      <c r="AA210" s="211"/>
      <c r="AB210" s="209"/>
      <c r="AC210" s="211"/>
      <c r="AD210" s="211"/>
      <c r="AE210" s="211"/>
      <c r="AF210" s="211"/>
      <c r="AG210" s="211"/>
      <c r="AH210" s="211"/>
      <c r="AI210" s="211"/>
      <c r="AJ210" s="211"/>
      <c r="AK210" s="4"/>
      <c r="AL210" s="255"/>
      <c r="AM210" s="180"/>
      <c r="AN210" s="193"/>
      <c r="AO210" s="193"/>
      <c r="AP210" s="193"/>
      <c r="AQ210" s="193"/>
      <c r="AR210" s="193"/>
      <c r="AS210" s="193"/>
      <c r="AT210" s="180"/>
    </row>
    <row r="211" spans="1:46" ht="16.5" customHeight="1">
      <c r="A211" s="180"/>
      <c r="B211" s="238" t="s">
        <v>69</v>
      </c>
      <c r="C211" s="239"/>
      <c r="D211" s="207"/>
      <c r="E211" s="209"/>
      <c r="F211" s="209"/>
      <c r="G211" s="207"/>
      <c r="H211" s="209"/>
      <c r="I211" s="209"/>
      <c r="J211" s="209"/>
      <c r="K211" s="209"/>
      <c r="L211" s="207"/>
      <c r="M211" s="207"/>
      <c r="N211" s="207"/>
      <c r="O211" s="207"/>
      <c r="P211" s="209"/>
      <c r="Q211" s="207"/>
      <c r="R211" s="207"/>
      <c r="S211" s="207"/>
      <c r="T211" s="207"/>
      <c r="U211" s="209"/>
      <c r="V211" s="207"/>
      <c r="W211" s="207"/>
      <c r="X211" s="207"/>
      <c r="Y211" s="210"/>
      <c r="Z211" s="209"/>
      <c r="AA211" s="211"/>
      <c r="AB211" s="209"/>
      <c r="AC211" s="211"/>
      <c r="AD211" s="211"/>
      <c r="AE211" s="211"/>
      <c r="AF211" s="211"/>
      <c r="AG211" s="211"/>
      <c r="AH211" s="211"/>
      <c r="AI211" s="211"/>
      <c r="AJ211" s="211"/>
      <c r="AK211" s="4"/>
      <c r="AL211" s="255"/>
      <c r="AM211" s="180"/>
      <c r="AN211" s="193"/>
      <c r="AO211" s="193"/>
      <c r="AP211" s="193"/>
      <c r="AQ211" s="193"/>
      <c r="AR211" s="193"/>
      <c r="AS211" s="193"/>
      <c r="AT211" s="180"/>
    </row>
    <row r="212" spans="1:46" ht="16.5" customHeight="1">
      <c r="A212" s="180"/>
      <c r="B212" s="193"/>
      <c r="C212" s="193"/>
      <c r="D212" s="193"/>
      <c r="E212" s="193"/>
      <c r="F212" s="193"/>
      <c r="G212" s="193"/>
      <c r="H212" s="193"/>
      <c r="I212" s="193"/>
      <c r="J212" s="193"/>
      <c r="K212" s="193"/>
      <c r="L212" s="193"/>
      <c r="M212" s="193"/>
      <c r="N212" s="193"/>
      <c r="O212" s="193"/>
      <c r="P212" s="193"/>
      <c r="Q212" s="193"/>
      <c r="R212" s="193"/>
      <c r="S212" s="193"/>
      <c r="T212" s="193"/>
      <c r="U212" s="193"/>
      <c r="V212" s="193"/>
      <c r="W212" s="193"/>
      <c r="X212" s="193"/>
      <c r="Y212" s="193"/>
      <c r="Z212" s="193"/>
      <c r="AA212" s="193"/>
      <c r="AB212" s="193"/>
      <c r="AC212" s="193"/>
      <c r="AD212" s="193"/>
      <c r="AE212" s="193"/>
      <c r="AF212" s="193"/>
      <c r="AG212" s="193"/>
      <c r="AH212" s="193"/>
      <c r="AI212" s="193"/>
      <c r="AJ212" s="193"/>
      <c r="AK212" s="4"/>
      <c r="AL212" s="255"/>
      <c r="AM212" s="180"/>
      <c r="AN212" s="193"/>
      <c r="AO212" s="193"/>
      <c r="AP212" s="193"/>
      <c r="AQ212" s="193"/>
      <c r="AR212" s="193"/>
      <c r="AS212" s="193"/>
      <c r="AT212" s="180"/>
    </row>
    <row r="213" spans="1:46" ht="16.5" customHeight="1">
      <c r="A213" s="180"/>
      <c r="B213" s="229"/>
      <c r="C213" s="230"/>
      <c r="D213" s="230"/>
      <c r="E213" s="232"/>
      <c r="F213" s="232"/>
      <c r="G213" s="230"/>
      <c r="H213" s="232"/>
      <c r="I213" s="232"/>
      <c r="J213" s="232"/>
      <c r="K213" s="232"/>
      <c r="L213" s="230"/>
      <c r="M213" s="230"/>
      <c r="N213" s="230"/>
      <c r="O213" s="230"/>
      <c r="P213" s="232"/>
      <c r="Q213" s="230"/>
      <c r="R213" s="230"/>
      <c r="S213" s="230"/>
      <c r="T213" s="230"/>
      <c r="U213" s="232"/>
      <c r="V213" s="230"/>
      <c r="W213" s="230"/>
      <c r="X213" s="230"/>
      <c r="Y213" s="233"/>
      <c r="Z213" s="232"/>
      <c r="AA213" s="234"/>
      <c r="AB213" s="232"/>
      <c r="AC213" s="373"/>
      <c r="AD213" s="236"/>
      <c r="AE213" s="255"/>
      <c r="AF213" s="255"/>
      <c r="AG213" s="236"/>
      <c r="AH213" s="255"/>
      <c r="AI213" s="255"/>
      <c r="AJ213" s="255"/>
      <c r="AK213" s="255"/>
      <c r="AL213" s="255"/>
      <c r="AM213" s="255"/>
      <c r="AN213" s="255"/>
      <c r="AO213" s="255"/>
      <c r="AP213" s="255"/>
      <c r="AQ213" s="255"/>
      <c r="AR213" s="255"/>
      <c r="AS213" s="255"/>
      <c r="AT213" s="255"/>
    </row>
    <row r="214" spans="1:46" ht="16.5" customHeight="1">
      <c r="A214" s="228"/>
      <c r="B214" s="1518" t="s">
        <v>18</v>
      </c>
      <c r="C214" s="1519">
        <v>45663</v>
      </c>
      <c r="D214" s="1519"/>
      <c r="E214" s="1519"/>
      <c r="F214" s="1519"/>
      <c r="G214" s="1519">
        <v>45664</v>
      </c>
      <c r="H214" s="1519"/>
      <c r="I214" s="1519"/>
      <c r="J214" s="1519"/>
      <c r="K214" s="1519">
        <v>45665</v>
      </c>
      <c r="L214" s="1519"/>
      <c r="M214" s="1519"/>
      <c r="N214" s="1519"/>
      <c r="O214" s="1519">
        <v>45666</v>
      </c>
      <c r="P214" s="1519"/>
      <c r="Q214" s="1519"/>
      <c r="R214" s="1519"/>
      <c r="S214" s="1519">
        <v>45667</v>
      </c>
      <c r="T214" s="1519"/>
      <c r="U214" s="1519"/>
      <c r="V214" s="1519"/>
      <c r="W214" s="1519">
        <v>45668</v>
      </c>
      <c r="X214" s="1519"/>
      <c r="Y214" s="1519"/>
      <c r="Z214" s="1519"/>
      <c r="AA214" s="1517" t="s">
        <v>19</v>
      </c>
      <c r="AB214" s="1517" t="s">
        <v>20</v>
      </c>
      <c r="AC214" s="4"/>
      <c r="AD214" s="1519">
        <v>45669</v>
      </c>
      <c r="AE214" s="1519"/>
      <c r="AF214" s="1519"/>
      <c r="AG214" s="1519">
        <v>45669</v>
      </c>
      <c r="AH214" s="1519"/>
      <c r="AI214" s="1519"/>
      <c r="AJ214" s="1517" t="s">
        <v>21</v>
      </c>
      <c r="AK214" s="4"/>
      <c r="AL214" s="368"/>
      <c r="AM214" s="180"/>
      <c r="AN214" s="194" t="s">
        <v>84</v>
      </c>
      <c r="AO214" s="366"/>
      <c r="AP214" s="366"/>
      <c r="AQ214" s="366"/>
      <c r="AR214" s="366"/>
      <c r="AS214" s="366"/>
      <c r="AT214" s="180"/>
    </row>
    <row r="215" spans="1:46" ht="16.5" customHeight="1">
      <c r="A215" s="180"/>
      <c r="B215" s="1518"/>
      <c r="C215" s="21" t="s">
        <v>23</v>
      </c>
      <c r="D215" s="21" t="s">
        <v>24</v>
      </c>
      <c r="E215" s="205" t="s">
        <v>25</v>
      </c>
      <c r="F215" s="645" t="s">
        <v>14</v>
      </c>
      <c r="G215" s="4"/>
      <c r="H215" s="21" t="s">
        <v>23</v>
      </c>
      <c r="I215" s="21" t="s">
        <v>24</v>
      </c>
      <c r="J215" s="18" t="s">
        <v>25</v>
      </c>
      <c r="K215" s="645" t="s">
        <v>14</v>
      </c>
      <c r="L215" s="4"/>
      <c r="M215" s="21" t="s">
        <v>23</v>
      </c>
      <c r="N215" s="21" t="s">
        <v>24</v>
      </c>
      <c r="O215" s="18" t="s">
        <v>25</v>
      </c>
      <c r="P215" s="645" t="s">
        <v>14</v>
      </c>
      <c r="Q215" s="4"/>
      <c r="R215" s="21" t="s">
        <v>23</v>
      </c>
      <c r="S215" s="21" t="s">
        <v>24</v>
      </c>
      <c r="T215" s="18" t="s">
        <v>25</v>
      </c>
      <c r="U215" s="645" t="s">
        <v>14</v>
      </c>
      <c r="V215" s="4"/>
      <c r="W215" s="21" t="s">
        <v>23</v>
      </c>
      <c r="X215" s="21" t="s">
        <v>24</v>
      </c>
      <c r="Y215" s="18" t="s">
        <v>25</v>
      </c>
      <c r="Z215" s="645" t="s">
        <v>14</v>
      </c>
      <c r="AA215" s="1517"/>
      <c r="AB215" s="1517"/>
      <c r="AC215" s="4"/>
      <c r="AD215" s="21" t="s">
        <v>23</v>
      </c>
      <c r="AE215" s="21" t="s">
        <v>24</v>
      </c>
      <c r="AF215" s="18" t="s">
        <v>25</v>
      </c>
      <c r="AG215" s="21" t="s">
        <v>23</v>
      </c>
      <c r="AH215" s="21" t="s">
        <v>24</v>
      </c>
      <c r="AI215" s="18" t="s">
        <v>25</v>
      </c>
      <c r="AJ215" s="1517"/>
      <c r="AK215" s="4"/>
      <c r="AL215" s="368"/>
      <c r="AM215" s="367"/>
      <c r="AN215" s="691" t="s">
        <v>26</v>
      </c>
      <c r="AO215" s="196">
        <f>AA239</f>
        <v>0</v>
      </c>
      <c r="AP215" s="510">
        <v>39.14</v>
      </c>
      <c r="AQ215" s="510">
        <f t="shared" ref="AQ215:AQ221" si="25">AO215*AP215</f>
        <v>0</v>
      </c>
      <c r="AR215" s="193"/>
      <c r="AS215" s="193"/>
      <c r="AT215" s="367"/>
    </row>
    <row r="216" spans="1:46" ht="16.5" customHeight="1">
      <c r="A216" s="180"/>
      <c r="B216" s="422" t="s">
        <v>1055</v>
      </c>
      <c r="C216" s="441" t="s">
        <v>1056</v>
      </c>
      <c r="D216" s="47"/>
      <c r="E216" s="319"/>
      <c r="F216" s="646"/>
      <c r="G216" s="4"/>
      <c r="H216" s="441"/>
      <c r="I216" s="47"/>
      <c r="J216" s="319"/>
      <c r="K216" s="646"/>
      <c r="L216" s="4"/>
      <c r="M216" s="441"/>
      <c r="N216" s="47"/>
      <c r="O216" s="319"/>
      <c r="P216" s="646"/>
      <c r="Q216" s="4"/>
      <c r="R216" s="47"/>
      <c r="S216" s="47"/>
      <c r="T216" s="319"/>
      <c r="U216" s="646"/>
      <c r="V216" s="4"/>
      <c r="W216" s="47"/>
      <c r="X216" s="47"/>
      <c r="Y216" s="319"/>
      <c r="Z216" s="646"/>
      <c r="AA216" s="328">
        <f t="shared" ref="AA216:AA238" si="26">(E216+J216+O216+T216+Y216)</f>
        <v>0</v>
      </c>
      <c r="AB216" s="298">
        <f t="shared" ref="AB216:AB238" si="27">Z216+U216+P216+K216+F216</f>
        <v>0</v>
      </c>
      <c r="AC216" s="4"/>
      <c r="AD216" s="587"/>
      <c r="AE216" s="531"/>
      <c r="AF216" s="319"/>
      <c r="AG216" s="587"/>
      <c r="AH216" s="531"/>
      <c r="AI216" s="319"/>
      <c r="AJ216" s="328">
        <f t="shared" ref="AJ216:AJ238" si="28">AI216</f>
        <v>0</v>
      </c>
      <c r="AK216" s="4"/>
      <c r="AL216" s="368"/>
      <c r="AM216" s="367"/>
      <c r="AN216" s="691" t="s">
        <v>30</v>
      </c>
      <c r="AO216" s="196">
        <f>AB239</f>
        <v>0</v>
      </c>
      <c r="AP216" s="511">
        <f>AP215*1.5</f>
        <v>58.71</v>
      </c>
      <c r="AQ216" s="510">
        <f t="shared" si="25"/>
        <v>0</v>
      </c>
      <c r="AR216" s="193"/>
      <c r="AS216" s="193"/>
      <c r="AT216" s="367"/>
    </row>
    <row r="217" spans="1:46" ht="16.5" customHeight="1">
      <c r="A217" s="367"/>
      <c r="B217" s="422" t="s">
        <v>1059</v>
      </c>
      <c r="C217" s="441" t="s">
        <v>1056</v>
      </c>
      <c r="D217" s="47"/>
      <c r="E217" s="319"/>
      <c r="F217" s="646"/>
      <c r="G217" s="4"/>
      <c r="H217" s="441"/>
      <c r="I217" s="47"/>
      <c r="J217" s="319"/>
      <c r="K217" s="646"/>
      <c r="L217" s="4"/>
      <c r="M217" s="441"/>
      <c r="N217" s="47"/>
      <c r="O217" s="319"/>
      <c r="P217" s="646"/>
      <c r="Q217" s="4"/>
      <c r="R217" s="47"/>
      <c r="S217" s="47"/>
      <c r="T217" s="319"/>
      <c r="U217" s="646"/>
      <c r="V217" s="4"/>
      <c r="W217" s="47"/>
      <c r="X217" s="47"/>
      <c r="Y217" s="319"/>
      <c r="Z217" s="646"/>
      <c r="AA217" s="328">
        <f t="shared" si="26"/>
        <v>0</v>
      </c>
      <c r="AB217" s="298">
        <f t="shared" si="27"/>
        <v>0</v>
      </c>
      <c r="AC217" s="4"/>
      <c r="AD217" s="180"/>
      <c r="AE217" s="180"/>
      <c r="AF217" s="319"/>
      <c r="AG217" s="180"/>
      <c r="AH217" s="180"/>
      <c r="AI217" s="319"/>
      <c r="AJ217" s="328">
        <f t="shared" si="28"/>
        <v>0</v>
      </c>
      <c r="AK217" s="175"/>
      <c r="AL217" s="402"/>
      <c r="AM217" s="367"/>
      <c r="AN217" s="691" t="s">
        <v>32</v>
      </c>
      <c r="AO217" s="196">
        <f>AJ239</f>
        <v>0</v>
      </c>
      <c r="AP217" s="510">
        <v>58.71</v>
      </c>
      <c r="AQ217" s="510">
        <f t="shared" si="25"/>
        <v>0</v>
      </c>
      <c r="AR217" s="193"/>
      <c r="AS217" s="193"/>
      <c r="AT217" s="367"/>
    </row>
    <row r="218" spans="1:46" ht="16.5" customHeight="1">
      <c r="A218" s="367"/>
      <c r="B218" s="422" t="s">
        <v>1060</v>
      </c>
      <c r="C218" s="441" t="s">
        <v>1056</v>
      </c>
      <c r="D218" s="47"/>
      <c r="E218" s="319"/>
      <c r="F218" s="646"/>
      <c r="G218" s="4"/>
      <c r="H218" s="441"/>
      <c r="I218" s="47"/>
      <c r="J218" s="319"/>
      <c r="K218" s="646"/>
      <c r="L218" s="4"/>
      <c r="M218" s="326"/>
      <c r="N218" s="47"/>
      <c r="O218" s="319"/>
      <c r="P218" s="646"/>
      <c r="Q218" s="4"/>
      <c r="R218" s="47"/>
      <c r="S218" s="47"/>
      <c r="T218" s="319"/>
      <c r="U218" s="646"/>
      <c r="V218" s="4"/>
      <c r="W218" s="47"/>
      <c r="X218" s="47"/>
      <c r="Y218" s="319"/>
      <c r="Z218" s="646"/>
      <c r="AA218" s="328">
        <f t="shared" si="26"/>
        <v>0</v>
      </c>
      <c r="AB218" s="298">
        <f t="shared" si="27"/>
        <v>0</v>
      </c>
      <c r="AC218" s="399"/>
      <c r="AD218" s="47"/>
      <c r="AE218" s="47"/>
      <c r="AF218" s="319"/>
      <c r="AG218" s="47"/>
      <c r="AH218" s="47"/>
      <c r="AI218" s="319"/>
      <c r="AJ218" s="328">
        <f t="shared" si="28"/>
        <v>0</v>
      </c>
      <c r="AK218" s="175"/>
      <c r="AL218" s="255"/>
      <c r="AM218" s="401"/>
      <c r="AN218" s="403" t="s">
        <v>213</v>
      </c>
      <c r="AO218" s="404">
        <f>AA241</f>
        <v>0</v>
      </c>
      <c r="AP218" s="510">
        <v>51.5</v>
      </c>
      <c r="AQ218" s="510">
        <f t="shared" si="25"/>
        <v>0</v>
      </c>
      <c r="AR218" s="405"/>
      <c r="AS218" s="405"/>
      <c r="AT218" s="367"/>
    </row>
    <row r="219" spans="1:46" ht="16.5" customHeight="1">
      <c r="A219" s="367"/>
      <c r="B219" s="422" t="s">
        <v>1061</v>
      </c>
      <c r="C219" s="441" t="s">
        <v>1056</v>
      </c>
      <c r="D219" s="5"/>
      <c r="E219" s="319"/>
      <c r="F219" s="646"/>
      <c r="G219" s="4"/>
      <c r="H219" s="441"/>
      <c r="I219" s="47"/>
      <c r="J219" s="319"/>
      <c r="K219" s="646"/>
      <c r="L219" s="4"/>
      <c r="M219" s="441"/>
      <c r="N219" s="5"/>
      <c r="O219" s="319"/>
      <c r="P219" s="646"/>
      <c r="Q219" s="4"/>
      <c r="R219" s="47"/>
      <c r="S219" s="47"/>
      <c r="T219" s="319"/>
      <c r="U219" s="646"/>
      <c r="V219" s="4"/>
      <c r="W219" s="5"/>
      <c r="X219" s="5"/>
      <c r="Y219" s="319"/>
      <c r="Z219" s="646"/>
      <c r="AA219" s="328">
        <f t="shared" si="26"/>
        <v>0</v>
      </c>
      <c r="AB219" s="298">
        <f t="shared" si="27"/>
        <v>0</v>
      </c>
      <c r="AC219" s="175"/>
      <c r="AD219" s="47"/>
      <c r="AE219" s="47"/>
      <c r="AF219" s="319"/>
      <c r="AG219" s="47"/>
      <c r="AH219" s="47"/>
      <c r="AI219" s="319"/>
      <c r="AJ219" s="328">
        <f t="shared" si="28"/>
        <v>0</v>
      </c>
      <c r="AK219" s="175"/>
      <c r="AL219" s="255"/>
      <c r="AM219" s="401"/>
      <c r="AN219" s="188" t="s">
        <v>36</v>
      </c>
      <c r="AO219" s="196">
        <f>AB241</f>
        <v>0</v>
      </c>
      <c r="AP219" s="510">
        <f>AP218*1.5</f>
        <v>77.25</v>
      </c>
      <c r="AQ219" s="510">
        <f t="shared" si="25"/>
        <v>0</v>
      </c>
      <c r="AR219" s="405"/>
      <c r="AS219" s="405"/>
      <c r="AT219" s="367"/>
    </row>
    <row r="220" spans="1:46" ht="16.5" customHeight="1">
      <c r="A220" s="367"/>
      <c r="B220" s="422" t="s">
        <v>1062</v>
      </c>
      <c r="C220" s="441" t="s">
        <v>1056</v>
      </c>
      <c r="D220" s="47"/>
      <c r="E220" s="319"/>
      <c r="F220" s="646"/>
      <c r="G220" s="4"/>
      <c r="H220" s="441"/>
      <c r="I220" s="47"/>
      <c r="J220" s="319"/>
      <c r="K220" s="646"/>
      <c r="L220" s="4"/>
      <c r="M220" s="326"/>
      <c r="N220" s="47"/>
      <c r="O220" s="319"/>
      <c r="P220" s="646"/>
      <c r="Q220" s="4"/>
      <c r="R220" s="47"/>
      <c r="S220" s="47"/>
      <c r="T220" s="319"/>
      <c r="U220" s="646"/>
      <c r="V220" s="4"/>
      <c r="W220" s="47"/>
      <c r="X220" s="47"/>
      <c r="Y220" s="319"/>
      <c r="Z220" s="646"/>
      <c r="AA220" s="328">
        <f t="shared" si="26"/>
        <v>0</v>
      </c>
      <c r="AB220" s="298">
        <f t="shared" si="27"/>
        <v>0</v>
      </c>
      <c r="AC220" s="4"/>
      <c r="AD220" s="47"/>
      <c r="AE220" s="47"/>
      <c r="AF220" s="319"/>
      <c r="AG220" s="47"/>
      <c r="AH220" s="47"/>
      <c r="AI220" s="319"/>
      <c r="AJ220" s="328">
        <f t="shared" si="28"/>
        <v>0</v>
      </c>
      <c r="AK220" s="175"/>
      <c r="AL220" s="368"/>
      <c r="AM220" s="180"/>
      <c r="AN220" s="188" t="s">
        <v>38</v>
      </c>
      <c r="AO220" s="196">
        <f>AJ241</f>
        <v>0</v>
      </c>
      <c r="AP220" s="510">
        <v>77.25</v>
      </c>
      <c r="AQ220" s="510">
        <f t="shared" si="25"/>
        <v>0</v>
      </c>
      <c r="AR220" s="193"/>
      <c r="AS220" s="193"/>
      <c r="AT220" s="367"/>
    </row>
    <row r="221" spans="1:46" ht="16.5" customHeight="1" thickBot="1">
      <c r="A221" s="180"/>
      <c r="B221" s="422" t="s">
        <v>1063</v>
      </c>
      <c r="C221" s="441" t="s">
        <v>1056</v>
      </c>
      <c r="D221" s="47"/>
      <c r="E221" s="319"/>
      <c r="F221" s="646"/>
      <c r="G221" s="4"/>
      <c r="H221" s="441"/>
      <c r="I221" s="47"/>
      <c r="J221" s="319"/>
      <c r="K221" s="646"/>
      <c r="L221" s="4"/>
      <c r="M221" s="47"/>
      <c r="N221" s="47"/>
      <c r="O221" s="319"/>
      <c r="P221" s="646"/>
      <c r="Q221" s="4"/>
      <c r="R221" s="47"/>
      <c r="S221" s="47"/>
      <c r="T221" s="319"/>
      <c r="U221" s="646"/>
      <c r="V221" s="4"/>
      <c r="W221" s="47"/>
      <c r="X221" s="47"/>
      <c r="Y221" s="319"/>
      <c r="Z221" s="646"/>
      <c r="AA221" s="328">
        <f t="shared" si="26"/>
        <v>0</v>
      </c>
      <c r="AB221" s="298">
        <f t="shared" si="27"/>
        <v>0</v>
      </c>
      <c r="AC221" s="4"/>
      <c r="AD221" s="47"/>
      <c r="AE221" s="47"/>
      <c r="AF221" s="319"/>
      <c r="AG221" s="47"/>
      <c r="AH221" s="47"/>
      <c r="AI221" s="319"/>
      <c r="AJ221" s="328">
        <f t="shared" si="28"/>
        <v>0</v>
      </c>
      <c r="AK221" s="4"/>
      <c r="AL221" s="255"/>
      <c r="AM221" s="180"/>
      <c r="AN221" s="188" t="s">
        <v>41</v>
      </c>
      <c r="AO221" s="196">
        <f>C242</f>
        <v>0</v>
      </c>
      <c r="AP221" s="512">
        <v>46.35</v>
      </c>
      <c r="AQ221" s="512">
        <f t="shared" si="25"/>
        <v>0</v>
      </c>
      <c r="AR221" s="193"/>
      <c r="AS221" s="193"/>
      <c r="AT221" s="367"/>
    </row>
    <row r="222" spans="1:46" ht="16.5" customHeight="1" thickTop="1">
      <c r="A222" s="180"/>
      <c r="B222" s="422" t="s">
        <v>1064</v>
      </c>
      <c r="C222" s="441" t="s">
        <v>1056</v>
      </c>
      <c r="D222" s="47"/>
      <c r="E222" s="319"/>
      <c r="F222" s="646"/>
      <c r="G222" s="4"/>
      <c r="H222" s="441"/>
      <c r="I222" s="47"/>
      <c r="J222" s="319"/>
      <c r="K222" s="646"/>
      <c r="L222" s="4"/>
      <c r="M222" s="441"/>
      <c r="N222" s="47"/>
      <c r="O222" s="319"/>
      <c r="P222" s="646"/>
      <c r="Q222" s="4"/>
      <c r="R222" s="47"/>
      <c r="S222" s="47"/>
      <c r="T222" s="319"/>
      <c r="U222" s="646"/>
      <c r="V222" s="4"/>
      <c r="W222" s="47"/>
      <c r="X222" s="47"/>
      <c r="Y222" s="319"/>
      <c r="Z222" s="646"/>
      <c r="AA222" s="328">
        <f t="shared" si="26"/>
        <v>0</v>
      </c>
      <c r="AB222" s="298">
        <f t="shared" si="27"/>
        <v>0</v>
      </c>
      <c r="AC222" s="4"/>
      <c r="AD222" s="47"/>
      <c r="AE222" s="47"/>
      <c r="AF222" s="319"/>
      <c r="AG222" s="47"/>
      <c r="AH222" s="47"/>
      <c r="AI222" s="319"/>
      <c r="AJ222" s="328">
        <f t="shared" si="28"/>
        <v>0</v>
      </c>
      <c r="AK222" s="4"/>
      <c r="AL222" s="255"/>
      <c r="AM222" s="180"/>
      <c r="AN222" s="193"/>
      <c r="AO222" s="193"/>
      <c r="AP222" s="193"/>
      <c r="AQ222" s="510">
        <f>SUM(AQ215:AQ221)</f>
        <v>0</v>
      </c>
      <c r="AR222" s="193"/>
      <c r="AS222" s="193"/>
      <c r="AT222" s="367"/>
    </row>
    <row r="223" spans="1:46" ht="16.5" customHeight="1">
      <c r="A223" s="180"/>
      <c r="B223" s="422" t="s">
        <v>1065</v>
      </c>
      <c r="C223" s="441" t="s">
        <v>1056</v>
      </c>
      <c r="D223" s="47"/>
      <c r="E223" s="319"/>
      <c r="F223" s="646"/>
      <c r="G223" s="4"/>
      <c r="H223" s="441"/>
      <c r="I223" s="47"/>
      <c r="J223" s="319"/>
      <c r="K223" s="646"/>
      <c r="L223" s="4"/>
      <c r="M223" s="441"/>
      <c r="N223" s="47"/>
      <c r="O223" s="319"/>
      <c r="P223" s="646"/>
      <c r="Q223" s="4"/>
      <c r="R223" s="47"/>
      <c r="S223" s="47"/>
      <c r="T223" s="319"/>
      <c r="U223" s="646"/>
      <c r="V223" s="4"/>
      <c r="W223" s="47"/>
      <c r="X223" s="47"/>
      <c r="Y223" s="319"/>
      <c r="Z223" s="646"/>
      <c r="AA223" s="328">
        <f t="shared" si="26"/>
        <v>0</v>
      </c>
      <c r="AB223" s="298">
        <f t="shared" si="27"/>
        <v>0</v>
      </c>
      <c r="AC223" s="4"/>
      <c r="AD223" s="47"/>
      <c r="AE223" s="47"/>
      <c r="AF223" s="319"/>
      <c r="AG223" s="47"/>
      <c r="AH223" s="47"/>
      <c r="AI223" s="319"/>
      <c r="AJ223" s="328">
        <f t="shared" si="28"/>
        <v>0</v>
      </c>
      <c r="AK223" s="4"/>
      <c r="AL223" s="255"/>
      <c r="AM223" s="180"/>
      <c r="AN223" s="193"/>
      <c r="AO223" s="193"/>
      <c r="AP223" s="193"/>
      <c r="AQ223" s="193"/>
      <c r="AR223" s="193"/>
      <c r="AS223" s="193"/>
      <c r="AT223" s="367"/>
    </row>
    <row r="224" spans="1:46" ht="16.5" customHeight="1">
      <c r="A224" s="180"/>
      <c r="B224" s="693" t="s">
        <v>1066</v>
      </c>
      <c r="C224" s="441" t="s">
        <v>1056</v>
      </c>
      <c r="D224" s="47"/>
      <c r="E224" s="319"/>
      <c r="F224" s="646"/>
      <c r="G224" s="4"/>
      <c r="H224" s="441"/>
      <c r="I224" s="47"/>
      <c r="J224" s="319"/>
      <c r="K224" s="646"/>
      <c r="L224" s="4"/>
      <c r="M224" s="441"/>
      <c r="N224" s="47"/>
      <c r="O224" s="319"/>
      <c r="P224" s="646"/>
      <c r="Q224" s="4"/>
      <c r="R224" s="47"/>
      <c r="S224" s="47"/>
      <c r="T224" s="319"/>
      <c r="U224" s="646"/>
      <c r="V224" s="4"/>
      <c r="W224" s="47"/>
      <c r="X224" s="47"/>
      <c r="Y224" s="319"/>
      <c r="Z224" s="646"/>
      <c r="AA224" s="328">
        <f t="shared" si="26"/>
        <v>0</v>
      </c>
      <c r="AB224" s="298">
        <f t="shared" si="27"/>
        <v>0</v>
      </c>
      <c r="AC224" s="4"/>
      <c r="AD224" s="47"/>
      <c r="AE224" s="47"/>
      <c r="AF224" s="319"/>
      <c r="AG224" s="47"/>
      <c r="AH224" s="47"/>
      <c r="AI224" s="319"/>
      <c r="AJ224" s="328">
        <f t="shared" si="28"/>
        <v>0</v>
      </c>
      <c r="AK224" s="4"/>
      <c r="AL224" s="255"/>
      <c r="AM224" s="180"/>
      <c r="AN224" s="193"/>
      <c r="AO224" s="193"/>
      <c r="AP224" s="193"/>
      <c r="AQ224" s="193"/>
      <c r="AR224" s="193"/>
      <c r="AS224" s="193"/>
      <c r="AT224" s="180"/>
    </row>
    <row r="225" spans="1:46" ht="16.5" customHeight="1">
      <c r="A225" s="180"/>
      <c r="B225" s="678" t="s">
        <v>1067</v>
      </c>
      <c r="C225" s="441" t="s">
        <v>1056</v>
      </c>
      <c r="D225" s="47"/>
      <c r="E225" s="319"/>
      <c r="F225" s="646"/>
      <c r="G225" s="4"/>
      <c r="H225" s="441"/>
      <c r="I225" s="47"/>
      <c r="J225" s="319"/>
      <c r="K225" s="646"/>
      <c r="L225" s="4"/>
      <c r="M225" s="441"/>
      <c r="N225" s="47"/>
      <c r="O225" s="319"/>
      <c r="P225" s="646"/>
      <c r="Q225" s="4"/>
      <c r="R225" s="47"/>
      <c r="S225" s="47"/>
      <c r="T225" s="319"/>
      <c r="U225" s="646"/>
      <c r="V225" s="4"/>
      <c r="W225" s="47"/>
      <c r="X225" s="47"/>
      <c r="Y225" s="319"/>
      <c r="Z225" s="646"/>
      <c r="AA225" s="328">
        <f t="shared" si="26"/>
        <v>0</v>
      </c>
      <c r="AB225" s="298">
        <f t="shared" si="27"/>
        <v>0</v>
      </c>
      <c r="AC225" s="4"/>
      <c r="AD225" s="47"/>
      <c r="AE225" s="47"/>
      <c r="AF225" s="319"/>
      <c r="AG225" s="47"/>
      <c r="AH225" s="47"/>
      <c r="AI225" s="319"/>
      <c r="AJ225" s="328">
        <f t="shared" si="28"/>
        <v>0</v>
      </c>
      <c r="AK225" s="4"/>
      <c r="AL225" s="255"/>
      <c r="AM225" s="180"/>
      <c r="AN225" s="193"/>
      <c r="AO225" s="193"/>
      <c r="AP225" s="193"/>
      <c r="AQ225" s="193"/>
      <c r="AR225" s="193"/>
      <c r="AS225" s="193"/>
      <c r="AT225" s="180"/>
    </row>
    <row r="226" spans="1:46" ht="16.5" customHeight="1">
      <c r="A226" s="180"/>
      <c r="B226" s="422" t="s">
        <v>44</v>
      </c>
      <c r="C226" s="441" t="s">
        <v>1056</v>
      </c>
      <c r="D226" s="47"/>
      <c r="E226" s="319"/>
      <c r="F226" s="646"/>
      <c r="G226" s="4"/>
      <c r="H226" s="441"/>
      <c r="I226" s="47"/>
      <c r="J226" s="319"/>
      <c r="K226" s="646"/>
      <c r="L226" s="4"/>
      <c r="M226" s="441"/>
      <c r="N226" s="47"/>
      <c r="O226" s="319"/>
      <c r="P226" s="646"/>
      <c r="Q226" s="4"/>
      <c r="R226" s="47"/>
      <c r="S226" s="47"/>
      <c r="T226" s="319"/>
      <c r="U226" s="646"/>
      <c r="V226" s="4"/>
      <c r="W226" s="47"/>
      <c r="X226" s="47"/>
      <c r="Y226" s="319"/>
      <c r="Z226" s="646"/>
      <c r="AA226" s="328">
        <f t="shared" si="26"/>
        <v>0</v>
      </c>
      <c r="AB226" s="298">
        <f t="shared" si="27"/>
        <v>0</v>
      </c>
      <c r="AC226" s="4"/>
      <c r="AD226" s="47"/>
      <c r="AE226" s="47"/>
      <c r="AF226" s="319"/>
      <c r="AG226" s="47"/>
      <c r="AH226" s="47"/>
      <c r="AI226" s="319"/>
      <c r="AJ226" s="328">
        <f t="shared" si="28"/>
        <v>0</v>
      </c>
      <c r="AK226" s="4"/>
      <c r="AL226" s="255"/>
      <c r="AM226" s="180"/>
      <c r="AN226" s="193"/>
      <c r="AO226" s="193"/>
      <c r="AP226" s="193"/>
      <c r="AQ226" s="193"/>
      <c r="AR226" s="193"/>
      <c r="AS226" s="193"/>
      <c r="AT226" s="180"/>
    </row>
    <row r="227" spans="1:46" ht="16.5" customHeight="1">
      <c r="A227" s="180"/>
      <c r="B227" s="422" t="s">
        <v>241</v>
      </c>
      <c r="C227" s="441" t="s">
        <v>1056</v>
      </c>
      <c r="D227" s="47"/>
      <c r="E227" s="319"/>
      <c r="F227" s="646"/>
      <c r="G227" s="4"/>
      <c r="H227" s="441"/>
      <c r="I227" s="47"/>
      <c r="J227" s="319"/>
      <c r="K227" s="646"/>
      <c r="L227" s="4"/>
      <c r="M227" s="441"/>
      <c r="N227" s="47"/>
      <c r="O227" s="319"/>
      <c r="P227" s="646"/>
      <c r="Q227" s="4"/>
      <c r="R227" s="47"/>
      <c r="S227" s="47"/>
      <c r="T227" s="319"/>
      <c r="U227" s="646"/>
      <c r="V227" s="4"/>
      <c r="W227" s="47"/>
      <c r="X227" s="47"/>
      <c r="Y227" s="319"/>
      <c r="Z227" s="646"/>
      <c r="AA227" s="328">
        <f t="shared" si="26"/>
        <v>0</v>
      </c>
      <c r="AB227" s="298">
        <f t="shared" si="27"/>
        <v>0</v>
      </c>
      <c r="AC227" s="4"/>
      <c r="AD227" s="47"/>
      <c r="AE227" s="47"/>
      <c r="AF227" s="319"/>
      <c r="AG227" s="47"/>
      <c r="AH227" s="47"/>
      <c r="AI227" s="319"/>
      <c r="AJ227" s="328">
        <f t="shared" si="28"/>
        <v>0</v>
      </c>
      <c r="AK227" s="4"/>
      <c r="AL227" s="255"/>
      <c r="AM227" s="180"/>
      <c r="AN227" s="193"/>
      <c r="AO227" s="193"/>
      <c r="AP227" s="193"/>
      <c r="AQ227" s="193"/>
      <c r="AR227" s="193"/>
      <c r="AS227" s="193"/>
      <c r="AT227" s="180"/>
    </row>
    <row r="228" spans="1:46" ht="16.5" customHeight="1">
      <c r="A228" s="180"/>
      <c r="B228" s="678" t="s">
        <v>354</v>
      </c>
      <c r="C228" s="441" t="s">
        <v>154</v>
      </c>
      <c r="D228" s="47"/>
      <c r="E228" s="319"/>
      <c r="F228" s="646"/>
      <c r="G228" s="4"/>
      <c r="H228" s="441"/>
      <c r="I228" s="47"/>
      <c r="J228" s="319"/>
      <c r="K228" s="646"/>
      <c r="L228" s="4"/>
      <c r="M228" s="441"/>
      <c r="N228" s="47"/>
      <c r="O228" s="319"/>
      <c r="P228" s="646"/>
      <c r="Q228" s="4"/>
      <c r="R228" s="47"/>
      <c r="S228" s="47"/>
      <c r="T228" s="319"/>
      <c r="U228" s="646"/>
      <c r="V228" s="4"/>
      <c r="W228" s="47"/>
      <c r="X228" s="47"/>
      <c r="Y228" s="319"/>
      <c r="Z228" s="646"/>
      <c r="AA228" s="328">
        <f t="shared" si="26"/>
        <v>0</v>
      </c>
      <c r="AB228" s="298">
        <f t="shared" si="27"/>
        <v>0</v>
      </c>
      <c r="AC228" s="4"/>
      <c r="AD228" s="47"/>
      <c r="AE228" s="47"/>
      <c r="AF228" s="319"/>
      <c r="AG228" s="47"/>
      <c r="AH228" s="47"/>
      <c r="AI228" s="319"/>
      <c r="AJ228" s="328">
        <f t="shared" si="28"/>
        <v>0</v>
      </c>
      <c r="AK228" s="4"/>
      <c r="AL228" s="255"/>
      <c r="AM228" s="180"/>
      <c r="AN228" s="193"/>
      <c r="AO228" s="193"/>
      <c r="AP228" s="193"/>
      <c r="AQ228" s="193"/>
      <c r="AR228" s="193"/>
      <c r="AS228" s="193"/>
      <c r="AT228" s="180"/>
    </row>
    <row r="229" spans="1:46" ht="16.5" customHeight="1">
      <c r="A229" s="180"/>
      <c r="B229" s="678" t="s">
        <v>242</v>
      </c>
      <c r="C229" s="441" t="s">
        <v>1056</v>
      </c>
      <c r="D229" s="47"/>
      <c r="E229" s="319"/>
      <c r="F229" s="646"/>
      <c r="G229" s="4"/>
      <c r="H229" s="441"/>
      <c r="I229" s="47"/>
      <c r="J229" s="319"/>
      <c r="K229" s="646"/>
      <c r="L229" s="4"/>
      <c r="M229" s="441"/>
      <c r="N229" s="47"/>
      <c r="O229" s="319"/>
      <c r="P229" s="646"/>
      <c r="Q229" s="4"/>
      <c r="R229" s="47"/>
      <c r="S229" s="47"/>
      <c r="T229" s="319"/>
      <c r="U229" s="646"/>
      <c r="V229" s="4"/>
      <c r="W229" s="47"/>
      <c r="X229" s="47"/>
      <c r="Y229" s="319"/>
      <c r="Z229" s="646"/>
      <c r="AA229" s="328">
        <f t="shared" si="26"/>
        <v>0</v>
      </c>
      <c r="AB229" s="298">
        <f t="shared" si="27"/>
        <v>0</v>
      </c>
      <c r="AC229" s="4"/>
      <c r="AD229" s="47"/>
      <c r="AE229" s="47"/>
      <c r="AF229" s="319"/>
      <c r="AG229" s="47"/>
      <c r="AH229" s="47"/>
      <c r="AI229" s="319"/>
      <c r="AJ229" s="328">
        <f t="shared" si="28"/>
        <v>0</v>
      </c>
      <c r="AK229" s="4"/>
      <c r="AL229" s="255"/>
      <c r="AM229" s="180"/>
      <c r="AN229" s="193"/>
      <c r="AO229" s="193"/>
      <c r="AP229" s="193"/>
      <c r="AQ229" s="193"/>
      <c r="AR229" s="193"/>
      <c r="AS229" s="193"/>
      <c r="AT229" s="180"/>
    </row>
    <row r="230" spans="1:46" ht="16.5" customHeight="1">
      <c r="A230" s="180"/>
      <c r="B230" s="422" t="s">
        <v>1072</v>
      </c>
      <c r="C230" s="441"/>
      <c r="D230" s="47"/>
      <c r="E230" s="319"/>
      <c r="F230" s="646"/>
      <c r="G230" s="4"/>
      <c r="H230" s="441"/>
      <c r="I230" s="47"/>
      <c r="J230" s="319"/>
      <c r="K230" s="646"/>
      <c r="L230" s="4"/>
      <c r="M230" s="441"/>
      <c r="N230" s="47"/>
      <c r="O230" s="319"/>
      <c r="P230" s="646"/>
      <c r="Q230" s="4"/>
      <c r="R230" s="47"/>
      <c r="S230" s="47"/>
      <c r="T230" s="319"/>
      <c r="U230" s="646"/>
      <c r="V230" s="4"/>
      <c r="W230" s="47"/>
      <c r="X230" s="47"/>
      <c r="Y230" s="319"/>
      <c r="Z230" s="646"/>
      <c r="AA230" s="328">
        <f t="shared" si="26"/>
        <v>0</v>
      </c>
      <c r="AB230" s="298">
        <f t="shared" si="27"/>
        <v>0</v>
      </c>
      <c r="AC230" s="4"/>
      <c r="AD230" s="47"/>
      <c r="AE230" s="47"/>
      <c r="AF230" s="319"/>
      <c r="AG230" s="47"/>
      <c r="AH230" s="47"/>
      <c r="AI230" s="319"/>
      <c r="AJ230" s="328">
        <f t="shared" si="28"/>
        <v>0</v>
      </c>
      <c r="AK230" s="4"/>
      <c r="AL230" s="255"/>
      <c r="AM230" s="180"/>
      <c r="AN230" s="193"/>
      <c r="AO230" s="193"/>
      <c r="AP230" s="193"/>
      <c r="AQ230" s="193"/>
      <c r="AR230" s="193"/>
      <c r="AS230" s="193"/>
      <c r="AT230" s="180"/>
    </row>
    <row r="231" spans="1:46" ht="16.5" customHeight="1">
      <c r="A231" s="180"/>
      <c r="B231" s="422" t="s">
        <v>1073</v>
      </c>
      <c r="C231" s="441"/>
      <c r="D231" s="47"/>
      <c r="E231" s="319"/>
      <c r="F231" s="646"/>
      <c r="G231" s="4"/>
      <c r="H231" s="441"/>
      <c r="I231" s="47"/>
      <c r="J231" s="319"/>
      <c r="K231" s="646"/>
      <c r="L231" s="4"/>
      <c r="M231" s="441"/>
      <c r="N231" s="47"/>
      <c r="O231" s="319"/>
      <c r="P231" s="646"/>
      <c r="Q231" s="4"/>
      <c r="R231" s="47"/>
      <c r="S231" s="47"/>
      <c r="T231" s="319"/>
      <c r="U231" s="646"/>
      <c r="V231" s="4"/>
      <c r="W231" s="47"/>
      <c r="X231" s="47"/>
      <c r="Y231" s="319"/>
      <c r="Z231" s="646"/>
      <c r="AA231" s="328">
        <f t="shared" si="26"/>
        <v>0</v>
      </c>
      <c r="AB231" s="298">
        <f t="shared" si="27"/>
        <v>0</v>
      </c>
      <c r="AC231" s="4"/>
      <c r="AD231" s="47"/>
      <c r="AE231" s="47"/>
      <c r="AF231" s="319"/>
      <c r="AG231" s="47"/>
      <c r="AH231" s="47"/>
      <c r="AI231" s="319"/>
      <c r="AJ231" s="328">
        <f t="shared" si="28"/>
        <v>0</v>
      </c>
      <c r="AK231" s="4"/>
      <c r="AL231" s="255"/>
      <c r="AM231" s="180"/>
      <c r="AN231" s="193"/>
      <c r="AO231" s="193"/>
      <c r="AP231" s="193"/>
      <c r="AQ231" s="193"/>
      <c r="AR231" s="193"/>
      <c r="AS231" s="193"/>
      <c r="AT231" s="180"/>
    </row>
    <row r="232" spans="1:46" ht="16.5" customHeight="1">
      <c r="A232" s="180"/>
      <c r="B232" s="422" t="s">
        <v>1074</v>
      </c>
      <c r="C232" s="441"/>
      <c r="D232" s="47"/>
      <c r="E232" s="319"/>
      <c r="F232" s="646"/>
      <c r="G232" s="4"/>
      <c r="H232" s="441"/>
      <c r="I232" s="47"/>
      <c r="J232" s="319"/>
      <c r="K232" s="646"/>
      <c r="L232" s="4"/>
      <c r="M232" s="441"/>
      <c r="N232" s="47"/>
      <c r="O232" s="319"/>
      <c r="P232" s="646"/>
      <c r="Q232" s="4"/>
      <c r="R232" s="47"/>
      <c r="S232" s="47"/>
      <c r="T232" s="319"/>
      <c r="U232" s="646"/>
      <c r="V232" s="4"/>
      <c r="W232" s="47"/>
      <c r="X232" s="47"/>
      <c r="Y232" s="319"/>
      <c r="Z232" s="646"/>
      <c r="AA232" s="328">
        <f t="shared" si="26"/>
        <v>0</v>
      </c>
      <c r="AB232" s="298">
        <f t="shared" si="27"/>
        <v>0</v>
      </c>
      <c r="AC232" s="4"/>
      <c r="AD232" s="47"/>
      <c r="AE232" s="47"/>
      <c r="AF232" s="319"/>
      <c r="AG232" s="47"/>
      <c r="AH232" s="47"/>
      <c r="AI232" s="319"/>
      <c r="AJ232" s="328">
        <f t="shared" si="28"/>
        <v>0</v>
      </c>
      <c r="AK232" s="4"/>
      <c r="AL232" s="255"/>
      <c r="AM232" s="180"/>
      <c r="AN232" s="193"/>
      <c r="AO232" s="193"/>
      <c r="AP232" s="193"/>
      <c r="AQ232" s="193"/>
      <c r="AR232" s="193"/>
      <c r="AS232" s="193"/>
      <c r="AT232" s="180"/>
    </row>
    <row r="233" spans="1:46" ht="16.5" customHeight="1">
      <c r="A233" s="180"/>
      <c r="B233" s="422" t="s">
        <v>1075</v>
      </c>
      <c r="C233" s="441"/>
      <c r="D233" s="47"/>
      <c r="E233" s="319"/>
      <c r="F233" s="646"/>
      <c r="G233" s="4"/>
      <c r="H233" s="441"/>
      <c r="I233" s="47"/>
      <c r="J233" s="319"/>
      <c r="K233" s="646"/>
      <c r="L233" s="4"/>
      <c r="M233" s="441"/>
      <c r="N233" s="47"/>
      <c r="O233" s="319"/>
      <c r="P233" s="646"/>
      <c r="Q233" s="4"/>
      <c r="R233" s="47"/>
      <c r="S233" s="47"/>
      <c r="T233" s="319"/>
      <c r="U233" s="646"/>
      <c r="V233" s="4"/>
      <c r="W233" s="47"/>
      <c r="X233" s="47"/>
      <c r="Y233" s="319"/>
      <c r="Z233" s="646"/>
      <c r="AA233" s="328">
        <f t="shared" si="26"/>
        <v>0</v>
      </c>
      <c r="AB233" s="298">
        <f t="shared" si="27"/>
        <v>0</v>
      </c>
      <c r="AC233" s="4"/>
      <c r="AD233" s="47"/>
      <c r="AE233" s="47"/>
      <c r="AF233" s="319"/>
      <c r="AG233" s="47"/>
      <c r="AH233" s="47"/>
      <c r="AI233" s="319"/>
      <c r="AJ233" s="328">
        <f t="shared" si="28"/>
        <v>0</v>
      </c>
      <c r="AK233" s="4"/>
      <c r="AL233" s="255"/>
      <c r="AM233" s="180"/>
      <c r="AN233" s="193"/>
      <c r="AO233" s="193"/>
      <c r="AP233" s="193"/>
      <c r="AQ233" s="193"/>
      <c r="AR233" s="193"/>
      <c r="AS233" s="193"/>
      <c r="AT233" s="180"/>
    </row>
    <row r="234" spans="1:46" ht="16.5" customHeight="1">
      <c r="A234" s="180"/>
      <c r="B234" s="422" t="s">
        <v>1076</v>
      </c>
      <c r="C234" s="441"/>
      <c r="D234" s="47"/>
      <c r="E234" s="319"/>
      <c r="F234" s="646"/>
      <c r="G234" s="4"/>
      <c r="H234" s="441"/>
      <c r="I234" s="47"/>
      <c r="J234" s="319"/>
      <c r="K234" s="646"/>
      <c r="L234" s="4"/>
      <c r="M234" s="441"/>
      <c r="N234" s="47"/>
      <c r="O234" s="319"/>
      <c r="P234" s="646"/>
      <c r="Q234" s="4"/>
      <c r="R234" s="47"/>
      <c r="S234" s="47"/>
      <c r="T234" s="319"/>
      <c r="U234" s="646"/>
      <c r="V234" s="4"/>
      <c r="W234" s="47"/>
      <c r="X234" s="47"/>
      <c r="Y234" s="319"/>
      <c r="Z234" s="646"/>
      <c r="AA234" s="328">
        <f t="shared" si="26"/>
        <v>0</v>
      </c>
      <c r="AB234" s="298">
        <f t="shared" si="27"/>
        <v>0</v>
      </c>
      <c r="AC234" s="4"/>
      <c r="AD234" s="47"/>
      <c r="AE234" s="47"/>
      <c r="AF234" s="319"/>
      <c r="AG234" s="47"/>
      <c r="AH234" s="47"/>
      <c r="AI234" s="319"/>
      <c r="AJ234" s="328">
        <f t="shared" si="28"/>
        <v>0</v>
      </c>
      <c r="AK234" s="4"/>
      <c r="AL234" s="255"/>
      <c r="AM234" s="180"/>
      <c r="AN234" s="193"/>
      <c r="AO234" s="193"/>
      <c r="AP234" s="193"/>
      <c r="AQ234" s="193"/>
      <c r="AR234" s="193"/>
      <c r="AS234" s="193"/>
      <c r="AT234" s="180"/>
    </row>
    <row r="235" spans="1:46" ht="16.5" customHeight="1">
      <c r="A235" s="180"/>
      <c r="B235" s="422" t="s">
        <v>1077</v>
      </c>
      <c r="C235" s="441"/>
      <c r="D235" s="47"/>
      <c r="E235" s="319"/>
      <c r="F235" s="646"/>
      <c r="G235" s="4"/>
      <c r="H235" s="441"/>
      <c r="I235" s="47"/>
      <c r="J235" s="319"/>
      <c r="K235" s="646"/>
      <c r="L235" s="4"/>
      <c r="M235" s="441"/>
      <c r="N235" s="47"/>
      <c r="O235" s="319"/>
      <c r="P235" s="646"/>
      <c r="Q235" s="4"/>
      <c r="R235" s="47"/>
      <c r="S235" s="47"/>
      <c r="T235" s="319"/>
      <c r="U235" s="646"/>
      <c r="V235" s="4"/>
      <c r="W235" s="47"/>
      <c r="X235" s="47"/>
      <c r="Y235" s="319"/>
      <c r="Z235" s="646"/>
      <c r="AA235" s="328">
        <f t="shared" si="26"/>
        <v>0</v>
      </c>
      <c r="AB235" s="298">
        <f t="shared" si="27"/>
        <v>0</v>
      </c>
      <c r="AC235" s="4"/>
      <c r="AD235" s="47"/>
      <c r="AE235" s="47"/>
      <c r="AF235" s="319"/>
      <c r="AG235" s="47"/>
      <c r="AH235" s="47"/>
      <c r="AI235" s="319"/>
      <c r="AJ235" s="328">
        <f t="shared" si="28"/>
        <v>0</v>
      </c>
      <c r="AK235" s="4"/>
      <c r="AL235" s="255"/>
      <c r="AM235" s="180"/>
      <c r="AN235" s="193"/>
      <c r="AO235" s="193"/>
      <c r="AP235" s="193"/>
      <c r="AQ235" s="193"/>
      <c r="AR235" s="193"/>
      <c r="AS235" s="193"/>
      <c r="AT235" s="180"/>
    </row>
    <row r="236" spans="1:46" ht="16.5" customHeight="1">
      <c r="A236" s="180"/>
      <c r="B236" s="422" t="s">
        <v>1078</v>
      </c>
      <c r="C236" s="441"/>
      <c r="D236" s="47"/>
      <c r="E236" s="319"/>
      <c r="F236" s="646"/>
      <c r="G236" s="4"/>
      <c r="H236" s="441"/>
      <c r="I236" s="47"/>
      <c r="J236" s="319"/>
      <c r="K236" s="646"/>
      <c r="L236" s="4"/>
      <c r="M236" s="441"/>
      <c r="N236" s="47"/>
      <c r="O236" s="319"/>
      <c r="P236" s="646"/>
      <c r="Q236" s="4"/>
      <c r="R236" s="47"/>
      <c r="S236" s="47"/>
      <c r="T236" s="319"/>
      <c r="U236" s="646"/>
      <c r="V236" s="4"/>
      <c r="W236" s="47"/>
      <c r="X236" s="47"/>
      <c r="Y236" s="319"/>
      <c r="Z236" s="646"/>
      <c r="AA236" s="328">
        <f t="shared" si="26"/>
        <v>0</v>
      </c>
      <c r="AB236" s="298">
        <f t="shared" si="27"/>
        <v>0</v>
      </c>
      <c r="AC236" s="4"/>
      <c r="AD236" s="47"/>
      <c r="AE236" s="47"/>
      <c r="AF236" s="319"/>
      <c r="AG236" s="47"/>
      <c r="AH236" s="47"/>
      <c r="AI236" s="319"/>
      <c r="AJ236" s="328">
        <f t="shared" si="28"/>
        <v>0</v>
      </c>
      <c r="AK236" s="4"/>
      <c r="AL236" s="255"/>
      <c r="AM236" s="180"/>
      <c r="AN236" s="193"/>
      <c r="AO236" s="193"/>
      <c r="AP236" s="193"/>
      <c r="AQ236" s="193"/>
      <c r="AR236" s="193"/>
      <c r="AS236" s="193"/>
      <c r="AT236" s="180"/>
    </row>
    <row r="237" spans="1:46" ht="16.5" customHeight="1">
      <c r="A237" s="180"/>
      <c r="B237" s="422" t="s">
        <v>1086</v>
      </c>
      <c r="C237" s="441"/>
      <c r="D237" s="47"/>
      <c r="E237" s="319"/>
      <c r="F237" s="646"/>
      <c r="G237" s="4"/>
      <c r="H237" s="441"/>
      <c r="I237" s="47"/>
      <c r="J237" s="319"/>
      <c r="K237" s="646"/>
      <c r="L237" s="4"/>
      <c r="M237" s="441"/>
      <c r="N237" s="47"/>
      <c r="O237" s="319"/>
      <c r="P237" s="646"/>
      <c r="Q237" s="4"/>
      <c r="R237" s="47"/>
      <c r="S237" s="47"/>
      <c r="T237" s="319"/>
      <c r="U237" s="646"/>
      <c r="V237" s="4"/>
      <c r="W237" s="47"/>
      <c r="X237" s="47"/>
      <c r="Y237" s="319"/>
      <c r="Z237" s="646"/>
      <c r="AA237" s="328">
        <f t="shared" si="26"/>
        <v>0</v>
      </c>
      <c r="AB237" s="298">
        <f t="shared" si="27"/>
        <v>0</v>
      </c>
      <c r="AC237" s="4"/>
      <c r="AD237" s="47"/>
      <c r="AE237" s="47"/>
      <c r="AF237" s="319"/>
      <c r="AG237" s="47"/>
      <c r="AH237" s="47"/>
      <c r="AI237" s="319"/>
      <c r="AJ237" s="328">
        <f t="shared" si="28"/>
        <v>0</v>
      </c>
      <c r="AK237" s="4"/>
      <c r="AL237" s="255"/>
      <c r="AM237" s="180"/>
      <c r="AN237" s="193"/>
      <c r="AO237" s="193"/>
      <c r="AP237" s="193"/>
      <c r="AQ237" s="193"/>
      <c r="AR237" s="193"/>
      <c r="AS237" s="193"/>
      <c r="AT237" s="180"/>
    </row>
    <row r="238" spans="1:46" ht="16.5" customHeight="1">
      <c r="A238" s="180"/>
      <c r="B238" s="422" t="s">
        <v>1087</v>
      </c>
      <c r="C238" s="1564"/>
      <c r="D238" s="1564"/>
      <c r="E238" s="319"/>
      <c r="F238" s="646"/>
      <c r="G238" s="4"/>
      <c r="H238" s="1564"/>
      <c r="I238" s="1564"/>
      <c r="J238" s="319"/>
      <c r="K238" s="646"/>
      <c r="L238" s="4"/>
      <c r="M238" s="1564"/>
      <c r="N238" s="1564"/>
      <c r="O238" s="319"/>
      <c r="P238" s="646"/>
      <c r="Q238" s="4"/>
      <c r="R238" s="1564"/>
      <c r="S238" s="1564"/>
      <c r="T238" s="319"/>
      <c r="U238" s="646"/>
      <c r="V238" s="4"/>
      <c r="W238" s="1564"/>
      <c r="X238" s="1564"/>
      <c r="Y238" s="319"/>
      <c r="Z238" s="646"/>
      <c r="AA238" s="328">
        <f t="shared" si="26"/>
        <v>0</v>
      </c>
      <c r="AB238" s="298">
        <f t="shared" si="27"/>
        <v>0</v>
      </c>
      <c r="AC238" s="4"/>
      <c r="AD238" s="47"/>
      <c r="AE238" s="47"/>
      <c r="AF238" s="319"/>
      <c r="AG238" s="47"/>
      <c r="AH238" s="47"/>
      <c r="AI238" s="319"/>
      <c r="AJ238" s="328">
        <f t="shared" si="28"/>
        <v>0</v>
      </c>
      <c r="AK238" s="4"/>
      <c r="AL238" s="255"/>
      <c r="AM238" s="180"/>
      <c r="AN238" s="193"/>
      <c r="AO238" s="193"/>
      <c r="AP238" s="193"/>
      <c r="AQ238" s="193"/>
      <c r="AR238" s="193"/>
      <c r="AS238" s="193"/>
      <c r="AT238" s="180"/>
    </row>
    <row r="239" spans="1:46" ht="16.5" customHeight="1">
      <c r="A239" s="180"/>
      <c r="B239" s="64" t="s">
        <v>61</v>
      </c>
      <c r="C239" s="31"/>
      <c r="D239" s="31"/>
      <c r="E239" s="439">
        <f>SUM(E216:E238)</f>
        <v>0</v>
      </c>
      <c r="F239" s="646">
        <f>SUM(F216:F238)</f>
        <v>0</v>
      </c>
      <c r="G239" s="31"/>
      <c r="H239" s="31"/>
      <c r="I239" s="31"/>
      <c r="J239" s="439">
        <f>SUM(J216:J238)</f>
        <v>0</v>
      </c>
      <c r="K239" s="646">
        <f>SUM(K216:K238)</f>
        <v>0</v>
      </c>
      <c r="L239" s="31"/>
      <c r="M239" s="31"/>
      <c r="N239" s="31"/>
      <c r="O239" s="439">
        <f>SUM(O216:O238)</f>
        <v>0</v>
      </c>
      <c r="P239" s="646">
        <f>SUM(P216:P238)</f>
        <v>0</v>
      </c>
      <c r="Q239" s="31"/>
      <c r="R239" s="31"/>
      <c r="S239" s="31"/>
      <c r="T239" s="439">
        <f>SUM(T216:T238)</f>
        <v>0</v>
      </c>
      <c r="U239" s="646">
        <f>SUM(U216:U238)</f>
        <v>0</v>
      </c>
      <c r="V239" s="31"/>
      <c r="W239" s="31"/>
      <c r="X239" s="31"/>
      <c r="Y239" s="439">
        <f>SUM(Y216:Y238)</f>
        <v>0</v>
      </c>
      <c r="Z239" s="646">
        <f>SUM(Z216:Z238)</f>
        <v>0</v>
      </c>
      <c r="AA239" s="370">
        <f>SUM(AA216:AA238)</f>
        <v>0</v>
      </c>
      <c r="AB239" s="370">
        <f>SUM(AB216:AB238)</f>
        <v>0</v>
      </c>
      <c r="AC239" s="4"/>
      <c r="AD239" s="64"/>
      <c r="AE239" s="64"/>
      <c r="AF239" s="370">
        <f>SUM(AF216:AF238)</f>
        <v>0</v>
      </c>
      <c r="AG239" s="64"/>
      <c r="AH239" s="64"/>
      <c r="AI239" s="370">
        <f>SUM(AI216:AI238)</f>
        <v>0</v>
      </c>
      <c r="AJ239" s="370">
        <f>SUM(AJ216:AJ238)</f>
        <v>0</v>
      </c>
      <c r="AK239" s="4"/>
      <c r="AL239" s="255"/>
      <c r="AM239" s="180"/>
      <c r="AN239" s="407"/>
      <c r="AO239" s="193"/>
      <c r="AP239" s="193"/>
      <c r="AQ239" s="193"/>
      <c r="AR239" s="193"/>
      <c r="AS239" s="193"/>
      <c r="AT239" s="180"/>
    </row>
    <row r="240" spans="1:46" ht="16.5" customHeight="1">
      <c r="A240" s="180"/>
      <c r="B240" s="63"/>
      <c r="C240" s="47"/>
      <c r="D240" s="47"/>
      <c r="E240" s="319"/>
      <c r="F240" s="346"/>
      <c r="G240" s="613"/>
      <c r="H240" s="47"/>
      <c r="I240" s="47"/>
      <c r="J240" s="319"/>
      <c r="K240" s="346"/>
      <c r="L240" s="60"/>
      <c r="M240" s="47"/>
      <c r="N240" s="47"/>
      <c r="O240" s="319"/>
      <c r="P240" s="346"/>
      <c r="Q240" s="60"/>
      <c r="R240" s="47"/>
      <c r="S240" s="47"/>
      <c r="T240" s="319"/>
      <c r="U240" s="346"/>
      <c r="V240" s="60"/>
      <c r="W240" s="47"/>
      <c r="X240" s="47"/>
      <c r="Y240" s="319"/>
      <c r="Z240" s="346"/>
      <c r="AA240" s="28">
        <f>SUM(E240+J240+O240+T240+Y240)</f>
        <v>0</v>
      </c>
      <c r="AB240" s="296">
        <f>Z240+U240+P240+K240+F240</f>
        <v>0</v>
      </c>
      <c r="AC240" s="4"/>
      <c r="AD240" s="47" t="s">
        <v>29</v>
      </c>
      <c r="AE240" s="47" t="s">
        <v>29</v>
      </c>
      <c r="AF240" s="319"/>
      <c r="AG240" s="47" t="s">
        <v>29</v>
      </c>
      <c r="AH240" s="47" t="s">
        <v>29</v>
      </c>
      <c r="AI240" s="319"/>
      <c r="AJ240" s="29">
        <f>AI240</f>
        <v>0</v>
      </c>
      <c r="AK240" s="4"/>
      <c r="AL240" s="255"/>
      <c r="AM240" s="180"/>
      <c r="AN240" s="407"/>
      <c r="AO240" s="193"/>
      <c r="AP240" s="193"/>
      <c r="AQ240" s="193"/>
      <c r="AR240" s="193"/>
      <c r="AS240" s="193"/>
      <c r="AT240" s="180"/>
    </row>
    <row r="241" spans="1:46" ht="16.5" customHeight="1">
      <c r="A241" s="180"/>
      <c r="B241" s="71" t="s">
        <v>66</v>
      </c>
      <c r="C241" s="371"/>
      <c r="D241" s="371"/>
      <c r="E241" s="71"/>
      <c r="F241" s="613"/>
      <c r="G241" s="71"/>
      <c r="H241" s="71"/>
      <c r="I241" s="71"/>
      <c r="J241" s="71"/>
      <c r="K241" s="613"/>
      <c r="L241" s="71"/>
      <c r="M241" s="71"/>
      <c r="N241" s="71"/>
      <c r="O241" s="71"/>
      <c r="P241" s="613"/>
      <c r="Q241" s="71"/>
      <c r="R241" s="71"/>
      <c r="S241" s="71"/>
      <c r="T241" s="71"/>
      <c r="U241" s="613"/>
      <c r="V241" s="71"/>
      <c r="W241" s="71"/>
      <c r="X241" s="71"/>
      <c r="Y241" s="71"/>
      <c r="Z241" s="613"/>
      <c r="AA241" s="370">
        <f>SUM(AA240:AA240)</f>
        <v>0</v>
      </c>
      <c r="AB241" s="370">
        <f>SUM(AB240:AB240)</f>
        <v>0</v>
      </c>
      <c r="AC241" s="4"/>
      <c r="AD241" s="180"/>
      <c r="AE241" s="180"/>
      <c r="AF241" s="180"/>
      <c r="AG241" s="180"/>
      <c r="AH241" s="180"/>
      <c r="AI241" s="180"/>
      <c r="AJ241" s="370">
        <f>SUM(AJ240:AJ240)</f>
        <v>0</v>
      </c>
      <c r="AK241" s="4"/>
      <c r="AL241" s="255"/>
      <c r="AM241" s="180"/>
      <c r="AN241" s="193"/>
      <c r="AO241" s="193"/>
      <c r="AP241" s="193"/>
      <c r="AQ241" s="193"/>
      <c r="AR241" s="193"/>
      <c r="AS241" s="193"/>
      <c r="AT241" s="180"/>
    </row>
    <row r="242" spans="1:46" ht="16.5" customHeight="1">
      <c r="A242" s="180"/>
      <c r="B242" s="217" t="s">
        <v>67</v>
      </c>
      <c r="C242" s="207"/>
      <c r="D242" s="207"/>
      <c r="E242" s="209"/>
      <c r="F242" s="209"/>
      <c r="G242" s="207"/>
      <c r="H242" s="209"/>
      <c r="I242" s="209"/>
      <c r="J242" s="209"/>
      <c r="K242" s="209"/>
      <c r="L242" s="207"/>
      <c r="M242" s="207"/>
      <c r="N242" s="207"/>
      <c r="O242" s="207"/>
      <c r="P242" s="209"/>
      <c r="Q242" s="207"/>
      <c r="R242" s="207"/>
      <c r="S242" s="207"/>
      <c r="T242" s="207"/>
      <c r="U242" s="209"/>
      <c r="V242" s="207"/>
      <c r="W242" s="207"/>
      <c r="X242" s="207"/>
      <c r="Y242" s="210"/>
      <c r="Z242" s="209"/>
      <c r="AA242" s="211"/>
      <c r="AB242" s="209"/>
      <c r="AC242" s="211"/>
      <c r="AD242" s="211"/>
      <c r="AE242" s="211"/>
      <c r="AF242" s="211"/>
      <c r="AG242" s="211"/>
      <c r="AH242" s="211"/>
      <c r="AI242" s="211"/>
      <c r="AJ242" s="211"/>
      <c r="AK242" s="4"/>
      <c r="AL242" s="255"/>
      <c r="AM242" s="180"/>
      <c r="AN242" s="193"/>
      <c r="AO242" s="193"/>
      <c r="AP242" s="193"/>
      <c r="AQ242" s="193"/>
      <c r="AR242" s="193"/>
      <c r="AS242" s="193"/>
      <c r="AT242" s="180"/>
    </row>
    <row r="243" spans="1:46" ht="16.5" customHeight="1">
      <c r="A243" s="180"/>
      <c r="B243" s="238" t="s">
        <v>68</v>
      </c>
      <c r="C243" s="239"/>
      <c r="D243" s="207"/>
      <c r="E243" s="209"/>
      <c r="F243" s="209"/>
      <c r="G243" s="207"/>
      <c r="H243" s="209"/>
      <c r="I243" s="209"/>
      <c r="J243" s="209"/>
      <c r="K243" s="209"/>
      <c r="L243" s="207"/>
      <c r="M243" s="207"/>
      <c r="N243" s="207"/>
      <c r="O243" s="207"/>
      <c r="P243" s="209"/>
      <c r="Q243" s="207"/>
      <c r="R243" s="207"/>
      <c r="S243" s="207"/>
      <c r="T243" s="207"/>
      <c r="U243" s="209"/>
      <c r="V243" s="207"/>
      <c r="W243" s="207"/>
      <c r="X243" s="207"/>
      <c r="Y243" s="210"/>
      <c r="Z243" s="209"/>
      <c r="AA243" s="211"/>
      <c r="AB243" s="209"/>
      <c r="AC243" s="211"/>
      <c r="AD243" s="211"/>
      <c r="AE243" s="211"/>
      <c r="AF243" s="211"/>
      <c r="AG243" s="211"/>
      <c r="AH243" s="211"/>
      <c r="AI243" s="211"/>
      <c r="AJ243" s="211"/>
      <c r="AK243" s="4"/>
      <c r="AL243" s="255"/>
      <c r="AM243" s="180"/>
      <c r="AN243" s="193"/>
      <c r="AO243" s="193"/>
      <c r="AP243" s="193"/>
      <c r="AQ243" s="193"/>
      <c r="AR243" s="193"/>
      <c r="AS243" s="193"/>
      <c r="AT243" s="180"/>
    </row>
    <row r="244" spans="1:46" ht="16.5" customHeight="1">
      <c r="A244" s="180"/>
      <c r="B244" s="238" t="s">
        <v>69</v>
      </c>
      <c r="C244" s="239"/>
      <c r="D244" s="207"/>
      <c r="E244" s="209"/>
      <c r="F244" s="209"/>
      <c r="G244" s="207"/>
      <c r="H244" s="209"/>
      <c r="I244" s="209"/>
      <c r="J244" s="209"/>
      <c r="K244" s="209"/>
      <c r="L244" s="207"/>
      <c r="M244" s="207"/>
      <c r="N244" s="207"/>
      <c r="O244" s="207"/>
      <c r="P244" s="209"/>
      <c r="Q244" s="207"/>
      <c r="R244" s="207"/>
      <c r="S244" s="207"/>
      <c r="T244" s="207"/>
      <c r="U244" s="209"/>
      <c r="V244" s="207"/>
      <c r="W244" s="207"/>
      <c r="X244" s="207"/>
      <c r="Y244" s="210"/>
      <c r="Z244" s="209"/>
      <c r="AA244" s="211"/>
      <c r="AB244" s="209"/>
      <c r="AC244" s="211"/>
      <c r="AD244" s="211"/>
      <c r="AE244" s="211"/>
      <c r="AF244" s="211"/>
      <c r="AG244" s="211"/>
      <c r="AH244" s="211"/>
      <c r="AI244" s="211"/>
      <c r="AJ244" s="211"/>
      <c r="AK244" s="4"/>
      <c r="AL244" s="255"/>
      <c r="AM244" s="180"/>
      <c r="AN244" s="193"/>
      <c r="AO244" s="193"/>
      <c r="AP244" s="193"/>
      <c r="AQ244" s="193"/>
      <c r="AR244" s="193"/>
      <c r="AS244" s="193"/>
      <c r="AT244" s="180"/>
    </row>
    <row r="245" spans="1:46" ht="16.5" customHeight="1">
      <c r="A245" s="180"/>
      <c r="B245" s="193"/>
      <c r="C245" s="193"/>
      <c r="D245" s="193"/>
      <c r="E245" s="193"/>
      <c r="F245" s="193"/>
      <c r="G245" s="193"/>
      <c r="H245" s="193"/>
      <c r="I245" s="193"/>
      <c r="J245" s="193"/>
      <c r="K245" s="193"/>
      <c r="L245" s="193"/>
      <c r="M245" s="193"/>
      <c r="N245" s="193"/>
      <c r="O245" s="193"/>
      <c r="P245" s="193"/>
      <c r="Q245" s="193"/>
      <c r="R245" s="193"/>
      <c r="S245" s="193"/>
      <c r="T245" s="193"/>
      <c r="U245" s="193"/>
      <c r="V245" s="193"/>
      <c r="W245" s="193"/>
      <c r="X245" s="193"/>
      <c r="Y245" s="193"/>
      <c r="Z245" s="193"/>
      <c r="AA245" s="193"/>
      <c r="AB245" s="193"/>
      <c r="AC245" s="193"/>
      <c r="AD245" s="193"/>
      <c r="AE245" s="193"/>
      <c r="AF245" s="193"/>
      <c r="AG245" s="193"/>
      <c r="AH245" s="193"/>
      <c r="AI245" s="193"/>
      <c r="AJ245" s="193"/>
      <c r="AK245" s="4"/>
      <c r="AL245" s="255"/>
      <c r="AM245" s="180"/>
      <c r="AN245" s="193"/>
      <c r="AO245" s="193"/>
      <c r="AP245" s="193"/>
      <c r="AQ245" s="193"/>
      <c r="AR245" s="193"/>
      <c r="AS245" s="193"/>
      <c r="AT245" s="180"/>
    </row>
    <row r="246" spans="1:46" ht="16.5" customHeight="1">
      <c r="A246" s="180"/>
      <c r="B246" s="229"/>
      <c r="C246" s="230"/>
      <c r="D246" s="230"/>
      <c r="E246" s="232"/>
      <c r="F246" s="232"/>
      <c r="G246" s="230"/>
      <c r="H246" s="232"/>
      <c r="I246" s="232"/>
      <c r="J246" s="232"/>
      <c r="K246" s="232"/>
      <c r="L246" s="230"/>
      <c r="M246" s="230"/>
      <c r="N246" s="230"/>
      <c r="O246" s="230"/>
      <c r="P246" s="232"/>
      <c r="Q246" s="230"/>
      <c r="R246" s="230"/>
      <c r="S246" s="230"/>
      <c r="T246" s="230"/>
      <c r="U246" s="232"/>
      <c r="V246" s="230"/>
      <c r="W246" s="230"/>
      <c r="X246" s="230"/>
      <c r="Y246" s="233"/>
      <c r="Z246" s="232"/>
      <c r="AA246" s="234"/>
      <c r="AB246" s="232"/>
      <c r="AC246" s="373"/>
      <c r="AD246" s="236"/>
      <c r="AE246" s="255"/>
      <c r="AF246" s="255"/>
      <c r="AG246" s="236"/>
      <c r="AH246" s="255"/>
      <c r="AI246" s="255"/>
      <c r="AJ246" s="255"/>
      <c r="AK246" s="255"/>
      <c r="AL246" s="255"/>
      <c r="AM246" s="255"/>
      <c r="AN246" s="255"/>
      <c r="AO246" s="255"/>
      <c r="AP246" s="255"/>
      <c r="AQ246" s="255"/>
      <c r="AR246" s="255"/>
      <c r="AS246" s="255"/>
      <c r="AT246" s="255"/>
    </row>
  </sheetData>
  <mergeCells count="113">
    <mergeCell ref="S1:AJ1"/>
    <mergeCell ref="AN1:AS1"/>
    <mergeCell ref="AH2:AI2"/>
    <mergeCell ref="AN2:AS2"/>
    <mergeCell ref="AH4:AI4"/>
    <mergeCell ref="AE4:AF4"/>
    <mergeCell ref="AH3:AI3"/>
    <mergeCell ref="AE2:AF2"/>
    <mergeCell ref="AE3:AF3"/>
    <mergeCell ref="AG114:AI114"/>
    <mergeCell ref="AG14:AI14"/>
    <mergeCell ref="AJ14:AJ15"/>
    <mergeCell ref="B46:B47"/>
    <mergeCell ref="C46:F46"/>
    <mergeCell ref="W46:Z46"/>
    <mergeCell ref="AA46:AA47"/>
    <mergeCell ref="AB46:AB47"/>
    <mergeCell ref="AH5:AI5"/>
    <mergeCell ref="B14:B15"/>
    <mergeCell ref="C14:F14"/>
    <mergeCell ref="H14:K14"/>
    <mergeCell ref="M14:P14"/>
    <mergeCell ref="R14:U14"/>
    <mergeCell ref="W14:Z14"/>
    <mergeCell ref="AA14:AA15"/>
    <mergeCell ref="AB14:AB15"/>
    <mergeCell ref="AG46:AI46"/>
    <mergeCell ref="AJ46:AJ47"/>
    <mergeCell ref="AE5:AF5"/>
    <mergeCell ref="AD14:AF14"/>
    <mergeCell ref="AD46:AF46"/>
    <mergeCell ref="G46:J46"/>
    <mergeCell ref="K46:N46"/>
    <mergeCell ref="AJ114:AJ115"/>
    <mergeCell ref="R138:S138"/>
    <mergeCell ref="W138:X138"/>
    <mergeCell ref="O114:R114"/>
    <mergeCell ref="AG80:AI80"/>
    <mergeCell ref="AJ80:AJ81"/>
    <mergeCell ref="B114:B115"/>
    <mergeCell ref="C114:F114"/>
    <mergeCell ref="W114:Z114"/>
    <mergeCell ref="AA114:AA115"/>
    <mergeCell ref="AB114:AB115"/>
    <mergeCell ref="AD80:AF80"/>
    <mergeCell ref="AD114:AF114"/>
    <mergeCell ref="S114:V114"/>
    <mergeCell ref="R121:S121"/>
    <mergeCell ref="H122:I122"/>
    <mergeCell ref="M122:N122"/>
    <mergeCell ref="B80:B81"/>
    <mergeCell ref="C80:F80"/>
    <mergeCell ref="H80:K80"/>
    <mergeCell ref="M80:P80"/>
    <mergeCell ref="R80:U80"/>
    <mergeCell ref="W80:Z80"/>
    <mergeCell ref="AA80:AA81"/>
    <mergeCell ref="AG148:AI148"/>
    <mergeCell ref="AJ148:AJ149"/>
    <mergeCell ref="C172:D172"/>
    <mergeCell ref="H172:I172"/>
    <mergeCell ref="M172:N172"/>
    <mergeCell ref="R172:S172"/>
    <mergeCell ref="W172:X172"/>
    <mergeCell ref="G148:J148"/>
    <mergeCell ref="B148:B149"/>
    <mergeCell ref="C148:F148"/>
    <mergeCell ref="W148:Z148"/>
    <mergeCell ref="K148:N148"/>
    <mergeCell ref="O148:R148"/>
    <mergeCell ref="S148:V148"/>
    <mergeCell ref="AD148:AF148"/>
    <mergeCell ref="S46:V46"/>
    <mergeCell ref="G114:J114"/>
    <mergeCell ref="K114:N114"/>
    <mergeCell ref="AA148:AA149"/>
    <mergeCell ref="AB148:AB149"/>
    <mergeCell ref="W181:Z181"/>
    <mergeCell ref="AA181:AA182"/>
    <mergeCell ref="AB181:AB182"/>
    <mergeCell ref="AD181:AF181"/>
    <mergeCell ref="AB80:AB81"/>
    <mergeCell ref="O46:R46"/>
    <mergeCell ref="AG181:AI181"/>
    <mergeCell ref="AJ181:AJ182"/>
    <mergeCell ref="B181:B182"/>
    <mergeCell ref="C181:F181"/>
    <mergeCell ref="G181:J181"/>
    <mergeCell ref="K181:N181"/>
    <mergeCell ref="O181:R181"/>
    <mergeCell ref="S181:V181"/>
    <mergeCell ref="M205:N205"/>
    <mergeCell ref="R205:S205"/>
    <mergeCell ref="W205:X205"/>
    <mergeCell ref="B214:B215"/>
    <mergeCell ref="C214:F214"/>
    <mergeCell ref="G214:J214"/>
    <mergeCell ref="K214:N214"/>
    <mergeCell ref="O214:R214"/>
    <mergeCell ref="S214:V214"/>
    <mergeCell ref="W214:Z214"/>
    <mergeCell ref="C205:D205"/>
    <mergeCell ref="H205:I205"/>
    <mergeCell ref="AA214:AA215"/>
    <mergeCell ref="AB214:AB215"/>
    <mergeCell ref="AD214:AF214"/>
    <mergeCell ref="AG214:AI214"/>
    <mergeCell ref="AJ214:AJ215"/>
    <mergeCell ref="C238:D238"/>
    <mergeCell ref="H238:I238"/>
    <mergeCell ref="M238:N238"/>
    <mergeCell ref="R238:S238"/>
    <mergeCell ref="W238:X238"/>
  </mergeCells>
  <conditionalFormatting sqref="AE2:AE5">
    <cfRule type="cellIs" dxfId="13" priority="1" operator="lessThan">
      <formula>0</formula>
    </cfRule>
  </conditionalFormatting>
  <conditionalFormatting sqref="AH2:AH5">
    <cfRule type="cellIs" dxfId="12" priority="2" operator="lessThan">
      <formula>0</formula>
    </cfRule>
  </conditionalFormatting>
  <pageMargins left="0.7" right="0.7" top="0.75" bottom="0.75" header="0.3" footer="0.3"/>
  <drawing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EFEF2-B42B-446C-8337-E26C5919ADF7}">
  <sheetPr codeName="Sheet18">
    <tabColor rgb="FF92D050"/>
  </sheetPr>
  <dimension ref="A1:AW2245"/>
  <sheetViews>
    <sheetView topLeftCell="B2189" zoomScale="90" zoomScaleNormal="90" workbookViewId="0">
      <pane xSplit="1" topLeftCell="C2232" activePane="topRight" state="frozen"/>
      <selection pane="topRight" activeCell="T2215" sqref="T2215"/>
      <selection activeCell="B2" sqref="B2"/>
    </sheetView>
  </sheetViews>
  <sheetFormatPr defaultColWidth="9.42578125" defaultRowHeight="13.5"/>
  <cols>
    <col min="1" max="1" width="12.5703125" style="313" hidden="1" customWidth="1"/>
    <col min="2" max="2" width="34.28515625" style="313" customWidth="1"/>
    <col min="3" max="3" width="7.7109375" style="180" customWidth="1"/>
    <col min="4" max="4" width="6.28515625" style="180" customWidth="1"/>
    <col min="5" max="5" width="6.42578125" style="374" customWidth="1"/>
    <col min="6" max="6" width="6.42578125" style="649" customWidth="1"/>
    <col min="7" max="7" width="1" style="374" customWidth="1"/>
    <col min="8" max="9" width="6.42578125" style="180" customWidth="1"/>
    <col min="10" max="10" width="6.42578125" style="374" bestFit="1" customWidth="1"/>
    <col min="11" max="11" width="6.42578125" style="649" customWidth="1"/>
    <col min="12" max="12" width="1" style="374" customWidth="1"/>
    <col min="13" max="14" width="7.42578125" style="180" customWidth="1"/>
    <col min="15" max="15" width="6.42578125" style="374" customWidth="1"/>
    <col min="16" max="16" width="6.42578125" style="649" customWidth="1"/>
    <col min="17" max="17" width="1" style="4" customWidth="1"/>
    <col min="18" max="19" width="7.42578125" style="180" customWidth="1"/>
    <col min="20" max="20" width="6.42578125" style="374" customWidth="1"/>
    <col min="21" max="21" width="6.42578125" style="649" customWidth="1"/>
    <col min="22" max="22" width="1" style="4" customWidth="1"/>
    <col min="23" max="24" width="6.42578125" style="180" customWidth="1"/>
    <col min="25" max="25" width="6.42578125" style="374" customWidth="1"/>
    <col min="26" max="26" width="6.42578125" style="649" customWidth="1"/>
    <col min="27" max="27" width="10.140625" style="374" bestFit="1" customWidth="1"/>
    <col min="28" max="28" width="7.42578125" style="374" customWidth="1"/>
    <col min="29" max="29" width="1" style="374" customWidth="1"/>
    <col min="30" max="30" width="7.5703125" style="180" customWidth="1"/>
    <col min="31" max="32" width="7.42578125" style="180" customWidth="1"/>
    <col min="33" max="33" width="7.5703125" style="180" customWidth="1"/>
    <col min="34" max="34" width="2.42578125" style="4" customWidth="1"/>
    <col min="35" max="35" width="2.42578125" style="255" customWidth="1"/>
    <col min="36" max="36" width="1.42578125" style="180" customWidth="1"/>
    <col min="37" max="37" width="13.5703125" style="193" bestFit="1" customWidth="1"/>
    <col min="38" max="38" width="13" style="193" customWidth="1"/>
    <col min="39" max="39" width="9.42578125" style="193" bestFit="1"/>
    <col min="40" max="40" width="10.7109375" style="193" customWidth="1"/>
    <col min="41" max="42" width="9.42578125" style="193"/>
    <col min="43" max="49" width="9.42578125" style="180"/>
    <col min="50" max="16384" width="9.42578125" style="313"/>
  </cols>
  <sheetData>
    <row r="1" spans="1:49" s="180" customFormat="1" ht="33" customHeight="1">
      <c r="E1" s="4"/>
      <c r="F1" s="644"/>
      <c r="G1" s="4"/>
      <c r="J1" s="4"/>
      <c r="K1" s="644"/>
      <c r="L1" s="4"/>
      <c r="O1" s="4"/>
      <c r="P1" s="644"/>
      <c r="Q1" s="4"/>
      <c r="S1" s="1585" t="s">
        <v>322</v>
      </c>
      <c r="T1" s="1585"/>
      <c r="U1" s="1585"/>
      <c r="V1" s="1585"/>
      <c r="W1" s="1585"/>
      <c r="X1" s="1585"/>
      <c r="Y1" s="1585"/>
      <c r="Z1" s="1585"/>
      <c r="AA1" s="1585"/>
      <c r="AB1" s="1585"/>
      <c r="AC1" s="1585"/>
      <c r="AD1" s="1585"/>
      <c r="AE1" s="1585"/>
      <c r="AF1" s="1585"/>
      <c r="AG1" s="1585"/>
      <c r="AH1" s="4"/>
      <c r="AI1" s="255"/>
      <c r="AK1" s="1517" t="s">
        <v>1109</v>
      </c>
      <c r="AL1" s="1517"/>
      <c r="AM1" s="1517"/>
      <c r="AN1" s="1517"/>
      <c r="AO1" s="1517"/>
      <c r="AP1" s="1517"/>
    </row>
    <row r="2" spans="1:49" s="180" customFormat="1" ht="13.5" customHeight="1">
      <c r="E2" s="4"/>
      <c r="F2" s="644"/>
      <c r="G2" s="4"/>
      <c r="J2" s="4"/>
      <c r="K2" s="644"/>
      <c r="L2" s="4"/>
      <c r="O2" s="4"/>
      <c r="P2" s="644"/>
      <c r="Q2" s="4"/>
      <c r="S2" s="788"/>
      <c r="T2" s="258"/>
      <c r="U2" s="644"/>
      <c r="V2" s="258"/>
      <c r="W2" s="910"/>
      <c r="X2" s="909"/>
      <c r="Y2" s="909" t="s">
        <v>2</v>
      </c>
      <c r="Z2" s="1584">
        <v>8625</v>
      </c>
      <c r="AA2" s="1584"/>
      <c r="AB2" s="37"/>
      <c r="AC2" s="657"/>
      <c r="AD2" s="651" t="s">
        <v>942</v>
      </c>
      <c r="AE2" s="1583">
        <f>Z2-(AA5+AE5)</f>
        <v>-3371.25</v>
      </c>
      <c r="AF2" s="1583"/>
      <c r="AG2" s="789"/>
      <c r="AH2" s="4"/>
      <c r="AI2" s="255"/>
      <c r="AK2" s="1521" t="s">
        <v>1110</v>
      </c>
      <c r="AL2" s="1521"/>
      <c r="AM2" s="1521"/>
      <c r="AN2" s="1521"/>
      <c r="AO2" s="1521"/>
      <c r="AP2" s="1521"/>
    </row>
    <row r="3" spans="1:49" s="180" customFormat="1" ht="13.5" customHeight="1">
      <c r="E3" s="4"/>
      <c r="F3" s="644"/>
      <c r="G3" s="4"/>
      <c r="J3" s="4"/>
      <c r="K3" s="644"/>
      <c r="L3" s="4"/>
      <c r="O3" s="4"/>
      <c r="P3" s="644"/>
      <c r="Q3" s="4"/>
      <c r="S3" s="788"/>
      <c r="T3" s="258"/>
      <c r="U3" s="644"/>
      <c r="V3" s="258"/>
      <c r="W3" s="910"/>
      <c r="X3" s="909"/>
      <c r="Y3" s="909" t="s">
        <v>5</v>
      </c>
      <c r="Z3" s="1584">
        <v>2194</v>
      </c>
      <c r="AA3" s="1584"/>
      <c r="AB3" s="37"/>
      <c r="AC3" s="657"/>
      <c r="AD3" s="651" t="s">
        <v>944</v>
      </c>
      <c r="AE3" s="1582">
        <f>Z3-(AA6+AE6)</f>
        <v>1213</v>
      </c>
      <c r="AF3" s="1582"/>
      <c r="AG3" s="789"/>
      <c r="AH3" s="4"/>
      <c r="AI3" s="255"/>
      <c r="AK3" s="192" t="s">
        <v>6</v>
      </c>
      <c r="AL3" s="193"/>
      <c r="AM3" s="193"/>
      <c r="AN3" s="193"/>
      <c r="AO3" s="193"/>
      <c r="AP3" s="193"/>
    </row>
    <row r="4" spans="1:49" s="180" customFormat="1" ht="13.5" customHeight="1">
      <c r="E4" s="4"/>
      <c r="F4" s="644"/>
      <c r="G4" s="4"/>
      <c r="J4" s="4"/>
      <c r="K4" s="644"/>
      <c r="L4" s="4"/>
      <c r="O4" s="4"/>
      <c r="P4" s="644"/>
      <c r="Q4" s="4"/>
      <c r="S4" s="788"/>
      <c r="T4" s="258"/>
      <c r="U4" s="644"/>
      <c r="V4" s="258"/>
      <c r="W4" s="258"/>
      <c r="X4" s="657"/>
      <c r="Y4" s="657" t="s">
        <v>7</v>
      </c>
      <c r="Z4" s="1584">
        <v>2760</v>
      </c>
      <c r="AA4" s="1584"/>
      <c r="AB4" s="37"/>
      <c r="AC4" s="657"/>
      <c r="AD4" s="651" t="s">
        <v>945</v>
      </c>
      <c r="AE4" s="1583">
        <f>Z4-AA7</f>
        <v>2173</v>
      </c>
      <c r="AF4" s="1583"/>
      <c r="AG4" s="789"/>
      <c r="AH4" s="4"/>
      <c r="AI4" s="255"/>
      <c r="AK4" s="193" t="s">
        <v>8</v>
      </c>
      <c r="AL4" s="193"/>
      <c r="AM4" s="193"/>
      <c r="AN4" s="193"/>
      <c r="AO4" s="193"/>
      <c r="AP4" s="193"/>
    </row>
    <row r="5" spans="1:49" s="180" customFormat="1" ht="13.5" customHeight="1">
      <c r="E5" s="4"/>
      <c r="F5" s="644"/>
      <c r="G5" s="4"/>
      <c r="J5" s="4"/>
      <c r="K5" s="644"/>
      <c r="L5" s="4"/>
      <c r="O5" s="4"/>
      <c r="P5" s="650"/>
      <c r="Q5" s="4"/>
      <c r="S5" s="788"/>
      <c r="T5" s="258"/>
      <c r="U5" s="644"/>
      <c r="V5" s="258"/>
      <c r="W5" s="258"/>
      <c r="X5" s="38"/>
      <c r="Y5" s="657" t="s">
        <v>9</v>
      </c>
      <c r="Z5" s="787">
        <f>AA43+AA79</f>
        <v>1225.8</v>
      </c>
      <c r="AA5" s="661">
        <f>AA43+AA79+AA115+AA151+AA186+AA221+AA256+AA291+AA326+AA361+AA396+AA431+AA466+AA501+AA536+AA571+AA606+AA641+AA676+AA709+AA740+AA772+AA805+AA836+AA868+AA900+AA932+AA964+AA996+AA1028+AA1060+AA1092+AA1124+AA1156+AA1188+AA1220+AA1252+AA1284+AA1316+AA1348+AA1380+AA1412+AA1444+AA1476+AA1508+AA1540+AA1572+AA1605+AA1663+AA1718+AA1773+AA1828+AA1883+AA1937+AA1978+AA2019+AA2056+AA2093</f>
        <v>11862</v>
      </c>
      <c r="AB5" s="37"/>
      <c r="AC5" s="38"/>
      <c r="AD5" s="652" t="s">
        <v>10</v>
      </c>
      <c r="AE5" s="1582">
        <f>AB43+AG43+AB79+AG79+AB115+AG115+AB151+AG151+AB186+AG186+AB221+AG221+AB256+AG256+AB291+AG291+AB326+AG326+AB361+AG361+AB396+AG396+AB431+AG431+AB466+AG466+AB501+AG501+AB536+AG536+AB571+AG571++AB606+AG606+AB641+AG641+AB676+AG676</f>
        <v>134.25</v>
      </c>
      <c r="AF5" s="1582"/>
      <c r="AG5" s="789"/>
      <c r="AH5" s="4"/>
      <c r="AI5" s="255"/>
      <c r="AK5" s="193" t="s">
        <v>11</v>
      </c>
      <c r="AL5" s="193"/>
      <c r="AM5" s="193"/>
      <c r="AN5" s="193"/>
      <c r="AO5" s="193"/>
      <c r="AP5" s="193"/>
    </row>
    <row r="6" spans="1:49" s="180" customFormat="1" ht="13.5" customHeight="1">
      <c r="E6" s="4"/>
      <c r="F6" s="644"/>
      <c r="G6" s="4"/>
      <c r="J6" s="4"/>
      <c r="K6" s="644"/>
      <c r="L6" s="4"/>
      <c r="O6" s="4"/>
      <c r="P6" s="644"/>
      <c r="Q6" s="4"/>
      <c r="S6" s="788"/>
      <c r="U6" s="644"/>
      <c r="V6" s="258"/>
      <c r="X6" s="38"/>
      <c r="Y6" s="657" t="s">
        <v>12</v>
      </c>
      <c r="Z6" s="658"/>
      <c r="AA6" s="661">
        <f>AA45+AA81+AA117+AA153+AA188+AA223+AA258+AA293+AA328+AA363+AA398+AA433+AA468+AA503+AA538+AA573+AA608+AA643+AA678+AA711+AA743+AA775+AA808+AA839+AA871</f>
        <v>897</v>
      </c>
      <c r="AB6" s="37"/>
      <c r="AC6" s="38"/>
      <c r="AD6" s="652" t="s">
        <v>13</v>
      </c>
      <c r="AE6" s="1582">
        <f>AB45+AB81+AB117+AB153+AB188+AB223+AB258+AG258+AB293+AB363+AG363+AB398+AB433+AB468+AB538+AB573+AB608+AG608+AB643</f>
        <v>84</v>
      </c>
      <c r="AF6" s="1582"/>
      <c r="AG6" s="789"/>
      <c r="AH6" s="4"/>
      <c r="AI6" s="255"/>
      <c r="AK6" s="310" t="s">
        <v>14</v>
      </c>
      <c r="AL6" s="465" t="s">
        <v>325</v>
      </c>
      <c r="AM6" s="193"/>
      <c r="AN6" s="193"/>
      <c r="AO6" s="193"/>
      <c r="AP6" s="193"/>
    </row>
    <row r="7" spans="1:49" s="180" customFormat="1" ht="13.5" customHeight="1" thickBot="1">
      <c r="E7" s="4"/>
      <c r="F7" s="644"/>
      <c r="G7" s="4"/>
      <c r="J7" s="4"/>
      <c r="K7" s="644"/>
      <c r="L7" s="4"/>
      <c r="O7" s="4"/>
      <c r="P7" s="644"/>
      <c r="Q7" s="4"/>
      <c r="S7" s="790"/>
      <c r="T7" s="791"/>
      <c r="U7" s="792"/>
      <c r="V7" s="793"/>
      <c r="W7" s="791"/>
      <c r="X7" s="794"/>
      <c r="Y7" s="795" t="s">
        <v>15</v>
      </c>
      <c r="Z7" s="796"/>
      <c r="AA7" s="797">
        <f>C46+C82+C118+C154+C189+C224+C259+C329+C364+C399+C434+C469+C504+C539+C574+C644+C679+C294+C609+C712+C744+C776+C809+C840</f>
        <v>587</v>
      </c>
      <c r="AB7" s="798"/>
      <c r="AC7" s="794"/>
      <c r="AD7" s="794"/>
      <c r="AE7" s="799"/>
      <c r="AF7" s="794"/>
      <c r="AG7" s="800"/>
      <c r="AH7" s="4"/>
      <c r="AI7" s="255"/>
      <c r="AK7" s="202" t="s">
        <v>16</v>
      </c>
      <c r="AL7" s="193"/>
      <c r="AM7" s="193"/>
      <c r="AN7" s="193"/>
      <c r="AO7" s="193"/>
      <c r="AP7" s="193"/>
    </row>
    <row r="8" spans="1:49" s="180" customFormat="1" ht="13.5" customHeight="1">
      <c r="E8" s="4"/>
      <c r="F8" s="644"/>
      <c r="G8" s="4"/>
      <c r="J8" s="4"/>
      <c r="K8" s="644"/>
      <c r="L8" s="4"/>
      <c r="O8" s="4"/>
      <c r="P8" s="644"/>
      <c r="Q8" s="4"/>
      <c r="S8" s="258"/>
      <c r="U8" s="644"/>
      <c r="V8" s="258"/>
      <c r="X8" s="38"/>
      <c r="Y8" s="38"/>
      <c r="Z8" s="658"/>
      <c r="AA8" s="662"/>
      <c r="AB8" s="37"/>
      <c r="AC8" s="38"/>
      <c r="AD8" s="38"/>
      <c r="AE8" s="38"/>
      <c r="AF8" s="38"/>
      <c r="AH8" s="4"/>
      <c r="AI8" s="255"/>
      <c r="AK8" s="203" t="s">
        <v>17</v>
      </c>
      <c r="AL8" s="193"/>
      <c r="AM8" s="193"/>
      <c r="AN8" s="193"/>
      <c r="AO8" s="193"/>
      <c r="AP8" s="193"/>
    </row>
    <row r="9" spans="1:49" s="180" customFormat="1" ht="6.75" customHeight="1">
      <c r="E9" s="4"/>
      <c r="F9" s="644"/>
      <c r="G9" s="4"/>
      <c r="J9" s="4"/>
      <c r="K9" s="644"/>
      <c r="L9" s="4"/>
      <c r="O9" s="4"/>
      <c r="P9" s="644"/>
      <c r="Q9" s="4"/>
      <c r="S9" s="258"/>
      <c r="T9" s="258"/>
      <c r="U9" s="644"/>
      <c r="V9" s="258"/>
      <c r="X9" s="258"/>
      <c r="Y9" s="258"/>
      <c r="Z9" s="644"/>
      <c r="AA9" s="362"/>
      <c r="AB9" s="4"/>
      <c r="AC9" s="258"/>
      <c r="AD9" s="363"/>
      <c r="AG9" s="259"/>
      <c r="AH9" s="4"/>
      <c r="AI9" s="255"/>
      <c r="AK9" s="193"/>
      <c r="AL9" s="193"/>
      <c r="AM9" s="193"/>
      <c r="AN9" s="193"/>
      <c r="AO9" s="193"/>
      <c r="AP9" s="193"/>
    </row>
    <row r="10" spans="1:49" s="180" customFormat="1" ht="20.25" customHeight="1">
      <c r="A10" s="313"/>
      <c r="E10" s="4"/>
      <c r="F10" s="644"/>
      <c r="G10" s="4"/>
      <c r="J10" s="4"/>
      <c r="K10" s="644"/>
      <c r="L10" s="4"/>
      <c r="O10" s="4"/>
      <c r="P10" s="644"/>
      <c r="Q10" s="4"/>
      <c r="T10" s="4"/>
      <c r="U10" s="644"/>
      <c r="V10" s="4"/>
      <c r="Y10" s="4"/>
      <c r="Z10" s="644"/>
      <c r="AA10" s="4"/>
      <c r="AB10" s="4"/>
      <c r="AC10" s="4"/>
      <c r="AH10" s="4"/>
      <c r="AI10" s="255"/>
    </row>
    <row r="11" spans="1:49" s="180" customFormat="1" ht="13.5" customHeight="1">
      <c r="A11" s="228"/>
      <c r="B11" s="229"/>
      <c r="C11" s="230"/>
      <c r="D11" s="230"/>
      <c r="E11" s="232"/>
      <c r="F11" s="232"/>
      <c r="G11" s="230"/>
      <c r="H11" s="232"/>
      <c r="I11" s="232"/>
      <c r="J11" s="232"/>
      <c r="K11" s="232"/>
      <c r="L11" s="230"/>
      <c r="M11" s="230"/>
      <c r="N11" s="230"/>
      <c r="O11" s="230"/>
      <c r="P11" s="232"/>
      <c r="Q11" s="230"/>
      <c r="R11" s="230"/>
      <c r="S11" s="230"/>
      <c r="T11" s="230"/>
      <c r="U11" s="232"/>
      <c r="V11" s="230"/>
      <c r="W11" s="230"/>
      <c r="X11" s="230"/>
      <c r="Y11" s="233"/>
      <c r="Z11" s="232"/>
      <c r="AA11" s="234"/>
      <c r="AB11" s="232"/>
      <c r="AC11" s="373"/>
      <c r="AD11" s="236"/>
      <c r="AE11" s="255"/>
      <c r="AF11" s="255"/>
      <c r="AG11" s="255"/>
      <c r="AH11" s="373"/>
      <c r="AI11" s="255"/>
      <c r="AJ11" s="255"/>
      <c r="AK11" s="255"/>
      <c r="AL11" s="255"/>
      <c r="AM11" s="255"/>
      <c r="AN11" s="255"/>
      <c r="AO11" s="255"/>
      <c r="AP11" s="255"/>
      <c r="AQ11" s="255"/>
      <c r="AR11" s="255"/>
      <c r="AS11" s="255"/>
      <c r="AT11" s="255"/>
      <c r="AU11" s="255"/>
      <c r="AV11" s="255"/>
      <c r="AW11" s="255"/>
    </row>
    <row r="12" spans="1:49">
      <c r="A12" s="180"/>
      <c r="B12" s="229"/>
      <c r="C12" s="230"/>
      <c r="D12" s="230"/>
      <c r="E12" s="232"/>
      <c r="F12" s="232"/>
      <c r="G12" s="230"/>
      <c r="H12" s="232"/>
      <c r="I12" s="232"/>
      <c r="J12" s="232"/>
      <c r="K12" s="232"/>
      <c r="L12" s="230"/>
      <c r="M12" s="230"/>
      <c r="N12" s="230"/>
      <c r="O12" s="230"/>
      <c r="P12" s="232"/>
      <c r="Q12" s="230"/>
      <c r="R12" s="230"/>
      <c r="S12" s="230"/>
      <c r="T12" s="230"/>
      <c r="U12" s="232"/>
      <c r="V12" s="230"/>
      <c r="W12" s="230"/>
      <c r="X12" s="230"/>
      <c r="Y12" s="233"/>
      <c r="Z12" s="232"/>
      <c r="AA12" s="234"/>
      <c r="AB12" s="232"/>
      <c r="AC12" s="373"/>
      <c r="AD12" s="236"/>
      <c r="AE12" s="255"/>
      <c r="AF12" s="255"/>
      <c r="AG12" s="255"/>
      <c r="AH12" s="255"/>
      <c r="AJ12" s="255"/>
      <c r="AK12" s="255"/>
      <c r="AL12" s="255"/>
      <c r="AM12" s="255"/>
      <c r="AN12" s="255"/>
      <c r="AO12" s="255"/>
      <c r="AP12" s="255"/>
      <c r="AQ12" s="255"/>
      <c r="AR12" s="255"/>
      <c r="AS12" s="255"/>
      <c r="AT12" s="255"/>
      <c r="AU12" s="255"/>
      <c r="AV12" s="255"/>
      <c r="AW12" s="255"/>
    </row>
    <row r="13" spans="1:49">
      <c r="B13" s="180"/>
      <c r="E13" s="4"/>
      <c r="F13" s="644"/>
      <c r="G13" s="4"/>
      <c r="J13" s="4"/>
      <c r="K13" s="644"/>
      <c r="L13" s="4"/>
      <c r="O13" s="4"/>
      <c r="P13" s="644"/>
      <c r="T13" s="4"/>
      <c r="U13" s="644"/>
      <c r="Y13" s="4"/>
      <c r="Z13" s="644"/>
      <c r="AA13" s="4"/>
      <c r="AB13" s="4"/>
      <c r="AC13" s="4"/>
      <c r="AK13" s="180"/>
      <c r="AL13" s="180"/>
      <c r="AM13" s="180"/>
      <c r="AN13" s="180"/>
      <c r="AO13" s="180"/>
      <c r="AP13" s="180"/>
    </row>
    <row r="14" spans="1:49">
      <c r="B14" s="180"/>
      <c r="E14" s="4"/>
      <c r="F14" s="644"/>
      <c r="G14" s="4"/>
      <c r="J14" s="4"/>
      <c r="K14" s="644"/>
      <c r="L14" s="4"/>
      <c r="O14" s="4"/>
      <c r="P14" s="644"/>
      <c r="T14" s="4"/>
      <c r="U14" s="644"/>
      <c r="Y14" s="4"/>
      <c r="Z14" s="644"/>
      <c r="AA14" s="4"/>
      <c r="AB14" s="4"/>
      <c r="AC14" s="4"/>
    </row>
    <row r="15" spans="1:49">
      <c r="A15" s="180"/>
      <c r="B15" s="229"/>
      <c r="C15" s="230"/>
      <c r="D15" s="230"/>
      <c r="E15" s="232"/>
      <c r="F15" s="232"/>
      <c r="G15" s="230"/>
      <c r="H15" s="232"/>
      <c r="I15" s="232"/>
      <c r="J15" s="232"/>
      <c r="K15" s="232"/>
      <c r="L15" s="230"/>
      <c r="M15" s="230"/>
      <c r="N15" s="230"/>
      <c r="O15" s="230"/>
      <c r="P15" s="232"/>
      <c r="Q15" s="230"/>
      <c r="R15" s="230"/>
      <c r="S15" s="230"/>
      <c r="T15" s="230"/>
      <c r="U15" s="232"/>
      <c r="V15" s="230"/>
      <c r="W15" s="230"/>
      <c r="X15" s="230"/>
      <c r="Y15" s="233"/>
      <c r="Z15" s="232"/>
      <c r="AA15" s="234"/>
      <c r="AB15" s="232"/>
      <c r="AC15" s="373"/>
      <c r="AD15" s="236"/>
      <c r="AE15" s="255"/>
      <c r="AF15" s="255"/>
      <c r="AG15" s="255"/>
      <c r="AH15" s="255"/>
      <c r="AJ15" s="255"/>
      <c r="AK15" s="255"/>
      <c r="AL15" s="255"/>
      <c r="AM15" s="255"/>
      <c r="AN15" s="255"/>
      <c r="AO15" s="255"/>
      <c r="AP15" s="255"/>
      <c r="AQ15" s="255"/>
      <c r="AR15" s="255"/>
      <c r="AS15" s="255"/>
      <c r="AT15" s="255"/>
      <c r="AU15" s="255"/>
      <c r="AV15" s="255"/>
      <c r="AW15" s="255"/>
    </row>
    <row r="16" spans="1:49">
      <c r="B16" s="180"/>
      <c r="E16" s="4"/>
      <c r="F16" s="644"/>
      <c r="G16" s="4"/>
      <c r="J16" s="4"/>
      <c r="K16" s="644"/>
      <c r="L16" s="4"/>
      <c r="O16" s="4"/>
      <c r="P16" s="644"/>
      <c r="T16" s="4"/>
      <c r="U16" s="644"/>
      <c r="Y16" s="4"/>
      <c r="Z16" s="644"/>
      <c r="AA16" s="4"/>
      <c r="AB16" s="4"/>
      <c r="AC16" s="4"/>
      <c r="AK16" s="180"/>
      <c r="AL16" s="180"/>
      <c r="AM16" s="180"/>
      <c r="AN16" s="180"/>
      <c r="AO16" s="180"/>
      <c r="AP16" s="180"/>
    </row>
    <row r="17" spans="1:49" ht="25.5">
      <c r="A17" s="228"/>
      <c r="B17" s="1518" t="s">
        <v>18</v>
      </c>
      <c r="C17" s="1519">
        <v>45712</v>
      </c>
      <c r="D17" s="1519"/>
      <c r="E17" s="1519" t="s">
        <v>564</v>
      </c>
      <c r="F17" s="1519"/>
      <c r="G17" s="365"/>
      <c r="H17" s="1519">
        <v>45713</v>
      </c>
      <c r="I17" s="1519"/>
      <c r="J17" s="1519" t="s">
        <v>565</v>
      </c>
      <c r="K17" s="1519"/>
      <c r="L17" s="365"/>
      <c r="M17" s="1519">
        <v>45714</v>
      </c>
      <c r="N17" s="1519"/>
      <c r="O17" s="1519" t="s">
        <v>566</v>
      </c>
      <c r="P17" s="1519"/>
      <c r="Q17" s="365"/>
      <c r="R17" s="1519">
        <v>45715</v>
      </c>
      <c r="S17" s="1519"/>
      <c r="T17" s="1519" t="s">
        <v>567</v>
      </c>
      <c r="U17" s="1519"/>
      <c r="V17" s="365"/>
      <c r="W17" s="1519">
        <v>45716</v>
      </c>
      <c r="X17" s="1519"/>
      <c r="Y17" s="1519" t="s">
        <v>568</v>
      </c>
      <c r="Z17" s="1519"/>
      <c r="AA17" s="1517" t="s">
        <v>19</v>
      </c>
      <c r="AB17" s="1517" t="s">
        <v>20</v>
      </c>
      <c r="AC17" s="4"/>
      <c r="AD17" s="1519">
        <v>45717</v>
      </c>
      <c r="AE17" s="1519"/>
      <c r="AF17" s="14" t="s">
        <v>1111</v>
      </c>
      <c r="AG17" s="1517" t="s">
        <v>21</v>
      </c>
      <c r="AI17" s="368"/>
      <c r="AK17" s="194" t="s">
        <v>84</v>
      </c>
      <c r="AL17" s="366"/>
      <c r="AM17" s="366"/>
      <c r="AN17" s="366"/>
      <c r="AO17" s="366"/>
      <c r="AP17" s="366"/>
    </row>
    <row r="18" spans="1:49">
      <c r="A18" s="180"/>
      <c r="B18" s="1518"/>
      <c r="C18" s="21" t="s">
        <v>23</v>
      </c>
      <c r="D18" s="21" t="s">
        <v>24</v>
      </c>
      <c r="E18" s="205" t="s">
        <v>25</v>
      </c>
      <c r="F18" s="645" t="s">
        <v>14</v>
      </c>
      <c r="G18" s="4"/>
      <c r="H18" s="21" t="s">
        <v>23</v>
      </c>
      <c r="I18" s="21" t="s">
        <v>24</v>
      </c>
      <c r="J18" s="18" t="s">
        <v>25</v>
      </c>
      <c r="K18" s="645" t="s">
        <v>14</v>
      </c>
      <c r="L18" s="4"/>
      <c r="M18" s="21" t="s">
        <v>23</v>
      </c>
      <c r="N18" s="21" t="s">
        <v>24</v>
      </c>
      <c r="O18" s="18" t="s">
        <v>25</v>
      </c>
      <c r="P18" s="645" t="s">
        <v>14</v>
      </c>
      <c r="R18" s="21" t="s">
        <v>23</v>
      </c>
      <c r="S18" s="21" t="s">
        <v>24</v>
      </c>
      <c r="T18" s="18" t="s">
        <v>25</v>
      </c>
      <c r="U18" s="645" t="s">
        <v>14</v>
      </c>
      <c r="W18" s="21" t="s">
        <v>23</v>
      </c>
      <c r="X18" s="21" t="s">
        <v>24</v>
      </c>
      <c r="Y18" s="18" t="s">
        <v>25</v>
      </c>
      <c r="Z18" s="645" t="s">
        <v>14</v>
      </c>
      <c r="AA18" s="1517"/>
      <c r="AB18" s="1517"/>
      <c r="AC18" s="4"/>
      <c r="AD18" s="21" t="s">
        <v>23</v>
      </c>
      <c r="AE18" s="21" t="s">
        <v>24</v>
      </c>
      <c r="AF18" s="18" t="s">
        <v>25</v>
      </c>
      <c r="AG18" s="1517"/>
      <c r="AI18" s="368"/>
      <c r="AJ18" s="367"/>
      <c r="AK18" s="188" t="s">
        <v>26</v>
      </c>
      <c r="AL18" s="196">
        <f>AA43</f>
        <v>618.54999999999995</v>
      </c>
      <c r="AM18" s="510">
        <v>40.31</v>
      </c>
      <c r="AN18" s="510">
        <f>AL18*AM18</f>
        <v>24933.750499999998</v>
      </c>
      <c r="AQ18" s="367"/>
      <c r="AR18" s="367"/>
      <c r="AS18" s="367"/>
      <c r="AT18" s="367"/>
      <c r="AU18" s="367"/>
      <c r="AV18" s="367"/>
      <c r="AW18" s="367"/>
    </row>
    <row r="19" spans="1:49">
      <c r="A19" s="180"/>
      <c r="B19" s="4" t="s">
        <v>958</v>
      </c>
      <c r="C19" s="47">
        <v>0.40625</v>
      </c>
      <c r="D19" s="47">
        <v>0.25</v>
      </c>
      <c r="E19" s="319">
        <v>7.25</v>
      </c>
      <c r="F19" s="646"/>
      <c r="G19" s="4"/>
      <c r="H19" s="441" t="s">
        <v>75</v>
      </c>
      <c r="I19" s="47">
        <v>0.25</v>
      </c>
      <c r="J19" s="319">
        <v>8</v>
      </c>
      <c r="K19" s="646"/>
      <c r="L19" s="4"/>
      <c r="M19" s="441" t="s">
        <v>83</v>
      </c>
      <c r="N19" s="47">
        <v>0.25</v>
      </c>
      <c r="O19" s="319">
        <v>7.5</v>
      </c>
      <c r="P19" s="646"/>
      <c r="R19" s="714"/>
      <c r="S19" s="714"/>
      <c r="T19" s="319">
        <v>0</v>
      </c>
      <c r="U19" s="646"/>
      <c r="W19" s="714"/>
      <c r="X19" s="714"/>
      <c r="Y19" s="319">
        <v>0</v>
      </c>
      <c r="Z19" s="646"/>
      <c r="AA19" s="328">
        <f t="shared" ref="AA19:AA27" si="0">(E19+J19+O19+T19+Y19)</f>
        <v>22.75</v>
      </c>
      <c r="AB19" s="298">
        <f t="shared" ref="AB19:AB27" si="1">Z19+U19+P19+K19+F19</f>
        <v>0</v>
      </c>
      <c r="AC19" s="4"/>
      <c r="AD19" s="587"/>
      <c r="AE19" s="531"/>
      <c r="AF19" s="319"/>
      <c r="AG19" s="328">
        <f t="shared" ref="AG19:AG28" si="2">AF19</f>
        <v>0</v>
      </c>
      <c r="AI19" s="368"/>
      <c r="AJ19" s="367"/>
      <c r="AK19" s="188" t="s">
        <v>30</v>
      </c>
      <c r="AL19" s="196">
        <f>AB43</f>
        <v>21.5</v>
      </c>
      <c r="AM19" s="511">
        <f>AM18*1.5</f>
        <v>60.465000000000003</v>
      </c>
      <c r="AN19" s="510">
        <f t="shared" ref="AN19:AN23" si="3">AL19*AM19</f>
        <v>1299.9975000000002</v>
      </c>
      <c r="AQ19" s="367"/>
      <c r="AR19" s="367"/>
      <c r="AS19" s="367"/>
      <c r="AT19" s="367"/>
      <c r="AU19" s="367"/>
      <c r="AV19" s="367"/>
      <c r="AW19" s="367"/>
    </row>
    <row r="20" spans="1:49">
      <c r="A20" s="367"/>
      <c r="B20" s="47" t="s">
        <v>515</v>
      </c>
      <c r="C20" s="47">
        <v>0.38541666666666669</v>
      </c>
      <c r="D20" s="47">
        <v>0.25</v>
      </c>
      <c r="E20" s="319">
        <v>7.75</v>
      </c>
      <c r="F20" s="646"/>
      <c r="G20" s="4"/>
      <c r="H20" s="441" t="s">
        <v>75</v>
      </c>
      <c r="I20" s="47">
        <v>0.25</v>
      </c>
      <c r="J20" s="319">
        <v>8</v>
      </c>
      <c r="K20" s="646"/>
      <c r="L20" s="4"/>
      <c r="M20" s="672" t="s">
        <v>75</v>
      </c>
      <c r="N20" s="315">
        <v>0.20833333333333334</v>
      </c>
      <c r="O20" s="715">
        <v>7</v>
      </c>
      <c r="P20" s="646"/>
      <c r="R20" s="714"/>
      <c r="S20" s="714"/>
      <c r="T20" s="319">
        <v>0</v>
      </c>
      <c r="U20" s="646"/>
      <c r="W20" s="714"/>
      <c r="X20" s="714"/>
      <c r="Y20" s="319">
        <v>0</v>
      </c>
      <c r="Z20" s="646"/>
      <c r="AA20" s="328">
        <f t="shared" si="0"/>
        <v>22.75</v>
      </c>
      <c r="AB20" s="298">
        <f t="shared" si="1"/>
        <v>0</v>
      </c>
      <c r="AC20" s="4"/>
      <c r="AF20" s="319"/>
      <c r="AG20" s="328">
        <f t="shared" si="2"/>
        <v>0</v>
      </c>
      <c r="AH20" s="175"/>
      <c r="AI20" s="402"/>
      <c r="AJ20" s="367"/>
      <c r="AK20" s="188" t="s">
        <v>32</v>
      </c>
      <c r="AL20" s="196">
        <f>AG43</f>
        <v>0</v>
      </c>
      <c r="AM20" s="510">
        <v>60.465000000000003</v>
      </c>
      <c r="AN20" s="510">
        <f t="shared" si="3"/>
        <v>0</v>
      </c>
      <c r="AQ20" s="367"/>
      <c r="AR20" s="367"/>
      <c r="AS20" s="367"/>
      <c r="AT20" s="367"/>
      <c r="AU20" s="367"/>
      <c r="AV20" s="367"/>
      <c r="AW20" s="367"/>
    </row>
    <row r="21" spans="1:49">
      <c r="A21" s="367"/>
      <c r="B21" s="441" t="s">
        <v>962</v>
      </c>
      <c r="C21" s="47">
        <v>0.38541666666666669</v>
      </c>
      <c r="D21" s="47">
        <v>0.25</v>
      </c>
      <c r="E21" s="319">
        <v>7.75</v>
      </c>
      <c r="F21" s="646"/>
      <c r="G21" s="4"/>
      <c r="H21" s="441" t="s">
        <v>75</v>
      </c>
      <c r="I21" s="47">
        <v>0.25</v>
      </c>
      <c r="J21" s="319">
        <v>8</v>
      </c>
      <c r="K21" s="646"/>
      <c r="L21" s="4"/>
      <c r="M21" s="441" t="s">
        <v>75</v>
      </c>
      <c r="N21" s="47">
        <v>0.25</v>
      </c>
      <c r="O21" s="319">
        <v>8</v>
      </c>
      <c r="P21" s="646"/>
      <c r="R21" s="47">
        <v>0.375</v>
      </c>
      <c r="S21" s="47">
        <v>0.25</v>
      </c>
      <c r="T21" s="319">
        <v>8</v>
      </c>
      <c r="U21" s="646"/>
      <c r="W21" s="714"/>
      <c r="X21" s="714"/>
      <c r="Y21" s="319">
        <v>0</v>
      </c>
      <c r="Z21" s="646"/>
      <c r="AA21" s="328">
        <f t="shared" si="0"/>
        <v>31.75</v>
      </c>
      <c r="AB21" s="298">
        <f t="shared" si="1"/>
        <v>0</v>
      </c>
      <c r="AC21" s="399"/>
      <c r="AD21" s="47"/>
      <c r="AE21" s="47"/>
      <c r="AF21" s="319"/>
      <c r="AG21" s="328">
        <f t="shared" si="2"/>
        <v>0</v>
      </c>
      <c r="AH21" s="175"/>
      <c r="AJ21" s="401"/>
      <c r="AK21" s="403" t="s">
        <v>213</v>
      </c>
      <c r="AL21" s="404">
        <f>AA45</f>
        <v>40</v>
      </c>
      <c r="AM21" s="510">
        <v>53.05</v>
      </c>
      <c r="AN21" s="510">
        <f t="shared" si="3"/>
        <v>2122</v>
      </c>
      <c r="AO21" s="405"/>
      <c r="AP21" s="405"/>
      <c r="AQ21" s="367"/>
      <c r="AR21" s="401"/>
      <c r="AS21" s="401"/>
      <c r="AT21" s="401"/>
      <c r="AU21" s="401"/>
      <c r="AV21" s="401"/>
      <c r="AW21" s="401"/>
    </row>
    <row r="22" spans="1:49">
      <c r="A22" s="367"/>
      <c r="B22" s="47" t="s">
        <v>1112</v>
      </c>
      <c r="C22" s="47">
        <v>0.38541666666666669</v>
      </c>
      <c r="D22" s="47">
        <v>0.25</v>
      </c>
      <c r="E22" s="319">
        <v>7.75</v>
      </c>
      <c r="F22" s="646"/>
      <c r="G22" s="4"/>
      <c r="H22" s="441" t="s">
        <v>75</v>
      </c>
      <c r="I22" s="47">
        <v>0.25</v>
      </c>
      <c r="J22" s="319">
        <v>8</v>
      </c>
      <c r="K22" s="646"/>
      <c r="L22" s="4"/>
      <c r="M22" s="441" t="s">
        <v>75</v>
      </c>
      <c r="N22" s="47">
        <v>0.25</v>
      </c>
      <c r="O22" s="319">
        <v>8</v>
      </c>
      <c r="P22" s="646"/>
      <c r="R22" s="47">
        <v>0.375</v>
      </c>
      <c r="S22" s="47">
        <v>0.25</v>
      </c>
      <c r="T22" s="319">
        <v>8</v>
      </c>
      <c r="U22" s="646"/>
      <c r="W22" s="441" t="s">
        <v>75</v>
      </c>
      <c r="X22" s="47">
        <v>0.25</v>
      </c>
      <c r="Y22" s="319">
        <v>8</v>
      </c>
      <c r="Z22" s="646"/>
      <c r="AA22" s="328">
        <f t="shared" si="0"/>
        <v>39.75</v>
      </c>
      <c r="AB22" s="298">
        <f t="shared" si="1"/>
        <v>0</v>
      </c>
      <c r="AC22" s="4"/>
      <c r="AD22" s="47"/>
      <c r="AE22" s="47"/>
      <c r="AF22" s="319"/>
      <c r="AG22" s="328">
        <f t="shared" si="2"/>
        <v>0</v>
      </c>
      <c r="AH22" s="175"/>
      <c r="AI22" s="368"/>
      <c r="AK22" s="188" t="s">
        <v>36</v>
      </c>
      <c r="AL22" s="196">
        <f>AB45</f>
        <v>5.5</v>
      </c>
      <c r="AM22" s="510">
        <f>AM21*1.5</f>
        <v>79.574999999999989</v>
      </c>
      <c r="AN22" s="510">
        <f t="shared" si="3"/>
        <v>437.66249999999991</v>
      </c>
      <c r="AQ22" s="367"/>
    </row>
    <row r="23" spans="1:49" s="4" customFormat="1">
      <c r="A23" s="180"/>
      <c r="B23" s="436" t="s">
        <v>972</v>
      </c>
      <c r="C23" s="47">
        <v>0.375</v>
      </c>
      <c r="D23" s="47">
        <v>0.25</v>
      </c>
      <c r="E23" s="319">
        <v>8</v>
      </c>
      <c r="F23" s="646"/>
      <c r="H23" s="441" t="s">
        <v>136</v>
      </c>
      <c r="I23" s="47">
        <v>0.25</v>
      </c>
      <c r="J23" s="319">
        <v>8</v>
      </c>
      <c r="K23" s="646">
        <v>4</v>
      </c>
      <c r="M23" s="441" t="s">
        <v>75</v>
      </c>
      <c r="N23" s="47">
        <v>0.25</v>
      </c>
      <c r="O23" s="319">
        <v>8</v>
      </c>
      <c r="P23" s="646"/>
      <c r="R23" s="47">
        <v>0.375</v>
      </c>
      <c r="S23" s="47">
        <v>0.25</v>
      </c>
      <c r="T23" s="319">
        <v>8</v>
      </c>
      <c r="U23" s="646"/>
      <c r="W23" s="441" t="s">
        <v>75</v>
      </c>
      <c r="X23" s="47">
        <v>0.25</v>
      </c>
      <c r="Y23" s="319">
        <v>8</v>
      </c>
      <c r="Z23" s="646"/>
      <c r="AA23" s="328">
        <f t="shared" si="0"/>
        <v>40</v>
      </c>
      <c r="AB23" s="298">
        <f t="shared" si="1"/>
        <v>4</v>
      </c>
      <c r="AD23" s="47"/>
      <c r="AE23" s="47"/>
      <c r="AF23" s="319"/>
      <c r="AG23" s="328">
        <f t="shared" si="2"/>
        <v>0</v>
      </c>
      <c r="AI23" s="255"/>
      <c r="AJ23" s="180"/>
      <c r="AK23" s="188" t="s">
        <v>38</v>
      </c>
      <c r="AL23" s="196">
        <f>AG45</f>
        <v>0</v>
      </c>
      <c r="AM23" s="510">
        <v>79.574999999999989</v>
      </c>
      <c r="AN23" s="510">
        <f t="shared" si="3"/>
        <v>0</v>
      </c>
      <c r="AO23" s="193"/>
      <c r="AP23" s="193"/>
      <c r="AQ23" s="367"/>
      <c r="AR23" s="180"/>
      <c r="AS23" s="180"/>
      <c r="AT23" s="180"/>
      <c r="AU23" s="180"/>
      <c r="AV23" s="180"/>
      <c r="AW23" s="180"/>
    </row>
    <row r="24" spans="1:49" s="4" customFormat="1">
      <c r="A24" s="180"/>
      <c r="B24" s="47" t="s">
        <v>974</v>
      </c>
      <c r="C24" s="47">
        <v>0.375</v>
      </c>
      <c r="D24" s="47">
        <v>0.25</v>
      </c>
      <c r="E24" s="319">
        <v>8</v>
      </c>
      <c r="F24" s="646"/>
      <c r="H24" s="441" t="s">
        <v>136</v>
      </c>
      <c r="I24" s="47">
        <v>0.20833333333333334</v>
      </c>
      <c r="J24" s="319">
        <v>8</v>
      </c>
      <c r="K24" s="646">
        <v>3</v>
      </c>
      <c r="M24" s="441" t="s">
        <v>75</v>
      </c>
      <c r="N24" s="47">
        <v>0.25</v>
      </c>
      <c r="O24" s="319">
        <v>8</v>
      </c>
      <c r="P24" s="646"/>
      <c r="R24" s="47">
        <v>0.375</v>
      </c>
      <c r="S24" s="47">
        <v>0.25</v>
      </c>
      <c r="T24" s="319">
        <v>8</v>
      </c>
      <c r="U24" s="646"/>
      <c r="W24" s="441" t="s">
        <v>75</v>
      </c>
      <c r="X24" s="47">
        <v>0.25</v>
      </c>
      <c r="Y24" s="319">
        <v>8</v>
      </c>
      <c r="Z24" s="646"/>
      <c r="AA24" s="328">
        <f t="shared" si="0"/>
        <v>40</v>
      </c>
      <c r="AB24" s="298">
        <f t="shared" si="1"/>
        <v>3</v>
      </c>
      <c r="AD24" s="47"/>
      <c r="AE24" s="47"/>
      <c r="AF24" s="319"/>
      <c r="AG24" s="328">
        <f t="shared" si="2"/>
        <v>0</v>
      </c>
      <c r="AI24" s="255"/>
      <c r="AJ24" s="180"/>
      <c r="AK24" s="193"/>
      <c r="AL24" s="193"/>
      <c r="AM24" s="193"/>
      <c r="AN24" s="510">
        <f>SUM(AN18:AN23)</f>
        <v>28793.410499999998</v>
      </c>
      <c r="AO24" s="193"/>
      <c r="AP24" s="193"/>
      <c r="AQ24" s="180"/>
      <c r="AR24" s="180"/>
      <c r="AS24" s="180"/>
      <c r="AT24" s="180"/>
      <c r="AU24" s="180"/>
      <c r="AV24" s="180"/>
      <c r="AW24" s="180"/>
    </row>
    <row r="25" spans="1:49" s="4" customFormat="1">
      <c r="A25" s="180"/>
      <c r="B25" s="374" t="s">
        <v>998</v>
      </c>
      <c r="C25" s="47">
        <v>0.375</v>
      </c>
      <c r="D25" s="47">
        <v>0.25</v>
      </c>
      <c r="E25" s="319">
        <v>8</v>
      </c>
      <c r="F25" s="646"/>
      <c r="H25" s="441" t="s">
        <v>75</v>
      </c>
      <c r="I25" s="47">
        <v>0.25</v>
      </c>
      <c r="J25" s="319">
        <v>8</v>
      </c>
      <c r="K25" s="646"/>
      <c r="M25" s="441" t="s">
        <v>75</v>
      </c>
      <c r="N25" s="47">
        <v>0.25</v>
      </c>
      <c r="O25" s="319">
        <v>8</v>
      </c>
      <c r="P25" s="646"/>
      <c r="R25" s="47">
        <v>0.375</v>
      </c>
      <c r="S25" s="47">
        <v>0.25</v>
      </c>
      <c r="T25" s="319">
        <v>8</v>
      </c>
      <c r="U25" s="646"/>
      <c r="W25" s="441" t="s">
        <v>75</v>
      </c>
      <c r="X25" s="47">
        <v>0.25</v>
      </c>
      <c r="Y25" s="319">
        <v>8</v>
      </c>
      <c r="Z25" s="646"/>
      <c r="AA25" s="328">
        <f t="shared" si="0"/>
        <v>40</v>
      </c>
      <c r="AB25" s="298">
        <f t="shared" si="1"/>
        <v>0</v>
      </c>
      <c r="AD25" s="47"/>
      <c r="AE25" s="47"/>
      <c r="AF25" s="319"/>
      <c r="AG25" s="328">
        <f t="shared" si="2"/>
        <v>0</v>
      </c>
      <c r="AI25" s="255"/>
      <c r="AJ25" s="180"/>
      <c r="AK25" s="193"/>
      <c r="AL25" s="193"/>
      <c r="AM25" s="193"/>
      <c r="AN25" s="193"/>
      <c r="AO25" s="193"/>
      <c r="AP25" s="193"/>
      <c r="AQ25" s="180"/>
      <c r="AR25" s="180"/>
      <c r="AS25" s="180"/>
      <c r="AT25" s="180"/>
      <c r="AU25" s="180"/>
      <c r="AV25" s="180"/>
      <c r="AW25" s="180"/>
    </row>
    <row r="26" spans="1:49" s="4" customFormat="1">
      <c r="A26" s="180"/>
      <c r="B26" s="47" t="s">
        <v>977</v>
      </c>
      <c r="C26" s="47">
        <v>0.375</v>
      </c>
      <c r="D26" s="47">
        <v>0.25</v>
      </c>
      <c r="E26" s="319">
        <v>8</v>
      </c>
      <c r="F26" s="646"/>
      <c r="H26" s="441" t="s">
        <v>75</v>
      </c>
      <c r="I26" s="47">
        <v>0.25</v>
      </c>
      <c r="J26" s="319">
        <v>8</v>
      </c>
      <c r="K26" s="646"/>
      <c r="M26" s="441" t="s">
        <v>75</v>
      </c>
      <c r="N26" s="47">
        <v>0.25</v>
      </c>
      <c r="O26" s="319">
        <v>8</v>
      </c>
      <c r="P26" s="646"/>
      <c r="R26" s="47">
        <v>0.375</v>
      </c>
      <c r="S26" s="47">
        <v>0.25</v>
      </c>
      <c r="T26" s="319">
        <v>8</v>
      </c>
      <c r="U26" s="646"/>
      <c r="W26" s="441" t="s">
        <v>75</v>
      </c>
      <c r="X26" s="47">
        <v>0.25</v>
      </c>
      <c r="Y26" s="319">
        <v>8</v>
      </c>
      <c r="Z26" s="646"/>
      <c r="AA26" s="328">
        <f t="shared" si="0"/>
        <v>40</v>
      </c>
      <c r="AB26" s="298">
        <f t="shared" si="1"/>
        <v>0</v>
      </c>
      <c r="AD26" s="47"/>
      <c r="AE26" s="47"/>
      <c r="AF26" s="319"/>
      <c r="AG26" s="328">
        <f t="shared" si="2"/>
        <v>0</v>
      </c>
      <c r="AI26" s="255"/>
      <c r="AJ26" s="180"/>
      <c r="AK26" s="193"/>
      <c r="AL26" s="193"/>
      <c r="AM26" s="193"/>
      <c r="AN26" s="193"/>
      <c r="AO26" s="193"/>
      <c r="AP26" s="193"/>
      <c r="AQ26" s="180"/>
      <c r="AR26" s="180"/>
      <c r="AS26" s="180"/>
      <c r="AT26" s="180"/>
      <c r="AU26" s="180"/>
      <c r="AV26" s="180"/>
      <c r="AW26" s="180"/>
    </row>
    <row r="27" spans="1:49" s="4" customFormat="1">
      <c r="A27" s="180"/>
      <c r="B27" s="47" t="s">
        <v>519</v>
      </c>
      <c r="C27" s="47">
        <v>0.38541666666666669</v>
      </c>
      <c r="D27" s="47">
        <v>0.25</v>
      </c>
      <c r="E27" s="319">
        <v>7.75</v>
      </c>
      <c r="F27" s="646"/>
      <c r="H27" s="441" t="s">
        <v>125</v>
      </c>
      <c r="I27" s="47">
        <v>0.20833333333333334</v>
      </c>
      <c r="J27" s="319">
        <v>8</v>
      </c>
      <c r="K27" s="646"/>
      <c r="M27" s="441" t="s">
        <v>212</v>
      </c>
      <c r="N27" s="47">
        <v>0.25</v>
      </c>
      <c r="O27" s="319">
        <v>7.75</v>
      </c>
      <c r="P27" s="646"/>
      <c r="R27" s="47">
        <v>0.375</v>
      </c>
      <c r="S27" s="47">
        <v>0.25</v>
      </c>
      <c r="T27" s="319">
        <v>8</v>
      </c>
      <c r="U27" s="646"/>
      <c r="W27" s="441" t="s">
        <v>75</v>
      </c>
      <c r="X27" s="47">
        <v>0.25</v>
      </c>
      <c r="Y27" s="319">
        <v>8</v>
      </c>
      <c r="Z27" s="646"/>
      <c r="AA27" s="328">
        <f t="shared" si="0"/>
        <v>39.5</v>
      </c>
      <c r="AB27" s="298">
        <f t="shared" si="1"/>
        <v>0</v>
      </c>
      <c r="AD27" s="47"/>
      <c r="AE27" s="47"/>
      <c r="AF27" s="319"/>
      <c r="AG27" s="328">
        <f t="shared" si="2"/>
        <v>0</v>
      </c>
      <c r="AI27" s="255"/>
      <c r="AJ27" s="180"/>
      <c r="AK27" s="193"/>
      <c r="AL27" s="193"/>
      <c r="AM27" s="193"/>
      <c r="AN27" s="193"/>
      <c r="AO27" s="193"/>
      <c r="AP27" s="193"/>
      <c r="AQ27" s="180"/>
      <c r="AR27" s="180"/>
      <c r="AS27" s="180"/>
      <c r="AT27" s="180"/>
      <c r="AU27" s="180"/>
      <c r="AV27" s="180"/>
      <c r="AW27" s="180"/>
    </row>
    <row r="28" spans="1:49" s="4" customFormat="1">
      <c r="A28" s="180"/>
      <c r="B28" s="47" t="s">
        <v>999</v>
      </c>
      <c r="C28" s="714"/>
      <c r="D28" s="714"/>
      <c r="E28" s="319">
        <v>0</v>
      </c>
      <c r="F28" s="646"/>
      <c r="H28" s="714"/>
      <c r="I28" s="714"/>
      <c r="J28" s="319">
        <v>0</v>
      </c>
      <c r="K28" s="646"/>
      <c r="M28" s="714"/>
      <c r="N28" s="714"/>
      <c r="O28" s="319">
        <v>0</v>
      </c>
      <c r="P28" s="646"/>
      <c r="R28" s="714"/>
      <c r="S28" s="714"/>
      <c r="T28" s="319">
        <v>0</v>
      </c>
      <c r="U28" s="646"/>
      <c r="W28" s="714"/>
      <c r="X28" s="714"/>
      <c r="Y28" s="319">
        <v>0</v>
      </c>
      <c r="Z28" s="646"/>
      <c r="AA28" s="328">
        <f t="shared" ref="AA28" si="4">(E28+J28+O28+T28+Y28)</f>
        <v>0</v>
      </c>
      <c r="AB28" s="298">
        <f t="shared" ref="AB28" si="5">Z28+U28+P28+K28+F28</f>
        <v>0</v>
      </c>
      <c r="AD28" s="47"/>
      <c r="AE28" s="47"/>
      <c r="AF28" s="319"/>
      <c r="AG28" s="328">
        <f t="shared" si="2"/>
        <v>0</v>
      </c>
      <c r="AI28" s="255"/>
      <c r="AJ28" s="180"/>
      <c r="AK28" s="193"/>
      <c r="AL28" s="193"/>
      <c r="AM28" s="193"/>
      <c r="AN28" s="193"/>
      <c r="AO28" s="193"/>
      <c r="AP28" s="193"/>
      <c r="AQ28" s="180"/>
      <c r="AR28" s="180"/>
      <c r="AS28" s="180"/>
      <c r="AT28" s="180"/>
      <c r="AU28" s="180"/>
      <c r="AV28" s="180"/>
      <c r="AW28" s="180"/>
    </row>
    <row r="29" spans="1:49" s="4" customFormat="1">
      <c r="A29" s="180"/>
      <c r="B29" s="47" t="s">
        <v>1113</v>
      </c>
      <c r="C29" s="47">
        <v>0.40625</v>
      </c>
      <c r="D29" s="47">
        <v>0.25</v>
      </c>
      <c r="E29" s="319">
        <v>7.25</v>
      </c>
      <c r="F29" s="646"/>
      <c r="H29" s="441" t="s">
        <v>75</v>
      </c>
      <c r="I29" s="47">
        <v>0.25</v>
      </c>
      <c r="J29" s="319">
        <v>8</v>
      </c>
      <c r="K29" s="646"/>
      <c r="M29" s="441" t="s">
        <v>249</v>
      </c>
      <c r="N29" s="47">
        <v>0.25</v>
      </c>
      <c r="O29" s="319">
        <v>7</v>
      </c>
      <c r="P29" s="646"/>
      <c r="R29" s="47">
        <v>0.375</v>
      </c>
      <c r="S29" s="47" t="s">
        <v>1114</v>
      </c>
      <c r="T29" s="178">
        <v>8</v>
      </c>
      <c r="U29" s="646"/>
      <c r="W29" s="714"/>
      <c r="X29" s="714"/>
      <c r="Y29" s="319">
        <v>0</v>
      </c>
      <c r="Z29" s="646"/>
      <c r="AA29" s="328">
        <f t="shared" ref="AA29:AA42" si="6">(E29+J29+O29+T29+Y29)</f>
        <v>30.25</v>
      </c>
      <c r="AB29" s="298">
        <f t="shared" ref="AB29:AB42" si="7">Z29+U29+P29+K29+F29</f>
        <v>0</v>
      </c>
      <c r="AD29" s="47"/>
      <c r="AE29" s="47"/>
      <c r="AF29" s="319"/>
      <c r="AG29" s="328">
        <f t="shared" ref="AG29:AG42" si="8">AF29</f>
        <v>0</v>
      </c>
      <c r="AI29" s="255"/>
      <c r="AJ29" s="180"/>
      <c r="AK29" s="193"/>
      <c r="AL29" s="193"/>
      <c r="AM29" s="193"/>
      <c r="AN29" s="193"/>
      <c r="AO29" s="193"/>
      <c r="AP29" s="193"/>
      <c r="AQ29" s="180"/>
      <c r="AR29" s="180"/>
      <c r="AS29" s="180"/>
      <c r="AT29" s="180"/>
      <c r="AU29" s="180"/>
      <c r="AV29" s="180"/>
      <c r="AW29" s="180"/>
    </row>
    <row r="30" spans="1:49" s="4" customFormat="1">
      <c r="A30" s="180"/>
      <c r="B30" s="502" t="s">
        <v>483</v>
      </c>
      <c r="C30" s="47"/>
      <c r="D30" s="47"/>
      <c r="E30" s="319"/>
      <c r="F30" s="646"/>
      <c r="H30" s="5"/>
      <c r="I30" s="5"/>
      <c r="J30" s="319"/>
      <c r="K30" s="646"/>
      <c r="M30" s="441"/>
      <c r="N30" s="47"/>
      <c r="O30" s="319"/>
      <c r="P30" s="646"/>
      <c r="R30" s="47"/>
      <c r="S30" s="47"/>
      <c r="T30" s="319"/>
      <c r="U30" s="646"/>
      <c r="W30" s="441"/>
      <c r="X30" s="441"/>
      <c r="Y30" s="319"/>
      <c r="Z30" s="646"/>
      <c r="AA30" s="328">
        <f t="shared" si="6"/>
        <v>0</v>
      </c>
      <c r="AB30" s="298">
        <f t="shared" si="7"/>
        <v>0</v>
      </c>
      <c r="AD30" s="47"/>
      <c r="AE30" s="47"/>
      <c r="AF30" s="319"/>
      <c r="AG30" s="328">
        <f t="shared" si="8"/>
        <v>0</v>
      </c>
      <c r="AI30" s="255"/>
      <c r="AJ30" s="180"/>
      <c r="AK30" s="193"/>
      <c r="AL30" s="193"/>
      <c r="AM30" s="193"/>
      <c r="AN30" s="193"/>
      <c r="AO30" s="193"/>
      <c r="AP30" s="193"/>
      <c r="AQ30" s="180"/>
      <c r="AR30" s="180"/>
      <c r="AS30" s="180"/>
      <c r="AT30" s="180"/>
      <c r="AU30" s="180"/>
      <c r="AV30" s="180"/>
      <c r="AW30" s="180"/>
    </row>
    <row r="31" spans="1:49" s="4" customFormat="1">
      <c r="A31" s="180"/>
      <c r="B31" s="502" t="s">
        <v>483</v>
      </c>
      <c r="C31" s="47"/>
      <c r="D31" s="47"/>
      <c r="E31" s="319">
        <v>8</v>
      </c>
      <c r="F31" s="646">
        <v>0.25</v>
      </c>
      <c r="H31" s="47"/>
      <c r="I31" s="47"/>
      <c r="J31" s="319">
        <v>8</v>
      </c>
      <c r="K31" s="646">
        <v>1.75</v>
      </c>
      <c r="M31" s="441"/>
      <c r="N31" s="47"/>
      <c r="O31" s="319">
        <v>7.5</v>
      </c>
      <c r="P31" s="646"/>
      <c r="R31" s="47"/>
      <c r="S31" s="47"/>
      <c r="T31" s="319">
        <v>8</v>
      </c>
      <c r="U31" s="646">
        <v>1.75</v>
      </c>
      <c r="W31" s="441"/>
      <c r="X31" s="441"/>
      <c r="Y31" s="319">
        <v>8</v>
      </c>
      <c r="Z31" s="646">
        <v>0.25</v>
      </c>
      <c r="AA31" s="328">
        <f t="shared" si="6"/>
        <v>39.5</v>
      </c>
      <c r="AB31" s="298">
        <f t="shared" si="7"/>
        <v>4</v>
      </c>
      <c r="AD31" s="47"/>
      <c r="AE31" s="47"/>
      <c r="AF31" s="319"/>
      <c r="AG31" s="328">
        <f t="shared" si="8"/>
        <v>0</v>
      </c>
      <c r="AI31" s="255"/>
      <c r="AJ31" s="180"/>
      <c r="AK31" s="193"/>
      <c r="AL31" s="193"/>
      <c r="AM31" s="193"/>
      <c r="AN31" s="193"/>
      <c r="AO31" s="193"/>
      <c r="AP31" s="193"/>
      <c r="AQ31" s="180"/>
      <c r="AR31" s="180"/>
      <c r="AS31" s="180"/>
      <c r="AT31" s="180"/>
      <c r="AU31" s="180"/>
      <c r="AV31" s="180"/>
      <c r="AW31" s="180"/>
    </row>
    <row r="32" spans="1:49" s="4" customFormat="1">
      <c r="A32" s="180"/>
      <c r="B32" s="502" t="s">
        <v>484</v>
      </c>
      <c r="C32" s="47"/>
      <c r="D32" s="47"/>
      <c r="E32" s="319">
        <v>8</v>
      </c>
      <c r="F32" s="646">
        <v>0.25</v>
      </c>
      <c r="H32" s="47"/>
      <c r="I32" s="47"/>
      <c r="J32" s="319">
        <v>8</v>
      </c>
      <c r="K32" s="646">
        <v>1.75</v>
      </c>
      <c r="M32" s="441"/>
      <c r="N32" s="47"/>
      <c r="O32" s="319">
        <v>8</v>
      </c>
      <c r="P32" s="646">
        <v>0.5</v>
      </c>
      <c r="R32" s="47"/>
      <c r="S32" s="47"/>
      <c r="T32" s="319">
        <v>8</v>
      </c>
      <c r="U32" s="646">
        <v>1.75</v>
      </c>
      <c r="W32" s="47"/>
      <c r="X32" s="47"/>
      <c r="Y32" s="319">
        <v>8</v>
      </c>
      <c r="Z32" s="646">
        <v>0.25</v>
      </c>
      <c r="AA32" s="328">
        <f t="shared" si="6"/>
        <v>40</v>
      </c>
      <c r="AB32" s="298">
        <f t="shared" si="7"/>
        <v>4.5</v>
      </c>
      <c r="AD32" s="47"/>
      <c r="AE32" s="47"/>
      <c r="AF32" s="319"/>
      <c r="AG32" s="328">
        <f t="shared" si="8"/>
        <v>0</v>
      </c>
      <c r="AI32" s="255"/>
      <c r="AJ32" s="180"/>
      <c r="AK32" s="193"/>
      <c r="AL32" s="193"/>
      <c r="AM32" s="193"/>
      <c r="AN32" s="193"/>
      <c r="AO32" s="193"/>
      <c r="AP32" s="193"/>
      <c r="AQ32" s="180"/>
      <c r="AR32" s="180"/>
      <c r="AS32" s="180"/>
      <c r="AT32" s="180"/>
      <c r="AU32" s="180"/>
      <c r="AV32" s="180"/>
      <c r="AW32" s="180"/>
    </row>
    <row r="33" spans="1:49" s="4" customFormat="1">
      <c r="A33" s="180"/>
      <c r="B33" s="502" t="s">
        <v>485</v>
      </c>
      <c r="C33" s="47"/>
      <c r="D33" s="47"/>
      <c r="E33" s="319">
        <v>8</v>
      </c>
      <c r="F33" s="646">
        <v>0.25</v>
      </c>
      <c r="H33" s="47"/>
      <c r="I33" s="47"/>
      <c r="J33" s="319">
        <v>8</v>
      </c>
      <c r="K33" s="646">
        <v>1.75</v>
      </c>
      <c r="M33" s="441"/>
      <c r="N33" s="47"/>
      <c r="O33" s="319">
        <v>8</v>
      </c>
      <c r="P33" s="646">
        <v>0.5</v>
      </c>
      <c r="R33" s="47"/>
      <c r="S33" s="47"/>
      <c r="T33" s="319">
        <v>8</v>
      </c>
      <c r="U33" s="646">
        <v>1.75</v>
      </c>
      <c r="W33" s="47"/>
      <c r="X33" s="47"/>
      <c r="Y33" s="319">
        <v>8</v>
      </c>
      <c r="Z33" s="646">
        <v>0.25</v>
      </c>
      <c r="AA33" s="328">
        <f t="shared" si="6"/>
        <v>40</v>
      </c>
      <c r="AB33" s="298">
        <f t="shared" si="7"/>
        <v>4.5</v>
      </c>
      <c r="AD33" s="47"/>
      <c r="AE33" s="47"/>
      <c r="AF33" s="319"/>
      <c r="AG33" s="328">
        <f t="shared" si="8"/>
        <v>0</v>
      </c>
      <c r="AI33" s="255"/>
      <c r="AJ33" s="180"/>
      <c r="AK33" s="193"/>
      <c r="AL33" s="193"/>
      <c r="AM33" s="193"/>
      <c r="AN33" s="193"/>
      <c r="AO33" s="193"/>
      <c r="AP33" s="193"/>
      <c r="AQ33" s="180"/>
      <c r="AR33" s="180"/>
      <c r="AS33" s="180"/>
      <c r="AT33" s="180"/>
      <c r="AU33" s="180"/>
      <c r="AV33" s="180"/>
      <c r="AW33" s="180"/>
    </row>
    <row r="34" spans="1:49" s="4" customFormat="1">
      <c r="A34" s="180"/>
      <c r="B34" s="502" t="s">
        <v>486</v>
      </c>
      <c r="C34" s="47"/>
      <c r="D34" s="47"/>
      <c r="E34" s="319"/>
      <c r="F34" s="646"/>
      <c r="H34" s="5"/>
      <c r="I34" s="5"/>
      <c r="J34" s="319"/>
      <c r="K34" s="646"/>
      <c r="M34" s="5"/>
      <c r="N34" s="5"/>
      <c r="O34" s="319"/>
      <c r="P34" s="646"/>
      <c r="R34" s="5"/>
      <c r="S34" s="5"/>
      <c r="T34" s="319"/>
      <c r="U34" s="646"/>
      <c r="W34" s="5"/>
      <c r="X34" s="5"/>
      <c r="Y34" s="319"/>
      <c r="Z34" s="646"/>
      <c r="AA34" s="328">
        <f t="shared" si="6"/>
        <v>0</v>
      </c>
      <c r="AB34" s="298">
        <f t="shared" si="7"/>
        <v>0</v>
      </c>
      <c r="AD34" s="47"/>
      <c r="AE34" s="47"/>
      <c r="AF34" s="319"/>
      <c r="AG34" s="328">
        <f t="shared" si="8"/>
        <v>0</v>
      </c>
      <c r="AI34" s="255"/>
      <c r="AJ34" s="180"/>
      <c r="AK34" s="193"/>
      <c r="AL34" s="193"/>
      <c r="AM34" s="193"/>
      <c r="AN34" s="193"/>
      <c r="AO34" s="193"/>
      <c r="AP34" s="193"/>
      <c r="AQ34" s="180"/>
      <c r="AR34" s="180"/>
      <c r="AS34" s="180"/>
      <c r="AT34" s="180"/>
      <c r="AU34" s="180"/>
      <c r="AV34" s="180"/>
      <c r="AW34" s="180"/>
    </row>
    <row r="35" spans="1:49" s="4" customFormat="1">
      <c r="A35" s="180"/>
      <c r="B35" s="63" t="s">
        <v>63</v>
      </c>
      <c r="C35" s="47"/>
      <c r="D35" s="47"/>
      <c r="E35" s="319">
        <v>8</v>
      </c>
      <c r="F35" s="646">
        <v>1</v>
      </c>
      <c r="H35" s="663"/>
      <c r="I35" s="663"/>
      <c r="J35" s="319">
        <v>8</v>
      </c>
      <c r="K35" s="646">
        <v>0.5</v>
      </c>
      <c r="M35" s="47"/>
      <c r="N35" s="47"/>
      <c r="O35" s="319">
        <v>8</v>
      </c>
      <c r="P35" s="646"/>
      <c r="R35" s="663"/>
      <c r="S35" s="663"/>
      <c r="T35" s="319">
        <v>8</v>
      </c>
      <c r="U35" s="646"/>
      <c r="W35" s="663"/>
      <c r="X35" s="663"/>
      <c r="Y35" s="319">
        <v>8</v>
      </c>
      <c r="Z35" s="646"/>
      <c r="AA35" s="328">
        <f t="shared" si="6"/>
        <v>40</v>
      </c>
      <c r="AB35" s="298">
        <f t="shared" si="7"/>
        <v>1.5</v>
      </c>
      <c r="AD35" s="47"/>
      <c r="AE35" s="47"/>
      <c r="AF35" s="319"/>
      <c r="AG35" s="328">
        <f t="shared" si="8"/>
        <v>0</v>
      </c>
      <c r="AI35" s="255"/>
      <c r="AJ35" s="180"/>
      <c r="AK35" s="193"/>
      <c r="AL35" s="193"/>
      <c r="AM35" s="193"/>
      <c r="AN35" s="193"/>
      <c r="AO35" s="193"/>
      <c r="AP35" s="193"/>
      <c r="AQ35" s="180"/>
      <c r="AR35" s="180"/>
      <c r="AS35" s="180"/>
      <c r="AT35" s="180"/>
      <c r="AU35" s="180"/>
      <c r="AV35" s="180"/>
      <c r="AW35" s="180"/>
    </row>
    <row r="36" spans="1:49" s="4" customFormat="1">
      <c r="A36" s="180"/>
      <c r="B36" s="267" t="s">
        <v>358</v>
      </c>
      <c r="C36" s="663"/>
      <c r="D36" s="663"/>
      <c r="E36" s="319">
        <v>6</v>
      </c>
      <c r="F36" s="646"/>
      <c r="G36" s="438"/>
      <c r="H36" s="663"/>
      <c r="I36" s="663"/>
      <c r="J36" s="319">
        <v>6</v>
      </c>
      <c r="K36" s="646"/>
      <c r="L36" s="438"/>
      <c r="M36" s="663"/>
      <c r="N36" s="663"/>
      <c r="O36" s="319">
        <v>6</v>
      </c>
      <c r="P36" s="646"/>
      <c r="Q36" s="438"/>
      <c r="R36" s="663"/>
      <c r="S36" s="663"/>
      <c r="T36" s="319">
        <v>6</v>
      </c>
      <c r="U36" s="646"/>
      <c r="V36" s="438"/>
      <c r="W36" s="663"/>
      <c r="X36" s="663"/>
      <c r="Y36" s="319">
        <v>6</v>
      </c>
      <c r="Z36" s="646"/>
      <c r="AA36" s="328">
        <f t="shared" si="6"/>
        <v>30</v>
      </c>
      <c r="AB36" s="298">
        <f t="shared" si="7"/>
        <v>0</v>
      </c>
      <c r="AD36" s="47"/>
      <c r="AE36" s="47"/>
      <c r="AF36" s="319"/>
      <c r="AG36" s="328">
        <f t="shared" si="8"/>
        <v>0</v>
      </c>
      <c r="AI36" s="255"/>
      <c r="AJ36" s="180"/>
      <c r="AK36" s="193"/>
      <c r="AL36" s="193"/>
      <c r="AM36" s="193"/>
      <c r="AN36" s="193"/>
      <c r="AO36" s="193"/>
      <c r="AP36" s="193"/>
      <c r="AQ36" s="180"/>
      <c r="AR36" s="180"/>
      <c r="AS36" s="180"/>
      <c r="AT36" s="180"/>
      <c r="AU36" s="180"/>
      <c r="AV36" s="180"/>
      <c r="AW36" s="180"/>
    </row>
    <row r="37" spans="1:49" s="193" customFormat="1">
      <c r="A37" s="180"/>
      <c r="B37" s="267" t="s">
        <v>991</v>
      </c>
      <c r="C37" s="5"/>
      <c r="D37" s="5"/>
      <c r="E37" s="319"/>
      <c r="F37" s="646"/>
      <c r="G37" s="438"/>
      <c r="H37" s="5"/>
      <c r="I37" s="5"/>
      <c r="J37" s="319"/>
      <c r="K37" s="646"/>
      <c r="L37" s="438"/>
      <c r="M37" s="5"/>
      <c r="N37" s="5"/>
      <c r="O37" s="319"/>
      <c r="P37" s="646"/>
      <c r="Q37" s="438"/>
      <c r="R37" s="5"/>
      <c r="S37" s="5"/>
      <c r="T37" s="319"/>
      <c r="U37" s="646"/>
      <c r="V37" s="438"/>
      <c r="W37" s="5"/>
      <c r="X37" s="5"/>
      <c r="Y37" s="319"/>
      <c r="Z37" s="646"/>
      <c r="AA37" s="328">
        <f t="shared" si="6"/>
        <v>0</v>
      </c>
      <c r="AB37" s="298">
        <f t="shared" si="7"/>
        <v>0</v>
      </c>
      <c r="AC37" s="4"/>
      <c r="AD37" s="47"/>
      <c r="AE37" s="47"/>
      <c r="AF37" s="319"/>
      <c r="AG37" s="328">
        <f t="shared" si="8"/>
        <v>0</v>
      </c>
      <c r="AH37" s="4"/>
      <c r="AI37" s="255"/>
      <c r="AJ37" s="180"/>
      <c r="AQ37" s="180"/>
      <c r="AR37" s="180"/>
      <c r="AS37" s="180"/>
      <c r="AT37" s="180"/>
      <c r="AU37" s="180"/>
      <c r="AV37" s="180"/>
      <c r="AW37" s="180"/>
    </row>
    <row r="38" spans="1:49" s="193" customFormat="1">
      <c r="A38" s="180"/>
      <c r="B38" s="267" t="s">
        <v>411</v>
      </c>
      <c r="C38" s="5"/>
      <c r="D38" s="5"/>
      <c r="E38" s="319"/>
      <c r="F38" s="646"/>
      <c r="G38" s="438"/>
      <c r="H38" s="5"/>
      <c r="I38" s="5"/>
      <c r="J38" s="319"/>
      <c r="K38" s="646"/>
      <c r="L38" s="438"/>
      <c r="M38" s="5"/>
      <c r="N38" s="5"/>
      <c r="O38" s="319"/>
      <c r="P38" s="646"/>
      <c r="Q38" s="438"/>
      <c r="R38" s="5"/>
      <c r="S38" s="5"/>
      <c r="T38" s="319"/>
      <c r="U38" s="646"/>
      <c r="V38" s="438"/>
      <c r="W38" s="5"/>
      <c r="X38" s="5"/>
      <c r="Y38" s="319"/>
      <c r="Z38" s="646"/>
      <c r="AA38" s="328">
        <f t="shared" si="6"/>
        <v>0</v>
      </c>
      <c r="AB38" s="298">
        <f t="shared" si="7"/>
        <v>0</v>
      </c>
      <c r="AC38" s="4"/>
      <c r="AD38" s="47"/>
      <c r="AE38" s="47"/>
      <c r="AF38" s="319"/>
      <c r="AG38" s="328">
        <f t="shared" si="8"/>
        <v>0</v>
      </c>
      <c r="AH38" s="4"/>
      <c r="AI38" s="255"/>
      <c r="AJ38" s="180"/>
      <c r="AQ38" s="180"/>
      <c r="AR38" s="180"/>
      <c r="AS38" s="180"/>
      <c r="AT38" s="180"/>
      <c r="AU38" s="180"/>
      <c r="AV38" s="180"/>
      <c r="AW38" s="180"/>
    </row>
    <row r="39" spans="1:49" s="193" customFormat="1">
      <c r="A39" s="180"/>
      <c r="B39" s="267" t="s">
        <v>361</v>
      </c>
      <c r="C39" s="5"/>
      <c r="D39" s="5"/>
      <c r="E39" s="319"/>
      <c r="F39" s="646"/>
      <c r="G39" s="438"/>
      <c r="H39" s="5"/>
      <c r="I39" s="5"/>
      <c r="J39" s="319"/>
      <c r="K39" s="646"/>
      <c r="L39" s="438"/>
      <c r="M39" s="5"/>
      <c r="N39" s="5"/>
      <c r="O39" s="319"/>
      <c r="P39" s="646"/>
      <c r="Q39" s="438"/>
      <c r="R39" s="5"/>
      <c r="S39" s="5"/>
      <c r="T39" s="319"/>
      <c r="U39" s="646"/>
      <c r="V39" s="438"/>
      <c r="W39" s="5"/>
      <c r="X39" s="5"/>
      <c r="Y39" s="319"/>
      <c r="Z39" s="646"/>
      <c r="AA39" s="328">
        <f t="shared" si="6"/>
        <v>0</v>
      </c>
      <c r="AB39" s="298">
        <f t="shared" si="7"/>
        <v>0</v>
      </c>
      <c r="AC39" s="4"/>
      <c r="AD39" s="47"/>
      <c r="AE39" s="47"/>
      <c r="AF39" s="319"/>
      <c r="AG39" s="328">
        <f t="shared" si="8"/>
        <v>0</v>
      </c>
      <c r="AH39" s="4"/>
      <c r="AI39" s="255"/>
      <c r="AJ39" s="180"/>
      <c r="AQ39" s="180"/>
      <c r="AR39" s="180"/>
      <c r="AS39" s="180"/>
      <c r="AT39" s="180"/>
      <c r="AU39" s="180"/>
      <c r="AV39" s="180"/>
      <c r="AW39" s="180"/>
    </row>
    <row r="40" spans="1:49" s="193" customFormat="1">
      <c r="A40" s="180"/>
      <c r="B40" s="267" t="s">
        <v>362</v>
      </c>
      <c r="C40" s="47"/>
      <c r="D40" s="47"/>
      <c r="E40" s="319">
        <v>2</v>
      </c>
      <c r="F40" s="646"/>
      <c r="G40" s="438"/>
      <c r="H40" s="47"/>
      <c r="I40" s="47"/>
      <c r="J40" s="319">
        <v>1</v>
      </c>
      <c r="K40" s="646"/>
      <c r="L40" s="438"/>
      <c r="M40" s="47"/>
      <c r="N40" s="47"/>
      <c r="O40" s="319">
        <v>1</v>
      </c>
      <c r="P40" s="646"/>
      <c r="Q40" s="438"/>
      <c r="R40" s="47"/>
      <c r="S40" s="47"/>
      <c r="T40" s="319">
        <v>1</v>
      </c>
      <c r="U40" s="646"/>
      <c r="V40" s="438"/>
      <c r="W40" s="5"/>
      <c r="X40" s="5"/>
      <c r="Y40" s="319">
        <v>1</v>
      </c>
      <c r="Z40" s="646"/>
      <c r="AA40" s="328">
        <f t="shared" si="6"/>
        <v>6</v>
      </c>
      <c r="AB40" s="298">
        <f t="shared" si="7"/>
        <v>0</v>
      </c>
      <c r="AC40" s="4"/>
      <c r="AD40" s="47"/>
      <c r="AE40" s="47"/>
      <c r="AF40" s="319"/>
      <c r="AG40" s="328">
        <f t="shared" si="8"/>
        <v>0</v>
      </c>
      <c r="AH40" s="4"/>
      <c r="AI40" s="255"/>
      <c r="AJ40" s="180"/>
      <c r="AQ40" s="180"/>
      <c r="AR40" s="180"/>
      <c r="AS40" s="180"/>
      <c r="AT40" s="180"/>
      <c r="AU40" s="180"/>
      <c r="AV40" s="180"/>
      <c r="AW40" s="180"/>
    </row>
    <row r="41" spans="1:49" s="193" customFormat="1">
      <c r="A41" s="180"/>
      <c r="B41" s="437" t="s">
        <v>355</v>
      </c>
      <c r="C41" s="5"/>
      <c r="D41" s="5"/>
      <c r="E41" s="319">
        <v>7.7</v>
      </c>
      <c r="F41" s="646"/>
      <c r="G41" s="438"/>
      <c r="H41" s="5"/>
      <c r="I41" s="5"/>
      <c r="J41" s="319">
        <v>7.7</v>
      </c>
      <c r="K41" s="646"/>
      <c r="L41" s="438"/>
      <c r="M41" s="5"/>
      <c r="N41" s="5"/>
      <c r="O41" s="319">
        <v>7.7</v>
      </c>
      <c r="P41" s="646"/>
      <c r="Q41" s="438"/>
      <c r="R41" s="5"/>
      <c r="S41" s="5"/>
      <c r="T41" s="319">
        <v>7.7</v>
      </c>
      <c r="U41" s="646"/>
      <c r="V41" s="438"/>
      <c r="W41" s="5"/>
      <c r="X41" s="5"/>
      <c r="Y41" s="319">
        <v>7.7</v>
      </c>
      <c r="Z41" s="646"/>
      <c r="AA41" s="328">
        <f t="shared" si="6"/>
        <v>38.5</v>
      </c>
      <c r="AB41" s="298">
        <f t="shared" si="7"/>
        <v>0</v>
      </c>
      <c r="AC41" s="4"/>
      <c r="AD41" s="47"/>
      <c r="AE41" s="47"/>
      <c r="AF41" s="319"/>
      <c r="AG41" s="328">
        <f t="shared" si="8"/>
        <v>0</v>
      </c>
      <c r="AH41" s="4"/>
      <c r="AI41" s="255"/>
      <c r="AJ41" s="180"/>
      <c r="AQ41" s="180"/>
      <c r="AR41" s="180"/>
      <c r="AS41" s="180"/>
      <c r="AT41" s="180"/>
      <c r="AU41" s="180"/>
      <c r="AV41" s="180"/>
      <c r="AW41" s="180"/>
    </row>
    <row r="42" spans="1:49" s="193" customFormat="1">
      <c r="A42" s="180"/>
      <c r="B42" s="437" t="s">
        <v>356</v>
      </c>
      <c r="C42" s="5"/>
      <c r="D42" s="5"/>
      <c r="E42" s="319">
        <v>10.199999999999999</v>
      </c>
      <c r="F42" s="646"/>
      <c r="G42" s="438"/>
      <c r="H42" s="5"/>
      <c r="I42" s="5"/>
      <c r="J42" s="319"/>
      <c r="K42" s="646"/>
      <c r="L42" s="438"/>
      <c r="M42" s="5"/>
      <c r="N42" s="5"/>
      <c r="O42" s="319">
        <v>27.6</v>
      </c>
      <c r="P42" s="646"/>
      <c r="Q42" s="438"/>
      <c r="R42" s="5"/>
      <c r="S42" s="5"/>
      <c r="T42" s="319"/>
      <c r="U42" s="646"/>
      <c r="V42" s="438"/>
      <c r="W42" s="5"/>
      <c r="X42" s="5"/>
      <c r="Y42" s="319"/>
      <c r="Z42" s="646"/>
      <c r="AA42" s="328">
        <f t="shared" si="6"/>
        <v>37.799999999999997</v>
      </c>
      <c r="AB42" s="298">
        <f t="shared" si="7"/>
        <v>0</v>
      </c>
      <c r="AC42" s="4"/>
      <c r="AD42" s="47"/>
      <c r="AE42" s="47"/>
      <c r="AF42" s="319"/>
      <c r="AG42" s="328">
        <f t="shared" si="8"/>
        <v>0</v>
      </c>
      <c r="AH42" s="4"/>
      <c r="AI42" s="255"/>
      <c r="AJ42" s="180"/>
      <c r="AQ42" s="180"/>
      <c r="AR42" s="180"/>
      <c r="AS42" s="180"/>
      <c r="AT42" s="180"/>
      <c r="AU42" s="180"/>
      <c r="AV42" s="180"/>
      <c r="AW42" s="180"/>
    </row>
    <row r="43" spans="1:49" s="193" customFormat="1">
      <c r="A43" s="180"/>
      <c r="B43" s="64" t="s">
        <v>61</v>
      </c>
      <c r="C43" s="31"/>
      <c r="D43" s="31"/>
      <c r="E43" s="439"/>
      <c r="F43" s="646"/>
      <c r="G43" s="31"/>
      <c r="H43" s="31"/>
      <c r="I43" s="31"/>
      <c r="J43" s="439"/>
      <c r="K43" s="646"/>
      <c r="L43" s="31"/>
      <c r="M43" s="31"/>
      <c r="N43" s="31"/>
      <c r="O43" s="439"/>
      <c r="P43" s="646"/>
      <c r="Q43" s="31"/>
      <c r="R43" s="31"/>
      <c r="S43" s="31"/>
      <c r="T43" s="439"/>
      <c r="U43" s="646"/>
      <c r="V43" s="31"/>
      <c r="W43" s="31"/>
      <c r="X43" s="31"/>
      <c r="Y43" s="439"/>
      <c r="Z43" s="646"/>
      <c r="AA43" s="370">
        <f>SUM(AA19:AA42)</f>
        <v>618.54999999999995</v>
      </c>
      <c r="AB43" s="370">
        <f>SUM(AB19:AB42)</f>
        <v>21.5</v>
      </c>
      <c r="AC43" s="4"/>
      <c r="AD43" s="64"/>
      <c r="AE43" s="64"/>
      <c r="AF43" s="370">
        <f>SUM(AF19:AF42)</f>
        <v>0</v>
      </c>
      <c r="AG43" s="370">
        <f>SUM(AG19:AG42)</f>
        <v>0</v>
      </c>
      <c r="AH43" s="4"/>
      <c r="AI43" s="255"/>
      <c r="AJ43" s="180"/>
      <c r="AK43" s="407"/>
      <c r="AQ43" s="180"/>
      <c r="AR43" s="180"/>
      <c r="AS43" s="180"/>
      <c r="AT43" s="180"/>
      <c r="AU43" s="180"/>
      <c r="AV43" s="180"/>
      <c r="AW43" s="180"/>
    </row>
    <row r="44" spans="1:49" s="193" customFormat="1">
      <c r="A44" s="180"/>
      <c r="B44" s="63" t="s">
        <v>64</v>
      </c>
      <c r="C44" s="47"/>
      <c r="D44" s="47"/>
      <c r="E44" s="319">
        <v>8</v>
      </c>
      <c r="F44" s="346">
        <v>1</v>
      </c>
      <c r="G44" s="613"/>
      <c r="H44" s="47"/>
      <c r="I44" s="47"/>
      <c r="J44" s="319">
        <v>8</v>
      </c>
      <c r="K44" s="346">
        <v>2</v>
      </c>
      <c r="L44" s="60"/>
      <c r="M44" s="47"/>
      <c r="N44" s="47"/>
      <c r="O44" s="319">
        <v>8</v>
      </c>
      <c r="P44" s="346">
        <v>0.5</v>
      </c>
      <c r="Q44" s="60"/>
      <c r="R44" s="47"/>
      <c r="S44" s="47"/>
      <c r="T44" s="319">
        <v>8</v>
      </c>
      <c r="U44" s="346">
        <v>1</v>
      </c>
      <c r="V44" s="60"/>
      <c r="W44" s="47"/>
      <c r="X44" s="47"/>
      <c r="Y44" s="319">
        <v>8</v>
      </c>
      <c r="Z44" s="346">
        <f>0.75+0.25</f>
        <v>1</v>
      </c>
      <c r="AA44" s="28">
        <f>SUM(E44+J44+O44+T44+Y44)</f>
        <v>40</v>
      </c>
      <c r="AB44" s="296">
        <f>Z44+U44+P44+K44+F44</f>
        <v>5.5</v>
      </c>
      <c r="AC44" s="4"/>
      <c r="AD44" s="47" t="s">
        <v>29</v>
      </c>
      <c r="AE44" s="47" t="s">
        <v>29</v>
      </c>
      <c r="AF44" s="319"/>
      <c r="AG44" s="29">
        <f>AF44</f>
        <v>0</v>
      </c>
      <c r="AH44" s="4"/>
      <c r="AI44" s="255"/>
      <c r="AJ44" s="180"/>
      <c r="AK44" s="407"/>
      <c r="AQ44" s="180"/>
      <c r="AR44" s="180"/>
      <c r="AS44" s="180"/>
      <c r="AT44" s="180"/>
      <c r="AU44" s="180"/>
      <c r="AV44" s="180"/>
      <c r="AW44" s="180"/>
    </row>
    <row r="45" spans="1:49" s="193" customFormat="1">
      <c r="A45" s="180"/>
      <c r="B45" s="71" t="s">
        <v>66</v>
      </c>
      <c r="C45" s="371"/>
      <c r="D45" s="371"/>
      <c r="E45" s="71"/>
      <c r="F45" s="613"/>
      <c r="G45" s="71"/>
      <c r="H45" s="71"/>
      <c r="I45" s="71"/>
      <c r="J45" s="71"/>
      <c r="K45" s="613"/>
      <c r="L45" s="71"/>
      <c r="M45" s="71"/>
      <c r="N45" s="71"/>
      <c r="O45" s="71"/>
      <c r="P45" s="613"/>
      <c r="Q45" s="71"/>
      <c r="R45" s="71"/>
      <c r="S45" s="71"/>
      <c r="T45" s="71"/>
      <c r="U45" s="613"/>
      <c r="V45" s="71"/>
      <c r="W45" s="71"/>
      <c r="X45" s="71"/>
      <c r="Y45" s="71"/>
      <c r="Z45" s="613"/>
      <c r="AA45" s="370">
        <f>SUM(AA44:AA44)</f>
        <v>40</v>
      </c>
      <c r="AB45" s="370">
        <f>SUM(AB44:AB44)</f>
        <v>5.5</v>
      </c>
      <c r="AC45" s="4"/>
      <c r="AD45" s="180"/>
      <c r="AE45" s="180"/>
      <c r="AF45" s="180"/>
      <c r="AG45" s="370">
        <f>SUM(AG44:AG44)</f>
        <v>0</v>
      </c>
      <c r="AH45" s="4"/>
      <c r="AI45" s="255"/>
      <c r="AJ45" s="180"/>
      <c r="AK45" s="407"/>
      <c r="AQ45" s="180"/>
      <c r="AR45" s="180"/>
      <c r="AS45" s="180"/>
      <c r="AT45" s="180"/>
      <c r="AU45" s="180"/>
      <c r="AV45" s="180"/>
      <c r="AW45" s="180"/>
    </row>
    <row r="46" spans="1:49" s="193" customFormat="1">
      <c r="A46" s="180"/>
      <c r="B46" s="217" t="s">
        <v>67</v>
      </c>
      <c r="C46" s="207">
        <f>C47+C48</f>
        <v>45</v>
      </c>
      <c r="D46" s="207"/>
      <c r="E46" s="209"/>
      <c r="F46" s="209"/>
      <c r="G46" s="207"/>
      <c r="H46" s="209"/>
      <c r="I46" s="209"/>
      <c r="J46" s="209"/>
      <c r="K46" s="209"/>
      <c r="L46" s="207"/>
      <c r="M46" s="207"/>
      <c r="N46" s="207"/>
      <c r="O46" s="207"/>
      <c r="P46" s="209"/>
      <c r="Q46" s="207"/>
      <c r="R46" s="207"/>
      <c r="S46" s="207"/>
      <c r="T46" s="207"/>
      <c r="U46" s="209"/>
      <c r="V46" s="207"/>
      <c r="W46" s="207"/>
      <c r="X46" s="207"/>
      <c r="Y46" s="210"/>
      <c r="Z46" s="209"/>
      <c r="AA46" s="211"/>
      <c r="AB46" s="209"/>
      <c r="AC46" s="211"/>
      <c r="AD46" s="211"/>
      <c r="AE46" s="211"/>
      <c r="AF46" s="211"/>
      <c r="AG46" s="211"/>
      <c r="AH46" s="4"/>
      <c r="AI46" s="255"/>
      <c r="AJ46" s="180"/>
      <c r="AQ46" s="180"/>
      <c r="AR46" s="180"/>
      <c r="AS46" s="180"/>
      <c r="AT46" s="180"/>
      <c r="AU46" s="180"/>
      <c r="AV46" s="180"/>
      <c r="AW46" s="180"/>
    </row>
    <row r="47" spans="1:49" s="193" customFormat="1">
      <c r="A47" s="180"/>
      <c r="B47" s="238" t="s">
        <v>68</v>
      </c>
      <c r="C47" s="239">
        <f>10+9+9+8+6</f>
        <v>42</v>
      </c>
      <c r="D47" s="207"/>
      <c r="E47" s="209"/>
      <c r="F47" s="209"/>
      <c r="G47" s="207"/>
      <c r="H47" s="209"/>
      <c r="I47" s="209"/>
      <c r="J47" s="209"/>
      <c r="K47" s="209"/>
      <c r="L47" s="207"/>
      <c r="M47" s="207"/>
      <c r="N47" s="207"/>
      <c r="O47" s="207"/>
      <c r="P47" s="209"/>
      <c r="Q47" s="207"/>
      <c r="R47" s="207"/>
      <c r="S47" s="207"/>
      <c r="T47" s="207"/>
      <c r="U47" s="209"/>
      <c r="V47" s="207"/>
      <c r="W47" s="207"/>
      <c r="X47" s="207"/>
      <c r="Y47" s="210"/>
      <c r="Z47" s="209"/>
      <c r="AA47" s="211"/>
      <c r="AB47" s="209"/>
      <c r="AC47" s="211"/>
      <c r="AD47" s="211"/>
      <c r="AE47" s="211"/>
      <c r="AF47" s="211"/>
      <c r="AG47" s="211"/>
      <c r="AH47" s="4"/>
      <c r="AI47" s="255"/>
      <c r="AJ47" s="180"/>
      <c r="AQ47" s="180"/>
      <c r="AR47" s="180"/>
      <c r="AS47" s="180"/>
      <c r="AT47" s="180"/>
      <c r="AU47" s="180"/>
      <c r="AV47" s="180"/>
      <c r="AW47" s="180"/>
    </row>
    <row r="48" spans="1:49" s="193" customFormat="1">
      <c r="A48" s="180"/>
      <c r="B48" s="238" t="s">
        <v>69</v>
      </c>
      <c r="C48" s="239">
        <f>2+1</f>
        <v>3</v>
      </c>
      <c r="D48" s="207"/>
      <c r="E48" s="209"/>
      <c r="F48" s="209"/>
      <c r="G48" s="207"/>
      <c r="H48" s="209"/>
      <c r="I48" s="209"/>
      <c r="J48" s="209"/>
      <c r="K48" s="209"/>
      <c r="L48" s="207"/>
      <c r="M48" s="207"/>
      <c r="N48" s="207"/>
      <c r="O48" s="207"/>
      <c r="P48" s="209"/>
      <c r="Q48" s="207"/>
      <c r="R48" s="207"/>
      <c r="S48" s="207"/>
      <c r="T48" s="207"/>
      <c r="U48" s="209"/>
      <c r="V48" s="207"/>
      <c r="W48" s="207"/>
      <c r="X48" s="207"/>
      <c r="Y48" s="210"/>
      <c r="Z48" s="209"/>
      <c r="AA48" s="211"/>
      <c r="AB48" s="209"/>
      <c r="AC48" s="211"/>
      <c r="AD48" s="211"/>
      <c r="AE48" s="211"/>
      <c r="AF48" s="211"/>
      <c r="AG48" s="211"/>
      <c r="AH48" s="4"/>
      <c r="AI48" s="255"/>
      <c r="AJ48" s="180"/>
      <c r="AQ48" s="180"/>
      <c r="AR48" s="180"/>
      <c r="AS48" s="180"/>
      <c r="AT48" s="180"/>
      <c r="AU48" s="180"/>
      <c r="AV48" s="180"/>
      <c r="AW48" s="180"/>
    </row>
    <row r="49" spans="1:49">
      <c r="B49" s="180"/>
      <c r="E49" s="4"/>
      <c r="F49" s="644"/>
      <c r="G49" s="4"/>
      <c r="J49" s="4"/>
      <c r="K49" s="644"/>
      <c r="L49" s="4"/>
      <c r="O49" s="4"/>
      <c r="P49" s="644"/>
      <c r="T49" s="4"/>
      <c r="U49" s="644"/>
      <c r="Y49" s="4"/>
      <c r="Z49" s="644"/>
      <c r="AA49" s="4"/>
      <c r="AB49" s="4"/>
      <c r="AC49" s="4"/>
    </row>
    <row r="50" spans="1:49">
      <c r="A50" s="180"/>
      <c r="B50" s="229"/>
      <c r="C50" s="230"/>
      <c r="D50" s="230"/>
      <c r="E50" s="232"/>
      <c r="F50" s="232"/>
      <c r="G50" s="230"/>
      <c r="H50" s="232"/>
      <c r="I50" s="232"/>
      <c r="J50" s="232"/>
      <c r="K50" s="232"/>
      <c r="L50" s="230"/>
      <c r="M50" s="230"/>
      <c r="N50" s="230"/>
      <c r="O50" s="230"/>
      <c r="P50" s="232"/>
      <c r="Q50" s="230"/>
      <c r="R50" s="230"/>
      <c r="S50" s="230"/>
      <c r="T50" s="230"/>
      <c r="U50" s="232"/>
      <c r="V50" s="230"/>
      <c r="W50" s="230"/>
      <c r="X50" s="230"/>
      <c r="Y50" s="233"/>
      <c r="Z50" s="232"/>
      <c r="AA50" s="234"/>
      <c r="AB50" s="232"/>
      <c r="AC50" s="373"/>
      <c r="AD50" s="236"/>
      <c r="AE50" s="255"/>
      <c r="AF50" s="255"/>
      <c r="AG50" s="255"/>
      <c r="AH50" s="255"/>
      <c r="AJ50" s="255"/>
      <c r="AK50" s="255"/>
      <c r="AL50" s="255"/>
      <c r="AM50" s="255"/>
      <c r="AN50" s="255"/>
      <c r="AO50" s="255"/>
      <c r="AP50" s="255"/>
      <c r="AQ50" s="255"/>
      <c r="AR50" s="255"/>
      <c r="AS50" s="255"/>
      <c r="AT50" s="255"/>
      <c r="AU50" s="255"/>
      <c r="AV50" s="255"/>
      <c r="AW50" s="255"/>
    </row>
    <row r="51" spans="1:49">
      <c r="B51" s="180"/>
      <c r="E51" s="4"/>
      <c r="F51" s="644"/>
      <c r="G51" s="4"/>
      <c r="J51" s="4"/>
      <c r="K51" s="644"/>
      <c r="L51" s="4"/>
      <c r="O51" s="4"/>
      <c r="P51" s="644"/>
      <c r="T51" s="4"/>
      <c r="U51" s="644"/>
      <c r="Y51" s="4"/>
      <c r="Z51" s="644"/>
      <c r="AA51" s="4"/>
      <c r="AB51" s="4"/>
      <c r="AC51" s="4"/>
      <c r="AK51" s="180"/>
      <c r="AL51" s="180"/>
      <c r="AM51" s="180"/>
      <c r="AN51" s="180"/>
      <c r="AO51" s="180"/>
      <c r="AP51" s="180"/>
    </row>
    <row r="52" spans="1:49" ht="10.9" customHeight="1">
      <c r="A52" s="228"/>
      <c r="B52" s="1518" t="s">
        <v>18</v>
      </c>
      <c r="C52" s="1519">
        <v>45719</v>
      </c>
      <c r="D52" s="1519"/>
      <c r="E52" s="1519" t="s">
        <v>564</v>
      </c>
      <c r="F52" s="1519"/>
      <c r="G52" s="365"/>
      <c r="H52" s="1519">
        <v>45720</v>
      </c>
      <c r="I52" s="1519"/>
      <c r="J52" s="1519" t="s">
        <v>565</v>
      </c>
      <c r="K52" s="1519"/>
      <c r="L52" s="365"/>
      <c r="M52" s="1519">
        <v>45721</v>
      </c>
      <c r="N52" s="1519"/>
      <c r="O52" s="1519" t="s">
        <v>566</v>
      </c>
      <c r="P52" s="1519"/>
      <c r="Q52" s="365"/>
      <c r="R52" s="1519">
        <v>45722</v>
      </c>
      <c r="S52" s="1519"/>
      <c r="T52" s="1519" t="s">
        <v>567</v>
      </c>
      <c r="U52" s="1519"/>
      <c r="V52" s="365"/>
      <c r="W52" s="1519">
        <v>45723</v>
      </c>
      <c r="X52" s="1519"/>
      <c r="Y52" s="1519" t="s">
        <v>568</v>
      </c>
      <c r="Z52" s="1519"/>
      <c r="AA52" s="1517" t="s">
        <v>19</v>
      </c>
      <c r="AB52" s="1517" t="s">
        <v>20</v>
      </c>
      <c r="AC52" s="4"/>
      <c r="AD52" s="1519">
        <v>45724</v>
      </c>
      <c r="AE52" s="1519"/>
      <c r="AF52" s="14" t="s">
        <v>1111</v>
      </c>
      <c r="AG52" s="1517" t="s">
        <v>21</v>
      </c>
      <c r="AI52" s="368"/>
      <c r="AK52" s="194" t="s">
        <v>84</v>
      </c>
      <c r="AL52" s="366"/>
      <c r="AM52" s="366"/>
      <c r="AN52" s="366"/>
      <c r="AO52" s="366"/>
      <c r="AP52" s="366"/>
    </row>
    <row r="53" spans="1:49">
      <c r="A53" s="180"/>
      <c r="B53" s="1518"/>
      <c r="C53" s="21" t="s">
        <v>23</v>
      </c>
      <c r="D53" s="21" t="s">
        <v>24</v>
      </c>
      <c r="E53" s="205" t="s">
        <v>25</v>
      </c>
      <c r="F53" s="645" t="s">
        <v>14</v>
      </c>
      <c r="G53" s="4"/>
      <c r="H53" s="21" t="s">
        <v>23</v>
      </c>
      <c r="I53" s="21" t="s">
        <v>24</v>
      </c>
      <c r="J53" s="18" t="s">
        <v>25</v>
      </c>
      <c r="K53" s="645" t="s">
        <v>14</v>
      </c>
      <c r="L53" s="4"/>
      <c r="M53" s="21" t="s">
        <v>23</v>
      </c>
      <c r="N53" s="21" t="s">
        <v>24</v>
      </c>
      <c r="O53" s="18" t="s">
        <v>25</v>
      </c>
      <c r="P53" s="645" t="s">
        <v>14</v>
      </c>
      <c r="R53" s="21" t="s">
        <v>23</v>
      </c>
      <c r="S53" s="21" t="s">
        <v>24</v>
      </c>
      <c r="T53" s="18" t="s">
        <v>25</v>
      </c>
      <c r="U53" s="645" t="s">
        <v>14</v>
      </c>
      <c r="W53" s="21" t="s">
        <v>23</v>
      </c>
      <c r="X53" s="21" t="s">
        <v>24</v>
      </c>
      <c r="Y53" s="18" t="s">
        <v>25</v>
      </c>
      <c r="Z53" s="645" t="s">
        <v>14</v>
      </c>
      <c r="AA53" s="1517"/>
      <c r="AB53" s="1517"/>
      <c r="AC53" s="4"/>
      <c r="AD53" s="21" t="s">
        <v>23</v>
      </c>
      <c r="AE53" s="21" t="s">
        <v>24</v>
      </c>
      <c r="AF53" s="18" t="s">
        <v>25</v>
      </c>
      <c r="AG53" s="1517"/>
      <c r="AI53" s="368"/>
      <c r="AJ53" s="367"/>
      <c r="AK53" s="188" t="s">
        <v>26</v>
      </c>
      <c r="AL53" s="196">
        <f>AA79</f>
        <v>607.25</v>
      </c>
      <c r="AM53" s="510">
        <v>40.31</v>
      </c>
      <c r="AN53" s="510">
        <f t="shared" ref="AN53:AN58" si="9">AL53*AM53</f>
        <v>24478.247500000001</v>
      </c>
      <c r="AQ53" s="367"/>
      <c r="AR53" s="367"/>
      <c r="AS53" s="367"/>
      <c r="AT53" s="367"/>
      <c r="AU53" s="367"/>
      <c r="AV53" s="367"/>
      <c r="AW53" s="367"/>
    </row>
    <row r="54" spans="1:49" ht="11.25" customHeight="1">
      <c r="A54" s="180"/>
      <c r="B54" s="4" t="s">
        <v>958</v>
      </c>
      <c r="C54" s="717">
        <v>0.39583333333333331</v>
      </c>
      <c r="D54" s="714">
        <v>0.25</v>
      </c>
      <c r="E54" s="319">
        <v>7.5</v>
      </c>
      <c r="F54" s="646"/>
      <c r="G54" s="4"/>
      <c r="H54" s="47">
        <v>0.41666666666666669</v>
      </c>
      <c r="I54" s="47" t="s">
        <v>1114</v>
      </c>
      <c r="J54" s="319">
        <v>7</v>
      </c>
      <c r="K54" s="646"/>
      <c r="L54" s="4"/>
      <c r="M54" s="441" t="s">
        <v>75</v>
      </c>
      <c r="N54" s="47">
        <v>0.25</v>
      </c>
      <c r="O54" s="319">
        <v>8</v>
      </c>
      <c r="P54" s="646"/>
      <c r="R54" s="441" t="s">
        <v>75</v>
      </c>
      <c r="S54" s="47">
        <v>0.25</v>
      </c>
      <c r="T54" s="319">
        <v>8</v>
      </c>
      <c r="U54" s="646"/>
      <c r="W54" s="714"/>
      <c r="X54" s="714"/>
      <c r="Y54" s="319">
        <v>0</v>
      </c>
      <c r="Z54" s="646"/>
      <c r="AA54" s="328">
        <f t="shared" ref="AA54:AA78" si="10">(E54+J54+O54+T54+Y54)</f>
        <v>30.5</v>
      </c>
      <c r="AB54" s="298">
        <f t="shared" ref="AB54:AB78" si="11">Z54+U54+P54+K54+F54</f>
        <v>0</v>
      </c>
      <c r="AC54" s="4"/>
      <c r="AD54" s="587"/>
      <c r="AE54" s="531"/>
      <c r="AF54" s="319"/>
      <c r="AG54" s="328">
        <f t="shared" ref="AG54:AG78" si="12">AF54</f>
        <v>0</v>
      </c>
      <c r="AI54" s="368"/>
      <c r="AJ54" s="367"/>
      <c r="AK54" s="188" t="s">
        <v>30</v>
      </c>
      <c r="AL54" s="196">
        <f>AB79</f>
        <v>3.5</v>
      </c>
      <c r="AM54" s="511">
        <v>60.465000000000003</v>
      </c>
      <c r="AN54" s="510">
        <f t="shared" si="9"/>
        <v>211.6275</v>
      </c>
      <c r="AQ54" s="367"/>
      <c r="AR54" s="367"/>
      <c r="AS54" s="367"/>
      <c r="AT54" s="367"/>
      <c r="AU54" s="367"/>
      <c r="AV54" s="367"/>
      <c r="AW54" s="367"/>
    </row>
    <row r="55" spans="1:49" ht="13.15" customHeight="1">
      <c r="A55" s="367"/>
      <c r="B55" s="47" t="s">
        <v>515</v>
      </c>
      <c r="C55" s="47">
        <v>0.375</v>
      </c>
      <c r="D55" s="47">
        <v>0.25</v>
      </c>
      <c r="E55" s="319">
        <v>8</v>
      </c>
      <c r="F55" s="646"/>
      <c r="G55" s="4"/>
      <c r="H55" s="47">
        <v>0.375</v>
      </c>
      <c r="I55" s="47">
        <v>0.25</v>
      </c>
      <c r="J55" s="319">
        <v>8</v>
      </c>
      <c r="K55" s="646"/>
      <c r="L55" s="4"/>
      <c r="M55" s="441" t="s">
        <v>212</v>
      </c>
      <c r="N55" s="47">
        <v>0.25</v>
      </c>
      <c r="O55" s="319">
        <v>7.75</v>
      </c>
      <c r="P55" s="646"/>
      <c r="R55" s="714"/>
      <c r="S55" s="714"/>
      <c r="T55" s="319">
        <v>0</v>
      </c>
      <c r="U55" s="646"/>
      <c r="W55" s="714"/>
      <c r="X55" s="714"/>
      <c r="Y55" s="319">
        <v>0</v>
      </c>
      <c r="Z55" s="646"/>
      <c r="AA55" s="328">
        <f t="shared" si="10"/>
        <v>23.75</v>
      </c>
      <c r="AB55" s="298">
        <f t="shared" si="11"/>
        <v>0</v>
      </c>
      <c r="AC55" s="4"/>
      <c r="AF55" s="319"/>
      <c r="AG55" s="328">
        <f t="shared" si="12"/>
        <v>0</v>
      </c>
      <c r="AH55" s="175"/>
      <c r="AI55" s="402"/>
      <c r="AJ55" s="367"/>
      <c r="AK55" s="188" t="s">
        <v>32</v>
      </c>
      <c r="AL55" s="196">
        <f>AG79</f>
        <v>0</v>
      </c>
      <c r="AM55" s="510">
        <v>60.465000000000003</v>
      </c>
      <c r="AN55" s="510">
        <f t="shared" si="9"/>
        <v>0</v>
      </c>
      <c r="AQ55" s="367"/>
      <c r="AR55" s="367"/>
      <c r="AS55" s="367"/>
      <c r="AT55" s="367"/>
      <c r="AU55" s="367"/>
      <c r="AV55" s="367"/>
      <c r="AW55" s="367"/>
    </row>
    <row r="56" spans="1:49">
      <c r="A56" s="367"/>
      <c r="B56" s="441" t="s">
        <v>962</v>
      </c>
      <c r="C56" s="47">
        <v>0.375</v>
      </c>
      <c r="D56" s="47">
        <v>0.25</v>
      </c>
      <c r="E56" s="319">
        <v>8</v>
      </c>
      <c r="F56" s="646"/>
      <c r="G56" s="4"/>
      <c r="H56" s="47"/>
      <c r="I56" s="47"/>
      <c r="J56" s="319">
        <v>0</v>
      </c>
      <c r="K56" s="646"/>
      <c r="L56" s="4"/>
      <c r="M56" s="441" t="s">
        <v>75</v>
      </c>
      <c r="N56" s="47">
        <v>0.25</v>
      </c>
      <c r="O56" s="319">
        <v>8</v>
      </c>
      <c r="P56" s="646"/>
      <c r="R56" s="376">
        <v>0.375</v>
      </c>
      <c r="S56" s="716">
        <v>0.47916666666666669</v>
      </c>
      <c r="T56" s="319">
        <v>2.5</v>
      </c>
      <c r="U56" s="646"/>
      <c r="W56" s="714"/>
      <c r="X56" s="714"/>
      <c r="Y56" s="319">
        <v>0</v>
      </c>
      <c r="Z56" s="646"/>
      <c r="AA56" s="328">
        <f t="shared" si="10"/>
        <v>18.5</v>
      </c>
      <c r="AB56" s="298">
        <f t="shared" si="11"/>
        <v>0</v>
      </c>
      <c r="AC56" s="399"/>
      <c r="AD56" s="47"/>
      <c r="AE56" s="47"/>
      <c r="AF56" s="319"/>
      <c r="AG56" s="328">
        <f t="shared" si="12"/>
        <v>0</v>
      </c>
      <c r="AH56" s="175"/>
      <c r="AJ56" s="401"/>
      <c r="AK56" s="403" t="s">
        <v>213</v>
      </c>
      <c r="AL56" s="404">
        <f>AA81</f>
        <v>40</v>
      </c>
      <c r="AM56" s="510">
        <v>53.05</v>
      </c>
      <c r="AN56" s="510">
        <f t="shared" si="9"/>
        <v>2122</v>
      </c>
      <c r="AO56" s="405"/>
      <c r="AP56" s="405"/>
      <c r="AQ56" s="367"/>
      <c r="AR56" s="401"/>
      <c r="AS56" s="401"/>
      <c r="AT56" s="401"/>
      <c r="AU56" s="401"/>
      <c r="AV56" s="401"/>
      <c r="AW56" s="401"/>
    </row>
    <row r="57" spans="1:49">
      <c r="A57" s="367"/>
      <c r="B57" s="47" t="s">
        <v>1112</v>
      </c>
      <c r="C57" s="714">
        <v>0.46875</v>
      </c>
      <c r="D57" s="714">
        <v>0.25</v>
      </c>
      <c r="E57" s="319">
        <v>6.75</v>
      </c>
      <c r="F57" s="646"/>
      <c r="G57" s="4"/>
      <c r="H57" s="47">
        <v>0.375</v>
      </c>
      <c r="I57" s="47">
        <v>0.29166666666666669</v>
      </c>
      <c r="J57" s="319">
        <v>8</v>
      </c>
      <c r="K57" s="646"/>
      <c r="L57" s="4"/>
      <c r="M57" s="441" t="s">
        <v>75</v>
      </c>
      <c r="N57" s="47">
        <v>0.25</v>
      </c>
      <c r="O57" s="319">
        <v>8</v>
      </c>
      <c r="P57" s="646"/>
      <c r="R57" s="47">
        <v>0.375</v>
      </c>
      <c r="S57" s="47">
        <v>0.25</v>
      </c>
      <c r="T57" s="319">
        <v>8</v>
      </c>
      <c r="U57" s="646"/>
      <c r="W57" s="714"/>
      <c r="X57" s="714"/>
      <c r="Y57" s="319">
        <v>0</v>
      </c>
      <c r="Z57" s="646"/>
      <c r="AA57" s="328">
        <f t="shared" si="10"/>
        <v>30.75</v>
      </c>
      <c r="AB57" s="298">
        <f t="shared" si="11"/>
        <v>0</v>
      </c>
      <c r="AC57" s="4"/>
      <c r="AD57" s="47"/>
      <c r="AE57" s="47"/>
      <c r="AF57" s="319"/>
      <c r="AG57" s="328">
        <f t="shared" si="12"/>
        <v>0</v>
      </c>
      <c r="AH57" s="175"/>
      <c r="AI57" s="368"/>
      <c r="AK57" s="188" t="s">
        <v>36</v>
      </c>
      <c r="AL57" s="196">
        <f>AB81</f>
        <v>4.75</v>
      </c>
      <c r="AM57" s="510">
        <v>79.574999999999989</v>
      </c>
      <c r="AN57" s="510">
        <f t="shared" si="9"/>
        <v>377.98124999999993</v>
      </c>
      <c r="AQ57" s="367"/>
    </row>
    <row r="58" spans="1:49" s="4" customFormat="1">
      <c r="A58" s="180"/>
      <c r="B58" s="436" t="s">
        <v>972</v>
      </c>
      <c r="C58" s="47">
        <v>0.375</v>
      </c>
      <c r="D58" s="47">
        <v>0.25</v>
      </c>
      <c r="E58" s="319">
        <v>8</v>
      </c>
      <c r="F58" s="646"/>
      <c r="H58" s="47">
        <v>0.38541666666666669</v>
      </c>
      <c r="I58" s="47">
        <v>0.25</v>
      </c>
      <c r="J58" s="319">
        <v>7.75</v>
      </c>
      <c r="K58" s="646"/>
      <c r="M58" s="441" t="s">
        <v>212</v>
      </c>
      <c r="N58" s="47">
        <v>0.25</v>
      </c>
      <c r="O58" s="319">
        <v>7.75</v>
      </c>
      <c r="P58" s="646"/>
      <c r="R58" s="47">
        <v>0.38541666666666669</v>
      </c>
      <c r="S58" s="47">
        <v>0.25</v>
      </c>
      <c r="T58" s="319">
        <v>8</v>
      </c>
      <c r="U58" s="646"/>
      <c r="W58" s="47">
        <v>0.33333333333333331</v>
      </c>
      <c r="X58" s="47">
        <v>0.20833333333333334</v>
      </c>
      <c r="Y58" s="319">
        <v>8</v>
      </c>
      <c r="Z58" s="646"/>
      <c r="AA58" s="328">
        <f t="shared" si="10"/>
        <v>39.5</v>
      </c>
      <c r="AB58" s="298">
        <f t="shared" si="11"/>
        <v>0</v>
      </c>
      <c r="AD58" s="47"/>
      <c r="AE58" s="47"/>
      <c r="AF58" s="319"/>
      <c r="AG58" s="328">
        <f t="shared" si="12"/>
        <v>0</v>
      </c>
      <c r="AI58" s="255"/>
      <c r="AJ58" s="180"/>
      <c r="AK58" s="188" t="s">
        <v>38</v>
      </c>
      <c r="AL58" s="196">
        <f>AG81</f>
        <v>0</v>
      </c>
      <c r="AM58" s="510">
        <v>79.574999999999989</v>
      </c>
      <c r="AN58" s="510">
        <f t="shared" si="9"/>
        <v>0</v>
      </c>
      <c r="AO58" s="193"/>
      <c r="AP58" s="193"/>
      <c r="AQ58" s="367"/>
      <c r="AR58" s="180"/>
      <c r="AS58" s="180"/>
      <c r="AT58" s="180"/>
      <c r="AU58" s="180"/>
      <c r="AV58" s="180"/>
      <c r="AW58" s="180"/>
    </row>
    <row r="59" spans="1:49" s="4" customFormat="1">
      <c r="A59" s="180"/>
      <c r="B59" s="47" t="s">
        <v>974</v>
      </c>
      <c r="C59" s="47">
        <v>0.375</v>
      </c>
      <c r="D59" s="47">
        <v>0.25</v>
      </c>
      <c r="E59" s="319">
        <v>8</v>
      </c>
      <c r="F59" s="646"/>
      <c r="H59" s="47">
        <v>0.375</v>
      </c>
      <c r="I59" s="47">
        <v>0.25</v>
      </c>
      <c r="J59" s="319">
        <v>8</v>
      </c>
      <c r="K59" s="646"/>
      <c r="M59" s="441" t="s">
        <v>75</v>
      </c>
      <c r="N59" s="47">
        <v>0.25</v>
      </c>
      <c r="O59" s="319">
        <v>8</v>
      </c>
      <c r="P59" s="646"/>
      <c r="R59" s="47">
        <v>0.375</v>
      </c>
      <c r="S59" s="47">
        <v>0.25</v>
      </c>
      <c r="T59" s="319">
        <v>8</v>
      </c>
      <c r="U59" s="646"/>
      <c r="W59" s="714"/>
      <c r="X59" s="714"/>
      <c r="Y59" s="319">
        <v>0</v>
      </c>
      <c r="Z59" s="646"/>
      <c r="AA59" s="328">
        <f t="shared" si="10"/>
        <v>32</v>
      </c>
      <c r="AB59" s="298">
        <f t="shared" si="11"/>
        <v>0</v>
      </c>
      <c r="AD59" s="47"/>
      <c r="AE59" s="47"/>
      <c r="AF59" s="319"/>
      <c r="AG59" s="328">
        <f t="shared" si="12"/>
        <v>0</v>
      </c>
      <c r="AI59" s="255"/>
      <c r="AJ59" s="180"/>
      <c r="AK59" s="193"/>
      <c r="AL59" s="193"/>
      <c r="AM59" s="193"/>
      <c r="AN59" s="510">
        <f>SUM(AN53:AN58)</f>
        <v>27189.856250000001</v>
      </c>
      <c r="AO59" s="193"/>
      <c r="AP59" s="193"/>
      <c r="AQ59" s="180"/>
      <c r="AR59" s="180"/>
      <c r="AS59" s="180"/>
      <c r="AT59" s="180"/>
      <c r="AU59" s="180"/>
      <c r="AV59" s="180"/>
      <c r="AW59" s="180"/>
    </row>
    <row r="60" spans="1:49" s="4" customFormat="1">
      <c r="A60" s="180"/>
      <c r="B60" s="374" t="s">
        <v>998</v>
      </c>
      <c r="C60" s="47">
        <v>0.375</v>
      </c>
      <c r="D60" s="47">
        <v>0.25</v>
      </c>
      <c r="E60" s="319">
        <v>8</v>
      </c>
      <c r="F60" s="646"/>
      <c r="H60" s="47">
        <v>0.375</v>
      </c>
      <c r="I60" s="47">
        <v>0.26041666666666669</v>
      </c>
      <c r="J60" s="319">
        <v>8</v>
      </c>
      <c r="K60" s="646"/>
      <c r="M60" s="441" t="s">
        <v>75</v>
      </c>
      <c r="N60" s="47">
        <v>0.25</v>
      </c>
      <c r="O60" s="319">
        <v>8</v>
      </c>
      <c r="P60" s="646"/>
      <c r="R60" s="47">
        <v>0.375</v>
      </c>
      <c r="S60" s="47">
        <v>0.25</v>
      </c>
      <c r="T60" s="319">
        <v>8</v>
      </c>
      <c r="U60" s="646"/>
      <c r="W60" s="714"/>
      <c r="X60" s="714"/>
      <c r="Y60" s="319">
        <v>0</v>
      </c>
      <c r="Z60" s="646"/>
      <c r="AA60" s="328">
        <f t="shared" si="10"/>
        <v>32</v>
      </c>
      <c r="AB60" s="298">
        <f t="shared" si="11"/>
        <v>0</v>
      </c>
      <c r="AD60" s="47"/>
      <c r="AE60" s="47"/>
      <c r="AF60" s="319"/>
      <c r="AG60" s="328">
        <f t="shared" si="12"/>
        <v>0</v>
      </c>
      <c r="AI60" s="255"/>
      <c r="AJ60" s="180"/>
      <c r="AK60" s="193"/>
      <c r="AL60" s="193"/>
      <c r="AM60" s="193"/>
      <c r="AN60" s="193"/>
      <c r="AO60" s="193"/>
      <c r="AP60" s="193"/>
      <c r="AQ60" s="180"/>
      <c r="AR60" s="180"/>
      <c r="AS60" s="180"/>
      <c r="AT60" s="180"/>
      <c r="AU60" s="180"/>
      <c r="AV60" s="180"/>
      <c r="AW60" s="180"/>
    </row>
    <row r="61" spans="1:49" s="4" customFormat="1">
      <c r="A61" s="180"/>
      <c r="B61" s="47" t="s">
        <v>977</v>
      </c>
      <c r="C61" s="47">
        <v>0.375</v>
      </c>
      <c r="D61" s="47">
        <v>0.25</v>
      </c>
      <c r="E61" s="319">
        <v>8</v>
      </c>
      <c r="F61" s="646"/>
      <c r="H61" s="47">
        <v>0.33333333333333331</v>
      </c>
      <c r="I61" s="47">
        <v>0.25</v>
      </c>
      <c r="J61" s="319">
        <v>8</v>
      </c>
      <c r="K61" s="646"/>
      <c r="M61" s="441" t="s">
        <v>75</v>
      </c>
      <c r="N61" s="47">
        <v>0.25</v>
      </c>
      <c r="O61" s="319">
        <v>8</v>
      </c>
      <c r="P61" s="646"/>
      <c r="R61" s="47">
        <v>0.375</v>
      </c>
      <c r="S61" s="47">
        <v>0.25</v>
      </c>
      <c r="T61" s="319">
        <v>8</v>
      </c>
      <c r="U61" s="646"/>
      <c r="W61" s="714"/>
      <c r="X61" s="714"/>
      <c r="Y61" s="319">
        <v>0</v>
      </c>
      <c r="Z61" s="646"/>
      <c r="AA61" s="328">
        <f t="shared" si="10"/>
        <v>32</v>
      </c>
      <c r="AB61" s="298">
        <f t="shared" si="11"/>
        <v>0</v>
      </c>
      <c r="AD61" s="47"/>
      <c r="AE61" s="47"/>
      <c r="AF61" s="319"/>
      <c r="AG61" s="328">
        <f t="shared" si="12"/>
        <v>0</v>
      </c>
      <c r="AI61" s="255"/>
      <c r="AJ61" s="180"/>
      <c r="AK61" s="192" t="s">
        <v>1115</v>
      </c>
      <c r="AL61" s="193"/>
      <c r="AM61" s="193">
        <f>C82</f>
        <v>47</v>
      </c>
      <c r="AN61" s="193"/>
      <c r="AO61" s="193"/>
      <c r="AP61" s="193"/>
      <c r="AQ61" s="180"/>
      <c r="AR61" s="180"/>
      <c r="AS61" s="180"/>
      <c r="AT61" s="180"/>
      <c r="AU61" s="180"/>
      <c r="AV61" s="180"/>
      <c r="AW61" s="180"/>
    </row>
    <row r="62" spans="1:49" s="4" customFormat="1">
      <c r="A62" s="180"/>
      <c r="B62" s="47" t="s">
        <v>519</v>
      </c>
      <c r="C62" s="47">
        <v>0.375</v>
      </c>
      <c r="D62" s="47">
        <v>0.25</v>
      </c>
      <c r="E62" s="319">
        <v>8</v>
      </c>
      <c r="F62" s="646"/>
      <c r="H62" s="47">
        <v>0.375</v>
      </c>
      <c r="I62" s="47">
        <v>0.25</v>
      </c>
      <c r="J62" s="319">
        <v>8</v>
      </c>
      <c r="K62" s="646"/>
      <c r="M62" s="441" t="s">
        <v>75</v>
      </c>
      <c r="N62" s="47">
        <v>0.32291666666666669</v>
      </c>
      <c r="O62" s="319">
        <v>8</v>
      </c>
      <c r="P62" s="646">
        <v>1.75</v>
      </c>
      <c r="R62" s="441" t="s">
        <v>75</v>
      </c>
      <c r="S62" s="47">
        <v>0.25</v>
      </c>
      <c r="T62" s="319">
        <v>8</v>
      </c>
      <c r="U62" s="646"/>
      <c r="W62" s="714"/>
      <c r="X62" s="714"/>
      <c r="Y62" s="319">
        <v>0</v>
      </c>
      <c r="Z62" s="646"/>
      <c r="AA62" s="328">
        <f t="shared" si="10"/>
        <v>32</v>
      </c>
      <c r="AB62" s="298">
        <f t="shared" si="11"/>
        <v>1.75</v>
      </c>
      <c r="AD62" s="47"/>
      <c r="AE62" s="47"/>
      <c r="AF62" s="319"/>
      <c r="AG62" s="328">
        <f t="shared" si="12"/>
        <v>0</v>
      </c>
      <c r="AI62" s="255"/>
      <c r="AJ62" s="180"/>
      <c r="AK62" s="193"/>
      <c r="AL62" s="193"/>
      <c r="AM62" s="193"/>
      <c r="AN62" s="193"/>
      <c r="AO62" s="193"/>
      <c r="AP62" s="193"/>
      <c r="AQ62" s="180"/>
      <c r="AR62" s="180"/>
      <c r="AS62" s="180"/>
      <c r="AT62" s="180"/>
      <c r="AU62" s="180"/>
      <c r="AV62" s="180"/>
      <c r="AW62" s="180"/>
    </row>
    <row r="63" spans="1:49" s="4" customFormat="1">
      <c r="A63" s="180"/>
      <c r="B63" s="47" t="s">
        <v>999</v>
      </c>
      <c r="C63" s="47">
        <v>0.375</v>
      </c>
      <c r="D63" s="47">
        <v>0.25</v>
      </c>
      <c r="E63" s="319">
        <v>8</v>
      </c>
      <c r="F63" s="646"/>
      <c r="H63" s="47">
        <v>0.375</v>
      </c>
      <c r="I63" s="47">
        <v>0.25</v>
      </c>
      <c r="J63" s="319">
        <v>8</v>
      </c>
      <c r="K63" s="646"/>
      <c r="M63" s="441" t="s">
        <v>75</v>
      </c>
      <c r="N63" s="47">
        <v>0.25</v>
      </c>
      <c r="O63" s="319">
        <v>8</v>
      </c>
      <c r="P63" s="646"/>
      <c r="R63" s="441" t="s">
        <v>75</v>
      </c>
      <c r="S63" s="47">
        <v>0.25</v>
      </c>
      <c r="T63" s="319">
        <v>8</v>
      </c>
      <c r="U63" s="646"/>
      <c r="W63" s="714"/>
      <c r="X63" s="714"/>
      <c r="Y63" s="319">
        <v>0</v>
      </c>
      <c r="Z63" s="646"/>
      <c r="AA63" s="328">
        <f t="shared" si="10"/>
        <v>32</v>
      </c>
      <c r="AB63" s="298">
        <f t="shared" si="11"/>
        <v>0</v>
      </c>
      <c r="AD63" s="47"/>
      <c r="AE63" s="47"/>
      <c r="AF63" s="319"/>
      <c r="AG63" s="328">
        <f t="shared" si="12"/>
        <v>0</v>
      </c>
      <c r="AI63" s="255"/>
      <c r="AJ63" s="180"/>
      <c r="AK63" s="193"/>
      <c r="AL63" s="193"/>
      <c r="AM63" s="193"/>
      <c r="AN63" s="193"/>
      <c r="AO63" s="193"/>
      <c r="AP63" s="193"/>
      <c r="AQ63" s="180"/>
      <c r="AR63" s="180"/>
      <c r="AS63" s="180"/>
      <c r="AT63" s="180"/>
      <c r="AU63" s="180"/>
      <c r="AV63" s="180"/>
      <c r="AW63" s="180"/>
    </row>
    <row r="64" spans="1:49" s="4" customFormat="1">
      <c r="A64" s="180"/>
      <c r="B64" s="47" t="s">
        <v>1113</v>
      </c>
      <c r="C64" s="47">
        <v>0.39583333333333331</v>
      </c>
      <c r="D64" s="47" t="s">
        <v>1114</v>
      </c>
      <c r="E64" s="319">
        <v>8</v>
      </c>
      <c r="F64" s="646"/>
      <c r="H64" s="47">
        <v>0.39583333333333331</v>
      </c>
      <c r="I64" s="47" t="s">
        <v>1114</v>
      </c>
      <c r="J64" s="319">
        <v>7.5</v>
      </c>
      <c r="K64" s="646"/>
      <c r="M64" s="441" t="s">
        <v>75</v>
      </c>
      <c r="N64" s="47">
        <v>0.25</v>
      </c>
      <c r="O64" s="319">
        <v>8</v>
      </c>
      <c r="P64" s="646"/>
      <c r="R64" s="441" t="s">
        <v>212</v>
      </c>
      <c r="S64" s="47">
        <v>0.25</v>
      </c>
      <c r="T64" s="178">
        <v>7.25</v>
      </c>
      <c r="U64" s="646"/>
      <c r="W64" s="714"/>
      <c r="X64" s="714"/>
      <c r="Y64" s="319">
        <v>0</v>
      </c>
      <c r="Z64" s="646"/>
      <c r="AA64" s="328">
        <f t="shared" si="10"/>
        <v>30.75</v>
      </c>
      <c r="AB64" s="298">
        <f t="shared" si="11"/>
        <v>0</v>
      </c>
      <c r="AD64" s="47"/>
      <c r="AE64" s="47"/>
      <c r="AF64" s="319"/>
      <c r="AG64" s="328">
        <f t="shared" si="12"/>
        <v>0</v>
      </c>
      <c r="AI64" s="255"/>
      <c r="AJ64" s="180"/>
      <c r="AK64" s="193"/>
      <c r="AL64" s="193"/>
      <c r="AM64" s="193"/>
      <c r="AN64" s="193"/>
      <c r="AO64" s="193"/>
      <c r="AP64" s="193"/>
      <c r="AQ64" s="180"/>
      <c r="AR64" s="180"/>
      <c r="AS64" s="180"/>
      <c r="AT64" s="180"/>
      <c r="AU64" s="180"/>
      <c r="AV64" s="180"/>
      <c r="AW64" s="180"/>
    </row>
    <row r="65" spans="1:49" s="4" customFormat="1">
      <c r="A65" s="180"/>
      <c r="B65" s="502" t="s">
        <v>483</v>
      </c>
      <c r="C65" s="47"/>
      <c r="D65" s="47"/>
      <c r="E65" s="319"/>
      <c r="F65" s="646"/>
      <c r="H65" s="47"/>
      <c r="I65" s="47"/>
      <c r="J65" s="319"/>
      <c r="K65" s="646"/>
      <c r="M65" s="441"/>
      <c r="N65" s="47"/>
      <c r="O65" s="319"/>
      <c r="P65" s="646"/>
      <c r="R65" s="5"/>
      <c r="S65" s="5"/>
      <c r="T65" s="319"/>
      <c r="U65" s="646"/>
      <c r="W65" s="5"/>
      <c r="X65" s="5"/>
      <c r="Y65" s="319"/>
      <c r="Z65" s="646"/>
      <c r="AA65" s="328">
        <f t="shared" si="10"/>
        <v>0</v>
      </c>
      <c r="AB65" s="298">
        <f t="shared" si="11"/>
        <v>0</v>
      </c>
      <c r="AD65" s="47"/>
      <c r="AE65" s="47"/>
      <c r="AF65" s="319"/>
      <c r="AG65" s="328">
        <f t="shared" si="12"/>
        <v>0</v>
      </c>
      <c r="AI65" s="255"/>
      <c r="AJ65" s="180"/>
      <c r="AK65" s="193"/>
      <c r="AL65" s="193"/>
      <c r="AM65" s="193"/>
      <c r="AN65" s="193"/>
      <c r="AO65" s="193"/>
      <c r="AP65" s="193"/>
      <c r="AQ65" s="180"/>
      <c r="AR65" s="180"/>
      <c r="AS65" s="180"/>
      <c r="AT65" s="180"/>
      <c r="AU65" s="180"/>
      <c r="AV65" s="180"/>
      <c r="AW65" s="180"/>
    </row>
    <row r="66" spans="1:49" s="4" customFormat="1">
      <c r="A66" s="180"/>
      <c r="B66" s="502" t="s">
        <v>483</v>
      </c>
      <c r="C66" s="47"/>
      <c r="D66" s="47"/>
      <c r="E66" s="319">
        <v>7</v>
      </c>
      <c r="F66" s="646"/>
      <c r="H66" s="47"/>
      <c r="I66" s="47"/>
      <c r="J66" s="319">
        <v>8</v>
      </c>
      <c r="K66" s="646"/>
      <c r="M66" s="441"/>
      <c r="N66" s="47"/>
      <c r="O66" s="319">
        <v>8</v>
      </c>
      <c r="P66" s="646"/>
      <c r="R66" s="47"/>
      <c r="S66" s="47"/>
      <c r="T66" s="319">
        <v>8</v>
      </c>
      <c r="U66" s="646"/>
      <c r="W66" s="47"/>
      <c r="X66" s="47"/>
      <c r="Y66" s="319">
        <v>8</v>
      </c>
      <c r="Z66" s="646"/>
      <c r="AA66" s="328">
        <f t="shared" si="10"/>
        <v>39</v>
      </c>
      <c r="AB66" s="298">
        <f t="shared" si="11"/>
        <v>0</v>
      </c>
      <c r="AD66" s="47"/>
      <c r="AE66" s="47"/>
      <c r="AF66" s="319"/>
      <c r="AG66" s="328">
        <f t="shared" si="12"/>
        <v>0</v>
      </c>
      <c r="AI66" s="255"/>
      <c r="AJ66" s="180"/>
      <c r="AK66" s="193"/>
      <c r="AL66" s="193"/>
      <c r="AM66" s="193"/>
      <c r="AN66" s="193"/>
      <c r="AO66" s="193"/>
      <c r="AP66" s="193"/>
      <c r="AQ66" s="180"/>
      <c r="AR66" s="180"/>
      <c r="AS66" s="180"/>
      <c r="AT66" s="180"/>
      <c r="AU66" s="180"/>
      <c r="AV66" s="180"/>
      <c r="AW66" s="180"/>
    </row>
    <row r="67" spans="1:49" s="4" customFormat="1">
      <c r="A67" s="180"/>
      <c r="B67" s="502" t="s">
        <v>484</v>
      </c>
      <c r="C67" s="47"/>
      <c r="D67" s="47"/>
      <c r="E67" s="319">
        <v>7</v>
      </c>
      <c r="F67" s="646"/>
      <c r="H67" s="47"/>
      <c r="I67" s="47"/>
      <c r="J67" s="319">
        <v>8</v>
      </c>
      <c r="K67" s="646"/>
      <c r="M67" s="441"/>
      <c r="N67" s="47"/>
      <c r="O67" s="319">
        <v>8</v>
      </c>
      <c r="P67" s="646"/>
      <c r="R67" s="47"/>
      <c r="S67" s="47"/>
      <c r="T67" s="319">
        <v>8</v>
      </c>
      <c r="U67" s="646"/>
      <c r="W67" s="47"/>
      <c r="X67" s="47"/>
      <c r="Y67" s="319">
        <v>8</v>
      </c>
      <c r="Z67" s="646"/>
      <c r="AA67" s="328">
        <f t="shared" si="10"/>
        <v>39</v>
      </c>
      <c r="AB67" s="298">
        <f t="shared" si="11"/>
        <v>0</v>
      </c>
      <c r="AD67" s="47"/>
      <c r="AE67" s="47"/>
      <c r="AF67" s="319"/>
      <c r="AG67" s="328">
        <f t="shared" si="12"/>
        <v>0</v>
      </c>
      <c r="AI67" s="255"/>
      <c r="AJ67" s="180"/>
      <c r="AK67" s="193"/>
      <c r="AL67" s="193"/>
      <c r="AM67" s="193"/>
      <c r="AN67" s="193"/>
      <c r="AO67" s="193"/>
      <c r="AP67" s="193"/>
      <c r="AQ67" s="180"/>
      <c r="AR67" s="180"/>
      <c r="AS67" s="180"/>
      <c r="AT67" s="180"/>
      <c r="AU67" s="180"/>
      <c r="AV67" s="180"/>
      <c r="AW67" s="180"/>
    </row>
    <row r="68" spans="1:49" s="4" customFormat="1">
      <c r="A68" s="180"/>
      <c r="B68" s="502" t="s">
        <v>485</v>
      </c>
      <c r="C68" s="47"/>
      <c r="D68" s="47"/>
      <c r="E68" s="319">
        <v>7</v>
      </c>
      <c r="F68" s="646"/>
      <c r="H68" s="47"/>
      <c r="I68" s="47"/>
      <c r="J68" s="319">
        <v>8</v>
      </c>
      <c r="K68" s="646"/>
      <c r="M68" s="47"/>
      <c r="N68" s="47"/>
      <c r="O68" s="319">
        <v>8</v>
      </c>
      <c r="P68" s="646"/>
      <c r="R68" s="47"/>
      <c r="S68" s="47"/>
      <c r="T68" s="319">
        <v>8</v>
      </c>
      <c r="U68" s="646"/>
      <c r="W68" s="47"/>
      <c r="X68" s="47"/>
      <c r="Y68" s="319">
        <v>8</v>
      </c>
      <c r="Z68" s="646"/>
      <c r="AA68" s="328">
        <f t="shared" si="10"/>
        <v>39</v>
      </c>
      <c r="AB68" s="298">
        <f t="shared" si="11"/>
        <v>0</v>
      </c>
      <c r="AD68" s="47"/>
      <c r="AE68" s="47"/>
      <c r="AF68" s="319"/>
      <c r="AG68" s="328">
        <f t="shared" si="12"/>
        <v>0</v>
      </c>
      <c r="AI68" s="255"/>
      <c r="AJ68" s="180"/>
      <c r="AK68" s="193"/>
      <c r="AL68" s="193"/>
      <c r="AM68" s="193"/>
      <c r="AN68" s="193"/>
      <c r="AO68" s="193"/>
      <c r="AP68" s="193"/>
      <c r="AQ68" s="180"/>
      <c r="AR68" s="180"/>
      <c r="AS68" s="180"/>
      <c r="AT68" s="180"/>
      <c r="AU68" s="180"/>
      <c r="AV68" s="180"/>
      <c r="AW68" s="180"/>
    </row>
    <row r="69" spans="1:49" s="4" customFormat="1">
      <c r="A69" s="180"/>
      <c r="B69" s="502" t="s">
        <v>486</v>
      </c>
      <c r="C69" s="47"/>
      <c r="D69" s="47"/>
      <c r="E69" s="319"/>
      <c r="F69" s="646"/>
      <c r="H69" s="47"/>
      <c r="I69" s="47"/>
      <c r="J69" s="319"/>
      <c r="K69" s="646"/>
      <c r="M69" s="5"/>
      <c r="N69" s="5"/>
      <c r="O69" s="319"/>
      <c r="P69" s="646"/>
      <c r="R69" s="5"/>
      <c r="S69" s="5"/>
      <c r="T69" s="319"/>
      <c r="U69" s="646"/>
      <c r="W69" s="5"/>
      <c r="X69" s="5"/>
      <c r="Y69" s="319"/>
      <c r="Z69" s="646"/>
      <c r="AA69" s="328">
        <f t="shared" si="10"/>
        <v>0</v>
      </c>
      <c r="AB69" s="298">
        <f t="shared" si="11"/>
        <v>0</v>
      </c>
      <c r="AD69" s="47"/>
      <c r="AE69" s="47"/>
      <c r="AF69" s="319"/>
      <c r="AG69" s="328">
        <f t="shared" si="12"/>
        <v>0</v>
      </c>
      <c r="AI69" s="255"/>
      <c r="AJ69" s="180"/>
      <c r="AK69" s="193"/>
      <c r="AL69" s="193"/>
      <c r="AM69" s="193"/>
      <c r="AN69" s="193"/>
      <c r="AO69" s="193"/>
      <c r="AP69" s="193"/>
      <c r="AQ69" s="180"/>
      <c r="AR69" s="180"/>
      <c r="AS69" s="180"/>
      <c r="AT69" s="180"/>
      <c r="AU69" s="180"/>
      <c r="AV69" s="180"/>
      <c r="AW69" s="180"/>
    </row>
    <row r="70" spans="1:49" s="4" customFormat="1">
      <c r="A70" s="180"/>
      <c r="B70" s="63" t="s">
        <v>1116</v>
      </c>
      <c r="C70" s="47"/>
      <c r="D70" s="47"/>
      <c r="E70" s="319">
        <v>8</v>
      </c>
      <c r="F70" s="646"/>
      <c r="H70" s="47"/>
      <c r="I70" s="47"/>
      <c r="J70" s="319">
        <v>8</v>
      </c>
      <c r="K70" s="646"/>
      <c r="M70" s="47"/>
      <c r="N70" s="47"/>
      <c r="O70" s="319">
        <v>8</v>
      </c>
      <c r="P70" s="646"/>
      <c r="R70" s="663"/>
      <c r="S70" s="663"/>
      <c r="T70" s="319">
        <v>8</v>
      </c>
      <c r="U70" s="646"/>
      <c r="W70" s="663"/>
      <c r="X70" s="663"/>
      <c r="Y70" s="319">
        <v>8</v>
      </c>
      <c r="Z70" s="646"/>
      <c r="AA70" s="328">
        <f t="shared" ref="AA70" si="13">(E70+J70+O70+T70+Y70)</f>
        <v>40</v>
      </c>
      <c r="AB70" s="298">
        <f t="shared" ref="AB70" si="14">Z70+U70+P70+K70+F70</f>
        <v>0</v>
      </c>
      <c r="AD70" s="47"/>
      <c r="AE70" s="47"/>
      <c r="AF70" s="319"/>
      <c r="AG70" s="328">
        <f t="shared" ref="AG70" si="15">AF70</f>
        <v>0</v>
      </c>
      <c r="AI70" s="255"/>
      <c r="AJ70" s="180"/>
      <c r="AK70" s="193"/>
      <c r="AL70" s="193"/>
      <c r="AM70" s="193"/>
      <c r="AN70" s="193"/>
      <c r="AO70" s="193"/>
      <c r="AP70" s="193"/>
      <c r="AQ70" s="180"/>
      <c r="AR70" s="180"/>
      <c r="AS70" s="180"/>
      <c r="AT70" s="180"/>
      <c r="AU70" s="180"/>
      <c r="AV70" s="180"/>
      <c r="AW70" s="180"/>
    </row>
    <row r="71" spans="1:49" s="4" customFormat="1">
      <c r="A71" s="180"/>
      <c r="B71" s="63" t="s">
        <v>63</v>
      </c>
      <c r="C71" s="47"/>
      <c r="D71" s="47"/>
      <c r="E71" s="319">
        <v>8</v>
      </c>
      <c r="F71" s="646">
        <v>0.25</v>
      </c>
      <c r="H71" s="47"/>
      <c r="I71" s="47"/>
      <c r="J71" s="319">
        <v>8</v>
      </c>
      <c r="K71" s="646"/>
      <c r="M71" s="47"/>
      <c r="N71" s="47"/>
      <c r="O71" s="319">
        <v>8</v>
      </c>
      <c r="P71" s="646"/>
      <c r="R71" s="663"/>
      <c r="S71" s="663"/>
      <c r="T71" s="319">
        <v>8</v>
      </c>
      <c r="U71" s="646">
        <v>1.5</v>
      </c>
      <c r="W71" s="663"/>
      <c r="X71" s="663"/>
      <c r="Y71" s="319">
        <v>8</v>
      </c>
      <c r="Z71" s="646"/>
      <c r="AA71" s="328">
        <f t="shared" si="10"/>
        <v>40</v>
      </c>
      <c r="AB71" s="298">
        <f t="shared" si="11"/>
        <v>1.75</v>
      </c>
      <c r="AD71" s="47"/>
      <c r="AE71" s="47"/>
      <c r="AF71" s="319"/>
      <c r="AG71" s="328">
        <f t="shared" si="12"/>
        <v>0</v>
      </c>
      <c r="AI71" s="255"/>
      <c r="AJ71" s="180"/>
      <c r="AK71" s="193"/>
      <c r="AL71" s="193"/>
      <c r="AM71" s="193"/>
      <c r="AN71" s="193"/>
      <c r="AO71" s="193"/>
      <c r="AP71" s="193"/>
      <c r="AQ71" s="180"/>
      <c r="AR71" s="180"/>
      <c r="AS71" s="180"/>
      <c r="AT71" s="180"/>
      <c r="AU71" s="180"/>
      <c r="AV71" s="180"/>
      <c r="AW71" s="180"/>
    </row>
    <row r="72" spans="1:49" s="4" customFormat="1">
      <c r="A72" s="180"/>
      <c r="B72" s="267" t="s">
        <v>358</v>
      </c>
      <c r="C72" s="47"/>
      <c r="D72" s="47"/>
      <c r="E72" s="319">
        <v>6</v>
      </c>
      <c r="F72" s="646"/>
      <c r="H72" s="47"/>
      <c r="I72" s="47"/>
      <c r="J72" s="319">
        <v>6</v>
      </c>
      <c r="K72" s="646"/>
      <c r="L72" s="438"/>
      <c r="M72" s="663"/>
      <c r="N72" s="663"/>
      <c r="O72" s="319">
        <v>6</v>
      </c>
      <c r="P72" s="646"/>
      <c r="Q72" s="438"/>
      <c r="R72" s="663"/>
      <c r="S72" s="663"/>
      <c r="T72" s="319">
        <v>6</v>
      </c>
      <c r="U72" s="646"/>
      <c r="V72" s="438"/>
      <c r="W72" s="663"/>
      <c r="X72" s="663"/>
      <c r="Y72" s="319">
        <v>6</v>
      </c>
      <c r="Z72" s="646"/>
      <c r="AA72" s="328">
        <f t="shared" si="10"/>
        <v>30</v>
      </c>
      <c r="AB72" s="298">
        <f t="shared" si="11"/>
        <v>0</v>
      </c>
      <c r="AD72" s="47"/>
      <c r="AE72" s="47"/>
      <c r="AF72" s="319"/>
      <c r="AG72" s="328">
        <f t="shared" si="12"/>
        <v>0</v>
      </c>
      <c r="AI72" s="255"/>
      <c r="AJ72" s="180"/>
      <c r="AK72" s="193"/>
      <c r="AL72" s="193"/>
      <c r="AM72" s="193"/>
      <c r="AN72" s="193"/>
      <c r="AO72" s="193"/>
      <c r="AP72" s="193"/>
      <c r="AQ72" s="180"/>
      <c r="AR72" s="180"/>
      <c r="AS72" s="180"/>
      <c r="AT72" s="180"/>
      <c r="AU72" s="180"/>
      <c r="AV72" s="180"/>
      <c r="AW72" s="180"/>
    </row>
    <row r="73" spans="1:49" s="193" customFormat="1">
      <c r="A73" s="180"/>
      <c r="B73" s="267" t="s">
        <v>991</v>
      </c>
      <c r="C73" s="47"/>
      <c r="D73" s="47"/>
      <c r="E73" s="319"/>
      <c r="F73" s="646"/>
      <c r="G73" s="4"/>
      <c r="H73" s="47"/>
      <c r="I73" s="47"/>
      <c r="J73" s="319"/>
      <c r="K73" s="646"/>
      <c r="L73" s="438"/>
      <c r="M73" s="5"/>
      <c r="N73" s="5"/>
      <c r="O73" s="319"/>
      <c r="P73" s="646"/>
      <c r="Q73" s="438"/>
      <c r="R73" s="5"/>
      <c r="S73" s="5"/>
      <c r="T73" s="319"/>
      <c r="U73" s="646"/>
      <c r="V73" s="438"/>
      <c r="W73" s="5"/>
      <c r="X73" s="5"/>
      <c r="Y73" s="319"/>
      <c r="Z73" s="646"/>
      <c r="AA73" s="328">
        <f t="shared" si="10"/>
        <v>0</v>
      </c>
      <c r="AB73" s="298">
        <f t="shared" si="11"/>
        <v>0</v>
      </c>
      <c r="AC73" s="4"/>
      <c r="AD73" s="47"/>
      <c r="AE73" s="47"/>
      <c r="AF73" s="319"/>
      <c r="AG73" s="328">
        <f t="shared" si="12"/>
        <v>0</v>
      </c>
      <c r="AH73" s="4"/>
      <c r="AI73" s="255"/>
      <c r="AJ73" s="180"/>
      <c r="AQ73" s="180"/>
      <c r="AR73" s="180"/>
      <c r="AS73" s="180"/>
      <c r="AT73" s="180"/>
      <c r="AU73" s="180"/>
      <c r="AV73" s="180"/>
      <c r="AW73" s="180"/>
    </row>
    <row r="74" spans="1:49" s="193" customFormat="1">
      <c r="A74" s="180"/>
      <c r="B74" s="267" t="s">
        <v>411</v>
      </c>
      <c r="C74" s="47"/>
      <c r="D74" s="47"/>
      <c r="E74" s="319"/>
      <c r="F74" s="646"/>
      <c r="G74" s="4"/>
      <c r="H74" s="47"/>
      <c r="I74" s="47"/>
      <c r="J74" s="319"/>
      <c r="K74" s="646"/>
      <c r="L74" s="438"/>
      <c r="M74" s="5"/>
      <c r="N74" s="5"/>
      <c r="O74" s="319"/>
      <c r="P74" s="646"/>
      <c r="Q74" s="438"/>
      <c r="R74" s="5"/>
      <c r="S74" s="5"/>
      <c r="T74" s="319"/>
      <c r="U74" s="646"/>
      <c r="V74" s="438"/>
      <c r="W74" s="5"/>
      <c r="X74" s="5"/>
      <c r="Y74" s="319"/>
      <c r="Z74" s="646"/>
      <c r="AA74" s="328">
        <f t="shared" si="10"/>
        <v>0</v>
      </c>
      <c r="AB74" s="298">
        <f t="shared" si="11"/>
        <v>0</v>
      </c>
      <c r="AC74" s="4"/>
      <c r="AD74" s="47"/>
      <c r="AE74" s="47"/>
      <c r="AF74" s="319"/>
      <c r="AG74" s="328">
        <f t="shared" si="12"/>
        <v>0</v>
      </c>
      <c r="AH74" s="4"/>
      <c r="AI74" s="255"/>
      <c r="AJ74" s="180"/>
      <c r="AQ74" s="180"/>
      <c r="AR74" s="180"/>
      <c r="AS74" s="180"/>
      <c r="AT74" s="180"/>
      <c r="AU74" s="180"/>
      <c r="AV74" s="180"/>
      <c r="AW74" s="180"/>
    </row>
    <row r="75" spans="1:49" s="193" customFormat="1">
      <c r="A75" s="180"/>
      <c r="B75" s="267" t="s">
        <v>361</v>
      </c>
      <c r="C75" s="47"/>
      <c r="D75" s="47"/>
      <c r="E75" s="319"/>
      <c r="F75" s="646"/>
      <c r="G75" s="4"/>
      <c r="H75" s="47"/>
      <c r="I75" s="47"/>
      <c r="J75" s="319"/>
      <c r="K75" s="646"/>
      <c r="L75" s="438"/>
      <c r="M75" s="5"/>
      <c r="N75" s="5"/>
      <c r="O75" s="319"/>
      <c r="P75" s="646"/>
      <c r="Q75" s="438"/>
      <c r="R75" s="5"/>
      <c r="S75" s="5"/>
      <c r="T75" s="319"/>
      <c r="U75" s="646"/>
      <c r="V75" s="438"/>
      <c r="W75" s="5"/>
      <c r="X75" s="5"/>
      <c r="Y75" s="319"/>
      <c r="Z75" s="646"/>
      <c r="AA75" s="328">
        <f t="shared" si="10"/>
        <v>0</v>
      </c>
      <c r="AB75" s="298">
        <f t="shared" si="11"/>
        <v>0</v>
      </c>
      <c r="AC75" s="4"/>
      <c r="AD75" s="47"/>
      <c r="AE75" s="47"/>
      <c r="AF75" s="319"/>
      <c r="AG75" s="328">
        <f t="shared" si="12"/>
        <v>0</v>
      </c>
      <c r="AH75" s="4"/>
      <c r="AI75" s="255"/>
      <c r="AJ75" s="180"/>
      <c r="AQ75" s="180"/>
      <c r="AR75" s="180"/>
      <c r="AS75" s="180"/>
      <c r="AT75" s="180"/>
      <c r="AU75" s="180"/>
      <c r="AV75" s="180"/>
      <c r="AW75" s="180"/>
    </row>
    <row r="76" spans="1:49" s="193" customFormat="1">
      <c r="A76" s="180"/>
      <c r="B76" s="267" t="s">
        <v>362</v>
      </c>
      <c r="C76" s="47"/>
      <c r="D76" s="47"/>
      <c r="E76" s="319">
        <v>1</v>
      </c>
      <c r="F76" s="646"/>
      <c r="G76" s="4"/>
      <c r="H76" s="47"/>
      <c r="I76" s="47"/>
      <c r="J76" s="319">
        <v>2</v>
      </c>
      <c r="K76" s="646"/>
      <c r="L76" s="438"/>
      <c r="M76" s="47"/>
      <c r="N76" s="47"/>
      <c r="O76" s="319">
        <v>2</v>
      </c>
      <c r="P76" s="646"/>
      <c r="Q76" s="438"/>
      <c r="R76" s="47"/>
      <c r="S76" s="47"/>
      <c r="T76" s="319">
        <v>2</v>
      </c>
      <c r="U76" s="646"/>
      <c r="V76" s="438"/>
      <c r="W76" s="5"/>
      <c r="X76" s="5"/>
      <c r="Y76" s="319">
        <v>1</v>
      </c>
      <c r="Z76" s="646"/>
      <c r="AA76" s="328">
        <f t="shared" si="10"/>
        <v>8</v>
      </c>
      <c r="AB76" s="298">
        <f t="shared" si="11"/>
        <v>0</v>
      </c>
      <c r="AC76" s="4"/>
      <c r="AD76" s="47"/>
      <c r="AE76" s="47"/>
      <c r="AF76" s="319"/>
      <c r="AG76" s="328">
        <f t="shared" si="12"/>
        <v>0</v>
      </c>
      <c r="AH76" s="4"/>
      <c r="AI76" s="255"/>
      <c r="AJ76" s="180"/>
      <c r="AQ76" s="180"/>
      <c r="AR76" s="180"/>
      <c r="AS76" s="180"/>
      <c r="AT76" s="180"/>
      <c r="AU76" s="180"/>
      <c r="AV76" s="180"/>
      <c r="AW76" s="180"/>
    </row>
    <row r="77" spans="1:49" s="193" customFormat="1">
      <c r="A77" s="180"/>
      <c r="B77" s="437" t="s">
        <v>355</v>
      </c>
      <c r="C77" s="47"/>
      <c r="D77" s="47"/>
      <c r="E77" s="319">
        <v>7.7</v>
      </c>
      <c r="F77" s="646"/>
      <c r="G77" s="438"/>
      <c r="H77" s="5"/>
      <c r="I77" s="5"/>
      <c r="J77" s="319">
        <v>7.7</v>
      </c>
      <c r="K77" s="646"/>
      <c r="L77" s="438"/>
      <c r="M77" s="5"/>
      <c r="N77" s="5"/>
      <c r="O77" s="319">
        <v>7.7</v>
      </c>
      <c r="P77" s="646"/>
      <c r="Q77" s="438"/>
      <c r="R77" s="5"/>
      <c r="S77" s="5"/>
      <c r="T77" s="319">
        <v>7.7</v>
      </c>
      <c r="U77" s="646"/>
      <c r="V77" s="438"/>
      <c r="W77" s="5"/>
      <c r="X77" s="5"/>
      <c r="Y77" s="319">
        <v>7.7</v>
      </c>
      <c r="Z77" s="646"/>
      <c r="AA77" s="328">
        <f t="shared" si="10"/>
        <v>38.5</v>
      </c>
      <c r="AB77" s="298">
        <f t="shared" si="11"/>
        <v>0</v>
      </c>
      <c r="AC77" s="4"/>
      <c r="AD77" s="47"/>
      <c r="AE77" s="47"/>
      <c r="AF77" s="319"/>
      <c r="AG77" s="328">
        <f t="shared" si="12"/>
        <v>0</v>
      </c>
      <c r="AH77" s="4"/>
      <c r="AI77" s="255"/>
      <c r="AJ77" s="180"/>
      <c r="AQ77" s="180"/>
      <c r="AR77" s="180"/>
      <c r="AS77" s="180"/>
      <c r="AT77" s="180"/>
      <c r="AU77" s="180"/>
      <c r="AV77" s="180"/>
      <c r="AW77" s="180"/>
    </row>
    <row r="78" spans="1:49" s="193" customFormat="1">
      <c r="A78" s="180"/>
      <c r="B78" s="437" t="s">
        <v>356</v>
      </c>
      <c r="C78" s="713"/>
      <c r="D78" s="713"/>
      <c r="E78" s="713"/>
      <c r="F78" s="646"/>
      <c r="G78" s="438"/>
      <c r="H78" s="5"/>
      <c r="I78" s="5"/>
      <c r="J78" s="319"/>
      <c r="K78" s="646"/>
      <c r="L78" s="438"/>
      <c r="M78" s="5"/>
      <c r="N78" s="5"/>
      <c r="O78" s="319"/>
      <c r="P78" s="646"/>
      <c r="Q78" s="438"/>
      <c r="R78" s="5"/>
      <c r="S78" s="5"/>
      <c r="T78" s="319"/>
      <c r="U78" s="646"/>
      <c r="V78" s="438"/>
      <c r="W78" s="5"/>
      <c r="X78" s="5"/>
      <c r="Y78" s="319"/>
      <c r="Z78" s="646"/>
      <c r="AA78" s="328">
        <f t="shared" si="10"/>
        <v>0</v>
      </c>
      <c r="AB78" s="298">
        <f t="shared" si="11"/>
        <v>0</v>
      </c>
      <c r="AC78" s="4"/>
      <c r="AD78" s="47"/>
      <c r="AE78" s="47"/>
      <c r="AF78" s="319"/>
      <c r="AG78" s="328">
        <f t="shared" si="12"/>
        <v>0</v>
      </c>
      <c r="AH78" s="4"/>
      <c r="AI78" s="255"/>
      <c r="AJ78" s="180"/>
      <c r="AQ78" s="180"/>
      <c r="AR78" s="180"/>
      <c r="AS78" s="180"/>
      <c r="AT78" s="180"/>
      <c r="AU78" s="180"/>
      <c r="AV78" s="180"/>
      <c r="AW78" s="180"/>
    </row>
    <row r="79" spans="1:49" s="193" customFormat="1">
      <c r="A79" s="180"/>
      <c r="B79" s="64" t="s">
        <v>61</v>
      </c>
      <c r="C79" s="31"/>
      <c r="D79" s="31"/>
      <c r="E79" s="439"/>
      <c r="F79" s="646"/>
      <c r="G79" s="31"/>
      <c r="H79" s="31"/>
      <c r="I79" s="31"/>
      <c r="J79" s="439"/>
      <c r="K79" s="646"/>
      <c r="L79" s="31"/>
      <c r="M79" s="31"/>
      <c r="N79" s="31"/>
      <c r="O79" s="439"/>
      <c r="P79" s="646"/>
      <c r="Q79" s="31"/>
      <c r="R79" s="31"/>
      <c r="S79" s="31"/>
      <c r="T79" s="439"/>
      <c r="U79" s="646"/>
      <c r="V79" s="31"/>
      <c r="W79" s="31"/>
      <c r="X79" s="31"/>
      <c r="Y79" s="439"/>
      <c r="Z79" s="646"/>
      <c r="AA79" s="370">
        <f>SUM(AA54:AA78)</f>
        <v>607.25</v>
      </c>
      <c r="AB79" s="370">
        <f>SUM(AB54:AB78)</f>
        <v>3.5</v>
      </c>
      <c r="AC79" s="4"/>
      <c r="AD79" s="64"/>
      <c r="AE79" s="64"/>
      <c r="AF79" s="370">
        <f>SUM(AF54:AF78)</f>
        <v>0</v>
      </c>
      <c r="AG79" s="370">
        <f>SUM(AG54:AG78)</f>
        <v>0</v>
      </c>
      <c r="AH79" s="4"/>
      <c r="AI79" s="255"/>
      <c r="AJ79" s="180"/>
      <c r="AK79" s="407"/>
      <c r="AQ79" s="180"/>
      <c r="AR79" s="180"/>
      <c r="AS79" s="180"/>
      <c r="AT79" s="180"/>
      <c r="AU79" s="180"/>
      <c r="AV79" s="180"/>
      <c r="AW79" s="180"/>
    </row>
    <row r="80" spans="1:49" s="193" customFormat="1">
      <c r="A80" s="180"/>
      <c r="B80" s="63" t="s">
        <v>64</v>
      </c>
      <c r="C80" s="47"/>
      <c r="D80" s="47"/>
      <c r="E80" s="319">
        <v>8</v>
      </c>
      <c r="F80" s="346">
        <v>0.5</v>
      </c>
      <c r="G80" s="613"/>
      <c r="H80" s="47"/>
      <c r="I80" s="47"/>
      <c r="J80" s="319">
        <v>8</v>
      </c>
      <c r="K80" s="346">
        <v>1</v>
      </c>
      <c r="L80" s="60"/>
      <c r="M80" s="47"/>
      <c r="N80" s="47"/>
      <c r="O80" s="319">
        <v>8</v>
      </c>
      <c r="P80" s="346">
        <v>0.75</v>
      </c>
      <c r="Q80" s="60"/>
      <c r="R80" s="47"/>
      <c r="S80" s="47"/>
      <c r="T80" s="319">
        <v>8</v>
      </c>
      <c r="U80" s="346">
        <f>0.75+0.5+0.25</f>
        <v>1.5</v>
      </c>
      <c r="V80" s="60"/>
      <c r="W80" s="47"/>
      <c r="X80" s="47"/>
      <c r="Y80" s="319">
        <v>8</v>
      </c>
      <c r="Z80" s="346">
        <v>1</v>
      </c>
      <c r="AA80" s="28">
        <f>SUM(E80+J80+O80+T80+Y80)</f>
        <v>40</v>
      </c>
      <c r="AB80" s="296">
        <f>Z80+U80+P80+K80+F80</f>
        <v>4.75</v>
      </c>
      <c r="AC80" s="4"/>
      <c r="AD80" s="47" t="s">
        <v>29</v>
      </c>
      <c r="AE80" s="47" t="s">
        <v>29</v>
      </c>
      <c r="AF80" s="319"/>
      <c r="AG80" s="29">
        <f>AF80</f>
        <v>0</v>
      </c>
      <c r="AH80" s="4"/>
      <c r="AI80" s="255"/>
      <c r="AJ80" s="180"/>
      <c r="AK80" s="407"/>
      <c r="AQ80" s="180"/>
      <c r="AR80" s="180"/>
      <c r="AS80" s="180"/>
      <c r="AT80" s="180"/>
      <c r="AU80" s="180"/>
      <c r="AV80" s="180"/>
      <c r="AW80" s="180"/>
    </row>
    <row r="81" spans="1:49" s="193" customFormat="1">
      <c r="A81" s="180"/>
      <c r="B81" s="71" t="s">
        <v>66</v>
      </c>
      <c r="C81" s="371"/>
      <c r="D81" s="371"/>
      <c r="E81" s="71"/>
      <c r="F81" s="613"/>
      <c r="G81" s="71"/>
      <c r="H81" s="71"/>
      <c r="I81" s="71"/>
      <c r="J81" s="71"/>
      <c r="K81" s="613"/>
      <c r="L81" s="71"/>
      <c r="M81" s="71"/>
      <c r="N81" s="71"/>
      <c r="O81" s="71"/>
      <c r="P81" s="613"/>
      <c r="Q81" s="71"/>
      <c r="R81" s="71"/>
      <c r="S81" s="71"/>
      <c r="T81" s="71"/>
      <c r="U81" s="613"/>
      <c r="V81" s="71"/>
      <c r="W81" s="71"/>
      <c r="X81" s="71"/>
      <c r="Y81" s="71"/>
      <c r="Z81" s="613"/>
      <c r="AA81" s="370">
        <f>SUM(AA80:AA80)</f>
        <v>40</v>
      </c>
      <c r="AB81" s="370">
        <f>SUM(AB80:AB80)</f>
        <v>4.75</v>
      </c>
      <c r="AC81" s="4"/>
      <c r="AD81" s="180"/>
      <c r="AE81" s="180"/>
      <c r="AF81" s="180"/>
      <c r="AG81" s="370">
        <f>SUM(AG80:AG80)</f>
        <v>0</v>
      </c>
      <c r="AH81" s="4"/>
      <c r="AI81" s="255"/>
      <c r="AJ81" s="180"/>
      <c r="AK81" s="407"/>
      <c r="AQ81" s="180"/>
      <c r="AR81" s="180"/>
      <c r="AS81" s="180"/>
      <c r="AT81" s="180"/>
      <c r="AU81" s="180"/>
      <c r="AV81" s="180"/>
      <c r="AW81" s="180"/>
    </row>
    <row r="82" spans="1:49" s="193" customFormat="1">
      <c r="A82" s="180"/>
      <c r="B82" s="217" t="s">
        <v>67</v>
      </c>
      <c r="C82" s="207">
        <f>C83+C84</f>
        <v>47</v>
      </c>
      <c r="D82" s="207"/>
      <c r="E82" s="209"/>
      <c r="F82" s="209"/>
      <c r="G82" s="207"/>
      <c r="H82" s="209"/>
      <c r="I82" s="209"/>
      <c r="J82" s="209"/>
      <c r="K82" s="209"/>
      <c r="L82" s="207"/>
      <c r="M82" s="207"/>
      <c r="N82" s="207"/>
      <c r="O82" s="207"/>
      <c r="P82" s="209"/>
      <c r="Q82" s="207"/>
      <c r="R82" s="207"/>
      <c r="S82" s="207"/>
      <c r="T82" s="207"/>
      <c r="U82" s="209"/>
      <c r="V82" s="207"/>
      <c r="W82" s="207"/>
      <c r="X82" s="207"/>
      <c r="Y82" s="210"/>
      <c r="Z82" s="209"/>
      <c r="AA82" s="211"/>
      <c r="AB82" s="209"/>
      <c r="AC82" s="211"/>
      <c r="AD82" s="211"/>
      <c r="AE82" s="211"/>
      <c r="AF82" s="211"/>
      <c r="AG82" s="211"/>
      <c r="AH82" s="4"/>
      <c r="AI82" s="255"/>
      <c r="AJ82" s="180"/>
      <c r="AQ82" s="180"/>
      <c r="AR82" s="180"/>
      <c r="AS82" s="180"/>
      <c r="AT82" s="180"/>
      <c r="AU82" s="180"/>
      <c r="AV82" s="180"/>
      <c r="AW82" s="180"/>
    </row>
    <row r="83" spans="1:49" s="193" customFormat="1">
      <c r="A83" s="180"/>
      <c r="B83" s="238" t="s">
        <v>68</v>
      </c>
      <c r="C83" s="239">
        <f>11+11+12+10+1</f>
        <v>45</v>
      </c>
      <c r="D83" s="207"/>
      <c r="E83" s="209"/>
      <c r="F83" s="209"/>
      <c r="G83" s="207"/>
      <c r="H83" s="209"/>
      <c r="I83" s="209"/>
      <c r="J83" s="209"/>
      <c r="K83" s="209"/>
      <c r="L83" s="207"/>
      <c r="M83" s="207"/>
      <c r="N83" s="207"/>
      <c r="O83" s="207"/>
      <c r="P83" s="209"/>
      <c r="Q83" s="207"/>
      <c r="R83" s="207"/>
      <c r="S83" s="207"/>
      <c r="T83" s="207"/>
      <c r="U83" s="209"/>
      <c r="V83" s="207"/>
      <c r="W83" s="207"/>
      <c r="X83" s="207"/>
      <c r="Y83" s="210"/>
      <c r="Z83" s="209"/>
      <c r="AA83" s="211"/>
      <c r="AB83" s="209"/>
      <c r="AC83" s="211"/>
      <c r="AD83" s="211"/>
      <c r="AE83" s="211"/>
      <c r="AF83" s="211"/>
      <c r="AG83" s="211"/>
      <c r="AH83" s="4"/>
      <c r="AI83" s="255"/>
      <c r="AJ83" s="180"/>
      <c r="AQ83" s="180"/>
      <c r="AR83" s="180"/>
      <c r="AS83" s="180"/>
      <c r="AT83" s="180"/>
      <c r="AU83" s="180"/>
      <c r="AV83" s="180"/>
      <c r="AW83" s="180"/>
    </row>
    <row r="84" spans="1:49" s="193" customFormat="1">
      <c r="A84" s="180"/>
      <c r="B84" s="238" t="s">
        <v>69</v>
      </c>
      <c r="C84" s="239">
        <v>2</v>
      </c>
      <c r="D84" s="207"/>
      <c r="E84" s="209"/>
      <c r="F84" s="209"/>
      <c r="G84" s="207"/>
      <c r="H84" s="209"/>
      <c r="I84" s="209"/>
      <c r="J84" s="209"/>
      <c r="K84" s="209"/>
      <c r="L84" s="207"/>
      <c r="M84" s="207"/>
      <c r="N84" s="207"/>
      <c r="O84" s="207"/>
      <c r="P84" s="209"/>
      <c r="Q84" s="207"/>
      <c r="R84" s="207"/>
      <c r="S84" s="207"/>
      <c r="T84" s="207"/>
      <c r="U84" s="209"/>
      <c r="V84" s="207"/>
      <c r="W84" s="207"/>
      <c r="X84" s="207"/>
      <c r="Y84" s="210"/>
      <c r="Z84" s="209"/>
      <c r="AA84" s="211"/>
      <c r="AB84" s="209"/>
      <c r="AC84" s="211"/>
      <c r="AD84" s="211"/>
      <c r="AE84" s="211"/>
      <c r="AF84" s="211"/>
      <c r="AG84" s="211"/>
      <c r="AH84" s="4"/>
      <c r="AI84" s="255"/>
      <c r="AJ84" s="180"/>
      <c r="AQ84" s="180"/>
      <c r="AR84" s="180"/>
      <c r="AS84" s="180"/>
      <c r="AT84" s="180"/>
      <c r="AU84" s="180"/>
      <c r="AV84" s="180"/>
      <c r="AW84" s="180"/>
    </row>
    <row r="85" spans="1:49">
      <c r="E85" s="4"/>
      <c r="F85" s="644"/>
      <c r="G85" s="4"/>
      <c r="J85" s="4"/>
      <c r="K85" s="644"/>
      <c r="L85" s="4"/>
      <c r="O85" s="4"/>
      <c r="P85" s="644"/>
      <c r="T85" s="4"/>
      <c r="U85" s="644"/>
      <c r="Y85" s="4"/>
      <c r="Z85" s="644"/>
      <c r="AA85" s="4"/>
      <c r="AB85" s="4"/>
      <c r="AC85" s="4"/>
    </row>
    <row r="86" spans="1:49">
      <c r="A86" s="180"/>
      <c r="B86" s="229"/>
      <c r="C86" s="230"/>
      <c r="D86" s="230"/>
      <c r="E86" s="232"/>
      <c r="F86" s="232"/>
      <c r="G86" s="230"/>
      <c r="H86" s="232"/>
      <c r="I86" s="232"/>
      <c r="J86" s="232"/>
      <c r="K86" s="232"/>
      <c r="L86" s="230"/>
      <c r="M86" s="230"/>
      <c r="N86" s="230"/>
      <c r="O86" s="230"/>
      <c r="P86" s="232"/>
      <c r="Q86" s="230"/>
      <c r="R86" s="230"/>
      <c r="S86" s="230"/>
      <c r="T86" s="230"/>
      <c r="U86" s="232"/>
      <c r="V86" s="230"/>
      <c r="W86" s="230"/>
      <c r="X86" s="230"/>
      <c r="Y86" s="233"/>
      <c r="Z86" s="232"/>
      <c r="AA86" s="234"/>
      <c r="AB86" s="232"/>
      <c r="AC86" s="373"/>
      <c r="AD86" s="236"/>
      <c r="AE86" s="255"/>
      <c r="AF86" s="255"/>
      <c r="AG86" s="255"/>
      <c r="AH86" s="255"/>
      <c r="AJ86" s="255"/>
      <c r="AK86" s="255"/>
      <c r="AL86" s="255"/>
      <c r="AM86" s="255"/>
      <c r="AN86" s="255"/>
      <c r="AO86" s="255"/>
      <c r="AP86" s="255"/>
      <c r="AQ86" s="255"/>
      <c r="AR86" s="255"/>
      <c r="AS86" s="255"/>
      <c r="AT86" s="255"/>
      <c r="AU86" s="255"/>
      <c r="AV86" s="255"/>
      <c r="AW86" s="255"/>
    </row>
    <row r="87" spans="1:49">
      <c r="B87" s="180"/>
      <c r="E87" s="4"/>
      <c r="F87" s="644"/>
      <c r="G87" s="4"/>
      <c r="J87" s="4"/>
      <c r="K87" s="644"/>
      <c r="L87" s="4"/>
      <c r="O87" s="4"/>
      <c r="P87" s="644"/>
      <c r="T87" s="4"/>
      <c r="U87" s="644"/>
      <c r="Y87" s="4"/>
      <c r="Z87" s="644"/>
      <c r="AA87" s="4"/>
      <c r="AB87" s="4"/>
      <c r="AC87" s="4"/>
      <c r="AK87" s="180"/>
      <c r="AL87" s="180"/>
      <c r="AM87" s="180"/>
      <c r="AN87" s="180"/>
      <c r="AO87" s="180"/>
      <c r="AP87" s="180"/>
    </row>
    <row r="88" spans="1:49" ht="10.9" customHeight="1">
      <c r="A88" s="228"/>
      <c r="B88" s="1518" t="s">
        <v>18</v>
      </c>
      <c r="C88" s="1519">
        <v>45726</v>
      </c>
      <c r="D88" s="1519"/>
      <c r="E88" s="1519" t="s">
        <v>564</v>
      </c>
      <c r="F88" s="1519"/>
      <c r="G88" s="365"/>
      <c r="H88" s="1519">
        <v>45727</v>
      </c>
      <c r="I88" s="1519"/>
      <c r="J88" s="1519" t="s">
        <v>565</v>
      </c>
      <c r="K88" s="1519"/>
      <c r="L88" s="365"/>
      <c r="M88" s="1519">
        <v>45728</v>
      </c>
      <c r="N88" s="1519"/>
      <c r="O88" s="1519" t="s">
        <v>566</v>
      </c>
      <c r="P88" s="1519"/>
      <c r="Q88" s="365"/>
      <c r="R88" s="1519">
        <v>45729</v>
      </c>
      <c r="S88" s="1519"/>
      <c r="T88" s="1519" t="s">
        <v>567</v>
      </c>
      <c r="U88" s="1519"/>
      <c r="V88" s="365"/>
      <c r="W88" s="1519">
        <v>45730</v>
      </c>
      <c r="X88" s="1519"/>
      <c r="Y88" s="1519" t="s">
        <v>568</v>
      </c>
      <c r="Z88" s="1519"/>
      <c r="AA88" s="1517" t="s">
        <v>19</v>
      </c>
      <c r="AB88" s="1517" t="s">
        <v>20</v>
      </c>
      <c r="AC88" s="4"/>
      <c r="AD88" s="1519">
        <v>45731</v>
      </c>
      <c r="AE88" s="1519"/>
      <c r="AF88" s="14" t="s">
        <v>1111</v>
      </c>
      <c r="AG88" s="1517" t="s">
        <v>21</v>
      </c>
      <c r="AI88" s="368"/>
      <c r="AK88" s="194" t="s">
        <v>84</v>
      </c>
      <c r="AL88" s="366"/>
      <c r="AM88" s="366"/>
      <c r="AN88" s="366"/>
      <c r="AO88" s="366"/>
      <c r="AP88" s="366"/>
    </row>
    <row r="89" spans="1:49">
      <c r="A89" s="180"/>
      <c r="B89" s="1518"/>
      <c r="C89" s="21" t="s">
        <v>23</v>
      </c>
      <c r="D89" s="21" t="s">
        <v>24</v>
      </c>
      <c r="E89" s="205" t="s">
        <v>25</v>
      </c>
      <c r="F89" s="645" t="s">
        <v>14</v>
      </c>
      <c r="G89" s="4"/>
      <c r="H89" s="21" t="s">
        <v>23</v>
      </c>
      <c r="I89" s="21" t="s">
        <v>24</v>
      </c>
      <c r="J89" s="18" t="s">
        <v>25</v>
      </c>
      <c r="K89" s="645" t="s">
        <v>14</v>
      </c>
      <c r="L89" s="4"/>
      <c r="M89" s="21" t="s">
        <v>23</v>
      </c>
      <c r="N89" s="21" t="s">
        <v>24</v>
      </c>
      <c r="O89" s="18" t="s">
        <v>25</v>
      </c>
      <c r="P89" s="645" t="s">
        <v>14</v>
      </c>
      <c r="R89" s="21" t="s">
        <v>23</v>
      </c>
      <c r="S89" s="21" t="s">
        <v>24</v>
      </c>
      <c r="T89" s="18" t="s">
        <v>25</v>
      </c>
      <c r="U89" s="645" t="s">
        <v>14</v>
      </c>
      <c r="W89" s="21" t="s">
        <v>23</v>
      </c>
      <c r="X89" s="21" t="s">
        <v>24</v>
      </c>
      <c r="Y89" s="18" t="s">
        <v>25</v>
      </c>
      <c r="Z89" s="645" t="s">
        <v>14</v>
      </c>
      <c r="AA89" s="1517"/>
      <c r="AB89" s="1517"/>
      <c r="AC89" s="4"/>
      <c r="AD89" s="21" t="s">
        <v>23</v>
      </c>
      <c r="AE89" s="21" t="s">
        <v>24</v>
      </c>
      <c r="AF89" s="18" t="s">
        <v>25</v>
      </c>
      <c r="AG89" s="1517"/>
      <c r="AI89" s="368"/>
      <c r="AJ89" s="367"/>
      <c r="AK89" s="188" t="s">
        <v>26</v>
      </c>
      <c r="AL89" s="196">
        <f>AA115</f>
        <v>589.29999999999995</v>
      </c>
      <c r="AM89" s="510">
        <v>40.31</v>
      </c>
      <c r="AN89" s="510">
        <f t="shared" ref="AN89:AN94" si="16">AL89*AM89</f>
        <v>23754.683000000001</v>
      </c>
      <c r="AQ89" s="367"/>
      <c r="AR89" s="367"/>
      <c r="AS89" s="367"/>
      <c r="AT89" s="367"/>
      <c r="AU89" s="367"/>
      <c r="AV89" s="367"/>
      <c r="AW89" s="367"/>
    </row>
    <row r="90" spans="1:49" ht="13.5" customHeight="1">
      <c r="A90" s="180"/>
      <c r="B90" s="4" t="s">
        <v>958</v>
      </c>
      <c r="C90" s="47"/>
      <c r="D90" s="47"/>
      <c r="E90" s="319">
        <v>0</v>
      </c>
      <c r="F90" s="646"/>
      <c r="G90" s="4"/>
      <c r="H90" s="47">
        <v>0.36458333333333331</v>
      </c>
      <c r="I90" s="47">
        <v>0.20833333333333334</v>
      </c>
      <c r="J90" s="319">
        <v>7.25</v>
      </c>
      <c r="K90" s="646"/>
      <c r="L90" s="4"/>
      <c r="M90" s="441" t="s">
        <v>76</v>
      </c>
      <c r="N90" s="47">
        <v>0.20833333333333334</v>
      </c>
      <c r="O90" s="319">
        <v>7.5</v>
      </c>
      <c r="P90" s="646"/>
      <c r="R90" s="47">
        <v>0.33333333333333331</v>
      </c>
      <c r="S90" s="47">
        <v>0.16666666666666666</v>
      </c>
      <c r="T90" s="319">
        <v>7</v>
      </c>
      <c r="U90" s="646"/>
      <c r="W90" s="47">
        <v>0.33333333333333331</v>
      </c>
      <c r="X90" s="47">
        <v>0.20833333333333334</v>
      </c>
      <c r="Y90" s="319">
        <v>8</v>
      </c>
      <c r="Z90" s="646"/>
      <c r="AA90" s="328">
        <f t="shared" ref="AA90:AA114" si="17">(E90+J90+O90+T90+Y90)</f>
        <v>29.75</v>
      </c>
      <c r="AB90" s="298">
        <f t="shared" ref="AB90:AB114" si="18">Z90+U90+P90+K90+F90</f>
        <v>0</v>
      </c>
      <c r="AC90" s="4"/>
      <c r="AD90" s="587"/>
      <c r="AE90" s="531"/>
      <c r="AF90" s="319"/>
      <c r="AG90" s="328">
        <f t="shared" ref="AG90:AG114" si="19">AF90</f>
        <v>0</v>
      </c>
      <c r="AI90" s="368"/>
      <c r="AJ90" s="367"/>
      <c r="AK90" s="188" t="s">
        <v>30</v>
      </c>
      <c r="AL90" s="196">
        <f>AB115</f>
        <v>5.5</v>
      </c>
      <c r="AM90" s="511">
        <v>60.465000000000003</v>
      </c>
      <c r="AN90" s="510">
        <f t="shared" si="16"/>
        <v>332.5575</v>
      </c>
      <c r="AQ90" s="367"/>
      <c r="AR90" s="367"/>
      <c r="AS90" s="367"/>
      <c r="AT90" s="367"/>
      <c r="AU90" s="367"/>
      <c r="AV90" s="367"/>
      <c r="AW90" s="367"/>
    </row>
    <row r="91" spans="1:49">
      <c r="A91" s="367"/>
      <c r="B91" s="47" t="s">
        <v>515</v>
      </c>
      <c r="C91" s="47">
        <v>0.375</v>
      </c>
      <c r="D91" s="47">
        <v>0.25</v>
      </c>
      <c r="E91" s="319">
        <v>8</v>
      </c>
      <c r="F91" s="646"/>
      <c r="G91" s="4"/>
      <c r="H91" s="47">
        <v>0.375</v>
      </c>
      <c r="I91" s="47">
        <v>0.25</v>
      </c>
      <c r="J91" s="319">
        <v>8</v>
      </c>
      <c r="K91" s="646"/>
      <c r="L91" s="4"/>
      <c r="M91" s="441" t="s">
        <v>75</v>
      </c>
      <c r="N91" s="47">
        <v>0.25</v>
      </c>
      <c r="O91" s="319">
        <v>8</v>
      </c>
      <c r="P91" s="646"/>
      <c r="R91" s="714"/>
      <c r="S91" s="714"/>
      <c r="T91" s="319">
        <v>0</v>
      </c>
      <c r="U91" s="646"/>
      <c r="W91" s="714"/>
      <c r="X91" s="714"/>
      <c r="Y91" s="319">
        <v>0</v>
      </c>
      <c r="Z91" s="646"/>
      <c r="AA91" s="328">
        <f t="shared" si="17"/>
        <v>24</v>
      </c>
      <c r="AB91" s="298">
        <f t="shared" si="18"/>
        <v>0</v>
      </c>
      <c r="AC91" s="4"/>
      <c r="AF91" s="319"/>
      <c r="AG91" s="328">
        <f t="shared" si="19"/>
        <v>0</v>
      </c>
      <c r="AH91" s="175"/>
      <c r="AI91" s="402"/>
      <c r="AJ91" s="367"/>
      <c r="AK91" s="188" t="s">
        <v>32</v>
      </c>
      <c r="AL91" s="196">
        <f>AG115</f>
        <v>0</v>
      </c>
      <c r="AM91" s="510">
        <v>60.465000000000003</v>
      </c>
      <c r="AN91" s="510">
        <f t="shared" si="16"/>
        <v>0</v>
      </c>
      <c r="AQ91" s="367"/>
      <c r="AR91" s="367"/>
      <c r="AS91" s="367"/>
      <c r="AT91" s="367"/>
      <c r="AU91" s="367"/>
      <c r="AV91" s="367"/>
      <c r="AW91" s="367"/>
    </row>
    <row r="92" spans="1:49">
      <c r="A92" s="367"/>
      <c r="B92" s="441" t="s">
        <v>962</v>
      </c>
      <c r="C92" s="47">
        <v>0.375</v>
      </c>
      <c r="D92" s="47">
        <v>0.25</v>
      </c>
      <c r="E92" s="319">
        <v>8</v>
      </c>
      <c r="F92" s="646"/>
      <c r="G92" s="4"/>
      <c r="H92" s="47">
        <v>0.375</v>
      </c>
      <c r="I92" s="47">
        <v>0.25</v>
      </c>
      <c r="J92" s="319">
        <v>8</v>
      </c>
      <c r="K92" s="646"/>
      <c r="L92" s="4"/>
      <c r="M92" s="441"/>
      <c r="N92" s="47"/>
      <c r="O92" s="319">
        <v>0</v>
      </c>
      <c r="P92" s="646"/>
      <c r="R92" s="47">
        <v>0.375</v>
      </c>
      <c r="S92" s="47">
        <v>0.25</v>
      </c>
      <c r="T92" s="319">
        <v>8</v>
      </c>
      <c r="U92" s="646"/>
      <c r="W92" s="47"/>
      <c r="X92" s="47"/>
      <c r="Y92" s="319">
        <v>0</v>
      </c>
      <c r="Z92" s="646"/>
      <c r="AA92" s="328">
        <f t="shared" si="17"/>
        <v>24</v>
      </c>
      <c r="AB92" s="298">
        <f t="shared" si="18"/>
        <v>0</v>
      </c>
      <c r="AC92" s="399"/>
      <c r="AD92" s="47"/>
      <c r="AE92" s="47"/>
      <c r="AF92" s="319"/>
      <c r="AG92" s="328">
        <f t="shared" si="19"/>
        <v>0</v>
      </c>
      <c r="AH92" s="175"/>
      <c r="AJ92" s="401"/>
      <c r="AK92" s="403" t="s">
        <v>213</v>
      </c>
      <c r="AL92" s="404">
        <f>AA117</f>
        <v>40</v>
      </c>
      <c r="AM92" s="510">
        <v>53.05</v>
      </c>
      <c r="AN92" s="510">
        <f t="shared" si="16"/>
        <v>2122</v>
      </c>
      <c r="AO92" s="405"/>
      <c r="AP92" s="405"/>
      <c r="AQ92" s="367"/>
      <c r="AR92" s="401"/>
      <c r="AS92" s="401"/>
      <c r="AT92" s="401"/>
      <c r="AU92" s="401"/>
      <c r="AV92" s="401"/>
      <c r="AW92" s="401"/>
    </row>
    <row r="93" spans="1:49">
      <c r="A93" s="367"/>
      <c r="B93" s="47" t="s">
        <v>1112</v>
      </c>
      <c r="C93" s="47">
        <v>0.375</v>
      </c>
      <c r="D93" s="47">
        <v>0.25</v>
      </c>
      <c r="E93" s="319">
        <v>8</v>
      </c>
      <c r="F93" s="646"/>
      <c r="G93" s="4"/>
      <c r="H93" s="47">
        <v>0.375</v>
      </c>
      <c r="I93" s="47">
        <v>0.25</v>
      </c>
      <c r="J93" s="319">
        <v>8</v>
      </c>
      <c r="K93" s="646"/>
      <c r="L93" s="4"/>
      <c r="M93" s="441" t="s">
        <v>75</v>
      </c>
      <c r="N93" s="47">
        <v>0.25</v>
      </c>
      <c r="O93" s="319">
        <v>8</v>
      </c>
      <c r="P93" s="646"/>
      <c r="R93" s="47">
        <v>0.375</v>
      </c>
      <c r="S93" s="47">
        <v>0.25</v>
      </c>
      <c r="T93" s="319">
        <v>8</v>
      </c>
      <c r="U93" s="646"/>
      <c r="W93" s="47">
        <v>0.33333333333333331</v>
      </c>
      <c r="X93" s="47">
        <v>0.20833333333333334</v>
      </c>
      <c r="Y93" s="319">
        <v>8</v>
      </c>
      <c r="Z93" s="646"/>
      <c r="AA93" s="328">
        <f t="shared" si="17"/>
        <v>40</v>
      </c>
      <c r="AB93" s="298">
        <f t="shared" si="18"/>
        <v>0</v>
      </c>
      <c r="AC93" s="4"/>
      <c r="AD93" s="47"/>
      <c r="AE93" s="47"/>
      <c r="AF93" s="319"/>
      <c r="AG93" s="328">
        <f t="shared" si="19"/>
        <v>0</v>
      </c>
      <c r="AH93" s="175"/>
      <c r="AI93" s="368"/>
      <c r="AK93" s="188" t="s">
        <v>36</v>
      </c>
      <c r="AL93" s="196">
        <f>AB117</f>
        <v>4</v>
      </c>
      <c r="AM93" s="510">
        <v>79.574999999999989</v>
      </c>
      <c r="AN93" s="510">
        <f t="shared" si="16"/>
        <v>318.29999999999995</v>
      </c>
      <c r="AQ93" s="367"/>
    </row>
    <row r="94" spans="1:49" s="4" customFormat="1">
      <c r="A94" s="180"/>
      <c r="B94" s="436" t="s">
        <v>972</v>
      </c>
      <c r="C94" s="47">
        <v>0.375</v>
      </c>
      <c r="D94" s="47">
        <v>0.25</v>
      </c>
      <c r="E94" s="319">
        <v>8</v>
      </c>
      <c r="F94" s="646"/>
      <c r="H94" s="47">
        <v>0.375</v>
      </c>
      <c r="I94" s="47">
        <v>0.25</v>
      </c>
      <c r="J94" s="319">
        <v>8</v>
      </c>
      <c r="K94" s="646"/>
      <c r="M94" s="441" t="s">
        <v>75</v>
      </c>
      <c r="N94" s="47">
        <v>0.25</v>
      </c>
      <c r="O94" s="319">
        <v>8</v>
      </c>
      <c r="P94" s="646"/>
      <c r="R94" s="47">
        <v>0.375</v>
      </c>
      <c r="S94" s="47">
        <v>0.16666666666666666</v>
      </c>
      <c r="T94" s="319">
        <v>6</v>
      </c>
      <c r="U94" s="646"/>
      <c r="W94" s="47"/>
      <c r="X94" s="47"/>
      <c r="Y94" s="319">
        <v>0</v>
      </c>
      <c r="Z94" s="646"/>
      <c r="AA94" s="328">
        <f t="shared" si="17"/>
        <v>30</v>
      </c>
      <c r="AB94" s="298">
        <f t="shared" si="18"/>
        <v>0</v>
      </c>
      <c r="AD94" s="47"/>
      <c r="AE94" s="47"/>
      <c r="AF94" s="319"/>
      <c r="AG94" s="328">
        <f t="shared" si="19"/>
        <v>0</v>
      </c>
      <c r="AI94" s="255"/>
      <c r="AJ94" s="180"/>
      <c r="AK94" s="188" t="s">
        <v>38</v>
      </c>
      <c r="AL94" s="196">
        <f>AG117</f>
        <v>0</v>
      </c>
      <c r="AM94" s="510">
        <v>79.574999999999989</v>
      </c>
      <c r="AN94" s="510">
        <f t="shared" si="16"/>
        <v>0</v>
      </c>
      <c r="AO94" s="193"/>
      <c r="AP94" s="193"/>
      <c r="AQ94" s="367"/>
      <c r="AR94" s="180"/>
      <c r="AS94" s="180"/>
      <c r="AT94" s="180"/>
      <c r="AU94" s="180"/>
      <c r="AV94" s="180"/>
      <c r="AW94" s="180"/>
    </row>
    <row r="95" spans="1:49" s="4" customFormat="1">
      <c r="A95" s="180"/>
      <c r="B95" s="47" t="s">
        <v>974</v>
      </c>
      <c r="C95" s="47">
        <v>0.375</v>
      </c>
      <c r="D95" s="47">
        <v>0.25</v>
      </c>
      <c r="E95" s="319">
        <v>8</v>
      </c>
      <c r="F95" s="646"/>
      <c r="H95" s="47">
        <v>0.375</v>
      </c>
      <c r="I95" s="47">
        <v>0.25</v>
      </c>
      <c r="J95" s="319">
        <v>8</v>
      </c>
      <c r="K95" s="646"/>
      <c r="M95" s="441" t="s">
        <v>75</v>
      </c>
      <c r="N95" s="47">
        <v>0.25</v>
      </c>
      <c r="O95" s="319">
        <v>8</v>
      </c>
      <c r="P95" s="646"/>
      <c r="R95" s="47">
        <v>0.375</v>
      </c>
      <c r="S95" s="47">
        <v>0.25</v>
      </c>
      <c r="T95" s="319">
        <v>8</v>
      </c>
      <c r="U95" s="646"/>
      <c r="W95" s="47"/>
      <c r="X95" s="47"/>
      <c r="Y95" s="319">
        <v>0</v>
      </c>
      <c r="Z95" s="646"/>
      <c r="AA95" s="328">
        <f t="shared" si="17"/>
        <v>32</v>
      </c>
      <c r="AB95" s="298">
        <f t="shared" si="18"/>
        <v>0</v>
      </c>
      <c r="AD95" s="47"/>
      <c r="AE95" s="47"/>
      <c r="AF95" s="319"/>
      <c r="AG95" s="328">
        <f t="shared" si="19"/>
        <v>0</v>
      </c>
      <c r="AI95" s="255"/>
      <c r="AJ95" s="180"/>
      <c r="AK95" s="193"/>
      <c r="AL95" s="193"/>
      <c r="AM95" s="193"/>
      <c r="AN95" s="510">
        <f>SUM(AN89:AN94)</f>
        <v>26527.540499999999</v>
      </c>
      <c r="AO95" s="193"/>
      <c r="AP95" s="193"/>
      <c r="AQ95" s="180"/>
      <c r="AR95" s="180"/>
      <c r="AS95" s="180"/>
      <c r="AT95" s="180"/>
      <c r="AU95" s="180"/>
      <c r="AV95" s="180"/>
      <c r="AW95" s="180"/>
    </row>
    <row r="96" spans="1:49" s="4" customFormat="1">
      <c r="A96" s="180"/>
      <c r="B96" s="374" t="s">
        <v>998</v>
      </c>
      <c r="C96" s="47">
        <v>0.375</v>
      </c>
      <c r="D96" s="47">
        <v>0.25</v>
      </c>
      <c r="E96" s="319">
        <v>8</v>
      </c>
      <c r="F96" s="646"/>
      <c r="H96" s="47">
        <v>0.375</v>
      </c>
      <c r="I96" s="47">
        <v>0.25</v>
      </c>
      <c r="J96" s="319">
        <v>8</v>
      </c>
      <c r="K96" s="646"/>
      <c r="M96" s="441" t="s">
        <v>75</v>
      </c>
      <c r="N96" s="47">
        <v>0.25</v>
      </c>
      <c r="O96" s="319">
        <v>8</v>
      </c>
      <c r="P96" s="646"/>
      <c r="R96" s="47">
        <v>0.375</v>
      </c>
      <c r="S96" s="47">
        <v>0.25</v>
      </c>
      <c r="T96" s="319">
        <v>8</v>
      </c>
      <c r="U96" s="646"/>
      <c r="W96" s="47"/>
      <c r="X96" s="47"/>
      <c r="Y96" s="319">
        <v>0</v>
      </c>
      <c r="Z96" s="646"/>
      <c r="AA96" s="328">
        <f t="shared" si="17"/>
        <v>32</v>
      </c>
      <c r="AB96" s="298">
        <f t="shared" si="18"/>
        <v>0</v>
      </c>
      <c r="AD96" s="47"/>
      <c r="AE96" s="47"/>
      <c r="AF96" s="319"/>
      <c r="AG96" s="328">
        <f t="shared" si="19"/>
        <v>0</v>
      </c>
      <c r="AI96" s="255"/>
      <c r="AJ96" s="180"/>
      <c r="AK96" s="193"/>
      <c r="AL96" s="193"/>
      <c r="AM96" s="193"/>
      <c r="AN96" s="193"/>
      <c r="AO96" s="193"/>
      <c r="AP96" s="193"/>
      <c r="AQ96" s="180"/>
      <c r="AR96" s="180"/>
      <c r="AS96" s="180"/>
      <c r="AT96" s="180"/>
      <c r="AU96" s="180"/>
      <c r="AV96" s="180"/>
      <c r="AW96" s="180"/>
    </row>
    <row r="97" spans="1:49" s="4" customFormat="1">
      <c r="A97" s="180"/>
      <c r="B97" s="47" t="s">
        <v>977</v>
      </c>
      <c r="C97" s="47">
        <v>0.375</v>
      </c>
      <c r="D97" s="47">
        <v>0.25</v>
      </c>
      <c r="E97" s="319">
        <v>8</v>
      </c>
      <c r="F97" s="646"/>
      <c r="H97" s="47">
        <v>0.375</v>
      </c>
      <c r="I97" s="47">
        <v>0.35416666666666669</v>
      </c>
      <c r="J97" s="319">
        <v>8</v>
      </c>
      <c r="K97" s="646">
        <v>2.5</v>
      </c>
      <c r="M97" s="441" t="s">
        <v>75</v>
      </c>
      <c r="N97" s="47">
        <v>0.25</v>
      </c>
      <c r="O97" s="319">
        <v>8</v>
      </c>
      <c r="P97" s="646"/>
      <c r="R97" s="47">
        <v>0.375</v>
      </c>
      <c r="S97" s="47">
        <v>0.25</v>
      </c>
      <c r="T97" s="319">
        <v>8</v>
      </c>
      <c r="U97" s="646"/>
      <c r="W97" s="47">
        <v>0.375</v>
      </c>
      <c r="X97" s="47">
        <v>0.45833333333333331</v>
      </c>
      <c r="Y97" s="319">
        <v>2</v>
      </c>
      <c r="Z97" s="646"/>
      <c r="AA97" s="328">
        <f t="shared" si="17"/>
        <v>34</v>
      </c>
      <c r="AB97" s="298">
        <f t="shared" si="18"/>
        <v>2.5</v>
      </c>
      <c r="AD97" s="47"/>
      <c r="AE97" s="47"/>
      <c r="AF97" s="319"/>
      <c r="AG97" s="328">
        <f t="shared" si="19"/>
        <v>0</v>
      </c>
      <c r="AI97" s="255"/>
      <c r="AJ97" s="180"/>
      <c r="AK97" s="192" t="s">
        <v>1115</v>
      </c>
      <c r="AL97" s="193"/>
      <c r="AM97" s="193">
        <f>C118</f>
        <v>44</v>
      </c>
      <c r="AN97" s="193"/>
      <c r="AO97" s="193"/>
      <c r="AP97" s="193"/>
      <c r="AQ97" s="180"/>
      <c r="AR97" s="180"/>
      <c r="AS97" s="180"/>
      <c r="AT97" s="180"/>
      <c r="AU97" s="180"/>
      <c r="AV97" s="180"/>
      <c r="AW97" s="180"/>
    </row>
    <row r="98" spans="1:49" s="4" customFormat="1">
      <c r="A98" s="180"/>
      <c r="B98" s="47" t="s">
        <v>519</v>
      </c>
      <c r="C98" s="47">
        <v>0.375</v>
      </c>
      <c r="D98" s="47">
        <v>0.25</v>
      </c>
      <c r="E98" s="319">
        <v>8</v>
      </c>
      <c r="F98" s="646"/>
      <c r="H98" s="47">
        <v>0.375</v>
      </c>
      <c r="I98" s="47">
        <v>0.25</v>
      </c>
      <c r="J98" s="319">
        <v>8</v>
      </c>
      <c r="K98" s="646"/>
      <c r="M98" s="441" t="s">
        <v>75</v>
      </c>
      <c r="N98" s="47">
        <v>0.25</v>
      </c>
      <c r="O98" s="319">
        <v>8</v>
      </c>
      <c r="P98" s="646"/>
      <c r="R98" s="441" t="s">
        <v>75</v>
      </c>
      <c r="S98" s="47">
        <v>0.25</v>
      </c>
      <c r="T98" s="319">
        <v>8</v>
      </c>
      <c r="U98" s="646"/>
      <c r="W98" s="441"/>
      <c r="X98" s="47"/>
      <c r="Y98" s="319">
        <v>0</v>
      </c>
      <c r="Z98" s="646"/>
      <c r="AA98" s="328">
        <f t="shared" si="17"/>
        <v>32</v>
      </c>
      <c r="AB98" s="298">
        <f t="shared" si="18"/>
        <v>0</v>
      </c>
      <c r="AD98" s="47"/>
      <c r="AE98" s="47"/>
      <c r="AF98" s="319"/>
      <c r="AG98" s="328">
        <f t="shared" si="19"/>
        <v>0</v>
      </c>
      <c r="AI98" s="255"/>
      <c r="AJ98" s="180"/>
      <c r="AK98" s="193"/>
      <c r="AL98" s="193"/>
      <c r="AM98" s="193"/>
      <c r="AN98" s="193"/>
      <c r="AO98" s="193"/>
      <c r="AP98" s="193"/>
      <c r="AQ98" s="180"/>
      <c r="AR98" s="180"/>
      <c r="AS98" s="180"/>
      <c r="AT98" s="180"/>
      <c r="AU98" s="180"/>
      <c r="AV98" s="180"/>
      <c r="AW98" s="180"/>
    </row>
    <row r="99" spans="1:49" s="4" customFormat="1">
      <c r="A99" s="180"/>
      <c r="B99" s="47" t="s">
        <v>999</v>
      </c>
      <c r="C99" s="47">
        <v>0.375</v>
      </c>
      <c r="D99" s="47">
        <v>0.25</v>
      </c>
      <c r="E99" s="319">
        <v>8</v>
      </c>
      <c r="F99" s="646"/>
      <c r="H99" s="47">
        <v>0.375</v>
      </c>
      <c r="I99" s="47">
        <v>0.25</v>
      </c>
      <c r="J99" s="319">
        <v>8</v>
      </c>
      <c r="K99" s="646"/>
      <c r="M99" s="441" t="s">
        <v>75</v>
      </c>
      <c r="N99" s="47">
        <v>0.25</v>
      </c>
      <c r="O99" s="319">
        <v>8</v>
      </c>
      <c r="P99" s="646"/>
      <c r="R99" s="441" t="s">
        <v>75</v>
      </c>
      <c r="S99" s="47">
        <v>0.25</v>
      </c>
      <c r="T99" s="319">
        <v>8</v>
      </c>
      <c r="U99" s="646"/>
      <c r="W99" s="441"/>
      <c r="X99" s="47"/>
      <c r="Y99" s="319">
        <v>0</v>
      </c>
      <c r="Z99" s="646"/>
      <c r="AA99" s="328">
        <f t="shared" si="17"/>
        <v>32</v>
      </c>
      <c r="AB99" s="298">
        <f t="shared" si="18"/>
        <v>0</v>
      </c>
      <c r="AD99" s="47"/>
      <c r="AE99" s="47"/>
      <c r="AF99" s="319"/>
      <c r="AG99" s="328">
        <f t="shared" si="19"/>
        <v>0</v>
      </c>
      <c r="AI99" s="255"/>
      <c r="AJ99" s="180"/>
      <c r="AK99" s="193"/>
      <c r="AL99" s="193"/>
      <c r="AM99" s="193"/>
      <c r="AN99" s="193"/>
      <c r="AO99" s="193"/>
      <c r="AP99" s="193"/>
      <c r="AQ99" s="180"/>
      <c r="AR99" s="180"/>
      <c r="AS99" s="180"/>
      <c r="AT99" s="180"/>
      <c r="AU99" s="180"/>
      <c r="AV99" s="180"/>
      <c r="AW99" s="180"/>
    </row>
    <row r="100" spans="1:49" s="4" customFormat="1">
      <c r="A100" s="180"/>
      <c r="B100" s="47" t="s">
        <v>1113</v>
      </c>
      <c r="C100" s="47">
        <v>0.375</v>
      </c>
      <c r="D100" s="47">
        <v>0.25</v>
      </c>
      <c r="E100" s="319">
        <v>8</v>
      </c>
      <c r="F100" s="646"/>
      <c r="H100" s="47"/>
      <c r="I100" s="47"/>
      <c r="J100" s="319">
        <v>0</v>
      </c>
      <c r="K100" s="646"/>
      <c r="M100" s="441"/>
      <c r="N100" s="47"/>
      <c r="O100" s="319">
        <v>0</v>
      </c>
      <c r="P100" s="646"/>
      <c r="R100" s="441" t="s">
        <v>75</v>
      </c>
      <c r="S100" s="47">
        <v>0.25</v>
      </c>
      <c r="T100" s="319">
        <v>8</v>
      </c>
      <c r="U100" s="646"/>
      <c r="W100" s="441"/>
      <c r="X100" s="47"/>
      <c r="Y100" s="319">
        <v>0</v>
      </c>
      <c r="Z100" s="646"/>
      <c r="AA100" s="328">
        <f t="shared" si="17"/>
        <v>16</v>
      </c>
      <c r="AB100" s="298">
        <f t="shared" si="18"/>
        <v>0</v>
      </c>
      <c r="AD100" s="47"/>
      <c r="AE100" s="47"/>
      <c r="AF100" s="319"/>
      <c r="AG100" s="328">
        <f t="shared" si="19"/>
        <v>0</v>
      </c>
      <c r="AI100" s="255"/>
      <c r="AJ100" s="180"/>
      <c r="AK100" s="193"/>
      <c r="AL100" s="193"/>
      <c r="AM100" s="193"/>
      <c r="AN100" s="193"/>
      <c r="AO100" s="193"/>
      <c r="AP100" s="193"/>
      <c r="AQ100" s="180"/>
      <c r="AR100" s="180"/>
      <c r="AS100" s="180"/>
      <c r="AT100" s="180"/>
      <c r="AU100" s="180"/>
      <c r="AV100" s="180"/>
      <c r="AW100" s="180"/>
    </row>
    <row r="101" spans="1:49" s="4" customFormat="1">
      <c r="A101" s="180"/>
      <c r="B101" s="502" t="s">
        <v>483</v>
      </c>
      <c r="C101" s="47"/>
      <c r="D101" s="47"/>
      <c r="E101" s="319"/>
      <c r="F101" s="646"/>
      <c r="H101" s="47"/>
      <c r="I101" s="47"/>
      <c r="J101" s="319"/>
      <c r="K101" s="646"/>
      <c r="M101" s="441"/>
      <c r="N101" s="47"/>
      <c r="O101" s="319"/>
      <c r="P101" s="646"/>
      <c r="R101" s="5"/>
      <c r="S101" s="5"/>
      <c r="T101" s="319"/>
      <c r="U101" s="646"/>
      <c r="W101" s="5"/>
      <c r="X101" s="5"/>
      <c r="Y101" s="319"/>
      <c r="Z101" s="646"/>
      <c r="AA101" s="328">
        <f t="shared" si="17"/>
        <v>0</v>
      </c>
      <c r="AB101" s="298">
        <f t="shared" si="18"/>
        <v>0</v>
      </c>
      <c r="AD101" s="47"/>
      <c r="AE101" s="47"/>
      <c r="AF101" s="319"/>
      <c r="AG101" s="328">
        <f t="shared" si="19"/>
        <v>0</v>
      </c>
      <c r="AI101" s="255"/>
      <c r="AJ101" s="180"/>
      <c r="AK101" s="193"/>
      <c r="AL101" s="193"/>
      <c r="AM101" s="193"/>
      <c r="AN101" s="193"/>
      <c r="AO101" s="193"/>
      <c r="AP101" s="193"/>
      <c r="AQ101" s="180"/>
      <c r="AR101" s="180"/>
      <c r="AS101" s="180"/>
      <c r="AT101" s="180"/>
      <c r="AU101" s="180"/>
      <c r="AV101" s="180"/>
      <c r="AW101" s="180"/>
    </row>
    <row r="102" spans="1:49" s="4" customFormat="1">
      <c r="A102" s="180"/>
      <c r="B102" s="502" t="s">
        <v>483</v>
      </c>
      <c r="C102" s="47"/>
      <c r="D102" s="47"/>
      <c r="E102" s="319">
        <v>8</v>
      </c>
      <c r="F102" s="646"/>
      <c r="H102" s="47"/>
      <c r="I102" s="47"/>
      <c r="J102" s="319">
        <v>8</v>
      </c>
      <c r="K102" s="646"/>
      <c r="M102" s="441"/>
      <c r="N102" s="47"/>
      <c r="O102" s="319">
        <v>7.5</v>
      </c>
      <c r="P102" s="646"/>
      <c r="R102" s="47"/>
      <c r="S102" s="47"/>
      <c r="T102" s="319">
        <v>8</v>
      </c>
      <c r="U102" s="646"/>
      <c r="W102" s="47"/>
      <c r="X102" s="47"/>
      <c r="Y102" s="319">
        <v>7.75</v>
      </c>
      <c r="Z102" s="646"/>
      <c r="AA102" s="328">
        <f t="shared" si="17"/>
        <v>39.25</v>
      </c>
      <c r="AB102" s="298">
        <f t="shared" si="18"/>
        <v>0</v>
      </c>
      <c r="AD102" s="47"/>
      <c r="AE102" s="47"/>
      <c r="AF102" s="319"/>
      <c r="AG102" s="328">
        <f t="shared" si="19"/>
        <v>0</v>
      </c>
      <c r="AI102" s="255"/>
      <c r="AJ102" s="180"/>
      <c r="AK102" s="193"/>
      <c r="AL102" s="193"/>
      <c r="AM102" s="193"/>
      <c r="AN102" s="193"/>
      <c r="AO102" s="193"/>
      <c r="AP102" s="193"/>
      <c r="AQ102" s="180"/>
      <c r="AR102" s="180"/>
      <c r="AS102" s="180"/>
      <c r="AT102" s="180"/>
      <c r="AU102" s="180"/>
      <c r="AV102" s="180"/>
      <c r="AW102" s="180"/>
    </row>
    <row r="103" spans="1:49" s="4" customFormat="1">
      <c r="A103" s="180"/>
      <c r="B103" s="502" t="s">
        <v>484</v>
      </c>
      <c r="C103" s="47"/>
      <c r="D103" s="47"/>
      <c r="E103" s="319">
        <v>8</v>
      </c>
      <c r="F103" s="646"/>
      <c r="H103" s="47"/>
      <c r="I103" s="47"/>
      <c r="J103" s="319">
        <v>8</v>
      </c>
      <c r="K103" s="646"/>
      <c r="M103" s="441"/>
      <c r="N103" s="47"/>
      <c r="O103" s="319">
        <v>7.5</v>
      </c>
      <c r="P103" s="646"/>
      <c r="R103" s="47"/>
      <c r="S103" s="47"/>
      <c r="T103" s="319">
        <v>8</v>
      </c>
      <c r="U103" s="646"/>
      <c r="W103" s="47"/>
      <c r="X103" s="47"/>
      <c r="Y103" s="319">
        <v>7.75</v>
      </c>
      <c r="Z103" s="646"/>
      <c r="AA103" s="328">
        <f t="shared" si="17"/>
        <v>39.25</v>
      </c>
      <c r="AB103" s="298">
        <f t="shared" si="18"/>
        <v>0</v>
      </c>
      <c r="AD103" s="47"/>
      <c r="AE103" s="47"/>
      <c r="AF103" s="319"/>
      <c r="AG103" s="328">
        <f t="shared" si="19"/>
        <v>0</v>
      </c>
      <c r="AI103" s="255"/>
      <c r="AJ103" s="180"/>
      <c r="AK103" s="193"/>
      <c r="AL103" s="193"/>
      <c r="AM103" s="193"/>
      <c r="AN103" s="193"/>
      <c r="AO103" s="193"/>
      <c r="AP103" s="193"/>
      <c r="AQ103" s="180"/>
      <c r="AR103" s="180"/>
      <c r="AS103" s="180"/>
      <c r="AT103" s="180"/>
      <c r="AU103" s="180"/>
      <c r="AV103" s="180"/>
      <c r="AW103" s="180"/>
    </row>
    <row r="104" spans="1:49" s="4" customFormat="1">
      <c r="A104" s="180"/>
      <c r="B104" s="502" t="s">
        <v>485</v>
      </c>
      <c r="C104" s="47"/>
      <c r="D104" s="47"/>
      <c r="E104" s="319">
        <v>8</v>
      </c>
      <c r="F104" s="646"/>
      <c r="H104" s="47"/>
      <c r="I104" s="47"/>
      <c r="J104" s="319">
        <v>8</v>
      </c>
      <c r="K104" s="646"/>
      <c r="M104" s="47"/>
      <c r="N104" s="47"/>
      <c r="O104" s="319">
        <v>7.5</v>
      </c>
      <c r="P104" s="646"/>
      <c r="R104" s="47"/>
      <c r="S104" s="47"/>
      <c r="T104" s="319">
        <v>8</v>
      </c>
      <c r="U104" s="646"/>
      <c r="W104" s="47"/>
      <c r="X104" s="47"/>
      <c r="Y104" s="319">
        <v>7.75</v>
      </c>
      <c r="Z104" s="646"/>
      <c r="AA104" s="328">
        <f t="shared" si="17"/>
        <v>39.25</v>
      </c>
      <c r="AB104" s="298">
        <f t="shared" si="18"/>
        <v>0</v>
      </c>
      <c r="AD104" s="47"/>
      <c r="AE104" s="47"/>
      <c r="AF104" s="319"/>
      <c r="AG104" s="328">
        <f t="shared" si="19"/>
        <v>0</v>
      </c>
      <c r="AI104" s="255"/>
      <c r="AJ104" s="180"/>
      <c r="AK104" s="193"/>
      <c r="AL104" s="193"/>
      <c r="AM104" s="193"/>
      <c r="AN104" s="193"/>
      <c r="AO104" s="193"/>
      <c r="AP104" s="193"/>
      <c r="AQ104" s="180"/>
      <c r="AR104" s="180"/>
      <c r="AS104" s="180"/>
      <c r="AT104" s="180"/>
      <c r="AU104" s="180"/>
      <c r="AV104" s="180"/>
      <c r="AW104" s="180"/>
    </row>
    <row r="105" spans="1:49" s="4" customFormat="1">
      <c r="A105" s="180"/>
      <c r="B105" s="502" t="s">
        <v>486</v>
      </c>
      <c r="C105" s="47"/>
      <c r="D105" s="47"/>
      <c r="E105" s="319"/>
      <c r="F105" s="646"/>
      <c r="H105" s="47"/>
      <c r="I105" s="47"/>
      <c r="J105" s="319"/>
      <c r="K105" s="646"/>
      <c r="M105" s="5"/>
      <c r="N105" s="5"/>
      <c r="O105" s="319"/>
      <c r="P105" s="646"/>
      <c r="R105" s="5"/>
      <c r="S105" s="5"/>
      <c r="T105" s="319"/>
      <c r="U105" s="646"/>
      <c r="W105" s="5"/>
      <c r="X105" s="5"/>
      <c r="Y105" s="319"/>
      <c r="Z105" s="646"/>
      <c r="AA105" s="328">
        <f t="shared" si="17"/>
        <v>0</v>
      </c>
      <c r="AB105" s="298">
        <f t="shared" si="18"/>
        <v>0</v>
      </c>
      <c r="AD105" s="47"/>
      <c r="AE105" s="47"/>
      <c r="AF105" s="319"/>
      <c r="AG105" s="328">
        <f t="shared" si="19"/>
        <v>0</v>
      </c>
      <c r="AI105" s="255"/>
      <c r="AJ105" s="180"/>
      <c r="AK105" s="193"/>
      <c r="AL105" s="193"/>
      <c r="AM105" s="193"/>
      <c r="AN105" s="193"/>
      <c r="AO105" s="193"/>
      <c r="AP105" s="193"/>
      <c r="AQ105" s="180"/>
      <c r="AR105" s="180"/>
      <c r="AS105" s="180"/>
      <c r="AT105" s="180"/>
      <c r="AU105" s="180"/>
      <c r="AV105" s="180"/>
      <c r="AW105" s="180"/>
    </row>
    <row r="106" spans="1:49" s="4" customFormat="1">
      <c r="A106" s="180"/>
      <c r="B106" s="63" t="s">
        <v>1116</v>
      </c>
      <c r="C106" s="47"/>
      <c r="D106" s="47"/>
      <c r="E106" s="319">
        <v>8</v>
      </c>
      <c r="F106" s="646"/>
      <c r="H106" s="47"/>
      <c r="I106" s="47"/>
      <c r="J106" s="319">
        <v>8</v>
      </c>
      <c r="K106" s="646"/>
      <c r="M106" s="47"/>
      <c r="N106" s="47"/>
      <c r="O106" s="319">
        <v>8</v>
      </c>
      <c r="P106" s="646"/>
      <c r="R106" s="663"/>
      <c r="S106" s="663"/>
      <c r="T106" s="319">
        <v>8</v>
      </c>
      <c r="U106" s="646"/>
      <c r="W106" s="663"/>
      <c r="X106" s="663"/>
      <c r="Y106" s="319">
        <v>8</v>
      </c>
      <c r="Z106" s="646"/>
      <c r="AA106" s="328">
        <f t="shared" ref="AA106" si="20">(E106+J106+O106+T106+Y106)</f>
        <v>40</v>
      </c>
      <c r="AB106" s="298">
        <f t="shared" ref="AB106" si="21">Z106+U106+P106+K106+F106</f>
        <v>0</v>
      </c>
      <c r="AD106" s="47"/>
      <c r="AE106" s="47"/>
      <c r="AF106" s="319"/>
      <c r="AG106" s="328">
        <f t="shared" ref="AG106" si="22">AF106</f>
        <v>0</v>
      </c>
      <c r="AI106" s="255"/>
      <c r="AJ106" s="180"/>
      <c r="AK106" s="193"/>
      <c r="AL106" s="193"/>
      <c r="AM106" s="193"/>
      <c r="AN106" s="193"/>
      <c r="AO106" s="193"/>
      <c r="AP106" s="193"/>
      <c r="AQ106" s="180"/>
      <c r="AR106" s="180"/>
      <c r="AS106" s="180"/>
      <c r="AT106" s="180"/>
      <c r="AU106" s="180"/>
      <c r="AV106" s="180"/>
      <c r="AW106" s="180"/>
    </row>
    <row r="107" spans="1:49" s="4" customFormat="1">
      <c r="A107" s="180"/>
      <c r="B107" s="63" t="s">
        <v>63</v>
      </c>
      <c r="C107" s="47"/>
      <c r="D107" s="47"/>
      <c r="E107" s="319">
        <v>8</v>
      </c>
      <c r="F107" s="646">
        <v>1</v>
      </c>
      <c r="H107" s="47"/>
      <c r="I107" s="47"/>
      <c r="J107" s="319">
        <v>8</v>
      </c>
      <c r="K107" s="646">
        <v>1</v>
      </c>
      <c r="M107" s="47"/>
      <c r="N107" s="47"/>
      <c r="O107" s="319">
        <v>8</v>
      </c>
      <c r="P107" s="646"/>
      <c r="R107" s="663"/>
      <c r="S107" s="663"/>
      <c r="T107" s="319">
        <v>8</v>
      </c>
      <c r="U107" s="646">
        <v>1</v>
      </c>
      <c r="W107" s="663"/>
      <c r="X107" s="663"/>
      <c r="Y107" s="319">
        <v>8</v>
      </c>
      <c r="Z107" s="646"/>
      <c r="AA107" s="328">
        <f t="shared" si="17"/>
        <v>40</v>
      </c>
      <c r="AB107" s="298">
        <f t="shared" si="18"/>
        <v>3</v>
      </c>
      <c r="AD107" s="47"/>
      <c r="AE107" s="47"/>
      <c r="AF107" s="319"/>
      <c r="AG107" s="328">
        <f t="shared" si="19"/>
        <v>0</v>
      </c>
      <c r="AI107" s="255"/>
      <c r="AJ107" s="180"/>
      <c r="AK107" s="193"/>
      <c r="AL107" s="193"/>
      <c r="AM107" s="193"/>
      <c r="AN107" s="193"/>
      <c r="AO107" s="193"/>
      <c r="AP107" s="193"/>
      <c r="AQ107" s="180"/>
      <c r="AR107" s="180"/>
      <c r="AS107" s="180"/>
      <c r="AT107" s="180"/>
      <c r="AU107" s="180"/>
      <c r="AV107" s="180"/>
      <c r="AW107" s="180"/>
    </row>
    <row r="108" spans="1:49" s="4" customFormat="1">
      <c r="A108" s="180"/>
      <c r="B108" s="267" t="s">
        <v>358</v>
      </c>
      <c r="C108" s="47"/>
      <c r="D108" s="47"/>
      <c r="E108" s="319">
        <v>6</v>
      </c>
      <c r="F108" s="646"/>
      <c r="H108" s="47"/>
      <c r="I108" s="47"/>
      <c r="J108" s="319">
        <v>6</v>
      </c>
      <c r="K108" s="646"/>
      <c r="L108" s="438"/>
      <c r="M108" s="663"/>
      <c r="N108" s="663"/>
      <c r="O108" s="319">
        <v>6</v>
      </c>
      <c r="P108" s="646"/>
      <c r="Q108" s="438"/>
      <c r="R108" s="663"/>
      <c r="S108" s="663"/>
      <c r="T108" s="319">
        <v>6</v>
      </c>
      <c r="U108" s="646"/>
      <c r="V108" s="438"/>
      <c r="W108" s="663"/>
      <c r="X108" s="663"/>
      <c r="Y108" s="319">
        <v>6</v>
      </c>
      <c r="Z108" s="646"/>
      <c r="AA108" s="328">
        <f t="shared" si="17"/>
        <v>30</v>
      </c>
      <c r="AB108" s="298">
        <f t="shared" si="18"/>
        <v>0</v>
      </c>
      <c r="AD108" s="47"/>
      <c r="AE108" s="47"/>
      <c r="AF108" s="319"/>
      <c r="AG108" s="328">
        <f t="shared" si="19"/>
        <v>0</v>
      </c>
      <c r="AI108" s="255"/>
      <c r="AJ108" s="180"/>
      <c r="AK108" s="193"/>
      <c r="AL108" s="193"/>
      <c r="AM108" s="193"/>
      <c r="AN108" s="193"/>
      <c r="AO108" s="193"/>
      <c r="AP108" s="193"/>
      <c r="AQ108" s="180"/>
      <c r="AR108" s="180"/>
      <c r="AS108" s="180"/>
      <c r="AT108" s="180"/>
      <c r="AU108" s="180"/>
      <c r="AV108" s="180"/>
      <c r="AW108" s="180"/>
    </row>
    <row r="109" spans="1:49" s="193" customFormat="1">
      <c r="A109" s="180"/>
      <c r="B109" s="267" t="s">
        <v>991</v>
      </c>
      <c r="C109" s="47"/>
      <c r="D109" s="47"/>
      <c r="E109" s="319"/>
      <c r="F109" s="646"/>
      <c r="G109" s="4"/>
      <c r="H109" s="47"/>
      <c r="I109" s="47"/>
      <c r="J109" s="319"/>
      <c r="K109" s="646"/>
      <c r="L109" s="438"/>
      <c r="M109" s="5"/>
      <c r="N109" s="5"/>
      <c r="O109" s="319"/>
      <c r="P109" s="646"/>
      <c r="Q109" s="438"/>
      <c r="R109" s="5"/>
      <c r="S109" s="5"/>
      <c r="T109" s="319"/>
      <c r="U109" s="646"/>
      <c r="V109" s="438"/>
      <c r="W109" s="5"/>
      <c r="X109" s="5"/>
      <c r="Y109" s="319"/>
      <c r="Z109" s="646"/>
      <c r="AA109" s="328">
        <f t="shared" si="17"/>
        <v>0</v>
      </c>
      <c r="AB109" s="298">
        <f t="shared" si="18"/>
        <v>0</v>
      </c>
      <c r="AC109" s="4"/>
      <c r="AD109" s="47"/>
      <c r="AE109" s="47"/>
      <c r="AF109" s="319"/>
      <c r="AG109" s="328">
        <f t="shared" si="19"/>
        <v>0</v>
      </c>
      <c r="AH109" s="4"/>
      <c r="AI109" s="255"/>
      <c r="AJ109" s="180"/>
      <c r="AQ109" s="180"/>
      <c r="AR109" s="180"/>
      <c r="AS109" s="180"/>
      <c r="AT109" s="180"/>
      <c r="AU109" s="180"/>
      <c r="AV109" s="180"/>
      <c r="AW109" s="180"/>
    </row>
    <row r="110" spans="1:49" s="193" customFormat="1">
      <c r="A110" s="180"/>
      <c r="B110" s="267" t="s">
        <v>411</v>
      </c>
      <c r="C110" s="47"/>
      <c r="D110" s="47"/>
      <c r="E110" s="319"/>
      <c r="F110" s="646"/>
      <c r="G110" s="4"/>
      <c r="H110" s="47"/>
      <c r="I110" s="47"/>
      <c r="J110" s="319"/>
      <c r="K110" s="646"/>
      <c r="L110" s="438"/>
      <c r="M110" s="5"/>
      <c r="N110" s="5"/>
      <c r="O110" s="319"/>
      <c r="P110" s="646"/>
      <c r="Q110" s="438"/>
      <c r="R110" s="5"/>
      <c r="S110" s="5"/>
      <c r="T110" s="319"/>
      <c r="U110" s="646"/>
      <c r="V110" s="438"/>
      <c r="W110" s="5"/>
      <c r="X110" s="5"/>
      <c r="Y110" s="319"/>
      <c r="Z110" s="646"/>
      <c r="AA110" s="328">
        <f t="shared" si="17"/>
        <v>0</v>
      </c>
      <c r="AB110" s="298">
        <f t="shared" si="18"/>
        <v>0</v>
      </c>
      <c r="AC110" s="4"/>
      <c r="AD110" s="47"/>
      <c r="AE110" s="47"/>
      <c r="AF110" s="319"/>
      <c r="AG110" s="328">
        <f t="shared" si="19"/>
        <v>0</v>
      </c>
      <c r="AH110" s="4"/>
      <c r="AI110" s="255"/>
      <c r="AJ110" s="180"/>
      <c r="AQ110" s="180"/>
      <c r="AR110" s="180"/>
      <c r="AS110" s="180"/>
      <c r="AT110" s="180"/>
      <c r="AU110" s="180"/>
      <c r="AV110" s="180"/>
      <c r="AW110" s="180"/>
    </row>
    <row r="111" spans="1:49" s="193" customFormat="1">
      <c r="A111" s="180"/>
      <c r="B111" s="267" t="s">
        <v>361</v>
      </c>
      <c r="C111" s="47"/>
      <c r="D111" s="47"/>
      <c r="E111" s="319"/>
      <c r="F111" s="646"/>
      <c r="G111" s="4"/>
      <c r="H111" s="47"/>
      <c r="I111" s="47"/>
      <c r="J111" s="319"/>
      <c r="K111" s="646"/>
      <c r="L111" s="438"/>
      <c r="M111" s="5"/>
      <c r="N111" s="5"/>
      <c r="O111" s="319"/>
      <c r="P111" s="646"/>
      <c r="Q111" s="438"/>
      <c r="R111" s="5"/>
      <c r="S111" s="5"/>
      <c r="T111" s="319"/>
      <c r="U111" s="646"/>
      <c r="V111" s="438"/>
      <c r="W111" s="5"/>
      <c r="X111" s="5"/>
      <c r="Y111" s="319"/>
      <c r="Z111" s="646"/>
      <c r="AA111" s="328">
        <f t="shared" si="17"/>
        <v>0</v>
      </c>
      <c r="AB111" s="298">
        <f t="shared" si="18"/>
        <v>0</v>
      </c>
      <c r="AC111" s="4"/>
      <c r="AD111" s="47"/>
      <c r="AE111" s="47"/>
      <c r="AF111" s="319"/>
      <c r="AG111" s="328">
        <f t="shared" si="19"/>
        <v>0</v>
      </c>
      <c r="AH111" s="4"/>
      <c r="AI111" s="255"/>
      <c r="AJ111" s="180"/>
      <c r="AQ111" s="180"/>
      <c r="AR111" s="180"/>
      <c r="AS111" s="180"/>
      <c r="AT111" s="180"/>
      <c r="AU111" s="180"/>
      <c r="AV111" s="180"/>
      <c r="AW111" s="180"/>
    </row>
    <row r="112" spans="1:49" s="193" customFormat="1">
      <c r="A112" s="180"/>
      <c r="B112" s="267" t="s">
        <v>362</v>
      </c>
      <c r="C112" s="47"/>
      <c r="D112" s="47"/>
      <c r="E112" s="319">
        <v>1</v>
      </c>
      <c r="F112" s="646"/>
      <c r="G112" s="4"/>
      <c r="H112" s="47"/>
      <c r="I112" s="47"/>
      <c r="J112" s="319">
        <v>1</v>
      </c>
      <c r="K112" s="646"/>
      <c r="L112" s="438"/>
      <c r="M112" s="47"/>
      <c r="N112" s="47"/>
      <c r="O112" s="319">
        <v>1</v>
      </c>
      <c r="P112" s="646"/>
      <c r="Q112" s="438"/>
      <c r="R112" s="47"/>
      <c r="S112" s="47"/>
      <c r="T112" s="319">
        <v>1</v>
      </c>
      <c r="U112" s="646"/>
      <c r="V112" s="438"/>
      <c r="W112" s="5"/>
      <c r="X112" s="5"/>
      <c r="Y112" s="319">
        <v>1</v>
      </c>
      <c r="Z112" s="646"/>
      <c r="AA112" s="328">
        <f t="shared" si="17"/>
        <v>5</v>
      </c>
      <c r="AB112" s="298">
        <f t="shared" si="18"/>
        <v>0</v>
      </c>
      <c r="AC112" s="4"/>
      <c r="AD112" s="47"/>
      <c r="AE112" s="47"/>
      <c r="AF112" s="319"/>
      <c r="AG112" s="328">
        <f t="shared" si="19"/>
        <v>0</v>
      </c>
      <c r="AH112" s="4"/>
      <c r="AI112" s="255"/>
      <c r="AJ112" s="180"/>
      <c r="AQ112" s="180"/>
      <c r="AR112" s="180"/>
      <c r="AS112" s="180"/>
      <c r="AT112" s="180"/>
      <c r="AU112" s="180"/>
      <c r="AV112" s="180"/>
      <c r="AW112" s="180"/>
    </row>
    <row r="113" spans="1:49" s="193" customFormat="1">
      <c r="A113" s="180"/>
      <c r="B113" s="437" t="s">
        <v>355</v>
      </c>
      <c r="C113" s="47"/>
      <c r="D113" s="47"/>
      <c r="E113" s="319">
        <v>7.7</v>
      </c>
      <c r="F113" s="646"/>
      <c r="G113" s="438"/>
      <c r="H113" s="5"/>
      <c r="I113" s="5"/>
      <c r="J113" s="319">
        <v>7.7</v>
      </c>
      <c r="K113" s="646"/>
      <c r="L113" s="438"/>
      <c r="M113" s="5"/>
      <c r="N113" s="5"/>
      <c r="O113" s="319">
        <v>7.7</v>
      </c>
      <c r="P113" s="646"/>
      <c r="Q113" s="438"/>
      <c r="R113" s="5"/>
      <c r="S113" s="5"/>
      <c r="T113" s="319">
        <v>7.7</v>
      </c>
      <c r="U113" s="646"/>
      <c r="V113" s="438"/>
      <c r="W113" s="5"/>
      <c r="X113" s="5"/>
      <c r="Y113" s="319">
        <v>0</v>
      </c>
      <c r="Z113" s="646"/>
      <c r="AA113" s="328">
        <f t="shared" si="17"/>
        <v>30.8</v>
      </c>
      <c r="AB113" s="298">
        <f t="shared" si="18"/>
        <v>0</v>
      </c>
      <c r="AC113" s="4"/>
      <c r="AD113" s="47"/>
      <c r="AE113" s="47"/>
      <c r="AF113" s="319"/>
      <c r="AG113" s="328">
        <f t="shared" si="19"/>
        <v>0</v>
      </c>
      <c r="AH113" s="4"/>
      <c r="AI113" s="255"/>
      <c r="AJ113" s="180"/>
      <c r="AQ113" s="180"/>
      <c r="AR113" s="180"/>
      <c r="AS113" s="180"/>
      <c r="AT113" s="180"/>
      <c r="AU113" s="180"/>
      <c r="AV113" s="180"/>
      <c r="AW113" s="180"/>
    </row>
    <row r="114" spans="1:49" s="193" customFormat="1">
      <c r="A114" s="180"/>
      <c r="B114" s="437" t="s">
        <v>356</v>
      </c>
      <c r="C114" s="713"/>
      <c r="D114" s="713"/>
      <c r="E114" s="713"/>
      <c r="F114" s="646"/>
      <c r="G114" s="438"/>
      <c r="H114" s="5"/>
      <c r="I114" s="5"/>
      <c r="J114" s="319"/>
      <c r="K114" s="646"/>
      <c r="L114" s="438"/>
      <c r="M114" s="5"/>
      <c r="N114" s="5"/>
      <c r="O114" s="319"/>
      <c r="P114" s="646"/>
      <c r="Q114" s="438"/>
      <c r="R114" s="5"/>
      <c r="S114" s="5"/>
      <c r="T114" s="319"/>
      <c r="U114" s="646"/>
      <c r="V114" s="438"/>
      <c r="W114" s="5"/>
      <c r="X114" s="5"/>
      <c r="Y114" s="319"/>
      <c r="Z114" s="646"/>
      <c r="AA114" s="328">
        <f t="shared" si="17"/>
        <v>0</v>
      </c>
      <c r="AB114" s="298">
        <f t="shared" si="18"/>
        <v>0</v>
      </c>
      <c r="AC114" s="4"/>
      <c r="AD114" s="47"/>
      <c r="AE114" s="47"/>
      <c r="AF114" s="319"/>
      <c r="AG114" s="328">
        <f t="shared" si="19"/>
        <v>0</v>
      </c>
      <c r="AH114" s="4"/>
      <c r="AI114" s="255"/>
      <c r="AJ114" s="180"/>
      <c r="AQ114" s="180"/>
      <c r="AR114" s="180"/>
      <c r="AS114" s="180"/>
      <c r="AT114" s="180"/>
      <c r="AU114" s="180"/>
      <c r="AV114" s="180"/>
      <c r="AW114" s="180"/>
    </row>
    <row r="115" spans="1:49" s="193" customFormat="1">
      <c r="A115" s="180"/>
      <c r="B115" s="64" t="s">
        <v>61</v>
      </c>
      <c r="C115" s="31"/>
      <c r="D115" s="31"/>
      <c r="E115" s="439"/>
      <c r="F115" s="646"/>
      <c r="G115" s="31"/>
      <c r="H115" s="31"/>
      <c r="I115" s="31"/>
      <c r="J115" s="439"/>
      <c r="K115" s="646"/>
      <c r="L115" s="31"/>
      <c r="M115" s="31"/>
      <c r="N115" s="31"/>
      <c r="O115" s="439"/>
      <c r="P115" s="646"/>
      <c r="Q115" s="31"/>
      <c r="R115" s="31"/>
      <c r="S115" s="31"/>
      <c r="T115" s="439"/>
      <c r="U115" s="646"/>
      <c r="V115" s="31"/>
      <c r="W115" s="31"/>
      <c r="X115" s="31"/>
      <c r="Y115" s="439"/>
      <c r="Z115" s="646"/>
      <c r="AA115" s="370">
        <f>SUM(AA90:AA114)</f>
        <v>589.29999999999995</v>
      </c>
      <c r="AB115" s="370">
        <f>SUM(AB90:AB114)</f>
        <v>5.5</v>
      </c>
      <c r="AC115" s="4"/>
      <c r="AD115" s="64"/>
      <c r="AE115" s="64"/>
      <c r="AF115" s="370">
        <f>SUM(AF90:AF114)</f>
        <v>0</v>
      </c>
      <c r="AG115" s="370">
        <f>SUM(AG90:AG114)</f>
        <v>0</v>
      </c>
      <c r="AH115" s="4"/>
      <c r="AI115" s="255"/>
      <c r="AJ115" s="180"/>
      <c r="AK115" s="407"/>
      <c r="AQ115" s="180"/>
      <c r="AR115" s="180"/>
      <c r="AS115" s="180"/>
      <c r="AT115" s="180"/>
      <c r="AU115" s="180"/>
      <c r="AV115" s="180"/>
      <c r="AW115" s="180"/>
    </row>
    <row r="116" spans="1:49" s="193" customFormat="1">
      <c r="A116" s="180"/>
      <c r="B116" s="63" t="s">
        <v>64</v>
      </c>
      <c r="C116" s="47"/>
      <c r="D116" s="47"/>
      <c r="E116" s="319">
        <v>8</v>
      </c>
      <c r="F116" s="346">
        <v>1</v>
      </c>
      <c r="G116" s="613"/>
      <c r="H116" s="47"/>
      <c r="I116" s="47"/>
      <c r="J116" s="319">
        <v>8</v>
      </c>
      <c r="K116" s="346">
        <v>0.25</v>
      </c>
      <c r="L116" s="60"/>
      <c r="M116" s="47"/>
      <c r="N116" s="47"/>
      <c r="O116" s="319">
        <v>8</v>
      </c>
      <c r="P116" s="346">
        <v>0.5</v>
      </c>
      <c r="Q116" s="60"/>
      <c r="R116" s="47"/>
      <c r="S116" s="47"/>
      <c r="T116" s="319">
        <v>8</v>
      </c>
      <c r="U116" s="346">
        <v>1</v>
      </c>
      <c r="V116" s="60"/>
      <c r="W116" s="47"/>
      <c r="X116" s="47"/>
      <c r="Y116" s="319">
        <v>8</v>
      </c>
      <c r="Z116" s="346">
        <v>1.25</v>
      </c>
      <c r="AA116" s="28">
        <f>SUM(E116+J116+O116+T116+Y116)</f>
        <v>40</v>
      </c>
      <c r="AB116" s="296">
        <f>Z116+U116+P116+K116+F116</f>
        <v>4</v>
      </c>
      <c r="AC116" s="4"/>
      <c r="AD116" s="47" t="s">
        <v>29</v>
      </c>
      <c r="AE116" s="47" t="s">
        <v>29</v>
      </c>
      <c r="AF116" s="319"/>
      <c r="AG116" s="29">
        <f>AF116</f>
        <v>0</v>
      </c>
      <c r="AH116" s="4"/>
      <c r="AI116" s="255"/>
      <c r="AJ116" s="180"/>
      <c r="AK116" s="407"/>
      <c r="AQ116" s="180"/>
      <c r="AR116" s="180"/>
      <c r="AS116" s="180"/>
      <c r="AT116" s="180"/>
      <c r="AU116" s="180"/>
      <c r="AV116" s="180"/>
      <c r="AW116" s="180"/>
    </row>
    <row r="117" spans="1:49" s="193" customFormat="1">
      <c r="A117" s="180"/>
      <c r="B117" s="71" t="s">
        <v>66</v>
      </c>
      <c r="C117" s="371"/>
      <c r="D117" s="371"/>
      <c r="E117" s="71"/>
      <c r="F117" s="613"/>
      <c r="G117" s="71"/>
      <c r="H117" s="71"/>
      <c r="I117" s="71"/>
      <c r="J117" s="71"/>
      <c r="K117" s="613"/>
      <c r="L117" s="71"/>
      <c r="M117" s="71"/>
      <c r="N117" s="71"/>
      <c r="O117" s="71"/>
      <c r="P117" s="613"/>
      <c r="Q117" s="71"/>
      <c r="R117" s="71"/>
      <c r="S117" s="71"/>
      <c r="T117" s="71"/>
      <c r="U117" s="613"/>
      <c r="V117" s="71"/>
      <c r="W117" s="71"/>
      <c r="X117" s="71"/>
      <c r="Y117" s="71"/>
      <c r="Z117" s="613"/>
      <c r="AA117" s="370">
        <f>SUM(AA116:AA116)</f>
        <v>40</v>
      </c>
      <c r="AB117" s="370">
        <f>SUM(AB116:AB116)</f>
        <v>4</v>
      </c>
      <c r="AC117" s="4"/>
      <c r="AD117" s="180"/>
      <c r="AE117" s="180"/>
      <c r="AF117" s="180"/>
      <c r="AG117" s="370">
        <f>SUM(AG116:AG116)</f>
        <v>0</v>
      </c>
      <c r="AH117" s="4"/>
      <c r="AI117" s="255"/>
      <c r="AJ117" s="180"/>
      <c r="AK117" s="407"/>
      <c r="AQ117" s="180"/>
      <c r="AR117" s="180"/>
      <c r="AS117" s="180"/>
      <c r="AT117" s="180"/>
      <c r="AU117" s="180"/>
      <c r="AV117" s="180"/>
      <c r="AW117" s="180"/>
    </row>
    <row r="118" spans="1:49" s="193" customFormat="1">
      <c r="A118" s="180"/>
      <c r="B118" s="217" t="s">
        <v>67</v>
      </c>
      <c r="C118" s="207">
        <f>C119+C120</f>
        <v>44</v>
      </c>
      <c r="D118" s="207"/>
      <c r="E118" s="209"/>
      <c r="F118" s="209"/>
      <c r="G118" s="207"/>
      <c r="H118" s="209"/>
      <c r="I118" s="209"/>
      <c r="J118" s="209"/>
      <c r="K118" s="209"/>
      <c r="L118" s="207"/>
      <c r="M118" s="207"/>
      <c r="N118" s="207"/>
      <c r="O118" s="207"/>
      <c r="P118" s="209"/>
      <c r="Q118" s="207"/>
      <c r="R118" s="207"/>
      <c r="S118" s="207"/>
      <c r="T118" s="207"/>
      <c r="U118" s="209"/>
      <c r="V118" s="207"/>
      <c r="W118" s="207"/>
      <c r="X118" s="207"/>
      <c r="Y118" s="210"/>
      <c r="Z118" s="209"/>
      <c r="AA118" s="211"/>
      <c r="AB118" s="209"/>
      <c r="AC118" s="211"/>
      <c r="AD118" s="211"/>
      <c r="AE118" s="211"/>
      <c r="AF118" s="211"/>
      <c r="AG118" s="211"/>
      <c r="AH118" s="4"/>
      <c r="AI118" s="255"/>
      <c r="AJ118" s="180"/>
      <c r="AQ118" s="180"/>
      <c r="AR118" s="180"/>
      <c r="AS118" s="180"/>
      <c r="AT118" s="180"/>
      <c r="AU118" s="180"/>
      <c r="AV118" s="180"/>
      <c r="AW118" s="180"/>
    </row>
    <row r="119" spans="1:49" s="193" customFormat="1">
      <c r="A119" s="180"/>
      <c r="B119" s="238" t="s">
        <v>68</v>
      </c>
      <c r="C119" s="239">
        <f>10+10+9+10+3</f>
        <v>42</v>
      </c>
      <c r="D119" s="207"/>
      <c r="E119" s="209"/>
      <c r="F119" s="209"/>
      <c r="G119" s="207"/>
      <c r="H119" s="209"/>
      <c r="I119" s="209"/>
      <c r="J119" s="209"/>
      <c r="K119" s="209"/>
      <c r="L119" s="207"/>
      <c r="M119" s="207"/>
      <c r="N119" s="207"/>
      <c r="O119" s="207"/>
      <c r="P119" s="209"/>
      <c r="Q119" s="207"/>
      <c r="R119" s="207"/>
      <c r="S119" s="207"/>
      <c r="T119" s="207"/>
      <c r="U119" s="209"/>
      <c r="V119" s="207"/>
      <c r="W119" s="207"/>
      <c r="X119" s="207"/>
      <c r="Y119" s="210"/>
      <c r="Z119" s="209"/>
      <c r="AA119" s="211"/>
      <c r="AB119" s="209"/>
      <c r="AC119" s="211"/>
      <c r="AD119" s="211"/>
      <c r="AE119" s="211"/>
      <c r="AF119" s="211"/>
      <c r="AG119" s="211"/>
      <c r="AH119" s="4"/>
      <c r="AI119" s="255"/>
      <c r="AJ119" s="180"/>
      <c r="AQ119" s="180"/>
      <c r="AR119" s="180"/>
      <c r="AS119" s="180"/>
      <c r="AT119" s="180"/>
      <c r="AU119" s="180"/>
      <c r="AV119" s="180"/>
      <c r="AW119" s="180"/>
    </row>
    <row r="120" spans="1:49" s="193" customFormat="1">
      <c r="A120" s="180"/>
      <c r="B120" s="238" t="s">
        <v>69</v>
      </c>
      <c r="C120" s="239">
        <v>2</v>
      </c>
      <c r="D120" s="207"/>
      <c r="E120" s="209"/>
      <c r="F120" s="209"/>
      <c r="G120" s="207"/>
      <c r="H120" s="209"/>
      <c r="I120" s="209"/>
      <c r="J120" s="209"/>
      <c r="K120" s="209"/>
      <c r="L120" s="207"/>
      <c r="M120" s="207"/>
      <c r="N120" s="207"/>
      <c r="O120" s="207"/>
      <c r="P120" s="209"/>
      <c r="Q120" s="207"/>
      <c r="R120" s="207"/>
      <c r="S120" s="207"/>
      <c r="T120" s="207"/>
      <c r="U120" s="209"/>
      <c r="V120" s="207"/>
      <c r="W120" s="207"/>
      <c r="X120" s="207"/>
      <c r="Y120" s="210"/>
      <c r="Z120" s="209"/>
      <c r="AA120" s="211"/>
      <c r="AB120" s="209"/>
      <c r="AC120" s="211"/>
      <c r="AD120" s="211"/>
      <c r="AE120" s="211"/>
      <c r="AF120" s="211"/>
      <c r="AG120" s="211"/>
      <c r="AH120" s="4"/>
      <c r="AI120" s="255"/>
      <c r="AJ120" s="180"/>
      <c r="AQ120" s="180"/>
      <c r="AR120" s="180"/>
      <c r="AS120" s="180"/>
      <c r="AT120" s="180"/>
      <c r="AU120" s="180"/>
      <c r="AV120" s="180"/>
      <c r="AW120" s="180"/>
    </row>
    <row r="121" spans="1:49">
      <c r="E121" s="4"/>
      <c r="F121" s="644"/>
      <c r="G121" s="4"/>
      <c r="J121" s="4"/>
      <c r="K121" s="644"/>
      <c r="L121" s="4"/>
      <c r="O121" s="4"/>
      <c r="P121" s="644"/>
      <c r="T121" s="4"/>
      <c r="U121" s="644"/>
      <c r="Y121" s="4"/>
      <c r="Z121" s="644"/>
      <c r="AA121" s="4"/>
      <c r="AB121" s="4"/>
      <c r="AC121" s="4"/>
    </row>
    <row r="122" spans="1:49">
      <c r="A122" s="180"/>
      <c r="B122" s="229"/>
      <c r="C122" s="230"/>
      <c r="D122" s="230"/>
      <c r="E122" s="232"/>
      <c r="F122" s="232"/>
      <c r="G122" s="230"/>
      <c r="H122" s="232"/>
      <c r="I122" s="232"/>
      <c r="J122" s="232"/>
      <c r="K122" s="232"/>
      <c r="L122" s="230"/>
      <c r="M122" s="230"/>
      <c r="N122" s="230"/>
      <c r="O122" s="230"/>
      <c r="P122" s="232"/>
      <c r="Q122" s="230"/>
      <c r="R122" s="230"/>
      <c r="S122" s="230"/>
      <c r="T122" s="230"/>
      <c r="U122" s="232"/>
      <c r="V122" s="230"/>
      <c r="W122" s="230"/>
      <c r="X122" s="230"/>
      <c r="Y122" s="233"/>
      <c r="Z122" s="232"/>
      <c r="AA122" s="234"/>
      <c r="AB122" s="232"/>
      <c r="AC122" s="373"/>
      <c r="AD122" s="236"/>
      <c r="AE122" s="255"/>
      <c r="AF122" s="255"/>
      <c r="AG122" s="255"/>
      <c r="AH122" s="255"/>
      <c r="AJ122" s="255"/>
      <c r="AK122" s="255"/>
      <c r="AL122" s="255"/>
      <c r="AM122" s="255"/>
      <c r="AN122" s="255"/>
      <c r="AO122" s="255"/>
      <c r="AP122" s="255"/>
      <c r="AQ122" s="255"/>
      <c r="AR122" s="255"/>
      <c r="AS122" s="255"/>
      <c r="AT122" s="255"/>
      <c r="AU122" s="255"/>
      <c r="AV122" s="255"/>
      <c r="AW122" s="255"/>
    </row>
    <row r="123" spans="1:49">
      <c r="B123" s="180"/>
      <c r="E123" s="4"/>
      <c r="F123" s="644"/>
      <c r="G123" s="4"/>
      <c r="J123" s="4"/>
      <c r="K123" s="644"/>
      <c r="L123" s="4"/>
      <c r="O123" s="4"/>
      <c r="P123" s="644"/>
      <c r="T123" s="4"/>
      <c r="U123" s="644"/>
      <c r="Y123" s="4"/>
      <c r="Z123" s="644"/>
      <c r="AA123" s="4"/>
      <c r="AB123" s="4"/>
      <c r="AC123" s="4"/>
      <c r="AK123" s="180"/>
      <c r="AL123" s="180"/>
      <c r="AM123" s="180"/>
      <c r="AN123" s="180"/>
      <c r="AO123" s="180"/>
      <c r="AP123" s="180"/>
    </row>
    <row r="124" spans="1:49" ht="10.9" customHeight="1">
      <c r="A124" s="228"/>
      <c r="B124" s="1518" t="s">
        <v>18</v>
      </c>
      <c r="C124" s="1519">
        <v>45733</v>
      </c>
      <c r="D124" s="1519"/>
      <c r="E124" s="1519" t="s">
        <v>564</v>
      </c>
      <c r="F124" s="1519"/>
      <c r="G124" s="365"/>
      <c r="H124" s="1519">
        <v>45734</v>
      </c>
      <c r="I124" s="1519"/>
      <c r="J124" s="1519" t="s">
        <v>565</v>
      </c>
      <c r="K124" s="1519"/>
      <c r="L124" s="365"/>
      <c r="M124" s="1519">
        <v>45735</v>
      </c>
      <c r="N124" s="1519"/>
      <c r="O124" s="1519" t="s">
        <v>566</v>
      </c>
      <c r="P124" s="1519"/>
      <c r="Q124" s="365"/>
      <c r="R124" s="1519">
        <v>45736</v>
      </c>
      <c r="S124" s="1519"/>
      <c r="T124" s="1519" t="s">
        <v>567</v>
      </c>
      <c r="U124" s="1519"/>
      <c r="V124" s="365"/>
      <c r="W124" s="1519">
        <v>45737</v>
      </c>
      <c r="X124" s="1519"/>
      <c r="Y124" s="1519" t="s">
        <v>568</v>
      </c>
      <c r="Z124" s="1519"/>
      <c r="AA124" s="1517" t="s">
        <v>19</v>
      </c>
      <c r="AB124" s="1517" t="s">
        <v>20</v>
      </c>
      <c r="AC124" s="4"/>
      <c r="AD124" s="1519">
        <v>45738</v>
      </c>
      <c r="AE124" s="1519"/>
      <c r="AF124" s="14" t="s">
        <v>1111</v>
      </c>
      <c r="AG124" s="1517" t="s">
        <v>21</v>
      </c>
      <c r="AI124" s="368"/>
      <c r="AK124" s="194" t="s">
        <v>84</v>
      </c>
      <c r="AL124" s="366"/>
      <c r="AM124" s="366"/>
      <c r="AN124" s="366"/>
      <c r="AO124" s="366"/>
      <c r="AP124" s="366"/>
    </row>
    <row r="125" spans="1:49">
      <c r="A125" s="180"/>
      <c r="B125" s="1518"/>
      <c r="C125" s="21" t="s">
        <v>23</v>
      </c>
      <c r="D125" s="21" t="s">
        <v>24</v>
      </c>
      <c r="E125" s="205" t="s">
        <v>25</v>
      </c>
      <c r="F125" s="645" t="s">
        <v>14</v>
      </c>
      <c r="G125" s="4"/>
      <c r="H125" s="21" t="s">
        <v>23</v>
      </c>
      <c r="I125" s="21" t="s">
        <v>24</v>
      </c>
      <c r="J125" s="18" t="s">
        <v>25</v>
      </c>
      <c r="K125" s="645" t="s">
        <v>14</v>
      </c>
      <c r="L125" s="4"/>
      <c r="M125" s="21" t="s">
        <v>23</v>
      </c>
      <c r="N125" s="21" t="s">
        <v>24</v>
      </c>
      <c r="O125" s="18" t="s">
        <v>25</v>
      </c>
      <c r="P125" s="645" t="s">
        <v>14</v>
      </c>
      <c r="R125" s="21" t="s">
        <v>23</v>
      </c>
      <c r="S125" s="21" t="s">
        <v>24</v>
      </c>
      <c r="T125" s="18" t="s">
        <v>25</v>
      </c>
      <c r="U125" s="645" t="s">
        <v>14</v>
      </c>
      <c r="W125" s="21" t="s">
        <v>23</v>
      </c>
      <c r="X125" s="21" t="s">
        <v>24</v>
      </c>
      <c r="Y125" s="18" t="s">
        <v>25</v>
      </c>
      <c r="Z125" s="645" t="s">
        <v>14</v>
      </c>
      <c r="AA125" s="1517"/>
      <c r="AB125" s="1517"/>
      <c r="AC125" s="4"/>
      <c r="AD125" s="21" t="s">
        <v>23</v>
      </c>
      <c r="AE125" s="21" t="s">
        <v>24</v>
      </c>
      <c r="AF125" s="18" t="s">
        <v>25</v>
      </c>
      <c r="AG125" s="1517"/>
      <c r="AI125" s="368"/>
      <c r="AJ125" s="367"/>
      <c r="AK125" s="188" t="s">
        <v>26</v>
      </c>
      <c r="AL125" s="196">
        <f>AA151</f>
        <v>654.1</v>
      </c>
      <c r="AM125" s="510">
        <v>40.31</v>
      </c>
      <c r="AN125" s="510">
        <f t="shared" ref="AN125:AN130" si="23">AL125*AM125</f>
        <v>26366.771000000001</v>
      </c>
      <c r="AQ125" s="367"/>
      <c r="AR125" s="367"/>
      <c r="AS125" s="367"/>
      <c r="AT125" s="367"/>
      <c r="AU125" s="367"/>
      <c r="AV125" s="367"/>
      <c r="AW125" s="367"/>
    </row>
    <row r="126" spans="1:49" ht="13.5" customHeight="1">
      <c r="A126" s="180"/>
      <c r="B126" s="4" t="s">
        <v>958</v>
      </c>
      <c r="C126" s="47">
        <v>0.38541666666666669</v>
      </c>
      <c r="D126" s="47">
        <v>0.25</v>
      </c>
      <c r="E126" s="319">
        <v>7.75</v>
      </c>
      <c r="F126" s="646"/>
      <c r="G126" s="4"/>
      <c r="H126" s="47">
        <v>0.39583333333333331</v>
      </c>
      <c r="I126" s="47">
        <v>0.25</v>
      </c>
      <c r="J126" s="319">
        <v>7.5</v>
      </c>
      <c r="K126" s="646"/>
      <c r="L126" s="4"/>
      <c r="M126" s="441"/>
      <c r="N126" s="47"/>
      <c r="O126" s="319">
        <v>0</v>
      </c>
      <c r="P126" s="646"/>
      <c r="R126" s="47">
        <v>0.34375</v>
      </c>
      <c r="S126" s="47">
        <v>0.16666666666666666</v>
      </c>
      <c r="T126" s="319">
        <v>6.75</v>
      </c>
      <c r="U126" s="646"/>
      <c r="W126" s="47"/>
      <c r="X126" s="47" t="s">
        <v>1117</v>
      </c>
      <c r="Y126" s="319"/>
      <c r="Z126" s="646"/>
      <c r="AA126" s="328">
        <f t="shared" ref="AA126:AA150" si="24">(E126+J126+O126+T126+Y126)</f>
        <v>22</v>
      </c>
      <c r="AB126" s="298">
        <f t="shared" ref="AB126:AB150" si="25">Z126+U126+P126+K126+F126</f>
        <v>0</v>
      </c>
      <c r="AC126" s="4"/>
      <c r="AD126" s="587"/>
      <c r="AE126" s="531"/>
      <c r="AF126" s="319"/>
      <c r="AG126" s="328">
        <f t="shared" ref="AG126:AG150" si="26">AF126</f>
        <v>0</v>
      </c>
      <c r="AI126" s="368"/>
      <c r="AJ126" s="367"/>
      <c r="AK126" s="188" t="s">
        <v>30</v>
      </c>
      <c r="AL126" s="196">
        <f>AB151</f>
        <v>11.5</v>
      </c>
      <c r="AM126" s="511">
        <v>60.465000000000003</v>
      </c>
      <c r="AN126" s="510">
        <f t="shared" si="23"/>
        <v>695.34750000000008</v>
      </c>
      <c r="AQ126" s="367"/>
      <c r="AR126" s="367"/>
      <c r="AS126" s="367"/>
      <c r="AT126" s="367"/>
      <c r="AU126" s="367"/>
      <c r="AV126" s="367"/>
      <c r="AW126" s="367"/>
    </row>
    <row r="127" spans="1:49">
      <c r="A127" s="367"/>
      <c r="B127" s="47" t="s">
        <v>515</v>
      </c>
      <c r="C127" s="47">
        <v>0.375</v>
      </c>
      <c r="D127" s="47">
        <v>0.25</v>
      </c>
      <c r="E127" s="319">
        <v>8</v>
      </c>
      <c r="F127" s="646"/>
      <c r="G127" s="4"/>
      <c r="H127" s="47">
        <v>0.375</v>
      </c>
      <c r="I127" s="47">
        <v>0.25</v>
      </c>
      <c r="J127" s="319">
        <v>8</v>
      </c>
      <c r="K127" s="646"/>
      <c r="L127" s="4"/>
      <c r="M127" s="441" t="s">
        <v>125</v>
      </c>
      <c r="N127" s="47">
        <v>0.25</v>
      </c>
      <c r="O127" s="319">
        <v>8</v>
      </c>
      <c r="P127" s="646"/>
      <c r="R127" s="714"/>
      <c r="S127" s="714"/>
      <c r="T127" s="319">
        <v>0</v>
      </c>
      <c r="U127" s="646"/>
      <c r="W127" s="714"/>
      <c r="X127" s="714"/>
      <c r="Y127" s="319">
        <v>0</v>
      </c>
      <c r="Z127" s="646"/>
      <c r="AA127" s="328">
        <f t="shared" si="24"/>
        <v>24</v>
      </c>
      <c r="AB127" s="298">
        <f t="shared" si="25"/>
        <v>0</v>
      </c>
      <c r="AC127" s="4"/>
      <c r="AF127" s="319"/>
      <c r="AG127" s="328">
        <f t="shared" si="26"/>
        <v>0</v>
      </c>
      <c r="AH127" s="175"/>
      <c r="AI127" s="402"/>
      <c r="AJ127" s="367"/>
      <c r="AK127" s="188" t="s">
        <v>32</v>
      </c>
      <c r="AL127" s="196">
        <f>AG151</f>
        <v>0</v>
      </c>
      <c r="AM127" s="510">
        <v>60.465000000000003</v>
      </c>
      <c r="AN127" s="510">
        <f t="shared" si="23"/>
        <v>0</v>
      </c>
      <c r="AQ127" s="367"/>
      <c r="AR127" s="367"/>
      <c r="AS127" s="367"/>
      <c r="AT127" s="367"/>
      <c r="AU127" s="367"/>
      <c r="AV127" s="367"/>
      <c r="AW127" s="367"/>
    </row>
    <row r="128" spans="1:49">
      <c r="A128" s="367"/>
      <c r="B128" s="441" t="s">
        <v>962</v>
      </c>
      <c r="C128" s="47"/>
      <c r="D128" s="47"/>
      <c r="E128" s="319">
        <v>0</v>
      </c>
      <c r="F128" s="646"/>
      <c r="G128" s="4"/>
      <c r="H128" s="47" t="s">
        <v>1006</v>
      </c>
      <c r="I128" s="47">
        <v>0.25</v>
      </c>
      <c r="J128" s="319">
        <v>6.5</v>
      </c>
      <c r="K128" s="646"/>
      <c r="L128" s="4"/>
      <c r="M128" s="47" t="s">
        <v>1006</v>
      </c>
      <c r="N128" s="47">
        <v>0.25</v>
      </c>
      <c r="O128" s="319">
        <v>6.5</v>
      </c>
      <c r="P128" s="646"/>
      <c r="R128" s="47">
        <v>0.45833333333333331</v>
      </c>
      <c r="S128" s="47">
        <v>0.25</v>
      </c>
      <c r="T128" s="319">
        <v>6</v>
      </c>
      <c r="U128" s="646"/>
      <c r="W128" s="47">
        <v>0.45833333333333331</v>
      </c>
      <c r="X128" s="47">
        <v>8.3333333333333329E-2</v>
      </c>
      <c r="Y128" s="319">
        <v>3</v>
      </c>
      <c r="Z128" s="646"/>
      <c r="AA128" s="328">
        <f t="shared" si="24"/>
        <v>22</v>
      </c>
      <c r="AB128" s="298">
        <f t="shared" si="25"/>
        <v>0</v>
      </c>
      <c r="AC128" s="399"/>
      <c r="AD128" s="47"/>
      <c r="AE128" s="47"/>
      <c r="AF128" s="319"/>
      <c r="AG128" s="328">
        <f t="shared" si="26"/>
        <v>0</v>
      </c>
      <c r="AH128" s="175"/>
      <c r="AJ128" s="401"/>
      <c r="AK128" s="403" t="s">
        <v>213</v>
      </c>
      <c r="AL128" s="404">
        <f>AA153</f>
        <v>40</v>
      </c>
      <c r="AM128" s="510">
        <v>53.05</v>
      </c>
      <c r="AN128" s="510">
        <f t="shared" si="23"/>
        <v>2122</v>
      </c>
      <c r="AO128" s="405"/>
      <c r="AP128" s="405"/>
      <c r="AQ128" s="367"/>
      <c r="AR128" s="401"/>
      <c r="AS128" s="401"/>
      <c r="AT128" s="401"/>
      <c r="AU128" s="401"/>
      <c r="AV128" s="401"/>
      <c r="AW128" s="401"/>
    </row>
    <row r="129" spans="1:49">
      <c r="A129" s="367"/>
      <c r="B129" s="47" t="s">
        <v>1112</v>
      </c>
      <c r="C129" s="47">
        <v>0.39583333333333331</v>
      </c>
      <c r="D129" s="47">
        <v>0.25</v>
      </c>
      <c r="E129" s="319">
        <v>7.5</v>
      </c>
      <c r="F129" s="646"/>
      <c r="G129" s="4"/>
      <c r="H129" s="47">
        <v>0.20833333333333334</v>
      </c>
      <c r="I129" s="47">
        <v>0.25</v>
      </c>
      <c r="J129" s="319">
        <v>8</v>
      </c>
      <c r="K129" s="646">
        <v>4</v>
      </c>
      <c r="L129" s="4"/>
      <c r="M129" s="441" t="s">
        <v>75</v>
      </c>
      <c r="N129" s="47">
        <v>0.25</v>
      </c>
      <c r="O129" s="319">
        <v>8</v>
      </c>
      <c r="P129" s="646">
        <v>0</v>
      </c>
      <c r="R129" s="47">
        <v>0.375</v>
      </c>
      <c r="S129" s="47">
        <v>0.25</v>
      </c>
      <c r="T129" s="319">
        <v>8</v>
      </c>
      <c r="U129" s="646"/>
      <c r="W129" s="47">
        <v>0.375</v>
      </c>
      <c r="X129" s="47">
        <v>0.25</v>
      </c>
      <c r="Y129" s="319">
        <v>8</v>
      </c>
      <c r="Z129" s="646"/>
      <c r="AA129" s="328">
        <f t="shared" si="24"/>
        <v>39.5</v>
      </c>
      <c r="AB129" s="298">
        <f t="shared" si="25"/>
        <v>4</v>
      </c>
      <c r="AC129" s="4"/>
      <c r="AD129" s="47"/>
      <c r="AE129" s="47"/>
      <c r="AF129" s="319"/>
      <c r="AG129" s="328">
        <f t="shared" si="26"/>
        <v>0</v>
      </c>
      <c r="AH129" s="175"/>
      <c r="AI129" s="368"/>
      <c r="AK129" s="188" t="s">
        <v>36</v>
      </c>
      <c r="AL129" s="196">
        <f>AB153</f>
        <v>5</v>
      </c>
      <c r="AM129" s="510">
        <v>79.574999999999989</v>
      </c>
      <c r="AN129" s="510">
        <f t="shared" si="23"/>
        <v>397.87499999999994</v>
      </c>
      <c r="AQ129" s="367"/>
    </row>
    <row r="130" spans="1:49" s="4" customFormat="1">
      <c r="A130" s="180"/>
      <c r="B130" s="718" t="s">
        <v>972</v>
      </c>
      <c r="C130" s="47">
        <v>0.375</v>
      </c>
      <c r="D130" s="47">
        <v>0.25</v>
      </c>
      <c r="E130" s="319">
        <v>8</v>
      </c>
      <c r="F130" s="646"/>
      <c r="H130" s="47">
        <v>0.20833333333333334</v>
      </c>
      <c r="I130" s="47">
        <v>0.25</v>
      </c>
      <c r="J130" s="319">
        <v>8</v>
      </c>
      <c r="K130" s="646">
        <v>4</v>
      </c>
      <c r="M130" s="441" t="s">
        <v>75</v>
      </c>
      <c r="N130" s="47">
        <v>0.25</v>
      </c>
      <c r="O130" s="319">
        <v>8</v>
      </c>
      <c r="P130" s="646"/>
      <c r="R130" s="47">
        <v>0.375</v>
      </c>
      <c r="S130" s="47">
        <v>0.25</v>
      </c>
      <c r="T130" s="319">
        <v>8</v>
      </c>
      <c r="U130" s="646"/>
      <c r="W130" s="47">
        <v>0.375</v>
      </c>
      <c r="X130" s="47">
        <v>0.25</v>
      </c>
      <c r="Y130" s="319">
        <v>8</v>
      </c>
      <c r="Z130" s="646"/>
      <c r="AA130" s="328">
        <f t="shared" si="24"/>
        <v>40</v>
      </c>
      <c r="AB130" s="298">
        <f t="shared" si="25"/>
        <v>4</v>
      </c>
      <c r="AD130" s="47"/>
      <c r="AE130" s="47"/>
      <c r="AF130" s="319"/>
      <c r="AG130" s="328">
        <f t="shared" si="26"/>
        <v>0</v>
      </c>
      <c r="AI130" s="255"/>
      <c r="AJ130" s="180"/>
      <c r="AK130" s="188" t="s">
        <v>38</v>
      </c>
      <c r="AL130" s="196">
        <f>AG153</f>
        <v>0</v>
      </c>
      <c r="AM130" s="510">
        <v>79.574999999999989</v>
      </c>
      <c r="AN130" s="510">
        <f t="shared" si="23"/>
        <v>0</v>
      </c>
      <c r="AO130" s="193"/>
      <c r="AP130" s="193"/>
      <c r="AQ130" s="367"/>
      <c r="AR130" s="180"/>
      <c r="AS130" s="180"/>
      <c r="AT130" s="180"/>
      <c r="AU130" s="180"/>
      <c r="AV130" s="180"/>
      <c r="AW130" s="180"/>
    </row>
    <row r="131" spans="1:49" s="4" customFormat="1">
      <c r="A131" s="180"/>
      <c r="B131" s="515" t="s">
        <v>974</v>
      </c>
      <c r="C131" s="47">
        <v>0.33333333333333331</v>
      </c>
      <c r="D131" s="47">
        <v>0.20833333333333334</v>
      </c>
      <c r="E131" s="319">
        <v>8</v>
      </c>
      <c r="F131" s="646"/>
      <c r="H131" s="47">
        <v>0.33333333333333331</v>
      </c>
      <c r="I131" s="47">
        <v>0.20833333333333334</v>
      </c>
      <c r="J131" s="319">
        <v>8</v>
      </c>
      <c r="K131" s="646"/>
      <c r="M131" s="441" t="s">
        <v>125</v>
      </c>
      <c r="N131" s="47">
        <v>0.20833333333333334</v>
      </c>
      <c r="O131" s="319">
        <v>8</v>
      </c>
      <c r="P131" s="646"/>
      <c r="R131" s="47">
        <v>0.33333333333333331</v>
      </c>
      <c r="S131" s="47">
        <v>0.20833333333333334</v>
      </c>
      <c r="T131" s="319">
        <v>8</v>
      </c>
      <c r="U131" s="646"/>
      <c r="W131" s="47">
        <v>0.33333333333333331</v>
      </c>
      <c r="X131" s="47">
        <v>0.20833333333333334</v>
      </c>
      <c r="Y131" s="319">
        <v>8</v>
      </c>
      <c r="Z131" s="646"/>
      <c r="AA131" s="328">
        <f t="shared" si="24"/>
        <v>40</v>
      </c>
      <c r="AB131" s="298">
        <f t="shared" si="25"/>
        <v>0</v>
      </c>
      <c r="AD131" s="47"/>
      <c r="AE131" s="47"/>
      <c r="AF131" s="319"/>
      <c r="AG131" s="328">
        <f t="shared" si="26"/>
        <v>0</v>
      </c>
      <c r="AI131" s="255"/>
      <c r="AJ131" s="180"/>
      <c r="AK131" s="193"/>
      <c r="AL131" s="193"/>
      <c r="AM131" s="193"/>
      <c r="AN131" s="510">
        <f>SUM(AN125:AN130)</f>
        <v>29581.9935</v>
      </c>
      <c r="AO131" s="193"/>
      <c r="AP131" s="193"/>
      <c r="AQ131" s="180"/>
      <c r="AR131" s="180"/>
      <c r="AS131" s="180"/>
      <c r="AT131" s="180"/>
      <c r="AU131" s="180"/>
      <c r="AV131" s="180"/>
      <c r="AW131" s="180"/>
    </row>
    <row r="132" spans="1:49" s="4" customFormat="1" ht="12" customHeight="1">
      <c r="A132" s="180"/>
      <c r="B132" s="374" t="s">
        <v>998</v>
      </c>
      <c r="C132" s="47">
        <v>0.375</v>
      </c>
      <c r="D132" s="47">
        <v>0.25</v>
      </c>
      <c r="E132" s="319">
        <v>8</v>
      </c>
      <c r="F132" s="646"/>
      <c r="H132" s="47">
        <v>0.375</v>
      </c>
      <c r="I132" s="47">
        <v>0.25</v>
      </c>
      <c r="J132" s="319">
        <v>8</v>
      </c>
      <c r="K132" s="646"/>
      <c r="M132" s="441" t="s">
        <v>75</v>
      </c>
      <c r="N132" s="47">
        <v>0.25</v>
      </c>
      <c r="O132" s="319">
        <v>8</v>
      </c>
      <c r="P132" s="646"/>
      <c r="R132" s="47">
        <v>0.375</v>
      </c>
      <c r="S132" s="47">
        <v>0.25</v>
      </c>
      <c r="T132" s="319">
        <v>8</v>
      </c>
      <c r="U132" s="646"/>
      <c r="W132" s="47"/>
      <c r="X132" s="47" t="s">
        <v>1013</v>
      </c>
      <c r="Y132" s="319">
        <v>0</v>
      </c>
      <c r="Z132" s="646"/>
      <c r="AA132" s="328">
        <f t="shared" si="24"/>
        <v>32</v>
      </c>
      <c r="AB132" s="298">
        <f t="shared" si="25"/>
        <v>0</v>
      </c>
      <c r="AD132" s="47"/>
      <c r="AE132" s="47"/>
      <c r="AF132" s="319"/>
      <c r="AG132" s="328">
        <f t="shared" si="26"/>
        <v>0</v>
      </c>
      <c r="AI132" s="255"/>
      <c r="AJ132" s="180"/>
      <c r="AK132" s="193"/>
      <c r="AL132" s="193"/>
      <c r="AM132" s="193"/>
      <c r="AN132" s="193"/>
      <c r="AO132" s="193"/>
      <c r="AP132" s="193"/>
      <c r="AQ132" s="180"/>
      <c r="AR132" s="180"/>
      <c r="AS132" s="180"/>
      <c r="AT132" s="180"/>
      <c r="AU132" s="180"/>
      <c r="AV132" s="180"/>
      <c r="AW132" s="180"/>
    </row>
    <row r="133" spans="1:49" s="4" customFormat="1">
      <c r="A133" s="180"/>
      <c r="B133" s="47" t="s">
        <v>977</v>
      </c>
      <c r="C133" s="47">
        <v>0.33333333333333331</v>
      </c>
      <c r="D133" s="47">
        <v>0.20833333333333334</v>
      </c>
      <c r="E133" s="319">
        <v>8</v>
      </c>
      <c r="F133" s="646">
        <v>1</v>
      </c>
      <c r="H133" s="47">
        <v>0.375</v>
      </c>
      <c r="I133" s="47">
        <v>0.25</v>
      </c>
      <c r="J133" s="319">
        <v>8</v>
      </c>
      <c r="K133" s="646"/>
      <c r="M133" s="441" t="s">
        <v>125</v>
      </c>
      <c r="N133" s="47">
        <v>0.20833333333333334</v>
      </c>
      <c r="O133" s="319">
        <v>8</v>
      </c>
      <c r="P133" s="646"/>
      <c r="R133" s="47">
        <v>0.33333333333333331</v>
      </c>
      <c r="S133" s="47">
        <v>0.20833333333333334</v>
      </c>
      <c r="T133" s="319">
        <v>8</v>
      </c>
      <c r="U133" s="646"/>
      <c r="W133" s="47"/>
      <c r="X133" s="47" t="s">
        <v>137</v>
      </c>
      <c r="Y133" s="319">
        <v>0</v>
      </c>
      <c r="Z133" s="646"/>
      <c r="AA133" s="328">
        <f t="shared" si="24"/>
        <v>32</v>
      </c>
      <c r="AB133" s="298">
        <f t="shared" si="25"/>
        <v>1</v>
      </c>
      <c r="AD133" s="47"/>
      <c r="AE133" s="47"/>
      <c r="AF133" s="319"/>
      <c r="AG133" s="328">
        <f t="shared" si="26"/>
        <v>0</v>
      </c>
      <c r="AI133" s="255"/>
      <c r="AJ133" s="180"/>
      <c r="AK133" s="192" t="s">
        <v>1115</v>
      </c>
      <c r="AL133" s="193"/>
      <c r="AM133" s="193">
        <f>C154</f>
        <v>50</v>
      </c>
      <c r="AN133" s="193"/>
      <c r="AO133" s="193"/>
      <c r="AP133" s="193"/>
      <c r="AQ133" s="180"/>
      <c r="AR133" s="180"/>
      <c r="AS133" s="180"/>
      <c r="AT133" s="180"/>
      <c r="AU133" s="180"/>
      <c r="AV133" s="180"/>
      <c r="AW133" s="180"/>
    </row>
    <row r="134" spans="1:49" s="4" customFormat="1">
      <c r="A134" s="180"/>
      <c r="B134" s="47" t="s">
        <v>519</v>
      </c>
      <c r="C134" s="47">
        <v>0.375</v>
      </c>
      <c r="D134" s="47">
        <v>0.25</v>
      </c>
      <c r="E134" s="319">
        <v>8</v>
      </c>
      <c r="F134" s="646"/>
      <c r="H134" s="47">
        <v>0.39583333333333331</v>
      </c>
      <c r="I134" s="47">
        <v>0.25</v>
      </c>
      <c r="J134" s="319">
        <v>7.5</v>
      </c>
      <c r="K134" s="646"/>
      <c r="M134" s="441" t="s">
        <v>75</v>
      </c>
      <c r="N134" s="47">
        <v>0.25</v>
      </c>
      <c r="O134" s="319">
        <v>8</v>
      </c>
      <c r="P134" s="646"/>
      <c r="R134" s="441" t="s">
        <v>75</v>
      </c>
      <c r="S134" s="47">
        <v>0.25</v>
      </c>
      <c r="T134" s="319">
        <v>8</v>
      </c>
      <c r="U134" s="646"/>
      <c r="W134" s="441"/>
      <c r="X134" s="47" t="s">
        <v>1013</v>
      </c>
      <c r="Y134" s="319">
        <v>0</v>
      </c>
      <c r="Z134" s="646"/>
      <c r="AA134" s="328">
        <f t="shared" si="24"/>
        <v>31.5</v>
      </c>
      <c r="AB134" s="298">
        <f t="shared" si="25"/>
        <v>0</v>
      </c>
      <c r="AD134" s="47"/>
      <c r="AE134" s="47"/>
      <c r="AF134" s="319"/>
      <c r="AG134" s="328">
        <f t="shared" si="26"/>
        <v>0</v>
      </c>
      <c r="AI134" s="255"/>
      <c r="AJ134" s="180"/>
      <c r="AK134" s="193"/>
      <c r="AL134" s="193"/>
      <c r="AM134" s="193"/>
      <c r="AN134" s="193"/>
      <c r="AO134" s="193"/>
      <c r="AP134" s="193"/>
      <c r="AQ134" s="180"/>
      <c r="AR134" s="180"/>
      <c r="AS134" s="180"/>
      <c r="AT134" s="180"/>
      <c r="AU134" s="180"/>
      <c r="AV134" s="180"/>
      <c r="AW134" s="180"/>
    </row>
    <row r="135" spans="1:49" s="4" customFormat="1">
      <c r="A135" s="180"/>
      <c r="B135" s="47" t="s">
        <v>999</v>
      </c>
      <c r="C135" s="47">
        <v>0.375</v>
      </c>
      <c r="D135" s="47">
        <v>0.25</v>
      </c>
      <c r="E135" s="319">
        <v>8</v>
      </c>
      <c r="F135" s="646"/>
      <c r="H135" s="47">
        <v>0.375</v>
      </c>
      <c r="I135" s="47">
        <v>0.25</v>
      </c>
      <c r="J135" s="319">
        <v>8</v>
      </c>
      <c r="K135" s="646"/>
      <c r="M135" s="441" t="s">
        <v>75</v>
      </c>
      <c r="N135" s="47">
        <v>0.25</v>
      </c>
      <c r="O135" s="319">
        <v>8</v>
      </c>
      <c r="P135" s="646"/>
      <c r="R135" s="441" t="s">
        <v>75</v>
      </c>
      <c r="S135" s="47">
        <v>0.25</v>
      </c>
      <c r="T135" s="319">
        <v>8</v>
      </c>
      <c r="U135" s="646"/>
      <c r="W135" s="441" t="s">
        <v>75</v>
      </c>
      <c r="X135" s="47">
        <v>0.25</v>
      </c>
      <c r="Y135" s="319">
        <v>8</v>
      </c>
      <c r="Z135" s="646"/>
      <c r="AA135" s="328">
        <f t="shared" si="24"/>
        <v>40</v>
      </c>
      <c r="AB135" s="298">
        <f t="shared" si="25"/>
        <v>0</v>
      </c>
      <c r="AD135" s="47"/>
      <c r="AE135" s="47"/>
      <c r="AF135" s="319"/>
      <c r="AG135" s="328">
        <f t="shared" si="26"/>
        <v>0</v>
      </c>
      <c r="AI135" s="255"/>
      <c r="AJ135" s="180"/>
      <c r="AK135" s="193"/>
      <c r="AL135" s="193"/>
      <c r="AM135" s="193"/>
      <c r="AN135" s="193"/>
      <c r="AO135" s="193"/>
      <c r="AP135" s="193"/>
      <c r="AQ135" s="180"/>
      <c r="AR135" s="180"/>
      <c r="AS135" s="180"/>
      <c r="AT135" s="180"/>
      <c r="AU135" s="180"/>
      <c r="AV135" s="180"/>
      <c r="AW135" s="180"/>
    </row>
    <row r="136" spans="1:49" s="4" customFormat="1">
      <c r="A136" s="180"/>
      <c r="B136" s="47" t="s">
        <v>1113</v>
      </c>
      <c r="C136" s="47"/>
      <c r="D136" s="47"/>
      <c r="E136" s="319">
        <v>0</v>
      </c>
      <c r="F136" s="646"/>
      <c r="H136" s="47"/>
      <c r="I136" s="47"/>
      <c r="J136" s="319">
        <v>0</v>
      </c>
      <c r="K136" s="646"/>
      <c r="M136" s="441"/>
      <c r="N136" s="47"/>
      <c r="O136" s="319">
        <v>0</v>
      </c>
      <c r="P136" s="646"/>
      <c r="R136" s="441" t="s">
        <v>75</v>
      </c>
      <c r="S136" s="47">
        <v>0.25</v>
      </c>
      <c r="T136" s="319">
        <v>8</v>
      </c>
      <c r="U136" s="646"/>
      <c r="W136" s="441"/>
      <c r="X136" s="47"/>
      <c r="Y136" s="319">
        <v>0</v>
      </c>
      <c r="Z136" s="646"/>
      <c r="AA136" s="328">
        <f t="shared" si="24"/>
        <v>8</v>
      </c>
      <c r="AB136" s="298">
        <f t="shared" si="25"/>
        <v>0</v>
      </c>
      <c r="AD136" s="47"/>
      <c r="AE136" s="47"/>
      <c r="AF136" s="319"/>
      <c r="AG136" s="328">
        <f t="shared" si="26"/>
        <v>0</v>
      </c>
      <c r="AI136" s="255"/>
      <c r="AJ136" s="180"/>
      <c r="AK136" s="193"/>
      <c r="AL136" s="193"/>
      <c r="AM136" s="193"/>
      <c r="AN136" s="193"/>
      <c r="AO136" s="193"/>
      <c r="AP136" s="193"/>
      <c r="AQ136" s="180"/>
      <c r="AR136" s="180"/>
      <c r="AS136" s="180"/>
      <c r="AT136" s="180"/>
      <c r="AU136" s="180"/>
      <c r="AV136" s="180"/>
      <c r="AW136" s="180"/>
    </row>
    <row r="137" spans="1:49" s="4" customFormat="1">
      <c r="A137" s="180"/>
      <c r="B137" s="502" t="s">
        <v>483</v>
      </c>
      <c r="C137" s="47"/>
      <c r="D137" s="47"/>
      <c r="E137" s="319"/>
      <c r="F137" s="646"/>
      <c r="H137" s="47"/>
      <c r="I137" s="47"/>
      <c r="J137" s="319"/>
      <c r="K137" s="646"/>
      <c r="M137" s="441"/>
      <c r="N137" s="47"/>
      <c r="O137" s="319"/>
      <c r="P137" s="646"/>
      <c r="R137" s="5"/>
      <c r="S137" s="5"/>
      <c r="T137" s="319"/>
      <c r="U137" s="646"/>
      <c r="W137" s="5"/>
      <c r="X137" s="5"/>
      <c r="Y137" s="319"/>
      <c r="Z137" s="646"/>
      <c r="AA137" s="328">
        <f t="shared" si="24"/>
        <v>0</v>
      </c>
      <c r="AB137" s="298">
        <f t="shared" si="25"/>
        <v>0</v>
      </c>
      <c r="AD137" s="47"/>
      <c r="AE137" s="47"/>
      <c r="AF137" s="319"/>
      <c r="AG137" s="328">
        <f t="shared" si="26"/>
        <v>0</v>
      </c>
      <c r="AI137" s="255"/>
      <c r="AJ137" s="180"/>
      <c r="AK137" s="193"/>
      <c r="AL137" s="193"/>
      <c r="AM137" s="193"/>
      <c r="AN137" s="193"/>
      <c r="AO137" s="193"/>
      <c r="AP137" s="193"/>
      <c r="AQ137" s="180"/>
      <c r="AR137" s="180"/>
      <c r="AS137" s="180"/>
      <c r="AT137" s="180"/>
      <c r="AU137" s="180"/>
      <c r="AV137" s="180"/>
      <c r="AW137" s="180"/>
    </row>
    <row r="138" spans="1:49" s="4" customFormat="1">
      <c r="A138" s="180"/>
      <c r="B138" s="502" t="s">
        <v>483</v>
      </c>
      <c r="C138" s="47"/>
      <c r="D138" s="47"/>
      <c r="E138" s="319">
        <v>8</v>
      </c>
      <c r="F138" s="646"/>
      <c r="H138" s="47"/>
      <c r="I138" s="47"/>
      <c r="J138" s="319">
        <v>8</v>
      </c>
      <c r="K138" s="646"/>
      <c r="M138" s="441"/>
      <c r="N138" s="47"/>
      <c r="O138" s="319">
        <v>8</v>
      </c>
      <c r="P138" s="646"/>
      <c r="R138" s="47"/>
      <c r="S138" s="47"/>
      <c r="T138" s="319">
        <v>8</v>
      </c>
      <c r="U138" s="646"/>
      <c r="W138" s="47"/>
      <c r="X138" s="47"/>
      <c r="Y138" s="319">
        <v>8</v>
      </c>
      <c r="Z138" s="646">
        <v>0.5</v>
      </c>
      <c r="AA138" s="328">
        <f t="shared" si="24"/>
        <v>40</v>
      </c>
      <c r="AB138" s="298">
        <f t="shared" si="25"/>
        <v>0.5</v>
      </c>
      <c r="AD138" s="47"/>
      <c r="AE138" s="47"/>
      <c r="AF138" s="319"/>
      <c r="AG138" s="328">
        <f t="shared" si="26"/>
        <v>0</v>
      </c>
      <c r="AI138" s="255"/>
      <c r="AJ138" s="180"/>
      <c r="AK138" s="193"/>
      <c r="AL138" s="193"/>
      <c r="AM138" s="193"/>
      <c r="AN138" s="193"/>
      <c r="AO138" s="193"/>
      <c r="AP138" s="193"/>
      <c r="AQ138" s="180"/>
      <c r="AR138" s="180"/>
      <c r="AS138" s="180"/>
      <c r="AT138" s="180"/>
      <c r="AU138" s="180"/>
      <c r="AV138" s="180"/>
      <c r="AW138" s="180"/>
    </row>
    <row r="139" spans="1:49" s="4" customFormat="1">
      <c r="A139" s="180"/>
      <c r="B139" s="502" t="s">
        <v>484</v>
      </c>
      <c r="C139" s="47"/>
      <c r="D139" s="47"/>
      <c r="E139" s="319">
        <v>8</v>
      </c>
      <c r="F139" s="646"/>
      <c r="H139" s="47"/>
      <c r="I139" s="47"/>
      <c r="J139" s="319">
        <v>8</v>
      </c>
      <c r="K139" s="646"/>
      <c r="M139" s="441"/>
      <c r="N139" s="47"/>
      <c r="O139" s="319">
        <v>8</v>
      </c>
      <c r="P139" s="646"/>
      <c r="R139" s="47"/>
      <c r="S139" s="47"/>
      <c r="T139" s="319">
        <v>8</v>
      </c>
      <c r="U139" s="646"/>
      <c r="W139" s="47"/>
      <c r="X139" s="47"/>
      <c r="Y139" s="319">
        <v>8</v>
      </c>
      <c r="Z139" s="646">
        <v>0.5</v>
      </c>
      <c r="AA139" s="328">
        <f t="shared" si="24"/>
        <v>40</v>
      </c>
      <c r="AB139" s="298">
        <f t="shared" si="25"/>
        <v>0.5</v>
      </c>
      <c r="AD139" s="47"/>
      <c r="AE139" s="47"/>
      <c r="AF139" s="319"/>
      <c r="AG139" s="328">
        <f t="shared" si="26"/>
        <v>0</v>
      </c>
      <c r="AI139" s="255"/>
      <c r="AJ139" s="180"/>
      <c r="AK139" s="193"/>
      <c r="AL139" s="193"/>
      <c r="AM139" s="193"/>
      <c r="AN139" s="193"/>
      <c r="AO139" s="193"/>
      <c r="AP139" s="193"/>
      <c r="AQ139" s="180"/>
      <c r="AR139" s="180"/>
      <c r="AS139" s="180"/>
      <c r="AT139" s="180"/>
      <c r="AU139" s="180"/>
      <c r="AV139" s="180"/>
      <c r="AW139" s="180"/>
    </row>
    <row r="140" spans="1:49" s="4" customFormat="1">
      <c r="A140" s="180"/>
      <c r="B140" s="502" t="s">
        <v>485</v>
      </c>
      <c r="C140" s="47"/>
      <c r="D140" s="47"/>
      <c r="E140" s="319">
        <v>8</v>
      </c>
      <c r="F140" s="646"/>
      <c r="H140" s="47"/>
      <c r="I140" s="47"/>
      <c r="J140" s="319">
        <v>8</v>
      </c>
      <c r="K140" s="646"/>
      <c r="M140" s="47"/>
      <c r="N140" s="47"/>
      <c r="O140" s="319">
        <v>8</v>
      </c>
      <c r="P140" s="646"/>
      <c r="R140" s="47"/>
      <c r="S140" s="47"/>
      <c r="T140" s="319">
        <v>8</v>
      </c>
      <c r="U140" s="646"/>
      <c r="W140" s="47"/>
      <c r="X140" s="47"/>
      <c r="Y140" s="319">
        <v>8</v>
      </c>
      <c r="Z140" s="646">
        <v>0.5</v>
      </c>
      <c r="AA140" s="328">
        <f t="shared" si="24"/>
        <v>40</v>
      </c>
      <c r="AB140" s="298">
        <f t="shared" si="25"/>
        <v>0.5</v>
      </c>
      <c r="AD140" s="47"/>
      <c r="AE140" s="47"/>
      <c r="AF140" s="319"/>
      <c r="AG140" s="328">
        <f t="shared" si="26"/>
        <v>0</v>
      </c>
      <c r="AI140" s="255"/>
      <c r="AJ140" s="180"/>
      <c r="AK140" s="193"/>
      <c r="AL140" s="193"/>
      <c r="AM140" s="193"/>
      <c r="AN140" s="193"/>
      <c r="AO140" s="193"/>
      <c r="AP140" s="193"/>
      <c r="AQ140" s="180"/>
      <c r="AR140" s="180"/>
      <c r="AS140" s="180"/>
      <c r="AT140" s="180"/>
      <c r="AU140" s="180"/>
      <c r="AV140" s="180"/>
      <c r="AW140" s="180"/>
    </row>
    <row r="141" spans="1:49" s="4" customFormat="1">
      <c r="A141" s="180"/>
      <c r="B141" s="502" t="s">
        <v>486</v>
      </c>
      <c r="C141" s="47"/>
      <c r="D141" s="47"/>
      <c r="E141" s="319"/>
      <c r="F141" s="646"/>
      <c r="H141" s="47"/>
      <c r="I141" s="47"/>
      <c r="J141" s="319"/>
      <c r="K141" s="646"/>
      <c r="M141" s="5"/>
      <c r="N141" s="5"/>
      <c r="O141" s="319"/>
      <c r="P141" s="646"/>
      <c r="R141" s="5"/>
      <c r="S141" s="5"/>
      <c r="T141" s="319"/>
      <c r="U141" s="646"/>
      <c r="W141" s="5"/>
      <c r="X141" s="5"/>
      <c r="Y141" s="319"/>
      <c r="Z141" s="646"/>
      <c r="AA141" s="328">
        <f t="shared" si="24"/>
        <v>0</v>
      </c>
      <c r="AB141" s="298">
        <f t="shared" si="25"/>
        <v>0</v>
      </c>
      <c r="AD141" s="47"/>
      <c r="AE141" s="47"/>
      <c r="AF141" s="319"/>
      <c r="AG141" s="328">
        <f t="shared" si="26"/>
        <v>0</v>
      </c>
      <c r="AI141" s="255"/>
      <c r="AJ141" s="180"/>
      <c r="AK141" s="193"/>
      <c r="AL141" s="193"/>
      <c r="AM141" s="193"/>
      <c r="AN141" s="193"/>
      <c r="AO141" s="193"/>
      <c r="AP141" s="193"/>
      <c r="AQ141" s="180"/>
      <c r="AR141" s="180"/>
      <c r="AS141" s="180"/>
      <c r="AT141" s="180"/>
      <c r="AU141" s="180"/>
      <c r="AV141" s="180"/>
      <c r="AW141" s="180"/>
    </row>
    <row r="142" spans="1:49" s="4" customFormat="1">
      <c r="A142" s="180"/>
      <c r="B142" s="63" t="s">
        <v>1116</v>
      </c>
      <c r="C142" s="47"/>
      <c r="D142" s="47"/>
      <c r="E142" s="319">
        <v>8</v>
      </c>
      <c r="F142" s="646"/>
      <c r="H142" s="47"/>
      <c r="I142" s="47"/>
      <c r="J142" s="319">
        <v>8</v>
      </c>
      <c r="K142" s="646"/>
      <c r="M142" s="47"/>
      <c r="N142" s="47"/>
      <c r="O142" s="319">
        <v>8</v>
      </c>
      <c r="P142" s="646"/>
      <c r="R142" s="663"/>
      <c r="S142" s="663"/>
      <c r="T142" s="319">
        <v>8</v>
      </c>
      <c r="U142" s="646"/>
      <c r="W142" s="663"/>
      <c r="X142" s="663"/>
      <c r="Y142" s="319">
        <v>8</v>
      </c>
      <c r="Z142" s="646"/>
      <c r="AA142" s="328">
        <f t="shared" ref="AA142" si="27">(E142+J142+O142+T142+Y142)</f>
        <v>40</v>
      </c>
      <c r="AB142" s="298">
        <f t="shared" ref="AB142" si="28">Z142+U142+P142+K142+F142</f>
        <v>0</v>
      </c>
      <c r="AD142" s="47"/>
      <c r="AE142" s="47"/>
      <c r="AF142" s="319"/>
      <c r="AG142" s="328">
        <f t="shared" ref="AG142" si="29">AF142</f>
        <v>0</v>
      </c>
      <c r="AI142" s="255"/>
      <c r="AJ142" s="180"/>
      <c r="AK142" s="193"/>
      <c r="AL142" s="193"/>
      <c r="AM142" s="193"/>
      <c r="AN142" s="193"/>
      <c r="AO142" s="193"/>
      <c r="AP142" s="193"/>
      <c r="AQ142" s="180"/>
      <c r="AR142" s="180"/>
      <c r="AS142" s="180"/>
      <c r="AT142" s="180"/>
      <c r="AU142" s="180"/>
      <c r="AV142" s="180"/>
      <c r="AW142" s="180"/>
    </row>
    <row r="143" spans="1:49" s="4" customFormat="1">
      <c r="A143" s="180"/>
      <c r="B143" s="63" t="s">
        <v>63</v>
      </c>
      <c r="C143" s="47"/>
      <c r="D143" s="47"/>
      <c r="E143" s="319">
        <v>8</v>
      </c>
      <c r="F143" s="646"/>
      <c r="H143" s="47"/>
      <c r="I143" s="47" t="s">
        <v>137</v>
      </c>
      <c r="J143" s="319"/>
      <c r="K143" s="646"/>
      <c r="M143" s="47"/>
      <c r="N143" s="47" t="s">
        <v>137</v>
      </c>
      <c r="O143" s="319"/>
      <c r="P143" s="646"/>
      <c r="R143" s="663"/>
      <c r="S143" s="47" t="s">
        <v>137</v>
      </c>
      <c r="T143" s="319"/>
      <c r="U143" s="646"/>
      <c r="W143" s="663"/>
      <c r="X143" s="47" t="s">
        <v>137</v>
      </c>
      <c r="Y143" s="319"/>
      <c r="Z143" s="646"/>
      <c r="AA143" s="328">
        <f t="shared" si="24"/>
        <v>8</v>
      </c>
      <c r="AB143" s="298">
        <f t="shared" si="25"/>
        <v>0</v>
      </c>
      <c r="AD143" s="47"/>
      <c r="AE143" s="47"/>
      <c r="AF143" s="319"/>
      <c r="AG143" s="328">
        <f t="shared" si="26"/>
        <v>0</v>
      </c>
      <c r="AI143" s="255"/>
      <c r="AJ143" s="180"/>
      <c r="AK143" s="193"/>
      <c r="AL143" s="193"/>
      <c r="AM143" s="193"/>
      <c r="AN143" s="193"/>
      <c r="AO143" s="193"/>
      <c r="AP143" s="193"/>
      <c r="AQ143" s="180"/>
      <c r="AR143" s="180"/>
      <c r="AS143" s="180"/>
      <c r="AT143" s="180"/>
      <c r="AU143" s="180"/>
      <c r="AV143" s="180"/>
      <c r="AW143" s="180"/>
    </row>
    <row r="144" spans="1:49" s="4" customFormat="1">
      <c r="A144" s="180"/>
      <c r="B144" s="267" t="s">
        <v>358</v>
      </c>
      <c r="C144" s="47"/>
      <c r="D144" s="47"/>
      <c r="E144" s="319">
        <v>8</v>
      </c>
      <c r="F144" s="646"/>
      <c r="H144" s="47"/>
      <c r="I144" s="47"/>
      <c r="J144" s="319">
        <v>8</v>
      </c>
      <c r="K144" s="646"/>
      <c r="L144" s="438"/>
      <c r="M144" s="663"/>
      <c r="N144" s="47" t="s">
        <v>137</v>
      </c>
      <c r="O144" s="319"/>
      <c r="P144" s="646"/>
      <c r="Q144" s="438"/>
      <c r="R144" s="663"/>
      <c r="S144" s="47" t="s">
        <v>137</v>
      </c>
      <c r="T144" s="319"/>
      <c r="U144" s="646"/>
      <c r="V144" s="438"/>
      <c r="W144" s="663"/>
      <c r="X144" s="47" t="s">
        <v>137</v>
      </c>
      <c r="Y144" s="319"/>
      <c r="Z144" s="646"/>
      <c r="AA144" s="328">
        <f t="shared" si="24"/>
        <v>16</v>
      </c>
      <c r="AB144" s="298">
        <f t="shared" si="25"/>
        <v>0</v>
      </c>
      <c r="AD144" s="47"/>
      <c r="AE144" s="47"/>
      <c r="AF144" s="319"/>
      <c r="AG144" s="328">
        <f t="shared" si="26"/>
        <v>0</v>
      </c>
      <c r="AI144" s="255"/>
      <c r="AJ144" s="180"/>
      <c r="AK144" s="193"/>
      <c r="AL144" s="193"/>
      <c r="AM144" s="193"/>
      <c r="AN144" s="193"/>
      <c r="AO144" s="193"/>
      <c r="AP144" s="193"/>
      <c r="AQ144" s="180"/>
      <c r="AR144" s="180"/>
      <c r="AS144" s="180"/>
      <c r="AT144" s="180"/>
      <c r="AU144" s="180"/>
      <c r="AV144" s="180"/>
      <c r="AW144" s="180"/>
    </row>
    <row r="145" spans="1:49" s="193" customFormat="1">
      <c r="A145" s="180"/>
      <c r="B145" s="267" t="s">
        <v>991</v>
      </c>
      <c r="C145" s="47"/>
      <c r="D145" s="47"/>
      <c r="E145" s="319"/>
      <c r="F145" s="646"/>
      <c r="G145" s="4"/>
      <c r="H145" s="47"/>
      <c r="I145" s="47"/>
      <c r="J145" s="319"/>
      <c r="K145" s="646"/>
      <c r="L145" s="438"/>
      <c r="M145" s="5"/>
      <c r="N145" s="5"/>
      <c r="O145" s="319"/>
      <c r="P145" s="646"/>
      <c r="Q145" s="438"/>
      <c r="R145" s="5"/>
      <c r="S145" s="5"/>
      <c r="T145" s="319"/>
      <c r="U145" s="646"/>
      <c r="V145" s="438"/>
      <c r="W145" s="5"/>
      <c r="X145" s="5"/>
      <c r="Y145" s="319"/>
      <c r="Z145" s="646"/>
      <c r="AA145" s="328">
        <f t="shared" si="24"/>
        <v>0</v>
      </c>
      <c r="AB145" s="298">
        <f t="shared" si="25"/>
        <v>0</v>
      </c>
      <c r="AC145" s="4"/>
      <c r="AD145" s="47"/>
      <c r="AE145" s="47"/>
      <c r="AF145" s="319"/>
      <c r="AG145" s="328">
        <f t="shared" si="26"/>
        <v>0</v>
      </c>
      <c r="AH145" s="4"/>
      <c r="AI145" s="255"/>
      <c r="AJ145" s="180"/>
      <c r="AQ145" s="180"/>
      <c r="AR145" s="180"/>
      <c r="AS145" s="180"/>
      <c r="AT145" s="180"/>
      <c r="AU145" s="180"/>
      <c r="AV145" s="180"/>
      <c r="AW145" s="180"/>
    </row>
    <row r="146" spans="1:49" s="193" customFormat="1">
      <c r="A146" s="180"/>
      <c r="B146" s="267" t="s">
        <v>411</v>
      </c>
      <c r="C146" s="47"/>
      <c r="D146" s="47"/>
      <c r="E146" s="319"/>
      <c r="F146" s="646"/>
      <c r="G146" s="4"/>
      <c r="H146" s="47"/>
      <c r="I146" s="47"/>
      <c r="J146" s="319"/>
      <c r="K146" s="646"/>
      <c r="L146" s="438"/>
      <c r="M146" s="5"/>
      <c r="N146" s="5"/>
      <c r="O146" s="319"/>
      <c r="P146" s="646"/>
      <c r="Q146" s="438"/>
      <c r="R146" s="5"/>
      <c r="S146" s="5"/>
      <c r="T146" s="319"/>
      <c r="U146" s="646"/>
      <c r="V146" s="438"/>
      <c r="W146" s="5"/>
      <c r="X146" s="5"/>
      <c r="Y146" s="319"/>
      <c r="Z146" s="646"/>
      <c r="AA146" s="328">
        <f t="shared" si="24"/>
        <v>0</v>
      </c>
      <c r="AB146" s="298">
        <f t="shared" si="25"/>
        <v>0</v>
      </c>
      <c r="AC146" s="4"/>
      <c r="AD146" s="47"/>
      <c r="AE146" s="47"/>
      <c r="AF146" s="319"/>
      <c r="AG146" s="328">
        <f t="shared" si="26"/>
        <v>0</v>
      </c>
      <c r="AH146" s="4"/>
      <c r="AI146" s="255"/>
      <c r="AJ146" s="180"/>
      <c r="AQ146" s="180"/>
      <c r="AR146" s="180"/>
      <c r="AS146" s="180"/>
      <c r="AT146" s="180"/>
      <c r="AU146" s="180"/>
      <c r="AV146" s="180"/>
      <c r="AW146" s="180"/>
    </row>
    <row r="147" spans="1:49" s="193" customFormat="1">
      <c r="A147" s="180"/>
      <c r="B147" s="267" t="s">
        <v>361</v>
      </c>
      <c r="C147" s="47"/>
      <c r="D147" s="47"/>
      <c r="E147" s="319"/>
      <c r="F147" s="646"/>
      <c r="G147" s="4"/>
      <c r="H147" s="47"/>
      <c r="I147" s="47"/>
      <c r="J147" s="319"/>
      <c r="K147" s="646"/>
      <c r="L147" s="438"/>
      <c r="M147" s="5"/>
      <c r="N147" s="5"/>
      <c r="O147" s="319"/>
      <c r="P147" s="646"/>
      <c r="Q147" s="438"/>
      <c r="R147" s="5"/>
      <c r="S147" s="5"/>
      <c r="T147" s="319"/>
      <c r="U147" s="646"/>
      <c r="V147" s="438"/>
      <c r="W147" s="5"/>
      <c r="X147" s="5"/>
      <c r="Y147" s="319"/>
      <c r="Z147" s="646"/>
      <c r="AA147" s="328">
        <f t="shared" si="24"/>
        <v>0</v>
      </c>
      <c r="AB147" s="298">
        <f t="shared" si="25"/>
        <v>0</v>
      </c>
      <c r="AC147" s="4"/>
      <c r="AD147" s="47"/>
      <c r="AE147" s="47"/>
      <c r="AF147" s="319"/>
      <c r="AG147" s="328">
        <f t="shared" si="26"/>
        <v>0</v>
      </c>
      <c r="AH147" s="4"/>
      <c r="AI147" s="255"/>
      <c r="AJ147" s="180"/>
      <c r="AQ147" s="180"/>
      <c r="AR147" s="180"/>
      <c r="AS147" s="180"/>
      <c r="AT147" s="180"/>
      <c r="AU147" s="180"/>
      <c r="AV147" s="180"/>
      <c r="AW147" s="180"/>
    </row>
    <row r="148" spans="1:49" s="193" customFormat="1">
      <c r="A148" s="180"/>
      <c r="B148" s="267" t="s">
        <v>362</v>
      </c>
      <c r="C148" s="47"/>
      <c r="D148" s="47"/>
      <c r="E148" s="319">
        <v>2</v>
      </c>
      <c r="F148" s="646"/>
      <c r="G148" s="4"/>
      <c r="H148" s="47"/>
      <c r="I148" s="47"/>
      <c r="J148" s="319">
        <v>4</v>
      </c>
      <c r="K148" s="646"/>
      <c r="L148" s="438"/>
      <c r="M148" s="47"/>
      <c r="N148" s="47"/>
      <c r="O148" s="319">
        <v>8</v>
      </c>
      <c r="P148" s="646">
        <v>1</v>
      </c>
      <c r="Q148" s="438"/>
      <c r="R148" s="47"/>
      <c r="S148" s="47"/>
      <c r="T148" s="319">
        <v>8</v>
      </c>
      <c r="U148" s="646"/>
      <c r="V148" s="438"/>
      <c r="W148" s="5"/>
      <c r="X148" s="5"/>
      <c r="Y148" s="319">
        <v>8</v>
      </c>
      <c r="Z148" s="646"/>
      <c r="AA148" s="328">
        <f t="shared" si="24"/>
        <v>30</v>
      </c>
      <c r="AB148" s="298">
        <f t="shared" si="25"/>
        <v>1</v>
      </c>
      <c r="AC148" s="4"/>
      <c r="AD148" s="47"/>
      <c r="AE148" s="47"/>
      <c r="AF148" s="319"/>
      <c r="AG148" s="328">
        <f t="shared" si="26"/>
        <v>0</v>
      </c>
      <c r="AH148" s="4"/>
      <c r="AI148" s="255"/>
      <c r="AJ148" s="180"/>
      <c r="AQ148" s="180"/>
      <c r="AR148" s="180"/>
      <c r="AS148" s="180"/>
      <c r="AT148" s="180"/>
      <c r="AU148" s="180"/>
      <c r="AV148" s="180"/>
      <c r="AW148" s="180"/>
    </row>
    <row r="149" spans="1:49" s="193" customFormat="1">
      <c r="A149" s="180"/>
      <c r="B149" s="437" t="s">
        <v>355</v>
      </c>
      <c r="C149" s="47"/>
      <c r="D149" s="47"/>
      <c r="E149" s="319">
        <v>7.7</v>
      </c>
      <c r="F149" s="646"/>
      <c r="G149" s="438"/>
      <c r="H149" s="5"/>
      <c r="I149" s="5"/>
      <c r="J149" s="319">
        <v>7.7</v>
      </c>
      <c r="K149" s="646"/>
      <c r="L149" s="438"/>
      <c r="M149" s="5"/>
      <c r="N149" s="5"/>
      <c r="O149" s="319">
        <v>7.7</v>
      </c>
      <c r="P149" s="646"/>
      <c r="Q149" s="438"/>
      <c r="R149" s="5"/>
      <c r="S149" s="5"/>
      <c r="T149" s="319">
        <v>7.7</v>
      </c>
      <c r="U149" s="646"/>
      <c r="V149" s="438"/>
      <c r="W149" s="5"/>
      <c r="X149" s="5"/>
      <c r="Y149" s="319">
        <v>7.7</v>
      </c>
      <c r="Z149" s="646"/>
      <c r="AA149" s="328">
        <f t="shared" si="24"/>
        <v>38.5</v>
      </c>
      <c r="AB149" s="298">
        <f t="shared" si="25"/>
        <v>0</v>
      </c>
      <c r="AC149" s="4"/>
      <c r="AD149" s="47"/>
      <c r="AE149" s="47"/>
      <c r="AF149" s="319"/>
      <c r="AG149" s="328">
        <f t="shared" si="26"/>
        <v>0</v>
      </c>
      <c r="AH149" s="4"/>
      <c r="AI149" s="255"/>
      <c r="AJ149" s="180"/>
      <c r="AQ149" s="180"/>
      <c r="AR149" s="180"/>
      <c r="AS149" s="180"/>
      <c r="AT149" s="180"/>
      <c r="AU149" s="180"/>
      <c r="AV149" s="180"/>
      <c r="AW149" s="180"/>
    </row>
    <row r="150" spans="1:49" s="193" customFormat="1" ht="18" customHeight="1">
      <c r="A150" s="180"/>
      <c r="B150" s="437" t="s">
        <v>356</v>
      </c>
      <c r="C150" s="713"/>
      <c r="D150" s="713"/>
      <c r="E150" s="319" t="s">
        <v>1118</v>
      </c>
      <c r="F150" s="646"/>
      <c r="G150" s="438"/>
      <c r="H150" s="5"/>
      <c r="I150" s="5"/>
      <c r="J150" s="319"/>
      <c r="K150" s="646"/>
      <c r="L150" s="438"/>
      <c r="M150" s="5"/>
      <c r="N150" s="5"/>
      <c r="O150" s="319">
        <v>27.4</v>
      </c>
      <c r="P150" s="646"/>
      <c r="Q150" s="438"/>
      <c r="R150" s="5"/>
      <c r="S150" s="5"/>
      <c r="T150" s="319"/>
      <c r="U150" s="646"/>
      <c r="V150" s="438"/>
      <c r="W150" s="5"/>
      <c r="X150" s="5"/>
      <c r="Y150" s="319">
        <v>29.8</v>
      </c>
      <c r="Z150" s="646"/>
      <c r="AA150" s="328">
        <f t="shared" si="24"/>
        <v>70.599999999999994</v>
      </c>
      <c r="AB150" s="298">
        <f t="shared" si="25"/>
        <v>0</v>
      </c>
      <c r="AC150" s="4"/>
      <c r="AD150" s="47"/>
      <c r="AE150" s="47"/>
      <c r="AF150" s="319"/>
      <c r="AG150" s="328">
        <f t="shared" si="26"/>
        <v>0</v>
      </c>
      <c r="AH150" s="4"/>
      <c r="AI150" s="255"/>
      <c r="AJ150" s="180"/>
      <c r="AQ150" s="180"/>
      <c r="AR150" s="180"/>
      <c r="AS150" s="180"/>
      <c r="AT150" s="180"/>
      <c r="AU150" s="180"/>
      <c r="AV150" s="180"/>
      <c r="AW150" s="180"/>
    </row>
    <row r="151" spans="1:49" s="193" customFormat="1">
      <c r="A151" s="180"/>
      <c r="B151" s="64" t="s">
        <v>61</v>
      </c>
      <c r="C151" s="31"/>
      <c r="D151" s="31"/>
      <c r="E151" s="439"/>
      <c r="F151" s="646"/>
      <c r="G151" s="31"/>
      <c r="H151" s="31"/>
      <c r="I151" s="31"/>
      <c r="J151" s="439"/>
      <c r="K151" s="646"/>
      <c r="L151" s="31"/>
      <c r="M151" s="31"/>
      <c r="N151" s="31"/>
      <c r="O151" s="439"/>
      <c r="P151" s="646"/>
      <c r="Q151" s="31"/>
      <c r="R151" s="31"/>
      <c r="S151" s="31"/>
      <c r="T151" s="439"/>
      <c r="U151" s="646"/>
      <c r="V151" s="31"/>
      <c r="W151" s="31"/>
      <c r="X151" s="31"/>
      <c r="Y151" s="439"/>
      <c r="Z151" s="646"/>
      <c r="AA151" s="370">
        <f>SUM(AA126:AA150)</f>
        <v>654.1</v>
      </c>
      <c r="AB151" s="370">
        <f>SUM(AB126:AB150)</f>
        <v>11.5</v>
      </c>
      <c r="AC151" s="4"/>
      <c r="AD151" s="64"/>
      <c r="AE151" s="64"/>
      <c r="AF151" s="370">
        <f>SUM(AF126:AF150)</f>
        <v>0</v>
      </c>
      <c r="AG151" s="370">
        <f>SUM(AG126:AG150)</f>
        <v>0</v>
      </c>
      <c r="AH151" s="4"/>
      <c r="AI151" s="255"/>
      <c r="AJ151" s="180"/>
      <c r="AK151" s="407"/>
      <c r="AQ151" s="180"/>
      <c r="AR151" s="180"/>
      <c r="AS151" s="180"/>
      <c r="AT151" s="180"/>
      <c r="AU151" s="180"/>
      <c r="AV151" s="180"/>
      <c r="AW151" s="180"/>
    </row>
    <row r="152" spans="1:49" s="193" customFormat="1">
      <c r="A152" s="180"/>
      <c r="B152" s="63" t="s">
        <v>64</v>
      </c>
      <c r="C152" s="47"/>
      <c r="D152" s="47"/>
      <c r="E152" s="319">
        <v>8</v>
      </c>
      <c r="F152" s="346">
        <f>2+1</f>
        <v>3</v>
      </c>
      <c r="G152" s="613"/>
      <c r="H152" s="47"/>
      <c r="I152" s="47"/>
      <c r="J152" s="319">
        <v>8</v>
      </c>
      <c r="K152" s="346">
        <v>0.75</v>
      </c>
      <c r="L152" s="60"/>
      <c r="M152" s="47"/>
      <c r="N152" s="47"/>
      <c r="O152" s="319">
        <v>8</v>
      </c>
      <c r="P152" s="346">
        <v>1.25</v>
      </c>
      <c r="Q152" s="60"/>
      <c r="R152" s="47"/>
      <c r="S152" s="47"/>
      <c r="T152" s="319">
        <v>8</v>
      </c>
      <c r="U152" s="346"/>
      <c r="V152" s="60"/>
      <c r="W152" s="47"/>
      <c r="X152" s="47"/>
      <c r="Y152" s="319">
        <v>8</v>
      </c>
      <c r="Z152" s="346"/>
      <c r="AA152" s="28">
        <f>SUM(E152+J152+O152+T152+Y152)</f>
        <v>40</v>
      </c>
      <c r="AB152" s="296">
        <f>Z152+U152+P152+K152+F152</f>
        <v>5</v>
      </c>
      <c r="AC152" s="4"/>
      <c r="AD152" s="47" t="s">
        <v>29</v>
      </c>
      <c r="AE152" s="47" t="s">
        <v>29</v>
      </c>
      <c r="AF152" s="319"/>
      <c r="AG152" s="29">
        <f>AF152</f>
        <v>0</v>
      </c>
      <c r="AH152" s="4"/>
      <c r="AI152" s="255"/>
      <c r="AJ152" s="180"/>
      <c r="AK152" s="407"/>
      <c r="AQ152" s="180"/>
      <c r="AR152" s="180"/>
      <c r="AS152" s="180"/>
      <c r="AT152" s="180"/>
      <c r="AU152" s="180"/>
      <c r="AV152" s="180"/>
      <c r="AW152" s="180"/>
    </row>
    <row r="153" spans="1:49" s="193" customFormat="1">
      <c r="A153" s="180"/>
      <c r="B153" s="71" t="s">
        <v>66</v>
      </c>
      <c r="C153" s="371"/>
      <c r="D153" s="371"/>
      <c r="E153" s="71"/>
      <c r="F153" s="613"/>
      <c r="G153" s="71"/>
      <c r="H153" s="71"/>
      <c r="I153" s="71"/>
      <c r="J153" s="71"/>
      <c r="K153" s="613"/>
      <c r="L153" s="71"/>
      <c r="M153" s="71"/>
      <c r="N153" s="71"/>
      <c r="O153" s="71"/>
      <c r="P153" s="613"/>
      <c r="Q153" s="71"/>
      <c r="R153" s="71"/>
      <c r="S153" s="71"/>
      <c r="T153" s="71"/>
      <c r="U153" s="613"/>
      <c r="V153" s="71"/>
      <c r="W153" s="71"/>
      <c r="X153" s="71"/>
      <c r="Y153" s="71"/>
      <c r="Z153" s="613"/>
      <c r="AA153" s="370">
        <f>SUM(AA152:AA152)</f>
        <v>40</v>
      </c>
      <c r="AB153" s="370">
        <f>SUM(AB152:AB152)</f>
        <v>5</v>
      </c>
      <c r="AC153" s="4"/>
      <c r="AD153" s="180"/>
      <c r="AE153" s="180"/>
      <c r="AF153" s="180"/>
      <c r="AG153" s="370">
        <f>SUM(AG152:AG152)</f>
        <v>0</v>
      </c>
      <c r="AH153" s="4"/>
      <c r="AI153" s="255"/>
      <c r="AJ153" s="180"/>
      <c r="AK153" s="407"/>
      <c r="AQ153" s="180"/>
      <c r="AR153" s="180"/>
      <c r="AS153" s="180"/>
      <c r="AT153" s="180"/>
      <c r="AU153" s="180"/>
      <c r="AV153" s="180"/>
      <c r="AW153" s="180"/>
    </row>
    <row r="154" spans="1:49" s="193" customFormat="1">
      <c r="A154" s="180"/>
      <c r="B154" s="217" t="s">
        <v>67</v>
      </c>
      <c r="C154" s="207">
        <f>C155+C156</f>
        <v>50</v>
      </c>
      <c r="D154" s="207"/>
      <c r="E154" s="209"/>
      <c r="F154" s="209"/>
      <c r="G154" s="207"/>
      <c r="H154" s="209"/>
      <c r="I154" s="209"/>
      <c r="J154" s="209"/>
      <c r="K154" s="209"/>
      <c r="L154" s="207"/>
      <c r="M154" s="207"/>
      <c r="N154" s="207"/>
      <c r="O154" s="207"/>
      <c r="P154" s="209"/>
      <c r="Q154" s="207"/>
      <c r="R154" s="207"/>
      <c r="S154" s="207"/>
      <c r="T154" s="207"/>
      <c r="U154" s="209"/>
      <c r="V154" s="207"/>
      <c r="W154" s="207"/>
      <c r="X154" s="207"/>
      <c r="Y154" s="210"/>
      <c r="Z154" s="209"/>
      <c r="AA154" s="211"/>
      <c r="AB154" s="209"/>
      <c r="AC154" s="211"/>
      <c r="AD154" s="211"/>
      <c r="AE154" s="211"/>
      <c r="AF154" s="211"/>
      <c r="AG154" s="211"/>
      <c r="AH154" s="4"/>
      <c r="AI154" s="255"/>
      <c r="AJ154" s="180"/>
      <c r="AQ154" s="180"/>
      <c r="AR154" s="180"/>
      <c r="AS154" s="180"/>
      <c r="AT154" s="180"/>
      <c r="AU154" s="180"/>
      <c r="AV154" s="180"/>
      <c r="AW154" s="180"/>
    </row>
    <row r="155" spans="1:49" s="193" customFormat="1">
      <c r="A155" s="180"/>
      <c r="B155" s="238" t="s">
        <v>68</v>
      </c>
      <c r="C155" s="239">
        <v>43</v>
      </c>
      <c r="D155" s="207"/>
      <c r="E155" s="209"/>
      <c r="F155" s="209"/>
      <c r="G155" s="207"/>
      <c r="H155" s="209"/>
      <c r="I155" s="209"/>
      <c r="J155" s="209"/>
      <c r="K155" s="209"/>
      <c r="L155" s="207"/>
      <c r="M155" s="207"/>
      <c r="N155" s="207"/>
      <c r="O155" s="207"/>
      <c r="P155" s="209"/>
      <c r="Q155" s="207"/>
      <c r="R155" s="207"/>
      <c r="S155" s="207"/>
      <c r="T155" s="207"/>
      <c r="U155" s="209"/>
      <c r="V155" s="207"/>
      <c r="W155" s="207"/>
      <c r="X155" s="207"/>
      <c r="Y155" s="210"/>
      <c r="Z155" s="209"/>
      <c r="AA155" s="211"/>
      <c r="AB155" s="209"/>
      <c r="AC155" s="211"/>
      <c r="AD155" s="211"/>
      <c r="AE155" s="211"/>
      <c r="AF155" s="211"/>
      <c r="AG155" s="211"/>
      <c r="AH155" s="4"/>
      <c r="AI155" s="255"/>
      <c r="AJ155" s="180"/>
      <c r="AQ155" s="180"/>
      <c r="AR155" s="180"/>
      <c r="AS155" s="180"/>
      <c r="AT155" s="180"/>
      <c r="AU155" s="180"/>
      <c r="AV155" s="180"/>
      <c r="AW155" s="180"/>
    </row>
    <row r="156" spans="1:49" s="193" customFormat="1">
      <c r="A156" s="180"/>
      <c r="B156" s="238" t="s">
        <v>69</v>
      </c>
      <c r="C156" s="239">
        <v>7</v>
      </c>
      <c r="D156" s="207"/>
      <c r="E156" s="209"/>
      <c r="F156" s="209"/>
      <c r="G156" s="207"/>
      <c r="H156" s="209"/>
      <c r="I156" s="209"/>
      <c r="J156" s="209"/>
      <c r="K156" s="209"/>
      <c r="L156" s="207"/>
      <c r="M156" s="207"/>
      <c r="N156" s="207"/>
      <c r="O156" s="207"/>
      <c r="P156" s="209"/>
      <c r="Q156" s="207"/>
      <c r="R156" s="207"/>
      <c r="S156" s="207"/>
      <c r="T156" s="207"/>
      <c r="U156" s="209"/>
      <c r="V156" s="207"/>
      <c r="W156" s="207"/>
      <c r="X156" s="207"/>
      <c r="Y156" s="210"/>
      <c r="Z156" s="209"/>
      <c r="AA156" s="211"/>
      <c r="AB156" s="209"/>
      <c r="AC156" s="211"/>
      <c r="AD156" s="211"/>
      <c r="AE156" s="211"/>
      <c r="AF156" s="211"/>
      <c r="AG156" s="211"/>
      <c r="AH156" s="4"/>
      <c r="AI156" s="255"/>
      <c r="AJ156" s="180"/>
      <c r="AQ156" s="180"/>
      <c r="AR156" s="180"/>
      <c r="AS156" s="180"/>
      <c r="AT156" s="180"/>
      <c r="AU156" s="180"/>
      <c r="AV156" s="180"/>
      <c r="AW156" s="180"/>
    </row>
    <row r="157" spans="1:49">
      <c r="E157" s="4"/>
      <c r="F157" s="644"/>
      <c r="G157" s="4"/>
      <c r="J157" s="4"/>
      <c r="K157" s="644"/>
      <c r="L157" s="4"/>
      <c r="O157" s="4"/>
      <c r="P157" s="644"/>
      <c r="T157" s="4"/>
      <c r="U157" s="644"/>
      <c r="Y157" s="4"/>
      <c r="Z157" s="644"/>
      <c r="AA157" s="4"/>
      <c r="AB157" s="4"/>
      <c r="AC157" s="4"/>
    </row>
    <row r="158" spans="1:49">
      <c r="A158" s="180"/>
      <c r="B158" s="229"/>
      <c r="C158" s="230"/>
      <c r="D158" s="230"/>
      <c r="E158" s="232"/>
      <c r="F158" s="232"/>
      <c r="G158" s="230"/>
      <c r="H158" s="232"/>
      <c r="I158" s="232"/>
      <c r="J158" s="232"/>
      <c r="K158" s="232"/>
      <c r="L158" s="230"/>
      <c r="M158" s="230"/>
      <c r="N158" s="230"/>
      <c r="O158" s="230"/>
      <c r="P158" s="232"/>
      <c r="Q158" s="230"/>
      <c r="R158" s="230"/>
      <c r="S158" s="230"/>
      <c r="T158" s="230"/>
      <c r="U158" s="232"/>
      <c r="V158" s="230"/>
      <c r="W158" s="230"/>
      <c r="X158" s="230"/>
      <c r="Y158" s="233"/>
      <c r="Z158" s="232"/>
      <c r="AA158" s="234"/>
      <c r="AB158" s="232"/>
      <c r="AC158" s="373"/>
      <c r="AD158" s="236"/>
      <c r="AE158" s="255"/>
      <c r="AF158" s="255"/>
      <c r="AG158" s="255"/>
      <c r="AH158" s="255"/>
      <c r="AJ158" s="255"/>
      <c r="AK158" s="255"/>
      <c r="AL158" s="255"/>
      <c r="AM158" s="255"/>
      <c r="AN158" s="255"/>
      <c r="AO158" s="255"/>
      <c r="AP158" s="255"/>
      <c r="AQ158" s="255"/>
      <c r="AR158" s="255"/>
      <c r="AS158" s="255"/>
      <c r="AT158" s="255"/>
      <c r="AU158" s="255"/>
      <c r="AV158" s="255"/>
      <c r="AW158" s="255"/>
    </row>
    <row r="159" spans="1:49">
      <c r="B159" s="180"/>
      <c r="E159" s="4"/>
      <c r="F159" s="644"/>
      <c r="G159" s="4"/>
      <c r="J159" s="4"/>
      <c r="K159" s="644"/>
      <c r="L159" s="4"/>
      <c r="O159" s="4"/>
      <c r="P159" s="644"/>
      <c r="T159" s="4"/>
      <c r="U159" s="644"/>
      <c r="Y159" s="4"/>
      <c r="Z159" s="644"/>
      <c r="AA159" s="4"/>
      <c r="AB159" s="4"/>
      <c r="AC159" s="4"/>
      <c r="AK159" s="180"/>
      <c r="AL159" s="180"/>
      <c r="AM159" s="180"/>
      <c r="AN159" s="180"/>
      <c r="AO159" s="180"/>
      <c r="AP159" s="180"/>
    </row>
    <row r="160" spans="1:49" ht="10.9" customHeight="1">
      <c r="A160" s="228"/>
      <c r="B160" s="1518" t="s">
        <v>18</v>
      </c>
      <c r="C160" s="1519">
        <v>45740</v>
      </c>
      <c r="D160" s="1519"/>
      <c r="E160" s="1519" t="s">
        <v>564</v>
      </c>
      <c r="F160" s="1519"/>
      <c r="G160" s="365"/>
      <c r="H160" s="1519">
        <v>45741</v>
      </c>
      <c r="I160" s="1519"/>
      <c r="J160" s="1519" t="s">
        <v>565</v>
      </c>
      <c r="K160" s="1519"/>
      <c r="L160" s="365"/>
      <c r="M160" s="1519">
        <v>45742</v>
      </c>
      <c r="N160" s="1519"/>
      <c r="O160" s="1519" t="s">
        <v>566</v>
      </c>
      <c r="P160" s="1519"/>
      <c r="Q160" s="365"/>
      <c r="R160" s="1519">
        <v>45743</v>
      </c>
      <c r="S160" s="1519"/>
      <c r="T160" s="1519" t="s">
        <v>567</v>
      </c>
      <c r="U160" s="1519"/>
      <c r="V160" s="365"/>
      <c r="W160" s="1519">
        <v>45744</v>
      </c>
      <c r="X160" s="1519"/>
      <c r="Y160" s="1519" t="s">
        <v>568</v>
      </c>
      <c r="Z160" s="1519"/>
      <c r="AA160" s="1517" t="s">
        <v>19</v>
      </c>
      <c r="AB160" s="1517" t="s">
        <v>20</v>
      </c>
      <c r="AC160" s="4"/>
      <c r="AD160" s="1519">
        <v>45745</v>
      </c>
      <c r="AE160" s="1519"/>
      <c r="AF160" s="14" t="s">
        <v>1111</v>
      </c>
      <c r="AG160" s="1517" t="s">
        <v>21</v>
      </c>
      <c r="AI160" s="368"/>
      <c r="AK160" s="194" t="s">
        <v>84</v>
      </c>
      <c r="AL160" s="366"/>
      <c r="AM160" s="366"/>
      <c r="AN160" s="366"/>
      <c r="AO160" s="366"/>
      <c r="AP160" s="366"/>
    </row>
    <row r="161" spans="1:49">
      <c r="A161" s="180"/>
      <c r="B161" s="1518"/>
      <c r="C161" s="21" t="s">
        <v>23</v>
      </c>
      <c r="D161" s="21" t="s">
        <v>24</v>
      </c>
      <c r="E161" s="205" t="s">
        <v>25</v>
      </c>
      <c r="F161" s="645" t="s">
        <v>14</v>
      </c>
      <c r="G161" s="4"/>
      <c r="H161" s="21" t="s">
        <v>23</v>
      </c>
      <c r="I161" s="21" t="s">
        <v>24</v>
      </c>
      <c r="J161" s="18" t="s">
        <v>25</v>
      </c>
      <c r="K161" s="645" t="s">
        <v>14</v>
      </c>
      <c r="L161" s="4"/>
      <c r="M161" s="21" t="s">
        <v>23</v>
      </c>
      <c r="N161" s="21" t="s">
        <v>24</v>
      </c>
      <c r="O161" s="18" t="s">
        <v>25</v>
      </c>
      <c r="P161" s="645" t="s">
        <v>14</v>
      </c>
      <c r="R161" s="21" t="s">
        <v>23</v>
      </c>
      <c r="S161" s="21" t="s">
        <v>24</v>
      </c>
      <c r="T161" s="18" t="s">
        <v>25</v>
      </c>
      <c r="U161" s="645" t="s">
        <v>14</v>
      </c>
      <c r="W161" s="21" t="s">
        <v>23</v>
      </c>
      <c r="X161" s="21" t="s">
        <v>24</v>
      </c>
      <c r="Y161" s="18" t="s">
        <v>25</v>
      </c>
      <c r="Z161" s="645" t="s">
        <v>14</v>
      </c>
      <c r="AA161" s="1517"/>
      <c r="AB161" s="1517"/>
      <c r="AC161" s="4"/>
      <c r="AD161" s="21" t="s">
        <v>23</v>
      </c>
      <c r="AE161" s="21" t="s">
        <v>24</v>
      </c>
      <c r="AF161" s="18" t="s">
        <v>25</v>
      </c>
      <c r="AG161" s="1517"/>
      <c r="AI161" s="368"/>
      <c r="AJ161" s="367"/>
      <c r="AK161" s="188" t="s">
        <v>26</v>
      </c>
      <c r="AL161" s="196">
        <f>AA186</f>
        <v>561.75</v>
      </c>
      <c r="AM161" s="510">
        <v>40.31</v>
      </c>
      <c r="AN161" s="510">
        <f t="shared" ref="AN161:AN166" si="30">AL161*AM161</f>
        <v>22644.142500000002</v>
      </c>
      <c r="AQ161" s="367"/>
      <c r="AR161" s="367"/>
      <c r="AS161" s="367"/>
      <c r="AT161" s="367"/>
      <c r="AU161" s="367"/>
      <c r="AV161" s="367"/>
      <c r="AW161" s="367"/>
    </row>
    <row r="162" spans="1:49" ht="12.75" customHeight="1">
      <c r="A162" s="180"/>
      <c r="B162" s="4" t="s">
        <v>958</v>
      </c>
      <c r="C162" s="47"/>
      <c r="D162" s="47"/>
      <c r="E162" s="319">
        <v>0</v>
      </c>
      <c r="F162" s="646"/>
      <c r="G162" s="4"/>
      <c r="H162" s="47">
        <v>0.39583333333333331</v>
      </c>
      <c r="I162" s="47">
        <v>0.20833333333333334</v>
      </c>
      <c r="J162" s="319">
        <v>6.5</v>
      </c>
      <c r="K162" s="646"/>
      <c r="L162" s="4"/>
      <c r="M162" s="441" t="s">
        <v>76</v>
      </c>
      <c r="N162" s="47">
        <v>0.25</v>
      </c>
      <c r="O162" s="319">
        <v>8</v>
      </c>
      <c r="P162" s="646">
        <v>0.5</v>
      </c>
      <c r="R162" s="47">
        <v>0.39583333333333331</v>
      </c>
      <c r="S162" s="47">
        <v>0.25</v>
      </c>
      <c r="T162" s="319">
        <v>7.5</v>
      </c>
      <c r="U162" s="646"/>
      <c r="W162" s="47"/>
      <c r="X162" s="47"/>
      <c r="Y162" s="319">
        <v>0</v>
      </c>
      <c r="Z162" s="646"/>
      <c r="AA162" s="328">
        <f t="shared" ref="AA162:AA185" si="31">(E162+J162+O162+T162+Y162)</f>
        <v>22</v>
      </c>
      <c r="AB162" s="298">
        <f t="shared" ref="AB162:AB185" si="32">Z162+U162+P162+K162+F162</f>
        <v>0.5</v>
      </c>
      <c r="AC162" s="4"/>
      <c r="AD162" s="587"/>
      <c r="AE162" s="531"/>
      <c r="AF162" s="319"/>
      <c r="AG162" s="328">
        <f t="shared" ref="AG162:AG185" si="33">AF162</f>
        <v>0</v>
      </c>
      <c r="AI162" s="368"/>
      <c r="AJ162" s="367"/>
      <c r="AK162" s="188" t="s">
        <v>30</v>
      </c>
      <c r="AL162" s="196">
        <f>AB186</f>
        <v>8.75</v>
      </c>
      <c r="AM162" s="511">
        <v>60.465000000000003</v>
      </c>
      <c r="AN162" s="510">
        <f t="shared" si="30"/>
        <v>529.06875000000002</v>
      </c>
      <c r="AQ162" s="367"/>
      <c r="AR162" s="367"/>
      <c r="AS162" s="367"/>
      <c r="AT162" s="367"/>
      <c r="AU162" s="367"/>
      <c r="AV162" s="367"/>
      <c r="AW162" s="367"/>
    </row>
    <row r="163" spans="1:49">
      <c r="A163" s="367"/>
      <c r="B163" s="47" t="s">
        <v>515</v>
      </c>
      <c r="C163" s="47">
        <v>0.375</v>
      </c>
      <c r="D163" s="47">
        <v>0.25</v>
      </c>
      <c r="E163" s="319">
        <v>8</v>
      </c>
      <c r="F163" s="646"/>
      <c r="G163" s="4"/>
      <c r="H163" s="47">
        <v>0.375</v>
      </c>
      <c r="I163" s="47">
        <v>0.25</v>
      </c>
      <c r="J163" s="319">
        <v>8</v>
      </c>
      <c r="K163" s="646"/>
      <c r="L163" s="4"/>
      <c r="M163" s="441" t="s">
        <v>75</v>
      </c>
      <c r="N163" s="47">
        <v>0.25</v>
      </c>
      <c r="O163" s="319">
        <v>8</v>
      </c>
      <c r="P163" s="646"/>
      <c r="R163" s="714"/>
      <c r="S163" s="714"/>
      <c r="T163" s="319">
        <v>0</v>
      </c>
      <c r="U163" s="646"/>
      <c r="W163" s="714"/>
      <c r="X163" s="714"/>
      <c r="Y163" s="319">
        <v>0</v>
      </c>
      <c r="Z163" s="646"/>
      <c r="AA163" s="328">
        <f t="shared" si="31"/>
        <v>24</v>
      </c>
      <c r="AB163" s="298">
        <f t="shared" si="32"/>
        <v>0</v>
      </c>
      <c r="AC163" s="4"/>
      <c r="AF163" s="319"/>
      <c r="AG163" s="328">
        <f t="shared" si="33"/>
        <v>0</v>
      </c>
      <c r="AH163" s="175"/>
      <c r="AI163" s="402"/>
      <c r="AJ163" s="367"/>
      <c r="AK163" s="188" t="s">
        <v>32</v>
      </c>
      <c r="AL163" s="196">
        <f>AG186</f>
        <v>0</v>
      </c>
      <c r="AM163" s="510">
        <v>60.465000000000003</v>
      </c>
      <c r="AN163" s="510">
        <f t="shared" si="30"/>
        <v>0</v>
      </c>
      <c r="AQ163" s="367"/>
      <c r="AR163" s="367"/>
      <c r="AS163" s="367"/>
      <c r="AT163" s="367"/>
      <c r="AU163" s="367"/>
      <c r="AV163" s="367"/>
      <c r="AW163" s="367"/>
    </row>
    <row r="164" spans="1:49">
      <c r="A164" s="367"/>
      <c r="B164" s="441" t="s">
        <v>962</v>
      </c>
      <c r="C164" s="47">
        <v>0.375</v>
      </c>
      <c r="D164" s="47">
        <v>0.25</v>
      </c>
      <c r="E164" s="319">
        <v>8</v>
      </c>
      <c r="F164" s="646"/>
      <c r="G164" s="4"/>
      <c r="H164" s="47">
        <v>0.375</v>
      </c>
      <c r="I164" s="47">
        <v>0.25</v>
      </c>
      <c r="J164" s="319">
        <v>8</v>
      </c>
      <c r="K164" s="646"/>
      <c r="L164" s="4"/>
      <c r="M164" s="441" t="s">
        <v>75</v>
      </c>
      <c r="N164" s="47">
        <v>0.25</v>
      </c>
      <c r="O164" s="319">
        <v>8</v>
      </c>
      <c r="P164" s="646"/>
      <c r="R164" s="47">
        <v>0.375</v>
      </c>
      <c r="S164" s="47">
        <v>0.25</v>
      </c>
      <c r="T164" s="319">
        <v>8</v>
      </c>
      <c r="U164" s="646"/>
      <c r="W164" s="47">
        <v>0.375</v>
      </c>
      <c r="X164" s="47">
        <v>4.1666666666666664E-2</v>
      </c>
      <c r="Y164" s="319">
        <v>4</v>
      </c>
      <c r="Z164" s="646"/>
      <c r="AA164" s="328">
        <f t="shared" si="31"/>
        <v>36</v>
      </c>
      <c r="AB164" s="298">
        <f t="shared" si="32"/>
        <v>0</v>
      </c>
      <c r="AC164" s="399"/>
      <c r="AD164" s="47"/>
      <c r="AE164" s="47"/>
      <c r="AF164" s="319"/>
      <c r="AG164" s="328">
        <f t="shared" si="33"/>
        <v>0</v>
      </c>
      <c r="AH164" s="175"/>
      <c r="AJ164" s="401"/>
      <c r="AK164" s="403" t="s">
        <v>213</v>
      </c>
      <c r="AL164" s="404">
        <f>AA188</f>
        <v>40</v>
      </c>
      <c r="AM164" s="510">
        <v>53.05</v>
      </c>
      <c r="AN164" s="510">
        <f t="shared" si="30"/>
        <v>2122</v>
      </c>
      <c r="AO164" s="405"/>
      <c r="AP164" s="405"/>
      <c r="AQ164" s="367"/>
      <c r="AR164" s="401"/>
      <c r="AS164" s="401"/>
      <c r="AT164" s="401"/>
      <c r="AU164" s="401"/>
      <c r="AV164" s="401"/>
      <c r="AW164" s="401"/>
    </row>
    <row r="165" spans="1:49">
      <c r="A165" s="367"/>
      <c r="B165" s="47" t="s">
        <v>1112</v>
      </c>
      <c r="C165" s="47">
        <v>0.375</v>
      </c>
      <c r="D165" s="47">
        <v>0.25</v>
      </c>
      <c r="E165" s="319">
        <v>8</v>
      </c>
      <c r="F165" s="646"/>
      <c r="G165" s="4"/>
      <c r="H165" s="47">
        <v>0.375</v>
      </c>
      <c r="I165" s="47">
        <v>0.25</v>
      </c>
      <c r="J165" s="319">
        <v>8</v>
      </c>
      <c r="K165" s="646"/>
      <c r="L165" s="4"/>
      <c r="M165" s="441" t="s">
        <v>76</v>
      </c>
      <c r="N165" s="47">
        <v>0.25</v>
      </c>
      <c r="O165" s="319">
        <v>8</v>
      </c>
      <c r="P165" s="646">
        <v>0.5</v>
      </c>
      <c r="R165" s="47">
        <v>0.33333333333333331</v>
      </c>
      <c r="S165" s="47">
        <v>0.25</v>
      </c>
      <c r="T165" s="319">
        <v>8</v>
      </c>
      <c r="U165" s="646">
        <v>1</v>
      </c>
      <c r="W165" s="47">
        <v>0.375</v>
      </c>
      <c r="X165" s="47">
        <v>4.1666666666666664E-2</v>
      </c>
      <c r="Y165" s="319">
        <v>4</v>
      </c>
      <c r="Z165" s="646"/>
      <c r="AA165" s="328">
        <f t="shared" si="31"/>
        <v>36</v>
      </c>
      <c r="AB165" s="298">
        <f t="shared" si="32"/>
        <v>1.5</v>
      </c>
      <c r="AC165" s="4"/>
      <c r="AD165" s="47"/>
      <c r="AE165" s="47"/>
      <c r="AF165" s="319"/>
      <c r="AG165" s="328">
        <f t="shared" si="33"/>
        <v>0</v>
      </c>
      <c r="AH165" s="175"/>
      <c r="AI165" s="368"/>
      <c r="AK165" s="188" t="s">
        <v>36</v>
      </c>
      <c r="AL165" s="196">
        <f>AB188</f>
        <v>1.75</v>
      </c>
      <c r="AM165" s="510">
        <v>79.574999999999989</v>
      </c>
      <c r="AN165" s="510">
        <f t="shared" si="30"/>
        <v>139.25624999999997</v>
      </c>
      <c r="AQ165" s="367"/>
    </row>
    <row r="166" spans="1:49" s="4" customFormat="1">
      <c r="A166" s="180"/>
      <c r="B166" s="436" t="s">
        <v>972</v>
      </c>
      <c r="C166" s="47">
        <v>0.40625</v>
      </c>
      <c r="D166" s="47">
        <v>0.25</v>
      </c>
      <c r="E166" s="319">
        <v>7.25</v>
      </c>
      <c r="F166" s="646"/>
      <c r="H166" s="47">
        <v>0.21875</v>
      </c>
      <c r="I166" s="47">
        <v>0.25</v>
      </c>
      <c r="J166" s="319">
        <v>8</v>
      </c>
      <c r="K166" s="646">
        <v>3.75</v>
      </c>
      <c r="M166" s="441" t="s">
        <v>83</v>
      </c>
      <c r="N166" s="47">
        <v>0.25</v>
      </c>
      <c r="O166" s="319">
        <v>7.5</v>
      </c>
      <c r="P166" s="646"/>
      <c r="R166" s="47">
        <v>0.375</v>
      </c>
      <c r="S166" s="47">
        <v>0.25</v>
      </c>
      <c r="T166" s="319">
        <v>8</v>
      </c>
      <c r="U166" s="646"/>
      <c r="W166" s="47">
        <v>0.375</v>
      </c>
      <c r="X166" s="47">
        <v>4.1666666666666664E-2</v>
      </c>
      <c r="Y166" s="319">
        <v>4</v>
      </c>
      <c r="Z166" s="646"/>
      <c r="AA166" s="328">
        <f t="shared" si="31"/>
        <v>34.75</v>
      </c>
      <c r="AB166" s="298">
        <f t="shared" si="32"/>
        <v>3.75</v>
      </c>
      <c r="AD166" s="47"/>
      <c r="AE166" s="47"/>
      <c r="AF166" s="319"/>
      <c r="AG166" s="328">
        <f t="shared" si="33"/>
        <v>0</v>
      </c>
      <c r="AI166" s="255"/>
      <c r="AJ166" s="180"/>
      <c r="AK166" s="188" t="s">
        <v>38</v>
      </c>
      <c r="AL166" s="196">
        <f>AG188</f>
        <v>0</v>
      </c>
      <c r="AM166" s="510">
        <v>79.574999999999989</v>
      </c>
      <c r="AN166" s="510">
        <f t="shared" si="30"/>
        <v>0</v>
      </c>
      <c r="AO166" s="193"/>
      <c r="AP166" s="193"/>
      <c r="AQ166" s="367"/>
      <c r="AR166" s="180"/>
      <c r="AS166" s="180"/>
      <c r="AT166" s="180"/>
      <c r="AU166" s="180"/>
      <c r="AV166" s="180"/>
      <c r="AW166" s="180"/>
    </row>
    <row r="167" spans="1:49" s="4" customFormat="1">
      <c r="A167" s="180"/>
      <c r="B167" s="47" t="s">
        <v>974</v>
      </c>
      <c r="C167" s="47">
        <v>0.375</v>
      </c>
      <c r="D167" s="47">
        <v>0.25</v>
      </c>
      <c r="E167" s="319">
        <v>8</v>
      </c>
      <c r="F167" s="646"/>
      <c r="H167" s="47">
        <v>0.375</v>
      </c>
      <c r="I167" s="47">
        <v>0.25</v>
      </c>
      <c r="J167" s="319">
        <v>8</v>
      </c>
      <c r="K167" s="646"/>
      <c r="M167" s="441" t="s">
        <v>75</v>
      </c>
      <c r="N167" s="47">
        <v>0.25</v>
      </c>
      <c r="O167" s="319">
        <v>8</v>
      </c>
      <c r="P167" s="646"/>
      <c r="R167" s="47">
        <v>0.375</v>
      </c>
      <c r="S167" s="47">
        <v>0.25</v>
      </c>
      <c r="T167" s="319">
        <v>8</v>
      </c>
      <c r="U167" s="646"/>
      <c r="W167" s="47">
        <v>0.375</v>
      </c>
      <c r="X167" s="47">
        <v>4.1666666666666664E-2</v>
      </c>
      <c r="Y167" s="319">
        <v>4</v>
      </c>
      <c r="Z167" s="646"/>
      <c r="AA167" s="328">
        <f t="shared" si="31"/>
        <v>36</v>
      </c>
      <c r="AB167" s="298">
        <f t="shared" si="32"/>
        <v>0</v>
      </c>
      <c r="AD167" s="47"/>
      <c r="AE167" s="47"/>
      <c r="AF167" s="319"/>
      <c r="AG167" s="328">
        <f t="shared" si="33"/>
        <v>0</v>
      </c>
      <c r="AI167" s="255"/>
      <c r="AJ167" s="180"/>
      <c r="AK167" s="193"/>
      <c r="AL167" s="193"/>
      <c r="AM167" s="193"/>
      <c r="AN167" s="510">
        <f>SUM(AN161:AN166)</f>
        <v>25434.467499999999</v>
      </c>
      <c r="AO167" s="193"/>
      <c r="AP167" s="193"/>
      <c r="AQ167" s="180"/>
      <c r="AR167" s="180"/>
      <c r="AS167" s="180"/>
      <c r="AT167" s="180"/>
      <c r="AU167" s="180"/>
      <c r="AV167" s="180"/>
      <c r="AW167" s="180"/>
    </row>
    <row r="168" spans="1:49" s="4" customFormat="1">
      <c r="A168" s="180"/>
      <c r="B168" s="374" t="s">
        <v>998</v>
      </c>
      <c r="C168" s="47">
        <v>0.375</v>
      </c>
      <c r="D168" s="47">
        <v>0.25</v>
      </c>
      <c r="E168" s="319">
        <v>8</v>
      </c>
      <c r="F168" s="646"/>
      <c r="H168" s="47">
        <v>0.375</v>
      </c>
      <c r="I168" s="47">
        <v>0.25</v>
      </c>
      <c r="J168" s="319">
        <v>8</v>
      </c>
      <c r="K168" s="646"/>
      <c r="M168" s="441" t="s">
        <v>75</v>
      </c>
      <c r="N168" s="47">
        <v>0.25</v>
      </c>
      <c r="O168" s="319">
        <v>8</v>
      </c>
      <c r="P168" s="646"/>
      <c r="R168" s="47"/>
      <c r="S168" s="47"/>
      <c r="T168" s="319">
        <v>0</v>
      </c>
      <c r="U168" s="646"/>
      <c r="W168" s="47">
        <v>0.375</v>
      </c>
      <c r="X168" s="47">
        <v>4.1666666666666664E-2</v>
      </c>
      <c r="Y168" s="319">
        <v>4</v>
      </c>
      <c r="Z168" s="646"/>
      <c r="AA168" s="328">
        <f t="shared" si="31"/>
        <v>28</v>
      </c>
      <c r="AB168" s="298">
        <f t="shared" si="32"/>
        <v>0</v>
      </c>
      <c r="AD168" s="47"/>
      <c r="AE168" s="47"/>
      <c r="AF168" s="319"/>
      <c r="AG168" s="328">
        <f t="shared" si="33"/>
        <v>0</v>
      </c>
      <c r="AI168" s="255"/>
      <c r="AJ168" s="180"/>
      <c r="AK168" s="193"/>
      <c r="AL168" s="193"/>
      <c r="AM168" s="193"/>
      <c r="AN168" s="193"/>
      <c r="AO168" s="193"/>
      <c r="AP168" s="193"/>
      <c r="AQ168" s="180"/>
      <c r="AR168" s="180"/>
      <c r="AS168" s="180"/>
      <c r="AT168" s="180"/>
      <c r="AU168" s="180"/>
      <c r="AV168" s="180"/>
      <c r="AW168" s="180"/>
    </row>
    <row r="169" spans="1:49" s="4" customFormat="1">
      <c r="A169" s="180"/>
      <c r="B169" s="47" t="s">
        <v>977</v>
      </c>
      <c r="C169" s="47">
        <v>0.375</v>
      </c>
      <c r="D169" s="47">
        <v>0.25</v>
      </c>
      <c r="E169" s="319">
        <v>8</v>
      </c>
      <c r="F169" s="646"/>
      <c r="H169" s="47">
        <v>0.375</v>
      </c>
      <c r="I169" s="47">
        <v>0.25</v>
      </c>
      <c r="J169" s="319">
        <v>8</v>
      </c>
      <c r="K169" s="646"/>
      <c r="M169" s="441" t="s">
        <v>75</v>
      </c>
      <c r="N169" s="47">
        <v>0.25</v>
      </c>
      <c r="O169" s="319">
        <v>8</v>
      </c>
      <c r="P169" s="646"/>
      <c r="R169" s="47">
        <v>0.375</v>
      </c>
      <c r="S169" s="47">
        <v>0.25</v>
      </c>
      <c r="T169" s="319">
        <v>8</v>
      </c>
      <c r="U169" s="646"/>
      <c r="W169" s="47">
        <v>0.375</v>
      </c>
      <c r="X169" s="47">
        <v>4.1666666666666664E-2</v>
      </c>
      <c r="Y169" s="319">
        <v>4</v>
      </c>
      <c r="Z169" s="646"/>
      <c r="AA169" s="328">
        <f t="shared" si="31"/>
        <v>36</v>
      </c>
      <c r="AB169" s="298">
        <f t="shared" si="32"/>
        <v>0</v>
      </c>
      <c r="AD169" s="47"/>
      <c r="AE169" s="47"/>
      <c r="AF169" s="319"/>
      <c r="AG169" s="328">
        <f t="shared" si="33"/>
        <v>0</v>
      </c>
      <c r="AI169" s="255"/>
      <c r="AJ169" s="180"/>
      <c r="AK169" s="192" t="s">
        <v>1115</v>
      </c>
      <c r="AL169" s="193"/>
      <c r="AM169" s="193">
        <f>C189</f>
        <v>63</v>
      </c>
      <c r="AN169" s="193"/>
      <c r="AO169" s="193"/>
      <c r="AP169" s="193"/>
      <c r="AQ169" s="180"/>
      <c r="AR169" s="180"/>
      <c r="AS169" s="180"/>
      <c r="AT169" s="180"/>
      <c r="AU169" s="180"/>
      <c r="AV169" s="180"/>
      <c r="AW169" s="180"/>
    </row>
    <row r="170" spans="1:49" s="4" customFormat="1">
      <c r="A170" s="180"/>
      <c r="B170" s="47" t="s">
        <v>519</v>
      </c>
      <c r="C170" s="47">
        <v>0.375</v>
      </c>
      <c r="D170" s="47">
        <v>0.25</v>
      </c>
      <c r="E170" s="319">
        <v>8</v>
      </c>
      <c r="F170" s="646"/>
      <c r="H170" s="47">
        <v>0.375</v>
      </c>
      <c r="I170" s="47">
        <v>0.25</v>
      </c>
      <c r="J170" s="319">
        <v>8</v>
      </c>
      <c r="K170" s="646"/>
      <c r="M170" s="441" t="s">
        <v>75</v>
      </c>
      <c r="N170" s="47">
        <v>0.25</v>
      </c>
      <c r="O170" s="319">
        <v>8</v>
      </c>
      <c r="P170" s="646"/>
      <c r="R170" s="441" t="s">
        <v>75</v>
      </c>
      <c r="S170" s="47">
        <v>0.25</v>
      </c>
      <c r="T170" s="319">
        <v>8</v>
      </c>
      <c r="U170" s="646"/>
      <c r="W170" s="441" t="s">
        <v>75</v>
      </c>
      <c r="X170" s="47">
        <v>4.1666666666666664E-2</v>
      </c>
      <c r="Y170" s="319">
        <v>4</v>
      </c>
      <c r="Z170" s="646"/>
      <c r="AA170" s="328">
        <f t="shared" si="31"/>
        <v>36</v>
      </c>
      <c r="AB170" s="298">
        <f t="shared" si="32"/>
        <v>0</v>
      </c>
      <c r="AD170" s="47"/>
      <c r="AE170" s="47"/>
      <c r="AF170" s="319"/>
      <c r="AG170" s="328">
        <f t="shared" si="33"/>
        <v>0</v>
      </c>
      <c r="AI170" s="255"/>
      <c r="AJ170" s="180"/>
      <c r="AK170" s="193"/>
      <c r="AL170" s="193"/>
      <c r="AM170" s="193"/>
      <c r="AN170" s="193"/>
      <c r="AO170" s="193"/>
      <c r="AP170" s="193"/>
      <c r="AQ170" s="180"/>
      <c r="AR170" s="180"/>
      <c r="AS170" s="180"/>
      <c r="AT170" s="180"/>
      <c r="AU170" s="180"/>
      <c r="AV170" s="180"/>
      <c r="AW170" s="180"/>
    </row>
    <row r="171" spans="1:49" s="4" customFormat="1">
      <c r="A171" s="180"/>
      <c r="B171" s="47" t="s">
        <v>999</v>
      </c>
      <c r="C171" s="47">
        <v>0.375</v>
      </c>
      <c r="D171" s="47">
        <v>0.25</v>
      </c>
      <c r="E171" s="319">
        <v>8</v>
      </c>
      <c r="F171" s="646"/>
      <c r="H171" s="47">
        <v>0.375</v>
      </c>
      <c r="I171" s="47">
        <v>0.25</v>
      </c>
      <c r="J171" s="319">
        <v>8</v>
      </c>
      <c r="K171" s="646"/>
      <c r="M171" s="441" t="s">
        <v>75</v>
      </c>
      <c r="N171" s="47">
        <v>0.25</v>
      </c>
      <c r="O171" s="319">
        <v>8</v>
      </c>
      <c r="P171" s="646"/>
      <c r="R171" s="441" t="s">
        <v>75</v>
      </c>
      <c r="S171" s="47">
        <v>0.25</v>
      </c>
      <c r="T171" s="319">
        <v>8</v>
      </c>
      <c r="U171" s="646"/>
      <c r="W171" s="441" t="s">
        <v>75</v>
      </c>
      <c r="X171" s="47">
        <v>4.1666666666666664E-2</v>
      </c>
      <c r="Y171" s="319">
        <v>4</v>
      </c>
      <c r="Z171" s="646"/>
      <c r="AA171" s="328">
        <f t="shared" si="31"/>
        <v>36</v>
      </c>
      <c r="AB171" s="298">
        <f t="shared" si="32"/>
        <v>0</v>
      </c>
      <c r="AD171" s="47"/>
      <c r="AE171" s="47"/>
      <c r="AF171" s="319"/>
      <c r="AG171" s="328">
        <f t="shared" si="33"/>
        <v>0</v>
      </c>
      <c r="AI171" s="255"/>
      <c r="AJ171" s="180"/>
      <c r="AK171" s="193"/>
      <c r="AL171" s="193"/>
      <c r="AM171" s="193"/>
      <c r="AN171" s="193"/>
      <c r="AO171" s="193"/>
      <c r="AP171" s="193"/>
      <c r="AQ171" s="180"/>
      <c r="AR171" s="180"/>
      <c r="AS171" s="180"/>
      <c r="AT171" s="180"/>
      <c r="AU171" s="180"/>
      <c r="AV171" s="180"/>
      <c r="AW171" s="180"/>
    </row>
    <row r="172" spans="1:49" s="4" customFormat="1">
      <c r="A172" s="180"/>
      <c r="B172" s="47" t="s">
        <v>1113</v>
      </c>
      <c r="C172" s="47"/>
      <c r="D172" s="47"/>
      <c r="E172" s="319">
        <v>0</v>
      </c>
      <c r="F172" s="646"/>
      <c r="H172" s="47"/>
      <c r="I172" s="47"/>
      <c r="J172" s="319">
        <v>0</v>
      </c>
      <c r="K172" s="646"/>
      <c r="M172" s="441"/>
      <c r="N172" s="47"/>
      <c r="O172" s="319">
        <v>0</v>
      </c>
      <c r="P172" s="646"/>
      <c r="R172" s="441" t="s">
        <v>75</v>
      </c>
      <c r="S172" s="47">
        <v>0.25</v>
      </c>
      <c r="T172" s="319">
        <v>8</v>
      </c>
      <c r="U172" s="646"/>
      <c r="W172" s="441" t="s">
        <v>75</v>
      </c>
      <c r="X172" s="47">
        <v>4.1666666666666664E-2</v>
      </c>
      <c r="Y172" s="319">
        <v>4</v>
      </c>
      <c r="Z172" s="646"/>
      <c r="AA172" s="328">
        <f t="shared" si="31"/>
        <v>12</v>
      </c>
      <c r="AB172" s="298">
        <f t="shared" si="32"/>
        <v>0</v>
      </c>
      <c r="AD172" s="47"/>
      <c r="AE172" s="47"/>
      <c r="AF172" s="319"/>
      <c r="AG172" s="328">
        <f t="shared" si="33"/>
        <v>0</v>
      </c>
      <c r="AI172" s="255"/>
      <c r="AJ172" s="180"/>
      <c r="AK172" s="193"/>
      <c r="AL172" s="193"/>
      <c r="AM172" s="193"/>
      <c r="AN172" s="193"/>
      <c r="AO172" s="193"/>
      <c r="AP172" s="193"/>
      <c r="AQ172" s="180"/>
      <c r="AR172" s="180"/>
      <c r="AS172" s="180"/>
      <c r="AT172" s="180"/>
      <c r="AU172" s="180"/>
      <c r="AV172" s="180"/>
      <c r="AW172" s="180"/>
    </row>
    <row r="173" spans="1:49" s="4" customFormat="1">
      <c r="A173" s="180"/>
      <c r="B173" s="502" t="s">
        <v>483</v>
      </c>
      <c r="C173" s="47"/>
      <c r="D173" s="47"/>
      <c r="E173" s="319"/>
      <c r="F173" s="646"/>
      <c r="H173" s="47"/>
      <c r="I173" s="47"/>
      <c r="J173" s="319"/>
      <c r="K173" s="646"/>
      <c r="M173" s="441"/>
      <c r="N173" s="47"/>
      <c r="O173" s="319"/>
      <c r="P173" s="646"/>
      <c r="R173" s="5"/>
      <c r="S173" s="5"/>
      <c r="T173" s="319"/>
      <c r="U173" s="646"/>
      <c r="W173" s="5"/>
      <c r="X173" s="5"/>
      <c r="Y173" s="319"/>
      <c r="Z173" s="646"/>
      <c r="AA173" s="328">
        <f t="shared" si="31"/>
        <v>0</v>
      </c>
      <c r="AB173" s="298">
        <f t="shared" si="32"/>
        <v>0</v>
      </c>
      <c r="AD173" s="47"/>
      <c r="AE173" s="47"/>
      <c r="AF173" s="319"/>
      <c r="AG173" s="328">
        <f t="shared" si="33"/>
        <v>0</v>
      </c>
      <c r="AI173" s="255"/>
      <c r="AJ173" s="180"/>
      <c r="AK173" s="193"/>
      <c r="AL173" s="193"/>
      <c r="AM173" s="193"/>
      <c r="AN173" s="193"/>
      <c r="AO173" s="193"/>
      <c r="AP173" s="193"/>
      <c r="AQ173" s="180"/>
      <c r="AR173" s="180"/>
      <c r="AS173" s="180"/>
      <c r="AT173" s="180"/>
      <c r="AU173" s="180"/>
      <c r="AV173" s="180"/>
      <c r="AW173" s="180"/>
    </row>
    <row r="174" spans="1:49" s="4" customFormat="1">
      <c r="A174" s="180"/>
      <c r="B174" s="502" t="s">
        <v>483</v>
      </c>
      <c r="C174" s="47"/>
      <c r="D174" s="47"/>
      <c r="E174" s="319">
        <v>8</v>
      </c>
      <c r="F174" s="646"/>
      <c r="H174" s="47"/>
      <c r="I174" s="47"/>
      <c r="J174" s="319">
        <v>8</v>
      </c>
      <c r="K174" s="646">
        <v>0.5</v>
      </c>
      <c r="M174" s="441"/>
      <c r="N174" s="47"/>
      <c r="O174" s="319">
        <v>8</v>
      </c>
      <c r="P174" s="646"/>
      <c r="R174" s="47"/>
      <c r="S174" s="47"/>
      <c r="T174" s="319">
        <v>8</v>
      </c>
      <c r="U174" s="646">
        <v>0.5</v>
      </c>
      <c r="W174" s="47"/>
      <c r="X174" s="47"/>
      <c r="Y174" s="319">
        <v>8</v>
      </c>
      <c r="Z174" s="646"/>
      <c r="AA174" s="328">
        <f t="shared" si="31"/>
        <v>40</v>
      </c>
      <c r="AB174" s="298">
        <f t="shared" si="32"/>
        <v>1</v>
      </c>
      <c r="AD174" s="47"/>
      <c r="AE174" s="47"/>
      <c r="AF174" s="319"/>
      <c r="AG174" s="328">
        <f t="shared" si="33"/>
        <v>0</v>
      </c>
      <c r="AI174" s="255"/>
      <c r="AJ174" s="180"/>
      <c r="AK174" s="193"/>
      <c r="AL174" s="193"/>
      <c r="AM174" s="193"/>
      <c r="AN174" s="193"/>
      <c r="AO174" s="193"/>
      <c r="AP174" s="193"/>
      <c r="AQ174" s="180"/>
      <c r="AR174" s="180"/>
      <c r="AS174" s="180"/>
      <c r="AT174" s="180"/>
      <c r="AU174" s="180"/>
      <c r="AV174" s="180"/>
      <c r="AW174" s="180"/>
    </row>
    <row r="175" spans="1:49" s="4" customFormat="1">
      <c r="A175" s="180"/>
      <c r="B175" s="502" t="s">
        <v>484</v>
      </c>
      <c r="C175" s="47"/>
      <c r="D175" s="47"/>
      <c r="E175" s="319">
        <v>8</v>
      </c>
      <c r="F175" s="646"/>
      <c r="H175" s="47"/>
      <c r="I175" s="47"/>
      <c r="J175" s="319">
        <v>8</v>
      </c>
      <c r="K175" s="646">
        <v>0.5</v>
      </c>
      <c r="M175" s="441"/>
      <c r="N175" s="47"/>
      <c r="O175" s="319">
        <v>8</v>
      </c>
      <c r="P175" s="646"/>
      <c r="R175" s="47"/>
      <c r="S175" s="47"/>
      <c r="T175" s="319">
        <v>8</v>
      </c>
      <c r="U175" s="646">
        <v>0.5</v>
      </c>
      <c r="W175" s="47"/>
      <c r="X175" s="47"/>
      <c r="Y175" s="319">
        <v>8</v>
      </c>
      <c r="Z175" s="646"/>
      <c r="AA175" s="328">
        <f t="shared" si="31"/>
        <v>40</v>
      </c>
      <c r="AB175" s="298">
        <f t="shared" si="32"/>
        <v>1</v>
      </c>
      <c r="AD175" s="47"/>
      <c r="AE175" s="47"/>
      <c r="AF175" s="319"/>
      <c r="AG175" s="328">
        <f t="shared" si="33"/>
        <v>0</v>
      </c>
      <c r="AI175" s="255"/>
      <c r="AJ175" s="180"/>
      <c r="AK175" s="193"/>
      <c r="AL175" s="193"/>
      <c r="AM175" s="193"/>
      <c r="AN175" s="193"/>
      <c r="AO175" s="193"/>
      <c r="AP175" s="193"/>
      <c r="AQ175" s="180"/>
      <c r="AR175" s="180"/>
      <c r="AS175" s="180"/>
      <c r="AT175" s="180"/>
      <c r="AU175" s="180"/>
      <c r="AV175" s="180"/>
      <c r="AW175" s="180"/>
    </row>
    <row r="176" spans="1:49" s="4" customFormat="1">
      <c r="A176" s="180"/>
      <c r="B176" s="502" t="s">
        <v>485</v>
      </c>
      <c r="C176" s="47"/>
      <c r="D176" s="47"/>
      <c r="E176" s="319">
        <v>8</v>
      </c>
      <c r="F176" s="646"/>
      <c r="H176" s="47"/>
      <c r="I176" s="47"/>
      <c r="J176" s="319">
        <v>8</v>
      </c>
      <c r="K176" s="646">
        <v>0.5</v>
      </c>
      <c r="M176" s="47"/>
      <c r="N176" s="47"/>
      <c r="O176" s="319">
        <v>8</v>
      </c>
      <c r="P176" s="646"/>
      <c r="R176" s="47"/>
      <c r="S176" s="47"/>
      <c r="T176" s="319">
        <v>8</v>
      </c>
      <c r="U176" s="646">
        <v>0.5</v>
      </c>
      <c r="W176" s="47"/>
      <c r="X176" s="47"/>
      <c r="Y176" s="319">
        <v>8</v>
      </c>
      <c r="Z176" s="646"/>
      <c r="AA176" s="328">
        <f t="shared" si="31"/>
        <v>40</v>
      </c>
      <c r="AB176" s="298">
        <f t="shared" si="32"/>
        <v>1</v>
      </c>
      <c r="AD176" s="47"/>
      <c r="AE176" s="47"/>
      <c r="AF176" s="319"/>
      <c r="AG176" s="328">
        <f t="shared" si="33"/>
        <v>0</v>
      </c>
      <c r="AI176" s="255"/>
      <c r="AJ176" s="180"/>
      <c r="AK176" s="193"/>
      <c r="AL176" s="193"/>
      <c r="AM176" s="193"/>
      <c r="AN176" s="193"/>
      <c r="AO176" s="193"/>
      <c r="AP176" s="193"/>
      <c r="AQ176" s="180"/>
      <c r="AR176" s="180"/>
      <c r="AS176" s="180"/>
      <c r="AT176" s="180"/>
      <c r="AU176" s="180"/>
      <c r="AV176" s="180"/>
      <c r="AW176" s="180"/>
    </row>
    <row r="177" spans="1:49" s="4" customFormat="1">
      <c r="A177" s="180"/>
      <c r="B177" s="502" t="s">
        <v>486</v>
      </c>
      <c r="C177" s="47"/>
      <c r="D177" s="47"/>
      <c r="E177" s="319"/>
      <c r="F177" s="646"/>
      <c r="H177" s="47"/>
      <c r="I177" s="47"/>
      <c r="J177" s="319"/>
      <c r="K177" s="646"/>
      <c r="M177" s="5"/>
      <c r="N177" s="5"/>
      <c r="O177" s="319"/>
      <c r="P177" s="646"/>
      <c r="R177" s="5"/>
      <c r="S177" s="5"/>
      <c r="T177" s="319"/>
      <c r="U177" s="646"/>
      <c r="W177" s="5"/>
      <c r="X177" s="5"/>
      <c r="Y177" s="319"/>
      <c r="Z177" s="646"/>
      <c r="AA177" s="328">
        <f t="shared" si="31"/>
        <v>0</v>
      </c>
      <c r="AB177" s="298">
        <f t="shared" si="32"/>
        <v>0</v>
      </c>
      <c r="AD177" s="47"/>
      <c r="AE177" s="47"/>
      <c r="AF177" s="319"/>
      <c r="AG177" s="328">
        <f t="shared" si="33"/>
        <v>0</v>
      </c>
      <c r="AI177" s="255"/>
      <c r="AJ177" s="180"/>
      <c r="AK177" s="193"/>
      <c r="AL177" s="193"/>
      <c r="AM177" s="193"/>
      <c r="AN177" s="193"/>
      <c r="AO177" s="193"/>
      <c r="AP177" s="193"/>
      <c r="AQ177" s="180"/>
      <c r="AR177" s="180"/>
      <c r="AS177" s="180"/>
      <c r="AT177" s="180"/>
      <c r="AU177" s="180"/>
      <c r="AV177" s="180"/>
      <c r="AW177" s="180"/>
    </row>
    <row r="178" spans="1:49" s="4" customFormat="1">
      <c r="A178" s="180"/>
      <c r="B178" s="63" t="s">
        <v>1116</v>
      </c>
      <c r="C178" s="47"/>
      <c r="D178" s="47"/>
      <c r="E178" s="319">
        <v>8</v>
      </c>
      <c r="F178" s="646"/>
      <c r="H178" s="47"/>
      <c r="I178" s="47"/>
      <c r="J178" s="319">
        <v>8</v>
      </c>
      <c r="K178" s="646"/>
      <c r="M178" s="47"/>
      <c r="N178" s="47"/>
      <c r="O178" s="319">
        <v>8</v>
      </c>
      <c r="P178" s="646"/>
      <c r="R178" s="663"/>
      <c r="S178" s="663"/>
      <c r="T178" s="319">
        <v>8</v>
      </c>
      <c r="U178" s="646"/>
      <c r="W178" s="663"/>
      <c r="X178" s="663"/>
      <c r="Y178" s="319">
        <v>8</v>
      </c>
      <c r="Z178" s="646"/>
      <c r="AA178" s="328">
        <f t="shared" si="31"/>
        <v>40</v>
      </c>
      <c r="AB178" s="298">
        <f t="shared" si="32"/>
        <v>0</v>
      </c>
      <c r="AD178" s="47"/>
      <c r="AE178" s="47"/>
      <c r="AF178" s="319"/>
      <c r="AG178" s="328">
        <f t="shared" si="33"/>
        <v>0</v>
      </c>
      <c r="AI178" s="255"/>
      <c r="AJ178" s="180"/>
      <c r="AK178" s="193"/>
      <c r="AL178" s="193"/>
      <c r="AM178" s="193"/>
      <c r="AN178" s="193"/>
      <c r="AO178" s="193"/>
      <c r="AP178" s="193"/>
      <c r="AQ178" s="180"/>
      <c r="AR178" s="180"/>
      <c r="AS178" s="180"/>
      <c r="AT178" s="180"/>
      <c r="AU178" s="180"/>
      <c r="AV178" s="180"/>
      <c r="AW178" s="180"/>
    </row>
    <row r="179" spans="1:49" s="4" customFormat="1">
      <c r="A179" s="180"/>
      <c r="B179" s="267" t="s">
        <v>358</v>
      </c>
      <c r="C179" s="47"/>
      <c r="D179" s="47"/>
      <c r="E179" s="319">
        <v>6</v>
      </c>
      <c r="F179" s="646"/>
      <c r="H179" s="47"/>
      <c r="I179" s="47"/>
      <c r="J179" s="319">
        <v>6</v>
      </c>
      <c r="K179" s="646"/>
      <c r="L179" s="438"/>
      <c r="M179" s="663"/>
      <c r="N179" s="663"/>
      <c r="O179" s="319">
        <v>6</v>
      </c>
      <c r="P179" s="646"/>
      <c r="Q179" s="438"/>
      <c r="R179" s="663"/>
      <c r="S179" s="663"/>
      <c r="T179" s="319">
        <v>6</v>
      </c>
      <c r="U179" s="646"/>
      <c r="V179" s="438"/>
      <c r="W179" s="663"/>
      <c r="X179" s="663"/>
      <c r="Y179" s="319">
        <v>6</v>
      </c>
      <c r="Z179" s="646"/>
      <c r="AA179" s="328">
        <f t="shared" si="31"/>
        <v>30</v>
      </c>
      <c r="AB179" s="298">
        <f t="shared" si="32"/>
        <v>0</v>
      </c>
      <c r="AD179" s="47"/>
      <c r="AE179" s="47"/>
      <c r="AF179" s="319"/>
      <c r="AG179" s="328">
        <f t="shared" si="33"/>
        <v>0</v>
      </c>
      <c r="AI179" s="255"/>
      <c r="AJ179" s="180"/>
      <c r="AK179" s="193"/>
      <c r="AL179" s="193"/>
      <c r="AM179" s="193"/>
      <c r="AN179" s="193"/>
      <c r="AO179" s="193"/>
      <c r="AP179" s="193"/>
      <c r="AQ179" s="180"/>
      <c r="AR179" s="180"/>
      <c r="AS179" s="180"/>
      <c r="AT179" s="180"/>
      <c r="AU179" s="180"/>
      <c r="AV179" s="180"/>
      <c r="AW179" s="180"/>
    </row>
    <row r="180" spans="1:49" s="193" customFormat="1">
      <c r="A180" s="180"/>
      <c r="B180" s="267" t="s">
        <v>991</v>
      </c>
      <c r="C180" s="47"/>
      <c r="D180" s="47"/>
      <c r="E180" s="319"/>
      <c r="F180" s="646"/>
      <c r="G180" s="4"/>
      <c r="H180" s="47"/>
      <c r="I180" s="47"/>
      <c r="J180" s="319"/>
      <c r="K180" s="646"/>
      <c r="L180" s="438"/>
      <c r="M180" s="5"/>
      <c r="N180" s="5"/>
      <c r="O180" s="319"/>
      <c r="P180" s="646"/>
      <c r="Q180" s="438"/>
      <c r="R180" s="5"/>
      <c r="S180" s="5"/>
      <c r="T180" s="319"/>
      <c r="U180" s="646"/>
      <c r="V180" s="438"/>
      <c r="W180" s="5"/>
      <c r="X180" s="5"/>
      <c r="Y180" s="319"/>
      <c r="Z180" s="646"/>
      <c r="AA180" s="328">
        <f t="shared" si="31"/>
        <v>0</v>
      </c>
      <c r="AB180" s="298">
        <f t="shared" si="32"/>
        <v>0</v>
      </c>
      <c r="AC180" s="4"/>
      <c r="AD180" s="47"/>
      <c r="AE180" s="47"/>
      <c r="AF180" s="319"/>
      <c r="AG180" s="328">
        <f t="shared" si="33"/>
        <v>0</v>
      </c>
      <c r="AH180" s="4"/>
      <c r="AI180" s="255"/>
      <c r="AJ180" s="180"/>
      <c r="AQ180" s="180"/>
      <c r="AR180" s="180"/>
      <c r="AS180" s="180"/>
      <c r="AT180" s="180"/>
      <c r="AU180" s="180"/>
      <c r="AV180" s="180"/>
      <c r="AW180" s="180"/>
    </row>
    <row r="181" spans="1:49" s="193" customFormat="1">
      <c r="A181" s="180"/>
      <c r="B181" s="267" t="s">
        <v>411</v>
      </c>
      <c r="C181" s="47"/>
      <c r="D181" s="47"/>
      <c r="E181" s="319"/>
      <c r="F181" s="646"/>
      <c r="G181" s="4"/>
      <c r="H181" s="47"/>
      <c r="I181" s="47"/>
      <c r="J181" s="319"/>
      <c r="K181" s="646"/>
      <c r="L181" s="438"/>
      <c r="M181" s="5"/>
      <c r="N181" s="5"/>
      <c r="O181" s="319"/>
      <c r="P181" s="646"/>
      <c r="Q181" s="438"/>
      <c r="R181" s="5"/>
      <c r="S181" s="5"/>
      <c r="T181" s="319"/>
      <c r="U181" s="646"/>
      <c r="V181" s="438"/>
      <c r="W181" s="5"/>
      <c r="X181" s="5"/>
      <c r="Y181" s="319"/>
      <c r="Z181" s="646"/>
      <c r="AA181" s="328">
        <f t="shared" si="31"/>
        <v>0</v>
      </c>
      <c r="AB181" s="298">
        <f t="shared" si="32"/>
        <v>0</v>
      </c>
      <c r="AC181" s="4"/>
      <c r="AD181" s="47"/>
      <c r="AE181" s="47"/>
      <c r="AF181" s="319"/>
      <c r="AG181" s="328">
        <f t="shared" si="33"/>
        <v>0</v>
      </c>
      <c r="AH181" s="4"/>
      <c r="AI181" s="255"/>
      <c r="AJ181" s="180"/>
      <c r="AQ181" s="180"/>
      <c r="AR181" s="180"/>
      <c r="AS181" s="180"/>
      <c r="AT181" s="180"/>
      <c r="AU181" s="180"/>
      <c r="AV181" s="180"/>
      <c r="AW181" s="180"/>
    </row>
    <row r="182" spans="1:49" s="193" customFormat="1">
      <c r="A182" s="180"/>
      <c r="B182" s="267" t="s">
        <v>361</v>
      </c>
      <c r="C182" s="47"/>
      <c r="D182" s="47"/>
      <c r="E182" s="319"/>
      <c r="F182" s="646"/>
      <c r="G182" s="4"/>
      <c r="H182" s="47"/>
      <c r="I182" s="47"/>
      <c r="J182" s="319"/>
      <c r="K182" s="646"/>
      <c r="L182" s="438"/>
      <c r="M182" s="5"/>
      <c r="N182" s="5"/>
      <c r="O182" s="319"/>
      <c r="P182" s="646"/>
      <c r="Q182" s="438"/>
      <c r="R182" s="5"/>
      <c r="S182" s="5"/>
      <c r="T182" s="319"/>
      <c r="U182" s="646"/>
      <c r="V182" s="438"/>
      <c r="W182" s="5"/>
      <c r="X182" s="5"/>
      <c r="Y182" s="319"/>
      <c r="Z182" s="646"/>
      <c r="AA182" s="328">
        <f t="shared" si="31"/>
        <v>0</v>
      </c>
      <c r="AB182" s="298">
        <f t="shared" si="32"/>
        <v>0</v>
      </c>
      <c r="AC182" s="4"/>
      <c r="AD182" s="47"/>
      <c r="AE182" s="47"/>
      <c r="AF182" s="319"/>
      <c r="AG182" s="328">
        <f t="shared" si="33"/>
        <v>0</v>
      </c>
      <c r="AH182" s="4"/>
      <c r="AI182" s="255"/>
      <c r="AJ182" s="180"/>
      <c r="AQ182" s="180"/>
      <c r="AR182" s="180"/>
      <c r="AS182" s="180"/>
      <c r="AT182" s="180"/>
      <c r="AU182" s="180"/>
      <c r="AV182" s="180"/>
      <c r="AW182" s="180"/>
    </row>
    <row r="183" spans="1:49" s="193" customFormat="1">
      <c r="A183" s="180"/>
      <c r="B183" s="267" t="s">
        <v>362</v>
      </c>
      <c r="C183" s="47"/>
      <c r="D183" s="47"/>
      <c r="E183" s="319">
        <v>1</v>
      </c>
      <c r="F183" s="646"/>
      <c r="G183" s="4"/>
      <c r="H183" s="47"/>
      <c r="I183" s="47"/>
      <c r="J183" s="319">
        <v>1</v>
      </c>
      <c r="K183" s="646"/>
      <c r="L183" s="438"/>
      <c r="M183" s="47"/>
      <c r="N183" s="47"/>
      <c r="O183" s="319">
        <v>1</v>
      </c>
      <c r="P183" s="646"/>
      <c r="Q183" s="438"/>
      <c r="R183" s="47"/>
      <c r="S183" s="47"/>
      <c r="T183" s="319">
        <v>1</v>
      </c>
      <c r="U183" s="646"/>
      <c r="V183" s="438"/>
      <c r="W183" s="5"/>
      <c r="X183" s="5"/>
      <c r="Y183" s="319"/>
      <c r="Z183" s="646"/>
      <c r="AA183" s="328">
        <f t="shared" si="31"/>
        <v>4</v>
      </c>
      <c r="AB183" s="298">
        <f t="shared" si="32"/>
        <v>0</v>
      </c>
      <c r="AC183" s="4"/>
      <c r="AD183" s="47"/>
      <c r="AE183" s="47"/>
      <c r="AF183" s="319"/>
      <c r="AG183" s="328">
        <f t="shared" si="33"/>
        <v>0</v>
      </c>
      <c r="AH183" s="4"/>
      <c r="AI183" s="255"/>
      <c r="AJ183" s="180"/>
      <c r="AQ183" s="180"/>
      <c r="AR183" s="180"/>
      <c r="AS183" s="180"/>
      <c r="AT183" s="180"/>
      <c r="AU183" s="180"/>
      <c r="AV183" s="180"/>
      <c r="AW183" s="180"/>
    </row>
    <row r="184" spans="1:49" s="193" customFormat="1">
      <c r="A184" s="180"/>
      <c r="B184" s="437" t="s">
        <v>355</v>
      </c>
      <c r="C184" s="47"/>
      <c r="D184" s="47"/>
      <c r="E184" s="319"/>
      <c r="F184" s="646"/>
      <c r="G184" s="4"/>
      <c r="H184" s="47"/>
      <c r="I184" s="47"/>
      <c r="J184" s="319">
        <v>7.7</v>
      </c>
      <c r="K184" s="646"/>
      <c r="L184" s="438"/>
      <c r="M184" s="5"/>
      <c r="N184" s="5"/>
      <c r="O184" s="319"/>
      <c r="P184" s="646"/>
      <c r="Q184" s="438"/>
      <c r="R184" s="5"/>
      <c r="S184" s="5"/>
      <c r="T184" s="319">
        <v>7.7</v>
      </c>
      <c r="U184" s="646"/>
      <c r="V184" s="438"/>
      <c r="W184" s="5"/>
      <c r="X184" s="5"/>
      <c r="Y184" s="319">
        <v>7.7</v>
      </c>
      <c r="Z184" s="646"/>
      <c r="AA184" s="328">
        <f t="shared" si="31"/>
        <v>23.1</v>
      </c>
      <c r="AB184" s="298">
        <f t="shared" si="32"/>
        <v>0</v>
      </c>
      <c r="AC184" s="4"/>
      <c r="AD184" s="47"/>
      <c r="AE184" s="47"/>
      <c r="AF184" s="319"/>
      <c r="AG184" s="328">
        <f t="shared" si="33"/>
        <v>0</v>
      </c>
      <c r="AH184" s="4"/>
      <c r="AI184" s="255"/>
      <c r="AJ184" s="180"/>
      <c r="AQ184" s="180"/>
      <c r="AR184" s="180"/>
      <c r="AS184" s="180"/>
      <c r="AT184" s="180"/>
      <c r="AU184" s="180"/>
      <c r="AV184" s="180"/>
      <c r="AW184" s="180"/>
    </row>
    <row r="185" spans="1:49" s="193" customFormat="1">
      <c r="A185" s="180"/>
      <c r="B185" s="437" t="s">
        <v>356</v>
      </c>
      <c r="C185" s="713"/>
      <c r="D185" s="713"/>
      <c r="E185" s="713"/>
      <c r="F185" s="646"/>
      <c r="G185" s="438"/>
      <c r="H185" s="5"/>
      <c r="I185" s="5"/>
      <c r="J185" s="319"/>
      <c r="K185" s="646"/>
      <c r="L185" s="438"/>
      <c r="M185" s="5"/>
      <c r="N185" s="5"/>
      <c r="O185" s="319"/>
      <c r="P185" s="646"/>
      <c r="Q185" s="438"/>
      <c r="R185" s="5"/>
      <c r="S185" s="5"/>
      <c r="T185" s="319"/>
      <c r="U185" s="646"/>
      <c r="V185" s="438"/>
      <c r="W185" s="5"/>
      <c r="X185" s="5"/>
      <c r="Y185" s="319">
        <v>7.9</v>
      </c>
      <c r="Z185" s="646"/>
      <c r="AA185" s="328">
        <f t="shared" si="31"/>
        <v>7.9</v>
      </c>
      <c r="AB185" s="298">
        <f t="shared" si="32"/>
        <v>0</v>
      </c>
      <c r="AC185" s="4"/>
      <c r="AD185" s="47"/>
      <c r="AE185" s="47"/>
      <c r="AF185" s="319"/>
      <c r="AG185" s="328">
        <f t="shared" si="33"/>
        <v>0</v>
      </c>
      <c r="AH185" s="4"/>
      <c r="AI185" s="255"/>
      <c r="AJ185" s="180"/>
      <c r="AQ185" s="180"/>
      <c r="AR185" s="180"/>
      <c r="AS185" s="180"/>
      <c r="AT185" s="180"/>
      <c r="AU185" s="180"/>
      <c r="AV185" s="180"/>
      <c r="AW185" s="180"/>
    </row>
    <row r="186" spans="1:49" s="193" customFormat="1">
      <c r="A186" s="180"/>
      <c r="B186" s="64" t="s">
        <v>61</v>
      </c>
      <c r="C186" s="31"/>
      <c r="D186" s="31"/>
      <c r="E186" s="439"/>
      <c r="F186" s="646"/>
      <c r="G186" s="31"/>
      <c r="H186" s="31"/>
      <c r="I186" s="31"/>
      <c r="J186" s="439"/>
      <c r="K186" s="646"/>
      <c r="L186" s="31"/>
      <c r="M186" s="31"/>
      <c r="N186" s="31"/>
      <c r="O186" s="439"/>
      <c r="P186" s="646"/>
      <c r="Q186" s="31"/>
      <c r="R186" s="31"/>
      <c r="S186" s="31"/>
      <c r="T186" s="439"/>
      <c r="U186" s="646"/>
      <c r="V186" s="31"/>
      <c r="W186" s="31"/>
      <c r="X186" s="31"/>
      <c r="Y186" s="439"/>
      <c r="Z186" s="646"/>
      <c r="AA186" s="370">
        <f>SUM(AA162:AA185)</f>
        <v>561.75</v>
      </c>
      <c r="AB186" s="370">
        <f>SUM(AB162:AB185)</f>
        <v>8.75</v>
      </c>
      <c r="AC186" s="4"/>
      <c r="AD186" s="64"/>
      <c r="AE186" s="64"/>
      <c r="AF186" s="370">
        <f>SUM(AF162:AF185)</f>
        <v>0</v>
      </c>
      <c r="AG186" s="370">
        <f>SUM(AG162:AG185)</f>
        <v>0</v>
      </c>
      <c r="AH186" s="4"/>
      <c r="AI186" s="255"/>
      <c r="AJ186" s="180"/>
      <c r="AK186" s="407"/>
      <c r="AQ186" s="180"/>
      <c r="AR186" s="180"/>
      <c r="AS186" s="180"/>
      <c r="AT186" s="180"/>
      <c r="AU186" s="180"/>
      <c r="AV186" s="180"/>
      <c r="AW186" s="180"/>
    </row>
    <row r="187" spans="1:49" s="193" customFormat="1">
      <c r="A187" s="180"/>
      <c r="B187" s="63" t="s">
        <v>64</v>
      </c>
      <c r="C187" s="47"/>
      <c r="D187" s="47"/>
      <c r="E187" s="319">
        <v>8</v>
      </c>
      <c r="F187" s="346">
        <v>0.5</v>
      </c>
      <c r="G187" s="613"/>
      <c r="H187" s="47"/>
      <c r="I187" s="47"/>
      <c r="J187" s="319">
        <v>8</v>
      </c>
      <c r="K187" s="346">
        <v>0.5</v>
      </c>
      <c r="L187" s="60"/>
      <c r="M187" s="47"/>
      <c r="N187" s="47"/>
      <c r="O187" s="319">
        <v>8</v>
      </c>
      <c r="P187" s="346">
        <v>0.75</v>
      </c>
      <c r="Q187" s="60"/>
      <c r="R187" s="47"/>
      <c r="S187" s="47"/>
      <c r="T187" s="319">
        <v>8</v>
      </c>
      <c r="U187" s="346"/>
      <c r="V187" s="60"/>
      <c r="W187" s="47"/>
      <c r="X187" s="47"/>
      <c r="Y187" s="319">
        <v>8</v>
      </c>
      <c r="Z187" s="346"/>
      <c r="AA187" s="28">
        <f>SUM(E187+J187+O187+T187+Y187)</f>
        <v>40</v>
      </c>
      <c r="AB187" s="296">
        <f>Z187+U187+P187+K187+F187</f>
        <v>1.75</v>
      </c>
      <c r="AC187" s="4"/>
      <c r="AD187" s="47" t="s">
        <v>29</v>
      </c>
      <c r="AE187" s="47" t="s">
        <v>29</v>
      </c>
      <c r="AF187" s="319"/>
      <c r="AG187" s="29">
        <f>AF187</f>
        <v>0</v>
      </c>
      <c r="AH187" s="4"/>
      <c r="AI187" s="255"/>
      <c r="AJ187" s="180"/>
      <c r="AK187" s="407"/>
      <c r="AQ187" s="180"/>
      <c r="AR187" s="180"/>
      <c r="AS187" s="180"/>
      <c r="AT187" s="180"/>
      <c r="AU187" s="180"/>
      <c r="AV187" s="180"/>
      <c r="AW187" s="180"/>
    </row>
    <row r="188" spans="1:49" s="193" customFormat="1">
      <c r="A188" s="180"/>
      <c r="B188" s="71" t="s">
        <v>66</v>
      </c>
      <c r="C188" s="371"/>
      <c r="D188" s="371"/>
      <c r="E188" s="71"/>
      <c r="F188" s="613"/>
      <c r="G188" s="71"/>
      <c r="H188" s="71"/>
      <c r="I188" s="71"/>
      <c r="J188" s="71"/>
      <c r="K188" s="613"/>
      <c r="L188" s="71"/>
      <c r="M188" s="71"/>
      <c r="N188" s="71"/>
      <c r="O188" s="71"/>
      <c r="P188" s="613"/>
      <c r="Q188" s="71"/>
      <c r="R188" s="71"/>
      <c r="S188" s="71"/>
      <c r="T188" s="71"/>
      <c r="U188" s="613"/>
      <c r="V188" s="71"/>
      <c r="W188" s="71"/>
      <c r="X188" s="71"/>
      <c r="Y188" s="71"/>
      <c r="Z188" s="613"/>
      <c r="AA188" s="370">
        <f>SUM(AA187:AA187)</f>
        <v>40</v>
      </c>
      <c r="AB188" s="370">
        <f>SUM(AB187:AB187)</f>
        <v>1.75</v>
      </c>
      <c r="AC188" s="4"/>
      <c r="AD188" s="180"/>
      <c r="AE188" s="180"/>
      <c r="AF188" s="180"/>
      <c r="AG188" s="370">
        <f>SUM(AG187:AG187)</f>
        <v>0</v>
      </c>
      <c r="AH188" s="4"/>
      <c r="AI188" s="255"/>
      <c r="AJ188" s="180"/>
      <c r="AK188" s="407"/>
      <c r="AQ188" s="180"/>
      <c r="AR188" s="180"/>
      <c r="AS188" s="180"/>
      <c r="AT188" s="180"/>
      <c r="AU188" s="180"/>
      <c r="AV188" s="180"/>
      <c r="AW188" s="180"/>
    </row>
    <row r="189" spans="1:49" s="193" customFormat="1">
      <c r="A189" s="180"/>
      <c r="B189" s="217" t="s">
        <v>67</v>
      </c>
      <c r="C189" s="207">
        <f>C190+C191</f>
        <v>63</v>
      </c>
      <c r="D189" s="207"/>
      <c r="E189" s="209"/>
      <c r="F189" s="209"/>
      <c r="G189" s="207"/>
      <c r="H189" s="209"/>
      <c r="I189" s="209"/>
      <c r="J189" s="209"/>
      <c r="K189" s="209"/>
      <c r="L189" s="207"/>
      <c r="M189" s="207"/>
      <c r="N189" s="207"/>
      <c r="O189" s="207"/>
      <c r="P189" s="209"/>
      <c r="Q189" s="207"/>
      <c r="R189" s="207"/>
      <c r="S189" s="207"/>
      <c r="T189" s="207"/>
      <c r="U189" s="209"/>
      <c r="V189" s="207"/>
      <c r="W189" s="207"/>
      <c r="X189" s="207"/>
      <c r="Y189" s="210"/>
      <c r="Z189" s="209"/>
      <c r="AA189" s="211"/>
      <c r="AB189" s="209"/>
      <c r="AC189" s="211"/>
      <c r="AD189" s="211"/>
      <c r="AE189" s="211"/>
      <c r="AF189" s="211"/>
      <c r="AG189" s="211"/>
      <c r="AH189" s="4"/>
      <c r="AI189" s="255"/>
      <c r="AJ189" s="180"/>
      <c r="AQ189" s="180"/>
      <c r="AR189" s="180"/>
      <c r="AS189" s="180"/>
      <c r="AT189" s="180"/>
      <c r="AU189" s="180"/>
      <c r="AV189" s="180"/>
      <c r="AW189" s="180"/>
    </row>
    <row r="190" spans="1:49" s="193" customFormat="1">
      <c r="A190" s="180"/>
      <c r="B190" s="238" t="s">
        <v>68</v>
      </c>
      <c r="C190" s="239">
        <v>55</v>
      </c>
      <c r="D190" s="207"/>
      <c r="E190" s="209"/>
      <c r="F190" s="209"/>
      <c r="G190" s="207"/>
      <c r="H190" s="209"/>
      <c r="I190" s="209"/>
      <c r="J190" s="209"/>
      <c r="K190" s="209"/>
      <c r="L190" s="207"/>
      <c r="M190" s="207"/>
      <c r="N190" s="207"/>
      <c r="O190" s="207"/>
      <c r="P190" s="209"/>
      <c r="Q190" s="207"/>
      <c r="R190" s="207"/>
      <c r="S190" s="207"/>
      <c r="T190" s="207"/>
      <c r="U190" s="209"/>
      <c r="V190" s="207"/>
      <c r="W190" s="207"/>
      <c r="X190" s="207"/>
      <c r="Y190" s="210"/>
      <c r="Z190" s="209"/>
      <c r="AA190" s="211"/>
      <c r="AB190" s="209"/>
      <c r="AC190" s="211"/>
      <c r="AD190" s="211"/>
      <c r="AE190" s="211"/>
      <c r="AF190" s="211"/>
      <c r="AG190" s="211"/>
      <c r="AH190" s="4"/>
      <c r="AI190" s="255"/>
      <c r="AJ190" s="180"/>
      <c r="AQ190" s="180"/>
      <c r="AR190" s="180"/>
      <c r="AS190" s="180"/>
      <c r="AT190" s="180"/>
      <c r="AU190" s="180"/>
      <c r="AV190" s="180"/>
      <c r="AW190" s="180"/>
    </row>
    <row r="191" spans="1:49" s="193" customFormat="1">
      <c r="A191" s="180"/>
      <c r="B191" s="238" t="s">
        <v>69</v>
      </c>
      <c r="C191" s="239">
        <v>8</v>
      </c>
      <c r="D191" s="207"/>
      <c r="E191" s="209"/>
      <c r="F191" s="209"/>
      <c r="G191" s="207"/>
      <c r="H191" s="209"/>
      <c r="I191" s="209"/>
      <c r="J191" s="209"/>
      <c r="K191" s="209"/>
      <c r="L191" s="207"/>
      <c r="M191" s="207"/>
      <c r="N191" s="207"/>
      <c r="O191" s="207"/>
      <c r="P191" s="209"/>
      <c r="Q191" s="207"/>
      <c r="R191" s="207"/>
      <c r="S191" s="207"/>
      <c r="T191" s="207"/>
      <c r="U191" s="209"/>
      <c r="V191" s="207"/>
      <c r="W191" s="207"/>
      <c r="X191" s="207"/>
      <c r="Y191" s="210"/>
      <c r="Z191" s="209"/>
      <c r="AA191" s="211"/>
      <c r="AB191" s="209"/>
      <c r="AC191" s="211"/>
      <c r="AD191" s="211"/>
      <c r="AE191" s="211"/>
      <c r="AF191" s="211"/>
      <c r="AG191" s="211"/>
      <c r="AH191" s="4"/>
      <c r="AI191" s="255"/>
      <c r="AJ191" s="180"/>
      <c r="AQ191" s="180"/>
      <c r="AR191" s="180"/>
      <c r="AS191" s="180"/>
      <c r="AT191" s="180"/>
      <c r="AU191" s="180"/>
      <c r="AV191" s="180"/>
      <c r="AW191" s="180"/>
    </row>
    <row r="192" spans="1:49">
      <c r="E192" s="4"/>
      <c r="F192" s="644"/>
      <c r="G192" s="4"/>
      <c r="J192" s="4"/>
      <c r="K192" s="644"/>
      <c r="L192" s="4"/>
      <c r="O192" s="4"/>
      <c r="P192" s="644"/>
      <c r="T192" s="4"/>
      <c r="U192" s="644"/>
      <c r="Y192" s="4"/>
      <c r="Z192" s="644"/>
      <c r="AA192" s="4"/>
      <c r="AB192" s="4"/>
      <c r="AC192" s="4"/>
    </row>
    <row r="193" spans="1:49">
      <c r="A193" s="180"/>
      <c r="B193" s="229"/>
      <c r="C193" s="230"/>
      <c r="D193" s="230"/>
      <c r="E193" s="232"/>
      <c r="F193" s="232"/>
      <c r="G193" s="230"/>
      <c r="H193" s="232"/>
      <c r="I193" s="232"/>
      <c r="J193" s="232"/>
      <c r="K193" s="232"/>
      <c r="L193" s="230"/>
      <c r="M193" s="230"/>
      <c r="N193" s="230"/>
      <c r="O193" s="230"/>
      <c r="P193" s="232"/>
      <c r="Q193" s="230"/>
      <c r="R193" s="230"/>
      <c r="S193" s="230"/>
      <c r="T193" s="230"/>
      <c r="U193" s="232"/>
      <c r="V193" s="230"/>
      <c r="W193" s="230"/>
      <c r="X193" s="230"/>
      <c r="Y193" s="233"/>
      <c r="Z193" s="232"/>
      <c r="AA193" s="234"/>
      <c r="AB193" s="232"/>
      <c r="AC193" s="373"/>
      <c r="AD193" s="236"/>
      <c r="AE193" s="255"/>
      <c r="AF193" s="255"/>
      <c r="AG193" s="255"/>
      <c r="AH193" s="255"/>
      <c r="AJ193" s="255"/>
      <c r="AK193" s="255"/>
      <c r="AL193" s="255"/>
      <c r="AM193" s="255"/>
      <c r="AN193" s="255"/>
      <c r="AO193" s="255"/>
      <c r="AP193" s="255"/>
      <c r="AQ193" s="255"/>
      <c r="AR193" s="255"/>
      <c r="AS193" s="255"/>
      <c r="AT193" s="255"/>
      <c r="AU193" s="255"/>
      <c r="AV193" s="255"/>
      <c r="AW193" s="255"/>
    </row>
    <row r="194" spans="1:49">
      <c r="B194" s="180"/>
      <c r="E194" s="4"/>
      <c r="F194" s="644"/>
      <c r="G194" s="4"/>
      <c r="J194" s="4"/>
      <c r="K194" s="644"/>
      <c r="L194" s="4"/>
      <c r="O194" s="4"/>
      <c r="P194" s="644"/>
      <c r="T194" s="4"/>
      <c r="U194" s="644"/>
      <c r="Y194" s="4"/>
      <c r="Z194" s="644"/>
      <c r="AA194" s="4"/>
      <c r="AB194" s="4"/>
      <c r="AC194" s="4"/>
      <c r="AK194" s="180"/>
      <c r="AL194" s="180"/>
      <c r="AM194" s="180"/>
      <c r="AN194" s="180"/>
      <c r="AO194" s="180"/>
      <c r="AP194" s="180"/>
    </row>
    <row r="195" spans="1:49" ht="10.9" customHeight="1">
      <c r="A195" s="228"/>
      <c r="B195" s="1518" t="s">
        <v>18</v>
      </c>
      <c r="C195" s="1519">
        <v>45747</v>
      </c>
      <c r="D195" s="1519"/>
      <c r="E195" s="1519" t="s">
        <v>564</v>
      </c>
      <c r="F195" s="1519"/>
      <c r="G195" s="365"/>
      <c r="H195" s="1519">
        <v>45748</v>
      </c>
      <c r="I195" s="1519"/>
      <c r="J195" s="1519" t="s">
        <v>565</v>
      </c>
      <c r="K195" s="1519"/>
      <c r="L195" s="365"/>
      <c r="M195" s="1519">
        <v>45749</v>
      </c>
      <c r="N195" s="1519"/>
      <c r="O195" s="1519" t="s">
        <v>566</v>
      </c>
      <c r="P195" s="1519"/>
      <c r="Q195" s="365"/>
      <c r="R195" s="1519">
        <v>45750</v>
      </c>
      <c r="S195" s="1519"/>
      <c r="T195" s="1519" t="s">
        <v>567</v>
      </c>
      <c r="U195" s="1519"/>
      <c r="V195" s="365"/>
      <c r="W195" s="1519">
        <v>45751</v>
      </c>
      <c r="X195" s="1519"/>
      <c r="Y195" s="1519" t="s">
        <v>568</v>
      </c>
      <c r="Z195" s="1519"/>
      <c r="AA195" s="1517" t="s">
        <v>19</v>
      </c>
      <c r="AB195" s="1517" t="s">
        <v>20</v>
      </c>
      <c r="AC195" s="4"/>
      <c r="AD195" s="1519"/>
      <c r="AE195" s="1519"/>
      <c r="AF195" s="14" t="s">
        <v>1111</v>
      </c>
      <c r="AG195" s="1517" t="s">
        <v>21</v>
      </c>
      <c r="AI195" s="368"/>
      <c r="AK195" s="194" t="s">
        <v>84</v>
      </c>
      <c r="AL195" s="366"/>
      <c r="AM195" s="366"/>
      <c r="AN195" s="366"/>
      <c r="AO195" s="366"/>
      <c r="AP195" s="366"/>
    </row>
    <row r="196" spans="1:49">
      <c r="A196" s="180"/>
      <c r="B196" s="1518"/>
      <c r="C196" s="21" t="s">
        <v>23</v>
      </c>
      <c r="D196" s="21" t="s">
        <v>24</v>
      </c>
      <c r="E196" s="205" t="s">
        <v>25</v>
      </c>
      <c r="F196" s="645" t="s">
        <v>14</v>
      </c>
      <c r="G196" s="4"/>
      <c r="H196" s="21"/>
      <c r="I196" s="21" t="s">
        <v>24</v>
      </c>
      <c r="J196" s="18" t="s">
        <v>25</v>
      </c>
      <c r="K196" s="645" t="s">
        <v>14</v>
      </c>
      <c r="L196" s="4"/>
      <c r="M196" s="21" t="s">
        <v>23</v>
      </c>
      <c r="N196" s="21" t="s">
        <v>24</v>
      </c>
      <c r="O196" s="18" t="s">
        <v>25</v>
      </c>
      <c r="P196" s="645" t="s">
        <v>14</v>
      </c>
      <c r="R196" s="21" t="s">
        <v>23</v>
      </c>
      <c r="S196" s="21" t="s">
        <v>24</v>
      </c>
      <c r="T196" s="18" t="s">
        <v>25</v>
      </c>
      <c r="U196" s="645" t="s">
        <v>14</v>
      </c>
      <c r="W196" s="21" t="s">
        <v>23</v>
      </c>
      <c r="X196" s="21" t="s">
        <v>24</v>
      </c>
      <c r="Y196" s="18" t="s">
        <v>25</v>
      </c>
      <c r="Z196" s="645" t="s">
        <v>14</v>
      </c>
      <c r="AA196" s="1517"/>
      <c r="AB196" s="1517"/>
      <c r="AC196" s="4"/>
      <c r="AD196" s="21" t="s">
        <v>23</v>
      </c>
      <c r="AE196" s="21" t="s">
        <v>24</v>
      </c>
      <c r="AF196" s="18" t="s">
        <v>25</v>
      </c>
      <c r="AG196" s="1517"/>
      <c r="AI196" s="368"/>
      <c r="AJ196" s="367"/>
      <c r="AK196" s="188" t="s">
        <v>26</v>
      </c>
      <c r="AL196" s="196">
        <f>AA221</f>
        <v>560.79999999999995</v>
      </c>
      <c r="AM196" s="510">
        <v>40.31</v>
      </c>
      <c r="AN196" s="510">
        <f t="shared" ref="AN196:AN201" si="34">AL196*AM196</f>
        <v>22605.847999999998</v>
      </c>
      <c r="AQ196" s="367"/>
      <c r="AR196" s="367"/>
      <c r="AS196" s="367"/>
      <c r="AT196" s="367"/>
      <c r="AU196" s="367"/>
      <c r="AV196" s="367"/>
      <c r="AW196" s="367"/>
    </row>
    <row r="197" spans="1:49" ht="12.75" customHeight="1">
      <c r="A197" s="180"/>
      <c r="B197" s="4" t="s">
        <v>958</v>
      </c>
      <c r="C197" s="47"/>
      <c r="D197" s="47"/>
      <c r="E197" s="319">
        <v>0</v>
      </c>
      <c r="F197" s="646"/>
      <c r="G197" s="4"/>
      <c r="H197" s="47"/>
      <c r="I197" s="47"/>
      <c r="J197" s="319">
        <v>0</v>
      </c>
      <c r="K197" s="646"/>
      <c r="L197" s="4"/>
      <c r="M197" s="441" t="s">
        <v>76</v>
      </c>
      <c r="N197" s="47">
        <v>0.20833333333333334</v>
      </c>
      <c r="O197" s="319">
        <v>7.5</v>
      </c>
      <c r="P197" s="646"/>
      <c r="R197" s="47">
        <v>0.375</v>
      </c>
      <c r="S197" s="47">
        <v>0.20833333333333334</v>
      </c>
      <c r="T197" s="319">
        <v>7</v>
      </c>
      <c r="U197" s="646"/>
      <c r="W197" s="47"/>
      <c r="X197" s="47"/>
      <c r="Y197" s="319">
        <v>0</v>
      </c>
      <c r="Z197" s="646"/>
      <c r="AA197" s="328">
        <f t="shared" ref="AA197:AA220" si="35">(E197+J197+O197+T197+Y197)</f>
        <v>14.5</v>
      </c>
      <c r="AB197" s="298">
        <f t="shared" ref="AB197:AB220" si="36">Z197+U197+P197+K197+F197</f>
        <v>0</v>
      </c>
      <c r="AC197" s="4"/>
      <c r="AD197" s="587"/>
      <c r="AE197" s="531"/>
      <c r="AF197" s="319"/>
      <c r="AG197" s="328">
        <f t="shared" ref="AG197:AG220" si="37">AF197</f>
        <v>0</v>
      </c>
      <c r="AI197" s="368"/>
      <c r="AJ197" s="367"/>
      <c r="AK197" s="188" t="s">
        <v>30</v>
      </c>
      <c r="AL197" s="196">
        <f>AB221</f>
        <v>5.75</v>
      </c>
      <c r="AM197" s="511">
        <v>60.465000000000003</v>
      </c>
      <c r="AN197" s="510">
        <f t="shared" si="34"/>
        <v>347.67375000000004</v>
      </c>
      <c r="AQ197" s="367"/>
      <c r="AR197" s="367"/>
      <c r="AS197" s="367"/>
      <c r="AT197" s="367"/>
      <c r="AU197" s="367"/>
      <c r="AV197" s="367"/>
      <c r="AW197" s="367"/>
    </row>
    <row r="198" spans="1:49">
      <c r="A198" s="367"/>
      <c r="B198" s="47" t="s">
        <v>515</v>
      </c>
      <c r="C198" s="47">
        <v>0.33333333333333331</v>
      </c>
      <c r="D198" s="47">
        <v>0.20833333333333334</v>
      </c>
      <c r="E198" s="319">
        <v>8</v>
      </c>
      <c r="F198" s="646"/>
      <c r="G198" s="4"/>
      <c r="H198" s="47">
        <v>0.33333333333333331</v>
      </c>
      <c r="I198" s="47">
        <v>0.20833333333333334</v>
      </c>
      <c r="J198" s="319">
        <v>8</v>
      </c>
      <c r="K198" s="646"/>
      <c r="L198" s="4"/>
      <c r="M198" s="441" t="s">
        <v>75</v>
      </c>
      <c r="N198" s="47">
        <v>0.25</v>
      </c>
      <c r="O198" s="319">
        <v>8</v>
      </c>
      <c r="P198" s="646"/>
      <c r="R198" s="714"/>
      <c r="S198" s="714"/>
      <c r="T198" s="319">
        <v>0</v>
      </c>
      <c r="U198" s="646"/>
      <c r="W198" s="714"/>
      <c r="X198" s="714"/>
      <c r="Y198" s="319">
        <v>0</v>
      </c>
      <c r="Z198" s="646"/>
      <c r="AA198" s="328">
        <f t="shared" si="35"/>
        <v>24</v>
      </c>
      <c r="AB198" s="298">
        <f t="shared" si="36"/>
        <v>0</v>
      </c>
      <c r="AC198" s="4"/>
      <c r="AF198" s="319"/>
      <c r="AG198" s="328">
        <f t="shared" si="37"/>
        <v>0</v>
      </c>
      <c r="AH198" s="175"/>
      <c r="AI198" s="402"/>
      <c r="AJ198" s="367"/>
      <c r="AK198" s="188" t="s">
        <v>32</v>
      </c>
      <c r="AL198" s="196">
        <f>AG221</f>
        <v>0</v>
      </c>
      <c r="AM198" s="510">
        <v>60.465000000000003</v>
      </c>
      <c r="AN198" s="510">
        <f t="shared" si="34"/>
        <v>0</v>
      </c>
      <c r="AQ198" s="367"/>
      <c r="AR198" s="367"/>
      <c r="AS198" s="367"/>
      <c r="AT198" s="367"/>
      <c r="AU198" s="367"/>
      <c r="AV198" s="367"/>
      <c r="AW198" s="367"/>
    </row>
    <row r="199" spans="1:49">
      <c r="A199" s="367"/>
      <c r="B199" s="441" t="s">
        <v>962</v>
      </c>
      <c r="C199" s="47"/>
      <c r="D199" s="47"/>
      <c r="E199" s="319">
        <v>0</v>
      </c>
      <c r="F199" s="646"/>
      <c r="G199" s="4"/>
      <c r="H199" s="47"/>
      <c r="I199" s="47"/>
      <c r="J199" s="319">
        <v>0</v>
      </c>
      <c r="K199" s="646"/>
      <c r="L199" s="4"/>
      <c r="M199" s="441"/>
      <c r="N199" s="47"/>
      <c r="O199" s="319">
        <v>0</v>
      </c>
      <c r="P199" s="646"/>
      <c r="R199" s="47"/>
      <c r="S199" s="47"/>
      <c r="T199" s="319">
        <v>0</v>
      </c>
      <c r="U199" s="646"/>
      <c r="W199" s="47"/>
      <c r="X199" s="47"/>
      <c r="Y199" s="319">
        <v>0</v>
      </c>
      <c r="Z199" s="646"/>
      <c r="AA199" s="328">
        <f t="shared" si="35"/>
        <v>0</v>
      </c>
      <c r="AB199" s="298">
        <f t="shared" si="36"/>
        <v>0</v>
      </c>
      <c r="AC199" s="399"/>
      <c r="AD199" s="47"/>
      <c r="AE199" s="47"/>
      <c r="AF199" s="319"/>
      <c r="AG199" s="328">
        <f t="shared" si="37"/>
        <v>0</v>
      </c>
      <c r="AH199" s="175"/>
      <c r="AJ199" s="401"/>
      <c r="AK199" s="403" t="s">
        <v>213</v>
      </c>
      <c r="AL199" s="404">
        <f>AA223</f>
        <v>40</v>
      </c>
      <c r="AM199" s="510">
        <v>53.05</v>
      </c>
      <c r="AN199" s="510">
        <f t="shared" si="34"/>
        <v>2122</v>
      </c>
      <c r="AO199" s="405"/>
      <c r="AP199" s="405"/>
      <c r="AQ199" s="367"/>
      <c r="AR199" s="401"/>
      <c r="AS199" s="401"/>
      <c r="AT199" s="401"/>
      <c r="AU199" s="401"/>
      <c r="AV199" s="401"/>
      <c r="AW199" s="401"/>
    </row>
    <row r="200" spans="1:49">
      <c r="A200" s="367"/>
      <c r="B200" s="47" t="s">
        <v>1112</v>
      </c>
      <c r="C200" s="47">
        <v>0.33333333333333331</v>
      </c>
      <c r="D200" s="47">
        <v>0.20833333333333334</v>
      </c>
      <c r="E200" s="319">
        <v>8</v>
      </c>
      <c r="F200" s="646"/>
      <c r="G200" s="4"/>
      <c r="H200" s="47">
        <v>0.33333333333333331</v>
      </c>
      <c r="I200" s="47">
        <v>0.20833333333333334</v>
      </c>
      <c r="J200" s="319">
        <v>8</v>
      </c>
      <c r="K200" s="646"/>
      <c r="L200" s="4"/>
      <c r="M200" s="441" t="s">
        <v>75</v>
      </c>
      <c r="N200" s="47">
        <v>0.20833333333333334</v>
      </c>
      <c r="O200" s="319">
        <v>7</v>
      </c>
      <c r="P200" s="646"/>
      <c r="R200" s="47">
        <v>0.375</v>
      </c>
      <c r="S200" s="47">
        <v>0.20833333333333334</v>
      </c>
      <c r="T200" s="319">
        <v>7</v>
      </c>
      <c r="U200" s="646"/>
      <c r="W200" s="47">
        <v>0.35416666666666669</v>
      </c>
      <c r="X200" s="47">
        <v>0.22916666666666666</v>
      </c>
      <c r="Y200" s="319">
        <v>8</v>
      </c>
      <c r="Z200" s="646"/>
      <c r="AA200" s="328">
        <f t="shared" si="35"/>
        <v>38</v>
      </c>
      <c r="AB200" s="298">
        <f t="shared" si="36"/>
        <v>0</v>
      </c>
      <c r="AC200" s="4"/>
      <c r="AD200" s="47"/>
      <c r="AE200" s="47"/>
      <c r="AF200" s="319"/>
      <c r="AG200" s="328">
        <f t="shared" si="37"/>
        <v>0</v>
      </c>
      <c r="AH200" s="175"/>
      <c r="AI200" s="368"/>
      <c r="AK200" s="188" t="s">
        <v>36</v>
      </c>
      <c r="AL200" s="196">
        <f>AB223</f>
        <v>1.25</v>
      </c>
      <c r="AM200" s="510">
        <v>79.574999999999989</v>
      </c>
      <c r="AN200" s="510">
        <f t="shared" si="34"/>
        <v>99.468749999999986</v>
      </c>
      <c r="AQ200" s="367"/>
    </row>
    <row r="201" spans="1:49" s="4" customFormat="1">
      <c r="A201" s="180"/>
      <c r="B201" s="436" t="s">
        <v>972</v>
      </c>
      <c r="C201" s="47">
        <v>0.33333333333333331</v>
      </c>
      <c r="D201" s="47">
        <v>0.20833333333333334</v>
      </c>
      <c r="E201" s="319">
        <v>8</v>
      </c>
      <c r="F201" s="646"/>
      <c r="H201" s="47">
        <v>0.33333333333333331</v>
      </c>
      <c r="I201" s="47">
        <v>0.22916666666666666</v>
      </c>
      <c r="J201" s="319">
        <v>8</v>
      </c>
      <c r="K201" s="646">
        <v>0.5</v>
      </c>
      <c r="M201" s="441" t="s">
        <v>125</v>
      </c>
      <c r="N201" s="47">
        <v>0.20833333333333334</v>
      </c>
      <c r="O201" s="319">
        <v>8</v>
      </c>
      <c r="P201" s="646"/>
      <c r="R201" s="47">
        <v>0.20833333333333334</v>
      </c>
      <c r="S201" s="47">
        <v>0.20833333333333334</v>
      </c>
      <c r="T201" s="319">
        <v>8</v>
      </c>
      <c r="U201" s="646">
        <v>3</v>
      </c>
      <c r="W201" s="47">
        <v>0.33333333333333331</v>
      </c>
      <c r="X201" s="47">
        <v>0.20833333333333334</v>
      </c>
      <c r="Y201" s="319">
        <v>8</v>
      </c>
      <c r="Z201" s="646"/>
      <c r="AA201" s="328">
        <f t="shared" si="35"/>
        <v>40</v>
      </c>
      <c r="AB201" s="298">
        <f t="shared" si="36"/>
        <v>3.5</v>
      </c>
      <c r="AD201" s="47"/>
      <c r="AE201" s="47"/>
      <c r="AF201" s="319"/>
      <c r="AG201" s="328">
        <f t="shared" si="37"/>
        <v>0</v>
      </c>
      <c r="AI201" s="255"/>
      <c r="AJ201" s="180"/>
      <c r="AK201" s="188" t="s">
        <v>38</v>
      </c>
      <c r="AL201" s="196">
        <f>AG223</f>
        <v>0</v>
      </c>
      <c r="AM201" s="510">
        <v>79.574999999999989</v>
      </c>
      <c r="AN201" s="510">
        <f t="shared" si="34"/>
        <v>0</v>
      </c>
      <c r="AO201" s="193"/>
      <c r="AP201" s="193"/>
      <c r="AQ201" s="367"/>
      <c r="AR201" s="180"/>
      <c r="AS201" s="180"/>
      <c r="AT201" s="180"/>
      <c r="AU201" s="180"/>
      <c r="AV201" s="180"/>
      <c r="AW201" s="180"/>
    </row>
    <row r="202" spans="1:49" s="4" customFormat="1">
      <c r="A202" s="180"/>
      <c r="B202" s="47" t="s">
        <v>974</v>
      </c>
      <c r="C202" s="47">
        <v>0.33333333333333331</v>
      </c>
      <c r="D202" s="47">
        <v>0.20833333333333334</v>
      </c>
      <c r="E202" s="319">
        <v>8</v>
      </c>
      <c r="F202" s="646"/>
      <c r="H202" s="47">
        <v>0.33333333333333331</v>
      </c>
      <c r="I202" s="47">
        <v>0.20833333333333334</v>
      </c>
      <c r="J202" s="319">
        <v>8</v>
      </c>
      <c r="K202" s="646"/>
      <c r="M202" s="441" t="s">
        <v>125</v>
      </c>
      <c r="N202" s="47">
        <v>0.20833333333333334</v>
      </c>
      <c r="O202" s="319">
        <v>8</v>
      </c>
      <c r="P202" s="646"/>
      <c r="R202" s="47">
        <v>0.33333333333333331</v>
      </c>
      <c r="S202" s="47">
        <v>0.20833333333333334</v>
      </c>
      <c r="T202" s="319">
        <v>8</v>
      </c>
      <c r="U202" s="646"/>
      <c r="W202" s="47">
        <v>0.33333333333333331</v>
      </c>
      <c r="X202" s="47">
        <v>0.20833333333333334</v>
      </c>
      <c r="Y202" s="319">
        <v>8</v>
      </c>
      <c r="Z202" s="646"/>
      <c r="AA202" s="328">
        <f t="shared" si="35"/>
        <v>40</v>
      </c>
      <c r="AB202" s="298">
        <f t="shared" si="36"/>
        <v>0</v>
      </c>
      <c r="AD202" s="47"/>
      <c r="AE202" s="47"/>
      <c r="AF202" s="319"/>
      <c r="AG202" s="328">
        <f t="shared" si="37"/>
        <v>0</v>
      </c>
      <c r="AI202" s="255"/>
      <c r="AJ202" s="180"/>
      <c r="AK202" s="193"/>
      <c r="AL202" s="193"/>
      <c r="AM202" s="193"/>
      <c r="AN202" s="510">
        <f>SUM(AN196:AN201)</f>
        <v>25174.9905</v>
      </c>
      <c r="AO202" s="193"/>
      <c r="AP202" s="193"/>
      <c r="AQ202" s="180"/>
      <c r="AR202" s="180"/>
      <c r="AS202" s="180"/>
      <c r="AT202" s="180"/>
      <c r="AU202" s="180"/>
      <c r="AV202" s="180"/>
      <c r="AW202" s="180"/>
    </row>
    <row r="203" spans="1:49" s="4" customFormat="1">
      <c r="A203" s="180"/>
      <c r="B203" s="374" t="s">
        <v>998</v>
      </c>
      <c r="C203" s="47">
        <v>0.33333333333333331</v>
      </c>
      <c r="D203" s="47">
        <v>0.20833333333333334</v>
      </c>
      <c r="E203" s="319">
        <v>8</v>
      </c>
      <c r="F203" s="646"/>
      <c r="H203" s="47">
        <v>0.33333333333333331</v>
      </c>
      <c r="I203" s="47">
        <v>0.20833333333333334</v>
      </c>
      <c r="J203" s="319">
        <v>8</v>
      </c>
      <c r="K203" s="646"/>
      <c r="M203" s="441" t="s">
        <v>125</v>
      </c>
      <c r="N203" s="47">
        <v>0.20833333333333334</v>
      </c>
      <c r="O203" s="319">
        <v>8</v>
      </c>
      <c r="P203" s="646"/>
      <c r="R203" s="47">
        <v>0.33333333333333331</v>
      </c>
      <c r="S203" s="47">
        <v>0.20833333333333334</v>
      </c>
      <c r="T203" s="319">
        <v>8</v>
      </c>
      <c r="U203" s="646"/>
      <c r="W203" s="47">
        <v>0.33333333333333331</v>
      </c>
      <c r="X203" s="47">
        <v>0.20833333333333334</v>
      </c>
      <c r="Y203" s="319">
        <v>8</v>
      </c>
      <c r="Z203" s="646"/>
      <c r="AA203" s="328">
        <f t="shared" si="35"/>
        <v>40</v>
      </c>
      <c r="AB203" s="298">
        <f t="shared" si="36"/>
        <v>0</v>
      </c>
      <c r="AD203" s="47"/>
      <c r="AE203" s="47"/>
      <c r="AF203" s="319"/>
      <c r="AG203" s="328">
        <f t="shared" si="37"/>
        <v>0</v>
      </c>
      <c r="AI203" s="255"/>
      <c r="AJ203" s="180"/>
      <c r="AK203" s="193"/>
      <c r="AL203" s="193"/>
      <c r="AM203" s="193"/>
      <c r="AN203" s="193"/>
      <c r="AO203" s="193"/>
      <c r="AP203" s="193"/>
      <c r="AQ203" s="180"/>
      <c r="AR203" s="180"/>
      <c r="AS203" s="180"/>
      <c r="AT203" s="180"/>
      <c r="AU203" s="180"/>
      <c r="AV203" s="180"/>
      <c r="AW203" s="180"/>
    </row>
    <row r="204" spans="1:49" s="4" customFormat="1">
      <c r="A204" s="180"/>
      <c r="B204" s="47" t="s">
        <v>977</v>
      </c>
      <c r="C204" s="47">
        <v>0.33333333333333331</v>
      </c>
      <c r="D204" s="47">
        <v>0.20833333333333334</v>
      </c>
      <c r="E204" s="319">
        <v>8</v>
      </c>
      <c r="F204" s="646"/>
      <c r="H204" s="47">
        <v>0.33333333333333331</v>
      </c>
      <c r="I204" s="47">
        <v>0.20833333333333334</v>
      </c>
      <c r="J204" s="319">
        <v>8</v>
      </c>
      <c r="K204" s="646"/>
      <c r="M204" s="441" t="s">
        <v>125</v>
      </c>
      <c r="N204" s="47">
        <v>0.20833333333333334</v>
      </c>
      <c r="O204" s="319">
        <v>8</v>
      </c>
      <c r="P204" s="646"/>
      <c r="R204" s="47">
        <v>0.33333333333333331</v>
      </c>
      <c r="S204" s="47">
        <v>0.20833333333333334</v>
      </c>
      <c r="T204" s="319">
        <v>8</v>
      </c>
      <c r="U204" s="646"/>
      <c r="W204" s="47">
        <v>0.33333333333333331</v>
      </c>
      <c r="X204" s="47">
        <v>0.20833333333333334</v>
      </c>
      <c r="Y204" s="319">
        <v>8</v>
      </c>
      <c r="Z204" s="646"/>
      <c r="AA204" s="328">
        <f t="shared" si="35"/>
        <v>40</v>
      </c>
      <c r="AB204" s="298">
        <f t="shared" si="36"/>
        <v>0</v>
      </c>
      <c r="AD204" s="47"/>
      <c r="AE204" s="47"/>
      <c r="AF204" s="319"/>
      <c r="AG204" s="328">
        <f t="shared" si="37"/>
        <v>0</v>
      </c>
      <c r="AI204" s="255"/>
      <c r="AJ204" s="180"/>
      <c r="AK204" s="192" t="s">
        <v>1115</v>
      </c>
      <c r="AL204" s="193"/>
      <c r="AM204" s="193">
        <f>C224</f>
        <v>47</v>
      </c>
      <c r="AN204" s="193"/>
      <c r="AO204" s="193"/>
      <c r="AP204" s="193"/>
      <c r="AQ204" s="180"/>
      <c r="AR204" s="180"/>
      <c r="AS204" s="180"/>
      <c r="AT204" s="180"/>
      <c r="AU204" s="180"/>
      <c r="AV204" s="180"/>
      <c r="AW204" s="180"/>
    </row>
    <row r="205" spans="1:49" s="4" customFormat="1">
      <c r="A205" s="180"/>
      <c r="B205" s="47" t="s">
        <v>519</v>
      </c>
      <c r="C205" s="47">
        <v>0.33333333333333331</v>
      </c>
      <c r="D205" s="47">
        <v>0.20833333333333334</v>
      </c>
      <c r="E205" s="319">
        <v>8</v>
      </c>
      <c r="F205" s="646"/>
      <c r="H205" s="47">
        <v>0.33333333333333331</v>
      </c>
      <c r="I205" s="47">
        <v>0.20833333333333334</v>
      </c>
      <c r="J205" s="319">
        <v>8</v>
      </c>
      <c r="K205" s="646"/>
      <c r="M205" s="441" t="s">
        <v>125</v>
      </c>
      <c r="N205" s="47">
        <v>0.20833333333333334</v>
      </c>
      <c r="O205" s="319">
        <v>8</v>
      </c>
      <c r="P205" s="646"/>
      <c r="R205" s="441" t="s">
        <v>125</v>
      </c>
      <c r="S205" s="47">
        <v>0.20833333333333334</v>
      </c>
      <c r="T205" s="319">
        <v>8</v>
      </c>
      <c r="U205" s="646"/>
      <c r="W205" s="441" t="s">
        <v>125</v>
      </c>
      <c r="X205" s="47">
        <v>0.20833333333333334</v>
      </c>
      <c r="Y205" s="319">
        <v>8</v>
      </c>
      <c r="Z205" s="646"/>
      <c r="AA205" s="328">
        <f t="shared" si="35"/>
        <v>40</v>
      </c>
      <c r="AB205" s="298">
        <f t="shared" si="36"/>
        <v>0</v>
      </c>
      <c r="AD205" s="47"/>
      <c r="AE205" s="47"/>
      <c r="AF205" s="319"/>
      <c r="AG205" s="328">
        <f t="shared" si="37"/>
        <v>0</v>
      </c>
      <c r="AI205" s="255"/>
      <c r="AJ205" s="180"/>
      <c r="AK205" s="193"/>
      <c r="AL205" s="193"/>
      <c r="AM205" s="193"/>
      <c r="AN205" s="193"/>
      <c r="AO205" s="193"/>
      <c r="AP205" s="193"/>
      <c r="AQ205" s="180"/>
      <c r="AR205" s="180"/>
      <c r="AS205" s="180"/>
      <c r="AT205" s="180"/>
      <c r="AU205" s="180"/>
      <c r="AV205" s="180"/>
      <c r="AW205" s="180"/>
    </row>
    <row r="206" spans="1:49" s="4" customFormat="1">
      <c r="A206" s="180"/>
      <c r="B206" s="47" t="s">
        <v>999</v>
      </c>
      <c r="C206" s="47">
        <v>0.33333333333333331</v>
      </c>
      <c r="D206" s="47">
        <v>0.20833333333333334</v>
      </c>
      <c r="E206" s="319">
        <v>8</v>
      </c>
      <c r="F206" s="646"/>
      <c r="H206" s="47">
        <v>0.33333333333333331</v>
      </c>
      <c r="I206" s="47">
        <v>0.20833333333333334</v>
      </c>
      <c r="J206" s="319">
        <v>8</v>
      </c>
      <c r="K206" s="646"/>
      <c r="M206" s="441" t="s">
        <v>125</v>
      </c>
      <c r="N206" s="47">
        <v>0.20833333333333334</v>
      </c>
      <c r="O206" s="319">
        <v>8</v>
      </c>
      <c r="P206" s="646"/>
      <c r="R206" s="441" t="s">
        <v>125</v>
      </c>
      <c r="S206" s="441" t="s">
        <v>136</v>
      </c>
      <c r="T206" s="319">
        <v>8</v>
      </c>
      <c r="U206" s="646"/>
      <c r="W206" s="441"/>
      <c r="X206" s="441" t="s">
        <v>137</v>
      </c>
      <c r="Y206" s="319">
        <v>0</v>
      </c>
      <c r="Z206" s="646"/>
      <c r="AA206" s="328">
        <f t="shared" si="35"/>
        <v>32</v>
      </c>
      <c r="AB206" s="298">
        <f t="shared" si="36"/>
        <v>0</v>
      </c>
      <c r="AD206" s="47"/>
      <c r="AE206" s="47"/>
      <c r="AF206" s="319"/>
      <c r="AG206" s="328">
        <f t="shared" si="37"/>
        <v>0</v>
      </c>
      <c r="AI206" s="255"/>
      <c r="AJ206" s="180"/>
      <c r="AK206" s="193"/>
      <c r="AL206" s="193"/>
      <c r="AM206" s="193"/>
      <c r="AN206" s="193"/>
      <c r="AO206" s="193"/>
      <c r="AP206" s="193"/>
      <c r="AQ206" s="180"/>
      <c r="AR206" s="180"/>
      <c r="AS206" s="180"/>
      <c r="AT206" s="180"/>
      <c r="AU206" s="180"/>
      <c r="AV206" s="180"/>
      <c r="AW206" s="180"/>
    </row>
    <row r="207" spans="1:49" s="4" customFormat="1">
      <c r="A207" s="180"/>
      <c r="B207" s="47" t="s">
        <v>1113</v>
      </c>
      <c r="C207" s="47"/>
      <c r="D207" s="47"/>
      <c r="E207" s="319">
        <v>0</v>
      </c>
      <c r="F207" s="646"/>
      <c r="H207" s="326"/>
      <c r="I207" s="326"/>
      <c r="J207" s="544">
        <v>0</v>
      </c>
      <c r="K207" s="646"/>
      <c r="M207" s="719"/>
      <c r="N207" s="326"/>
      <c r="O207" s="544">
        <v>0</v>
      </c>
      <c r="P207" s="646"/>
      <c r="R207" s="441"/>
      <c r="S207" s="47"/>
      <c r="T207" s="319">
        <v>0</v>
      </c>
      <c r="U207" s="646"/>
      <c r="W207" s="441"/>
      <c r="X207" s="47"/>
      <c r="Y207" s="319">
        <v>0</v>
      </c>
      <c r="Z207" s="646"/>
      <c r="AA207" s="328">
        <f t="shared" si="35"/>
        <v>0</v>
      </c>
      <c r="AB207" s="298">
        <f t="shared" si="36"/>
        <v>0</v>
      </c>
      <c r="AD207" s="47"/>
      <c r="AE207" s="47"/>
      <c r="AF207" s="319"/>
      <c r="AG207" s="328">
        <f t="shared" si="37"/>
        <v>0</v>
      </c>
      <c r="AI207" s="255"/>
      <c r="AJ207" s="180"/>
      <c r="AK207" s="193"/>
      <c r="AL207" s="193"/>
      <c r="AM207" s="193"/>
      <c r="AN207" s="193"/>
      <c r="AO207" s="193"/>
      <c r="AP207" s="193"/>
      <c r="AQ207" s="180"/>
      <c r="AR207" s="180"/>
      <c r="AS207" s="180"/>
      <c r="AT207" s="180"/>
      <c r="AU207" s="180"/>
      <c r="AV207" s="180"/>
      <c r="AW207" s="180"/>
    </row>
    <row r="208" spans="1:49" s="4" customFormat="1">
      <c r="A208" s="180"/>
      <c r="B208" s="502" t="s">
        <v>483</v>
      </c>
      <c r="C208" s="47"/>
      <c r="D208" s="47"/>
      <c r="E208" s="319"/>
      <c r="F208" s="646"/>
      <c r="H208" s="47"/>
      <c r="I208" s="47"/>
      <c r="J208" s="319"/>
      <c r="K208" s="646"/>
      <c r="M208" s="441"/>
      <c r="N208" s="47"/>
      <c r="O208" s="319"/>
      <c r="P208" s="646"/>
      <c r="R208" s="5"/>
      <c r="S208" s="5"/>
      <c r="T208" s="319"/>
      <c r="U208" s="646"/>
      <c r="W208" s="5"/>
      <c r="X208" s="5"/>
      <c r="Y208" s="319"/>
      <c r="Z208" s="646"/>
      <c r="AA208" s="328">
        <f t="shared" si="35"/>
        <v>0</v>
      </c>
      <c r="AB208" s="298">
        <f t="shared" si="36"/>
        <v>0</v>
      </c>
      <c r="AD208" s="47"/>
      <c r="AE208" s="47"/>
      <c r="AF208" s="319"/>
      <c r="AG208" s="328">
        <f t="shared" si="37"/>
        <v>0</v>
      </c>
      <c r="AI208" s="255"/>
      <c r="AJ208" s="180"/>
      <c r="AK208" s="193"/>
      <c r="AL208" s="193"/>
      <c r="AM208" s="193"/>
      <c r="AN208" s="193"/>
      <c r="AO208" s="193"/>
      <c r="AP208" s="193"/>
      <c r="AQ208" s="180"/>
      <c r="AR208" s="180"/>
      <c r="AS208" s="180"/>
      <c r="AT208" s="180"/>
      <c r="AU208" s="180"/>
      <c r="AV208" s="180"/>
      <c r="AW208" s="180"/>
    </row>
    <row r="209" spans="1:49" s="4" customFormat="1">
      <c r="A209" s="180"/>
      <c r="B209" s="502" t="s">
        <v>483</v>
      </c>
      <c r="C209" s="47"/>
      <c r="D209" s="47"/>
      <c r="E209" s="319">
        <v>8</v>
      </c>
      <c r="F209" s="646"/>
      <c r="H209" s="47"/>
      <c r="I209" s="47"/>
      <c r="J209" s="319">
        <v>8</v>
      </c>
      <c r="K209" s="646">
        <v>0.75</v>
      </c>
      <c r="M209" s="441"/>
      <c r="N209" s="47"/>
      <c r="O209" s="319">
        <v>8</v>
      </c>
      <c r="P209" s="646"/>
      <c r="R209" s="47"/>
      <c r="S209" s="47"/>
      <c r="T209" s="319">
        <v>8</v>
      </c>
      <c r="U209" s="646"/>
      <c r="W209" s="47"/>
      <c r="X209" s="47"/>
      <c r="Y209" s="319">
        <v>8</v>
      </c>
      <c r="Z209" s="646"/>
      <c r="AA209" s="328">
        <f t="shared" si="35"/>
        <v>40</v>
      </c>
      <c r="AB209" s="298">
        <f t="shared" si="36"/>
        <v>0.75</v>
      </c>
      <c r="AD209" s="47"/>
      <c r="AE209" s="47"/>
      <c r="AF209" s="319"/>
      <c r="AG209" s="328">
        <f t="shared" si="37"/>
        <v>0</v>
      </c>
      <c r="AI209" s="255"/>
      <c r="AJ209" s="180"/>
      <c r="AK209" s="193"/>
      <c r="AL209" s="193"/>
      <c r="AM209" s="193"/>
      <c r="AN209" s="193"/>
      <c r="AO209" s="193"/>
      <c r="AP209" s="193"/>
      <c r="AQ209" s="180"/>
      <c r="AR209" s="180"/>
      <c r="AS209" s="180"/>
      <c r="AT209" s="180"/>
      <c r="AU209" s="180"/>
      <c r="AV209" s="180"/>
      <c r="AW209" s="180"/>
    </row>
    <row r="210" spans="1:49" s="4" customFormat="1">
      <c r="A210" s="180"/>
      <c r="B210" s="502" t="s">
        <v>484</v>
      </c>
      <c r="C210" s="47"/>
      <c r="D210" s="47"/>
      <c r="E210" s="319">
        <v>8</v>
      </c>
      <c r="F210" s="646"/>
      <c r="H210" s="47"/>
      <c r="I210" s="47"/>
      <c r="J210" s="319">
        <v>8</v>
      </c>
      <c r="K210" s="646">
        <v>0.75</v>
      </c>
      <c r="M210" s="441"/>
      <c r="N210" s="47"/>
      <c r="O210" s="319">
        <v>8</v>
      </c>
      <c r="P210" s="646"/>
      <c r="R210" s="47"/>
      <c r="S210" s="47"/>
      <c r="T210" s="319">
        <v>8</v>
      </c>
      <c r="U210" s="646"/>
      <c r="W210" s="47"/>
      <c r="X210" s="47"/>
      <c r="Y210" s="319">
        <v>8</v>
      </c>
      <c r="Z210" s="646"/>
      <c r="AA210" s="328">
        <f t="shared" si="35"/>
        <v>40</v>
      </c>
      <c r="AB210" s="298">
        <f t="shared" si="36"/>
        <v>0.75</v>
      </c>
      <c r="AD210" s="47"/>
      <c r="AE210" s="47"/>
      <c r="AF210" s="319"/>
      <c r="AG210" s="328">
        <f t="shared" si="37"/>
        <v>0</v>
      </c>
      <c r="AI210" s="255"/>
      <c r="AJ210" s="180"/>
      <c r="AK210" s="193"/>
      <c r="AL210" s="193"/>
      <c r="AM210" s="193"/>
      <c r="AN210" s="193"/>
      <c r="AO210" s="193"/>
      <c r="AP210" s="193"/>
      <c r="AQ210" s="180"/>
      <c r="AR210" s="180"/>
      <c r="AS210" s="180"/>
      <c r="AT210" s="180"/>
      <c r="AU210" s="180"/>
      <c r="AV210" s="180"/>
      <c r="AW210" s="180"/>
    </row>
    <row r="211" spans="1:49" s="4" customFormat="1">
      <c r="A211" s="180"/>
      <c r="B211" s="502" t="s">
        <v>485</v>
      </c>
      <c r="C211" s="47"/>
      <c r="D211" s="47"/>
      <c r="E211" s="319">
        <v>8</v>
      </c>
      <c r="F211" s="646"/>
      <c r="H211" s="47"/>
      <c r="I211" s="47"/>
      <c r="J211" s="319">
        <v>8</v>
      </c>
      <c r="K211" s="646">
        <v>0.75</v>
      </c>
      <c r="M211" s="47"/>
      <c r="N211" s="47"/>
      <c r="O211" s="319">
        <v>8</v>
      </c>
      <c r="P211" s="646"/>
      <c r="R211" s="47"/>
      <c r="S211" s="47"/>
      <c r="T211" s="319">
        <v>8</v>
      </c>
      <c r="U211" s="646"/>
      <c r="W211" s="47"/>
      <c r="X211" s="47"/>
      <c r="Y211" s="319">
        <v>8</v>
      </c>
      <c r="Z211" s="646"/>
      <c r="AA211" s="328">
        <f t="shared" si="35"/>
        <v>40</v>
      </c>
      <c r="AB211" s="298">
        <f t="shared" si="36"/>
        <v>0.75</v>
      </c>
      <c r="AD211" s="47"/>
      <c r="AE211" s="47"/>
      <c r="AF211" s="319"/>
      <c r="AG211" s="328">
        <f t="shared" si="37"/>
        <v>0</v>
      </c>
      <c r="AI211" s="255"/>
      <c r="AJ211" s="180"/>
      <c r="AK211" s="193"/>
      <c r="AL211" s="193"/>
      <c r="AM211" s="193"/>
      <c r="AN211" s="193"/>
      <c r="AO211" s="193"/>
      <c r="AP211" s="193"/>
      <c r="AQ211" s="180"/>
      <c r="AR211" s="180"/>
      <c r="AS211" s="180"/>
      <c r="AT211" s="180"/>
      <c r="AU211" s="180"/>
      <c r="AV211" s="180"/>
      <c r="AW211" s="180"/>
    </row>
    <row r="212" spans="1:49" s="4" customFormat="1">
      <c r="A212" s="180"/>
      <c r="B212" s="502" t="s">
        <v>486</v>
      </c>
      <c r="C212" s="47"/>
      <c r="D212" s="47"/>
      <c r="E212" s="319"/>
      <c r="F212" s="646"/>
      <c r="H212" s="47"/>
      <c r="I212" s="47"/>
      <c r="J212" s="319"/>
      <c r="K212" s="646"/>
      <c r="M212" s="5"/>
      <c r="N212" s="5"/>
      <c r="O212" s="319"/>
      <c r="P212" s="646"/>
      <c r="R212" s="5"/>
      <c r="S212" s="5"/>
      <c r="T212" s="319"/>
      <c r="U212" s="646"/>
      <c r="W212" s="5"/>
      <c r="X212" s="5"/>
      <c r="Y212" s="319"/>
      <c r="Z212" s="646"/>
      <c r="AA212" s="328">
        <f t="shared" si="35"/>
        <v>0</v>
      </c>
      <c r="AB212" s="298">
        <f t="shared" si="36"/>
        <v>0</v>
      </c>
      <c r="AD212" s="47"/>
      <c r="AE212" s="47"/>
      <c r="AF212" s="319"/>
      <c r="AG212" s="328">
        <f t="shared" si="37"/>
        <v>0</v>
      </c>
      <c r="AI212" s="255"/>
      <c r="AJ212" s="180"/>
      <c r="AK212" s="193"/>
      <c r="AL212" s="193"/>
      <c r="AM212" s="193"/>
      <c r="AN212" s="193"/>
      <c r="AO212" s="193"/>
      <c r="AP212" s="193"/>
      <c r="AQ212" s="180"/>
      <c r="AR212" s="180"/>
      <c r="AS212" s="180"/>
      <c r="AT212" s="180"/>
      <c r="AU212" s="180"/>
      <c r="AV212" s="180"/>
      <c r="AW212" s="180"/>
    </row>
    <row r="213" spans="1:49" s="4" customFormat="1">
      <c r="A213" s="180"/>
      <c r="B213" s="63" t="s">
        <v>1116</v>
      </c>
      <c r="C213" s="47"/>
      <c r="D213" s="47"/>
      <c r="E213" s="319">
        <v>8</v>
      </c>
      <c r="F213" s="646"/>
      <c r="H213" s="47"/>
      <c r="I213" s="47"/>
      <c r="J213" s="319">
        <v>8</v>
      </c>
      <c r="K213" s="646"/>
      <c r="M213" s="47"/>
      <c r="N213" s="47"/>
      <c r="O213" s="319">
        <v>8</v>
      </c>
      <c r="P213" s="646"/>
      <c r="R213" s="663"/>
      <c r="S213" s="663"/>
      <c r="T213" s="319">
        <v>8</v>
      </c>
      <c r="U213" s="646"/>
      <c r="W213" s="663"/>
      <c r="X213" s="663"/>
      <c r="Y213" s="319">
        <v>8</v>
      </c>
      <c r="Z213" s="646"/>
      <c r="AA213" s="328">
        <f t="shared" si="35"/>
        <v>40</v>
      </c>
      <c r="AB213" s="298">
        <f t="shared" si="36"/>
        <v>0</v>
      </c>
      <c r="AD213" s="47"/>
      <c r="AE213" s="47"/>
      <c r="AF213" s="319"/>
      <c r="AG213" s="328">
        <f t="shared" si="37"/>
        <v>0</v>
      </c>
      <c r="AI213" s="255"/>
      <c r="AJ213" s="180"/>
      <c r="AK213" s="193"/>
      <c r="AL213" s="193"/>
      <c r="AM213" s="193"/>
      <c r="AN213" s="193"/>
      <c r="AO213" s="193"/>
      <c r="AP213" s="193"/>
      <c r="AQ213" s="180"/>
      <c r="AR213" s="180"/>
      <c r="AS213" s="180"/>
      <c r="AT213" s="180"/>
      <c r="AU213" s="180"/>
      <c r="AV213" s="180"/>
      <c r="AW213" s="180"/>
    </row>
    <row r="214" spans="1:49" s="4" customFormat="1">
      <c r="A214" s="180"/>
      <c r="B214" s="267" t="s">
        <v>358</v>
      </c>
      <c r="C214" s="47"/>
      <c r="D214" s="47" t="s">
        <v>137</v>
      </c>
      <c r="E214" s="319"/>
      <c r="F214" s="646"/>
      <c r="H214" s="47"/>
      <c r="I214" s="47" t="s">
        <v>137</v>
      </c>
      <c r="J214" s="319"/>
      <c r="K214" s="646"/>
      <c r="L214" s="438"/>
      <c r="M214" s="663"/>
      <c r="N214" s="47" t="s">
        <v>137</v>
      </c>
      <c r="O214" s="319"/>
      <c r="P214" s="646"/>
      <c r="Q214" s="438"/>
      <c r="R214" s="663"/>
      <c r="S214" s="47" t="s">
        <v>137</v>
      </c>
      <c r="T214" s="319"/>
      <c r="U214" s="646"/>
      <c r="V214" s="438"/>
      <c r="W214" s="663"/>
      <c r="X214" s="47" t="s">
        <v>137</v>
      </c>
      <c r="Y214" s="319"/>
      <c r="Z214" s="646"/>
      <c r="AA214" s="328">
        <f t="shared" si="35"/>
        <v>0</v>
      </c>
      <c r="AB214" s="298">
        <f t="shared" si="36"/>
        <v>0</v>
      </c>
      <c r="AD214" s="47"/>
      <c r="AE214" s="47"/>
      <c r="AF214" s="319"/>
      <c r="AG214" s="328">
        <f t="shared" si="37"/>
        <v>0</v>
      </c>
      <c r="AI214" s="255"/>
      <c r="AJ214" s="180"/>
      <c r="AK214" s="193"/>
      <c r="AL214" s="193"/>
      <c r="AM214" s="193"/>
      <c r="AN214" s="193"/>
      <c r="AO214" s="193"/>
      <c r="AP214" s="193"/>
      <c r="AQ214" s="180"/>
      <c r="AR214" s="180"/>
      <c r="AS214" s="180"/>
      <c r="AT214" s="180"/>
      <c r="AU214" s="180"/>
      <c r="AV214" s="180"/>
      <c r="AW214" s="180"/>
    </row>
    <row r="215" spans="1:49" s="193" customFormat="1">
      <c r="A215" s="180"/>
      <c r="B215" s="267" t="s">
        <v>991</v>
      </c>
      <c r="C215" s="47"/>
      <c r="D215" s="47"/>
      <c r="E215" s="319"/>
      <c r="F215" s="646"/>
      <c r="G215" s="4"/>
      <c r="H215" s="47"/>
      <c r="I215" s="47"/>
      <c r="J215" s="319"/>
      <c r="K215" s="646"/>
      <c r="L215" s="438"/>
      <c r="M215" s="5"/>
      <c r="N215" s="5"/>
      <c r="O215" s="319"/>
      <c r="P215" s="646"/>
      <c r="Q215" s="438"/>
      <c r="R215" s="5"/>
      <c r="S215" s="5"/>
      <c r="T215" s="319"/>
      <c r="U215" s="646"/>
      <c r="V215" s="438"/>
      <c r="W215" s="5"/>
      <c r="X215" s="5"/>
      <c r="Y215" s="319"/>
      <c r="Z215" s="646"/>
      <c r="AA215" s="328">
        <f t="shared" si="35"/>
        <v>0</v>
      </c>
      <c r="AB215" s="298">
        <f t="shared" si="36"/>
        <v>0</v>
      </c>
      <c r="AC215" s="4"/>
      <c r="AD215" s="47"/>
      <c r="AE215" s="47"/>
      <c r="AF215" s="319"/>
      <c r="AG215" s="328">
        <f t="shared" si="37"/>
        <v>0</v>
      </c>
      <c r="AH215" s="4"/>
      <c r="AI215" s="255"/>
      <c r="AJ215" s="180"/>
      <c r="AQ215" s="180"/>
      <c r="AR215" s="180"/>
      <c r="AS215" s="180"/>
      <c r="AT215" s="180"/>
      <c r="AU215" s="180"/>
      <c r="AV215" s="180"/>
      <c r="AW215" s="180"/>
    </row>
    <row r="216" spans="1:49" s="193" customFormat="1">
      <c r="A216" s="180"/>
      <c r="B216" s="267" t="s">
        <v>411</v>
      </c>
      <c r="C216" s="47"/>
      <c r="D216" s="47"/>
      <c r="E216" s="319"/>
      <c r="F216" s="646"/>
      <c r="G216" s="4"/>
      <c r="H216" s="47"/>
      <c r="I216" s="47"/>
      <c r="J216" s="319"/>
      <c r="K216" s="646"/>
      <c r="L216" s="438"/>
      <c r="M216" s="5"/>
      <c r="N216" s="5"/>
      <c r="O216" s="319"/>
      <c r="P216" s="646"/>
      <c r="Q216" s="438"/>
      <c r="R216" s="5"/>
      <c r="S216" s="5"/>
      <c r="T216" s="319"/>
      <c r="U216" s="646"/>
      <c r="V216" s="438"/>
      <c r="W216" s="5"/>
      <c r="X216" s="5"/>
      <c r="Y216" s="319"/>
      <c r="Z216" s="646"/>
      <c r="AA216" s="328">
        <f t="shared" si="35"/>
        <v>0</v>
      </c>
      <c r="AB216" s="298">
        <f t="shared" si="36"/>
        <v>0</v>
      </c>
      <c r="AC216" s="4"/>
      <c r="AD216" s="47"/>
      <c r="AE216" s="47"/>
      <c r="AF216" s="319"/>
      <c r="AG216" s="328">
        <f t="shared" si="37"/>
        <v>0</v>
      </c>
      <c r="AH216" s="4"/>
      <c r="AI216" s="255"/>
      <c r="AJ216" s="180"/>
      <c r="AQ216" s="180"/>
      <c r="AR216" s="180"/>
      <c r="AS216" s="180"/>
      <c r="AT216" s="180"/>
      <c r="AU216" s="180"/>
      <c r="AV216" s="180"/>
      <c r="AW216" s="180"/>
    </row>
    <row r="217" spans="1:49" s="193" customFormat="1">
      <c r="A217" s="180"/>
      <c r="B217" s="267" t="s">
        <v>361</v>
      </c>
      <c r="C217" s="47"/>
      <c r="D217" s="47"/>
      <c r="E217" s="319"/>
      <c r="F217" s="646"/>
      <c r="G217" s="4"/>
      <c r="H217" s="47"/>
      <c r="I217" s="47"/>
      <c r="J217" s="319"/>
      <c r="K217" s="646"/>
      <c r="L217" s="438"/>
      <c r="M217" s="5"/>
      <c r="N217" s="5"/>
      <c r="O217" s="319"/>
      <c r="P217" s="646"/>
      <c r="Q217" s="438"/>
      <c r="R217" s="5"/>
      <c r="S217" s="5"/>
      <c r="T217" s="319"/>
      <c r="U217" s="646"/>
      <c r="V217" s="438"/>
      <c r="W217" s="5"/>
      <c r="X217" s="5"/>
      <c r="Y217" s="319"/>
      <c r="Z217" s="646"/>
      <c r="AA217" s="328">
        <f t="shared" si="35"/>
        <v>0</v>
      </c>
      <c r="AB217" s="298">
        <f t="shared" si="36"/>
        <v>0</v>
      </c>
      <c r="AC217" s="4"/>
      <c r="AD217" s="47"/>
      <c r="AE217" s="47"/>
      <c r="AF217" s="319"/>
      <c r="AG217" s="328">
        <f t="shared" si="37"/>
        <v>0</v>
      </c>
      <c r="AH217" s="4"/>
      <c r="AI217" s="255"/>
      <c r="AJ217" s="180"/>
      <c r="AQ217" s="180"/>
      <c r="AR217" s="180"/>
      <c r="AS217" s="180"/>
      <c r="AT217" s="180"/>
      <c r="AU217" s="180"/>
      <c r="AV217" s="180"/>
      <c r="AW217" s="180"/>
    </row>
    <row r="218" spans="1:49" s="193" customFormat="1">
      <c r="A218" s="180"/>
      <c r="B218" s="267" t="s">
        <v>362</v>
      </c>
      <c r="C218" s="47"/>
      <c r="D218" s="47"/>
      <c r="E218" s="319">
        <v>6</v>
      </c>
      <c r="F218" s="646"/>
      <c r="G218" s="4"/>
      <c r="H218" s="47"/>
      <c r="I218" s="47"/>
      <c r="J218" s="319">
        <v>6</v>
      </c>
      <c r="K218" s="646"/>
      <c r="L218" s="438"/>
      <c r="M218" s="47"/>
      <c r="N218" s="47"/>
      <c r="O218" s="319">
        <v>6</v>
      </c>
      <c r="P218" s="646"/>
      <c r="Q218" s="438"/>
      <c r="R218" s="47"/>
      <c r="S218" s="47"/>
      <c r="T218" s="319">
        <v>6</v>
      </c>
      <c r="U218" s="646"/>
      <c r="V218" s="438"/>
      <c r="W218" s="5"/>
      <c r="X218" s="5"/>
      <c r="Y218" s="319">
        <v>6</v>
      </c>
      <c r="Z218" s="646"/>
      <c r="AA218" s="328">
        <f t="shared" si="35"/>
        <v>30</v>
      </c>
      <c r="AB218" s="298">
        <f t="shared" si="36"/>
        <v>0</v>
      </c>
      <c r="AC218" s="4"/>
      <c r="AD218" s="47"/>
      <c r="AE218" s="47"/>
      <c r="AF218" s="319"/>
      <c r="AG218" s="328">
        <f t="shared" si="37"/>
        <v>0</v>
      </c>
      <c r="AH218" s="4"/>
      <c r="AI218" s="255"/>
      <c r="AJ218" s="180"/>
      <c r="AQ218" s="180"/>
      <c r="AR218" s="180"/>
      <c r="AS218" s="180"/>
      <c r="AT218" s="180"/>
      <c r="AU218" s="180"/>
      <c r="AV218" s="180"/>
      <c r="AW218" s="180"/>
    </row>
    <row r="219" spans="1:49" s="193" customFormat="1">
      <c r="A219" s="180"/>
      <c r="B219" s="437" t="s">
        <v>355</v>
      </c>
      <c r="C219" s="47"/>
      <c r="D219" s="47"/>
      <c r="E219" s="319">
        <v>7.7</v>
      </c>
      <c r="F219" s="646"/>
      <c r="G219" s="4"/>
      <c r="H219" s="47"/>
      <c r="I219" s="47"/>
      <c r="J219" s="319">
        <v>7.7</v>
      </c>
      <c r="K219" s="646"/>
      <c r="L219" s="438"/>
      <c r="M219" s="5"/>
      <c r="N219" s="5"/>
      <c r="O219" s="319">
        <v>7.7</v>
      </c>
      <c r="P219" s="646"/>
      <c r="Q219" s="438"/>
      <c r="R219" s="5"/>
      <c r="S219" s="5"/>
      <c r="T219" s="319">
        <v>7.7</v>
      </c>
      <c r="U219" s="646"/>
      <c r="V219" s="438"/>
      <c r="W219" s="5"/>
      <c r="X219" s="5"/>
      <c r="Y219" s="319">
        <v>7.7</v>
      </c>
      <c r="Z219" s="646"/>
      <c r="AA219" s="328">
        <f t="shared" si="35"/>
        <v>38.5</v>
      </c>
      <c r="AB219" s="298">
        <f t="shared" si="36"/>
        <v>0</v>
      </c>
      <c r="AC219" s="4"/>
      <c r="AD219" s="47"/>
      <c r="AE219" s="47"/>
      <c r="AF219" s="319"/>
      <c r="AG219" s="328">
        <f t="shared" si="37"/>
        <v>0</v>
      </c>
      <c r="AH219" s="4"/>
      <c r="AI219" s="255"/>
      <c r="AJ219" s="180"/>
      <c r="AQ219" s="180"/>
      <c r="AR219" s="180"/>
      <c r="AS219" s="180"/>
      <c r="AT219" s="180"/>
      <c r="AU219" s="180"/>
      <c r="AV219" s="180"/>
      <c r="AW219" s="180"/>
    </row>
    <row r="220" spans="1:49" s="193" customFormat="1">
      <c r="A220" s="180"/>
      <c r="B220" s="437" t="s">
        <v>356</v>
      </c>
      <c r="C220" s="713"/>
      <c r="D220" s="713"/>
      <c r="E220" s="319" t="s">
        <v>1119</v>
      </c>
      <c r="F220" s="646"/>
      <c r="G220" s="438"/>
      <c r="H220" s="5"/>
      <c r="I220" s="5"/>
      <c r="J220" s="319"/>
      <c r="K220" s="646"/>
      <c r="L220" s="438"/>
      <c r="M220" s="5"/>
      <c r="N220" s="5"/>
      <c r="O220" s="319"/>
      <c r="P220" s="646"/>
      <c r="Q220" s="438"/>
      <c r="R220" s="5"/>
      <c r="S220" s="5"/>
      <c r="T220" s="319"/>
      <c r="U220" s="646"/>
      <c r="V220" s="438"/>
      <c r="W220" s="5"/>
      <c r="X220" s="5"/>
      <c r="Y220" s="319"/>
      <c r="Z220" s="646"/>
      <c r="AA220" s="328">
        <f t="shared" si="35"/>
        <v>23.8</v>
      </c>
      <c r="AB220" s="298">
        <f t="shared" si="36"/>
        <v>0</v>
      </c>
      <c r="AC220" s="4"/>
      <c r="AD220" s="47"/>
      <c r="AE220" s="47"/>
      <c r="AF220" s="319"/>
      <c r="AG220" s="328">
        <f t="shared" si="37"/>
        <v>0</v>
      </c>
      <c r="AH220" s="4"/>
      <c r="AI220" s="255"/>
      <c r="AJ220" s="180"/>
      <c r="AQ220" s="180"/>
      <c r="AR220" s="180"/>
      <c r="AS220" s="180"/>
      <c r="AT220" s="180"/>
      <c r="AU220" s="180"/>
      <c r="AV220" s="180"/>
      <c r="AW220" s="180"/>
    </row>
    <row r="221" spans="1:49" s="193" customFormat="1">
      <c r="A221" s="180"/>
      <c r="B221" s="64" t="s">
        <v>61</v>
      </c>
      <c r="C221" s="31"/>
      <c r="D221" s="31"/>
      <c r="E221" s="439"/>
      <c r="F221" s="646"/>
      <c r="G221" s="31"/>
      <c r="H221" s="31"/>
      <c r="I221" s="31"/>
      <c r="J221" s="439"/>
      <c r="K221" s="646"/>
      <c r="L221" s="31"/>
      <c r="M221" s="31"/>
      <c r="N221" s="31"/>
      <c r="O221" s="439"/>
      <c r="P221" s="646"/>
      <c r="Q221" s="31"/>
      <c r="R221" s="31"/>
      <c r="S221" s="31"/>
      <c r="T221" s="439"/>
      <c r="U221" s="646"/>
      <c r="V221" s="31"/>
      <c r="W221" s="31"/>
      <c r="X221" s="31"/>
      <c r="Y221" s="439"/>
      <c r="Z221" s="646"/>
      <c r="AA221" s="370">
        <f>SUM(AA197:AA220)</f>
        <v>560.79999999999995</v>
      </c>
      <c r="AB221" s="370">
        <f>SUM(AB197:AB220)</f>
        <v>5.75</v>
      </c>
      <c r="AC221" s="4"/>
      <c r="AD221" s="64"/>
      <c r="AE221" s="64"/>
      <c r="AF221" s="370">
        <f>SUM(AF197:AF220)</f>
        <v>0</v>
      </c>
      <c r="AG221" s="370">
        <f>SUM(AG197:AG220)</f>
        <v>0</v>
      </c>
      <c r="AH221" s="4"/>
      <c r="AI221" s="255"/>
      <c r="AJ221" s="180"/>
      <c r="AK221" s="407"/>
      <c r="AQ221" s="180"/>
      <c r="AR221" s="180"/>
      <c r="AS221" s="180"/>
      <c r="AT221" s="180"/>
      <c r="AU221" s="180"/>
      <c r="AV221" s="180"/>
      <c r="AW221" s="180"/>
    </row>
    <row r="222" spans="1:49" s="193" customFormat="1">
      <c r="A222" s="180"/>
      <c r="B222" s="63" t="s">
        <v>64</v>
      </c>
      <c r="C222" s="47"/>
      <c r="D222" s="47"/>
      <c r="E222" s="319">
        <v>8</v>
      </c>
      <c r="F222" s="346"/>
      <c r="G222" s="613"/>
      <c r="H222" s="47"/>
      <c r="I222" s="47"/>
      <c r="J222" s="319">
        <v>8</v>
      </c>
      <c r="K222" s="346"/>
      <c r="L222" s="60"/>
      <c r="M222" s="47"/>
      <c r="N222" s="47"/>
      <c r="O222" s="319">
        <v>8</v>
      </c>
      <c r="P222" s="346">
        <v>1</v>
      </c>
      <c r="Q222" s="60"/>
      <c r="R222" s="47"/>
      <c r="S222" s="47"/>
      <c r="T222" s="319">
        <v>8</v>
      </c>
      <c r="U222" s="346"/>
      <c r="V222" s="60"/>
      <c r="W222" s="47"/>
      <c r="X222" s="47"/>
      <c r="Y222" s="319">
        <v>8</v>
      </c>
      <c r="Z222" s="346">
        <v>0.25</v>
      </c>
      <c r="AA222" s="28">
        <f>SUM(E222+J222+O222+T222+Y222)</f>
        <v>40</v>
      </c>
      <c r="AB222" s="296">
        <f>Z222+U222+P222+K222+F222</f>
        <v>1.25</v>
      </c>
      <c r="AC222" s="4"/>
      <c r="AD222" s="47" t="s">
        <v>29</v>
      </c>
      <c r="AE222" s="47" t="s">
        <v>29</v>
      </c>
      <c r="AF222" s="319"/>
      <c r="AG222" s="29">
        <f>AF222</f>
        <v>0</v>
      </c>
      <c r="AH222" s="4"/>
      <c r="AI222" s="255"/>
      <c r="AJ222" s="180"/>
      <c r="AK222" s="407"/>
      <c r="AQ222" s="180"/>
      <c r="AR222" s="180"/>
      <c r="AS222" s="180"/>
      <c r="AT222" s="180"/>
      <c r="AU222" s="180"/>
      <c r="AV222" s="180"/>
      <c r="AW222" s="180"/>
    </row>
    <row r="223" spans="1:49" s="193" customFormat="1">
      <c r="A223" s="180"/>
      <c r="B223" s="71" t="s">
        <v>66</v>
      </c>
      <c r="C223" s="371"/>
      <c r="D223" s="371"/>
      <c r="E223" s="71"/>
      <c r="F223" s="613"/>
      <c r="G223" s="71"/>
      <c r="H223" s="71"/>
      <c r="I223" s="71"/>
      <c r="J223" s="71"/>
      <c r="K223" s="613"/>
      <c r="L223" s="71"/>
      <c r="M223" s="71"/>
      <c r="N223" s="71"/>
      <c r="O223" s="71"/>
      <c r="P223" s="613"/>
      <c r="Q223" s="71"/>
      <c r="R223" s="71"/>
      <c r="S223" s="71"/>
      <c r="T223" s="71"/>
      <c r="U223" s="613"/>
      <c r="V223" s="71"/>
      <c r="W223" s="71"/>
      <c r="X223" s="71"/>
      <c r="Y223" s="71"/>
      <c r="Z223" s="613"/>
      <c r="AA223" s="370">
        <f>SUM(AA222:AA222)</f>
        <v>40</v>
      </c>
      <c r="AB223" s="370">
        <f>SUM(AB222:AB222)</f>
        <v>1.25</v>
      </c>
      <c r="AC223" s="4"/>
      <c r="AD223" s="180"/>
      <c r="AE223" s="180"/>
      <c r="AF223" s="180"/>
      <c r="AG223" s="370">
        <f>SUM(AG222:AG222)</f>
        <v>0</v>
      </c>
      <c r="AH223" s="4"/>
      <c r="AI223" s="255"/>
      <c r="AJ223" s="180"/>
      <c r="AK223" s="407"/>
      <c r="AQ223" s="180"/>
      <c r="AR223" s="180"/>
      <c r="AS223" s="180"/>
      <c r="AT223" s="180"/>
      <c r="AU223" s="180"/>
      <c r="AV223" s="180"/>
      <c r="AW223" s="180"/>
    </row>
    <row r="224" spans="1:49" s="193" customFormat="1">
      <c r="A224" s="180"/>
      <c r="B224" s="217" t="s">
        <v>67</v>
      </c>
      <c r="C224" s="207">
        <f>C225+C226</f>
        <v>47</v>
      </c>
      <c r="D224" s="207"/>
      <c r="E224" s="209"/>
      <c r="F224" s="209"/>
      <c r="G224" s="207"/>
      <c r="H224" s="209"/>
      <c r="I224" s="209"/>
      <c r="J224" s="209"/>
      <c r="K224" s="209"/>
      <c r="L224" s="207"/>
      <c r="M224" s="207"/>
      <c r="N224" s="207"/>
      <c r="O224" s="207"/>
      <c r="P224" s="209"/>
      <c r="Q224" s="207"/>
      <c r="R224" s="207"/>
      <c r="S224" s="207"/>
      <c r="T224" s="207"/>
      <c r="U224" s="209"/>
      <c r="V224" s="207"/>
      <c r="W224" s="207"/>
      <c r="X224" s="207"/>
      <c r="Y224" s="210"/>
      <c r="Z224" s="209"/>
      <c r="AA224" s="211"/>
      <c r="AB224" s="209"/>
      <c r="AC224" s="211"/>
      <c r="AD224" s="211"/>
      <c r="AE224" s="211"/>
      <c r="AF224" s="211"/>
      <c r="AG224" s="211"/>
      <c r="AH224" s="4"/>
      <c r="AI224" s="255"/>
      <c r="AJ224" s="180"/>
      <c r="AQ224" s="180"/>
      <c r="AR224" s="180"/>
      <c r="AS224" s="180"/>
      <c r="AT224" s="180"/>
      <c r="AU224" s="180"/>
      <c r="AV224" s="180"/>
      <c r="AW224" s="180"/>
    </row>
    <row r="225" spans="1:49" s="193" customFormat="1">
      <c r="A225" s="180"/>
      <c r="B225" s="238" t="s">
        <v>68</v>
      </c>
      <c r="C225" s="239">
        <v>39</v>
      </c>
      <c r="D225" s="207"/>
      <c r="E225" s="209"/>
      <c r="F225" s="209"/>
      <c r="G225" s="207"/>
      <c r="H225" s="209"/>
      <c r="I225" s="209"/>
      <c r="J225" s="209"/>
      <c r="K225" s="209"/>
      <c r="L225" s="207"/>
      <c r="M225" s="207"/>
      <c r="N225" s="207"/>
      <c r="O225" s="207"/>
      <c r="P225" s="209"/>
      <c r="Q225" s="207"/>
      <c r="R225" s="207"/>
      <c r="S225" s="207"/>
      <c r="T225" s="207"/>
      <c r="U225" s="209"/>
      <c r="V225" s="207"/>
      <c r="W225" s="207"/>
      <c r="X225" s="207"/>
      <c r="Y225" s="210"/>
      <c r="Z225" s="209"/>
      <c r="AA225" s="211"/>
      <c r="AB225" s="209"/>
      <c r="AC225" s="211"/>
      <c r="AD225" s="211"/>
      <c r="AE225" s="211"/>
      <c r="AF225" s="211"/>
      <c r="AG225" s="211"/>
      <c r="AH225" s="4"/>
      <c r="AI225" s="255"/>
      <c r="AJ225" s="180"/>
      <c r="AQ225" s="180"/>
      <c r="AR225" s="180"/>
      <c r="AS225" s="180"/>
      <c r="AT225" s="180"/>
      <c r="AU225" s="180"/>
      <c r="AV225" s="180"/>
      <c r="AW225" s="180"/>
    </row>
    <row r="226" spans="1:49" s="193" customFormat="1">
      <c r="A226" s="180"/>
      <c r="B226" s="238" t="s">
        <v>69</v>
      </c>
      <c r="C226" s="239">
        <v>8</v>
      </c>
      <c r="D226" s="207"/>
      <c r="E226" s="209"/>
      <c r="F226" s="209"/>
      <c r="G226" s="207"/>
      <c r="H226" s="209"/>
      <c r="I226" s="209"/>
      <c r="J226" s="209"/>
      <c r="K226" s="209"/>
      <c r="L226" s="207"/>
      <c r="M226" s="207"/>
      <c r="N226" s="207"/>
      <c r="O226" s="207"/>
      <c r="P226" s="209"/>
      <c r="Q226" s="207"/>
      <c r="R226" s="207"/>
      <c r="S226" s="207"/>
      <c r="T226" s="207"/>
      <c r="U226" s="209"/>
      <c r="V226" s="207"/>
      <c r="W226" s="207"/>
      <c r="X226" s="207"/>
      <c r="Y226" s="210"/>
      <c r="Z226" s="209"/>
      <c r="AA226" s="211"/>
      <c r="AB226" s="209"/>
      <c r="AC226" s="211"/>
      <c r="AD226" s="211"/>
      <c r="AE226" s="211"/>
      <c r="AF226" s="211"/>
      <c r="AG226" s="211"/>
      <c r="AH226" s="4"/>
      <c r="AI226" s="255"/>
      <c r="AJ226" s="180"/>
      <c r="AQ226" s="180"/>
      <c r="AR226" s="180"/>
      <c r="AS226" s="180"/>
      <c r="AT226" s="180"/>
      <c r="AU226" s="180"/>
      <c r="AV226" s="180"/>
      <c r="AW226" s="180"/>
    </row>
    <row r="227" spans="1:49">
      <c r="E227" s="4"/>
      <c r="F227" s="644"/>
      <c r="G227" s="4"/>
      <c r="J227" s="4"/>
      <c r="K227" s="644"/>
      <c r="L227" s="4"/>
      <c r="O227" s="4"/>
      <c r="P227" s="644"/>
      <c r="T227" s="4"/>
      <c r="U227" s="644"/>
      <c r="Y227" s="4"/>
      <c r="Z227" s="644"/>
      <c r="AA227" s="4"/>
      <c r="AB227" s="4"/>
      <c r="AC227" s="4"/>
    </row>
    <row r="228" spans="1:49">
      <c r="A228" s="180"/>
      <c r="B228" s="229"/>
      <c r="C228" s="230"/>
      <c r="D228" s="230"/>
      <c r="E228" s="232"/>
      <c r="F228" s="232"/>
      <c r="G228" s="230"/>
      <c r="H228" s="232"/>
      <c r="I228" s="232"/>
      <c r="J228" s="232"/>
      <c r="K228" s="232"/>
      <c r="L228" s="230"/>
      <c r="M228" s="230"/>
      <c r="N228" s="230"/>
      <c r="O228" s="230"/>
      <c r="P228" s="232"/>
      <c r="Q228" s="230"/>
      <c r="R228" s="230"/>
      <c r="S228" s="230"/>
      <c r="T228" s="230"/>
      <c r="U228" s="232"/>
      <c r="V228" s="230"/>
      <c r="W228" s="230"/>
      <c r="X228" s="230"/>
      <c r="Y228" s="233"/>
      <c r="Z228" s="232"/>
      <c r="AA228" s="234"/>
      <c r="AB228" s="232"/>
      <c r="AC228" s="373"/>
      <c r="AD228" s="236"/>
      <c r="AE228" s="255"/>
      <c r="AF228" s="255"/>
      <c r="AG228" s="255"/>
      <c r="AH228" s="255"/>
      <c r="AJ228" s="255"/>
      <c r="AK228" s="255"/>
      <c r="AL228" s="255"/>
      <c r="AM228" s="255"/>
      <c r="AN228" s="255"/>
      <c r="AO228" s="255"/>
      <c r="AP228" s="255"/>
      <c r="AQ228" s="255"/>
      <c r="AR228" s="255"/>
      <c r="AS228" s="255"/>
      <c r="AT228" s="255"/>
      <c r="AU228" s="255"/>
      <c r="AV228" s="255"/>
      <c r="AW228" s="255"/>
    </row>
    <row r="229" spans="1:49">
      <c r="B229" s="180"/>
      <c r="E229" s="4"/>
      <c r="F229" s="644"/>
      <c r="G229" s="4"/>
      <c r="J229" s="4"/>
      <c r="K229" s="644"/>
      <c r="L229" s="4"/>
      <c r="O229" s="4"/>
      <c r="P229" s="644"/>
      <c r="T229" s="4"/>
      <c r="U229" s="644"/>
      <c r="Y229" s="4"/>
      <c r="Z229" s="644"/>
      <c r="AA229" s="4"/>
      <c r="AB229" s="4"/>
      <c r="AC229" s="4"/>
      <c r="AK229" s="180"/>
      <c r="AL229" s="180"/>
      <c r="AM229" s="180"/>
      <c r="AN229" s="180"/>
      <c r="AO229" s="180"/>
      <c r="AP229" s="180"/>
    </row>
    <row r="230" spans="1:49" ht="10.9" customHeight="1">
      <c r="A230" s="228"/>
      <c r="B230" s="1518" t="s">
        <v>18</v>
      </c>
      <c r="C230" s="1519">
        <v>45754</v>
      </c>
      <c r="D230" s="1519"/>
      <c r="E230" s="1519" t="s">
        <v>564</v>
      </c>
      <c r="F230" s="1519"/>
      <c r="G230" s="365"/>
      <c r="H230" s="1519">
        <v>45755</v>
      </c>
      <c r="I230" s="1519"/>
      <c r="J230" s="1519" t="s">
        <v>565</v>
      </c>
      <c r="K230" s="1519"/>
      <c r="L230" s="365"/>
      <c r="M230" s="1519">
        <v>45756</v>
      </c>
      <c r="N230" s="1519"/>
      <c r="O230" s="1519" t="s">
        <v>566</v>
      </c>
      <c r="P230" s="1519"/>
      <c r="Q230" s="365"/>
      <c r="R230" s="1519">
        <v>45757</v>
      </c>
      <c r="S230" s="1519"/>
      <c r="T230" s="1519" t="s">
        <v>567</v>
      </c>
      <c r="U230" s="1519"/>
      <c r="V230" s="365"/>
      <c r="W230" s="1519">
        <v>45758</v>
      </c>
      <c r="X230" s="1519"/>
      <c r="Y230" s="1519" t="s">
        <v>568</v>
      </c>
      <c r="Z230" s="1519"/>
      <c r="AA230" s="1517" t="s">
        <v>19</v>
      </c>
      <c r="AB230" s="1517" t="s">
        <v>20</v>
      </c>
      <c r="AC230" s="4"/>
      <c r="AD230" s="1519"/>
      <c r="AE230" s="1519"/>
      <c r="AF230" s="14" t="s">
        <v>1111</v>
      </c>
      <c r="AG230" s="1517" t="s">
        <v>21</v>
      </c>
      <c r="AI230" s="368"/>
      <c r="AK230" s="194" t="s">
        <v>84</v>
      </c>
      <c r="AL230" s="366"/>
      <c r="AM230" s="366"/>
      <c r="AN230" s="366"/>
      <c r="AO230" s="366"/>
      <c r="AP230" s="366"/>
    </row>
    <row r="231" spans="1:49">
      <c r="A231" s="180"/>
      <c r="B231" s="1518"/>
      <c r="C231" s="21" t="s">
        <v>23</v>
      </c>
      <c r="D231" s="21" t="s">
        <v>24</v>
      </c>
      <c r="E231" s="205" t="s">
        <v>25</v>
      </c>
      <c r="F231" s="645" t="s">
        <v>14</v>
      </c>
      <c r="G231" s="4"/>
      <c r="H231" s="21"/>
      <c r="I231" s="21" t="s">
        <v>24</v>
      </c>
      <c r="J231" s="18" t="s">
        <v>25</v>
      </c>
      <c r="K231" s="645" t="s">
        <v>14</v>
      </c>
      <c r="L231" s="4"/>
      <c r="M231" s="21" t="s">
        <v>23</v>
      </c>
      <c r="N231" s="21" t="s">
        <v>24</v>
      </c>
      <c r="O231" s="18" t="s">
        <v>25</v>
      </c>
      <c r="P231" s="645" t="s">
        <v>14</v>
      </c>
      <c r="R231" s="21" t="s">
        <v>23</v>
      </c>
      <c r="S231" s="21" t="s">
        <v>24</v>
      </c>
      <c r="T231" s="18" t="s">
        <v>25</v>
      </c>
      <c r="U231" s="645" t="s">
        <v>14</v>
      </c>
      <c r="W231" s="21" t="s">
        <v>23</v>
      </c>
      <c r="X231" s="21" t="s">
        <v>24</v>
      </c>
      <c r="Y231" s="18" t="s">
        <v>25</v>
      </c>
      <c r="Z231" s="645" t="s">
        <v>14</v>
      </c>
      <c r="AA231" s="1517"/>
      <c r="AB231" s="1517"/>
      <c r="AC231" s="4"/>
      <c r="AD231" s="21" t="s">
        <v>23</v>
      </c>
      <c r="AE231" s="21" t="s">
        <v>24</v>
      </c>
      <c r="AF231" s="18" t="s">
        <v>25</v>
      </c>
      <c r="AG231" s="1517"/>
      <c r="AI231" s="368"/>
      <c r="AJ231" s="367"/>
      <c r="AK231" s="188" t="s">
        <v>26</v>
      </c>
      <c r="AL231" s="196">
        <f>AA256</f>
        <v>465.5</v>
      </c>
      <c r="AM231" s="510">
        <v>40.31</v>
      </c>
      <c r="AN231" s="510">
        <f t="shared" ref="AN231:AN236" si="38">AL231*AM231</f>
        <v>18764.305</v>
      </c>
      <c r="AQ231" s="367"/>
      <c r="AR231" s="367"/>
      <c r="AS231" s="367"/>
      <c r="AT231" s="367"/>
      <c r="AU231" s="367"/>
      <c r="AV231" s="367"/>
      <c r="AW231" s="367"/>
    </row>
    <row r="232" spans="1:49" ht="12.75" customHeight="1">
      <c r="A232" s="180"/>
      <c r="B232" s="4" t="s">
        <v>958</v>
      </c>
      <c r="C232" s="47"/>
      <c r="D232" s="47"/>
      <c r="E232" s="319">
        <v>0</v>
      </c>
      <c r="F232" s="646"/>
      <c r="G232" s="4"/>
      <c r="H232" s="47"/>
      <c r="I232" s="47"/>
      <c r="J232" s="319">
        <v>0</v>
      </c>
      <c r="K232" s="646"/>
      <c r="L232" s="4"/>
      <c r="M232" s="441"/>
      <c r="N232" s="47"/>
      <c r="O232" s="319">
        <v>0</v>
      </c>
      <c r="P232" s="646"/>
      <c r="R232" s="47"/>
      <c r="S232" s="47"/>
      <c r="T232" s="319">
        <v>0</v>
      </c>
      <c r="U232" s="646"/>
      <c r="W232" s="47"/>
      <c r="X232" s="47"/>
      <c r="Y232" s="319">
        <v>0</v>
      </c>
      <c r="Z232" s="646"/>
      <c r="AA232" s="328">
        <f t="shared" ref="AA232:AA255" si="39">(E232+J232+O232+T232+Y232)</f>
        <v>0</v>
      </c>
      <c r="AB232" s="298">
        <f t="shared" ref="AB232:AB255" si="40">Z232+U232+P232+K232+F232</f>
        <v>0</v>
      </c>
      <c r="AC232" s="4"/>
      <c r="AD232" s="587"/>
      <c r="AE232" s="531"/>
      <c r="AF232" s="319"/>
      <c r="AG232" s="328">
        <f t="shared" ref="AG232:AG255" si="41">AF232</f>
        <v>0</v>
      </c>
      <c r="AI232" s="368"/>
      <c r="AJ232" s="367"/>
      <c r="AK232" s="188" t="s">
        <v>30</v>
      </c>
      <c r="AL232" s="196">
        <f>AB256</f>
        <v>15.75</v>
      </c>
      <c r="AM232" s="511">
        <v>60.465000000000003</v>
      </c>
      <c r="AN232" s="510">
        <f t="shared" si="38"/>
        <v>952.32375000000002</v>
      </c>
      <c r="AQ232" s="367"/>
      <c r="AR232" s="367"/>
      <c r="AS232" s="367"/>
      <c r="AT232" s="367"/>
      <c r="AU232" s="367"/>
      <c r="AV232" s="367"/>
      <c r="AW232" s="367"/>
    </row>
    <row r="233" spans="1:49">
      <c r="A233" s="367"/>
      <c r="B233" s="47" t="s">
        <v>515</v>
      </c>
      <c r="C233" s="47"/>
      <c r="D233" s="47"/>
      <c r="E233" s="319">
        <v>0</v>
      </c>
      <c r="F233" s="646"/>
      <c r="G233" s="4"/>
      <c r="H233" s="47">
        <v>0.375</v>
      </c>
      <c r="I233" s="47">
        <v>0.25</v>
      </c>
      <c r="J233" s="319">
        <v>8</v>
      </c>
      <c r="K233" s="646"/>
      <c r="L233" s="4"/>
      <c r="M233" s="441" t="s">
        <v>75</v>
      </c>
      <c r="N233" s="47">
        <v>0.25</v>
      </c>
      <c r="O233" s="319">
        <v>8</v>
      </c>
      <c r="P233" s="646"/>
      <c r="R233" s="714"/>
      <c r="S233" s="714"/>
      <c r="T233" s="319">
        <v>0</v>
      </c>
      <c r="U233" s="646"/>
      <c r="W233" s="714"/>
      <c r="X233" s="714"/>
      <c r="Y233" s="319">
        <v>0</v>
      </c>
      <c r="Z233" s="646"/>
      <c r="AA233" s="328">
        <f t="shared" si="39"/>
        <v>16</v>
      </c>
      <c r="AB233" s="298">
        <f t="shared" si="40"/>
        <v>0</v>
      </c>
      <c r="AC233" s="4"/>
      <c r="AF233" s="319"/>
      <c r="AG233" s="328">
        <f t="shared" si="41"/>
        <v>0</v>
      </c>
      <c r="AH233" s="175"/>
      <c r="AI233" s="402"/>
      <c r="AJ233" s="367"/>
      <c r="AK233" s="188" t="s">
        <v>32</v>
      </c>
      <c r="AL233" s="196">
        <f>AG256</f>
        <v>0</v>
      </c>
      <c r="AM233" s="510">
        <v>60.465000000000003</v>
      </c>
      <c r="AN233" s="510">
        <f t="shared" si="38"/>
        <v>0</v>
      </c>
      <c r="AQ233" s="367"/>
      <c r="AR233" s="367"/>
      <c r="AS233" s="367"/>
      <c r="AT233" s="367"/>
      <c r="AU233" s="367"/>
      <c r="AV233" s="367"/>
      <c r="AW233" s="367"/>
    </row>
    <row r="234" spans="1:49">
      <c r="A234" s="367"/>
      <c r="B234" s="441" t="s">
        <v>962</v>
      </c>
      <c r="C234" s="47"/>
      <c r="D234" s="47"/>
      <c r="E234" s="319">
        <v>0</v>
      </c>
      <c r="F234" s="646"/>
      <c r="G234" s="4"/>
      <c r="H234" s="47"/>
      <c r="I234" s="47"/>
      <c r="J234" s="319">
        <v>0</v>
      </c>
      <c r="K234" s="646"/>
      <c r="L234" s="4"/>
      <c r="M234" s="441"/>
      <c r="N234" s="47"/>
      <c r="O234" s="319">
        <v>0</v>
      </c>
      <c r="P234" s="646"/>
      <c r="R234" s="47"/>
      <c r="S234" s="47"/>
      <c r="T234" s="319">
        <v>0</v>
      </c>
      <c r="U234" s="646"/>
      <c r="W234" s="47"/>
      <c r="X234" s="47"/>
      <c r="Y234" s="319">
        <v>0</v>
      </c>
      <c r="Z234" s="646"/>
      <c r="AA234" s="328">
        <f t="shared" si="39"/>
        <v>0</v>
      </c>
      <c r="AB234" s="298">
        <f t="shared" si="40"/>
        <v>0</v>
      </c>
      <c r="AC234" s="399"/>
      <c r="AD234" s="47"/>
      <c r="AE234" s="47"/>
      <c r="AF234" s="319"/>
      <c r="AG234" s="328">
        <f t="shared" si="41"/>
        <v>0</v>
      </c>
      <c r="AH234" s="175"/>
      <c r="AJ234" s="401"/>
      <c r="AK234" s="403" t="s">
        <v>213</v>
      </c>
      <c r="AL234" s="404">
        <f>AA258</f>
        <v>40</v>
      </c>
      <c r="AM234" s="510">
        <v>53.05</v>
      </c>
      <c r="AN234" s="510">
        <f t="shared" si="38"/>
        <v>2122</v>
      </c>
      <c r="AO234" s="405"/>
      <c r="AP234" s="405"/>
      <c r="AQ234" s="367"/>
      <c r="AR234" s="401"/>
      <c r="AS234" s="401"/>
      <c r="AT234" s="401"/>
      <c r="AU234" s="401"/>
      <c r="AV234" s="401"/>
      <c r="AW234" s="401"/>
    </row>
    <row r="235" spans="1:49">
      <c r="A235" s="367"/>
      <c r="B235" s="47" t="s">
        <v>1112</v>
      </c>
      <c r="C235" s="47">
        <v>0.33333333333333331</v>
      </c>
      <c r="D235" s="47">
        <v>0.20833333333333334</v>
      </c>
      <c r="E235" s="319">
        <v>8</v>
      </c>
      <c r="F235" s="646"/>
      <c r="G235" s="4"/>
      <c r="H235" s="47">
        <v>0.33333333333333331</v>
      </c>
      <c r="I235" s="47">
        <v>0.20833333333333334</v>
      </c>
      <c r="J235" s="319">
        <v>8</v>
      </c>
      <c r="K235" s="646"/>
      <c r="L235" s="4"/>
      <c r="M235" s="441" t="s">
        <v>344</v>
      </c>
      <c r="N235" s="47">
        <v>0.20833333333333334</v>
      </c>
      <c r="O235" s="319">
        <v>7.75</v>
      </c>
      <c r="P235" s="646"/>
      <c r="R235" s="47"/>
      <c r="S235" s="47" t="s">
        <v>116</v>
      </c>
      <c r="T235" s="319">
        <v>0</v>
      </c>
      <c r="U235" s="646"/>
      <c r="W235" s="47">
        <v>0.38541666666666669</v>
      </c>
      <c r="X235" s="47">
        <v>0.25</v>
      </c>
      <c r="Y235" s="319">
        <v>7.45</v>
      </c>
      <c r="Z235" s="646"/>
      <c r="AA235" s="328">
        <f t="shared" si="39"/>
        <v>31.2</v>
      </c>
      <c r="AB235" s="298">
        <f t="shared" si="40"/>
        <v>0</v>
      </c>
      <c r="AC235" s="4"/>
      <c r="AD235" s="47"/>
      <c r="AE235" s="47"/>
      <c r="AF235" s="319"/>
      <c r="AG235" s="328">
        <f t="shared" si="41"/>
        <v>0</v>
      </c>
      <c r="AH235" s="175"/>
      <c r="AI235" s="368"/>
      <c r="AK235" s="188" t="s">
        <v>36</v>
      </c>
      <c r="AL235" s="196">
        <f>AB258</f>
        <v>3.25</v>
      </c>
      <c r="AM235" s="510">
        <v>79.574999999999989</v>
      </c>
      <c r="AN235" s="510">
        <f t="shared" si="38"/>
        <v>258.61874999999998</v>
      </c>
      <c r="AQ235" s="367"/>
    </row>
    <row r="236" spans="1:49" s="4" customFormat="1">
      <c r="A236" s="180"/>
      <c r="B236" s="436" t="s">
        <v>972</v>
      </c>
      <c r="C236" s="47">
        <v>0.39583333333333331</v>
      </c>
      <c r="D236" s="326">
        <v>0.5</v>
      </c>
      <c r="E236" s="319">
        <v>2.5</v>
      </c>
      <c r="F236" s="646"/>
      <c r="H236" s="47">
        <v>0.35416666666666669</v>
      </c>
      <c r="I236" s="47">
        <v>0.20833333333333334</v>
      </c>
      <c r="J236" s="319">
        <v>7.5</v>
      </c>
      <c r="K236" s="646"/>
      <c r="M236" s="441" t="s">
        <v>125</v>
      </c>
      <c r="N236" s="47">
        <v>0.20833333333333334</v>
      </c>
      <c r="O236" s="319">
        <v>8</v>
      </c>
      <c r="P236" s="646"/>
      <c r="R236" s="47">
        <v>0.33333333333333331</v>
      </c>
      <c r="S236" s="47">
        <v>0.20833333333333334</v>
      </c>
      <c r="T236" s="319">
        <v>8</v>
      </c>
      <c r="U236" s="646"/>
      <c r="W236" s="47"/>
      <c r="X236" s="47" t="s">
        <v>116</v>
      </c>
      <c r="Y236" s="319">
        <v>0</v>
      </c>
      <c r="Z236" s="646"/>
      <c r="AA236" s="328">
        <f t="shared" si="39"/>
        <v>26</v>
      </c>
      <c r="AB236" s="298">
        <f t="shared" si="40"/>
        <v>0</v>
      </c>
      <c r="AD236" s="47"/>
      <c r="AE236" s="47"/>
      <c r="AF236" s="319"/>
      <c r="AG236" s="328">
        <f t="shared" si="41"/>
        <v>0</v>
      </c>
      <c r="AI236" s="255"/>
      <c r="AJ236" s="180"/>
      <c r="AK236" s="188" t="s">
        <v>38</v>
      </c>
      <c r="AL236" s="196">
        <f>AG258</f>
        <v>2</v>
      </c>
      <c r="AM236" s="510">
        <v>79.574999999999989</v>
      </c>
      <c r="AN236" s="510">
        <f t="shared" si="38"/>
        <v>159.14999999999998</v>
      </c>
      <c r="AO236" s="193"/>
      <c r="AP236" s="193"/>
      <c r="AQ236" s="367"/>
      <c r="AR236" s="180"/>
      <c r="AS236" s="180"/>
      <c r="AT236" s="180"/>
      <c r="AU236" s="180"/>
      <c r="AV236" s="180"/>
      <c r="AW236" s="180"/>
    </row>
    <row r="237" spans="1:49" s="4" customFormat="1">
      <c r="A237" s="180"/>
      <c r="B237" s="47" t="s">
        <v>974</v>
      </c>
      <c r="C237" s="47">
        <v>0.33333333333333331</v>
      </c>
      <c r="D237" s="47">
        <v>0.20833333333333334</v>
      </c>
      <c r="E237" s="319">
        <v>8</v>
      </c>
      <c r="F237" s="646"/>
      <c r="H237" s="47">
        <v>0.33333333333333331</v>
      </c>
      <c r="I237" s="47">
        <v>0.20833333333333334</v>
      </c>
      <c r="J237" s="319">
        <v>8</v>
      </c>
      <c r="K237" s="646"/>
      <c r="M237" s="441" t="s">
        <v>75</v>
      </c>
      <c r="N237" s="47">
        <v>0.20833333333333334</v>
      </c>
      <c r="O237" s="319">
        <v>7</v>
      </c>
      <c r="P237" s="646"/>
      <c r="R237" s="47">
        <v>0.33333333333333331</v>
      </c>
      <c r="S237" s="47">
        <v>0.20833333333333334</v>
      </c>
      <c r="T237" s="319">
        <v>8</v>
      </c>
      <c r="U237" s="646"/>
      <c r="W237" s="47">
        <v>0.41666666666666669</v>
      </c>
      <c r="X237" s="47">
        <v>0.20833333333333334</v>
      </c>
      <c r="Y237" s="319">
        <v>6</v>
      </c>
      <c r="Z237" s="646"/>
      <c r="AA237" s="328">
        <f t="shared" si="39"/>
        <v>37</v>
      </c>
      <c r="AB237" s="298">
        <f t="shared" si="40"/>
        <v>0</v>
      </c>
      <c r="AD237" s="47"/>
      <c r="AE237" s="47"/>
      <c r="AF237" s="319"/>
      <c r="AG237" s="328">
        <f t="shared" si="41"/>
        <v>0</v>
      </c>
      <c r="AI237" s="255"/>
      <c r="AJ237" s="180"/>
      <c r="AK237" s="193"/>
      <c r="AL237" s="193"/>
      <c r="AM237" s="193"/>
      <c r="AN237" s="510">
        <f>SUM(AN231:AN236)</f>
        <v>22256.397500000003</v>
      </c>
      <c r="AO237" s="193"/>
      <c r="AP237" s="193"/>
      <c r="AQ237" s="180"/>
      <c r="AR237" s="180"/>
      <c r="AS237" s="180"/>
      <c r="AT237" s="180"/>
      <c r="AU237" s="180"/>
      <c r="AV237" s="180"/>
      <c r="AW237" s="180"/>
    </row>
    <row r="238" spans="1:49" s="4" customFormat="1">
      <c r="A238" s="180"/>
      <c r="B238" s="374" t="s">
        <v>998</v>
      </c>
      <c r="C238" s="47"/>
      <c r="D238" s="47"/>
      <c r="E238" s="319">
        <v>0</v>
      </c>
      <c r="F238" s="646"/>
      <c r="H238" s="47">
        <v>0.33333333333333331</v>
      </c>
      <c r="I238" s="47">
        <v>0.20833333333333334</v>
      </c>
      <c r="J238" s="319">
        <v>8</v>
      </c>
      <c r="K238" s="646"/>
      <c r="M238" s="441" t="s">
        <v>125</v>
      </c>
      <c r="N238" s="47">
        <v>0.20833333333333334</v>
      </c>
      <c r="O238" s="319">
        <v>8</v>
      </c>
      <c r="P238" s="646"/>
      <c r="R238" s="47">
        <v>0.33333333333333331</v>
      </c>
      <c r="S238" s="47">
        <v>0.20833333333333334</v>
      </c>
      <c r="T238" s="319">
        <v>8</v>
      </c>
      <c r="U238" s="646"/>
      <c r="W238" s="47"/>
      <c r="X238" s="47"/>
      <c r="Y238" s="319">
        <v>0</v>
      </c>
      <c r="Z238" s="646"/>
      <c r="AA238" s="328">
        <f t="shared" si="39"/>
        <v>24</v>
      </c>
      <c r="AB238" s="298">
        <f t="shared" si="40"/>
        <v>0</v>
      </c>
      <c r="AD238" s="47"/>
      <c r="AE238" s="47"/>
      <c r="AF238" s="319"/>
      <c r="AG238" s="328">
        <f t="shared" si="41"/>
        <v>0</v>
      </c>
      <c r="AI238" s="255"/>
      <c r="AJ238" s="180"/>
      <c r="AK238" s="193"/>
      <c r="AL238" s="193"/>
      <c r="AM238" s="193"/>
      <c r="AN238" s="193"/>
      <c r="AO238" s="193"/>
      <c r="AP238" s="193"/>
      <c r="AQ238" s="180"/>
      <c r="AR238" s="180"/>
      <c r="AS238" s="180"/>
      <c r="AT238" s="180"/>
      <c r="AU238" s="180"/>
      <c r="AV238" s="180"/>
      <c r="AW238" s="180"/>
    </row>
    <row r="239" spans="1:49" s="4" customFormat="1">
      <c r="A239" s="180"/>
      <c r="B239" s="47" t="s">
        <v>977</v>
      </c>
      <c r="C239" s="47"/>
      <c r="D239" s="47"/>
      <c r="E239" s="319">
        <v>0</v>
      </c>
      <c r="F239" s="646"/>
      <c r="H239" s="47"/>
      <c r="I239" s="47"/>
      <c r="J239" s="319">
        <v>0</v>
      </c>
      <c r="K239" s="646"/>
      <c r="M239" s="441" t="s">
        <v>125</v>
      </c>
      <c r="N239" s="47">
        <v>0.20833333333333334</v>
      </c>
      <c r="O239" s="319">
        <v>8</v>
      </c>
      <c r="P239" s="646"/>
      <c r="R239" s="47">
        <v>0.33333333333333331</v>
      </c>
      <c r="S239" s="47">
        <v>0.20833333333333334</v>
      </c>
      <c r="T239" s="319">
        <v>8</v>
      </c>
      <c r="U239" s="646"/>
      <c r="W239" s="47">
        <v>0.35416666666666669</v>
      </c>
      <c r="X239" s="47">
        <v>0.20833333333333334</v>
      </c>
      <c r="Y239" s="319">
        <v>7.5</v>
      </c>
      <c r="Z239" s="646"/>
      <c r="AA239" s="328">
        <f t="shared" si="39"/>
        <v>23.5</v>
      </c>
      <c r="AB239" s="298">
        <f t="shared" si="40"/>
        <v>0</v>
      </c>
      <c r="AD239" s="47"/>
      <c r="AE239" s="47"/>
      <c r="AF239" s="319"/>
      <c r="AG239" s="328">
        <f t="shared" si="41"/>
        <v>0</v>
      </c>
      <c r="AI239" s="255"/>
      <c r="AJ239" s="180"/>
      <c r="AK239" s="192" t="s">
        <v>1115</v>
      </c>
      <c r="AL239" s="193"/>
      <c r="AM239" s="193">
        <f>C259</f>
        <v>34</v>
      </c>
      <c r="AN239" s="193"/>
      <c r="AO239" s="193"/>
      <c r="AP239" s="193"/>
      <c r="AQ239" s="180"/>
      <c r="AR239" s="180"/>
      <c r="AS239" s="180"/>
      <c r="AT239" s="180"/>
      <c r="AU239" s="180"/>
      <c r="AV239" s="180"/>
      <c r="AW239" s="180"/>
    </row>
    <row r="240" spans="1:49" s="4" customFormat="1">
      <c r="A240" s="180"/>
      <c r="B240" s="47" t="s">
        <v>519</v>
      </c>
      <c r="C240" s="47">
        <v>0.375</v>
      </c>
      <c r="D240" s="47">
        <v>0.25</v>
      </c>
      <c r="E240" s="319">
        <v>8</v>
      </c>
      <c r="F240" s="646"/>
      <c r="H240" s="47">
        <v>0.33333333333333331</v>
      </c>
      <c r="I240" s="47">
        <v>0.20833333333333334</v>
      </c>
      <c r="J240" s="319">
        <v>8</v>
      </c>
      <c r="K240" s="646"/>
      <c r="M240" s="720" t="s">
        <v>76</v>
      </c>
      <c r="N240" s="721">
        <v>0.10416666666666667</v>
      </c>
      <c r="O240" s="319">
        <v>6</v>
      </c>
      <c r="P240" s="646"/>
      <c r="R240" s="441" t="s">
        <v>125</v>
      </c>
      <c r="S240" s="47">
        <v>0.20833333333333334</v>
      </c>
      <c r="T240" s="319">
        <v>8</v>
      </c>
      <c r="U240" s="646"/>
      <c r="W240" s="441" t="s">
        <v>249</v>
      </c>
      <c r="X240" s="47">
        <v>0.20833333333333334</v>
      </c>
      <c r="Y240" s="319">
        <v>6</v>
      </c>
      <c r="Z240" s="646"/>
      <c r="AA240" s="328">
        <f t="shared" si="39"/>
        <v>36</v>
      </c>
      <c r="AB240" s="298">
        <f t="shared" si="40"/>
        <v>0</v>
      </c>
      <c r="AD240" s="47"/>
      <c r="AE240" s="47"/>
      <c r="AF240" s="319"/>
      <c r="AG240" s="328">
        <f t="shared" si="41"/>
        <v>0</v>
      </c>
      <c r="AI240" s="255"/>
      <c r="AJ240" s="180"/>
      <c r="AK240" s="193"/>
      <c r="AL240" s="193"/>
      <c r="AM240" s="193"/>
      <c r="AN240" s="193"/>
      <c r="AO240" s="193"/>
      <c r="AP240" s="193"/>
      <c r="AQ240" s="180"/>
      <c r="AR240" s="180"/>
      <c r="AS240" s="180"/>
      <c r="AT240" s="180"/>
      <c r="AU240" s="180"/>
      <c r="AV240" s="180"/>
      <c r="AW240" s="180"/>
    </row>
    <row r="241" spans="1:49" s="4" customFormat="1">
      <c r="A241" s="180"/>
      <c r="B241" s="47" t="s">
        <v>999</v>
      </c>
      <c r="C241" s="47"/>
      <c r="D241" s="441" t="s">
        <v>137</v>
      </c>
      <c r="E241" s="319">
        <v>0</v>
      </c>
      <c r="F241" s="646"/>
      <c r="H241" s="47"/>
      <c r="I241" s="47"/>
      <c r="J241" s="319">
        <v>0</v>
      </c>
      <c r="K241" s="646"/>
      <c r="M241" s="441" t="s">
        <v>125</v>
      </c>
      <c r="N241" s="47">
        <v>0.20833333333333334</v>
      </c>
      <c r="O241" s="319">
        <v>8</v>
      </c>
      <c r="P241" s="646"/>
      <c r="R241" s="441" t="s">
        <v>125</v>
      </c>
      <c r="S241" s="441" t="s">
        <v>136</v>
      </c>
      <c r="T241" s="319">
        <v>8</v>
      </c>
      <c r="U241" s="646"/>
      <c r="W241" s="441"/>
      <c r="X241" s="441"/>
      <c r="Y241" s="319">
        <v>0</v>
      </c>
      <c r="Z241" s="646"/>
      <c r="AA241" s="328">
        <f t="shared" si="39"/>
        <v>16</v>
      </c>
      <c r="AB241" s="298">
        <f t="shared" si="40"/>
        <v>0</v>
      </c>
      <c r="AD241" s="47"/>
      <c r="AE241" s="47"/>
      <c r="AF241" s="319"/>
      <c r="AG241" s="328">
        <f t="shared" si="41"/>
        <v>0</v>
      </c>
      <c r="AI241" s="255"/>
      <c r="AJ241" s="180"/>
      <c r="AK241" s="193"/>
      <c r="AL241" s="193"/>
      <c r="AM241" s="193"/>
      <c r="AN241" s="193"/>
      <c r="AO241" s="193"/>
      <c r="AP241" s="193"/>
      <c r="AQ241" s="180"/>
      <c r="AR241" s="180"/>
      <c r="AS241" s="180"/>
      <c r="AT241" s="180"/>
      <c r="AU241" s="180"/>
      <c r="AV241" s="180"/>
      <c r="AW241" s="180"/>
    </row>
    <row r="242" spans="1:49" s="4" customFormat="1">
      <c r="A242" s="180"/>
      <c r="B242" s="47" t="s">
        <v>1113</v>
      </c>
      <c r="C242" s="47"/>
      <c r="D242" s="47"/>
      <c r="E242" s="319">
        <v>0</v>
      </c>
      <c r="F242" s="646"/>
      <c r="H242" s="47"/>
      <c r="I242" s="47"/>
      <c r="J242" s="319">
        <v>0</v>
      </c>
      <c r="K242" s="646"/>
      <c r="M242" s="441"/>
      <c r="N242" s="47"/>
      <c r="O242" s="319">
        <v>0</v>
      </c>
      <c r="P242" s="646"/>
      <c r="R242" s="441"/>
      <c r="S242" s="47"/>
      <c r="T242" s="319">
        <v>0</v>
      </c>
      <c r="U242" s="646"/>
      <c r="W242" s="441"/>
      <c r="X242" s="47"/>
      <c r="Y242" s="319">
        <v>0</v>
      </c>
      <c r="Z242" s="646"/>
      <c r="AA242" s="328">
        <f t="shared" si="39"/>
        <v>0</v>
      </c>
      <c r="AB242" s="298">
        <f t="shared" si="40"/>
        <v>0</v>
      </c>
      <c r="AD242" s="47"/>
      <c r="AE242" s="47"/>
      <c r="AF242" s="319"/>
      <c r="AG242" s="328">
        <f t="shared" si="41"/>
        <v>0</v>
      </c>
      <c r="AI242" s="255"/>
      <c r="AJ242" s="180"/>
      <c r="AK242" s="193"/>
      <c r="AL242" s="193"/>
      <c r="AM242" s="193"/>
      <c r="AN242" s="193"/>
      <c r="AO242" s="193"/>
      <c r="AP242" s="193"/>
      <c r="AQ242" s="180"/>
      <c r="AR242" s="180"/>
      <c r="AS242" s="180"/>
      <c r="AT242" s="180"/>
      <c r="AU242" s="180"/>
      <c r="AV242" s="180"/>
      <c r="AW242" s="180"/>
    </row>
    <row r="243" spans="1:49" s="4" customFormat="1">
      <c r="A243" s="180"/>
      <c r="B243" s="502" t="s">
        <v>483</v>
      </c>
      <c r="C243" s="47"/>
      <c r="D243" s="47"/>
      <c r="E243" s="319"/>
      <c r="F243" s="646"/>
      <c r="H243" s="47"/>
      <c r="I243" s="47"/>
      <c r="J243" s="319"/>
      <c r="K243" s="646"/>
      <c r="M243" s="441"/>
      <c r="N243" s="47"/>
      <c r="O243" s="319"/>
      <c r="P243" s="646"/>
      <c r="R243" s="5"/>
      <c r="S243" s="5"/>
      <c r="T243" s="319"/>
      <c r="U243" s="646"/>
      <c r="W243" s="5"/>
      <c r="X243" s="5"/>
      <c r="Y243" s="319"/>
      <c r="Z243" s="646"/>
      <c r="AA243" s="328">
        <f t="shared" si="39"/>
        <v>0</v>
      </c>
      <c r="AB243" s="298">
        <f t="shared" si="40"/>
        <v>0</v>
      </c>
      <c r="AD243" s="47"/>
      <c r="AE243" s="47"/>
      <c r="AF243" s="319"/>
      <c r="AG243" s="328">
        <f t="shared" si="41"/>
        <v>0</v>
      </c>
      <c r="AI243" s="255"/>
      <c r="AJ243" s="180"/>
      <c r="AK243" s="193"/>
      <c r="AL243" s="193"/>
      <c r="AM243" s="193"/>
      <c r="AN243" s="193"/>
      <c r="AO243" s="193"/>
      <c r="AP243" s="193"/>
      <c r="AQ243" s="180"/>
      <c r="AR243" s="180"/>
      <c r="AS243" s="180"/>
      <c r="AT243" s="180"/>
      <c r="AU243" s="180"/>
      <c r="AV243" s="180"/>
      <c r="AW243" s="180"/>
    </row>
    <row r="244" spans="1:49" s="4" customFormat="1">
      <c r="A244" s="180"/>
      <c r="B244" s="502" t="s">
        <v>483</v>
      </c>
      <c r="C244" s="47"/>
      <c r="D244" s="47"/>
      <c r="E244" s="319">
        <v>8</v>
      </c>
      <c r="F244" s="646">
        <v>0.25</v>
      </c>
      <c r="H244" s="47"/>
      <c r="I244" s="47"/>
      <c r="J244" s="319">
        <v>8</v>
      </c>
      <c r="K244" s="646">
        <v>1.5</v>
      </c>
      <c r="M244" s="441"/>
      <c r="N244" s="47"/>
      <c r="O244" s="319">
        <v>8</v>
      </c>
      <c r="P244" s="646">
        <v>1</v>
      </c>
      <c r="R244" s="47"/>
      <c r="S244" s="47"/>
      <c r="T244" s="319">
        <v>8</v>
      </c>
      <c r="U244" s="646">
        <v>2</v>
      </c>
      <c r="W244" s="47"/>
      <c r="X244" s="47"/>
      <c r="Y244" s="319">
        <v>8</v>
      </c>
      <c r="Z244" s="646">
        <v>0.5</v>
      </c>
      <c r="AA244" s="328">
        <f t="shared" si="39"/>
        <v>40</v>
      </c>
      <c r="AB244" s="298">
        <f t="shared" si="40"/>
        <v>5.25</v>
      </c>
      <c r="AD244" s="47"/>
      <c r="AE244" s="47"/>
      <c r="AF244" s="319"/>
      <c r="AG244" s="328">
        <f t="shared" si="41"/>
        <v>0</v>
      </c>
      <c r="AI244" s="255"/>
      <c r="AJ244" s="180"/>
      <c r="AK244" s="193"/>
      <c r="AL244" s="193"/>
      <c r="AM244" s="193"/>
      <c r="AN244" s="193"/>
      <c r="AO244" s="193"/>
      <c r="AP244" s="193"/>
      <c r="AQ244" s="180"/>
      <c r="AR244" s="180"/>
      <c r="AS244" s="180"/>
      <c r="AT244" s="180"/>
      <c r="AU244" s="180"/>
      <c r="AV244" s="180"/>
      <c r="AW244" s="180"/>
    </row>
    <row r="245" spans="1:49" s="4" customFormat="1">
      <c r="A245" s="180"/>
      <c r="B245" s="502" t="s">
        <v>484</v>
      </c>
      <c r="C245" s="47"/>
      <c r="D245" s="47"/>
      <c r="E245" s="319">
        <v>8</v>
      </c>
      <c r="F245" s="646">
        <v>0.25</v>
      </c>
      <c r="H245" s="47"/>
      <c r="I245" s="47"/>
      <c r="J245" s="319">
        <v>8</v>
      </c>
      <c r="K245" s="646">
        <v>1.5</v>
      </c>
      <c r="M245" s="441"/>
      <c r="N245" s="47"/>
      <c r="O245" s="319">
        <v>8</v>
      </c>
      <c r="P245" s="646">
        <v>1</v>
      </c>
      <c r="R245" s="47"/>
      <c r="S245" s="47"/>
      <c r="T245" s="319">
        <v>8</v>
      </c>
      <c r="U245" s="646">
        <v>2</v>
      </c>
      <c r="W245" s="47"/>
      <c r="X245" s="47"/>
      <c r="Y245" s="319">
        <v>8</v>
      </c>
      <c r="Z245" s="646">
        <v>0.5</v>
      </c>
      <c r="AA245" s="328">
        <f t="shared" si="39"/>
        <v>40</v>
      </c>
      <c r="AB245" s="298">
        <f t="shared" si="40"/>
        <v>5.25</v>
      </c>
      <c r="AD245" s="47"/>
      <c r="AE245" s="47"/>
      <c r="AF245" s="319"/>
      <c r="AG245" s="328">
        <f t="shared" si="41"/>
        <v>0</v>
      </c>
      <c r="AI245" s="255"/>
      <c r="AJ245" s="180"/>
      <c r="AK245" s="193"/>
      <c r="AL245" s="193"/>
      <c r="AM245" s="193"/>
      <c r="AN245" s="193"/>
      <c r="AO245" s="193"/>
      <c r="AP245" s="193"/>
      <c r="AQ245" s="180"/>
      <c r="AR245" s="180"/>
      <c r="AS245" s="180"/>
      <c r="AT245" s="180"/>
      <c r="AU245" s="180"/>
      <c r="AV245" s="180"/>
      <c r="AW245" s="180"/>
    </row>
    <row r="246" spans="1:49" s="4" customFormat="1">
      <c r="A246" s="180"/>
      <c r="B246" s="502" t="s">
        <v>485</v>
      </c>
      <c r="C246" s="47"/>
      <c r="D246" s="47"/>
      <c r="E246" s="319">
        <v>8</v>
      </c>
      <c r="F246" s="646">
        <v>0.25</v>
      </c>
      <c r="H246" s="47"/>
      <c r="I246" s="47"/>
      <c r="J246" s="319">
        <v>8</v>
      </c>
      <c r="K246" s="646">
        <v>1.5</v>
      </c>
      <c r="M246" s="47"/>
      <c r="N246" s="47"/>
      <c r="O246" s="319">
        <v>8</v>
      </c>
      <c r="P246" s="646">
        <v>1</v>
      </c>
      <c r="R246" s="47"/>
      <c r="S246" s="47"/>
      <c r="T246" s="319">
        <v>8</v>
      </c>
      <c r="U246" s="646">
        <v>2</v>
      </c>
      <c r="W246" s="47"/>
      <c r="X246" s="47"/>
      <c r="Y246" s="319">
        <v>8</v>
      </c>
      <c r="Z246" s="646">
        <v>0.5</v>
      </c>
      <c r="AA246" s="328">
        <f t="shared" si="39"/>
        <v>40</v>
      </c>
      <c r="AB246" s="298">
        <f t="shared" si="40"/>
        <v>5.25</v>
      </c>
      <c r="AD246" s="47"/>
      <c r="AE246" s="47"/>
      <c r="AF246" s="319"/>
      <c r="AG246" s="328">
        <f t="shared" si="41"/>
        <v>0</v>
      </c>
      <c r="AI246" s="255"/>
      <c r="AJ246" s="180"/>
      <c r="AK246" s="193"/>
      <c r="AL246" s="193"/>
      <c r="AM246" s="193"/>
      <c r="AN246" s="193"/>
      <c r="AO246" s="193"/>
      <c r="AP246" s="193"/>
      <c r="AQ246" s="180"/>
      <c r="AR246" s="180"/>
      <c r="AS246" s="180"/>
      <c r="AT246" s="180"/>
      <c r="AU246" s="180"/>
      <c r="AV246" s="180"/>
      <c r="AW246" s="180"/>
    </row>
    <row r="247" spans="1:49" s="4" customFormat="1">
      <c r="A247" s="180"/>
      <c r="B247" s="502" t="s">
        <v>486</v>
      </c>
      <c r="C247" s="47"/>
      <c r="D247" s="47"/>
      <c r="E247" s="319"/>
      <c r="F247" s="646"/>
      <c r="H247" s="47"/>
      <c r="I247" s="47"/>
      <c r="J247" s="319"/>
      <c r="K247" s="646"/>
      <c r="M247" s="5"/>
      <c r="N247" s="5"/>
      <c r="O247" s="319"/>
      <c r="P247" s="646"/>
      <c r="R247" s="5"/>
      <c r="S247" s="5"/>
      <c r="T247" s="319"/>
      <c r="U247" s="646"/>
      <c r="W247" s="5"/>
      <c r="X247" s="5"/>
      <c r="Y247" s="319"/>
      <c r="Z247" s="646"/>
      <c r="AA247" s="328">
        <f t="shared" si="39"/>
        <v>0</v>
      </c>
      <c r="AB247" s="298">
        <f t="shared" si="40"/>
        <v>0</v>
      </c>
      <c r="AD247" s="47"/>
      <c r="AE247" s="47"/>
      <c r="AF247" s="319"/>
      <c r="AG247" s="328">
        <f t="shared" si="41"/>
        <v>0</v>
      </c>
      <c r="AI247" s="255"/>
      <c r="AJ247" s="180"/>
      <c r="AK247" s="193"/>
      <c r="AL247" s="193"/>
      <c r="AM247" s="193"/>
      <c r="AN247" s="193"/>
      <c r="AO247" s="193"/>
      <c r="AP247" s="193"/>
      <c r="AQ247" s="180"/>
      <c r="AR247" s="180"/>
      <c r="AS247" s="180"/>
      <c r="AT247" s="180"/>
      <c r="AU247" s="180"/>
      <c r="AV247" s="180"/>
      <c r="AW247" s="180"/>
    </row>
    <row r="248" spans="1:49" s="4" customFormat="1">
      <c r="A248" s="180"/>
      <c r="B248" s="63" t="s">
        <v>1116</v>
      </c>
      <c r="C248" s="47"/>
      <c r="D248" s="47"/>
      <c r="E248" s="319">
        <v>8</v>
      </c>
      <c r="F248" s="646"/>
      <c r="H248" s="47"/>
      <c r="I248" s="47"/>
      <c r="J248" s="319">
        <v>8</v>
      </c>
      <c r="K248" s="646"/>
      <c r="M248" s="47"/>
      <c r="N248" s="47"/>
      <c r="O248" s="319">
        <v>8</v>
      </c>
      <c r="P248" s="646"/>
      <c r="R248" s="663"/>
      <c r="S248" s="663"/>
      <c r="T248" s="319">
        <v>8</v>
      </c>
      <c r="U248" s="646"/>
      <c r="W248" s="663"/>
      <c r="X248" s="663"/>
      <c r="Y248" s="319">
        <v>8</v>
      </c>
      <c r="Z248" s="646"/>
      <c r="AA248" s="328">
        <f t="shared" si="39"/>
        <v>40</v>
      </c>
      <c r="AB248" s="298">
        <f t="shared" si="40"/>
        <v>0</v>
      </c>
      <c r="AD248" s="47"/>
      <c r="AE248" s="47"/>
      <c r="AF248" s="319"/>
      <c r="AG248" s="328">
        <f t="shared" si="41"/>
        <v>0</v>
      </c>
      <c r="AI248" s="255"/>
      <c r="AJ248" s="180"/>
      <c r="AK248" s="193"/>
      <c r="AL248" s="193"/>
      <c r="AM248" s="193"/>
      <c r="AN248" s="193"/>
      <c r="AO248" s="193"/>
      <c r="AP248" s="193"/>
      <c r="AQ248" s="180"/>
      <c r="AR248" s="180"/>
      <c r="AS248" s="180"/>
      <c r="AT248" s="180"/>
      <c r="AU248" s="180"/>
      <c r="AV248" s="180"/>
      <c r="AW248" s="180"/>
    </row>
    <row r="249" spans="1:49" s="4" customFormat="1">
      <c r="A249" s="180"/>
      <c r="B249" s="267" t="s">
        <v>358</v>
      </c>
      <c r="C249" s="47"/>
      <c r="D249" s="47"/>
      <c r="E249" s="319">
        <v>6</v>
      </c>
      <c r="F249" s="646"/>
      <c r="H249" s="47"/>
      <c r="I249" s="47"/>
      <c r="J249" s="319">
        <v>6</v>
      </c>
      <c r="K249" s="646"/>
      <c r="L249" s="438"/>
      <c r="M249" s="663"/>
      <c r="N249" s="663"/>
      <c r="O249" s="319">
        <v>6</v>
      </c>
      <c r="P249" s="646"/>
      <c r="Q249" s="438"/>
      <c r="R249" s="663"/>
      <c r="S249" s="663"/>
      <c r="T249" s="319">
        <v>6</v>
      </c>
      <c r="U249" s="646"/>
      <c r="V249" s="438"/>
      <c r="W249" s="663"/>
      <c r="X249" s="663"/>
      <c r="Y249" s="319">
        <v>6</v>
      </c>
      <c r="Z249" s="646"/>
      <c r="AA249" s="328">
        <f t="shared" si="39"/>
        <v>30</v>
      </c>
      <c r="AB249" s="298">
        <f t="shared" si="40"/>
        <v>0</v>
      </c>
      <c r="AD249" s="47"/>
      <c r="AE249" s="47"/>
      <c r="AF249" s="319"/>
      <c r="AG249" s="328">
        <f t="shared" si="41"/>
        <v>0</v>
      </c>
      <c r="AI249" s="255"/>
      <c r="AJ249" s="180"/>
      <c r="AK249" s="193"/>
      <c r="AL249" s="193"/>
      <c r="AM249" s="193"/>
      <c r="AN249" s="193"/>
      <c r="AO249" s="193"/>
      <c r="AP249" s="193"/>
      <c r="AQ249" s="180"/>
      <c r="AR249" s="180"/>
      <c r="AS249" s="180"/>
      <c r="AT249" s="180"/>
      <c r="AU249" s="180"/>
      <c r="AV249" s="180"/>
      <c r="AW249" s="180"/>
    </row>
    <row r="250" spans="1:49" s="193" customFormat="1">
      <c r="A250" s="180"/>
      <c r="B250" s="267" t="s">
        <v>991</v>
      </c>
      <c r="C250" s="47"/>
      <c r="D250" s="47"/>
      <c r="E250" s="319"/>
      <c r="F250" s="646"/>
      <c r="G250" s="4"/>
      <c r="H250" s="47"/>
      <c r="I250" s="47"/>
      <c r="J250" s="319"/>
      <c r="K250" s="646"/>
      <c r="L250" s="438"/>
      <c r="M250" s="5"/>
      <c r="N250" s="5"/>
      <c r="O250" s="319"/>
      <c r="P250" s="646"/>
      <c r="Q250" s="438"/>
      <c r="R250" s="5"/>
      <c r="S250" s="5"/>
      <c r="T250" s="319"/>
      <c r="U250" s="646"/>
      <c r="V250" s="438"/>
      <c r="W250" s="5"/>
      <c r="X250" s="5"/>
      <c r="Y250" s="319"/>
      <c r="Z250" s="646"/>
      <c r="AA250" s="328">
        <f t="shared" si="39"/>
        <v>0</v>
      </c>
      <c r="AB250" s="298">
        <f t="shared" si="40"/>
        <v>0</v>
      </c>
      <c r="AC250" s="4"/>
      <c r="AD250" s="47"/>
      <c r="AE250" s="47"/>
      <c r="AF250" s="319"/>
      <c r="AG250" s="328">
        <f t="shared" si="41"/>
        <v>0</v>
      </c>
      <c r="AH250" s="4"/>
      <c r="AI250" s="255"/>
      <c r="AJ250" s="180"/>
      <c r="AQ250" s="180"/>
      <c r="AR250" s="180"/>
      <c r="AS250" s="180"/>
      <c r="AT250" s="180"/>
      <c r="AU250" s="180"/>
      <c r="AV250" s="180"/>
      <c r="AW250" s="180"/>
    </row>
    <row r="251" spans="1:49" s="193" customFormat="1">
      <c r="A251" s="180"/>
      <c r="B251" s="267" t="s">
        <v>411</v>
      </c>
      <c r="C251" s="47"/>
      <c r="D251" s="47"/>
      <c r="E251" s="319"/>
      <c r="F251" s="646"/>
      <c r="G251" s="4"/>
      <c r="H251" s="47"/>
      <c r="I251" s="47"/>
      <c r="J251" s="319"/>
      <c r="K251" s="646"/>
      <c r="L251" s="438"/>
      <c r="M251" s="5"/>
      <c r="N251" s="5"/>
      <c r="O251" s="319"/>
      <c r="P251" s="646"/>
      <c r="Q251" s="438"/>
      <c r="R251" s="5"/>
      <c r="S251" s="5"/>
      <c r="T251" s="319"/>
      <c r="U251" s="646"/>
      <c r="V251" s="438"/>
      <c r="W251" s="5"/>
      <c r="X251" s="5"/>
      <c r="Y251" s="319"/>
      <c r="Z251" s="646"/>
      <c r="AA251" s="328">
        <f t="shared" si="39"/>
        <v>0</v>
      </c>
      <c r="AB251" s="298">
        <f t="shared" si="40"/>
        <v>0</v>
      </c>
      <c r="AC251" s="4"/>
      <c r="AD251" s="47"/>
      <c r="AE251" s="47"/>
      <c r="AF251" s="319"/>
      <c r="AG251" s="328">
        <f t="shared" si="41"/>
        <v>0</v>
      </c>
      <c r="AH251" s="4"/>
      <c r="AI251" s="255"/>
      <c r="AJ251" s="180"/>
      <c r="AQ251" s="180"/>
      <c r="AR251" s="180"/>
      <c r="AS251" s="180"/>
      <c r="AT251" s="180"/>
      <c r="AU251" s="180"/>
      <c r="AV251" s="180"/>
      <c r="AW251" s="180"/>
    </row>
    <row r="252" spans="1:49" s="193" customFormat="1">
      <c r="A252" s="180"/>
      <c r="B252" s="267" t="s">
        <v>361</v>
      </c>
      <c r="C252" s="47"/>
      <c r="D252" s="47"/>
      <c r="E252" s="319"/>
      <c r="F252" s="646"/>
      <c r="G252" s="4"/>
      <c r="H252" s="47"/>
      <c r="I252" s="47"/>
      <c r="J252" s="319"/>
      <c r="K252" s="646"/>
      <c r="L252" s="438"/>
      <c r="M252" s="5"/>
      <c r="N252" s="5"/>
      <c r="O252" s="319"/>
      <c r="P252" s="646"/>
      <c r="Q252" s="438"/>
      <c r="R252" s="5"/>
      <c r="S252" s="5"/>
      <c r="T252" s="319"/>
      <c r="U252" s="646"/>
      <c r="V252" s="438"/>
      <c r="W252" s="5"/>
      <c r="X252" s="5"/>
      <c r="Y252" s="319"/>
      <c r="Z252" s="646"/>
      <c r="AA252" s="328">
        <f t="shared" si="39"/>
        <v>0</v>
      </c>
      <c r="AB252" s="298">
        <f t="shared" si="40"/>
        <v>0</v>
      </c>
      <c r="AC252" s="4"/>
      <c r="AD252" s="47"/>
      <c r="AE252" s="47"/>
      <c r="AF252" s="319"/>
      <c r="AG252" s="328">
        <f t="shared" si="41"/>
        <v>0</v>
      </c>
      <c r="AH252" s="4"/>
      <c r="AI252" s="255"/>
      <c r="AJ252" s="180"/>
      <c r="AQ252" s="180"/>
      <c r="AR252" s="180"/>
      <c r="AS252" s="180"/>
      <c r="AT252" s="180"/>
      <c r="AU252" s="180"/>
      <c r="AV252" s="180"/>
      <c r="AW252" s="180"/>
    </row>
    <row r="253" spans="1:49" s="193" customFormat="1">
      <c r="A253" s="180"/>
      <c r="B253" s="267" t="s">
        <v>362</v>
      </c>
      <c r="C253" s="47"/>
      <c r="D253" s="47"/>
      <c r="E253" s="319">
        <v>1</v>
      </c>
      <c r="F253" s="646"/>
      <c r="G253" s="4"/>
      <c r="H253" s="47"/>
      <c r="I253" s="47"/>
      <c r="J253" s="319">
        <v>1</v>
      </c>
      <c r="K253" s="646"/>
      <c r="L253" s="438"/>
      <c r="M253" s="47"/>
      <c r="N253" s="47"/>
      <c r="O253" s="319">
        <v>1</v>
      </c>
      <c r="P253" s="646"/>
      <c r="Q253" s="438"/>
      <c r="R253" s="47"/>
      <c r="S253" s="47"/>
      <c r="T253" s="319">
        <v>1</v>
      </c>
      <c r="U253" s="646"/>
      <c r="V253" s="438"/>
      <c r="W253" s="5"/>
      <c r="X253" s="5"/>
      <c r="Y253" s="319">
        <v>1</v>
      </c>
      <c r="Z253" s="646"/>
      <c r="AA253" s="328">
        <f t="shared" si="39"/>
        <v>5</v>
      </c>
      <c r="AB253" s="298">
        <f t="shared" si="40"/>
        <v>0</v>
      </c>
      <c r="AC253" s="4"/>
      <c r="AD253" s="47"/>
      <c r="AE253" s="47"/>
      <c r="AF253" s="319"/>
      <c r="AG253" s="328">
        <f t="shared" si="41"/>
        <v>0</v>
      </c>
      <c r="AH253" s="4"/>
      <c r="AI253" s="255"/>
      <c r="AJ253" s="180"/>
      <c r="AQ253" s="180"/>
      <c r="AR253" s="180"/>
      <c r="AS253" s="180"/>
      <c r="AT253" s="180"/>
      <c r="AU253" s="180"/>
      <c r="AV253" s="180"/>
      <c r="AW253" s="180"/>
    </row>
    <row r="254" spans="1:49" s="193" customFormat="1">
      <c r="A254" s="180"/>
      <c r="B254" s="437" t="s">
        <v>355</v>
      </c>
      <c r="C254" s="47"/>
      <c r="D254" s="47"/>
      <c r="E254" s="319">
        <v>7.7</v>
      </c>
      <c r="F254" s="646"/>
      <c r="G254" s="4"/>
      <c r="H254" s="47"/>
      <c r="I254" s="47"/>
      <c r="J254" s="319">
        <v>7.7</v>
      </c>
      <c r="K254" s="646"/>
      <c r="L254" s="438"/>
      <c r="M254" s="5"/>
      <c r="N254" s="5"/>
      <c r="O254" s="319">
        <v>7.7</v>
      </c>
      <c r="P254" s="646"/>
      <c r="Q254" s="438"/>
      <c r="R254" s="5"/>
      <c r="S254" s="5"/>
      <c r="T254" s="319">
        <v>7.7</v>
      </c>
      <c r="U254" s="646"/>
      <c r="V254" s="438"/>
      <c r="W254" s="5"/>
      <c r="X254" s="5"/>
      <c r="Y254" s="319">
        <v>7.7</v>
      </c>
      <c r="Z254" s="646"/>
      <c r="AA254" s="328">
        <f t="shared" si="39"/>
        <v>38.5</v>
      </c>
      <c r="AB254" s="298">
        <f t="shared" si="40"/>
        <v>0</v>
      </c>
      <c r="AC254" s="4"/>
      <c r="AD254" s="47"/>
      <c r="AE254" s="47"/>
      <c r="AF254" s="319"/>
      <c r="AG254" s="328">
        <f t="shared" si="41"/>
        <v>0</v>
      </c>
      <c r="AH254" s="4"/>
      <c r="AI254" s="255"/>
      <c r="AJ254" s="180"/>
      <c r="AQ254" s="180"/>
      <c r="AR254" s="180"/>
      <c r="AS254" s="180"/>
      <c r="AT254" s="180"/>
      <c r="AU254" s="180"/>
      <c r="AV254" s="180"/>
      <c r="AW254" s="180"/>
    </row>
    <row r="255" spans="1:49" s="193" customFormat="1">
      <c r="A255" s="180"/>
      <c r="B255" s="437" t="s">
        <v>356</v>
      </c>
      <c r="C255" s="713"/>
      <c r="D255" s="713"/>
      <c r="E255" s="319" t="s">
        <v>1120</v>
      </c>
      <c r="F255" s="646"/>
      <c r="G255" s="438"/>
      <c r="H255" s="5"/>
      <c r="I255" s="5"/>
      <c r="J255" s="319"/>
      <c r="K255" s="646"/>
      <c r="L255" s="438"/>
      <c r="M255" s="5"/>
      <c r="N255" s="5"/>
      <c r="O255" s="319"/>
      <c r="P255" s="646"/>
      <c r="Q255" s="438"/>
      <c r="R255" s="5"/>
      <c r="S255" s="5"/>
      <c r="T255" s="319"/>
      <c r="U255" s="646"/>
      <c r="V255" s="438"/>
      <c r="W255" s="5"/>
      <c r="X255" s="5"/>
      <c r="Y255" s="319">
        <v>6</v>
      </c>
      <c r="Z255" s="646"/>
      <c r="AA255" s="328">
        <f t="shared" si="39"/>
        <v>22.3</v>
      </c>
      <c r="AB255" s="298">
        <f t="shared" si="40"/>
        <v>0</v>
      </c>
      <c r="AC255" s="4"/>
      <c r="AD255" s="47"/>
      <c r="AE255" s="47"/>
      <c r="AF255" s="319"/>
      <c r="AG255" s="328">
        <f t="shared" si="41"/>
        <v>0</v>
      </c>
      <c r="AH255" s="4"/>
      <c r="AI255" s="255"/>
      <c r="AJ255" s="180"/>
      <c r="AQ255" s="180"/>
      <c r="AR255" s="180"/>
      <c r="AS255" s="180"/>
      <c r="AT255" s="180"/>
      <c r="AU255" s="180"/>
      <c r="AV255" s="180"/>
      <c r="AW255" s="180"/>
    </row>
    <row r="256" spans="1:49" s="193" customFormat="1">
      <c r="A256" s="180"/>
      <c r="B256" s="64" t="s">
        <v>61</v>
      </c>
      <c r="C256" s="31"/>
      <c r="D256" s="31"/>
      <c r="E256" s="439"/>
      <c r="F256" s="646"/>
      <c r="G256" s="31"/>
      <c r="H256" s="31"/>
      <c r="I256" s="31"/>
      <c r="J256" s="439"/>
      <c r="K256" s="646"/>
      <c r="L256" s="31"/>
      <c r="M256" s="31"/>
      <c r="N256" s="31"/>
      <c r="O256" s="439"/>
      <c r="P256" s="646"/>
      <c r="Q256" s="31"/>
      <c r="R256" s="31"/>
      <c r="S256" s="31"/>
      <c r="T256" s="439"/>
      <c r="U256" s="646"/>
      <c r="V256" s="31"/>
      <c r="W256" s="31"/>
      <c r="X256" s="31"/>
      <c r="Y256" s="439"/>
      <c r="Z256" s="646"/>
      <c r="AA256" s="370">
        <f>SUM(AA232:AA255)</f>
        <v>465.5</v>
      </c>
      <c r="AB256" s="370">
        <f>SUM(AB232:AB255)</f>
        <v>15.75</v>
      </c>
      <c r="AC256" s="4"/>
      <c r="AD256" s="64"/>
      <c r="AE256" s="64"/>
      <c r="AF256" s="370">
        <f>SUM(AF232:AF255)</f>
        <v>0</v>
      </c>
      <c r="AG256" s="370">
        <f>SUM(AG232:AG255)</f>
        <v>0</v>
      </c>
      <c r="AH256" s="4"/>
      <c r="AI256" s="255"/>
      <c r="AJ256" s="180"/>
      <c r="AK256" s="407"/>
      <c r="AQ256" s="180"/>
      <c r="AR256" s="180"/>
      <c r="AS256" s="180"/>
      <c r="AT256" s="180"/>
      <c r="AU256" s="180"/>
      <c r="AV256" s="180"/>
      <c r="AW256" s="180"/>
    </row>
    <row r="257" spans="1:49" s="193" customFormat="1">
      <c r="A257" s="180"/>
      <c r="B257" s="63" t="s">
        <v>64</v>
      </c>
      <c r="C257" s="47"/>
      <c r="D257" s="47"/>
      <c r="E257" s="319">
        <v>8</v>
      </c>
      <c r="F257" s="346">
        <v>0.5</v>
      </c>
      <c r="G257" s="613"/>
      <c r="H257" s="47"/>
      <c r="I257" s="47"/>
      <c r="J257" s="319">
        <v>8</v>
      </c>
      <c r="K257" s="346">
        <v>0.5</v>
      </c>
      <c r="L257" s="60"/>
      <c r="M257" s="47"/>
      <c r="N257" s="47"/>
      <c r="O257" s="319">
        <v>8</v>
      </c>
      <c r="P257" s="346"/>
      <c r="Q257" s="60"/>
      <c r="R257" s="47"/>
      <c r="S257" s="47"/>
      <c r="T257" s="319">
        <v>8</v>
      </c>
      <c r="U257" s="346">
        <v>1</v>
      </c>
      <c r="V257" s="60"/>
      <c r="W257" s="47"/>
      <c r="X257" s="47"/>
      <c r="Y257" s="319">
        <v>8</v>
      </c>
      <c r="Z257" s="346">
        <v>1.25</v>
      </c>
      <c r="AA257" s="28">
        <f>SUM(E257+J257+O257+T257+Y257)</f>
        <v>40</v>
      </c>
      <c r="AB257" s="296">
        <f>Z257+U257+P257+K257+F257</f>
        <v>3.25</v>
      </c>
      <c r="AC257" s="4"/>
      <c r="AD257" s="47" t="s">
        <v>29</v>
      </c>
      <c r="AE257" s="47" t="s">
        <v>29</v>
      </c>
      <c r="AF257" s="319">
        <v>2</v>
      </c>
      <c r="AG257" s="29">
        <f>AF257</f>
        <v>2</v>
      </c>
      <c r="AH257" s="4"/>
      <c r="AI257" s="255"/>
      <c r="AJ257" s="180"/>
      <c r="AK257" s="407"/>
      <c r="AQ257" s="180"/>
      <c r="AR257" s="180"/>
      <c r="AS257" s="180"/>
      <c r="AT257" s="180"/>
      <c r="AU257" s="180"/>
      <c r="AV257" s="180"/>
      <c r="AW257" s="180"/>
    </row>
    <row r="258" spans="1:49" s="193" customFormat="1">
      <c r="A258" s="180"/>
      <c r="B258" s="71" t="s">
        <v>66</v>
      </c>
      <c r="C258" s="371"/>
      <c r="D258" s="371"/>
      <c r="E258" s="71"/>
      <c r="F258" s="613"/>
      <c r="G258" s="71"/>
      <c r="H258" s="71"/>
      <c r="I258" s="71"/>
      <c r="J258" s="71"/>
      <c r="K258" s="613"/>
      <c r="L258" s="71"/>
      <c r="M258" s="71"/>
      <c r="N258" s="71"/>
      <c r="O258" s="71"/>
      <c r="P258" s="613"/>
      <c r="Q258" s="71"/>
      <c r="R258" s="71"/>
      <c r="S258" s="71"/>
      <c r="T258" s="71"/>
      <c r="U258" s="613"/>
      <c r="V258" s="71"/>
      <c r="W258" s="71"/>
      <c r="X258" s="71"/>
      <c r="Y258" s="71"/>
      <c r="Z258" s="613"/>
      <c r="AA258" s="370">
        <f>SUM(AA257:AA257)</f>
        <v>40</v>
      </c>
      <c r="AB258" s="370">
        <f>SUM(AB257:AB257)</f>
        <v>3.25</v>
      </c>
      <c r="AC258" s="4"/>
      <c r="AD258" s="180"/>
      <c r="AE258" s="180"/>
      <c r="AF258" s="180"/>
      <c r="AG258" s="370">
        <f>SUM(AG257:AG257)</f>
        <v>2</v>
      </c>
      <c r="AH258" s="4"/>
      <c r="AI258" s="255"/>
      <c r="AJ258" s="180"/>
      <c r="AK258" s="407"/>
      <c r="AQ258" s="180"/>
      <c r="AR258" s="180"/>
      <c r="AS258" s="180"/>
      <c r="AT258" s="180"/>
      <c r="AU258" s="180"/>
      <c r="AV258" s="180"/>
      <c r="AW258" s="180"/>
    </row>
    <row r="259" spans="1:49" s="193" customFormat="1">
      <c r="A259" s="180"/>
      <c r="B259" s="217" t="s">
        <v>67</v>
      </c>
      <c r="C259" s="207">
        <f>C260+C261</f>
        <v>34</v>
      </c>
      <c r="D259" s="207"/>
      <c r="E259" s="209"/>
      <c r="F259" s="209"/>
      <c r="G259" s="207"/>
      <c r="H259" s="209"/>
      <c r="I259" s="209"/>
      <c r="J259" s="209"/>
      <c r="K259" s="209"/>
      <c r="L259" s="207"/>
      <c r="M259" s="207"/>
      <c r="N259" s="207"/>
      <c r="O259" s="207"/>
      <c r="P259" s="209"/>
      <c r="Q259" s="207"/>
      <c r="R259" s="207"/>
      <c r="S259" s="207"/>
      <c r="T259" s="207"/>
      <c r="U259" s="209"/>
      <c r="V259" s="207"/>
      <c r="W259" s="207"/>
      <c r="X259" s="207"/>
      <c r="Y259" s="210"/>
      <c r="Z259" s="209"/>
      <c r="AA259" s="211"/>
      <c r="AB259" s="209"/>
      <c r="AC259" s="211"/>
      <c r="AD259" s="211"/>
      <c r="AE259" s="211"/>
      <c r="AF259" s="211"/>
      <c r="AG259" s="211"/>
      <c r="AH259" s="4"/>
      <c r="AI259" s="255"/>
      <c r="AJ259" s="180"/>
      <c r="AQ259" s="180"/>
      <c r="AR259" s="180"/>
      <c r="AS259" s="180"/>
      <c r="AT259" s="180"/>
      <c r="AU259" s="180"/>
      <c r="AV259" s="180"/>
      <c r="AW259" s="180"/>
    </row>
    <row r="260" spans="1:49" s="193" customFormat="1">
      <c r="A260" s="180"/>
      <c r="B260" s="238" t="s">
        <v>68</v>
      </c>
      <c r="C260" s="239">
        <f>3+1+7+2+2</f>
        <v>15</v>
      </c>
      <c r="D260" s="207"/>
      <c r="E260" s="209"/>
      <c r="F260" s="209"/>
      <c r="G260" s="207"/>
      <c r="H260" s="209"/>
      <c r="I260" s="209"/>
      <c r="J260" s="209"/>
      <c r="K260" s="209"/>
      <c r="L260" s="207"/>
      <c r="M260" s="207"/>
      <c r="N260" s="207"/>
      <c r="O260" s="207"/>
      <c r="P260" s="209"/>
      <c r="Q260" s="207"/>
      <c r="R260" s="207"/>
      <c r="S260" s="207"/>
      <c r="T260" s="207"/>
      <c r="U260" s="209"/>
      <c r="V260" s="207"/>
      <c r="W260" s="207"/>
      <c r="X260" s="207"/>
      <c r="Y260" s="210"/>
      <c r="Z260" s="209"/>
      <c r="AA260" s="211"/>
      <c r="AB260" s="209"/>
      <c r="AC260" s="211"/>
      <c r="AD260" s="211"/>
      <c r="AE260" s="211"/>
      <c r="AF260" s="211"/>
      <c r="AG260" s="211"/>
      <c r="AH260" s="4"/>
      <c r="AI260" s="255"/>
      <c r="AJ260" s="180"/>
      <c r="AQ260" s="180"/>
      <c r="AR260" s="180"/>
      <c r="AS260" s="180"/>
      <c r="AT260" s="180"/>
      <c r="AU260" s="180"/>
      <c r="AV260" s="180"/>
      <c r="AW260" s="180"/>
    </row>
    <row r="261" spans="1:49" s="193" customFormat="1">
      <c r="A261" s="180"/>
      <c r="B261" s="238" t="s">
        <v>69</v>
      </c>
      <c r="C261" s="239">
        <f>4+5+2+2+6</f>
        <v>19</v>
      </c>
      <c r="D261" s="207"/>
      <c r="E261" s="209"/>
      <c r="F261" s="209"/>
      <c r="G261" s="207"/>
      <c r="H261" s="209"/>
      <c r="I261" s="209"/>
      <c r="J261" s="209"/>
      <c r="K261" s="209"/>
      <c r="L261" s="207"/>
      <c r="M261" s="207"/>
      <c r="N261" s="207"/>
      <c r="O261" s="207"/>
      <c r="P261" s="209"/>
      <c r="Q261" s="207"/>
      <c r="R261" s="207"/>
      <c r="S261" s="207"/>
      <c r="T261" s="207"/>
      <c r="U261" s="209"/>
      <c r="V261" s="207"/>
      <c r="W261" s="207"/>
      <c r="X261" s="207"/>
      <c r="Y261" s="210"/>
      <c r="Z261" s="209"/>
      <c r="AA261" s="211"/>
      <c r="AB261" s="209"/>
      <c r="AC261" s="211"/>
      <c r="AD261" s="211"/>
      <c r="AE261" s="211"/>
      <c r="AF261" s="211"/>
      <c r="AG261" s="211"/>
      <c r="AH261" s="4"/>
      <c r="AI261" s="255"/>
      <c r="AJ261" s="180"/>
      <c r="AQ261" s="180"/>
      <c r="AR261" s="180"/>
      <c r="AS261" s="180"/>
      <c r="AT261" s="180"/>
      <c r="AU261" s="180"/>
      <c r="AV261" s="180"/>
      <c r="AW261" s="180"/>
    </row>
    <row r="262" spans="1:49">
      <c r="E262" s="4"/>
      <c r="F262" s="644"/>
      <c r="G262" s="4"/>
      <c r="J262" s="4"/>
      <c r="K262" s="644"/>
      <c r="L262" s="4"/>
      <c r="O262" s="4"/>
      <c r="P262" s="644"/>
      <c r="T262" s="4"/>
      <c r="U262" s="644"/>
      <c r="Y262" s="4"/>
      <c r="Z262" s="644"/>
      <c r="AA262" s="4"/>
      <c r="AB262" s="4"/>
      <c r="AC262" s="4"/>
    </row>
    <row r="263" spans="1:49">
      <c r="A263" s="180"/>
      <c r="B263" s="229"/>
      <c r="C263" s="230"/>
      <c r="D263" s="230"/>
      <c r="E263" s="232"/>
      <c r="F263" s="232"/>
      <c r="G263" s="230"/>
      <c r="H263" s="232"/>
      <c r="I263" s="232"/>
      <c r="J263" s="232"/>
      <c r="K263" s="232"/>
      <c r="L263" s="230"/>
      <c r="M263" s="230"/>
      <c r="N263" s="230"/>
      <c r="O263" s="230"/>
      <c r="P263" s="232"/>
      <c r="Q263" s="230"/>
      <c r="R263" s="230"/>
      <c r="S263" s="230"/>
      <c r="T263" s="230"/>
      <c r="U263" s="232"/>
      <c r="V263" s="230"/>
      <c r="W263" s="230"/>
      <c r="X263" s="230"/>
      <c r="Y263" s="233"/>
      <c r="Z263" s="232"/>
      <c r="AA263" s="234"/>
      <c r="AB263" s="232"/>
      <c r="AC263" s="373"/>
      <c r="AD263" s="236"/>
      <c r="AE263" s="255"/>
      <c r="AF263" s="255"/>
      <c r="AG263" s="255"/>
      <c r="AH263" s="255"/>
      <c r="AJ263" s="255"/>
      <c r="AK263" s="255"/>
      <c r="AL263" s="255"/>
      <c r="AM263" s="255"/>
      <c r="AN263" s="255"/>
      <c r="AO263" s="255"/>
      <c r="AP263" s="255"/>
      <c r="AQ263" s="255"/>
      <c r="AR263" s="255"/>
      <c r="AS263" s="255"/>
      <c r="AT263" s="255"/>
      <c r="AU263" s="255"/>
      <c r="AV263" s="255"/>
      <c r="AW263" s="255"/>
    </row>
    <row r="264" spans="1:49">
      <c r="B264" s="180"/>
      <c r="E264" s="4"/>
      <c r="F264" s="644"/>
      <c r="G264" s="4"/>
      <c r="J264" s="4"/>
      <c r="K264" s="644"/>
      <c r="L264" s="4"/>
      <c r="O264" s="4"/>
      <c r="P264" s="644"/>
      <c r="T264" s="4"/>
      <c r="U264" s="644"/>
      <c r="Y264" s="4"/>
      <c r="Z264" s="644"/>
      <c r="AA264" s="4"/>
      <c r="AB264" s="4"/>
      <c r="AC264" s="4"/>
      <c r="AK264" s="180"/>
      <c r="AL264" s="180"/>
      <c r="AM264" s="180"/>
      <c r="AN264" s="180"/>
      <c r="AO264" s="180"/>
      <c r="AP264" s="180"/>
    </row>
    <row r="265" spans="1:49" ht="10.9" customHeight="1">
      <c r="A265" s="228"/>
      <c r="B265" s="1518" t="s">
        <v>18</v>
      </c>
      <c r="C265" s="1519">
        <v>45761</v>
      </c>
      <c r="D265" s="1519"/>
      <c r="E265" s="1519" t="s">
        <v>564</v>
      </c>
      <c r="F265" s="1519"/>
      <c r="G265" s="365"/>
      <c r="H265" s="1519">
        <v>45762</v>
      </c>
      <c r="I265" s="1519"/>
      <c r="J265" s="1519" t="s">
        <v>565</v>
      </c>
      <c r="K265" s="1519"/>
      <c r="L265" s="365"/>
      <c r="M265" s="1519">
        <v>45763</v>
      </c>
      <c r="N265" s="1519"/>
      <c r="O265" s="1519" t="s">
        <v>566</v>
      </c>
      <c r="P265" s="1519"/>
      <c r="Q265" s="365"/>
      <c r="R265" s="1519">
        <v>45764</v>
      </c>
      <c r="S265" s="1519"/>
      <c r="T265" s="1519" t="s">
        <v>567</v>
      </c>
      <c r="U265" s="1519"/>
      <c r="V265" s="365"/>
      <c r="W265" s="1519">
        <v>45765</v>
      </c>
      <c r="X265" s="1519"/>
      <c r="Y265" s="1519" t="s">
        <v>568</v>
      </c>
      <c r="Z265" s="1519"/>
      <c r="AA265" s="1517" t="s">
        <v>19</v>
      </c>
      <c r="AB265" s="1517" t="s">
        <v>20</v>
      </c>
      <c r="AC265" s="4"/>
      <c r="AD265" s="1519"/>
      <c r="AE265" s="1519"/>
      <c r="AF265" s="14" t="s">
        <v>1111</v>
      </c>
      <c r="AG265" s="1517" t="s">
        <v>21</v>
      </c>
      <c r="AI265" s="368"/>
      <c r="AK265" s="194" t="s">
        <v>84</v>
      </c>
      <c r="AL265" s="366"/>
      <c r="AM265" s="366"/>
      <c r="AN265" s="366"/>
      <c r="AO265" s="366"/>
      <c r="AP265" s="366"/>
    </row>
    <row r="266" spans="1:49">
      <c r="A266" s="180"/>
      <c r="B266" s="1518"/>
      <c r="C266" s="21" t="s">
        <v>23</v>
      </c>
      <c r="D266" s="21" t="s">
        <v>24</v>
      </c>
      <c r="E266" s="205" t="s">
        <v>25</v>
      </c>
      <c r="F266" s="645" t="s">
        <v>14</v>
      </c>
      <c r="G266" s="4"/>
      <c r="H266" s="21"/>
      <c r="I266" s="21" t="s">
        <v>24</v>
      </c>
      <c r="J266" s="18" t="s">
        <v>25</v>
      </c>
      <c r="K266" s="645" t="s">
        <v>14</v>
      </c>
      <c r="L266" s="4"/>
      <c r="M266" s="21" t="s">
        <v>23</v>
      </c>
      <c r="N266" s="21" t="s">
        <v>24</v>
      </c>
      <c r="O266" s="18" t="s">
        <v>25</v>
      </c>
      <c r="P266" s="645" t="s">
        <v>14</v>
      </c>
      <c r="R266" s="21" t="s">
        <v>23</v>
      </c>
      <c r="S266" s="21" t="s">
        <v>24</v>
      </c>
      <c r="T266" s="18" t="s">
        <v>25</v>
      </c>
      <c r="U266" s="645" t="s">
        <v>14</v>
      </c>
      <c r="W266" s="21" t="s">
        <v>23</v>
      </c>
      <c r="X266" s="21" t="s">
        <v>24</v>
      </c>
      <c r="Y266" s="18" t="s">
        <v>25</v>
      </c>
      <c r="Z266" s="645" t="s">
        <v>14</v>
      </c>
      <c r="AA266" s="1517"/>
      <c r="AB266" s="1517"/>
      <c r="AC266" s="4"/>
      <c r="AD266" s="21" t="s">
        <v>23</v>
      </c>
      <c r="AE266" s="21" t="s">
        <v>24</v>
      </c>
      <c r="AF266" s="18" t="s">
        <v>25</v>
      </c>
      <c r="AG266" s="1517"/>
      <c r="AI266" s="368"/>
      <c r="AJ266" s="367"/>
      <c r="AK266" s="188" t="s">
        <v>26</v>
      </c>
      <c r="AL266" s="196">
        <f>AA291</f>
        <v>402.2</v>
      </c>
      <c r="AM266" s="510">
        <v>40.31</v>
      </c>
      <c r="AN266" s="510">
        <f t="shared" ref="AN266:AN271" si="42">AL266*AM266</f>
        <v>16212.682000000001</v>
      </c>
      <c r="AQ266" s="367"/>
      <c r="AR266" s="367"/>
      <c r="AS266" s="367"/>
      <c r="AT266" s="367"/>
      <c r="AU266" s="367"/>
      <c r="AV266" s="367"/>
      <c r="AW266" s="367"/>
    </row>
    <row r="267" spans="1:49" ht="12.75" customHeight="1">
      <c r="A267" s="180"/>
      <c r="B267" s="4" t="s">
        <v>958</v>
      </c>
      <c r="C267" s="47"/>
      <c r="D267" s="47"/>
      <c r="E267" s="319">
        <v>0</v>
      </c>
      <c r="F267" s="646"/>
      <c r="G267" s="4"/>
      <c r="H267" s="47"/>
      <c r="I267" s="47"/>
      <c r="J267" s="319">
        <v>0</v>
      </c>
      <c r="K267" s="646"/>
      <c r="L267" s="4"/>
      <c r="M267" s="441"/>
      <c r="N267" s="47"/>
      <c r="O267" s="319">
        <v>0</v>
      </c>
      <c r="P267" s="646"/>
      <c r="R267" s="47"/>
      <c r="S267" s="47"/>
      <c r="T267" s="319">
        <v>0</v>
      </c>
      <c r="U267" s="646"/>
      <c r="W267" s="47"/>
      <c r="X267" s="47"/>
      <c r="Y267" s="319">
        <v>0</v>
      </c>
      <c r="Z267" s="646"/>
      <c r="AA267" s="328">
        <f t="shared" ref="AA267:AA290" si="43">(E267+J267+O267+T267+Y267)</f>
        <v>0</v>
      </c>
      <c r="AB267" s="298">
        <f t="shared" ref="AB267:AB290" si="44">Z267+U267+P267+K267+F267</f>
        <v>0</v>
      </c>
      <c r="AC267" s="4"/>
      <c r="AD267" s="587"/>
      <c r="AE267" s="531"/>
      <c r="AF267" s="319"/>
      <c r="AG267" s="328">
        <f t="shared" ref="AG267:AG290" si="45">AF267</f>
        <v>0</v>
      </c>
      <c r="AI267" s="368"/>
      <c r="AJ267" s="367"/>
      <c r="AK267" s="188" t="s">
        <v>30</v>
      </c>
      <c r="AL267" s="196">
        <f>AB291</f>
        <v>15</v>
      </c>
      <c r="AM267" s="511">
        <v>60.465000000000003</v>
      </c>
      <c r="AN267" s="510">
        <f t="shared" si="42"/>
        <v>906.97500000000002</v>
      </c>
      <c r="AQ267" s="367"/>
      <c r="AR267" s="367"/>
      <c r="AS267" s="367"/>
      <c r="AT267" s="367"/>
      <c r="AU267" s="367"/>
      <c r="AV267" s="367"/>
      <c r="AW267" s="367"/>
    </row>
    <row r="268" spans="1:49">
      <c r="A268" s="367"/>
      <c r="B268" s="47" t="s">
        <v>515</v>
      </c>
      <c r="C268" s="47">
        <v>0.375</v>
      </c>
      <c r="D268" s="47">
        <v>0.25</v>
      </c>
      <c r="E268" s="319">
        <v>8</v>
      </c>
      <c r="F268" s="646"/>
      <c r="G268" s="4"/>
      <c r="H268" s="47">
        <v>0.375</v>
      </c>
      <c r="I268" s="47">
        <v>0.25</v>
      </c>
      <c r="J268" s="319">
        <v>8</v>
      </c>
      <c r="K268" s="646"/>
      <c r="L268" s="4"/>
      <c r="M268" s="441"/>
      <c r="N268" s="47" t="s">
        <v>1121</v>
      </c>
      <c r="O268" s="319">
        <v>0</v>
      </c>
      <c r="P268" s="646"/>
      <c r="R268" s="714"/>
      <c r="S268" s="714"/>
      <c r="T268" s="319">
        <v>0</v>
      </c>
      <c r="U268" s="646"/>
      <c r="W268" s="714"/>
      <c r="X268" s="714"/>
      <c r="Y268" s="319">
        <v>0</v>
      </c>
      <c r="Z268" s="646"/>
      <c r="AA268" s="328">
        <f t="shared" si="43"/>
        <v>16</v>
      </c>
      <c r="AB268" s="298">
        <f t="shared" si="44"/>
        <v>0</v>
      </c>
      <c r="AC268" s="4"/>
      <c r="AF268" s="319"/>
      <c r="AG268" s="328">
        <f t="shared" si="45"/>
        <v>0</v>
      </c>
      <c r="AH268" s="175"/>
      <c r="AI268" s="402"/>
      <c r="AJ268" s="367"/>
      <c r="AK268" s="188" t="s">
        <v>32</v>
      </c>
      <c r="AL268" s="196">
        <f>AG291</f>
        <v>0</v>
      </c>
      <c r="AM268" s="510">
        <v>60.465000000000003</v>
      </c>
      <c r="AN268" s="510">
        <f t="shared" si="42"/>
        <v>0</v>
      </c>
      <c r="AQ268" s="367"/>
      <c r="AR268" s="367"/>
      <c r="AS268" s="367"/>
      <c r="AT268" s="367"/>
      <c r="AU268" s="367"/>
      <c r="AV268" s="367"/>
      <c r="AW268" s="367"/>
    </row>
    <row r="269" spans="1:49">
      <c r="A269" s="367"/>
      <c r="B269" s="441" t="s">
        <v>962</v>
      </c>
      <c r="C269" s="47"/>
      <c r="D269" s="47"/>
      <c r="E269" s="319">
        <v>0</v>
      </c>
      <c r="F269" s="646"/>
      <c r="G269" s="4"/>
      <c r="H269" s="47"/>
      <c r="I269" s="47"/>
      <c r="J269" s="319">
        <v>0</v>
      </c>
      <c r="K269" s="646"/>
      <c r="L269" s="4"/>
      <c r="M269" s="441"/>
      <c r="N269" s="47"/>
      <c r="O269" s="319">
        <v>0</v>
      </c>
      <c r="P269" s="646"/>
      <c r="R269" s="47"/>
      <c r="S269" s="47"/>
      <c r="T269" s="319">
        <v>0</v>
      </c>
      <c r="U269" s="646"/>
      <c r="W269" s="47"/>
      <c r="X269" s="47"/>
      <c r="Y269" s="319">
        <v>0</v>
      </c>
      <c r="Z269" s="646"/>
      <c r="AA269" s="328">
        <f t="shared" si="43"/>
        <v>0</v>
      </c>
      <c r="AB269" s="298">
        <f t="shared" si="44"/>
        <v>0</v>
      </c>
      <c r="AC269" s="399"/>
      <c r="AD269" s="47"/>
      <c r="AE269" s="47"/>
      <c r="AF269" s="319"/>
      <c r="AG269" s="328">
        <f t="shared" si="45"/>
        <v>0</v>
      </c>
      <c r="AH269" s="175"/>
      <c r="AJ269" s="401"/>
      <c r="AK269" s="403" t="s">
        <v>213</v>
      </c>
      <c r="AL269" s="404">
        <f>AA293</f>
        <v>40</v>
      </c>
      <c r="AM269" s="510">
        <v>53.05</v>
      </c>
      <c r="AN269" s="510">
        <f t="shared" si="42"/>
        <v>2122</v>
      </c>
      <c r="AO269" s="405"/>
      <c r="AP269" s="405"/>
      <c r="AQ269" s="367"/>
      <c r="AR269" s="401"/>
      <c r="AS269" s="401"/>
      <c r="AT269" s="401"/>
      <c r="AU269" s="401"/>
      <c r="AV269" s="401"/>
      <c r="AW269" s="401"/>
    </row>
    <row r="270" spans="1:49">
      <c r="A270" s="367"/>
      <c r="B270" s="47" t="s">
        <v>1112</v>
      </c>
      <c r="C270" s="47">
        <v>0.375</v>
      </c>
      <c r="D270" s="47">
        <v>0.20833333333333334</v>
      </c>
      <c r="E270" s="319">
        <v>7</v>
      </c>
      <c r="F270" s="646"/>
      <c r="G270" s="4"/>
      <c r="H270" s="47">
        <v>0.33333333333333331</v>
      </c>
      <c r="I270" s="47">
        <v>0.10416666666666667</v>
      </c>
      <c r="J270" s="319">
        <v>6.5</v>
      </c>
      <c r="K270" s="646"/>
      <c r="L270" s="4"/>
      <c r="M270" s="441" t="s">
        <v>125</v>
      </c>
      <c r="N270" s="47">
        <v>0.20833333333333334</v>
      </c>
      <c r="O270" s="319">
        <v>8</v>
      </c>
      <c r="P270" s="646"/>
      <c r="R270" s="47">
        <v>0.375</v>
      </c>
      <c r="S270" s="47">
        <v>0.3125</v>
      </c>
      <c r="T270" s="319">
        <v>8</v>
      </c>
      <c r="U270" s="646">
        <v>1.5</v>
      </c>
      <c r="W270" s="47">
        <v>0.375</v>
      </c>
      <c r="X270" s="47">
        <v>0.25</v>
      </c>
      <c r="Y270" s="319">
        <v>8</v>
      </c>
      <c r="Z270" s="646"/>
      <c r="AA270" s="328">
        <f t="shared" si="43"/>
        <v>37.5</v>
      </c>
      <c r="AB270" s="298">
        <f t="shared" si="44"/>
        <v>1.5</v>
      </c>
      <c r="AC270" s="4"/>
      <c r="AD270" s="47"/>
      <c r="AE270" s="47"/>
      <c r="AF270" s="319"/>
      <c r="AG270" s="328">
        <f t="shared" si="45"/>
        <v>0</v>
      </c>
      <c r="AH270" s="175"/>
      <c r="AI270" s="368"/>
      <c r="AK270" s="188" t="s">
        <v>36</v>
      </c>
      <c r="AL270" s="196">
        <f>AB293</f>
        <v>4</v>
      </c>
      <c r="AM270" s="510">
        <v>79.574999999999989</v>
      </c>
      <c r="AN270" s="510">
        <f t="shared" si="42"/>
        <v>318.29999999999995</v>
      </c>
      <c r="AQ270" s="367"/>
    </row>
    <row r="271" spans="1:49" s="4" customFormat="1">
      <c r="A271" s="180"/>
      <c r="B271" s="436" t="s">
        <v>972</v>
      </c>
      <c r="C271" s="47">
        <v>0.375</v>
      </c>
      <c r="D271" s="47">
        <v>0.20833333333333334</v>
      </c>
      <c r="E271" s="319">
        <v>7</v>
      </c>
      <c r="F271" s="646"/>
      <c r="H271" s="47">
        <v>0.375</v>
      </c>
      <c r="I271" s="47">
        <v>0.25</v>
      </c>
      <c r="J271" s="319">
        <v>8</v>
      </c>
      <c r="K271" s="646"/>
      <c r="M271" s="441" t="s">
        <v>125</v>
      </c>
      <c r="N271" s="47">
        <v>0.20833333333333334</v>
      </c>
      <c r="O271" s="319">
        <v>8</v>
      </c>
      <c r="P271" s="646"/>
      <c r="R271" s="47"/>
      <c r="S271" s="47" t="s">
        <v>24</v>
      </c>
      <c r="T271" s="319">
        <v>0</v>
      </c>
      <c r="U271" s="646"/>
      <c r="W271" s="47"/>
      <c r="X271" s="47" t="s">
        <v>1122</v>
      </c>
      <c r="Y271" s="319">
        <v>0</v>
      </c>
      <c r="Z271" s="646"/>
      <c r="AA271" s="328">
        <f t="shared" si="43"/>
        <v>23</v>
      </c>
      <c r="AB271" s="298">
        <f t="shared" si="44"/>
        <v>0</v>
      </c>
      <c r="AD271" s="47"/>
      <c r="AE271" s="47"/>
      <c r="AF271" s="319"/>
      <c r="AG271" s="328">
        <f t="shared" si="45"/>
        <v>0</v>
      </c>
      <c r="AI271" s="255"/>
      <c r="AJ271" s="180"/>
      <c r="AK271" s="188" t="s">
        <v>38</v>
      </c>
      <c r="AL271" s="196">
        <f>AG293</f>
        <v>0</v>
      </c>
      <c r="AM271" s="510">
        <v>79.574999999999989</v>
      </c>
      <c r="AN271" s="510">
        <f t="shared" si="42"/>
        <v>0</v>
      </c>
      <c r="AO271" s="193"/>
      <c r="AP271" s="193"/>
      <c r="AQ271" s="367"/>
      <c r="AR271" s="180"/>
      <c r="AS271" s="180"/>
      <c r="AT271" s="180"/>
      <c r="AU271" s="180"/>
      <c r="AV271" s="180"/>
      <c r="AW271" s="180"/>
    </row>
    <row r="272" spans="1:49" s="4" customFormat="1">
      <c r="A272" s="180"/>
      <c r="B272" s="47" t="s">
        <v>974</v>
      </c>
      <c r="C272" s="47">
        <v>0.33333333333333331</v>
      </c>
      <c r="D272" s="47">
        <v>0.20833333333333334</v>
      </c>
      <c r="E272" s="319">
        <v>8</v>
      </c>
      <c r="F272" s="646"/>
      <c r="H272" s="47">
        <v>0.33333333333333331</v>
      </c>
      <c r="I272" s="47">
        <v>0.20833333333333334</v>
      </c>
      <c r="J272" s="319">
        <v>8</v>
      </c>
      <c r="K272" s="646"/>
      <c r="M272" s="441"/>
      <c r="N272" s="47"/>
      <c r="O272" s="319">
        <v>0</v>
      </c>
      <c r="P272" s="646"/>
      <c r="R272" s="47"/>
      <c r="S272" s="47" t="s">
        <v>116</v>
      </c>
      <c r="T272" s="319">
        <v>0</v>
      </c>
      <c r="U272" s="646"/>
      <c r="W272" s="47">
        <v>0.33333333333333331</v>
      </c>
      <c r="X272" s="47">
        <v>0.20833333333333334</v>
      </c>
      <c r="Y272" s="319">
        <v>8</v>
      </c>
      <c r="Z272" s="646"/>
      <c r="AA272" s="328">
        <f t="shared" si="43"/>
        <v>24</v>
      </c>
      <c r="AB272" s="298">
        <f t="shared" si="44"/>
        <v>0</v>
      </c>
      <c r="AD272" s="47"/>
      <c r="AE272" s="47"/>
      <c r="AF272" s="319"/>
      <c r="AG272" s="328">
        <f t="shared" si="45"/>
        <v>0</v>
      </c>
      <c r="AI272" s="255"/>
      <c r="AJ272" s="180"/>
      <c r="AK272" s="193"/>
      <c r="AL272" s="193"/>
      <c r="AM272" s="193"/>
      <c r="AN272" s="510">
        <f>SUM(AN266:AN271)</f>
        <v>19559.956999999999</v>
      </c>
      <c r="AO272" s="193"/>
      <c r="AP272" s="193"/>
      <c r="AQ272" s="180"/>
      <c r="AR272" s="180"/>
      <c r="AS272" s="180"/>
      <c r="AT272" s="180"/>
      <c r="AU272" s="180"/>
      <c r="AV272" s="180"/>
      <c r="AW272" s="180"/>
    </row>
    <row r="273" spans="1:49" s="4" customFormat="1">
      <c r="A273" s="180"/>
      <c r="B273" s="374" t="s">
        <v>998</v>
      </c>
      <c r="C273" s="47"/>
      <c r="D273" s="47" t="s">
        <v>116</v>
      </c>
      <c r="E273" s="319">
        <v>0</v>
      </c>
      <c r="F273" s="646"/>
      <c r="H273" s="47"/>
      <c r="I273" s="47" t="s">
        <v>116</v>
      </c>
      <c r="J273" s="319">
        <v>0</v>
      </c>
      <c r="K273" s="646"/>
      <c r="M273" s="441"/>
      <c r="N273" s="47" t="s">
        <v>1123</v>
      </c>
      <c r="O273" s="319">
        <v>0</v>
      </c>
      <c r="P273" s="646"/>
      <c r="R273" s="47">
        <v>0.375</v>
      </c>
      <c r="S273" s="47">
        <v>0.45833333333333331</v>
      </c>
      <c r="T273" s="319">
        <v>2</v>
      </c>
      <c r="U273" s="646"/>
      <c r="W273" s="47"/>
      <c r="X273" s="47" t="s">
        <v>1124</v>
      </c>
      <c r="Y273" s="319">
        <v>8</v>
      </c>
      <c r="Z273" s="646"/>
      <c r="AA273" s="328">
        <f t="shared" si="43"/>
        <v>10</v>
      </c>
      <c r="AB273" s="298">
        <f t="shared" si="44"/>
        <v>0</v>
      </c>
      <c r="AD273" s="47"/>
      <c r="AE273" s="47"/>
      <c r="AF273" s="319"/>
      <c r="AG273" s="328">
        <f t="shared" si="45"/>
        <v>0</v>
      </c>
      <c r="AI273" s="255"/>
      <c r="AJ273" s="180"/>
      <c r="AK273" s="193"/>
      <c r="AL273" s="193"/>
      <c r="AM273" s="193"/>
      <c r="AN273" s="193"/>
      <c r="AO273" s="193"/>
      <c r="AP273" s="193"/>
      <c r="AQ273" s="180"/>
      <c r="AR273" s="180"/>
      <c r="AS273" s="180"/>
      <c r="AT273" s="180"/>
      <c r="AU273" s="180"/>
      <c r="AV273" s="180"/>
      <c r="AW273" s="180"/>
    </row>
    <row r="274" spans="1:49" s="4" customFormat="1">
      <c r="A274" s="180"/>
      <c r="B274" s="47" t="s">
        <v>977</v>
      </c>
      <c r="C274" s="47">
        <v>0.33333333333333331</v>
      </c>
      <c r="D274" s="47">
        <v>0.20833333333333334</v>
      </c>
      <c r="E274" s="319">
        <v>8</v>
      </c>
      <c r="F274" s="646"/>
      <c r="H274" s="47"/>
      <c r="I274" s="47" t="s">
        <v>1125</v>
      </c>
      <c r="J274" s="319">
        <v>0</v>
      </c>
      <c r="K274" s="646"/>
      <c r="M274" s="441" t="s">
        <v>239</v>
      </c>
      <c r="N274" s="47"/>
      <c r="O274" s="319">
        <v>0</v>
      </c>
      <c r="P274" s="646"/>
      <c r="R274" s="47">
        <v>0.375</v>
      </c>
      <c r="S274" s="47">
        <v>0.25</v>
      </c>
      <c r="T274" s="319">
        <v>8</v>
      </c>
      <c r="U274" s="646"/>
      <c r="W274" s="47"/>
      <c r="X274" s="47" t="s">
        <v>1124</v>
      </c>
      <c r="Y274" s="319">
        <v>0</v>
      </c>
      <c r="Z274" s="646"/>
      <c r="AA274" s="328">
        <f t="shared" si="43"/>
        <v>16</v>
      </c>
      <c r="AB274" s="298">
        <f t="shared" si="44"/>
        <v>0</v>
      </c>
      <c r="AD274" s="47"/>
      <c r="AE274" s="47"/>
      <c r="AF274" s="319"/>
      <c r="AG274" s="328">
        <f t="shared" si="45"/>
        <v>0</v>
      </c>
      <c r="AI274" s="255"/>
      <c r="AJ274" s="180"/>
      <c r="AK274" s="192" t="s">
        <v>1115</v>
      </c>
      <c r="AL274" s="193"/>
      <c r="AM274" s="193">
        <f>C294</f>
        <v>26</v>
      </c>
      <c r="AN274" s="193"/>
      <c r="AO274" s="193"/>
      <c r="AP274" s="193"/>
      <c r="AQ274" s="180"/>
      <c r="AR274" s="180"/>
      <c r="AS274" s="180"/>
      <c r="AT274" s="180"/>
      <c r="AU274" s="180"/>
      <c r="AV274" s="180"/>
      <c r="AW274" s="180"/>
    </row>
    <row r="275" spans="1:49" s="4" customFormat="1">
      <c r="A275" s="180"/>
      <c r="B275" s="47" t="s">
        <v>519</v>
      </c>
      <c r="C275" s="455" t="s">
        <v>137</v>
      </c>
      <c r="D275" s="47"/>
      <c r="E275" s="319">
        <v>0</v>
      </c>
      <c r="F275" s="646"/>
      <c r="H275" s="455" t="s">
        <v>1126</v>
      </c>
      <c r="I275" s="47"/>
      <c r="J275" s="319">
        <v>0</v>
      </c>
      <c r="K275" s="646"/>
      <c r="M275" s="455" t="s">
        <v>1126</v>
      </c>
      <c r="N275" s="327"/>
      <c r="O275" s="319">
        <v>0</v>
      </c>
      <c r="P275" s="646"/>
      <c r="R275" s="455" t="s">
        <v>1126</v>
      </c>
      <c r="S275" s="47"/>
      <c r="T275" s="319">
        <v>0</v>
      </c>
      <c r="U275" s="646"/>
      <c r="W275" s="455" t="s">
        <v>1126</v>
      </c>
      <c r="X275" s="47"/>
      <c r="Y275" s="319">
        <v>0</v>
      </c>
      <c r="Z275" s="646"/>
      <c r="AA275" s="328">
        <f t="shared" si="43"/>
        <v>0</v>
      </c>
      <c r="AB275" s="298">
        <f t="shared" si="44"/>
        <v>0</v>
      </c>
      <c r="AD275" s="47"/>
      <c r="AE275" s="47"/>
      <c r="AF275" s="319"/>
      <c r="AG275" s="328">
        <f t="shared" si="45"/>
        <v>0</v>
      </c>
      <c r="AI275" s="255"/>
      <c r="AJ275" s="180"/>
      <c r="AK275" s="193"/>
      <c r="AL275" s="193"/>
      <c r="AM275" s="193"/>
      <c r="AN275" s="193"/>
      <c r="AO275" s="193"/>
      <c r="AP275" s="193"/>
      <c r="AQ275" s="180"/>
      <c r="AR275" s="180"/>
      <c r="AS275" s="180"/>
      <c r="AT275" s="180"/>
      <c r="AU275" s="180"/>
      <c r="AV275" s="180"/>
      <c r="AW275" s="180"/>
    </row>
    <row r="276" spans="1:49" s="4" customFormat="1">
      <c r="A276" s="180"/>
      <c r="B276" s="47" t="s">
        <v>999</v>
      </c>
      <c r="C276" s="47">
        <v>0.375</v>
      </c>
      <c r="D276" s="441" t="s">
        <v>246</v>
      </c>
      <c r="E276" s="319">
        <v>8</v>
      </c>
      <c r="F276" s="646"/>
      <c r="H276" s="47">
        <v>0.33333333333333331</v>
      </c>
      <c r="I276" s="47">
        <v>0.20833333333333334</v>
      </c>
      <c r="J276" s="319">
        <v>8</v>
      </c>
      <c r="K276" s="646"/>
      <c r="M276" s="441"/>
      <c r="N276" s="47"/>
      <c r="O276" s="319">
        <v>0</v>
      </c>
      <c r="P276" s="646"/>
      <c r="R276" s="441" t="s">
        <v>125</v>
      </c>
      <c r="S276" s="441" t="s">
        <v>136</v>
      </c>
      <c r="T276" s="319">
        <v>8</v>
      </c>
      <c r="U276" s="646"/>
      <c r="W276" s="441" t="s">
        <v>1127</v>
      </c>
      <c r="X276" s="441"/>
      <c r="Y276" s="319">
        <v>0</v>
      </c>
      <c r="Z276" s="646"/>
      <c r="AA276" s="328">
        <f t="shared" si="43"/>
        <v>24</v>
      </c>
      <c r="AB276" s="298">
        <f t="shared" si="44"/>
        <v>0</v>
      </c>
      <c r="AD276" s="47"/>
      <c r="AE276" s="47"/>
      <c r="AF276" s="319"/>
      <c r="AG276" s="328">
        <f t="shared" si="45"/>
        <v>0</v>
      </c>
      <c r="AI276" s="255"/>
      <c r="AJ276" s="180"/>
      <c r="AK276" s="193"/>
      <c r="AL276" s="193"/>
      <c r="AM276" s="193"/>
      <c r="AN276" s="193"/>
      <c r="AO276" s="193"/>
      <c r="AP276" s="193"/>
      <c r="AQ276" s="180"/>
      <c r="AR276" s="180"/>
      <c r="AS276" s="180"/>
      <c r="AT276" s="180"/>
      <c r="AU276" s="180"/>
      <c r="AV276" s="180"/>
      <c r="AW276" s="180"/>
    </row>
    <row r="277" spans="1:49" s="4" customFormat="1">
      <c r="A277" s="180"/>
      <c r="B277" s="47" t="s">
        <v>1113</v>
      </c>
      <c r="C277" s="47"/>
      <c r="D277" s="47"/>
      <c r="E277" s="319">
        <v>0</v>
      </c>
      <c r="F277" s="646"/>
      <c r="H277" s="47"/>
      <c r="I277" s="47"/>
      <c r="J277" s="319">
        <v>0</v>
      </c>
      <c r="K277" s="646"/>
      <c r="M277" s="441"/>
      <c r="N277" s="47"/>
      <c r="O277" s="319">
        <v>0</v>
      </c>
      <c r="P277" s="646"/>
      <c r="R277" s="441"/>
      <c r="S277" s="47"/>
      <c r="T277" s="319">
        <v>0</v>
      </c>
      <c r="U277" s="646"/>
      <c r="W277" s="441"/>
      <c r="X277" s="47"/>
      <c r="Y277" s="319">
        <v>0</v>
      </c>
      <c r="Z277" s="646"/>
      <c r="AA277" s="328">
        <f t="shared" si="43"/>
        <v>0</v>
      </c>
      <c r="AB277" s="298">
        <f t="shared" si="44"/>
        <v>0</v>
      </c>
      <c r="AD277" s="47"/>
      <c r="AE277" s="47"/>
      <c r="AF277" s="319"/>
      <c r="AG277" s="328">
        <f t="shared" si="45"/>
        <v>0</v>
      </c>
      <c r="AI277" s="255"/>
      <c r="AJ277" s="180"/>
      <c r="AK277" s="193"/>
      <c r="AL277" s="193"/>
      <c r="AM277" s="193"/>
      <c r="AN277" s="193"/>
      <c r="AO277" s="193"/>
      <c r="AP277" s="193"/>
      <c r="AQ277" s="180"/>
      <c r="AR277" s="180"/>
      <c r="AS277" s="180"/>
      <c r="AT277" s="180"/>
      <c r="AU277" s="180"/>
      <c r="AV277" s="180"/>
      <c r="AW277" s="180"/>
    </row>
    <row r="278" spans="1:49" s="4" customFormat="1">
      <c r="A278" s="180"/>
      <c r="B278" s="502" t="s">
        <v>483</v>
      </c>
      <c r="C278" s="47"/>
      <c r="D278" s="47"/>
      <c r="E278" s="319"/>
      <c r="F278" s="646"/>
      <c r="H278" s="47"/>
      <c r="I278" s="47"/>
      <c r="J278" s="319"/>
      <c r="K278" s="646"/>
      <c r="M278" s="441"/>
      <c r="N278" s="47"/>
      <c r="O278" s="319"/>
      <c r="P278" s="646"/>
      <c r="R278" s="5"/>
      <c r="S278" s="5"/>
      <c r="T278" s="319"/>
      <c r="U278" s="646"/>
      <c r="W278" s="5"/>
      <c r="X278" s="5"/>
      <c r="Y278" s="319"/>
      <c r="Z278" s="646"/>
      <c r="AA278" s="328">
        <f t="shared" si="43"/>
        <v>0</v>
      </c>
      <c r="AB278" s="298">
        <f t="shared" si="44"/>
        <v>0</v>
      </c>
      <c r="AD278" s="47"/>
      <c r="AE278" s="47"/>
      <c r="AF278" s="319"/>
      <c r="AG278" s="328">
        <f t="shared" si="45"/>
        <v>0</v>
      </c>
      <c r="AI278" s="255"/>
      <c r="AJ278" s="180"/>
      <c r="AK278" s="193"/>
      <c r="AL278" s="193"/>
      <c r="AM278" s="193"/>
      <c r="AN278" s="193"/>
      <c r="AO278" s="193"/>
      <c r="AP278" s="193"/>
      <c r="AQ278" s="180"/>
      <c r="AR278" s="180"/>
      <c r="AS278" s="180"/>
      <c r="AT278" s="180"/>
      <c r="AU278" s="180"/>
      <c r="AV278" s="180"/>
      <c r="AW278" s="180"/>
    </row>
    <row r="279" spans="1:49" s="4" customFormat="1">
      <c r="A279" s="180"/>
      <c r="B279" s="502" t="s">
        <v>483</v>
      </c>
      <c r="C279" s="47"/>
      <c r="D279" s="47"/>
      <c r="E279" s="319">
        <v>8</v>
      </c>
      <c r="F279" s="646">
        <v>0.5</v>
      </c>
      <c r="H279" s="47"/>
      <c r="I279" s="47"/>
      <c r="J279" s="319">
        <v>8</v>
      </c>
      <c r="K279" s="646">
        <v>2</v>
      </c>
      <c r="M279" s="441"/>
      <c r="N279" s="47"/>
      <c r="O279" s="319">
        <v>8</v>
      </c>
      <c r="P279" s="646">
        <v>0.5</v>
      </c>
      <c r="R279" s="47"/>
      <c r="S279" s="47"/>
      <c r="T279" s="319">
        <v>8</v>
      </c>
      <c r="U279" s="646">
        <v>1</v>
      </c>
      <c r="W279" s="47"/>
      <c r="X279" s="47"/>
      <c r="Y279" s="319">
        <v>8</v>
      </c>
      <c r="Z279" s="646">
        <v>0.5</v>
      </c>
      <c r="AA279" s="328">
        <f t="shared" si="43"/>
        <v>40</v>
      </c>
      <c r="AB279" s="298">
        <f t="shared" si="44"/>
        <v>4.5</v>
      </c>
      <c r="AD279" s="47"/>
      <c r="AE279" s="47"/>
      <c r="AF279" s="319"/>
      <c r="AG279" s="328">
        <f t="shared" si="45"/>
        <v>0</v>
      </c>
      <c r="AI279" s="255"/>
      <c r="AJ279" s="180"/>
      <c r="AK279" s="193"/>
      <c r="AL279" s="193"/>
      <c r="AM279" s="193"/>
      <c r="AN279" s="193"/>
      <c r="AO279" s="193"/>
      <c r="AP279" s="193"/>
      <c r="AQ279" s="180"/>
      <c r="AR279" s="180"/>
      <c r="AS279" s="180"/>
      <c r="AT279" s="180"/>
      <c r="AU279" s="180"/>
      <c r="AV279" s="180"/>
      <c r="AW279" s="180"/>
    </row>
    <row r="280" spans="1:49" s="4" customFormat="1">
      <c r="A280" s="180"/>
      <c r="B280" s="502" t="s">
        <v>484</v>
      </c>
      <c r="C280" s="47"/>
      <c r="D280" s="47"/>
      <c r="E280" s="319">
        <v>8</v>
      </c>
      <c r="F280" s="646">
        <v>0.5</v>
      </c>
      <c r="H280" s="47"/>
      <c r="I280" s="47"/>
      <c r="J280" s="319">
        <v>8</v>
      </c>
      <c r="K280" s="646">
        <v>2</v>
      </c>
      <c r="M280" s="441"/>
      <c r="N280" s="47"/>
      <c r="O280" s="319">
        <v>8</v>
      </c>
      <c r="P280" s="646">
        <v>0.5</v>
      </c>
      <c r="R280" s="47"/>
      <c r="S280" s="47"/>
      <c r="T280" s="319">
        <v>8</v>
      </c>
      <c r="U280" s="646">
        <v>1</v>
      </c>
      <c r="W280" s="47"/>
      <c r="X280" s="47"/>
      <c r="Y280" s="319">
        <v>8</v>
      </c>
      <c r="Z280" s="646">
        <v>0.5</v>
      </c>
      <c r="AA280" s="328">
        <f t="shared" si="43"/>
        <v>40</v>
      </c>
      <c r="AB280" s="298">
        <f t="shared" si="44"/>
        <v>4.5</v>
      </c>
      <c r="AD280" s="47"/>
      <c r="AE280" s="47"/>
      <c r="AF280" s="319"/>
      <c r="AG280" s="328">
        <f t="shared" si="45"/>
        <v>0</v>
      </c>
      <c r="AI280" s="255"/>
      <c r="AJ280" s="180"/>
      <c r="AK280" s="193"/>
      <c r="AL280" s="193"/>
      <c r="AM280" s="193"/>
      <c r="AN280" s="193"/>
      <c r="AO280" s="193"/>
      <c r="AP280" s="193"/>
      <c r="AQ280" s="180"/>
      <c r="AR280" s="180"/>
      <c r="AS280" s="180"/>
      <c r="AT280" s="180"/>
      <c r="AU280" s="180"/>
      <c r="AV280" s="180"/>
      <c r="AW280" s="180"/>
    </row>
    <row r="281" spans="1:49" s="4" customFormat="1">
      <c r="A281" s="180"/>
      <c r="B281" s="502" t="s">
        <v>485</v>
      </c>
      <c r="C281" s="47"/>
      <c r="D281" s="47"/>
      <c r="E281" s="319">
        <v>8</v>
      </c>
      <c r="F281" s="646">
        <v>0.5</v>
      </c>
      <c r="H281" s="47"/>
      <c r="I281" s="47"/>
      <c r="J281" s="319">
        <v>8</v>
      </c>
      <c r="K281" s="646">
        <v>2</v>
      </c>
      <c r="M281" s="47"/>
      <c r="N281" s="47"/>
      <c r="O281" s="319">
        <v>8</v>
      </c>
      <c r="P281" s="646">
        <v>0.5</v>
      </c>
      <c r="R281" s="47"/>
      <c r="S281" s="47"/>
      <c r="T281" s="319">
        <v>8</v>
      </c>
      <c r="U281" s="646">
        <v>1</v>
      </c>
      <c r="W281" s="47"/>
      <c r="X281" s="47"/>
      <c r="Y281" s="319">
        <v>8</v>
      </c>
      <c r="Z281" s="646">
        <v>0.5</v>
      </c>
      <c r="AA281" s="328">
        <f t="shared" si="43"/>
        <v>40</v>
      </c>
      <c r="AB281" s="298">
        <f t="shared" si="44"/>
        <v>4.5</v>
      </c>
      <c r="AD281" s="47"/>
      <c r="AE281" s="47"/>
      <c r="AF281" s="319"/>
      <c r="AG281" s="328">
        <f t="shared" si="45"/>
        <v>0</v>
      </c>
      <c r="AI281" s="255"/>
      <c r="AJ281" s="180"/>
      <c r="AK281" s="193"/>
      <c r="AL281" s="193"/>
      <c r="AM281" s="193"/>
      <c r="AN281" s="193"/>
      <c r="AO281" s="193"/>
      <c r="AP281" s="193"/>
      <c r="AQ281" s="180"/>
      <c r="AR281" s="180"/>
      <c r="AS281" s="180"/>
      <c r="AT281" s="180"/>
      <c r="AU281" s="180"/>
      <c r="AV281" s="180"/>
      <c r="AW281" s="180"/>
    </row>
    <row r="282" spans="1:49" s="4" customFormat="1">
      <c r="A282" s="180"/>
      <c r="B282" s="502" t="s">
        <v>486</v>
      </c>
      <c r="C282" s="47"/>
      <c r="D282" s="47"/>
      <c r="E282" s="319"/>
      <c r="F282" s="646"/>
      <c r="H282" s="47"/>
      <c r="I282" s="47"/>
      <c r="J282" s="319"/>
      <c r="K282" s="646"/>
      <c r="M282" s="5"/>
      <c r="N282" s="5"/>
      <c r="O282" s="319"/>
      <c r="P282" s="646"/>
      <c r="R282" s="5"/>
      <c r="S282" s="5"/>
      <c r="T282" s="319"/>
      <c r="U282" s="646"/>
      <c r="W282" s="5"/>
      <c r="X282" s="5"/>
      <c r="Y282" s="319"/>
      <c r="Z282" s="646"/>
      <c r="AA282" s="328">
        <f t="shared" si="43"/>
        <v>0</v>
      </c>
      <c r="AB282" s="298">
        <f t="shared" si="44"/>
        <v>0</v>
      </c>
      <c r="AD282" s="47"/>
      <c r="AE282" s="47"/>
      <c r="AF282" s="319"/>
      <c r="AG282" s="328">
        <f t="shared" si="45"/>
        <v>0</v>
      </c>
      <c r="AI282" s="255"/>
      <c r="AJ282" s="180"/>
      <c r="AK282" s="193"/>
      <c r="AL282" s="193"/>
      <c r="AM282" s="193"/>
      <c r="AN282" s="193"/>
      <c r="AO282" s="193"/>
      <c r="AP282" s="193"/>
      <c r="AQ282" s="180"/>
      <c r="AR282" s="180"/>
      <c r="AS282" s="180"/>
      <c r="AT282" s="180"/>
      <c r="AU282" s="180"/>
      <c r="AV282" s="180"/>
      <c r="AW282" s="180"/>
    </row>
    <row r="283" spans="1:49" s="4" customFormat="1">
      <c r="A283" s="180"/>
      <c r="B283" s="63" t="s">
        <v>1116</v>
      </c>
      <c r="C283" s="47"/>
      <c r="D283" s="47"/>
      <c r="E283" s="319">
        <v>8</v>
      </c>
      <c r="F283" s="646"/>
      <c r="H283" s="47"/>
      <c r="I283" s="47"/>
      <c r="J283" s="319">
        <v>8</v>
      </c>
      <c r="K283" s="646"/>
      <c r="M283" s="47"/>
      <c r="N283" s="47"/>
      <c r="O283" s="319">
        <v>8</v>
      </c>
      <c r="P283" s="646"/>
      <c r="R283" s="663"/>
      <c r="S283" s="663"/>
      <c r="T283" s="319">
        <v>8</v>
      </c>
      <c r="U283" s="646"/>
      <c r="W283" s="663"/>
      <c r="X283" s="663"/>
      <c r="Y283" s="319">
        <v>8</v>
      </c>
      <c r="Z283" s="646"/>
      <c r="AA283" s="328">
        <f t="shared" si="43"/>
        <v>40</v>
      </c>
      <c r="AB283" s="298">
        <f t="shared" si="44"/>
        <v>0</v>
      </c>
      <c r="AD283" s="47"/>
      <c r="AE283" s="47"/>
      <c r="AF283" s="319"/>
      <c r="AG283" s="328">
        <f t="shared" si="45"/>
        <v>0</v>
      </c>
      <c r="AI283" s="255"/>
      <c r="AJ283" s="180"/>
      <c r="AK283" s="193"/>
      <c r="AL283" s="193"/>
      <c r="AM283" s="193"/>
      <c r="AN283" s="193"/>
      <c r="AO283" s="193"/>
      <c r="AP283" s="193"/>
      <c r="AQ283" s="180"/>
      <c r="AR283" s="180"/>
      <c r="AS283" s="180"/>
      <c r="AT283" s="180"/>
      <c r="AU283" s="180"/>
      <c r="AV283" s="180"/>
      <c r="AW283" s="180"/>
    </row>
    <row r="284" spans="1:49" s="4" customFormat="1">
      <c r="A284" s="180"/>
      <c r="B284" s="267" t="s">
        <v>358</v>
      </c>
      <c r="C284" s="47"/>
      <c r="D284" s="47"/>
      <c r="E284" s="319">
        <v>6</v>
      </c>
      <c r="F284" s="646"/>
      <c r="H284" s="47"/>
      <c r="I284" s="47"/>
      <c r="J284" s="319">
        <v>6</v>
      </c>
      <c r="K284" s="646"/>
      <c r="L284" s="438"/>
      <c r="M284" s="663"/>
      <c r="N284" s="663"/>
      <c r="O284" s="319">
        <v>6</v>
      </c>
      <c r="P284" s="646"/>
      <c r="Q284" s="438"/>
      <c r="R284" s="663"/>
      <c r="S284" s="663"/>
      <c r="T284" s="319">
        <v>6</v>
      </c>
      <c r="U284" s="646"/>
      <c r="V284" s="438"/>
      <c r="W284" s="663"/>
      <c r="X284" s="663"/>
      <c r="Y284" s="319">
        <v>6</v>
      </c>
      <c r="Z284" s="646"/>
      <c r="AA284" s="328">
        <f t="shared" si="43"/>
        <v>30</v>
      </c>
      <c r="AB284" s="298">
        <f t="shared" si="44"/>
        <v>0</v>
      </c>
      <c r="AD284" s="47"/>
      <c r="AE284" s="47"/>
      <c r="AF284" s="319"/>
      <c r="AG284" s="328">
        <f t="shared" si="45"/>
        <v>0</v>
      </c>
      <c r="AI284" s="255"/>
      <c r="AJ284" s="180"/>
      <c r="AK284" s="193"/>
      <c r="AL284" s="193"/>
      <c r="AM284" s="193"/>
      <c r="AN284" s="193"/>
      <c r="AO284" s="193"/>
      <c r="AP284" s="193"/>
      <c r="AQ284" s="180"/>
      <c r="AR284" s="180"/>
      <c r="AS284" s="180"/>
      <c r="AT284" s="180"/>
      <c r="AU284" s="180"/>
      <c r="AV284" s="180"/>
      <c r="AW284" s="180"/>
    </row>
    <row r="285" spans="1:49" s="193" customFormat="1">
      <c r="A285" s="180"/>
      <c r="B285" s="267" t="s">
        <v>991</v>
      </c>
      <c r="C285" s="47"/>
      <c r="D285" s="47"/>
      <c r="E285" s="319"/>
      <c r="F285" s="646"/>
      <c r="G285" s="4"/>
      <c r="H285" s="47"/>
      <c r="I285" s="47"/>
      <c r="J285" s="319"/>
      <c r="K285" s="646"/>
      <c r="L285" s="438"/>
      <c r="M285" s="5"/>
      <c r="N285" s="5"/>
      <c r="O285" s="319"/>
      <c r="P285" s="646"/>
      <c r="Q285" s="438"/>
      <c r="R285" s="5"/>
      <c r="S285" s="5"/>
      <c r="T285" s="319"/>
      <c r="U285" s="646"/>
      <c r="V285" s="438"/>
      <c r="W285" s="5"/>
      <c r="X285" s="5"/>
      <c r="Y285" s="319"/>
      <c r="Z285" s="646"/>
      <c r="AA285" s="328">
        <f t="shared" si="43"/>
        <v>0</v>
      </c>
      <c r="AB285" s="298">
        <f t="shared" si="44"/>
        <v>0</v>
      </c>
      <c r="AC285" s="4"/>
      <c r="AD285" s="47"/>
      <c r="AE285" s="47"/>
      <c r="AF285" s="319"/>
      <c r="AG285" s="328">
        <f t="shared" si="45"/>
        <v>0</v>
      </c>
      <c r="AH285" s="4"/>
      <c r="AI285" s="255"/>
      <c r="AJ285" s="180"/>
      <c r="AQ285" s="180"/>
      <c r="AR285" s="180"/>
      <c r="AS285" s="180"/>
      <c r="AT285" s="180"/>
      <c r="AU285" s="180"/>
      <c r="AV285" s="180"/>
      <c r="AW285" s="180"/>
    </row>
    <row r="286" spans="1:49" s="193" customFormat="1">
      <c r="A286" s="180"/>
      <c r="B286" s="267" t="s">
        <v>411</v>
      </c>
      <c r="C286" s="47"/>
      <c r="D286" s="47"/>
      <c r="E286" s="319"/>
      <c r="F286" s="646"/>
      <c r="G286" s="4"/>
      <c r="H286" s="47"/>
      <c r="I286" s="47"/>
      <c r="J286" s="319"/>
      <c r="K286" s="646"/>
      <c r="L286" s="438"/>
      <c r="M286" s="5"/>
      <c r="N286" s="5"/>
      <c r="O286" s="319"/>
      <c r="P286" s="646"/>
      <c r="Q286" s="438"/>
      <c r="R286" s="5"/>
      <c r="S286" s="5"/>
      <c r="T286" s="319"/>
      <c r="U286" s="646"/>
      <c r="V286" s="438"/>
      <c r="W286" s="5"/>
      <c r="X286" s="5"/>
      <c r="Y286" s="319"/>
      <c r="Z286" s="646"/>
      <c r="AA286" s="328">
        <f t="shared" si="43"/>
        <v>0</v>
      </c>
      <c r="AB286" s="298">
        <f t="shared" si="44"/>
        <v>0</v>
      </c>
      <c r="AC286" s="4"/>
      <c r="AD286" s="47"/>
      <c r="AE286" s="47"/>
      <c r="AF286" s="319"/>
      <c r="AG286" s="328">
        <f t="shared" si="45"/>
        <v>0</v>
      </c>
      <c r="AH286" s="4"/>
      <c r="AI286" s="255"/>
      <c r="AJ286" s="180"/>
      <c r="AQ286" s="180"/>
      <c r="AR286" s="180"/>
      <c r="AS286" s="180"/>
      <c r="AT286" s="180"/>
      <c r="AU286" s="180"/>
      <c r="AV286" s="180"/>
      <c r="AW286" s="180"/>
    </row>
    <row r="287" spans="1:49" s="193" customFormat="1">
      <c r="A287" s="180"/>
      <c r="B287" s="267" t="s">
        <v>361</v>
      </c>
      <c r="C287" s="47"/>
      <c r="D287" s="47"/>
      <c r="E287" s="319"/>
      <c r="F287" s="646"/>
      <c r="G287" s="4"/>
      <c r="H287" s="47"/>
      <c r="I287" s="47"/>
      <c r="J287" s="319"/>
      <c r="K287" s="646"/>
      <c r="L287" s="438"/>
      <c r="M287" s="5"/>
      <c r="N287" s="5"/>
      <c r="O287" s="319"/>
      <c r="P287" s="646"/>
      <c r="Q287" s="438"/>
      <c r="R287" s="5"/>
      <c r="S287" s="5"/>
      <c r="T287" s="319"/>
      <c r="U287" s="646"/>
      <c r="V287" s="438"/>
      <c r="W287" s="5"/>
      <c r="X287" s="5"/>
      <c r="Y287" s="319"/>
      <c r="Z287" s="646"/>
      <c r="AA287" s="328">
        <f t="shared" si="43"/>
        <v>0</v>
      </c>
      <c r="AB287" s="298">
        <f t="shared" si="44"/>
        <v>0</v>
      </c>
      <c r="AC287" s="4"/>
      <c r="AD287" s="47"/>
      <c r="AE287" s="47"/>
      <c r="AF287" s="319"/>
      <c r="AG287" s="328">
        <f t="shared" si="45"/>
        <v>0</v>
      </c>
      <c r="AH287" s="4"/>
      <c r="AI287" s="255"/>
      <c r="AJ287" s="180"/>
      <c r="AQ287" s="180"/>
      <c r="AR287" s="180"/>
      <c r="AS287" s="180"/>
      <c r="AT287" s="180"/>
      <c r="AU287" s="180"/>
      <c r="AV287" s="180"/>
      <c r="AW287" s="180"/>
    </row>
    <row r="288" spans="1:49" s="193" customFormat="1">
      <c r="A288" s="180"/>
      <c r="B288" s="267" t="s">
        <v>362</v>
      </c>
      <c r="C288" s="47"/>
      <c r="D288" s="47"/>
      <c r="E288" s="319">
        <v>1</v>
      </c>
      <c r="F288" s="646"/>
      <c r="G288" s="4"/>
      <c r="H288" s="47"/>
      <c r="I288" s="47"/>
      <c r="J288" s="319">
        <v>1</v>
      </c>
      <c r="K288" s="646"/>
      <c r="L288" s="438"/>
      <c r="M288" s="47"/>
      <c r="N288" s="47"/>
      <c r="O288" s="319">
        <v>1</v>
      </c>
      <c r="P288" s="646"/>
      <c r="Q288" s="438"/>
      <c r="R288" s="47"/>
      <c r="S288" s="47"/>
      <c r="T288" s="319">
        <v>1</v>
      </c>
      <c r="U288" s="646"/>
      <c r="V288" s="438"/>
      <c r="W288" s="5"/>
      <c r="X288" s="5"/>
      <c r="Y288" s="319">
        <v>1</v>
      </c>
      <c r="Z288" s="646"/>
      <c r="AA288" s="328">
        <f t="shared" si="43"/>
        <v>5</v>
      </c>
      <c r="AB288" s="298">
        <f t="shared" si="44"/>
        <v>0</v>
      </c>
      <c r="AC288" s="4"/>
      <c r="AD288" s="47"/>
      <c r="AE288" s="47"/>
      <c r="AF288" s="319"/>
      <c r="AG288" s="328">
        <f t="shared" si="45"/>
        <v>0</v>
      </c>
      <c r="AH288" s="4"/>
      <c r="AI288" s="255"/>
      <c r="AJ288" s="180"/>
      <c r="AQ288" s="180"/>
      <c r="AR288" s="180"/>
      <c r="AS288" s="180"/>
      <c r="AT288" s="180"/>
      <c r="AU288" s="180"/>
      <c r="AV288" s="180"/>
      <c r="AW288" s="180"/>
    </row>
    <row r="289" spans="1:49" s="193" customFormat="1">
      <c r="A289" s="180"/>
      <c r="B289" s="437" t="s">
        <v>355</v>
      </c>
      <c r="C289" s="47"/>
      <c r="D289" s="47"/>
      <c r="E289" s="319">
        <v>7.7</v>
      </c>
      <c r="F289" s="646"/>
      <c r="G289" s="4"/>
      <c r="H289" s="47"/>
      <c r="I289" s="47"/>
      <c r="J289" s="319">
        <v>7.7</v>
      </c>
      <c r="K289" s="646"/>
      <c r="L289" s="438"/>
      <c r="M289" s="5"/>
      <c r="N289" s="5"/>
      <c r="O289" s="319">
        <v>7.7</v>
      </c>
      <c r="P289" s="646"/>
      <c r="Q289" s="438"/>
      <c r="R289" s="5"/>
      <c r="S289" s="5"/>
      <c r="T289" s="319">
        <v>7.7</v>
      </c>
      <c r="U289" s="646"/>
      <c r="V289" s="438"/>
      <c r="W289" s="5"/>
      <c r="X289" s="5"/>
      <c r="Y289" s="319">
        <v>7.7</v>
      </c>
      <c r="Z289" s="646"/>
      <c r="AA289" s="328">
        <f t="shared" si="43"/>
        <v>38.5</v>
      </c>
      <c r="AB289" s="298">
        <f t="shared" si="44"/>
        <v>0</v>
      </c>
      <c r="AC289" s="4"/>
      <c r="AD289" s="47"/>
      <c r="AE289" s="47"/>
      <c r="AF289" s="319"/>
      <c r="AG289" s="328">
        <f t="shared" si="45"/>
        <v>0</v>
      </c>
      <c r="AH289" s="4"/>
      <c r="AI289" s="255"/>
      <c r="AJ289" s="180"/>
      <c r="AQ289" s="180"/>
      <c r="AR289" s="180"/>
      <c r="AS289" s="180"/>
      <c r="AT289" s="180"/>
      <c r="AU289" s="180"/>
      <c r="AV289" s="180"/>
      <c r="AW289" s="180"/>
    </row>
    <row r="290" spans="1:49" s="193" customFormat="1">
      <c r="A290" s="180"/>
      <c r="B290" s="437" t="s">
        <v>356</v>
      </c>
      <c r="C290" s="713"/>
      <c r="D290" s="713"/>
      <c r="E290" s="319">
        <v>11.5</v>
      </c>
      <c r="F290" s="646"/>
      <c r="G290" s="438"/>
      <c r="H290" s="5"/>
      <c r="I290" s="5"/>
      <c r="J290" s="319">
        <v>6.7</v>
      </c>
      <c r="K290" s="646"/>
      <c r="L290" s="438"/>
      <c r="M290" s="5"/>
      <c r="N290" s="5"/>
      <c r="O290" s="319"/>
      <c r="P290" s="646"/>
      <c r="Q290" s="438"/>
      <c r="R290" s="5"/>
      <c r="S290" s="5"/>
      <c r="T290" s="319"/>
      <c r="U290" s="646"/>
      <c r="V290" s="438"/>
      <c r="W290" s="5"/>
      <c r="X290" s="5"/>
      <c r="Y290" s="319"/>
      <c r="Z290" s="646"/>
      <c r="AA290" s="328">
        <f t="shared" si="43"/>
        <v>18.2</v>
      </c>
      <c r="AB290" s="298">
        <f t="shared" si="44"/>
        <v>0</v>
      </c>
      <c r="AC290" s="4"/>
      <c r="AD290" s="47"/>
      <c r="AE290" s="47"/>
      <c r="AF290" s="319"/>
      <c r="AG290" s="328">
        <f t="shared" si="45"/>
        <v>0</v>
      </c>
      <c r="AH290" s="4"/>
      <c r="AI290" s="255"/>
      <c r="AJ290" s="180"/>
      <c r="AQ290" s="180"/>
      <c r="AR290" s="180"/>
      <c r="AS290" s="180"/>
      <c r="AT290" s="180"/>
      <c r="AU290" s="180"/>
      <c r="AV290" s="180"/>
      <c r="AW290" s="180"/>
    </row>
    <row r="291" spans="1:49" s="193" customFormat="1">
      <c r="A291" s="180"/>
      <c r="B291" s="64" t="s">
        <v>61</v>
      </c>
      <c r="C291" s="31"/>
      <c r="D291" s="31"/>
      <c r="E291" s="439"/>
      <c r="F291" s="646"/>
      <c r="G291" s="31"/>
      <c r="H291" s="31"/>
      <c r="I291" s="31"/>
      <c r="J291" s="439"/>
      <c r="K291" s="646"/>
      <c r="L291" s="31"/>
      <c r="M291" s="31"/>
      <c r="N291" s="31"/>
      <c r="O291" s="439"/>
      <c r="P291" s="646"/>
      <c r="Q291" s="31"/>
      <c r="R291" s="31"/>
      <c r="S291" s="31"/>
      <c r="T291" s="439"/>
      <c r="U291" s="646"/>
      <c r="V291" s="31"/>
      <c r="W291" s="31"/>
      <c r="X291" s="31"/>
      <c r="Y291" s="439"/>
      <c r="Z291" s="646"/>
      <c r="AA291" s="370">
        <f>SUM(AA267:AA290)</f>
        <v>402.2</v>
      </c>
      <c r="AB291" s="370">
        <f>SUM(AB267:AB290)</f>
        <v>15</v>
      </c>
      <c r="AC291" s="4"/>
      <c r="AD291" s="64"/>
      <c r="AE291" s="64"/>
      <c r="AF291" s="370">
        <f>SUM(AF267:AF290)</f>
        <v>0</v>
      </c>
      <c r="AG291" s="370">
        <f>SUM(AG267:AG290)</f>
        <v>0</v>
      </c>
      <c r="AH291" s="4"/>
      <c r="AI291" s="255"/>
      <c r="AJ291" s="180"/>
      <c r="AK291" s="407"/>
      <c r="AQ291" s="180"/>
      <c r="AR291" s="180"/>
      <c r="AS291" s="180"/>
      <c r="AT291" s="180"/>
      <c r="AU291" s="180"/>
      <c r="AV291" s="180"/>
      <c r="AW291" s="180"/>
    </row>
    <row r="292" spans="1:49" s="193" customFormat="1">
      <c r="A292" s="180"/>
      <c r="B292" s="63" t="s">
        <v>64</v>
      </c>
      <c r="C292" s="47"/>
      <c r="D292" s="47"/>
      <c r="E292" s="319">
        <v>8</v>
      </c>
      <c r="F292" s="346">
        <v>0.75</v>
      </c>
      <c r="G292" s="613"/>
      <c r="H292" s="47"/>
      <c r="I292" s="47"/>
      <c r="J292" s="319">
        <v>8</v>
      </c>
      <c r="K292" s="346"/>
      <c r="L292" s="60"/>
      <c r="M292" s="47"/>
      <c r="N292" s="47"/>
      <c r="O292" s="319">
        <v>8</v>
      </c>
      <c r="P292" s="346">
        <v>0.75</v>
      </c>
      <c r="Q292" s="60"/>
      <c r="R292" s="47"/>
      <c r="S292" s="47"/>
      <c r="T292" s="319">
        <v>8</v>
      </c>
      <c r="U292" s="346">
        <v>1.5</v>
      </c>
      <c r="V292" s="60"/>
      <c r="W292" s="47"/>
      <c r="X292" s="47"/>
      <c r="Y292" s="319">
        <v>8</v>
      </c>
      <c r="Z292" s="346">
        <v>1</v>
      </c>
      <c r="AA292" s="28">
        <f>SUM(E292+J292+O292+T292+Y292)</f>
        <v>40</v>
      </c>
      <c r="AB292" s="296">
        <f>Z292+U292+P292+K292+F292</f>
        <v>4</v>
      </c>
      <c r="AC292" s="4"/>
      <c r="AD292" s="47" t="s">
        <v>29</v>
      </c>
      <c r="AE292" s="47" t="s">
        <v>29</v>
      </c>
      <c r="AF292" s="319"/>
      <c r="AG292" s="29">
        <f>AF292</f>
        <v>0</v>
      </c>
      <c r="AH292" s="4"/>
      <c r="AI292" s="255"/>
      <c r="AJ292" s="180"/>
      <c r="AK292" s="407"/>
      <c r="AQ292" s="180"/>
      <c r="AR292" s="180"/>
      <c r="AS292" s="180"/>
      <c r="AT292" s="180"/>
      <c r="AU292" s="180"/>
      <c r="AV292" s="180"/>
      <c r="AW292" s="180"/>
    </row>
    <row r="293" spans="1:49" s="193" customFormat="1">
      <c r="A293" s="180"/>
      <c r="B293" s="71" t="s">
        <v>66</v>
      </c>
      <c r="C293" s="371"/>
      <c r="D293" s="371"/>
      <c r="E293" s="71"/>
      <c r="F293" s="613"/>
      <c r="G293" s="71"/>
      <c r="H293" s="71"/>
      <c r="I293" s="71"/>
      <c r="J293" s="71"/>
      <c r="K293" s="613"/>
      <c r="L293" s="71"/>
      <c r="M293" s="71"/>
      <c r="N293" s="71"/>
      <c r="O293" s="71"/>
      <c r="P293" s="613"/>
      <c r="Q293" s="71"/>
      <c r="R293" s="71"/>
      <c r="S293" s="71"/>
      <c r="T293" s="71"/>
      <c r="U293" s="613"/>
      <c r="V293" s="71"/>
      <c r="W293" s="71"/>
      <c r="X293" s="71"/>
      <c r="Y293" s="71"/>
      <c r="Z293" s="613"/>
      <c r="AA293" s="370">
        <f>SUM(AA292:AA292)</f>
        <v>40</v>
      </c>
      <c r="AB293" s="370">
        <f>SUM(AB292:AB292)</f>
        <v>4</v>
      </c>
      <c r="AC293" s="4"/>
      <c r="AD293" s="180"/>
      <c r="AE293" s="180"/>
      <c r="AF293" s="180"/>
      <c r="AG293" s="370">
        <f>SUM(AG292:AG292)</f>
        <v>0</v>
      </c>
      <c r="AH293" s="4"/>
      <c r="AI293" s="255"/>
      <c r="AJ293" s="180"/>
      <c r="AK293" s="407"/>
      <c r="AQ293" s="180"/>
      <c r="AR293" s="180"/>
      <c r="AS293" s="180"/>
      <c r="AT293" s="180"/>
      <c r="AU293" s="180"/>
      <c r="AV293" s="180"/>
      <c r="AW293" s="180"/>
    </row>
    <row r="294" spans="1:49" s="193" customFormat="1">
      <c r="A294" s="180"/>
      <c r="B294" s="217" t="s">
        <v>67</v>
      </c>
      <c r="C294" s="207">
        <f>C295+C296</f>
        <v>26</v>
      </c>
      <c r="D294" s="207"/>
      <c r="E294" s="209"/>
      <c r="F294" s="209"/>
      <c r="G294" s="207"/>
      <c r="H294" s="209"/>
      <c r="I294" s="209"/>
      <c r="J294" s="209"/>
      <c r="K294" s="209"/>
      <c r="L294" s="207"/>
      <c r="M294" s="207"/>
      <c r="N294" s="207"/>
      <c r="O294" s="207"/>
      <c r="P294" s="209"/>
      <c r="Q294" s="207"/>
      <c r="R294" s="207"/>
      <c r="S294" s="207"/>
      <c r="T294" s="207"/>
      <c r="U294" s="209"/>
      <c r="V294" s="207"/>
      <c r="W294" s="207"/>
      <c r="X294" s="207"/>
      <c r="Y294" s="210"/>
      <c r="Z294" s="209"/>
      <c r="AA294" s="211"/>
      <c r="AB294" s="209"/>
      <c r="AC294" s="211"/>
      <c r="AD294" s="211"/>
      <c r="AE294" s="211"/>
      <c r="AF294" s="211"/>
      <c r="AG294" s="211"/>
      <c r="AH294" s="4"/>
      <c r="AI294" s="255"/>
      <c r="AJ294" s="180"/>
      <c r="AQ294" s="180"/>
      <c r="AR294" s="180"/>
      <c r="AS294" s="180"/>
      <c r="AT294" s="180"/>
      <c r="AU294" s="180"/>
      <c r="AV294" s="180"/>
      <c r="AW294" s="180"/>
    </row>
    <row r="295" spans="1:49" s="193" customFormat="1">
      <c r="A295" s="180"/>
      <c r="B295" s="238" t="s">
        <v>68</v>
      </c>
      <c r="C295" s="239">
        <v>0</v>
      </c>
      <c r="D295" s="207"/>
      <c r="E295" s="209"/>
      <c r="F295" s="209"/>
      <c r="G295" s="207"/>
      <c r="H295" s="209"/>
      <c r="I295" s="209"/>
      <c r="J295" s="209"/>
      <c r="K295" s="209"/>
      <c r="L295" s="207"/>
      <c r="M295" s="207"/>
      <c r="N295" s="207"/>
      <c r="O295" s="207"/>
      <c r="P295" s="209"/>
      <c r="Q295" s="207"/>
      <c r="R295" s="207"/>
      <c r="S295" s="207"/>
      <c r="T295" s="207"/>
      <c r="U295" s="209"/>
      <c r="V295" s="207"/>
      <c r="W295" s="207"/>
      <c r="X295" s="207"/>
      <c r="Y295" s="210"/>
      <c r="Z295" s="209"/>
      <c r="AA295" s="211"/>
      <c r="AB295" s="209"/>
      <c r="AC295" s="211"/>
      <c r="AD295" s="211"/>
      <c r="AE295" s="211"/>
      <c r="AF295" s="211"/>
      <c r="AG295" s="211"/>
      <c r="AH295" s="4"/>
      <c r="AI295" s="255"/>
      <c r="AJ295" s="180"/>
      <c r="AQ295" s="180"/>
      <c r="AR295" s="180"/>
      <c r="AS295" s="180"/>
      <c r="AT295" s="180"/>
      <c r="AU295" s="180"/>
      <c r="AV295" s="180"/>
      <c r="AW295" s="180"/>
    </row>
    <row r="296" spans="1:49" s="193" customFormat="1">
      <c r="A296" s="180"/>
      <c r="B296" s="238" t="s">
        <v>69</v>
      </c>
      <c r="C296" s="239">
        <f>10+5+2+5+4</f>
        <v>26</v>
      </c>
      <c r="D296" s="207"/>
      <c r="E296" s="209"/>
      <c r="F296" s="209"/>
      <c r="G296" s="207"/>
      <c r="H296" s="209"/>
      <c r="I296" s="209"/>
      <c r="J296" s="209"/>
      <c r="K296" s="209"/>
      <c r="L296" s="207"/>
      <c r="M296" s="207"/>
      <c r="N296" s="207"/>
      <c r="O296" s="207"/>
      <c r="P296" s="209"/>
      <c r="Q296" s="207"/>
      <c r="R296" s="207"/>
      <c r="S296" s="207"/>
      <c r="T296" s="207"/>
      <c r="U296" s="209"/>
      <c r="V296" s="207"/>
      <c r="W296" s="207"/>
      <c r="X296" s="207"/>
      <c r="Y296" s="210"/>
      <c r="Z296" s="209"/>
      <c r="AA296" s="211"/>
      <c r="AB296" s="209"/>
      <c r="AC296" s="211"/>
      <c r="AD296" s="211"/>
      <c r="AE296" s="211"/>
      <c r="AF296" s="211"/>
      <c r="AG296" s="211"/>
      <c r="AH296" s="4"/>
      <c r="AI296" s="255"/>
      <c r="AJ296" s="180"/>
      <c r="AQ296" s="180"/>
      <c r="AR296" s="180"/>
      <c r="AS296" s="180"/>
      <c r="AT296" s="180"/>
      <c r="AU296" s="180"/>
      <c r="AV296" s="180"/>
      <c r="AW296" s="180"/>
    </row>
    <row r="297" spans="1:49">
      <c r="E297" s="4"/>
      <c r="F297" s="644"/>
      <c r="G297" s="4"/>
      <c r="J297" s="4"/>
      <c r="K297" s="644"/>
      <c r="L297" s="4"/>
      <c r="O297" s="4"/>
      <c r="P297" s="644"/>
      <c r="T297" s="4"/>
      <c r="U297" s="644"/>
      <c r="Y297" s="4"/>
      <c r="Z297" s="644"/>
      <c r="AA297" s="4"/>
      <c r="AB297" s="4"/>
      <c r="AC297" s="4"/>
    </row>
    <row r="298" spans="1:49">
      <c r="A298" s="180"/>
      <c r="B298" s="229"/>
      <c r="C298" s="230"/>
      <c r="D298" s="230"/>
      <c r="E298" s="232"/>
      <c r="F298" s="232"/>
      <c r="G298" s="230"/>
      <c r="H298" s="232"/>
      <c r="I298" s="232"/>
      <c r="J298" s="232"/>
      <c r="K298" s="232"/>
      <c r="L298" s="230"/>
      <c r="M298" s="230"/>
      <c r="N298" s="230"/>
      <c r="O298" s="230"/>
      <c r="P298" s="232"/>
      <c r="Q298" s="230"/>
      <c r="R298" s="230"/>
      <c r="S298" s="230"/>
      <c r="T298" s="230"/>
      <c r="U298" s="232"/>
      <c r="V298" s="230"/>
      <c r="W298" s="230"/>
      <c r="X298" s="230"/>
      <c r="Y298" s="233"/>
      <c r="Z298" s="232"/>
      <c r="AA298" s="234"/>
      <c r="AB298" s="232"/>
      <c r="AC298" s="373"/>
      <c r="AD298" s="236"/>
      <c r="AE298" s="255"/>
      <c r="AF298" s="255"/>
      <c r="AG298" s="255"/>
      <c r="AH298" s="255"/>
      <c r="AJ298" s="255"/>
      <c r="AK298" s="255"/>
      <c r="AL298" s="255"/>
      <c r="AM298" s="255"/>
      <c r="AN298" s="255"/>
      <c r="AO298" s="255"/>
      <c r="AP298" s="255"/>
      <c r="AQ298" s="255"/>
      <c r="AR298" s="255"/>
      <c r="AS298" s="255"/>
      <c r="AT298" s="255"/>
      <c r="AU298" s="255"/>
      <c r="AV298" s="255"/>
      <c r="AW298" s="255"/>
    </row>
    <row r="299" spans="1:49">
      <c r="B299" s="180"/>
      <c r="E299" s="4"/>
      <c r="F299" s="644"/>
      <c r="G299" s="4"/>
      <c r="J299" s="4"/>
      <c r="K299" s="644"/>
      <c r="L299" s="4"/>
      <c r="O299" s="4"/>
      <c r="P299" s="644"/>
      <c r="T299" s="4"/>
      <c r="U299" s="644"/>
      <c r="Y299" s="4"/>
      <c r="Z299" s="644"/>
      <c r="AA299" s="4"/>
      <c r="AB299" s="4"/>
      <c r="AC299" s="4"/>
      <c r="AK299" s="180"/>
      <c r="AL299" s="180"/>
      <c r="AM299" s="180"/>
      <c r="AN299" s="180"/>
      <c r="AO299" s="180"/>
      <c r="AP299" s="180"/>
    </row>
    <row r="300" spans="1:49" ht="25.5">
      <c r="B300" s="1518" t="s">
        <v>18</v>
      </c>
      <c r="C300" s="1519">
        <v>45768</v>
      </c>
      <c r="D300" s="1519"/>
      <c r="E300" s="1519" t="s">
        <v>564</v>
      </c>
      <c r="F300" s="1519"/>
      <c r="G300" s="365"/>
      <c r="H300" s="1519">
        <v>45769</v>
      </c>
      <c r="I300" s="1519"/>
      <c r="J300" s="1519" t="s">
        <v>565</v>
      </c>
      <c r="K300" s="1519"/>
      <c r="L300" s="365"/>
      <c r="M300" s="1519">
        <v>45770</v>
      </c>
      <c r="N300" s="1519"/>
      <c r="O300" s="1519" t="s">
        <v>566</v>
      </c>
      <c r="P300" s="1519"/>
      <c r="Q300" s="365"/>
      <c r="R300" s="1519">
        <v>45771</v>
      </c>
      <c r="S300" s="1519"/>
      <c r="T300" s="1519" t="s">
        <v>567</v>
      </c>
      <c r="U300" s="1519"/>
      <c r="V300" s="365"/>
      <c r="W300" s="1519">
        <v>45772</v>
      </c>
      <c r="X300" s="1519"/>
      <c r="Y300" s="1519" t="s">
        <v>568</v>
      </c>
      <c r="Z300" s="1519"/>
      <c r="AA300" s="1517" t="s">
        <v>19</v>
      </c>
      <c r="AB300" s="1517" t="s">
        <v>20</v>
      </c>
      <c r="AC300" s="4"/>
      <c r="AD300" s="1519"/>
      <c r="AE300" s="1519"/>
      <c r="AF300" s="14" t="s">
        <v>1111</v>
      </c>
      <c r="AG300" s="1517" t="s">
        <v>21</v>
      </c>
      <c r="AI300" s="368"/>
      <c r="AK300" s="194" t="s">
        <v>84</v>
      </c>
      <c r="AL300" s="366"/>
      <c r="AM300" s="366"/>
      <c r="AN300" s="366"/>
      <c r="AO300" s="366"/>
      <c r="AP300" s="366"/>
    </row>
    <row r="301" spans="1:49">
      <c r="B301" s="1518"/>
      <c r="C301" s="21" t="s">
        <v>23</v>
      </c>
      <c r="D301" s="21" t="s">
        <v>24</v>
      </c>
      <c r="E301" s="205" t="s">
        <v>25</v>
      </c>
      <c r="F301" s="645" t="s">
        <v>14</v>
      </c>
      <c r="G301" s="4"/>
      <c r="H301" s="21"/>
      <c r="I301" s="21" t="s">
        <v>24</v>
      </c>
      <c r="J301" s="18" t="s">
        <v>25</v>
      </c>
      <c r="K301" s="645" t="s">
        <v>14</v>
      </c>
      <c r="L301" s="4"/>
      <c r="M301" s="21" t="s">
        <v>23</v>
      </c>
      <c r="N301" s="21" t="s">
        <v>24</v>
      </c>
      <c r="O301" s="18" t="s">
        <v>25</v>
      </c>
      <c r="P301" s="645" t="s">
        <v>14</v>
      </c>
      <c r="R301" s="21" t="s">
        <v>23</v>
      </c>
      <c r="S301" s="21" t="s">
        <v>24</v>
      </c>
      <c r="T301" s="18" t="s">
        <v>25</v>
      </c>
      <c r="U301" s="645" t="s">
        <v>14</v>
      </c>
      <c r="W301" s="21" t="s">
        <v>23</v>
      </c>
      <c r="X301" s="21" t="s">
        <v>24</v>
      </c>
      <c r="Y301" s="18" t="s">
        <v>25</v>
      </c>
      <c r="Z301" s="645" t="s">
        <v>14</v>
      </c>
      <c r="AA301" s="1517"/>
      <c r="AB301" s="1517"/>
      <c r="AC301" s="4"/>
      <c r="AD301" s="21" t="s">
        <v>23</v>
      </c>
      <c r="AE301" s="21" t="s">
        <v>24</v>
      </c>
      <c r="AF301" s="18" t="s">
        <v>25</v>
      </c>
      <c r="AG301" s="1517"/>
      <c r="AI301" s="368"/>
      <c r="AJ301" s="367"/>
      <c r="AK301" s="188" t="s">
        <v>26</v>
      </c>
      <c r="AL301" s="196">
        <f>AA326</f>
        <v>368.5</v>
      </c>
      <c r="AM301" s="510">
        <v>40.31</v>
      </c>
      <c r="AN301" s="510">
        <f t="shared" ref="AN301:AN306" si="46">AL301*AM301</f>
        <v>14854.235000000001</v>
      </c>
    </row>
    <row r="302" spans="1:49">
      <c r="B302" s="4" t="s">
        <v>958</v>
      </c>
      <c r="C302" s="47"/>
      <c r="D302" s="47"/>
      <c r="E302" s="319">
        <v>0</v>
      </c>
      <c r="F302" s="646"/>
      <c r="G302" s="4"/>
      <c r="H302" s="47"/>
      <c r="I302" s="47"/>
      <c r="J302" s="319">
        <v>0</v>
      </c>
      <c r="K302" s="646"/>
      <c r="L302" s="4"/>
      <c r="M302" s="441"/>
      <c r="N302" s="47"/>
      <c r="O302" s="319">
        <v>0</v>
      </c>
      <c r="P302" s="646"/>
      <c r="R302" s="47"/>
      <c r="S302" s="47"/>
      <c r="T302" s="319">
        <v>0</v>
      </c>
      <c r="U302" s="646"/>
      <c r="W302" s="47"/>
      <c r="X302" s="47"/>
      <c r="Y302" s="319">
        <v>0</v>
      </c>
      <c r="Z302" s="646"/>
      <c r="AA302" s="328">
        <f t="shared" ref="AA302:AA325" si="47">(E302+J302+O302+T302+Y302)</f>
        <v>0</v>
      </c>
      <c r="AB302" s="298">
        <f t="shared" ref="AB302:AB325" si="48">Z302+U302+P302+K302+F302</f>
        <v>0</v>
      </c>
      <c r="AC302" s="4"/>
      <c r="AD302" s="587"/>
      <c r="AE302" s="531"/>
      <c r="AF302" s="319"/>
      <c r="AG302" s="328">
        <f t="shared" ref="AG302:AG325" si="49">AF302</f>
        <v>0</v>
      </c>
      <c r="AI302" s="368"/>
      <c r="AJ302" s="367"/>
      <c r="AK302" s="188" t="s">
        <v>30</v>
      </c>
      <c r="AL302" s="196">
        <v>0</v>
      </c>
      <c r="AM302" s="511">
        <v>60.465000000000003</v>
      </c>
      <c r="AN302" s="510">
        <f t="shared" si="46"/>
        <v>0</v>
      </c>
    </row>
    <row r="303" spans="1:49">
      <c r="B303" s="47" t="s">
        <v>515</v>
      </c>
      <c r="C303" s="47"/>
      <c r="D303" s="47"/>
      <c r="E303" s="319">
        <v>0</v>
      </c>
      <c r="F303" s="646"/>
      <c r="G303" s="4"/>
      <c r="H303" s="326"/>
      <c r="I303" s="326"/>
      <c r="J303" s="544">
        <v>0</v>
      </c>
      <c r="K303" s="646"/>
      <c r="L303" s="4"/>
      <c r="M303" s="441" t="s">
        <v>249</v>
      </c>
      <c r="N303" s="47">
        <v>0.16666666666666666</v>
      </c>
      <c r="O303" s="722">
        <v>8</v>
      </c>
      <c r="P303" s="646"/>
      <c r="R303" s="714"/>
      <c r="S303" s="714"/>
      <c r="T303" s="319">
        <v>0</v>
      </c>
      <c r="U303" s="646"/>
      <c r="W303" s="714"/>
      <c r="X303" s="714"/>
      <c r="Y303" s="319">
        <v>0</v>
      </c>
      <c r="Z303" s="646"/>
      <c r="AA303" s="328">
        <f t="shared" si="47"/>
        <v>8</v>
      </c>
      <c r="AB303" s="298">
        <f t="shared" si="48"/>
        <v>0</v>
      </c>
      <c r="AC303" s="4"/>
      <c r="AF303" s="319"/>
      <c r="AG303" s="328">
        <f t="shared" si="49"/>
        <v>0</v>
      </c>
      <c r="AH303" s="175"/>
      <c r="AI303" s="402"/>
      <c r="AJ303" s="367"/>
      <c r="AK303" s="188" t="s">
        <v>32</v>
      </c>
      <c r="AL303" s="196">
        <f>AG326</f>
        <v>0</v>
      </c>
      <c r="AM303" s="510">
        <v>60.465000000000003</v>
      </c>
      <c r="AN303" s="510">
        <f t="shared" si="46"/>
        <v>0</v>
      </c>
    </row>
    <row r="304" spans="1:49">
      <c r="B304" s="441" t="s">
        <v>962</v>
      </c>
      <c r="C304" s="47"/>
      <c r="D304" s="47"/>
      <c r="E304" s="319">
        <v>0</v>
      </c>
      <c r="F304" s="646"/>
      <c r="G304" s="4"/>
      <c r="H304" s="47"/>
      <c r="I304" s="47"/>
      <c r="J304" s="319">
        <v>0</v>
      </c>
      <c r="K304" s="646"/>
      <c r="L304" s="4"/>
      <c r="M304" s="441"/>
      <c r="N304" s="47"/>
      <c r="O304" s="319">
        <v>0</v>
      </c>
      <c r="P304" s="646"/>
      <c r="R304" s="47"/>
      <c r="S304" s="47"/>
      <c r="T304" s="319">
        <v>0</v>
      </c>
      <c r="U304" s="646"/>
      <c r="W304" s="47"/>
      <c r="X304" s="47"/>
      <c r="Y304" s="319">
        <v>0</v>
      </c>
      <c r="Z304" s="646"/>
      <c r="AA304" s="328">
        <f t="shared" si="47"/>
        <v>0</v>
      </c>
      <c r="AB304" s="298">
        <f t="shared" si="48"/>
        <v>0</v>
      </c>
      <c r="AC304" s="399"/>
      <c r="AD304" s="47"/>
      <c r="AE304" s="47"/>
      <c r="AF304" s="319"/>
      <c r="AG304" s="328">
        <f t="shared" si="49"/>
        <v>0</v>
      </c>
      <c r="AH304" s="175"/>
      <c r="AJ304" s="401"/>
      <c r="AK304" s="403" t="s">
        <v>213</v>
      </c>
      <c r="AL304" s="404">
        <f>AA328</f>
        <v>35.25</v>
      </c>
      <c r="AM304" s="510">
        <v>53.05</v>
      </c>
      <c r="AN304" s="510">
        <f t="shared" si="46"/>
        <v>1870.0124999999998</v>
      </c>
      <c r="AO304" s="405"/>
      <c r="AP304" s="405"/>
    </row>
    <row r="305" spans="2:40">
      <c r="B305" s="47" t="s">
        <v>1112</v>
      </c>
      <c r="C305" s="47">
        <v>0.5</v>
      </c>
      <c r="D305" s="47">
        <v>0.20833333333333334</v>
      </c>
      <c r="E305" s="722">
        <v>8</v>
      </c>
      <c r="F305" s="646"/>
      <c r="G305" s="4"/>
      <c r="H305" s="47">
        <v>0.375</v>
      </c>
      <c r="I305" s="47">
        <v>0.10416666666666667</v>
      </c>
      <c r="J305" s="722">
        <v>8</v>
      </c>
      <c r="K305" s="646"/>
      <c r="L305" s="4"/>
      <c r="M305" s="441" t="s">
        <v>76</v>
      </c>
      <c r="N305" s="47">
        <v>0.14583333333333334</v>
      </c>
      <c r="O305" s="722">
        <v>8</v>
      </c>
      <c r="P305" s="646"/>
      <c r="R305" s="47"/>
      <c r="S305" s="47"/>
      <c r="T305" s="722">
        <v>0</v>
      </c>
      <c r="U305" s="646"/>
      <c r="W305" s="47"/>
      <c r="X305" s="47"/>
      <c r="Y305" s="319">
        <v>0</v>
      </c>
      <c r="Z305" s="646"/>
      <c r="AA305" s="328">
        <f t="shared" si="47"/>
        <v>24</v>
      </c>
      <c r="AB305" s="298">
        <f t="shared" si="48"/>
        <v>0</v>
      </c>
      <c r="AC305" s="4"/>
      <c r="AD305" s="47"/>
      <c r="AE305" s="47"/>
      <c r="AF305" s="319"/>
      <c r="AG305" s="328">
        <f t="shared" si="49"/>
        <v>0</v>
      </c>
      <c r="AH305" s="175"/>
      <c r="AI305" s="368"/>
      <c r="AK305" s="188" t="s">
        <v>36</v>
      </c>
      <c r="AL305" s="196">
        <f>AB328</f>
        <v>0</v>
      </c>
      <c r="AM305" s="510">
        <v>79.574999999999989</v>
      </c>
      <c r="AN305" s="510">
        <f t="shared" si="46"/>
        <v>0</v>
      </c>
    </row>
    <row r="306" spans="2:40">
      <c r="B306" s="436" t="s">
        <v>972</v>
      </c>
      <c r="C306" s="47">
        <v>0.33333333333333331</v>
      </c>
      <c r="D306" s="47">
        <v>0.20833333333333334</v>
      </c>
      <c r="E306" s="319">
        <v>8</v>
      </c>
      <c r="F306" s="646"/>
      <c r="G306" s="4"/>
      <c r="H306" s="47">
        <v>0.33333333333333331</v>
      </c>
      <c r="I306" s="47">
        <v>0.20833333333333334</v>
      </c>
      <c r="J306" s="319">
        <v>8</v>
      </c>
      <c r="K306" s="646"/>
      <c r="L306" s="4"/>
      <c r="M306" s="441"/>
      <c r="N306" s="47"/>
      <c r="O306" s="319">
        <v>0</v>
      </c>
      <c r="P306" s="646"/>
      <c r="R306" s="47">
        <v>0.33333333333333331</v>
      </c>
      <c r="S306" s="47">
        <v>0.20833333333333334</v>
      </c>
      <c r="T306" s="319">
        <v>8</v>
      </c>
      <c r="U306" s="646"/>
      <c r="W306" s="47">
        <v>0.33333333333333331</v>
      </c>
      <c r="X306" s="47">
        <v>0.20833333333333334</v>
      </c>
      <c r="Y306" s="319">
        <v>8</v>
      </c>
      <c r="Z306" s="646"/>
      <c r="AA306" s="328">
        <f t="shared" si="47"/>
        <v>32</v>
      </c>
      <c r="AB306" s="298">
        <f t="shared" si="48"/>
        <v>0</v>
      </c>
      <c r="AC306" s="4"/>
      <c r="AD306" s="47"/>
      <c r="AE306" s="47"/>
      <c r="AF306" s="319"/>
      <c r="AG306" s="328">
        <f t="shared" si="49"/>
        <v>0</v>
      </c>
      <c r="AK306" s="188" t="s">
        <v>38</v>
      </c>
      <c r="AL306" s="196">
        <f>AG328</f>
        <v>0</v>
      </c>
      <c r="AM306" s="510">
        <v>79.574999999999989</v>
      </c>
      <c r="AN306" s="510">
        <f t="shared" si="46"/>
        <v>0</v>
      </c>
    </row>
    <row r="307" spans="2:40">
      <c r="B307" s="47" t="s">
        <v>974</v>
      </c>
      <c r="C307" s="47">
        <v>0.33333333333333331</v>
      </c>
      <c r="D307" s="47">
        <v>0.29166666666666669</v>
      </c>
      <c r="E307" s="319">
        <v>8</v>
      </c>
      <c r="F307" s="646">
        <v>2</v>
      </c>
      <c r="G307" s="4"/>
      <c r="H307" s="47">
        <v>0.33333333333333331</v>
      </c>
      <c r="I307" s="47">
        <v>0.20833333333333334</v>
      </c>
      <c r="J307" s="319">
        <v>8</v>
      </c>
      <c r="K307" s="646"/>
      <c r="L307" s="4"/>
      <c r="M307" s="441" t="s">
        <v>125</v>
      </c>
      <c r="N307" s="47">
        <v>0.20833333333333334</v>
      </c>
      <c r="O307" s="319">
        <v>8</v>
      </c>
      <c r="P307" s="646"/>
      <c r="R307" s="47">
        <v>0.33333333333333331</v>
      </c>
      <c r="S307" s="47">
        <v>0.20833333333333334</v>
      </c>
      <c r="T307" s="319">
        <v>8</v>
      </c>
      <c r="U307" s="646"/>
      <c r="W307" s="47">
        <v>0.33333333333333331</v>
      </c>
      <c r="X307" s="47">
        <v>0.20833333333333334</v>
      </c>
      <c r="Y307" s="319">
        <v>8</v>
      </c>
      <c r="Z307" s="646"/>
      <c r="AA307" s="328">
        <f t="shared" si="47"/>
        <v>40</v>
      </c>
      <c r="AB307" s="298">
        <f t="shared" si="48"/>
        <v>2</v>
      </c>
      <c r="AC307" s="4"/>
      <c r="AD307" s="47"/>
      <c r="AE307" s="47"/>
      <c r="AF307" s="319"/>
      <c r="AG307" s="328">
        <f t="shared" si="49"/>
        <v>0</v>
      </c>
      <c r="AN307" s="510">
        <f>SUM(AN301:AN306)</f>
        <v>16724.247500000001</v>
      </c>
    </row>
    <row r="308" spans="2:40">
      <c r="B308" s="374" t="s">
        <v>998</v>
      </c>
      <c r="C308" s="47"/>
      <c r="D308" s="47"/>
      <c r="E308" s="319">
        <v>0</v>
      </c>
      <c r="F308" s="646"/>
      <c r="G308" s="4"/>
      <c r="H308" s="47"/>
      <c r="I308" s="47"/>
      <c r="J308" s="319">
        <v>0</v>
      </c>
      <c r="K308" s="646"/>
      <c r="L308" s="4"/>
      <c r="M308" s="441" t="s">
        <v>75</v>
      </c>
      <c r="N308" s="47">
        <v>0.25</v>
      </c>
      <c r="O308" s="319">
        <v>8</v>
      </c>
      <c r="P308" s="646"/>
      <c r="R308" s="47">
        <v>0.45833333333333331</v>
      </c>
      <c r="S308" s="47">
        <v>0.25</v>
      </c>
      <c r="T308" s="722">
        <v>8</v>
      </c>
      <c r="U308" s="646"/>
      <c r="W308" s="47">
        <v>0.375</v>
      </c>
      <c r="X308" s="47">
        <v>0.25</v>
      </c>
      <c r="Y308" s="319">
        <v>8</v>
      </c>
      <c r="Z308" s="646"/>
      <c r="AA308" s="328">
        <f t="shared" si="47"/>
        <v>24</v>
      </c>
      <c r="AB308" s="298">
        <f t="shared" si="48"/>
        <v>0</v>
      </c>
      <c r="AC308" s="4"/>
      <c r="AD308" s="47"/>
      <c r="AE308" s="47"/>
      <c r="AF308" s="319"/>
      <c r="AG308" s="328">
        <f t="shared" si="49"/>
        <v>0</v>
      </c>
    </row>
    <row r="309" spans="2:40">
      <c r="B309" s="47" t="s">
        <v>977</v>
      </c>
      <c r="C309" s="47"/>
      <c r="D309" s="47"/>
      <c r="E309" s="319">
        <v>0</v>
      </c>
      <c r="F309" s="646"/>
      <c r="G309" s="4"/>
      <c r="H309" s="47"/>
      <c r="I309" s="47"/>
      <c r="J309" s="319">
        <v>0</v>
      </c>
      <c r="K309" s="646"/>
      <c r="L309" s="4"/>
      <c r="M309" s="441" t="s">
        <v>75</v>
      </c>
      <c r="N309" s="47">
        <v>0.25</v>
      </c>
      <c r="O309" s="319">
        <v>8</v>
      </c>
      <c r="P309" s="646"/>
      <c r="R309" s="47">
        <v>0.375</v>
      </c>
      <c r="S309" s="47">
        <v>0.25</v>
      </c>
      <c r="T309" s="319">
        <v>8</v>
      </c>
      <c r="U309" s="646"/>
      <c r="W309" s="47"/>
      <c r="X309" s="47"/>
      <c r="Y309" s="319">
        <v>0</v>
      </c>
      <c r="Z309" s="646"/>
      <c r="AA309" s="328">
        <f t="shared" si="47"/>
        <v>16</v>
      </c>
      <c r="AB309" s="298">
        <f t="shared" si="48"/>
        <v>0</v>
      </c>
      <c r="AC309" s="4"/>
      <c r="AD309" s="47"/>
      <c r="AE309" s="47"/>
      <c r="AF309" s="319"/>
      <c r="AG309" s="328">
        <f t="shared" si="49"/>
        <v>0</v>
      </c>
      <c r="AK309" s="192" t="s">
        <v>1115</v>
      </c>
      <c r="AM309" s="193">
        <f>C329</f>
        <v>25</v>
      </c>
    </row>
    <row r="310" spans="2:40">
      <c r="B310" s="47" t="s">
        <v>519</v>
      </c>
      <c r="C310" s="47"/>
      <c r="D310" s="47"/>
      <c r="E310" s="319">
        <v>0</v>
      </c>
      <c r="F310" s="646"/>
      <c r="G310" s="4"/>
      <c r="H310" s="47"/>
      <c r="I310" s="47"/>
      <c r="J310" s="319">
        <v>0</v>
      </c>
      <c r="K310" s="646"/>
      <c r="L310" s="4"/>
      <c r="M310" s="441"/>
      <c r="N310" s="47"/>
      <c r="O310" s="319">
        <v>0</v>
      </c>
      <c r="P310" s="646"/>
      <c r="R310" s="441"/>
      <c r="S310" s="47"/>
      <c r="T310" s="319">
        <v>0</v>
      </c>
      <c r="U310" s="646"/>
      <c r="W310" s="441"/>
      <c r="X310" s="47"/>
      <c r="Y310" s="319">
        <v>0</v>
      </c>
      <c r="Z310" s="646"/>
      <c r="AA310" s="328">
        <f t="shared" si="47"/>
        <v>0</v>
      </c>
      <c r="AB310" s="298">
        <f t="shared" si="48"/>
        <v>0</v>
      </c>
      <c r="AC310" s="4"/>
      <c r="AD310" s="47"/>
      <c r="AE310" s="47"/>
      <c r="AF310" s="319"/>
      <c r="AG310" s="328">
        <f t="shared" si="49"/>
        <v>0</v>
      </c>
    </row>
    <row r="311" spans="2:40">
      <c r="B311" s="47" t="s">
        <v>999</v>
      </c>
      <c r="C311" s="47"/>
      <c r="D311" s="441"/>
      <c r="E311" s="319">
        <v>0</v>
      </c>
      <c r="F311" s="646"/>
      <c r="G311" s="4"/>
      <c r="H311" s="47"/>
      <c r="I311" s="47"/>
      <c r="J311" s="319">
        <v>0</v>
      </c>
      <c r="K311" s="646"/>
      <c r="L311" s="4"/>
      <c r="M311" s="441"/>
      <c r="N311" s="47"/>
      <c r="O311" s="319">
        <v>0</v>
      </c>
      <c r="P311" s="646"/>
      <c r="R311" s="441"/>
      <c r="S311" s="441"/>
      <c r="T311" s="319">
        <v>0</v>
      </c>
      <c r="U311" s="646"/>
      <c r="W311" s="441"/>
      <c r="X311" s="441"/>
      <c r="Y311" s="319">
        <v>0</v>
      </c>
      <c r="Z311" s="646"/>
      <c r="AA311" s="328">
        <f t="shared" si="47"/>
        <v>0</v>
      </c>
      <c r="AB311" s="298">
        <f t="shared" si="48"/>
        <v>0</v>
      </c>
      <c r="AC311" s="4"/>
      <c r="AD311" s="47"/>
      <c r="AE311" s="47"/>
      <c r="AF311" s="319"/>
      <c r="AG311" s="328">
        <f t="shared" si="49"/>
        <v>0</v>
      </c>
    </row>
    <row r="312" spans="2:40">
      <c r="B312" s="47" t="s">
        <v>1113</v>
      </c>
      <c r="C312" s="47"/>
      <c r="D312" s="47"/>
      <c r="E312" s="319">
        <v>0</v>
      </c>
      <c r="F312" s="646"/>
      <c r="G312" s="4"/>
      <c r="H312" s="47"/>
      <c r="I312" s="47"/>
      <c r="J312" s="319">
        <v>0</v>
      </c>
      <c r="K312" s="646"/>
      <c r="L312" s="4"/>
      <c r="M312" s="441"/>
      <c r="N312" s="47"/>
      <c r="O312" s="319">
        <v>0</v>
      </c>
      <c r="P312" s="646"/>
      <c r="R312" s="441"/>
      <c r="S312" s="47"/>
      <c r="T312" s="319">
        <v>0</v>
      </c>
      <c r="U312" s="646"/>
      <c r="W312" s="441"/>
      <c r="X312" s="47"/>
      <c r="Y312" s="319">
        <v>0</v>
      </c>
      <c r="Z312" s="646"/>
      <c r="AA312" s="328">
        <f t="shared" si="47"/>
        <v>0</v>
      </c>
      <c r="AB312" s="298">
        <f t="shared" si="48"/>
        <v>0</v>
      </c>
      <c r="AC312" s="4"/>
      <c r="AD312" s="47"/>
      <c r="AE312" s="47"/>
      <c r="AF312" s="319"/>
      <c r="AG312" s="328">
        <f t="shared" si="49"/>
        <v>0</v>
      </c>
    </row>
    <row r="313" spans="2:40">
      <c r="B313" s="502" t="s">
        <v>483</v>
      </c>
      <c r="C313" s="47"/>
      <c r="D313" s="47"/>
      <c r="E313" s="319"/>
      <c r="F313" s="646"/>
      <c r="G313" s="4"/>
      <c r="H313" s="47"/>
      <c r="I313" s="47"/>
      <c r="J313" s="319"/>
      <c r="K313" s="646"/>
      <c r="L313" s="4"/>
      <c r="M313" s="441"/>
      <c r="N313" s="47"/>
      <c r="O313" s="319"/>
      <c r="P313" s="646"/>
      <c r="R313" s="5"/>
      <c r="S313" s="5"/>
      <c r="T313" s="319"/>
      <c r="U313" s="646"/>
      <c r="W313" s="5"/>
      <c r="X313" s="5"/>
      <c r="Y313" s="319"/>
      <c r="Z313" s="646"/>
      <c r="AA313" s="328">
        <f t="shared" si="47"/>
        <v>0</v>
      </c>
      <c r="AB313" s="298">
        <f t="shared" si="48"/>
        <v>0</v>
      </c>
      <c r="AC313" s="4"/>
      <c r="AD313" s="47"/>
      <c r="AE313" s="47"/>
      <c r="AF313" s="319"/>
      <c r="AG313" s="328">
        <f t="shared" si="49"/>
        <v>0</v>
      </c>
    </row>
    <row r="314" spans="2:40">
      <c r="B314" s="502" t="s">
        <v>483</v>
      </c>
      <c r="C314" s="47"/>
      <c r="D314" s="47"/>
      <c r="E314" s="319">
        <v>8</v>
      </c>
      <c r="F314" s="646">
        <v>0</v>
      </c>
      <c r="G314" s="4"/>
      <c r="H314" s="47"/>
      <c r="I314" s="47"/>
      <c r="J314" s="319">
        <v>8</v>
      </c>
      <c r="K314" s="646">
        <v>0.25</v>
      </c>
      <c r="L314" s="4"/>
      <c r="M314" s="441"/>
      <c r="N314" s="47"/>
      <c r="O314" s="319">
        <v>8</v>
      </c>
      <c r="P314" s="646">
        <v>1</v>
      </c>
      <c r="R314" s="47"/>
      <c r="S314" s="47"/>
      <c r="T314" s="319">
        <v>8</v>
      </c>
      <c r="U314" s="646">
        <v>1.5</v>
      </c>
      <c r="W314" s="47"/>
      <c r="X314" s="47"/>
      <c r="Y314" s="319">
        <v>8</v>
      </c>
      <c r="Z314" s="646"/>
      <c r="AA314" s="328">
        <f t="shared" si="47"/>
        <v>40</v>
      </c>
      <c r="AB314" s="298">
        <f t="shared" si="48"/>
        <v>2.75</v>
      </c>
      <c r="AC314" s="4"/>
      <c r="AD314" s="47"/>
      <c r="AE314" s="47"/>
      <c r="AF314" s="319"/>
      <c r="AG314" s="328">
        <f t="shared" si="49"/>
        <v>0</v>
      </c>
    </row>
    <row r="315" spans="2:40">
      <c r="B315" s="502" t="s">
        <v>484</v>
      </c>
      <c r="C315" s="47"/>
      <c r="D315" s="47"/>
      <c r="E315" s="319">
        <v>8</v>
      </c>
      <c r="F315" s="646"/>
      <c r="G315" s="4"/>
      <c r="H315" s="47"/>
      <c r="I315" s="47"/>
      <c r="J315" s="319">
        <v>8</v>
      </c>
      <c r="K315" s="646">
        <v>0.25</v>
      </c>
      <c r="L315" s="4"/>
      <c r="M315" s="441"/>
      <c r="N315" s="47"/>
      <c r="O315" s="319">
        <v>8</v>
      </c>
      <c r="P315" s="646">
        <v>1</v>
      </c>
      <c r="R315" s="47"/>
      <c r="S315" s="47"/>
      <c r="T315" s="319">
        <v>8</v>
      </c>
      <c r="U315" s="646">
        <v>1.5</v>
      </c>
      <c r="W315" s="47"/>
      <c r="X315" s="47"/>
      <c r="Y315" s="319">
        <v>8</v>
      </c>
      <c r="Z315" s="646"/>
      <c r="AA315" s="328">
        <f t="shared" si="47"/>
        <v>40</v>
      </c>
      <c r="AB315" s="298">
        <f t="shared" si="48"/>
        <v>2.75</v>
      </c>
      <c r="AC315" s="4"/>
      <c r="AD315" s="47"/>
      <c r="AE315" s="47"/>
      <c r="AF315" s="319"/>
      <c r="AG315" s="328">
        <f t="shared" si="49"/>
        <v>0</v>
      </c>
    </row>
    <row r="316" spans="2:40">
      <c r="B316" s="502" t="s">
        <v>485</v>
      </c>
      <c r="C316" s="47"/>
      <c r="D316" s="47"/>
      <c r="E316" s="319">
        <v>8</v>
      </c>
      <c r="F316" s="646"/>
      <c r="G316" s="4"/>
      <c r="H316" s="47"/>
      <c r="I316" s="47"/>
      <c r="J316" s="319">
        <v>8</v>
      </c>
      <c r="K316" s="646">
        <v>0.25</v>
      </c>
      <c r="L316" s="4"/>
      <c r="M316" s="47"/>
      <c r="N316" s="47"/>
      <c r="O316" s="319">
        <v>8</v>
      </c>
      <c r="P316" s="646">
        <v>1</v>
      </c>
      <c r="R316" s="47"/>
      <c r="S316" s="47"/>
      <c r="T316" s="319">
        <v>8</v>
      </c>
      <c r="U316" s="646">
        <v>1.5</v>
      </c>
      <c r="W316" s="47"/>
      <c r="X316" s="47"/>
      <c r="Y316" s="319">
        <v>8</v>
      </c>
      <c r="Z316" s="646"/>
      <c r="AA316" s="328">
        <f t="shared" si="47"/>
        <v>40</v>
      </c>
      <c r="AB316" s="298">
        <f t="shared" si="48"/>
        <v>2.75</v>
      </c>
      <c r="AC316" s="4"/>
      <c r="AD316" s="47"/>
      <c r="AE316" s="47"/>
      <c r="AF316" s="319"/>
      <c r="AG316" s="328">
        <f t="shared" si="49"/>
        <v>0</v>
      </c>
    </row>
    <row r="317" spans="2:40">
      <c r="B317" s="502" t="s">
        <v>486</v>
      </c>
      <c r="C317" s="47"/>
      <c r="D317" s="47"/>
      <c r="E317" s="319"/>
      <c r="F317" s="646"/>
      <c r="G317" s="4"/>
      <c r="H317" s="47"/>
      <c r="I317" s="47"/>
      <c r="J317" s="319"/>
      <c r="K317" s="646"/>
      <c r="L317" s="4"/>
      <c r="M317" s="5"/>
      <c r="N317" s="5"/>
      <c r="O317" s="319"/>
      <c r="P317" s="646"/>
      <c r="R317" s="5"/>
      <c r="S317" s="5"/>
      <c r="T317" s="319"/>
      <c r="U317" s="646"/>
      <c r="W317" s="5"/>
      <c r="X317" s="5"/>
      <c r="Y317" s="319"/>
      <c r="Z317" s="646"/>
      <c r="AA317" s="328">
        <f t="shared" si="47"/>
        <v>0</v>
      </c>
      <c r="AB317" s="298">
        <f t="shared" si="48"/>
        <v>0</v>
      </c>
      <c r="AC317" s="4"/>
      <c r="AD317" s="47"/>
      <c r="AE317" s="47"/>
      <c r="AF317" s="319"/>
      <c r="AG317" s="328">
        <f t="shared" si="49"/>
        <v>0</v>
      </c>
    </row>
    <row r="318" spans="2:40">
      <c r="B318" s="63" t="s">
        <v>1116</v>
      </c>
      <c r="C318" s="47"/>
      <c r="D318" s="47"/>
      <c r="E318" s="319">
        <v>8</v>
      </c>
      <c r="F318" s="646"/>
      <c r="G318" s="4"/>
      <c r="H318" s="47"/>
      <c r="I318" s="47"/>
      <c r="J318" s="319">
        <v>8</v>
      </c>
      <c r="K318" s="646"/>
      <c r="L318" s="4"/>
      <c r="M318" s="47"/>
      <c r="N318" s="47"/>
      <c r="O318" s="319">
        <v>8</v>
      </c>
      <c r="P318" s="646"/>
      <c r="R318" s="663"/>
      <c r="S318" s="663"/>
      <c r="T318" s="319">
        <v>0</v>
      </c>
      <c r="U318" s="646"/>
      <c r="W318" s="663"/>
      <c r="X318" s="663"/>
      <c r="Y318" s="319">
        <v>8</v>
      </c>
      <c r="Z318" s="646"/>
      <c r="AA318" s="328">
        <f t="shared" si="47"/>
        <v>32</v>
      </c>
      <c r="AB318" s="298">
        <f t="shared" si="48"/>
        <v>0</v>
      </c>
      <c r="AC318" s="4"/>
      <c r="AD318" s="47"/>
      <c r="AE318" s="47"/>
      <c r="AF318" s="319"/>
      <c r="AG318" s="328">
        <f t="shared" si="49"/>
        <v>0</v>
      </c>
    </row>
    <row r="319" spans="2:40">
      <c r="B319" s="267" t="s">
        <v>358</v>
      </c>
      <c r="C319" s="47"/>
      <c r="D319" s="47"/>
      <c r="E319" s="319">
        <v>6</v>
      </c>
      <c r="F319" s="646"/>
      <c r="G319" s="4"/>
      <c r="H319" s="47"/>
      <c r="I319" s="47"/>
      <c r="J319" s="319">
        <v>6</v>
      </c>
      <c r="K319" s="646"/>
      <c r="L319" s="438"/>
      <c r="M319" s="663"/>
      <c r="N319" s="663"/>
      <c r="O319" s="319">
        <v>6</v>
      </c>
      <c r="P319" s="646"/>
      <c r="Q319" s="438"/>
      <c r="R319" s="663"/>
      <c r="S319" s="663"/>
      <c r="T319" s="319">
        <v>6</v>
      </c>
      <c r="U319" s="646"/>
      <c r="V319" s="438"/>
      <c r="W319" s="663"/>
      <c r="X319" s="663"/>
      <c r="Y319" s="319">
        <v>6</v>
      </c>
      <c r="Z319" s="646"/>
      <c r="AA319" s="328">
        <f t="shared" si="47"/>
        <v>30</v>
      </c>
      <c r="AB319" s="298">
        <f t="shared" si="48"/>
        <v>0</v>
      </c>
      <c r="AC319" s="4"/>
      <c r="AD319" s="47"/>
      <c r="AE319" s="47"/>
      <c r="AF319" s="319"/>
      <c r="AG319" s="328">
        <f t="shared" si="49"/>
        <v>0</v>
      </c>
    </row>
    <row r="320" spans="2:40">
      <c r="B320" s="267" t="s">
        <v>991</v>
      </c>
      <c r="C320" s="47"/>
      <c r="D320" s="47"/>
      <c r="E320" s="319"/>
      <c r="F320" s="646"/>
      <c r="G320" s="4"/>
      <c r="H320" s="47"/>
      <c r="I320" s="47"/>
      <c r="J320" s="319"/>
      <c r="K320" s="646"/>
      <c r="L320" s="438"/>
      <c r="M320" s="5"/>
      <c r="N320" s="5"/>
      <c r="O320" s="319"/>
      <c r="P320" s="646"/>
      <c r="Q320" s="438"/>
      <c r="R320" s="5"/>
      <c r="S320" s="5"/>
      <c r="T320" s="319"/>
      <c r="U320" s="646"/>
      <c r="V320" s="438"/>
      <c r="W320" s="5"/>
      <c r="X320" s="5"/>
      <c r="Y320" s="319"/>
      <c r="Z320" s="646"/>
      <c r="AA320" s="328">
        <f t="shared" si="47"/>
        <v>0</v>
      </c>
      <c r="AB320" s="298">
        <f t="shared" si="48"/>
        <v>0</v>
      </c>
      <c r="AC320" s="4"/>
      <c r="AD320" s="47"/>
      <c r="AE320" s="47"/>
      <c r="AF320" s="319"/>
      <c r="AG320" s="328">
        <f t="shared" si="49"/>
        <v>0</v>
      </c>
    </row>
    <row r="321" spans="2:42">
      <c r="B321" s="267" t="s">
        <v>411</v>
      </c>
      <c r="C321" s="47"/>
      <c r="D321" s="47"/>
      <c r="E321" s="319"/>
      <c r="F321" s="646"/>
      <c r="G321" s="4"/>
      <c r="H321" s="47"/>
      <c r="I321" s="47"/>
      <c r="J321" s="319"/>
      <c r="K321" s="646"/>
      <c r="L321" s="438"/>
      <c r="M321" s="5"/>
      <c r="N321" s="5"/>
      <c r="O321" s="319"/>
      <c r="P321" s="646"/>
      <c r="Q321" s="438"/>
      <c r="R321" s="5"/>
      <c r="S321" s="5"/>
      <c r="T321" s="319"/>
      <c r="U321" s="646"/>
      <c r="V321" s="438"/>
      <c r="W321" s="5"/>
      <c r="X321" s="5"/>
      <c r="Y321" s="319"/>
      <c r="Z321" s="646"/>
      <c r="AA321" s="328">
        <f t="shared" si="47"/>
        <v>0</v>
      </c>
      <c r="AB321" s="298">
        <f t="shared" si="48"/>
        <v>0</v>
      </c>
      <c r="AC321" s="4"/>
      <c r="AD321" s="47"/>
      <c r="AE321" s="47"/>
      <c r="AF321" s="319"/>
      <c r="AG321" s="328">
        <f t="shared" si="49"/>
        <v>0</v>
      </c>
    </row>
    <row r="322" spans="2:42">
      <c r="B322" s="267" t="s">
        <v>361</v>
      </c>
      <c r="C322" s="47"/>
      <c r="D322" s="47"/>
      <c r="E322" s="319"/>
      <c r="F322" s="646"/>
      <c r="G322" s="4"/>
      <c r="H322" s="47"/>
      <c r="I322" s="47"/>
      <c r="J322" s="319"/>
      <c r="K322" s="646"/>
      <c r="L322" s="438"/>
      <c r="M322" s="5"/>
      <c r="N322" s="5"/>
      <c r="O322" s="319"/>
      <c r="P322" s="646"/>
      <c r="Q322" s="438"/>
      <c r="R322" s="5"/>
      <c r="S322" s="5"/>
      <c r="T322" s="319"/>
      <c r="U322" s="646"/>
      <c r="V322" s="438"/>
      <c r="W322" s="5"/>
      <c r="X322" s="5"/>
      <c r="Y322" s="319"/>
      <c r="Z322" s="646"/>
      <c r="AA322" s="328">
        <f t="shared" si="47"/>
        <v>0</v>
      </c>
      <c r="AB322" s="298">
        <f t="shared" si="48"/>
        <v>0</v>
      </c>
      <c r="AC322" s="4"/>
      <c r="AD322" s="47"/>
      <c r="AE322" s="47"/>
      <c r="AF322" s="319"/>
      <c r="AG322" s="328">
        <f t="shared" si="49"/>
        <v>0</v>
      </c>
    </row>
    <row r="323" spans="2:42">
      <c r="B323" s="267" t="s">
        <v>362</v>
      </c>
      <c r="C323" s="47"/>
      <c r="D323" s="47"/>
      <c r="E323" s="319"/>
      <c r="F323" s="646">
        <v>1</v>
      </c>
      <c r="G323" s="4"/>
      <c r="H323" s="47"/>
      <c r="I323" s="47"/>
      <c r="J323" s="319">
        <v>1</v>
      </c>
      <c r="K323" s="646"/>
      <c r="L323" s="438"/>
      <c r="M323" s="47"/>
      <c r="N323" s="47"/>
      <c r="O323" s="319">
        <v>1</v>
      </c>
      <c r="P323" s="646"/>
      <c r="Q323" s="438"/>
      <c r="R323" s="47"/>
      <c r="S323" s="47"/>
      <c r="T323" s="319">
        <v>1</v>
      </c>
      <c r="U323" s="646"/>
      <c r="V323" s="438"/>
      <c r="W323" s="5"/>
      <c r="X323" s="5"/>
      <c r="Y323" s="319">
        <v>1</v>
      </c>
      <c r="Z323" s="646"/>
      <c r="AA323" s="328">
        <f t="shared" si="47"/>
        <v>4</v>
      </c>
      <c r="AB323" s="298">
        <f t="shared" si="48"/>
        <v>1</v>
      </c>
      <c r="AC323" s="4"/>
      <c r="AD323" s="47"/>
      <c r="AE323" s="47"/>
      <c r="AF323" s="319"/>
      <c r="AG323" s="328">
        <f t="shared" si="49"/>
        <v>0</v>
      </c>
    </row>
    <row r="324" spans="2:42">
      <c r="B324" s="437" t="s">
        <v>355</v>
      </c>
      <c r="C324" s="47"/>
      <c r="D324" s="47"/>
      <c r="E324" s="319">
        <v>7.7</v>
      </c>
      <c r="F324" s="646"/>
      <c r="G324" s="4"/>
      <c r="H324" s="47"/>
      <c r="I324" s="47"/>
      <c r="J324" s="319">
        <v>7.7</v>
      </c>
      <c r="K324" s="646"/>
      <c r="L324" s="438"/>
      <c r="M324" s="5"/>
      <c r="N324" s="5"/>
      <c r="O324" s="319">
        <v>7.7</v>
      </c>
      <c r="P324" s="646"/>
      <c r="Q324" s="438"/>
      <c r="R324" s="5"/>
      <c r="S324" s="5"/>
      <c r="T324" s="319">
        <v>7.7</v>
      </c>
      <c r="U324" s="646"/>
      <c r="V324" s="438"/>
      <c r="W324" s="5"/>
      <c r="X324" s="5"/>
      <c r="Y324" s="319">
        <v>7.7</v>
      </c>
      <c r="Z324" s="646"/>
      <c r="AA324" s="328">
        <f t="shared" si="47"/>
        <v>38.5</v>
      </c>
      <c r="AB324" s="298">
        <f t="shared" si="48"/>
        <v>0</v>
      </c>
      <c r="AC324" s="4"/>
      <c r="AD324" s="47"/>
      <c r="AE324" s="47"/>
      <c r="AF324" s="319"/>
      <c r="AG324" s="328">
        <f t="shared" si="49"/>
        <v>0</v>
      </c>
    </row>
    <row r="325" spans="2:42">
      <c r="B325" s="437" t="s">
        <v>356</v>
      </c>
      <c r="C325" s="713"/>
      <c r="D325" s="713"/>
      <c r="E325" s="319"/>
      <c r="F325" s="646"/>
      <c r="G325" s="438"/>
      <c r="H325" s="5"/>
      <c r="I325" s="5"/>
      <c r="J325" s="319"/>
      <c r="K325" s="646"/>
      <c r="L325" s="438"/>
      <c r="M325" s="5"/>
      <c r="N325" s="5"/>
      <c r="O325" s="319"/>
      <c r="P325" s="646"/>
      <c r="Q325" s="438"/>
      <c r="R325" s="5"/>
      <c r="S325" s="5"/>
      <c r="T325" s="319"/>
      <c r="U325" s="646"/>
      <c r="V325" s="438"/>
      <c r="W325" s="5"/>
      <c r="X325" s="5"/>
      <c r="Y325" s="319"/>
      <c r="Z325" s="646"/>
      <c r="AA325" s="328">
        <f t="shared" si="47"/>
        <v>0</v>
      </c>
      <c r="AB325" s="298">
        <f t="shared" si="48"/>
        <v>0</v>
      </c>
      <c r="AC325" s="4"/>
      <c r="AD325" s="47"/>
      <c r="AE325" s="47"/>
      <c r="AF325" s="319"/>
      <c r="AG325" s="328">
        <f t="shared" si="49"/>
        <v>0</v>
      </c>
    </row>
    <row r="326" spans="2:42">
      <c r="B326" s="64" t="s">
        <v>61</v>
      </c>
      <c r="C326" s="31"/>
      <c r="D326" s="31"/>
      <c r="E326" s="439"/>
      <c r="F326" s="646"/>
      <c r="G326" s="31"/>
      <c r="H326" s="31"/>
      <c r="I326" s="31"/>
      <c r="J326" s="439"/>
      <c r="K326" s="646"/>
      <c r="L326" s="31"/>
      <c r="M326" s="31"/>
      <c r="N326" s="31"/>
      <c r="O326" s="439"/>
      <c r="P326" s="646"/>
      <c r="Q326" s="31"/>
      <c r="R326" s="31"/>
      <c r="S326" s="31"/>
      <c r="T326" s="439"/>
      <c r="U326" s="646"/>
      <c r="V326" s="31"/>
      <c r="W326" s="31"/>
      <c r="X326" s="31"/>
      <c r="Y326" s="439"/>
      <c r="Z326" s="646"/>
      <c r="AA326" s="370">
        <f>SUM(AA302:AA325)</f>
        <v>368.5</v>
      </c>
      <c r="AB326" s="370">
        <f>SUM(AB302:AB325)</f>
        <v>11.25</v>
      </c>
      <c r="AC326" s="4"/>
      <c r="AD326" s="64"/>
      <c r="AE326" s="64"/>
      <c r="AF326" s="370">
        <f>SUM(AF302:AF325)</f>
        <v>0</v>
      </c>
      <c r="AG326" s="370">
        <f>SUM(AG302:AG325)</f>
        <v>0</v>
      </c>
      <c r="AK326" s="407"/>
    </row>
    <row r="327" spans="2:42">
      <c r="B327" s="63" t="s">
        <v>64</v>
      </c>
      <c r="C327" s="47"/>
      <c r="D327" s="47"/>
      <c r="E327" s="319">
        <v>8.5</v>
      </c>
      <c r="F327" s="346"/>
      <c r="G327" s="613"/>
      <c r="H327" s="47"/>
      <c r="I327" s="47"/>
      <c r="J327" s="319">
        <v>8.5</v>
      </c>
      <c r="K327" s="346"/>
      <c r="L327" s="60"/>
      <c r="M327" s="47"/>
      <c r="N327" s="47"/>
      <c r="O327" s="319">
        <v>0</v>
      </c>
      <c r="P327" s="346"/>
      <c r="Q327" s="60"/>
      <c r="R327" s="47"/>
      <c r="S327" s="47"/>
      <c r="T327" s="319">
        <v>8.75</v>
      </c>
      <c r="U327" s="346"/>
      <c r="V327" s="60"/>
      <c r="W327" s="47"/>
      <c r="X327" s="47"/>
      <c r="Y327" s="319">
        <v>9.5</v>
      </c>
      <c r="Z327" s="346"/>
      <c r="AA327" s="28">
        <f>SUM(E327+J327+O327+T327+Y327)</f>
        <v>35.25</v>
      </c>
      <c r="AB327" s="296">
        <f>Z327+U327+P327+K327+F327</f>
        <v>0</v>
      </c>
      <c r="AC327" s="4"/>
      <c r="AD327" s="47" t="s">
        <v>29</v>
      </c>
      <c r="AE327" s="47" t="s">
        <v>29</v>
      </c>
      <c r="AF327" s="319"/>
      <c r="AG327" s="29">
        <f>AF327</f>
        <v>0</v>
      </c>
      <c r="AK327" s="407"/>
    </row>
    <row r="328" spans="2:42">
      <c r="B328" s="71" t="s">
        <v>66</v>
      </c>
      <c r="C328" s="371"/>
      <c r="D328" s="371"/>
      <c r="E328" s="71"/>
      <c r="F328" s="613"/>
      <c r="G328" s="71"/>
      <c r="H328" s="71"/>
      <c r="I328" s="71"/>
      <c r="J328" s="71"/>
      <c r="K328" s="613"/>
      <c r="L328" s="71"/>
      <c r="M328" s="71"/>
      <c r="N328" s="71"/>
      <c r="O328" s="71"/>
      <c r="P328" s="613"/>
      <c r="Q328" s="71"/>
      <c r="R328" s="71"/>
      <c r="S328" s="71"/>
      <c r="T328" s="71"/>
      <c r="U328" s="613"/>
      <c r="V328" s="71"/>
      <c r="W328" s="71"/>
      <c r="X328" s="71"/>
      <c r="Y328" s="71"/>
      <c r="Z328" s="613"/>
      <c r="AA328" s="370">
        <f>SUM(AA327:AA327)</f>
        <v>35.25</v>
      </c>
      <c r="AB328" s="370">
        <f>SUM(AB327:AB327)</f>
        <v>0</v>
      </c>
      <c r="AC328" s="4"/>
      <c r="AG328" s="370">
        <f>SUM(AG327:AG327)</f>
        <v>0</v>
      </c>
      <c r="AK328" s="407"/>
    </row>
    <row r="329" spans="2:42">
      <c r="B329" s="217" t="s">
        <v>67</v>
      </c>
      <c r="C329" s="207">
        <f>C330+C331</f>
        <v>25</v>
      </c>
      <c r="D329" s="207"/>
      <c r="E329" s="209"/>
      <c r="F329" s="209"/>
      <c r="G329" s="207"/>
      <c r="H329" s="209"/>
      <c r="I329" s="209"/>
      <c r="J329" s="209"/>
      <c r="K329" s="209"/>
      <c r="L329" s="207"/>
      <c r="M329" s="207"/>
      <c r="N329" s="207"/>
      <c r="O329" s="207"/>
      <c r="P329" s="209"/>
      <c r="Q329" s="207"/>
      <c r="R329" s="207"/>
      <c r="S329" s="207"/>
      <c r="T329" s="207"/>
      <c r="U329" s="209"/>
      <c r="V329" s="207"/>
      <c r="W329" s="207"/>
      <c r="X329" s="207"/>
      <c r="Y329" s="210"/>
      <c r="Z329" s="209"/>
      <c r="AA329" s="211"/>
      <c r="AB329" s="209"/>
      <c r="AC329" s="211"/>
      <c r="AD329" s="211"/>
      <c r="AE329" s="211"/>
      <c r="AF329" s="211"/>
      <c r="AG329" s="211"/>
    </row>
    <row r="330" spans="2:42">
      <c r="B330" s="238" t="s">
        <v>68</v>
      </c>
      <c r="C330" s="239">
        <v>0</v>
      </c>
      <c r="D330" s="207"/>
      <c r="E330" s="209"/>
      <c r="F330" s="209"/>
      <c r="G330" s="207"/>
      <c r="H330" s="209"/>
      <c r="I330" s="209"/>
      <c r="J330" s="209"/>
      <c r="K330" s="209"/>
      <c r="L330" s="207"/>
      <c r="M330" s="207"/>
      <c r="N330" s="207"/>
      <c r="O330" s="207"/>
      <c r="P330" s="209"/>
      <c r="Q330" s="207"/>
      <c r="R330" s="207"/>
      <c r="S330" s="207"/>
      <c r="T330" s="207"/>
      <c r="U330" s="209"/>
      <c r="V330" s="207"/>
      <c r="W330" s="207"/>
      <c r="X330" s="207"/>
      <c r="Y330" s="210"/>
      <c r="Z330" s="209"/>
      <c r="AA330" s="211"/>
      <c r="AB330" s="209"/>
      <c r="AC330" s="211"/>
      <c r="AD330" s="211"/>
      <c r="AE330" s="211"/>
      <c r="AF330" s="211"/>
      <c r="AG330" s="211"/>
    </row>
    <row r="331" spans="2:42">
      <c r="B331" s="238" t="s">
        <v>69</v>
      </c>
      <c r="C331" s="239">
        <v>25</v>
      </c>
      <c r="D331" s="207"/>
      <c r="E331" s="209"/>
      <c r="F331" s="209"/>
      <c r="G331" s="207"/>
      <c r="H331" s="209"/>
      <c r="I331" s="209"/>
      <c r="J331" s="209"/>
      <c r="K331" s="209"/>
      <c r="L331" s="207"/>
      <c r="M331" s="207"/>
      <c r="N331" s="207"/>
      <c r="O331" s="207"/>
      <c r="P331" s="209"/>
      <c r="Q331" s="207"/>
      <c r="R331" s="207"/>
      <c r="S331" s="207"/>
      <c r="T331" s="207"/>
      <c r="U331" s="209"/>
      <c r="V331" s="207"/>
      <c r="W331" s="207"/>
      <c r="X331" s="207"/>
      <c r="Y331" s="210"/>
      <c r="Z331" s="209"/>
      <c r="AA331" s="211"/>
      <c r="AB331" s="209"/>
      <c r="AC331" s="211"/>
      <c r="AD331" s="211"/>
      <c r="AE331" s="211"/>
      <c r="AF331" s="211"/>
      <c r="AG331" s="211"/>
    </row>
    <row r="332" spans="2:42">
      <c r="E332" s="4"/>
      <c r="F332" s="644"/>
      <c r="G332" s="4"/>
      <c r="J332" s="4"/>
      <c r="K332" s="644"/>
      <c r="L332" s="4"/>
      <c r="O332" s="4"/>
      <c r="P332" s="644"/>
      <c r="T332" s="4"/>
      <c r="U332" s="644"/>
      <c r="Y332" s="4"/>
      <c r="Z332" s="644"/>
      <c r="AA332" s="4"/>
      <c r="AB332" s="4"/>
      <c r="AC332" s="4"/>
    </row>
    <row r="333" spans="2:42">
      <c r="B333" s="229"/>
      <c r="C333" s="230"/>
      <c r="D333" s="230"/>
      <c r="E333" s="232"/>
      <c r="F333" s="232"/>
      <c r="G333" s="230"/>
      <c r="H333" s="232"/>
      <c r="I333" s="232"/>
      <c r="J333" s="232"/>
      <c r="K333" s="232"/>
      <c r="L333" s="230"/>
      <c r="M333" s="230"/>
      <c r="N333" s="230"/>
      <c r="O333" s="230"/>
      <c r="P333" s="232"/>
      <c r="Q333" s="230"/>
      <c r="R333" s="230"/>
      <c r="S333" s="230"/>
      <c r="T333" s="230"/>
      <c r="U333" s="232"/>
      <c r="V333" s="230"/>
      <c r="W333" s="230"/>
      <c r="X333" s="230"/>
      <c r="Y333" s="233"/>
      <c r="Z333" s="232"/>
      <c r="AA333" s="234"/>
      <c r="AB333" s="232"/>
      <c r="AC333" s="373"/>
      <c r="AD333" s="236"/>
      <c r="AE333" s="255"/>
      <c r="AF333" s="255"/>
      <c r="AG333" s="255"/>
      <c r="AH333" s="255"/>
      <c r="AJ333" s="255"/>
      <c r="AK333" s="255"/>
      <c r="AL333" s="255"/>
      <c r="AM333" s="255"/>
      <c r="AN333" s="255"/>
      <c r="AO333" s="255"/>
      <c r="AP333" s="255"/>
    </row>
    <row r="334" spans="2:42">
      <c r="B334" s="180"/>
      <c r="E334" s="4"/>
      <c r="F334" s="644"/>
      <c r="G334" s="4"/>
      <c r="J334" s="4"/>
      <c r="K334" s="644"/>
      <c r="L334" s="4"/>
      <c r="O334" s="4"/>
      <c r="P334" s="644"/>
      <c r="T334" s="4"/>
      <c r="U334" s="644"/>
      <c r="Y334" s="4"/>
      <c r="Z334" s="644"/>
      <c r="AA334" s="4"/>
      <c r="AB334" s="4"/>
      <c r="AC334" s="4"/>
      <c r="AK334" s="180"/>
      <c r="AL334" s="180"/>
      <c r="AM334" s="180"/>
      <c r="AN334" s="180"/>
      <c r="AO334" s="180"/>
      <c r="AP334" s="180"/>
    </row>
    <row r="335" spans="2:42" ht="25.5">
      <c r="B335" s="1518" t="s">
        <v>18</v>
      </c>
      <c r="C335" s="1519">
        <v>45775</v>
      </c>
      <c r="D335" s="1519"/>
      <c r="E335" s="1519" t="s">
        <v>564</v>
      </c>
      <c r="F335" s="1519"/>
      <c r="G335" s="365"/>
      <c r="H335" s="1519">
        <v>45776</v>
      </c>
      <c r="I335" s="1519"/>
      <c r="J335" s="1519" t="s">
        <v>565</v>
      </c>
      <c r="K335" s="1519"/>
      <c r="L335" s="365"/>
      <c r="M335" s="1519">
        <v>45777</v>
      </c>
      <c r="N335" s="1519"/>
      <c r="O335" s="1519" t="s">
        <v>566</v>
      </c>
      <c r="P335" s="1519"/>
      <c r="Q335" s="365"/>
      <c r="R335" s="1519">
        <v>45778</v>
      </c>
      <c r="S335" s="1519"/>
      <c r="T335" s="1519" t="s">
        <v>567</v>
      </c>
      <c r="U335" s="1519"/>
      <c r="V335" s="365"/>
      <c r="W335" s="1519">
        <v>45779</v>
      </c>
      <c r="X335" s="1519"/>
      <c r="Y335" s="1519" t="s">
        <v>568</v>
      </c>
      <c r="Z335" s="1519"/>
      <c r="AA335" s="1517" t="s">
        <v>19</v>
      </c>
      <c r="AB335" s="1517" t="s">
        <v>20</v>
      </c>
      <c r="AC335" s="4"/>
      <c r="AD335" s="1519"/>
      <c r="AE335" s="1519"/>
      <c r="AF335" s="14" t="s">
        <v>1111</v>
      </c>
      <c r="AG335" s="1517" t="s">
        <v>21</v>
      </c>
      <c r="AI335" s="368"/>
      <c r="AK335" s="194" t="s">
        <v>84</v>
      </c>
      <c r="AL335" s="366"/>
      <c r="AM335" s="366"/>
      <c r="AN335" s="366"/>
      <c r="AO335" s="366"/>
      <c r="AP335" s="366"/>
    </row>
    <row r="336" spans="2:42">
      <c r="B336" s="1518"/>
      <c r="C336" s="21" t="s">
        <v>23</v>
      </c>
      <c r="D336" s="21" t="s">
        <v>24</v>
      </c>
      <c r="E336" s="205" t="s">
        <v>25</v>
      </c>
      <c r="F336" s="645" t="s">
        <v>14</v>
      </c>
      <c r="G336" s="4"/>
      <c r="H336" s="21"/>
      <c r="I336" s="21" t="s">
        <v>24</v>
      </c>
      <c r="J336" s="18" t="s">
        <v>25</v>
      </c>
      <c r="K336" s="645" t="s">
        <v>14</v>
      </c>
      <c r="L336" s="4"/>
      <c r="M336" s="21" t="s">
        <v>23</v>
      </c>
      <c r="N336" s="21" t="s">
        <v>24</v>
      </c>
      <c r="O336" s="18" t="s">
        <v>25</v>
      </c>
      <c r="P336" s="645" t="s">
        <v>14</v>
      </c>
      <c r="R336" s="21" t="s">
        <v>23</v>
      </c>
      <c r="S336" s="21" t="s">
        <v>24</v>
      </c>
      <c r="T336" s="18" t="s">
        <v>25</v>
      </c>
      <c r="U336" s="645" t="s">
        <v>14</v>
      </c>
      <c r="W336" s="21" t="s">
        <v>23</v>
      </c>
      <c r="X336" s="21" t="s">
        <v>24</v>
      </c>
      <c r="Y336" s="18" t="s">
        <v>25</v>
      </c>
      <c r="Z336" s="645" t="s">
        <v>14</v>
      </c>
      <c r="AA336" s="1517"/>
      <c r="AB336" s="1517"/>
      <c r="AC336" s="4"/>
      <c r="AD336" s="21" t="s">
        <v>23</v>
      </c>
      <c r="AE336" s="21" t="s">
        <v>24</v>
      </c>
      <c r="AF336" s="18" t="s">
        <v>25</v>
      </c>
      <c r="AG336" s="1517"/>
      <c r="AI336" s="368"/>
      <c r="AJ336" s="367"/>
      <c r="AK336" s="188" t="s">
        <v>26</v>
      </c>
      <c r="AL336" s="196">
        <f>AA361</f>
        <v>376.1</v>
      </c>
      <c r="AM336" s="510">
        <v>40.31</v>
      </c>
      <c r="AN336" s="510">
        <f t="shared" ref="AN336:AN341" si="50">AL336*AM336</f>
        <v>15160.591000000002</v>
      </c>
    </row>
    <row r="337" spans="2:42">
      <c r="B337" s="4" t="s">
        <v>958</v>
      </c>
      <c r="C337" s="47"/>
      <c r="D337" s="47"/>
      <c r="E337" s="319">
        <v>0</v>
      </c>
      <c r="F337" s="646"/>
      <c r="G337" s="4"/>
      <c r="H337" s="47"/>
      <c r="I337" s="47"/>
      <c r="J337" s="319">
        <v>0</v>
      </c>
      <c r="K337" s="646"/>
      <c r="L337" s="4"/>
      <c r="M337" s="441"/>
      <c r="N337" s="47"/>
      <c r="O337" s="319">
        <v>0</v>
      </c>
      <c r="P337" s="646"/>
      <c r="R337" s="47"/>
      <c r="S337" s="47"/>
      <c r="T337" s="319">
        <v>0</v>
      </c>
      <c r="U337" s="646"/>
      <c r="W337" s="47"/>
      <c r="X337" s="47"/>
      <c r="Y337" s="319">
        <v>0</v>
      </c>
      <c r="Z337" s="646"/>
      <c r="AA337" s="328">
        <f t="shared" ref="AA337:AA360" si="51">(E337+J337+O337+T337+Y337)</f>
        <v>0</v>
      </c>
      <c r="AB337" s="298">
        <f t="shared" ref="AB337:AB360" si="52">Z337+U337+P337+K337+F337</f>
        <v>0</v>
      </c>
      <c r="AC337" s="4"/>
      <c r="AD337" s="587"/>
      <c r="AE337" s="531"/>
      <c r="AF337" s="319"/>
      <c r="AG337" s="328">
        <f t="shared" ref="AG337:AG360" si="53">AF337</f>
        <v>0</v>
      </c>
      <c r="AI337" s="368"/>
      <c r="AJ337" s="367"/>
      <c r="AK337" s="188" t="s">
        <v>30</v>
      </c>
      <c r="AL337" s="196">
        <v>0</v>
      </c>
      <c r="AM337" s="511">
        <v>60.465000000000003</v>
      </c>
      <c r="AN337" s="510">
        <f t="shared" si="50"/>
        <v>0</v>
      </c>
    </row>
    <row r="338" spans="2:42">
      <c r="B338" s="47" t="s">
        <v>515</v>
      </c>
      <c r="C338" s="47">
        <v>0.41666666666666669</v>
      </c>
      <c r="D338" s="47">
        <v>8.3333333333333329E-2</v>
      </c>
      <c r="E338" s="722">
        <v>8</v>
      </c>
      <c r="F338" s="646"/>
      <c r="G338" s="4"/>
      <c r="H338" s="47">
        <v>0.375</v>
      </c>
      <c r="I338" s="47">
        <v>0.25</v>
      </c>
      <c r="J338" s="319">
        <v>8</v>
      </c>
      <c r="K338" s="646"/>
      <c r="L338" s="4"/>
      <c r="M338" s="441" t="s">
        <v>75</v>
      </c>
      <c r="N338" s="47">
        <v>0.25</v>
      </c>
      <c r="O338" s="319">
        <v>8</v>
      </c>
      <c r="P338" s="646"/>
      <c r="R338" s="714"/>
      <c r="S338" s="714"/>
      <c r="T338" s="319">
        <v>0</v>
      </c>
      <c r="U338" s="646"/>
      <c r="W338" s="714"/>
      <c r="X338" s="714"/>
      <c r="Y338" s="319">
        <v>0</v>
      </c>
      <c r="Z338" s="646"/>
      <c r="AA338" s="328">
        <f t="shared" si="51"/>
        <v>24</v>
      </c>
      <c r="AB338" s="298">
        <f t="shared" si="52"/>
        <v>0</v>
      </c>
      <c r="AC338" s="4"/>
      <c r="AF338" s="319"/>
      <c r="AG338" s="328">
        <f t="shared" si="53"/>
        <v>0</v>
      </c>
      <c r="AH338" s="175"/>
      <c r="AI338" s="402"/>
      <c r="AJ338" s="367"/>
      <c r="AK338" s="188" t="s">
        <v>32</v>
      </c>
      <c r="AL338" s="196">
        <f>AG361</f>
        <v>0</v>
      </c>
      <c r="AM338" s="510">
        <v>60.465000000000003</v>
      </c>
      <c r="AN338" s="510">
        <f t="shared" si="50"/>
        <v>0</v>
      </c>
    </row>
    <row r="339" spans="2:42">
      <c r="B339" s="441" t="s">
        <v>962</v>
      </c>
      <c r="C339" s="47"/>
      <c r="D339" s="47"/>
      <c r="E339" s="319">
        <v>0</v>
      </c>
      <c r="F339" s="646"/>
      <c r="G339" s="4"/>
      <c r="H339" s="47"/>
      <c r="I339" s="47"/>
      <c r="J339" s="319">
        <v>0</v>
      </c>
      <c r="K339" s="646"/>
      <c r="L339" s="4"/>
      <c r="M339" s="441"/>
      <c r="N339" s="47"/>
      <c r="O339" s="319">
        <v>0</v>
      </c>
      <c r="P339" s="646"/>
      <c r="R339" s="47"/>
      <c r="S339" s="47"/>
      <c r="T339" s="319">
        <v>0</v>
      </c>
      <c r="U339" s="646"/>
      <c r="W339" s="47"/>
      <c r="X339" s="47"/>
      <c r="Y339" s="319">
        <v>0</v>
      </c>
      <c r="Z339" s="646"/>
      <c r="AA339" s="328">
        <f t="shared" si="51"/>
        <v>0</v>
      </c>
      <c r="AB339" s="298">
        <f t="shared" si="52"/>
        <v>0</v>
      </c>
      <c r="AC339" s="399"/>
      <c r="AD339" s="47"/>
      <c r="AE339" s="47"/>
      <c r="AF339" s="319"/>
      <c r="AG339" s="328">
        <f t="shared" si="53"/>
        <v>0</v>
      </c>
      <c r="AH339" s="175"/>
      <c r="AJ339" s="401"/>
      <c r="AK339" s="403" t="s">
        <v>213</v>
      </c>
      <c r="AL339" s="404">
        <f>AA363</f>
        <v>40</v>
      </c>
      <c r="AM339" s="510">
        <v>53.05</v>
      </c>
      <c r="AN339" s="510">
        <f t="shared" si="50"/>
        <v>2122</v>
      </c>
      <c r="AO339" s="405"/>
      <c r="AP339" s="405"/>
    </row>
    <row r="340" spans="2:42">
      <c r="B340" s="47" t="s">
        <v>1112</v>
      </c>
      <c r="C340" s="47">
        <v>0.375</v>
      </c>
      <c r="D340" s="47">
        <v>0.20833333333333334</v>
      </c>
      <c r="E340" s="722">
        <v>8</v>
      </c>
      <c r="F340" s="646"/>
      <c r="G340" s="4"/>
      <c r="H340" s="326"/>
      <c r="I340" s="326"/>
      <c r="J340" s="723">
        <v>0</v>
      </c>
      <c r="K340" s="724"/>
      <c r="L340" s="725"/>
      <c r="M340" s="719"/>
      <c r="N340" s="326"/>
      <c r="O340" s="544">
        <v>0</v>
      </c>
      <c r="P340" s="646"/>
      <c r="R340" s="47"/>
      <c r="S340" s="47"/>
      <c r="T340" s="319">
        <v>0</v>
      </c>
      <c r="U340" s="646"/>
      <c r="W340" s="47"/>
      <c r="X340" s="47"/>
      <c r="Y340" s="319">
        <v>0</v>
      </c>
      <c r="Z340" s="646"/>
      <c r="AA340" s="328">
        <f t="shared" si="51"/>
        <v>8</v>
      </c>
      <c r="AB340" s="298">
        <f t="shared" si="52"/>
        <v>0</v>
      </c>
      <c r="AC340" s="4"/>
      <c r="AD340" s="47"/>
      <c r="AE340" s="47"/>
      <c r="AF340" s="319"/>
      <c r="AG340" s="328">
        <f t="shared" si="53"/>
        <v>0</v>
      </c>
      <c r="AH340" s="175"/>
      <c r="AI340" s="368"/>
      <c r="AK340" s="188" t="s">
        <v>36</v>
      </c>
      <c r="AL340" s="196">
        <f>AB363</f>
        <v>5</v>
      </c>
      <c r="AM340" s="510">
        <v>79.574999999999989</v>
      </c>
      <c r="AN340" s="510">
        <f t="shared" si="50"/>
        <v>397.87499999999994</v>
      </c>
    </row>
    <row r="341" spans="2:42">
      <c r="B341" s="436" t="s">
        <v>972</v>
      </c>
      <c r="C341" s="47">
        <v>0.33333333333333331</v>
      </c>
      <c r="D341" s="47">
        <v>0.20833333333333334</v>
      </c>
      <c r="E341" s="319">
        <v>8</v>
      </c>
      <c r="F341" s="646"/>
      <c r="G341" s="4"/>
      <c r="H341" s="47">
        <v>0.33333333333333331</v>
      </c>
      <c r="I341" s="47">
        <v>0.20833333333333334</v>
      </c>
      <c r="J341" s="319">
        <v>8</v>
      </c>
      <c r="K341" s="646"/>
      <c r="L341" s="4"/>
      <c r="M341" s="441" t="s">
        <v>1128</v>
      </c>
      <c r="N341" s="47">
        <v>0.20833333333333334</v>
      </c>
      <c r="O341" s="319">
        <v>8</v>
      </c>
      <c r="P341" s="646"/>
      <c r="R341" s="47">
        <v>0.33333333333333331</v>
      </c>
      <c r="S341" s="47">
        <v>0.20833333333333334</v>
      </c>
      <c r="T341" s="319">
        <v>8</v>
      </c>
      <c r="U341" s="646"/>
      <c r="W341" s="47">
        <v>0.33333333333333331</v>
      </c>
      <c r="X341" s="47">
        <v>0.25</v>
      </c>
      <c r="Y341" s="319">
        <v>8</v>
      </c>
      <c r="Z341" s="646">
        <v>1</v>
      </c>
      <c r="AA341" s="328">
        <f t="shared" si="51"/>
        <v>40</v>
      </c>
      <c r="AB341" s="298">
        <f t="shared" si="52"/>
        <v>1</v>
      </c>
      <c r="AC341" s="4"/>
      <c r="AD341" s="47"/>
      <c r="AE341" s="47"/>
      <c r="AF341" s="319"/>
      <c r="AG341" s="328">
        <f t="shared" si="53"/>
        <v>0</v>
      </c>
      <c r="AK341" s="188" t="s">
        <v>38</v>
      </c>
      <c r="AL341" s="196">
        <f>AG363</f>
        <v>0.5</v>
      </c>
      <c r="AM341" s="510">
        <v>79.574999999999989</v>
      </c>
      <c r="AN341" s="510">
        <f t="shared" si="50"/>
        <v>39.787499999999994</v>
      </c>
    </row>
    <row r="342" spans="2:42">
      <c r="B342" s="47" t="s">
        <v>974</v>
      </c>
      <c r="C342" s="47">
        <v>0.33333333333333331</v>
      </c>
      <c r="D342" s="47">
        <v>0.20833333333333334</v>
      </c>
      <c r="E342" s="319">
        <v>8</v>
      </c>
      <c r="F342" s="646"/>
      <c r="G342" s="4"/>
      <c r="H342" s="47"/>
      <c r="I342" s="47"/>
      <c r="J342" s="319">
        <v>0</v>
      </c>
      <c r="K342" s="646"/>
      <c r="L342" s="4"/>
      <c r="M342" s="441" t="s">
        <v>125</v>
      </c>
      <c r="N342" s="47">
        <v>0.20833333333333334</v>
      </c>
      <c r="O342" s="319">
        <v>8</v>
      </c>
      <c r="P342" s="646"/>
      <c r="R342" s="47"/>
      <c r="S342" s="47"/>
      <c r="T342" s="319">
        <v>0</v>
      </c>
      <c r="U342" s="646"/>
      <c r="W342" s="47">
        <v>0.33333333333333331</v>
      </c>
      <c r="X342" s="47">
        <v>0.20833333333333334</v>
      </c>
      <c r="Y342" s="319">
        <v>8</v>
      </c>
      <c r="Z342" s="646"/>
      <c r="AA342" s="328">
        <f t="shared" si="51"/>
        <v>24</v>
      </c>
      <c r="AB342" s="298">
        <f t="shared" si="52"/>
        <v>0</v>
      </c>
      <c r="AC342" s="4"/>
      <c r="AD342" s="47"/>
      <c r="AE342" s="47"/>
      <c r="AF342" s="319"/>
      <c r="AG342" s="328">
        <f t="shared" si="53"/>
        <v>0</v>
      </c>
      <c r="AN342" s="510">
        <f>SUM(AN336:AN341)</f>
        <v>17720.253499999999</v>
      </c>
    </row>
    <row r="343" spans="2:42">
      <c r="B343" s="374" t="s">
        <v>998</v>
      </c>
      <c r="C343" s="47">
        <v>0.33333333333333331</v>
      </c>
      <c r="D343" s="47">
        <v>0.22916666666666666</v>
      </c>
      <c r="E343" s="319">
        <v>8</v>
      </c>
      <c r="F343" s="646">
        <v>0.5</v>
      </c>
      <c r="G343" s="4"/>
      <c r="H343" s="47">
        <v>0.375</v>
      </c>
      <c r="I343" s="47">
        <v>0.125</v>
      </c>
      <c r="J343" s="722">
        <v>8</v>
      </c>
      <c r="K343" s="646"/>
      <c r="L343" s="4"/>
      <c r="M343" s="441" t="s">
        <v>75</v>
      </c>
      <c r="N343" s="47">
        <v>0.25</v>
      </c>
      <c r="O343" s="319">
        <v>8</v>
      </c>
      <c r="P343" s="646"/>
      <c r="R343" s="47">
        <v>0.39583333333333331</v>
      </c>
      <c r="S343" s="47">
        <v>0.25</v>
      </c>
      <c r="T343" s="319">
        <v>7.5</v>
      </c>
      <c r="U343" s="646"/>
      <c r="W343" s="47">
        <v>0.33333333333333331</v>
      </c>
      <c r="X343" s="47">
        <v>0.22916666666666666</v>
      </c>
      <c r="Y343" s="319">
        <v>8</v>
      </c>
      <c r="Z343" s="646">
        <v>0.5</v>
      </c>
      <c r="AA343" s="328">
        <f t="shared" si="51"/>
        <v>39.5</v>
      </c>
      <c r="AB343" s="298">
        <f t="shared" si="52"/>
        <v>1</v>
      </c>
      <c r="AC343" s="4"/>
      <c r="AD343" s="47"/>
      <c r="AE343" s="47"/>
      <c r="AF343" s="319"/>
      <c r="AG343" s="328">
        <f t="shared" si="53"/>
        <v>0</v>
      </c>
    </row>
    <row r="344" spans="2:42">
      <c r="B344" s="47" t="s">
        <v>977</v>
      </c>
      <c r="C344" s="47">
        <v>0.375</v>
      </c>
      <c r="D344" s="47">
        <v>0.25</v>
      </c>
      <c r="E344" s="319">
        <v>8</v>
      </c>
      <c r="F344" s="646"/>
      <c r="G344" s="4"/>
      <c r="H344" s="47">
        <v>0.375</v>
      </c>
      <c r="I344" s="47">
        <v>0.25</v>
      </c>
      <c r="J344" s="319">
        <v>8</v>
      </c>
      <c r="K344" s="646"/>
      <c r="L344" s="4"/>
      <c r="M344" s="441" t="s">
        <v>75</v>
      </c>
      <c r="N344" s="47">
        <v>0.25</v>
      </c>
      <c r="O344" s="319">
        <v>8</v>
      </c>
      <c r="P344" s="646"/>
      <c r="R344" s="47">
        <v>0.375</v>
      </c>
      <c r="S344" s="47">
        <v>0.25</v>
      </c>
      <c r="T344" s="319">
        <v>8</v>
      </c>
      <c r="U344" s="646"/>
      <c r="W344" s="47">
        <v>0.375</v>
      </c>
      <c r="X344" s="47">
        <v>0.25</v>
      </c>
      <c r="Y344" s="319">
        <v>8</v>
      </c>
      <c r="Z344" s="646"/>
      <c r="AA344" s="328">
        <f t="shared" si="51"/>
        <v>40</v>
      </c>
      <c r="AB344" s="298">
        <f t="shared" si="52"/>
        <v>0</v>
      </c>
      <c r="AC344" s="4"/>
      <c r="AD344" s="47"/>
      <c r="AE344" s="47"/>
      <c r="AF344" s="319"/>
      <c r="AG344" s="328">
        <f t="shared" si="53"/>
        <v>0</v>
      </c>
      <c r="AK344" s="192" t="s">
        <v>1115</v>
      </c>
      <c r="AM344" s="193">
        <f>C364</f>
        <v>26</v>
      </c>
    </row>
    <row r="345" spans="2:42">
      <c r="B345" s="47" t="s">
        <v>519</v>
      </c>
      <c r="C345" s="47"/>
      <c r="D345" s="47"/>
      <c r="E345" s="319">
        <v>0</v>
      </c>
      <c r="F345" s="646"/>
      <c r="G345" s="4"/>
      <c r="H345" s="47"/>
      <c r="I345" s="47"/>
      <c r="J345" s="319">
        <v>0</v>
      </c>
      <c r="K345" s="646"/>
      <c r="L345" s="4"/>
      <c r="M345" s="441"/>
      <c r="N345" s="47"/>
      <c r="O345" s="319"/>
      <c r="P345" s="646"/>
      <c r="R345" s="441"/>
      <c r="S345" s="47"/>
      <c r="T345" s="319">
        <v>0</v>
      </c>
      <c r="U345" s="646"/>
      <c r="W345" s="441"/>
      <c r="X345" s="47"/>
      <c r="Y345" s="319">
        <v>0</v>
      </c>
      <c r="Z345" s="646"/>
      <c r="AA345" s="328">
        <f t="shared" si="51"/>
        <v>0</v>
      </c>
      <c r="AB345" s="298">
        <f t="shared" si="52"/>
        <v>0</v>
      </c>
      <c r="AC345" s="4"/>
      <c r="AD345" s="47"/>
      <c r="AE345" s="47"/>
      <c r="AF345" s="319"/>
      <c r="AG345" s="328">
        <f t="shared" si="53"/>
        <v>0</v>
      </c>
    </row>
    <row r="346" spans="2:42">
      <c r="B346" s="47" t="s">
        <v>999</v>
      </c>
      <c r="C346" s="47"/>
      <c r="D346" s="441"/>
      <c r="E346" s="319">
        <v>0</v>
      </c>
      <c r="F346" s="646"/>
      <c r="G346" s="4"/>
      <c r="H346" s="47"/>
      <c r="I346" s="47"/>
      <c r="J346" s="319">
        <v>0</v>
      </c>
      <c r="K346" s="646"/>
      <c r="L346" s="4"/>
      <c r="M346" s="441"/>
      <c r="N346" s="47"/>
      <c r="O346" s="319"/>
      <c r="P346" s="646"/>
      <c r="R346" s="441"/>
      <c r="S346" s="441"/>
      <c r="T346" s="319">
        <v>0</v>
      </c>
      <c r="U346" s="646"/>
      <c r="W346" s="441"/>
      <c r="X346" s="441"/>
      <c r="Y346" s="319">
        <v>0</v>
      </c>
      <c r="Z346" s="646"/>
      <c r="AA346" s="328">
        <f t="shared" si="51"/>
        <v>0</v>
      </c>
      <c r="AB346" s="298">
        <f t="shared" si="52"/>
        <v>0</v>
      </c>
      <c r="AC346" s="4"/>
      <c r="AD346" s="47"/>
      <c r="AE346" s="47"/>
      <c r="AF346" s="319"/>
      <c r="AG346" s="328">
        <f t="shared" si="53"/>
        <v>0</v>
      </c>
    </row>
    <row r="347" spans="2:42">
      <c r="B347" s="47" t="s">
        <v>1113</v>
      </c>
      <c r="C347" s="47"/>
      <c r="D347" s="47"/>
      <c r="E347" s="319">
        <v>0</v>
      </c>
      <c r="F347" s="646"/>
      <c r="G347" s="4"/>
      <c r="H347" s="47"/>
      <c r="I347" s="47"/>
      <c r="J347" s="319">
        <v>0</v>
      </c>
      <c r="K347" s="646"/>
      <c r="L347" s="4"/>
      <c r="M347" s="441"/>
      <c r="N347" s="47"/>
      <c r="O347" s="319"/>
      <c r="P347" s="646"/>
      <c r="R347" s="441"/>
      <c r="S347" s="47"/>
      <c r="T347" s="319">
        <v>0</v>
      </c>
      <c r="U347" s="646"/>
      <c r="W347" s="441"/>
      <c r="X347" s="47"/>
      <c r="Y347" s="319">
        <v>0</v>
      </c>
      <c r="Z347" s="646"/>
      <c r="AA347" s="328">
        <f t="shared" si="51"/>
        <v>0</v>
      </c>
      <c r="AB347" s="298">
        <f t="shared" si="52"/>
        <v>0</v>
      </c>
      <c r="AC347" s="4"/>
      <c r="AD347" s="47"/>
      <c r="AE347" s="47"/>
      <c r="AF347" s="319"/>
      <c r="AG347" s="328">
        <f t="shared" si="53"/>
        <v>0</v>
      </c>
    </row>
    <row r="348" spans="2:42">
      <c r="B348" s="502" t="s">
        <v>483</v>
      </c>
      <c r="C348" s="47"/>
      <c r="D348" s="47"/>
      <c r="E348" s="319"/>
      <c r="F348" s="646"/>
      <c r="G348" s="4"/>
      <c r="H348" s="47"/>
      <c r="I348" s="47"/>
      <c r="J348" s="319"/>
      <c r="K348" s="646"/>
      <c r="L348" s="4"/>
      <c r="M348" s="441"/>
      <c r="N348" s="47"/>
      <c r="O348" s="319"/>
      <c r="P348" s="646"/>
      <c r="R348" s="5"/>
      <c r="S348" s="5"/>
      <c r="T348" s="319"/>
      <c r="U348" s="646"/>
      <c r="W348" s="5"/>
      <c r="X348" s="5"/>
      <c r="Y348" s="319"/>
      <c r="Z348" s="646"/>
      <c r="AA348" s="328">
        <f t="shared" si="51"/>
        <v>0</v>
      </c>
      <c r="AB348" s="298">
        <f t="shared" si="52"/>
        <v>0</v>
      </c>
      <c r="AC348" s="4"/>
      <c r="AD348" s="47"/>
      <c r="AE348" s="47"/>
      <c r="AF348" s="319"/>
      <c r="AG348" s="328">
        <f t="shared" si="53"/>
        <v>0</v>
      </c>
    </row>
    <row r="349" spans="2:42">
      <c r="B349" s="502" t="s">
        <v>483</v>
      </c>
      <c r="C349" s="47"/>
      <c r="D349" s="47"/>
      <c r="E349" s="319">
        <v>8</v>
      </c>
      <c r="F349" s="646"/>
      <c r="G349" s="4"/>
      <c r="H349" s="47"/>
      <c r="I349" s="47"/>
      <c r="J349" s="319">
        <v>5</v>
      </c>
      <c r="K349" s="646"/>
      <c r="L349" s="4"/>
      <c r="M349" s="441"/>
      <c r="N349" s="47"/>
      <c r="O349" s="319">
        <v>8.75</v>
      </c>
      <c r="P349" s="646"/>
      <c r="R349" s="47"/>
      <c r="S349" s="47"/>
      <c r="T349" s="319">
        <v>8.25</v>
      </c>
      <c r="U349" s="646"/>
      <c r="W349" s="47"/>
      <c r="X349" s="47"/>
      <c r="Y349" s="319">
        <v>8</v>
      </c>
      <c r="Z349" s="646"/>
      <c r="AA349" s="328">
        <f t="shared" si="51"/>
        <v>38</v>
      </c>
      <c r="AB349" s="298">
        <f t="shared" si="52"/>
        <v>0</v>
      </c>
      <c r="AC349" s="4"/>
      <c r="AD349" s="47"/>
      <c r="AE349" s="47"/>
      <c r="AF349" s="319"/>
      <c r="AG349" s="328">
        <f t="shared" si="53"/>
        <v>0</v>
      </c>
    </row>
    <row r="350" spans="2:42">
      <c r="B350" s="502" t="s">
        <v>484</v>
      </c>
      <c r="C350" s="47"/>
      <c r="D350" s="47"/>
      <c r="E350" s="319">
        <v>0</v>
      </c>
      <c r="F350" s="646"/>
      <c r="G350" s="4"/>
      <c r="H350" s="47"/>
      <c r="I350" s="47"/>
      <c r="J350" s="319">
        <v>5</v>
      </c>
      <c r="K350" s="646"/>
      <c r="L350" s="4"/>
      <c r="M350" s="441"/>
      <c r="N350" s="47"/>
      <c r="O350" s="319">
        <v>8.75</v>
      </c>
      <c r="P350" s="646"/>
      <c r="R350" s="47"/>
      <c r="S350" s="47"/>
      <c r="T350" s="319">
        <v>8.25</v>
      </c>
      <c r="U350" s="646"/>
      <c r="W350" s="47"/>
      <c r="X350" s="47"/>
      <c r="Y350" s="319">
        <v>8</v>
      </c>
      <c r="Z350" s="646"/>
      <c r="AA350" s="328">
        <f t="shared" si="51"/>
        <v>30</v>
      </c>
      <c r="AB350" s="298">
        <f t="shared" si="52"/>
        <v>0</v>
      </c>
      <c r="AC350" s="4"/>
      <c r="AD350" s="47"/>
      <c r="AE350" s="47"/>
      <c r="AF350" s="319"/>
      <c r="AG350" s="328">
        <f t="shared" si="53"/>
        <v>0</v>
      </c>
    </row>
    <row r="351" spans="2:42">
      <c r="B351" s="502" t="s">
        <v>485</v>
      </c>
      <c r="C351" s="47"/>
      <c r="D351" s="47"/>
      <c r="E351" s="319">
        <v>8</v>
      </c>
      <c r="F351" s="646"/>
      <c r="G351" s="4"/>
      <c r="H351" s="47"/>
      <c r="I351" s="47"/>
      <c r="J351" s="319">
        <v>0</v>
      </c>
      <c r="K351" s="646"/>
      <c r="L351" s="4"/>
      <c r="M351" s="47"/>
      <c r="N351" s="47"/>
      <c r="O351" s="319">
        <v>8.75</v>
      </c>
      <c r="P351" s="646"/>
      <c r="R351" s="47"/>
      <c r="S351" s="47"/>
      <c r="T351" s="319">
        <v>8.25</v>
      </c>
      <c r="U351" s="646"/>
      <c r="W351" s="47"/>
      <c r="X351" s="47"/>
      <c r="Y351" s="319">
        <v>8</v>
      </c>
      <c r="Z351" s="646"/>
      <c r="AA351" s="328">
        <f t="shared" si="51"/>
        <v>33</v>
      </c>
      <c r="AB351" s="298">
        <f t="shared" si="52"/>
        <v>0</v>
      </c>
      <c r="AC351" s="4"/>
      <c r="AD351" s="47"/>
      <c r="AE351" s="47"/>
      <c r="AF351" s="319"/>
      <c r="AG351" s="328">
        <f t="shared" si="53"/>
        <v>0</v>
      </c>
    </row>
    <row r="352" spans="2:42">
      <c r="B352" s="502" t="s">
        <v>486</v>
      </c>
      <c r="C352" s="47"/>
      <c r="D352" s="47"/>
      <c r="E352" s="319"/>
      <c r="F352" s="646"/>
      <c r="G352" s="4"/>
      <c r="H352" s="47"/>
      <c r="I352" s="47"/>
      <c r="J352" s="319"/>
      <c r="K352" s="646"/>
      <c r="L352" s="4"/>
      <c r="M352" s="5"/>
      <c r="N352" s="5"/>
      <c r="O352" s="319"/>
      <c r="P352" s="646"/>
      <c r="R352" s="5"/>
      <c r="S352" s="5"/>
      <c r="T352" s="319"/>
      <c r="U352" s="646"/>
      <c r="W352" s="5"/>
      <c r="X352" s="5"/>
      <c r="Y352" s="319"/>
      <c r="Z352" s="646"/>
      <c r="AA352" s="328">
        <f t="shared" si="51"/>
        <v>0</v>
      </c>
      <c r="AB352" s="298">
        <f t="shared" si="52"/>
        <v>0</v>
      </c>
      <c r="AC352" s="4"/>
      <c r="AD352" s="47"/>
      <c r="AE352" s="47"/>
      <c r="AF352" s="319"/>
      <c r="AG352" s="328">
        <f t="shared" si="53"/>
        <v>0</v>
      </c>
    </row>
    <row r="353" spans="2:42">
      <c r="B353" s="63" t="s">
        <v>1116</v>
      </c>
      <c r="C353" s="47"/>
      <c r="D353" s="47"/>
      <c r="E353" s="319">
        <v>8</v>
      </c>
      <c r="F353" s="646"/>
      <c r="G353" s="4"/>
      <c r="H353" s="47"/>
      <c r="I353" s="47"/>
      <c r="J353" s="319">
        <v>8</v>
      </c>
      <c r="K353" s="646"/>
      <c r="L353" s="4"/>
      <c r="M353" s="47"/>
      <c r="N353" s="47"/>
      <c r="O353" s="319"/>
      <c r="P353" s="646"/>
      <c r="R353" s="663"/>
      <c r="S353" s="663"/>
      <c r="T353" s="319">
        <v>8</v>
      </c>
      <c r="U353" s="646"/>
      <c r="W353" s="663"/>
      <c r="X353" s="663"/>
      <c r="Y353" s="319">
        <v>8</v>
      </c>
      <c r="Z353" s="646"/>
      <c r="AA353" s="328">
        <f t="shared" si="51"/>
        <v>32</v>
      </c>
      <c r="AB353" s="298">
        <f t="shared" si="52"/>
        <v>0</v>
      </c>
      <c r="AC353" s="4"/>
      <c r="AD353" s="47"/>
      <c r="AE353" s="47"/>
      <c r="AF353" s="319"/>
      <c r="AG353" s="328">
        <f t="shared" si="53"/>
        <v>0</v>
      </c>
    </row>
    <row r="354" spans="2:42">
      <c r="B354" s="267" t="s">
        <v>358</v>
      </c>
      <c r="C354" s="47"/>
      <c r="D354" s="47"/>
      <c r="E354" s="319">
        <v>4</v>
      </c>
      <c r="F354" s="646"/>
      <c r="G354" s="4"/>
      <c r="H354" s="47"/>
      <c r="I354" s="47"/>
      <c r="J354" s="319">
        <v>4</v>
      </c>
      <c r="K354" s="646"/>
      <c r="L354" s="438"/>
      <c r="M354" s="663"/>
      <c r="N354" s="663"/>
      <c r="O354" s="319">
        <v>6</v>
      </c>
      <c r="P354" s="646"/>
      <c r="Q354" s="438"/>
      <c r="R354" s="663"/>
      <c r="S354" s="663"/>
      <c r="T354" s="319">
        <v>6</v>
      </c>
      <c r="U354" s="646"/>
      <c r="V354" s="438"/>
      <c r="W354" s="663"/>
      <c r="X354" s="663"/>
      <c r="Y354" s="319">
        <v>6</v>
      </c>
      <c r="Z354" s="646"/>
      <c r="AA354" s="328">
        <f t="shared" si="51"/>
        <v>26</v>
      </c>
      <c r="AB354" s="298">
        <f t="shared" si="52"/>
        <v>0</v>
      </c>
      <c r="AC354" s="4"/>
      <c r="AD354" s="47"/>
      <c r="AE354" s="47"/>
      <c r="AF354" s="319"/>
      <c r="AG354" s="328">
        <f t="shared" si="53"/>
        <v>0</v>
      </c>
    </row>
    <row r="355" spans="2:42">
      <c r="B355" s="267" t="s">
        <v>991</v>
      </c>
      <c r="C355" s="47"/>
      <c r="D355" s="47"/>
      <c r="E355" s="319"/>
      <c r="F355" s="646"/>
      <c r="G355" s="4"/>
      <c r="H355" s="47"/>
      <c r="I355" s="47"/>
      <c r="J355" s="319"/>
      <c r="K355" s="646"/>
      <c r="L355" s="438"/>
      <c r="M355" s="5"/>
      <c r="N355" s="5"/>
      <c r="O355" s="319"/>
      <c r="P355" s="646"/>
      <c r="Q355" s="438"/>
      <c r="R355" s="5"/>
      <c r="S355" s="5"/>
      <c r="T355" s="319"/>
      <c r="U355" s="646"/>
      <c r="V355" s="438"/>
      <c r="W355" s="5"/>
      <c r="X355" s="5"/>
      <c r="Y355" s="319"/>
      <c r="Z355" s="646"/>
      <c r="AA355" s="328">
        <f t="shared" si="51"/>
        <v>0</v>
      </c>
      <c r="AB355" s="298">
        <f t="shared" si="52"/>
        <v>0</v>
      </c>
      <c r="AC355" s="4"/>
      <c r="AD355" s="47"/>
      <c r="AE355" s="47"/>
      <c r="AF355" s="319"/>
      <c r="AG355" s="328">
        <f t="shared" si="53"/>
        <v>0</v>
      </c>
    </row>
    <row r="356" spans="2:42">
      <c r="B356" s="267" t="s">
        <v>411</v>
      </c>
      <c r="C356" s="47"/>
      <c r="D356" s="47"/>
      <c r="E356" s="319"/>
      <c r="F356" s="646"/>
      <c r="G356" s="4"/>
      <c r="H356" s="47"/>
      <c r="I356" s="47"/>
      <c r="J356" s="319"/>
      <c r="K356" s="646"/>
      <c r="L356" s="438"/>
      <c r="M356" s="5"/>
      <c r="N356" s="5"/>
      <c r="O356" s="319"/>
      <c r="P356" s="646"/>
      <c r="Q356" s="438"/>
      <c r="R356" s="5"/>
      <c r="S356" s="5"/>
      <c r="T356" s="319"/>
      <c r="U356" s="646"/>
      <c r="V356" s="438"/>
      <c r="W356" s="5"/>
      <c r="X356" s="5"/>
      <c r="Y356" s="319"/>
      <c r="Z356" s="646"/>
      <c r="AA356" s="328">
        <f t="shared" si="51"/>
        <v>0</v>
      </c>
      <c r="AB356" s="298">
        <f t="shared" si="52"/>
        <v>0</v>
      </c>
      <c r="AC356" s="4"/>
      <c r="AD356" s="47"/>
      <c r="AE356" s="47"/>
      <c r="AF356" s="319"/>
      <c r="AG356" s="328">
        <f t="shared" si="53"/>
        <v>0</v>
      </c>
    </row>
    <row r="357" spans="2:42">
      <c r="B357" s="267" t="s">
        <v>361</v>
      </c>
      <c r="C357" s="47"/>
      <c r="D357" s="47"/>
      <c r="E357" s="319"/>
      <c r="F357" s="646"/>
      <c r="G357" s="4"/>
      <c r="H357" s="47"/>
      <c r="I357" s="47"/>
      <c r="J357" s="319"/>
      <c r="K357" s="646"/>
      <c r="L357" s="438"/>
      <c r="M357" s="5"/>
      <c r="N357" s="5"/>
      <c r="O357" s="319"/>
      <c r="P357" s="646"/>
      <c r="Q357" s="438"/>
      <c r="R357" s="5"/>
      <c r="S357" s="5"/>
      <c r="T357" s="319"/>
      <c r="U357" s="646"/>
      <c r="V357" s="438"/>
      <c r="W357" s="5"/>
      <c r="X357" s="5"/>
      <c r="Y357" s="319"/>
      <c r="Z357" s="646"/>
      <c r="AA357" s="328">
        <f t="shared" si="51"/>
        <v>0</v>
      </c>
      <c r="AB357" s="298">
        <f t="shared" si="52"/>
        <v>0</v>
      </c>
      <c r="AC357" s="4"/>
      <c r="AD357" s="47"/>
      <c r="AE357" s="47"/>
      <c r="AF357" s="319"/>
      <c r="AG357" s="328">
        <f t="shared" si="53"/>
        <v>0</v>
      </c>
    </row>
    <row r="358" spans="2:42">
      <c r="B358" s="267" t="s">
        <v>362</v>
      </c>
      <c r="C358" s="47"/>
      <c r="D358" s="47"/>
      <c r="E358" s="319"/>
      <c r="F358" s="646"/>
      <c r="G358" s="4"/>
      <c r="H358" s="47"/>
      <c r="I358" s="47"/>
      <c r="J358" s="319"/>
      <c r="K358" s="646"/>
      <c r="L358" s="438"/>
      <c r="M358" s="47"/>
      <c r="N358" s="47"/>
      <c r="O358" s="319">
        <v>1</v>
      </c>
      <c r="P358" s="646"/>
      <c r="Q358" s="438"/>
      <c r="R358" s="47"/>
      <c r="S358" s="47"/>
      <c r="T358" s="319">
        <v>1</v>
      </c>
      <c r="U358" s="646"/>
      <c r="V358" s="438"/>
      <c r="W358" s="5"/>
      <c r="X358" s="5"/>
      <c r="Y358" s="319">
        <v>1</v>
      </c>
      <c r="Z358" s="646"/>
      <c r="AA358" s="328">
        <f t="shared" si="51"/>
        <v>3</v>
      </c>
      <c r="AB358" s="298">
        <f t="shared" si="52"/>
        <v>0</v>
      </c>
      <c r="AC358" s="4"/>
      <c r="AD358" s="47"/>
      <c r="AE358" s="47"/>
      <c r="AF358" s="319"/>
      <c r="AG358" s="328">
        <f t="shared" si="53"/>
        <v>0</v>
      </c>
    </row>
    <row r="359" spans="2:42">
      <c r="B359" s="437" t="s">
        <v>355</v>
      </c>
      <c r="C359" s="47"/>
      <c r="D359" s="47"/>
      <c r="E359" s="319">
        <v>7.7</v>
      </c>
      <c r="F359" s="646"/>
      <c r="G359" s="4"/>
      <c r="H359" s="47"/>
      <c r="I359" s="47"/>
      <c r="J359" s="319">
        <v>7.7</v>
      </c>
      <c r="K359" s="646"/>
      <c r="L359" s="438"/>
      <c r="M359" s="5"/>
      <c r="N359" s="5"/>
      <c r="O359" s="319">
        <v>7.7</v>
      </c>
      <c r="P359" s="646"/>
      <c r="Q359" s="438"/>
      <c r="R359" s="5"/>
      <c r="S359" s="5"/>
      <c r="T359" s="319">
        <v>7.75</v>
      </c>
      <c r="U359" s="646"/>
      <c r="V359" s="438"/>
      <c r="W359" s="5"/>
      <c r="X359" s="5"/>
      <c r="Y359" s="319">
        <v>7.75</v>
      </c>
      <c r="Z359" s="646"/>
      <c r="AA359" s="328">
        <f t="shared" si="51"/>
        <v>38.6</v>
      </c>
      <c r="AB359" s="298">
        <f t="shared" si="52"/>
        <v>0</v>
      </c>
      <c r="AC359" s="4"/>
      <c r="AD359" s="47"/>
      <c r="AE359" s="47"/>
      <c r="AF359" s="319"/>
      <c r="AG359" s="328">
        <f t="shared" si="53"/>
        <v>0</v>
      </c>
    </row>
    <row r="360" spans="2:42">
      <c r="B360" s="437" t="s">
        <v>356</v>
      </c>
      <c r="C360" s="713"/>
      <c r="D360" s="713"/>
      <c r="E360" s="319"/>
      <c r="F360" s="646"/>
      <c r="G360" s="438"/>
      <c r="H360" s="5"/>
      <c r="I360" s="5"/>
      <c r="J360" s="319"/>
      <c r="K360" s="646"/>
      <c r="L360" s="438"/>
      <c r="M360" s="5"/>
      <c r="N360" s="5"/>
      <c r="O360" s="319"/>
      <c r="P360" s="646"/>
      <c r="Q360" s="438"/>
      <c r="R360" s="5"/>
      <c r="S360" s="5"/>
      <c r="T360" s="319"/>
      <c r="U360" s="646"/>
      <c r="V360" s="438"/>
      <c r="W360" s="5"/>
      <c r="X360" s="5"/>
      <c r="Y360" s="319"/>
      <c r="Z360" s="646"/>
      <c r="AA360" s="328">
        <f t="shared" si="51"/>
        <v>0</v>
      </c>
      <c r="AB360" s="298">
        <f t="shared" si="52"/>
        <v>0</v>
      </c>
      <c r="AC360" s="4"/>
      <c r="AD360" s="47"/>
      <c r="AE360" s="47"/>
      <c r="AF360" s="319"/>
      <c r="AG360" s="328">
        <f t="shared" si="53"/>
        <v>0</v>
      </c>
    </row>
    <row r="361" spans="2:42">
      <c r="B361" s="64" t="s">
        <v>61</v>
      </c>
      <c r="C361" s="31"/>
      <c r="D361" s="31"/>
      <c r="E361" s="439"/>
      <c r="F361" s="646"/>
      <c r="G361" s="31"/>
      <c r="H361" s="31"/>
      <c r="I361" s="31"/>
      <c r="J361" s="439"/>
      <c r="K361" s="646"/>
      <c r="L361" s="31"/>
      <c r="M361" s="31"/>
      <c r="N361" s="31"/>
      <c r="O361" s="439"/>
      <c r="P361" s="646"/>
      <c r="Q361" s="31"/>
      <c r="R361" s="31"/>
      <c r="S361" s="31"/>
      <c r="T361" s="439"/>
      <c r="U361" s="646"/>
      <c r="V361" s="31"/>
      <c r="W361" s="31"/>
      <c r="X361" s="31"/>
      <c r="Y361" s="439"/>
      <c r="Z361" s="646"/>
      <c r="AA361" s="370">
        <f>SUM(AA337:AA360)</f>
        <v>376.1</v>
      </c>
      <c r="AB361" s="370">
        <f>SUM(AB337:AB360)</f>
        <v>2</v>
      </c>
      <c r="AC361" s="4"/>
      <c r="AD361" s="64"/>
      <c r="AE361" s="64"/>
      <c r="AF361" s="370">
        <f>SUM(AF337:AF360)</f>
        <v>0</v>
      </c>
      <c r="AG361" s="370">
        <f>SUM(AG337:AG360)</f>
        <v>0</v>
      </c>
      <c r="AK361" s="407"/>
    </row>
    <row r="362" spans="2:42">
      <c r="B362" s="63" t="s">
        <v>64</v>
      </c>
      <c r="C362" s="47"/>
      <c r="D362" s="47"/>
      <c r="E362" s="319">
        <v>8</v>
      </c>
      <c r="F362" s="346">
        <v>1.75</v>
      </c>
      <c r="G362" s="613"/>
      <c r="H362" s="47"/>
      <c r="I362" s="47"/>
      <c r="J362" s="319">
        <v>8</v>
      </c>
      <c r="K362" s="346">
        <v>1</v>
      </c>
      <c r="L362" s="60"/>
      <c r="M362" s="47"/>
      <c r="N362" s="47"/>
      <c r="O362" s="319">
        <v>8</v>
      </c>
      <c r="P362" s="346">
        <v>1.25</v>
      </c>
      <c r="Q362" s="60"/>
      <c r="R362" s="47"/>
      <c r="S362" s="47"/>
      <c r="T362" s="319">
        <v>8</v>
      </c>
      <c r="U362" s="346">
        <v>1</v>
      </c>
      <c r="V362" s="60"/>
      <c r="W362" s="47"/>
      <c r="X362" s="47"/>
      <c r="Y362" s="319">
        <v>8</v>
      </c>
      <c r="Z362" s="346"/>
      <c r="AA362" s="28">
        <f>SUM(E362+J362+O362+T362+Y362)</f>
        <v>40</v>
      </c>
      <c r="AB362" s="296">
        <f>Z362+U362+P362+K362+F362</f>
        <v>5</v>
      </c>
      <c r="AC362" s="4"/>
      <c r="AD362" s="47" t="s">
        <v>29</v>
      </c>
      <c r="AE362" s="47" t="s">
        <v>29</v>
      </c>
      <c r="AF362" s="319">
        <v>0.5</v>
      </c>
      <c r="AG362" s="29">
        <f>AF362</f>
        <v>0.5</v>
      </c>
      <c r="AK362" s="407"/>
    </row>
    <row r="363" spans="2:42">
      <c r="B363" s="71" t="s">
        <v>66</v>
      </c>
      <c r="C363" s="371"/>
      <c r="D363" s="371"/>
      <c r="E363" s="71"/>
      <c r="F363" s="613"/>
      <c r="G363" s="71"/>
      <c r="H363" s="71"/>
      <c r="I363" s="71"/>
      <c r="J363" s="71"/>
      <c r="K363" s="613"/>
      <c r="L363" s="71"/>
      <c r="M363" s="71"/>
      <c r="N363" s="71"/>
      <c r="O363" s="71"/>
      <c r="P363" s="613"/>
      <c r="Q363" s="71"/>
      <c r="R363" s="71"/>
      <c r="S363" s="71"/>
      <c r="T363" s="71"/>
      <c r="U363" s="613"/>
      <c r="V363" s="71"/>
      <c r="W363" s="71"/>
      <c r="X363" s="71"/>
      <c r="Y363" s="71"/>
      <c r="Z363" s="613"/>
      <c r="AA363" s="370">
        <f>SUM(AA362:AA362)</f>
        <v>40</v>
      </c>
      <c r="AB363" s="370">
        <f>SUM(AB362:AB362)</f>
        <v>5</v>
      </c>
      <c r="AC363" s="4"/>
      <c r="AG363" s="370">
        <f>SUM(AG362:AG362)</f>
        <v>0.5</v>
      </c>
      <c r="AK363" s="407"/>
    </row>
    <row r="364" spans="2:42">
      <c r="B364" s="217" t="s">
        <v>67</v>
      </c>
      <c r="C364" s="207">
        <f>C365+C366</f>
        <v>26</v>
      </c>
      <c r="D364" s="207"/>
      <c r="E364" s="209"/>
      <c r="F364" s="209"/>
      <c r="G364" s="207"/>
      <c r="H364" s="209"/>
      <c r="I364" s="209"/>
      <c r="J364" s="209"/>
      <c r="K364" s="209"/>
      <c r="L364" s="207"/>
      <c r="M364" s="207"/>
      <c r="N364" s="207"/>
      <c r="O364" s="207"/>
      <c r="P364" s="209"/>
      <c r="Q364" s="207"/>
      <c r="R364" s="207"/>
      <c r="S364" s="207"/>
      <c r="T364" s="207"/>
      <c r="U364" s="209"/>
      <c r="V364" s="207"/>
      <c r="W364" s="207"/>
      <c r="X364" s="207"/>
      <c r="Y364" s="210"/>
      <c r="Z364" s="209"/>
      <c r="AA364" s="211"/>
      <c r="AB364" s="209"/>
      <c r="AC364" s="211"/>
      <c r="AD364" s="211"/>
      <c r="AE364" s="211"/>
      <c r="AF364" s="211"/>
      <c r="AG364" s="211"/>
    </row>
    <row r="365" spans="2:42">
      <c r="B365" s="238" t="s">
        <v>68</v>
      </c>
      <c r="C365" s="239">
        <v>0</v>
      </c>
      <c r="D365" s="207"/>
      <c r="E365" s="209"/>
      <c r="F365" s="209"/>
      <c r="G365" s="207"/>
      <c r="H365" s="209"/>
      <c r="I365" s="209"/>
      <c r="J365" s="209"/>
      <c r="K365" s="209"/>
      <c r="L365" s="207"/>
      <c r="M365" s="207"/>
      <c r="N365" s="207"/>
      <c r="O365" s="207"/>
      <c r="P365" s="209"/>
      <c r="Q365" s="207"/>
      <c r="R365" s="207"/>
      <c r="S365" s="207"/>
      <c r="T365" s="207"/>
      <c r="U365" s="209"/>
      <c r="V365" s="207"/>
      <c r="W365" s="207"/>
      <c r="X365" s="207"/>
      <c r="Y365" s="210"/>
      <c r="Z365" s="209"/>
      <c r="AA365" s="211"/>
      <c r="AB365" s="209"/>
      <c r="AC365" s="211"/>
      <c r="AD365" s="211"/>
      <c r="AE365" s="211"/>
      <c r="AF365" s="211"/>
      <c r="AG365" s="211"/>
    </row>
    <row r="366" spans="2:42">
      <c r="B366" s="238" t="s">
        <v>69</v>
      </c>
      <c r="C366" s="239">
        <v>26</v>
      </c>
      <c r="D366" s="207"/>
      <c r="E366" s="209"/>
      <c r="F366" s="209"/>
      <c r="G366" s="207"/>
      <c r="H366" s="209"/>
      <c r="I366" s="209"/>
      <c r="J366" s="209"/>
      <c r="K366" s="209"/>
      <c r="L366" s="207"/>
      <c r="M366" s="207"/>
      <c r="N366" s="207"/>
      <c r="O366" s="207"/>
      <c r="P366" s="209"/>
      <c r="Q366" s="207"/>
      <c r="R366" s="207"/>
      <c r="S366" s="207"/>
      <c r="T366" s="207"/>
      <c r="U366" s="209"/>
      <c r="V366" s="207"/>
      <c r="W366" s="207"/>
      <c r="X366" s="207"/>
      <c r="Y366" s="210"/>
      <c r="Z366" s="209"/>
      <c r="AA366" s="211"/>
      <c r="AB366" s="209"/>
      <c r="AC366" s="211"/>
      <c r="AD366" s="211"/>
      <c r="AE366" s="211"/>
      <c r="AF366" s="211"/>
      <c r="AG366" s="211"/>
    </row>
    <row r="367" spans="2:42">
      <c r="E367" s="4"/>
      <c r="F367" s="644"/>
      <c r="G367" s="4"/>
      <c r="J367" s="4"/>
      <c r="K367" s="644"/>
      <c r="L367" s="4"/>
      <c r="O367" s="4"/>
      <c r="P367" s="644"/>
      <c r="T367" s="4"/>
      <c r="U367" s="644"/>
      <c r="Y367" s="4"/>
      <c r="Z367" s="644"/>
      <c r="AA367" s="4"/>
      <c r="AB367" s="4"/>
      <c r="AC367" s="4"/>
    </row>
    <row r="368" spans="2:42">
      <c r="B368" s="229"/>
      <c r="C368" s="230"/>
      <c r="D368" s="230"/>
      <c r="E368" s="232"/>
      <c r="F368" s="232"/>
      <c r="G368" s="230"/>
      <c r="H368" s="232"/>
      <c r="I368" s="232"/>
      <c r="J368" s="232"/>
      <c r="K368" s="232"/>
      <c r="L368" s="230"/>
      <c r="M368" s="230"/>
      <c r="N368" s="230"/>
      <c r="O368" s="230"/>
      <c r="P368" s="232"/>
      <c r="Q368" s="230"/>
      <c r="R368" s="230"/>
      <c r="S368" s="230"/>
      <c r="T368" s="230"/>
      <c r="U368" s="232"/>
      <c r="V368" s="230"/>
      <c r="W368" s="230"/>
      <c r="X368" s="230"/>
      <c r="Y368" s="233"/>
      <c r="Z368" s="232"/>
      <c r="AA368" s="234"/>
      <c r="AB368" s="232"/>
      <c r="AC368" s="373"/>
      <c r="AD368" s="236"/>
      <c r="AE368" s="255"/>
      <c r="AF368" s="255"/>
      <c r="AG368" s="255"/>
      <c r="AH368" s="255"/>
      <c r="AJ368" s="255"/>
      <c r="AK368" s="255"/>
      <c r="AL368" s="255"/>
      <c r="AM368" s="255"/>
      <c r="AN368" s="255"/>
      <c r="AO368" s="255"/>
      <c r="AP368" s="255"/>
    </row>
    <row r="369" spans="2:42">
      <c r="B369" s="180"/>
      <c r="E369" s="4"/>
      <c r="F369" s="644"/>
      <c r="G369" s="4"/>
      <c r="J369" s="4"/>
      <c r="K369" s="644"/>
      <c r="L369" s="4"/>
      <c r="O369" s="4"/>
      <c r="P369" s="644"/>
      <c r="T369" s="4"/>
      <c r="U369" s="644"/>
      <c r="Y369" s="4"/>
      <c r="Z369" s="644"/>
      <c r="AA369" s="4"/>
      <c r="AB369" s="4"/>
      <c r="AC369" s="4"/>
      <c r="AK369" s="180"/>
      <c r="AL369" s="180"/>
      <c r="AM369" s="180"/>
      <c r="AN369" s="180"/>
      <c r="AO369" s="180"/>
      <c r="AP369" s="180"/>
    </row>
    <row r="370" spans="2:42" ht="13.5" customHeight="1">
      <c r="B370" s="1518" t="s">
        <v>18</v>
      </c>
      <c r="C370" s="1519">
        <v>45782</v>
      </c>
      <c r="D370" s="1519"/>
      <c r="E370" s="1519" t="s">
        <v>564</v>
      </c>
      <c r="F370" s="1519"/>
      <c r="G370" s="365"/>
      <c r="H370" s="1519">
        <v>45783</v>
      </c>
      <c r="I370" s="1519"/>
      <c r="J370" s="1519" t="s">
        <v>565</v>
      </c>
      <c r="K370" s="1519"/>
      <c r="L370" s="365"/>
      <c r="M370" s="1519">
        <v>45784</v>
      </c>
      <c r="N370" s="1519"/>
      <c r="O370" s="1519" t="s">
        <v>566</v>
      </c>
      <c r="P370" s="1519"/>
      <c r="Q370" s="365"/>
      <c r="R370" s="1519">
        <v>45785</v>
      </c>
      <c r="S370" s="1519"/>
      <c r="T370" s="1519" t="s">
        <v>567</v>
      </c>
      <c r="U370" s="1519"/>
      <c r="V370" s="365"/>
      <c r="W370" s="1519">
        <v>45786</v>
      </c>
      <c r="X370" s="1519"/>
      <c r="Y370" s="1519" t="s">
        <v>568</v>
      </c>
      <c r="Z370" s="1519"/>
      <c r="AA370" s="1517" t="s">
        <v>19</v>
      </c>
      <c r="AB370" s="1517" t="s">
        <v>20</v>
      </c>
      <c r="AC370" s="4"/>
      <c r="AD370" s="1519"/>
      <c r="AE370" s="1519"/>
      <c r="AF370" s="14" t="s">
        <v>1111</v>
      </c>
      <c r="AG370" s="1517" t="s">
        <v>21</v>
      </c>
      <c r="AI370" s="368"/>
      <c r="AK370" s="194" t="s">
        <v>84</v>
      </c>
      <c r="AL370" s="366"/>
      <c r="AM370" s="366"/>
      <c r="AN370" s="366"/>
      <c r="AO370" s="366"/>
      <c r="AP370" s="366"/>
    </row>
    <row r="371" spans="2:42">
      <c r="B371" s="1518"/>
      <c r="C371" s="21" t="s">
        <v>23</v>
      </c>
      <c r="D371" s="21" t="s">
        <v>24</v>
      </c>
      <c r="E371" s="205" t="s">
        <v>25</v>
      </c>
      <c r="F371" s="645" t="s">
        <v>14</v>
      </c>
      <c r="G371" s="4"/>
      <c r="H371" s="21"/>
      <c r="I371" s="21" t="s">
        <v>24</v>
      </c>
      <c r="J371" s="18" t="s">
        <v>25</v>
      </c>
      <c r="K371" s="645" t="s">
        <v>14</v>
      </c>
      <c r="L371" s="4"/>
      <c r="M371" s="21" t="s">
        <v>23</v>
      </c>
      <c r="N371" s="21" t="s">
        <v>24</v>
      </c>
      <c r="O371" s="18" t="s">
        <v>25</v>
      </c>
      <c r="P371" s="645" t="s">
        <v>14</v>
      </c>
      <c r="R371" s="21" t="s">
        <v>23</v>
      </c>
      <c r="S371" s="21" t="s">
        <v>24</v>
      </c>
      <c r="T371" s="18" t="s">
        <v>25</v>
      </c>
      <c r="U371" s="645" t="s">
        <v>14</v>
      </c>
      <c r="W371" s="21" t="s">
        <v>23</v>
      </c>
      <c r="X371" s="21" t="s">
        <v>24</v>
      </c>
      <c r="Y371" s="18" t="s">
        <v>25</v>
      </c>
      <c r="Z371" s="645" t="s">
        <v>14</v>
      </c>
      <c r="AA371" s="1517"/>
      <c r="AB371" s="1517"/>
      <c r="AC371" s="4"/>
      <c r="AD371" s="21" t="s">
        <v>23</v>
      </c>
      <c r="AE371" s="21" t="s">
        <v>24</v>
      </c>
      <c r="AF371" s="18" t="s">
        <v>25</v>
      </c>
      <c r="AG371" s="1517"/>
      <c r="AI371" s="368"/>
      <c r="AJ371" s="367"/>
      <c r="AK371" s="188" t="s">
        <v>26</v>
      </c>
      <c r="AL371" s="196">
        <f>AA396</f>
        <v>394.95</v>
      </c>
      <c r="AM371" s="510">
        <v>40.31</v>
      </c>
      <c r="AN371" s="510">
        <f t="shared" ref="AN371:AN376" si="54">AL371*AM371</f>
        <v>15920.434500000001</v>
      </c>
    </row>
    <row r="372" spans="2:42">
      <c r="B372" s="4" t="s">
        <v>958</v>
      </c>
      <c r="C372" s="47"/>
      <c r="D372" s="47"/>
      <c r="E372" s="319">
        <v>0</v>
      </c>
      <c r="F372" s="646"/>
      <c r="G372" s="4"/>
      <c r="H372" s="47"/>
      <c r="I372" s="47"/>
      <c r="J372" s="319">
        <v>0</v>
      </c>
      <c r="K372" s="646"/>
      <c r="L372" s="4"/>
      <c r="M372" s="441"/>
      <c r="N372" s="47"/>
      <c r="O372" s="319">
        <v>0</v>
      </c>
      <c r="P372" s="646"/>
      <c r="R372" s="47"/>
      <c r="S372" s="47"/>
      <c r="T372" s="319">
        <v>0</v>
      </c>
      <c r="U372" s="646"/>
      <c r="W372" s="47"/>
      <c r="X372" s="47"/>
      <c r="Y372" s="319">
        <v>0</v>
      </c>
      <c r="Z372" s="646"/>
      <c r="AA372" s="328">
        <f t="shared" ref="AA372:AA395" si="55">(E372+J372+O372+T372+Y372)</f>
        <v>0</v>
      </c>
      <c r="AB372" s="298">
        <f t="shared" ref="AB372:AB395" si="56">Z372+U372+P372+K372+F372</f>
        <v>0</v>
      </c>
      <c r="AC372" s="4"/>
      <c r="AD372" s="587"/>
      <c r="AE372" s="531"/>
      <c r="AF372" s="319"/>
      <c r="AG372" s="328">
        <f t="shared" ref="AG372:AG395" si="57">AF372</f>
        <v>0</v>
      </c>
      <c r="AI372" s="368"/>
      <c r="AJ372" s="367"/>
      <c r="AK372" s="188" t="s">
        <v>30</v>
      </c>
      <c r="AL372" s="196">
        <v>0</v>
      </c>
      <c r="AM372" s="511">
        <v>60.465000000000003</v>
      </c>
      <c r="AN372" s="510">
        <f t="shared" si="54"/>
        <v>0</v>
      </c>
    </row>
    <row r="373" spans="2:42">
      <c r="B373" s="47" t="s">
        <v>515</v>
      </c>
      <c r="C373" s="47">
        <v>0.33333333333333331</v>
      </c>
      <c r="D373" s="47">
        <v>0.20833333333333334</v>
      </c>
      <c r="E373" s="319">
        <v>8</v>
      </c>
      <c r="F373" s="646"/>
      <c r="G373" s="4"/>
      <c r="H373" s="47">
        <v>0.375</v>
      </c>
      <c r="I373" s="47">
        <v>0.25</v>
      </c>
      <c r="J373" s="319">
        <v>8</v>
      </c>
      <c r="K373" s="646"/>
      <c r="L373" s="4"/>
      <c r="M373" s="441"/>
      <c r="N373" s="47"/>
      <c r="O373" s="319">
        <v>0</v>
      </c>
      <c r="P373" s="646"/>
      <c r="R373" s="47"/>
      <c r="S373" s="47"/>
      <c r="T373" s="319">
        <v>0</v>
      </c>
      <c r="U373" s="646"/>
      <c r="W373" s="47"/>
      <c r="X373" s="47"/>
      <c r="Y373" s="319">
        <v>0</v>
      </c>
      <c r="Z373" s="646"/>
      <c r="AA373" s="328">
        <f t="shared" si="55"/>
        <v>16</v>
      </c>
      <c r="AB373" s="298">
        <f t="shared" si="56"/>
        <v>0</v>
      </c>
      <c r="AC373" s="4"/>
      <c r="AF373" s="319"/>
      <c r="AG373" s="328">
        <f t="shared" si="57"/>
        <v>0</v>
      </c>
      <c r="AH373" s="175"/>
      <c r="AI373" s="402"/>
      <c r="AJ373" s="367"/>
      <c r="AK373" s="188" t="s">
        <v>32</v>
      </c>
      <c r="AL373" s="196">
        <f>AG396</f>
        <v>0</v>
      </c>
      <c r="AM373" s="510">
        <v>60.465000000000003</v>
      </c>
      <c r="AN373" s="510">
        <f t="shared" si="54"/>
        <v>0</v>
      </c>
    </row>
    <row r="374" spans="2:42">
      <c r="B374" s="441" t="s">
        <v>962</v>
      </c>
      <c r="C374" s="47"/>
      <c r="D374" s="47"/>
      <c r="E374" s="319">
        <v>0</v>
      </c>
      <c r="F374" s="646"/>
      <c r="G374" s="4"/>
      <c r="H374" s="47"/>
      <c r="I374" s="47"/>
      <c r="J374" s="319">
        <v>0</v>
      </c>
      <c r="K374" s="646"/>
      <c r="L374" s="4"/>
      <c r="M374" s="441"/>
      <c r="N374" s="47"/>
      <c r="O374" s="319">
        <v>0</v>
      </c>
      <c r="P374" s="646"/>
      <c r="R374" s="47"/>
      <c r="S374" s="47"/>
      <c r="T374" s="319">
        <v>0</v>
      </c>
      <c r="U374" s="646"/>
      <c r="W374" s="47"/>
      <c r="X374" s="47"/>
      <c r="Y374" s="319">
        <v>0</v>
      </c>
      <c r="Z374" s="646"/>
      <c r="AA374" s="328">
        <f t="shared" si="55"/>
        <v>0</v>
      </c>
      <c r="AB374" s="298">
        <f t="shared" si="56"/>
        <v>0</v>
      </c>
      <c r="AC374" s="399"/>
      <c r="AD374" s="47"/>
      <c r="AE374" s="47"/>
      <c r="AF374" s="319"/>
      <c r="AG374" s="328">
        <f t="shared" si="57"/>
        <v>0</v>
      </c>
      <c r="AH374" s="175"/>
      <c r="AJ374" s="401"/>
      <c r="AK374" s="403" t="s">
        <v>213</v>
      </c>
      <c r="AL374" s="404">
        <f>AA398</f>
        <v>40</v>
      </c>
      <c r="AM374" s="510">
        <v>53.05</v>
      </c>
      <c r="AN374" s="510">
        <f t="shared" si="54"/>
        <v>2122</v>
      </c>
      <c r="AO374" s="405"/>
      <c r="AP374" s="405"/>
    </row>
    <row r="375" spans="2:42" ht="12.6" customHeight="1">
      <c r="B375" s="47" t="s">
        <v>1112</v>
      </c>
      <c r="C375" s="47"/>
      <c r="D375" s="47"/>
      <c r="E375" s="319">
        <v>0</v>
      </c>
      <c r="F375" s="646"/>
      <c r="G375" s="4"/>
      <c r="H375" s="47"/>
      <c r="I375" s="47"/>
      <c r="J375" s="319">
        <v>0</v>
      </c>
      <c r="K375" s="646"/>
      <c r="L375" s="4"/>
      <c r="M375" s="441"/>
      <c r="N375" s="47"/>
      <c r="O375" s="319">
        <v>0</v>
      </c>
      <c r="P375" s="646"/>
      <c r="R375" s="47">
        <v>0.33333333333333331</v>
      </c>
      <c r="S375" s="47">
        <v>0.20833333333333334</v>
      </c>
      <c r="T375" s="319">
        <v>8</v>
      </c>
      <c r="U375" s="646"/>
      <c r="W375" s="47"/>
      <c r="X375" s="47"/>
      <c r="Y375" s="319">
        <v>0</v>
      </c>
      <c r="Z375" s="646"/>
      <c r="AA375" s="328">
        <f t="shared" si="55"/>
        <v>8</v>
      </c>
      <c r="AB375" s="298">
        <f t="shared" si="56"/>
        <v>0</v>
      </c>
      <c r="AC375" s="4"/>
      <c r="AD375" s="47"/>
      <c r="AE375" s="47"/>
      <c r="AF375" s="319"/>
      <c r="AG375" s="328">
        <f t="shared" si="57"/>
        <v>0</v>
      </c>
      <c r="AH375" s="175"/>
      <c r="AI375" s="368"/>
      <c r="AK375" s="188" t="s">
        <v>36</v>
      </c>
      <c r="AL375" s="196">
        <f>AB398</f>
        <v>4.5</v>
      </c>
      <c r="AM375" s="510">
        <v>79.574999999999989</v>
      </c>
      <c r="AN375" s="510">
        <f t="shared" si="54"/>
        <v>358.08749999999998</v>
      </c>
    </row>
    <row r="376" spans="2:42">
      <c r="B376" s="436" t="s">
        <v>972</v>
      </c>
      <c r="C376" s="47">
        <v>0.33333333333333331</v>
      </c>
      <c r="D376" s="47">
        <v>0.20833333333333334</v>
      </c>
      <c r="E376" s="319">
        <v>8</v>
      </c>
      <c r="F376" s="646"/>
      <c r="G376" s="4"/>
      <c r="H376" s="47">
        <v>0.33333333333333331</v>
      </c>
      <c r="I376" s="47">
        <v>0.20833333333333334</v>
      </c>
      <c r="J376" s="319">
        <v>8</v>
      </c>
      <c r="K376" s="646"/>
      <c r="L376" s="4"/>
      <c r="M376" s="441" t="s">
        <v>953</v>
      </c>
      <c r="N376" s="47">
        <v>0.16666666666666666</v>
      </c>
      <c r="O376" s="319">
        <v>8</v>
      </c>
      <c r="P376" s="646"/>
      <c r="R376" s="47">
        <v>0.33333333333333331</v>
      </c>
      <c r="S376" s="47">
        <v>0.20833333333333334</v>
      </c>
      <c r="T376" s="319">
        <v>8</v>
      </c>
      <c r="U376" s="646"/>
      <c r="W376" s="47"/>
      <c r="X376" s="47"/>
      <c r="Y376" s="726">
        <v>8</v>
      </c>
      <c r="Z376" s="646"/>
      <c r="AA376" s="328">
        <f t="shared" si="55"/>
        <v>40</v>
      </c>
      <c r="AB376" s="298">
        <f t="shared" si="56"/>
        <v>0</v>
      </c>
      <c r="AC376" s="4"/>
      <c r="AD376" s="47"/>
      <c r="AE376" s="47"/>
      <c r="AF376" s="319"/>
      <c r="AG376" s="328">
        <f t="shared" si="57"/>
        <v>0</v>
      </c>
      <c r="AK376" s="188" t="s">
        <v>38</v>
      </c>
      <c r="AL376" s="196">
        <f>AG398</f>
        <v>0</v>
      </c>
      <c r="AM376" s="510">
        <v>79.574999999999989</v>
      </c>
      <c r="AN376" s="510">
        <f t="shared" si="54"/>
        <v>0</v>
      </c>
    </row>
    <row r="377" spans="2:42">
      <c r="B377" s="47" t="s">
        <v>974</v>
      </c>
      <c r="C377" s="47">
        <v>0.33333333333333331</v>
      </c>
      <c r="D377" s="47">
        <v>0.20833333333333334</v>
      </c>
      <c r="E377" s="319">
        <v>8</v>
      </c>
      <c r="F377" s="646"/>
      <c r="G377" s="4"/>
      <c r="H377" s="47">
        <v>0.33333333333333331</v>
      </c>
      <c r="I377" s="47">
        <v>0.20833333333333334</v>
      </c>
      <c r="J377" s="319">
        <v>8</v>
      </c>
      <c r="K377" s="646"/>
      <c r="L377" s="4"/>
      <c r="M377" s="441" t="s">
        <v>125</v>
      </c>
      <c r="N377" s="47">
        <v>0.20833333333333334</v>
      </c>
      <c r="O377" s="319">
        <v>8</v>
      </c>
      <c r="P377" s="646"/>
      <c r="R377" s="47">
        <v>0.33333333333333331</v>
      </c>
      <c r="S377" s="47">
        <v>0.20833333333333334</v>
      </c>
      <c r="T377" s="319">
        <v>8</v>
      </c>
      <c r="U377" s="646"/>
      <c r="W377" s="47">
        <v>0.33333333333333331</v>
      </c>
      <c r="X377" s="47">
        <v>0.20833333333333334</v>
      </c>
      <c r="Y377" s="319">
        <v>8</v>
      </c>
      <c r="Z377" s="646"/>
      <c r="AA377" s="328">
        <f t="shared" si="55"/>
        <v>40</v>
      </c>
      <c r="AB377" s="298">
        <f t="shared" si="56"/>
        <v>0</v>
      </c>
      <c r="AC377" s="4"/>
      <c r="AD377" s="47"/>
      <c r="AE377" s="47"/>
      <c r="AF377" s="319"/>
      <c r="AG377" s="328">
        <f t="shared" si="57"/>
        <v>0</v>
      </c>
      <c r="AN377" s="510">
        <f>SUM(AN371:AN376)</f>
        <v>18400.522000000004</v>
      </c>
    </row>
    <row r="378" spans="2:42">
      <c r="B378" s="374" t="s">
        <v>998</v>
      </c>
      <c r="C378" s="47"/>
      <c r="D378" s="47"/>
      <c r="E378" s="319">
        <v>0</v>
      </c>
      <c r="F378" s="646"/>
      <c r="G378" s="4"/>
      <c r="H378" s="47"/>
      <c r="I378" s="47"/>
      <c r="J378" s="319">
        <v>0</v>
      </c>
      <c r="K378" s="646"/>
      <c r="L378" s="4"/>
      <c r="M378" s="441"/>
      <c r="N378" s="47"/>
      <c r="O378" s="319">
        <v>0</v>
      </c>
      <c r="P378" s="646"/>
      <c r="R378" s="47"/>
      <c r="S378" s="47"/>
      <c r="T378" s="319">
        <v>0</v>
      </c>
      <c r="U378" s="646"/>
      <c r="W378" s="47"/>
      <c r="X378" s="47"/>
      <c r="Y378" s="319">
        <v>0</v>
      </c>
      <c r="Z378" s="646"/>
      <c r="AA378" s="328">
        <f t="shared" si="55"/>
        <v>0</v>
      </c>
      <c r="AB378" s="298">
        <f t="shared" si="56"/>
        <v>0</v>
      </c>
      <c r="AC378" s="4"/>
      <c r="AD378" s="47"/>
      <c r="AE378" s="47"/>
      <c r="AF378" s="319"/>
      <c r="AG378" s="328">
        <f t="shared" si="57"/>
        <v>0</v>
      </c>
    </row>
    <row r="379" spans="2:42">
      <c r="B379" s="47" t="s">
        <v>977</v>
      </c>
      <c r="C379" s="47">
        <v>0.33333333333333331</v>
      </c>
      <c r="D379" s="47">
        <v>0.20833333333333334</v>
      </c>
      <c r="E379" s="319">
        <v>8</v>
      </c>
      <c r="F379" s="646"/>
      <c r="G379" s="4"/>
      <c r="H379" s="47">
        <v>0.33333333333333331</v>
      </c>
      <c r="I379" s="47">
        <v>0.20833333333333334</v>
      </c>
      <c r="J379" s="319">
        <v>8</v>
      </c>
      <c r="K379" s="646"/>
      <c r="L379" s="4"/>
      <c r="M379" s="441" t="s">
        <v>125</v>
      </c>
      <c r="N379" s="47">
        <v>0.20833333333333334</v>
      </c>
      <c r="O379" s="319">
        <v>8</v>
      </c>
      <c r="P379" s="646"/>
      <c r="R379" s="47">
        <v>0.33333333333333331</v>
      </c>
      <c r="S379" s="47">
        <v>0.20833333333333334</v>
      </c>
      <c r="T379" s="319">
        <v>8</v>
      </c>
      <c r="U379" s="646"/>
      <c r="W379" s="47">
        <v>0.33333333333333331</v>
      </c>
      <c r="X379" s="47">
        <v>0.20833333333333334</v>
      </c>
      <c r="Y379" s="319">
        <v>8</v>
      </c>
      <c r="Z379" s="646"/>
      <c r="AA379" s="328">
        <f t="shared" si="55"/>
        <v>40</v>
      </c>
      <c r="AB379" s="298">
        <f t="shared" si="56"/>
        <v>0</v>
      </c>
      <c r="AC379" s="4"/>
      <c r="AD379" s="47"/>
      <c r="AE379" s="47"/>
      <c r="AF379" s="319"/>
      <c r="AG379" s="328">
        <f t="shared" si="57"/>
        <v>0</v>
      </c>
      <c r="AK379" s="192" t="s">
        <v>1115</v>
      </c>
      <c r="AL379" s="189">
        <f>C399</f>
        <v>26</v>
      </c>
    </row>
    <row r="380" spans="2:42">
      <c r="B380" s="47" t="s">
        <v>519</v>
      </c>
      <c r="C380" s="47"/>
      <c r="D380" s="47"/>
      <c r="E380" s="319">
        <v>0</v>
      </c>
      <c r="F380" s="646"/>
      <c r="G380" s="4"/>
      <c r="H380" s="47">
        <v>0</v>
      </c>
      <c r="I380" s="47">
        <v>0</v>
      </c>
      <c r="J380" s="319">
        <v>0</v>
      </c>
      <c r="K380" s="646"/>
      <c r="L380" s="4"/>
      <c r="M380" s="441"/>
      <c r="N380" s="47"/>
      <c r="O380" s="319">
        <v>0</v>
      </c>
      <c r="P380" s="646"/>
      <c r="R380" s="441"/>
      <c r="S380" s="47"/>
      <c r="T380" s="319">
        <v>0</v>
      </c>
      <c r="U380" s="646"/>
      <c r="W380" s="441"/>
      <c r="X380" s="47"/>
      <c r="Y380" s="319">
        <v>0</v>
      </c>
      <c r="Z380" s="646"/>
      <c r="AA380" s="328">
        <f t="shared" si="55"/>
        <v>0</v>
      </c>
      <c r="AB380" s="298">
        <f t="shared" si="56"/>
        <v>0</v>
      </c>
      <c r="AC380" s="4"/>
      <c r="AD380" s="47"/>
      <c r="AE380" s="47"/>
      <c r="AF380" s="319"/>
      <c r="AG380" s="328">
        <f t="shared" si="57"/>
        <v>0</v>
      </c>
    </row>
    <row r="381" spans="2:42">
      <c r="B381" s="47" t="s">
        <v>999</v>
      </c>
      <c r="C381" s="47"/>
      <c r="D381" s="441"/>
      <c r="E381" s="319">
        <v>0</v>
      </c>
      <c r="F381" s="646"/>
      <c r="G381" s="4"/>
      <c r="H381" s="47"/>
      <c r="I381" s="47"/>
      <c r="J381" s="319">
        <v>0</v>
      </c>
      <c r="K381" s="646"/>
      <c r="L381" s="4"/>
      <c r="M381" s="720"/>
      <c r="N381" s="721"/>
      <c r="O381" s="178">
        <v>0</v>
      </c>
      <c r="P381" s="646"/>
      <c r="R381" s="441" t="s">
        <v>125</v>
      </c>
      <c r="S381" s="441" t="s">
        <v>136</v>
      </c>
      <c r="T381" s="319">
        <v>8</v>
      </c>
      <c r="U381" s="646"/>
      <c r="W381" s="441"/>
      <c r="X381" s="441"/>
      <c r="Y381" s="319">
        <v>0</v>
      </c>
      <c r="Z381" s="646"/>
      <c r="AA381" s="328">
        <f t="shared" si="55"/>
        <v>8</v>
      </c>
      <c r="AB381" s="298">
        <f t="shared" si="56"/>
        <v>0</v>
      </c>
      <c r="AC381" s="4"/>
      <c r="AD381" s="47"/>
      <c r="AE381" s="47"/>
      <c r="AF381" s="319"/>
      <c r="AG381" s="328">
        <f t="shared" si="57"/>
        <v>0</v>
      </c>
    </row>
    <row r="382" spans="2:42">
      <c r="B382" s="47" t="s">
        <v>1113</v>
      </c>
      <c r="C382" s="47"/>
      <c r="D382" s="47"/>
      <c r="E382" s="319">
        <v>0</v>
      </c>
      <c r="F382" s="646"/>
      <c r="G382" s="4"/>
      <c r="H382" s="47"/>
      <c r="I382" s="47"/>
      <c r="J382" s="319">
        <v>0</v>
      </c>
      <c r="K382" s="646"/>
      <c r="L382" s="4"/>
      <c r="M382" s="441"/>
      <c r="N382" s="47"/>
      <c r="O382" s="319">
        <v>0</v>
      </c>
      <c r="P382" s="646"/>
      <c r="R382" s="441"/>
      <c r="S382" s="47"/>
      <c r="T382" s="319">
        <v>0</v>
      </c>
      <c r="U382" s="646"/>
      <c r="W382" s="441"/>
      <c r="X382" s="47"/>
      <c r="Y382" s="319">
        <v>0</v>
      </c>
      <c r="Z382" s="646"/>
      <c r="AA382" s="328">
        <f t="shared" si="55"/>
        <v>0</v>
      </c>
      <c r="AB382" s="298">
        <f t="shared" si="56"/>
        <v>0</v>
      </c>
      <c r="AC382" s="4"/>
      <c r="AD382" s="47"/>
      <c r="AE382" s="47"/>
      <c r="AF382" s="319"/>
      <c r="AG382" s="328">
        <f t="shared" si="57"/>
        <v>0</v>
      </c>
    </row>
    <row r="383" spans="2:42">
      <c r="B383" s="502" t="s">
        <v>483</v>
      </c>
      <c r="C383" s="47"/>
      <c r="D383" s="47"/>
      <c r="E383" s="319"/>
      <c r="F383" s="646"/>
      <c r="G383" s="4"/>
      <c r="H383" s="47"/>
      <c r="I383" s="47"/>
      <c r="J383" s="319"/>
      <c r="K383" s="646"/>
      <c r="L383" s="4"/>
      <c r="M383" s="441"/>
      <c r="N383" s="47"/>
      <c r="O383" s="319"/>
      <c r="P383" s="646"/>
      <c r="R383" s="5"/>
      <c r="S383" s="5"/>
      <c r="T383" s="319"/>
      <c r="U383" s="646"/>
      <c r="W383" s="5"/>
      <c r="X383" s="5"/>
      <c r="Y383" s="319"/>
      <c r="Z383" s="646"/>
      <c r="AA383" s="328">
        <f t="shared" si="55"/>
        <v>0</v>
      </c>
      <c r="AB383" s="298">
        <f t="shared" si="56"/>
        <v>0</v>
      </c>
      <c r="AC383" s="4"/>
      <c r="AD383" s="47"/>
      <c r="AE383" s="47"/>
      <c r="AF383" s="319"/>
      <c r="AG383" s="328">
        <f t="shared" si="57"/>
        <v>0</v>
      </c>
    </row>
    <row r="384" spans="2:42">
      <c r="B384" s="502" t="s">
        <v>483</v>
      </c>
      <c r="C384" s="47"/>
      <c r="D384" s="47"/>
      <c r="E384" s="319">
        <v>8</v>
      </c>
      <c r="F384" s="646">
        <v>0.25</v>
      </c>
      <c r="G384" s="4"/>
      <c r="H384" s="47"/>
      <c r="I384" s="47"/>
      <c r="J384" s="319">
        <v>8</v>
      </c>
      <c r="K384" s="646">
        <v>1.5</v>
      </c>
      <c r="L384" s="4"/>
      <c r="M384" s="441"/>
      <c r="N384" s="47"/>
      <c r="O384" s="319">
        <v>8</v>
      </c>
      <c r="P384" s="646">
        <v>0.25</v>
      </c>
      <c r="R384" s="47"/>
      <c r="S384" s="47"/>
      <c r="T384" s="319">
        <v>8</v>
      </c>
      <c r="U384" s="646">
        <v>1.75</v>
      </c>
      <c r="W384" s="47"/>
      <c r="X384" s="47"/>
      <c r="Y384" s="319">
        <v>8</v>
      </c>
      <c r="Z384" s="646">
        <v>0.5</v>
      </c>
      <c r="AA384" s="328">
        <f t="shared" si="55"/>
        <v>40</v>
      </c>
      <c r="AB384" s="298">
        <f t="shared" si="56"/>
        <v>4.25</v>
      </c>
      <c r="AC384" s="4"/>
      <c r="AD384" s="47"/>
      <c r="AE384" s="47"/>
      <c r="AF384" s="319"/>
      <c r="AG384" s="328">
        <f t="shared" si="57"/>
        <v>0</v>
      </c>
    </row>
    <row r="385" spans="2:37">
      <c r="B385" s="502" t="s">
        <v>484</v>
      </c>
      <c r="C385" s="47"/>
      <c r="D385" s="47"/>
      <c r="E385" s="319">
        <v>8</v>
      </c>
      <c r="F385" s="646">
        <v>0.25</v>
      </c>
      <c r="G385" s="4"/>
      <c r="H385" s="47"/>
      <c r="I385" s="47"/>
      <c r="J385" s="319">
        <v>8</v>
      </c>
      <c r="K385" s="646">
        <v>1.5</v>
      </c>
      <c r="L385" s="4"/>
      <c r="M385" s="441"/>
      <c r="N385" s="47"/>
      <c r="O385" s="319">
        <v>8</v>
      </c>
      <c r="P385" s="646">
        <v>0.25</v>
      </c>
      <c r="R385" s="47"/>
      <c r="S385" s="47"/>
      <c r="T385" s="319">
        <v>8</v>
      </c>
      <c r="U385" s="646">
        <v>1.75</v>
      </c>
      <c r="W385" s="47"/>
      <c r="X385" s="47"/>
      <c r="Y385" s="319">
        <v>8</v>
      </c>
      <c r="Z385" s="646">
        <v>0.5</v>
      </c>
      <c r="AA385" s="328">
        <f t="shared" si="55"/>
        <v>40</v>
      </c>
      <c r="AB385" s="298">
        <f t="shared" si="56"/>
        <v>4.25</v>
      </c>
      <c r="AC385" s="4"/>
      <c r="AD385" s="47"/>
      <c r="AE385" s="47"/>
      <c r="AF385" s="319"/>
      <c r="AG385" s="328">
        <f t="shared" si="57"/>
        <v>0</v>
      </c>
    </row>
    <row r="386" spans="2:37">
      <c r="B386" s="502" t="s">
        <v>485</v>
      </c>
      <c r="C386" s="47"/>
      <c r="D386" s="47"/>
      <c r="E386" s="319">
        <v>8</v>
      </c>
      <c r="F386" s="646">
        <v>0.25</v>
      </c>
      <c r="G386" s="4"/>
      <c r="H386" s="47"/>
      <c r="I386" s="47"/>
      <c r="J386" s="319">
        <v>8</v>
      </c>
      <c r="K386" s="646">
        <v>1.5</v>
      </c>
      <c r="L386" s="4"/>
      <c r="M386" s="47"/>
      <c r="N386" s="47"/>
      <c r="O386" s="319">
        <v>8</v>
      </c>
      <c r="P386" s="646">
        <v>0.25</v>
      </c>
      <c r="R386" s="47"/>
      <c r="S386" s="47"/>
      <c r="T386" s="319">
        <v>8</v>
      </c>
      <c r="U386" s="646">
        <v>1.75</v>
      </c>
      <c r="W386" s="47"/>
      <c r="X386" s="47"/>
      <c r="Y386" s="319">
        <v>8</v>
      </c>
      <c r="Z386" s="646">
        <v>0.5</v>
      </c>
      <c r="AA386" s="328">
        <f t="shared" si="55"/>
        <v>40</v>
      </c>
      <c r="AB386" s="298">
        <f t="shared" si="56"/>
        <v>4.25</v>
      </c>
      <c r="AC386" s="4"/>
      <c r="AD386" s="47"/>
      <c r="AE386" s="47"/>
      <c r="AF386" s="319"/>
      <c r="AG386" s="328">
        <f t="shared" si="57"/>
        <v>0</v>
      </c>
    </row>
    <row r="387" spans="2:37">
      <c r="B387" s="502" t="s">
        <v>486</v>
      </c>
      <c r="C387" s="47"/>
      <c r="D387" s="47"/>
      <c r="E387" s="319"/>
      <c r="F387" s="646"/>
      <c r="G387" s="4"/>
      <c r="H387" s="47"/>
      <c r="I387" s="47"/>
      <c r="J387" s="319"/>
      <c r="K387" s="646"/>
      <c r="L387" s="4"/>
      <c r="M387" s="5"/>
      <c r="N387" s="5"/>
      <c r="O387" s="319"/>
      <c r="P387" s="646"/>
      <c r="R387" s="5"/>
      <c r="S387" s="5"/>
      <c r="T387" s="319"/>
      <c r="U387" s="646"/>
      <c r="W387" s="5"/>
      <c r="X387" s="5"/>
      <c r="Y387" s="319"/>
      <c r="Z387" s="646"/>
      <c r="AA387" s="328">
        <f t="shared" si="55"/>
        <v>0</v>
      </c>
      <c r="AB387" s="298">
        <f t="shared" si="56"/>
        <v>0</v>
      </c>
      <c r="AC387" s="4"/>
      <c r="AD387" s="47"/>
      <c r="AE387" s="47"/>
      <c r="AF387" s="319"/>
      <c r="AG387" s="328">
        <f t="shared" si="57"/>
        <v>0</v>
      </c>
    </row>
    <row r="388" spans="2:37">
      <c r="B388" s="63" t="s">
        <v>1116</v>
      </c>
      <c r="C388" s="47"/>
      <c r="D388" s="47"/>
      <c r="E388" s="319">
        <v>8</v>
      </c>
      <c r="F388" s="646"/>
      <c r="G388" s="4"/>
      <c r="H388" s="47"/>
      <c r="I388" s="47"/>
      <c r="J388" s="319">
        <v>8</v>
      </c>
      <c r="K388" s="646"/>
      <c r="L388" s="4"/>
      <c r="M388" s="47"/>
      <c r="N388" s="47"/>
      <c r="O388" s="319">
        <v>8</v>
      </c>
      <c r="P388" s="646"/>
      <c r="R388" s="663" t="s">
        <v>137</v>
      </c>
      <c r="S388" s="663"/>
      <c r="T388" s="319">
        <v>0</v>
      </c>
      <c r="U388" s="646"/>
      <c r="W388" s="663"/>
      <c r="X388" s="663"/>
      <c r="Y388" s="319">
        <v>8</v>
      </c>
      <c r="Z388" s="646"/>
      <c r="AA388" s="328">
        <f t="shared" si="55"/>
        <v>32</v>
      </c>
      <c r="AB388" s="298">
        <f t="shared" si="56"/>
        <v>0</v>
      </c>
      <c r="AC388" s="4"/>
      <c r="AD388" s="47"/>
      <c r="AE388" s="47"/>
      <c r="AF388" s="319"/>
      <c r="AG388" s="328">
        <f t="shared" si="57"/>
        <v>0</v>
      </c>
    </row>
    <row r="389" spans="2:37">
      <c r="B389" s="267" t="s">
        <v>358</v>
      </c>
      <c r="C389" s="47"/>
      <c r="D389" s="47"/>
      <c r="E389" s="319">
        <v>6</v>
      </c>
      <c r="F389" s="646"/>
      <c r="G389" s="4"/>
      <c r="H389" s="47"/>
      <c r="I389" s="47"/>
      <c r="J389" s="319">
        <v>6</v>
      </c>
      <c r="K389" s="646"/>
      <c r="L389" s="438"/>
      <c r="M389" s="663"/>
      <c r="N389" s="663"/>
      <c r="O389" s="319">
        <v>6</v>
      </c>
      <c r="P389" s="646"/>
      <c r="Q389" s="438"/>
      <c r="R389" s="663"/>
      <c r="S389" s="663"/>
      <c r="T389" s="319">
        <v>6</v>
      </c>
      <c r="U389" s="646"/>
      <c r="V389" s="438"/>
      <c r="W389" s="663"/>
      <c r="X389" s="663"/>
      <c r="Y389" s="319">
        <v>6</v>
      </c>
      <c r="Z389" s="646"/>
      <c r="AA389" s="328">
        <f t="shared" si="55"/>
        <v>30</v>
      </c>
      <c r="AB389" s="298">
        <f t="shared" si="56"/>
        <v>0</v>
      </c>
      <c r="AC389" s="4"/>
      <c r="AD389" s="47"/>
      <c r="AE389" s="47"/>
      <c r="AF389" s="319"/>
      <c r="AG389" s="328">
        <f t="shared" si="57"/>
        <v>0</v>
      </c>
    </row>
    <row r="390" spans="2:37">
      <c r="B390" s="267" t="s">
        <v>991</v>
      </c>
      <c r="C390" s="47"/>
      <c r="D390" s="47"/>
      <c r="E390" s="319"/>
      <c r="F390" s="646"/>
      <c r="G390" s="4"/>
      <c r="H390" s="47"/>
      <c r="I390" s="47"/>
      <c r="J390" s="319"/>
      <c r="K390" s="646"/>
      <c r="L390" s="438"/>
      <c r="M390" s="5"/>
      <c r="N390" s="5"/>
      <c r="O390" s="319"/>
      <c r="P390" s="646"/>
      <c r="Q390" s="438"/>
      <c r="R390" s="5"/>
      <c r="S390" s="5"/>
      <c r="T390" s="319"/>
      <c r="U390" s="646"/>
      <c r="V390" s="438"/>
      <c r="W390" s="5"/>
      <c r="X390" s="5"/>
      <c r="Y390" s="319"/>
      <c r="Z390" s="646"/>
      <c r="AA390" s="328">
        <f t="shared" si="55"/>
        <v>0</v>
      </c>
      <c r="AB390" s="298">
        <f t="shared" si="56"/>
        <v>0</v>
      </c>
      <c r="AC390" s="4"/>
      <c r="AD390" s="47"/>
      <c r="AE390" s="47"/>
      <c r="AF390" s="319"/>
      <c r="AG390" s="328">
        <f t="shared" si="57"/>
        <v>0</v>
      </c>
    </row>
    <row r="391" spans="2:37">
      <c r="B391" s="267" t="s">
        <v>411</v>
      </c>
      <c r="C391" s="47"/>
      <c r="D391" s="47"/>
      <c r="E391" s="319"/>
      <c r="F391" s="646"/>
      <c r="G391" s="4"/>
      <c r="H391" s="47"/>
      <c r="I391" s="47"/>
      <c r="J391" s="319"/>
      <c r="K391" s="646"/>
      <c r="L391" s="438"/>
      <c r="M391" s="5"/>
      <c r="N391" s="5"/>
      <c r="O391" s="319"/>
      <c r="P391" s="646"/>
      <c r="Q391" s="438"/>
      <c r="R391" s="5"/>
      <c r="S391" s="5"/>
      <c r="T391" s="319"/>
      <c r="U391" s="646"/>
      <c r="V391" s="438"/>
      <c r="W391" s="5"/>
      <c r="X391" s="5"/>
      <c r="Y391" s="319"/>
      <c r="Z391" s="646"/>
      <c r="AA391" s="328">
        <f t="shared" si="55"/>
        <v>0</v>
      </c>
      <c r="AB391" s="298">
        <f t="shared" si="56"/>
        <v>0</v>
      </c>
      <c r="AC391" s="4"/>
      <c r="AD391" s="47"/>
      <c r="AE391" s="47"/>
      <c r="AF391" s="319"/>
      <c r="AG391" s="328">
        <f t="shared" si="57"/>
        <v>0</v>
      </c>
    </row>
    <row r="392" spans="2:37">
      <c r="B392" s="267" t="s">
        <v>361</v>
      </c>
      <c r="C392" s="47"/>
      <c r="D392" s="47"/>
      <c r="E392" s="319"/>
      <c r="F392" s="646"/>
      <c r="G392" s="4"/>
      <c r="H392" s="47"/>
      <c r="I392" s="47"/>
      <c r="J392" s="319"/>
      <c r="K392" s="646"/>
      <c r="L392" s="438"/>
      <c r="M392" s="5"/>
      <c r="N392" s="5"/>
      <c r="O392" s="319"/>
      <c r="P392" s="646"/>
      <c r="Q392" s="438"/>
      <c r="R392" s="5"/>
      <c r="S392" s="5"/>
      <c r="T392" s="319"/>
      <c r="U392" s="646"/>
      <c r="V392" s="438"/>
      <c r="W392" s="5"/>
      <c r="X392" s="5"/>
      <c r="Y392" s="319"/>
      <c r="Z392" s="646"/>
      <c r="AA392" s="328">
        <f t="shared" si="55"/>
        <v>0</v>
      </c>
      <c r="AB392" s="298">
        <f t="shared" si="56"/>
        <v>0</v>
      </c>
      <c r="AC392" s="4"/>
      <c r="AD392" s="47"/>
      <c r="AE392" s="47"/>
      <c r="AF392" s="319"/>
      <c r="AG392" s="328">
        <f t="shared" si="57"/>
        <v>0</v>
      </c>
    </row>
    <row r="393" spans="2:37">
      <c r="B393" s="267" t="s">
        <v>362</v>
      </c>
      <c r="C393" s="47"/>
      <c r="D393" s="47"/>
      <c r="E393" s="319">
        <v>1</v>
      </c>
      <c r="F393" s="646"/>
      <c r="G393" s="4"/>
      <c r="H393" s="47"/>
      <c r="I393" s="47"/>
      <c r="J393" s="319">
        <v>1</v>
      </c>
      <c r="K393" s="646"/>
      <c r="L393" s="438"/>
      <c r="M393" s="47"/>
      <c r="N393" s="47"/>
      <c r="O393" s="319">
        <v>1</v>
      </c>
      <c r="P393" s="646"/>
      <c r="Q393" s="438"/>
      <c r="R393" s="47"/>
      <c r="S393" s="47"/>
      <c r="T393" s="319">
        <v>1</v>
      </c>
      <c r="U393" s="646"/>
      <c r="V393" s="438"/>
      <c r="W393" s="5"/>
      <c r="X393" s="5"/>
      <c r="Y393" s="319">
        <v>1</v>
      </c>
      <c r="Z393" s="646"/>
      <c r="AA393" s="328">
        <f t="shared" si="55"/>
        <v>5</v>
      </c>
      <c r="AB393" s="298">
        <f t="shared" si="56"/>
        <v>0</v>
      </c>
      <c r="AC393" s="4"/>
      <c r="AD393" s="47"/>
      <c r="AE393" s="47"/>
      <c r="AF393" s="319"/>
      <c r="AG393" s="328">
        <f t="shared" si="57"/>
        <v>0</v>
      </c>
    </row>
    <row r="394" spans="2:37">
      <c r="B394" s="437" t="s">
        <v>355</v>
      </c>
      <c r="C394" s="47"/>
      <c r="D394" s="47"/>
      <c r="E394" s="319">
        <v>7.75</v>
      </c>
      <c r="F394" s="646"/>
      <c r="G394" s="4"/>
      <c r="H394" s="47"/>
      <c r="I394" s="47"/>
      <c r="J394" s="319">
        <v>7.75</v>
      </c>
      <c r="K394" s="646"/>
      <c r="L394" s="438"/>
      <c r="M394" s="5"/>
      <c r="N394" s="5"/>
      <c r="O394" s="319">
        <v>7.75</v>
      </c>
      <c r="P394" s="646"/>
      <c r="Q394" s="438"/>
      <c r="R394" s="5"/>
      <c r="S394" s="5"/>
      <c r="T394" s="319">
        <v>7.75</v>
      </c>
      <c r="U394" s="646"/>
      <c r="V394" s="438"/>
      <c r="W394" s="5"/>
      <c r="X394" s="5"/>
      <c r="Y394" s="319">
        <v>7.75</v>
      </c>
      <c r="Z394" s="646"/>
      <c r="AA394" s="328">
        <f t="shared" si="55"/>
        <v>38.75</v>
      </c>
      <c r="AB394" s="298">
        <f t="shared" si="56"/>
        <v>0</v>
      </c>
      <c r="AC394" s="4"/>
      <c r="AD394" s="47"/>
      <c r="AE394" s="47"/>
      <c r="AF394" s="319"/>
      <c r="AG394" s="328">
        <f t="shared" si="57"/>
        <v>0</v>
      </c>
    </row>
    <row r="395" spans="2:37">
      <c r="B395" s="437" t="s">
        <v>356</v>
      </c>
      <c r="C395" s="713"/>
      <c r="D395" s="713"/>
      <c r="E395" s="319"/>
      <c r="F395" s="646"/>
      <c r="G395" s="438"/>
      <c r="H395" s="5"/>
      <c r="I395" s="5"/>
      <c r="J395" s="319"/>
      <c r="K395" s="646"/>
      <c r="L395" s="438"/>
      <c r="M395" s="5"/>
      <c r="N395" s="5"/>
      <c r="O395" s="319"/>
      <c r="P395" s="646"/>
      <c r="Q395" s="438"/>
      <c r="R395" s="5"/>
      <c r="S395" s="5"/>
      <c r="T395" s="319"/>
      <c r="U395" s="646"/>
      <c r="V395" s="438"/>
      <c r="W395" s="5"/>
      <c r="X395" s="5"/>
      <c r="Y395" s="319">
        <v>17.2</v>
      </c>
      <c r="Z395" s="646"/>
      <c r="AA395" s="328">
        <f t="shared" si="55"/>
        <v>17.2</v>
      </c>
      <c r="AB395" s="298">
        <f t="shared" si="56"/>
        <v>0</v>
      </c>
      <c r="AC395" s="4"/>
      <c r="AD395" s="47"/>
      <c r="AE395" s="47"/>
      <c r="AF395" s="319"/>
      <c r="AG395" s="328">
        <f t="shared" si="57"/>
        <v>0</v>
      </c>
    </row>
    <row r="396" spans="2:37">
      <c r="B396" s="64" t="s">
        <v>61</v>
      </c>
      <c r="C396" s="31"/>
      <c r="D396" s="31"/>
      <c r="E396" s="439"/>
      <c r="F396" s="646"/>
      <c r="G396" s="31"/>
      <c r="H396" s="31"/>
      <c r="I396" s="31"/>
      <c r="J396" s="439"/>
      <c r="K396" s="646"/>
      <c r="L396" s="31"/>
      <c r="M396" s="31"/>
      <c r="N396" s="31"/>
      <c r="O396" s="439"/>
      <c r="P396" s="646"/>
      <c r="Q396" s="31"/>
      <c r="R396" s="31"/>
      <c r="S396" s="31"/>
      <c r="T396" s="439"/>
      <c r="U396" s="646"/>
      <c r="V396" s="31"/>
      <c r="W396" s="31"/>
      <c r="X396" s="31"/>
      <c r="Y396" s="439"/>
      <c r="Z396" s="646"/>
      <c r="AA396" s="370">
        <f>SUM(AA372:AA395)</f>
        <v>394.95</v>
      </c>
      <c r="AB396" s="370">
        <f>SUM(AB372:AB395)</f>
        <v>12.75</v>
      </c>
      <c r="AC396" s="4"/>
      <c r="AD396" s="64"/>
      <c r="AE396" s="64"/>
      <c r="AF396" s="370">
        <f>SUM(AF372:AF395)</f>
        <v>0</v>
      </c>
      <c r="AG396" s="370">
        <f>SUM(AG372:AG395)</f>
        <v>0</v>
      </c>
      <c r="AK396" s="407"/>
    </row>
    <row r="397" spans="2:37">
      <c r="B397" s="63" t="s">
        <v>64</v>
      </c>
      <c r="C397" s="47"/>
      <c r="D397" s="47"/>
      <c r="E397" s="319">
        <v>8</v>
      </c>
      <c r="F397" s="346"/>
      <c r="G397" s="613"/>
      <c r="H397" s="47"/>
      <c r="I397" s="47"/>
      <c r="J397" s="319">
        <v>8</v>
      </c>
      <c r="K397" s="346">
        <v>0.75</v>
      </c>
      <c r="L397" s="60"/>
      <c r="M397" s="47"/>
      <c r="N397" s="47"/>
      <c r="O397" s="319">
        <v>8</v>
      </c>
      <c r="P397" s="346">
        <v>0.75</v>
      </c>
      <c r="Q397" s="60"/>
      <c r="R397" s="47"/>
      <c r="S397" s="47"/>
      <c r="T397" s="319">
        <v>8</v>
      </c>
      <c r="U397" s="346">
        <v>2</v>
      </c>
      <c r="V397" s="60"/>
      <c r="W397" s="47"/>
      <c r="X397" s="47"/>
      <c r="Y397" s="319">
        <v>8</v>
      </c>
      <c r="Z397" s="346">
        <v>1</v>
      </c>
      <c r="AA397" s="28">
        <f>SUM(E397+J397+O397+T397+Y397)</f>
        <v>40</v>
      </c>
      <c r="AB397" s="296">
        <f>Z397+U397+P397+K397+F397</f>
        <v>4.5</v>
      </c>
      <c r="AC397" s="4"/>
      <c r="AD397" s="47" t="s">
        <v>29</v>
      </c>
      <c r="AE397" s="47" t="s">
        <v>29</v>
      </c>
      <c r="AF397" s="319"/>
      <c r="AG397" s="29">
        <f>AF397</f>
        <v>0</v>
      </c>
      <c r="AK397" s="407"/>
    </row>
    <row r="398" spans="2:37">
      <c r="B398" s="71" t="s">
        <v>66</v>
      </c>
      <c r="C398" s="371"/>
      <c r="D398" s="371"/>
      <c r="E398" s="71"/>
      <c r="F398" s="613"/>
      <c r="G398" s="71"/>
      <c r="H398" s="71"/>
      <c r="I398" s="71"/>
      <c r="J398" s="71"/>
      <c r="K398" s="613"/>
      <c r="L398" s="71"/>
      <c r="M398" s="71"/>
      <c r="N398" s="71"/>
      <c r="O398" s="71"/>
      <c r="P398" s="613"/>
      <c r="Q398" s="71"/>
      <c r="R398" s="71"/>
      <c r="S398" s="71"/>
      <c r="T398" s="71"/>
      <c r="U398" s="613"/>
      <c r="V398" s="71"/>
      <c r="W398" s="71"/>
      <c r="X398" s="71"/>
      <c r="Y398" s="71"/>
      <c r="Z398" s="613"/>
      <c r="AA398" s="370">
        <f>SUM(AA397:AA397)</f>
        <v>40</v>
      </c>
      <c r="AB398" s="370">
        <f>SUM(AB397:AB397)</f>
        <v>4.5</v>
      </c>
      <c r="AC398" s="4"/>
      <c r="AG398" s="370">
        <f>SUM(AG397:AG397)</f>
        <v>0</v>
      </c>
      <c r="AK398" s="407"/>
    </row>
    <row r="399" spans="2:37">
      <c r="B399" s="217" t="s">
        <v>67</v>
      </c>
      <c r="C399" s="207">
        <f>C400+C401</f>
        <v>26</v>
      </c>
      <c r="D399" s="207"/>
      <c r="E399" s="209"/>
      <c r="F399" s="209"/>
      <c r="G399" s="207"/>
      <c r="H399" s="209"/>
      <c r="I399" s="209"/>
      <c r="J399" s="209"/>
      <c r="K399" s="209"/>
      <c r="L399" s="207"/>
      <c r="M399" s="207"/>
      <c r="N399" s="207"/>
      <c r="O399" s="207"/>
      <c r="P399" s="209"/>
      <c r="Q399" s="207"/>
      <c r="R399" s="207"/>
      <c r="S399" s="207"/>
      <c r="T399" s="207"/>
      <c r="U399" s="209"/>
      <c r="V399" s="207"/>
      <c r="W399" s="207"/>
      <c r="X399" s="207"/>
      <c r="Y399" s="210"/>
      <c r="Z399" s="209"/>
      <c r="AA399" s="211"/>
      <c r="AB399" s="209"/>
      <c r="AC399" s="211"/>
      <c r="AD399" s="211"/>
      <c r="AE399" s="211"/>
      <c r="AF399" s="211"/>
      <c r="AG399" s="211"/>
    </row>
    <row r="400" spans="2:37">
      <c r="B400" s="238" t="s">
        <v>68</v>
      </c>
      <c r="C400" s="239">
        <v>0</v>
      </c>
      <c r="D400" s="207"/>
      <c r="E400" s="209"/>
      <c r="F400" s="209"/>
      <c r="G400" s="207"/>
      <c r="H400" s="209"/>
      <c r="I400" s="209"/>
      <c r="J400" s="209"/>
      <c r="K400" s="209"/>
      <c r="L400" s="207"/>
      <c r="M400" s="207"/>
      <c r="N400" s="207"/>
      <c r="O400" s="207"/>
      <c r="P400" s="209"/>
      <c r="Q400" s="207"/>
      <c r="R400" s="207"/>
      <c r="S400" s="207"/>
      <c r="T400" s="207"/>
      <c r="U400" s="209"/>
      <c r="V400" s="207"/>
      <c r="W400" s="207"/>
      <c r="X400" s="207"/>
      <c r="Y400" s="210"/>
      <c r="Z400" s="209"/>
      <c r="AA400" s="211"/>
      <c r="AB400" s="209"/>
      <c r="AC400" s="211"/>
      <c r="AD400" s="211"/>
      <c r="AE400" s="211"/>
      <c r="AF400" s="211"/>
      <c r="AG400" s="211"/>
    </row>
    <row r="401" spans="2:42">
      <c r="B401" s="238" t="s">
        <v>69</v>
      </c>
      <c r="C401" s="239">
        <v>26</v>
      </c>
      <c r="D401" s="207"/>
      <c r="E401" s="209"/>
      <c r="F401" s="209"/>
      <c r="G401" s="207"/>
      <c r="H401" s="209"/>
      <c r="I401" s="209"/>
      <c r="J401" s="209"/>
      <c r="K401" s="209"/>
      <c r="L401" s="207"/>
      <c r="M401" s="207"/>
      <c r="N401" s="207"/>
      <c r="O401" s="207"/>
      <c r="P401" s="209"/>
      <c r="Q401" s="207"/>
      <c r="R401" s="207"/>
      <c r="S401" s="207"/>
      <c r="T401" s="207"/>
      <c r="U401" s="209"/>
      <c r="V401" s="207"/>
      <c r="W401" s="207"/>
      <c r="X401" s="207"/>
      <c r="Y401" s="210"/>
      <c r="Z401" s="209"/>
      <c r="AA401" s="211"/>
      <c r="AB401" s="209"/>
      <c r="AC401" s="211"/>
      <c r="AD401" s="211"/>
      <c r="AE401" s="211"/>
      <c r="AF401" s="211"/>
      <c r="AG401" s="211"/>
    </row>
    <row r="402" spans="2:42">
      <c r="E402" s="4"/>
      <c r="F402" s="644"/>
      <c r="G402" s="4"/>
      <c r="J402" s="4"/>
      <c r="K402" s="644"/>
      <c r="L402" s="4"/>
      <c r="O402" s="4"/>
      <c r="P402" s="644"/>
      <c r="T402" s="4"/>
      <c r="U402" s="644"/>
      <c r="Y402" s="4"/>
      <c r="Z402" s="644"/>
      <c r="AA402" s="4"/>
      <c r="AB402" s="4"/>
      <c r="AC402" s="4"/>
    </row>
    <row r="403" spans="2:42">
      <c r="B403" s="229"/>
      <c r="C403" s="230"/>
      <c r="D403" s="230"/>
      <c r="E403" s="232"/>
      <c r="F403" s="232"/>
      <c r="G403" s="230"/>
      <c r="H403" s="232"/>
      <c r="I403" s="232"/>
      <c r="J403" s="232"/>
      <c r="K403" s="232"/>
      <c r="L403" s="230"/>
      <c r="M403" s="230"/>
      <c r="N403" s="230"/>
      <c r="O403" s="230"/>
      <c r="P403" s="232"/>
      <c r="Q403" s="230"/>
      <c r="R403" s="230"/>
      <c r="S403" s="230"/>
      <c r="T403" s="230"/>
      <c r="U403" s="232"/>
      <c r="V403" s="230"/>
      <c r="W403" s="230"/>
      <c r="X403" s="230"/>
      <c r="Y403" s="233"/>
      <c r="Z403" s="232"/>
      <c r="AA403" s="234"/>
      <c r="AB403" s="232"/>
      <c r="AC403" s="373"/>
      <c r="AD403" s="236"/>
      <c r="AE403" s="255"/>
      <c r="AF403" s="255"/>
      <c r="AG403" s="255"/>
      <c r="AH403" s="255"/>
      <c r="AJ403" s="255"/>
      <c r="AK403" s="255"/>
      <c r="AL403" s="255"/>
      <c r="AM403" s="255"/>
      <c r="AN403" s="255"/>
      <c r="AO403" s="255"/>
      <c r="AP403" s="255"/>
    </row>
    <row r="404" spans="2:42">
      <c r="B404" s="180"/>
      <c r="E404" s="4"/>
      <c r="F404" s="644"/>
      <c r="G404" s="4"/>
      <c r="J404" s="4"/>
      <c r="K404" s="644"/>
      <c r="L404" s="4"/>
      <c r="O404" s="4"/>
      <c r="P404" s="644"/>
      <c r="T404" s="4"/>
      <c r="U404" s="644"/>
      <c r="Y404" s="4"/>
      <c r="Z404" s="644"/>
      <c r="AA404" s="4"/>
      <c r="AB404" s="4"/>
      <c r="AC404" s="4"/>
      <c r="AK404" s="180"/>
      <c r="AL404" s="180"/>
      <c r="AM404" s="180"/>
      <c r="AN404" s="180"/>
      <c r="AO404" s="180"/>
      <c r="AP404" s="180"/>
    </row>
    <row r="405" spans="2:42" ht="25.5">
      <c r="B405" s="1518" t="s">
        <v>18</v>
      </c>
      <c r="C405" s="1519">
        <v>45789</v>
      </c>
      <c r="D405" s="1519"/>
      <c r="E405" s="1519" t="s">
        <v>564</v>
      </c>
      <c r="F405" s="1519"/>
      <c r="G405" s="365"/>
      <c r="H405" s="1519">
        <v>45790</v>
      </c>
      <c r="I405" s="1519"/>
      <c r="J405" s="1519" t="s">
        <v>565</v>
      </c>
      <c r="K405" s="1519"/>
      <c r="L405" s="365"/>
      <c r="M405" s="1519">
        <v>45791</v>
      </c>
      <c r="N405" s="1519"/>
      <c r="O405" s="1519" t="s">
        <v>566</v>
      </c>
      <c r="P405" s="1519"/>
      <c r="Q405" s="365"/>
      <c r="R405" s="1519">
        <v>45792</v>
      </c>
      <c r="S405" s="1519"/>
      <c r="T405" s="1519" t="s">
        <v>567</v>
      </c>
      <c r="U405" s="1519"/>
      <c r="V405" s="365"/>
      <c r="W405" s="1519">
        <v>45793</v>
      </c>
      <c r="X405" s="1519"/>
      <c r="Y405" s="1519" t="s">
        <v>568</v>
      </c>
      <c r="Z405" s="1519"/>
      <c r="AA405" s="1517" t="s">
        <v>19</v>
      </c>
      <c r="AB405" s="1517" t="s">
        <v>20</v>
      </c>
      <c r="AC405" s="4"/>
      <c r="AD405" s="1519"/>
      <c r="AE405" s="1519"/>
      <c r="AF405" s="14" t="s">
        <v>1111</v>
      </c>
      <c r="AG405" s="1517" t="s">
        <v>21</v>
      </c>
      <c r="AI405" s="368"/>
      <c r="AK405" s="194" t="s">
        <v>84</v>
      </c>
      <c r="AL405" s="366"/>
      <c r="AM405" s="366"/>
      <c r="AN405" s="366"/>
      <c r="AO405" s="366"/>
      <c r="AP405" s="366"/>
    </row>
    <row r="406" spans="2:42">
      <c r="B406" s="1518"/>
      <c r="C406" s="21" t="s">
        <v>23</v>
      </c>
      <c r="D406" s="21" t="s">
        <v>24</v>
      </c>
      <c r="E406" s="205" t="s">
        <v>25</v>
      </c>
      <c r="F406" s="645" t="s">
        <v>14</v>
      </c>
      <c r="G406" s="4"/>
      <c r="H406" s="21"/>
      <c r="I406" s="21" t="s">
        <v>24</v>
      </c>
      <c r="J406" s="18" t="s">
        <v>25</v>
      </c>
      <c r="K406" s="645" t="s">
        <v>14</v>
      </c>
      <c r="L406" s="4"/>
      <c r="M406" s="21" t="s">
        <v>23</v>
      </c>
      <c r="N406" s="21" t="s">
        <v>24</v>
      </c>
      <c r="O406" s="18" t="s">
        <v>25</v>
      </c>
      <c r="P406" s="645" t="s">
        <v>14</v>
      </c>
      <c r="R406" s="21" t="s">
        <v>23</v>
      </c>
      <c r="S406" s="21" t="s">
        <v>24</v>
      </c>
      <c r="T406" s="18" t="s">
        <v>25</v>
      </c>
      <c r="U406" s="645" t="s">
        <v>14</v>
      </c>
      <c r="W406" s="21" t="s">
        <v>23</v>
      </c>
      <c r="X406" s="21" t="s">
        <v>24</v>
      </c>
      <c r="Y406" s="18" t="s">
        <v>25</v>
      </c>
      <c r="Z406" s="645" t="s">
        <v>14</v>
      </c>
      <c r="AA406" s="1517"/>
      <c r="AB406" s="1517"/>
      <c r="AC406" s="4"/>
      <c r="AD406" s="21" t="s">
        <v>23</v>
      </c>
      <c r="AE406" s="21" t="s">
        <v>24</v>
      </c>
      <c r="AF406" s="18" t="s">
        <v>25</v>
      </c>
      <c r="AG406" s="1517"/>
      <c r="AI406" s="368"/>
      <c r="AJ406" s="367"/>
      <c r="AK406" s="188" t="s">
        <v>26</v>
      </c>
      <c r="AL406" s="196">
        <f>AA431</f>
        <v>492.25</v>
      </c>
      <c r="AM406" s="510">
        <v>40.31</v>
      </c>
      <c r="AN406" s="510">
        <f t="shared" ref="AN406:AN411" si="58">AL406*AM406</f>
        <v>19842.5975</v>
      </c>
    </row>
    <row r="407" spans="2:42">
      <c r="B407" s="4" t="s">
        <v>958</v>
      </c>
      <c r="C407" s="47"/>
      <c r="D407" s="47"/>
      <c r="E407" s="319">
        <v>0</v>
      </c>
      <c r="F407" s="646"/>
      <c r="G407" s="4"/>
      <c r="H407" s="47"/>
      <c r="I407" s="47"/>
      <c r="J407" s="319">
        <v>0</v>
      </c>
      <c r="K407" s="646"/>
      <c r="L407" s="4"/>
      <c r="M407" s="441"/>
      <c r="N407" s="47"/>
      <c r="O407" s="319">
        <v>0</v>
      </c>
      <c r="P407" s="646"/>
      <c r="R407" s="47"/>
      <c r="S407" s="47"/>
      <c r="T407" s="319">
        <v>0</v>
      </c>
      <c r="U407" s="646"/>
      <c r="W407" s="47"/>
      <c r="X407" s="47"/>
      <c r="Y407" s="319">
        <v>0</v>
      </c>
      <c r="Z407" s="646"/>
      <c r="AA407" s="328">
        <f t="shared" ref="AA407:AA430" si="59">(E407+J407+O407+T407+Y407)</f>
        <v>0</v>
      </c>
      <c r="AB407" s="298">
        <f t="shared" ref="AB407:AB430" si="60">Z407+U407+P407+K407+F407</f>
        <v>0</v>
      </c>
      <c r="AC407" s="4"/>
      <c r="AD407" s="587"/>
      <c r="AE407" s="531"/>
      <c r="AF407" s="319"/>
      <c r="AG407" s="328">
        <f t="shared" ref="AG407:AG430" si="61">AF407</f>
        <v>0</v>
      </c>
      <c r="AI407" s="368"/>
      <c r="AJ407" s="367"/>
      <c r="AK407" s="188" t="s">
        <v>30</v>
      </c>
      <c r="AL407" s="196">
        <v>0</v>
      </c>
      <c r="AM407" s="511">
        <v>60.465000000000003</v>
      </c>
      <c r="AN407" s="510">
        <f t="shared" si="58"/>
        <v>0</v>
      </c>
    </row>
    <row r="408" spans="2:42">
      <c r="B408" s="47" t="s">
        <v>515</v>
      </c>
      <c r="C408" s="47">
        <v>0.33333333333333331</v>
      </c>
      <c r="D408" s="47">
        <v>0.20833333333333334</v>
      </c>
      <c r="E408" s="726">
        <v>8</v>
      </c>
      <c r="F408" s="646"/>
      <c r="G408" s="4"/>
      <c r="H408" s="47">
        <v>0.33333333333333331</v>
      </c>
      <c r="I408" s="47">
        <v>0.20833333333333334</v>
      </c>
      <c r="J408" s="726">
        <v>8</v>
      </c>
      <c r="K408" s="646"/>
      <c r="L408" s="4"/>
      <c r="M408" s="47">
        <v>0.33333333333333331</v>
      </c>
      <c r="N408" s="47">
        <v>0.20833333333333334</v>
      </c>
      <c r="O408" s="726">
        <v>8</v>
      </c>
      <c r="P408" s="646"/>
      <c r="R408" s="47"/>
      <c r="S408" s="47"/>
      <c r="T408" s="319">
        <v>0</v>
      </c>
      <c r="U408" s="646"/>
      <c r="W408" s="47"/>
      <c r="X408" s="47"/>
      <c r="Y408" s="319">
        <v>0</v>
      </c>
      <c r="Z408" s="646"/>
      <c r="AA408" s="328">
        <f t="shared" si="59"/>
        <v>24</v>
      </c>
      <c r="AB408" s="298">
        <f t="shared" si="60"/>
        <v>0</v>
      </c>
      <c r="AC408" s="4"/>
      <c r="AF408" s="319"/>
      <c r="AG408" s="328">
        <f t="shared" si="61"/>
        <v>0</v>
      </c>
      <c r="AH408" s="175"/>
      <c r="AI408" s="402"/>
      <c r="AJ408" s="367"/>
      <c r="AK408" s="188" t="s">
        <v>32</v>
      </c>
      <c r="AL408" s="196">
        <f>AG431</f>
        <v>0</v>
      </c>
      <c r="AM408" s="510">
        <v>60.465000000000003</v>
      </c>
      <c r="AN408" s="510">
        <f t="shared" si="58"/>
        <v>0</v>
      </c>
    </row>
    <row r="409" spans="2:42">
      <c r="B409" s="441" t="s">
        <v>962</v>
      </c>
      <c r="C409" s="47"/>
      <c r="D409" s="47"/>
      <c r="E409" s="319">
        <v>0</v>
      </c>
      <c r="F409" s="646"/>
      <c r="G409" s="4"/>
      <c r="H409" s="47"/>
      <c r="I409" s="47"/>
      <c r="J409" s="319">
        <v>0</v>
      </c>
      <c r="K409" s="646"/>
      <c r="L409" s="4"/>
      <c r="M409" s="441"/>
      <c r="N409" s="47"/>
      <c r="O409" s="319">
        <v>0</v>
      </c>
      <c r="P409" s="646"/>
      <c r="R409" s="47"/>
      <c r="S409" s="47"/>
      <c r="T409" s="319">
        <v>0</v>
      </c>
      <c r="U409" s="646"/>
      <c r="W409" s="47"/>
      <c r="X409" s="47"/>
      <c r="Y409" s="319">
        <v>0</v>
      </c>
      <c r="Z409" s="646"/>
      <c r="AA409" s="328">
        <f t="shared" si="59"/>
        <v>0</v>
      </c>
      <c r="AB409" s="298">
        <f t="shared" si="60"/>
        <v>0</v>
      </c>
      <c r="AC409" s="399"/>
      <c r="AD409" s="47"/>
      <c r="AE409" s="47"/>
      <c r="AF409" s="319"/>
      <c r="AG409" s="328">
        <f t="shared" si="61"/>
        <v>0</v>
      </c>
      <c r="AH409" s="175"/>
      <c r="AJ409" s="401"/>
      <c r="AK409" s="403" t="s">
        <v>213</v>
      </c>
      <c r="AL409" s="404">
        <f>AA433</f>
        <v>40</v>
      </c>
      <c r="AM409" s="510">
        <v>53.05</v>
      </c>
      <c r="AN409" s="510">
        <f t="shared" si="58"/>
        <v>2122</v>
      </c>
      <c r="AO409" s="405"/>
      <c r="AP409" s="405"/>
    </row>
    <row r="410" spans="2:42">
      <c r="B410" s="47" t="s">
        <v>1112</v>
      </c>
      <c r="C410" s="47">
        <v>0.41666666666666669</v>
      </c>
      <c r="D410" s="47">
        <v>0.14583333333333334</v>
      </c>
      <c r="E410" s="319">
        <v>8</v>
      </c>
      <c r="F410" s="646"/>
      <c r="G410" s="4"/>
      <c r="H410" s="47"/>
      <c r="I410" s="47"/>
      <c r="J410" s="319">
        <v>0</v>
      </c>
      <c r="K410" s="646"/>
      <c r="L410" s="4"/>
      <c r="M410" s="441"/>
      <c r="N410" s="47"/>
      <c r="O410" s="319">
        <v>0</v>
      </c>
      <c r="P410" s="646"/>
      <c r="R410" s="47">
        <v>0.33333333333333331</v>
      </c>
      <c r="S410" s="47">
        <v>0.20833333333333334</v>
      </c>
      <c r="T410" s="319">
        <v>8</v>
      </c>
      <c r="U410" s="646"/>
      <c r="W410" s="47">
        <v>0.33333333333333331</v>
      </c>
      <c r="X410" s="47">
        <v>0.20833333333333334</v>
      </c>
      <c r="Y410" s="319">
        <v>8</v>
      </c>
      <c r="Z410" s="646"/>
      <c r="AA410" s="328">
        <f t="shared" si="59"/>
        <v>24</v>
      </c>
      <c r="AB410" s="298">
        <f t="shared" si="60"/>
        <v>0</v>
      </c>
      <c r="AC410" s="4"/>
      <c r="AD410" s="47"/>
      <c r="AE410" s="47"/>
      <c r="AF410" s="319"/>
      <c r="AG410" s="328">
        <f t="shared" si="61"/>
        <v>0</v>
      </c>
      <c r="AH410" s="175"/>
      <c r="AI410" s="368"/>
      <c r="AK410" s="188" t="s">
        <v>36</v>
      </c>
      <c r="AL410" s="196">
        <f>AB433</f>
        <v>3.5</v>
      </c>
      <c r="AM410" s="510">
        <v>79.574999999999989</v>
      </c>
      <c r="AN410" s="510">
        <f t="shared" si="58"/>
        <v>278.51249999999993</v>
      </c>
    </row>
    <row r="411" spans="2:42">
      <c r="B411" s="436" t="s">
        <v>972</v>
      </c>
      <c r="C411" s="47">
        <v>0.33333333333333331</v>
      </c>
      <c r="D411" s="47">
        <v>0.20833333333333334</v>
      </c>
      <c r="E411" s="726">
        <v>8</v>
      </c>
      <c r="F411" s="646"/>
      <c r="G411" s="4"/>
      <c r="H411" s="47">
        <v>0.33333333333333331</v>
      </c>
      <c r="I411" s="47">
        <v>0.20833333333333334</v>
      </c>
      <c r="J411" s="319">
        <v>8</v>
      </c>
      <c r="K411" s="646"/>
      <c r="L411" s="4"/>
      <c r="M411" s="441" t="s">
        <v>125</v>
      </c>
      <c r="N411" s="47">
        <v>0.20833333333333334</v>
      </c>
      <c r="O411" s="319">
        <v>8</v>
      </c>
      <c r="P411" s="646"/>
      <c r="R411" s="47">
        <v>0.33333333333333331</v>
      </c>
      <c r="S411" s="47">
        <v>0.20833333333333334</v>
      </c>
      <c r="T411" s="319">
        <v>8</v>
      </c>
      <c r="U411" s="646"/>
      <c r="W411" s="47">
        <v>0.33333333333333331</v>
      </c>
      <c r="X411" s="47">
        <v>0.20833333333333334</v>
      </c>
      <c r="Y411" s="319">
        <v>8</v>
      </c>
      <c r="Z411" s="646"/>
      <c r="AA411" s="328">
        <f t="shared" si="59"/>
        <v>40</v>
      </c>
      <c r="AB411" s="298">
        <f t="shared" si="60"/>
        <v>0</v>
      </c>
      <c r="AC411" s="4"/>
      <c r="AD411" s="47"/>
      <c r="AE411" s="47"/>
      <c r="AF411" s="319"/>
      <c r="AG411" s="328">
        <f t="shared" si="61"/>
        <v>0</v>
      </c>
      <c r="AK411" s="188" t="s">
        <v>38</v>
      </c>
      <c r="AL411" s="196">
        <f>AG433</f>
        <v>0</v>
      </c>
      <c r="AM411" s="510">
        <v>79.574999999999989</v>
      </c>
      <c r="AN411" s="510">
        <f t="shared" si="58"/>
        <v>0</v>
      </c>
    </row>
    <row r="412" spans="2:42">
      <c r="B412" s="47" t="s">
        <v>974</v>
      </c>
      <c r="C412" s="47">
        <v>0.33333333333333331</v>
      </c>
      <c r="D412" s="47">
        <v>0.20833333333333334</v>
      </c>
      <c r="E412" s="319">
        <v>8</v>
      </c>
      <c r="F412" s="646"/>
      <c r="G412" s="4"/>
      <c r="H412" s="47">
        <v>0.33333333333333331</v>
      </c>
      <c r="I412" s="47">
        <v>0.20833333333333334</v>
      </c>
      <c r="J412" s="319">
        <v>8</v>
      </c>
      <c r="K412" s="646"/>
      <c r="L412" s="4"/>
      <c r="M412" s="441" t="s">
        <v>125</v>
      </c>
      <c r="N412" s="47">
        <v>0.20833333333333334</v>
      </c>
      <c r="O412" s="319">
        <v>8</v>
      </c>
      <c r="P412" s="646"/>
      <c r="R412" s="47">
        <v>0.33333333333333331</v>
      </c>
      <c r="S412" s="47">
        <v>0.20833333333333334</v>
      </c>
      <c r="T412" s="319">
        <v>8</v>
      </c>
      <c r="U412" s="646"/>
      <c r="W412" s="47">
        <v>0.33333333333333331</v>
      </c>
      <c r="X412" s="47">
        <v>0.20833333333333334</v>
      </c>
      <c r="Y412" s="319">
        <v>8</v>
      </c>
      <c r="Z412" s="646"/>
      <c r="AA412" s="328">
        <f t="shared" si="59"/>
        <v>40</v>
      </c>
      <c r="AB412" s="298">
        <f t="shared" si="60"/>
        <v>0</v>
      </c>
      <c r="AC412" s="4"/>
      <c r="AD412" s="47"/>
      <c r="AE412" s="47"/>
      <c r="AF412" s="319"/>
      <c r="AG412" s="328">
        <f t="shared" si="61"/>
        <v>0</v>
      </c>
      <c r="AN412" s="510">
        <f>SUM(AN406:AN411)</f>
        <v>22243.11</v>
      </c>
    </row>
    <row r="413" spans="2:42">
      <c r="B413" s="374" t="s">
        <v>998</v>
      </c>
      <c r="C413" s="47">
        <v>0.33333333333333331</v>
      </c>
      <c r="D413" s="47">
        <v>0.22916666666666666</v>
      </c>
      <c r="E413" s="319">
        <v>8</v>
      </c>
      <c r="F413" s="646">
        <v>0.5</v>
      </c>
      <c r="G413" s="4"/>
      <c r="H413" s="47"/>
      <c r="I413" s="47"/>
      <c r="J413" s="319">
        <v>0</v>
      </c>
      <c r="K413" s="646"/>
      <c r="L413" s="4"/>
      <c r="M413" s="441"/>
      <c r="N413" s="47"/>
      <c r="O413" s="319">
        <v>0</v>
      </c>
      <c r="P413" s="646"/>
      <c r="R413" s="47"/>
      <c r="S413" s="47"/>
      <c r="T413" s="319">
        <v>0</v>
      </c>
      <c r="U413" s="646"/>
      <c r="W413" s="47"/>
      <c r="X413" s="47"/>
      <c r="Y413" s="319">
        <v>0</v>
      </c>
      <c r="Z413" s="646"/>
      <c r="AA413" s="328">
        <f t="shared" si="59"/>
        <v>8</v>
      </c>
      <c r="AB413" s="298">
        <f t="shared" si="60"/>
        <v>0.5</v>
      </c>
      <c r="AC413" s="4"/>
      <c r="AD413" s="47"/>
      <c r="AE413" s="47"/>
      <c r="AF413" s="319"/>
      <c r="AG413" s="328">
        <f t="shared" si="61"/>
        <v>0</v>
      </c>
    </row>
    <row r="414" spans="2:42">
      <c r="B414" s="47" t="s">
        <v>977</v>
      </c>
      <c r="C414" s="47">
        <v>0.33333333333333331</v>
      </c>
      <c r="D414" s="47">
        <v>0.22916666666666666</v>
      </c>
      <c r="E414" s="319">
        <v>8</v>
      </c>
      <c r="F414" s="646">
        <v>0.5</v>
      </c>
      <c r="G414" s="4"/>
      <c r="H414" s="47">
        <v>0.33333333333333331</v>
      </c>
      <c r="I414" s="47">
        <v>0.20833333333333334</v>
      </c>
      <c r="J414" s="319">
        <v>8</v>
      </c>
      <c r="K414" s="646"/>
      <c r="L414" s="4"/>
      <c r="M414" s="441" t="s">
        <v>125</v>
      </c>
      <c r="N414" s="47">
        <v>0.20833333333333334</v>
      </c>
      <c r="O414" s="319">
        <v>8</v>
      </c>
      <c r="P414" s="646"/>
      <c r="R414" s="47">
        <v>0.33333333333333331</v>
      </c>
      <c r="S414" s="47">
        <v>0.20833333333333334</v>
      </c>
      <c r="T414" s="319">
        <v>8</v>
      </c>
      <c r="U414" s="646"/>
      <c r="W414" s="47">
        <v>0.33333333333333331</v>
      </c>
      <c r="X414" s="47">
        <v>0.25</v>
      </c>
      <c r="Y414" s="319">
        <v>8</v>
      </c>
      <c r="Z414" s="646">
        <v>1</v>
      </c>
      <c r="AA414" s="328">
        <f t="shared" si="59"/>
        <v>40</v>
      </c>
      <c r="AB414" s="298">
        <f>Z414+U414+P414+K414+F414</f>
        <v>1.5</v>
      </c>
      <c r="AC414" s="4"/>
      <c r="AD414" s="47"/>
      <c r="AE414" s="47"/>
      <c r="AF414" s="319"/>
      <c r="AG414" s="328">
        <f t="shared" si="61"/>
        <v>0</v>
      </c>
      <c r="AK414" s="192" t="s">
        <v>1115</v>
      </c>
      <c r="AL414" s="189">
        <f>C434</f>
        <v>22</v>
      </c>
    </row>
    <row r="415" spans="2:42">
      <c r="B415" s="47" t="s">
        <v>519</v>
      </c>
      <c r="C415" s="47"/>
      <c r="D415" s="47"/>
      <c r="E415" s="726">
        <v>8</v>
      </c>
      <c r="F415" s="646"/>
      <c r="G415" s="4"/>
      <c r="H415" s="47">
        <v>0.33333333333333331</v>
      </c>
      <c r="I415" s="47">
        <v>0.20833333333333334</v>
      </c>
      <c r="J415" s="726">
        <v>8</v>
      </c>
      <c r="K415" s="646"/>
      <c r="L415" s="4"/>
      <c r="M415" s="441"/>
      <c r="N415" s="47"/>
      <c r="O415" s="726">
        <v>8</v>
      </c>
      <c r="P415" s="646"/>
      <c r="R415" s="47">
        <v>0.33333333333333331</v>
      </c>
      <c r="S415" s="47">
        <v>0.20833333333333334</v>
      </c>
      <c r="T415" s="726">
        <v>8</v>
      </c>
      <c r="U415" s="646"/>
      <c r="W415" s="47">
        <v>0.33333333333333331</v>
      </c>
      <c r="X415" s="47">
        <v>0.20833333333333334</v>
      </c>
      <c r="Y415" s="726">
        <v>8</v>
      </c>
      <c r="Z415" s="646"/>
      <c r="AA415" s="328">
        <f t="shared" si="59"/>
        <v>40</v>
      </c>
      <c r="AB415" s="298">
        <f t="shared" si="60"/>
        <v>0</v>
      </c>
      <c r="AC415" s="4"/>
      <c r="AD415" s="47"/>
      <c r="AE415" s="47"/>
      <c r="AF415" s="319"/>
      <c r="AG415" s="328">
        <f t="shared" si="61"/>
        <v>0</v>
      </c>
    </row>
    <row r="416" spans="2:42">
      <c r="B416" s="47" t="s">
        <v>999</v>
      </c>
      <c r="C416" s="47"/>
      <c r="D416" s="441"/>
      <c r="E416" s="319">
        <v>0</v>
      </c>
      <c r="F416" s="646"/>
      <c r="G416" s="4"/>
      <c r="H416" s="47"/>
      <c r="I416" s="47"/>
      <c r="J416" s="319">
        <v>0</v>
      </c>
      <c r="K416" s="646"/>
      <c r="L416" s="4"/>
      <c r="M416" s="441"/>
      <c r="N416" s="47"/>
      <c r="O416" s="319">
        <v>0</v>
      </c>
      <c r="P416" s="646"/>
      <c r="R416" s="441"/>
      <c r="S416" s="441"/>
      <c r="T416" s="319">
        <v>0</v>
      </c>
      <c r="U416" s="646"/>
      <c r="W416" s="441"/>
      <c r="X416" s="441"/>
      <c r="Y416" s="319">
        <v>0</v>
      </c>
      <c r="Z416" s="646"/>
      <c r="AA416" s="328">
        <f t="shared" si="59"/>
        <v>0</v>
      </c>
      <c r="AB416" s="298">
        <f t="shared" si="60"/>
        <v>0</v>
      </c>
      <c r="AC416" s="4"/>
      <c r="AD416" s="47"/>
      <c r="AE416" s="47"/>
      <c r="AF416" s="319"/>
      <c r="AG416" s="328">
        <f t="shared" si="61"/>
        <v>0</v>
      </c>
    </row>
    <row r="417" spans="2:37">
      <c r="B417" s="47" t="s">
        <v>1113</v>
      </c>
      <c r="C417" s="47"/>
      <c r="D417" s="47"/>
      <c r="E417" s="319">
        <v>0</v>
      </c>
      <c r="F417" s="646"/>
      <c r="G417" s="4"/>
      <c r="H417" s="47"/>
      <c r="I417" s="47"/>
      <c r="J417" s="319">
        <v>0</v>
      </c>
      <c r="K417" s="646"/>
      <c r="L417" s="4"/>
      <c r="M417" s="441"/>
      <c r="N417" s="47"/>
      <c r="O417" s="319">
        <v>0</v>
      </c>
      <c r="P417" s="646"/>
      <c r="R417" s="441"/>
      <c r="S417" s="47"/>
      <c r="T417" s="319">
        <v>0</v>
      </c>
      <c r="U417" s="646"/>
      <c r="W417" s="441"/>
      <c r="X417" s="47"/>
      <c r="Y417" s="319">
        <v>0</v>
      </c>
      <c r="Z417" s="646"/>
      <c r="AA417" s="328">
        <f t="shared" si="59"/>
        <v>0</v>
      </c>
      <c r="AB417" s="298">
        <f t="shared" si="60"/>
        <v>0</v>
      </c>
      <c r="AC417" s="4"/>
      <c r="AD417" s="47"/>
      <c r="AE417" s="47"/>
      <c r="AF417" s="319"/>
      <c r="AG417" s="328">
        <f t="shared" si="61"/>
        <v>0</v>
      </c>
    </row>
    <row r="418" spans="2:37">
      <c r="B418" s="502" t="s">
        <v>483</v>
      </c>
      <c r="C418" s="47"/>
      <c r="D418" s="47"/>
      <c r="E418" s="319"/>
      <c r="F418" s="646"/>
      <c r="G418" s="4"/>
      <c r="H418" s="47"/>
      <c r="I418" s="47"/>
      <c r="J418" s="319"/>
      <c r="K418" s="646"/>
      <c r="L418" s="4"/>
      <c r="M418" s="441"/>
      <c r="N418" s="47"/>
      <c r="O418" s="319"/>
      <c r="P418" s="646"/>
      <c r="R418" s="5"/>
      <c r="S418" s="5"/>
      <c r="T418" s="319"/>
      <c r="U418" s="646"/>
      <c r="W418" s="5"/>
      <c r="X418" s="5"/>
      <c r="Y418" s="319"/>
      <c r="Z418" s="646"/>
      <c r="AA418" s="328">
        <f t="shared" si="59"/>
        <v>0</v>
      </c>
      <c r="AB418" s="298">
        <f t="shared" si="60"/>
        <v>0</v>
      </c>
      <c r="AC418" s="4"/>
      <c r="AD418" s="47"/>
      <c r="AE418" s="47"/>
      <c r="AF418" s="319"/>
      <c r="AG418" s="328">
        <f t="shared" si="61"/>
        <v>0</v>
      </c>
    </row>
    <row r="419" spans="2:37">
      <c r="B419" s="502" t="s">
        <v>483</v>
      </c>
      <c r="C419" s="47"/>
      <c r="D419" s="47"/>
      <c r="E419" s="319">
        <v>8</v>
      </c>
      <c r="F419" s="646"/>
      <c r="G419" s="4"/>
      <c r="H419" s="47"/>
      <c r="I419" s="47"/>
      <c r="J419" s="319">
        <v>8</v>
      </c>
      <c r="K419" s="646"/>
      <c r="L419" s="4"/>
      <c r="M419" s="441"/>
      <c r="N419" s="47"/>
      <c r="O419" s="319">
        <v>8</v>
      </c>
      <c r="P419" s="646"/>
      <c r="R419" s="47"/>
      <c r="S419" s="47"/>
      <c r="T419" s="319">
        <v>8</v>
      </c>
      <c r="U419" s="646"/>
      <c r="W419" s="47"/>
      <c r="X419" s="47"/>
      <c r="Y419" s="319">
        <v>8</v>
      </c>
      <c r="Z419" s="646"/>
      <c r="AA419" s="328">
        <f t="shared" si="59"/>
        <v>40</v>
      </c>
      <c r="AB419" s="298">
        <f t="shared" si="60"/>
        <v>0</v>
      </c>
      <c r="AC419" s="4"/>
      <c r="AD419" s="47"/>
      <c r="AE419" s="47"/>
      <c r="AF419" s="319"/>
      <c r="AG419" s="328">
        <f t="shared" si="61"/>
        <v>0</v>
      </c>
    </row>
    <row r="420" spans="2:37">
      <c r="B420" s="502" t="s">
        <v>484</v>
      </c>
      <c r="C420" s="47"/>
      <c r="D420" s="47"/>
      <c r="E420" s="319">
        <v>8</v>
      </c>
      <c r="F420" s="646"/>
      <c r="G420" s="4"/>
      <c r="H420" s="47"/>
      <c r="I420" s="47"/>
      <c r="J420" s="319">
        <v>8</v>
      </c>
      <c r="K420" s="646"/>
      <c r="L420" s="4"/>
      <c r="M420" s="441"/>
      <c r="N420" s="47"/>
      <c r="O420" s="319">
        <v>8</v>
      </c>
      <c r="P420" s="646"/>
      <c r="R420" s="47"/>
      <c r="S420" s="47"/>
      <c r="T420" s="319">
        <v>8</v>
      </c>
      <c r="U420" s="646"/>
      <c r="W420" s="47"/>
      <c r="X420" s="47"/>
      <c r="Y420" s="319">
        <v>8</v>
      </c>
      <c r="Z420" s="646"/>
      <c r="AA420" s="328">
        <f t="shared" si="59"/>
        <v>40</v>
      </c>
      <c r="AB420" s="298">
        <f t="shared" si="60"/>
        <v>0</v>
      </c>
      <c r="AC420" s="4"/>
      <c r="AD420" s="47"/>
      <c r="AE420" s="47"/>
      <c r="AF420" s="319"/>
      <c r="AG420" s="328">
        <f t="shared" si="61"/>
        <v>0</v>
      </c>
    </row>
    <row r="421" spans="2:37">
      <c r="B421" s="502" t="s">
        <v>485</v>
      </c>
      <c r="C421" s="47"/>
      <c r="D421" s="47"/>
      <c r="E421" s="319">
        <v>8</v>
      </c>
      <c r="F421" s="646"/>
      <c r="G421" s="4"/>
      <c r="H421" s="47"/>
      <c r="I421" s="47"/>
      <c r="J421" s="319">
        <v>8</v>
      </c>
      <c r="K421" s="646"/>
      <c r="L421" s="4"/>
      <c r="M421" s="47"/>
      <c r="N421" s="47"/>
      <c r="O421" s="319">
        <v>8</v>
      </c>
      <c r="P421" s="646"/>
      <c r="R421" s="47"/>
      <c r="S421" s="47"/>
      <c r="T421" s="319">
        <v>8</v>
      </c>
      <c r="U421" s="646"/>
      <c r="W421" s="47"/>
      <c r="X421" s="47"/>
      <c r="Y421" s="319">
        <v>8</v>
      </c>
      <c r="Z421" s="646"/>
      <c r="AA421" s="328">
        <f t="shared" si="59"/>
        <v>40</v>
      </c>
      <c r="AB421" s="298">
        <f t="shared" si="60"/>
        <v>0</v>
      </c>
      <c r="AC421" s="4"/>
      <c r="AD421" s="47"/>
      <c r="AE421" s="47"/>
      <c r="AF421" s="319"/>
      <c r="AG421" s="328">
        <f t="shared" si="61"/>
        <v>0</v>
      </c>
    </row>
    <row r="422" spans="2:37">
      <c r="B422" s="502" t="s">
        <v>1129</v>
      </c>
      <c r="C422" s="47"/>
      <c r="D422" s="47"/>
      <c r="E422" s="319"/>
      <c r="F422" s="646"/>
      <c r="G422" s="4"/>
      <c r="H422" s="47"/>
      <c r="I422" s="47"/>
      <c r="J422" s="319"/>
      <c r="K422" s="646"/>
      <c r="L422" s="4"/>
      <c r="M422" s="5"/>
      <c r="N422" s="5"/>
      <c r="O422" s="319"/>
      <c r="P422" s="646"/>
      <c r="R422" s="5"/>
      <c r="S422" s="5"/>
      <c r="T422" s="319">
        <v>6</v>
      </c>
      <c r="U422" s="646"/>
      <c r="W422" s="5"/>
      <c r="X422" s="5"/>
      <c r="Y422" s="319"/>
      <c r="Z422" s="646"/>
      <c r="AA422" s="328">
        <f t="shared" si="59"/>
        <v>6</v>
      </c>
      <c r="AB422" s="298">
        <f t="shared" si="60"/>
        <v>0</v>
      </c>
      <c r="AC422" s="4"/>
      <c r="AD422" s="47"/>
      <c r="AE422" s="47"/>
      <c r="AF422" s="319"/>
      <c r="AG422" s="328">
        <f t="shared" si="61"/>
        <v>0</v>
      </c>
    </row>
    <row r="423" spans="2:37">
      <c r="B423" s="63" t="s">
        <v>1116</v>
      </c>
      <c r="C423" s="47"/>
      <c r="D423" s="47"/>
      <c r="E423" s="319">
        <v>8</v>
      </c>
      <c r="F423" s="646"/>
      <c r="G423" s="4"/>
      <c r="H423" s="47"/>
      <c r="I423" s="47"/>
      <c r="J423" s="319">
        <v>8</v>
      </c>
      <c r="K423" s="646"/>
      <c r="L423" s="4"/>
      <c r="M423" s="47"/>
      <c r="N423" s="47"/>
      <c r="O423" s="319">
        <v>8</v>
      </c>
      <c r="P423" s="646"/>
      <c r="R423" s="663"/>
      <c r="S423" s="663"/>
      <c r="T423" s="319">
        <v>8</v>
      </c>
      <c r="U423" s="646"/>
      <c r="W423" s="663"/>
      <c r="X423" s="663"/>
      <c r="Y423" s="319">
        <v>8</v>
      </c>
      <c r="Z423" s="646"/>
      <c r="AA423" s="328">
        <f t="shared" si="59"/>
        <v>40</v>
      </c>
      <c r="AB423" s="298">
        <f t="shared" si="60"/>
        <v>0</v>
      </c>
      <c r="AC423" s="4"/>
      <c r="AD423" s="47"/>
      <c r="AE423" s="47"/>
      <c r="AF423" s="319"/>
      <c r="AG423" s="328">
        <f t="shared" si="61"/>
        <v>0</v>
      </c>
    </row>
    <row r="424" spans="2:37">
      <c r="B424" s="267" t="s">
        <v>358</v>
      </c>
      <c r="C424" s="47"/>
      <c r="D424" s="47"/>
      <c r="E424" s="319">
        <f>6+2</f>
        <v>8</v>
      </c>
      <c r="F424" s="646"/>
      <c r="G424" s="4"/>
      <c r="H424" s="47"/>
      <c r="I424" s="47"/>
      <c r="J424" s="319">
        <v>6</v>
      </c>
      <c r="K424" s="646"/>
      <c r="L424" s="438"/>
      <c r="M424" s="663"/>
      <c r="N424" s="663"/>
      <c r="O424" s="319">
        <v>6</v>
      </c>
      <c r="P424" s="646"/>
      <c r="Q424" s="438"/>
      <c r="R424" s="663"/>
      <c r="S424" s="663"/>
      <c r="T424" s="319">
        <v>6</v>
      </c>
      <c r="U424" s="646"/>
      <c r="V424" s="438"/>
      <c r="W424" s="663"/>
      <c r="X424" s="663"/>
      <c r="Y424" s="319">
        <v>6</v>
      </c>
      <c r="Z424" s="646"/>
      <c r="AA424" s="328">
        <f t="shared" si="59"/>
        <v>32</v>
      </c>
      <c r="AB424" s="298">
        <f t="shared" si="60"/>
        <v>0</v>
      </c>
      <c r="AC424" s="4"/>
      <c r="AD424" s="47"/>
      <c r="AE424" s="47"/>
      <c r="AF424" s="319"/>
      <c r="AG424" s="328">
        <f t="shared" si="61"/>
        <v>0</v>
      </c>
    </row>
    <row r="425" spans="2:37">
      <c r="B425" s="267" t="s">
        <v>991</v>
      </c>
      <c r="C425" s="47"/>
      <c r="D425" s="47"/>
      <c r="E425" s="319"/>
      <c r="F425" s="646"/>
      <c r="G425" s="4"/>
      <c r="H425" s="47"/>
      <c r="I425" s="47"/>
      <c r="J425" s="319"/>
      <c r="K425" s="646"/>
      <c r="L425" s="438"/>
      <c r="M425" s="5"/>
      <c r="N425" s="5"/>
      <c r="O425" s="319"/>
      <c r="P425" s="646"/>
      <c r="Q425" s="438"/>
      <c r="R425" s="5"/>
      <c r="S425" s="5"/>
      <c r="T425" s="319"/>
      <c r="U425" s="646"/>
      <c r="V425" s="438"/>
      <c r="W425" s="5"/>
      <c r="X425" s="5"/>
      <c r="Y425" s="319"/>
      <c r="Z425" s="646"/>
      <c r="AA425" s="328">
        <f t="shared" si="59"/>
        <v>0</v>
      </c>
      <c r="AB425" s="298">
        <f t="shared" si="60"/>
        <v>0</v>
      </c>
      <c r="AC425" s="4"/>
      <c r="AD425" s="47"/>
      <c r="AE425" s="47"/>
      <c r="AF425" s="319"/>
      <c r="AG425" s="328">
        <f t="shared" si="61"/>
        <v>0</v>
      </c>
    </row>
    <row r="426" spans="2:37">
      <c r="B426" s="267" t="s">
        <v>411</v>
      </c>
      <c r="C426" s="47"/>
      <c r="D426" s="47"/>
      <c r="E426" s="319"/>
      <c r="F426" s="646"/>
      <c r="G426" s="4"/>
      <c r="H426" s="47"/>
      <c r="I426" s="47"/>
      <c r="J426" s="319"/>
      <c r="K426" s="646"/>
      <c r="L426" s="438"/>
      <c r="M426" s="5"/>
      <c r="N426" s="5"/>
      <c r="O426" s="319"/>
      <c r="P426" s="646"/>
      <c r="Q426" s="438"/>
      <c r="R426" s="5"/>
      <c r="S426" s="5"/>
      <c r="T426" s="319"/>
      <c r="U426" s="646"/>
      <c r="V426" s="438"/>
      <c r="W426" s="5"/>
      <c r="X426" s="5"/>
      <c r="Y426" s="319"/>
      <c r="Z426" s="646"/>
      <c r="AA426" s="328">
        <f t="shared" si="59"/>
        <v>0</v>
      </c>
      <c r="AB426" s="298">
        <f t="shared" si="60"/>
        <v>0</v>
      </c>
      <c r="AC426" s="4"/>
      <c r="AD426" s="47"/>
      <c r="AE426" s="47"/>
      <c r="AF426" s="319"/>
      <c r="AG426" s="328">
        <f t="shared" si="61"/>
        <v>0</v>
      </c>
    </row>
    <row r="427" spans="2:37">
      <c r="B427" s="267" t="s">
        <v>361</v>
      </c>
      <c r="C427" s="47"/>
      <c r="D427" s="47"/>
      <c r="E427" s="319"/>
      <c r="F427" s="646"/>
      <c r="G427" s="4"/>
      <c r="H427" s="47"/>
      <c r="I427" s="47"/>
      <c r="J427" s="319"/>
      <c r="K427" s="646"/>
      <c r="L427" s="438"/>
      <c r="M427" s="5"/>
      <c r="N427" s="5"/>
      <c r="O427" s="319"/>
      <c r="P427" s="646"/>
      <c r="Q427" s="438"/>
      <c r="R427" s="5"/>
      <c r="S427" s="5"/>
      <c r="T427" s="319"/>
      <c r="U427" s="646"/>
      <c r="V427" s="438"/>
      <c r="W427" s="5"/>
      <c r="X427" s="5"/>
      <c r="Y427" s="319"/>
      <c r="Z427" s="646"/>
      <c r="AA427" s="328">
        <f t="shared" si="59"/>
        <v>0</v>
      </c>
      <c r="AB427" s="298">
        <f t="shared" si="60"/>
        <v>0</v>
      </c>
      <c r="AC427" s="4"/>
      <c r="AD427" s="47"/>
      <c r="AE427" s="47"/>
      <c r="AF427" s="319"/>
      <c r="AG427" s="328">
        <f t="shared" si="61"/>
        <v>0</v>
      </c>
    </row>
    <row r="428" spans="2:37">
      <c r="B428" s="267" t="s">
        <v>362</v>
      </c>
      <c r="C428" s="47"/>
      <c r="D428" s="47"/>
      <c r="E428" s="319">
        <v>1</v>
      </c>
      <c r="F428" s="646"/>
      <c r="G428" s="4"/>
      <c r="H428" s="47"/>
      <c r="I428" s="47"/>
      <c r="J428" s="319">
        <v>1</v>
      </c>
      <c r="K428" s="646"/>
      <c r="L428" s="438"/>
      <c r="M428" s="47"/>
      <c r="N428" s="47"/>
      <c r="O428" s="319">
        <v>1</v>
      </c>
      <c r="P428" s="646"/>
      <c r="Q428" s="438"/>
      <c r="R428" s="47"/>
      <c r="S428" s="47"/>
      <c r="T428" s="319">
        <v>1</v>
      </c>
      <c r="U428" s="646"/>
      <c r="V428" s="438"/>
      <c r="W428" s="5"/>
      <c r="X428" s="5"/>
      <c r="Y428" s="319">
        <v>1</v>
      </c>
      <c r="Z428" s="646"/>
      <c r="AA428" s="328">
        <f t="shared" si="59"/>
        <v>5</v>
      </c>
      <c r="AB428" s="298">
        <f t="shared" si="60"/>
        <v>0</v>
      </c>
      <c r="AC428" s="4"/>
      <c r="AD428" s="47"/>
      <c r="AE428" s="47"/>
      <c r="AF428" s="319"/>
      <c r="AG428" s="328">
        <f t="shared" si="61"/>
        <v>0</v>
      </c>
    </row>
    <row r="429" spans="2:37">
      <c r="B429" s="437" t="s">
        <v>355</v>
      </c>
      <c r="C429" s="47"/>
      <c r="D429" s="47"/>
      <c r="E429" s="319">
        <v>7.75</v>
      </c>
      <c r="F429" s="646"/>
      <c r="G429" s="4"/>
      <c r="H429" s="47"/>
      <c r="I429" s="47"/>
      <c r="J429" s="319">
        <v>7.75</v>
      </c>
      <c r="K429" s="646"/>
      <c r="L429" s="438"/>
      <c r="M429" s="5"/>
      <c r="N429" s="5"/>
      <c r="O429" s="319">
        <v>7.75</v>
      </c>
      <c r="P429" s="646"/>
      <c r="Q429" s="438"/>
      <c r="R429" s="5"/>
      <c r="S429" s="5"/>
      <c r="T429" s="319">
        <v>7.75</v>
      </c>
      <c r="U429" s="646"/>
      <c r="V429" s="438"/>
      <c r="W429" s="5"/>
      <c r="X429" s="5"/>
      <c r="Y429" s="319">
        <v>7.75</v>
      </c>
      <c r="Z429" s="646"/>
      <c r="AA429" s="328">
        <f t="shared" si="59"/>
        <v>38.75</v>
      </c>
      <c r="AB429" s="298">
        <f t="shared" si="60"/>
        <v>0</v>
      </c>
      <c r="AC429" s="4"/>
      <c r="AD429" s="47"/>
      <c r="AE429" s="47"/>
      <c r="AF429" s="319"/>
      <c r="AG429" s="328">
        <f t="shared" si="61"/>
        <v>0</v>
      </c>
    </row>
    <row r="430" spans="2:37">
      <c r="B430" s="437" t="s">
        <v>356</v>
      </c>
      <c r="C430" s="713"/>
      <c r="D430" s="713"/>
      <c r="E430" s="726">
        <v>8</v>
      </c>
      <c r="F430" s="646"/>
      <c r="G430" s="438"/>
      <c r="H430" s="5"/>
      <c r="I430" s="5"/>
      <c r="J430" s="726">
        <v>8</v>
      </c>
      <c r="K430" s="646"/>
      <c r="L430" s="438"/>
      <c r="M430" s="5"/>
      <c r="N430" s="5"/>
      <c r="O430" s="726">
        <v>8</v>
      </c>
      <c r="P430" s="646"/>
      <c r="Q430" s="438"/>
      <c r="R430" s="5"/>
      <c r="S430" s="5"/>
      <c r="T430" s="319">
        <v>2.5</v>
      </c>
      <c r="U430" s="646"/>
      <c r="V430" s="438"/>
      <c r="W430" s="5"/>
      <c r="X430" s="5"/>
      <c r="Y430" s="726">
        <v>8</v>
      </c>
      <c r="Z430" s="646"/>
      <c r="AA430" s="328">
        <f t="shared" si="59"/>
        <v>34.5</v>
      </c>
      <c r="AB430" s="298">
        <f t="shared" si="60"/>
        <v>0</v>
      </c>
      <c r="AC430" s="4"/>
      <c r="AD430" s="47"/>
      <c r="AE430" s="47"/>
      <c r="AF430" s="319"/>
      <c r="AG430" s="328">
        <f t="shared" si="61"/>
        <v>0</v>
      </c>
    </row>
    <row r="431" spans="2:37">
      <c r="B431" s="64" t="s">
        <v>61</v>
      </c>
      <c r="C431" s="31"/>
      <c r="D431" s="31"/>
      <c r="E431" s="439"/>
      <c r="F431" s="646"/>
      <c r="G431" s="31"/>
      <c r="H431" s="31"/>
      <c r="I431" s="31"/>
      <c r="J431" s="439"/>
      <c r="K431" s="646"/>
      <c r="L431" s="31"/>
      <c r="M431" s="31"/>
      <c r="N431" s="31"/>
      <c r="O431" s="439"/>
      <c r="P431" s="646"/>
      <c r="Q431" s="31"/>
      <c r="R431" s="31"/>
      <c r="S431" s="31"/>
      <c r="T431" s="439"/>
      <c r="U431" s="646"/>
      <c r="V431" s="31"/>
      <c r="W431" s="31"/>
      <c r="X431" s="31"/>
      <c r="Y431" s="439"/>
      <c r="Z431" s="646"/>
      <c r="AA431" s="370">
        <f>SUM(AA407:AA430)</f>
        <v>492.25</v>
      </c>
      <c r="AB431" s="370">
        <f>SUM(AB407:AB430)</f>
        <v>2</v>
      </c>
      <c r="AC431" s="4"/>
      <c r="AD431" s="64"/>
      <c r="AE431" s="64"/>
      <c r="AF431" s="370">
        <f>SUM(AF407:AF430)</f>
        <v>0</v>
      </c>
      <c r="AG431" s="370">
        <f>SUM(AG407:AG430)</f>
        <v>0</v>
      </c>
      <c r="AK431" s="407"/>
    </row>
    <row r="432" spans="2:37">
      <c r="B432" s="63" t="s">
        <v>64</v>
      </c>
      <c r="C432" s="47"/>
      <c r="D432" s="47"/>
      <c r="E432" s="319">
        <v>8</v>
      </c>
      <c r="F432" s="346">
        <v>0.5</v>
      </c>
      <c r="G432" s="613"/>
      <c r="H432" s="47"/>
      <c r="I432" s="47"/>
      <c r="J432" s="319">
        <v>8</v>
      </c>
      <c r="K432" s="346">
        <f>0.5+0.75</f>
        <v>1.25</v>
      </c>
      <c r="L432" s="60"/>
      <c r="M432" s="47"/>
      <c r="N432" s="47"/>
      <c r="O432" s="319">
        <v>8</v>
      </c>
      <c r="P432" s="346">
        <v>0.5</v>
      </c>
      <c r="Q432" s="60"/>
      <c r="R432" s="47"/>
      <c r="S432" s="47"/>
      <c r="T432" s="319">
        <v>8</v>
      </c>
      <c r="U432" s="346"/>
      <c r="V432" s="60"/>
      <c r="W432" s="47"/>
      <c r="X432" s="47"/>
      <c r="Y432" s="319">
        <v>8</v>
      </c>
      <c r="Z432" s="346">
        <f>1+0.25</f>
        <v>1.25</v>
      </c>
      <c r="AA432" s="28">
        <f>SUM(E432+J432+O432+T432+Y432)</f>
        <v>40</v>
      </c>
      <c r="AB432" s="296">
        <f>Z432+U432+P432+K432+F432</f>
        <v>3.5</v>
      </c>
      <c r="AC432" s="4"/>
      <c r="AD432" s="47" t="s">
        <v>29</v>
      </c>
      <c r="AE432" s="47" t="s">
        <v>29</v>
      </c>
      <c r="AF432" s="319"/>
      <c r="AG432" s="29">
        <f>AF432</f>
        <v>0</v>
      </c>
      <c r="AK432" s="407"/>
    </row>
    <row r="433" spans="2:42">
      <c r="B433" s="71" t="s">
        <v>66</v>
      </c>
      <c r="C433" s="371"/>
      <c r="D433" s="371"/>
      <c r="E433" s="71"/>
      <c r="F433" s="613"/>
      <c r="G433" s="71"/>
      <c r="H433" s="71"/>
      <c r="I433" s="71"/>
      <c r="J433" s="71"/>
      <c r="K433" s="613"/>
      <c r="L433" s="71"/>
      <c r="M433" s="71"/>
      <c r="N433" s="71"/>
      <c r="O433" s="71"/>
      <c r="P433" s="613"/>
      <c r="Q433" s="71"/>
      <c r="R433" s="71"/>
      <c r="S433" s="71"/>
      <c r="T433" s="71"/>
      <c r="U433" s="613"/>
      <c r="V433" s="71"/>
      <c r="W433" s="71"/>
      <c r="X433" s="71"/>
      <c r="Y433" s="71"/>
      <c r="Z433" s="613"/>
      <c r="AA433" s="370">
        <f>SUM(AA432:AA432)</f>
        <v>40</v>
      </c>
      <c r="AB433" s="370">
        <f>SUM(AB432:AB432)</f>
        <v>3.5</v>
      </c>
      <c r="AC433" s="4"/>
      <c r="AG433" s="370">
        <f>SUM(AG432:AG432)</f>
        <v>0</v>
      </c>
      <c r="AK433" s="407"/>
    </row>
    <row r="434" spans="2:42">
      <c r="B434" s="217" t="s">
        <v>67</v>
      </c>
      <c r="C434" s="207">
        <f>C435+C436</f>
        <v>22</v>
      </c>
      <c r="D434" s="207"/>
      <c r="E434" s="209"/>
      <c r="F434" s="209"/>
      <c r="G434" s="207"/>
      <c r="H434" s="209"/>
      <c r="I434" s="209"/>
      <c r="J434" s="209"/>
      <c r="K434" s="209"/>
      <c r="L434" s="207"/>
      <c r="M434" s="207"/>
      <c r="N434" s="207"/>
      <c r="O434" s="207"/>
      <c r="P434" s="209"/>
      <c r="Q434" s="207"/>
      <c r="R434" s="207"/>
      <c r="S434" s="207"/>
      <c r="T434" s="207"/>
      <c r="U434" s="209"/>
      <c r="V434" s="207"/>
      <c r="W434" s="207"/>
      <c r="X434" s="207"/>
      <c r="Y434" s="210"/>
      <c r="Z434" s="209"/>
      <c r="AA434" s="211"/>
      <c r="AB434" s="209"/>
      <c r="AC434" s="211"/>
      <c r="AD434" s="211"/>
      <c r="AE434" s="211"/>
      <c r="AF434" s="211"/>
      <c r="AG434" s="211"/>
    </row>
    <row r="435" spans="2:42">
      <c r="B435" s="238" t="s">
        <v>68</v>
      </c>
      <c r="C435" s="239">
        <v>0</v>
      </c>
      <c r="D435" s="207"/>
      <c r="E435" s="209"/>
      <c r="F435" s="209"/>
      <c r="G435" s="207"/>
      <c r="H435" s="209"/>
      <c r="I435" s="209"/>
      <c r="J435" s="209"/>
      <c r="K435" s="209"/>
      <c r="L435" s="207"/>
      <c r="M435" s="207"/>
      <c r="N435" s="207"/>
      <c r="O435" s="207"/>
      <c r="P435" s="209"/>
      <c r="Q435" s="207"/>
      <c r="R435" s="207"/>
      <c r="S435" s="207"/>
      <c r="T435" s="207"/>
      <c r="U435" s="209"/>
      <c r="V435" s="207"/>
      <c r="W435" s="207"/>
      <c r="X435" s="207"/>
      <c r="Y435" s="210"/>
      <c r="Z435" s="209"/>
      <c r="AA435" s="211"/>
      <c r="AB435" s="209"/>
      <c r="AC435" s="211"/>
      <c r="AD435" s="211"/>
      <c r="AE435" s="211"/>
      <c r="AF435" s="211"/>
      <c r="AG435" s="211"/>
    </row>
    <row r="436" spans="2:42">
      <c r="B436" s="238" t="s">
        <v>69</v>
      </c>
      <c r="C436" s="239">
        <v>22</v>
      </c>
      <c r="D436" s="207"/>
      <c r="E436" s="209"/>
      <c r="F436" s="209"/>
      <c r="G436" s="207"/>
      <c r="H436" s="209"/>
      <c r="I436" s="209"/>
      <c r="J436" s="209"/>
      <c r="K436" s="209"/>
      <c r="L436" s="207"/>
      <c r="M436" s="207"/>
      <c r="N436" s="207"/>
      <c r="O436" s="207"/>
      <c r="P436" s="209"/>
      <c r="Q436" s="207"/>
      <c r="R436" s="207"/>
      <c r="S436" s="207"/>
      <c r="T436" s="207"/>
      <c r="U436" s="209"/>
      <c r="V436" s="207"/>
      <c r="W436" s="207"/>
      <c r="X436" s="207"/>
      <c r="Y436" s="210"/>
      <c r="Z436" s="209"/>
      <c r="AA436" s="211"/>
      <c r="AB436" s="209"/>
      <c r="AC436" s="211"/>
      <c r="AD436" s="211"/>
      <c r="AE436" s="211"/>
      <c r="AF436" s="211"/>
      <c r="AG436" s="211"/>
    </row>
    <row r="437" spans="2:42">
      <c r="B437" s="180"/>
      <c r="E437" s="4"/>
      <c r="F437" s="644"/>
      <c r="G437" s="4"/>
      <c r="J437" s="4"/>
      <c r="K437" s="644"/>
      <c r="L437" s="4"/>
      <c r="O437" s="4"/>
      <c r="P437" s="644"/>
      <c r="T437" s="4"/>
      <c r="U437" s="644"/>
      <c r="Y437" s="4"/>
      <c r="Z437" s="644"/>
      <c r="AA437" s="4"/>
      <c r="AB437" s="4"/>
      <c r="AC437" s="4"/>
    </row>
    <row r="438" spans="2:42">
      <c r="B438" s="229"/>
      <c r="C438" s="230"/>
      <c r="D438" s="230"/>
      <c r="E438" s="232"/>
      <c r="F438" s="232"/>
      <c r="G438" s="230"/>
      <c r="H438" s="232"/>
      <c r="I438" s="232"/>
      <c r="J438" s="232"/>
      <c r="K438" s="232"/>
      <c r="L438" s="230"/>
      <c r="M438" s="230"/>
      <c r="N438" s="230"/>
      <c r="O438" s="230"/>
      <c r="P438" s="232"/>
      <c r="Q438" s="230"/>
      <c r="R438" s="230"/>
      <c r="S438" s="230"/>
      <c r="T438" s="230"/>
      <c r="U438" s="232"/>
      <c r="V438" s="230"/>
      <c r="W438" s="230"/>
      <c r="X438" s="230"/>
      <c r="Y438" s="233"/>
      <c r="Z438" s="232"/>
      <c r="AA438" s="234"/>
      <c r="AB438" s="232"/>
      <c r="AC438" s="373"/>
      <c r="AD438" s="236"/>
      <c r="AE438" s="255"/>
      <c r="AF438" s="255"/>
      <c r="AG438" s="255"/>
      <c r="AH438" s="255"/>
      <c r="AJ438" s="255"/>
      <c r="AK438" s="255"/>
      <c r="AL438" s="255"/>
      <c r="AM438" s="255"/>
      <c r="AN438" s="255"/>
      <c r="AO438" s="255"/>
      <c r="AP438" s="255"/>
    </row>
    <row r="439" spans="2:42">
      <c r="B439" s="180"/>
      <c r="E439" s="4"/>
      <c r="F439" s="644"/>
      <c r="G439" s="4"/>
      <c r="J439" s="4"/>
      <c r="K439" s="644"/>
      <c r="L439" s="4"/>
      <c r="O439" s="4"/>
      <c r="P439" s="644"/>
      <c r="T439" s="4"/>
      <c r="U439" s="644"/>
      <c r="Y439" s="4"/>
      <c r="Z439" s="644"/>
      <c r="AA439" s="4"/>
      <c r="AB439" s="4"/>
      <c r="AC439" s="4"/>
      <c r="AK439" s="180"/>
      <c r="AL439" s="180"/>
      <c r="AM439" s="180"/>
      <c r="AN439" s="180"/>
      <c r="AO439" s="180"/>
      <c r="AP439" s="180"/>
    </row>
    <row r="440" spans="2:42" ht="25.5">
      <c r="B440" s="1518" t="s">
        <v>18</v>
      </c>
      <c r="C440" s="1519">
        <v>45796</v>
      </c>
      <c r="D440" s="1519"/>
      <c r="E440" s="1519" t="s">
        <v>564</v>
      </c>
      <c r="F440" s="1519"/>
      <c r="G440" s="365"/>
      <c r="H440" s="1519">
        <v>45797</v>
      </c>
      <c r="I440" s="1519"/>
      <c r="J440" s="1519" t="s">
        <v>565</v>
      </c>
      <c r="K440" s="1519"/>
      <c r="L440" s="365"/>
      <c r="M440" s="1519">
        <v>45798</v>
      </c>
      <c r="N440" s="1519"/>
      <c r="O440" s="1519" t="s">
        <v>566</v>
      </c>
      <c r="P440" s="1519"/>
      <c r="Q440" s="365"/>
      <c r="R440" s="1519">
        <v>45799</v>
      </c>
      <c r="S440" s="1519"/>
      <c r="T440" s="1519" t="s">
        <v>567</v>
      </c>
      <c r="U440" s="1519"/>
      <c r="V440" s="365"/>
      <c r="W440" s="1519">
        <v>45800</v>
      </c>
      <c r="X440" s="1519"/>
      <c r="Y440" s="1519" t="s">
        <v>568</v>
      </c>
      <c r="Z440" s="1519"/>
      <c r="AA440" s="1517" t="s">
        <v>19</v>
      </c>
      <c r="AB440" s="1517" t="s">
        <v>20</v>
      </c>
      <c r="AC440" s="4"/>
      <c r="AD440" s="1519"/>
      <c r="AE440" s="1519"/>
      <c r="AF440" s="14" t="s">
        <v>1111</v>
      </c>
      <c r="AG440" s="1517" t="s">
        <v>21</v>
      </c>
      <c r="AI440" s="368"/>
      <c r="AK440" s="194" t="s">
        <v>84</v>
      </c>
      <c r="AL440" s="366"/>
      <c r="AM440" s="366"/>
      <c r="AN440" s="366"/>
      <c r="AO440" s="366"/>
      <c r="AP440" s="366"/>
    </row>
    <row r="441" spans="2:42">
      <c r="B441" s="1518"/>
      <c r="C441" s="21" t="s">
        <v>23</v>
      </c>
      <c r="D441" s="21" t="s">
        <v>24</v>
      </c>
      <c r="E441" s="205" t="s">
        <v>25</v>
      </c>
      <c r="F441" s="645" t="s">
        <v>14</v>
      </c>
      <c r="G441" s="4"/>
      <c r="H441" s="21"/>
      <c r="I441" s="21" t="s">
        <v>24</v>
      </c>
      <c r="J441" s="18" t="s">
        <v>25</v>
      </c>
      <c r="K441" s="645" t="s">
        <v>14</v>
      </c>
      <c r="L441" s="4"/>
      <c r="M441" s="21" t="s">
        <v>23</v>
      </c>
      <c r="N441" s="21" t="s">
        <v>24</v>
      </c>
      <c r="O441" s="18" t="s">
        <v>25</v>
      </c>
      <c r="P441" s="645" t="s">
        <v>14</v>
      </c>
      <c r="R441" s="21" t="s">
        <v>23</v>
      </c>
      <c r="S441" s="21" t="s">
        <v>24</v>
      </c>
      <c r="T441" s="18" t="s">
        <v>25</v>
      </c>
      <c r="U441" s="645" t="s">
        <v>14</v>
      </c>
      <c r="W441" s="21" t="s">
        <v>23</v>
      </c>
      <c r="X441" s="21" t="s">
        <v>24</v>
      </c>
      <c r="Y441" s="18" t="s">
        <v>25</v>
      </c>
      <c r="Z441" s="645" t="s">
        <v>14</v>
      </c>
      <c r="AA441" s="1517"/>
      <c r="AB441" s="1517"/>
      <c r="AC441" s="4"/>
      <c r="AD441" s="21" t="s">
        <v>23</v>
      </c>
      <c r="AE441" s="21" t="s">
        <v>24</v>
      </c>
      <c r="AF441" s="18" t="s">
        <v>25</v>
      </c>
      <c r="AG441" s="1517"/>
      <c r="AI441" s="368"/>
      <c r="AJ441" s="367"/>
      <c r="AK441" s="188" t="s">
        <v>26</v>
      </c>
      <c r="AL441" s="196">
        <f>AA466</f>
        <v>459.75</v>
      </c>
      <c r="AM441" s="510">
        <v>40.31</v>
      </c>
      <c r="AN441" s="510">
        <f t="shared" ref="AN441:AN446" si="62">AL441*AM441</f>
        <v>18532.522500000003</v>
      </c>
    </row>
    <row r="442" spans="2:42">
      <c r="B442" s="4" t="s">
        <v>958</v>
      </c>
      <c r="C442" s="47"/>
      <c r="D442" s="47"/>
      <c r="E442" s="319">
        <v>0</v>
      </c>
      <c r="F442" s="646"/>
      <c r="G442" s="4"/>
      <c r="H442" s="47"/>
      <c r="I442" s="47"/>
      <c r="J442" s="319">
        <v>0</v>
      </c>
      <c r="K442" s="646"/>
      <c r="L442" s="4"/>
      <c r="M442" s="441"/>
      <c r="N442" s="47"/>
      <c r="O442" s="319">
        <v>0</v>
      </c>
      <c r="P442" s="646"/>
      <c r="R442" s="47"/>
      <c r="S442" s="47"/>
      <c r="T442" s="319">
        <v>0</v>
      </c>
      <c r="U442" s="646"/>
      <c r="W442" s="47"/>
      <c r="X442" s="47"/>
      <c r="Y442" s="319">
        <v>0</v>
      </c>
      <c r="Z442" s="646"/>
      <c r="AA442" s="328">
        <f t="shared" ref="AA442:AA465" si="63">(E442+J442+O442+T442+Y442)</f>
        <v>0</v>
      </c>
      <c r="AB442" s="298">
        <f t="shared" ref="AB442:AB465" si="64">Z442+U442+P442+K442+F442</f>
        <v>0</v>
      </c>
      <c r="AC442" s="4"/>
      <c r="AD442" s="587"/>
      <c r="AE442" s="531"/>
      <c r="AF442" s="319"/>
      <c r="AG442" s="328">
        <f t="shared" ref="AG442:AG465" si="65">AF442</f>
        <v>0</v>
      </c>
      <c r="AI442" s="368"/>
      <c r="AJ442" s="367"/>
      <c r="AK442" s="188" t="s">
        <v>30</v>
      </c>
      <c r="AL442" s="196">
        <v>0</v>
      </c>
      <c r="AM442" s="511">
        <v>60.465000000000003</v>
      </c>
      <c r="AN442" s="510">
        <f t="shared" si="62"/>
        <v>0</v>
      </c>
    </row>
    <row r="443" spans="2:42">
      <c r="B443" s="47" t="s">
        <v>515</v>
      </c>
      <c r="C443" s="47">
        <v>0.375</v>
      </c>
      <c r="D443" s="47">
        <v>0.25</v>
      </c>
      <c r="E443" s="319">
        <v>8</v>
      </c>
      <c r="F443" s="646"/>
      <c r="G443" s="4"/>
      <c r="H443" s="47">
        <v>0.375</v>
      </c>
      <c r="I443" s="47">
        <v>0.25</v>
      </c>
      <c r="J443" s="319">
        <v>8</v>
      </c>
      <c r="K443" s="646"/>
      <c r="L443" s="4"/>
      <c r="M443" s="441" t="s">
        <v>75</v>
      </c>
      <c r="N443" s="47">
        <v>0.25</v>
      </c>
      <c r="O443" s="319">
        <v>8</v>
      </c>
      <c r="P443" s="646"/>
      <c r="R443" s="47"/>
      <c r="S443" s="47"/>
      <c r="T443" s="319">
        <v>0</v>
      </c>
      <c r="U443" s="646"/>
      <c r="W443" s="47"/>
      <c r="X443" s="47"/>
      <c r="Y443" s="319">
        <v>0</v>
      </c>
      <c r="Z443" s="646"/>
      <c r="AA443" s="328">
        <f t="shared" si="63"/>
        <v>24</v>
      </c>
      <c r="AB443" s="298">
        <f t="shared" si="64"/>
        <v>0</v>
      </c>
      <c r="AC443" s="4"/>
      <c r="AF443" s="319"/>
      <c r="AG443" s="328">
        <f t="shared" si="65"/>
        <v>0</v>
      </c>
      <c r="AH443" s="175"/>
      <c r="AI443" s="402"/>
      <c r="AJ443" s="367"/>
      <c r="AK443" s="188" t="s">
        <v>32</v>
      </c>
      <c r="AL443" s="196">
        <f>AG466</f>
        <v>0</v>
      </c>
      <c r="AM443" s="510">
        <v>60.465000000000003</v>
      </c>
      <c r="AN443" s="510">
        <f t="shared" si="62"/>
        <v>0</v>
      </c>
    </row>
    <row r="444" spans="2:42">
      <c r="B444" s="441" t="s">
        <v>962</v>
      </c>
      <c r="C444" s="47"/>
      <c r="D444" s="47"/>
      <c r="E444" s="319">
        <v>0</v>
      </c>
      <c r="F444" s="646"/>
      <c r="G444" s="4"/>
      <c r="H444" s="47"/>
      <c r="I444" s="47"/>
      <c r="J444" s="319">
        <v>0</v>
      </c>
      <c r="K444" s="646"/>
      <c r="L444" s="4"/>
      <c r="M444" s="441"/>
      <c r="N444" s="47"/>
      <c r="O444" s="319">
        <v>0</v>
      </c>
      <c r="P444" s="646"/>
      <c r="R444" s="47"/>
      <c r="S444" s="47"/>
      <c r="T444" s="319">
        <v>0</v>
      </c>
      <c r="U444" s="646"/>
      <c r="W444" s="47"/>
      <c r="X444" s="47"/>
      <c r="Y444" s="319">
        <v>0</v>
      </c>
      <c r="Z444" s="646"/>
      <c r="AA444" s="328">
        <f t="shared" si="63"/>
        <v>0</v>
      </c>
      <c r="AB444" s="298">
        <f t="shared" si="64"/>
        <v>0</v>
      </c>
      <c r="AC444" s="399"/>
      <c r="AD444" s="47"/>
      <c r="AE444" s="47"/>
      <c r="AF444" s="319"/>
      <c r="AG444" s="328">
        <f t="shared" si="65"/>
        <v>0</v>
      </c>
      <c r="AH444" s="175"/>
      <c r="AJ444" s="401"/>
      <c r="AK444" s="403" t="s">
        <v>213</v>
      </c>
      <c r="AL444" s="404">
        <f>AA468</f>
        <v>40</v>
      </c>
      <c r="AM444" s="510">
        <v>53.05</v>
      </c>
      <c r="AN444" s="510">
        <f t="shared" si="62"/>
        <v>2122</v>
      </c>
      <c r="AO444" s="405"/>
      <c r="AP444" s="405"/>
    </row>
    <row r="445" spans="2:42">
      <c r="B445" s="47" t="s">
        <v>1112</v>
      </c>
      <c r="C445" s="47">
        <v>0.375</v>
      </c>
      <c r="D445" s="47">
        <v>0.25</v>
      </c>
      <c r="E445" s="319">
        <v>8</v>
      </c>
      <c r="F445" s="646"/>
      <c r="G445" s="4"/>
      <c r="H445" s="47"/>
      <c r="I445" s="47"/>
      <c r="J445" s="319">
        <v>0</v>
      </c>
      <c r="K445" s="646"/>
      <c r="L445" s="4"/>
      <c r="M445" s="441" t="s">
        <v>125</v>
      </c>
      <c r="N445" s="47">
        <v>0.20833333333333334</v>
      </c>
      <c r="O445" s="319">
        <v>8</v>
      </c>
      <c r="P445" s="646"/>
      <c r="R445" s="47">
        <v>0.375</v>
      </c>
      <c r="S445" s="47">
        <v>0.29166666666666669</v>
      </c>
      <c r="T445" s="319">
        <v>8</v>
      </c>
      <c r="U445" s="646">
        <v>1</v>
      </c>
      <c r="W445" s="47">
        <v>0</v>
      </c>
      <c r="X445" s="47">
        <v>0</v>
      </c>
      <c r="Y445" s="319">
        <v>0</v>
      </c>
      <c r="Z445" s="646"/>
      <c r="AA445" s="328">
        <f t="shared" si="63"/>
        <v>24</v>
      </c>
      <c r="AB445" s="298">
        <f t="shared" si="64"/>
        <v>1</v>
      </c>
      <c r="AC445" s="4"/>
      <c r="AD445" s="47"/>
      <c r="AE445" s="47"/>
      <c r="AF445" s="319"/>
      <c r="AG445" s="328">
        <f t="shared" si="65"/>
        <v>0</v>
      </c>
      <c r="AH445" s="175"/>
      <c r="AI445" s="368"/>
      <c r="AK445" s="188" t="s">
        <v>36</v>
      </c>
      <c r="AL445" s="196">
        <f>AB468</f>
        <v>6.25</v>
      </c>
      <c r="AM445" s="510">
        <v>79.574999999999989</v>
      </c>
      <c r="AN445" s="510">
        <f t="shared" si="62"/>
        <v>497.34374999999994</v>
      </c>
    </row>
    <row r="446" spans="2:42">
      <c r="B446" s="436" t="s">
        <v>972</v>
      </c>
      <c r="C446" s="47">
        <v>0.33333333333333331</v>
      </c>
      <c r="D446" s="47">
        <v>0.20833333333333334</v>
      </c>
      <c r="E446" s="726">
        <v>8</v>
      </c>
      <c r="F446" s="646"/>
      <c r="G446" s="4"/>
      <c r="H446" s="47">
        <v>0.33333333333333331</v>
      </c>
      <c r="I446" s="47">
        <v>0.20833333333333334</v>
      </c>
      <c r="J446" s="726">
        <v>8</v>
      </c>
      <c r="K446" s="646"/>
      <c r="L446" s="4"/>
      <c r="M446" s="47">
        <v>0.33333333333333331</v>
      </c>
      <c r="N446" s="47">
        <v>0.20833333333333334</v>
      </c>
      <c r="O446" s="726">
        <v>8</v>
      </c>
      <c r="P446" s="646"/>
      <c r="R446" s="47">
        <v>0.33333333333333331</v>
      </c>
      <c r="S446" s="47">
        <v>0.20833333333333334</v>
      </c>
      <c r="T446" s="726">
        <v>8</v>
      </c>
      <c r="U446" s="646"/>
      <c r="W446" s="47">
        <v>0.33333333333333331</v>
      </c>
      <c r="X446" s="47">
        <v>0.20833333333333334</v>
      </c>
      <c r="Y446" s="726">
        <v>8</v>
      </c>
      <c r="Z446" s="646"/>
      <c r="AA446" s="328">
        <f t="shared" si="63"/>
        <v>40</v>
      </c>
      <c r="AB446" s="298">
        <f t="shared" si="64"/>
        <v>0</v>
      </c>
      <c r="AC446" s="4"/>
      <c r="AD446" s="47"/>
      <c r="AE446" s="47"/>
      <c r="AF446" s="319"/>
      <c r="AG446" s="328">
        <f t="shared" si="65"/>
        <v>0</v>
      </c>
      <c r="AK446" s="188" t="s">
        <v>38</v>
      </c>
      <c r="AL446" s="196">
        <f>AG468</f>
        <v>0</v>
      </c>
      <c r="AM446" s="510">
        <v>79.574999999999989</v>
      </c>
      <c r="AN446" s="510">
        <f t="shared" si="62"/>
        <v>0</v>
      </c>
    </row>
    <row r="447" spans="2:42">
      <c r="B447" s="47" t="s">
        <v>974</v>
      </c>
      <c r="C447" s="47">
        <v>0.33333333333333331</v>
      </c>
      <c r="D447" s="47">
        <v>0.20833333333333334</v>
      </c>
      <c r="E447" s="319">
        <v>8</v>
      </c>
      <c r="F447" s="646"/>
      <c r="G447" s="4"/>
      <c r="H447" s="47">
        <v>0.33333333333333331</v>
      </c>
      <c r="I447" s="47">
        <v>0.20833333333333334</v>
      </c>
      <c r="J447" s="319">
        <v>8</v>
      </c>
      <c r="K447" s="646"/>
      <c r="L447" s="4"/>
      <c r="M447" s="441" t="s">
        <v>125</v>
      </c>
      <c r="N447" s="47">
        <v>0.20833333333333334</v>
      </c>
      <c r="O447" s="319">
        <v>8</v>
      </c>
      <c r="P447" s="646"/>
      <c r="R447" s="47">
        <v>0.33333333333333331</v>
      </c>
      <c r="S447" s="47">
        <v>0.20833333333333334</v>
      </c>
      <c r="T447" s="319">
        <v>8</v>
      </c>
      <c r="U447" s="646"/>
      <c r="W447" s="47">
        <v>0.33333333333333331</v>
      </c>
      <c r="X447" s="47">
        <v>0.20833333333333334</v>
      </c>
      <c r="Y447" s="319">
        <v>8</v>
      </c>
      <c r="Z447" s="646"/>
      <c r="AA447" s="328">
        <f t="shared" si="63"/>
        <v>40</v>
      </c>
      <c r="AB447" s="298">
        <f t="shared" si="64"/>
        <v>0</v>
      </c>
      <c r="AC447" s="4"/>
      <c r="AD447" s="47"/>
      <c r="AE447" s="47"/>
      <c r="AF447" s="319"/>
      <c r="AG447" s="328">
        <f t="shared" si="65"/>
        <v>0</v>
      </c>
      <c r="AN447" s="510">
        <f>SUM(AN441:AN446)</f>
        <v>21151.866250000003</v>
      </c>
    </row>
    <row r="448" spans="2:42">
      <c r="B448" s="374" t="s">
        <v>998</v>
      </c>
      <c r="C448" s="47"/>
      <c r="D448" s="47"/>
      <c r="E448" s="319">
        <v>0</v>
      </c>
      <c r="F448" s="646"/>
      <c r="G448" s="4"/>
      <c r="H448" s="47"/>
      <c r="I448" s="47"/>
      <c r="J448" s="319">
        <v>0</v>
      </c>
      <c r="K448" s="646"/>
      <c r="L448" s="4"/>
      <c r="M448" s="441"/>
      <c r="N448" s="47"/>
      <c r="O448" s="319">
        <v>0</v>
      </c>
      <c r="P448" s="646"/>
      <c r="R448" s="47"/>
      <c r="S448" s="47"/>
      <c r="T448" s="319">
        <v>0</v>
      </c>
      <c r="U448" s="646"/>
      <c r="W448" s="47"/>
      <c r="X448" s="47"/>
      <c r="Y448" s="319">
        <v>0</v>
      </c>
      <c r="Z448" s="646"/>
      <c r="AA448" s="328">
        <f t="shared" si="63"/>
        <v>0</v>
      </c>
      <c r="AB448" s="298">
        <f t="shared" si="64"/>
        <v>0</v>
      </c>
      <c r="AC448" s="4"/>
      <c r="AD448" s="47"/>
      <c r="AE448" s="47"/>
      <c r="AF448" s="319"/>
      <c r="AG448" s="328">
        <f t="shared" si="65"/>
        <v>0</v>
      </c>
    </row>
    <row r="449" spans="2:38">
      <c r="B449" s="47" t="s">
        <v>977</v>
      </c>
      <c r="C449" s="47">
        <v>0.33333333333333331</v>
      </c>
      <c r="D449" s="47">
        <v>0.20833333333333334</v>
      </c>
      <c r="E449" s="319">
        <v>8</v>
      </c>
      <c r="F449" s="646"/>
      <c r="G449" s="4"/>
      <c r="H449" s="47">
        <v>0.375</v>
      </c>
      <c r="I449" s="47">
        <v>0.25</v>
      </c>
      <c r="J449" s="319">
        <v>8</v>
      </c>
      <c r="K449" s="646"/>
      <c r="L449" s="4"/>
      <c r="M449" s="441" t="s">
        <v>125</v>
      </c>
      <c r="N449" s="47">
        <v>0.20833333333333334</v>
      </c>
      <c r="O449" s="319">
        <v>8</v>
      </c>
      <c r="P449" s="646"/>
      <c r="R449" s="47"/>
      <c r="S449" s="47"/>
      <c r="T449" s="319">
        <v>0</v>
      </c>
      <c r="U449" s="646"/>
      <c r="W449" s="47">
        <v>0.33333333333333331</v>
      </c>
      <c r="X449" s="47">
        <v>0.20833333333333334</v>
      </c>
      <c r="Y449" s="319">
        <v>8</v>
      </c>
      <c r="Z449" s="646"/>
      <c r="AA449" s="328">
        <f t="shared" si="63"/>
        <v>32</v>
      </c>
      <c r="AB449" s="298">
        <f t="shared" si="64"/>
        <v>0</v>
      </c>
      <c r="AC449" s="4"/>
      <c r="AD449" s="47"/>
      <c r="AE449" s="47"/>
      <c r="AF449" s="319"/>
      <c r="AG449" s="328">
        <f t="shared" si="65"/>
        <v>0</v>
      </c>
      <c r="AK449" s="192" t="s">
        <v>1115</v>
      </c>
      <c r="AL449" s="189">
        <f>C469</f>
        <v>19</v>
      </c>
    </row>
    <row r="450" spans="2:38">
      <c r="B450" s="47" t="s">
        <v>519</v>
      </c>
      <c r="C450" s="47">
        <v>0.33333333333333331</v>
      </c>
      <c r="D450" s="47">
        <v>0.20833333333333334</v>
      </c>
      <c r="E450" s="726">
        <v>8</v>
      </c>
      <c r="F450" s="646"/>
      <c r="G450" s="4"/>
      <c r="H450" s="47">
        <v>0.33333333333333331</v>
      </c>
      <c r="I450" s="47">
        <v>0.20833333333333334</v>
      </c>
      <c r="J450" s="726">
        <v>8</v>
      </c>
      <c r="K450" s="646"/>
      <c r="L450" s="4"/>
      <c r="M450" s="47">
        <v>0.33333333333333331</v>
      </c>
      <c r="N450" s="47">
        <v>0.20833333333333334</v>
      </c>
      <c r="O450" s="726">
        <v>8</v>
      </c>
      <c r="P450" s="646"/>
      <c r="R450" s="47">
        <v>0.33333333333333331</v>
      </c>
      <c r="S450" s="47">
        <v>0.20833333333333334</v>
      </c>
      <c r="T450" s="726">
        <v>8</v>
      </c>
      <c r="U450" s="646"/>
      <c r="W450" s="47">
        <v>0.33333333333333331</v>
      </c>
      <c r="X450" s="47">
        <v>0.20833333333333334</v>
      </c>
      <c r="Y450" s="726">
        <v>8</v>
      </c>
      <c r="Z450" s="646"/>
      <c r="AA450" s="328">
        <f t="shared" si="63"/>
        <v>40</v>
      </c>
      <c r="AB450" s="298">
        <f t="shared" si="64"/>
        <v>0</v>
      </c>
      <c r="AC450" s="4"/>
      <c r="AD450" s="47"/>
      <c r="AE450" s="47"/>
      <c r="AF450" s="319"/>
      <c r="AG450" s="328">
        <f t="shared" si="65"/>
        <v>0</v>
      </c>
    </row>
    <row r="451" spans="2:38">
      <c r="B451" s="47" t="s">
        <v>999</v>
      </c>
      <c r="C451" s="47"/>
      <c r="D451" s="441"/>
      <c r="E451" s="319">
        <v>0</v>
      </c>
      <c r="F451" s="646"/>
      <c r="G451" s="4"/>
      <c r="H451" s="47"/>
      <c r="I451" s="47"/>
      <c r="J451" s="319">
        <v>0</v>
      </c>
      <c r="K451" s="646"/>
      <c r="L451" s="4"/>
      <c r="M451" s="441"/>
      <c r="N451" s="47"/>
      <c r="O451" s="319">
        <v>0</v>
      </c>
      <c r="P451" s="646"/>
      <c r="R451" s="441"/>
      <c r="S451" s="441"/>
      <c r="T451" s="319">
        <v>0</v>
      </c>
      <c r="U451" s="646"/>
      <c r="W451" s="441"/>
      <c r="X451" s="441"/>
      <c r="Y451" s="319">
        <v>0</v>
      </c>
      <c r="Z451" s="646"/>
      <c r="AA451" s="328">
        <f t="shared" si="63"/>
        <v>0</v>
      </c>
      <c r="AB451" s="298">
        <f t="shared" si="64"/>
        <v>0</v>
      </c>
      <c r="AC451" s="4"/>
      <c r="AD451" s="47"/>
      <c r="AE451" s="47"/>
      <c r="AF451" s="319"/>
      <c r="AG451" s="328">
        <f t="shared" si="65"/>
        <v>0</v>
      </c>
    </row>
    <row r="452" spans="2:38">
      <c r="B452" s="47" t="s">
        <v>1113</v>
      </c>
      <c r="C452" s="47"/>
      <c r="D452" s="47"/>
      <c r="E452" s="319">
        <v>0</v>
      </c>
      <c r="F452" s="646"/>
      <c r="G452" s="4"/>
      <c r="H452" s="47"/>
      <c r="I452" s="47"/>
      <c r="J452" s="319">
        <v>0</v>
      </c>
      <c r="K452" s="646"/>
      <c r="L452" s="4"/>
      <c r="M452" s="441"/>
      <c r="N452" s="47"/>
      <c r="O452" s="319">
        <v>0</v>
      </c>
      <c r="P452" s="646"/>
      <c r="R452" s="441"/>
      <c r="S452" s="47"/>
      <c r="T452" s="319">
        <v>0</v>
      </c>
      <c r="U452" s="646"/>
      <c r="W452" s="441"/>
      <c r="X452" s="47"/>
      <c r="Y452" s="319">
        <v>0</v>
      </c>
      <c r="Z452" s="646"/>
      <c r="AA452" s="328">
        <f t="shared" si="63"/>
        <v>0</v>
      </c>
      <c r="AB452" s="298">
        <f t="shared" si="64"/>
        <v>0</v>
      </c>
      <c r="AC452" s="4"/>
      <c r="AD452" s="47"/>
      <c r="AE452" s="47"/>
      <c r="AF452" s="319"/>
      <c r="AG452" s="328">
        <f t="shared" si="65"/>
        <v>0</v>
      </c>
    </row>
    <row r="453" spans="2:38">
      <c r="B453" s="502" t="s">
        <v>483</v>
      </c>
      <c r="C453" s="47"/>
      <c r="D453" s="47"/>
      <c r="E453" s="319"/>
      <c r="F453" s="646"/>
      <c r="G453" s="4"/>
      <c r="H453" s="47"/>
      <c r="I453" s="47"/>
      <c r="J453" s="319"/>
      <c r="K453" s="646"/>
      <c r="L453" s="4"/>
      <c r="M453" s="441"/>
      <c r="N453" s="47"/>
      <c r="O453" s="319"/>
      <c r="P453" s="646"/>
      <c r="R453" s="5"/>
      <c r="S453" s="5"/>
      <c r="T453" s="319"/>
      <c r="U453" s="646"/>
      <c r="W453" s="5"/>
      <c r="X453" s="5"/>
      <c r="Y453" s="319"/>
      <c r="Z453" s="646"/>
      <c r="AA453" s="328">
        <f t="shared" si="63"/>
        <v>0</v>
      </c>
      <c r="AB453" s="298">
        <f t="shared" si="64"/>
        <v>0</v>
      </c>
      <c r="AC453" s="4"/>
      <c r="AD453" s="47"/>
      <c r="AE453" s="47"/>
      <c r="AF453" s="319"/>
      <c r="AG453" s="328">
        <f t="shared" si="65"/>
        <v>0</v>
      </c>
    </row>
    <row r="454" spans="2:38">
      <c r="B454" s="502" t="s">
        <v>483</v>
      </c>
      <c r="C454" s="47"/>
      <c r="D454" s="47"/>
      <c r="E454" s="319">
        <v>8</v>
      </c>
      <c r="F454" s="646"/>
      <c r="G454" s="4"/>
      <c r="H454" s="47"/>
      <c r="I454" s="47"/>
      <c r="J454" s="319">
        <v>8</v>
      </c>
      <c r="K454" s="646">
        <v>0.75</v>
      </c>
      <c r="L454" s="4"/>
      <c r="M454" s="441"/>
      <c r="N454" s="47"/>
      <c r="O454" s="319">
        <v>6</v>
      </c>
      <c r="P454" s="646"/>
      <c r="R454" s="47"/>
      <c r="S454" s="47"/>
      <c r="T454" s="319">
        <v>7</v>
      </c>
      <c r="U454" s="646"/>
      <c r="W454" s="47"/>
      <c r="X454" s="47"/>
      <c r="Y454" s="319">
        <v>8</v>
      </c>
      <c r="Z454" s="646"/>
      <c r="AA454" s="328">
        <f t="shared" si="63"/>
        <v>37</v>
      </c>
      <c r="AB454" s="298">
        <f t="shared" si="64"/>
        <v>0.75</v>
      </c>
      <c r="AC454" s="4"/>
      <c r="AD454" s="47"/>
      <c r="AE454" s="47"/>
      <c r="AF454" s="319"/>
      <c r="AG454" s="328">
        <f t="shared" si="65"/>
        <v>0</v>
      </c>
    </row>
    <row r="455" spans="2:38">
      <c r="B455" s="502" t="s">
        <v>484</v>
      </c>
      <c r="C455" s="47"/>
      <c r="D455" s="47"/>
      <c r="E455" s="319">
        <v>8</v>
      </c>
      <c r="F455" s="646"/>
      <c r="G455" s="4"/>
      <c r="H455" s="47"/>
      <c r="I455" s="47"/>
      <c r="J455" s="319">
        <v>8</v>
      </c>
      <c r="K455" s="646">
        <v>0.75</v>
      </c>
      <c r="L455" s="4"/>
      <c r="M455" s="441"/>
      <c r="N455" s="47"/>
      <c r="O455" s="319">
        <v>6</v>
      </c>
      <c r="P455" s="646"/>
      <c r="R455" s="47"/>
      <c r="S455" s="47"/>
      <c r="T455" s="319">
        <v>7</v>
      </c>
      <c r="U455" s="646"/>
      <c r="W455" s="47"/>
      <c r="X455" s="47"/>
      <c r="Y455" s="319">
        <v>8</v>
      </c>
      <c r="Z455" s="646"/>
      <c r="AA455" s="328">
        <f t="shared" si="63"/>
        <v>37</v>
      </c>
      <c r="AB455" s="298">
        <f t="shared" si="64"/>
        <v>0.75</v>
      </c>
      <c r="AC455" s="4"/>
      <c r="AD455" s="47"/>
      <c r="AE455" s="47"/>
      <c r="AF455" s="319"/>
      <c r="AG455" s="328">
        <f t="shared" si="65"/>
        <v>0</v>
      </c>
    </row>
    <row r="456" spans="2:38">
      <c r="B456" s="502" t="s">
        <v>485</v>
      </c>
      <c r="C456" s="47"/>
      <c r="D456" s="47"/>
      <c r="E456" s="319">
        <v>8</v>
      </c>
      <c r="F456" s="646"/>
      <c r="G456" s="4"/>
      <c r="H456" s="47"/>
      <c r="I456" s="47"/>
      <c r="J456" s="319">
        <v>8</v>
      </c>
      <c r="K456" s="646">
        <v>0.75</v>
      </c>
      <c r="L456" s="4"/>
      <c r="M456" s="47"/>
      <c r="N456" s="47"/>
      <c r="O456" s="319">
        <v>6</v>
      </c>
      <c r="P456" s="646"/>
      <c r="R456" s="47"/>
      <c r="S456" s="47"/>
      <c r="T456" s="319">
        <v>7</v>
      </c>
      <c r="U456" s="646"/>
      <c r="W456" s="47"/>
      <c r="X456" s="47"/>
      <c r="Y456" s="319">
        <v>8</v>
      </c>
      <c r="Z456" s="646"/>
      <c r="AA456" s="328">
        <f t="shared" si="63"/>
        <v>37</v>
      </c>
      <c r="AB456" s="298">
        <f t="shared" si="64"/>
        <v>0.75</v>
      </c>
      <c r="AC456" s="4"/>
      <c r="AD456" s="47"/>
      <c r="AE456" s="47"/>
      <c r="AF456" s="319"/>
      <c r="AG456" s="328">
        <f t="shared" si="65"/>
        <v>0</v>
      </c>
    </row>
    <row r="457" spans="2:38">
      <c r="B457" s="502" t="s">
        <v>1129</v>
      </c>
      <c r="C457" s="47"/>
      <c r="D457" s="47"/>
      <c r="E457" s="319"/>
      <c r="F457" s="646"/>
      <c r="G457" s="4"/>
      <c r="H457" s="47"/>
      <c r="I457" s="47"/>
      <c r="J457" s="319"/>
      <c r="K457" s="646"/>
      <c r="L457" s="4"/>
      <c r="M457" s="5"/>
      <c r="N457" s="5"/>
      <c r="O457" s="319">
        <v>4</v>
      </c>
      <c r="P457" s="646"/>
      <c r="R457" s="5"/>
      <c r="S457" s="5"/>
      <c r="T457" s="319"/>
      <c r="U457" s="646"/>
      <c r="W457" s="5"/>
      <c r="X457" s="5"/>
      <c r="Y457" s="319"/>
      <c r="Z457" s="646"/>
      <c r="AA457" s="328">
        <f t="shared" si="63"/>
        <v>4</v>
      </c>
      <c r="AB457" s="298">
        <f t="shared" si="64"/>
        <v>0</v>
      </c>
      <c r="AC457" s="4"/>
      <c r="AD457" s="47"/>
      <c r="AE457" s="47"/>
      <c r="AF457" s="319"/>
      <c r="AG457" s="328">
        <f t="shared" si="65"/>
        <v>0</v>
      </c>
    </row>
    <row r="458" spans="2:38">
      <c r="B458" s="63" t="s">
        <v>1116</v>
      </c>
      <c r="C458" s="47"/>
      <c r="D458" s="47"/>
      <c r="E458" s="319">
        <v>8</v>
      </c>
      <c r="F458" s="646"/>
      <c r="G458" s="4"/>
      <c r="H458" s="47"/>
      <c r="I458" s="47"/>
      <c r="J458" s="319">
        <v>8</v>
      </c>
      <c r="K458" s="646"/>
      <c r="L458" s="4"/>
      <c r="M458" s="47"/>
      <c r="N458" s="47"/>
      <c r="O458" s="319">
        <v>8</v>
      </c>
      <c r="P458" s="646"/>
      <c r="R458" s="663"/>
      <c r="S458" s="663"/>
      <c r="T458" s="319">
        <v>8</v>
      </c>
      <c r="U458" s="646"/>
      <c r="W458" s="663"/>
      <c r="X458" s="663"/>
      <c r="Y458" s="319">
        <v>8</v>
      </c>
      <c r="Z458" s="646"/>
      <c r="AA458" s="328">
        <f t="shared" si="63"/>
        <v>40</v>
      </c>
      <c r="AB458" s="298">
        <f t="shared" si="64"/>
        <v>0</v>
      </c>
      <c r="AC458" s="4"/>
      <c r="AD458" s="47"/>
      <c r="AE458" s="47"/>
      <c r="AF458" s="319"/>
      <c r="AG458" s="328">
        <f t="shared" si="65"/>
        <v>0</v>
      </c>
    </row>
    <row r="459" spans="2:38">
      <c r="B459" s="267" t="s">
        <v>358</v>
      </c>
      <c r="C459" s="47"/>
      <c r="D459" s="47"/>
      <c r="E459" s="319">
        <v>6</v>
      </c>
      <c r="F459" s="646"/>
      <c r="G459" s="4"/>
      <c r="H459" s="47"/>
      <c r="I459" s="47"/>
      <c r="J459" s="319">
        <v>6</v>
      </c>
      <c r="K459" s="646"/>
      <c r="L459" s="438"/>
      <c r="M459" s="663"/>
      <c r="N459" s="663"/>
      <c r="O459" s="319">
        <v>4</v>
      </c>
      <c r="P459" s="646"/>
      <c r="Q459" s="438"/>
      <c r="R459" s="663"/>
      <c r="S459" s="663"/>
      <c r="T459" s="319">
        <v>4</v>
      </c>
      <c r="U459" s="646"/>
      <c r="V459" s="438"/>
      <c r="W459" s="663"/>
      <c r="X459" s="663"/>
      <c r="Y459" s="319">
        <v>6</v>
      </c>
      <c r="Z459" s="646"/>
      <c r="AA459" s="328">
        <f t="shared" si="63"/>
        <v>26</v>
      </c>
      <c r="AB459" s="298">
        <f t="shared" si="64"/>
        <v>0</v>
      </c>
      <c r="AC459" s="4"/>
      <c r="AD459" s="47"/>
      <c r="AE459" s="47"/>
      <c r="AF459" s="319"/>
      <c r="AG459" s="328">
        <f t="shared" si="65"/>
        <v>0</v>
      </c>
    </row>
    <row r="460" spans="2:38">
      <c r="B460" s="267" t="s">
        <v>991</v>
      </c>
      <c r="C460" s="47"/>
      <c r="D460" s="47"/>
      <c r="E460" s="319"/>
      <c r="F460" s="646"/>
      <c r="G460" s="4"/>
      <c r="H460" s="47"/>
      <c r="I460" s="47"/>
      <c r="J460" s="319"/>
      <c r="K460" s="646"/>
      <c r="L460" s="438"/>
      <c r="M460" s="5"/>
      <c r="N460" s="5"/>
      <c r="O460" s="319"/>
      <c r="P460" s="646"/>
      <c r="Q460" s="438"/>
      <c r="R460" s="5"/>
      <c r="S460" s="5"/>
      <c r="T460" s="319"/>
      <c r="U460" s="646"/>
      <c r="V460" s="438"/>
      <c r="W460" s="5"/>
      <c r="X460" s="5"/>
      <c r="Y460" s="319"/>
      <c r="Z460" s="646"/>
      <c r="AA460" s="328">
        <f t="shared" si="63"/>
        <v>0</v>
      </c>
      <c r="AB460" s="298">
        <f t="shared" si="64"/>
        <v>0</v>
      </c>
      <c r="AC460" s="4"/>
      <c r="AD460" s="47"/>
      <c r="AE460" s="47"/>
      <c r="AF460" s="319"/>
      <c r="AG460" s="328">
        <f t="shared" si="65"/>
        <v>0</v>
      </c>
    </row>
    <row r="461" spans="2:38">
      <c r="B461" s="267" t="s">
        <v>411</v>
      </c>
      <c r="C461" s="47"/>
      <c r="D461" s="47"/>
      <c r="E461" s="319"/>
      <c r="F461" s="646"/>
      <c r="G461" s="4"/>
      <c r="H461" s="47"/>
      <c r="I461" s="47"/>
      <c r="J461" s="319"/>
      <c r="K461" s="646"/>
      <c r="L461" s="438"/>
      <c r="M461" s="5"/>
      <c r="N461" s="5"/>
      <c r="O461" s="319"/>
      <c r="P461" s="646"/>
      <c r="Q461" s="438"/>
      <c r="R461" s="5"/>
      <c r="S461" s="5"/>
      <c r="T461" s="319"/>
      <c r="U461" s="646"/>
      <c r="V461" s="438"/>
      <c r="W461" s="5"/>
      <c r="X461" s="5"/>
      <c r="Y461" s="319"/>
      <c r="Z461" s="646"/>
      <c r="AA461" s="328">
        <f t="shared" si="63"/>
        <v>0</v>
      </c>
      <c r="AB461" s="298">
        <f t="shared" si="64"/>
        <v>0</v>
      </c>
      <c r="AC461" s="4"/>
      <c r="AD461" s="47"/>
      <c r="AE461" s="47"/>
      <c r="AF461" s="319"/>
      <c r="AG461" s="328">
        <f t="shared" si="65"/>
        <v>0</v>
      </c>
    </row>
    <row r="462" spans="2:38">
      <c r="B462" s="267" t="s">
        <v>361</v>
      </c>
      <c r="C462" s="47"/>
      <c r="D462" s="47"/>
      <c r="E462" s="319"/>
      <c r="F462" s="646"/>
      <c r="G462" s="4"/>
      <c r="H462" s="47"/>
      <c r="I462" s="47"/>
      <c r="J462" s="319"/>
      <c r="K462" s="646"/>
      <c r="L462" s="438"/>
      <c r="M462" s="5"/>
      <c r="N462" s="5"/>
      <c r="O462" s="319"/>
      <c r="P462" s="646"/>
      <c r="Q462" s="438"/>
      <c r="R462" s="5"/>
      <c r="S462" s="5"/>
      <c r="T462" s="319"/>
      <c r="U462" s="646"/>
      <c r="V462" s="438"/>
      <c r="W462" s="5"/>
      <c r="X462" s="5"/>
      <c r="Y462" s="319"/>
      <c r="Z462" s="646"/>
      <c r="AA462" s="328">
        <f t="shared" si="63"/>
        <v>0</v>
      </c>
      <c r="AB462" s="298">
        <f t="shared" si="64"/>
        <v>0</v>
      </c>
      <c r="AC462" s="4"/>
      <c r="AD462" s="47"/>
      <c r="AE462" s="47"/>
      <c r="AF462" s="319"/>
      <c r="AG462" s="328">
        <f t="shared" si="65"/>
        <v>0</v>
      </c>
    </row>
    <row r="463" spans="2:38">
      <c r="B463" s="267" t="s">
        <v>362</v>
      </c>
      <c r="C463" s="47"/>
      <c r="D463" s="47"/>
      <c r="E463" s="319"/>
      <c r="F463" s="646"/>
      <c r="G463" s="4"/>
      <c r="H463" s="47"/>
      <c r="I463" s="47"/>
      <c r="J463" s="319"/>
      <c r="K463" s="646"/>
      <c r="L463" s="438"/>
      <c r="M463" s="47"/>
      <c r="N463" s="47"/>
      <c r="O463" s="319"/>
      <c r="P463" s="646"/>
      <c r="Q463" s="438"/>
      <c r="R463" s="47"/>
      <c r="S463" s="47"/>
      <c r="T463" s="319"/>
      <c r="U463" s="646"/>
      <c r="V463" s="438"/>
      <c r="W463" s="5"/>
      <c r="X463" s="5"/>
      <c r="Y463" s="319"/>
      <c r="Z463" s="646"/>
      <c r="AA463" s="328">
        <f t="shared" si="63"/>
        <v>0</v>
      </c>
      <c r="AB463" s="298">
        <f t="shared" si="64"/>
        <v>0</v>
      </c>
      <c r="AC463" s="4"/>
      <c r="AD463" s="47"/>
      <c r="AE463" s="47"/>
      <c r="AF463" s="319"/>
      <c r="AG463" s="328">
        <f t="shared" si="65"/>
        <v>0</v>
      </c>
    </row>
    <row r="464" spans="2:38">
      <c r="B464" s="437" t="s">
        <v>355</v>
      </c>
      <c r="C464" s="47"/>
      <c r="D464" s="47"/>
      <c r="E464" s="319">
        <v>7.75</v>
      </c>
      <c r="F464" s="646"/>
      <c r="G464" s="4"/>
      <c r="H464" s="47"/>
      <c r="I464" s="47"/>
      <c r="J464" s="319">
        <v>7.75</v>
      </c>
      <c r="K464" s="646"/>
      <c r="L464" s="438"/>
      <c r="M464" s="5"/>
      <c r="N464" s="5"/>
      <c r="O464" s="319">
        <v>7.75</v>
      </c>
      <c r="P464" s="646"/>
      <c r="Q464" s="438"/>
      <c r="R464" s="5"/>
      <c r="S464" s="5"/>
      <c r="T464" s="319">
        <v>7.75</v>
      </c>
      <c r="U464" s="646"/>
      <c r="V464" s="438"/>
      <c r="W464" s="5"/>
      <c r="X464" s="5"/>
      <c r="Y464" s="319">
        <v>7.75</v>
      </c>
      <c r="Z464" s="646"/>
      <c r="AA464" s="328">
        <f t="shared" si="63"/>
        <v>38.75</v>
      </c>
      <c r="AB464" s="298">
        <f t="shared" si="64"/>
        <v>0</v>
      </c>
      <c r="AC464" s="4"/>
      <c r="AD464" s="47"/>
      <c r="AE464" s="47"/>
      <c r="AF464" s="319"/>
      <c r="AG464" s="328">
        <f t="shared" si="65"/>
        <v>0</v>
      </c>
    </row>
    <row r="465" spans="2:42">
      <c r="B465" s="437" t="s">
        <v>356</v>
      </c>
      <c r="C465" s="713"/>
      <c r="D465" s="713"/>
      <c r="E465" s="726">
        <v>8</v>
      </c>
      <c r="F465" s="646"/>
      <c r="G465" s="438"/>
      <c r="H465" s="5"/>
      <c r="I465" s="5"/>
      <c r="J465" s="726">
        <v>8</v>
      </c>
      <c r="K465" s="646"/>
      <c r="L465" s="438"/>
      <c r="M465" s="5"/>
      <c r="N465" s="5"/>
      <c r="O465" s="726">
        <v>8</v>
      </c>
      <c r="P465" s="646"/>
      <c r="Q465" s="438"/>
      <c r="R465" s="5"/>
      <c r="S465" s="5"/>
      <c r="T465" s="726">
        <v>8</v>
      </c>
      <c r="U465" s="646"/>
      <c r="V465" s="438"/>
      <c r="W465" s="5"/>
      <c r="X465" s="5"/>
      <c r="Y465" s="726">
        <v>8</v>
      </c>
      <c r="Z465" s="646"/>
      <c r="AA465" s="328">
        <f t="shared" si="63"/>
        <v>40</v>
      </c>
      <c r="AB465" s="298">
        <f t="shared" si="64"/>
        <v>0</v>
      </c>
      <c r="AC465" s="4"/>
      <c r="AD465" s="47"/>
      <c r="AE465" s="47"/>
      <c r="AF465" s="319"/>
      <c r="AG465" s="328">
        <f t="shared" si="65"/>
        <v>0</v>
      </c>
    </row>
    <row r="466" spans="2:42">
      <c r="B466" s="64" t="s">
        <v>61</v>
      </c>
      <c r="C466" s="31"/>
      <c r="D466" s="31"/>
      <c r="E466" s="439"/>
      <c r="F466" s="646"/>
      <c r="G466" s="31"/>
      <c r="H466" s="31"/>
      <c r="I466" s="31"/>
      <c r="J466" s="439"/>
      <c r="K466" s="646"/>
      <c r="L466" s="31"/>
      <c r="M466" s="31"/>
      <c r="N466" s="31"/>
      <c r="O466" s="439"/>
      <c r="P466" s="646"/>
      <c r="Q466" s="31"/>
      <c r="R466" s="31"/>
      <c r="S466" s="31"/>
      <c r="T466" s="439"/>
      <c r="U466" s="646"/>
      <c r="V466" s="31"/>
      <c r="W466" s="31"/>
      <c r="X466" s="31"/>
      <c r="Y466" s="439"/>
      <c r="Z466" s="646"/>
      <c r="AA466" s="370">
        <f>SUM(AA442:AA465)</f>
        <v>459.75</v>
      </c>
      <c r="AB466" s="370">
        <f>SUM(AB442:AB465)</f>
        <v>3.25</v>
      </c>
      <c r="AC466" s="4"/>
      <c r="AD466" s="64"/>
      <c r="AE466" s="64"/>
      <c r="AF466" s="370">
        <f>SUM(AF442:AF465)</f>
        <v>0</v>
      </c>
      <c r="AG466" s="370">
        <f>SUM(AG442:AG465)</f>
        <v>0</v>
      </c>
      <c r="AK466" s="407"/>
    </row>
    <row r="467" spans="2:42">
      <c r="B467" s="63" t="s">
        <v>64</v>
      </c>
      <c r="C467" s="47"/>
      <c r="D467" s="47"/>
      <c r="E467" s="319">
        <v>8</v>
      </c>
      <c r="F467" s="346">
        <v>0.75</v>
      </c>
      <c r="G467" s="613"/>
      <c r="H467" s="47"/>
      <c r="I467" s="47"/>
      <c r="J467" s="319">
        <v>8</v>
      </c>
      <c r="K467" s="346">
        <v>1.5</v>
      </c>
      <c r="L467" s="60"/>
      <c r="M467" s="47"/>
      <c r="N467" s="47"/>
      <c r="O467" s="319">
        <v>8</v>
      </c>
      <c r="P467" s="346">
        <v>1.5</v>
      </c>
      <c r="Q467" s="60"/>
      <c r="R467" s="47"/>
      <c r="S467" s="47"/>
      <c r="T467" s="319">
        <v>8</v>
      </c>
      <c r="U467" s="346">
        <v>1</v>
      </c>
      <c r="V467" s="60"/>
      <c r="W467" s="47"/>
      <c r="X467" s="47"/>
      <c r="Y467" s="319">
        <v>8</v>
      </c>
      <c r="Z467" s="346">
        <f>1.25+0.25</f>
        <v>1.5</v>
      </c>
      <c r="AA467" s="28">
        <f>SUM(E467+J467+O467+T467+Y467)</f>
        <v>40</v>
      </c>
      <c r="AB467" s="296">
        <f>Z467+U467+P467+K467+F467</f>
        <v>6.25</v>
      </c>
      <c r="AC467" s="4"/>
      <c r="AD467" s="47" t="s">
        <v>29</v>
      </c>
      <c r="AE467" s="47" t="s">
        <v>29</v>
      </c>
      <c r="AF467" s="319"/>
      <c r="AG467" s="29">
        <f>AF467</f>
        <v>0</v>
      </c>
      <c r="AK467" s="407"/>
    </row>
    <row r="468" spans="2:42">
      <c r="B468" s="71" t="s">
        <v>66</v>
      </c>
      <c r="C468" s="371"/>
      <c r="D468" s="371"/>
      <c r="E468" s="71"/>
      <c r="F468" s="613"/>
      <c r="G468" s="71"/>
      <c r="H468" s="71"/>
      <c r="I468" s="71"/>
      <c r="J468" s="71"/>
      <c r="K468" s="613"/>
      <c r="L468" s="71"/>
      <c r="M468" s="71"/>
      <c r="N468" s="71"/>
      <c r="O468" s="71"/>
      <c r="P468" s="613"/>
      <c r="Q468" s="71"/>
      <c r="R468" s="71"/>
      <c r="S468" s="71"/>
      <c r="T468" s="71"/>
      <c r="U468" s="613"/>
      <c r="V468" s="71"/>
      <c r="W468" s="71"/>
      <c r="X468" s="71"/>
      <c r="Y468" s="71"/>
      <c r="Z468" s="613"/>
      <c r="AA468" s="370">
        <f>SUM(AA467:AA467)</f>
        <v>40</v>
      </c>
      <c r="AB468" s="370">
        <f>SUM(AB467:AB467)</f>
        <v>6.25</v>
      </c>
      <c r="AC468" s="4"/>
      <c r="AG468" s="370">
        <f>SUM(AG467:AG467)</f>
        <v>0</v>
      </c>
      <c r="AK468" s="407"/>
    </row>
    <row r="469" spans="2:42">
      <c r="B469" s="217" t="s">
        <v>67</v>
      </c>
      <c r="C469" s="207">
        <f>C470+C471</f>
        <v>19</v>
      </c>
      <c r="D469" s="207"/>
      <c r="E469" s="209"/>
      <c r="F469" s="209"/>
      <c r="G469" s="207"/>
      <c r="H469" s="209"/>
      <c r="I469" s="209"/>
      <c r="J469" s="209"/>
      <c r="K469" s="209"/>
      <c r="L469" s="207"/>
      <c r="M469" s="207"/>
      <c r="N469" s="207"/>
      <c r="O469" s="207"/>
      <c r="P469" s="209"/>
      <c r="Q469" s="207"/>
      <c r="R469" s="207"/>
      <c r="S469" s="207"/>
      <c r="T469" s="207"/>
      <c r="U469" s="209"/>
      <c r="V469" s="207"/>
      <c r="W469" s="207"/>
      <c r="X469" s="207"/>
      <c r="Y469" s="210"/>
      <c r="Z469" s="209"/>
      <c r="AA469" s="211"/>
      <c r="AB469" s="209"/>
      <c r="AC469" s="211"/>
      <c r="AD469" s="211"/>
      <c r="AE469" s="211"/>
      <c r="AF469" s="211"/>
      <c r="AG469" s="211"/>
    </row>
    <row r="470" spans="2:42">
      <c r="B470" s="238" t="s">
        <v>68</v>
      </c>
      <c r="C470" s="239">
        <v>0</v>
      </c>
      <c r="D470" s="207"/>
      <c r="E470" s="209"/>
      <c r="F470" s="209"/>
      <c r="G470" s="207"/>
      <c r="H470" s="209"/>
      <c r="I470" s="209"/>
      <c r="J470" s="209"/>
      <c r="K470" s="209"/>
      <c r="L470" s="207"/>
      <c r="M470" s="207"/>
      <c r="N470" s="207"/>
      <c r="O470" s="207"/>
      <c r="P470" s="209"/>
      <c r="Q470" s="207"/>
      <c r="R470" s="207"/>
      <c r="S470" s="207"/>
      <c r="T470" s="207"/>
      <c r="U470" s="209"/>
      <c r="V470" s="207"/>
      <c r="W470" s="207"/>
      <c r="X470" s="207"/>
      <c r="Y470" s="210"/>
      <c r="Z470" s="209"/>
      <c r="AA470" s="211"/>
      <c r="AB470" s="209"/>
      <c r="AC470" s="211"/>
      <c r="AD470" s="211"/>
      <c r="AE470" s="211"/>
      <c r="AF470" s="211"/>
      <c r="AG470" s="211"/>
    </row>
    <row r="471" spans="2:42">
      <c r="B471" s="238" t="s">
        <v>69</v>
      </c>
      <c r="C471" s="239">
        <v>19</v>
      </c>
      <c r="D471" s="207"/>
      <c r="E471" s="209"/>
      <c r="F471" s="209"/>
      <c r="G471" s="207"/>
      <c r="H471" s="209"/>
      <c r="I471" s="209"/>
      <c r="J471" s="209"/>
      <c r="K471" s="209"/>
      <c r="L471" s="207"/>
      <c r="M471" s="207"/>
      <c r="N471" s="207"/>
      <c r="O471" s="207"/>
      <c r="P471" s="209"/>
      <c r="Q471" s="207"/>
      <c r="R471" s="207"/>
      <c r="S471" s="207"/>
      <c r="T471" s="207"/>
      <c r="U471" s="209"/>
      <c r="V471" s="207"/>
      <c r="W471" s="207"/>
      <c r="X471" s="207"/>
      <c r="Y471" s="210"/>
      <c r="Z471" s="209"/>
      <c r="AA471" s="211"/>
      <c r="AB471" s="209"/>
      <c r="AC471" s="211"/>
      <c r="AD471" s="211"/>
      <c r="AE471" s="211"/>
      <c r="AF471" s="211"/>
      <c r="AG471" s="211"/>
    </row>
    <row r="472" spans="2:42">
      <c r="B472" s="180"/>
      <c r="E472" s="4"/>
      <c r="F472" s="644"/>
      <c r="G472" s="4"/>
      <c r="J472" s="4"/>
      <c r="K472" s="644"/>
      <c r="L472" s="4"/>
      <c r="O472" s="4"/>
      <c r="P472" s="644"/>
      <c r="T472" s="4"/>
      <c r="U472" s="644"/>
      <c r="Y472" s="4"/>
      <c r="Z472" s="644"/>
      <c r="AA472" s="4"/>
      <c r="AB472" s="4"/>
      <c r="AC472" s="4"/>
    </row>
    <row r="473" spans="2:42">
      <c r="B473" s="229"/>
      <c r="C473" s="230"/>
      <c r="D473" s="230"/>
      <c r="E473" s="232"/>
      <c r="F473" s="232"/>
      <c r="G473" s="230"/>
      <c r="H473" s="232"/>
      <c r="I473" s="232"/>
      <c r="J473" s="232"/>
      <c r="K473" s="232"/>
      <c r="L473" s="230"/>
      <c r="M473" s="230"/>
      <c r="N473" s="230"/>
      <c r="O473" s="230"/>
      <c r="P473" s="232"/>
      <c r="Q473" s="230"/>
      <c r="R473" s="230"/>
      <c r="S473" s="230"/>
      <c r="T473" s="230"/>
      <c r="U473" s="232"/>
      <c r="V473" s="230"/>
      <c r="W473" s="230"/>
      <c r="X473" s="230"/>
      <c r="Y473" s="233"/>
      <c r="Z473" s="232"/>
      <c r="AA473" s="234"/>
      <c r="AB473" s="232"/>
      <c r="AC473" s="373"/>
      <c r="AD473" s="236"/>
      <c r="AE473" s="255"/>
      <c r="AF473" s="255"/>
      <c r="AG473" s="255"/>
      <c r="AH473" s="255"/>
      <c r="AJ473" s="255"/>
      <c r="AK473" s="255"/>
      <c r="AL473" s="255"/>
      <c r="AM473" s="255"/>
      <c r="AN473" s="255"/>
      <c r="AO473" s="255"/>
      <c r="AP473" s="255"/>
    </row>
    <row r="474" spans="2:42">
      <c r="B474" s="180"/>
      <c r="E474" s="4"/>
      <c r="F474" s="644"/>
      <c r="G474" s="4"/>
      <c r="J474" s="4"/>
      <c r="K474" s="644"/>
      <c r="L474" s="4"/>
      <c r="O474" s="4"/>
      <c r="P474" s="644"/>
      <c r="T474" s="4"/>
      <c r="U474" s="644"/>
      <c r="Y474" s="4"/>
      <c r="Z474" s="644"/>
      <c r="AA474" s="4"/>
      <c r="AB474" s="4"/>
      <c r="AC474" s="4"/>
      <c r="AK474" s="180"/>
      <c r="AL474" s="180"/>
      <c r="AM474" s="180"/>
      <c r="AN474" s="180"/>
      <c r="AO474" s="180"/>
      <c r="AP474" s="180"/>
    </row>
    <row r="475" spans="2:42" ht="13.5" customHeight="1">
      <c r="B475" s="1518" t="s">
        <v>18</v>
      </c>
      <c r="C475" s="1519">
        <v>45803</v>
      </c>
      <c r="D475" s="1519"/>
      <c r="E475" s="1519" t="s">
        <v>564</v>
      </c>
      <c r="F475" s="1519"/>
      <c r="G475" s="365"/>
      <c r="H475" s="1519">
        <v>45804</v>
      </c>
      <c r="I475" s="1519"/>
      <c r="J475" s="1519" t="s">
        <v>565</v>
      </c>
      <c r="K475" s="1519"/>
      <c r="L475" s="365"/>
      <c r="M475" s="1519">
        <v>45805</v>
      </c>
      <c r="N475" s="1519"/>
      <c r="O475" s="1519" t="s">
        <v>566</v>
      </c>
      <c r="P475" s="1519"/>
      <c r="Q475" s="365"/>
      <c r="R475" s="1519">
        <v>45806</v>
      </c>
      <c r="S475" s="1519"/>
      <c r="T475" s="1519" t="s">
        <v>567</v>
      </c>
      <c r="U475" s="1519"/>
      <c r="V475" s="365"/>
      <c r="W475" s="1519">
        <v>45807</v>
      </c>
      <c r="X475" s="1519"/>
      <c r="Y475" s="1519" t="s">
        <v>568</v>
      </c>
      <c r="Z475" s="1519"/>
      <c r="AA475" s="1517" t="s">
        <v>19</v>
      </c>
      <c r="AB475" s="1517" t="s">
        <v>20</v>
      </c>
      <c r="AC475" s="4"/>
      <c r="AD475" s="1519"/>
      <c r="AE475" s="1519"/>
      <c r="AF475" s="14" t="s">
        <v>1111</v>
      </c>
      <c r="AG475" s="1517" t="s">
        <v>21</v>
      </c>
      <c r="AI475" s="368"/>
      <c r="AK475" s="194" t="s">
        <v>84</v>
      </c>
      <c r="AL475" s="366"/>
      <c r="AM475" s="366"/>
      <c r="AN475" s="366"/>
      <c r="AO475" s="366"/>
      <c r="AP475" s="366"/>
    </row>
    <row r="476" spans="2:42">
      <c r="B476" s="1518"/>
      <c r="C476" s="21" t="s">
        <v>23</v>
      </c>
      <c r="D476" s="21" t="s">
        <v>24</v>
      </c>
      <c r="E476" s="205" t="s">
        <v>25</v>
      </c>
      <c r="F476" s="645" t="s">
        <v>14</v>
      </c>
      <c r="G476" s="4"/>
      <c r="H476" s="21"/>
      <c r="I476" s="21" t="s">
        <v>24</v>
      </c>
      <c r="J476" s="18" t="s">
        <v>25</v>
      </c>
      <c r="K476" s="645" t="s">
        <v>14</v>
      </c>
      <c r="L476" s="4"/>
      <c r="M476" s="21" t="s">
        <v>23</v>
      </c>
      <c r="N476" s="21" t="s">
        <v>24</v>
      </c>
      <c r="O476" s="18" t="s">
        <v>25</v>
      </c>
      <c r="P476" s="645" t="s">
        <v>14</v>
      </c>
      <c r="R476" s="21" t="s">
        <v>23</v>
      </c>
      <c r="S476" s="21" t="s">
        <v>24</v>
      </c>
      <c r="T476" s="18" t="s">
        <v>25</v>
      </c>
      <c r="U476" s="645" t="s">
        <v>14</v>
      </c>
      <c r="W476" s="21" t="s">
        <v>23</v>
      </c>
      <c r="X476" s="21" t="s">
        <v>24</v>
      </c>
      <c r="Y476" s="18" t="s">
        <v>25</v>
      </c>
      <c r="Z476" s="645" t="s">
        <v>14</v>
      </c>
      <c r="AA476" s="1517"/>
      <c r="AB476" s="1517"/>
      <c r="AC476" s="4"/>
      <c r="AD476" s="21" t="s">
        <v>23</v>
      </c>
      <c r="AE476" s="21" t="s">
        <v>24</v>
      </c>
      <c r="AF476" s="18" t="s">
        <v>25</v>
      </c>
      <c r="AG476" s="1517"/>
      <c r="AI476" s="368"/>
      <c r="AJ476" s="367"/>
      <c r="AK476" s="188" t="s">
        <v>26</v>
      </c>
      <c r="AL476" s="196">
        <f>AA501</f>
        <v>387.25</v>
      </c>
      <c r="AM476" s="510">
        <v>40.31</v>
      </c>
      <c r="AN476" s="510">
        <f t="shared" ref="AN476:AN481" si="66">AL476*AM476</f>
        <v>15610.047500000001</v>
      </c>
    </row>
    <row r="477" spans="2:42">
      <c r="B477" s="4" t="s">
        <v>958</v>
      </c>
      <c r="C477" s="1581" t="s">
        <v>416</v>
      </c>
      <c r="D477" s="1581"/>
      <c r="E477" s="1581"/>
      <c r="F477" s="1581"/>
      <c r="G477" s="4"/>
      <c r="H477" s="47"/>
      <c r="I477" s="47"/>
      <c r="J477" s="319">
        <v>0</v>
      </c>
      <c r="K477" s="646"/>
      <c r="L477" s="4"/>
      <c r="M477" s="441"/>
      <c r="N477" s="47"/>
      <c r="O477" s="319">
        <v>0</v>
      </c>
      <c r="P477" s="646"/>
      <c r="R477" s="47"/>
      <c r="S477" s="47"/>
      <c r="T477" s="319">
        <v>0</v>
      </c>
      <c r="U477" s="646"/>
      <c r="W477" s="47"/>
      <c r="X477" s="47"/>
      <c r="Y477" s="319">
        <v>0</v>
      </c>
      <c r="Z477" s="646"/>
      <c r="AA477" s="328">
        <f t="shared" ref="AA477:AA500" si="67">(E477+J477+O477+T477+Y477)</f>
        <v>0</v>
      </c>
      <c r="AB477" s="298">
        <f t="shared" ref="AB477:AB500" si="68">Z477+U477+P477+K477+F477</f>
        <v>0</v>
      </c>
      <c r="AC477" s="4"/>
      <c r="AD477" s="587"/>
      <c r="AE477" s="531"/>
      <c r="AF477" s="319"/>
      <c r="AG477" s="328">
        <f t="shared" ref="AG477:AG500" si="69">AF477</f>
        <v>0</v>
      </c>
      <c r="AI477" s="368"/>
      <c r="AJ477" s="367"/>
      <c r="AK477" s="188" t="s">
        <v>30</v>
      </c>
      <c r="AL477" s="196">
        <v>0</v>
      </c>
      <c r="AM477" s="511">
        <v>60.465000000000003</v>
      </c>
      <c r="AN477" s="510">
        <f t="shared" si="66"/>
        <v>0</v>
      </c>
    </row>
    <row r="478" spans="2:42">
      <c r="B478" s="47" t="s">
        <v>515</v>
      </c>
      <c r="C478" s="1581"/>
      <c r="D478" s="1581"/>
      <c r="E478" s="1581"/>
      <c r="F478" s="1581"/>
      <c r="G478" s="4"/>
      <c r="H478" s="47">
        <v>0.375</v>
      </c>
      <c r="I478" s="47">
        <v>0.25</v>
      </c>
      <c r="J478" s="319">
        <v>8</v>
      </c>
      <c r="K478" s="646"/>
      <c r="L478" s="4"/>
      <c r="M478" s="441" t="s">
        <v>75</v>
      </c>
      <c r="N478" s="47">
        <v>0.25</v>
      </c>
      <c r="O478" s="319">
        <v>8</v>
      </c>
      <c r="P478" s="646"/>
      <c r="R478" s="47"/>
      <c r="S478" s="47"/>
      <c r="T478" s="319">
        <v>0</v>
      </c>
      <c r="U478" s="646"/>
      <c r="W478" s="47"/>
      <c r="X478" s="47"/>
      <c r="Y478" s="319">
        <v>0</v>
      </c>
      <c r="Z478" s="646"/>
      <c r="AA478" s="328">
        <f t="shared" si="67"/>
        <v>16</v>
      </c>
      <c r="AB478" s="298">
        <f t="shared" si="68"/>
        <v>0</v>
      </c>
      <c r="AC478" s="4"/>
      <c r="AF478" s="319"/>
      <c r="AG478" s="328">
        <f t="shared" si="69"/>
        <v>0</v>
      </c>
      <c r="AH478" s="175"/>
      <c r="AI478" s="402"/>
      <c r="AJ478" s="367"/>
      <c r="AK478" s="188" t="s">
        <v>32</v>
      </c>
      <c r="AL478" s="196">
        <f>AG501</f>
        <v>0</v>
      </c>
      <c r="AM478" s="510">
        <v>60.465000000000003</v>
      </c>
      <c r="AN478" s="510">
        <f t="shared" si="66"/>
        <v>0</v>
      </c>
    </row>
    <row r="479" spans="2:42">
      <c r="B479" s="441" t="s">
        <v>962</v>
      </c>
      <c r="C479" s="1581"/>
      <c r="D479" s="1581"/>
      <c r="E479" s="1581"/>
      <c r="F479" s="1581"/>
      <c r="G479" s="4"/>
      <c r="H479" s="47"/>
      <c r="I479" s="47"/>
      <c r="J479" s="319">
        <v>0</v>
      </c>
      <c r="K479" s="646"/>
      <c r="L479" s="4"/>
      <c r="M479" s="441"/>
      <c r="N479" s="47"/>
      <c r="O479" s="319">
        <v>0</v>
      </c>
      <c r="P479" s="646"/>
      <c r="R479" s="47"/>
      <c r="S479" s="47"/>
      <c r="T479" s="319">
        <v>0</v>
      </c>
      <c r="U479" s="646"/>
      <c r="W479" s="47"/>
      <c r="X479" s="47"/>
      <c r="Y479" s="319">
        <v>0</v>
      </c>
      <c r="Z479" s="646"/>
      <c r="AA479" s="328">
        <f t="shared" si="67"/>
        <v>0</v>
      </c>
      <c r="AB479" s="298">
        <f t="shared" si="68"/>
        <v>0</v>
      </c>
      <c r="AC479" s="399"/>
      <c r="AD479" s="47"/>
      <c r="AE479" s="47"/>
      <c r="AF479" s="319"/>
      <c r="AG479" s="328">
        <f t="shared" si="69"/>
        <v>0</v>
      </c>
      <c r="AH479" s="175"/>
      <c r="AJ479" s="401"/>
      <c r="AK479" s="403" t="s">
        <v>213</v>
      </c>
      <c r="AL479" s="404">
        <f>AA503</f>
        <v>36.75</v>
      </c>
      <c r="AM479" s="510">
        <v>53.05</v>
      </c>
      <c r="AN479" s="510">
        <f t="shared" si="66"/>
        <v>1949.5874999999999</v>
      </c>
      <c r="AO479" s="405"/>
      <c r="AP479" s="405"/>
    </row>
    <row r="480" spans="2:42">
      <c r="B480" s="47" t="s">
        <v>1112</v>
      </c>
      <c r="C480" s="1581"/>
      <c r="D480" s="1581"/>
      <c r="E480" s="1581"/>
      <c r="F480" s="1581"/>
      <c r="G480" s="4"/>
      <c r="H480" s="47">
        <v>0.33333333333333331</v>
      </c>
      <c r="I480" s="47">
        <v>0.20833333333333334</v>
      </c>
      <c r="J480" s="319">
        <v>8</v>
      </c>
      <c r="K480" s="646"/>
      <c r="L480" s="4"/>
      <c r="M480" s="441" t="s">
        <v>75</v>
      </c>
      <c r="N480" s="47">
        <v>0.25</v>
      </c>
      <c r="O480" s="319">
        <v>8</v>
      </c>
      <c r="P480" s="646"/>
      <c r="R480" s="47">
        <v>0.33333333333333331</v>
      </c>
      <c r="S480" s="47">
        <v>0.20833333333333334</v>
      </c>
      <c r="T480" s="319">
        <v>8</v>
      </c>
      <c r="U480" s="646"/>
      <c r="W480" s="47">
        <v>0.33333333333333331</v>
      </c>
      <c r="X480" s="47">
        <v>0.20833333333333334</v>
      </c>
      <c r="Y480" s="319">
        <v>8</v>
      </c>
      <c r="Z480" s="646"/>
      <c r="AA480" s="328">
        <f t="shared" si="67"/>
        <v>32</v>
      </c>
      <c r="AB480" s="298">
        <f t="shared" si="68"/>
        <v>0</v>
      </c>
      <c r="AC480" s="4"/>
      <c r="AD480" s="47"/>
      <c r="AE480" s="47"/>
      <c r="AF480" s="319"/>
      <c r="AG480" s="328">
        <f t="shared" si="69"/>
        <v>0</v>
      </c>
      <c r="AH480" s="175"/>
      <c r="AI480" s="368"/>
      <c r="AK480" s="188" t="s">
        <v>36</v>
      </c>
      <c r="AL480" s="196">
        <f>AB503</f>
        <v>0</v>
      </c>
      <c r="AM480" s="510">
        <v>79.574999999999989</v>
      </c>
      <c r="AN480" s="510">
        <f t="shared" si="66"/>
        <v>0</v>
      </c>
    </row>
    <row r="481" spans="2:40">
      <c r="B481" s="436" t="s">
        <v>972</v>
      </c>
      <c r="C481" s="1581"/>
      <c r="D481" s="1581"/>
      <c r="E481" s="1581"/>
      <c r="F481" s="1581"/>
      <c r="G481" s="4"/>
      <c r="H481" s="47">
        <v>0.33333333333333331</v>
      </c>
      <c r="I481" s="47">
        <v>0.20833333333333334</v>
      </c>
      <c r="J481" s="726">
        <v>8</v>
      </c>
      <c r="K481" s="646"/>
      <c r="L481" s="4"/>
      <c r="M481" s="47">
        <v>0.33333333333333331</v>
      </c>
      <c r="N481" s="47">
        <v>0.20833333333333334</v>
      </c>
      <c r="O481" s="726">
        <v>8</v>
      </c>
      <c r="P481" s="646"/>
      <c r="R481" s="47">
        <v>0.33333333333333331</v>
      </c>
      <c r="S481" s="47">
        <v>0.20833333333333334</v>
      </c>
      <c r="T481" s="726">
        <v>8</v>
      </c>
      <c r="U481" s="646"/>
      <c r="W481" s="47">
        <v>0.33333333333333331</v>
      </c>
      <c r="X481" s="47">
        <v>0.20833333333333334</v>
      </c>
      <c r="Y481" s="726">
        <v>8</v>
      </c>
      <c r="Z481" s="646"/>
      <c r="AA481" s="328">
        <f t="shared" si="67"/>
        <v>32</v>
      </c>
      <c r="AB481" s="298">
        <f t="shared" si="68"/>
        <v>0</v>
      </c>
      <c r="AC481" s="4"/>
      <c r="AD481" s="47"/>
      <c r="AE481" s="47"/>
      <c r="AF481" s="319"/>
      <c r="AG481" s="328">
        <f t="shared" si="69"/>
        <v>0</v>
      </c>
      <c r="AK481" s="188" t="s">
        <v>38</v>
      </c>
      <c r="AL481" s="196">
        <f>AG503</f>
        <v>0</v>
      </c>
      <c r="AM481" s="510">
        <v>79.574999999999989</v>
      </c>
      <c r="AN481" s="510">
        <f t="shared" si="66"/>
        <v>0</v>
      </c>
    </row>
    <row r="482" spans="2:40">
      <c r="B482" s="47" t="s">
        <v>974</v>
      </c>
      <c r="C482" s="1581"/>
      <c r="D482" s="1581"/>
      <c r="E482" s="1581"/>
      <c r="F482" s="1581"/>
      <c r="G482" s="4"/>
      <c r="H482" s="47">
        <v>0.33333333333333331</v>
      </c>
      <c r="I482" s="47">
        <v>0.20833333333333334</v>
      </c>
      <c r="J482" s="319">
        <v>8</v>
      </c>
      <c r="K482" s="646"/>
      <c r="L482" s="4"/>
      <c r="M482" s="441"/>
      <c r="N482" s="47"/>
      <c r="O482" s="319">
        <v>0</v>
      </c>
      <c r="P482" s="646"/>
      <c r="R482" s="47">
        <v>0.33333333333333331</v>
      </c>
      <c r="S482" s="47">
        <v>0.20833333333333334</v>
      </c>
      <c r="T482" s="319">
        <v>8</v>
      </c>
      <c r="U482" s="646"/>
      <c r="W482" s="47">
        <v>0.33333333333333331</v>
      </c>
      <c r="X482" s="47">
        <v>0.20833333333333334</v>
      </c>
      <c r="Y482" s="319">
        <v>8</v>
      </c>
      <c r="Z482" s="646"/>
      <c r="AA482" s="328">
        <f t="shared" si="67"/>
        <v>24</v>
      </c>
      <c r="AB482" s="298">
        <f t="shared" si="68"/>
        <v>0</v>
      </c>
      <c r="AC482" s="4"/>
      <c r="AD482" s="47"/>
      <c r="AE482" s="47"/>
      <c r="AF482" s="319"/>
      <c r="AG482" s="328">
        <f t="shared" si="69"/>
        <v>0</v>
      </c>
      <c r="AN482" s="510">
        <f>SUM(AN476:AN481)</f>
        <v>17559.635000000002</v>
      </c>
    </row>
    <row r="483" spans="2:40">
      <c r="B483" s="374" t="s">
        <v>998</v>
      </c>
      <c r="C483" s="1581"/>
      <c r="D483" s="1581"/>
      <c r="E483" s="1581"/>
      <c r="F483" s="1581"/>
      <c r="G483" s="4"/>
      <c r="H483" s="47"/>
      <c r="I483" s="47"/>
      <c r="J483" s="319">
        <v>0</v>
      </c>
      <c r="K483" s="646"/>
      <c r="L483" s="4"/>
      <c r="M483" s="441"/>
      <c r="N483" s="47"/>
      <c r="O483" s="319">
        <v>0</v>
      </c>
      <c r="P483" s="646"/>
      <c r="R483" s="47"/>
      <c r="S483" s="47"/>
      <c r="T483" s="319">
        <v>0</v>
      </c>
      <c r="U483" s="646"/>
      <c r="W483" s="47"/>
      <c r="X483" s="47"/>
      <c r="Y483" s="319">
        <v>0</v>
      </c>
      <c r="Z483" s="646"/>
      <c r="AA483" s="328">
        <f t="shared" si="67"/>
        <v>0</v>
      </c>
      <c r="AB483" s="298">
        <f t="shared" si="68"/>
        <v>0</v>
      </c>
      <c r="AC483" s="4"/>
      <c r="AD483" s="47"/>
      <c r="AE483" s="47"/>
      <c r="AF483" s="319"/>
      <c r="AG483" s="328">
        <f t="shared" si="69"/>
        <v>0</v>
      </c>
    </row>
    <row r="484" spans="2:40">
      <c r="B484" s="47" t="s">
        <v>977</v>
      </c>
      <c r="C484" s="1581"/>
      <c r="D484" s="1581"/>
      <c r="E484" s="1581"/>
      <c r="F484" s="1581"/>
      <c r="G484" s="4"/>
      <c r="H484" s="47">
        <v>0.33333333333333331</v>
      </c>
      <c r="I484" s="47">
        <v>0.20833333333333334</v>
      </c>
      <c r="J484" s="319">
        <v>8</v>
      </c>
      <c r="K484" s="646"/>
      <c r="L484" s="4"/>
      <c r="M484" s="441" t="s">
        <v>125</v>
      </c>
      <c r="N484" s="47">
        <v>0.20833333333333334</v>
      </c>
      <c r="O484" s="319">
        <v>8</v>
      </c>
      <c r="P484" s="646"/>
      <c r="R484" s="47">
        <v>0.33333333333333331</v>
      </c>
      <c r="S484" s="47">
        <v>0.20833333333333334</v>
      </c>
      <c r="T484" s="319">
        <v>8</v>
      </c>
      <c r="U484" s="646"/>
      <c r="W484" s="47"/>
      <c r="X484" s="47"/>
      <c r="Y484" s="319">
        <v>0</v>
      </c>
      <c r="Z484" s="646"/>
      <c r="AA484" s="328">
        <f t="shared" si="67"/>
        <v>24</v>
      </c>
      <c r="AB484" s="298">
        <f t="shared" si="68"/>
        <v>0</v>
      </c>
      <c r="AC484" s="4"/>
      <c r="AD484" s="47"/>
      <c r="AE484" s="47"/>
      <c r="AF484" s="319"/>
      <c r="AG484" s="328">
        <f t="shared" si="69"/>
        <v>0</v>
      </c>
      <c r="AK484" s="192" t="s">
        <v>1115</v>
      </c>
      <c r="AL484" s="189">
        <f>C504</f>
        <v>18</v>
      </c>
    </row>
    <row r="485" spans="2:40">
      <c r="B485" s="47" t="s">
        <v>519</v>
      </c>
      <c r="C485" s="1581"/>
      <c r="D485" s="1581"/>
      <c r="E485" s="1581"/>
      <c r="F485" s="1581"/>
      <c r="G485" s="4"/>
      <c r="H485" s="47">
        <v>0.33333333333333331</v>
      </c>
      <c r="I485" s="47">
        <v>0.20833333333333334</v>
      </c>
      <c r="J485" s="726">
        <v>8</v>
      </c>
      <c r="K485" s="646"/>
      <c r="L485" s="4"/>
      <c r="M485" s="441" t="s">
        <v>75</v>
      </c>
      <c r="N485" s="47">
        <v>0.25</v>
      </c>
      <c r="O485" s="319">
        <v>8</v>
      </c>
      <c r="P485" s="646"/>
      <c r="R485" s="47">
        <v>0.33333333333333331</v>
      </c>
      <c r="S485" s="47">
        <v>0.20833333333333334</v>
      </c>
      <c r="T485" s="726">
        <v>8</v>
      </c>
      <c r="U485" s="646"/>
      <c r="W485" s="47">
        <v>0.33333333333333331</v>
      </c>
      <c r="X485" s="47">
        <v>0.20833333333333334</v>
      </c>
      <c r="Y485" s="726">
        <v>8</v>
      </c>
      <c r="Z485" s="646"/>
      <c r="AA485" s="328">
        <f t="shared" si="67"/>
        <v>32</v>
      </c>
      <c r="AB485" s="298">
        <f t="shared" si="68"/>
        <v>0</v>
      </c>
      <c r="AC485" s="4"/>
      <c r="AD485" s="47"/>
      <c r="AE485" s="47"/>
      <c r="AF485" s="319"/>
      <c r="AG485" s="328">
        <f t="shared" si="69"/>
        <v>0</v>
      </c>
    </row>
    <row r="486" spans="2:40">
      <c r="B486" s="47" t="s">
        <v>999</v>
      </c>
      <c r="C486" s="1581"/>
      <c r="D486" s="1581"/>
      <c r="E486" s="1581"/>
      <c r="F486" s="1581"/>
      <c r="G486" s="4"/>
      <c r="H486" s="47"/>
      <c r="I486" s="47"/>
      <c r="J486" s="319">
        <v>0</v>
      </c>
      <c r="K486" s="646"/>
      <c r="L486" s="4"/>
      <c r="M486" s="441"/>
      <c r="N486" s="47"/>
      <c r="O486" s="319">
        <v>0</v>
      </c>
      <c r="P486" s="646"/>
      <c r="R486" s="441"/>
      <c r="S486" s="441"/>
      <c r="T486" s="319">
        <v>0</v>
      </c>
      <c r="U486" s="646"/>
      <c r="W486" s="441"/>
      <c r="X486" s="441"/>
      <c r="Y486" s="319">
        <v>0</v>
      </c>
      <c r="Z486" s="646"/>
      <c r="AA486" s="328">
        <f t="shared" si="67"/>
        <v>0</v>
      </c>
      <c r="AB486" s="298">
        <f t="shared" si="68"/>
        <v>0</v>
      </c>
      <c r="AC486" s="4"/>
      <c r="AD486" s="47"/>
      <c r="AE486" s="47"/>
      <c r="AF486" s="319"/>
      <c r="AG486" s="328">
        <f t="shared" si="69"/>
        <v>0</v>
      </c>
    </row>
    <row r="487" spans="2:40">
      <c r="B487" s="47" t="s">
        <v>1113</v>
      </c>
      <c r="C487" s="1581"/>
      <c r="D487" s="1581"/>
      <c r="E487" s="1581"/>
      <c r="F487" s="1581"/>
      <c r="G487" s="4"/>
      <c r="H487" s="47"/>
      <c r="I487" s="47"/>
      <c r="J487" s="319">
        <v>0</v>
      </c>
      <c r="K487" s="646"/>
      <c r="L487" s="4"/>
      <c r="M487" s="441"/>
      <c r="N487" s="47"/>
      <c r="O487" s="319">
        <v>0</v>
      </c>
      <c r="P487" s="646"/>
      <c r="R487" s="441"/>
      <c r="S487" s="47"/>
      <c r="T487" s="319">
        <v>0</v>
      </c>
      <c r="U487" s="646"/>
      <c r="W487" s="441"/>
      <c r="X487" s="47"/>
      <c r="Y487" s="319">
        <v>0</v>
      </c>
      <c r="Z487" s="646"/>
      <c r="AA487" s="328">
        <f t="shared" si="67"/>
        <v>0</v>
      </c>
      <c r="AB487" s="298">
        <f t="shared" si="68"/>
        <v>0</v>
      </c>
      <c r="AC487" s="4"/>
      <c r="AD487" s="47"/>
      <c r="AE487" s="47"/>
      <c r="AF487" s="319"/>
      <c r="AG487" s="328">
        <f t="shared" si="69"/>
        <v>0</v>
      </c>
    </row>
    <row r="488" spans="2:40">
      <c r="B488" s="502" t="s">
        <v>483</v>
      </c>
      <c r="C488" s="1581"/>
      <c r="D488" s="1581"/>
      <c r="E488" s="1581"/>
      <c r="F488" s="1581"/>
      <c r="G488" s="4"/>
      <c r="H488" s="47"/>
      <c r="I488" s="47"/>
      <c r="J488" s="319"/>
      <c r="K488" s="646"/>
      <c r="L488" s="4"/>
      <c r="M488" s="441"/>
      <c r="N488" s="47"/>
      <c r="O488" s="319"/>
      <c r="P488" s="646"/>
      <c r="R488" s="5"/>
      <c r="S488" s="5"/>
      <c r="T488" s="319"/>
      <c r="U488" s="646"/>
      <c r="W488" s="5"/>
      <c r="X488" s="5"/>
      <c r="Y488" s="319"/>
      <c r="Z488" s="646"/>
      <c r="AA488" s="328">
        <f t="shared" si="67"/>
        <v>0</v>
      </c>
      <c r="AB488" s="298">
        <f t="shared" si="68"/>
        <v>0</v>
      </c>
      <c r="AC488" s="4"/>
      <c r="AD488" s="47"/>
      <c r="AE488" s="47"/>
      <c r="AF488" s="319"/>
      <c r="AG488" s="328">
        <f t="shared" si="69"/>
        <v>0</v>
      </c>
    </row>
    <row r="489" spans="2:40">
      <c r="B489" s="502" t="s">
        <v>483</v>
      </c>
      <c r="C489" s="1581"/>
      <c r="D489" s="1581"/>
      <c r="E489" s="1581"/>
      <c r="F489" s="1581"/>
      <c r="G489" s="4"/>
      <c r="H489" s="47"/>
      <c r="I489" s="47"/>
      <c r="J489" s="319">
        <v>8</v>
      </c>
      <c r="K489" s="646">
        <v>2.5</v>
      </c>
      <c r="L489" s="4"/>
      <c r="M489" s="441"/>
      <c r="N489" s="47"/>
      <c r="O489" s="319">
        <v>8</v>
      </c>
      <c r="P489" s="646"/>
      <c r="R489" s="47"/>
      <c r="S489" s="47"/>
      <c r="T489" s="319">
        <v>2</v>
      </c>
      <c r="U489" s="646"/>
      <c r="W489" s="47"/>
      <c r="X489" s="47"/>
      <c r="Y489" s="319">
        <v>8</v>
      </c>
      <c r="Z489" s="646"/>
      <c r="AA489" s="328">
        <f t="shared" si="67"/>
        <v>26</v>
      </c>
      <c r="AB489" s="298">
        <f t="shared" si="68"/>
        <v>2.5</v>
      </c>
      <c r="AC489" s="4"/>
      <c r="AD489" s="47"/>
      <c r="AE489" s="47"/>
      <c r="AF489" s="319"/>
      <c r="AG489" s="328">
        <f t="shared" si="69"/>
        <v>0</v>
      </c>
    </row>
    <row r="490" spans="2:40">
      <c r="B490" s="502" t="s">
        <v>484</v>
      </c>
      <c r="C490" s="1581"/>
      <c r="D490" s="1581"/>
      <c r="E490" s="1581"/>
      <c r="F490" s="1581"/>
      <c r="G490" s="4"/>
      <c r="H490" s="47"/>
      <c r="I490" s="47"/>
      <c r="J490" s="319">
        <v>8</v>
      </c>
      <c r="K490" s="646">
        <v>2.5</v>
      </c>
      <c r="L490" s="4"/>
      <c r="M490" s="441"/>
      <c r="N490" s="47"/>
      <c r="O490" s="319">
        <v>8</v>
      </c>
      <c r="P490" s="646"/>
      <c r="R490" s="47"/>
      <c r="S490" s="47"/>
      <c r="T490" s="319">
        <v>2</v>
      </c>
      <c r="U490" s="646"/>
      <c r="W490" s="47"/>
      <c r="X490" s="47"/>
      <c r="Y490" s="319">
        <v>8</v>
      </c>
      <c r="Z490" s="646"/>
      <c r="AA490" s="328">
        <f t="shared" si="67"/>
        <v>26</v>
      </c>
      <c r="AB490" s="298">
        <f t="shared" si="68"/>
        <v>2.5</v>
      </c>
      <c r="AC490" s="4"/>
      <c r="AD490" s="47"/>
      <c r="AE490" s="47"/>
      <c r="AF490" s="319"/>
      <c r="AG490" s="328">
        <f t="shared" si="69"/>
        <v>0</v>
      </c>
    </row>
    <row r="491" spans="2:40">
      <c r="B491" s="502" t="s">
        <v>485</v>
      </c>
      <c r="C491" s="1581"/>
      <c r="D491" s="1581"/>
      <c r="E491" s="1581"/>
      <c r="F491" s="1581"/>
      <c r="G491" s="4"/>
      <c r="H491" s="47"/>
      <c r="I491" s="47"/>
      <c r="J491" s="319">
        <v>8</v>
      </c>
      <c r="K491" s="646">
        <v>2.5</v>
      </c>
      <c r="L491" s="4"/>
      <c r="M491" s="47"/>
      <c r="N491" s="47"/>
      <c r="O491" s="319">
        <v>8</v>
      </c>
      <c r="P491" s="646"/>
      <c r="R491" s="47"/>
      <c r="S491" s="47"/>
      <c r="T491" s="319">
        <v>6</v>
      </c>
      <c r="U491" s="646"/>
      <c r="W491" s="47"/>
      <c r="X491" s="47"/>
      <c r="Y491" s="319">
        <v>8</v>
      </c>
      <c r="Z491" s="646"/>
      <c r="AA491" s="328">
        <f t="shared" si="67"/>
        <v>30</v>
      </c>
      <c r="AB491" s="298">
        <f t="shared" si="68"/>
        <v>2.5</v>
      </c>
      <c r="AC491" s="4"/>
      <c r="AD491" s="47"/>
      <c r="AE491" s="47"/>
      <c r="AF491" s="319"/>
      <c r="AG491" s="328">
        <f t="shared" si="69"/>
        <v>0</v>
      </c>
    </row>
    <row r="492" spans="2:40">
      <c r="B492" s="502" t="s">
        <v>1129</v>
      </c>
      <c r="C492" s="1581"/>
      <c r="D492" s="1581"/>
      <c r="E492" s="1581"/>
      <c r="F492" s="1581"/>
      <c r="G492" s="4"/>
      <c r="H492" s="47"/>
      <c r="I492" s="47"/>
      <c r="J492" s="319"/>
      <c r="K492" s="646"/>
      <c r="L492" s="4"/>
      <c r="M492" s="5"/>
      <c r="N492" s="5"/>
      <c r="O492" s="319"/>
      <c r="P492" s="646"/>
      <c r="R492" s="5"/>
      <c r="S492" s="5"/>
      <c r="T492" s="319"/>
      <c r="U492" s="646"/>
      <c r="W492" s="5"/>
      <c r="X492" s="5"/>
      <c r="Y492" s="319"/>
      <c r="Z492" s="646"/>
      <c r="AA492" s="328">
        <f t="shared" si="67"/>
        <v>0</v>
      </c>
      <c r="AB492" s="298">
        <f t="shared" si="68"/>
        <v>0</v>
      </c>
      <c r="AC492" s="4"/>
      <c r="AD492" s="47"/>
      <c r="AE492" s="47"/>
      <c r="AF492" s="319"/>
      <c r="AG492" s="328">
        <f t="shared" si="69"/>
        <v>0</v>
      </c>
    </row>
    <row r="493" spans="2:40">
      <c r="B493" s="63" t="s">
        <v>1116</v>
      </c>
      <c r="C493" s="1581"/>
      <c r="D493" s="1581"/>
      <c r="E493" s="1581"/>
      <c r="F493" s="1581"/>
      <c r="G493" s="4"/>
      <c r="H493" s="47"/>
      <c r="I493" s="47"/>
      <c r="J493" s="319">
        <v>8</v>
      </c>
      <c r="K493" s="646"/>
      <c r="L493" s="4"/>
      <c r="M493" s="47"/>
      <c r="N493" s="47"/>
      <c r="O493" s="319">
        <v>8</v>
      </c>
      <c r="P493" s="646"/>
      <c r="R493" s="663"/>
      <c r="S493" s="663"/>
      <c r="T493" s="319">
        <v>8</v>
      </c>
      <c r="U493" s="646"/>
      <c r="W493" s="663"/>
      <c r="X493" s="663"/>
      <c r="Y493" s="319">
        <v>8</v>
      </c>
      <c r="Z493" s="646"/>
      <c r="AA493" s="328">
        <f t="shared" si="67"/>
        <v>32</v>
      </c>
      <c r="AB493" s="298">
        <f t="shared" si="68"/>
        <v>0</v>
      </c>
      <c r="AC493" s="4"/>
      <c r="AD493" s="47"/>
      <c r="AE493" s="47"/>
      <c r="AF493" s="319"/>
      <c r="AG493" s="328">
        <f t="shared" si="69"/>
        <v>0</v>
      </c>
    </row>
    <row r="494" spans="2:40">
      <c r="B494" s="267" t="s">
        <v>358</v>
      </c>
      <c r="C494" s="1581"/>
      <c r="D494" s="1581"/>
      <c r="E494" s="1581"/>
      <c r="F494" s="1581"/>
      <c r="G494" s="4"/>
      <c r="H494" s="47"/>
      <c r="I494" s="47"/>
      <c r="J494" s="319">
        <v>6</v>
      </c>
      <c r="K494" s="646"/>
      <c r="L494" s="438"/>
      <c r="M494" s="663"/>
      <c r="N494" s="663"/>
      <c r="O494" s="319">
        <v>6</v>
      </c>
      <c r="P494" s="646"/>
      <c r="Q494" s="438"/>
      <c r="R494" s="663"/>
      <c r="S494" s="663"/>
      <c r="T494" s="319">
        <v>2</v>
      </c>
      <c r="U494" s="646"/>
      <c r="V494" s="438"/>
      <c r="W494" s="663"/>
      <c r="X494" s="663"/>
      <c r="Y494" s="319">
        <v>4</v>
      </c>
      <c r="Z494" s="646"/>
      <c r="AA494" s="328">
        <f t="shared" si="67"/>
        <v>18</v>
      </c>
      <c r="AB494" s="298">
        <f t="shared" si="68"/>
        <v>0</v>
      </c>
      <c r="AC494" s="4"/>
      <c r="AD494" s="47"/>
      <c r="AE494" s="47"/>
      <c r="AF494" s="319"/>
      <c r="AG494" s="328">
        <f t="shared" si="69"/>
        <v>0</v>
      </c>
    </row>
    <row r="495" spans="2:40">
      <c r="B495" s="267" t="s">
        <v>991</v>
      </c>
      <c r="C495" s="1581"/>
      <c r="D495" s="1581"/>
      <c r="E495" s="1581"/>
      <c r="F495" s="1581"/>
      <c r="G495" s="4"/>
      <c r="H495" s="47"/>
      <c r="I495" s="47"/>
      <c r="J495" s="319"/>
      <c r="K495" s="646"/>
      <c r="L495" s="438"/>
      <c r="M495" s="5"/>
      <c r="N495" s="5"/>
      <c r="O495" s="319"/>
      <c r="P495" s="646"/>
      <c r="Q495" s="438"/>
      <c r="R495" s="5"/>
      <c r="S495" s="5"/>
      <c r="T495" s="319"/>
      <c r="U495" s="646"/>
      <c r="V495" s="438"/>
      <c r="W495" s="5"/>
      <c r="X495" s="5"/>
      <c r="Y495" s="319"/>
      <c r="Z495" s="646"/>
      <c r="AA495" s="328">
        <f t="shared" si="67"/>
        <v>0</v>
      </c>
      <c r="AB495" s="298">
        <f t="shared" si="68"/>
        <v>0</v>
      </c>
      <c r="AC495" s="4"/>
      <c r="AD495" s="47"/>
      <c r="AE495" s="47"/>
      <c r="AF495" s="319"/>
      <c r="AG495" s="328">
        <f t="shared" si="69"/>
        <v>0</v>
      </c>
    </row>
    <row r="496" spans="2:40">
      <c r="B496" s="267" t="s">
        <v>411</v>
      </c>
      <c r="C496" s="1581"/>
      <c r="D496" s="1581"/>
      <c r="E496" s="1581"/>
      <c r="F496" s="1581"/>
      <c r="G496" s="4"/>
      <c r="H496" s="47"/>
      <c r="I496" s="47"/>
      <c r="J496" s="319"/>
      <c r="K496" s="646"/>
      <c r="L496" s="438"/>
      <c r="M496" s="5"/>
      <c r="N496" s="5"/>
      <c r="O496" s="319"/>
      <c r="P496" s="646"/>
      <c r="Q496" s="438"/>
      <c r="R496" s="5"/>
      <c r="S496" s="5"/>
      <c r="T496" s="319"/>
      <c r="U496" s="646"/>
      <c r="V496" s="438"/>
      <c r="W496" s="5"/>
      <c r="X496" s="5"/>
      <c r="Y496" s="319"/>
      <c r="Z496" s="646"/>
      <c r="AA496" s="328">
        <f t="shared" si="67"/>
        <v>0</v>
      </c>
      <c r="AB496" s="298">
        <f t="shared" si="68"/>
        <v>0</v>
      </c>
      <c r="AC496" s="4"/>
      <c r="AD496" s="47"/>
      <c r="AE496" s="47"/>
      <c r="AF496" s="319"/>
      <c r="AG496" s="328">
        <f t="shared" si="69"/>
        <v>0</v>
      </c>
    </row>
    <row r="497" spans="2:45">
      <c r="B497" s="267" t="s">
        <v>361</v>
      </c>
      <c r="C497" s="1581"/>
      <c r="D497" s="1581"/>
      <c r="E497" s="1581"/>
      <c r="F497" s="1581"/>
      <c r="G497" s="4"/>
      <c r="H497" s="47"/>
      <c r="I497" s="47"/>
      <c r="J497" s="319"/>
      <c r="K497" s="646"/>
      <c r="L497" s="438"/>
      <c r="M497" s="5"/>
      <c r="N497" s="5"/>
      <c r="O497" s="319"/>
      <c r="P497" s="646"/>
      <c r="Q497" s="438"/>
      <c r="R497" s="5"/>
      <c r="S497" s="5"/>
      <c r="T497" s="319"/>
      <c r="U497" s="646"/>
      <c r="V497" s="438"/>
      <c r="W497" s="5"/>
      <c r="X497" s="5"/>
      <c r="Y497" s="319"/>
      <c r="Z497" s="646"/>
      <c r="AA497" s="328">
        <f t="shared" si="67"/>
        <v>0</v>
      </c>
      <c r="AB497" s="298">
        <f t="shared" si="68"/>
        <v>0</v>
      </c>
      <c r="AC497" s="4"/>
      <c r="AD497" s="47"/>
      <c r="AE497" s="47"/>
      <c r="AF497" s="319"/>
      <c r="AG497" s="328">
        <f t="shared" si="69"/>
        <v>0</v>
      </c>
    </row>
    <row r="498" spans="2:45">
      <c r="B498" s="267" t="s">
        <v>362</v>
      </c>
      <c r="C498" s="1581"/>
      <c r="D498" s="1581"/>
      <c r="E498" s="1581"/>
      <c r="F498" s="1581"/>
      <c r="G498" s="4"/>
      <c r="H498" s="47"/>
      <c r="I498" s="47"/>
      <c r="J498" s="726">
        <v>8</v>
      </c>
      <c r="K498" s="646"/>
      <c r="L498" s="438"/>
      <c r="M498" s="47"/>
      <c r="N498" s="47"/>
      <c r="O498" s="726">
        <v>8</v>
      </c>
      <c r="P498" s="646"/>
      <c r="Q498" s="438"/>
      <c r="R498" s="47"/>
      <c r="S498" s="47"/>
      <c r="T498" s="726">
        <v>8</v>
      </c>
      <c r="U498" s="646"/>
      <c r="V498" s="438"/>
      <c r="W498" s="5"/>
      <c r="X498" s="5"/>
      <c r="Y498" s="726">
        <v>8</v>
      </c>
      <c r="Z498" s="646"/>
      <c r="AA498" s="328">
        <f t="shared" si="67"/>
        <v>32</v>
      </c>
      <c r="AB498" s="298">
        <f t="shared" si="68"/>
        <v>0</v>
      </c>
      <c r="AC498" s="4"/>
      <c r="AD498" s="47"/>
      <c r="AE498" s="47"/>
      <c r="AF498" s="319"/>
      <c r="AG498" s="328">
        <f t="shared" si="69"/>
        <v>0</v>
      </c>
    </row>
    <row r="499" spans="2:45">
      <c r="B499" s="437" t="s">
        <v>355</v>
      </c>
      <c r="C499" s="1581"/>
      <c r="D499" s="1581"/>
      <c r="E499" s="1581"/>
      <c r="F499" s="1581"/>
      <c r="G499" s="4"/>
      <c r="H499" s="47"/>
      <c r="I499" s="47"/>
      <c r="J499" s="319">
        <v>7.75</v>
      </c>
      <c r="K499" s="646"/>
      <c r="L499" s="438"/>
      <c r="M499" s="5"/>
      <c r="N499" s="5"/>
      <c r="O499" s="319">
        <v>7.75</v>
      </c>
      <c r="P499" s="646"/>
      <c r="Q499" s="438"/>
      <c r="R499" s="5"/>
      <c r="S499" s="5"/>
      <c r="T499" s="726">
        <v>8</v>
      </c>
      <c r="U499" s="646"/>
      <c r="V499" s="438"/>
      <c r="W499" s="5"/>
      <c r="X499" s="5"/>
      <c r="Y499" s="319">
        <v>7.75</v>
      </c>
      <c r="Z499" s="646"/>
      <c r="AA499" s="328">
        <f t="shared" si="67"/>
        <v>31.25</v>
      </c>
      <c r="AB499" s="298">
        <f t="shared" si="68"/>
        <v>0</v>
      </c>
      <c r="AC499" s="4"/>
      <c r="AD499" s="47"/>
      <c r="AE499" s="47"/>
      <c r="AF499" s="319"/>
      <c r="AG499" s="328">
        <f t="shared" si="69"/>
        <v>0</v>
      </c>
      <c r="AS499" s="180">
        <v>45.75</v>
      </c>
    </row>
    <row r="500" spans="2:45">
      <c r="B500" s="437" t="s">
        <v>356</v>
      </c>
      <c r="C500" s="1581"/>
      <c r="D500" s="1581"/>
      <c r="E500" s="1581"/>
      <c r="F500" s="1581"/>
      <c r="G500" s="438"/>
      <c r="H500" s="5"/>
      <c r="I500" s="5"/>
      <c r="J500" s="726">
        <v>8</v>
      </c>
      <c r="K500" s="646"/>
      <c r="L500" s="438"/>
      <c r="M500" s="5"/>
      <c r="N500" s="5"/>
      <c r="O500" s="726">
        <v>8</v>
      </c>
      <c r="P500" s="646"/>
      <c r="Q500" s="438"/>
      <c r="R500" s="5"/>
      <c r="S500" s="5"/>
      <c r="T500" s="726">
        <v>8</v>
      </c>
      <c r="U500" s="646"/>
      <c r="V500" s="438"/>
      <c r="W500" s="5"/>
      <c r="X500" s="5"/>
      <c r="Y500" s="726">
        <v>8</v>
      </c>
      <c r="Z500" s="646"/>
      <c r="AA500" s="328">
        <f t="shared" si="67"/>
        <v>32</v>
      </c>
      <c r="AB500" s="298">
        <f t="shared" si="68"/>
        <v>0</v>
      </c>
      <c r="AC500" s="4"/>
      <c r="AD500" s="47"/>
      <c r="AE500" s="47"/>
      <c r="AF500" s="319"/>
      <c r="AG500" s="328">
        <f t="shared" si="69"/>
        <v>0</v>
      </c>
    </row>
    <row r="501" spans="2:45">
      <c r="B501" s="64" t="s">
        <v>61</v>
      </c>
      <c r="C501" s="31"/>
      <c r="D501" s="31"/>
      <c r="E501" s="439"/>
      <c r="F501" s="439"/>
      <c r="G501" s="31"/>
      <c r="H501" s="31"/>
      <c r="I501" s="31"/>
      <c r="J501" s="439"/>
      <c r="K501" s="646"/>
      <c r="L501" s="31"/>
      <c r="M501" s="31"/>
      <c r="N501" s="31"/>
      <c r="O501" s="439"/>
      <c r="P501" s="646"/>
      <c r="Q501" s="31"/>
      <c r="R501" s="31"/>
      <c r="S501" s="31"/>
      <c r="T501" s="439"/>
      <c r="U501" s="646"/>
      <c r="V501" s="31"/>
      <c r="W501" s="31"/>
      <c r="X501" s="31"/>
      <c r="Y501" s="439"/>
      <c r="Z501" s="646"/>
      <c r="AA501" s="370">
        <f>SUM(AA477:AA500)</f>
        <v>387.25</v>
      </c>
      <c r="AB501" s="370">
        <f>SUM(AB477:AB500)</f>
        <v>7.5</v>
      </c>
      <c r="AC501" s="4"/>
      <c r="AD501" s="64"/>
      <c r="AE501" s="64"/>
      <c r="AF501" s="370">
        <f>SUM(AF477:AF500)</f>
        <v>0</v>
      </c>
      <c r="AG501" s="370">
        <f>SUM(AG477:AG500)</f>
        <v>0</v>
      </c>
      <c r="AK501" s="407"/>
    </row>
    <row r="502" spans="2:45">
      <c r="B502" s="63" t="s">
        <v>64</v>
      </c>
      <c r="C502" s="47"/>
      <c r="D502" s="47"/>
      <c r="E502" s="319"/>
      <c r="F502" s="346"/>
      <c r="G502" s="613"/>
      <c r="H502" s="47"/>
      <c r="I502" s="47"/>
      <c r="J502" s="319">
        <v>8.5</v>
      </c>
      <c r="K502" s="346"/>
      <c r="L502" s="60"/>
      <c r="M502" s="47"/>
      <c r="N502" s="47"/>
      <c r="O502" s="319">
        <v>8.5</v>
      </c>
      <c r="P502" s="346"/>
      <c r="Q502" s="60"/>
      <c r="R502" s="47"/>
      <c r="S502" s="47"/>
      <c r="T502" s="319">
        <v>9.5</v>
      </c>
      <c r="U502" s="346"/>
      <c r="V502" s="60"/>
      <c r="W502" s="47"/>
      <c r="X502" s="47"/>
      <c r="Y502" s="319">
        <f>8.75+1.5</f>
        <v>10.25</v>
      </c>
      <c r="Z502" s="346"/>
      <c r="AA502" s="28">
        <f>SUM(E502+J502+O502+T502+Y502)</f>
        <v>36.75</v>
      </c>
      <c r="AB502" s="296">
        <f>Z502+U502+P502+K502+F502</f>
        <v>0</v>
      </c>
      <c r="AC502" s="4"/>
      <c r="AD502" s="47" t="s">
        <v>29</v>
      </c>
      <c r="AE502" s="47" t="s">
        <v>29</v>
      </c>
      <c r="AF502" s="319"/>
      <c r="AG502" s="29">
        <f>AF502</f>
        <v>0</v>
      </c>
      <c r="AK502" s="407"/>
    </row>
    <row r="503" spans="2:45">
      <c r="B503" s="71" t="s">
        <v>66</v>
      </c>
      <c r="C503" s="371"/>
      <c r="D503" s="371"/>
      <c r="E503" s="71"/>
      <c r="F503" s="613"/>
      <c r="G503" s="71"/>
      <c r="H503" s="71"/>
      <c r="I503" s="71"/>
      <c r="J503" s="71"/>
      <c r="K503" s="613"/>
      <c r="L503" s="71"/>
      <c r="M503" s="71"/>
      <c r="N503" s="71"/>
      <c r="O503" s="71"/>
      <c r="P503" s="613"/>
      <c r="Q503" s="71"/>
      <c r="R503" s="71"/>
      <c r="S503" s="71"/>
      <c r="T503" s="71"/>
      <c r="U503" s="613"/>
      <c r="V503" s="71"/>
      <c r="W503" s="71"/>
      <c r="X503" s="71"/>
      <c r="Y503" s="71"/>
      <c r="Z503" s="613"/>
      <c r="AA503" s="370">
        <f>SUM(AA502:AA502)</f>
        <v>36.75</v>
      </c>
      <c r="AB503" s="370">
        <f>SUM(AB502:AB502)</f>
        <v>0</v>
      </c>
      <c r="AC503" s="4"/>
      <c r="AG503" s="370">
        <f>SUM(AG502:AG502)</f>
        <v>0</v>
      </c>
      <c r="AK503" s="407"/>
    </row>
    <row r="504" spans="2:45">
      <c r="B504" s="217" t="s">
        <v>67</v>
      </c>
      <c r="C504" s="207">
        <f>C505+C506</f>
        <v>18</v>
      </c>
      <c r="D504" s="207"/>
      <c r="E504" s="209"/>
      <c r="F504" s="209"/>
      <c r="G504" s="207"/>
      <c r="H504" s="209"/>
      <c r="I504" s="209"/>
      <c r="J504" s="209"/>
      <c r="K504" s="209"/>
      <c r="L504" s="207"/>
      <c r="M504" s="207"/>
      <c r="N504" s="207"/>
      <c r="O504" s="207"/>
      <c r="P504" s="209"/>
      <c r="Q504" s="207"/>
      <c r="R504" s="207"/>
      <c r="S504" s="207"/>
      <c r="T504" s="207"/>
      <c r="U504" s="209"/>
      <c r="V504" s="207"/>
      <c r="W504" s="207"/>
      <c r="X504" s="207"/>
      <c r="Y504" s="210"/>
      <c r="Z504" s="209"/>
      <c r="AA504" s="211"/>
      <c r="AB504" s="209"/>
      <c r="AC504" s="211"/>
      <c r="AD504" s="211"/>
      <c r="AE504" s="211"/>
      <c r="AF504" s="211"/>
      <c r="AG504" s="211"/>
    </row>
    <row r="505" spans="2:45">
      <c r="B505" s="238" t="s">
        <v>68</v>
      </c>
      <c r="C505" s="239">
        <v>0</v>
      </c>
      <c r="D505" s="207"/>
      <c r="E505" s="209"/>
      <c r="F505" s="209"/>
      <c r="G505" s="207"/>
      <c r="H505" s="209"/>
      <c r="I505" s="209"/>
      <c r="J505" s="209"/>
      <c r="K505" s="209"/>
      <c r="L505" s="207"/>
      <c r="M505" s="207"/>
      <c r="N505" s="207"/>
      <c r="O505" s="207"/>
      <c r="P505" s="209"/>
      <c r="Q505" s="207"/>
      <c r="R505" s="207"/>
      <c r="S505" s="207"/>
      <c r="T505" s="207"/>
      <c r="U505" s="209"/>
      <c r="V505" s="207"/>
      <c r="W505" s="207"/>
      <c r="X505" s="207"/>
      <c r="Y505" s="210"/>
      <c r="Z505" s="209"/>
      <c r="AA505" s="211"/>
      <c r="AB505" s="209"/>
      <c r="AC505" s="211"/>
      <c r="AD505" s="211"/>
      <c r="AE505" s="211"/>
      <c r="AF505" s="211"/>
      <c r="AG505" s="211"/>
    </row>
    <row r="506" spans="2:45">
      <c r="B506" s="238" t="s">
        <v>69</v>
      </c>
      <c r="C506" s="239">
        <v>18</v>
      </c>
      <c r="D506" s="207"/>
      <c r="E506" s="209"/>
      <c r="F506" s="209"/>
      <c r="G506" s="207"/>
      <c r="H506" s="209"/>
      <c r="I506" s="209"/>
      <c r="J506" s="209"/>
      <c r="K506" s="209"/>
      <c r="L506" s="207"/>
      <c r="M506" s="207"/>
      <c r="N506" s="207"/>
      <c r="O506" s="207"/>
      <c r="P506" s="209"/>
      <c r="Q506" s="207"/>
      <c r="R506" s="207"/>
      <c r="S506" s="207"/>
      <c r="T506" s="207"/>
      <c r="U506" s="209"/>
      <c r="V506" s="207"/>
      <c r="W506" s="207"/>
      <c r="X506" s="207"/>
      <c r="Y506" s="210"/>
      <c r="Z506" s="209"/>
      <c r="AA506" s="211"/>
      <c r="AB506" s="209"/>
      <c r="AC506" s="211"/>
      <c r="AD506" s="211"/>
      <c r="AE506" s="211"/>
      <c r="AF506" s="211"/>
      <c r="AG506" s="211"/>
    </row>
    <row r="507" spans="2:45">
      <c r="B507" s="180"/>
      <c r="E507" s="4"/>
      <c r="F507" s="644"/>
      <c r="G507" s="4"/>
      <c r="J507" s="4"/>
      <c r="K507" s="644"/>
      <c r="L507" s="4"/>
      <c r="O507" s="4"/>
      <c r="P507" s="644"/>
      <c r="T507" s="4"/>
      <c r="U507" s="644"/>
      <c r="Y507" s="4"/>
      <c r="Z507" s="644"/>
      <c r="AA507" s="4"/>
      <c r="AB507" s="4"/>
      <c r="AC507" s="4"/>
    </row>
    <row r="508" spans="2:45">
      <c r="B508" s="229"/>
      <c r="C508" s="230"/>
      <c r="D508" s="230"/>
      <c r="E508" s="232"/>
      <c r="F508" s="232"/>
      <c r="G508" s="230"/>
      <c r="H508" s="232"/>
      <c r="I508" s="232"/>
      <c r="J508" s="232"/>
      <c r="K508" s="232"/>
      <c r="L508" s="230"/>
      <c r="M508" s="230"/>
      <c r="N508" s="230"/>
      <c r="O508" s="230"/>
      <c r="P508" s="232"/>
      <c r="Q508" s="230"/>
      <c r="R508" s="230"/>
      <c r="S508" s="230"/>
      <c r="T508" s="230"/>
      <c r="U508" s="232"/>
      <c r="V508" s="230"/>
      <c r="W508" s="230"/>
      <c r="X508" s="230"/>
      <c r="Y508" s="233"/>
      <c r="Z508" s="232"/>
      <c r="AA508" s="234"/>
      <c r="AB508" s="232"/>
      <c r="AC508" s="373"/>
      <c r="AD508" s="236"/>
      <c r="AE508" s="255"/>
      <c r="AF508" s="255"/>
      <c r="AG508" s="255"/>
      <c r="AH508" s="255"/>
      <c r="AJ508" s="255"/>
      <c r="AK508" s="255"/>
      <c r="AL508" s="255"/>
      <c r="AM508" s="255"/>
      <c r="AN508" s="255"/>
      <c r="AO508" s="255"/>
      <c r="AP508" s="255"/>
    </row>
    <row r="509" spans="2:45">
      <c r="B509" s="180"/>
      <c r="E509" s="4"/>
      <c r="F509" s="644"/>
      <c r="G509" s="4"/>
      <c r="J509" s="4"/>
      <c r="K509" s="644"/>
      <c r="L509" s="4"/>
      <c r="O509" s="4"/>
      <c r="P509" s="644"/>
      <c r="T509" s="4"/>
      <c r="U509" s="644"/>
      <c r="Y509" s="4"/>
      <c r="Z509" s="644"/>
      <c r="AA509" s="4"/>
      <c r="AB509" s="4"/>
      <c r="AC509" s="4"/>
      <c r="AK509" s="180"/>
      <c r="AL509" s="180"/>
      <c r="AM509" s="180"/>
      <c r="AN509" s="180"/>
      <c r="AO509" s="180"/>
      <c r="AP509" s="180"/>
    </row>
    <row r="510" spans="2:45" ht="25.5">
      <c r="B510" s="1518" t="s">
        <v>18</v>
      </c>
      <c r="C510" s="1519">
        <v>45810</v>
      </c>
      <c r="D510" s="1519"/>
      <c r="E510" s="1519" t="s">
        <v>564</v>
      </c>
      <c r="F510" s="1519"/>
      <c r="G510" s="365"/>
      <c r="H510" s="1519">
        <v>45811</v>
      </c>
      <c r="I510" s="1519"/>
      <c r="J510" s="1519" t="s">
        <v>565</v>
      </c>
      <c r="K510" s="1519"/>
      <c r="L510" s="365"/>
      <c r="M510" s="1519">
        <v>45812</v>
      </c>
      <c r="N510" s="1519"/>
      <c r="O510" s="1519" t="s">
        <v>566</v>
      </c>
      <c r="P510" s="1519"/>
      <c r="Q510" s="365"/>
      <c r="R510" s="1519">
        <v>45813</v>
      </c>
      <c r="S510" s="1519"/>
      <c r="T510" s="1519" t="s">
        <v>567</v>
      </c>
      <c r="U510" s="1519"/>
      <c r="V510" s="365"/>
      <c r="W510" s="1519">
        <v>45814</v>
      </c>
      <c r="X510" s="1519"/>
      <c r="Y510" s="1519" t="s">
        <v>568</v>
      </c>
      <c r="Z510" s="1519"/>
      <c r="AA510" s="1517" t="s">
        <v>19</v>
      </c>
      <c r="AB510" s="1517" t="s">
        <v>20</v>
      </c>
      <c r="AC510" s="4"/>
      <c r="AD510" s="1519"/>
      <c r="AE510" s="1519"/>
      <c r="AF510" s="14" t="s">
        <v>1111</v>
      </c>
      <c r="AG510" s="1517" t="s">
        <v>21</v>
      </c>
      <c r="AI510" s="368"/>
      <c r="AK510" s="194" t="s">
        <v>84</v>
      </c>
      <c r="AL510" s="366"/>
      <c r="AM510" s="366"/>
      <c r="AN510" s="366"/>
      <c r="AO510" s="366"/>
      <c r="AP510" s="366"/>
    </row>
    <row r="511" spans="2:45">
      <c r="B511" s="1518"/>
      <c r="C511" s="21" t="s">
        <v>23</v>
      </c>
      <c r="D511" s="21" t="s">
        <v>24</v>
      </c>
      <c r="E511" s="205" t="s">
        <v>25</v>
      </c>
      <c r="F511" s="645" t="s">
        <v>14</v>
      </c>
      <c r="G511" s="4"/>
      <c r="H511" s="21"/>
      <c r="I511" s="21" t="s">
        <v>24</v>
      </c>
      <c r="J511" s="18" t="s">
        <v>25</v>
      </c>
      <c r="K511" s="645" t="s">
        <v>14</v>
      </c>
      <c r="L511" s="4"/>
      <c r="M511" s="21" t="s">
        <v>23</v>
      </c>
      <c r="N511" s="21" t="s">
        <v>24</v>
      </c>
      <c r="O511" s="18" t="s">
        <v>25</v>
      </c>
      <c r="P511" s="645" t="s">
        <v>14</v>
      </c>
      <c r="R511" s="21" t="s">
        <v>23</v>
      </c>
      <c r="S511" s="21" t="s">
        <v>24</v>
      </c>
      <c r="T511" s="18" t="s">
        <v>25</v>
      </c>
      <c r="U511" s="645" t="s">
        <v>14</v>
      </c>
      <c r="W511" s="21" t="s">
        <v>23</v>
      </c>
      <c r="X511" s="21" t="s">
        <v>24</v>
      </c>
      <c r="Y511" s="18" t="s">
        <v>25</v>
      </c>
      <c r="Z511" s="645" t="s">
        <v>14</v>
      </c>
      <c r="AA511" s="1517"/>
      <c r="AB511" s="1517"/>
      <c r="AC511" s="4"/>
      <c r="AD511" s="21" t="s">
        <v>23</v>
      </c>
      <c r="AE511" s="21" t="s">
        <v>24</v>
      </c>
      <c r="AF511" s="18" t="s">
        <v>25</v>
      </c>
      <c r="AG511" s="1517"/>
      <c r="AI511" s="368"/>
      <c r="AJ511" s="367"/>
      <c r="AK511" s="188" t="s">
        <v>26</v>
      </c>
      <c r="AL511" s="196">
        <f>AA536</f>
        <v>275.5</v>
      </c>
      <c r="AM511" s="510">
        <v>40.31</v>
      </c>
      <c r="AN511" s="510">
        <f t="shared" ref="AN511:AN516" si="70">AL511*AM511</f>
        <v>11105.405000000001</v>
      </c>
    </row>
    <row r="512" spans="2:45">
      <c r="B512" s="4" t="s">
        <v>958</v>
      </c>
      <c r="C512" s="47"/>
      <c r="D512" s="47"/>
      <c r="E512" s="319">
        <v>0</v>
      </c>
      <c r="F512" s="646"/>
      <c r="G512" s="4"/>
      <c r="H512" s="47"/>
      <c r="I512" s="47"/>
      <c r="J512" s="319">
        <v>0</v>
      </c>
      <c r="K512" s="646"/>
      <c r="L512" s="4"/>
      <c r="M512" s="441"/>
      <c r="N512" s="47"/>
      <c r="O512" s="319">
        <v>0</v>
      </c>
      <c r="P512" s="646"/>
      <c r="R512" s="47"/>
      <c r="S512" s="47"/>
      <c r="T512" s="319">
        <v>0</v>
      </c>
      <c r="U512" s="646"/>
      <c r="W512" s="47"/>
      <c r="X512" s="47"/>
      <c r="Y512" s="319">
        <v>0</v>
      </c>
      <c r="Z512" s="646"/>
      <c r="AA512" s="328">
        <f t="shared" ref="AA512:AA535" si="71">(E512+J512+O512+T512+Y512)</f>
        <v>0</v>
      </c>
      <c r="AB512" s="298">
        <f t="shared" ref="AB512:AB535" si="72">Z512+U512+P512+K512+F512</f>
        <v>0</v>
      </c>
      <c r="AC512" s="4"/>
      <c r="AD512" s="587"/>
      <c r="AE512" s="531"/>
      <c r="AF512" s="319"/>
      <c r="AG512" s="328">
        <f t="shared" ref="AG512:AG535" si="73">AF512</f>
        <v>0</v>
      </c>
      <c r="AI512" s="368"/>
      <c r="AJ512" s="367"/>
      <c r="AK512" s="188" t="s">
        <v>30</v>
      </c>
      <c r="AL512" s="196">
        <f>AB536</f>
        <v>3.25</v>
      </c>
      <c r="AM512" s="511">
        <v>60.465000000000003</v>
      </c>
      <c r="AN512" s="510">
        <f t="shared" si="70"/>
        <v>196.51125000000002</v>
      </c>
    </row>
    <row r="513" spans="2:42">
      <c r="B513" s="47" t="s">
        <v>515</v>
      </c>
      <c r="C513" s="47"/>
      <c r="D513" s="47"/>
      <c r="E513" s="319">
        <v>0</v>
      </c>
      <c r="F513" s="646"/>
      <c r="G513" s="4"/>
      <c r="H513" s="47">
        <v>0.375</v>
      </c>
      <c r="I513" s="47">
        <v>0.25</v>
      </c>
      <c r="J513" s="319">
        <v>8</v>
      </c>
      <c r="K513" s="646"/>
      <c r="L513" s="4"/>
      <c r="M513" s="441" t="s">
        <v>75</v>
      </c>
      <c r="N513" s="47">
        <v>0.25</v>
      </c>
      <c r="O513" s="319">
        <v>8</v>
      </c>
      <c r="P513" s="646"/>
      <c r="R513" s="47"/>
      <c r="S513" s="47"/>
      <c r="T513" s="319">
        <v>0</v>
      </c>
      <c r="U513" s="646"/>
      <c r="W513" s="47"/>
      <c r="X513" s="47"/>
      <c r="Y513" s="319">
        <v>0</v>
      </c>
      <c r="Z513" s="646"/>
      <c r="AA513" s="328">
        <f t="shared" si="71"/>
        <v>16</v>
      </c>
      <c r="AB513" s="298">
        <f t="shared" si="72"/>
        <v>0</v>
      </c>
      <c r="AC513" s="4"/>
      <c r="AF513" s="319"/>
      <c r="AG513" s="328">
        <f t="shared" si="73"/>
        <v>0</v>
      </c>
      <c r="AH513" s="175"/>
      <c r="AI513" s="402"/>
      <c r="AJ513" s="367"/>
      <c r="AK513" s="188" t="s">
        <v>32</v>
      </c>
      <c r="AL513" s="196">
        <f>AG536</f>
        <v>0</v>
      </c>
      <c r="AM513" s="510">
        <v>60.465000000000003</v>
      </c>
      <c r="AN513" s="510">
        <f t="shared" si="70"/>
        <v>0</v>
      </c>
    </row>
    <row r="514" spans="2:42">
      <c r="B514" s="441" t="s">
        <v>962</v>
      </c>
      <c r="C514" s="47"/>
      <c r="D514" s="47"/>
      <c r="E514" s="319">
        <v>0</v>
      </c>
      <c r="F514" s="646"/>
      <c r="G514" s="4"/>
      <c r="H514" s="47"/>
      <c r="I514" s="47"/>
      <c r="J514" s="319">
        <v>0</v>
      </c>
      <c r="K514" s="646"/>
      <c r="L514" s="4"/>
      <c r="M514" s="441"/>
      <c r="N514" s="47"/>
      <c r="O514" s="319">
        <v>0</v>
      </c>
      <c r="P514" s="646"/>
      <c r="R514" s="47"/>
      <c r="S514" s="47"/>
      <c r="T514" s="319">
        <v>0</v>
      </c>
      <c r="U514" s="646"/>
      <c r="W514" s="47"/>
      <c r="X514" s="47"/>
      <c r="Y514" s="319">
        <v>0</v>
      </c>
      <c r="Z514" s="646"/>
      <c r="AA514" s="328">
        <f t="shared" si="71"/>
        <v>0</v>
      </c>
      <c r="AB514" s="298">
        <f t="shared" si="72"/>
        <v>0</v>
      </c>
      <c r="AC514" s="399"/>
      <c r="AD514" s="47"/>
      <c r="AE514" s="47"/>
      <c r="AF514" s="319"/>
      <c r="AG514" s="328">
        <f t="shared" si="73"/>
        <v>0</v>
      </c>
      <c r="AH514" s="175"/>
      <c r="AJ514" s="401"/>
      <c r="AK514" s="403" t="s">
        <v>213</v>
      </c>
      <c r="AL514" s="404">
        <f>AA538</f>
        <v>40</v>
      </c>
      <c r="AM514" s="510">
        <v>53.05</v>
      </c>
      <c r="AN514" s="510">
        <f t="shared" si="70"/>
        <v>2122</v>
      </c>
      <c r="AO514" s="405"/>
      <c r="AP514" s="405"/>
    </row>
    <row r="515" spans="2:42">
      <c r="B515" s="47" t="s">
        <v>1112</v>
      </c>
      <c r="C515" s="47">
        <v>0.33333333333333331</v>
      </c>
      <c r="D515" s="47">
        <v>0.20833333333333334</v>
      </c>
      <c r="E515" s="319">
        <v>8</v>
      </c>
      <c r="F515" s="646"/>
      <c r="G515" s="4"/>
      <c r="H515" s="47">
        <v>0.375</v>
      </c>
      <c r="I515" s="47">
        <v>0.25</v>
      </c>
      <c r="J515" s="319">
        <v>8</v>
      </c>
      <c r="K515" s="646"/>
      <c r="L515" s="4"/>
      <c r="M515" s="441" t="s">
        <v>125</v>
      </c>
      <c r="N515" s="47">
        <v>0.20833333333333334</v>
      </c>
      <c r="O515" s="319">
        <v>8</v>
      </c>
      <c r="P515" s="646"/>
      <c r="R515" s="47"/>
      <c r="S515" s="47"/>
      <c r="T515" s="319">
        <v>0</v>
      </c>
      <c r="U515" s="646"/>
      <c r="W515" s="47"/>
      <c r="X515" s="47"/>
      <c r="Y515" s="319">
        <v>0</v>
      </c>
      <c r="Z515" s="646"/>
      <c r="AA515" s="328">
        <f t="shared" si="71"/>
        <v>24</v>
      </c>
      <c r="AB515" s="298">
        <f t="shared" si="72"/>
        <v>0</v>
      </c>
      <c r="AC515" s="4"/>
      <c r="AD515" s="47"/>
      <c r="AE515" s="47"/>
      <c r="AF515" s="319"/>
      <c r="AG515" s="328">
        <f t="shared" si="73"/>
        <v>0</v>
      </c>
      <c r="AH515" s="175"/>
      <c r="AI515" s="368"/>
      <c r="AK515" s="188" t="s">
        <v>36</v>
      </c>
      <c r="AL515" s="196">
        <f>AB538</f>
        <v>5.75</v>
      </c>
      <c r="AM515" s="510">
        <v>79.574999999999989</v>
      </c>
      <c r="AN515" s="510">
        <f t="shared" si="70"/>
        <v>457.55624999999992</v>
      </c>
    </row>
    <row r="516" spans="2:42">
      <c r="B516" s="436" t="s">
        <v>972</v>
      </c>
      <c r="C516" s="47"/>
      <c r="D516" s="47"/>
      <c r="E516" s="319">
        <v>0</v>
      </c>
      <c r="F516" s="646"/>
      <c r="G516" s="4"/>
      <c r="H516" s="47"/>
      <c r="I516" s="47"/>
      <c r="J516" s="319">
        <v>0</v>
      </c>
      <c r="K516" s="646"/>
      <c r="L516" s="4"/>
      <c r="M516" s="441"/>
      <c r="N516" s="47"/>
      <c r="O516" s="319">
        <v>0</v>
      </c>
      <c r="P516" s="646"/>
      <c r="R516" s="47"/>
      <c r="S516" s="47"/>
      <c r="T516" s="319">
        <v>0</v>
      </c>
      <c r="U516" s="646"/>
      <c r="W516" s="47"/>
      <c r="X516" s="47"/>
      <c r="Y516" s="319">
        <v>0</v>
      </c>
      <c r="Z516" s="646"/>
      <c r="AA516" s="328">
        <f t="shared" si="71"/>
        <v>0</v>
      </c>
      <c r="AB516" s="298">
        <f t="shared" si="72"/>
        <v>0</v>
      </c>
      <c r="AC516" s="4"/>
      <c r="AD516" s="47"/>
      <c r="AE516" s="47"/>
      <c r="AF516" s="319"/>
      <c r="AG516" s="328">
        <f t="shared" si="73"/>
        <v>0</v>
      </c>
      <c r="AK516" s="188" t="s">
        <v>38</v>
      </c>
      <c r="AL516" s="196">
        <f>AG538</f>
        <v>0</v>
      </c>
      <c r="AM516" s="510">
        <v>79.574999999999989</v>
      </c>
      <c r="AN516" s="510">
        <f t="shared" si="70"/>
        <v>0</v>
      </c>
    </row>
    <row r="517" spans="2:42">
      <c r="B517" s="47" t="s">
        <v>974</v>
      </c>
      <c r="C517" s="47">
        <v>0.33333333333333331</v>
      </c>
      <c r="D517" s="47">
        <v>0.20833333333333334</v>
      </c>
      <c r="E517" s="319">
        <v>8</v>
      </c>
      <c r="F517" s="646"/>
      <c r="G517" s="4"/>
      <c r="H517" s="47">
        <v>0.33333333333333331</v>
      </c>
      <c r="I517" s="47">
        <v>0.20833333333333334</v>
      </c>
      <c r="J517" s="319">
        <v>8</v>
      </c>
      <c r="K517" s="646"/>
      <c r="L517" s="4"/>
      <c r="M517" s="441" t="s">
        <v>125</v>
      </c>
      <c r="N517" s="47">
        <v>0.20833333333333334</v>
      </c>
      <c r="O517" s="319">
        <v>8</v>
      </c>
      <c r="P517" s="646"/>
      <c r="R517" s="47">
        <v>0.33333333333333331</v>
      </c>
      <c r="S517" s="47">
        <v>0.20833333333333334</v>
      </c>
      <c r="T517" s="319">
        <v>8</v>
      </c>
      <c r="U517" s="646"/>
      <c r="W517" s="47">
        <v>0.33333333333333331</v>
      </c>
      <c r="X517" s="47">
        <v>0.22916666666666666</v>
      </c>
      <c r="Y517" s="319">
        <v>8</v>
      </c>
      <c r="Z517" s="646">
        <v>0.5</v>
      </c>
      <c r="AA517" s="328">
        <f>(E517+J517+O517+T517+Y517)</f>
        <v>40</v>
      </c>
      <c r="AB517" s="298">
        <f t="shared" si="72"/>
        <v>0.5</v>
      </c>
      <c r="AC517" s="4"/>
      <c r="AD517" s="47"/>
      <c r="AE517" s="47"/>
      <c r="AF517" s="319"/>
      <c r="AG517" s="328">
        <f t="shared" si="73"/>
        <v>0</v>
      </c>
      <c r="AN517" s="510">
        <f>SUM(AN511:AN516)</f>
        <v>13881.4725</v>
      </c>
    </row>
    <row r="518" spans="2:42">
      <c r="B518" s="374" t="s">
        <v>998</v>
      </c>
      <c r="C518" s="47"/>
      <c r="D518" s="47"/>
      <c r="E518" s="319">
        <v>0</v>
      </c>
      <c r="F518" s="646"/>
      <c r="G518" s="4"/>
      <c r="H518" s="47"/>
      <c r="I518" s="47"/>
      <c r="J518" s="319">
        <v>0</v>
      </c>
      <c r="K518" s="646"/>
      <c r="L518" s="4"/>
      <c r="M518" s="441"/>
      <c r="N518" s="47"/>
      <c r="O518" s="319">
        <v>0</v>
      </c>
      <c r="P518" s="646"/>
      <c r="R518" s="47"/>
      <c r="S518" s="47"/>
      <c r="T518" s="319">
        <v>0</v>
      </c>
      <c r="U518" s="646"/>
      <c r="W518" s="47"/>
      <c r="X518" s="47"/>
      <c r="Y518" s="319">
        <v>0</v>
      </c>
      <c r="Z518" s="646"/>
      <c r="AA518" s="328">
        <f t="shared" si="71"/>
        <v>0</v>
      </c>
      <c r="AB518" s="298">
        <f t="shared" si="72"/>
        <v>0</v>
      </c>
      <c r="AC518" s="4"/>
      <c r="AD518" s="47"/>
      <c r="AE518" s="47"/>
      <c r="AF518" s="319"/>
      <c r="AG518" s="328">
        <f t="shared" si="73"/>
        <v>0</v>
      </c>
    </row>
    <row r="519" spans="2:42">
      <c r="B519" s="47" t="s">
        <v>977</v>
      </c>
      <c r="C519" s="47">
        <v>0.33333333333333331</v>
      </c>
      <c r="D519" s="47">
        <v>0.20833333333333334</v>
      </c>
      <c r="E519" s="319">
        <v>8</v>
      </c>
      <c r="F519" s="646"/>
      <c r="G519" s="4"/>
      <c r="H519" s="47">
        <v>0.33333333333333331</v>
      </c>
      <c r="I519" s="47">
        <v>0.20833333333333334</v>
      </c>
      <c r="J519" s="319">
        <v>8</v>
      </c>
      <c r="K519" s="646"/>
      <c r="L519" s="4"/>
      <c r="M519" s="441" t="s">
        <v>125</v>
      </c>
      <c r="N519" s="47">
        <v>0.20833333333333334</v>
      </c>
      <c r="O519" s="319">
        <v>8</v>
      </c>
      <c r="P519" s="646"/>
      <c r="R519" s="47">
        <v>0.33333333333333331</v>
      </c>
      <c r="S519" s="47">
        <v>0.20833333333333334</v>
      </c>
      <c r="T519" s="319">
        <v>8</v>
      </c>
      <c r="U519" s="646"/>
      <c r="W519" s="47">
        <v>0.33333333333333331</v>
      </c>
      <c r="X519" s="47">
        <v>0.22916666666666666</v>
      </c>
      <c r="Y519" s="319">
        <v>8.5</v>
      </c>
      <c r="Z519" s="646">
        <v>0.5</v>
      </c>
      <c r="AA519" s="328">
        <f t="shared" si="71"/>
        <v>40.5</v>
      </c>
      <c r="AB519" s="298">
        <f t="shared" si="72"/>
        <v>0.5</v>
      </c>
      <c r="AC519" s="4"/>
      <c r="AD519" s="47"/>
      <c r="AE519" s="47"/>
      <c r="AF519" s="319"/>
      <c r="AG519" s="328">
        <f t="shared" si="73"/>
        <v>0</v>
      </c>
      <c r="AK519" s="192" t="s">
        <v>1115</v>
      </c>
      <c r="AL519" s="189">
        <f>C539</f>
        <v>15</v>
      </c>
    </row>
    <row r="520" spans="2:42">
      <c r="B520" s="47" t="s">
        <v>519</v>
      </c>
      <c r="C520" s="47"/>
      <c r="D520" s="47"/>
      <c r="E520" s="319">
        <v>0</v>
      </c>
      <c r="F520" s="646"/>
      <c r="G520" s="4"/>
      <c r="H520" s="47"/>
      <c r="I520" s="47"/>
      <c r="J520" s="319">
        <v>0</v>
      </c>
      <c r="K520" s="646"/>
      <c r="L520" s="4"/>
      <c r="M520" s="441"/>
      <c r="N520" s="47"/>
      <c r="O520" s="319">
        <v>0</v>
      </c>
      <c r="P520" s="646"/>
      <c r="R520" s="441"/>
      <c r="S520" s="47"/>
      <c r="T520" s="319">
        <v>0</v>
      </c>
      <c r="U520" s="646"/>
      <c r="W520" s="441"/>
      <c r="X520" s="47"/>
      <c r="Y520" s="319">
        <v>0</v>
      </c>
      <c r="Z520" s="646"/>
      <c r="AA520" s="328">
        <f t="shared" si="71"/>
        <v>0</v>
      </c>
      <c r="AB520" s="298">
        <f t="shared" si="72"/>
        <v>0</v>
      </c>
      <c r="AC520" s="4"/>
      <c r="AD520" s="47"/>
      <c r="AE520" s="47"/>
      <c r="AF520" s="319"/>
      <c r="AG520" s="328">
        <f t="shared" si="73"/>
        <v>0</v>
      </c>
    </row>
    <row r="521" spans="2:42">
      <c r="B521" s="47" t="s">
        <v>999</v>
      </c>
      <c r="C521" s="47"/>
      <c r="D521" s="441"/>
      <c r="E521" s="319">
        <v>0</v>
      </c>
      <c r="F521" s="646"/>
      <c r="G521" s="4"/>
      <c r="H521" s="47"/>
      <c r="I521" s="47"/>
      <c r="J521" s="319">
        <v>0</v>
      </c>
      <c r="K521" s="646"/>
      <c r="L521" s="4"/>
      <c r="M521" s="441"/>
      <c r="N521" s="47"/>
      <c r="O521" s="319">
        <v>0</v>
      </c>
      <c r="P521" s="646"/>
      <c r="R521" s="441"/>
      <c r="S521" s="441"/>
      <c r="T521" s="319">
        <v>0</v>
      </c>
      <c r="U521" s="646"/>
      <c r="W521" s="441"/>
      <c r="X521" s="441"/>
      <c r="Y521" s="319">
        <v>0</v>
      </c>
      <c r="Z521" s="646"/>
      <c r="AA521" s="328">
        <f t="shared" si="71"/>
        <v>0</v>
      </c>
      <c r="AB521" s="298">
        <f t="shared" si="72"/>
        <v>0</v>
      </c>
      <c r="AC521" s="4"/>
      <c r="AD521" s="47"/>
      <c r="AE521" s="47"/>
      <c r="AF521" s="319"/>
      <c r="AG521" s="328">
        <f t="shared" si="73"/>
        <v>0</v>
      </c>
    </row>
    <row r="522" spans="2:42">
      <c r="B522" s="47" t="s">
        <v>1113</v>
      </c>
      <c r="C522" s="47"/>
      <c r="D522" s="47"/>
      <c r="E522" s="319">
        <v>0</v>
      </c>
      <c r="F522" s="646"/>
      <c r="G522" s="4"/>
      <c r="H522" s="47"/>
      <c r="I522" s="47"/>
      <c r="J522" s="319">
        <v>0</v>
      </c>
      <c r="K522" s="646"/>
      <c r="L522" s="4"/>
      <c r="M522" s="441"/>
      <c r="N522" s="47"/>
      <c r="O522" s="319">
        <v>0</v>
      </c>
      <c r="P522" s="646"/>
      <c r="R522" s="441"/>
      <c r="S522" s="47"/>
      <c r="T522" s="319">
        <v>0</v>
      </c>
      <c r="U522" s="646"/>
      <c r="W522" s="441"/>
      <c r="X522" s="47"/>
      <c r="Y522" s="319">
        <v>0</v>
      </c>
      <c r="Z522" s="646"/>
      <c r="AA522" s="328">
        <f t="shared" si="71"/>
        <v>0</v>
      </c>
      <c r="AB522" s="298">
        <f t="shared" si="72"/>
        <v>0</v>
      </c>
      <c r="AC522" s="4"/>
      <c r="AD522" s="47"/>
      <c r="AE522" s="47"/>
      <c r="AF522" s="319"/>
      <c r="AG522" s="328">
        <f t="shared" si="73"/>
        <v>0</v>
      </c>
    </row>
    <row r="523" spans="2:42">
      <c r="B523" s="502" t="s">
        <v>483</v>
      </c>
      <c r="C523" s="47"/>
      <c r="D523" s="47"/>
      <c r="E523" s="319"/>
      <c r="F523" s="646"/>
      <c r="G523" s="4"/>
      <c r="H523" s="47"/>
      <c r="I523" s="47"/>
      <c r="J523" s="319"/>
      <c r="K523" s="646"/>
      <c r="L523" s="4"/>
      <c r="M523" s="441"/>
      <c r="N523" s="47"/>
      <c r="O523" s="319"/>
      <c r="P523" s="646"/>
      <c r="R523" s="5"/>
      <c r="S523" s="5"/>
      <c r="T523" s="319"/>
      <c r="U523" s="646"/>
      <c r="W523" s="5"/>
      <c r="X523" s="5"/>
      <c r="Y523" s="319"/>
      <c r="Z523" s="646"/>
      <c r="AA523" s="328">
        <f t="shared" si="71"/>
        <v>0</v>
      </c>
      <c r="AB523" s="298">
        <f t="shared" si="72"/>
        <v>0</v>
      </c>
      <c r="AC523" s="4"/>
      <c r="AD523" s="47"/>
      <c r="AE523" s="47"/>
      <c r="AF523" s="319"/>
      <c r="AG523" s="328">
        <f t="shared" si="73"/>
        <v>0</v>
      </c>
    </row>
    <row r="524" spans="2:42">
      <c r="B524" s="502" t="s">
        <v>483</v>
      </c>
      <c r="C524" s="47"/>
      <c r="D524" s="47"/>
      <c r="E524" s="319">
        <v>0</v>
      </c>
      <c r="F524" s="646"/>
      <c r="G524" s="4"/>
      <c r="H524" s="47"/>
      <c r="I524" s="47"/>
      <c r="J524" s="319">
        <v>8</v>
      </c>
      <c r="K524" s="646"/>
      <c r="L524" s="4"/>
      <c r="M524" s="441"/>
      <c r="N524" s="47"/>
      <c r="O524" s="319">
        <v>8</v>
      </c>
      <c r="P524" s="646">
        <v>0.75</v>
      </c>
      <c r="R524" s="47"/>
      <c r="S524" s="47"/>
      <c r="T524" s="319">
        <v>8</v>
      </c>
      <c r="U524" s="646"/>
      <c r="W524" s="47"/>
      <c r="X524" s="47"/>
      <c r="Y524" s="319">
        <v>7</v>
      </c>
      <c r="Z524" s="646"/>
      <c r="AA524" s="328">
        <f t="shared" si="71"/>
        <v>31</v>
      </c>
      <c r="AB524" s="298">
        <f t="shared" si="72"/>
        <v>0.75</v>
      </c>
      <c r="AC524" s="4"/>
      <c r="AD524" s="47"/>
      <c r="AE524" s="47"/>
      <c r="AF524" s="319"/>
      <c r="AG524" s="328">
        <f t="shared" si="73"/>
        <v>0</v>
      </c>
    </row>
    <row r="525" spans="2:42">
      <c r="B525" s="502" t="s">
        <v>484</v>
      </c>
      <c r="C525" s="47"/>
      <c r="D525" s="47"/>
      <c r="E525" s="319">
        <v>0</v>
      </c>
      <c r="F525" s="646"/>
      <c r="G525" s="4"/>
      <c r="H525" s="47"/>
      <c r="I525" s="47"/>
      <c r="J525" s="319">
        <v>3</v>
      </c>
      <c r="K525" s="646"/>
      <c r="L525" s="4"/>
      <c r="M525" s="441"/>
      <c r="N525" s="47"/>
      <c r="O525" s="319">
        <v>8</v>
      </c>
      <c r="P525" s="646">
        <v>0.75</v>
      </c>
      <c r="R525" s="47"/>
      <c r="S525" s="47"/>
      <c r="T525" s="319">
        <v>4</v>
      </c>
      <c r="U525" s="646"/>
      <c r="W525" s="47"/>
      <c r="X525" s="47"/>
      <c r="Y525" s="319">
        <v>7</v>
      </c>
      <c r="Z525" s="646"/>
      <c r="AA525" s="328">
        <f t="shared" si="71"/>
        <v>22</v>
      </c>
      <c r="AB525" s="298">
        <f t="shared" si="72"/>
        <v>0.75</v>
      </c>
      <c r="AC525" s="4"/>
      <c r="AD525" s="47"/>
      <c r="AE525" s="47"/>
      <c r="AF525" s="319"/>
      <c r="AG525" s="328">
        <f t="shared" si="73"/>
        <v>0</v>
      </c>
    </row>
    <row r="526" spans="2:42">
      <c r="B526" s="502" t="s">
        <v>485</v>
      </c>
      <c r="C526" s="47"/>
      <c r="D526" s="47"/>
      <c r="E526" s="319">
        <v>0</v>
      </c>
      <c r="F526" s="646"/>
      <c r="G526" s="4"/>
      <c r="H526" s="47"/>
      <c r="I526" s="47"/>
      <c r="J526" s="319">
        <v>8</v>
      </c>
      <c r="K526" s="646"/>
      <c r="L526" s="4"/>
      <c r="M526" s="47"/>
      <c r="N526" s="47"/>
      <c r="O526" s="319">
        <v>8</v>
      </c>
      <c r="P526" s="646">
        <v>0.75</v>
      </c>
      <c r="R526" s="47"/>
      <c r="S526" s="47"/>
      <c r="T526" s="319">
        <v>8</v>
      </c>
      <c r="U526" s="646"/>
      <c r="W526" s="47"/>
      <c r="X526" s="47"/>
      <c r="Y526" s="319">
        <v>7</v>
      </c>
      <c r="Z526" s="646"/>
      <c r="AA526" s="328">
        <f t="shared" si="71"/>
        <v>31</v>
      </c>
      <c r="AB526" s="298">
        <f t="shared" si="72"/>
        <v>0.75</v>
      </c>
      <c r="AC526" s="4"/>
      <c r="AD526" s="47"/>
      <c r="AE526" s="47"/>
      <c r="AF526" s="319"/>
      <c r="AG526" s="328">
        <f t="shared" si="73"/>
        <v>0</v>
      </c>
    </row>
    <row r="527" spans="2:42">
      <c r="B527" s="502" t="s">
        <v>1129</v>
      </c>
      <c r="C527" s="47"/>
      <c r="D527" s="47"/>
      <c r="E527" s="319"/>
      <c r="F527" s="646"/>
      <c r="G527" s="4"/>
      <c r="H527" s="47"/>
      <c r="I527" s="47"/>
      <c r="J527" s="319"/>
      <c r="K527" s="646"/>
      <c r="L527" s="4"/>
      <c r="M527" s="5"/>
      <c r="N527" s="5"/>
      <c r="O527" s="319"/>
      <c r="P527" s="646"/>
      <c r="R527" s="5"/>
      <c r="S527" s="5"/>
      <c r="T527" s="319"/>
      <c r="U527" s="646"/>
      <c r="W527" s="5"/>
      <c r="X527" s="5"/>
      <c r="Y527" s="319"/>
      <c r="Z527" s="646"/>
      <c r="AA527" s="328">
        <f t="shared" si="71"/>
        <v>0</v>
      </c>
      <c r="AB527" s="298">
        <f t="shared" si="72"/>
        <v>0</v>
      </c>
      <c r="AC527" s="4"/>
      <c r="AD527" s="47"/>
      <c r="AE527" s="47"/>
      <c r="AF527" s="319"/>
      <c r="AG527" s="328">
        <f t="shared" si="73"/>
        <v>0</v>
      </c>
    </row>
    <row r="528" spans="2:42">
      <c r="B528" s="63" t="s">
        <v>1116</v>
      </c>
      <c r="C528" s="47"/>
      <c r="D528" s="47"/>
      <c r="E528" s="319">
        <v>8</v>
      </c>
      <c r="F528" s="646"/>
      <c r="G528" s="4"/>
      <c r="H528" s="47"/>
      <c r="I528" s="47" t="s">
        <v>137</v>
      </c>
      <c r="J528" s="319">
        <v>0</v>
      </c>
      <c r="K528" s="646"/>
      <c r="L528" s="4"/>
      <c r="M528" s="47"/>
      <c r="N528" s="47"/>
      <c r="O528" s="319">
        <v>8</v>
      </c>
      <c r="P528" s="646"/>
      <c r="R528" s="663"/>
      <c r="S528" s="663"/>
      <c r="T528" s="319">
        <v>8</v>
      </c>
      <c r="U528" s="646"/>
      <c r="W528" s="663"/>
      <c r="X528" s="663"/>
      <c r="Y528" s="319">
        <v>8</v>
      </c>
      <c r="Z528" s="646"/>
      <c r="AA528" s="328">
        <f>(E528+J528+O528+T528+Y528)</f>
        <v>32</v>
      </c>
      <c r="AB528" s="298">
        <f t="shared" si="72"/>
        <v>0</v>
      </c>
      <c r="AC528" s="4"/>
      <c r="AD528" s="47"/>
      <c r="AE528" s="47"/>
      <c r="AF528" s="319"/>
      <c r="AG528" s="328">
        <f t="shared" si="73"/>
        <v>0</v>
      </c>
    </row>
    <row r="529" spans="2:42">
      <c r="B529" s="267" t="s">
        <v>358</v>
      </c>
      <c r="C529" s="47"/>
      <c r="D529" s="47"/>
      <c r="E529" s="319">
        <v>1</v>
      </c>
      <c r="F529" s="646"/>
      <c r="G529" s="4"/>
      <c r="H529" s="47"/>
      <c r="I529" s="47"/>
      <c r="J529" s="319">
        <v>1</v>
      </c>
      <c r="K529" s="646"/>
      <c r="L529" s="438"/>
      <c r="M529" s="663"/>
      <c r="N529" s="663"/>
      <c r="O529" s="319">
        <v>2</v>
      </c>
      <c r="P529" s="646"/>
      <c r="Q529" s="438"/>
      <c r="R529" s="663"/>
      <c r="S529" s="663"/>
      <c r="T529" s="319">
        <v>2</v>
      </c>
      <c r="U529" s="646"/>
      <c r="V529" s="438"/>
      <c r="W529" s="663"/>
      <c r="X529" s="663"/>
      <c r="Y529" s="319">
        <v>2</v>
      </c>
      <c r="Z529" s="646"/>
      <c r="AA529" s="328">
        <f t="shared" si="71"/>
        <v>8</v>
      </c>
      <c r="AB529" s="298">
        <f t="shared" si="72"/>
        <v>0</v>
      </c>
      <c r="AC529" s="4"/>
      <c r="AD529" s="47"/>
      <c r="AE529" s="47"/>
      <c r="AF529" s="319"/>
      <c r="AG529" s="328">
        <f t="shared" si="73"/>
        <v>0</v>
      </c>
    </row>
    <row r="530" spans="2:42">
      <c r="B530" s="267" t="s">
        <v>991</v>
      </c>
      <c r="C530" s="47"/>
      <c r="D530" s="47"/>
      <c r="E530" s="319"/>
      <c r="F530" s="646"/>
      <c r="G530" s="4"/>
      <c r="H530" s="47"/>
      <c r="I530" s="47"/>
      <c r="J530" s="319"/>
      <c r="K530" s="646"/>
      <c r="L530" s="438"/>
      <c r="M530" s="5"/>
      <c r="N530" s="5"/>
      <c r="O530" s="319"/>
      <c r="P530" s="646"/>
      <c r="Q530" s="438"/>
      <c r="R530" s="5"/>
      <c r="S530" s="5"/>
      <c r="T530" s="319"/>
      <c r="U530" s="646"/>
      <c r="V530" s="438"/>
      <c r="W530" s="5"/>
      <c r="X530" s="5"/>
      <c r="Y530" s="319"/>
      <c r="Z530" s="646"/>
      <c r="AA530" s="328">
        <f t="shared" si="71"/>
        <v>0</v>
      </c>
      <c r="AB530" s="298">
        <f t="shared" si="72"/>
        <v>0</v>
      </c>
      <c r="AC530" s="4"/>
      <c r="AD530" s="47"/>
      <c r="AE530" s="47"/>
      <c r="AF530" s="319"/>
      <c r="AG530" s="328">
        <f t="shared" si="73"/>
        <v>0</v>
      </c>
    </row>
    <row r="531" spans="2:42">
      <c r="B531" s="267" t="s">
        <v>411</v>
      </c>
      <c r="C531" s="47"/>
      <c r="D531" s="47"/>
      <c r="E531" s="319"/>
      <c r="F531" s="646"/>
      <c r="G531" s="4"/>
      <c r="H531" s="47"/>
      <c r="I531" s="47"/>
      <c r="J531" s="319"/>
      <c r="K531" s="646"/>
      <c r="L531" s="438"/>
      <c r="M531" s="5"/>
      <c r="N531" s="5"/>
      <c r="O531" s="319"/>
      <c r="P531" s="646"/>
      <c r="Q531" s="438"/>
      <c r="R531" s="5"/>
      <c r="S531" s="5"/>
      <c r="T531" s="319"/>
      <c r="U531" s="646"/>
      <c r="V531" s="438"/>
      <c r="W531" s="5"/>
      <c r="X531" s="5"/>
      <c r="Y531" s="319"/>
      <c r="Z531" s="646"/>
      <c r="AA531" s="328">
        <f t="shared" si="71"/>
        <v>0</v>
      </c>
      <c r="AB531" s="298">
        <f t="shared" si="72"/>
        <v>0</v>
      </c>
      <c r="AC531" s="4"/>
      <c r="AD531" s="47"/>
      <c r="AE531" s="47"/>
      <c r="AF531" s="319"/>
      <c r="AG531" s="328">
        <f t="shared" si="73"/>
        <v>0</v>
      </c>
    </row>
    <row r="532" spans="2:42">
      <c r="B532" s="267" t="s">
        <v>361</v>
      </c>
      <c r="C532" s="47"/>
      <c r="D532" s="47"/>
      <c r="E532" s="319"/>
      <c r="F532" s="646"/>
      <c r="G532" s="4"/>
      <c r="H532" s="47"/>
      <c r="I532" s="47"/>
      <c r="J532" s="319"/>
      <c r="K532" s="646"/>
      <c r="L532" s="438"/>
      <c r="M532" s="5"/>
      <c r="N532" s="5"/>
      <c r="O532" s="319"/>
      <c r="P532" s="646"/>
      <c r="Q532" s="438"/>
      <c r="R532" s="5"/>
      <c r="S532" s="5"/>
      <c r="T532" s="319"/>
      <c r="U532" s="646"/>
      <c r="V532" s="438"/>
      <c r="W532" s="5"/>
      <c r="X532" s="5"/>
      <c r="Y532" s="319"/>
      <c r="Z532" s="646"/>
      <c r="AA532" s="328">
        <f t="shared" si="71"/>
        <v>0</v>
      </c>
      <c r="AB532" s="298">
        <f t="shared" si="72"/>
        <v>0</v>
      </c>
      <c r="AC532" s="4"/>
      <c r="AD532" s="47"/>
      <c r="AE532" s="47"/>
      <c r="AF532" s="319"/>
      <c r="AG532" s="328">
        <f t="shared" si="73"/>
        <v>0</v>
      </c>
    </row>
    <row r="533" spans="2:42">
      <c r="B533" s="267" t="s">
        <v>362</v>
      </c>
      <c r="C533" s="47"/>
      <c r="D533" s="47"/>
      <c r="E533" s="319"/>
      <c r="F533" s="646"/>
      <c r="G533" s="4"/>
      <c r="H533" s="47"/>
      <c r="I533" s="47"/>
      <c r="J533" s="319"/>
      <c r="K533" s="646"/>
      <c r="L533" s="438"/>
      <c r="M533" s="47"/>
      <c r="N533" s="47"/>
      <c r="O533" s="319"/>
      <c r="P533" s="646"/>
      <c r="Q533" s="438"/>
      <c r="R533" s="47"/>
      <c r="S533" s="47"/>
      <c r="T533" s="319"/>
      <c r="U533" s="646"/>
      <c r="V533" s="438"/>
      <c r="W533" s="5"/>
      <c r="X533" s="5"/>
      <c r="Y533" s="319"/>
      <c r="Z533" s="646"/>
      <c r="AA533" s="328">
        <f t="shared" si="71"/>
        <v>0</v>
      </c>
      <c r="AB533" s="298">
        <f t="shared" si="72"/>
        <v>0</v>
      </c>
      <c r="AC533" s="4"/>
      <c r="AD533" s="47"/>
      <c r="AE533" s="47"/>
      <c r="AF533" s="319"/>
      <c r="AG533" s="328">
        <f t="shared" si="73"/>
        <v>0</v>
      </c>
    </row>
    <row r="534" spans="2:42">
      <c r="B534" s="437" t="s">
        <v>355</v>
      </c>
      <c r="C534" s="47"/>
      <c r="D534" s="47"/>
      <c r="E534" s="319"/>
      <c r="F534" s="646"/>
      <c r="G534" s="4"/>
      <c r="H534" s="47"/>
      <c r="I534" s="47"/>
      <c r="J534" s="319">
        <v>7.75</v>
      </c>
      <c r="K534" s="646"/>
      <c r="L534" s="438"/>
      <c r="M534" s="5"/>
      <c r="N534" s="5"/>
      <c r="O534" s="319">
        <v>7.75</v>
      </c>
      <c r="P534" s="646"/>
      <c r="Q534" s="438"/>
      <c r="R534" s="5"/>
      <c r="S534" s="5"/>
      <c r="T534" s="319">
        <v>7.75</v>
      </c>
      <c r="U534" s="646"/>
      <c r="V534" s="438"/>
      <c r="W534" s="5"/>
      <c r="X534" s="5"/>
      <c r="Y534" s="319">
        <v>7.75</v>
      </c>
      <c r="Z534" s="646"/>
      <c r="AA534" s="328">
        <f t="shared" si="71"/>
        <v>31</v>
      </c>
      <c r="AB534" s="298">
        <f t="shared" si="72"/>
        <v>0</v>
      </c>
      <c r="AC534" s="4"/>
      <c r="AD534" s="47"/>
      <c r="AE534" s="47"/>
      <c r="AF534" s="319"/>
      <c r="AG534" s="328">
        <f t="shared" si="73"/>
        <v>0</v>
      </c>
    </row>
    <row r="535" spans="2:42">
      <c r="B535" s="437" t="s">
        <v>356</v>
      </c>
      <c r="C535" s="713"/>
      <c r="D535" s="713"/>
      <c r="E535" s="319"/>
      <c r="F535" s="646"/>
      <c r="G535" s="438"/>
      <c r="H535" s="5"/>
      <c r="I535" s="5"/>
      <c r="J535" s="319"/>
      <c r="K535" s="646"/>
      <c r="L535" s="438"/>
      <c r="M535" s="5"/>
      <c r="N535" s="5"/>
      <c r="O535" s="319"/>
      <c r="P535" s="646"/>
      <c r="Q535" s="438"/>
      <c r="R535" s="5"/>
      <c r="S535" s="5"/>
      <c r="T535" s="319"/>
      <c r="U535" s="646"/>
      <c r="V535" s="438"/>
      <c r="W535" s="5"/>
      <c r="X535" s="5"/>
      <c r="Y535" s="319"/>
      <c r="Z535" s="646"/>
      <c r="AA535" s="328">
        <f t="shared" si="71"/>
        <v>0</v>
      </c>
      <c r="AB535" s="298">
        <f t="shared" si="72"/>
        <v>0</v>
      </c>
      <c r="AC535" s="4"/>
      <c r="AD535" s="47"/>
      <c r="AE535" s="47"/>
      <c r="AF535" s="319"/>
      <c r="AG535" s="328">
        <f t="shared" si="73"/>
        <v>0</v>
      </c>
    </row>
    <row r="536" spans="2:42">
      <c r="B536" s="64" t="s">
        <v>61</v>
      </c>
      <c r="C536" s="31"/>
      <c r="D536" s="31"/>
      <c r="E536" s="439"/>
      <c r="F536" s="646"/>
      <c r="G536" s="31"/>
      <c r="H536" s="31"/>
      <c r="I536" s="31"/>
      <c r="J536" s="439"/>
      <c r="K536" s="646"/>
      <c r="L536" s="31"/>
      <c r="M536" s="31"/>
      <c r="N536" s="31"/>
      <c r="O536" s="439"/>
      <c r="P536" s="646"/>
      <c r="Q536" s="31"/>
      <c r="R536" s="31"/>
      <c r="S536" s="31"/>
      <c r="T536" s="439"/>
      <c r="U536" s="646"/>
      <c r="V536" s="31"/>
      <c r="W536" s="31"/>
      <c r="X536" s="31"/>
      <c r="Y536" s="439"/>
      <c r="Z536" s="646"/>
      <c r="AA536" s="370">
        <f>SUM(AA512:AA535)</f>
        <v>275.5</v>
      </c>
      <c r="AB536" s="370">
        <f>SUM(AB512:AB535)</f>
        <v>3.25</v>
      </c>
      <c r="AC536" s="4"/>
      <c r="AD536" s="64"/>
      <c r="AE536" s="64"/>
      <c r="AF536" s="370">
        <f>SUM(AF512:AF535)</f>
        <v>0</v>
      </c>
      <c r="AG536" s="370">
        <f>SUM(AG512:AG535)</f>
        <v>0</v>
      </c>
      <c r="AK536" s="407"/>
    </row>
    <row r="537" spans="2:42">
      <c r="B537" s="63" t="s">
        <v>64</v>
      </c>
      <c r="C537" s="47"/>
      <c r="D537" s="47"/>
      <c r="E537" s="319">
        <v>8</v>
      </c>
      <c r="F537" s="346">
        <v>1</v>
      </c>
      <c r="G537" s="613"/>
      <c r="H537" s="47"/>
      <c r="I537" s="47"/>
      <c r="J537" s="319">
        <v>8</v>
      </c>
      <c r="K537" s="346">
        <v>1.5</v>
      </c>
      <c r="L537" s="60"/>
      <c r="M537" s="47"/>
      <c r="N537" s="47"/>
      <c r="O537" s="319">
        <v>8</v>
      </c>
      <c r="P537" s="346">
        <v>1.25</v>
      </c>
      <c r="Q537" s="60"/>
      <c r="R537" s="47"/>
      <c r="S537" s="47"/>
      <c r="T537" s="319">
        <v>8</v>
      </c>
      <c r="U537" s="346">
        <v>1</v>
      </c>
      <c r="V537" s="60"/>
      <c r="W537" s="47"/>
      <c r="X537" s="47"/>
      <c r="Y537" s="319">
        <v>8</v>
      </c>
      <c r="Z537" s="346">
        <v>1</v>
      </c>
      <c r="AA537" s="28">
        <f>SUM(E537+J537+O537+T537+Y537)</f>
        <v>40</v>
      </c>
      <c r="AB537" s="296">
        <f>Z537+U537+P537+K537+F537</f>
        <v>5.75</v>
      </c>
      <c r="AC537" s="4"/>
      <c r="AD537" s="47" t="s">
        <v>29</v>
      </c>
      <c r="AE537" s="47" t="s">
        <v>29</v>
      </c>
      <c r="AF537" s="319"/>
      <c r="AG537" s="29">
        <f>AF537</f>
        <v>0</v>
      </c>
      <c r="AK537" s="407"/>
    </row>
    <row r="538" spans="2:42">
      <c r="B538" s="71" t="s">
        <v>66</v>
      </c>
      <c r="C538" s="371"/>
      <c r="D538" s="371"/>
      <c r="E538" s="71"/>
      <c r="F538" s="613"/>
      <c r="G538" s="71"/>
      <c r="H538" s="71"/>
      <c r="I538" s="71"/>
      <c r="J538" s="71"/>
      <c r="K538" s="613"/>
      <c r="L538" s="71"/>
      <c r="M538" s="71"/>
      <c r="N538" s="71"/>
      <c r="O538" s="71"/>
      <c r="P538" s="613"/>
      <c r="Q538" s="71"/>
      <c r="R538" s="71"/>
      <c r="S538" s="71"/>
      <c r="T538" s="71"/>
      <c r="U538" s="613"/>
      <c r="V538" s="71"/>
      <c r="W538" s="71"/>
      <c r="X538" s="71"/>
      <c r="Y538" s="71"/>
      <c r="Z538" s="613"/>
      <c r="AA538" s="370">
        <f>SUM(AA537:AA537)</f>
        <v>40</v>
      </c>
      <c r="AB538" s="370">
        <f>SUM(AB537:AB537)</f>
        <v>5.75</v>
      </c>
      <c r="AC538" s="4"/>
      <c r="AG538" s="370">
        <f>SUM(AG537:AG537)</f>
        <v>0</v>
      </c>
      <c r="AK538" s="407"/>
    </row>
    <row r="539" spans="2:42">
      <c r="B539" s="217" t="s">
        <v>67</v>
      </c>
      <c r="C539" s="207">
        <f>C540+C541</f>
        <v>15</v>
      </c>
      <c r="D539" s="207"/>
      <c r="E539" s="209"/>
      <c r="F539" s="209"/>
      <c r="G539" s="207"/>
      <c r="H539" s="209"/>
      <c r="I539" s="209"/>
      <c r="J539" s="209"/>
      <c r="K539" s="209"/>
      <c r="L539" s="207"/>
      <c r="M539" s="207"/>
      <c r="N539" s="207"/>
      <c r="O539" s="207"/>
      <c r="P539" s="209"/>
      <c r="Q539" s="207"/>
      <c r="R539" s="207"/>
      <c r="S539" s="207"/>
      <c r="T539" s="207"/>
      <c r="U539" s="209"/>
      <c r="V539" s="207"/>
      <c r="W539" s="207"/>
      <c r="X539" s="207"/>
      <c r="Y539" s="210"/>
      <c r="Z539" s="209"/>
      <c r="AA539" s="211"/>
      <c r="AB539" s="209"/>
      <c r="AC539" s="211"/>
      <c r="AD539" s="211"/>
      <c r="AE539" s="211"/>
      <c r="AF539" s="211"/>
      <c r="AG539" s="211"/>
    </row>
    <row r="540" spans="2:42">
      <c r="B540" s="238" t="s">
        <v>68</v>
      </c>
      <c r="C540" s="239">
        <v>0</v>
      </c>
      <c r="D540" s="207"/>
      <c r="E540" s="209"/>
      <c r="F540" s="209"/>
      <c r="G540" s="207"/>
      <c r="H540" s="209"/>
      <c r="I540" s="209"/>
      <c r="J540" s="209"/>
      <c r="K540" s="209"/>
      <c r="L540" s="207"/>
      <c r="M540" s="207"/>
      <c r="N540" s="207"/>
      <c r="O540" s="207"/>
      <c r="P540" s="209"/>
      <c r="Q540" s="207"/>
      <c r="R540" s="207"/>
      <c r="S540" s="207"/>
      <c r="T540" s="207"/>
      <c r="U540" s="209"/>
      <c r="V540" s="207"/>
      <c r="W540" s="207"/>
      <c r="X540" s="207"/>
      <c r="Y540" s="210"/>
      <c r="Z540" s="209"/>
      <c r="AA540" s="211"/>
      <c r="AB540" s="209"/>
      <c r="AC540" s="211"/>
      <c r="AD540" s="211"/>
      <c r="AE540" s="211"/>
      <c r="AF540" s="211"/>
      <c r="AG540" s="211"/>
    </row>
    <row r="541" spans="2:42">
      <c r="B541" s="238" t="s">
        <v>69</v>
      </c>
      <c r="C541" s="239">
        <v>15</v>
      </c>
      <c r="D541" s="207"/>
      <c r="E541" s="209"/>
      <c r="F541" s="209"/>
      <c r="G541" s="207"/>
      <c r="H541" s="209"/>
      <c r="I541" s="209"/>
      <c r="J541" s="209"/>
      <c r="K541" s="209"/>
      <c r="L541" s="207"/>
      <c r="M541" s="207"/>
      <c r="N541" s="207"/>
      <c r="O541" s="207"/>
      <c r="P541" s="209"/>
      <c r="Q541" s="207"/>
      <c r="R541" s="207"/>
      <c r="S541" s="207"/>
      <c r="T541" s="207"/>
      <c r="U541" s="209"/>
      <c r="V541" s="207"/>
      <c r="W541" s="207"/>
      <c r="X541" s="207"/>
      <c r="Y541" s="210"/>
      <c r="Z541" s="209"/>
      <c r="AA541" s="211"/>
      <c r="AB541" s="209"/>
      <c r="AC541" s="211"/>
      <c r="AD541" s="211"/>
      <c r="AE541" s="211"/>
      <c r="AF541" s="211"/>
      <c r="AG541" s="211"/>
    </row>
    <row r="542" spans="2:42">
      <c r="B542" s="180"/>
      <c r="E542" s="4"/>
      <c r="F542" s="644"/>
      <c r="G542" s="4"/>
      <c r="J542" s="4"/>
      <c r="K542" s="644"/>
      <c r="L542" s="4"/>
      <c r="O542" s="4"/>
      <c r="P542" s="644"/>
      <c r="T542" s="4"/>
      <c r="U542" s="644"/>
      <c r="Y542" s="4"/>
      <c r="Z542" s="644"/>
      <c r="AA542" s="4"/>
      <c r="AB542" s="4"/>
      <c r="AC542" s="4"/>
    </row>
    <row r="543" spans="2:42">
      <c r="B543" s="229"/>
      <c r="C543" s="230"/>
      <c r="D543" s="230"/>
      <c r="E543" s="232"/>
      <c r="F543" s="232"/>
      <c r="G543" s="230"/>
      <c r="H543" s="232"/>
      <c r="I543" s="232"/>
      <c r="J543" s="232"/>
      <c r="K543" s="232"/>
      <c r="L543" s="230"/>
      <c r="M543" s="230"/>
      <c r="N543" s="230"/>
      <c r="O543" s="230"/>
      <c r="P543" s="232"/>
      <c r="Q543" s="230"/>
      <c r="R543" s="230"/>
      <c r="S543" s="230"/>
      <c r="T543" s="230"/>
      <c r="U543" s="232"/>
      <c r="V543" s="230"/>
      <c r="W543" s="230"/>
      <c r="X543" s="230"/>
      <c r="Y543" s="233"/>
      <c r="Z543" s="232"/>
      <c r="AA543" s="234"/>
      <c r="AB543" s="232"/>
      <c r="AC543" s="373"/>
      <c r="AD543" s="236"/>
      <c r="AE543" s="255"/>
      <c r="AF543" s="255"/>
      <c r="AG543" s="255"/>
      <c r="AH543" s="255"/>
      <c r="AJ543" s="255"/>
      <c r="AK543" s="255"/>
      <c r="AL543" s="255"/>
      <c r="AM543" s="255"/>
      <c r="AN543" s="255"/>
      <c r="AO543" s="255"/>
      <c r="AP543" s="255"/>
    </row>
    <row r="544" spans="2:42">
      <c r="B544" s="180"/>
      <c r="E544" s="4"/>
      <c r="F544" s="644"/>
      <c r="G544" s="4"/>
      <c r="J544" s="4"/>
      <c r="K544" s="644"/>
      <c r="L544" s="4"/>
      <c r="O544" s="4"/>
      <c r="P544" s="644"/>
      <c r="T544" s="4"/>
      <c r="U544" s="644"/>
      <c r="Y544" s="4"/>
      <c r="Z544" s="644"/>
      <c r="AA544" s="4"/>
      <c r="AB544" s="4"/>
      <c r="AC544" s="4"/>
      <c r="AK544" s="180"/>
      <c r="AL544" s="180"/>
      <c r="AM544" s="180"/>
      <c r="AN544" s="180"/>
      <c r="AO544" s="180"/>
      <c r="AP544" s="180"/>
    </row>
    <row r="545" spans="2:42" ht="25.5">
      <c r="B545" s="1518" t="s">
        <v>18</v>
      </c>
      <c r="C545" s="1519">
        <v>45817</v>
      </c>
      <c r="D545" s="1519"/>
      <c r="E545" s="1519" t="s">
        <v>564</v>
      </c>
      <c r="F545" s="1519"/>
      <c r="G545" s="365"/>
      <c r="H545" s="1519">
        <v>45818</v>
      </c>
      <c r="I545" s="1519"/>
      <c r="J545" s="1519" t="s">
        <v>565</v>
      </c>
      <c r="K545" s="1519"/>
      <c r="L545" s="365"/>
      <c r="M545" s="1519">
        <v>45819</v>
      </c>
      <c r="N545" s="1519"/>
      <c r="O545" s="1519" t="s">
        <v>566</v>
      </c>
      <c r="P545" s="1519"/>
      <c r="Q545" s="365"/>
      <c r="R545" s="1519">
        <v>45820</v>
      </c>
      <c r="S545" s="1519"/>
      <c r="T545" s="1519" t="s">
        <v>567</v>
      </c>
      <c r="U545" s="1519"/>
      <c r="V545" s="365"/>
      <c r="W545" s="1519">
        <v>45821</v>
      </c>
      <c r="X545" s="1519"/>
      <c r="Y545" s="1519" t="s">
        <v>568</v>
      </c>
      <c r="Z545" s="1519"/>
      <c r="AA545" s="1517" t="s">
        <v>19</v>
      </c>
      <c r="AB545" s="1517" t="s">
        <v>20</v>
      </c>
      <c r="AC545" s="4"/>
      <c r="AD545" s="1519"/>
      <c r="AE545" s="1519"/>
      <c r="AF545" s="14" t="s">
        <v>1111</v>
      </c>
      <c r="AG545" s="1517" t="s">
        <v>21</v>
      </c>
      <c r="AI545" s="368"/>
      <c r="AK545" s="194" t="s">
        <v>84</v>
      </c>
      <c r="AL545" s="366"/>
      <c r="AM545" s="366"/>
      <c r="AN545" s="366"/>
      <c r="AO545" s="366"/>
      <c r="AP545" s="366"/>
    </row>
    <row r="546" spans="2:42">
      <c r="B546" s="1518"/>
      <c r="C546" s="21" t="s">
        <v>23</v>
      </c>
      <c r="D546" s="21" t="s">
        <v>24</v>
      </c>
      <c r="E546" s="205" t="s">
        <v>25</v>
      </c>
      <c r="F546" s="645" t="s">
        <v>14</v>
      </c>
      <c r="G546" s="4"/>
      <c r="H546" s="21"/>
      <c r="I546" s="21" t="s">
        <v>24</v>
      </c>
      <c r="J546" s="18" t="s">
        <v>25</v>
      </c>
      <c r="K546" s="645" t="s">
        <v>14</v>
      </c>
      <c r="L546" s="4"/>
      <c r="M546" s="21" t="s">
        <v>23</v>
      </c>
      <c r="N546" s="21" t="s">
        <v>24</v>
      </c>
      <c r="O546" s="18" t="s">
        <v>25</v>
      </c>
      <c r="P546" s="645" t="s">
        <v>14</v>
      </c>
      <c r="R546" s="21" t="s">
        <v>23</v>
      </c>
      <c r="S546" s="21" t="s">
        <v>24</v>
      </c>
      <c r="T546" s="18" t="s">
        <v>25</v>
      </c>
      <c r="U546" s="645" t="s">
        <v>14</v>
      </c>
      <c r="W546" s="21" t="s">
        <v>23</v>
      </c>
      <c r="X546" s="21" t="s">
        <v>24</v>
      </c>
      <c r="Y546" s="18" t="s">
        <v>25</v>
      </c>
      <c r="Z546" s="645" t="s">
        <v>14</v>
      </c>
      <c r="AA546" s="1517"/>
      <c r="AB546" s="1517"/>
      <c r="AC546" s="4"/>
      <c r="AD546" s="21" t="s">
        <v>23</v>
      </c>
      <c r="AE546" s="21" t="s">
        <v>24</v>
      </c>
      <c r="AF546" s="18" t="s">
        <v>25</v>
      </c>
      <c r="AG546" s="1517"/>
      <c r="AI546" s="368"/>
      <c r="AJ546" s="367"/>
      <c r="AK546" s="188" t="s">
        <v>26</v>
      </c>
      <c r="AL546" s="196">
        <f>AA571</f>
        <v>252.75</v>
      </c>
      <c r="AM546" s="510">
        <v>40.31</v>
      </c>
      <c r="AN546" s="510">
        <f t="shared" ref="AN546:AN551" si="74">AL546*AM546</f>
        <v>10188.352500000001</v>
      </c>
    </row>
    <row r="547" spans="2:42">
      <c r="B547" s="4" t="s">
        <v>958</v>
      </c>
      <c r="C547" s="47"/>
      <c r="D547" s="47"/>
      <c r="E547" s="319">
        <v>0</v>
      </c>
      <c r="F547" s="646"/>
      <c r="G547" s="4"/>
      <c r="H547" s="47"/>
      <c r="I547" s="47"/>
      <c r="J547" s="319"/>
      <c r="K547" s="646"/>
      <c r="L547" s="4"/>
      <c r="M547" s="441"/>
      <c r="N547" s="47"/>
      <c r="O547" s="319">
        <v>0</v>
      </c>
      <c r="P547" s="646"/>
      <c r="R547" s="47"/>
      <c r="S547" s="47"/>
      <c r="T547" s="319">
        <v>0</v>
      </c>
      <c r="U547" s="646"/>
      <c r="W547" s="47"/>
      <c r="X547" s="47"/>
      <c r="Y547" s="319">
        <v>0</v>
      </c>
      <c r="Z547" s="646"/>
      <c r="AA547" s="328">
        <f t="shared" ref="AA547:AA562" si="75">(E547+J547+O547+T547+Y547)</f>
        <v>0</v>
      </c>
      <c r="AB547" s="298">
        <f t="shared" ref="AB547:AB570" si="76">Z547+U547+P547+K547+F547</f>
        <v>0</v>
      </c>
      <c r="AC547" s="4"/>
      <c r="AD547" s="587"/>
      <c r="AE547" s="531"/>
      <c r="AF547" s="319"/>
      <c r="AG547" s="328">
        <f t="shared" ref="AG547:AG570" si="77">AF547</f>
        <v>0</v>
      </c>
      <c r="AI547" s="368"/>
      <c r="AJ547" s="367"/>
      <c r="AK547" s="188" t="s">
        <v>30</v>
      </c>
      <c r="AL547" s="196">
        <f>AB571</f>
        <v>2</v>
      </c>
      <c r="AM547" s="511">
        <v>60.465000000000003</v>
      </c>
      <c r="AN547" s="510">
        <f t="shared" si="74"/>
        <v>120.93</v>
      </c>
    </row>
    <row r="548" spans="2:42">
      <c r="B548" s="47" t="s">
        <v>515</v>
      </c>
      <c r="C548" s="47"/>
      <c r="D548" s="47"/>
      <c r="E548" s="319">
        <v>0</v>
      </c>
      <c r="F548" s="646"/>
      <c r="G548" s="4"/>
      <c r="H548" s="719" t="s">
        <v>75</v>
      </c>
      <c r="I548" s="326">
        <v>0.25</v>
      </c>
      <c r="J548" s="544">
        <v>8</v>
      </c>
      <c r="K548" s="646"/>
      <c r="L548" s="4"/>
      <c r="M548" s="441" t="s">
        <v>75</v>
      </c>
      <c r="N548" s="47">
        <v>0.25</v>
      </c>
      <c r="O548" s="319">
        <v>8</v>
      </c>
      <c r="P548" s="646"/>
      <c r="R548" s="47"/>
      <c r="S548" s="47"/>
      <c r="T548" s="319">
        <v>0</v>
      </c>
      <c r="U548" s="646"/>
      <c r="W548" s="47"/>
      <c r="X548" s="47"/>
      <c r="Y548" s="319">
        <v>0</v>
      </c>
      <c r="Z548" s="646"/>
      <c r="AA548" s="328">
        <f t="shared" si="75"/>
        <v>16</v>
      </c>
      <c r="AB548" s="298">
        <f t="shared" si="76"/>
        <v>0</v>
      </c>
      <c r="AC548" s="4"/>
      <c r="AF548" s="319"/>
      <c r="AG548" s="328">
        <f t="shared" si="77"/>
        <v>0</v>
      </c>
      <c r="AH548" s="175"/>
      <c r="AI548" s="402"/>
      <c r="AJ548" s="367"/>
      <c r="AK548" s="188" t="s">
        <v>32</v>
      </c>
      <c r="AL548" s="196">
        <f>AG571</f>
        <v>0</v>
      </c>
      <c r="AM548" s="510">
        <v>60.465000000000003</v>
      </c>
      <c r="AN548" s="510">
        <f t="shared" si="74"/>
        <v>0</v>
      </c>
    </row>
    <row r="549" spans="2:42">
      <c r="B549" s="441" t="s">
        <v>962</v>
      </c>
      <c r="C549" s="47"/>
      <c r="D549" s="47"/>
      <c r="E549" s="319">
        <v>0</v>
      </c>
      <c r="F549" s="646"/>
      <c r="G549" s="4"/>
      <c r="H549" s="47"/>
      <c r="I549" s="47"/>
      <c r="J549" s="319"/>
      <c r="K549" s="646"/>
      <c r="L549" s="4"/>
      <c r="M549" s="441"/>
      <c r="N549" s="47"/>
      <c r="O549" s="319">
        <v>0</v>
      </c>
      <c r="P549" s="646"/>
      <c r="R549" s="47"/>
      <c r="S549" s="47"/>
      <c r="T549" s="319">
        <v>0</v>
      </c>
      <c r="U549" s="646"/>
      <c r="W549" s="47"/>
      <c r="X549" s="47"/>
      <c r="Y549" s="319">
        <v>0</v>
      </c>
      <c r="Z549" s="646"/>
      <c r="AA549" s="328">
        <f t="shared" si="75"/>
        <v>0</v>
      </c>
      <c r="AB549" s="298">
        <f t="shared" si="76"/>
        <v>0</v>
      </c>
      <c r="AC549" s="399"/>
      <c r="AD549" s="47"/>
      <c r="AE549" s="47"/>
      <c r="AF549" s="319"/>
      <c r="AG549" s="328">
        <f t="shared" si="77"/>
        <v>0</v>
      </c>
      <c r="AH549" s="175"/>
      <c r="AJ549" s="401"/>
      <c r="AK549" s="403" t="s">
        <v>213</v>
      </c>
      <c r="AL549" s="404">
        <f>AA573</f>
        <v>40</v>
      </c>
      <c r="AM549" s="510">
        <v>53.05</v>
      </c>
      <c r="AN549" s="510">
        <f t="shared" si="74"/>
        <v>2122</v>
      </c>
      <c r="AO549" s="405"/>
      <c r="AP549" s="405"/>
    </row>
    <row r="550" spans="2:42">
      <c r="B550" s="47" t="s">
        <v>1112</v>
      </c>
      <c r="C550" s="47"/>
      <c r="D550" s="47"/>
      <c r="E550" s="319">
        <v>0</v>
      </c>
      <c r="F550" s="646"/>
      <c r="G550" s="4"/>
      <c r="H550" s="47">
        <v>0.375</v>
      </c>
      <c r="I550" s="47">
        <v>0.25</v>
      </c>
      <c r="J550" s="319">
        <v>8</v>
      </c>
      <c r="K550" s="646"/>
      <c r="L550" s="4"/>
      <c r="M550" s="441" t="s">
        <v>953</v>
      </c>
      <c r="N550" s="47">
        <v>0.22916666666666666</v>
      </c>
      <c r="O550" s="319">
        <v>9</v>
      </c>
      <c r="P550" s="646">
        <v>1</v>
      </c>
      <c r="R550" s="47">
        <v>0.33333333333333331</v>
      </c>
      <c r="S550" s="47">
        <v>0.20833333333333334</v>
      </c>
      <c r="T550" s="319">
        <v>8</v>
      </c>
      <c r="U550" s="646"/>
      <c r="W550" s="47">
        <v>0.39583333333333331</v>
      </c>
      <c r="X550" s="47">
        <v>0.23958333333333334</v>
      </c>
      <c r="Y550" s="319">
        <v>8</v>
      </c>
      <c r="Z550" s="646"/>
      <c r="AA550" s="328">
        <f t="shared" si="75"/>
        <v>33</v>
      </c>
      <c r="AB550" s="298">
        <f t="shared" si="76"/>
        <v>1</v>
      </c>
      <c r="AC550" s="4"/>
      <c r="AD550" s="47"/>
      <c r="AE550" s="47"/>
      <c r="AF550" s="319"/>
      <c r="AG550" s="328">
        <f t="shared" si="77"/>
        <v>0</v>
      </c>
      <c r="AH550" s="175"/>
      <c r="AI550" s="368"/>
      <c r="AK550" s="188" t="s">
        <v>36</v>
      </c>
      <c r="AL550" s="196">
        <f>AB573</f>
        <v>6.25</v>
      </c>
      <c r="AM550" s="510">
        <v>79.574999999999989</v>
      </c>
      <c r="AN550" s="510">
        <f t="shared" si="74"/>
        <v>497.34374999999994</v>
      </c>
    </row>
    <row r="551" spans="2:42">
      <c r="B551" s="436" t="s">
        <v>972</v>
      </c>
      <c r="C551" s="47"/>
      <c r="D551" s="47"/>
      <c r="E551" s="319">
        <v>0</v>
      </c>
      <c r="F551" s="646"/>
      <c r="G551" s="4"/>
      <c r="H551" s="47"/>
      <c r="I551" s="47"/>
      <c r="J551" s="319"/>
      <c r="K551" s="646"/>
      <c r="L551" s="4"/>
      <c r="M551" s="441"/>
      <c r="N551" s="47"/>
      <c r="O551" s="319">
        <v>0</v>
      </c>
      <c r="P551" s="646"/>
      <c r="R551" s="47"/>
      <c r="S551" s="47"/>
      <c r="T551" s="319">
        <v>0</v>
      </c>
      <c r="U551" s="646"/>
      <c r="W551" s="47"/>
      <c r="X551" s="47"/>
      <c r="Y551" s="319">
        <v>0</v>
      </c>
      <c r="Z551" s="646"/>
      <c r="AA551" s="328">
        <f t="shared" si="75"/>
        <v>0</v>
      </c>
      <c r="AB551" s="298">
        <f t="shared" si="76"/>
        <v>0</v>
      </c>
      <c r="AC551" s="4"/>
      <c r="AD551" s="47"/>
      <c r="AE551" s="47"/>
      <c r="AF551" s="319"/>
      <c r="AG551" s="328">
        <f t="shared" si="77"/>
        <v>0</v>
      </c>
      <c r="AK551" s="188" t="s">
        <v>38</v>
      </c>
      <c r="AL551" s="196">
        <f>AG573</f>
        <v>0</v>
      </c>
      <c r="AM551" s="510">
        <v>79.574999999999989</v>
      </c>
      <c r="AN551" s="510">
        <f t="shared" si="74"/>
        <v>0</v>
      </c>
    </row>
    <row r="552" spans="2:42">
      <c r="B552" s="47" t="s">
        <v>974</v>
      </c>
      <c r="C552" s="47">
        <v>0.33333333333333331</v>
      </c>
      <c r="D552" s="47">
        <v>0.20833333333333334</v>
      </c>
      <c r="E552" s="319">
        <v>8</v>
      </c>
      <c r="F552" s="646"/>
      <c r="G552" s="4"/>
      <c r="H552" s="47">
        <v>0.33333333333333331</v>
      </c>
      <c r="I552" s="47">
        <v>0.25</v>
      </c>
      <c r="J552" s="319">
        <v>9</v>
      </c>
      <c r="K552" s="646">
        <v>1</v>
      </c>
      <c r="L552" s="4"/>
      <c r="M552" s="441" t="s">
        <v>125</v>
      </c>
      <c r="N552" s="47">
        <v>0.20833333333333334</v>
      </c>
      <c r="O552" s="319">
        <v>8</v>
      </c>
      <c r="P552" s="646"/>
      <c r="R552" s="47">
        <v>0.33333333333333331</v>
      </c>
      <c r="S552" s="47">
        <v>0.20833333333333334</v>
      </c>
      <c r="T552" s="319">
        <v>8</v>
      </c>
      <c r="U552" s="646"/>
      <c r="W552" s="47">
        <v>0.33333333333333331</v>
      </c>
      <c r="X552" s="47">
        <v>0.20833333333333334</v>
      </c>
      <c r="Y552" s="319">
        <v>8</v>
      </c>
      <c r="Z552" s="646"/>
      <c r="AA552" s="328">
        <f t="shared" si="75"/>
        <v>41</v>
      </c>
      <c r="AB552" s="298">
        <f t="shared" si="76"/>
        <v>1</v>
      </c>
      <c r="AC552" s="4"/>
      <c r="AD552" s="47"/>
      <c r="AE552" s="47"/>
      <c r="AF552" s="319"/>
      <c r="AG552" s="328">
        <f t="shared" si="77"/>
        <v>0</v>
      </c>
      <c r="AN552" s="510">
        <f>SUM(AN546:AN551)</f>
        <v>12928.626250000001</v>
      </c>
    </row>
    <row r="553" spans="2:42">
      <c r="B553" s="374" t="s">
        <v>998</v>
      </c>
      <c r="C553" s="47"/>
      <c r="D553" s="47"/>
      <c r="E553" s="319">
        <v>0</v>
      </c>
      <c r="F553" s="646"/>
      <c r="G553" s="4"/>
      <c r="H553" s="47"/>
      <c r="I553" s="47"/>
      <c r="J553" s="319"/>
      <c r="K553" s="646"/>
      <c r="L553" s="4"/>
      <c r="M553" s="441"/>
      <c r="N553" s="47"/>
      <c r="O553" s="319">
        <v>0</v>
      </c>
      <c r="P553" s="646"/>
      <c r="R553" s="47"/>
      <c r="S553" s="47"/>
      <c r="T553" s="319">
        <v>0</v>
      </c>
      <c r="U553" s="646"/>
      <c r="W553" s="47"/>
      <c r="X553" s="47"/>
      <c r="Y553" s="319">
        <v>0</v>
      </c>
      <c r="Z553" s="646"/>
      <c r="AA553" s="328">
        <f t="shared" si="75"/>
        <v>0</v>
      </c>
      <c r="AB553" s="298">
        <f t="shared" si="76"/>
        <v>0</v>
      </c>
      <c r="AC553" s="4"/>
      <c r="AD553" s="47"/>
      <c r="AE553" s="47"/>
      <c r="AF553" s="319"/>
      <c r="AG553" s="328">
        <f t="shared" si="77"/>
        <v>0</v>
      </c>
    </row>
    <row r="554" spans="2:42">
      <c r="B554" s="47" t="s">
        <v>977</v>
      </c>
      <c r="C554" s="47">
        <v>0.375</v>
      </c>
      <c r="D554" s="47">
        <v>0.25</v>
      </c>
      <c r="E554" s="319">
        <v>8</v>
      </c>
      <c r="F554" s="646"/>
      <c r="G554" s="4"/>
      <c r="H554" s="47">
        <v>0.33333333333333331</v>
      </c>
      <c r="I554" s="47">
        <v>0.20833333333333334</v>
      </c>
      <c r="J554" s="319">
        <v>8</v>
      </c>
      <c r="K554" s="646"/>
      <c r="L554" s="4"/>
      <c r="M554" s="441" t="s">
        <v>125</v>
      </c>
      <c r="N554" s="47">
        <v>0.20833333333333334</v>
      </c>
      <c r="O554" s="319">
        <v>8</v>
      </c>
      <c r="P554" s="646"/>
      <c r="R554" s="47">
        <v>0.33333333333333331</v>
      </c>
      <c r="S554" s="47">
        <v>0.20833333333333334</v>
      </c>
      <c r="T554" s="319">
        <v>8</v>
      </c>
      <c r="U554" s="646"/>
      <c r="W554" s="47">
        <v>0.33333333333333331</v>
      </c>
      <c r="X554" s="47">
        <v>0.20833333333333334</v>
      </c>
      <c r="Y554" s="319">
        <v>8</v>
      </c>
      <c r="Z554" s="646"/>
      <c r="AA554" s="328">
        <f t="shared" si="75"/>
        <v>40</v>
      </c>
      <c r="AB554" s="298">
        <f t="shared" si="76"/>
        <v>0</v>
      </c>
      <c r="AC554" s="4"/>
      <c r="AD554" s="47"/>
      <c r="AE554" s="47"/>
      <c r="AF554" s="319"/>
      <c r="AG554" s="328">
        <f t="shared" si="77"/>
        <v>0</v>
      </c>
      <c r="AK554" s="192" t="s">
        <v>1115</v>
      </c>
      <c r="AL554" s="189">
        <f>C574</f>
        <v>12</v>
      </c>
    </row>
    <row r="555" spans="2:42">
      <c r="B555" s="47" t="s">
        <v>519</v>
      </c>
      <c r="C555" s="47"/>
      <c r="D555" s="47"/>
      <c r="E555" s="319">
        <v>0</v>
      </c>
      <c r="F555" s="646"/>
      <c r="G555" s="4"/>
      <c r="H555" s="47"/>
      <c r="I555" s="47"/>
      <c r="J555" s="319"/>
      <c r="K555" s="646"/>
      <c r="L555" s="4"/>
      <c r="M555" s="441"/>
      <c r="N555" s="47"/>
      <c r="O555" s="319">
        <v>0</v>
      </c>
      <c r="P555" s="646"/>
      <c r="R555" s="441"/>
      <c r="S555" s="47"/>
      <c r="T555" s="319">
        <v>0</v>
      </c>
      <c r="U555" s="646"/>
      <c r="W555" s="441"/>
      <c r="X555" s="47"/>
      <c r="Y555" s="319">
        <v>0</v>
      </c>
      <c r="Z555" s="646"/>
      <c r="AA555" s="328">
        <f t="shared" si="75"/>
        <v>0</v>
      </c>
      <c r="AB555" s="298">
        <f t="shared" si="76"/>
        <v>0</v>
      </c>
      <c r="AC555" s="4"/>
      <c r="AD555" s="47"/>
      <c r="AE555" s="47"/>
      <c r="AF555" s="319"/>
      <c r="AG555" s="328">
        <f t="shared" si="77"/>
        <v>0</v>
      </c>
    </row>
    <row r="556" spans="2:42">
      <c r="B556" s="47" t="s">
        <v>999</v>
      </c>
      <c r="C556" s="47"/>
      <c r="D556" s="441"/>
      <c r="E556" s="319">
        <v>0</v>
      </c>
      <c r="F556" s="646"/>
      <c r="G556" s="4"/>
      <c r="H556" s="47"/>
      <c r="I556" s="47"/>
      <c r="J556" s="319"/>
      <c r="K556" s="646"/>
      <c r="L556" s="4"/>
      <c r="M556" s="441"/>
      <c r="N556" s="47"/>
      <c r="O556" s="319">
        <v>0</v>
      </c>
      <c r="P556" s="646"/>
      <c r="R556" s="441"/>
      <c r="S556" s="441"/>
      <c r="T556" s="319">
        <v>0</v>
      </c>
      <c r="U556" s="646"/>
      <c r="W556" s="441"/>
      <c r="X556" s="441"/>
      <c r="Y556" s="319">
        <v>0</v>
      </c>
      <c r="Z556" s="646"/>
      <c r="AA556" s="328">
        <f t="shared" si="75"/>
        <v>0</v>
      </c>
      <c r="AB556" s="298">
        <f t="shared" si="76"/>
        <v>0</v>
      </c>
      <c r="AC556" s="4"/>
      <c r="AD556" s="47"/>
      <c r="AE556" s="47"/>
      <c r="AF556" s="319"/>
      <c r="AG556" s="328">
        <f t="shared" si="77"/>
        <v>0</v>
      </c>
    </row>
    <row r="557" spans="2:42">
      <c r="B557" s="47" t="s">
        <v>1113</v>
      </c>
      <c r="C557" s="47"/>
      <c r="D557" s="47"/>
      <c r="E557" s="319">
        <v>0</v>
      </c>
      <c r="F557" s="646"/>
      <c r="G557" s="4"/>
      <c r="H557" s="47"/>
      <c r="I557" s="47"/>
      <c r="J557" s="319"/>
      <c r="K557" s="646"/>
      <c r="L557" s="4"/>
      <c r="M557" s="441"/>
      <c r="N557" s="47"/>
      <c r="O557" s="319">
        <v>0</v>
      </c>
      <c r="P557" s="646"/>
      <c r="R557" s="441"/>
      <c r="S557" s="47"/>
      <c r="T557" s="319">
        <v>0</v>
      </c>
      <c r="U557" s="646"/>
      <c r="W557" s="441"/>
      <c r="X557" s="47"/>
      <c r="Y557" s="319">
        <v>0</v>
      </c>
      <c r="Z557" s="646"/>
      <c r="AA557" s="328">
        <f t="shared" si="75"/>
        <v>0</v>
      </c>
      <c r="AB557" s="298">
        <f t="shared" si="76"/>
        <v>0</v>
      </c>
      <c r="AC557" s="4"/>
      <c r="AD557" s="47"/>
      <c r="AE557" s="47"/>
      <c r="AF557" s="319"/>
      <c r="AG557" s="328">
        <f t="shared" si="77"/>
        <v>0</v>
      </c>
    </row>
    <row r="558" spans="2:42">
      <c r="B558" s="502" t="s">
        <v>483</v>
      </c>
      <c r="C558" s="47"/>
      <c r="D558" s="47"/>
      <c r="E558" s="319"/>
      <c r="F558" s="646"/>
      <c r="G558" s="4"/>
      <c r="H558" s="47"/>
      <c r="I558" s="47"/>
      <c r="J558" s="319"/>
      <c r="K558" s="646"/>
      <c r="L558" s="4"/>
      <c r="M558" s="441"/>
      <c r="N558" s="47"/>
      <c r="O558" s="319"/>
      <c r="P558" s="646"/>
      <c r="R558" s="5"/>
      <c r="S558" s="5"/>
      <c r="T558" s="319"/>
      <c r="U558" s="646"/>
      <c r="W558" s="5"/>
      <c r="X558" s="5"/>
      <c r="Y558" s="319"/>
      <c r="Z558" s="646"/>
      <c r="AA558" s="328">
        <f t="shared" si="75"/>
        <v>0</v>
      </c>
      <c r="AB558" s="298">
        <f t="shared" si="76"/>
        <v>0</v>
      </c>
      <c r="AC558" s="4"/>
      <c r="AD558" s="47"/>
      <c r="AE558" s="47"/>
      <c r="AF558" s="319"/>
      <c r="AG558" s="328">
        <f t="shared" si="77"/>
        <v>0</v>
      </c>
    </row>
    <row r="559" spans="2:42">
      <c r="B559" s="502" t="s">
        <v>483</v>
      </c>
      <c r="C559" s="47"/>
      <c r="D559" s="47"/>
      <c r="E559" s="319">
        <v>6</v>
      </c>
      <c r="F559" s="646"/>
      <c r="G559" s="4"/>
      <c r="H559" s="47"/>
      <c r="I559" s="47"/>
      <c r="J559" s="319"/>
      <c r="K559" s="646"/>
      <c r="L559" s="4"/>
      <c r="M559" s="441"/>
      <c r="N559" s="47"/>
      <c r="O559" s="319">
        <v>8</v>
      </c>
      <c r="P559" s="646"/>
      <c r="R559" s="47"/>
      <c r="S559" s="47"/>
      <c r="T559" s="319">
        <v>4</v>
      </c>
      <c r="U559" s="646"/>
      <c r="W559" s="47"/>
      <c r="X559" s="47"/>
      <c r="Y559" s="319">
        <v>0</v>
      </c>
      <c r="Z559" s="646"/>
      <c r="AA559" s="328">
        <f t="shared" si="75"/>
        <v>18</v>
      </c>
      <c r="AB559" s="298">
        <f t="shared" si="76"/>
        <v>0</v>
      </c>
      <c r="AC559" s="4"/>
      <c r="AD559" s="47"/>
      <c r="AE559" s="47"/>
      <c r="AF559" s="319"/>
      <c r="AG559" s="328">
        <f t="shared" si="77"/>
        <v>0</v>
      </c>
    </row>
    <row r="560" spans="2:42">
      <c r="B560" s="502" t="s">
        <v>484</v>
      </c>
      <c r="C560" s="47"/>
      <c r="D560" s="47"/>
      <c r="E560" s="319">
        <v>6</v>
      </c>
      <c r="F560" s="646"/>
      <c r="G560" s="4"/>
      <c r="H560" s="47"/>
      <c r="I560" s="47"/>
      <c r="J560" s="319"/>
      <c r="K560" s="646"/>
      <c r="L560" s="4"/>
      <c r="M560" s="441"/>
      <c r="N560" s="47"/>
      <c r="O560" s="319">
        <v>2</v>
      </c>
      <c r="P560" s="646"/>
      <c r="R560" s="47"/>
      <c r="S560" s="47"/>
      <c r="T560" s="319">
        <v>4</v>
      </c>
      <c r="U560" s="646"/>
      <c r="W560" s="47"/>
      <c r="X560" s="47"/>
      <c r="Y560" s="319">
        <v>6</v>
      </c>
      <c r="Z560" s="646"/>
      <c r="AA560" s="328">
        <f t="shared" si="75"/>
        <v>18</v>
      </c>
      <c r="AB560" s="298">
        <f t="shared" si="76"/>
        <v>0</v>
      </c>
      <c r="AC560" s="4"/>
      <c r="AD560" s="47"/>
      <c r="AE560" s="47"/>
      <c r="AF560" s="319"/>
      <c r="AG560" s="328">
        <f t="shared" si="77"/>
        <v>0</v>
      </c>
    </row>
    <row r="561" spans="2:37">
      <c r="B561" s="502" t="s">
        <v>485</v>
      </c>
      <c r="C561" s="47"/>
      <c r="D561" s="47"/>
      <c r="E561" s="319">
        <v>6</v>
      </c>
      <c r="F561" s="646"/>
      <c r="G561" s="4"/>
      <c r="H561" s="47"/>
      <c r="I561" s="47"/>
      <c r="J561" s="319"/>
      <c r="K561" s="646"/>
      <c r="L561" s="4"/>
      <c r="M561" s="47"/>
      <c r="N561" s="47"/>
      <c r="O561" s="319">
        <v>8</v>
      </c>
      <c r="P561" s="646"/>
      <c r="R561" s="47"/>
      <c r="S561" s="47"/>
      <c r="T561" s="319">
        <v>4</v>
      </c>
      <c r="U561" s="646"/>
      <c r="W561" s="47"/>
      <c r="X561" s="47"/>
      <c r="Y561" s="319">
        <v>0</v>
      </c>
      <c r="Z561" s="646"/>
      <c r="AA561" s="328">
        <f t="shared" si="75"/>
        <v>18</v>
      </c>
      <c r="AB561" s="298">
        <f t="shared" si="76"/>
        <v>0</v>
      </c>
      <c r="AC561" s="4"/>
      <c r="AD561" s="47"/>
      <c r="AE561" s="47"/>
      <c r="AF561" s="319"/>
      <c r="AG561" s="328">
        <f t="shared" si="77"/>
        <v>0</v>
      </c>
    </row>
    <row r="562" spans="2:37">
      <c r="B562" s="502" t="s">
        <v>1129</v>
      </c>
      <c r="C562" s="47"/>
      <c r="D562" s="47"/>
      <c r="E562" s="319"/>
      <c r="F562" s="646"/>
      <c r="G562" s="4"/>
      <c r="H562" s="47"/>
      <c r="I562" s="47"/>
      <c r="J562" s="319"/>
      <c r="K562" s="646"/>
      <c r="L562" s="4"/>
      <c r="M562" s="5"/>
      <c r="N562" s="5"/>
      <c r="O562" s="319"/>
      <c r="P562" s="646"/>
      <c r="R562" s="5"/>
      <c r="S562" s="5"/>
      <c r="T562" s="319"/>
      <c r="U562" s="646"/>
      <c r="W562" s="5"/>
      <c r="X562" s="5"/>
      <c r="Y562" s="319"/>
      <c r="Z562" s="646"/>
      <c r="AA562" s="328">
        <f t="shared" si="75"/>
        <v>0</v>
      </c>
      <c r="AB562" s="298">
        <f t="shared" si="76"/>
        <v>0</v>
      </c>
      <c r="AC562" s="4"/>
      <c r="AD562" s="47"/>
      <c r="AE562" s="47"/>
      <c r="AF562" s="319"/>
      <c r="AG562" s="328">
        <f t="shared" si="77"/>
        <v>0</v>
      </c>
    </row>
    <row r="563" spans="2:37">
      <c r="B563" s="63" t="s">
        <v>1116</v>
      </c>
      <c r="C563" s="47"/>
      <c r="D563" s="47"/>
      <c r="E563" s="319">
        <v>8</v>
      </c>
      <c r="F563" s="646"/>
      <c r="G563" s="4"/>
      <c r="H563" s="47"/>
      <c r="I563" s="47"/>
      <c r="J563" s="319">
        <v>8</v>
      </c>
      <c r="K563" s="646"/>
      <c r="L563" s="4"/>
      <c r="M563" s="47"/>
      <c r="N563" s="47"/>
      <c r="O563" s="319">
        <v>8</v>
      </c>
      <c r="P563" s="646"/>
      <c r="R563" s="663"/>
      <c r="S563" s="663"/>
      <c r="T563" s="319">
        <v>8</v>
      </c>
      <c r="U563" s="646"/>
      <c r="W563" s="663"/>
      <c r="X563" s="663"/>
      <c r="Y563" s="319"/>
      <c r="Z563" s="646"/>
      <c r="AA563" s="328">
        <f>(E563+J563+O563+T563+Y563)</f>
        <v>32</v>
      </c>
      <c r="AB563" s="298">
        <f t="shared" si="76"/>
        <v>0</v>
      </c>
      <c r="AC563" s="4"/>
      <c r="AD563" s="47"/>
      <c r="AE563" s="47"/>
      <c r="AF563" s="319"/>
      <c r="AG563" s="328">
        <f t="shared" si="77"/>
        <v>0</v>
      </c>
    </row>
    <row r="564" spans="2:37">
      <c r="B564" s="267" t="s">
        <v>358</v>
      </c>
      <c r="C564" s="47"/>
      <c r="D564" s="47"/>
      <c r="E564" s="319">
        <v>4</v>
      </c>
      <c r="F564" s="646"/>
      <c r="G564" s="4"/>
      <c r="H564" s="47"/>
      <c r="I564" s="47"/>
      <c r="J564" s="319">
        <v>1</v>
      </c>
      <c r="K564" s="646"/>
      <c r="L564" s="438"/>
      <c r="M564" s="663"/>
      <c r="N564" s="663"/>
      <c r="O564" s="319">
        <v>2</v>
      </c>
      <c r="P564" s="646"/>
      <c r="Q564" s="438"/>
      <c r="R564" s="663"/>
      <c r="S564" s="663"/>
      <c r="T564" s="319">
        <v>1</v>
      </c>
      <c r="U564" s="646"/>
      <c r="V564" s="438"/>
      <c r="W564" s="663"/>
      <c r="X564" s="663"/>
      <c r="Y564" s="319">
        <v>3</v>
      </c>
      <c r="Z564" s="646"/>
      <c r="AA564" s="328">
        <f t="shared" ref="AA564:AA570" si="78">(E564+J564+O564+T564+Y564)</f>
        <v>11</v>
      </c>
      <c r="AB564" s="298">
        <f t="shared" si="76"/>
        <v>0</v>
      </c>
      <c r="AC564" s="4"/>
      <c r="AD564" s="47"/>
      <c r="AE564" s="47"/>
      <c r="AF564" s="319"/>
      <c r="AG564" s="328">
        <f t="shared" si="77"/>
        <v>0</v>
      </c>
    </row>
    <row r="565" spans="2:37">
      <c r="B565" s="267" t="s">
        <v>991</v>
      </c>
      <c r="C565" s="47"/>
      <c r="D565" s="47"/>
      <c r="E565" s="319"/>
      <c r="F565" s="646"/>
      <c r="G565" s="4"/>
      <c r="H565" s="47"/>
      <c r="I565" s="47"/>
      <c r="J565" s="319"/>
      <c r="K565" s="646"/>
      <c r="L565" s="438"/>
      <c r="M565" s="5"/>
      <c r="N565" s="5"/>
      <c r="O565" s="319"/>
      <c r="P565" s="646"/>
      <c r="Q565" s="438"/>
      <c r="R565" s="5"/>
      <c r="S565" s="5"/>
      <c r="T565" s="319"/>
      <c r="U565" s="646"/>
      <c r="V565" s="438"/>
      <c r="W565" s="5"/>
      <c r="X565" s="5"/>
      <c r="Y565" s="319"/>
      <c r="Z565" s="646"/>
      <c r="AA565" s="328">
        <f t="shared" si="78"/>
        <v>0</v>
      </c>
      <c r="AB565" s="298">
        <f t="shared" si="76"/>
        <v>0</v>
      </c>
      <c r="AC565" s="4"/>
      <c r="AD565" s="47"/>
      <c r="AE565" s="47"/>
      <c r="AF565" s="319"/>
      <c r="AG565" s="328">
        <f t="shared" si="77"/>
        <v>0</v>
      </c>
    </row>
    <row r="566" spans="2:37">
      <c r="B566" s="267" t="s">
        <v>411</v>
      </c>
      <c r="C566" s="47"/>
      <c r="D566" s="47"/>
      <c r="E566" s="319"/>
      <c r="F566" s="646"/>
      <c r="G566" s="4"/>
      <c r="H566" s="47"/>
      <c r="I566" s="47"/>
      <c r="J566" s="319"/>
      <c r="K566" s="646"/>
      <c r="L566" s="438"/>
      <c r="M566" s="5"/>
      <c r="N566" s="5"/>
      <c r="O566" s="319"/>
      <c r="P566" s="646"/>
      <c r="Q566" s="438"/>
      <c r="R566" s="5"/>
      <c r="S566" s="5"/>
      <c r="T566" s="319"/>
      <c r="U566" s="646"/>
      <c r="V566" s="438"/>
      <c r="W566" s="5"/>
      <c r="X566" s="5"/>
      <c r="Y566" s="319"/>
      <c r="Z566" s="646"/>
      <c r="AA566" s="328">
        <f t="shared" si="78"/>
        <v>0</v>
      </c>
      <c r="AB566" s="298">
        <f t="shared" si="76"/>
        <v>0</v>
      </c>
      <c r="AC566" s="4"/>
      <c r="AD566" s="47"/>
      <c r="AE566" s="47"/>
      <c r="AF566" s="319"/>
      <c r="AG566" s="328">
        <f t="shared" si="77"/>
        <v>0</v>
      </c>
    </row>
    <row r="567" spans="2:37">
      <c r="B567" s="267" t="s">
        <v>361</v>
      </c>
      <c r="C567" s="47"/>
      <c r="D567" s="47"/>
      <c r="E567" s="319"/>
      <c r="F567" s="646"/>
      <c r="G567" s="4"/>
      <c r="H567" s="47"/>
      <c r="I567" s="47"/>
      <c r="J567" s="319"/>
      <c r="K567" s="646"/>
      <c r="L567" s="438"/>
      <c r="M567" s="5"/>
      <c r="N567" s="5"/>
      <c r="O567" s="319"/>
      <c r="P567" s="646"/>
      <c r="Q567" s="438"/>
      <c r="R567" s="5"/>
      <c r="S567" s="5"/>
      <c r="T567" s="319"/>
      <c r="U567" s="646"/>
      <c r="V567" s="438"/>
      <c r="W567" s="5"/>
      <c r="X567" s="5"/>
      <c r="Y567" s="319"/>
      <c r="Z567" s="646"/>
      <c r="AA567" s="328">
        <f t="shared" si="78"/>
        <v>0</v>
      </c>
      <c r="AB567" s="298">
        <f t="shared" si="76"/>
        <v>0</v>
      </c>
      <c r="AC567" s="4"/>
      <c r="AD567" s="47"/>
      <c r="AE567" s="47"/>
      <c r="AF567" s="319"/>
      <c r="AG567" s="328">
        <f t="shared" si="77"/>
        <v>0</v>
      </c>
    </row>
    <row r="568" spans="2:37">
      <c r="B568" s="267" t="s">
        <v>362</v>
      </c>
      <c r="C568" s="47"/>
      <c r="D568" s="47"/>
      <c r="E568" s="319"/>
      <c r="F568" s="646"/>
      <c r="G568" s="4"/>
      <c r="H568" s="47"/>
      <c r="I568" s="47"/>
      <c r="J568" s="319"/>
      <c r="K568" s="646"/>
      <c r="L568" s="438"/>
      <c r="M568" s="47"/>
      <c r="N568" s="47"/>
      <c r="O568" s="319"/>
      <c r="P568" s="646"/>
      <c r="Q568" s="438"/>
      <c r="R568" s="47"/>
      <c r="S568" s="47"/>
      <c r="T568" s="319"/>
      <c r="U568" s="646"/>
      <c r="V568" s="438"/>
      <c r="W568" s="5"/>
      <c r="X568" s="5" t="s">
        <v>137</v>
      </c>
      <c r="Y568" s="319">
        <v>0</v>
      </c>
      <c r="Z568" s="646"/>
      <c r="AA568" s="328">
        <f t="shared" si="78"/>
        <v>0</v>
      </c>
      <c r="AB568" s="298">
        <f t="shared" si="76"/>
        <v>0</v>
      </c>
      <c r="AC568" s="4"/>
      <c r="AD568" s="47"/>
      <c r="AE568" s="47"/>
      <c r="AF568" s="319"/>
      <c r="AG568" s="328">
        <f t="shared" si="77"/>
        <v>0</v>
      </c>
    </row>
    <row r="569" spans="2:37">
      <c r="B569" s="437" t="s">
        <v>355</v>
      </c>
      <c r="C569" s="47"/>
      <c r="D569" s="47"/>
      <c r="E569" s="319">
        <v>7.75</v>
      </c>
      <c r="F569" s="646"/>
      <c r="G569" s="4"/>
      <c r="H569" s="47"/>
      <c r="I569" s="47"/>
      <c r="J569" s="319">
        <v>0</v>
      </c>
      <c r="K569" s="646"/>
      <c r="L569" s="438"/>
      <c r="M569" s="5"/>
      <c r="N569" s="5"/>
      <c r="O569" s="319">
        <v>7.75</v>
      </c>
      <c r="P569" s="646"/>
      <c r="Q569" s="438"/>
      <c r="R569" s="5"/>
      <c r="S569" s="5"/>
      <c r="T569" s="319">
        <v>7.75</v>
      </c>
      <c r="U569" s="646"/>
      <c r="V569" s="438"/>
      <c r="W569" s="5"/>
      <c r="X569" s="5"/>
      <c r="Y569" s="319">
        <v>2.5</v>
      </c>
      <c r="Z569" s="646"/>
      <c r="AA569" s="328">
        <f t="shared" si="78"/>
        <v>25.75</v>
      </c>
      <c r="AB569" s="298">
        <f t="shared" si="76"/>
        <v>0</v>
      </c>
      <c r="AC569" s="4"/>
      <c r="AD569" s="47"/>
      <c r="AE569" s="47"/>
      <c r="AF569" s="319"/>
      <c r="AG569" s="328">
        <f t="shared" si="77"/>
        <v>0</v>
      </c>
    </row>
    <row r="570" spans="2:37">
      <c r="B570" s="437" t="s">
        <v>356</v>
      </c>
      <c r="C570" s="713"/>
      <c r="D570" s="713"/>
      <c r="E570" s="319"/>
      <c r="F570" s="646"/>
      <c r="G570" s="438"/>
      <c r="H570" s="5"/>
      <c r="I570" s="5"/>
      <c r="J570" s="319"/>
      <c r="K570" s="646"/>
      <c r="L570" s="438"/>
      <c r="M570" s="5"/>
      <c r="N570" s="5"/>
      <c r="O570" s="319"/>
      <c r="P570" s="646"/>
      <c r="Q570" s="438"/>
      <c r="R570" s="5"/>
      <c r="S570" s="5"/>
      <c r="T570" s="319"/>
      <c r="U570" s="646"/>
      <c r="V570" s="438"/>
      <c r="W570" s="5"/>
      <c r="X570" s="5"/>
      <c r="Y570" s="319"/>
      <c r="Z570" s="646"/>
      <c r="AA570" s="328">
        <f t="shared" si="78"/>
        <v>0</v>
      </c>
      <c r="AB570" s="298">
        <f t="shared" si="76"/>
        <v>0</v>
      </c>
      <c r="AC570" s="4"/>
      <c r="AD570" s="47"/>
      <c r="AE570" s="47"/>
      <c r="AF570" s="319"/>
      <c r="AG570" s="328">
        <f t="shared" si="77"/>
        <v>0</v>
      </c>
    </row>
    <row r="571" spans="2:37">
      <c r="B571" s="64" t="s">
        <v>61</v>
      </c>
      <c r="C571" s="31"/>
      <c r="D571" s="31"/>
      <c r="E571" s="439"/>
      <c r="F571" s="646"/>
      <c r="G571" s="31"/>
      <c r="H571" s="31"/>
      <c r="I571" s="31"/>
      <c r="J571" s="439"/>
      <c r="K571" s="646"/>
      <c r="L571" s="31"/>
      <c r="M571" s="31"/>
      <c r="N571" s="31"/>
      <c r="O571" s="439"/>
      <c r="P571" s="646"/>
      <c r="Q571" s="31"/>
      <c r="R571" s="31"/>
      <c r="S571" s="31"/>
      <c r="T571" s="439"/>
      <c r="U571" s="646"/>
      <c r="V571" s="31"/>
      <c r="W571" s="31"/>
      <c r="X571" s="31"/>
      <c r="Y571" s="439"/>
      <c r="Z571" s="646"/>
      <c r="AA571" s="370">
        <f>SUM(AA547:AA570)</f>
        <v>252.75</v>
      </c>
      <c r="AB571" s="370">
        <f>SUM(AB547:AB570)</f>
        <v>2</v>
      </c>
      <c r="AC571" s="4"/>
      <c r="AD571" s="64"/>
      <c r="AE571" s="64"/>
      <c r="AF571" s="370">
        <f>SUM(AF547:AF570)</f>
        <v>0</v>
      </c>
      <c r="AG571" s="370">
        <f>SUM(AG547:AG570)</f>
        <v>0</v>
      </c>
      <c r="AK571" s="407"/>
    </row>
    <row r="572" spans="2:37">
      <c r="B572" s="63" t="s">
        <v>64</v>
      </c>
      <c r="C572" s="47"/>
      <c r="D572" s="47"/>
      <c r="E572" s="319">
        <v>8</v>
      </c>
      <c r="F572" s="346"/>
      <c r="G572" s="613"/>
      <c r="H572" s="47"/>
      <c r="I572" s="47"/>
      <c r="J572" s="319">
        <v>8</v>
      </c>
      <c r="K572" s="346">
        <v>0.5</v>
      </c>
      <c r="L572" s="60"/>
      <c r="M572" s="47"/>
      <c r="N572" s="47"/>
      <c r="O572" s="319">
        <v>8</v>
      </c>
      <c r="P572" s="346">
        <v>1.5</v>
      </c>
      <c r="Q572" s="60"/>
      <c r="R572" s="47"/>
      <c r="S572" s="47"/>
      <c r="T572" s="319">
        <v>8</v>
      </c>
      <c r="U572" s="346">
        <v>2</v>
      </c>
      <c r="V572" s="60"/>
      <c r="W572" s="47"/>
      <c r="X572" s="47"/>
      <c r="Y572" s="319">
        <v>8</v>
      </c>
      <c r="Z572" s="346">
        <v>2.25</v>
      </c>
      <c r="AA572" s="28">
        <f>SUM(E572+J572+O572+T572+Y572)</f>
        <v>40</v>
      </c>
      <c r="AB572" s="296">
        <f>Z572+U572+P572+K572+F572</f>
        <v>6.25</v>
      </c>
      <c r="AC572" s="4"/>
      <c r="AD572" s="47" t="s">
        <v>29</v>
      </c>
      <c r="AE572" s="47" t="s">
        <v>29</v>
      </c>
      <c r="AF572" s="319"/>
      <c r="AG572" s="29">
        <f>AF572</f>
        <v>0</v>
      </c>
      <c r="AK572" s="407"/>
    </row>
    <row r="573" spans="2:37">
      <c r="B573" s="71" t="s">
        <v>66</v>
      </c>
      <c r="C573" s="371"/>
      <c r="D573" s="371"/>
      <c r="E573" s="71"/>
      <c r="F573" s="613"/>
      <c r="G573" s="71"/>
      <c r="H573" s="71"/>
      <c r="I573" s="71"/>
      <c r="J573" s="71"/>
      <c r="K573" s="613"/>
      <c r="L573" s="71"/>
      <c r="M573" s="71"/>
      <c r="N573" s="71"/>
      <c r="O573" s="71"/>
      <c r="P573" s="613"/>
      <c r="Q573" s="71"/>
      <c r="R573" s="71"/>
      <c r="S573" s="71"/>
      <c r="T573" s="71"/>
      <c r="U573" s="613"/>
      <c r="V573" s="71"/>
      <c r="W573" s="71"/>
      <c r="X573" s="71"/>
      <c r="Y573" s="71"/>
      <c r="Z573" s="613"/>
      <c r="AA573" s="370">
        <f>SUM(AA572:AA572)</f>
        <v>40</v>
      </c>
      <c r="AB573" s="370">
        <f>SUM(AB572:AB572)</f>
        <v>6.25</v>
      </c>
      <c r="AC573" s="4"/>
      <c r="AG573" s="370">
        <f>SUM(AG572:AG572)</f>
        <v>0</v>
      </c>
      <c r="AK573" s="407"/>
    </row>
    <row r="574" spans="2:37">
      <c r="B574" s="217" t="s">
        <v>67</v>
      </c>
      <c r="C574" s="207">
        <f>C575+C576</f>
        <v>12</v>
      </c>
      <c r="D574" s="207"/>
      <c r="E574" s="209"/>
      <c r="F574" s="209"/>
      <c r="G574" s="207"/>
      <c r="H574" s="209"/>
      <c r="I574" s="209"/>
      <c r="J574" s="209"/>
      <c r="K574" s="209"/>
      <c r="L574" s="207"/>
      <c r="M574" s="207"/>
      <c r="N574" s="207"/>
      <c r="O574" s="207"/>
      <c r="P574" s="209"/>
      <c r="Q574" s="207"/>
      <c r="R574" s="207"/>
      <c r="S574" s="207"/>
      <c r="T574" s="207"/>
      <c r="U574" s="209"/>
      <c r="V574" s="207"/>
      <c r="W574" s="207"/>
      <c r="X574" s="207"/>
      <c r="Y574" s="210"/>
      <c r="Z574" s="209"/>
      <c r="AA574" s="211"/>
      <c r="AB574" s="209"/>
      <c r="AC574" s="211"/>
      <c r="AD574" s="211"/>
      <c r="AE574" s="211"/>
      <c r="AF574" s="211"/>
      <c r="AG574" s="211"/>
    </row>
    <row r="575" spans="2:37">
      <c r="B575" s="238" t="s">
        <v>68</v>
      </c>
      <c r="C575" s="239">
        <v>0</v>
      </c>
      <c r="D575" s="207"/>
      <c r="E575" s="209"/>
      <c r="F575" s="209"/>
      <c r="G575" s="207"/>
      <c r="H575" s="209"/>
      <c r="I575" s="209"/>
      <c r="J575" s="209"/>
      <c r="K575" s="209"/>
      <c r="L575" s="207"/>
      <c r="M575" s="207"/>
      <c r="N575" s="207"/>
      <c r="O575" s="207"/>
      <c r="P575" s="209"/>
      <c r="Q575" s="207"/>
      <c r="R575" s="207"/>
      <c r="S575" s="207"/>
      <c r="T575" s="207"/>
      <c r="U575" s="209"/>
      <c r="V575" s="207"/>
      <c r="W575" s="207"/>
      <c r="X575" s="207"/>
      <c r="Y575" s="210"/>
      <c r="Z575" s="209"/>
      <c r="AA575" s="211"/>
      <c r="AB575" s="209"/>
      <c r="AC575" s="211"/>
      <c r="AD575" s="211"/>
      <c r="AE575" s="211"/>
      <c r="AF575" s="211"/>
      <c r="AG575" s="211"/>
    </row>
    <row r="576" spans="2:37">
      <c r="B576" s="238" t="s">
        <v>69</v>
      </c>
      <c r="C576" s="239">
        <v>12</v>
      </c>
      <c r="D576" s="207"/>
      <c r="E576" s="209"/>
      <c r="F576" s="209"/>
      <c r="G576" s="207"/>
      <c r="H576" s="209"/>
      <c r="I576" s="209"/>
      <c r="J576" s="209"/>
      <c r="K576" s="209"/>
      <c r="L576" s="207"/>
      <c r="M576" s="207"/>
      <c r="N576" s="207"/>
      <c r="O576" s="207"/>
      <c r="P576" s="209"/>
      <c r="Q576" s="207"/>
      <c r="R576" s="207"/>
      <c r="S576" s="207"/>
      <c r="T576" s="207"/>
      <c r="U576" s="209"/>
      <c r="V576" s="207"/>
      <c r="W576" s="207"/>
      <c r="X576" s="207"/>
      <c r="Y576" s="210"/>
      <c r="Z576" s="209"/>
      <c r="AA576" s="211"/>
      <c r="AB576" s="209"/>
      <c r="AC576" s="211"/>
      <c r="AD576" s="211"/>
      <c r="AE576" s="211"/>
      <c r="AF576" s="211"/>
      <c r="AG576" s="211"/>
    </row>
    <row r="577" spans="2:42">
      <c r="B577" s="180"/>
      <c r="E577" s="4"/>
      <c r="F577" s="644"/>
      <c r="G577" s="4"/>
      <c r="J577" s="4"/>
      <c r="K577" s="644"/>
      <c r="L577" s="4"/>
      <c r="O577" s="4"/>
      <c r="P577" s="644"/>
      <c r="T577" s="4"/>
      <c r="U577" s="644"/>
      <c r="Y577" s="4"/>
      <c r="Z577" s="644"/>
      <c r="AA577" s="4"/>
      <c r="AB577" s="4"/>
      <c r="AC577" s="4"/>
    </row>
    <row r="578" spans="2:42">
      <c r="B578" s="229"/>
      <c r="C578" s="230"/>
      <c r="D578" s="230"/>
      <c r="E578" s="232"/>
      <c r="F578" s="232"/>
      <c r="G578" s="230"/>
      <c r="H578" s="232"/>
      <c r="I578" s="232"/>
      <c r="J578" s="232"/>
      <c r="K578" s="232"/>
      <c r="L578" s="230"/>
      <c r="M578" s="230"/>
      <c r="N578" s="230"/>
      <c r="O578" s="230"/>
      <c r="P578" s="232"/>
      <c r="Q578" s="230"/>
      <c r="R578" s="230"/>
      <c r="S578" s="230"/>
      <c r="T578" s="230"/>
      <c r="U578" s="232"/>
      <c r="V578" s="230"/>
      <c r="W578" s="230"/>
      <c r="X578" s="230"/>
      <c r="Y578" s="233"/>
      <c r="Z578" s="232"/>
      <c r="AA578" s="234"/>
      <c r="AB578" s="232"/>
      <c r="AC578" s="373"/>
      <c r="AD578" s="236"/>
      <c r="AE578" s="255"/>
      <c r="AF578" s="255"/>
      <c r="AG578" s="255"/>
      <c r="AH578" s="255"/>
      <c r="AJ578" s="255"/>
      <c r="AK578" s="255"/>
      <c r="AL578" s="255"/>
      <c r="AM578" s="255"/>
      <c r="AN578" s="255"/>
      <c r="AO578" s="255"/>
      <c r="AP578" s="255"/>
    </row>
    <row r="579" spans="2:42">
      <c r="B579" s="180"/>
      <c r="E579" s="4"/>
      <c r="F579" s="644"/>
      <c r="G579" s="4"/>
      <c r="J579" s="4"/>
      <c r="K579" s="644"/>
      <c r="L579" s="4"/>
      <c r="O579" s="4"/>
      <c r="P579" s="644"/>
      <c r="T579" s="4"/>
      <c r="U579" s="644"/>
      <c r="Y579" s="4"/>
      <c r="Z579" s="644"/>
      <c r="AA579" s="4"/>
      <c r="AB579" s="4"/>
      <c r="AC579" s="4"/>
    </row>
    <row r="580" spans="2:42" ht="25.5">
      <c r="B580" s="1518" t="s">
        <v>18</v>
      </c>
      <c r="C580" s="1519">
        <v>45824</v>
      </c>
      <c r="D580" s="1519"/>
      <c r="E580" s="1519" t="s">
        <v>564</v>
      </c>
      <c r="F580" s="1519"/>
      <c r="G580" s="365"/>
      <c r="H580" s="1519">
        <v>45825</v>
      </c>
      <c r="I580" s="1519"/>
      <c r="J580" s="1519" t="s">
        <v>565</v>
      </c>
      <c r="K580" s="1519"/>
      <c r="L580" s="365"/>
      <c r="M580" s="1519">
        <v>45826</v>
      </c>
      <c r="N580" s="1519"/>
      <c r="O580" s="1519" t="s">
        <v>566</v>
      </c>
      <c r="P580" s="1519"/>
      <c r="Q580" s="365"/>
      <c r="R580" s="1519">
        <v>45827</v>
      </c>
      <c r="S580" s="1519"/>
      <c r="T580" s="1519" t="s">
        <v>567</v>
      </c>
      <c r="U580" s="1519"/>
      <c r="V580" s="365"/>
      <c r="W580" s="1519">
        <v>45828</v>
      </c>
      <c r="X580" s="1519"/>
      <c r="Y580" s="1519" t="s">
        <v>568</v>
      </c>
      <c r="Z580" s="1519"/>
      <c r="AA580" s="1517" t="s">
        <v>19</v>
      </c>
      <c r="AB580" s="1517" t="s">
        <v>20</v>
      </c>
      <c r="AC580" s="4"/>
      <c r="AD580" s="1519"/>
      <c r="AE580" s="1519"/>
      <c r="AF580" s="14" t="s">
        <v>1111</v>
      </c>
      <c r="AG580" s="1517" t="s">
        <v>21</v>
      </c>
      <c r="AI580" s="368"/>
      <c r="AK580" s="194" t="s">
        <v>84</v>
      </c>
      <c r="AL580" s="366"/>
      <c r="AM580" s="366"/>
      <c r="AN580" s="366"/>
      <c r="AO580" s="366"/>
      <c r="AP580" s="366"/>
    </row>
    <row r="581" spans="2:42">
      <c r="B581" s="1518"/>
      <c r="C581" s="21" t="s">
        <v>23</v>
      </c>
      <c r="D581" s="21" t="s">
        <v>24</v>
      </c>
      <c r="E581" s="205" t="s">
        <v>25</v>
      </c>
      <c r="F581" s="645" t="s">
        <v>14</v>
      </c>
      <c r="G581" s="4"/>
      <c r="H581" s="21"/>
      <c r="I581" s="21" t="s">
        <v>24</v>
      </c>
      <c r="J581" s="18" t="s">
        <v>25</v>
      </c>
      <c r="K581" s="645" t="s">
        <v>14</v>
      </c>
      <c r="L581" s="4"/>
      <c r="M581" s="21" t="s">
        <v>23</v>
      </c>
      <c r="N581" s="21" t="s">
        <v>24</v>
      </c>
      <c r="O581" s="18" t="s">
        <v>25</v>
      </c>
      <c r="P581" s="645" t="s">
        <v>14</v>
      </c>
      <c r="R581" s="21" t="s">
        <v>23</v>
      </c>
      <c r="S581" s="21" t="s">
        <v>24</v>
      </c>
      <c r="T581" s="18" t="s">
        <v>25</v>
      </c>
      <c r="U581" s="645" t="s">
        <v>14</v>
      </c>
      <c r="W581" s="21" t="s">
        <v>23</v>
      </c>
      <c r="X581" s="21" t="s">
        <v>24</v>
      </c>
      <c r="Y581" s="18" t="s">
        <v>25</v>
      </c>
      <c r="Z581" s="645" t="s">
        <v>14</v>
      </c>
      <c r="AA581" s="1517"/>
      <c r="AB581" s="1517"/>
      <c r="AC581" s="4"/>
      <c r="AD581" s="21" t="s">
        <v>23</v>
      </c>
      <c r="AE581" s="21" t="s">
        <v>24</v>
      </c>
      <c r="AF581" s="18" t="s">
        <v>25</v>
      </c>
      <c r="AG581" s="1517"/>
      <c r="AI581" s="368"/>
      <c r="AJ581" s="367"/>
      <c r="AK581" s="188" t="s">
        <v>26</v>
      </c>
      <c r="AL581" s="196">
        <f>AA606</f>
        <v>239.25</v>
      </c>
      <c r="AM581" s="510">
        <v>40.31</v>
      </c>
      <c r="AN581" s="510">
        <f t="shared" ref="AN581:AN586" si="79">AL581*AM581</f>
        <v>9644.1675000000014</v>
      </c>
    </row>
    <row r="582" spans="2:42">
      <c r="B582" s="4" t="s">
        <v>958</v>
      </c>
      <c r="C582" s="47"/>
      <c r="D582" s="47"/>
      <c r="E582" s="319">
        <v>0</v>
      </c>
      <c r="F582" s="646"/>
      <c r="G582" s="4"/>
      <c r="H582" s="47"/>
      <c r="I582" s="47"/>
      <c r="J582" s="319">
        <v>0</v>
      </c>
      <c r="K582" s="646"/>
      <c r="L582" s="4"/>
      <c r="M582" s="441"/>
      <c r="N582" s="47"/>
      <c r="O582" s="319">
        <v>0</v>
      </c>
      <c r="P582" s="646"/>
      <c r="R582" s="47"/>
      <c r="S582" s="47"/>
      <c r="T582" s="319">
        <v>0</v>
      </c>
      <c r="U582" s="646"/>
      <c r="W582" s="47"/>
      <c r="X582" s="47"/>
      <c r="Y582" s="319">
        <v>0</v>
      </c>
      <c r="Z582" s="646"/>
      <c r="AA582" s="328">
        <f t="shared" ref="AA582:AA597" si="80">(E582+J582+O582+T582+Y582)</f>
        <v>0</v>
      </c>
      <c r="AB582" s="298">
        <f t="shared" ref="AB582:AB605" si="81">Z582+U582+P582+K582+F582</f>
        <v>0</v>
      </c>
      <c r="AC582" s="4"/>
      <c r="AD582" s="587"/>
      <c r="AE582" s="531"/>
      <c r="AF582" s="319"/>
      <c r="AG582" s="328">
        <f t="shared" ref="AG582:AG605" si="82">AF582</f>
        <v>0</v>
      </c>
      <c r="AI582" s="368"/>
      <c r="AJ582" s="367"/>
      <c r="AK582" s="188" t="s">
        <v>30</v>
      </c>
      <c r="AL582" s="196">
        <f>AB606</f>
        <v>2</v>
      </c>
      <c r="AM582" s="511">
        <v>60.465000000000003</v>
      </c>
      <c r="AN582" s="510">
        <f t="shared" si="79"/>
        <v>120.93</v>
      </c>
    </row>
    <row r="583" spans="2:42">
      <c r="B583" s="47" t="s">
        <v>515</v>
      </c>
      <c r="C583" s="47"/>
      <c r="D583" s="47"/>
      <c r="E583" s="319">
        <v>0</v>
      </c>
      <c r="F583" s="646"/>
      <c r="G583" s="4"/>
      <c r="H583" s="47">
        <v>0.375</v>
      </c>
      <c r="I583" s="47">
        <v>0.25</v>
      </c>
      <c r="J583" s="319">
        <v>8</v>
      </c>
      <c r="K583" s="646"/>
      <c r="L583" s="4"/>
      <c r="M583" s="441" t="s">
        <v>75</v>
      </c>
      <c r="N583" s="47">
        <v>0.25</v>
      </c>
      <c r="O583" s="319">
        <v>8</v>
      </c>
      <c r="P583" s="646"/>
      <c r="R583" s="47"/>
      <c r="S583" s="47"/>
      <c r="T583" s="319">
        <v>0</v>
      </c>
      <c r="U583" s="646"/>
      <c r="W583" s="47"/>
      <c r="X583" s="47"/>
      <c r="Y583" s="319">
        <v>0</v>
      </c>
      <c r="Z583" s="646"/>
      <c r="AA583" s="328">
        <f t="shared" si="80"/>
        <v>16</v>
      </c>
      <c r="AB583" s="298">
        <f t="shared" si="81"/>
        <v>0</v>
      </c>
      <c r="AC583" s="4"/>
      <c r="AF583" s="319"/>
      <c r="AG583" s="328">
        <f t="shared" si="82"/>
        <v>0</v>
      </c>
      <c r="AH583" s="175"/>
      <c r="AI583" s="402"/>
      <c r="AJ583" s="367"/>
      <c r="AK583" s="188" t="s">
        <v>32</v>
      </c>
      <c r="AL583" s="196">
        <f>AG606</f>
        <v>0</v>
      </c>
      <c r="AM583" s="510">
        <v>60.465000000000003</v>
      </c>
      <c r="AN583" s="510">
        <f t="shared" si="79"/>
        <v>0</v>
      </c>
    </row>
    <row r="584" spans="2:42">
      <c r="B584" s="441" t="s">
        <v>962</v>
      </c>
      <c r="C584" s="47"/>
      <c r="D584" s="47"/>
      <c r="E584" s="319">
        <v>0</v>
      </c>
      <c r="F584" s="646"/>
      <c r="G584" s="4"/>
      <c r="H584" s="47"/>
      <c r="I584" s="47"/>
      <c r="J584" s="319">
        <v>0</v>
      </c>
      <c r="K584" s="646"/>
      <c r="L584" s="4"/>
      <c r="M584" s="441"/>
      <c r="N584" s="47"/>
      <c r="O584" s="319">
        <v>0</v>
      </c>
      <c r="P584" s="646"/>
      <c r="R584" s="47"/>
      <c r="S584" s="47"/>
      <c r="T584" s="319">
        <v>0</v>
      </c>
      <c r="U584" s="646"/>
      <c r="W584" s="47"/>
      <c r="X584" s="47"/>
      <c r="Y584" s="319">
        <v>0</v>
      </c>
      <c r="Z584" s="646"/>
      <c r="AA584" s="328">
        <f t="shared" si="80"/>
        <v>0</v>
      </c>
      <c r="AB584" s="298">
        <f t="shared" si="81"/>
        <v>0</v>
      </c>
      <c r="AC584" s="399"/>
      <c r="AD584" s="47"/>
      <c r="AE584" s="47"/>
      <c r="AF584" s="319"/>
      <c r="AG584" s="328">
        <f t="shared" si="82"/>
        <v>0</v>
      </c>
      <c r="AH584" s="175"/>
      <c r="AJ584" s="401"/>
      <c r="AK584" s="403" t="s">
        <v>213</v>
      </c>
      <c r="AL584" s="404">
        <f>AA608</f>
        <v>40</v>
      </c>
      <c r="AM584" s="510">
        <v>53.05</v>
      </c>
      <c r="AN584" s="510">
        <f t="shared" si="79"/>
        <v>2122</v>
      </c>
      <c r="AO584" s="405"/>
      <c r="AP584" s="405"/>
    </row>
    <row r="585" spans="2:42">
      <c r="B585" s="47" t="s">
        <v>1112</v>
      </c>
      <c r="C585" s="47">
        <v>0.35416666666666669</v>
      </c>
      <c r="D585" s="47">
        <v>0.27083333333333331</v>
      </c>
      <c r="E585" s="319">
        <v>8</v>
      </c>
      <c r="F585" s="646"/>
      <c r="G585" s="4"/>
      <c r="H585" s="47">
        <v>0.375</v>
      </c>
      <c r="I585" s="47">
        <v>0.25</v>
      </c>
      <c r="J585" s="319">
        <v>8</v>
      </c>
      <c r="K585" s="646"/>
      <c r="L585" s="4"/>
      <c r="M585" s="441" t="s">
        <v>75</v>
      </c>
      <c r="N585" s="47">
        <v>0.25</v>
      </c>
      <c r="O585" s="319">
        <v>8</v>
      </c>
      <c r="P585" s="646"/>
      <c r="R585" s="47">
        <v>0.375</v>
      </c>
      <c r="S585" s="47">
        <v>0.25</v>
      </c>
      <c r="T585" s="319">
        <v>8</v>
      </c>
      <c r="U585" s="646"/>
      <c r="W585" s="47">
        <v>0.375</v>
      </c>
      <c r="X585" s="47">
        <v>0.28125</v>
      </c>
      <c r="Y585" s="319">
        <v>8</v>
      </c>
      <c r="Z585" s="646">
        <v>1.5</v>
      </c>
      <c r="AA585" s="328">
        <f t="shared" si="80"/>
        <v>40</v>
      </c>
      <c r="AB585" s="298">
        <f t="shared" si="81"/>
        <v>1.5</v>
      </c>
      <c r="AC585" s="4"/>
      <c r="AD585" s="47"/>
      <c r="AE585" s="47"/>
      <c r="AF585" s="319"/>
      <c r="AG585" s="328">
        <f t="shared" si="82"/>
        <v>0</v>
      </c>
      <c r="AH585" s="175"/>
      <c r="AI585" s="368"/>
      <c r="AK585" s="188" t="s">
        <v>36</v>
      </c>
      <c r="AL585" s="196">
        <f>AB608</f>
        <v>8</v>
      </c>
      <c r="AM585" s="510">
        <v>79.574999999999989</v>
      </c>
      <c r="AN585" s="510">
        <f t="shared" si="79"/>
        <v>636.59999999999991</v>
      </c>
    </row>
    <row r="586" spans="2:42">
      <c r="B586" s="436" t="s">
        <v>972</v>
      </c>
      <c r="C586" s="47"/>
      <c r="D586" s="47"/>
      <c r="E586" s="319">
        <v>0</v>
      </c>
      <c r="F586" s="646"/>
      <c r="G586" s="4"/>
      <c r="H586" s="47"/>
      <c r="I586" s="47"/>
      <c r="J586" s="319">
        <v>0</v>
      </c>
      <c r="K586" s="646"/>
      <c r="L586" s="4"/>
      <c r="M586" s="441"/>
      <c r="N586" s="47"/>
      <c r="O586" s="319">
        <v>0</v>
      </c>
      <c r="P586" s="646"/>
      <c r="R586" s="47"/>
      <c r="S586" s="47"/>
      <c r="T586" s="319">
        <v>0</v>
      </c>
      <c r="U586" s="646"/>
      <c r="W586" s="47"/>
      <c r="X586" s="47"/>
      <c r="Y586" s="319">
        <v>0</v>
      </c>
      <c r="Z586" s="646"/>
      <c r="AA586" s="328">
        <f t="shared" si="80"/>
        <v>0</v>
      </c>
      <c r="AB586" s="298">
        <f t="shared" si="81"/>
        <v>0</v>
      </c>
      <c r="AC586" s="4"/>
      <c r="AD586" s="47"/>
      <c r="AE586" s="47"/>
      <c r="AF586" s="319"/>
      <c r="AG586" s="328">
        <f t="shared" si="82"/>
        <v>0</v>
      </c>
      <c r="AK586" s="188" t="s">
        <v>38</v>
      </c>
      <c r="AL586" s="196">
        <f>AG608</f>
        <v>1</v>
      </c>
      <c r="AM586" s="510">
        <v>79.574999999999989</v>
      </c>
      <c r="AN586" s="510">
        <f t="shared" si="79"/>
        <v>79.574999999999989</v>
      </c>
    </row>
    <row r="587" spans="2:42">
      <c r="B587" s="47" t="s">
        <v>974</v>
      </c>
      <c r="C587" s="47">
        <v>0.33333333333333331</v>
      </c>
      <c r="D587" s="47">
        <v>0.20833333333333334</v>
      </c>
      <c r="E587" s="319">
        <v>8</v>
      </c>
      <c r="F587" s="646"/>
      <c r="G587" s="4"/>
      <c r="H587" s="47">
        <v>0.33333333333333331</v>
      </c>
      <c r="I587" s="47">
        <v>0.20833333333333334</v>
      </c>
      <c r="J587" s="319">
        <v>8</v>
      </c>
      <c r="K587" s="646"/>
      <c r="L587" s="4"/>
      <c r="M587" s="441" t="s">
        <v>125</v>
      </c>
      <c r="N587" s="47">
        <v>0.20833333333333334</v>
      </c>
      <c r="O587" s="319">
        <v>8</v>
      </c>
      <c r="P587" s="646"/>
      <c r="R587" s="47">
        <v>0.33333333333333331</v>
      </c>
      <c r="S587" s="47">
        <v>0.20833333333333334</v>
      </c>
      <c r="T587" s="319">
        <v>8</v>
      </c>
      <c r="U587" s="646"/>
      <c r="W587" s="47">
        <v>0.33333333333333331</v>
      </c>
      <c r="X587" s="47">
        <v>0.20833333333333334</v>
      </c>
      <c r="Y587" s="319">
        <v>8</v>
      </c>
      <c r="Z587" s="646"/>
      <c r="AA587" s="328">
        <f t="shared" si="80"/>
        <v>40</v>
      </c>
      <c r="AB587" s="298">
        <f t="shared" si="81"/>
        <v>0</v>
      </c>
      <c r="AC587" s="4"/>
      <c r="AD587" s="47"/>
      <c r="AE587" s="47"/>
      <c r="AF587" s="319"/>
      <c r="AG587" s="328">
        <f t="shared" si="82"/>
        <v>0</v>
      </c>
      <c r="AN587" s="510">
        <f>SUM(AN581:AN586)</f>
        <v>12603.272500000003</v>
      </c>
    </row>
    <row r="588" spans="2:42">
      <c r="B588" s="374" t="s">
        <v>998</v>
      </c>
      <c r="C588" s="47"/>
      <c r="D588" s="47"/>
      <c r="E588" s="319">
        <v>0</v>
      </c>
      <c r="F588" s="646"/>
      <c r="G588" s="4"/>
      <c r="H588" s="47"/>
      <c r="I588" s="47"/>
      <c r="J588" s="319">
        <v>0</v>
      </c>
      <c r="K588" s="646"/>
      <c r="L588" s="4"/>
      <c r="M588" s="441"/>
      <c r="N588" s="47"/>
      <c r="O588" s="319">
        <v>0</v>
      </c>
      <c r="P588" s="646"/>
      <c r="R588" s="47"/>
      <c r="S588" s="47"/>
      <c r="T588" s="319">
        <v>0</v>
      </c>
      <c r="U588" s="646"/>
      <c r="W588" s="47"/>
      <c r="X588" s="47"/>
      <c r="Y588" s="319">
        <v>0</v>
      </c>
      <c r="Z588" s="646"/>
      <c r="AA588" s="328">
        <f t="shared" si="80"/>
        <v>0</v>
      </c>
      <c r="AB588" s="298">
        <f t="shared" si="81"/>
        <v>0</v>
      </c>
      <c r="AC588" s="4"/>
      <c r="AD588" s="47"/>
      <c r="AE588" s="47"/>
      <c r="AF588" s="319"/>
      <c r="AG588" s="328">
        <f t="shared" si="82"/>
        <v>0</v>
      </c>
    </row>
    <row r="589" spans="2:42">
      <c r="B589" s="47" t="s">
        <v>977</v>
      </c>
      <c r="C589" s="47">
        <v>0.33333333333333331</v>
      </c>
      <c r="D589" s="47">
        <v>0.20833333333333334</v>
      </c>
      <c r="E589" s="319">
        <v>8</v>
      </c>
      <c r="F589" s="646"/>
      <c r="G589" s="4"/>
      <c r="H589" s="47">
        <v>0.33333333333333331</v>
      </c>
      <c r="I589" s="47">
        <v>0.20833333333333334</v>
      </c>
      <c r="J589" s="319">
        <v>8</v>
      </c>
      <c r="K589" s="646"/>
      <c r="L589" s="4"/>
      <c r="M589" s="441" t="s">
        <v>125</v>
      </c>
      <c r="N589" s="47">
        <v>0.20833333333333334</v>
      </c>
      <c r="O589" s="319">
        <v>8</v>
      </c>
      <c r="P589" s="646"/>
      <c r="R589" s="47">
        <v>0.36458333333333331</v>
      </c>
      <c r="S589" s="47">
        <v>0.26041666666666669</v>
      </c>
      <c r="T589" s="319">
        <v>8</v>
      </c>
      <c r="U589" s="646">
        <v>0.5</v>
      </c>
      <c r="W589" s="47">
        <v>0.33333333333333331</v>
      </c>
      <c r="X589" s="47">
        <v>0.20833333333333334</v>
      </c>
      <c r="Y589" s="319">
        <v>8</v>
      </c>
      <c r="Z589" s="646"/>
      <c r="AA589" s="328">
        <f t="shared" si="80"/>
        <v>40</v>
      </c>
      <c r="AB589" s="298">
        <f t="shared" si="81"/>
        <v>0.5</v>
      </c>
      <c r="AC589" s="4"/>
      <c r="AD589" s="47"/>
      <c r="AE589" s="47"/>
      <c r="AF589" s="319"/>
      <c r="AG589" s="328">
        <f t="shared" si="82"/>
        <v>0</v>
      </c>
      <c r="AK589" s="192" t="s">
        <v>1115</v>
      </c>
      <c r="AL589" s="189">
        <f>C609</f>
        <v>20</v>
      </c>
    </row>
    <row r="590" spans="2:42">
      <c r="B590" s="47" t="s">
        <v>519</v>
      </c>
      <c r="C590" s="47"/>
      <c r="D590" s="47"/>
      <c r="E590" s="319">
        <v>0</v>
      </c>
      <c r="F590" s="646"/>
      <c r="G590" s="4"/>
      <c r="H590" s="47"/>
      <c r="I590" s="47"/>
      <c r="J590" s="319">
        <v>0</v>
      </c>
      <c r="K590" s="646"/>
      <c r="L590" s="4"/>
      <c r="M590" s="441"/>
      <c r="N590" s="47"/>
      <c r="O590" s="319">
        <v>0</v>
      </c>
      <c r="P590" s="646"/>
      <c r="R590" s="441"/>
      <c r="S590" s="47"/>
      <c r="T590" s="319">
        <v>0</v>
      </c>
      <c r="U590" s="646"/>
      <c r="W590" s="441"/>
      <c r="X590" s="47"/>
      <c r="Y590" s="319">
        <v>0</v>
      </c>
      <c r="Z590" s="646"/>
      <c r="AA590" s="328">
        <f t="shared" si="80"/>
        <v>0</v>
      </c>
      <c r="AB590" s="298">
        <f t="shared" si="81"/>
        <v>0</v>
      </c>
      <c r="AC590" s="4"/>
      <c r="AD590" s="47"/>
      <c r="AE590" s="47"/>
      <c r="AF590" s="319"/>
      <c r="AG590" s="328">
        <f t="shared" si="82"/>
        <v>0</v>
      </c>
    </row>
    <row r="591" spans="2:42">
      <c r="B591" s="47" t="s">
        <v>999</v>
      </c>
      <c r="C591" s="47"/>
      <c r="D591" s="441"/>
      <c r="E591" s="319">
        <v>0</v>
      </c>
      <c r="F591" s="646"/>
      <c r="G591" s="4"/>
      <c r="H591" s="47"/>
      <c r="I591" s="47"/>
      <c r="J591" s="319">
        <v>0</v>
      </c>
      <c r="K591" s="646"/>
      <c r="L591" s="4"/>
      <c r="M591" s="441"/>
      <c r="N591" s="47"/>
      <c r="O591" s="319">
        <v>0</v>
      </c>
      <c r="P591" s="646"/>
      <c r="R591" s="441"/>
      <c r="S591" s="441"/>
      <c r="T591" s="319">
        <v>0</v>
      </c>
      <c r="U591" s="646"/>
      <c r="W591" s="441"/>
      <c r="X591" s="441"/>
      <c r="Y591" s="319">
        <v>0</v>
      </c>
      <c r="Z591" s="646"/>
      <c r="AA591" s="328">
        <f t="shared" si="80"/>
        <v>0</v>
      </c>
      <c r="AB591" s="298">
        <f t="shared" si="81"/>
        <v>0</v>
      </c>
      <c r="AC591" s="4"/>
      <c r="AD591" s="47"/>
      <c r="AE591" s="47"/>
      <c r="AF591" s="319"/>
      <c r="AG591" s="328">
        <f t="shared" si="82"/>
        <v>0</v>
      </c>
    </row>
    <row r="592" spans="2:42">
      <c r="B592" s="47" t="s">
        <v>1113</v>
      </c>
      <c r="C592" s="47"/>
      <c r="D592" s="47"/>
      <c r="E592" s="319">
        <v>0</v>
      </c>
      <c r="F592" s="646"/>
      <c r="G592" s="4"/>
      <c r="H592" s="47"/>
      <c r="I592" s="47"/>
      <c r="J592" s="319">
        <v>0</v>
      </c>
      <c r="K592" s="646"/>
      <c r="L592" s="4"/>
      <c r="M592" s="441"/>
      <c r="N592" s="47"/>
      <c r="O592" s="319">
        <v>0</v>
      </c>
      <c r="P592" s="646"/>
      <c r="R592" s="441"/>
      <c r="S592" s="47"/>
      <c r="T592" s="319">
        <v>0</v>
      </c>
      <c r="U592" s="646"/>
      <c r="W592" s="441"/>
      <c r="X592" s="47"/>
      <c r="Y592" s="319">
        <v>0</v>
      </c>
      <c r="Z592" s="646"/>
      <c r="AA592" s="328">
        <f t="shared" si="80"/>
        <v>0</v>
      </c>
      <c r="AB592" s="298">
        <f t="shared" si="81"/>
        <v>0</v>
      </c>
      <c r="AC592" s="4"/>
      <c r="AD592" s="47"/>
      <c r="AE592" s="47"/>
      <c r="AF592" s="319"/>
      <c r="AG592" s="328">
        <f t="shared" si="82"/>
        <v>0</v>
      </c>
    </row>
    <row r="593" spans="2:37">
      <c r="B593" s="502" t="s">
        <v>483</v>
      </c>
      <c r="C593" s="47"/>
      <c r="D593" s="47"/>
      <c r="E593" s="319"/>
      <c r="F593" s="646"/>
      <c r="G593" s="4"/>
      <c r="H593" s="47"/>
      <c r="I593" s="47"/>
      <c r="J593" s="319"/>
      <c r="K593" s="646"/>
      <c r="L593" s="4"/>
      <c r="M593" s="441"/>
      <c r="N593" s="47"/>
      <c r="O593" s="319"/>
      <c r="P593" s="646"/>
      <c r="R593" s="5"/>
      <c r="S593" s="5"/>
      <c r="T593" s="319"/>
      <c r="U593" s="646"/>
      <c r="W593" s="5"/>
      <c r="X593" s="5"/>
      <c r="Y593" s="319"/>
      <c r="Z593" s="646"/>
      <c r="AA593" s="328">
        <f t="shared" si="80"/>
        <v>0</v>
      </c>
      <c r="AB593" s="298">
        <f t="shared" si="81"/>
        <v>0</v>
      </c>
      <c r="AC593" s="4"/>
      <c r="AD593" s="47"/>
      <c r="AE593" s="47"/>
      <c r="AF593" s="319"/>
      <c r="AG593" s="328">
        <f t="shared" si="82"/>
        <v>0</v>
      </c>
    </row>
    <row r="594" spans="2:37">
      <c r="B594" s="502" t="s">
        <v>483</v>
      </c>
      <c r="C594" s="47"/>
      <c r="D594" s="47"/>
      <c r="E594" s="319">
        <v>6</v>
      </c>
      <c r="F594" s="646"/>
      <c r="G594" s="4"/>
      <c r="H594" s="47"/>
      <c r="I594" s="47"/>
      <c r="J594" s="319">
        <v>2</v>
      </c>
      <c r="K594" s="646"/>
      <c r="L594" s="4"/>
      <c r="M594" s="441"/>
      <c r="N594" s="47"/>
      <c r="O594" s="319">
        <v>0</v>
      </c>
      <c r="P594" s="646"/>
      <c r="R594" s="47"/>
      <c r="S594" s="47"/>
      <c r="T594" s="319">
        <v>0</v>
      </c>
      <c r="U594" s="646"/>
      <c r="W594" s="47"/>
      <c r="X594" s="47"/>
      <c r="Y594" s="319">
        <v>4</v>
      </c>
      <c r="Z594" s="646"/>
      <c r="AA594" s="328">
        <f t="shared" si="80"/>
        <v>12</v>
      </c>
      <c r="AB594" s="298">
        <f t="shared" si="81"/>
        <v>0</v>
      </c>
      <c r="AC594" s="4"/>
      <c r="AD594" s="47"/>
      <c r="AE594" s="47"/>
      <c r="AF594" s="319"/>
      <c r="AG594" s="328">
        <f t="shared" si="82"/>
        <v>0</v>
      </c>
    </row>
    <row r="595" spans="2:37">
      <c r="B595" s="502" t="s">
        <v>484</v>
      </c>
      <c r="C595" s="47"/>
      <c r="D595" s="47"/>
      <c r="E595" s="319">
        <v>6</v>
      </c>
      <c r="F595" s="646"/>
      <c r="G595" s="4"/>
      <c r="H595" s="47"/>
      <c r="I595" s="47"/>
      <c r="J595" s="319">
        <v>2</v>
      </c>
      <c r="K595" s="646"/>
      <c r="L595" s="4"/>
      <c r="M595" s="441"/>
      <c r="N595" s="47"/>
      <c r="O595" s="319">
        <v>0</v>
      </c>
      <c r="P595" s="646"/>
      <c r="R595" s="47"/>
      <c r="S595" s="47"/>
      <c r="T595" s="319">
        <v>0</v>
      </c>
      <c r="U595" s="646"/>
      <c r="W595" s="47"/>
      <c r="X595" s="47"/>
      <c r="Y595" s="319">
        <v>4</v>
      </c>
      <c r="Z595" s="646"/>
      <c r="AA595" s="328">
        <f t="shared" si="80"/>
        <v>12</v>
      </c>
      <c r="AB595" s="298">
        <f t="shared" si="81"/>
        <v>0</v>
      </c>
      <c r="AC595" s="4"/>
      <c r="AD595" s="47"/>
      <c r="AE595" s="47"/>
      <c r="AF595" s="319"/>
      <c r="AG595" s="328">
        <f t="shared" si="82"/>
        <v>0</v>
      </c>
    </row>
    <row r="596" spans="2:37">
      <c r="B596" s="502" t="s">
        <v>485</v>
      </c>
      <c r="C596" s="47"/>
      <c r="D596" s="47"/>
      <c r="E596" s="319">
        <v>4</v>
      </c>
      <c r="F596" s="646"/>
      <c r="G596" s="4"/>
      <c r="H596" s="47"/>
      <c r="I596" s="47"/>
      <c r="J596" s="319">
        <v>2</v>
      </c>
      <c r="K596" s="646"/>
      <c r="L596" s="4"/>
      <c r="M596" s="47"/>
      <c r="N596" s="47"/>
      <c r="O596" s="319">
        <v>0</v>
      </c>
      <c r="P596" s="646"/>
      <c r="R596" s="47"/>
      <c r="S596" s="47"/>
      <c r="T596" s="319">
        <v>0</v>
      </c>
      <c r="U596" s="646"/>
      <c r="W596" s="47"/>
      <c r="X596" s="47"/>
      <c r="Y596" s="319">
        <v>4</v>
      </c>
      <c r="Z596" s="646"/>
      <c r="AA596" s="328">
        <f t="shared" si="80"/>
        <v>10</v>
      </c>
      <c r="AB596" s="298">
        <f t="shared" si="81"/>
        <v>0</v>
      </c>
      <c r="AC596" s="4"/>
      <c r="AD596" s="47"/>
      <c r="AE596" s="47"/>
      <c r="AF596" s="319"/>
      <c r="AG596" s="328">
        <f t="shared" si="82"/>
        <v>0</v>
      </c>
    </row>
    <row r="597" spans="2:37">
      <c r="B597" s="502" t="s">
        <v>1129</v>
      </c>
      <c r="C597" s="47"/>
      <c r="D597" s="47"/>
      <c r="E597" s="319"/>
      <c r="F597" s="646"/>
      <c r="G597" s="4"/>
      <c r="H597" s="47"/>
      <c r="I597" s="47"/>
      <c r="J597" s="319"/>
      <c r="K597" s="646"/>
      <c r="L597" s="4"/>
      <c r="M597" s="5"/>
      <c r="N597" s="5"/>
      <c r="O597" s="319"/>
      <c r="P597" s="646"/>
      <c r="R597" s="5"/>
      <c r="S597" s="5"/>
      <c r="T597" s="319"/>
      <c r="U597" s="646"/>
      <c r="W597" s="5"/>
      <c r="X597" s="5"/>
      <c r="Y597" s="319"/>
      <c r="Z597" s="646"/>
      <c r="AA597" s="328">
        <f t="shared" si="80"/>
        <v>0</v>
      </c>
      <c r="AB597" s="298">
        <f t="shared" si="81"/>
        <v>0</v>
      </c>
      <c r="AC597" s="4"/>
      <c r="AD597" s="47"/>
      <c r="AE597" s="47"/>
      <c r="AF597" s="319"/>
      <c r="AG597" s="328">
        <f t="shared" si="82"/>
        <v>0</v>
      </c>
    </row>
    <row r="598" spans="2:37">
      <c r="B598" s="63" t="s">
        <v>1116</v>
      </c>
      <c r="C598" s="47"/>
      <c r="D598" s="47"/>
      <c r="E598" s="319">
        <v>8</v>
      </c>
      <c r="F598" s="646"/>
      <c r="G598" s="4"/>
      <c r="H598" s="47"/>
      <c r="I598" s="47"/>
      <c r="J598" s="319">
        <v>8</v>
      </c>
      <c r="K598" s="646"/>
      <c r="L598" s="4"/>
      <c r="M598" s="47"/>
      <c r="N598" s="47"/>
      <c r="O598" s="319">
        <v>8</v>
      </c>
      <c r="P598" s="646"/>
      <c r="R598" s="663"/>
      <c r="S598" s="663"/>
      <c r="T598" s="319">
        <v>8</v>
      </c>
      <c r="U598" s="646"/>
      <c r="W598" s="663"/>
      <c r="X598" s="663"/>
      <c r="Y598" s="319">
        <v>8</v>
      </c>
      <c r="Z598" s="646"/>
      <c r="AA598" s="328">
        <f>(E598+J598+O598+T598+Y598)</f>
        <v>40</v>
      </c>
      <c r="AB598" s="298">
        <f t="shared" si="81"/>
        <v>0</v>
      </c>
      <c r="AC598" s="4"/>
      <c r="AD598" s="47"/>
      <c r="AE598" s="47"/>
      <c r="AF598" s="319"/>
      <c r="AG598" s="328">
        <f t="shared" si="82"/>
        <v>0</v>
      </c>
    </row>
    <row r="599" spans="2:37">
      <c r="B599" s="267" t="s">
        <v>358</v>
      </c>
      <c r="C599" s="47"/>
      <c r="D599" s="47"/>
      <c r="E599" s="319">
        <v>1</v>
      </c>
      <c r="F599" s="646"/>
      <c r="G599" s="4"/>
      <c r="H599" s="47"/>
      <c r="I599" s="47"/>
      <c r="J599" s="319">
        <v>1</v>
      </c>
      <c r="K599" s="646"/>
      <c r="L599" s="438"/>
      <c r="M599" s="663"/>
      <c r="N599" s="663"/>
      <c r="O599" s="319">
        <v>1</v>
      </c>
      <c r="P599" s="646"/>
      <c r="Q599" s="438"/>
      <c r="R599" s="663"/>
      <c r="S599" s="663"/>
      <c r="T599" s="319">
        <v>1</v>
      </c>
      <c r="U599" s="646"/>
      <c r="V599" s="438"/>
      <c r="W599" s="663"/>
      <c r="X599" s="663"/>
      <c r="Y599" s="319">
        <v>2</v>
      </c>
      <c r="Z599" s="646"/>
      <c r="AA599" s="328">
        <f t="shared" ref="AA599:AA605" si="83">(E599+J599+O599+T599+Y599)</f>
        <v>6</v>
      </c>
      <c r="AB599" s="298">
        <f t="shared" si="81"/>
        <v>0</v>
      </c>
      <c r="AC599" s="4"/>
      <c r="AD599" s="47"/>
      <c r="AE599" s="47"/>
      <c r="AF599" s="319"/>
      <c r="AG599" s="328">
        <f t="shared" si="82"/>
        <v>0</v>
      </c>
    </row>
    <row r="600" spans="2:37">
      <c r="B600" s="267" t="s">
        <v>991</v>
      </c>
      <c r="C600" s="47"/>
      <c r="D600" s="47"/>
      <c r="E600" s="319"/>
      <c r="F600" s="646"/>
      <c r="G600" s="4"/>
      <c r="H600" s="47"/>
      <c r="I600" s="47"/>
      <c r="J600" s="319"/>
      <c r="K600" s="646"/>
      <c r="L600" s="438"/>
      <c r="M600" s="5"/>
      <c r="N600" s="5"/>
      <c r="O600" s="319"/>
      <c r="P600" s="646"/>
      <c r="Q600" s="438"/>
      <c r="R600" s="5"/>
      <c r="S600" s="5"/>
      <c r="T600" s="319"/>
      <c r="U600" s="646"/>
      <c r="V600" s="438"/>
      <c r="W600" s="5"/>
      <c r="X600" s="5"/>
      <c r="Y600" s="319"/>
      <c r="Z600" s="646"/>
      <c r="AA600" s="328">
        <f t="shared" si="83"/>
        <v>0</v>
      </c>
      <c r="AB600" s="298">
        <f t="shared" si="81"/>
        <v>0</v>
      </c>
      <c r="AC600" s="4"/>
      <c r="AD600" s="47"/>
      <c r="AE600" s="47"/>
      <c r="AF600" s="319"/>
      <c r="AG600" s="328">
        <f t="shared" si="82"/>
        <v>0</v>
      </c>
    </row>
    <row r="601" spans="2:37">
      <c r="B601" s="267" t="s">
        <v>411</v>
      </c>
      <c r="C601" s="47"/>
      <c r="D601" s="47"/>
      <c r="E601" s="319"/>
      <c r="F601" s="646"/>
      <c r="G601" s="4"/>
      <c r="H601" s="47"/>
      <c r="I601" s="47"/>
      <c r="J601" s="319"/>
      <c r="K601" s="646"/>
      <c r="L601" s="438"/>
      <c r="M601" s="5"/>
      <c r="N601" s="5"/>
      <c r="O601" s="319"/>
      <c r="P601" s="646"/>
      <c r="Q601" s="438"/>
      <c r="R601" s="5"/>
      <c r="S601" s="5"/>
      <c r="T601" s="319"/>
      <c r="U601" s="646"/>
      <c r="V601" s="438"/>
      <c r="W601" s="5"/>
      <c r="X601" s="5"/>
      <c r="Y601" s="319"/>
      <c r="Z601" s="646"/>
      <c r="AA601" s="328">
        <f t="shared" si="83"/>
        <v>0</v>
      </c>
      <c r="AB601" s="298">
        <f t="shared" si="81"/>
        <v>0</v>
      </c>
      <c r="AC601" s="4"/>
      <c r="AD601" s="47"/>
      <c r="AE601" s="47"/>
      <c r="AF601" s="319"/>
      <c r="AG601" s="328">
        <f t="shared" si="82"/>
        <v>0</v>
      </c>
    </row>
    <row r="602" spans="2:37">
      <c r="B602" s="267" t="s">
        <v>361</v>
      </c>
      <c r="C602" s="47"/>
      <c r="D602" s="47"/>
      <c r="E602" s="319"/>
      <c r="F602" s="646"/>
      <c r="G602" s="4"/>
      <c r="H602" s="47"/>
      <c r="I602" s="47"/>
      <c r="J602" s="319"/>
      <c r="K602" s="646"/>
      <c r="L602" s="438"/>
      <c r="M602" s="5"/>
      <c r="N602" s="5"/>
      <c r="O602" s="319"/>
      <c r="P602" s="646"/>
      <c r="Q602" s="438"/>
      <c r="R602" s="5"/>
      <c r="S602" s="5"/>
      <c r="T602" s="319"/>
      <c r="U602" s="646"/>
      <c r="V602" s="438"/>
      <c r="W602" s="5"/>
      <c r="X602" s="5"/>
      <c r="Y602" s="319"/>
      <c r="Z602" s="646"/>
      <c r="AA602" s="328">
        <f t="shared" si="83"/>
        <v>0</v>
      </c>
      <c r="AB602" s="298">
        <f t="shared" si="81"/>
        <v>0</v>
      </c>
      <c r="AC602" s="4"/>
      <c r="AD602" s="47"/>
      <c r="AE602" s="47"/>
      <c r="AF602" s="319"/>
      <c r="AG602" s="328">
        <f t="shared" si="82"/>
        <v>0</v>
      </c>
    </row>
    <row r="603" spans="2:37">
      <c r="B603" s="267" t="s">
        <v>362</v>
      </c>
      <c r="C603" s="47"/>
      <c r="D603" s="5"/>
      <c r="E603" s="319">
        <v>0</v>
      </c>
      <c r="F603" s="646"/>
      <c r="G603" s="4"/>
      <c r="H603" s="47"/>
      <c r="I603" s="5"/>
      <c r="J603" s="319">
        <v>0</v>
      </c>
      <c r="K603" s="646"/>
      <c r="L603" s="438"/>
      <c r="M603" s="47"/>
      <c r="N603" s="5"/>
      <c r="O603" s="319">
        <v>0</v>
      </c>
      <c r="P603" s="646"/>
      <c r="Q603" s="438"/>
      <c r="R603" s="47"/>
      <c r="S603" s="5"/>
      <c r="T603" s="319">
        <v>0</v>
      </c>
      <c r="U603" s="646"/>
      <c r="V603" s="438"/>
      <c r="W603" s="5"/>
      <c r="X603" s="5" t="s">
        <v>137</v>
      </c>
      <c r="Y603" s="319">
        <v>0</v>
      </c>
      <c r="Z603" s="646"/>
      <c r="AA603" s="328">
        <f t="shared" si="83"/>
        <v>0</v>
      </c>
      <c r="AB603" s="298">
        <f t="shared" si="81"/>
        <v>0</v>
      </c>
      <c r="AC603" s="4"/>
      <c r="AD603" s="47"/>
      <c r="AE603" s="47"/>
      <c r="AF603" s="319"/>
      <c r="AG603" s="328">
        <f t="shared" si="82"/>
        <v>0</v>
      </c>
    </row>
    <row r="604" spans="2:37">
      <c r="B604" s="437" t="s">
        <v>355</v>
      </c>
      <c r="C604" s="47"/>
      <c r="D604" s="47"/>
      <c r="E604" s="319">
        <v>7.75</v>
      </c>
      <c r="F604" s="646"/>
      <c r="G604" s="4"/>
      <c r="H604" s="47"/>
      <c r="I604" s="47"/>
      <c r="J604" s="319">
        <v>7.75</v>
      </c>
      <c r="K604" s="646"/>
      <c r="L604" s="438"/>
      <c r="M604" s="5"/>
      <c r="N604" s="5"/>
      <c r="O604" s="319"/>
      <c r="P604" s="646"/>
      <c r="Q604" s="438"/>
      <c r="R604" s="5"/>
      <c r="S604" s="5"/>
      <c r="T604" s="319"/>
      <c r="U604" s="646"/>
      <c r="V604" s="438"/>
      <c r="W604" s="5"/>
      <c r="X604" s="5"/>
      <c r="Y604" s="319">
        <v>7.75</v>
      </c>
      <c r="Z604" s="646"/>
      <c r="AA604" s="328">
        <f t="shared" si="83"/>
        <v>23.25</v>
      </c>
      <c r="AB604" s="298">
        <f t="shared" si="81"/>
        <v>0</v>
      </c>
      <c r="AC604" s="4"/>
      <c r="AD604" s="47"/>
      <c r="AE604" s="47"/>
      <c r="AF604" s="319"/>
      <c r="AG604" s="328">
        <f t="shared" si="82"/>
        <v>0</v>
      </c>
    </row>
    <row r="605" spans="2:37">
      <c r="B605" s="437" t="s">
        <v>356</v>
      </c>
      <c r="C605" s="713"/>
      <c r="D605" s="713"/>
      <c r="E605" s="319"/>
      <c r="F605" s="646"/>
      <c r="G605" s="438"/>
      <c r="H605" s="5"/>
      <c r="I605" s="5"/>
      <c r="J605" s="319"/>
      <c r="K605" s="646"/>
      <c r="L605" s="438"/>
      <c r="M605" s="5"/>
      <c r="N605" s="5"/>
      <c r="O605" s="319"/>
      <c r="P605" s="646"/>
      <c r="Q605" s="438"/>
      <c r="R605" s="5"/>
      <c r="S605" s="5"/>
      <c r="T605" s="319"/>
      <c r="U605" s="646"/>
      <c r="V605" s="438"/>
      <c r="W605" s="5"/>
      <c r="X605" s="5"/>
      <c r="Y605" s="319"/>
      <c r="Z605" s="646"/>
      <c r="AA605" s="328">
        <f t="shared" si="83"/>
        <v>0</v>
      </c>
      <c r="AB605" s="298">
        <f t="shared" si="81"/>
        <v>0</v>
      </c>
      <c r="AC605" s="4"/>
      <c r="AD605" s="47"/>
      <c r="AE605" s="47"/>
      <c r="AF605" s="319"/>
      <c r="AG605" s="328">
        <f t="shared" si="82"/>
        <v>0</v>
      </c>
    </row>
    <row r="606" spans="2:37">
      <c r="B606" s="64" t="s">
        <v>61</v>
      </c>
      <c r="C606" s="31"/>
      <c r="D606" s="31"/>
      <c r="E606" s="439"/>
      <c r="F606" s="646"/>
      <c r="G606" s="31"/>
      <c r="H606" s="31"/>
      <c r="I606" s="31"/>
      <c r="J606" s="439"/>
      <c r="K606" s="646"/>
      <c r="L606" s="31"/>
      <c r="M606" s="31"/>
      <c r="N606" s="31"/>
      <c r="O606" s="439"/>
      <c r="P606" s="646"/>
      <c r="Q606" s="31"/>
      <c r="R606" s="31"/>
      <c r="S606" s="31"/>
      <c r="T606" s="439"/>
      <c r="U606" s="646"/>
      <c r="V606" s="31"/>
      <c r="W606" s="31"/>
      <c r="X606" s="31"/>
      <c r="Y606" s="439"/>
      <c r="Z606" s="646"/>
      <c r="AA606" s="370">
        <f>SUM(AA582:AA605)</f>
        <v>239.25</v>
      </c>
      <c r="AB606" s="370">
        <f>SUM(AB582:AB605)</f>
        <v>2</v>
      </c>
      <c r="AC606" s="4"/>
      <c r="AD606" s="64"/>
      <c r="AE606" s="64"/>
      <c r="AF606" s="370">
        <f>SUM(AF582:AF605)</f>
        <v>0</v>
      </c>
      <c r="AG606" s="370">
        <f>SUM(AG582:AG605)</f>
        <v>0</v>
      </c>
      <c r="AK606" s="407"/>
    </row>
    <row r="607" spans="2:37">
      <c r="B607" s="63" t="s">
        <v>64</v>
      </c>
      <c r="C607" s="47"/>
      <c r="D607" s="47"/>
      <c r="E607" s="319">
        <v>8</v>
      </c>
      <c r="F607" s="346">
        <v>1.5</v>
      </c>
      <c r="G607" s="613"/>
      <c r="H607" s="47"/>
      <c r="I607" s="47"/>
      <c r="J607" s="319">
        <v>8</v>
      </c>
      <c r="K607" s="346">
        <v>2</v>
      </c>
      <c r="L607" s="60"/>
      <c r="M607" s="47"/>
      <c r="N607" s="47"/>
      <c r="O607" s="319">
        <v>8</v>
      </c>
      <c r="P607" s="346">
        <v>1</v>
      </c>
      <c r="Q607" s="60"/>
      <c r="R607" s="47"/>
      <c r="S607" s="47"/>
      <c r="T607" s="319">
        <v>8</v>
      </c>
      <c r="U607" s="346">
        <v>2.25</v>
      </c>
      <c r="V607" s="60"/>
      <c r="W607" s="47"/>
      <c r="X607" s="47"/>
      <c r="Y607" s="319">
        <v>8</v>
      </c>
      <c r="Z607" s="346">
        <v>1.25</v>
      </c>
      <c r="AA607" s="28">
        <f>SUM(E607+J607+O607+T607+Y607)</f>
        <v>40</v>
      </c>
      <c r="AB607" s="296">
        <f>Z607+U607+P607+K607+F607</f>
        <v>8</v>
      </c>
      <c r="AC607" s="4"/>
      <c r="AD607" s="47" t="s">
        <v>29</v>
      </c>
      <c r="AE607" s="47" t="s">
        <v>29</v>
      </c>
      <c r="AF607" s="319">
        <v>1</v>
      </c>
      <c r="AG607" s="29">
        <f>AF607</f>
        <v>1</v>
      </c>
      <c r="AK607" s="407"/>
    </row>
    <row r="608" spans="2:37">
      <c r="B608" s="71" t="s">
        <v>66</v>
      </c>
      <c r="C608" s="371"/>
      <c r="D608" s="371"/>
      <c r="E608" s="71"/>
      <c r="F608" s="613"/>
      <c r="G608" s="71"/>
      <c r="H608" s="71"/>
      <c r="I608" s="71"/>
      <c r="J608" s="71"/>
      <c r="K608" s="613"/>
      <c r="L608" s="71"/>
      <c r="M608" s="71"/>
      <c r="N608" s="71"/>
      <c r="O608" s="71"/>
      <c r="P608" s="613"/>
      <c r="Q608" s="71"/>
      <c r="R608" s="71"/>
      <c r="S608" s="71"/>
      <c r="T608" s="71"/>
      <c r="U608" s="613"/>
      <c r="V608" s="71"/>
      <c r="W608" s="71"/>
      <c r="X608" s="71"/>
      <c r="Y608" s="71"/>
      <c r="Z608" s="613"/>
      <c r="AA608" s="370">
        <f>SUM(AA607:AA607)</f>
        <v>40</v>
      </c>
      <c r="AB608" s="370">
        <f>SUM(AB607:AB607)</f>
        <v>8</v>
      </c>
      <c r="AC608" s="4"/>
      <c r="AG608" s="370">
        <f>SUM(AG607:AG607)</f>
        <v>1</v>
      </c>
      <c r="AK608" s="407"/>
    </row>
    <row r="609" spans="2:42">
      <c r="B609" s="217" t="s">
        <v>67</v>
      </c>
      <c r="C609" s="207">
        <f>C610+C611</f>
        <v>20</v>
      </c>
      <c r="D609" s="207"/>
      <c r="E609" s="209"/>
      <c r="F609" s="209"/>
      <c r="G609" s="207"/>
      <c r="H609" s="209"/>
      <c r="I609" s="209"/>
      <c r="J609" s="209"/>
      <c r="K609" s="209"/>
      <c r="L609" s="207"/>
      <c r="M609" s="207"/>
      <c r="N609" s="207"/>
      <c r="O609" s="207"/>
      <c r="P609" s="209"/>
      <c r="Q609" s="207"/>
      <c r="R609" s="207"/>
      <c r="S609" s="207"/>
      <c r="T609" s="207"/>
      <c r="U609" s="209"/>
      <c r="V609" s="207"/>
      <c r="W609" s="207"/>
      <c r="X609" s="207"/>
      <c r="Y609" s="210"/>
      <c r="Z609" s="209"/>
      <c r="AA609" s="211"/>
      <c r="AB609" s="209"/>
      <c r="AC609" s="211"/>
      <c r="AD609" s="211"/>
      <c r="AE609" s="211"/>
      <c r="AF609" s="211"/>
      <c r="AG609" s="211"/>
    </row>
    <row r="610" spans="2:42">
      <c r="B610" s="238" t="s">
        <v>68</v>
      </c>
      <c r="C610" s="239">
        <v>0</v>
      </c>
      <c r="D610" s="207"/>
      <c r="E610" s="209"/>
      <c r="F610" s="209"/>
      <c r="G610" s="207"/>
      <c r="H610" s="209"/>
      <c r="I610" s="209"/>
      <c r="J610" s="209"/>
      <c r="K610" s="209"/>
      <c r="L610" s="207"/>
      <c r="M610" s="207"/>
      <c r="N610" s="207"/>
      <c r="O610" s="207"/>
      <c r="P610" s="209"/>
      <c r="Q610" s="207"/>
      <c r="R610" s="207"/>
      <c r="S610" s="207"/>
      <c r="T610" s="207"/>
      <c r="U610" s="209"/>
      <c r="V610" s="207"/>
      <c r="W610" s="207"/>
      <c r="X610" s="207"/>
      <c r="Y610" s="210"/>
      <c r="Z610" s="209"/>
      <c r="AA610" s="211"/>
      <c r="AB610" s="209"/>
      <c r="AC610" s="211"/>
      <c r="AD610" s="211"/>
      <c r="AE610" s="211"/>
      <c r="AF610" s="211"/>
      <c r="AG610" s="211"/>
    </row>
    <row r="611" spans="2:42">
      <c r="B611" s="238" t="s">
        <v>69</v>
      </c>
      <c r="C611" s="239">
        <v>20</v>
      </c>
      <c r="D611" s="207"/>
      <c r="E611" s="209"/>
      <c r="F611" s="209"/>
      <c r="G611" s="207"/>
      <c r="H611" s="209"/>
      <c r="I611" s="209"/>
      <c r="J611" s="209"/>
      <c r="K611" s="209"/>
      <c r="L611" s="207"/>
      <c r="M611" s="207"/>
      <c r="N611" s="207"/>
      <c r="O611" s="207"/>
      <c r="P611" s="209"/>
      <c r="Q611" s="207"/>
      <c r="R611" s="207"/>
      <c r="S611" s="207"/>
      <c r="T611" s="207"/>
      <c r="U611" s="209"/>
      <c r="V611" s="207"/>
      <c r="W611" s="207"/>
      <c r="X611" s="207"/>
      <c r="Y611" s="210"/>
      <c r="Z611" s="209"/>
      <c r="AA611" s="211"/>
      <c r="AB611" s="209"/>
      <c r="AC611" s="211"/>
      <c r="AD611" s="211"/>
      <c r="AE611" s="211"/>
      <c r="AF611" s="211"/>
      <c r="AG611" s="211"/>
    </row>
    <row r="612" spans="2:42">
      <c r="B612" s="180"/>
      <c r="E612" s="4"/>
      <c r="F612" s="644"/>
      <c r="G612" s="4"/>
      <c r="J612" s="4"/>
      <c r="K612" s="644"/>
      <c r="L612" s="4"/>
      <c r="O612" s="4"/>
      <c r="P612" s="644"/>
      <c r="T612" s="4"/>
      <c r="U612" s="644"/>
      <c r="Y612" s="4"/>
      <c r="Z612" s="644"/>
      <c r="AA612" s="4"/>
      <c r="AB612" s="4"/>
      <c r="AC612" s="4"/>
    </row>
    <row r="613" spans="2:42">
      <c r="B613" s="229"/>
      <c r="C613" s="230"/>
      <c r="D613" s="230"/>
      <c r="E613" s="232"/>
      <c r="F613" s="232"/>
      <c r="G613" s="230"/>
      <c r="H613" s="232"/>
      <c r="I613" s="232"/>
      <c r="J613" s="232"/>
      <c r="K613" s="232"/>
      <c r="L613" s="230"/>
      <c r="M613" s="230"/>
      <c r="N613" s="230"/>
      <c r="O613" s="230"/>
      <c r="P613" s="232"/>
      <c r="Q613" s="230"/>
      <c r="R613" s="230"/>
      <c r="S613" s="230"/>
      <c r="T613" s="230"/>
      <c r="U613" s="232"/>
      <c r="V613" s="230"/>
      <c r="W613" s="230"/>
      <c r="X613" s="230"/>
      <c r="Y613" s="233"/>
      <c r="Z613" s="232"/>
      <c r="AA613" s="234"/>
      <c r="AB613" s="232"/>
      <c r="AC613" s="373"/>
      <c r="AD613" s="236"/>
      <c r="AE613" s="255"/>
      <c r="AF613" s="255"/>
      <c r="AG613" s="255"/>
      <c r="AH613" s="255"/>
      <c r="AJ613" s="255"/>
      <c r="AK613" s="255"/>
      <c r="AL613" s="255"/>
      <c r="AM613" s="255"/>
      <c r="AN613" s="255"/>
      <c r="AO613" s="255"/>
      <c r="AP613" s="255"/>
    </row>
    <row r="614" spans="2:42">
      <c r="B614" s="180"/>
      <c r="E614" s="4"/>
      <c r="F614" s="644"/>
      <c r="G614" s="4"/>
      <c r="J614" s="4"/>
      <c r="K614" s="644"/>
      <c r="L614" s="4"/>
      <c r="O614" s="4"/>
      <c r="P614" s="644"/>
      <c r="T614" s="4"/>
      <c r="U614" s="644"/>
      <c r="Y614" s="4"/>
      <c r="Z614" s="644"/>
      <c r="AA614" s="4"/>
      <c r="AB614" s="4"/>
      <c r="AC614" s="4"/>
    </row>
    <row r="615" spans="2:42" ht="25.5">
      <c r="B615" s="1518" t="s">
        <v>18</v>
      </c>
      <c r="C615" s="1519">
        <v>45831</v>
      </c>
      <c r="D615" s="1519"/>
      <c r="E615" s="1519" t="s">
        <v>564</v>
      </c>
      <c r="F615" s="1519"/>
      <c r="G615" s="365"/>
      <c r="H615" s="1519">
        <v>45832</v>
      </c>
      <c r="I615" s="1519"/>
      <c r="J615" s="1519" t="s">
        <v>565</v>
      </c>
      <c r="K615" s="1519"/>
      <c r="L615" s="365"/>
      <c r="M615" s="1519">
        <v>45833</v>
      </c>
      <c r="N615" s="1519"/>
      <c r="O615" s="1519" t="s">
        <v>566</v>
      </c>
      <c r="P615" s="1519"/>
      <c r="Q615" s="365"/>
      <c r="R615" s="1519">
        <v>45834</v>
      </c>
      <c r="S615" s="1519"/>
      <c r="T615" s="1519" t="s">
        <v>567</v>
      </c>
      <c r="U615" s="1519"/>
      <c r="V615" s="365"/>
      <c r="W615" s="1519">
        <v>45835</v>
      </c>
      <c r="X615" s="1519"/>
      <c r="Y615" s="1519" t="s">
        <v>568</v>
      </c>
      <c r="Z615" s="1519"/>
      <c r="AA615" s="1517" t="s">
        <v>19</v>
      </c>
      <c r="AB615" s="1517" t="s">
        <v>20</v>
      </c>
      <c r="AC615" s="4"/>
      <c r="AD615" s="1519"/>
      <c r="AE615" s="1519"/>
      <c r="AF615" s="14" t="s">
        <v>1111</v>
      </c>
      <c r="AG615" s="1517" t="s">
        <v>21</v>
      </c>
      <c r="AI615" s="368"/>
      <c r="AK615" s="194" t="s">
        <v>84</v>
      </c>
      <c r="AL615" s="366"/>
      <c r="AM615" s="366"/>
      <c r="AN615" s="366"/>
      <c r="AO615" s="366"/>
      <c r="AP615" s="366"/>
    </row>
    <row r="616" spans="2:42">
      <c r="B616" s="1518"/>
      <c r="C616" s="21" t="s">
        <v>23</v>
      </c>
      <c r="D616" s="21" t="s">
        <v>24</v>
      </c>
      <c r="E616" s="205" t="s">
        <v>25</v>
      </c>
      <c r="F616" s="645" t="s">
        <v>14</v>
      </c>
      <c r="G616" s="4"/>
      <c r="H616" s="21"/>
      <c r="I616" s="21" t="s">
        <v>24</v>
      </c>
      <c r="J616" s="18" t="s">
        <v>25</v>
      </c>
      <c r="K616" s="645" t="s">
        <v>14</v>
      </c>
      <c r="L616" s="4"/>
      <c r="M616" s="21" t="s">
        <v>23</v>
      </c>
      <c r="N616" s="21" t="s">
        <v>24</v>
      </c>
      <c r="O616" s="18" t="s">
        <v>25</v>
      </c>
      <c r="P616" s="645" t="s">
        <v>14</v>
      </c>
      <c r="R616" s="21" t="s">
        <v>23</v>
      </c>
      <c r="S616" s="21" t="s">
        <v>24</v>
      </c>
      <c r="T616" s="18" t="s">
        <v>25</v>
      </c>
      <c r="U616" s="645" t="s">
        <v>14</v>
      </c>
      <c r="W616" s="21" t="s">
        <v>23</v>
      </c>
      <c r="X616" s="21" t="s">
        <v>24</v>
      </c>
      <c r="Y616" s="18" t="s">
        <v>25</v>
      </c>
      <c r="Z616" s="645" t="s">
        <v>14</v>
      </c>
      <c r="AA616" s="1517"/>
      <c r="AB616" s="1517"/>
      <c r="AC616" s="4"/>
      <c r="AD616" s="21" t="s">
        <v>23</v>
      </c>
      <c r="AE616" s="21" t="s">
        <v>24</v>
      </c>
      <c r="AF616" s="18" t="s">
        <v>25</v>
      </c>
      <c r="AG616" s="1517"/>
      <c r="AI616" s="368"/>
      <c r="AJ616" s="367"/>
      <c r="AK616" s="188" t="s">
        <v>26</v>
      </c>
      <c r="AL616" s="196">
        <f>AA641</f>
        <v>245</v>
      </c>
      <c r="AM616" s="510">
        <v>40.31</v>
      </c>
      <c r="AN616" s="510">
        <f t="shared" ref="AN616:AN621" si="84">AL616*AM616</f>
        <v>9875.9500000000007</v>
      </c>
    </row>
    <row r="617" spans="2:42">
      <c r="B617" s="4" t="s">
        <v>958</v>
      </c>
      <c r="C617" s="47"/>
      <c r="D617" s="47"/>
      <c r="E617" s="319">
        <v>0</v>
      </c>
      <c r="F617" s="646"/>
      <c r="G617" s="4"/>
      <c r="H617" s="47"/>
      <c r="I617" s="47"/>
      <c r="J617" s="319">
        <v>0</v>
      </c>
      <c r="K617" s="646"/>
      <c r="L617" s="4"/>
      <c r="M617" s="441"/>
      <c r="N617" s="47"/>
      <c r="O617" s="319">
        <v>0</v>
      </c>
      <c r="P617" s="646"/>
      <c r="R617" s="47"/>
      <c r="S617" s="47"/>
      <c r="T617" s="319">
        <v>0</v>
      </c>
      <c r="U617" s="646"/>
      <c r="W617" s="47"/>
      <c r="X617" s="47"/>
      <c r="Y617" s="319">
        <v>0</v>
      </c>
      <c r="Z617" s="646"/>
      <c r="AA617" s="328">
        <f t="shared" ref="AA617:AA632" si="85">(E617+J617+O617+T617+Y617)</f>
        <v>0</v>
      </c>
      <c r="AB617" s="298">
        <f t="shared" ref="AB617:AB640" si="86">Z617+U617+P617+K617+F617</f>
        <v>0</v>
      </c>
      <c r="AC617" s="4"/>
      <c r="AD617" s="587"/>
      <c r="AE617" s="531"/>
      <c r="AF617" s="319"/>
      <c r="AG617" s="328">
        <f t="shared" ref="AG617:AG640" si="87">AF617</f>
        <v>0</v>
      </c>
      <c r="AI617" s="368"/>
      <c r="AJ617" s="367"/>
      <c r="AK617" s="188" t="s">
        <v>30</v>
      </c>
      <c r="AL617" s="196">
        <f>AB641</f>
        <v>1</v>
      </c>
      <c r="AM617" s="511">
        <v>60.465000000000003</v>
      </c>
      <c r="AN617" s="510">
        <f t="shared" si="84"/>
        <v>60.465000000000003</v>
      </c>
    </row>
    <row r="618" spans="2:42">
      <c r="B618" s="47" t="s">
        <v>515</v>
      </c>
      <c r="C618" s="47">
        <v>0.33333333333333331</v>
      </c>
      <c r="D618" s="47">
        <v>0.20833333333333334</v>
      </c>
      <c r="E618" s="319">
        <v>8</v>
      </c>
      <c r="F618" s="646"/>
      <c r="G618" s="4"/>
      <c r="H618" s="47">
        <v>0.375</v>
      </c>
      <c r="I618" s="47">
        <v>0.25</v>
      </c>
      <c r="J618" s="319">
        <v>8</v>
      </c>
      <c r="K618" s="646"/>
      <c r="L618" s="4"/>
      <c r="M618" s="441"/>
      <c r="N618" s="47"/>
      <c r="O618" s="319">
        <v>0</v>
      </c>
      <c r="P618" s="646"/>
      <c r="R618" s="47"/>
      <c r="S618" s="47"/>
      <c r="T618" s="319">
        <v>0</v>
      </c>
      <c r="U618" s="646"/>
      <c r="W618" s="47"/>
      <c r="X618" s="47"/>
      <c r="Y618" s="319">
        <v>0</v>
      </c>
      <c r="Z618" s="646"/>
      <c r="AA618" s="328">
        <f t="shared" si="85"/>
        <v>16</v>
      </c>
      <c r="AB618" s="298">
        <f t="shared" si="86"/>
        <v>0</v>
      </c>
      <c r="AC618" s="4"/>
      <c r="AF618" s="319"/>
      <c r="AG618" s="328">
        <f t="shared" si="87"/>
        <v>0</v>
      </c>
      <c r="AH618" s="175"/>
      <c r="AI618" s="402"/>
      <c r="AJ618" s="367"/>
      <c r="AK618" s="188" t="s">
        <v>32</v>
      </c>
      <c r="AL618" s="196">
        <f>AG641</f>
        <v>0</v>
      </c>
      <c r="AM618" s="510">
        <v>60.465000000000003</v>
      </c>
      <c r="AN618" s="510">
        <f t="shared" si="84"/>
        <v>0</v>
      </c>
    </row>
    <row r="619" spans="2:42">
      <c r="B619" s="441" t="s">
        <v>962</v>
      </c>
      <c r="C619" s="47"/>
      <c r="D619" s="47"/>
      <c r="E619" s="319">
        <v>0</v>
      </c>
      <c r="F619" s="646"/>
      <c r="G619" s="4"/>
      <c r="H619" s="47"/>
      <c r="I619" s="47"/>
      <c r="J619" s="319">
        <v>0</v>
      </c>
      <c r="K619" s="646"/>
      <c r="L619" s="4"/>
      <c r="M619" s="441"/>
      <c r="N619" s="47"/>
      <c r="O619" s="319">
        <v>0</v>
      </c>
      <c r="P619" s="646"/>
      <c r="R619" s="47"/>
      <c r="S619" s="47"/>
      <c r="T619" s="319">
        <v>0</v>
      </c>
      <c r="U619" s="646"/>
      <c r="W619" s="47"/>
      <c r="X619" s="47"/>
      <c r="Y619" s="319">
        <v>0</v>
      </c>
      <c r="Z619" s="646"/>
      <c r="AA619" s="328">
        <f t="shared" si="85"/>
        <v>0</v>
      </c>
      <c r="AB619" s="298">
        <f t="shared" si="86"/>
        <v>0</v>
      </c>
      <c r="AC619" s="399"/>
      <c r="AD619" s="47"/>
      <c r="AE619" s="47"/>
      <c r="AF619" s="319"/>
      <c r="AG619" s="328">
        <f t="shared" si="87"/>
        <v>0</v>
      </c>
      <c r="AH619" s="175"/>
      <c r="AJ619" s="401"/>
      <c r="AK619" s="403" t="s">
        <v>213</v>
      </c>
      <c r="AL619" s="404">
        <f>AA643</f>
        <v>40</v>
      </c>
      <c r="AM619" s="510">
        <v>53.05</v>
      </c>
      <c r="AN619" s="510">
        <f t="shared" si="84"/>
        <v>2122</v>
      </c>
      <c r="AO619" s="405"/>
      <c r="AP619" s="405"/>
    </row>
    <row r="620" spans="2:42">
      <c r="B620" s="47" t="s">
        <v>1112</v>
      </c>
      <c r="C620" s="47">
        <v>0.33333333333333331</v>
      </c>
      <c r="D620" s="47">
        <v>0.20833333333333334</v>
      </c>
      <c r="E620" s="319">
        <v>8</v>
      </c>
      <c r="F620" s="646"/>
      <c r="G620" s="4"/>
      <c r="H620" s="47">
        <v>0.375</v>
      </c>
      <c r="I620" s="47">
        <v>0.25</v>
      </c>
      <c r="J620" s="319">
        <v>8</v>
      </c>
      <c r="K620" s="646"/>
      <c r="L620" s="4"/>
      <c r="M620" s="441" t="s">
        <v>75</v>
      </c>
      <c r="N620" s="47">
        <v>0.25</v>
      </c>
      <c r="O620" s="319">
        <v>8</v>
      </c>
      <c r="P620" s="646"/>
      <c r="R620" s="47">
        <v>0.375</v>
      </c>
      <c r="S620" s="47">
        <v>0.25</v>
      </c>
      <c r="T620" s="319">
        <v>8</v>
      </c>
      <c r="U620" s="646"/>
      <c r="W620" s="47">
        <v>0.375</v>
      </c>
      <c r="X620" s="47">
        <v>0.25</v>
      </c>
      <c r="Y620" s="319">
        <v>8</v>
      </c>
      <c r="Z620" s="646"/>
      <c r="AA620" s="328">
        <f t="shared" si="85"/>
        <v>40</v>
      </c>
      <c r="AB620" s="298">
        <f t="shared" si="86"/>
        <v>0</v>
      </c>
      <c r="AC620" s="4"/>
      <c r="AD620" s="47"/>
      <c r="AE620" s="47"/>
      <c r="AF620" s="319"/>
      <c r="AG620" s="328">
        <f t="shared" si="87"/>
        <v>0</v>
      </c>
      <c r="AH620" s="175"/>
      <c r="AI620" s="368"/>
      <c r="AK620" s="188" t="s">
        <v>36</v>
      </c>
      <c r="AL620" s="196">
        <f>AB643</f>
        <v>11.75</v>
      </c>
      <c r="AM620" s="510">
        <v>79.574999999999989</v>
      </c>
      <c r="AN620" s="510">
        <f t="shared" si="84"/>
        <v>935.00624999999991</v>
      </c>
    </row>
    <row r="621" spans="2:42">
      <c r="B621" s="436" t="s">
        <v>972</v>
      </c>
      <c r="C621" s="47"/>
      <c r="D621" s="47"/>
      <c r="E621" s="319">
        <v>0</v>
      </c>
      <c r="F621" s="646"/>
      <c r="G621" s="4"/>
      <c r="H621" s="47"/>
      <c r="I621" s="47"/>
      <c r="J621" s="319">
        <v>0</v>
      </c>
      <c r="K621" s="646"/>
      <c r="L621" s="4"/>
      <c r="M621" s="441"/>
      <c r="N621" s="47"/>
      <c r="O621" s="319">
        <v>0</v>
      </c>
      <c r="P621" s="646"/>
      <c r="R621" s="47"/>
      <c r="S621" s="47"/>
      <c r="T621" s="319">
        <v>0</v>
      </c>
      <c r="U621" s="646"/>
      <c r="W621" s="47"/>
      <c r="X621" s="47"/>
      <c r="Y621" s="319">
        <v>0</v>
      </c>
      <c r="Z621" s="646"/>
      <c r="AA621" s="328">
        <f t="shared" si="85"/>
        <v>0</v>
      </c>
      <c r="AB621" s="298">
        <f t="shared" si="86"/>
        <v>0</v>
      </c>
      <c r="AC621" s="4"/>
      <c r="AD621" s="47"/>
      <c r="AE621" s="47"/>
      <c r="AF621" s="319"/>
      <c r="AG621" s="328">
        <f t="shared" si="87"/>
        <v>0</v>
      </c>
      <c r="AK621" s="188" t="s">
        <v>38</v>
      </c>
      <c r="AL621" s="196">
        <f>AG643</f>
        <v>0</v>
      </c>
      <c r="AM621" s="510">
        <v>79.574999999999989</v>
      </c>
      <c r="AN621" s="510">
        <f t="shared" si="84"/>
        <v>0</v>
      </c>
    </row>
    <row r="622" spans="2:42">
      <c r="B622" s="47" t="s">
        <v>974</v>
      </c>
      <c r="C622" s="47">
        <v>0.33333333333333331</v>
      </c>
      <c r="D622" s="47">
        <v>0.20833333333333334</v>
      </c>
      <c r="E622" s="319">
        <v>8</v>
      </c>
      <c r="F622" s="646"/>
      <c r="G622" s="4"/>
      <c r="H622" s="47">
        <v>0.33333333333333331</v>
      </c>
      <c r="I622" s="47">
        <v>0.20833333333333334</v>
      </c>
      <c r="J622" s="319">
        <v>8</v>
      </c>
      <c r="K622" s="646"/>
      <c r="L622" s="4"/>
      <c r="M622" s="441" t="s">
        <v>125</v>
      </c>
      <c r="N622" s="47">
        <v>0.20833333333333334</v>
      </c>
      <c r="O622" s="319">
        <v>8</v>
      </c>
      <c r="P622" s="646"/>
      <c r="R622" s="47">
        <v>0.33333333333333331</v>
      </c>
      <c r="S622" s="47">
        <v>0.22916666666666666</v>
      </c>
      <c r="T622" s="319">
        <v>8.5</v>
      </c>
      <c r="U622" s="646">
        <v>0.5</v>
      </c>
      <c r="W622" s="47">
        <v>0.33333333333333331</v>
      </c>
      <c r="X622" s="47">
        <v>0.20833333333333334</v>
      </c>
      <c r="Y622" s="319">
        <v>8</v>
      </c>
      <c r="Z622" s="646"/>
      <c r="AA622" s="328">
        <f t="shared" si="85"/>
        <v>40.5</v>
      </c>
      <c r="AB622" s="298">
        <f t="shared" si="86"/>
        <v>0.5</v>
      </c>
      <c r="AC622" s="4"/>
      <c r="AD622" s="47"/>
      <c r="AE622" s="47"/>
      <c r="AF622" s="319"/>
      <c r="AG622" s="328">
        <f t="shared" si="87"/>
        <v>0</v>
      </c>
      <c r="AN622" s="510">
        <f>SUM(AN616:AN621)</f>
        <v>12993.421250000001</v>
      </c>
    </row>
    <row r="623" spans="2:42">
      <c r="B623" s="374" t="s">
        <v>998</v>
      </c>
      <c r="C623" s="47"/>
      <c r="D623" s="47"/>
      <c r="E623" s="319">
        <v>0</v>
      </c>
      <c r="F623" s="646"/>
      <c r="G623" s="4"/>
      <c r="H623" s="47"/>
      <c r="I623" s="47"/>
      <c r="J623" s="319">
        <v>0</v>
      </c>
      <c r="K623" s="646"/>
      <c r="L623" s="4"/>
      <c r="M623" s="441"/>
      <c r="N623" s="47"/>
      <c r="O623" s="319">
        <v>0</v>
      </c>
      <c r="P623" s="646"/>
      <c r="R623" s="47">
        <v>0.375</v>
      </c>
      <c r="S623" s="47">
        <v>0.25</v>
      </c>
      <c r="T623" s="319">
        <v>8</v>
      </c>
      <c r="U623" s="646"/>
      <c r="W623" s="47"/>
      <c r="X623" s="47"/>
      <c r="Y623" s="319">
        <v>0</v>
      </c>
      <c r="Z623" s="646"/>
      <c r="AA623" s="328">
        <f t="shared" si="85"/>
        <v>8</v>
      </c>
      <c r="AB623" s="298">
        <f t="shared" si="86"/>
        <v>0</v>
      </c>
      <c r="AC623" s="4"/>
      <c r="AD623" s="47"/>
      <c r="AE623" s="47"/>
      <c r="AF623" s="319"/>
      <c r="AG623" s="328">
        <f t="shared" si="87"/>
        <v>0</v>
      </c>
    </row>
    <row r="624" spans="2:42">
      <c r="B624" s="47" t="s">
        <v>977</v>
      </c>
      <c r="C624" s="47">
        <v>0.33333333333333331</v>
      </c>
      <c r="D624" s="47">
        <v>0.20833333333333334</v>
      </c>
      <c r="E624" s="319">
        <v>8</v>
      </c>
      <c r="F624" s="646"/>
      <c r="G624" s="4"/>
      <c r="H624" s="47">
        <v>0.33333333333333331</v>
      </c>
      <c r="I624" s="47">
        <v>0.20833333333333334</v>
      </c>
      <c r="J624" s="319">
        <v>8</v>
      </c>
      <c r="K624" s="646"/>
      <c r="L624" s="4"/>
      <c r="M624" s="441" t="s">
        <v>125</v>
      </c>
      <c r="N624" s="47">
        <v>0.20833333333333334</v>
      </c>
      <c r="O624" s="319">
        <v>8</v>
      </c>
      <c r="P624" s="646"/>
      <c r="R624" s="47"/>
      <c r="S624" s="47"/>
      <c r="T624" s="319">
        <v>0</v>
      </c>
      <c r="U624" s="646"/>
      <c r="W624" s="47">
        <v>0.33333333333333331</v>
      </c>
      <c r="X624" s="47">
        <v>0.20833333333333334</v>
      </c>
      <c r="Y624" s="319">
        <v>8</v>
      </c>
      <c r="Z624" s="646"/>
      <c r="AA624" s="328">
        <f t="shared" si="85"/>
        <v>32</v>
      </c>
      <c r="AB624" s="298">
        <f t="shared" si="86"/>
        <v>0</v>
      </c>
      <c r="AC624" s="4"/>
      <c r="AD624" s="47"/>
      <c r="AE624" s="47"/>
      <c r="AF624" s="319"/>
      <c r="AG624" s="328">
        <f t="shared" si="87"/>
        <v>0</v>
      </c>
      <c r="AK624" s="192" t="s">
        <v>1115</v>
      </c>
      <c r="AL624" s="189">
        <f>C644</f>
        <v>12</v>
      </c>
    </row>
    <row r="625" spans="2:33">
      <c r="B625" s="47" t="s">
        <v>519</v>
      </c>
      <c r="C625" s="47"/>
      <c r="D625" s="47"/>
      <c r="E625" s="319">
        <v>0</v>
      </c>
      <c r="F625" s="646"/>
      <c r="G625" s="4"/>
      <c r="H625" s="47"/>
      <c r="I625" s="47"/>
      <c r="J625" s="319">
        <v>0</v>
      </c>
      <c r="K625" s="646"/>
      <c r="L625" s="4"/>
      <c r="M625" s="441"/>
      <c r="N625" s="47"/>
      <c r="O625" s="319">
        <v>0</v>
      </c>
      <c r="P625" s="646"/>
      <c r="R625" s="441" t="s">
        <v>125</v>
      </c>
      <c r="S625" s="47">
        <v>0.23958333333333334</v>
      </c>
      <c r="T625" s="319">
        <v>8.5</v>
      </c>
      <c r="U625" s="646">
        <v>0.5</v>
      </c>
      <c r="W625" s="441"/>
      <c r="X625" s="47"/>
      <c r="Y625" s="319">
        <v>0</v>
      </c>
      <c r="Z625" s="646"/>
      <c r="AA625" s="328">
        <f t="shared" si="85"/>
        <v>8.5</v>
      </c>
      <c r="AB625" s="298">
        <f t="shared" si="86"/>
        <v>0.5</v>
      </c>
      <c r="AC625" s="4"/>
      <c r="AD625" s="47"/>
      <c r="AE625" s="47"/>
      <c r="AF625" s="319"/>
      <c r="AG625" s="328">
        <f t="shared" si="87"/>
        <v>0</v>
      </c>
    </row>
    <row r="626" spans="2:33">
      <c r="B626" s="47" t="s">
        <v>999</v>
      </c>
      <c r="C626" s="47"/>
      <c r="D626" s="441"/>
      <c r="E626" s="319">
        <v>0</v>
      </c>
      <c r="F626" s="646"/>
      <c r="G626" s="4"/>
      <c r="H626" s="47"/>
      <c r="I626" s="47"/>
      <c r="J626" s="319">
        <v>0</v>
      </c>
      <c r="K626" s="646"/>
      <c r="L626" s="4"/>
      <c r="M626" s="441"/>
      <c r="N626" s="47"/>
      <c r="O626" s="319">
        <v>0</v>
      </c>
      <c r="P626" s="646"/>
      <c r="R626" s="441"/>
      <c r="S626" s="441"/>
      <c r="T626" s="319">
        <v>0</v>
      </c>
      <c r="U626" s="646"/>
      <c r="W626" s="441"/>
      <c r="X626" s="441"/>
      <c r="Y626" s="319">
        <v>0</v>
      </c>
      <c r="Z626" s="646"/>
      <c r="AA626" s="328">
        <f t="shared" si="85"/>
        <v>0</v>
      </c>
      <c r="AB626" s="298">
        <f t="shared" si="86"/>
        <v>0</v>
      </c>
      <c r="AC626" s="4"/>
      <c r="AD626" s="47"/>
      <c r="AE626" s="47"/>
      <c r="AF626" s="319"/>
      <c r="AG626" s="328">
        <f t="shared" si="87"/>
        <v>0</v>
      </c>
    </row>
    <row r="627" spans="2:33">
      <c r="B627" s="47" t="s">
        <v>1113</v>
      </c>
      <c r="C627" s="47"/>
      <c r="D627" s="47"/>
      <c r="E627" s="319">
        <v>0</v>
      </c>
      <c r="F627" s="646"/>
      <c r="G627" s="4"/>
      <c r="H627" s="47"/>
      <c r="I627" s="47"/>
      <c r="J627" s="319">
        <v>0</v>
      </c>
      <c r="K627" s="646"/>
      <c r="L627" s="4"/>
      <c r="M627" s="441"/>
      <c r="N627" s="47"/>
      <c r="O627" s="319">
        <v>0</v>
      </c>
      <c r="P627" s="646"/>
      <c r="R627" s="441"/>
      <c r="S627" s="47"/>
      <c r="T627" s="319">
        <v>0</v>
      </c>
      <c r="U627" s="646"/>
      <c r="W627" s="441"/>
      <c r="X627" s="47"/>
      <c r="Y627" s="319">
        <v>0</v>
      </c>
      <c r="Z627" s="646"/>
      <c r="AA627" s="328">
        <f t="shared" si="85"/>
        <v>0</v>
      </c>
      <c r="AB627" s="298">
        <f t="shared" si="86"/>
        <v>0</v>
      </c>
      <c r="AC627" s="4"/>
      <c r="AD627" s="47"/>
      <c r="AE627" s="47"/>
      <c r="AF627" s="319"/>
      <c r="AG627" s="328">
        <f t="shared" si="87"/>
        <v>0</v>
      </c>
    </row>
    <row r="628" spans="2:33">
      <c r="B628" s="502" t="s">
        <v>483</v>
      </c>
      <c r="C628" s="47"/>
      <c r="D628" s="47"/>
      <c r="E628" s="319">
        <v>0</v>
      </c>
      <c r="F628" s="646"/>
      <c r="G628" s="4"/>
      <c r="H628" s="47"/>
      <c r="I628" s="47"/>
      <c r="J628" s="319">
        <v>0</v>
      </c>
      <c r="K628" s="646"/>
      <c r="L628" s="4"/>
      <c r="M628" s="441"/>
      <c r="N628" s="47"/>
      <c r="O628" s="319">
        <v>0</v>
      </c>
      <c r="P628" s="646"/>
      <c r="R628" s="5"/>
      <c r="S628" s="5"/>
      <c r="T628" s="319">
        <v>0</v>
      </c>
      <c r="U628" s="646"/>
      <c r="W628" s="5"/>
      <c r="X628" s="5"/>
      <c r="Y628" s="319">
        <v>0</v>
      </c>
      <c r="Z628" s="646"/>
      <c r="AA628" s="328">
        <f t="shared" si="85"/>
        <v>0</v>
      </c>
      <c r="AB628" s="298">
        <f t="shared" si="86"/>
        <v>0</v>
      </c>
      <c r="AC628" s="4"/>
      <c r="AD628" s="47"/>
      <c r="AE628" s="47"/>
      <c r="AF628" s="319"/>
      <c r="AG628" s="328">
        <f t="shared" si="87"/>
        <v>0</v>
      </c>
    </row>
    <row r="629" spans="2:33">
      <c r="B629" s="502" t="s">
        <v>483</v>
      </c>
      <c r="C629" s="47"/>
      <c r="D629" s="47"/>
      <c r="E629" s="319">
        <v>4</v>
      </c>
      <c r="F629" s="646"/>
      <c r="G629" s="4"/>
      <c r="H629" s="47"/>
      <c r="I629" s="47"/>
      <c r="J629" s="319">
        <v>2</v>
      </c>
      <c r="K629" s="646"/>
      <c r="L629" s="4"/>
      <c r="M629" s="441"/>
      <c r="N629" s="47"/>
      <c r="O629" s="319">
        <v>0</v>
      </c>
      <c r="P629" s="646"/>
      <c r="R629" s="47"/>
      <c r="S629" s="47"/>
      <c r="T629" s="319">
        <v>0</v>
      </c>
      <c r="U629" s="646"/>
      <c r="W629" s="47"/>
      <c r="X629" s="47"/>
      <c r="Y629" s="319">
        <v>0</v>
      </c>
      <c r="Z629" s="646"/>
      <c r="AA629" s="328">
        <f t="shared" si="85"/>
        <v>6</v>
      </c>
      <c r="AB629" s="298">
        <f t="shared" si="86"/>
        <v>0</v>
      </c>
      <c r="AC629" s="4"/>
      <c r="AD629" s="47"/>
      <c r="AE629" s="47"/>
      <c r="AF629" s="319"/>
      <c r="AG629" s="328">
        <f t="shared" si="87"/>
        <v>0</v>
      </c>
    </row>
    <row r="630" spans="2:33">
      <c r="B630" s="502" t="s">
        <v>484</v>
      </c>
      <c r="C630" s="47"/>
      <c r="D630" s="47"/>
      <c r="E630" s="319">
        <v>4</v>
      </c>
      <c r="F630" s="646"/>
      <c r="G630" s="4"/>
      <c r="H630" s="47"/>
      <c r="I630" s="47"/>
      <c r="J630" s="319">
        <v>8</v>
      </c>
      <c r="K630" s="646"/>
      <c r="L630" s="4"/>
      <c r="M630" s="441"/>
      <c r="N630" s="47"/>
      <c r="O630" s="319">
        <v>0</v>
      </c>
      <c r="P630" s="646"/>
      <c r="R630" s="47"/>
      <c r="S630" s="47"/>
      <c r="T630" s="319">
        <v>0</v>
      </c>
      <c r="U630" s="646"/>
      <c r="W630" s="47"/>
      <c r="X630" s="47"/>
      <c r="Y630" s="319">
        <v>8</v>
      </c>
      <c r="Z630" s="646"/>
      <c r="AA630" s="328">
        <f t="shared" si="85"/>
        <v>20</v>
      </c>
      <c r="AB630" s="298">
        <f t="shared" si="86"/>
        <v>0</v>
      </c>
      <c r="AC630" s="4"/>
      <c r="AD630" s="47"/>
      <c r="AE630" s="47"/>
      <c r="AF630" s="319"/>
      <c r="AG630" s="328">
        <f t="shared" si="87"/>
        <v>0</v>
      </c>
    </row>
    <row r="631" spans="2:33">
      <c r="B631" s="502" t="s">
        <v>485</v>
      </c>
      <c r="C631" s="47"/>
      <c r="D631" s="47"/>
      <c r="E631" s="319">
        <v>4</v>
      </c>
      <c r="F631" s="646"/>
      <c r="G631" s="4"/>
      <c r="H631" s="47"/>
      <c r="I631" s="47"/>
      <c r="J631" s="319">
        <v>2</v>
      </c>
      <c r="K631" s="646"/>
      <c r="L631" s="4"/>
      <c r="M631" s="47"/>
      <c r="N631" s="47"/>
      <c r="O631" s="319">
        <v>0</v>
      </c>
      <c r="P631" s="646"/>
      <c r="R631" s="47"/>
      <c r="S631" s="47"/>
      <c r="T631" s="319">
        <v>0</v>
      </c>
      <c r="U631" s="646"/>
      <c r="W631" s="47"/>
      <c r="X631" s="47"/>
      <c r="Y631" s="319">
        <v>0</v>
      </c>
      <c r="Z631" s="646"/>
      <c r="AA631" s="328">
        <f t="shared" si="85"/>
        <v>6</v>
      </c>
      <c r="AB631" s="298">
        <f t="shared" si="86"/>
        <v>0</v>
      </c>
      <c r="AC631" s="4"/>
      <c r="AD631" s="47"/>
      <c r="AE631" s="47"/>
      <c r="AF631" s="319"/>
      <c r="AG631" s="328">
        <f t="shared" si="87"/>
        <v>0</v>
      </c>
    </row>
    <row r="632" spans="2:33">
      <c r="B632" s="502" t="s">
        <v>1129</v>
      </c>
      <c r="C632" s="47"/>
      <c r="D632" s="47"/>
      <c r="E632" s="319">
        <v>0</v>
      </c>
      <c r="F632" s="646"/>
      <c r="G632" s="4"/>
      <c r="H632" s="47"/>
      <c r="I632" s="47"/>
      <c r="J632" s="319">
        <v>0</v>
      </c>
      <c r="K632" s="646"/>
      <c r="L632" s="4"/>
      <c r="M632" s="5"/>
      <c r="N632" s="5"/>
      <c r="O632" s="319">
        <v>0</v>
      </c>
      <c r="P632" s="646"/>
      <c r="R632" s="5"/>
      <c r="S632" s="5"/>
      <c r="T632" s="319">
        <v>0</v>
      </c>
      <c r="U632" s="646"/>
      <c r="W632" s="5"/>
      <c r="X632" s="5"/>
      <c r="Y632" s="319">
        <v>0</v>
      </c>
      <c r="Z632" s="646"/>
      <c r="AA632" s="328">
        <f t="shared" si="85"/>
        <v>0</v>
      </c>
      <c r="AB632" s="298">
        <f t="shared" si="86"/>
        <v>0</v>
      </c>
      <c r="AC632" s="4"/>
      <c r="AD632" s="47"/>
      <c r="AE632" s="47"/>
      <c r="AF632" s="319"/>
      <c r="AG632" s="328">
        <f t="shared" si="87"/>
        <v>0</v>
      </c>
    </row>
    <row r="633" spans="2:33">
      <c r="B633" s="63" t="s">
        <v>1116</v>
      </c>
      <c r="C633" s="47"/>
      <c r="D633" s="47"/>
      <c r="E633" s="319">
        <v>8</v>
      </c>
      <c r="F633" s="646"/>
      <c r="G633" s="4"/>
      <c r="H633" s="47"/>
      <c r="I633" s="47"/>
      <c r="J633" s="319">
        <v>8</v>
      </c>
      <c r="K633" s="646"/>
      <c r="L633" s="4"/>
      <c r="M633" s="47"/>
      <c r="N633" s="47"/>
      <c r="O633" s="319">
        <v>8</v>
      </c>
      <c r="P633" s="646"/>
      <c r="R633" s="663"/>
      <c r="S633" s="663"/>
      <c r="T633" s="319">
        <v>8</v>
      </c>
      <c r="U633" s="646"/>
      <c r="W633" s="663"/>
      <c r="X633" s="663"/>
      <c r="Y633" s="319">
        <v>8</v>
      </c>
      <c r="Z633" s="646"/>
      <c r="AA633" s="328">
        <f>(E633+J633+O633+T633+Y633)</f>
        <v>40</v>
      </c>
      <c r="AB633" s="298">
        <f t="shared" si="86"/>
        <v>0</v>
      </c>
      <c r="AC633" s="4"/>
      <c r="AD633" s="47"/>
      <c r="AE633" s="47"/>
      <c r="AF633" s="319"/>
      <c r="AG633" s="328">
        <f t="shared" si="87"/>
        <v>0</v>
      </c>
    </row>
    <row r="634" spans="2:33">
      <c r="B634" s="267" t="s">
        <v>358</v>
      </c>
      <c r="C634" s="47"/>
      <c r="D634" s="47"/>
      <c r="E634" s="319">
        <v>2</v>
      </c>
      <c r="F634" s="646"/>
      <c r="G634" s="4"/>
      <c r="H634" s="47"/>
      <c r="I634" s="47"/>
      <c r="J634" s="319">
        <v>2</v>
      </c>
      <c r="K634" s="646"/>
      <c r="L634" s="438"/>
      <c r="M634" s="663"/>
      <c r="N634" s="663"/>
      <c r="O634" s="319">
        <v>2</v>
      </c>
      <c r="P634" s="646"/>
      <c r="Q634" s="438"/>
      <c r="R634" s="663"/>
      <c r="S634" s="663"/>
      <c r="T634" s="319">
        <v>2</v>
      </c>
      <c r="U634" s="646"/>
      <c r="V634" s="438"/>
      <c r="W634" s="663"/>
      <c r="X634" s="663"/>
      <c r="Y634" s="319">
        <v>2</v>
      </c>
      <c r="Z634" s="646"/>
      <c r="AA634" s="328">
        <f t="shared" ref="AA634:AA640" si="88">(E634+J634+O634+T634+Y634)</f>
        <v>10</v>
      </c>
      <c r="AB634" s="298">
        <f t="shared" si="86"/>
        <v>0</v>
      </c>
      <c r="AC634" s="4"/>
      <c r="AD634" s="47"/>
      <c r="AE634" s="47"/>
      <c r="AF634" s="319"/>
      <c r="AG634" s="328">
        <f t="shared" si="87"/>
        <v>0</v>
      </c>
    </row>
    <row r="635" spans="2:33">
      <c r="B635" s="267" t="s">
        <v>991</v>
      </c>
      <c r="C635" s="47"/>
      <c r="D635" s="47"/>
      <c r="E635" s="319">
        <v>0</v>
      </c>
      <c r="F635" s="646"/>
      <c r="G635" s="4"/>
      <c r="H635" s="47"/>
      <c r="I635" s="47"/>
      <c r="J635" s="319">
        <v>0</v>
      </c>
      <c r="K635" s="646"/>
      <c r="L635" s="438"/>
      <c r="M635" s="5"/>
      <c r="N635" s="5"/>
      <c r="O635" s="319">
        <v>0</v>
      </c>
      <c r="P635" s="646"/>
      <c r="Q635" s="438"/>
      <c r="R635" s="5"/>
      <c r="S635" s="5"/>
      <c r="T635" s="319">
        <v>0</v>
      </c>
      <c r="U635" s="646"/>
      <c r="V635" s="438"/>
      <c r="W635" s="5"/>
      <c r="X635" s="5"/>
      <c r="Y635" s="319">
        <v>0</v>
      </c>
      <c r="Z635" s="646"/>
      <c r="AA635" s="328">
        <f t="shared" si="88"/>
        <v>0</v>
      </c>
      <c r="AB635" s="298">
        <f t="shared" si="86"/>
        <v>0</v>
      </c>
      <c r="AC635" s="4"/>
      <c r="AD635" s="47"/>
      <c r="AE635" s="47"/>
      <c r="AF635" s="319"/>
      <c r="AG635" s="328">
        <f t="shared" si="87"/>
        <v>0</v>
      </c>
    </row>
    <row r="636" spans="2:33">
      <c r="B636" s="267" t="s">
        <v>411</v>
      </c>
      <c r="C636" s="47"/>
      <c r="D636" s="47"/>
      <c r="E636" s="319">
        <v>0</v>
      </c>
      <c r="F636" s="646"/>
      <c r="G636" s="4"/>
      <c r="H636" s="47"/>
      <c r="I636" s="47"/>
      <c r="J636" s="319">
        <v>0</v>
      </c>
      <c r="K636" s="646"/>
      <c r="L636" s="438"/>
      <c r="M636" s="5"/>
      <c r="N636" s="5"/>
      <c r="O636" s="319">
        <v>0</v>
      </c>
      <c r="P636" s="646"/>
      <c r="Q636" s="438"/>
      <c r="R636" s="5"/>
      <c r="S636" s="5"/>
      <c r="T636" s="319">
        <v>0</v>
      </c>
      <c r="U636" s="646"/>
      <c r="V636" s="438"/>
      <c r="W636" s="5"/>
      <c r="X636" s="5"/>
      <c r="Y636" s="319">
        <v>0</v>
      </c>
      <c r="Z636" s="646"/>
      <c r="AA636" s="328">
        <f t="shared" si="88"/>
        <v>0</v>
      </c>
      <c r="AB636" s="298">
        <f t="shared" si="86"/>
        <v>0</v>
      </c>
      <c r="AC636" s="4"/>
      <c r="AD636" s="47"/>
      <c r="AE636" s="47"/>
      <c r="AF636" s="319"/>
      <c r="AG636" s="328">
        <f t="shared" si="87"/>
        <v>0</v>
      </c>
    </row>
    <row r="637" spans="2:33">
      <c r="B637" s="267" t="s">
        <v>361</v>
      </c>
      <c r="C637" s="47"/>
      <c r="D637" s="47"/>
      <c r="E637" s="319">
        <v>0</v>
      </c>
      <c r="F637" s="646"/>
      <c r="G637" s="4"/>
      <c r="H637" s="47"/>
      <c r="I637" s="47"/>
      <c r="J637" s="319">
        <v>0</v>
      </c>
      <c r="K637" s="646"/>
      <c r="L637" s="438"/>
      <c r="M637" s="5"/>
      <c r="N637" s="5"/>
      <c r="O637" s="319">
        <v>0</v>
      </c>
      <c r="P637" s="646"/>
      <c r="Q637" s="438"/>
      <c r="R637" s="5"/>
      <c r="S637" s="5"/>
      <c r="T637" s="319">
        <v>0</v>
      </c>
      <c r="U637" s="646"/>
      <c r="V637" s="438"/>
      <c r="W637" s="5"/>
      <c r="X637" s="5"/>
      <c r="Y637" s="319">
        <v>0</v>
      </c>
      <c r="Z637" s="646"/>
      <c r="AA637" s="328">
        <f t="shared" si="88"/>
        <v>0</v>
      </c>
      <c r="AB637" s="298">
        <f t="shared" si="86"/>
        <v>0</v>
      </c>
      <c r="AC637" s="4"/>
      <c r="AD637" s="47"/>
      <c r="AE637" s="47"/>
      <c r="AF637" s="319"/>
      <c r="AG637" s="328">
        <f t="shared" si="87"/>
        <v>0</v>
      </c>
    </row>
    <row r="638" spans="2:33">
      <c r="B638" s="267" t="s">
        <v>362</v>
      </c>
      <c r="C638" s="47"/>
      <c r="D638" s="5" t="s">
        <v>137</v>
      </c>
      <c r="E638" s="319">
        <v>0</v>
      </c>
      <c r="F638" s="646"/>
      <c r="G638" s="4"/>
      <c r="H638" s="47"/>
      <c r="I638" s="5" t="s">
        <v>137</v>
      </c>
      <c r="J638" s="319">
        <v>0</v>
      </c>
      <c r="K638" s="646"/>
      <c r="L638" s="438"/>
      <c r="M638" s="47"/>
      <c r="N638" s="5" t="s">
        <v>137</v>
      </c>
      <c r="O638" s="319">
        <v>0</v>
      </c>
      <c r="P638" s="646"/>
      <c r="Q638" s="438"/>
      <c r="R638" s="47"/>
      <c r="S638" s="5" t="s">
        <v>137</v>
      </c>
      <c r="T638" s="319">
        <v>0</v>
      </c>
      <c r="U638" s="646"/>
      <c r="V638" s="438"/>
      <c r="W638" s="5"/>
      <c r="X638" s="5" t="s">
        <v>137</v>
      </c>
      <c r="Y638" s="319">
        <v>0</v>
      </c>
      <c r="Z638" s="646"/>
      <c r="AA638" s="328">
        <f t="shared" si="88"/>
        <v>0</v>
      </c>
      <c r="AB638" s="298">
        <f t="shared" si="86"/>
        <v>0</v>
      </c>
      <c r="AC638" s="4"/>
      <c r="AD638" s="47"/>
      <c r="AE638" s="47"/>
      <c r="AF638" s="319"/>
      <c r="AG638" s="328">
        <f t="shared" si="87"/>
        <v>0</v>
      </c>
    </row>
    <row r="639" spans="2:33">
      <c r="B639" s="437" t="s">
        <v>355</v>
      </c>
      <c r="C639" s="47"/>
      <c r="D639" s="47"/>
      <c r="E639" s="319">
        <v>7.75</v>
      </c>
      <c r="F639" s="646"/>
      <c r="G639" s="4"/>
      <c r="H639" s="47"/>
      <c r="I639" s="47"/>
      <c r="J639" s="319">
        <v>7.75</v>
      </c>
      <c r="K639" s="646"/>
      <c r="L639" s="438"/>
      <c r="M639" s="5"/>
      <c r="N639" s="5"/>
      <c r="O639" s="319"/>
      <c r="P639" s="646"/>
      <c r="Q639" s="438"/>
      <c r="R639" s="5"/>
      <c r="S639" s="5"/>
      <c r="T639" s="319"/>
      <c r="U639" s="646"/>
      <c r="V639" s="438"/>
      <c r="W639" s="5"/>
      <c r="X639" s="5"/>
      <c r="Y639" s="319">
        <v>2.5</v>
      </c>
      <c r="Z639" s="646"/>
      <c r="AA639" s="328">
        <f t="shared" si="88"/>
        <v>18</v>
      </c>
      <c r="AB639" s="298">
        <f t="shared" si="86"/>
        <v>0</v>
      </c>
      <c r="AC639" s="4"/>
      <c r="AD639" s="47"/>
      <c r="AE639" s="47"/>
      <c r="AF639" s="319"/>
      <c r="AG639" s="328">
        <f t="shared" si="87"/>
        <v>0</v>
      </c>
    </row>
    <row r="640" spans="2:33">
      <c r="B640" s="437" t="s">
        <v>356</v>
      </c>
      <c r="C640" s="713"/>
      <c r="D640" s="713"/>
      <c r="E640" s="319"/>
      <c r="F640" s="646"/>
      <c r="G640" s="438"/>
      <c r="H640" s="5"/>
      <c r="I640" s="5"/>
      <c r="J640" s="319"/>
      <c r="K640" s="646"/>
      <c r="L640" s="438"/>
      <c r="M640" s="5"/>
      <c r="N640" s="5"/>
      <c r="O640" s="319"/>
      <c r="P640" s="646"/>
      <c r="Q640" s="438"/>
      <c r="R640" s="5"/>
      <c r="S640" s="5"/>
      <c r="T640" s="319"/>
      <c r="U640" s="646"/>
      <c r="V640" s="438"/>
      <c r="W640" s="5"/>
      <c r="X640" s="5"/>
      <c r="Y640" s="319"/>
      <c r="Z640" s="646"/>
      <c r="AA640" s="328">
        <f t="shared" si="88"/>
        <v>0</v>
      </c>
      <c r="AB640" s="298">
        <f t="shared" si="86"/>
        <v>0</v>
      </c>
      <c r="AC640" s="4"/>
      <c r="AD640" s="47"/>
      <c r="AE640" s="47"/>
      <c r="AF640" s="319"/>
      <c r="AG640" s="328">
        <f t="shared" si="87"/>
        <v>0</v>
      </c>
    </row>
    <row r="641" spans="2:42">
      <c r="B641" s="64" t="s">
        <v>61</v>
      </c>
      <c r="C641" s="31"/>
      <c r="D641" s="31"/>
      <c r="E641" s="439"/>
      <c r="F641" s="646"/>
      <c r="G641" s="31"/>
      <c r="H641" s="31"/>
      <c r="I641" s="31"/>
      <c r="J641" s="439"/>
      <c r="K641" s="646"/>
      <c r="L641" s="31"/>
      <c r="M641" s="31"/>
      <c r="N641" s="31"/>
      <c r="O641" s="439"/>
      <c r="P641" s="646"/>
      <c r="Q641" s="31"/>
      <c r="R641" s="31"/>
      <c r="S641" s="31"/>
      <c r="T641" s="439"/>
      <c r="U641" s="646"/>
      <c r="V641" s="31"/>
      <c r="W641" s="31"/>
      <c r="X641" s="31"/>
      <c r="Y641" s="439"/>
      <c r="Z641" s="646"/>
      <c r="AA641" s="370">
        <f>SUM(AA617:AA640)</f>
        <v>245</v>
      </c>
      <c r="AB641" s="370">
        <f>SUM(AB617:AB640)</f>
        <v>1</v>
      </c>
      <c r="AC641" s="4"/>
      <c r="AD641" s="64"/>
      <c r="AE641" s="64"/>
      <c r="AF641" s="370">
        <f>SUM(AF617:AF640)</f>
        <v>0</v>
      </c>
      <c r="AG641" s="370">
        <f>SUM(AG617:AG640)</f>
        <v>0</v>
      </c>
      <c r="AK641" s="407"/>
    </row>
    <row r="642" spans="2:42">
      <c r="B642" s="63" t="s">
        <v>64</v>
      </c>
      <c r="C642" s="47"/>
      <c r="D642" s="47"/>
      <c r="E642" s="319">
        <v>8</v>
      </c>
      <c r="F642" s="346">
        <v>2</v>
      </c>
      <c r="G642" s="613"/>
      <c r="H642" s="47"/>
      <c r="I642" s="47"/>
      <c r="J642" s="319">
        <v>8</v>
      </c>
      <c r="K642" s="346">
        <v>1.75</v>
      </c>
      <c r="L642" s="60"/>
      <c r="M642" s="47"/>
      <c r="N642" s="47"/>
      <c r="O642" s="319">
        <v>8</v>
      </c>
      <c r="P642" s="346">
        <v>2.25</v>
      </c>
      <c r="Q642" s="60"/>
      <c r="R642" s="47"/>
      <c r="S642" s="47"/>
      <c r="T642" s="319">
        <v>8</v>
      </c>
      <c r="U642" s="346">
        <f>2+1.25</f>
        <v>3.25</v>
      </c>
      <c r="V642" s="60"/>
      <c r="W642" s="47"/>
      <c r="X642" s="47"/>
      <c r="Y642" s="319">
        <v>8</v>
      </c>
      <c r="Z642" s="346">
        <f>1.5+1</f>
        <v>2.5</v>
      </c>
      <c r="AA642" s="28">
        <f>SUM(E642+J642+O642+T642+Y642)</f>
        <v>40</v>
      </c>
      <c r="AB642" s="296">
        <f>Z642+U642+P642+K642+F642</f>
        <v>11.75</v>
      </c>
      <c r="AC642" s="4"/>
      <c r="AD642" s="47" t="s">
        <v>29</v>
      </c>
      <c r="AE642" s="47" t="s">
        <v>29</v>
      </c>
      <c r="AF642" s="544"/>
      <c r="AG642" s="29">
        <f>AF642</f>
        <v>0</v>
      </c>
      <c r="AK642" s="407"/>
    </row>
    <row r="643" spans="2:42">
      <c r="B643" s="71" t="s">
        <v>66</v>
      </c>
      <c r="C643" s="371"/>
      <c r="D643" s="371"/>
      <c r="E643" s="71"/>
      <c r="F643" s="613"/>
      <c r="G643" s="71"/>
      <c r="H643" s="71"/>
      <c r="I643" s="71"/>
      <c r="J643" s="71"/>
      <c r="K643" s="613"/>
      <c r="L643" s="71"/>
      <c r="M643" s="71"/>
      <c r="N643" s="71"/>
      <c r="O643" s="71"/>
      <c r="P643" s="613"/>
      <c r="Q643" s="71"/>
      <c r="R643" s="71"/>
      <c r="S643" s="71"/>
      <c r="T643" s="71"/>
      <c r="U643" s="613"/>
      <c r="V643" s="71"/>
      <c r="W643" s="71"/>
      <c r="X643" s="71"/>
      <c r="Y643" s="71"/>
      <c r="Z643" s="613"/>
      <c r="AA643" s="370">
        <f>SUM(AA642:AA642)</f>
        <v>40</v>
      </c>
      <c r="AB643" s="370">
        <f>SUM(AB642:AB642)</f>
        <v>11.75</v>
      </c>
      <c r="AC643" s="4"/>
      <c r="AG643" s="370">
        <f>SUM(AG642:AG642)</f>
        <v>0</v>
      </c>
      <c r="AK643" s="407"/>
    </row>
    <row r="644" spans="2:42">
      <c r="B644" s="217" t="s">
        <v>67</v>
      </c>
      <c r="C644" s="207">
        <f>C645+C646</f>
        <v>12</v>
      </c>
      <c r="D644" s="207"/>
      <c r="E644" s="209"/>
      <c r="F644" s="209"/>
      <c r="G644" s="207"/>
      <c r="H644" s="209"/>
      <c r="I644" s="209"/>
      <c r="J644" s="209"/>
      <c r="K644" s="209"/>
      <c r="L644" s="207"/>
      <c r="M644" s="207"/>
      <c r="N644" s="207"/>
      <c r="O644" s="207"/>
      <c r="P644" s="209"/>
      <c r="Q644" s="207"/>
      <c r="R644" s="207"/>
      <c r="S644" s="207"/>
      <c r="T644" s="207"/>
      <c r="U644" s="209"/>
      <c r="V644" s="207"/>
      <c r="W644" s="207"/>
      <c r="X644" s="207"/>
      <c r="Y644" s="210"/>
      <c r="Z644" s="209"/>
      <c r="AA644" s="211"/>
      <c r="AB644" s="209"/>
      <c r="AC644" s="211"/>
      <c r="AD644" s="211"/>
      <c r="AE644" s="211"/>
      <c r="AF644" s="211"/>
      <c r="AG644" s="211"/>
    </row>
    <row r="645" spans="2:42">
      <c r="B645" s="238" t="s">
        <v>68</v>
      </c>
      <c r="C645" s="239">
        <v>0</v>
      </c>
      <c r="D645" s="207"/>
      <c r="E645" s="209"/>
      <c r="F645" s="209"/>
      <c r="G645" s="207"/>
      <c r="H645" s="209"/>
      <c r="I645" s="209"/>
      <c r="J645" s="209"/>
      <c r="K645" s="209"/>
      <c r="L645" s="207"/>
      <c r="M645" s="207"/>
      <c r="N645" s="207"/>
      <c r="O645" s="207"/>
      <c r="P645" s="209"/>
      <c r="Q645" s="207"/>
      <c r="R645" s="207"/>
      <c r="S645" s="207"/>
      <c r="T645" s="207"/>
      <c r="U645" s="209"/>
      <c r="V645" s="207"/>
      <c r="W645" s="207"/>
      <c r="X645" s="207"/>
      <c r="Y645" s="210"/>
      <c r="Z645" s="209"/>
      <c r="AA645" s="211"/>
      <c r="AB645" s="209"/>
      <c r="AC645" s="211"/>
      <c r="AD645" s="211"/>
      <c r="AE645" s="211"/>
      <c r="AF645" s="211"/>
      <c r="AG645" s="211"/>
    </row>
    <row r="646" spans="2:42">
      <c r="B646" s="238" t="s">
        <v>69</v>
      </c>
      <c r="C646" s="239">
        <v>12</v>
      </c>
      <c r="D646" s="207"/>
      <c r="E646" s="209"/>
      <c r="F646" s="209"/>
      <c r="G646" s="207"/>
      <c r="H646" s="209"/>
      <c r="I646" s="209"/>
      <c r="J646" s="209"/>
      <c r="K646" s="209"/>
      <c r="L646" s="207"/>
      <c r="M646" s="207"/>
      <c r="N646" s="207"/>
      <c r="O646" s="207"/>
      <c r="P646" s="209"/>
      <c r="Q646" s="207"/>
      <c r="R646" s="207"/>
      <c r="S646" s="207"/>
      <c r="T646" s="207"/>
      <c r="U646" s="209"/>
      <c r="V646" s="207"/>
      <c r="W646" s="207"/>
      <c r="X646" s="207"/>
      <c r="Y646" s="210"/>
      <c r="Z646" s="209"/>
      <c r="AA646" s="211"/>
      <c r="AB646" s="209"/>
      <c r="AC646" s="211"/>
      <c r="AD646" s="211"/>
      <c r="AE646" s="211"/>
      <c r="AF646" s="211"/>
      <c r="AG646" s="211"/>
    </row>
    <row r="647" spans="2:42">
      <c r="B647" s="180"/>
      <c r="E647" s="4"/>
      <c r="F647" s="644"/>
      <c r="G647" s="4"/>
      <c r="J647" s="4"/>
      <c r="K647" s="644"/>
      <c r="L647" s="4"/>
      <c r="O647" s="4"/>
      <c r="P647" s="644"/>
      <c r="T647" s="4"/>
      <c r="U647" s="644"/>
      <c r="Y647" s="4"/>
      <c r="Z647" s="644"/>
      <c r="AA647" s="4"/>
      <c r="AB647" s="4"/>
      <c r="AC647" s="4"/>
    </row>
    <row r="648" spans="2:42">
      <c r="B648" s="229"/>
      <c r="C648" s="230"/>
      <c r="D648" s="230"/>
      <c r="E648" s="232"/>
      <c r="F648" s="232"/>
      <c r="G648" s="230"/>
      <c r="H648" s="232"/>
      <c r="I648" s="232"/>
      <c r="J648" s="232"/>
      <c r="K648" s="232"/>
      <c r="L648" s="230"/>
      <c r="M648" s="230"/>
      <c r="N648" s="230"/>
      <c r="O648" s="230"/>
      <c r="P648" s="232"/>
      <c r="Q648" s="230"/>
      <c r="R648" s="230"/>
      <c r="S648" s="230"/>
      <c r="T648" s="230"/>
      <c r="U648" s="232"/>
      <c r="V648" s="230"/>
      <c r="W648" s="230"/>
      <c r="X648" s="230"/>
      <c r="Y648" s="233"/>
      <c r="Z648" s="232"/>
      <c r="AA648" s="234"/>
      <c r="AB648" s="232"/>
      <c r="AC648" s="373"/>
      <c r="AD648" s="236"/>
      <c r="AE648" s="255"/>
      <c r="AF648" s="255"/>
      <c r="AG648" s="255"/>
      <c r="AH648" s="255"/>
      <c r="AJ648" s="255"/>
      <c r="AK648" s="255"/>
      <c r="AL648" s="255"/>
      <c r="AM648" s="255"/>
      <c r="AN648" s="255"/>
      <c r="AO648" s="255"/>
      <c r="AP648" s="255"/>
    </row>
    <row r="649" spans="2:42">
      <c r="B649" s="180"/>
      <c r="E649" s="4"/>
      <c r="F649" s="644"/>
      <c r="G649" s="4"/>
      <c r="J649" s="4"/>
      <c r="K649" s="644"/>
      <c r="L649" s="4"/>
      <c r="O649" s="4"/>
      <c r="P649" s="644"/>
      <c r="T649" s="4"/>
      <c r="U649" s="644"/>
      <c r="Y649" s="4"/>
      <c r="Z649" s="644"/>
      <c r="AA649" s="4"/>
      <c r="AB649" s="4"/>
      <c r="AC649" s="4"/>
    </row>
    <row r="650" spans="2:42" ht="25.5">
      <c r="B650" s="1518" t="s">
        <v>18</v>
      </c>
      <c r="C650" s="1519">
        <v>45838</v>
      </c>
      <c r="D650" s="1519"/>
      <c r="E650" s="1519" t="s">
        <v>564</v>
      </c>
      <c r="F650" s="1519"/>
      <c r="G650" s="365"/>
      <c r="H650" s="1519">
        <v>45839</v>
      </c>
      <c r="I650" s="1519"/>
      <c r="J650" s="1519" t="s">
        <v>565</v>
      </c>
      <c r="K650" s="1519"/>
      <c r="L650" s="365"/>
      <c r="M650" s="1519">
        <v>45840</v>
      </c>
      <c r="N650" s="1519"/>
      <c r="O650" s="1519" t="s">
        <v>566</v>
      </c>
      <c r="P650" s="1519"/>
      <c r="Q650" s="365"/>
      <c r="R650" s="1519">
        <v>45841</v>
      </c>
      <c r="S650" s="1519"/>
      <c r="T650" s="1519" t="s">
        <v>567</v>
      </c>
      <c r="U650" s="1519"/>
      <c r="V650" s="365"/>
      <c r="W650" s="1519">
        <v>45842</v>
      </c>
      <c r="X650" s="1519"/>
      <c r="Y650" s="1519" t="s">
        <v>568</v>
      </c>
      <c r="Z650" s="1519"/>
      <c r="AA650" s="1517" t="s">
        <v>19</v>
      </c>
      <c r="AB650" s="1517" t="s">
        <v>20</v>
      </c>
      <c r="AC650" s="4"/>
      <c r="AD650" s="1519">
        <v>45843</v>
      </c>
      <c r="AE650" s="1519"/>
      <c r="AF650" s="14" t="s">
        <v>1111</v>
      </c>
      <c r="AG650" s="1517" t="s">
        <v>21</v>
      </c>
      <c r="AI650" s="368"/>
      <c r="AK650" s="194" t="s">
        <v>84</v>
      </c>
      <c r="AL650" s="366"/>
      <c r="AM650" s="366"/>
      <c r="AN650" s="366"/>
      <c r="AO650" s="366"/>
      <c r="AP650" s="366"/>
    </row>
    <row r="651" spans="2:42">
      <c r="B651" s="1518"/>
      <c r="C651" s="21" t="s">
        <v>23</v>
      </c>
      <c r="D651" s="21" t="s">
        <v>24</v>
      </c>
      <c r="E651" s="205" t="s">
        <v>25</v>
      </c>
      <c r="F651" s="645" t="s">
        <v>14</v>
      </c>
      <c r="G651" s="4"/>
      <c r="H651" s="21"/>
      <c r="I651" s="21" t="s">
        <v>24</v>
      </c>
      <c r="J651" s="18" t="s">
        <v>25</v>
      </c>
      <c r="K651" s="645" t="s">
        <v>14</v>
      </c>
      <c r="L651" s="4"/>
      <c r="M651" s="21" t="s">
        <v>23</v>
      </c>
      <c r="N651" s="21" t="s">
        <v>24</v>
      </c>
      <c r="O651" s="18" t="s">
        <v>25</v>
      </c>
      <c r="P651" s="645" t="s">
        <v>14</v>
      </c>
      <c r="R651" s="21" t="s">
        <v>23</v>
      </c>
      <c r="S651" s="21" t="s">
        <v>24</v>
      </c>
      <c r="T651" s="18" t="s">
        <v>25</v>
      </c>
      <c r="U651" s="645" t="s">
        <v>14</v>
      </c>
      <c r="W651" s="21" t="s">
        <v>23</v>
      </c>
      <c r="X651" s="21" t="s">
        <v>24</v>
      </c>
      <c r="Y651" s="18" t="s">
        <v>25</v>
      </c>
      <c r="Z651" s="645" t="s">
        <v>14</v>
      </c>
      <c r="AA651" s="1517"/>
      <c r="AB651" s="1517"/>
      <c r="AC651" s="4"/>
      <c r="AD651" s="21" t="s">
        <v>23</v>
      </c>
      <c r="AE651" s="21" t="s">
        <v>24</v>
      </c>
      <c r="AF651" s="18" t="s">
        <v>25</v>
      </c>
      <c r="AG651" s="1517"/>
      <c r="AI651" s="368"/>
      <c r="AJ651" s="367"/>
      <c r="AK651" s="188" t="s">
        <v>26</v>
      </c>
      <c r="AL651" s="196">
        <f>AA676</f>
        <v>168.75</v>
      </c>
      <c r="AM651" s="510">
        <v>40.31</v>
      </c>
      <c r="AN651" s="510">
        <f t="shared" ref="AN651:AN656" si="89">AL651*AM651</f>
        <v>6802.3125</v>
      </c>
    </row>
    <row r="652" spans="2:42">
      <c r="B652" s="4" t="s">
        <v>958</v>
      </c>
      <c r="C652" s="742"/>
      <c r="D652" s="742"/>
      <c r="E652" s="743">
        <v>0</v>
      </c>
      <c r="F652" s="744"/>
      <c r="G652" s="745"/>
      <c r="H652" s="742"/>
      <c r="I652" s="742"/>
      <c r="J652" s="743">
        <v>0</v>
      </c>
      <c r="K652" s="744"/>
      <c r="L652" s="745"/>
      <c r="M652" s="742"/>
      <c r="N652" s="742"/>
      <c r="O652" s="743">
        <v>0</v>
      </c>
      <c r="P652" s="744"/>
      <c r="Q652" s="745"/>
      <c r="R652" s="742"/>
      <c r="S652" s="742"/>
      <c r="T652" s="743">
        <v>0</v>
      </c>
      <c r="U652" s="646"/>
      <c r="W652" s="1580" t="s">
        <v>1130</v>
      </c>
      <c r="X652" s="1580"/>
      <c r="Y652" s="1580"/>
      <c r="Z652" s="1580"/>
      <c r="AA652" s="328">
        <f t="shared" ref="AA652:AA667" si="90">(E652+J652+O652+T652+Y652)</f>
        <v>0</v>
      </c>
      <c r="AB652" s="298">
        <f t="shared" ref="AB652:AB675" si="91">Z652+U652+P652+K652+F652</f>
        <v>0</v>
      </c>
      <c r="AC652" s="4"/>
      <c r="AD652" s="587"/>
      <c r="AE652" s="531"/>
      <c r="AF652" s="319"/>
      <c r="AG652" s="328">
        <f t="shared" ref="AG652:AG675" si="92">AF652</f>
        <v>0</v>
      </c>
      <c r="AI652" s="368"/>
      <c r="AJ652" s="367"/>
      <c r="AK652" s="188" t="s">
        <v>30</v>
      </c>
      <c r="AL652" s="196">
        <v>0</v>
      </c>
      <c r="AM652" s="511">
        <v>60.465000000000003</v>
      </c>
      <c r="AN652" s="510">
        <f t="shared" si="89"/>
        <v>0</v>
      </c>
    </row>
    <row r="653" spans="2:42">
      <c r="B653" s="47" t="s">
        <v>515</v>
      </c>
      <c r="C653" s="742"/>
      <c r="D653" s="742"/>
      <c r="E653" s="743">
        <v>0</v>
      </c>
      <c r="F653" s="744"/>
      <c r="G653" s="745"/>
      <c r="H653" s="742"/>
      <c r="I653" s="742"/>
      <c r="J653" s="743">
        <v>0</v>
      </c>
      <c r="K653" s="744"/>
      <c r="L653" s="745"/>
      <c r="M653" s="742">
        <v>0.375</v>
      </c>
      <c r="N653" s="742">
        <v>0.25</v>
      </c>
      <c r="O653" s="743">
        <v>8</v>
      </c>
      <c r="P653" s="744"/>
      <c r="Q653" s="745"/>
      <c r="R653" s="742"/>
      <c r="S653" s="742"/>
      <c r="T653" s="743">
        <v>0</v>
      </c>
      <c r="U653" s="646"/>
      <c r="W653" s="1580"/>
      <c r="X653" s="1580"/>
      <c r="Y653" s="1580"/>
      <c r="Z653" s="1580"/>
      <c r="AA653" s="328">
        <f t="shared" si="90"/>
        <v>8</v>
      </c>
      <c r="AB653" s="298">
        <f t="shared" si="91"/>
        <v>0</v>
      </c>
      <c r="AC653" s="4"/>
      <c r="AF653" s="319"/>
      <c r="AG653" s="328">
        <f t="shared" si="92"/>
        <v>0</v>
      </c>
      <c r="AH653" s="175"/>
      <c r="AI653" s="402"/>
      <c r="AJ653" s="367"/>
      <c r="AK653" s="188" t="s">
        <v>32</v>
      </c>
      <c r="AL653" s="196">
        <f>AG676</f>
        <v>0</v>
      </c>
      <c r="AM653" s="510">
        <v>60.465000000000003</v>
      </c>
      <c r="AN653" s="510">
        <f t="shared" si="89"/>
        <v>0</v>
      </c>
    </row>
    <row r="654" spans="2:42">
      <c r="B654" s="441" t="s">
        <v>962</v>
      </c>
      <c r="C654" s="742"/>
      <c r="D654" s="742"/>
      <c r="E654" s="743">
        <v>0</v>
      </c>
      <c r="F654" s="744"/>
      <c r="G654" s="745"/>
      <c r="H654" s="742"/>
      <c r="I654" s="742"/>
      <c r="J654" s="743">
        <v>0</v>
      </c>
      <c r="K654" s="744"/>
      <c r="L654" s="745"/>
      <c r="M654" s="742"/>
      <c r="N654" s="742"/>
      <c r="O654" s="743">
        <v>0</v>
      </c>
      <c r="P654" s="744"/>
      <c r="Q654" s="745"/>
      <c r="R654" s="742"/>
      <c r="S654" s="742"/>
      <c r="T654" s="743">
        <v>0</v>
      </c>
      <c r="U654" s="646"/>
      <c r="W654" s="1580"/>
      <c r="X654" s="1580"/>
      <c r="Y654" s="1580"/>
      <c r="Z654" s="1580"/>
      <c r="AA654" s="328">
        <f t="shared" si="90"/>
        <v>0</v>
      </c>
      <c r="AB654" s="298">
        <f t="shared" si="91"/>
        <v>0</v>
      </c>
      <c r="AC654" s="399"/>
      <c r="AD654" s="47"/>
      <c r="AE654" s="47"/>
      <c r="AF654" s="319"/>
      <c r="AG654" s="328">
        <f t="shared" si="92"/>
        <v>0</v>
      </c>
      <c r="AH654" s="175"/>
      <c r="AJ654" s="401"/>
      <c r="AK654" s="403" t="s">
        <v>213</v>
      </c>
      <c r="AL654" s="404">
        <f>AA678</f>
        <v>4</v>
      </c>
      <c r="AM654" s="510">
        <v>53.05</v>
      </c>
      <c r="AN654" s="510">
        <f t="shared" si="89"/>
        <v>212.2</v>
      </c>
      <c r="AO654" s="405"/>
      <c r="AP654" s="405"/>
    </row>
    <row r="655" spans="2:42">
      <c r="B655" s="47" t="s">
        <v>1112</v>
      </c>
      <c r="C655" s="742"/>
      <c r="D655" s="742"/>
      <c r="E655" s="743">
        <v>0</v>
      </c>
      <c r="F655" s="744"/>
      <c r="G655" s="745"/>
      <c r="H655" s="742">
        <v>0.375</v>
      </c>
      <c r="I655" s="742">
        <v>0.25</v>
      </c>
      <c r="J655" s="743">
        <v>8</v>
      </c>
      <c r="K655" s="744"/>
      <c r="L655" s="745"/>
      <c r="M655" s="742">
        <v>0.375</v>
      </c>
      <c r="N655" s="742">
        <v>0.25</v>
      </c>
      <c r="O655" s="743">
        <v>8</v>
      </c>
      <c r="P655" s="744"/>
      <c r="Q655" s="745"/>
      <c r="R655" s="742"/>
      <c r="S655" s="742"/>
      <c r="T655" s="743">
        <v>0</v>
      </c>
      <c r="U655" s="646"/>
      <c r="W655" s="1580"/>
      <c r="X655" s="1580"/>
      <c r="Y655" s="1580"/>
      <c r="Z655" s="1580"/>
      <c r="AA655" s="328">
        <f t="shared" si="90"/>
        <v>16</v>
      </c>
      <c r="AB655" s="298">
        <f t="shared" si="91"/>
        <v>0</v>
      </c>
      <c r="AC655" s="4"/>
      <c r="AD655" s="47"/>
      <c r="AE655" s="47"/>
      <c r="AF655" s="319"/>
      <c r="AG655" s="328">
        <f t="shared" si="92"/>
        <v>0</v>
      </c>
      <c r="AH655" s="175"/>
      <c r="AI655" s="368"/>
      <c r="AK655" s="188" t="s">
        <v>36</v>
      </c>
      <c r="AL655" s="196">
        <f>AB678</f>
        <v>0</v>
      </c>
      <c r="AM655" s="510">
        <v>79.574999999999989</v>
      </c>
      <c r="AN655" s="510">
        <f t="shared" si="89"/>
        <v>0</v>
      </c>
    </row>
    <row r="656" spans="2:42">
      <c r="B656" s="436" t="s">
        <v>972</v>
      </c>
      <c r="C656" s="742"/>
      <c r="D656" s="742"/>
      <c r="E656" s="743">
        <v>0</v>
      </c>
      <c r="F656" s="744"/>
      <c r="G656" s="745"/>
      <c r="H656" s="742"/>
      <c r="I656" s="742"/>
      <c r="J656" s="743">
        <v>0</v>
      </c>
      <c r="K656" s="744"/>
      <c r="L656" s="745"/>
      <c r="M656" s="742"/>
      <c r="N656" s="742"/>
      <c r="O656" s="743">
        <v>0</v>
      </c>
      <c r="P656" s="744"/>
      <c r="Q656" s="745"/>
      <c r="R656" s="742"/>
      <c r="S656" s="742"/>
      <c r="T656" s="743">
        <v>0</v>
      </c>
      <c r="U656" s="646"/>
      <c r="W656" s="1580"/>
      <c r="X656" s="1580"/>
      <c r="Y656" s="1580"/>
      <c r="Z656" s="1580"/>
      <c r="AA656" s="328">
        <f t="shared" si="90"/>
        <v>0</v>
      </c>
      <c r="AB656" s="298">
        <f t="shared" si="91"/>
        <v>0</v>
      </c>
      <c r="AC656" s="4"/>
      <c r="AD656" s="47"/>
      <c r="AE656" s="47"/>
      <c r="AF656" s="319"/>
      <c r="AG656" s="328">
        <f t="shared" si="92"/>
        <v>0</v>
      </c>
      <c r="AK656" s="188" t="s">
        <v>38</v>
      </c>
      <c r="AL656" s="196">
        <f>AG678</f>
        <v>0</v>
      </c>
      <c r="AM656" s="510">
        <v>79.574999999999989</v>
      </c>
      <c r="AN656" s="510">
        <f t="shared" si="89"/>
        <v>0</v>
      </c>
    </row>
    <row r="657" spans="2:40">
      <c r="B657" s="47" t="s">
        <v>974</v>
      </c>
      <c r="C657" s="742"/>
      <c r="D657" s="742"/>
      <c r="E657" s="743">
        <v>0</v>
      </c>
      <c r="F657" s="744"/>
      <c r="G657" s="745"/>
      <c r="H657" s="742">
        <v>0.33333333333333331</v>
      </c>
      <c r="I657" s="742">
        <v>0.20833333333333334</v>
      </c>
      <c r="J657" s="743">
        <v>8</v>
      </c>
      <c r="K657" s="744"/>
      <c r="L657" s="745"/>
      <c r="M657" s="742">
        <v>0.33333333333333331</v>
      </c>
      <c r="N657" s="742">
        <v>0.20833333333333334</v>
      </c>
      <c r="O657" s="743">
        <v>8</v>
      </c>
      <c r="P657" s="744"/>
      <c r="Q657" s="745"/>
      <c r="R657" s="742">
        <v>0.33333333333333331</v>
      </c>
      <c r="S657" s="742">
        <v>0.20833333333333334</v>
      </c>
      <c r="T657" s="743">
        <v>8</v>
      </c>
      <c r="U657" s="646"/>
      <c r="W657" s="1580"/>
      <c r="X657" s="1580"/>
      <c r="Y657" s="1580"/>
      <c r="Z657" s="1580"/>
      <c r="AA657" s="328">
        <f t="shared" si="90"/>
        <v>24</v>
      </c>
      <c r="AB657" s="298">
        <f t="shared" si="91"/>
        <v>0</v>
      </c>
      <c r="AC657" s="4"/>
      <c r="AD657" s="47"/>
      <c r="AE657" s="47"/>
      <c r="AF657" s="319"/>
      <c r="AG657" s="328">
        <f t="shared" si="92"/>
        <v>0</v>
      </c>
      <c r="AN657" s="510">
        <f>SUM(AN651:AN656)</f>
        <v>7014.5124999999998</v>
      </c>
    </row>
    <row r="658" spans="2:40">
      <c r="B658" s="374" t="s">
        <v>998</v>
      </c>
      <c r="C658" s="742"/>
      <c r="D658" s="742"/>
      <c r="E658" s="743">
        <v>0</v>
      </c>
      <c r="F658" s="744"/>
      <c r="G658" s="745"/>
      <c r="H658" s="742"/>
      <c r="I658" s="742"/>
      <c r="J658" s="743">
        <v>0</v>
      </c>
      <c r="K658" s="744"/>
      <c r="L658" s="745"/>
      <c r="M658" s="742"/>
      <c r="N658" s="742"/>
      <c r="O658" s="743">
        <v>0</v>
      </c>
      <c r="P658" s="744"/>
      <c r="Q658" s="745"/>
      <c r="R658" s="742"/>
      <c r="S658" s="742"/>
      <c r="T658" s="743">
        <v>0</v>
      </c>
      <c r="U658" s="646"/>
      <c r="W658" s="1580"/>
      <c r="X658" s="1580"/>
      <c r="Y658" s="1580"/>
      <c r="Z658" s="1580"/>
      <c r="AA658" s="328">
        <f t="shared" si="90"/>
        <v>0</v>
      </c>
      <c r="AB658" s="298">
        <f t="shared" si="91"/>
        <v>0</v>
      </c>
      <c r="AC658" s="4"/>
      <c r="AD658" s="47"/>
      <c r="AE658" s="47"/>
      <c r="AF658" s="319"/>
      <c r="AG658" s="328">
        <f t="shared" si="92"/>
        <v>0</v>
      </c>
    </row>
    <row r="659" spans="2:40">
      <c r="B659" s="47" t="s">
        <v>977</v>
      </c>
      <c r="C659" s="742"/>
      <c r="D659" s="742"/>
      <c r="E659" s="743">
        <v>0</v>
      </c>
      <c r="F659" s="744"/>
      <c r="G659" s="745"/>
      <c r="H659" s="742"/>
      <c r="I659" s="742"/>
      <c r="J659" s="743">
        <v>0</v>
      </c>
      <c r="K659" s="744"/>
      <c r="L659" s="745"/>
      <c r="M659" s="742"/>
      <c r="N659" s="742"/>
      <c r="O659" s="743">
        <v>0</v>
      </c>
      <c r="P659" s="744"/>
      <c r="Q659" s="745"/>
      <c r="R659" s="742">
        <v>0.33333333333333331</v>
      </c>
      <c r="S659" s="742">
        <v>0.20833333333333334</v>
      </c>
      <c r="T659" s="743">
        <v>8</v>
      </c>
      <c r="U659" s="646"/>
      <c r="W659" s="1580"/>
      <c r="X659" s="1580"/>
      <c r="Y659" s="1580"/>
      <c r="Z659" s="1580"/>
      <c r="AA659" s="328">
        <f t="shared" si="90"/>
        <v>8</v>
      </c>
      <c r="AB659" s="298">
        <f t="shared" si="91"/>
        <v>0</v>
      </c>
      <c r="AC659" s="4"/>
      <c r="AD659" s="47"/>
      <c r="AE659" s="47"/>
      <c r="AF659" s="319"/>
      <c r="AG659" s="328">
        <f t="shared" si="92"/>
        <v>0</v>
      </c>
      <c r="AK659" s="192" t="s">
        <v>1115</v>
      </c>
      <c r="AL659" s="189">
        <f>C679</f>
        <v>14</v>
      </c>
    </row>
    <row r="660" spans="2:40">
      <c r="B660" s="47" t="s">
        <v>519</v>
      </c>
      <c r="C660" s="742"/>
      <c r="D660" s="742"/>
      <c r="E660" s="743">
        <v>0</v>
      </c>
      <c r="F660" s="744"/>
      <c r="G660" s="745"/>
      <c r="H660" s="742"/>
      <c r="I660" s="742"/>
      <c r="J660" s="743">
        <v>0</v>
      </c>
      <c r="K660" s="744"/>
      <c r="L660" s="745"/>
      <c r="M660" s="742"/>
      <c r="N660" s="742"/>
      <c r="O660" s="743">
        <v>0</v>
      </c>
      <c r="P660" s="744"/>
      <c r="Q660" s="745"/>
      <c r="R660" s="742"/>
      <c r="S660" s="742"/>
      <c r="T660" s="743">
        <v>0</v>
      </c>
      <c r="U660" s="646"/>
      <c r="W660" s="1580"/>
      <c r="X660" s="1580"/>
      <c r="Y660" s="1580"/>
      <c r="Z660" s="1580"/>
      <c r="AA660" s="328">
        <f t="shared" si="90"/>
        <v>0</v>
      </c>
      <c r="AB660" s="298">
        <f t="shared" si="91"/>
        <v>0</v>
      </c>
      <c r="AC660" s="4"/>
      <c r="AD660" s="47"/>
      <c r="AE660" s="47"/>
      <c r="AF660" s="319"/>
      <c r="AG660" s="328">
        <f t="shared" si="92"/>
        <v>0</v>
      </c>
    </row>
    <row r="661" spans="2:40">
      <c r="B661" s="47" t="s">
        <v>999</v>
      </c>
      <c r="C661" s="742"/>
      <c r="D661" s="749"/>
      <c r="E661" s="743">
        <v>0</v>
      </c>
      <c r="F661" s="744"/>
      <c r="G661" s="745"/>
      <c r="H661" s="742"/>
      <c r="I661" s="742"/>
      <c r="J661" s="743">
        <v>0</v>
      </c>
      <c r="K661" s="744"/>
      <c r="L661" s="745"/>
      <c r="M661" s="742"/>
      <c r="N661" s="742"/>
      <c r="O661" s="743">
        <v>0</v>
      </c>
      <c r="P661" s="744"/>
      <c r="Q661" s="745"/>
      <c r="R661" s="742"/>
      <c r="S661" s="742"/>
      <c r="T661" s="743">
        <v>0</v>
      </c>
      <c r="U661" s="646"/>
      <c r="W661" s="1580"/>
      <c r="X661" s="1580"/>
      <c r="Y661" s="1580"/>
      <c r="Z661" s="1580"/>
      <c r="AA661" s="328">
        <f t="shared" si="90"/>
        <v>0</v>
      </c>
      <c r="AB661" s="298">
        <f t="shared" si="91"/>
        <v>0</v>
      </c>
      <c r="AC661" s="4"/>
      <c r="AD661" s="47"/>
      <c r="AE661" s="47"/>
      <c r="AF661" s="319"/>
      <c r="AG661" s="328">
        <f t="shared" si="92"/>
        <v>0</v>
      </c>
    </row>
    <row r="662" spans="2:40">
      <c r="B662" s="47" t="s">
        <v>1113</v>
      </c>
      <c r="C662" s="742"/>
      <c r="D662" s="742"/>
      <c r="E662" s="743">
        <v>0</v>
      </c>
      <c r="F662" s="744"/>
      <c r="G662" s="745"/>
      <c r="H662" s="742"/>
      <c r="I662" s="742"/>
      <c r="J662" s="743">
        <v>0</v>
      </c>
      <c r="K662" s="744"/>
      <c r="L662" s="745"/>
      <c r="M662" s="742"/>
      <c r="N662" s="742"/>
      <c r="O662" s="743">
        <v>0</v>
      </c>
      <c r="P662" s="744"/>
      <c r="Q662" s="745"/>
      <c r="R662" s="742"/>
      <c r="S662" s="742"/>
      <c r="T662" s="743">
        <v>0</v>
      </c>
      <c r="U662" s="646"/>
      <c r="W662" s="1580"/>
      <c r="X662" s="1580"/>
      <c r="Y662" s="1580"/>
      <c r="Z662" s="1580"/>
      <c r="AA662" s="328">
        <f t="shared" si="90"/>
        <v>0</v>
      </c>
      <c r="AB662" s="298">
        <f t="shared" si="91"/>
        <v>0</v>
      </c>
      <c r="AC662" s="4"/>
      <c r="AD662" s="47"/>
      <c r="AE662" s="47"/>
      <c r="AF662" s="319"/>
      <c r="AG662" s="328">
        <f t="shared" si="92"/>
        <v>0</v>
      </c>
    </row>
    <row r="663" spans="2:40">
      <c r="B663" s="502" t="s">
        <v>483</v>
      </c>
      <c r="C663" s="742"/>
      <c r="D663" s="742"/>
      <c r="E663" s="743">
        <v>0</v>
      </c>
      <c r="F663" s="744"/>
      <c r="G663" s="745"/>
      <c r="H663" s="742"/>
      <c r="I663" s="742"/>
      <c r="J663" s="743">
        <v>0</v>
      </c>
      <c r="K663" s="744"/>
      <c r="L663" s="745"/>
      <c r="M663" s="742"/>
      <c r="N663" s="742"/>
      <c r="O663" s="743">
        <v>0</v>
      </c>
      <c r="P663" s="744"/>
      <c r="Q663" s="745"/>
      <c r="R663" s="742"/>
      <c r="S663" s="742"/>
      <c r="T663" s="743">
        <v>0</v>
      </c>
      <c r="U663" s="646"/>
      <c r="W663" s="1580"/>
      <c r="X663" s="1580"/>
      <c r="Y663" s="1580"/>
      <c r="Z663" s="1580"/>
      <c r="AA663" s="328">
        <f t="shared" si="90"/>
        <v>0</v>
      </c>
      <c r="AB663" s="298">
        <f t="shared" si="91"/>
        <v>0</v>
      </c>
      <c r="AC663" s="4"/>
      <c r="AD663" s="47"/>
      <c r="AE663" s="47"/>
      <c r="AF663" s="319"/>
      <c r="AG663" s="328">
        <f t="shared" si="92"/>
        <v>0</v>
      </c>
    </row>
    <row r="664" spans="2:40">
      <c r="B664" s="502" t="s">
        <v>483</v>
      </c>
      <c r="C664" s="742"/>
      <c r="D664" s="742"/>
      <c r="E664" s="743">
        <v>4</v>
      </c>
      <c r="F664" s="744"/>
      <c r="G664" s="745"/>
      <c r="H664" s="742"/>
      <c r="I664" s="742"/>
      <c r="J664" s="743">
        <v>5</v>
      </c>
      <c r="K664" s="744"/>
      <c r="L664" s="745"/>
      <c r="M664" s="742"/>
      <c r="N664" s="742"/>
      <c r="O664" s="743">
        <v>4</v>
      </c>
      <c r="P664" s="744"/>
      <c r="Q664" s="745"/>
      <c r="R664" s="742"/>
      <c r="S664" s="742"/>
      <c r="T664" s="743">
        <v>1</v>
      </c>
      <c r="U664" s="646"/>
      <c r="W664" s="1580"/>
      <c r="X664" s="1580"/>
      <c r="Y664" s="1580"/>
      <c r="Z664" s="1580"/>
      <c r="AA664" s="328">
        <f t="shared" si="90"/>
        <v>14</v>
      </c>
      <c r="AB664" s="298">
        <f t="shared" si="91"/>
        <v>0</v>
      </c>
      <c r="AC664" s="4"/>
      <c r="AD664" s="47"/>
      <c r="AE664" s="47"/>
      <c r="AF664" s="319"/>
      <c r="AG664" s="328">
        <f t="shared" si="92"/>
        <v>0</v>
      </c>
    </row>
    <row r="665" spans="2:40">
      <c r="B665" s="502" t="s">
        <v>484</v>
      </c>
      <c r="C665" s="742"/>
      <c r="D665" s="742"/>
      <c r="E665" s="743">
        <v>4</v>
      </c>
      <c r="F665" s="744"/>
      <c r="G665" s="745"/>
      <c r="H665" s="742"/>
      <c r="I665" s="742"/>
      <c r="J665" s="743">
        <v>5</v>
      </c>
      <c r="K665" s="744"/>
      <c r="L665" s="745"/>
      <c r="M665" s="742"/>
      <c r="N665" s="742"/>
      <c r="O665" s="743">
        <v>4</v>
      </c>
      <c r="P665" s="744"/>
      <c r="Q665" s="745"/>
      <c r="R665" s="742"/>
      <c r="S665" s="742"/>
      <c r="T665" s="743">
        <v>1</v>
      </c>
      <c r="U665" s="646"/>
      <c r="W665" s="1580"/>
      <c r="X665" s="1580"/>
      <c r="Y665" s="1580"/>
      <c r="Z665" s="1580"/>
      <c r="AA665" s="328">
        <f t="shared" si="90"/>
        <v>14</v>
      </c>
      <c r="AB665" s="298">
        <f t="shared" si="91"/>
        <v>0</v>
      </c>
      <c r="AC665" s="4"/>
      <c r="AD665" s="47"/>
      <c r="AE665" s="47"/>
      <c r="AF665" s="319"/>
      <c r="AG665" s="328">
        <f t="shared" si="92"/>
        <v>0</v>
      </c>
    </row>
    <row r="666" spans="2:40">
      <c r="B666" s="502" t="s">
        <v>485</v>
      </c>
      <c r="C666" s="742"/>
      <c r="D666" s="742"/>
      <c r="E666" s="743">
        <v>4</v>
      </c>
      <c r="F666" s="744"/>
      <c r="G666" s="745"/>
      <c r="H666" s="742"/>
      <c r="I666" s="742"/>
      <c r="J666" s="743">
        <v>5</v>
      </c>
      <c r="K666" s="744"/>
      <c r="L666" s="745"/>
      <c r="M666" s="742"/>
      <c r="N666" s="742"/>
      <c r="O666" s="743">
        <v>4</v>
      </c>
      <c r="P666" s="744"/>
      <c r="Q666" s="745"/>
      <c r="R666" s="742"/>
      <c r="S666" s="742"/>
      <c r="T666" s="743">
        <v>1</v>
      </c>
      <c r="U666" s="646"/>
      <c r="W666" s="1580"/>
      <c r="X666" s="1580"/>
      <c r="Y666" s="1580"/>
      <c r="Z666" s="1580"/>
      <c r="AA666" s="328">
        <f t="shared" si="90"/>
        <v>14</v>
      </c>
      <c r="AB666" s="298">
        <f t="shared" si="91"/>
        <v>0</v>
      </c>
      <c r="AC666" s="4"/>
      <c r="AD666" s="47"/>
      <c r="AE666" s="47"/>
      <c r="AF666" s="319"/>
      <c r="AG666" s="328">
        <f t="shared" si="92"/>
        <v>0</v>
      </c>
    </row>
    <row r="667" spans="2:40">
      <c r="B667" s="502" t="s">
        <v>1129</v>
      </c>
      <c r="C667" s="742"/>
      <c r="D667" s="742"/>
      <c r="E667" s="743">
        <v>0</v>
      </c>
      <c r="F667" s="744"/>
      <c r="G667" s="745"/>
      <c r="H667" s="742"/>
      <c r="I667" s="742"/>
      <c r="J667" s="743">
        <v>0</v>
      </c>
      <c r="K667" s="744"/>
      <c r="L667" s="745"/>
      <c r="M667" s="742"/>
      <c r="N667" s="742"/>
      <c r="O667" s="743">
        <v>0</v>
      </c>
      <c r="P667" s="744"/>
      <c r="Q667" s="745"/>
      <c r="R667" s="742"/>
      <c r="S667" s="742"/>
      <c r="T667" s="743">
        <v>0</v>
      </c>
      <c r="U667" s="646"/>
      <c r="W667" s="1580"/>
      <c r="X667" s="1580"/>
      <c r="Y667" s="1580"/>
      <c r="Z667" s="1580"/>
      <c r="AA667" s="328">
        <f t="shared" si="90"/>
        <v>0</v>
      </c>
      <c r="AB667" s="298">
        <f t="shared" si="91"/>
        <v>0</v>
      </c>
      <c r="AC667" s="4"/>
      <c r="AD667" s="47"/>
      <c r="AE667" s="47"/>
      <c r="AF667" s="319"/>
      <c r="AG667" s="328">
        <f t="shared" si="92"/>
        <v>0</v>
      </c>
    </row>
    <row r="668" spans="2:40">
      <c r="B668" s="63" t="s">
        <v>1116</v>
      </c>
      <c r="C668" s="742"/>
      <c r="D668" s="742"/>
      <c r="E668" s="743">
        <v>8</v>
      </c>
      <c r="F668" s="744"/>
      <c r="G668" s="745"/>
      <c r="H668" s="742"/>
      <c r="I668" s="742"/>
      <c r="J668" s="743">
        <v>8</v>
      </c>
      <c r="K668" s="744"/>
      <c r="L668" s="745"/>
      <c r="M668" s="742"/>
      <c r="N668" s="742"/>
      <c r="O668" s="743">
        <v>8</v>
      </c>
      <c r="P668" s="744"/>
      <c r="Q668" s="745"/>
      <c r="R668" s="742"/>
      <c r="S668" s="742"/>
      <c r="T668" s="743">
        <v>8</v>
      </c>
      <c r="U668" s="646"/>
      <c r="W668" s="1580"/>
      <c r="X668" s="1580"/>
      <c r="Y668" s="1580"/>
      <c r="Z668" s="1580"/>
      <c r="AA668" s="328">
        <f>(E668+J668+O668+T668+Y668)</f>
        <v>32</v>
      </c>
      <c r="AB668" s="298">
        <f t="shared" si="91"/>
        <v>0</v>
      </c>
      <c r="AC668" s="4"/>
      <c r="AD668" s="47"/>
      <c r="AE668" s="47"/>
      <c r="AF668" s="319"/>
      <c r="AG668" s="328">
        <f t="shared" si="92"/>
        <v>0</v>
      </c>
    </row>
    <row r="669" spans="2:40">
      <c r="B669" s="267" t="s">
        <v>358</v>
      </c>
      <c r="C669" s="742"/>
      <c r="D669" s="742"/>
      <c r="E669" s="743">
        <v>1</v>
      </c>
      <c r="F669" s="744"/>
      <c r="G669" s="745"/>
      <c r="H669" s="742"/>
      <c r="I669" s="742"/>
      <c r="J669" s="743">
        <v>1</v>
      </c>
      <c r="K669" s="744"/>
      <c r="L669" s="750"/>
      <c r="M669" s="742"/>
      <c r="N669" s="742"/>
      <c r="O669" s="743">
        <v>1</v>
      </c>
      <c r="P669" s="744"/>
      <c r="Q669" s="750"/>
      <c r="R669" s="742"/>
      <c r="S669" s="742"/>
      <c r="T669" s="743">
        <v>1</v>
      </c>
      <c r="U669" s="646"/>
      <c r="V669" s="438"/>
      <c r="W669" s="1580"/>
      <c r="X669" s="1580"/>
      <c r="Y669" s="1580"/>
      <c r="Z669" s="1580"/>
      <c r="AA669" s="328">
        <f t="shared" ref="AA669:AA675" si="93">(E669+J669+O669+T669+Y669)</f>
        <v>4</v>
      </c>
      <c r="AB669" s="298">
        <f t="shared" si="91"/>
        <v>0</v>
      </c>
      <c r="AC669" s="4"/>
      <c r="AD669" s="47"/>
      <c r="AE669" s="47"/>
      <c r="AF669" s="319"/>
      <c r="AG669" s="328">
        <f t="shared" si="92"/>
        <v>0</v>
      </c>
    </row>
    <row r="670" spans="2:40">
      <c r="B670" s="267" t="s">
        <v>991</v>
      </c>
      <c r="C670" s="742"/>
      <c r="D670" s="742"/>
      <c r="E670" s="743">
        <v>0</v>
      </c>
      <c r="F670" s="744"/>
      <c r="G670" s="745"/>
      <c r="H670" s="742"/>
      <c r="I670" s="742"/>
      <c r="J670" s="743">
        <v>0</v>
      </c>
      <c r="K670" s="744"/>
      <c r="L670" s="750"/>
      <c r="M670" s="742"/>
      <c r="N670" s="742"/>
      <c r="O670" s="743">
        <v>0</v>
      </c>
      <c r="P670" s="744"/>
      <c r="Q670" s="750"/>
      <c r="R670" s="742"/>
      <c r="S670" s="742"/>
      <c r="T670" s="743">
        <v>0</v>
      </c>
      <c r="U670" s="646"/>
      <c r="V670" s="438"/>
      <c r="W670" s="1580"/>
      <c r="X670" s="1580"/>
      <c r="Y670" s="1580"/>
      <c r="Z670" s="1580"/>
      <c r="AA670" s="328">
        <f t="shared" si="93"/>
        <v>0</v>
      </c>
      <c r="AB670" s="298">
        <f t="shared" si="91"/>
        <v>0</v>
      </c>
      <c r="AC670" s="4"/>
      <c r="AD670" s="47"/>
      <c r="AE670" s="47"/>
      <c r="AF670" s="319"/>
      <c r="AG670" s="328">
        <f t="shared" si="92"/>
        <v>0</v>
      </c>
    </row>
    <row r="671" spans="2:40">
      <c r="B671" s="267" t="s">
        <v>411</v>
      </c>
      <c r="C671" s="742"/>
      <c r="D671" s="742"/>
      <c r="E671" s="743">
        <v>0</v>
      </c>
      <c r="F671" s="744"/>
      <c r="G671" s="745"/>
      <c r="H671" s="742"/>
      <c r="I671" s="742"/>
      <c r="J671" s="743">
        <v>0</v>
      </c>
      <c r="K671" s="744"/>
      <c r="L671" s="750"/>
      <c r="M671" s="742"/>
      <c r="N671" s="742"/>
      <c r="O671" s="743">
        <v>0</v>
      </c>
      <c r="P671" s="744"/>
      <c r="Q671" s="750"/>
      <c r="R671" s="742"/>
      <c r="S671" s="742"/>
      <c r="T671" s="743">
        <v>0</v>
      </c>
      <c r="U671" s="646"/>
      <c r="V671" s="438"/>
      <c r="W671" s="1580"/>
      <c r="X671" s="1580"/>
      <c r="Y671" s="1580"/>
      <c r="Z671" s="1580"/>
      <c r="AA671" s="328">
        <f t="shared" si="93"/>
        <v>0</v>
      </c>
      <c r="AB671" s="298">
        <f t="shared" si="91"/>
        <v>0</v>
      </c>
      <c r="AC671" s="4"/>
      <c r="AD671" s="47"/>
      <c r="AE671" s="47"/>
      <c r="AF671" s="319"/>
      <c r="AG671" s="328">
        <f t="shared" si="92"/>
        <v>0</v>
      </c>
    </row>
    <row r="672" spans="2:40">
      <c r="B672" s="267" t="s">
        <v>361</v>
      </c>
      <c r="C672" s="742"/>
      <c r="D672" s="742"/>
      <c r="E672" s="743">
        <v>0</v>
      </c>
      <c r="F672" s="744"/>
      <c r="G672" s="745"/>
      <c r="H672" s="742"/>
      <c r="I672" s="742"/>
      <c r="J672" s="743">
        <v>0</v>
      </c>
      <c r="K672" s="744"/>
      <c r="L672" s="750"/>
      <c r="M672" s="742"/>
      <c r="N672" s="742"/>
      <c r="O672" s="743">
        <v>0</v>
      </c>
      <c r="P672" s="744"/>
      <c r="Q672" s="750"/>
      <c r="R672" s="742"/>
      <c r="S672" s="742"/>
      <c r="T672" s="743">
        <v>0</v>
      </c>
      <c r="U672" s="646"/>
      <c r="V672" s="438"/>
      <c r="W672" s="1580"/>
      <c r="X672" s="1580"/>
      <c r="Y672" s="1580"/>
      <c r="Z672" s="1580"/>
      <c r="AA672" s="328">
        <f t="shared" si="93"/>
        <v>0</v>
      </c>
      <c r="AB672" s="298">
        <f t="shared" si="91"/>
        <v>0</v>
      </c>
      <c r="AC672" s="4"/>
      <c r="AD672" s="47"/>
      <c r="AE672" s="47"/>
      <c r="AF672" s="319"/>
      <c r="AG672" s="328">
        <f t="shared" si="92"/>
        <v>0</v>
      </c>
    </row>
    <row r="673" spans="2:42">
      <c r="B673" s="267" t="s">
        <v>362</v>
      </c>
      <c r="C673" s="742"/>
      <c r="D673" s="751"/>
      <c r="E673" s="743">
        <v>0</v>
      </c>
      <c r="F673" s="744"/>
      <c r="G673" s="745"/>
      <c r="H673" s="742"/>
      <c r="I673" s="751"/>
      <c r="J673" s="743">
        <v>0</v>
      </c>
      <c r="K673" s="744"/>
      <c r="L673" s="750"/>
      <c r="M673" s="742"/>
      <c r="N673" s="751"/>
      <c r="O673" s="743">
        <v>0</v>
      </c>
      <c r="P673" s="744"/>
      <c r="Q673" s="750"/>
      <c r="R673" s="742"/>
      <c r="S673" s="751"/>
      <c r="T673" s="743">
        <v>0</v>
      </c>
      <c r="U673" s="646"/>
      <c r="V673" s="438"/>
      <c r="W673" s="1580"/>
      <c r="X673" s="1580"/>
      <c r="Y673" s="1580"/>
      <c r="Z673" s="1580"/>
      <c r="AA673" s="328">
        <f t="shared" si="93"/>
        <v>0</v>
      </c>
      <c r="AB673" s="298">
        <f t="shared" si="91"/>
        <v>0</v>
      </c>
      <c r="AC673" s="4"/>
      <c r="AD673" s="47"/>
      <c r="AE673" s="47"/>
      <c r="AF673" s="319"/>
      <c r="AG673" s="328">
        <f t="shared" si="92"/>
        <v>0</v>
      </c>
    </row>
    <row r="674" spans="2:42">
      <c r="B674" s="437" t="s">
        <v>355</v>
      </c>
      <c r="C674" s="742"/>
      <c r="D674" s="742"/>
      <c r="E674" s="743">
        <v>7.75</v>
      </c>
      <c r="F674" s="744"/>
      <c r="G674" s="745"/>
      <c r="H674" s="742"/>
      <c r="I674" s="742"/>
      <c r="J674" s="743">
        <v>7.75</v>
      </c>
      <c r="K674" s="744"/>
      <c r="L674" s="750"/>
      <c r="M674" s="742"/>
      <c r="N674" s="742"/>
      <c r="O674" s="743">
        <v>7.75</v>
      </c>
      <c r="P674" s="744"/>
      <c r="Q674" s="750"/>
      <c r="R674" s="742"/>
      <c r="S674" s="742"/>
      <c r="T674" s="743">
        <v>0</v>
      </c>
      <c r="U674" s="646"/>
      <c r="V674" s="438"/>
      <c r="W674" s="1580"/>
      <c r="X674" s="1580"/>
      <c r="Y674" s="1580"/>
      <c r="Z674" s="1580"/>
      <c r="AA674" s="328">
        <f t="shared" si="93"/>
        <v>23.25</v>
      </c>
      <c r="AB674" s="298">
        <f t="shared" si="91"/>
        <v>0</v>
      </c>
      <c r="AC674" s="4"/>
      <c r="AD674" s="47"/>
      <c r="AE674" s="47"/>
      <c r="AF674" s="319"/>
      <c r="AG674" s="328">
        <f t="shared" si="92"/>
        <v>0</v>
      </c>
    </row>
    <row r="675" spans="2:42">
      <c r="B675" s="437" t="s">
        <v>356</v>
      </c>
      <c r="C675" s="752"/>
      <c r="D675" s="752"/>
      <c r="E675" s="743">
        <v>0</v>
      </c>
      <c r="F675" s="744"/>
      <c r="G675" s="750"/>
      <c r="H675" s="751"/>
      <c r="I675" s="751"/>
      <c r="J675" s="743">
        <v>11.5</v>
      </c>
      <c r="K675" s="744"/>
      <c r="L675" s="750"/>
      <c r="M675" s="751"/>
      <c r="N675" s="751"/>
      <c r="O675" s="743">
        <v>0</v>
      </c>
      <c r="P675" s="744"/>
      <c r="Q675" s="750"/>
      <c r="R675" s="751"/>
      <c r="S675" s="751"/>
      <c r="T675" s="743">
        <v>0</v>
      </c>
      <c r="U675" s="646"/>
      <c r="V675" s="438"/>
      <c r="W675" s="1580"/>
      <c r="X675" s="1580"/>
      <c r="Y675" s="1580"/>
      <c r="Z675" s="1580"/>
      <c r="AA675" s="328">
        <f t="shared" si="93"/>
        <v>11.5</v>
      </c>
      <c r="AB675" s="298">
        <f t="shared" si="91"/>
        <v>0</v>
      </c>
      <c r="AC675" s="4"/>
      <c r="AD675" s="47"/>
      <c r="AE675" s="47"/>
      <c r="AF675" s="319"/>
      <c r="AG675" s="328">
        <f t="shared" si="92"/>
        <v>0</v>
      </c>
    </row>
    <row r="676" spans="2:42">
      <c r="B676" s="64" t="s">
        <v>61</v>
      </c>
      <c r="C676" s="753"/>
      <c r="D676" s="753"/>
      <c r="E676" s="754">
        <f>SUM(E652:E675)</f>
        <v>28.75</v>
      </c>
      <c r="F676" s="744"/>
      <c r="G676" s="753"/>
      <c r="H676" s="753"/>
      <c r="I676" s="753"/>
      <c r="J676" s="754">
        <f>SUM(J652:J675)</f>
        <v>59.25</v>
      </c>
      <c r="K676" s="744"/>
      <c r="L676" s="753"/>
      <c r="M676" s="753"/>
      <c r="N676" s="753"/>
      <c r="O676" s="754">
        <f>SUM(O652:O675)</f>
        <v>52.75</v>
      </c>
      <c r="P676" s="744"/>
      <c r="Q676" s="753"/>
      <c r="R676" s="753"/>
      <c r="S676" s="753"/>
      <c r="T676" s="754">
        <f>SUM(T652:T675)</f>
        <v>28</v>
      </c>
      <c r="U676" s="646"/>
      <c r="V676" s="31"/>
      <c r="W676" s="1580"/>
      <c r="X676" s="1580"/>
      <c r="Y676" s="1580"/>
      <c r="Z676" s="1580"/>
      <c r="AA676" s="370">
        <f>SUM(AA652:AA675)</f>
        <v>168.75</v>
      </c>
      <c r="AB676" s="370">
        <f>SUM(AB652:AB675)</f>
        <v>0</v>
      </c>
      <c r="AC676" s="4"/>
      <c r="AD676" s="64"/>
      <c r="AE676" s="64"/>
      <c r="AF676" s="370">
        <f>SUM(AF652:AF675)</f>
        <v>0</v>
      </c>
      <c r="AG676" s="370">
        <f>SUM(AG652:AG675)</f>
        <v>0</v>
      </c>
      <c r="AK676" s="407"/>
    </row>
    <row r="677" spans="2:42">
      <c r="B677" s="63" t="s">
        <v>64</v>
      </c>
      <c r="C677" s="742"/>
      <c r="D677" s="742"/>
      <c r="E677" s="743">
        <v>1</v>
      </c>
      <c r="F677" s="743"/>
      <c r="G677" s="755"/>
      <c r="H677" s="742"/>
      <c r="I677" s="742"/>
      <c r="J677" s="743">
        <v>1</v>
      </c>
      <c r="K677" s="743"/>
      <c r="L677" s="750"/>
      <c r="M677" s="742"/>
      <c r="N677" s="742"/>
      <c r="O677" s="743">
        <v>1</v>
      </c>
      <c r="P677" s="743"/>
      <c r="Q677" s="750"/>
      <c r="R677" s="742"/>
      <c r="S677" s="742"/>
      <c r="T677" s="743">
        <v>1</v>
      </c>
      <c r="U677" s="346"/>
      <c r="V677" s="60"/>
      <c r="W677" s="47"/>
      <c r="X677" s="47"/>
      <c r="Y677" s="319"/>
      <c r="Z677" s="346"/>
      <c r="AA677" s="28">
        <f>SUM(E677+J677+O677+T677+Y677)</f>
        <v>4</v>
      </c>
      <c r="AB677" s="296">
        <f>Z677+U677+P677+K677+F677</f>
        <v>0</v>
      </c>
      <c r="AC677" s="4"/>
      <c r="AD677" s="47" t="s">
        <v>29</v>
      </c>
      <c r="AE677" s="47" t="s">
        <v>29</v>
      </c>
      <c r="AF677" s="544"/>
      <c r="AG677" s="29">
        <f>AF677</f>
        <v>0</v>
      </c>
      <c r="AK677" s="407"/>
    </row>
    <row r="678" spans="2:42">
      <c r="B678" s="71" t="s">
        <v>66</v>
      </c>
      <c r="C678" s="371"/>
      <c r="D678" s="371"/>
      <c r="E678" s="71"/>
      <c r="F678" s="613"/>
      <c r="G678" s="71"/>
      <c r="H678" s="71"/>
      <c r="I678" s="71"/>
      <c r="J678" s="71"/>
      <c r="K678" s="613"/>
      <c r="L678" s="71"/>
      <c r="M678" s="71"/>
      <c r="N678" s="71"/>
      <c r="O678" s="71"/>
      <c r="P678" s="613"/>
      <c r="Q678" s="71"/>
      <c r="R678" s="71"/>
      <c r="S678" s="71"/>
      <c r="T678" s="71"/>
      <c r="U678" s="613"/>
      <c r="V678" s="71"/>
      <c r="W678" s="71"/>
      <c r="X678" s="71"/>
      <c r="Y678" s="71"/>
      <c r="Z678" s="613"/>
      <c r="AA678" s="370">
        <f>SUM(AA677:AA677)</f>
        <v>4</v>
      </c>
      <c r="AB678" s="370">
        <f>SUM(AB677:AB677)</f>
        <v>0</v>
      </c>
      <c r="AC678" s="4"/>
      <c r="AG678" s="370">
        <f>SUM(AG677:AG677)</f>
        <v>0</v>
      </c>
      <c r="AK678" s="407"/>
    </row>
    <row r="679" spans="2:42">
      <c r="B679" s="217" t="s">
        <v>67</v>
      </c>
      <c r="C679" s="207">
        <f>C680+C681</f>
        <v>14</v>
      </c>
      <c r="D679" s="207"/>
      <c r="E679" s="209"/>
      <c r="F679" s="209"/>
      <c r="G679" s="207"/>
      <c r="H679" s="209"/>
      <c r="I679" s="209"/>
      <c r="J679" s="209"/>
      <c r="K679" s="209"/>
      <c r="L679" s="207"/>
      <c r="M679" s="207"/>
      <c r="N679" s="207"/>
      <c r="O679" s="207"/>
      <c r="P679" s="209"/>
      <c r="Q679" s="207"/>
      <c r="R679" s="207"/>
      <c r="S679" s="207"/>
      <c r="T679" s="207"/>
      <c r="U679" s="209"/>
      <c r="V679" s="207"/>
      <c r="W679" s="207"/>
      <c r="X679" s="207"/>
      <c r="Y679" s="210"/>
      <c r="Z679" s="209"/>
      <c r="AA679" s="211"/>
      <c r="AB679" s="209"/>
      <c r="AC679" s="211"/>
      <c r="AD679" s="211"/>
      <c r="AE679" s="211"/>
      <c r="AF679" s="211"/>
      <c r="AG679" s="211"/>
    </row>
    <row r="680" spans="2:42">
      <c r="B680" s="238" t="s">
        <v>68</v>
      </c>
      <c r="C680" s="239">
        <v>0</v>
      </c>
      <c r="D680" s="207"/>
      <c r="E680" s="209"/>
      <c r="F680" s="209"/>
      <c r="G680" s="207"/>
      <c r="H680" s="209"/>
      <c r="I680" s="209"/>
      <c r="J680" s="209"/>
      <c r="K680" s="209"/>
      <c r="L680" s="207"/>
      <c r="M680" s="207"/>
      <c r="N680" s="207"/>
      <c r="O680" s="207"/>
      <c r="P680" s="209"/>
      <c r="Q680" s="207"/>
      <c r="R680" s="207"/>
      <c r="S680" s="207"/>
      <c r="T680" s="207"/>
      <c r="U680" s="209"/>
      <c r="V680" s="207"/>
      <c r="W680" s="207"/>
      <c r="X680" s="207"/>
      <c r="Y680" s="210"/>
      <c r="Z680" s="209"/>
      <c r="AA680" s="211"/>
      <c r="AB680" s="209"/>
      <c r="AC680" s="211"/>
      <c r="AD680" s="211"/>
      <c r="AE680" s="211"/>
      <c r="AF680" s="211"/>
      <c r="AG680" s="211"/>
    </row>
    <row r="681" spans="2:42">
      <c r="B681" s="238" t="s">
        <v>69</v>
      </c>
      <c r="C681" s="239">
        <f>7+7</f>
        <v>14</v>
      </c>
      <c r="D681" s="207"/>
      <c r="E681" s="209"/>
      <c r="F681" s="209"/>
      <c r="G681" s="207"/>
      <c r="H681" s="209"/>
      <c r="I681" s="209"/>
      <c r="J681" s="209"/>
      <c r="K681" s="209"/>
      <c r="L681" s="207"/>
      <c r="M681" s="207"/>
      <c r="N681" s="207"/>
      <c r="O681" s="207"/>
      <c r="P681" s="209"/>
      <c r="Q681" s="207"/>
      <c r="R681" s="207"/>
      <c r="S681" s="207"/>
      <c r="T681" s="207"/>
      <c r="U681" s="209"/>
      <c r="V681" s="207"/>
      <c r="W681" s="207"/>
      <c r="X681" s="207"/>
      <c r="Y681" s="210"/>
      <c r="Z681" s="209"/>
      <c r="AA681" s="211"/>
      <c r="AB681" s="209"/>
      <c r="AC681" s="211"/>
      <c r="AD681" s="211"/>
      <c r="AE681" s="211"/>
      <c r="AF681" s="211"/>
      <c r="AG681" s="211"/>
    </row>
    <row r="682" spans="2:42">
      <c r="B682" s="180"/>
      <c r="E682" s="4"/>
      <c r="F682" s="644"/>
      <c r="G682" s="4"/>
      <c r="J682" s="4"/>
      <c r="K682" s="644"/>
      <c r="L682" s="4"/>
      <c r="O682" s="4"/>
      <c r="P682" s="644"/>
      <c r="T682" s="4"/>
      <c r="U682" s="644"/>
      <c r="Y682" s="4"/>
      <c r="Z682" s="644"/>
      <c r="AA682" s="4"/>
      <c r="AB682" s="4"/>
      <c r="AC682" s="4"/>
    </row>
    <row r="683" spans="2:42">
      <c r="B683" s="229"/>
      <c r="C683" s="230"/>
      <c r="D683" s="230"/>
      <c r="E683" s="232"/>
      <c r="F683" s="232"/>
      <c r="G683" s="230"/>
      <c r="H683" s="232"/>
      <c r="I683" s="232"/>
      <c r="J683" s="232"/>
      <c r="K683" s="232"/>
      <c r="L683" s="230"/>
      <c r="M683" s="230"/>
      <c r="N683" s="230"/>
      <c r="O683" s="230"/>
      <c r="P683" s="232"/>
      <c r="Q683" s="230"/>
      <c r="R683" s="230"/>
      <c r="S683" s="230"/>
      <c r="T683" s="230"/>
      <c r="U683" s="232"/>
      <c r="V683" s="230"/>
      <c r="W683" s="230"/>
      <c r="X683" s="230"/>
      <c r="Y683" s="233"/>
      <c r="Z683" s="232"/>
      <c r="AA683" s="234"/>
      <c r="AB683" s="232"/>
      <c r="AC683" s="373"/>
      <c r="AD683" s="236"/>
      <c r="AE683" s="255"/>
      <c r="AF683" s="255"/>
      <c r="AG683" s="255"/>
      <c r="AH683" s="255"/>
      <c r="AJ683" s="255"/>
      <c r="AK683" s="255"/>
      <c r="AL683" s="255"/>
      <c r="AM683" s="255"/>
      <c r="AN683" s="255"/>
      <c r="AO683" s="255"/>
      <c r="AP683" s="255"/>
    </row>
    <row r="684" spans="2:42">
      <c r="B684" s="180"/>
      <c r="E684" s="4"/>
      <c r="F684" s="644"/>
      <c r="G684" s="4"/>
      <c r="J684" s="4"/>
      <c r="K684" s="644"/>
      <c r="L684" s="4"/>
      <c r="O684" s="4"/>
      <c r="P684" s="644"/>
      <c r="T684" s="4"/>
      <c r="U684" s="644"/>
      <c r="Y684" s="4"/>
      <c r="Z684" s="644"/>
      <c r="AA684" s="4"/>
      <c r="AB684" s="4"/>
      <c r="AC684" s="4"/>
    </row>
    <row r="685" spans="2:42" ht="25.5">
      <c r="B685" s="1518" t="s">
        <v>18</v>
      </c>
      <c r="C685" s="1519">
        <v>45845</v>
      </c>
      <c r="D685" s="1519"/>
      <c r="E685" s="1519" t="s">
        <v>564</v>
      </c>
      <c r="F685" s="1519"/>
      <c r="G685" s="365"/>
      <c r="H685" s="1519">
        <v>45846</v>
      </c>
      <c r="I685" s="1519"/>
      <c r="J685" s="1519" t="s">
        <v>565</v>
      </c>
      <c r="K685" s="1519"/>
      <c r="L685" s="365"/>
      <c r="M685" s="1519">
        <v>45847</v>
      </c>
      <c r="N685" s="1519"/>
      <c r="O685" s="1519" t="s">
        <v>566</v>
      </c>
      <c r="P685" s="1519"/>
      <c r="Q685" s="365"/>
      <c r="R685" s="1519">
        <v>45848</v>
      </c>
      <c r="S685" s="1519"/>
      <c r="T685" s="1519" t="s">
        <v>567</v>
      </c>
      <c r="U685" s="1519"/>
      <c r="V685" s="365"/>
      <c r="W685" s="1519">
        <v>45849</v>
      </c>
      <c r="X685" s="1519"/>
      <c r="Y685" s="1519" t="s">
        <v>568</v>
      </c>
      <c r="Z685" s="1519"/>
      <c r="AA685" s="1517" t="s">
        <v>19</v>
      </c>
      <c r="AB685" s="1517" t="s">
        <v>20</v>
      </c>
      <c r="AC685" s="4"/>
      <c r="AD685" s="1519"/>
      <c r="AE685" s="1519"/>
      <c r="AF685" s="14" t="s">
        <v>1111</v>
      </c>
      <c r="AG685" s="1517" t="s">
        <v>21</v>
      </c>
      <c r="AI685" s="368"/>
      <c r="AK685" s="194" t="s">
        <v>84</v>
      </c>
      <c r="AL685" s="366"/>
      <c r="AM685" s="366"/>
      <c r="AN685" s="366"/>
      <c r="AO685" s="366"/>
      <c r="AP685" s="366"/>
    </row>
    <row r="686" spans="2:42">
      <c r="B686" s="1518"/>
      <c r="C686" s="21" t="s">
        <v>23</v>
      </c>
      <c r="D686" s="21" t="s">
        <v>24</v>
      </c>
      <c r="E686" s="205" t="s">
        <v>25</v>
      </c>
      <c r="F686" s="645" t="s">
        <v>14</v>
      </c>
      <c r="G686" s="4"/>
      <c r="H686" s="21"/>
      <c r="I686" s="21" t="s">
        <v>24</v>
      </c>
      <c r="J686" s="18" t="s">
        <v>25</v>
      </c>
      <c r="K686" s="645" t="s">
        <v>14</v>
      </c>
      <c r="L686" s="4"/>
      <c r="M686" s="21" t="s">
        <v>23</v>
      </c>
      <c r="N686" s="21" t="s">
        <v>24</v>
      </c>
      <c r="O686" s="18" t="s">
        <v>25</v>
      </c>
      <c r="P686" s="645" t="s">
        <v>14</v>
      </c>
      <c r="R686" s="21" t="s">
        <v>23</v>
      </c>
      <c r="S686" s="21" t="s">
        <v>24</v>
      </c>
      <c r="T686" s="18" t="s">
        <v>25</v>
      </c>
      <c r="U686" s="645" t="s">
        <v>14</v>
      </c>
      <c r="W686" s="21" t="s">
        <v>23</v>
      </c>
      <c r="X686" s="21" t="s">
        <v>24</v>
      </c>
      <c r="Y686" s="18" t="s">
        <v>25</v>
      </c>
      <c r="Z686" s="645" t="s">
        <v>14</v>
      </c>
      <c r="AA686" s="1517"/>
      <c r="AB686" s="1517"/>
      <c r="AC686" s="4"/>
      <c r="AD686" s="21" t="s">
        <v>23</v>
      </c>
      <c r="AE686" s="21" t="s">
        <v>24</v>
      </c>
      <c r="AF686" s="18" t="s">
        <v>25</v>
      </c>
      <c r="AG686" s="1517"/>
      <c r="AI686" s="368"/>
      <c r="AJ686" s="367"/>
      <c r="AK686" s="188" t="s">
        <v>26</v>
      </c>
      <c r="AL686" s="196">
        <f>AA709</f>
        <v>141.25</v>
      </c>
      <c r="AM686" s="510">
        <v>40.31</v>
      </c>
      <c r="AN686" s="510">
        <f t="shared" ref="AN686:AN691" si="94">AL686*AM686</f>
        <v>5693.7875000000004</v>
      </c>
    </row>
    <row r="687" spans="2:42">
      <c r="B687" s="47" t="s">
        <v>515</v>
      </c>
      <c r="C687" s="742" t="s">
        <v>1131</v>
      </c>
      <c r="D687" s="742"/>
      <c r="E687" s="743">
        <v>0</v>
      </c>
      <c r="F687" s="744"/>
      <c r="G687" s="745"/>
      <c r="H687" s="742" t="s">
        <v>1131</v>
      </c>
      <c r="I687" s="742"/>
      <c r="J687" s="743">
        <v>0</v>
      </c>
      <c r="K687" s="744"/>
      <c r="L687" s="745"/>
      <c r="M687" s="742" t="s">
        <v>1131</v>
      </c>
      <c r="N687" s="742"/>
      <c r="O687" s="743">
        <v>8</v>
      </c>
      <c r="P687" s="744"/>
      <c r="Q687" s="745"/>
      <c r="R687" s="742" t="s">
        <v>1131</v>
      </c>
      <c r="S687" s="742"/>
      <c r="T687" s="743">
        <v>0</v>
      </c>
      <c r="U687" s="744"/>
      <c r="V687" s="745"/>
      <c r="W687" s="742" t="s">
        <v>1131</v>
      </c>
      <c r="X687" s="742"/>
      <c r="Y687" s="743">
        <v>0</v>
      </c>
      <c r="Z687" s="744"/>
      <c r="AA687" s="746">
        <f t="shared" ref="AA687:AA708" si="95">(E687+J687+O687+T687+Y687)</f>
        <v>8</v>
      </c>
      <c r="AB687" s="747">
        <f t="shared" ref="AB687:AB708" si="96">Z687+U687+P687+K687+F687</f>
        <v>0</v>
      </c>
      <c r="AC687" s="745"/>
      <c r="AD687" s="748"/>
      <c r="AE687" s="748"/>
      <c r="AF687" s="743"/>
      <c r="AG687" s="746">
        <f t="shared" ref="AG687:AG708" si="97">AF687</f>
        <v>0</v>
      </c>
      <c r="AI687" s="368"/>
      <c r="AJ687" s="367"/>
      <c r="AK687" s="188" t="s">
        <v>30</v>
      </c>
      <c r="AL687" s="196">
        <v>0</v>
      </c>
      <c r="AM687" s="511">
        <v>60.465000000000003</v>
      </c>
      <c r="AN687" s="510">
        <f t="shared" si="94"/>
        <v>0</v>
      </c>
    </row>
    <row r="688" spans="2:42">
      <c r="B688" s="47" t="s">
        <v>1112</v>
      </c>
      <c r="C688" s="742" t="s">
        <v>1131</v>
      </c>
      <c r="D688" s="742"/>
      <c r="E688" s="743">
        <v>0</v>
      </c>
      <c r="F688" s="744"/>
      <c r="G688" s="745"/>
      <c r="H688" s="742" t="s">
        <v>1131</v>
      </c>
      <c r="I688" s="742"/>
      <c r="J688" s="743">
        <v>0</v>
      </c>
      <c r="K688" s="744"/>
      <c r="L688" s="745"/>
      <c r="M688" s="742" t="s">
        <v>1131</v>
      </c>
      <c r="N688" s="742"/>
      <c r="O688" s="743">
        <v>0</v>
      </c>
      <c r="P688" s="744"/>
      <c r="Q688" s="745"/>
      <c r="R688" s="742" t="s">
        <v>1131</v>
      </c>
      <c r="S688" s="742"/>
      <c r="T688" s="743">
        <v>0</v>
      </c>
      <c r="U688" s="744"/>
      <c r="V688" s="745"/>
      <c r="W688" s="742" t="s">
        <v>1131</v>
      </c>
      <c r="X688" s="742"/>
      <c r="Y688" s="743">
        <v>0</v>
      </c>
      <c r="Z688" s="744"/>
      <c r="AA688" s="746">
        <f t="shared" si="95"/>
        <v>0</v>
      </c>
      <c r="AB688" s="747">
        <f t="shared" si="96"/>
        <v>0</v>
      </c>
      <c r="AC688" s="745"/>
      <c r="AD688" s="742"/>
      <c r="AE688" s="742"/>
      <c r="AF688" s="743"/>
      <c r="AG688" s="746">
        <f t="shared" si="97"/>
        <v>0</v>
      </c>
      <c r="AH688" s="175"/>
      <c r="AI688" s="402"/>
      <c r="AJ688" s="367"/>
      <c r="AK688" s="188" t="s">
        <v>32</v>
      </c>
      <c r="AL688" s="196">
        <f>AG709</f>
        <v>0</v>
      </c>
      <c r="AM688" s="510">
        <v>60.465000000000003</v>
      </c>
      <c r="AN688" s="510">
        <f t="shared" si="94"/>
        <v>0</v>
      </c>
    </row>
    <row r="689" spans="2:42">
      <c r="B689" s="436" t="s">
        <v>972</v>
      </c>
      <c r="C689" s="742"/>
      <c r="D689" s="742"/>
      <c r="E689" s="743">
        <v>0</v>
      </c>
      <c r="F689" s="744"/>
      <c r="G689" s="745"/>
      <c r="H689" s="742"/>
      <c r="I689" s="742"/>
      <c r="J689" s="743">
        <v>0</v>
      </c>
      <c r="K689" s="744"/>
      <c r="L689" s="745"/>
      <c r="M689" s="742"/>
      <c r="N689" s="742"/>
      <c r="O689" s="743">
        <v>0</v>
      </c>
      <c r="P689" s="744"/>
      <c r="Q689" s="745"/>
      <c r="R689" s="742"/>
      <c r="S689" s="742"/>
      <c r="T689" s="743">
        <v>0</v>
      </c>
      <c r="U689" s="744"/>
      <c r="V689" s="745"/>
      <c r="W689" s="742"/>
      <c r="X689" s="742"/>
      <c r="Y689" s="743">
        <v>0</v>
      </c>
      <c r="Z689" s="744"/>
      <c r="AA689" s="746">
        <f t="shared" si="95"/>
        <v>0</v>
      </c>
      <c r="AB689" s="747">
        <f t="shared" si="96"/>
        <v>0</v>
      </c>
      <c r="AC689" s="745"/>
      <c r="AD689" s="742"/>
      <c r="AE689" s="742"/>
      <c r="AF689" s="743"/>
      <c r="AG689" s="746">
        <f t="shared" si="97"/>
        <v>0</v>
      </c>
      <c r="AH689" s="175"/>
      <c r="AJ689" s="401"/>
      <c r="AK689" s="403" t="s">
        <v>213</v>
      </c>
      <c r="AL689" s="404">
        <f>AA711</f>
        <v>5</v>
      </c>
      <c r="AM689" s="510">
        <v>53.05</v>
      </c>
      <c r="AN689" s="510">
        <f t="shared" si="94"/>
        <v>265.25</v>
      </c>
      <c r="AO689" s="405"/>
      <c r="AP689" s="405"/>
    </row>
    <row r="690" spans="2:42">
      <c r="B690" s="47" t="s">
        <v>974</v>
      </c>
      <c r="C690" s="742" t="s">
        <v>1132</v>
      </c>
      <c r="D690" s="742"/>
      <c r="E690" s="743">
        <v>0</v>
      </c>
      <c r="F690" s="744"/>
      <c r="G690" s="745"/>
      <c r="H690" s="742" t="s">
        <v>1132</v>
      </c>
      <c r="I690" s="742"/>
      <c r="J690" s="743">
        <v>0</v>
      </c>
      <c r="K690" s="744"/>
      <c r="L690" s="745"/>
      <c r="M690" s="742" t="s">
        <v>1132</v>
      </c>
      <c r="N690" s="742"/>
      <c r="O690" s="743">
        <v>0</v>
      </c>
      <c r="P690" s="744"/>
      <c r="Q690" s="745"/>
      <c r="R690" s="742" t="s">
        <v>1132</v>
      </c>
      <c r="S690" s="742"/>
      <c r="T690" s="743">
        <v>0</v>
      </c>
      <c r="U690" s="744"/>
      <c r="V690" s="745"/>
      <c r="W690" s="742" t="s">
        <v>1132</v>
      </c>
      <c r="X690" s="742"/>
      <c r="Y690" s="743">
        <v>0</v>
      </c>
      <c r="Z690" s="744"/>
      <c r="AA690" s="746">
        <f t="shared" si="95"/>
        <v>0</v>
      </c>
      <c r="AB690" s="747">
        <f t="shared" si="96"/>
        <v>0</v>
      </c>
      <c r="AC690" s="745"/>
      <c r="AD690" s="742"/>
      <c r="AE690" s="742"/>
      <c r="AF690" s="743"/>
      <c r="AG690" s="746">
        <f t="shared" si="97"/>
        <v>0</v>
      </c>
      <c r="AI690" s="368"/>
      <c r="AK690" s="188" t="s">
        <v>36</v>
      </c>
      <c r="AL690" s="196">
        <f>AB711</f>
        <v>0</v>
      </c>
      <c r="AM690" s="510">
        <v>79.574999999999989</v>
      </c>
      <c r="AN690" s="510">
        <f t="shared" si="94"/>
        <v>0</v>
      </c>
    </row>
    <row r="691" spans="2:42">
      <c r="B691" s="374" t="s">
        <v>998</v>
      </c>
      <c r="C691" s="742">
        <v>0.375</v>
      </c>
      <c r="D691" s="742">
        <v>0.28472222222222221</v>
      </c>
      <c r="E691" s="743">
        <v>8</v>
      </c>
      <c r="F691" s="744">
        <v>0.75</v>
      </c>
      <c r="G691" s="745"/>
      <c r="H691" s="742">
        <v>0.375</v>
      </c>
      <c r="I691" s="742">
        <v>0.2673611111111111</v>
      </c>
      <c r="J691" s="743">
        <v>8</v>
      </c>
      <c r="K691" s="744">
        <v>0.5</v>
      </c>
      <c r="L691" s="745"/>
      <c r="M691" s="742">
        <v>0.375</v>
      </c>
      <c r="N691" s="742">
        <v>0.26874999999999999</v>
      </c>
      <c r="O691" s="743">
        <v>8</v>
      </c>
      <c r="P691" s="744">
        <v>0.5</v>
      </c>
      <c r="Q691" s="745"/>
      <c r="R691" s="742">
        <v>0.375</v>
      </c>
      <c r="S691" s="742">
        <v>0.26041666666666669</v>
      </c>
      <c r="T691" s="743">
        <v>8</v>
      </c>
      <c r="U691" s="744"/>
      <c r="V691" s="745"/>
      <c r="W691" s="742">
        <v>0.375</v>
      </c>
      <c r="X691" s="742">
        <v>0.20833333333333334</v>
      </c>
      <c r="Y691" s="743">
        <v>7</v>
      </c>
      <c r="Z691" s="744"/>
      <c r="AA691" s="746">
        <f t="shared" si="95"/>
        <v>39</v>
      </c>
      <c r="AB691" s="747">
        <f t="shared" si="96"/>
        <v>1.75</v>
      </c>
      <c r="AC691" s="745"/>
      <c r="AD691" s="742"/>
      <c r="AE691" s="742"/>
      <c r="AF691" s="743"/>
      <c r="AG691" s="746">
        <f t="shared" si="97"/>
        <v>0</v>
      </c>
      <c r="AK691" s="188" t="s">
        <v>38</v>
      </c>
      <c r="AL691" s="196">
        <f>AG711</f>
        <v>0</v>
      </c>
      <c r="AM691" s="510">
        <v>79.574999999999989</v>
      </c>
      <c r="AN691" s="510">
        <f t="shared" si="94"/>
        <v>0</v>
      </c>
    </row>
    <row r="692" spans="2:42">
      <c r="B692" s="47" t="s">
        <v>977</v>
      </c>
      <c r="C692" s="742" t="s">
        <v>1132</v>
      </c>
      <c r="D692" s="742"/>
      <c r="E692" s="743">
        <v>0</v>
      </c>
      <c r="F692" s="744"/>
      <c r="G692" s="745"/>
      <c r="H692" s="742" t="s">
        <v>1132</v>
      </c>
      <c r="I692" s="742"/>
      <c r="J692" s="743">
        <v>0</v>
      </c>
      <c r="K692" s="744"/>
      <c r="L692" s="745"/>
      <c r="M692" s="742" t="s">
        <v>1132</v>
      </c>
      <c r="N692" s="742"/>
      <c r="O692" s="743">
        <v>0</v>
      </c>
      <c r="P692" s="744"/>
      <c r="Q692" s="745"/>
      <c r="R692" s="742" t="s">
        <v>1132</v>
      </c>
      <c r="S692" s="742"/>
      <c r="T692" s="743">
        <v>0</v>
      </c>
      <c r="U692" s="744"/>
      <c r="V692" s="745"/>
      <c r="W692" s="742" t="s">
        <v>1132</v>
      </c>
      <c r="X692" s="742"/>
      <c r="Y692" s="743">
        <v>0</v>
      </c>
      <c r="Z692" s="744"/>
      <c r="AA692" s="746">
        <f t="shared" si="95"/>
        <v>0</v>
      </c>
      <c r="AB692" s="747">
        <f t="shared" si="96"/>
        <v>0</v>
      </c>
      <c r="AC692" s="745"/>
      <c r="AD692" s="742"/>
      <c r="AE692" s="742"/>
      <c r="AF692" s="743"/>
      <c r="AG692" s="746">
        <f t="shared" si="97"/>
        <v>0</v>
      </c>
      <c r="AN692" s="510">
        <f>SUM(AN686:AN691)</f>
        <v>5959.0375000000004</v>
      </c>
    </row>
    <row r="693" spans="2:42">
      <c r="B693" s="47" t="s">
        <v>519</v>
      </c>
      <c r="C693" s="742" t="s">
        <v>1132</v>
      </c>
      <c r="D693" s="742"/>
      <c r="E693" s="743">
        <v>0</v>
      </c>
      <c r="F693" s="744"/>
      <c r="G693" s="745"/>
      <c r="H693" s="742" t="s">
        <v>1132</v>
      </c>
      <c r="I693" s="742"/>
      <c r="J693" s="743">
        <v>0</v>
      </c>
      <c r="K693" s="744"/>
      <c r="L693" s="745"/>
      <c r="M693" s="742" t="s">
        <v>1132</v>
      </c>
      <c r="N693" s="742"/>
      <c r="O693" s="743">
        <v>0</v>
      </c>
      <c r="P693" s="744"/>
      <c r="Q693" s="745"/>
      <c r="R693" s="742" t="s">
        <v>1132</v>
      </c>
      <c r="S693" s="742"/>
      <c r="T693" s="743">
        <v>0</v>
      </c>
      <c r="U693" s="744"/>
      <c r="V693" s="745"/>
      <c r="W693" s="742" t="s">
        <v>1132</v>
      </c>
      <c r="X693" s="742"/>
      <c r="Y693" s="743">
        <v>0</v>
      </c>
      <c r="Z693" s="744"/>
      <c r="AA693" s="746">
        <f t="shared" si="95"/>
        <v>0</v>
      </c>
      <c r="AB693" s="747">
        <f t="shared" si="96"/>
        <v>0</v>
      </c>
      <c r="AC693" s="745"/>
      <c r="AD693" s="742"/>
      <c r="AE693" s="742"/>
      <c r="AF693" s="743"/>
      <c r="AG693" s="746">
        <f t="shared" si="97"/>
        <v>0</v>
      </c>
    </row>
    <row r="694" spans="2:42">
      <c r="B694" s="47" t="s">
        <v>999</v>
      </c>
      <c r="C694" s="742"/>
      <c r="D694" s="749"/>
      <c r="E694" s="743">
        <v>0</v>
      </c>
      <c r="F694" s="744"/>
      <c r="G694" s="745"/>
      <c r="H694" s="742"/>
      <c r="I694" s="742"/>
      <c r="J694" s="743">
        <v>0</v>
      </c>
      <c r="K694" s="744"/>
      <c r="L694" s="745"/>
      <c r="M694" s="742"/>
      <c r="N694" s="742"/>
      <c r="O694" s="743">
        <v>0</v>
      </c>
      <c r="P694" s="744"/>
      <c r="Q694" s="745"/>
      <c r="R694" s="742"/>
      <c r="S694" s="742"/>
      <c r="T694" s="743">
        <v>0</v>
      </c>
      <c r="U694" s="744"/>
      <c r="V694" s="745"/>
      <c r="W694" s="742"/>
      <c r="X694" s="742"/>
      <c r="Y694" s="743">
        <v>0</v>
      </c>
      <c r="Z694" s="744"/>
      <c r="AA694" s="746">
        <f t="shared" si="95"/>
        <v>0</v>
      </c>
      <c r="AB694" s="747">
        <f t="shared" si="96"/>
        <v>0</v>
      </c>
      <c r="AC694" s="745"/>
      <c r="AD694" s="742"/>
      <c r="AE694" s="742"/>
      <c r="AF694" s="743"/>
      <c r="AG694" s="746">
        <f t="shared" si="97"/>
        <v>0</v>
      </c>
      <c r="AK694" s="192" t="s">
        <v>1115</v>
      </c>
      <c r="AL694" s="189">
        <f>C712</f>
        <v>5</v>
      </c>
    </row>
    <row r="695" spans="2:42">
      <c r="B695" s="47" t="s">
        <v>1113</v>
      </c>
      <c r="C695" s="742"/>
      <c r="D695" s="742"/>
      <c r="E695" s="743">
        <v>0</v>
      </c>
      <c r="F695" s="744"/>
      <c r="G695" s="745"/>
      <c r="H695" s="742"/>
      <c r="I695" s="742"/>
      <c r="J695" s="743">
        <v>0</v>
      </c>
      <c r="K695" s="744"/>
      <c r="L695" s="745"/>
      <c r="M695" s="742"/>
      <c r="N695" s="742"/>
      <c r="O695" s="743">
        <v>0</v>
      </c>
      <c r="P695" s="744"/>
      <c r="Q695" s="745"/>
      <c r="R695" s="742"/>
      <c r="S695" s="742"/>
      <c r="T695" s="743">
        <v>0</v>
      </c>
      <c r="U695" s="744"/>
      <c r="V695" s="745"/>
      <c r="W695" s="742"/>
      <c r="X695" s="742"/>
      <c r="Y695" s="743">
        <v>0</v>
      </c>
      <c r="Z695" s="744"/>
      <c r="AA695" s="746">
        <f t="shared" si="95"/>
        <v>0</v>
      </c>
      <c r="AB695" s="747">
        <f t="shared" si="96"/>
        <v>0</v>
      </c>
      <c r="AC695" s="745"/>
      <c r="AD695" s="742"/>
      <c r="AE695" s="742"/>
      <c r="AF695" s="743"/>
      <c r="AG695" s="746">
        <f t="shared" si="97"/>
        <v>0</v>
      </c>
    </row>
    <row r="696" spans="2:42">
      <c r="B696" s="502" t="s">
        <v>483</v>
      </c>
      <c r="C696" s="742"/>
      <c r="D696" s="742"/>
      <c r="E696" s="743">
        <v>0</v>
      </c>
      <c r="F696" s="744"/>
      <c r="G696" s="745"/>
      <c r="H696" s="742"/>
      <c r="I696" s="742"/>
      <c r="J696" s="743">
        <v>0</v>
      </c>
      <c r="K696" s="744"/>
      <c r="L696" s="745"/>
      <c r="M696" s="742"/>
      <c r="N696" s="742"/>
      <c r="O696" s="743">
        <v>0</v>
      </c>
      <c r="P696" s="744"/>
      <c r="Q696" s="745"/>
      <c r="R696" s="742"/>
      <c r="S696" s="742"/>
      <c r="T696" s="743">
        <v>0</v>
      </c>
      <c r="U696" s="744"/>
      <c r="V696" s="745"/>
      <c r="W696" s="742"/>
      <c r="X696" s="742"/>
      <c r="Y696" s="743">
        <v>0</v>
      </c>
      <c r="Z696" s="744"/>
      <c r="AA696" s="746">
        <f t="shared" si="95"/>
        <v>0</v>
      </c>
      <c r="AB696" s="747">
        <f t="shared" si="96"/>
        <v>0</v>
      </c>
      <c r="AC696" s="745"/>
      <c r="AD696" s="742"/>
      <c r="AE696" s="742"/>
      <c r="AF696" s="743"/>
      <c r="AG696" s="746">
        <f t="shared" si="97"/>
        <v>0</v>
      </c>
    </row>
    <row r="697" spans="2:42">
      <c r="B697" s="502" t="s">
        <v>483</v>
      </c>
      <c r="C697" s="742"/>
      <c r="D697" s="742"/>
      <c r="E697" s="743">
        <v>1</v>
      </c>
      <c r="F697" s="744"/>
      <c r="G697" s="745"/>
      <c r="H697" s="742"/>
      <c r="I697" s="742"/>
      <c r="J697" s="743">
        <v>6</v>
      </c>
      <c r="K697" s="744"/>
      <c r="L697" s="745"/>
      <c r="M697" s="742"/>
      <c r="N697" s="742"/>
      <c r="O697" s="743">
        <v>0</v>
      </c>
      <c r="P697" s="744"/>
      <c r="Q697" s="745"/>
      <c r="R697" s="742"/>
      <c r="S697" s="742"/>
      <c r="T697" s="743">
        <v>0</v>
      </c>
      <c r="U697" s="744"/>
      <c r="V697" s="745"/>
      <c r="W697" s="742"/>
      <c r="X697" s="742"/>
      <c r="Y697" s="743">
        <v>0</v>
      </c>
      <c r="Z697" s="744"/>
      <c r="AA697" s="746">
        <f t="shared" si="95"/>
        <v>7</v>
      </c>
      <c r="AB697" s="747">
        <f t="shared" si="96"/>
        <v>0</v>
      </c>
      <c r="AC697" s="745"/>
      <c r="AD697" s="742"/>
      <c r="AE697" s="742"/>
      <c r="AF697" s="743"/>
      <c r="AG697" s="746">
        <f t="shared" si="97"/>
        <v>0</v>
      </c>
    </row>
    <row r="698" spans="2:42">
      <c r="B698" s="502" t="s">
        <v>484</v>
      </c>
      <c r="C698" s="742"/>
      <c r="D698" s="742"/>
      <c r="E698" s="743">
        <v>6</v>
      </c>
      <c r="F698" s="744"/>
      <c r="G698" s="745"/>
      <c r="H698" s="742"/>
      <c r="I698" s="742"/>
      <c r="J698" s="743">
        <v>6</v>
      </c>
      <c r="K698" s="744"/>
      <c r="L698" s="745"/>
      <c r="M698" s="742"/>
      <c r="N698" s="742"/>
      <c r="O698" s="743">
        <v>6</v>
      </c>
      <c r="P698" s="744"/>
      <c r="Q698" s="745"/>
      <c r="R698" s="742"/>
      <c r="S698" s="742"/>
      <c r="T698" s="743">
        <v>0</v>
      </c>
      <c r="U698" s="744"/>
      <c r="V698" s="745"/>
      <c r="W698" s="742"/>
      <c r="X698" s="742"/>
      <c r="Y698" s="743">
        <v>0</v>
      </c>
      <c r="Z698" s="744"/>
      <c r="AA698" s="746">
        <f t="shared" si="95"/>
        <v>18</v>
      </c>
      <c r="AB698" s="747">
        <f t="shared" si="96"/>
        <v>0</v>
      </c>
      <c r="AC698" s="745"/>
      <c r="AD698" s="742"/>
      <c r="AE698" s="742"/>
      <c r="AF698" s="743"/>
      <c r="AG698" s="746">
        <f t="shared" si="97"/>
        <v>0</v>
      </c>
    </row>
    <row r="699" spans="2:42">
      <c r="B699" s="502" t="s">
        <v>485</v>
      </c>
      <c r="C699" s="742"/>
      <c r="D699" s="742"/>
      <c r="E699" s="743">
        <v>1</v>
      </c>
      <c r="F699" s="744"/>
      <c r="G699" s="745"/>
      <c r="H699" s="742"/>
      <c r="I699" s="742"/>
      <c r="J699" s="743">
        <v>6</v>
      </c>
      <c r="K699" s="744"/>
      <c r="L699" s="745"/>
      <c r="M699" s="742"/>
      <c r="N699" s="742"/>
      <c r="O699" s="743">
        <v>6</v>
      </c>
      <c r="P699" s="744"/>
      <c r="Q699" s="745"/>
      <c r="R699" s="742"/>
      <c r="S699" s="742"/>
      <c r="T699" s="743">
        <v>0</v>
      </c>
      <c r="U699" s="744"/>
      <c r="V699" s="745"/>
      <c r="W699" s="742"/>
      <c r="X699" s="742"/>
      <c r="Y699" s="743">
        <v>0</v>
      </c>
      <c r="Z699" s="744"/>
      <c r="AA699" s="746">
        <f t="shared" si="95"/>
        <v>13</v>
      </c>
      <c r="AB699" s="747">
        <f t="shared" si="96"/>
        <v>0</v>
      </c>
      <c r="AC699" s="745"/>
      <c r="AD699" s="742"/>
      <c r="AE699" s="742"/>
      <c r="AF699" s="743"/>
      <c r="AG699" s="746">
        <f t="shared" si="97"/>
        <v>0</v>
      </c>
    </row>
    <row r="700" spans="2:42">
      <c r="B700" s="502" t="s">
        <v>1129</v>
      </c>
      <c r="C700" s="742"/>
      <c r="D700" s="742"/>
      <c r="E700" s="743">
        <v>0</v>
      </c>
      <c r="F700" s="744"/>
      <c r="G700" s="745"/>
      <c r="H700" s="742"/>
      <c r="I700" s="742"/>
      <c r="J700" s="743">
        <v>0</v>
      </c>
      <c r="K700" s="744"/>
      <c r="L700" s="745"/>
      <c r="M700" s="742"/>
      <c r="N700" s="742"/>
      <c r="O700" s="743">
        <v>0</v>
      </c>
      <c r="P700" s="744"/>
      <c r="Q700" s="745"/>
      <c r="R700" s="742"/>
      <c r="S700" s="742"/>
      <c r="T700" s="743">
        <v>0</v>
      </c>
      <c r="U700" s="744"/>
      <c r="V700" s="745"/>
      <c r="W700" s="742"/>
      <c r="X700" s="742"/>
      <c r="Y700" s="743">
        <v>0</v>
      </c>
      <c r="Z700" s="744"/>
      <c r="AA700" s="746">
        <f t="shared" si="95"/>
        <v>0</v>
      </c>
      <c r="AB700" s="747">
        <f t="shared" si="96"/>
        <v>0</v>
      </c>
      <c r="AC700" s="745"/>
      <c r="AD700" s="742"/>
      <c r="AE700" s="742"/>
      <c r="AF700" s="743"/>
      <c r="AG700" s="746">
        <f t="shared" si="97"/>
        <v>0</v>
      </c>
    </row>
    <row r="701" spans="2:42">
      <c r="B701" s="63" t="s">
        <v>1116</v>
      </c>
      <c r="C701" s="742"/>
      <c r="D701" s="742"/>
      <c r="E701" s="743">
        <v>8</v>
      </c>
      <c r="F701" s="744"/>
      <c r="G701" s="745"/>
      <c r="H701" s="742"/>
      <c r="I701" s="742"/>
      <c r="J701" s="743">
        <v>8</v>
      </c>
      <c r="K701" s="744"/>
      <c r="L701" s="745"/>
      <c r="M701" s="742"/>
      <c r="N701" s="742"/>
      <c r="O701" s="743">
        <v>8</v>
      </c>
      <c r="P701" s="744"/>
      <c r="Q701" s="745"/>
      <c r="R701" s="742"/>
      <c r="S701" s="742"/>
      <c r="T701" s="743">
        <v>8</v>
      </c>
      <c r="U701" s="744"/>
      <c r="V701" s="745"/>
      <c r="W701" s="742"/>
      <c r="X701" s="742"/>
      <c r="Y701" s="743">
        <v>8</v>
      </c>
      <c r="Z701" s="744"/>
      <c r="AA701" s="746">
        <f t="shared" si="95"/>
        <v>40</v>
      </c>
      <c r="AB701" s="747">
        <f t="shared" si="96"/>
        <v>0</v>
      </c>
      <c r="AC701" s="745"/>
      <c r="AD701" s="742"/>
      <c r="AE701" s="742"/>
      <c r="AF701" s="743"/>
      <c r="AG701" s="746">
        <f t="shared" si="97"/>
        <v>0</v>
      </c>
    </row>
    <row r="702" spans="2:42">
      <c r="B702" s="267" t="s">
        <v>358</v>
      </c>
      <c r="C702" s="742"/>
      <c r="D702" s="742"/>
      <c r="E702" s="743">
        <v>1</v>
      </c>
      <c r="F702" s="744"/>
      <c r="G702" s="745"/>
      <c r="H702" s="742"/>
      <c r="I702" s="742"/>
      <c r="J702" s="743">
        <v>1</v>
      </c>
      <c r="K702" s="744"/>
      <c r="L702" s="750"/>
      <c r="M702" s="742"/>
      <c r="N702" s="742"/>
      <c r="O702" s="743">
        <v>0</v>
      </c>
      <c r="P702" s="744"/>
      <c r="Q702" s="750"/>
      <c r="R702" s="742"/>
      <c r="S702" s="742"/>
      <c r="T702" s="743">
        <v>0</v>
      </c>
      <c r="U702" s="744"/>
      <c r="V702" s="750"/>
      <c r="W702" s="742"/>
      <c r="X702" s="742"/>
      <c r="Y702" s="743">
        <v>1.5</v>
      </c>
      <c r="Z702" s="744"/>
      <c r="AA702" s="746">
        <f t="shared" si="95"/>
        <v>3.5</v>
      </c>
      <c r="AB702" s="747">
        <f t="shared" si="96"/>
        <v>0</v>
      </c>
      <c r="AC702" s="745"/>
      <c r="AD702" s="742"/>
      <c r="AE702" s="742"/>
      <c r="AF702" s="743"/>
      <c r="AG702" s="746">
        <f t="shared" si="97"/>
        <v>0</v>
      </c>
    </row>
    <row r="703" spans="2:42">
      <c r="B703" s="267" t="s">
        <v>991</v>
      </c>
      <c r="C703" s="742"/>
      <c r="D703" s="742"/>
      <c r="E703" s="743">
        <v>0</v>
      </c>
      <c r="F703" s="744"/>
      <c r="G703" s="745"/>
      <c r="H703" s="742"/>
      <c r="I703" s="742"/>
      <c r="J703" s="743">
        <v>0</v>
      </c>
      <c r="K703" s="744"/>
      <c r="L703" s="750"/>
      <c r="M703" s="742"/>
      <c r="N703" s="742"/>
      <c r="O703" s="743">
        <v>0</v>
      </c>
      <c r="P703" s="744"/>
      <c r="Q703" s="750"/>
      <c r="R703" s="742"/>
      <c r="S703" s="742"/>
      <c r="T703" s="743">
        <v>0</v>
      </c>
      <c r="U703" s="744"/>
      <c r="V703" s="750"/>
      <c r="W703" s="742"/>
      <c r="X703" s="742"/>
      <c r="Y703" s="743">
        <v>0</v>
      </c>
      <c r="Z703" s="744"/>
      <c r="AA703" s="746">
        <f t="shared" si="95"/>
        <v>0</v>
      </c>
      <c r="AB703" s="747">
        <f t="shared" si="96"/>
        <v>0</v>
      </c>
      <c r="AC703" s="745"/>
      <c r="AD703" s="742"/>
      <c r="AE703" s="742"/>
      <c r="AF703" s="743"/>
      <c r="AG703" s="746">
        <f t="shared" si="97"/>
        <v>0</v>
      </c>
    </row>
    <row r="704" spans="2:42">
      <c r="B704" s="267" t="s">
        <v>411</v>
      </c>
      <c r="C704" s="742"/>
      <c r="D704" s="742"/>
      <c r="E704" s="743">
        <v>0</v>
      </c>
      <c r="F704" s="744"/>
      <c r="G704" s="745"/>
      <c r="H704" s="742"/>
      <c r="I704" s="742"/>
      <c r="J704" s="743">
        <v>0</v>
      </c>
      <c r="K704" s="744"/>
      <c r="L704" s="750"/>
      <c r="M704" s="742"/>
      <c r="N704" s="742"/>
      <c r="O704" s="743">
        <v>0</v>
      </c>
      <c r="P704" s="744"/>
      <c r="Q704" s="750"/>
      <c r="R704" s="742"/>
      <c r="S704" s="742"/>
      <c r="T704" s="743">
        <v>0</v>
      </c>
      <c r="U704" s="744"/>
      <c r="V704" s="750"/>
      <c r="W704" s="742"/>
      <c r="X704" s="742"/>
      <c r="Y704" s="743">
        <v>0</v>
      </c>
      <c r="Z704" s="744"/>
      <c r="AA704" s="746">
        <f t="shared" si="95"/>
        <v>0</v>
      </c>
      <c r="AB704" s="747">
        <f t="shared" si="96"/>
        <v>0</v>
      </c>
      <c r="AC704" s="745"/>
      <c r="AD704" s="742"/>
      <c r="AE704" s="742"/>
      <c r="AF704" s="743"/>
      <c r="AG704" s="746">
        <f t="shared" si="97"/>
        <v>0</v>
      </c>
    </row>
    <row r="705" spans="2:42">
      <c r="B705" s="267" t="s">
        <v>361</v>
      </c>
      <c r="C705" s="742"/>
      <c r="D705" s="742"/>
      <c r="E705" s="743">
        <v>0</v>
      </c>
      <c r="F705" s="744"/>
      <c r="G705" s="745"/>
      <c r="H705" s="742"/>
      <c r="I705" s="742"/>
      <c r="J705" s="743">
        <v>0</v>
      </c>
      <c r="K705" s="744"/>
      <c r="L705" s="750"/>
      <c r="M705" s="742"/>
      <c r="N705" s="742"/>
      <c r="O705" s="743">
        <v>0</v>
      </c>
      <c r="P705" s="744"/>
      <c r="Q705" s="750"/>
      <c r="R705" s="742"/>
      <c r="S705" s="742"/>
      <c r="T705" s="743">
        <v>0</v>
      </c>
      <c r="U705" s="744"/>
      <c r="V705" s="750"/>
      <c r="W705" s="742"/>
      <c r="X705" s="742"/>
      <c r="Y705" s="743">
        <v>0</v>
      </c>
      <c r="Z705" s="744"/>
      <c r="AA705" s="746">
        <f t="shared" si="95"/>
        <v>0</v>
      </c>
      <c r="AB705" s="747">
        <f t="shared" si="96"/>
        <v>0</v>
      </c>
      <c r="AC705" s="745"/>
      <c r="AD705" s="742"/>
      <c r="AE705" s="742"/>
      <c r="AF705" s="743"/>
      <c r="AG705" s="746">
        <f t="shared" si="97"/>
        <v>0</v>
      </c>
    </row>
    <row r="706" spans="2:42">
      <c r="B706" s="267" t="s">
        <v>362</v>
      </c>
      <c r="C706" s="742"/>
      <c r="D706" s="751"/>
      <c r="E706" s="743">
        <v>0</v>
      </c>
      <c r="F706" s="744"/>
      <c r="G706" s="745"/>
      <c r="H706" s="742"/>
      <c r="I706" s="751"/>
      <c r="J706" s="743">
        <v>0</v>
      </c>
      <c r="K706" s="744"/>
      <c r="L706" s="750"/>
      <c r="M706" s="742"/>
      <c r="N706" s="751"/>
      <c r="O706" s="743">
        <v>0</v>
      </c>
      <c r="P706" s="744"/>
      <c r="Q706" s="750"/>
      <c r="R706" s="742"/>
      <c r="S706" s="751"/>
      <c r="T706" s="743">
        <v>0</v>
      </c>
      <c r="U706" s="744"/>
      <c r="V706" s="750"/>
      <c r="W706" s="742"/>
      <c r="X706" s="751"/>
      <c r="Y706" s="743">
        <v>0</v>
      </c>
      <c r="Z706" s="744"/>
      <c r="AA706" s="746">
        <f t="shared" si="95"/>
        <v>0</v>
      </c>
      <c r="AB706" s="747">
        <f t="shared" si="96"/>
        <v>0</v>
      </c>
      <c r="AC706" s="745"/>
      <c r="AD706" s="742"/>
      <c r="AE706" s="742"/>
      <c r="AF706" s="743"/>
      <c r="AG706" s="746">
        <f t="shared" si="97"/>
        <v>0</v>
      </c>
    </row>
    <row r="707" spans="2:42">
      <c r="B707" s="437" t="s">
        <v>355</v>
      </c>
      <c r="C707" s="742"/>
      <c r="D707" s="742"/>
      <c r="E707" s="743">
        <v>2.5</v>
      </c>
      <c r="F707" s="744"/>
      <c r="G707" s="745"/>
      <c r="H707" s="742"/>
      <c r="I707" s="742"/>
      <c r="J707" s="743">
        <v>7.75</v>
      </c>
      <c r="K707" s="744"/>
      <c r="L707" s="750"/>
      <c r="M707" s="742"/>
      <c r="N707" s="742"/>
      <c r="O707" s="743">
        <v>2.5</v>
      </c>
      <c r="P707" s="744"/>
      <c r="Q707" s="750"/>
      <c r="R707" s="742"/>
      <c r="S707" s="742"/>
      <c r="T707" s="743">
        <v>0</v>
      </c>
      <c r="U707" s="744"/>
      <c r="V707" s="750"/>
      <c r="W707" s="742"/>
      <c r="X707" s="742"/>
      <c r="Y707" s="743">
        <v>0</v>
      </c>
      <c r="Z707" s="744"/>
      <c r="AA707" s="746">
        <f t="shared" si="95"/>
        <v>12.75</v>
      </c>
      <c r="AB707" s="747">
        <f t="shared" si="96"/>
        <v>0</v>
      </c>
      <c r="AC707" s="745"/>
      <c r="AD707" s="742"/>
      <c r="AE707" s="742"/>
      <c r="AF707" s="743"/>
      <c r="AG707" s="746">
        <f t="shared" si="97"/>
        <v>0</v>
      </c>
    </row>
    <row r="708" spans="2:42">
      <c r="B708" s="437" t="s">
        <v>356</v>
      </c>
      <c r="C708" s="752"/>
      <c r="D708" s="752"/>
      <c r="E708" s="743">
        <v>0</v>
      </c>
      <c r="F708" s="744"/>
      <c r="G708" s="750"/>
      <c r="H708" s="751"/>
      <c r="I708" s="751"/>
      <c r="J708" s="743">
        <v>0</v>
      </c>
      <c r="K708" s="744"/>
      <c r="L708" s="750"/>
      <c r="M708" s="751"/>
      <c r="N708" s="751"/>
      <c r="O708" s="743">
        <v>0</v>
      </c>
      <c r="P708" s="744"/>
      <c r="Q708" s="750"/>
      <c r="R708" s="751"/>
      <c r="S708" s="751"/>
      <c r="T708" s="743">
        <v>0</v>
      </c>
      <c r="U708" s="744"/>
      <c r="V708" s="750"/>
      <c r="W708" s="751"/>
      <c r="X708" s="751"/>
      <c r="Y708" s="743">
        <v>0</v>
      </c>
      <c r="Z708" s="744"/>
      <c r="AA708" s="746">
        <f t="shared" si="95"/>
        <v>0</v>
      </c>
      <c r="AB708" s="747">
        <f t="shared" si="96"/>
        <v>0</v>
      </c>
      <c r="AC708" s="745"/>
      <c r="AD708" s="742"/>
      <c r="AE708" s="742"/>
      <c r="AF708" s="743"/>
      <c r="AG708" s="746">
        <f t="shared" si="97"/>
        <v>0</v>
      </c>
    </row>
    <row r="709" spans="2:42">
      <c r="B709" s="64" t="s">
        <v>61</v>
      </c>
      <c r="C709" s="753"/>
      <c r="D709" s="753"/>
      <c r="E709" s="754">
        <f>SUM(E687:E708)</f>
        <v>27.5</v>
      </c>
      <c r="F709" s="744"/>
      <c r="G709" s="753"/>
      <c r="H709" s="753"/>
      <c r="I709" s="753"/>
      <c r="J709" s="754">
        <f>SUM(J687:J708)</f>
        <v>42.75</v>
      </c>
      <c r="K709" s="744">
        <f>SUM(0.5*1.5)</f>
        <v>0.75</v>
      </c>
      <c r="L709" s="753"/>
      <c r="M709" s="753"/>
      <c r="N709" s="753"/>
      <c r="O709" s="754">
        <f>SUM(O687:O708)</f>
        <v>38.5</v>
      </c>
      <c r="P709" s="744"/>
      <c r="Q709" s="753"/>
      <c r="R709" s="753"/>
      <c r="S709" s="753"/>
      <c r="T709" s="754">
        <f>SUM(T687:T708)</f>
        <v>16</v>
      </c>
      <c r="U709" s="744"/>
      <c r="V709" s="753"/>
      <c r="W709" s="753"/>
      <c r="X709" s="753"/>
      <c r="Y709" s="754">
        <f>SUM(Y687:Y708)</f>
        <v>16.5</v>
      </c>
      <c r="Z709" s="744"/>
      <c r="AA709" s="746">
        <f>SUM(AA687:AA708)</f>
        <v>141.25</v>
      </c>
      <c r="AB709" s="746">
        <f>SUM(AB687:AB708)</f>
        <v>1.75</v>
      </c>
      <c r="AC709" s="745"/>
      <c r="AD709" s="753"/>
      <c r="AE709" s="753"/>
      <c r="AF709" s="746">
        <f>SUM(AF687:AF708)</f>
        <v>0</v>
      </c>
      <c r="AG709" s="746">
        <f>SUM(AG687:AG708)</f>
        <v>0</v>
      </c>
    </row>
    <row r="710" spans="2:42">
      <c r="B710" s="63" t="s">
        <v>64</v>
      </c>
      <c r="C710" s="742"/>
      <c r="D710" s="742"/>
      <c r="E710" s="743">
        <v>1</v>
      </c>
      <c r="F710" s="743"/>
      <c r="G710" s="755"/>
      <c r="H710" s="742"/>
      <c r="I710" s="742"/>
      <c r="J710" s="743">
        <v>1</v>
      </c>
      <c r="K710" s="743"/>
      <c r="L710" s="750"/>
      <c r="M710" s="742"/>
      <c r="N710" s="742"/>
      <c r="O710" s="743">
        <v>1</v>
      </c>
      <c r="P710" s="743"/>
      <c r="Q710" s="750"/>
      <c r="R710" s="742"/>
      <c r="S710" s="742"/>
      <c r="T710" s="743">
        <v>1</v>
      </c>
      <c r="U710" s="743"/>
      <c r="V710" s="750"/>
      <c r="W710" s="742"/>
      <c r="X710" s="742"/>
      <c r="Y710" s="743">
        <v>1</v>
      </c>
      <c r="Z710" s="743"/>
      <c r="AA710" s="746">
        <f>SUM(E710+J710+O710+T710+Y710)</f>
        <v>5</v>
      </c>
      <c r="AB710" s="756">
        <f>Z710+U710+P710+K710+F710</f>
        <v>0</v>
      </c>
      <c r="AC710" s="745"/>
      <c r="AD710" s="742" t="s">
        <v>29</v>
      </c>
      <c r="AE710" s="742" t="s">
        <v>29</v>
      </c>
      <c r="AF710" s="743"/>
      <c r="AG710" s="746">
        <f>AF710</f>
        <v>0</v>
      </c>
    </row>
    <row r="711" spans="2:42">
      <c r="B711" s="71" t="s">
        <v>66</v>
      </c>
      <c r="C711" s="757"/>
      <c r="D711" s="757"/>
      <c r="E711" s="755"/>
      <c r="F711" s="755"/>
      <c r="G711" s="755"/>
      <c r="H711" s="755"/>
      <c r="I711" s="755"/>
      <c r="J711" s="755"/>
      <c r="K711" s="755"/>
      <c r="L711" s="755"/>
      <c r="M711" s="755"/>
      <c r="N711" s="755"/>
      <c r="O711" s="755"/>
      <c r="P711" s="755"/>
      <c r="Q711" s="755"/>
      <c r="R711" s="755"/>
      <c r="S711" s="755"/>
      <c r="T711" s="755"/>
      <c r="U711" s="755"/>
      <c r="V711" s="755"/>
      <c r="W711" s="755"/>
      <c r="X711" s="755"/>
      <c r="Y711" s="755"/>
      <c r="Z711" s="755"/>
      <c r="AA711" s="746">
        <f>SUM(AA710:AA710)</f>
        <v>5</v>
      </c>
      <c r="AB711" s="746">
        <f>SUM(AB710:AB710)</f>
        <v>0</v>
      </c>
      <c r="AC711" s="745"/>
      <c r="AD711" s="748"/>
      <c r="AE711" s="748"/>
      <c r="AF711" s="748"/>
      <c r="AG711" s="746">
        <f>SUM(AG710:AG710)</f>
        <v>0</v>
      </c>
      <c r="AK711" s="407"/>
    </row>
    <row r="712" spans="2:42">
      <c r="B712" s="217" t="s">
        <v>67</v>
      </c>
      <c r="C712" s="207">
        <f>C713+C714</f>
        <v>5</v>
      </c>
      <c r="D712" s="207"/>
      <c r="E712" s="209"/>
      <c r="F712" s="209"/>
      <c r="G712" s="207"/>
      <c r="H712" s="209"/>
      <c r="I712" s="209"/>
      <c r="J712" s="209"/>
      <c r="K712" s="209"/>
      <c r="L712" s="207"/>
      <c r="M712" s="207"/>
      <c r="N712" s="207"/>
      <c r="O712" s="207"/>
      <c r="P712" s="209"/>
      <c r="Q712" s="207"/>
      <c r="R712" s="207"/>
      <c r="S712" s="207"/>
      <c r="T712" s="207"/>
      <c r="U712" s="209"/>
      <c r="V712" s="207"/>
      <c r="W712" s="207"/>
      <c r="X712" s="207"/>
      <c r="Y712" s="210"/>
      <c r="Z712" s="209"/>
      <c r="AA712" s="211"/>
      <c r="AB712" s="209"/>
      <c r="AC712" s="211"/>
      <c r="AD712" s="211"/>
      <c r="AE712" s="211"/>
      <c r="AF712" s="211"/>
      <c r="AG712" s="211"/>
      <c r="AK712" s="407"/>
    </row>
    <row r="713" spans="2:42">
      <c r="B713" s="238" t="s">
        <v>68</v>
      </c>
      <c r="C713" s="239">
        <v>0</v>
      </c>
      <c r="D713" s="207"/>
      <c r="E713" s="209"/>
      <c r="F713" s="209"/>
      <c r="G713" s="207"/>
      <c r="H713" s="209"/>
      <c r="I713" s="209"/>
      <c r="J713" s="209"/>
      <c r="K713" s="209"/>
      <c r="L713" s="207"/>
      <c r="M713" s="207"/>
      <c r="N713" s="207"/>
      <c r="O713" s="207"/>
      <c r="P713" s="209"/>
      <c r="Q713" s="207"/>
      <c r="R713" s="207"/>
      <c r="S713" s="207"/>
      <c r="T713" s="207"/>
      <c r="U713" s="209"/>
      <c r="V713" s="207"/>
      <c r="W713" s="207"/>
      <c r="X713" s="207"/>
      <c r="Y713" s="210"/>
      <c r="Z713" s="209"/>
      <c r="AA713" s="211"/>
      <c r="AB713" s="209"/>
      <c r="AC713" s="211"/>
      <c r="AD713" s="211"/>
      <c r="AE713" s="211"/>
      <c r="AF713" s="211"/>
      <c r="AG713" s="211"/>
      <c r="AK713" s="407"/>
    </row>
    <row r="714" spans="2:42">
      <c r="B714" s="238" t="s">
        <v>69</v>
      </c>
      <c r="C714" s="239">
        <v>5</v>
      </c>
      <c r="D714" s="207"/>
      <c r="E714" s="209"/>
      <c r="F714" s="209"/>
      <c r="G714" s="207"/>
      <c r="H714" s="209"/>
      <c r="I714" s="209"/>
      <c r="J714" s="209"/>
      <c r="K714" s="209"/>
      <c r="L714" s="207"/>
      <c r="M714" s="207"/>
      <c r="N714" s="207"/>
      <c r="O714" s="207"/>
      <c r="P714" s="209"/>
      <c r="Q714" s="207"/>
      <c r="R714" s="207"/>
      <c r="S714" s="207"/>
      <c r="T714" s="207"/>
      <c r="U714" s="209"/>
      <c r="V714" s="207"/>
      <c r="W714" s="207"/>
      <c r="X714" s="207"/>
      <c r="Y714" s="210"/>
      <c r="Z714" s="209"/>
      <c r="AA714" s="211"/>
      <c r="AB714" s="209"/>
      <c r="AC714" s="211"/>
      <c r="AD714" s="211"/>
      <c r="AE714" s="211"/>
      <c r="AF714" s="211"/>
      <c r="AG714" s="211"/>
    </row>
    <row r="715" spans="2:42">
      <c r="B715" s="229"/>
      <c r="C715" s="230"/>
      <c r="D715" s="230"/>
      <c r="E715" s="232"/>
      <c r="F715" s="232"/>
      <c r="G715" s="230"/>
      <c r="H715" s="232"/>
      <c r="I715" s="232"/>
      <c r="J715" s="232"/>
      <c r="K715" s="232"/>
      <c r="L715" s="230"/>
      <c r="M715" s="230"/>
      <c r="N715" s="230"/>
      <c r="O715" s="230"/>
      <c r="P715" s="232"/>
      <c r="Q715" s="230"/>
      <c r="R715" s="230"/>
      <c r="S715" s="230"/>
      <c r="T715" s="230"/>
      <c r="U715" s="232"/>
      <c r="V715" s="230"/>
      <c r="W715" s="230"/>
      <c r="X715" s="230"/>
      <c r="Y715" s="233"/>
      <c r="Z715" s="232"/>
      <c r="AA715" s="234"/>
      <c r="AB715" s="232"/>
      <c r="AC715" s="373"/>
      <c r="AD715" s="236"/>
      <c r="AE715" s="255"/>
      <c r="AF715" s="255"/>
      <c r="AG715" s="255"/>
      <c r="AH715" s="255"/>
      <c r="AJ715" s="255"/>
      <c r="AK715" s="255"/>
      <c r="AL715" s="255"/>
      <c r="AM715" s="255"/>
      <c r="AN715" s="255"/>
      <c r="AO715" s="255"/>
      <c r="AP715" s="255"/>
    </row>
    <row r="716" spans="2:42">
      <c r="B716" s="180"/>
      <c r="E716" s="4"/>
      <c r="F716" s="644"/>
      <c r="G716" s="4"/>
      <c r="J716" s="4"/>
      <c r="K716" s="644"/>
      <c r="L716" s="4"/>
      <c r="O716" s="4"/>
      <c r="P716" s="644"/>
      <c r="T716" s="4"/>
      <c r="U716" s="644"/>
      <c r="Y716" s="4"/>
      <c r="Z716" s="644"/>
      <c r="AA716" s="4"/>
      <c r="AB716" s="4"/>
      <c r="AC716" s="4"/>
    </row>
    <row r="717" spans="2:42" ht="25.5">
      <c r="B717" s="1518" t="s">
        <v>18</v>
      </c>
      <c r="C717" s="1519">
        <v>45852</v>
      </c>
      <c r="D717" s="1519"/>
      <c r="E717" s="1519" t="s">
        <v>564</v>
      </c>
      <c r="F717" s="1519"/>
      <c r="G717" s="365"/>
      <c r="H717" s="1519">
        <v>45853</v>
      </c>
      <c r="I717" s="1519"/>
      <c r="J717" s="1519" t="s">
        <v>565</v>
      </c>
      <c r="K717" s="1519"/>
      <c r="L717" s="365"/>
      <c r="M717" s="1519">
        <v>45854</v>
      </c>
      <c r="N717" s="1519"/>
      <c r="O717" s="1519" t="s">
        <v>566</v>
      </c>
      <c r="P717" s="1519"/>
      <c r="Q717" s="365"/>
      <c r="R717" s="1519">
        <v>45855</v>
      </c>
      <c r="S717" s="1519"/>
      <c r="T717" s="1519" t="s">
        <v>567</v>
      </c>
      <c r="U717" s="1519"/>
      <c r="V717" s="365"/>
      <c r="W717" s="1519">
        <v>45856</v>
      </c>
      <c r="X717" s="1519"/>
      <c r="Y717" s="1519" t="s">
        <v>568</v>
      </c>
      <c r="Z717" s="1519"/>
      <c r="AA717" s="1517" t="s">
        <v>19</v>
      </c>
      <c r="AB717" s="1517" t="s">
        <v>20</v>
      </c>
      <c r="AC717" s="4"/>
      <c r="AD717" s="1519"/>
      <c r="AE717" s="1519"/>
      <c r="AF717" s="14" t="s">
        <v>1111</v>
      </c>
      <c r="AG717" s="1517" t="s">
        <v>21</v>
      </c>
      <c r="AI717" s="368"/>
      <c r="AK717" s="194" t="s">
        <v>84</v>
      </c>
      <c r="AL717" s="366"/>
      <c r="AM717" s="366"/>
      <c r="AN717" s="366"/>
      <c r="AO717" s="366"/>
      <c r="AP717" s="366"/>
    </row>
    <row r="718" spans="2:42">
      <c r="B718" s="1518"/>
      <c r="C718" s="21" t="s">
        <v>23</v>
      </c>
      <c r="D718" s="21" t="s">
        <v>24</v>
      </c>
      <c r="E718" s="205" t="s">
        <v>25</v>
      </c>
      <c r="F718" s="645" t="s">
        <v>14</v>
      </c>
      <c r="G718" s="4"/>
      <c r="H718" s="21"/>
      <c r="I718" s="21" t="s">
        <v>24</v>
      </c>
      <c r="J718" s="18" t="s">
        <v>25</v>
      </c>
      <c r="K718" s="645" t="s">
        <v>14</v>
      </c>
      <c r="L718" s="4"/>
      <c r="M718" s="21" t="s">
        <v>23</v>
      </c>
      <c r="N718" s="21" t="s">
        <v>24</v>
      </c>
      <c r="O718" s="18" t="s">
        <v>25</v>
      </c>
      <c r="P718" s="645" t="s">
        <v>14</v>
      </c>
      <c r="R718" s="21" t="s">
        <v>23</v>
      </c>
      <c r="S718" s="21" t="s">
        <v>24</v>
      </c>
      <c r="T718" s="18" t="s">
        <v>25</v>
      </c>
      <c r="U718" s="645" t="s">
        <v>14</v>
      </c>
      <c r="W718" s="21" t="s">
        <v>23</v>
      </c>
      <c r="X718" s="21" t="s">
        <v>24</v>
      </c>
      <c r="Y718" s="18" t="s">
        <v>25</v>
      </c>
      <c r="Z718" s="645" t="s">
        <v>14</v>
      </c>
      <c r="AA718" s="1517"/>
      <c r="AB718" s="1517"/>
      <c r="AC718" s="4"/>
      <c r="AD718" s="21" t="s">
        <v>23</v>
      </c>
      <c r="AE718" s="21" t="s">
        <v>24</v>
      </c>
      <c r="AF718" s="18" t="s">
        <v>25</v>
      </c>
      <c r="AG718" s="1517"/>
      <c r="AI718" s="368"/>
      <c r="AJ718" s="367"/>
      <c r="AK718" s="188" t="s">
        <v>26</v>
      </c>
      <c r="AL718" s="196">
        <f>AA740</f>
        <v>20</v>
      </c>
      <c r="AM718" s="510">
        <v>40.31</v>
      </c>
      <c r="AN718" s="510">
        <f t="shared" ref="AN718:AN723" si="98">AL718*AM718</f>
        <v>806.2</v>
      </c>
    </row>
    <row r="719" spans="2:42">
      <c r="B719" s="47" t="s">
        <v>515</v>
      </c>
      <c r="C719" s="742"/>
      <c r="D719" s="742"/>
      <c r="E719" s="743">
        <v>0</v>
      </c>
      <c r="F719" s="744"/>
      <c r="G719" s="745"/>
      <c r="H719" s="742"/>
      <c r="I719" s="742"/>
      <c r="J719" s="743">
        <v>0</v>
      </c>
      <c r="K719" s="744"/>
      <c r="L719" s="745"/>
      <c r="M719" s="742"/>
      <c r="N719" s="742"/>
      <c r="O719" s="743">
        <v>0</v>
      </c>
      <c r="P719" s="744"/>
      <c r="Q719" s="745"/>
      <c r="R719" s="742"/>
      <c r="S719" s="742"/>
      <c r="T719" s="743">
        <v>0</v>
      </c>
      <c r="U719" s="744"/>
      <c r="V719" s="745"/>
      <c r="W719" s="742"/>
      <c r="X719" s="742"/>
      <c r="Y719" s="743">
        <v>0</v>
      </c>
      <c r="Z719" s="744"/>
      <c r="AA719" s="746">
        <f t="shared" ref="AA719:AA739" si="99">(E719+J719+O719+T719+Y719)</f>
        <v>0</v>
      </c>
      <c r="AB719" s="747">
        <f t="shared" ref="AB719:AB739" si="100">Z719+U719+P719+K719+F719</f>
        <v>0</v>
      </c>
      <c r="AC719" s="745"/>
      <c r="AD719" s="748"/>
      <c r="AE719" s="748"/>
      <c r="AF719" s="743"/>
      <c r="AG719" s="746">
        <f t="shared" ref="AG719:AG739" si="101">AF719</f>
        <v>0</v>
      </c>
      <c r="AI719" s="368"/>
      <c r="AJ719" s="367"/>
      <c r="AK719" s="188" t="s">
        <v>30</v>
      </c>
      <c r="AL719" s="196">
        <v>0</v>
      </c>
      <c r="AM719" s="511">
        <v>60.465000000000003</v>
      </c>
      <c r="AN719" s="510">
        <f t="shared" si="98"/>
        <v>0</v>
      </c>
    </row>
    <row r="720" spans="2:42">
      <c r="B720" s="47" t="s">
        <v>1112</v>
      </c>
      <c r="C720" s="742"/>
      <c r="D720" s="742"/>
      <c r="E720" s="743">
        <v>0</v>
      </c>
      <c r="F720" s="744"/>
      <c r="G720" s="745"/>
      <c r="H720" s="742"/>
      <c r="I720" s="742"/>
      <c r="J720" s="743">
        <v>0</v>
      </c>
      <c r="K720" s="744"/>
      <c r="L720" s="745"/>
      <c r="M720" s="742"/>
      <c r="N720" s="742"/>
      <c r="O720" s="743">
        <v>0</v>
      </c>
      <c r="P720" s="744"/>
      <c r="Q720" s="745"/>
      <c r="R720" s="742">
        <v>0.33333333333333331</v>
      </c>
      <c r="S720" s="742">
        <v>0.20833333333333334</v>
      </c>
      <c r="T720" s="743">
        <v>8</v>
      </c>
      <c r="U720" s="744"/>
      <c r="V720" s="745"/>
      <c r="W720" s="742"/>
      <c r="X720" s="742"/>
      <c r="Y720" s="743">
        <v>0</v>
      </c>
      <c r="Z720" s="744"/>
      <c r="AA720" s="746">
        <f t="shared" si="99"/>
        <v>8</v>
      </c>
      <c r="AB720" s="747">
        <f t="shared" si="100"/>
        <v>0</v>
      </c>
      <c r="AC720" s="745"/>
      <c r="AD720" s="742"/>
      <c r="AE720" s="742"/>
      <c r="AF720" s="743"/>
      <c r="AG720" s="746">
        <f t="shared" si="101"/>
        <v>0</v>
      </c>
      <c r="AH720" s="175"/>
      <c r="AI720" s="402"/>
      <c r="AJ720" s="367"/>
      <c r="AK720" s="188" t="s">
        <v>32</v>
      </c>
      <c r="AL720" s="196">
        <f>AG740</f>
        <v>0</v>
      </c>
      <c r="AM720" s="510">
        <v>60.465000000000003</v>
      </c>
      <c r="AN720" s="510">
        <f t="shared" si="98"/>
        <v>0</v>
      </c>
    </row>
    <row r="721" spans="2:42">
      <c r="B721" s="436" t="s">
        <v>972</v>
      </c>
      <c r="C721" s="742"/>
      <c r="D721" s="742"/>
      <c r="E721" s="743">
        <v>0</v>
      </c>
      <c r="F721" s="744"/>
      <c r="G721" s="745"/>
      <c r="H721" s="742"/>
      <c r="I721" s="742"/>
      <c r="J721" s="743">
        <v>0</v>
      </c>
      <c r="K721" s="744"/>
      <c r="L721" s="745"/>
      <c r="M721" s="742"/>
      <c r="N721" s="742"/>
      <c r="O721" s="743">
        <v>0</v>
      </c>
      <c r="P721" s="744"/>
      <c r="Q721" s="745"/>
      <c r="R721" s="742"/>
      <c r="S721" s="742"/>
      <c r="T721" s="743">
        <v>0</v>
      </c>
      <c r="U721" s="744"/>
      <c r="V721" s="745"/>
      <c r="W721" s="742"/>
      <c r="X721" s="742"/>
      <c r="Y721" s="743">
        <v>0</v>
      </c>
      <c r="Z721" s="744"/>
      <c r="AA721" s="746">
        <f t="shared" si="99"/>
        <v>0</v>
      </c>
      <c r="AB721" s="747">
        <f t="shared" si="100"/>
        <v>0</v>
      </c>
      <c r="AC721" s="745"/>
      <c r="AD721" s="742"/>
      <c r="AE721" s="742"/>
      <c r="AF721" s="743"/>
      <c r="AG721" s="746">
        <f t="shared" si="101"/>
        <v>0</v>
      </c>
      <c r="AH721" s="175"/>
      <c r="AJ721" s="401"/>
      <c r="AK721" s="403" t="s">
        <v>213</v>
      </c>
      <c r="AL721" s="404">
        <f>AA743</f>
        <v>24</v>
      </c>
      <c r="AM721" s="510">
        <v>53.05</v>
      </c>
      <c r="AN721" s="510">
        <f t="shared" si="98"/>
        <v>1273.1999999999998</v>
      </c>
      <c r="AO721" s="405"/>
      <c r="AP721" s="405"/>
    </row>
    <row r="722" spans="2:42">
      <c r="B722" s="47" t="s">
        <v>974</v>
      </c>
      <c r="C722" s="742"/>
      <c r="D722" s="742"/>
      <c r="E722" s="743">
        <v>0</v>
      </c>
      <c r="F722" s="744"/>
      <c r="G722" s="745"/>
      <c r="H722" s="742"/>
      <c r="I722" s="742"/>
      <c r="J722" s="743">
        <v>0</v>
      </c>
      <c r="K722" s="744"/>
      <c r="L722" s="745"/>
      <c r="M722" s="742"/>
      <c r="N722" s="742"/>
      <c r="O722" s="743">
        <v>0</v>
      </c>
      <c r="P722" s="744"/>
      <c r="Q722" s="745"/>
      <c r="R722" s="742"/>
      <c r="S722" s="742"/>
      <c r="T722" s="743">
        <v>0</v>
      </c>
      <c r="U722" s="744"/>
      <c r="V722" s="745"/>
      <c r="W722" s="742"/>
      <c r="X722" s="742"/>
      <c r="Y722" s="743">
        <v>0</v>
      </c>
      <c r="Z722" s="744"/>
      <c r="AA722" s="746">
        <f t="shared" si="99"/>
        <v>0</v>
      </c>
      <c r="AB722" s="747">
        <f t="shared" si="100"/>
        <v>0</v>
      </c>
      <c r="AC722" s="745"/>
      <c r="AD722" s="742"/>
      <c r="AE722" s="742"/>
      <c r="AF722" s="743"/>
      <c r="AG722" s="746">
        <f t="shared" si="101"/>
        <v>0</v>
      </c>
      <c r="AI722" s="368"/>
      <c r="AK722" s="188" t="s">
        <v>36</v>
      </c>
      <c r="AL722" s="196">
        <f>AB743</f>
        <v>0</v>
      </c>
      <c r="AM722" s="510">
        <v>79.574999999999989</v>
      </c>
      <c r="AN722" s="510">
        <f t="shared" si="98"/>
        <v>0</v>
      </c>
    </row>
    <row r="723" spans="2:42">
      <c r="B723" s="374" t="s">
        <v>998</v>
      </c>
      <c r="C723" s="742"/>
      <c r="D723" s="742"/>
      <c r="E723" s="743">
        <v>0</v>
      </c>
      <c r="F723" s="744"/>
      <c r="G723" s="745"/>
      <c r="H723" s="742"/>
      <c r="I723" s="742"/>
      <c r="J723" s="743">
        <v>0</v>
      </c>
      <c r="K723" s="744"/>
      <c r="L723" s="745"/>
      <c r="M723" s="742"/>
      <c r="N723" s="742"/>
      <c r="O723" s="743">
        <v>0</v>
      </c>
      <c r="P723" s="744"/>
      <c r="Q723" s="745"/>
      <c r="R723" s="742"/>
      <c r="S723" s="742"/>
      <c r="T723" s="743">
        <v>0</v>
      </c>
      <c r="U723" s="744"/>
      <c r="V723" s="745"/>
      <c r="W723" s="742">
        <v>0.41666666666666669</v>
      </c>
      <c r="X723" s="742">
        <v>0.27083333333333331</v>
      </c>
      <c r="Y723" s="743">
        <v>7.5</v>
      </c>
      <c r="Z723" s="744"/>
      <c r="AA723" s="746">
        <f t="shared" si="99"/>
        <v>7.5</v>
      </c>
      <c r="AB723" s="747">
        <f t="shared" si="100"/>
        <v>0</v>
      </c>
      <c r="AC723" s="745"/>
      <c r="AD723" s="742"/>
      <c r="AE723" s="742"/>
      <c r="AF723" s="743"/>
      <c r="AG723" s="746">
        <f t="shared" si="101"/>
        <v>0</v>
      </c>
      <c r="AK723" s="188" t="s">
        <v>38</v>
      </c>
      <c r="AL723" s="196">
        <f>AG743</f>
        <v>0</v>
      </c>
      <c r="AM723" s="510">
        <v>79.574999999999989</v>
      </c>
      <c r="AN723" s="510">
        <f t="shared" si="98"/>
        <v>0</v>
      </c>
    </row>
    <row r="724" spans="2:42">
      <c r="B724" s="47" t="s">
        <v>977</v>
      </c>
      <c r="C724" s="742"/>
      <c r="D724" s="742"/>
      <c r="E724" s="743">
        <v>0</v>
      </c>
      <c r="F724" s="744"/>
      <c r="G724" s="745"/>
      <c r="H724" s="742"/>
      <c r="I724" s="742"/>
      <c r="J724" s="743">
        <v>0</v>
      </c>
      <c r="K724" s="744"/>
      <c r="L724" s="745"/>
      <c r="M724" s="742"/>
      <c r="N724" s="742"/>
      <c r="O724" s="743">
        <v>0</v>
      </c>
      <c r="P724" s="744"/>
      <c r="Q724" s="745"/>
      <c r="R724" s="742"/>
      <c r="S724" s="742"/>
      <c r="T724" s="743">
        <v>0</v>
      </c>
      <c r="U724" s="744"/>
      <c r="V724" s="745"/>
      <c r="W724" s="742"/>
      <c r="X724" s="742"/>
      <c r="Y724" s="743">
        <v>0</v>
      </c>
      <c r="Z724" s="744"/>
      <c r="AA724" s="746">
        <f t="shared" si="99"/>
        <v>0</v>
      </c>
      <c r="AB724" s="747">
        <f t="shared" si="100"/>
        <v>0</v>
      </c>
      <c r="AC724" s="745"/>
      <c r="AD724" s="742"/>
      <c r="AE724" s="742"/>
      <c r="AF724" s="743"/>
      <c r="AG724" s="746">
        <f t="shared" si="101"/>
        <v>0</v>
      </c>
      <c r="AN724" s="510">
        <f>SUM(AN718:AN723)</f>
        <v>2079.3999999999996</v>
      </c>
    </row>
    <row r="725" spans="2:42">
      <c r="B725" s="47" t="s">
        <v>519</v>
      </c>
      <c r="C725" s="742"/>
      <c r="D725" s="742"/>
      <c r="E725" s="743">
        <v>0</v>
      </c>
      <c r="F725" s="744"/>
      <c r="G725" s="745"/>
      <c r="H725" s="742"/>
      <c r="I725" s="742"/>
      <c r="J725" s="743">
        <v>0</v>
      </c>
      <c r="K725" s="744"/>
      <c r="L725" s="745"/>
      <c r="M725" s="742"/>
      <c r="N725" s="742"/>
      <c r="O725" s="743">
        <v>0</v>
      </c>
      <c r="P725" s="744"/>
      <c r="Q725" s="745"/>
      <c r="R725" s="742"/>
      <c r="S725" s="742"/>
      <c r="T725" s="743">
        <v>0</v>
      </c>
      <c r="U725" s="744"/>
      <c r="V725" s="745"/>
      <c r="W725" s="742"/>
      <c r="X725" s="742"/>
      <c r="Y725" s="743">
        <v>0</v>
      </c>
      <c r="Z725" s="744"/>
      <c r="AA725" s="746">
        <f t="shared" si="99"/>
        <v>0</v>
      </c>
      <c r="AB725" s="747">
        <f t="shared" si="100"/>
        <v>0</v>
      </c>
      <c r="AC725" s="745"/>
      <c r="AD725" s="742"/>
      <c r="AE725" s="742"/>
      <c r="AF725" s="743"/>
      <c r="AG725" s="746">
        <f t="shared" si="101"/>
        <v>0</v>
      </c>
    </row>
    <row r="726" spans="2:42">
      <c r="B726" s="47" t="s">
        <v>999</v>
      </c>
      <c r="C726" s="742"/>
      <c r="D726" s="749"/>
      <c r="E726" s="743">
        <v>0</v>
      </c>
      <c r="F726" s="744"/>
      <c r="G726" s="745"/>
      <c r="H726" s="742"/>
      <c r="I726" s="742"/>
      <c r="J726" s="743">
        <v>0</v>
      </c>
      <c r="K726" s="744"/>
      <c r="L726" s="745"/>
      <c r="M726" s="742"/>
      <c r="N726" s="742"/>
      <c r="O726" s="743">
        <v>0</v>
      </c>
      <c r="P726" s="744"/>
      <c r="Q726" s="745"/>
      <c r="R726" s="742"/>
      <c r="S726" s="742"/>
      <c r="T726" s="743">
        <v>0</v>
      </c>
      <c r="U726" s="744"/>
      <c r="V726" s="745"/>
      <c r="W726" s="742"/>
      <c r="X726" s="742"/>
      <c r="Y726" s="743">
        <v>0</v>
      </c>
      <c r="Z726" s="744"/>
      <c r="AA726" s="746">
        <f t="shared" si="99"/>
        <v>0</v>
      </c>
      <c r="AB726" s="747">
        <f t="shared" si="100"/>
        <v>0</v>
      </c>
      <c r="AC726" s="745"/>
      <c r="AD726" s="742"/>
      <c r="AE726" s="742"/>
      <c r="AF726" s="743"/>
      <c r="AG726" s="746">
        <f t="shared" si="101"/>
        <v>0</v>
      </c>
      <c r="AK726" s="192" t="s">
        <v>1115</v>
      </c>
      <c r="AL726" s="189">
        <f>C744</f>
        <v>3</v>
      </c>
    </row>
    <row r="727" spans="2:42">
      <c r="B727" s="47" t="s">
        <v>1113</v>
      </c>
      <c r="C727" s="742"/>
      <c r="D727" s="742"/>
      <c r="E727" s="743">
        <v>0</v>
      </c>
      <c r="F727" s="744"/>
      <c r="G727" s="745"/>
      <c r="H727" s="742"/>
      <c r="I727" s="742"/>
      <c r="J727" s="743">
        <v>0</v>
      </c>
      <c r="K727" s="744"/>
      <c r="L727" s="745"/>
      <c r="M727" s="742"/>
      <c r="N727" s="742"/>
      <c r="O727" s="743">
        <v>0</v>
      </c>
      <c r="P727" s="744"/>
      <c r="Q727" s="745"/>
      <c r="R727" s="742"/>
      <c r="S727" s="742"/>
      <c r="T727" s="743">
        <v>0</v>
      </c>
      <c r="U727" s="744"/>
      <c r="V727" s="745"/>
      <c r="W727" s="742"/>
      <c r="X727" s="742"/>
      <c r="Y727" s="743">
        <v>0</v>
      </c>
      <c r="Z727" s="744"/>
      <c r="AA727" s="746">
        <f t="shared" si="99"/>
        <v>0</v>
      </c>
      <c r="AB727" s="747">
        <f t="shared" si="100"/>
        <v>0</v>
      </c>
      <c r="AC727" s="745"/>
      <c r="AD727" s="742"/>
      <c r="AE727" s="742"/>
      <c r="AF727" s="743"/>
      <c r="AG727" s="746">
        <f t="shared" si="101"/>
        <v>0</v>
      </c>
    </row>
    <row r="728" spans="2:42">
      <c r="B728" s="502" t="s">
        <v>483</v>
      </c>
      <c r="C728" s="742"/>
      <c r="D728" s="742"/>
      <c r="E728" s="743">
        <v>0</v>
      </c>
      <c r="F728" s="744"/>
      <c r="G728" s="745"/>
      <c r="H728" s="742"/>
      <c r="I728" s="742"/>
      <c r="J728" s="743">
        <v>0</v>
      </c>
      <c r="K728" s="744"/>
      <c r="L728" s="745"/>
      <c r="M728" s="742"/>
      <c r="N728" s="742"/>
      <c r="O728" s="743">
        <v>0</v>
      </c>
      <c r="P728" s="744"/>
      <c r="Q728" s="745"/>
      <c r="R728" s="742"/>
      <c r="S728" s="742"/>
      <c r="T728" s="743">
        <v>0</v>
      </c>
      <c r="U728" s="744"/>
      <c r="V728" s="745"/>
      <c r="W728" s="742"/>
      <c r="X728" s="742"/>
      <c r="Y728" s="743">
        <v>0</v>
      </c>
      <c r="Z728" s="744"/>
      <c r="AA728" s="746">
        <f t="shared" si="99"/>
        <v>0</v>
      </c>
      <c r="AB728" s="747">
        <f t="shared" si="100"/>
        <v>0</v>
      </c>
      <c r="AC728" s="745"/>
      <c r="AD728" s="742"/>
      <c r="AE728" s="742"/>
      <c r="AF728" s="743"/>
      <c r="AG728" s="746">
        <f t="shared" si="101"/>
        <v>0</v>
      </c>
    </row>
    <row r="729" spans="2:42">
      <c r="B729" s="502" t="s">
        <v>483</v>
      </c>
      <c r="C729" s="742"/>
      <c r="D729" s="742"/>
      <c r="E729" s="743">
        <v>0</v>
      </c>
      <c r="F729" s="744"/>
      <c r="G729" s="745"/>
      <c r="H729" s="742"/>
      <c r="I729" s="742"/>
      <c r="J729" s="743">
        <v>0</v>
      </c>
      <c r="K729" s="744"/>
      <c r="L729" s="745"/>
      <c r="M729" s="742"/>
      <c r="N729" s="742"/>
      <c r="O729" s="743">
        <v>0</v>
      </c>
      <c r="P729" s="744"/>
      <c r="Q729" s="745"/>
      <c r="R729" s="742"/>
      <c r="S729" s="742"/>
      <c r="T729" s="743">
        <v>0</v>
      </c>
      <c r="U729" s="744"/>
      <c r="V729" s="745"/>
      <c r="W729" s="742"/>
      <c r="X729" s="742"/>
      <c r="Y729" s="743">
        <v>0</v>
      </c>
      <c r="Z729" s="744"/>
      <c r="AA729" s="746">
        <f t="shared" si="99"/>
        <v>0</v>
      </c>
      <c r="AB729" s="747">
        <f t="shared" si="100"/>
        <v>0</v>
      </c>
      <c r="AC729" s="745"/>
      <c r="AD729" s="742"/>
      <c r="AE729" s="742"/>
      <c r="AF729" s="743"/>
      <c r="AG729" s="746">
        <f t="shared" si="101"/>
        <v>0</v>
      </c>
    </row>
    <row r="730" spans="2:42">
      <c r="B730" s="502" t="s">
        <v>484</v>
      </c>
      <c r="C730" s="742"/>
      <c r="D730" s="742"/>
      <c r="E730" s="743">
        <v>0</v>
      </c>
      <c r="F730" s="744"/>
      <c r="G730" s="745"/>
      <c r="H730" s="742"/>
      <c r="I730" s="742"/>
      <c r="J730" s="743">
        <v>0</v>
      </c>
      <c r="K730" s="744"/>
      <c r="L730" s="745"/>
      <c r="M730" s="742"/>
      <c r="N730" s="742"/>
      <c r="O730" s="743">
        <v>0</v>
      </c>
      <c r="P730" s="744"/>
      <c r="Q730" s="745"/>
      <c r="R730" s="742"/>
      <c r="S730" s="742"/>
      <c r="T730" s="743">
        <v>0</v>
      </c>
      <c r="U730" s="744"/>
      <c r="V730" s="745"/>
      <c r="W730" s="742"/>
      <c r="X730" s="742"/>
      <c r="Y730" s="743">
        <v>2</v>
      </c>
      <c r="Z730" s="744"/>
      <c r="AA730" s="746">
        <f t="shared" si="99"/>
        <v>2</v>
      </c>
      <c r="AB730" s="747">
        <f t="shared" si="100"/>
        <v>0</v>
      </c>
      <c r="AC730" s="745"/>
      <c r="AD730" s="742"/>
      <c r="AE730" s="742"/>
      <c r="AF730" s="743"/>
      <c r="AG730" s="746">
        <f t="shared" si="101"/>
        <v>0</v>
      </c>
    </row>
    <row r="731" spans="2:42">
      <c r="B731" s="502" t="s">
        <v>485</v>
      </c>
      <c r="C731" s="742"/>
      <c r="D731" s="742"/>
      <c r="E731" s="743">
        <v>0</v>
      </c>
      <c r="F731" s="744"/>
      <c r="G731" s="745"/>
      <c r="H731" s="742"/>
      <c r="I731" s="742"/>
      <c r="J731" s="743">
        <v>0</v>
      </c>
      <c r="K731" s="744"/>
      <c r="L731" s="745"/>
      <c r="M731" s="742"/>
      <c r="N731" s="742"/>
      <c r="O731" s="743">
        <v>0</v>
      </c>
      <c r="P731" s="744"/>
      <c r="Q731" s="745"/>
      <c r="R731" s="742"/>
      <c r="S731" s="742"/>
      <c r="T731" s="743">
        <v>0</v>
      </c>
      <c r="U731" s="744"/>
      <c r="V731" s="745"/>
      <c r="W731" s="742"/>
      <c r="X731" s="742"/>
      <c r="Y731" s="743">
        <v>2</v>
      </c>
      <c r="Z731" s="744"/>
      <c r="AA731" s="746">
        <f t="shared" si="99"/>
        <v>2</v>
      </c>
      <c r="AB731" s="747">
        <f t="shared" si="100"/>
        <v>0</v>
      </c>
      <c r="AC731" s="745"/>
      <c r="AD731" s="742"/>
      <c r="AE731" s="742"/>
      <c r="AF731" s="743"/>
      <c r="AG731" s="746">
        <f t="shared" si="101"/>
        <v>0</v>
      </c>
    </row>
    <row r="732" spans="2:42">
      <c r="B732" s="502" t="s">
        <v>1129</v>
      </c>
      <c r="C732" s="742"/>
      <c r="D732" s="742"/>
      <c r="E732" s="743">
        <v>0</v>
      </c>
      <c r="F732" s="744"/>
      <c r="G732" s="745"/>
      <c r="H732" s="742"/>
      <c r="I732" s="742"/>
      <c r="J732" s="743">
        <v>0</v>
      </c>
      <c r="K732" s="744"/>
      <c r="L732" s="745"/>
      <c r="M732" s="742"/>
      <c r="N732" s="742"/>
      <c r="O732" s="743">
        <v>0</v>
      </c>
      <c r="P732" s="744"/>
      <c r="Q732" s="745"/>
      <c r="R732" s="742"/>
      <c r="S732" s="742"/>
      <c r="T732" s="743">
        <v>0</v>
      </c>
      <c r="U732" s="744"/>
      <c r="V732" s="745"/>
      <c r="W732" s="742"/>
      <c r="X732" s="742"/>
      <c r="Y732" s="743">
        <v>0</v>
      </c>
      <c r="Z732" s="744"/>
      <c r="AA732" s="746">
        <f t="shared" si="99"/>
        <v>0</v>
      </c>
      <c r="AB732" s="747">
        <f t="shared" si="100"/>
        <v>0</v>
      </c>
      <c r="AC732" s="745"/>
      <c r="AD732" s="742"/>
      <c r="AE732" s="742"/>
      <c r="AF732" s="743"/>
      <c r="AG732" s="746">
        <f t="shared" si="101"/>
        <v>0</v>
      </c>
    </row>
    <row r="733" spans="2:42">
      <c r="B733" s="267" t="s">
        <v>358</v>
      </c>
      <c r="C733" s="742"/>
      <c r="D733" s="742"/>
      <c r="E733" s="743">
        <v>0</v>
      </c>
      <c r="F733" s="744"/>
      <c r="G733" s="745"/>
      <c r="H733" s="742"/>
      <c r="I733" s="742"/>
      <c r="J733" s="743">
        <v>0</v>
      </c>
      <c r="K733" s="744"/>
      <c r="L733" s="750"/>
      <c r="M733" s="742"/>
      <c r="N733" s="742"/>
      <c r="O733" s="743">
        <v>0</v>
      </c>
      <c r="P733" s="744"/>
      <c r="Q733" s="750"/>
      <c r="R733" s="742"/>
      <c r="S733" s="742"/>
      <c r="T733" s="743">
        <v>0</v>
      </c>
      <c r="U733" s="744"/>
      <c r="V733" s="750"/>
      <c r="W733" s="742"/>
      <c r="X733" s="742"/>
      <c r="Y733" s="743">
        <v>0.5</v>
      </c>
      <c r="Z733" s="744"/>
      <c r="AA733" s="746">
        <f t="shared" si="99"/>
        <v>0.5</v>
      </c>
      <c r="AB733" s="747">
        <f t="shared" si="100"/>
        <v>0</v>
      </c>
      <c r="AC733" s="745"/>
      <c r="AD733" s="742"/>
      <c r="AE733" s="742"/>
      <c r="AF733" s="743"/>
      <c r="AG733" s="746">
        <f t="shared" si="101"/>
        <v>0</v>
      </c>
    </row>
    <row r="734" spans="2:42">
      <c r="B734" s="267" t="s">
        <v>991</v>
      </c>
      <c r="C734" s="742"/>
      <c r="D734" s="742"/>
      <c r="E734" s="743">
        <v>0</v>
      </c>
      <c r="F734" s="744"/>
      <c r="G734" s="745"/>
      <c r="H734" s="742"/>
      <c r="I734" s="742"/>
      <c r="J734" s="743">
        <v>0</v>
      </c>
      <c r="K734" s="744"/>
      <c r="L734" s="750"/>
      <c r="M734" s="742"/>
      <c r="N734" s="742"/>
      <c r="O734" s="743">
        <v>0</v>
      </c>
      <c r="P734" s="744"/>
      <c r="Q734" s="750"/>
      <c r="R734" s="742"/>
      <c r="S734" s="742"/>
      <c r="T734" s="743">
        <v>0</v>
      </c>
      <c r="U734" s="744"/>
      <c r="V734" s="750"/>
      <c r="W734" s="742"/>
      <c r="X734" s="742"/>
      <c r="Y734" s="743">
        <v>0</v>
      </c>
      <c r="Z734" s="744"/>
      <c r="AA734" s="746">
        <f t="shared" si="99"/>
        <v>0</v>
      </c>
      <c r="AB734" s="747">
        <f t="shared" si="100"/>
        <v>0</v>
      </c>
      <c r="AC734" s="745"/>
      <c r="AD734" s="742"/>
      <c r="AE734" s="742"/>
      <c r="AF734" s="743"/>
      <c r="AG734" s="746">
        <f t="shared" si="101"/>
        <v>0</v>
      </c>
    </row>
    <row r="735" spans="2:42">
      <c r="B735" s="267" t="s">
        <v>411</v>
      </c>
      <c r="C735" s="742"/>
      <c r="D735" s="742"/>
      <c r="E735" s="743">
        <v>0</v>
      </c>
      <c r="F735" s="744"/>
      <c r="G735" s="745"/>
      <c r="H735" s="742"/>
      <c r="I735" s="742"/>
      <c r="J735" s="743">
        <v>0</v>
      </c>
      <c r="K735" s="744"/>
      <c r="L735" s="750"/>
      <c r="M735" s="742"/>
      <c r="N735" s="742"/>
      <c r="O735" s="743">
        <v>0</v>
      </c>
      <c r="P735" s="744"/>
      <c r="Q735" s="750"/>
      <c r="R735" s="742"/>
      <c r="S735" s="742"/>
      <c r="T735" s="743">
        <v>0</v>
      </c>
      <c r="U735" s="744"/>
      <c r="V735" s="750"/>
      <c r="W735" s="742"/>
      <c r="X735" s="742"/>
      <c r="Y735" s="743">
        <v>0</v>
      </c>
      <c r="Z735" s="744"/>
      <c r="AA735" s="746">
        <f t="shared" si="99"/>
        <v>0</v>
      </c>
      <c r="AB735" s="747">
        <f t="shared" si="100"/>
        <v>0</v>
      </c>
      <c r="AC735" s="745"/>
      <c r="AD735" s="742"/>
      <c r="AE735" s="742"/>
      <c r="AF735" s="743"/>
      <c r="AG735" s="746">
        <f t="shared" si="101"/>
        <v>0</v>
      </c>
    </row>
    <row r="736" spans="2:42">
      <c r="B736" s="267" t="s">
        <v>361</v>
      </c>
      <c r="C736" s="742"/>
      <c r="D736" s="742"/>
      <c r="E736" s="743">
        <v>0</v>
      </c>
      <c r="F736" s="744"/>
      <c r="G736" s="745"/>
      <c r="H736" s="742"/>
      <c r="I736" s="742"/>
      <c r="J736" s="743">
        <v>0</v>
      </c>
      <c r="K736" s="744"/>
      <c r="L736" s="750"/>
      <c r="M736" s="742"/>
      <c r="N736" s="742"/>
      <c r="O736" s="743">
        <v>0</v>
      </c>
      <c r="P736" s="744"/>
      <c r="Q736" s="750"/>
      <c r="R736" s="742"/>
      <c r="S736" s="742"/>
      <c r="T736" s="743">
        <v>0</v>
      </c>
      <c r="U736" s="744"/>
      <c r="V736" s="750"/>
      <c r="W736" s="742"/>
      <c r="X736" s="742"/>
      <c r="Y736" s="743">
        <v>0</v>
      </c>
      <c r="Z736" s="744"/>
      <c r="AA736" s="746">
        <f t="shared" si="99"/>
        <v>0</v>
      </c>
      <c r="AB736" s="747">
        <f t="shared" si="100"/>
        <v>0</v>
      </c>
      <c r="AC736" s="745"/>
      <c r="AD736" s="742"/>
      <c r="AE736" s="742"/>
      <c r="AF736" s="743"/>
      <c r="AG736" s="746">
        <f t="shared" si="101"/>
        <v>0</v>
      </c>
    </row>
    <row r="737" spans="2:42">
      <c r="B737" s="267" t="s">
        <v>362</v>
      </c>
      <c r="C737" s="742"/>
      <c r="D737" s="751"/>
      <c r="E737" s="743">
        <v>0</v>
      </c>
      <c r="F737" s="744"/>
      <c r="G737" s="745"/>
      <c r="H737" s="742"/>
      <c r="I737" s="751"/>
      <c r="J737" s="743">
        <v>0</v>
      </c>
      <c r="K737" s="744"/>
      <c r="L737" s="750"/>
      <c r="M737" s="742"/>
      <c r="N737" s="751"/>
      <c r="O737" s="743">
        <v>0</v>
      </c>
      <c r="P737" s="744"/>
      <c r="Q737" s="750"/>
      <c r="R737" s="742"/>
      <c r="S737" s="751"/>
      <c r="T737" s="743">
        <v>0</v>
      </c>
      <c r="U737" s="744"/>
      <c r="V737" s="750"/>
      <c r="W737" s="742"/>
      <c r="X737" s="751"/>
      <c r="Y737" s="743">
        <v>0</v>
      </c>
      <c r="Z737" s="744"/>
      <c r="AA737" s="746">
        <f t="shared" si="99"/>
        <v>0</v>
      </c>
      <c r="AB737" s="747">
        <f t="shared" si="100"/>
        <v>0</v>
      </c>
      <c r="AC737" s="745"/>
      <c r="AD737" s="742"/>
      <c r="AE737" s="742"/>
      <c r="AF737" s="743"/>
      <c r="AG737" s="746">
        <f t="shared" si="101"/>
        <v>0</v>
      </c>
    </row>
    <row r="738" spans="2:42">
      <c r="B738" s="437" t="s">
        <v>355</v>
      </c>
      <c r="C738" s="742"/>
      <c r="D738" s="742"/>
      <c r="E738" s="743">
        <v>0</v>
      </c>
      <c r="F738" s="744"/>
      <c r="G738" s="745"/>
      <c r="H738" s="742"/>
      <c r="I738" s="742"/>
      <c r="J738" s="743">
        <v>0</v>
      </c>
      <c r="K738" s="744"/>
      <c r="L738" s="750"/>
      <c r="M738" s="742"/>
      <c r="N738" s="742"/>
      <c r="O738" s="743">
        <v>0</v>
      </c>
      <c r="P738" s="744"/>
      <c r="Q738" s="750"/>
      <c r="R738" s="742"/>
      <c r="S738" s="742"/>
      <c r="T738" s="743">
        <v>0</v>
      </c>
      <c r="U738" s="744"/>
      <c r="V738" s="750"/>
      <c r="W738" s="742"/>
      <c r="X738" s="742"/>
      <c r="Y738" s="743">
        <v>0</v>
      </c>
      <c r="Z738" s="744"/>
      <c r="AA738" s="746">
        <f t="shared" si="99"/>
        <v>0</v>
      </c>
      <c r="AB738" s="747">
        <f t="shared" si="100"/>
        <v>0</v>
      </c>
      <c r="AC738" s="745"/>
      <c r="AD738" s="742"/>
      <c r="AE738" s="742"/>
      <c r="AF738" s="743"/>
      <c r="AG738" s="746">
        <f t="shared" si="101"/>
        <v>0</v>
      </c>
    </row>
    <row r="739" spans="2:42">
      <c r="B739" s="437" t="s">
        <v>356</v>
      </c>
      <c r="C739" s="752"/>
      <c r="D739" s="752"/>
      <c r="E739" s="743">
        <v>0</v>
      </c>
      <c r="F739" s="744"/>
      <c r="G739" s="750"/>
      <c r="H739" s="751"/>
      <c r="I739" s="751"/>
      <c r="J739" s="743">
        <v>0</v>
      </c>
      <c r="K739" s="744"/>
      <c r="L739" s="750"/>
      <c r="M739" s="751"/>
      <c r="N739" s="751"/>
      <c r="O739" s="743">
        <v>0</v>
      </c>
      <c r="P739" s="744"/>
      <c r="Q739" s="750"/>
      <c r="R739" s="751"/>
      <c r="S739" s="751"/>
      <c r="T739" s="743">
        <v>0</v>
      </c>
      <c r="U739" s="744"/>
      <c r="V739" s="750"/>
      <c r="W739" s="751"/>
      <c r="X739" s="751"/>
      <c r="Y739" s="743">
        <v>0</v>
      </c>
      <c r="Z739" s="744"/>
      <c r="AA739" s="746">
        <f t="shared" si="99"/>
        <v>0</v>
      </c>
      <c r="AB739" s="747">
        <f t="shared" si="100"/>
        <v>0</v>
      </c>
      <c r="AC739" s="745"/>
      <c r="AD739" s="742"/>
      <c r="AE739" s="742"/>
      <c r="AF739" s="743"/>
      <c r="AG739" s="746">
        <f t="shared" si="101"/>
        <v>0</v>
      </c>
    </row>
    <row r="740" spans="2:42">
      <c r="B740" s="64" t="s">
        <v>61</v>
      </c>
      <c r="C740" s="753"/>
      <c r="D740" s="753"/>
      <c r="E740" s="754">
        <f>SUM(E719:E739)</f>
        <v>0</v>
      </c>
      <c r="F740" s="744"/>
      <c r="G740" s="753"/>
      <c r="H740" s="753"/>
      <c r="I740" s="753"/>
      <c r="J740" s="754">
        <f>SUM(J719:J739)</f>
        <v>0</v>
      </c>
      <c r="K740" s="744"/>
      <c r="L740" s="753"/>
      <c r="M740" s="753"/>
      <c r="N740" s="753"/>
      <c r="O740" s="754">
        <f>SUM(O719:O739)</f>
        <v>0</v>
      </c>
      <c r="P740" s="744"/>
      <c r="Q740" s="753"/>
      <c r="R740" s="753"/>
      <c r="S740" s="753"/>
      <c r="T740" s="754">
        <f>SUM(T719:T739)</f>
        <v>8</v>
      </c>
      <c r="U740" s="744"/>
      <c r="V740" s="753"/>
      <c r="W740" s="753"/>
      <c r="X740" s="753"/>
      <c r="Y740" s="754">
        <f>SUM(Y719:Y739)</f>
        <v>12</v>
      </c>
      <c r="Z740" s="744"/>
      <c r="AA740" s="746">
        <f>SUM(AA719:AA739)</f>
        <v>20</v>
      </c>
      <c r="AB740" s="746">
        <f>SUM(AB719:AB739)</f>
        <v>0</v>
      </c>
      <c r="AC740" s="745"/>
      <c r="AD740" s="753"/>
      <c r="AE740" s="753"/>
      <c r="AF740" s="746">
        <f>SUM(AF719:AF739)</f>
        <v>0</v>
      </c>
      <c r="AG740" s="746">
        <f>SUM(AG719:AG739)</f>
        <v>0</v>
      </c>
    </row>
    <row r="741" spans="2:42">
      <c r="B741" s="63" t="s">
        <v>1116</v>
      </c>
      <c r="C741" s="742"/>
      <c r="D741" s="742"/>
      <c r="E741" s="743">
        <v>8</v>
      </c>
      <c r="F741" s="744"/>
      <c r="G741" s="745"/>
      <c r="H741" s="742"/>
      <c r="I741" s="742"/>
      <c r="J741" s="743">
        <v>0</v>
      </c>
      <c r="K741" s="744"/>
      <c r="L741" s="745"/>
      <c r="M741" s="742"/>
      <c r="N741" s="742"/>
      <c r="O741" s="743">
        <v>0</v>
      </c>
      <c r="P741" s="744"/>
      <c r="Q741" s="745"/>
      <c r="R741" s="742"/>
      <c r="S741" s="742"/>
      <c r="T741" s="743">
        <v>8</v>
      </c>
      <c r="U741" s="744"/>
      <c r="V741" s="745"/>
      <c r="W741" s="742"/>
      <c r="X741" s="742"/>
      <c r="Y741" s="743">
        <v>8</v>
      </c>
      <c r="Z741" s="744"/>
      <c r="AA741" s="746">
        <f>(E741+J741+O741+T741+Y741)</f>
        <v>24</v>
      </c>
      <c r="AB741" s="747">
        <f>Z741+U741+P741+K741+F741</f>
        <v>0</v>
      </c>
      <c r="AC741" s="745"/>
      <c r="AD741" s="742"/>
      <c r="AE741" s="742"/>
      <c r="AF741" s="743"/>
      <c r="AG741" s="746">
        <f>AF741</f>
        <v>0</v>
      </c>
    </row>
    <row r="742" spans="2:42">
      <c r="B742" s="63" t="s">
        <v>64</v>
      </c>
      <c r="C742" s="742"/>
      <c r="D742" s="742"/>
      <c r="E742" s="743">
        <v>0</v>
      </c>
      <c r="F742" s="743"/>
      <c r="G742" s="755"/>
      <c r="H742" s="742"/>
      <c r="I742" s="742"/>
      <c r="J742" s="743">
        <v>0</v>
      </c>
      <c r="K742" s="743"/>
      <c r="L742" s="750"/>
      <c r="M742" s="742"/>
      <c r="N742" s="742"/>
      <c r="O742" s="743">
        <v>0</v>
      </c>
      <c r="P742" s="743"/>
      <c r="Q742" s="750"/>
      <c r="R742" s="742"/>
      <c r="S742" s="742"/>
      <c r="T742" s="743">
        <v>0</v>
      </c>
      <c r="U742" s="743"/>
      <c r="V742" s="750"/>
      <c r="W742" s="742"/>
      <c r="X742" s="742"/>
      <c r="Y742" s="743">
        <v>0</v>
      </c>
      <c r="Z742" s="743"/>
      <c r="AA742" s="746">
        <f>SUM(E742+J742+O742+T742+Y742+E741+J741+O741+T741+Y741)</f>
        <v>24</v>
      </c>
      <c r="AB742" s="756">
        <f>Z742+U742+P742+K742+F742</f>
        <v>0</v>
      </c>
      <c r="AC742" s="745"/>
      <c r="AD742" s="742" t="s">
        <v>29</v>
      </c>
      <c r="AE742" s="742" t="s">
        <v>29</v>
      </c>
      <c r="AF742" s="743"/>
      <c r="AG742" s="746">
        <f>AF742</f>
        <v>0</v>
      </c>
    </row>
    <row r="743" spans="2:42">
      <c r="B743" s="71" t="s">
        <v>66</v>
      </c>
      <c r="C743" s="757"/>
      <c r="D743" s="757"/>
      <c r="E743" s="755"/>
      <c r="F743" s="755"/>
      <c r="G743" s="755"/>
      <c r="H743" s="755"/>
      <c r="I743" s="755"/>
      <c r="J743" s="755"/>
      <c r="K743" s="755"/>
      <c r="L743" s="755"/>
      <c r="M743" s="755"/>
      <c r="N743" s="755"/>
      <c r="O743" s="755"/>
      <c r="P743" s="755"/>
      <c r="Q743" s="755"/>
      <c r="R743" s="755"/>
      <c r="S743" s="755"/>
      <c r="T743" s="755"/>
      <c r="U743" s="755"/>
      <c r="V743" s="755"/>
      <c r="W743" s="755"/>
      <c r="X743" s="755"/>
      <c r="Y743" s="755"/>
      <c r="Z743" s="755"/>
      <c r="AA743" s="746">
        <f>SUM(AA742:AA742)</f>
        <v>24</v>
      </c>
      <c r="AB743" s="746">
        <f>SUM(AB742:AB742)</f>
        <v>0</v>
      </c>
      <c r="AC743" s="745"/>
      <c r="AD743" s="748"/>
      <c r="AE743" s="748"/>
      <c r="AF743" s="748"/>
      <c r="AG743" s="746">
        <f>SUM(AG742:AG742)</f>
        <v>0</v>
      </c>
      <c r="AK743" s="407"/>
    </row>
    <row r="744" spans="2:42">
      <c r="B744" s="217" t="s">
        <v>67</v>
      </c>
      <c r="C744" s="207">
        <f>C745+C746</f>
        <v>3</v>
      </c>
      <c r="D744" s="207"/>
      <c r="E744" s="209"/>
      <c r="F744" s="209"/>
      <c r="G744" s="207"/>
      <c r="H744" s="209"/>
      <c r="I744" s="209"/>
      <c r="J744" s="209"/>
      <c r="K744" s="209"/>
      <c r="L744" s="207"/>
      <c r="M744" s="207"/>
      <c r="N744" s="207"/>
      <c r="O744" s="207"/>
      <c r="P744" s="209"/>
      <c r="Q744" s="207"/>
      <c r="R744" s="207"/>
      <c r="S744" s="207"/>
      <c r="T744" s="207"/>
      <c r="U744" s="209"/>
      <c r="V744" s="207"/>
      <c r="W744" s="207"/>
      <c r="X744" s="207"/>
      <c r="Y744" s="210"/>
      <c r="Z744" s="209"/>
      <c r="AA744" s="211"/>
      <c r="AB744" s="209"/>
      <c r="AC744" s="211"/>
      <c r="AD744" s="211"/>
      <c r="AE744" s="211"/>
      <c r="AF744" s="211"/>
      <c r="AG744" s="211"/>
      <c r="AK744" s="407"/>
    </row>
    <row r="745" spans="2:42">
      <c r="B745" s="238" t="s">
        <v>68</v>
      </c>
      <c r="C745" s="239">
        <v>0</v>
      </c>
      <c r="D745" s="207"/>
      <c r="E745" s="209"/>
      <c r="F745" s="209"/>
      <c r="G745" s="207"/>
      <c r="H745" s="209"/>
      <c r="I745" s="209"/>
      <c r="J745" s="209"/>
      <c r="K745" s="209"/>
      <c r="L745" s="207"/>
      <c r="M745" s="207"/>
      <c r="N745" s="207"/>
      <c r="O745" s="207"/>
      <c r="P745" s="209"/>
      <c r="Q745" s="207"/>
      <c r="R745" s="207"/>
      <c r="S745" s="207"/>
      <c r="T745" s="207"/>
      <c r="U745" s="209"/>
      <c r="V745" s="207"/>
      <c r="W745" s="207"/>
      <c r="X745" s="207"/>
      <c r="Y745" s="210"/>
      <c r="Z745" s="209"/>
      <c r="AA745" s="211"/>
      <c r="AB745" s="209"/>
      <c r="AC745" s="211"/>
      <c r="AD745" s="211"/>
      <c r="AE745" s="211"/>
      <c r="AF745" s="211"/>
      <c r="AG745" s="211"/>
      <c r="AK745" s="407"/>
    </row>
    <row r="746" spans="2:42">
      <c r="B746" s="238" t="s">
        <v>69</v>
      </c>
      <c r="C746" s="239">
        <v>3</v>
      </c>
      <c r="D746" s="207"/>
      <c r="E746" s="209"/>
      <c r="F746" s="209"/>
      <c r="G746" s="207"/>
      <c r="H746" s="209"/>
      <c r="I746" s="209"/>
      <c r="J746" s="209"/>
      <c r="K746" s="209"/>
      <c r="L746" s="207"/>
      <c r="M746" s="207"/>
      <c r="N746" s="207"/>
      <c r="O746" s="207"/>
      <c r="P746" s="209"/>
      <c r="Q746" s="207"/>
      <c r="R746" s="207"/>
      <c r="S746" s="207"/>
      <c r="T746" s="207"/>
      <c r="U746" s="209"/>
      <c r="V746" s="207"/>
      <c r="W746" s="207"/>
      <c r="X746" s="207"/>
      <c r="Y746" s="210"/>
      <c r="Z746" s="209"/>
      <c r="AA746" s="211"/>
      <c r="AB746" s="209"/>
      <c r="AC746" s="211"/>
      <c r="AD746" s="211"/>
      <c r="AE746" s="211"/>
      <c r="AF746" s="211"/>
      <c r="AG746" s="211"/>
    </row>
    <row r="749" spans="2:42" ht="25.5">
      <c r="B749" s="1518" t="s">
        <v>18</v>
      </c>
      <c r="C749" s="1519">
        <v>45859</v>
      </c>
      <c r="D749" s="1519"/>
      <c r="E749" s="1519" t="s">
        <v>564</v>
      </c>
      <c r="F749" s="1519"/>
      <c r="G749" s="365"/>
      <c r="H749" s="1519">
        <v>45860</v>
      </c>
      <c r="I749" s="1519"/>
      <c r="J749" s="1519" t="s">
        <v>565</v>
      </c>
      <c r="K749" s="1519"/>
      <c r="L749" s="365"/>
      <c r="M749" s="1519">
        <v>45861</v>
      </c>
      <c r="N749" s="1519"/>
      <c r="O749" s="1519" t="s">
        <v>566</v>
      </c>
      <c r="P749" s="1519"/>
      <c r="Q749" s="365"/>
      <c r="R749" s="1519">
        <v>45862</v>
      </c>
      <c r="S749" s="1519"/>
      <c r="T749" s="1519" t="s">
        <v>567</v>
      </c>
      <c r="U749" s="1519"/>
      <c r="V749" s="365"/>
      <c r="W749" s="1519">
        <v>45863</v>
      </c>
      <c r="X749" s="1519"/>
      <c r="Y749" s="1519" t="s">
        <v>568</v>
      </c>
      <c r="Z749" s="1519"/>
      <c r="AA749" s="1517" t="s">
        <v>19</v>
      </c>
      <c r="AB749" s="1517" t="s">
        <v>20</v>
      </c>
      <c r="AC749" s="4"/>
      <c r="AD749" s="1519"/>
      <c r="AE749" s="1519"/>
      <c r="AF749" s="14" t="s">
        <v>1111</v>
      </c>
      <c r="AG749" s="1517" t="s">
        <v>21</v>
      </c>
      <c r="AI749" s="368"/>
      <c r="AK749" s="194" t="s">
        <v>84</v>
      </c>
      <c r="AL749" s="366"/>
      <c r="AM749" s="366"/>
      <c r="AN749" s="366"/>
      <c r="AO749" s="366"/>
      <c r="AP749" s="366"/>
    </row>
    <row r="750" spans="2:42">
      <c r="B750" s="1518"/>
      <c r="C750" s="21" t="s">
        <v>23</v>
      </c>
      <c r="D750" s="21" t="s">
        <v>24</v>
      </c>
      <c r="E750" s="205" t="s">
        <v>25</v>
      </c>
      <c r="F750" s="645" t="s">
        <v>14</v>
      </c>
      <c r="G750" s="4"/>
      <c r="H750" s="21"/>
      <c r="I750" s="21" t="s">
        <v>24</v>
      </c>
      <c r="J750" s="18" t="s">
        <v>25</v>
      </c>
      <c r="K750" s="645" t="s">
        <v>14</v>
      </c>
      <c r="L750" s="4"/>
      <c r="M750" s="21" t="s">
        <v>23</v>
      </c>
      <c r="N750" s="21" t="s">
        <v>24</v>
      </c>
      <c r="O750" s="18" t="s">
        <v>25</v>
      </c>
      <c r="P750" s="645" t="s">
        <v>14</v>
      </c>
      <c r="R750" s="21" t="s">
        <v>23</v>
      </c>
      <c r="S750" s="21" t="s">
        <v>24</v>
      </c>
      <c r="T750" s="18" t="s">
        <v>25</v>
      </c>
      <c r="U750" s="645" t="s">
        <v>14</v>
      </c>
      <c r="W750" s="21" t="s">
        <v>23</v>
      </c>
      <c r="X750" s="21" t="s">
        <v>24</v>
      </c>
      <c r="Y750" s="18" t="s">
        <v>25</v>
      </c>
      <c r="Z750" s="645" t="s">
        <v>14</v>
      </c>
      <c r="AA750" s="1517"/>
      <c r="AB750" s="1517"/>
      <c r="AC750" s="4"/>
      <c r="AD750" s="21" t="s">
        <v>23</v>
      </c>
      <c r="AE750" s="21" t="s">
        <v>24</v>
      </c>
      <c r="AF750" s="18" t="s">
        <v>25</v>
      </c>
      <c r="AG750" s="1517"/>
      <c r="AI750" s="368"/>
      <c r="AJ750" s="367"/>
      <c r="AK750" s="188" t="s">
        <v>26</v>
      </c>
      <c r="AL750" s="196">
        <f>AA772</f>
        <v>9.5</v>
      </c>
      <c r="AM750" s="510">
        <v>40.31</v>
      </c>
      <c r="AN750" s="510">
        <f t="shared" ref="AN750:AN755" si="102">AL750*AM750</f>
        <v>382.94500000000005</v>
      </c>
    </row>
    <row r="751" spans="2:42">
      <c r="B751" s="47" t="s">
        <v>515</v>
      </c>
      <c r="C751" s="742"/>
      <c r="D751" s="742"/>
      <c r="E751" s="743">
        <v>0</v>
      </c>
      <c r="F751" s="744"/>
      <c r="G751" s="745"/>
      <c r="H751" s="742"/>
      <c r="I751" s="742"/>
      <c r="J751" s="743">
        <v>0</v>
      </c>
      <c r="K751" s="744"/>
      <c r="L751" s="745"/>
      <c r="M751" s="742"/>
      <c r="N751" s="742"/>
      <c r="O751" s="743">
        <v>0</v>
      </c>
      <c r="P751" s="744"/>
      <c r="Q751" s="745"/>
      <c r="R751" s="742"/>
      <c r="S751" s="742"/>
      <c r="T751" s="743">
        <v>0</v>
      </c>
      <c r="U751" s="744"/>
      <c r="V751" s="745"/>
      <c r="W751" s="742"/>
      <c r="X751" s="742"/>
      <c r="Y751" s="743">
        <v>0</v>
      </c>
      <c r="Z751" s="744"/>
      <c r="AA751" s="746">
        <f t="shared" ref="AA751:AA771" si="103">(E751+J751+O751+T751+Y751)</f>
        <v>0</v>
      </c>
      <c r="AB751" s="747">
        <f t="shared" ref="AB751:AB771" si="104">Z751+U751+P751+K751+F751</f>
        <v>0</v>
      </c>
      <c r="AC751" s="745"/>
      <c r="AD751" s="748"/>
      <c r="AE751" s="748"/>
      <c r="AF751" s="743"/>
      <c r="AG751" s="746">
        <f t="shared" ref="AG751:AG771" si="105">AF751</f>
        <v>0</v>
      </c>
      <c r="AI751" s="368"/>
      <c r="AJ751" s="367"/>
      <c r="AK751" s="188" t="s">
        <v>30</v>
      </c>
      <c r="AL751" s="196">
        <v>0</v>
      </c>
      <c r="AM751" s="511">
        <v>60.465000000000003</v>
      </c>
      <c r="AN751" s="510">
        <f t="shared" si="102"/>
        <v>0</v>
      </c>
    </row>
    <row r="752" spans="2:42">
      <c r="B752" s="47" t="s">
        <v>1112</v>
      </c>
      <c r="C752" s="742"/>
      <c r="D752" s="742"/>
      <c r="E752" s="743">
        <v>0</v>
      </c>
      <c r="F752" s="744"/>
      <c r="G752" s="745"/>
      <c r="H752" s="742"/>
      <c r="I752" s="742"/>
      <c r="J752" s="743">
        <v>0</v>
      </c>
      <c r="K752" s="744"/>
      <c r="L752" s="745"/>
      <c r="M752" s="742"/>
      <c r="N752" s="742"/>
      <c r="O752" s="743">
        <v>0</v>
      </c>
      <c r="P752" s="744"/>
      <c r="Q752" s="745"/>
      <c r="R752" s="742"/>
      <c r="S752" s="742"/>
      <c r="T752" s="743">
        <v>0</v>
      </c>
      <c r="U752" s="744"/>
      <c r="V752" s="745"/>
      <c r="W752" s="742"/>
      <c r="X752" s="742"/>
      <c r="Y752" s="743">
        <v>0</v>
      </c>
      <c r="Z752" s="744"/>
      <c r="AA752" s="746">
        <f t="shared" si="103"/>
        <v>0</v>
      </c>
      <c r="AB752" s="747">
        <f t="shared" si="104"/>
        <v>0</v>
      </c>
      <c r="AC752" s="745"/>
      <c r="AD752" s="742"/>
      <c r="AE752" s="742"/>
      <c r="AF752" s="743"/>
      <c r="AG752" s="746">
        <f t="shared" si="105"/>
        <v>0</v>
      </c>
      <c r="AH752" s="175"/>
      <c r="AI752" s="402"/>
      <c r="AJ752" s="367"/>
      <c r="AK752" s="188" t="s">
        <v>32</v>
      </c>
      <c r="AL752" s="196">
        <f>AG772</f>
        <v>0</v>
      </c>
      <c r="AM752" s="510">
        <v>60.465000000000003</v>
      </c>
      <c r="AN752" s="510">
        <f t="shared" si="102"/>
        <v>0</v>
      </c>
    </row>
    <row r="753" spans="2:42">
      <c r="B753" s="436" t="s">
        <v>972</v>
      </c>
      <c r="C753" s="742"/>
      <c r="D753" s="742"/>
      <c r="E753" s="743">
        <v>0</v>
      </c>
      <c r="F753" s="744"/>
      <c r="G753" s="745"/>
      <c r="H753" s="742"/>
      <c r="I753" s="742"/>
      <c r="J753" s="743">
        <v>0</v>
      </c>
      <c r="K753" s="744"/>
      <c r="L753" s="745"/>
      <c r="M753" s="742"/>
      <c r="N753" s="742"/>
      <c r="O753" s="743">
        <v>0</v>
      </c>
      <c r="P753" s="744"/>
      <c r="Q753" s="745"/>
      <c r="R753" s="742"/>
      <c r="S753" s="742"/>
      <c r="T753" s="743">
        <v>0</v>
      </c>
      <c r="U753" s="744"/>
      <c r="V753" s="745"/>
      <c r="W753" s="742"/>
      <c r="X753" s="742"/>
      <c r="Y753" s="743">
        <v>0</v>
      </c>
      <c r="Z753" s="744"/>
      <c r="AA753" s="746">
        <f t="shared" si="103"/>
        <v>0</v>
      </c>
      <c r="AB753" s="747">
        <f t="shared" si="104"/>
        <v>0</v>
      </c>
      <c r="AC753" s="745"/>
      <c r="AD753" s="742"/>
      <c r="AE753" s="742"/>
      <c r="AF753" s="743"/>
      <c r="AG753" s="746">
        <f t="shared" si="105"/>
        <v>0</v>
      </c>
      <c r="AH753" s="175"/>
      <c r="AJ753" s="401"/>
      <c r="AK753" s="403" t="s">
        <v>213</v>
      </c>
      <c r="AL753" s="404">
        <f>AA775</f>
        <v>28</v>
      </c>
      <c r="AM753" s="510">
        <v>53.05</v>
      </c>
      <c r="AN753" s="510">
        <f t="shared" si="102"/>
        <v>1485.3999999999999</v>
      </c>
      <c r="AO753" s="405"/>
      <c r="AP753" s="405"/>
    </row>
    <row r="754" spans="2:42">
      <c r="B754" s="47" t="s">
        <v>974</v>
      </c>
      <c r="C754" s="742"/>
      <c r="D754" s="742"/>
      <c r="E754" s="743">
        <v>0</v>
      </c>
      <c r="F754" s="744"/>
      <c r="G754" s="745"/>
      <c r="H754" s="742"/>
      <c r="I754" s="742"/>
      <c r="J754" s="743">
        <v>0</v>
      </c>
      <c r="K754" s="744"/>
      <c r="L754" s="745"/>
      <c r="M754" s="742"/>
      <c r="N754" s="742"/>
      <c r="O754" s="743">
        <v>0</v>
      </c>
      <c r="P754" s="744"/>
      <c r="Q754" s="745"/>
      <c r="R754" s="742"/>
      <c r="S754" s="742"/>
      <c r="T754" s="743">
        <v>0</v>
      </c>
      <c r="U754" s="744"/>
      <c r="V754" s="745"/>
      <c r="W754" s="742"/>
      <c r="X754" s="742"/>
      <c r="Y754" s="743">
        <v>0</v>
      </c>
      <c r="Z754" s="744"/>
      <c r="AA754" s="746">
        <f t="shared" si="103"/>
        <v>0</v>
      </c>
      <c r="AB754" s="747">
        <f t="shared" si="104"/>
        <v>0</v>
      </c>
      <c r="AC754" s="745"/>
      <c r="AD754" s="742"/>
      <c r="AE754" s="742"/>
      <c r="AF754" s="743"/>
      <c r="AG754" s="746">
        <f t="shared" si="105"/>
        <v>0</v>
      </c>
      <c r="AI754" s="368"/>
      <c r="AK754" s="188" t="s">
        <v>36</v>
      </c>
      <c r="AL754" s="196">
        <f>AB775</f>
        <v>0</v>
      </c>
      <c r="AM754" s="510">
        <v>79.574999999999989</v>
      </c>
      <c r="AN754" s="510">
        <f t="shared" si="102"/>
        <v>0</v>
      </c>
    </row>
    <row r="755" spans="2:42">
      <c r="B755" s="374" t="s">
        <v>998</v>
      </c>
      <c r="C755" s="742"/>
      <c r="D755" s="742"/>
      <c r="E755" s="743">
        <v>0</v>
      </c>
      <c r="F755" s="744"/>
      <c r="G755" s="745"/>
      <c r="H755" s="742">
        <v>0.375</v>
      </c>
      <c r="I755" s="742">
        <v>0.25</v>
      </c>
      <c r="J755" s="743">
        <v>8</v>
      </c>
      <c r="K755" s="744"/>
      <c r="L755" s="745"/>
      <c r="M755" s="742"/>
      <c r="N755" s="742"/>
      <c r="O755" s="743">
        <v>0</v>
      </c>
      <c r="P755" s="744"/>
      <c r="Q755" s="745"/>
      <c r="R755" s="742"/>
      <c r="S755" s="742"/>
      <c r="T755" s="743">
        <v>0</v>
      </c>
      <c r="U755" s="744"/>
      <c r="V755" s="745"/>
      <c r="W755" s="742"/>
      <c r="X755" s="742"/>
      <c r="Y755" s="743">
        <v>0</v>
      </c>
      <c r="Z755" s="744"/>
      <c r="AA755" s="746">
        <f t="shared" si="103"/>
        <v>8</v>
      </c>
      <c r="AB755" s="747">
        <f t="shared" si="104"/>
        <v>0</v>
      </c>
      <c r="AC755" s="745"/>
      <c r="AD755" s="742"/>
      <c r="AE755" s="742"/>
      <c r="AF755" s="743"/>
      <c r="AG755" s="746">
        <f t="shared" si="105"/>
        <v>0</v>
      </c>
      <c r="AK755" s="188" t="s">
        <v>38</v>
      </c>
      <c r="AL755" s="196">
        <f>AG775</f>
        <v>0</v>
      </c>
      <c r="AM755" s="510">
        <v>79.574999999999989</v>
      </c>
      <c r="AN755" s="510">
        <f t="shared" si="102"/>
        <v>0</v>
      </c>
    </row>
    <row r="756" spans="2:42">
      <c r="B756" s="47" t="s">
        <v>977</v>
      </c>
      <c r="C756" s="742"/>
      <c r="D756" s="742"/>
      <c r="E756" s="743">
        <v>0</v>
      </c>
      <c r="F756" s="744"/>
      <c r="G756" s="745"/>
      <c r="H756" s="742"/>
      <c r="I756" s="742"/>
      <c r="J756" s="743">
        <v>0</v>
      </c>
      <c r="K756" s="744"/>
      <c r="L756" s="745"/>
      <c r="M756" s="742"/>
      <c r="N756" s="742"/>
      <c r="O756" s="743">
        <v>0</v>
      </c>
      <c r="P756" s="744"/>
      <c r="Q756" s="745"/>
      <c r="R756" s="742"/>
      <c r="S756" s="742"/>
      <c r="T756" s="743">
        <v>0</v>
      </c>
      <c r="U756" s="744"/>
      <c r="V756" s="745"/>
      <c r="W756" s="742"/>
      <c r="X756" s="742"/>
      <c r="Y756" s="743">
        <v>0</v>
      </c>
      <c r="Z756" s="744"/>
      <c r="AA756" s="746">
        <f t="shared" si="103"/>
        <v>0</v>
      </c>
      <c r="AB756" s="747">
        <f t="shared" si="104"/>
        <v>0</v>
      </c>
      <c r="AC756" s="745"/>
      <c r="AD756" s="742"/>
      <c r="AE756" s="742"/>
      <c r="AF756" s="743"/>
      <c r="AG756" s="746">
        <f t="shared" si="105"/>
        <v>0</v>
      </c>
      <c r="AN756" s="510">
        <f>SUM(AN750:AN755)</f>
        <v>1868.3449999999998</v>
      </c>
    </row>
    <row r="757" spans="2:42">
      <c r="B757" s="47" t="s">
        <v>519</v>
      </c>
      <c r="C757" s="742"/>
      <c r="D757" s="742"/>
      <c r="E757" s="743">
        <v>0</v>
      </c>
      <c r="F757" s="744"/>
      <c r="G757" s="745"/>
      <c r="H757" s="742"/>
      <c r="I757" s="742"/>
      <c r="J757" s="743">
        <v>0</v>
      </c>
      <c r="K757" s="744"/>
      <c r="L757" s="745"/>
      <c r="M757" s="742"/>
      <c r="N757" s="742"/>
      <c r="O757" s="743">
        <v>0</v>
      </c>
      <c r="P757" s="744"/>
      <c r="Q757" s="745"/>
      <c r="R757" s="742"/>
      <c r="S757" s="742"/>
      <c r="T757" s="743">
        <v>0</v>
      </c>
      <c r="U757" s="744"/>
      <c r="V757" s="745"/>
      <c r="W757" s="742"/>
      <c r="X757" s="742"/>
      <c r="Y757" s="743">
        <v>0</v>
      </c>
      <c r="Z757" s="744"/>
      <c r="AA757" s="746">
        <f t="shared" si="103"/>
        <v>0</v>
      </c>
      <c r="AB757" s="747">
        <f t="shared" si="104"/>
        <v>0</v>
      </c>
      <c r="AC757" s="745"/>
      <c r="AD757" s="742"/>
      <c r="AE757" s="742"/>
      <c r="AF757" s="743"/>
      <c r="AG757" s="746">
        <f t="shared" si="105"/>
        <v>0</v>
      </c>
    </row>
    <row r="758" spans="2:42">
      <c r="B758" s="47" t="s">
        <v>999</v>
      </c>
      <c r="C758" s="742"/>
      <c r="D758" s="749"/>
      <c r="E758" s="743">
        <v>0</v>
      </c>
      <c r="F758" s="744"/>
      <c r="G758" s="745"/>
      <c r="H758" s="742"/>
      <c r="I758" s="742"/>
      <c r="J758" s="743">
        <v>0</v>
      </c>
      <c r="K758" s="744"/>
      <c r="L758" s="745"/>
      <c r="M758" s="742"/>
      <c r="N758" s="742"/>
      <c r="O758" s="743">
        <v>0</v>
      </c>
      <c r="P758" s="744"/>
      <c r="Q758" s="745"/>
      <c r="R758" s="742"/>
      <c r="S758" s="742"/>
      <c r="T758" s="743">
        <v>0</v>
      </c>
      <c r="U758" s="744"/>
      <c r="V758" s="745"/>
      <c r="W758" s="742"/>
      <c r="X758" s="742"/>
      <c r="Y758" s="743">
        <v>0</v>
      </c>
      <c r="Z758" s="744"/>
      <c r="AA758" s="746">
        <f t="shared" si="103"/>
        <v>0</v>
      </c>
      <c r="AB758" s="747">
        <f t="shared" si="104"/>
        <v>0</v>
      </c>
      <c r="AC758" s="745"/>
      <c r="AD758" s="742"/>
      <c r="AE758" s="742"/>
      <c r="AF758" s="743"/>
      <c r="AG758" s="746">
        <f t="shared" si="105"/>
        <v>0</v>
      </c>
      <c r="AK758" s="192" t="s">
        <v>1115</v>
      </c>
      <c r="AL758" s="189">
        <f>C776</f>
        <v>2</v>
      </c>
    </row>
    <row r="759" spans="2:42">
      <c r="B759" s="47" t="s">
        <v>1113</v>
      </c>
      <c r="C759" s="742"/>
      <c r="D759" s="742"/>
      <c r="E759" s="743">
        <v>0</v>
      </c>
      <c r="F759" s="744"/>
      <c r="G759" s="745"/>
      <c r="H759" s="742"/>
      <c r="I759" s="742"/>
      <c r="J759" s="743">
        <v>0</v>
      </c>
      <c r="K759" s="744"/>
      <c r="L759" s="745"/>
      <c r="M759" s="742"/>
      <c r="N759" s="742"/>
      <c r="O759" s="743">
        <v>0</v>
      </c>
      <c r="P759" s="744"/>
      <c r="Q759" s="745"/>
      <c r="R759" s="742"/>
      <c r="S759" s="742"/>
      <c r="T759" s="743">
        <v>0</v>
      </c>
      <c r="U759" s="744"/>
      <c r="V759" s="745"/>
      <c r="W759" s="742"/>
      <c r="X759" s="742"/>
      <c r="Y759" s="743">
        <v>0</v>
      </c>
      <c r="Z759" s="744"/>
      <c r="AA759" s="746">
        <f t="shared" si="103"/>
        <v>0</v>
      </c>
      <c r="AB759" s="747">
        <f t="shared" si="104"/>
        <v>0</v>
      </c>
      <c r="AC759" s="745"/>
      <c r="AD759" s="742"/>
      <c r="AE759" s="742"/>
      <c r="AF759" s="743"/>
      <c r="AG759" s="746">
        <f t="shared" si="105"/>
        <v>0</v>
      </c>
    </row>
    <row r="760" spans="2:42">
      <c r="B760" s="502" t="s">
        <v>483</v>
      </c>
      <c r="C760" s="742"/>
      <c r="D760" s="742"/>
      <c r="E760" s="743">
        <v>0</v>
      </c>
      <c r="F760" s="744"/>
      <c r="G760" s="745"/>
      <c r="H760" s="742"/>
      <c r="I760" s="742"/>
      <c r="J760" s="743">
        <v>0</v>
      </c>
      <c r="K760" s="744"/>
      <c r="L760" s="745"/>
      <c r="M760" s="742"/>
      <c r="N760" s="742"/>
      <c r="O760" s="743">
        <v>0</v>
      </c>
      <c r="P760" s="744"/>
      <c r="Q760" s="745"/>
      <c r="R760" s="742"/>
      <c r="S760" s="742"/>
      <c r="T760" s="743">
        <v>0</v>
      </c>
      <c r="U760" s="744"/>
      <c r="V760" s="745"/>
      <c r="W760" s="742"/>
      <c r="X760" s="742"/>
      <c r="Y760" s="743">
        <v>0</v>
      </c>
      <c r="Z760" s="744"/>
      <c r="AA760" s="746">
        <f t="shared" si="103"/>
        <v>0</v>
      </c>
      <c r="AB760" s="747">
        <f t="shared" si="104"/>
        <v>0</v>
      </c>
      <c r="AC760" s="745"/>
      <c r="AD760" s="742"/>
      <c r="AE760" s="742"/>
      <c r="AF760" s="743"/>
      <c r="AG760" s="746">
        <f t="shared" si="105"/>
        <v>0</v>
      </c>
    </row>
    <row r="761" spans="2:42">
      <c r="B761" s="502" t="s">
        <v>483</v>
      </c>
      <c r="C761" s="742"/>
      <c r="D761" s="742"/>
      <c r="E761" s="743">
        <v>0</v>
      </c>
      <c r="F761" s="744"/>
      <c r="G761" s="745"/>
      <c r="H761" s="742"/>
      <c r="I761" s="742"/>
      <c r="J761" s="743">
        <v>0</v>
      </c>
      <c r="K761" s="744"/>
      <c r="L761" s="745"/>
      <c r="M761" s="742"/>
      <c r="N761" s="742"/>
      <c r="O761" s="743">
        <v>0</v>
      </c>
      <c r="P761" s="744"/>
      <c r="Q761" s="745"/>
      <c r="R761" s="742"/>
      <c r="S761" s="742"/>
      <c r="T761" s="743">
        <v>0</v>
      </c>
      <c r="U761" s="744"/>
      <c r="V761" s="745"/>
      <c r="W761" s="742"/>
      <c r="X761" s="742"/>
      <c r="Y761" s="743">
        <v>0</v>
      </c>
      <c r="Z761" s="744"/>
      <c r="AA761" s="746">
        <f t="shared" si="103"/>
        <v>0</v>
      </c>
      <c r="AB761" s="747">
        <f t="shared" si="104"/>
        <v>0</v>
      </c>
      <c r="AC761" s="745"/>
      <c r="AD761" s="742"/>
      <c r="AE761" s="742"/>
      <c r="AF761" s="743"/>
      <c r="AG761" s="746">
        <f t="shared" si="105"/>
        <v>0</v>
      </c>
    </row>
    <row r="762" spans="2:42">
      <c r="B762" s="502" t="s">
        <v>484</v>
      </c>
      <c r="C762" s="742"/>
      <c r="D762" s="742"/>
      <c r="E762" s="743">
        <v>0</v>
      </c>
      <c r="F762" s="744"/>
      <c r="G762" s="745"/>
      <c r="H762" s="742"/>
      <c r="I762" s="742"/>
      <c r="J762" s="743">
        <v>0</v>
      </c>
      <c r="K762" s="744"/>
      <c r="L762" s="745"/>
      <c r="M762" s="742"/>
      <c r="N762" s="742"/>
      <c r="O762" s="743">
        <v>0</v>
      </c>
      <c r="P762" s="744"/>
      <c r="Q762" s="745"/>
      <c r="R762" s="742"/>
      <c r="S762" s="742"/>
      <c r="T762" s="743">
        <v>0</v>
      </c>
      <c r="U762" s="744"/>
      <c r="V762" s="745"/>
      <c r="W762" s="742"/>
      <c r="X762" s="742"/>
      <c r="Y762" s="743">
        <v>0</v>
      </c>
      <c r="Z762" s="744"/>
      <c r="AA762" s="746">
        <f t="shared" si="103"/>
        <v>0</v>
      </c>
      <c r="AB762" s="747">
        <f t="shared" si="104"/>
        <v>0</v>
      </c>
      <c r="AC762" s="745"/>
      <c r="AD762" s="742"/>
      <c r="AE762" s="742"/>
      <c r="AF762" s="743"/>
      <c r="AG762" s="746">
        <f t="shared" si="105"/>
        <v>0</v>
      </c>
    </row>
    <row r="763" spans="2:42">
      <c r="B763" s="502" t="s">
        <v>485</v>
      </c>
      <c r="C763" s="742"/>
      <c r="D763" s="742"/>
      <c r="E763" s="743">
        <v>0</v>
      </c>
      <c r="F763" s="744"/>
      <c r="G763" s="745"/>
      <c r="H763" s="742"/>
      <c r="I763" s="742"/>
      <c r="J763" s="743">
        <v>0</v>
      </c>
      <c r="K763" s="744"/>
      <c r="L763" s="745"/>
      <c r="M763" s="742"/>
      <c r="N763" s="742"/>
      <c r="O763" s="743">
        <v>0</v>
      </c>
      <c r="P763" s="744"/>
      <c r="Q763" s="745"/>
      <c r="R763" s="742"/>
      <c r="S763" s="742"/>
      <c r="T763" s="743">
        <v>0</v>
      </c>
      <c r="U763" s="744"/>
      <c r="V763" s="745"/>
      <c r="W763" s="742"/>
      <c r="X763" s="742"/>
      <c r="Y763" s="743">
        <v>0</v>
      </c>
      <c r="Z763" s="744"/>
      <c r="AA763" s="746">
        <f t="shared" si="103"/>
        <v>0</v>
      </c>
      <c r="AB763" s="747">
        <f t="shared" si="104"/>
        <v>0</v>
      </c>
      <c r="AC763" s="745"/>
      <c r="AD763" s="742"/>
      <c r="AE763" s="742"/>
      <c r="AF763" s="743"/>
      <c r="AG763" s="746">
        <f t="shared" si="105"/>
        <v>0</v>
      </c>
    </row>
    <row r="764" spans="2:42">
      <c r="B764" s="502" t="s">
        <v>1129</v>
      </c>
      <c r="C764" s="742"/>
      <c r="D764" s="742"/>
      <c r="E764" s="743">
        <v>0</v>
      </c>
      <c r="F764" s="744"/>
      <c r="G764" s="745"/>
      <c r="H764" s="742"/>
      <c r="I764" s="742"/>
      <c r="J764" s="743">
        <v>0</v>
      </c>
      <c r="K764" s="744"/>
      <c r="L764" s="745"/>
      <c r="M764" s="742"/>
      <c r="N764" s="742"/>
      <c r="O764" s="743">
        <v>0</v>
      </c>
      <c r="P764" s="744"/>
      <c r="Q764" s="745"/>
      <c r="R764" s="742"/>
      <c r="S764" s="742"/>
      <c r="T764" s="743">
        <v>0</v>
      </c>
      <c r="U764" s="744"/>
      <c r="V764" s="745"/>
      <c r="W764" s="742"/>
      <c r="X764" s="742"/>
      <c r="Y764" s="743">
        <v>0</v>
      </c>
      <c r="Z764" s="744"/>
      <c r="AA764" s="746">
        <f t="shared" si="103"/>
        <v>0</v>
      </c>
      <c r="AB764" s="747">
        <f t="shared" si="104"/>
        <v>0</v>
      </c>
      <c r="AC764" s="745"/>
      <c r="AD764" s="742"/>
      <c r="AE764" s="742"/>
      <c r="AF764" s="743"/>
      <c r="AG764" s="746">
        <f t="shared" si="105"/>
        <v>0</v>
      </c>
    </row>
    <row r="765" spans="2:42">
      <c r="B765" s="267" t="s">
        <v>358</v>
      </c>
      <c r="C765" s="742"/>
      <c r="D765" s="742"/>
      <c r="E765" s="743">
        <v>0</v>
      </c>
      <c r="F765" s="744"/>
      <c r="G765" s="745"/>
      <c r="H765" s="742"/>
      <c r="I765" s="742"/>
      <c r="J765" s="743">
        <v>0.5</v>
      </c>
      <c r="K765" s="744"/>
      <c r="L765" s="750"/>
      <c r="M765" s="742"/>
      <c r="N765" s="742"/>
      <c r="O765" s="743">
        <v>0</v>
      </c>
      <c r="P765" s="744"/>
      <c r="Q765" s="750"/>
      <c r="R765" s="742"/>
      <c r="S765" s="742"/>
      <c r="T765" s="743">
        <v>0</v>
      </c>
      <c r="U765" s="744"/>
      <c r="V765" s="750"/>
      <c r="W765" s="742"/>
      <c r="X765" s="742"/>
      <c r="Y765" s="743">
        <v>1</v>
      </c>
      <c r="Z765" s="744"/>
      <c r="AA765" s="746">
        <f t="shared" si="103"/>
        <v>1.5</v>
      </c>
      <c r="AB765" s="747">
        <f t="shared" si="104"/>
        <v>0</v>
      </c>
      <c r="AC765" s="745"/>
      <c r="AD765" s="742"/>
      <c r="AE765" s="742"/>
      <c r="AF765" s="743"/>
      <c r="AG765" s="746">
        <f t="shared" si="105"/>
        <v>0</v>
      </c>
    </row>
    <row r="766" spans="2:42">
      <c r="B766" s="267" t="s">
        <v>991</v>
      </c>
      <c r="C766" s="742"/>
      <c r="D766" s="742"/>
      <c r="E766" s="743">
        <v>0</v>
      </c>
      <c r="F766" s="744"/>
      <c r="G766" s="745"/>
      <c r="H766" s="742"/>
      <c r="I766" s="742"/>
      <c r="J766" s="743">
        <v>0</v>
      </c>
      <c r="K766" s="744"/>
      <c r="L766" s="750"/>
      <c r="M766" s="742"/>
      <c r="N766" s="742"/>
      <c r="O766" s="743">
        <v>0</v>
      </c>
      <c r="P766" s="744"/>
      <c r="Q766" s="750"/>
      <c r="R766" s="742"/>
      <c r="S766" s="742"/>
      <c r="T766" s="743">
        <v>0</v>
      </c>
      <c r="U766" s="744"/>
      <c r="V766" s="750"/>
      <c r="W766" s="742"/>
      <c r="X766" s="742"/>
      <c r="Y766" s="743">
        <v>0</v>
      </c>
      <c r="Z766" s="744"/>
      <c r="AA766" s="746">
        <f t="shared" si="103"/>
        <v>0</v>
      </c>
      <c r="AB766" s="747">
        <f t="shared" si="104"/>
        <v>0</v>
      </c>
      <c r="AC766" s="745"/>
      <c r="AD766" s="742"/>
      <c r="AE766" s="742"/>
      <c r="AF766" s="743"/>
      <c r="AG766" s="746">
        <f t="shared" si="105"/>
        <v>0</v>
      </c>
    </row>
    <row r="767" spans="2:42">
      <c r="B767" s="267" t="s">
        <v>411</v>
      </c>
      <c r="C767" s="742"/>
      <c r="D767" s="742"/>
      <c r="E767" s="743">
        <v>0</v>
      </c>
      <c r="F767" s="744"/>
      <c r="G767" s="745"/>
      <c r="H767" s="742"/>
      <c r="I767" s="742"/>
      <c r="J767" s="743">
        <v>0</v>
      </c>
      <c r="K767" s="744"/>
      <c r="L767" s="750"/>
      <c r="M767" s="742"/>
      <c r="N767" s="742"/>
      <c r="O767" s="743">
        <v>0</v>
      </c>
      <c r="P767" s="744"/>
      <c r="Q767" s="750"/>
      <c r="R767" s="742"/>
      <c r="S767" s="742"/>
      <c r="T767" s="743">
        <v>0</v>
      </c>
      <c r="U767" s="744"/>
      <c r="V767" s="750"/>
      <c r="W767" s="742"/>
      <c r="X767" s="742"/>
      <c r="Y767" s="743">
        <v>0</v>
      </c>
      <c r="Z767" s="744"/>
      <c r="AA767" s="746">
        <f t="shared" si="103"/>
        <v>0</v>
      </c>
      <c r="AB767" s="747">
        <f t="shared" si="104"/>
        <v>0</v>
      </c>
      <c r="AC767" s="745"/>
      <c r="AD767" s="742"/>
      <c r="AE767" s="742"/>
      <c r="AF767" s="743"/>
      <c r="AG767" s="746">
        <f t="shared" si="105"/>
        <v>0</v>
      </c>
    </row>
    <row r="768" spans="2:42">
      <c r="B768" s="267" t="s">
        <v>361</v>
      </c>
      <c r="C768" s="742"/>
      <c r="D768" s="742"/>
      <c r="E768" s="743">
        <v>0</v>
      </c>
      <c r="F768" s="744"/>
      <c r="G768" s="745"/>
      <c r="H768" s="742"/>
      <c r="I768" s="742"/>
      <c r="J768" s="743">
        <v>0</v>
      </c>
      <c r="K768" s="744"/>
      <c r="L768" s="750"/>
      <c r="M768" s="742"/>
      <c r="N768" s="742"/>
      <c r="O768" s="743">
        <v>0</v>
      </c>
      <c r="P768" s="744"/>
      <c r="Q768" s="750"/>
      <c r="R768" s="742"/>
      <c r="S768" s="742"/>
      <c r="T768" s="743">
        <v>0</v>
      </c>
      <c r="U768" s="744"/>
      <c r="V768" s="750"/>
      <c r="W768" s="742"/>
      <c r="X768" s="742"/>
      <c r="Y768" s="743">
        <v>0</v>
      </c>
      <c r="Z768" s="744"/>
      <c r="AA768" s="746">
        <f t="shared" si="103"/>
        <v>0</v>
      </c>
      <c r="AB768" s="747">
        <f t="shared" si="104"/>
        <v>0</v>
      </c>
      <c r="AC768" s="745"/>
      <c r="AD768" s="742"/>
      <c r="AE768" s="742"/>
      <c r="AF768" s="743"/>
      <c r="AG768" s="746">
        <f t="shared" si="105"/>
        <v>0</v>
      </c>
    </row>
    <row r="769" spans="2:42">
      <c r="B769" s="267" t="s">
        <v>362</v>
      </c>
      <c r="C769" s="742"/>
      <c r="D769" s="751"/>
      <c r="E769" s="743">
        <v>0</v>
      </c>
      <c r="F769" s="744"/>
      <c r="G769" s="745"/>
      <c r="H769" s="742"/>
      <c r="I769" s="751"/>
      <c r="J769" s="743">
        <v>0</v>
      </c>
      <c r="K769" s="744"/>
      <c r="L769" s="750"/>
      <c r="M769" s="742"/>
      <c r="N769" s="751"/>
      <c r="O769" s="743">
        <v>0</v>
      </c>
      <c r="P769" s="744"/>
      <c r="Q769" s="750"/>
      <c r="R769" s="742"/>
      <c r="S769" s="751"/>
      <c r="T769" s="743">
        <v>0</v>
      </c>
      <c r="U769" s="744"/>
      <c r="V769" s="750"/>
      <c r="W769" s="742"/>
      <c r="X769" s="751"/>
      <c r="Y769" s="743">
        <v>0</v>
      </c>
      <c r="Z769" s="744"/>
      <c r="AA769" s="746">
        <f t="shared" si="103"/>
        <v>0</v>
      </c>
      <c r="AB769" s="747">
        <f t="shared" si="104"/>
        <v>0</v>
      </c>
      <c r="AC769" s="745"/>
      <c r="AD769" s="742"/>
      <c r="AE769" s="742"/>
      <c r="AF769" s="743"/>
      <c r="AG769" s="746">
        <f t="shared" si="105"/>
        <v>0</v>
      </c>
    </row>
    <row r="770" spans="2:42">
      <c r="B770" s="437" t="s">
        <v>355</v>
      </c>
      <c r="C770" s="742"/>
      <c r="D770" s="742"/>
      <c r="E770" s="743">
        <v>0</v>
      </c>
      <c r="F770" s="744"/>
      <c r="G770" s="745"/>
      <c r="H770" s="742"/>
      <c r="I770" s="742"/>
      <c r="J770" s="743">
        <v>0</v>
      </c>
      <c r="K770" s="744"/>
      <c r="L770" s="750"/>
      <c r="M770" s="742"/>
      <c r="N770" s="742"/>
      <c r="O770" s="743">
        <v>0</v>
      </c>
      <c r="P770" s="744"/>
      <c r="Q770" s="750"/>
      <c r="R770" s="742"/>
      <c r="S770" s="742"/>
      <c r="T770" s="743">
        <v>0</v>
      </c>
      <c r="U770" s="744"/>
      <c r="V770" s="750"/>
      <c r="W770" s="742"/>
      <c r="X770" s="742"/>
      <c r="Y770" s="743">
        <v>0</v>
      </c>
      <c r="Z770" s="744"/>
      <c r="AA770" s="746">
        <f t="shared" si="103"/>
        <v>0</v>
      </c>
      <c r="AB770" s="747">
        <f t="shared" si="104"/>
        <v>0</v>
      </c>
      <c r="AC770" s="745"/>
      <c r="AD770" s="742"/>
      <c r="AE770" s="742"/>
      <c r="AF770" s="743"/>
      <c r="AG770" s="746">
        <f t="shared" si="105"/>
        <v>0</v>
      </c>
    </row>
    <row r="771" spans="2:42">
      <c r="B771" s="437" t="s">
        <v>356</v>
      </c>
      <c r="C771" s="752"/>
      <c r="D771" s="752"/>
      <c r="E771" s="743">
        <v>0</v>
      </c>
      <c r="F771" s="744"/>
      <c r="G771" s="750"/>
      <c r="H771" s="751"/>
      <c r="I771" s="751"/>
      <c r="J771" s="743">
        <v>0</v>
      </c>
      <c r="K771" s="744"/>
      <c r="L771" s="750"/>
      <c r="M771" s="751"/>
      <c r="N771" s="751"/>
      <c r="O771" s="743">
        <v>0</v>
      </c>
      <c r="P771" s="744"/>
      <c r="Q771" s="750"/>
      <c r="R771" s="751"/>
      <c r="S771" s="751"/>
      <c r="T771" s="743">
        <v>0</v>
      </c>
      <c r="U771" s="744"/>
      <c r="V771" s="750"/>
      <c r="W771" s="751"/>
      <c r="X771" s="751"/>
      <c r="Y771" s="743">
        <v>0</v>
      </c>
      <c r="Z771" s="744"/>
      <c r="AA771" s="746">
        <f t="shared" si="103"/>
        <v>0</v>
      </c>
      <c r="AB771" s="747">
        <f t="shared" si="104"/>
        <v>0</v>
      </c>
      <c r="AC771" s="745"/>
      <c r="AD771" s="742"/>
      <c r="AE771" s="742"/>
      <c r="AF771" s="743"/>
      <c r="AG771" s="746">
        <f t="shared" si="105"/>
        <v>0</v>
      </c>
    </row>
    <row r="772" spans="2:42">
      <c r="B772" s="64" t="s">
        <v>61</v>
      </c>
      <c r="C772" s="753"/>
      <c r="D772" s="753"/>
      <c r="E772" s="754">
        <f>SUM(E751:E771)</f>
        <v>0</v>
      </c>
      <c r="F772" s="744"/>
      <c r="G772" s="753"/>
      <c r="H772" s="753"/>
      <c r="I772" s="753"/>
      <c r="J772" s="754">
        <f>SUM(J751:J771)</f>
        <v>8.5</v>
      </c>
      <c r="K772" s="744"/>
      <c r="L772" s="753"/>
      <c r="M772" s="753"/>
      <c r="N772" s="753"/>
      <c r="O772" s="754">
        <f>SUM(O751:O771)</f>
        <v>0</v>
      </c>
      <c r="P772" s="744"/>
      <c r="Q772" s="753"/>
      <c r="R772" s="753"/>
      <c r="S772" s="753"/>
      <c r="T772" s="754">
        <f>SUM(T751:T771)</f>
        <v>0</v>
      </c>
      <c r="U772" s="744"/>
      <c r="V772" s="753"/>
      <c r="W772" s="753"/>
      <c r="X772" s="753"/>
      <c r="Y772" s="754">
        <f>SUM(Y751:Y771)</f>
        <v>1</v>
      </c>
      <c r="Z772" s="744"/>
      <c r="AA772" s="746">
        <f>SUM(AA751:AA771)</f>
        <v>9.5</v>
      </c>
      <c r="AB772" s="746">
        <f>SUM(AB751:AB771)</f>
        <v>0</v>
      </c>
      <c r="AC772" s="745"/>
      <c r="AD772" s="753"/>
      <c r="AE772" s="753"/>
      <c r="AF772" s="746">
        <f>SUM(AF751:AF771)</f>
        <v>0</v>
      </c>
      <c r="AG772" s="746">
        <f>SUM(AG751:AG771)</f>
        <v>0</v>
      </c>
    </row>
    <row r="773" spans="2:42">
      <c r="B773" s="63" t="s">
        <v>1116</v>
      </c>
      <c r="C773" s="742"/>
      <c r="D773" s="742"/>
      <c r="E773" s="743">
        <v>8</v>
      </c>
      <c r="F773" s="744"/>
      <c r="G773" s="745"/>
      <c r="H773" s="742"/>
      <c r="I773" s="742"/>
      <c r="J773" s="743">
        <v>8</v>
      </c>
      <c r="K773" s="744"/>
      <c r="L773" s="745"/>
      <c r="M773" s="742"/>
      <c r="N773" s="742"/>
      <c r="O773" s="743">
        <v>4</v>
      </c>
      <c r="P773" s="744"/>
      <c r="Q773" s="745"/>
      <c r="R773" s="742"/>
      <c r="S773" s="742"/>
      <c r="T773" s="743">
        <v>4</v>
      </c>
      <c r="U773" s="744"/>
      <c r="V773" s="745"/>
      <c r="W773" s="742"/>
      <c r="X773" s="742"/>
      <c r="Y773" s="743">
        <v>4</v>
      </c>
      <c r="Z773" s="744"/>
      <c r="AA773" s="746">
        <f>(E773+J773+O773+T773+Y773)</f>
        <v>28</v>
      </c>
      <c r="AB773" s="747">
        <f>Z773+U773+P773+K773+F773</f>
        <v>0</v>
      </c>
      <c r="AC773" s="745"/>
      <c r="AD773" s="742"/>
      <c r="AE773" s="742"/>
      <c r="AF773" s="743"/>
      <c r="AG773" s="746">
        <f>AF773</f>
        <v>0</v>
      </c>
    </row>
    <row r="774" spans="2:42">
      <c r="B774" s="63" t="s">
        <v>64</v>
      </c>
      <c r="C774" s="742"/>
      <c r="D774" s="742"/>
      <c r="E774" s="743">
        <v>0</v>
      </c>
      <c r="F774" s="743"/>
      <c r="G774" s="755"/>
      <c r="H774" s="742"/>
      <c r="I774" s="742"/>
      <c r="J774" s="743">
        <v>0</v>
      </c>
      <c r="K774" s="743"/>
      <c r="L774" s="750"/>
      <c r="M774" s="742"/>
      <c r="N774" s="742"/>
      <c r="O774" s="743">
        <v>0</v>
      </c>
      <c r="P774" s="743"/>
      <c r="Q774" s="750"/>
      <c r="R774" s="742"/>
      <c r="S774" s="742"/>
      <c r="T774" s="743">
        <v>0</v>
      </c>
      <c r="U774" s="743"/>
      <c r="V774" s="750"/>
      <c r="W774" s="742"/>
      <c r="X774" s="742"/>
      <c r="Y774" s="743">
        <v>0</v>
      </c>
      <c r="Z774" s="743"/>
      <c r="AA774" s="746">
        <f>SUM(E774+J774+O774+T774+Y774)</f>
        <v>0</v>
      </c>
      <c r="AB774" s="756">
        <f>Z774+U774+P774+K774+F774</f>
        <v>0</v>
      </c>
      <c r="AC774" s="745"/>
      <c r="AD774" s="742" t="s">
        <v>29</v>
      </c>
      <c r="AE774" s="742" t="s">
        <v>29</v>
      </c>
      <c r="AF774" s="743"/>
      <c r="AG774" s="746">
        <f>AF774</f>
        <v>0</v>
      </c>
    </row>
    <row r="775" spans="2:42">
      <c r="B775" s="71" t="s">
        <v>66</v>
      </c>
      <c r="C775" s="757"/>
      <c r="D775" s="757"/>
      <c r="E775" s="755"/>
      <c r="F775" s="755"/>
      <c r="G775" s="755"/>
      <c r="H775" s="755"/>
      <c r="I775" s="755"/>
      <c r="J775" s="755"/>
      <c r="K775" s="755"/>
      <c r="L775" s="755"/>
      <c r="M775" s="755"/>
      <c r="N775" s="755"/>
      <c r="O775" s="755"/>
      <c r="P775" s="755"/>
      <c r="Q775" s="755"/>
      <c r="R775" s="755"/>
      <c r="S775" s="755"/>
      <c r="T775" s="755"/>
      <c r="U775" s="755"/>
      <c r="V775" s="755"/>
      <c r="W775" s="755"/>
      <c r="X775" s="755"/>
      <c r="Y775" s="755"/>
      <c r="Z775" s="755"/>
      <c r="AA775" s="746">
        <f>SUM(AA773:AA774)</f>
        <v>28</v>
      </c>
      <c r="AB775" s="746">
        <f>SUM(AB774:AB774)</f>
        <v>0</v>
      </c>
      <c r="AC775" s="745"/>
      <c r="AD775" s="748"/>
      <c r="AE775" s="748"/>
      <c r="AF775" s="748"/>
      <c r="AG775" s="746">
        <f>SUM(AG774:AG774)</f>
        <v>0</v>
      </c>
      <c r="AK775" s="407"/>
    </row>
    <row r="776" spans="2:42">
      <c r="B776" s="217" t="s">
        <v>67</v>
      </c>
      <c r="C776" s="207">
        <f>C777+C778</f>
        <v>2</v>
      </c>
      <c r="D776" s="207"/>
      <c r="E776" s="209"/>
      <c r="F776" s="209"/>
      <c r="G776" s="207"/>
      <c r="H776" s="209"/>
      <c r="I776" s="209"/>
      <c r="J776" s="209"/>
      <c r="K776" s="209"/>
      <c r="L776" s="207"/>
      <c r="M776" s="207"/>
      <c r="N776" s="207"/>
      <c r="O776" s="207"/>
      <c r="P776" s="209"/>
      <c r="Q776" s="207"/>
      <c r="R776" s="207"/>
      <c r="S776" s="207"/>
      <c r="T776" s="207"/>
      <c r="U776" s="209"/>
      <c r="V776" s="207"/>
      <c r="W776" s="207"/>
      <c r="X776" s="207"/>
      <c r="Y776" s="210"/>
      <c r="Z776" s="209"/>
      <c r="AA776" s="211"/>
      <c r="AB776" s="209"/>
      <c r="AC776" s="211"/>
      <c r="AD776" s="211"/>
      <c r="AE776" s="211"/>
      <c r="AF776" s="211"/>
      <c r="AG776" s="211"/>
      <c r="AK776" s="407"/>
    </row>
    <row r="777" spans="2:42">
      <c r="B777" s="238" t="s">
        <v>68</v>
      </c>
      <c r="C777" s="239">
        <v>0</v>
      </c>
      <c r="D777" s="207"/>
      <c r="E777" s="209"/>
      <c r="F777" s="209"/>
      <c r="G777" s="207"/>
      <c r="H777" s="209"/>
      <c r="I777" s="209"/>
      <c r="J777" s="209"/>
      <c r="K777" s="209"/>
      <c r="L777" s="207"/>
      <c r="M777" s="207"/>
      <c r="N777" s="207"/>
      <c r="O777" s="207"/>
      <c r="P777" s="209"/>
      <c r="Q777" s="207"/>
      <c r="R777" s="207"/>
      <c r="S777" s="207"/>
      <c r="T777" s="207"/>
      <c r="U777" s="209"/>
      <c r="V777" s="207"/>
      <c r="W777" s="207"/>
      <c r="X777" s="207"/>
      <c r="Y777" s="210"/>
      <c r="Z777" s="209"/>
      <c r="AA777" s="211"/>
      <c r="AB777" s="209"/>
      <c r="AC777" s="211"/>
      <c r="AD777" s="211"/>
      <c r="AE777" s="211"/>
      <c r="AF777" s="211"/>
      <c r="AG777" s="211"/>
      <c r="AK777" s="407"/>
    </row>
    <row r="778" spans="2:42">
      <c r="B778" s="238" t="s">
        <v>69</v>
      </c>
      <c r="C778" s="239">
        <v>2</v>
      </c>
      <c r="D778" s="207"/>
      <c r="E778" s="209"/>
      <c r="F778" s="209"/>
      <c r="G778" s="207"/>
      <c r="H778" s="209"/>
      <c r="I778" s="209"/>
      <c r="J778" s="209"/>
      <c r="K778" s="209"/>
      <c r="L778" s="207"/>
      <c r="M778" s="207"/>
      <c r="N778" s="207"/>
      <c r="O778" s="207"/>
      <c r="P778" s="209"/>
      <c r="Q778" s="207"/>
      <c r="R778" s="207"/>
      <c r="S778" s="207"/>
      <c r="T778" s="207"/>
      <c r="U778" s="209"/>
      <c r="V778" s="207"/>
      <c r="W778" s="207"/>
      <c r="X778" s="207"/>
      <c r="Y778" s="210"/>
      <c r="Z778" s="209"/>
      <c r="AA778" s="211"/>
      <c r="AB778" s="209"/>
      <c r="AC778" s="211"/>
      <c r="AD778" s="211"/>
      <c r="AE778" s="211"/>
      <c r="AF778" s="211"/>
      <c r="AG778" s="211"/>
    </row>
    <row r="782" spans="2:42" ht="25.5">
      <c r="B782" s="1518" t="s">
        <v>18</v>
      </c>
      <c r="C782" s="1519">
        <v>45866</v>
      </c>
      <c r="D782" s="1519"/>
      <c r="E782" s="1519" t="s">
        <v>564</v>
      </c>
      <c r="F782" s="1519"/>
      <c r="G782" s="365"/>
      <c r="H782" s="1519">
        <v>45867</v>
      </c>
      <c r="I782" s="1519"/>
      <c r="J782" s="1519" t="s">
        <v>565</v>
      </c>
      <c r="K782" s="1519"/>
      <c r="L782" s="365"/>
      <c r="M782" s="1519">
        <v>45868</v>
      </c>
      <c r="N782" s="1519"/>
      <c r="O782" s="1519" t="s">
        <v>566</v>
      </c>
      <c r="P782" s="1519"/>
      <c r="Q782" s="365"/>
      <c r="R782" s="1519">
        <v>45869</v>
      </c>
      <c r="S782" s="1519"/>
      <c r="T782" s="1519" t="s">
        <v>567</v>
      </c>
      <c r="U782" s="1519"/>
      <c r="V782" s="365"/>
      <c r="W782" s="1519">
        <v>45870</v>
      </c>
      <c r="X782" s="1519"/>
      <c r="Y782" s="1519" t="s">
        <v>568</v>
      </c>
      <c r="Z782" s="1519"/>
      <c r="AA782" s="1517" t="s">
        <v>19</v>
      </c>
      <c r="AB782" s="1517" t="s">
        <v>20</v>
      </c>
      <c r="AC782" s="4"/>
      <c r="AD782" s="1519"/>
      <c r="AE782" s="1519"/>
      <c r="AF782" s="14" t="s">
        <v>1111</v>
      </c>
      <c r="AG782" s="1517" t="s">
        <v>21</v>
      </c>
      <c r="AI782" s="368"/>
      <c r="AK782" s="194" t="s">
        <v>84</v>
      </c>
      <c r="AL782" s="366"/>
      <c r="AM782" s="366"/>
      <c r="AN782" s="366"/>
      <c r="AO782" s="366"/>
      <c r="AP782" s="366"/>
    </row>
    <row r="783" spans="2:42">
      <c r="B783" s="1518"/>
      <c r="C783" s="21" t="s">
        <v>23</v>
      </c>
      <c r="D783" s="21" t="s">
        <v>24</v>
      </c>
      <c r="E783" s="205" t="s">
        <v>25</v>
      </c>
      <c r="F783" s="645" t="s">
        <v>14</v>
      </c>
      <c r="G783" s="4"/>
      <c r="H783" s="21"/>
      <c r="I783" s="21" t="s">
        <v>24</v>
      </c>
      <c r="J783" s="18" t="s">
        <v>25</v>
      </c>
      <c r="K783" s="645" t="s">
        <v>14</v>
      </c>
      <c r="L783" s="4"/>
      <c r="M783" s="21" t="s">
        <v>23</v>
      </c>
      <c r="N783" s="21" t="s">
        <v>24</v>
      </c>
      <c r="O783" s="18" t="s">
        <v>25</v>
      </c>
      <c r="P783" s="645" t="s">
        <v>14</v>
      </c>
      <c r="R783" s="21" t="s">
        <v>23</v>
      </c>
      <c r="S783" s="21" t="s">
        <v>24</v>
      </c>
      <c r="T783" s="18" t="s">
        <v>25</v>
      </c>
      <c r="U783" s="645" t="s">
        <v>14</v>
      </c>
      <c r="W783" s="21" t="s">
        <v>23</v>
      </c>
      <c r="X783" s="21" t="s">
        <v>24</v>
      </c>
      <c r="Y783" s="18" t="s">
        <v>25</v>
      </c>
      <c r="Z783" s="645" t="s">
        <v>14</v>
      </c>
      <c r="AA783" s="1517"/>
      <c r="AB783" s="1517"/>
      <c r="AC783" s="4"/>
      <c r="AD783" s="21" t="s">
        <v>23</v>
      </c>
      <c r="AE783" s="21" t="s">
        <v>24</v>
      </c>
      <c r="AF783" s="18" t="s">
        <v>25</v>
      </c>
      <c r="AG783" s="1517"/>
      <c r="AI783" s="368"/>
      <c r="AJ783" s="367"/>
      <c r="AK783" s="188" t="s">
        <v>26</v>
      </c>
      <c r="AL783" s="196">
        <f>AA805</f>
        <v>56</v>
      </c>
      <c r="AM783" s="510">
        <v>40.31</v>
      </c>
      <c r="AN783" s="510">
        <f t="shared" ref="AN783:AN788" si="106">AL783*AM783</f>
        <v>2257.36</v>
      </c>
    </row>
    <row r="784" spans="2:42">
      <c r="B784" s="47" t="s">
        <v>515</v>
      </c>
      <c r="C784" s="742"/>
      <c r="D784" s="742"/>
      <c r="E784" s="743">
        <v>0</v>
      </c>
      <c r="F784" s="744"/>
      <c r="G784" s="745"/>
      <c r="H784" s="742"/>
      <c r="I784" s="742"/>
      <c r="J784" s="743">
        <v>0</v>
      </c>
      <c r="K784" s="744"/>
      <c r="L784" s="745"/>
      <c r="M784" s="742"/>
      <c r="N784" s="742"/>
      <c r="O784" s="743">
        <v>0</v>
      </c>
      <c r="P784" s="744"/>
      <c r="Q784" s="745"/>
      <c r="R784" s="742"/>
      <c r="S784" s="742"/>
      <c r="T784" s="743">
        <v>0</v>
      </c>
      <c r="U784" s="744"/>
      <c r="W784" s="47"/>
      <c r="X784" s="47"/>
      <c r="Y784" s="743">
        <v>0</v>
      </c>
      <c r="Z784" s="646"/>
      <c r="AA784" s="328">
        <f t="shared" ref="AA784:AA804" si="107">(E784+J784+O784+T784+Y784)</f>
        <v>0</v>
      </c>
      <c r="AB784" s="298">
        <f t="shared" ref="AB784:AB804" si="108">Z784+U784+P784+K784+F784</f>
        <v>0</v>
      </c>
      <c r="AC784" s="4"/>
      <c r="AF784" s="319"/>
      <c r="AG784" s="328">
        <f t="shared" ref="AG784:AG804" si="109">AF784</f>
        <v>0</v>
      </c>
      <c r="AI784" s="368"/>
      <c r="AJ784" s="367"/>
      <c r="AK784" s="188" t="s">
        <v>30</v>
      </c>
      <c r="AL784" s="196">
        <f>AB805</f>
        <v>0</v>
      </c>
      <c r="AM784" s="511">
        <v>60.465000000000003</v>
      </c>
      <c r="AN784" s="510">
        <f t="shared" si="106"/>
        <v>0</v>
      </c>
    </row>
    <row r="785" spans="2:42">
      <c r="B785" s="47" t="s">
        <v>1112</v>
      </c>
      <c r="C785" s="742"/>
      <c r="D785" s="742"/>
      <c r="E785" s="743">
        <v>0</v>
      </c>
      <c r="F785" s="744"/>
      <c r="G785" s="745"/>
      <c r="H785" s="742">
        <v>0.33333333333333331</v>
      </c>
      <c r="I785" s="742">
        <v>0.20833333333333334</v>
      </c>
      <c r="J785" s="743">
        <v>8</v>
      </c>
      <c r="K785" s="744"/>
      <c r="L785" s="745"/>
      <c r="M785" s="742"/>
      <c r="N785" s="742"/>
      <c r="O785" s="743">
        <v>0</v>
      </c>
      <c r="P785" s="744"/>
      <c r="Q785" s="745"/>
      <c r="R785" s="742"/>
      <c r="S785" s="742"/>
      <c r="T785" s="743">
        <v>0</v>
      </c>
      <c r="U785" s="744"/>
      <c r="W785" s="47"/>
      <c r="X785" s="47"/>
      <c r="Y785" s="743">
        <v>0</v>
      </c>
      <c r="Z785" s="646"/>
      <c r="AA785" s="328">
        <f t="shared" si="107"/>
        <v>8</v>
      </c>
      <c r="AB785" s="298">
        <f t="shared" si="108"/>
        <v>0</v>
      </c>
      <c r="AC785" s="4"/>
      <c r="AD785" s="47"/>
      <c r="AE785" s="47"/>
      <c r="AF785" s="319"/>
      <c r="AG785" s="328">
        <f t="shared" si="109"/>
        <v>0</v>
      </c>
      <c r="AH785" s="175"/>
      <c r="AI785" s="402"/>
      <c r="AJ785" s="367"/>
      <c r="AK785" s="188" t="s">
        <v>32</v>
      </c>
      <c r="AL785" s="196">
        <f>AG805</f>
        <v>0</v>
      </c>
      <c r="AM785" s="510">
        <v>60.465000000000003</v>
      </c>
      <c r="AN785" s="510">
        <f t="shared" si="106"/>
        <v>0</v>
      </c>
    </row>
    <row r="786" spans="2:42">
      <c r="B786" s="436" t="s">
        <v>972</v>
      </c>
      <c r="C786" s="742"/>
      <c r="D786" s="742"/>
      <c r="E786" s="743">
        <v>0</v>
      </c>
      <c r="F786" s="744"/>
      <c r="G786" s="745"/>
      <c r="H786" s="742"/>
      <c r="I786" s="742"/>
      <c r="J786" s="743">
        <v>0</v>
      </c>
      <c r="K786" s="744"/>
      <c r="L786" s="745"/>
      <c r="M786" s="742"/>
      <c r="N786" s="742"/>
      <c r="O786" s="743">
        <v>0</v>
      </c>
      <c r="P786" s="744"/>
      <c r="Q786" s="745"/>
      <c r="R786" s="742"/>
      <c r="S786" s="742"/>
      <c r="T786" s="743">
        <v>0</v>
      </c>
      <c r="U786" s="744"/>
      <c r="W786" s="47"/>
      <c r="X786" s="47"/>
      <c r="Y786" s="743">
        <v>0</v>
      </c>
      <c r="Z786" s="646"/>
      <c r="AA786" s="328">
        <f t="shared" si="107"/>
        <v>0</v>
      </c>
      <c r="AB786" s="298">
        <f t="shared" si="108"/>
        <v>0</v>
      </c>
      <c r="AC786" s="4"/>
      <c r="AD786" s="47"/>
      <c r="AE786" s="47"/>
      <c r="AF786" s="319"/>
      <c r="AG786" s="328">
        <f t="shared" si="109"/>
        <v>0</v>
      </c>
      <c r="AH786" s="175"/>
      <c r="AJ786" s="401"/>
      <c r="AK786" s="403" t="s">
        <v>213</v>
      </c>
      <c r="AL786" s="404">
        <f>AA808</f>
        <v>42</v>
      </c>
      <c r="AM786" s="510">
        <v>53.05</v>
      </c>
      <c r="AN786" s="510">
        <f t="shared" si="106"/>
        <v>2228.1</v>
      </c>
      <c r="AO786" s="405"/>
      <c r="AP786" s="405"/>
    </row>
    <row r="787" spans="2:42">
      <c r="B787" s="47" t="s">
        <v>974</v>
      </c>
      <c r="C787" s="742"/>
      <c r="D787" s="742"/>
      <c r="E787" s="743">
        <v>0</v>
      </c>
      <c r="F787" s="744"/>
      <c r="G787" s="745"/>
      <c r="H787" s="742"/>
      <c r="I787" s="742"/>
      <c r="J787" s="743">
        <v>0</v>
      </c>
      <c r="K787" s="744"/>
      <c r="L787" s="745"/>
      <c r="M787" s="742"/>
      <c r="N787" s="742"/>
      <c r="O787" s="743">
        <v>0</v>
      </c>
      <c r="P787" s="744"/>
      <c r="Q787" s="745"/>
      <c r="R787" s="742"/>
      <c r="S787" s="742"/>
      <c r="T787" s="743">
        <v>0</v>
      </c>
      <c r="U787" s="744"/>
      <c r="W787" s="47"/>
      <c r="X787" s="47"/>
      <c r="Y787" s="743">
        <v>0</v>
      </c>
      <c r="Z787" s="646"/>
      <c r="AA787" s="328">
        <f t="shared" si="107"/>
        <v>0</v>
      </c>
      <c r="AB787" s="298">
        <f t="shared" si="108"/>
        <v>0</v>
      </c>
      <c r="AC787" s="4"/>
      <c r="AD787" s="47"/>
      <c r="AE787" s="47"/>
      <c r="AF787" s="319"/>
      <c r="AG787" s="328">
        <f t="shared" si="109"/>
        <v>0</v>
      </c>
      <c r="AI787" s="368"/>
      <c r="AK787" s="188" t="s">
        <v>36</v>
      </c>
      <c r="AL787" s="196">
        <f>AB808</f>
        <v>0</v>
      </c>
      <c r="AM787" s="510">
        <v>79.574999999999989</v>
      </c>
      <c r="AN787" s="510">
        <f t="shared" si="106"/>
        <v>0</v>
      </c>
    </row>
    <row r="788" spans="2:42">
      <c r="B788" s="374" t="s">
        <v>998</v>
      </c>
      <c r="C788" s="742"/>
      <c r="D788" s="742"/>
      <c r="E788" s="743">
        <v>0</v>
      </c>
      <c r="F788" s="744"/>
      <c r="G788" s="745"/>
      <c r="H788" s="742"/>
      <c r="I788" s="742"/>
      <c r="J788" s="743">
        <v>0</v>
      </c>
      <c r="K788" s="744"/>
      <c r="L788" s="745"/>
      <c r="M788" s="742">
        <v>0.41666666666666669</v>
      </c>
      <c r="N788" s="742">
        <v>0.3125</v>
      </c>
      <c r="O788" s="743">
        <v>8.75</v>
      </c>
      <c r="P788" s="769"/>
      <c r="Q788" s="345"/>
      <c r="R788" s="742">
        <v>0.39583333333333331</v>
      </c>
      <c r="S788" s="742">
        <v>0.29166666666666669</v>
      </c>
      <c r="T788" s="743">
        <v>8.75</v>
      </c>
      <c r="U788" s="769"/>
      <c r="V788" s="345"/>
      <c r="W788" s="742">
        <v>0.43055555555555558</v>
      </c>
      <c r="X788" s="742">
        <v>0.32291666666666669</v>
      </c>
      <c r="Y788" s="743">
        <v>8.75</v>
      </c>
      <c r="Z788" s="646"/>
      <c r="AA788" s="328">
        <f t="shared" si="107"/>
        <v>26.25</v>
      </c>
      <c r="AB788" s="298">
        <f t="shared" si="108"/>
        <v>0</v>
      </c>
      <c r="AC788" s="4"/>
      <c r="AD788" s="47"/>
      <c r="AE788" s="47"/>
      <c r="AF788" s="319"/>
      <c r="AG788" s="328">
        <f t="shared" si="109"/>
        <v>0</v>
      </c>
      <c r="AK788" s="188" t="s">
        <v>38</v>
      </c>
      <c r="AL788" s="196">
        <f>AG808</f>
        <v>0</v>
      </c>
      <c r="AM788" s="510">
        <v>79.574999999999989</v>
      </c>
      <c r="AN788" s="510">
        <f t="shared" si="106"/>
        <v>0</v>
      </c>
    </row>
    <row r="789" spans="2:42">
      <c r="B789" s="47" t="s">
        <v>977</v>
      </c>
      <c r="C789" s="742"/>
      <c r="D789" s="742"/>
      <c r="E789" s="743">
        <v>0</v>
      </c>
      <c r="F789" s="744"/>
      <c r="G789" s="745"/>
      <c r="H789" s="742"/>
      <c r="I789" s="742"/>
      <c r="J789" s="743">
        <v>0</v>
      </c>
      <c r="K789" s="744"/>
      <c r="L789" s="745"/>
      <c r="M789" s="742"/>
      <c r="N789" s="742"/>
      <c r="O789" s="743">
        <v>0</v>
      </c>
      <c r="P789" s="744"/>
      <c r="Q789" s="745"/>
      <c r="R789" s="742"/>
      <c r="S789" s="742"/>
      <c r="T789" s="743">
        <v>0</v>
      </c>
      <c r="U789" s="744"/>
      <c r="W789" s="47"/>
      <c r="X789" s="47"/>
      <c r="Y789" s="743">
        <v>0</v>
      </c>
      <c r="Z789" s="646"/>
      <c r="AA789" s="328">
        <f t="shared" si="107"/>
        <v>0</v>
      </c>
      <c r="AB789" s="298">
        <f t="shared" si="108"/>
        <v>0</v>
      </c>
      <c r="AC789" s="4"/>
      <c r="AD789" s="47"/>
      <c r="AE789" s="47"/>
      <c r="AF789" s="319"/>
      <c r="AG789" s="328">
        <f t="shared" si="109"/>
        <v>0</v>
      </c>
      <c r="AN789" s="510">
        <f>SUM(AN783:AN788)</f>
        <v>4485.46</v>
      </c>
    </row>
    <row r="790" spans="2:42">
      <c r="B790" s="47" t="s">
        <v>519</v>
      </c>
      <c r="C790" s="742"/>
      <c r="D790" s="742"/>
      <c r="E790" s="743">
        <v>0</v>
      </c>
      <c r="F790" s="744"/>
      <c r="G790" s="745"/>
      <c r="H790" s="742"/>
      <c r="I790" s="742"/>
      <c r="J790" s="743">
        <v>0</v>
      </c>
      <c r="K790" s="744"/>
      <c r="L790" s="745"/>
      <c r="M790" s="742"/>
      <c r="N790" s="742"/>
      <c r="O790" s="743">
        <v>0</v>
      </c>
      <c r="P790" s="744"/>
      <c r="Q790" s="745"/>
      <c r="R790" s="742"/>
      <c r="S790" s="742"/>
      <c r="T790" s="743">
        <v>0</v>
      </c>
      <c r="U790" s="744"/>
      <c r="W790" s="47"/>
      <c r="X790" s="47"/>
      <c r="Y790" s="743">
        <v>0</v>
      </c>
      <c r="Z790" s="646"/>
      <c r="AA790" s="328">
        <f t="shared" si="107"/>
        <v>0</v>
      </c>
      <c r="AB790" s="298">
        <f t="shared" si="108"/>
        <v>0</v>
      </c>
      <c r="AC790" s="4"/>
      <c r="AD790" s="47"/>
      <c r="AE790" s="47"/>
      <c r="AF790" s="319"/>
      <c r="AG790" s="328">
        <f t="shared" si="109"/>
        <v>0</v>
      </c>
    </row>
    <row r="791" spans="2:42">
      <c r="B791" s="47" t="s">
        <v>999</v>
      </c>
      <c r="C791" s="742"/>
      <c r="D791" s="749"/>
      <c r="E791" s="743">
        <v>0</v>
      </c>
      <c r="F791" s="744"/>
      <c r="G791" s="745"/>
      <c r="H791" s="742"/>
      <c r="I791" s="742"/>
      <c r="J791" s="743">
        <v>0</v>
      </c>
      <c r="K791" s="744"/>
      <c r="L791" s="745"/>
      <c r="M791" s="742"/>
      <c r="N791" s="742"/>
      <c r="O791" s="743">
        <v>0</v>
      </c>
      <c r="P791" s="744"/>
      <c r="Q791" s="745"/>
      <c r="R791" s="742"/>
      <c r="S791" s="742"/>
      <c r="T791" s="743">
        <v>0</v>
      </c>
      <c r="U791" s="744"/>
      <c r="W791" s="47"/>
      <c r="X791" s="47"/>
      <c r="Y791" s="743">
        <v>0</v>
      </c>
      <c r="Z791" s="646"/>
      <c r="AA791" s="328">
        <f t="shared" si="107"/>
        <v>0</v>
      </c>
      <c r="AB791" s="298">
        <f t="shared" si="108"/>
        <v>0</v>
      </c>
      <c r="AC791" s="4"/>
      <c r="AD791" s="47"/>
      <c r="AE791" s="47"/>
      <c r="AF791" s="319"/>
      <c r="AG791" s="328">
        <f t="shared" si="109"/>
        <v>0</v>
      </c>
      <c r="AK791" s="192" t="s">
        <v>1115</v>
      </c>
      <c r="AL791" s="189">
        <f>C809</f>
        <v>4</v>
      </c>
      <c r="AM791" s="510">
        <v>45</v>
      </c>
      <c r="AN791" s="510">
        <f>AM791*AL791</f>
        <v>180</v>
      </c>
    </row>
    <row r="792" spans="2:42">
      <c r="B792" s="47" t="s">
        <v>1113</v>
      </c>
      <c r="C792" s="742"/>
      <c r="D792" s="742"/>
      <c r="E792" s="743">
        <v>0</v>
      </c>
      <c r="F792" s="744"/>
      <c r="G792" s="745"/>
      <c r="H792" s="742"/>
      <c r="I792" s="742"/>
      <c r="J792" s="743">
        <v>0</v>
      </c>
      <c r="K792" s="744"/>
      <c r="L792" s="745"/>
      <c r="M792" s="742"/>
      <c r="N792" s="742"/>
      <c r="O792" s="743">
        <v>0</v>
      </c>
      <c r="P792" s="744"/>
      <c r="Q792" s="745"/>
      <c r="R792" s="742"/>
      <c r="S792" s="742"/>
      <c r="T792" s="743">
        <v>0</v>
      </c>
      <c r="U792" s="744"/>
      <c r="W792" s="47"/>
      <c r="X792" s="47"/>
      <c r="Y792" s="743">
        <v>0</v>
      </c>
      <c r="Z792" s="646"/>
      <c r="AA792" s="328">
        <f t="shared" si="107"/>
        <v>0</v>
      </c>
      <c r="AB792" s="298">
        <f t="shared" si="108"/>
        <v>0</v>
      </c>
      <c r="AC792" s="4"/>
      <c r="AD792" s="47"/>
      <c r="AE792" s="47"/>
      <c r="AF792" s="319"/>
      <c r="AG792" s="328">
        <f t="shared" si="109"/>
        <v>0</v>
      </c>
    </row>
    <row r="793" spans="2:42">
      <c r="B793" s="502" t="s">
        <v>483</v>
      </c>
      <c r="C793" s="742"/>
      <c r="D793" s="742"/>
      <c r="E793" s="743">
        <v>0</v>
      </c>
      <c r="F793" s="744"/>
      <c r="G793" s="745"/>
      <c r="H793" s="742"/>
      <c r="I793" s="742"/>
      <c r="J793" s="743">
        <v>0</v>
      </c>
      <c r="K793" s="744"/>
      <c r="L793" s="745"/>
      <c r="M793" s="742"/>
      <c r="N793" s="742"/>
      <c r="O793" s="743">
        <v>0</v>
      </c>
      <c r="P793" s="744"/>
      <c r="Q793" s="745"/>
      <c r="R793" s="742"/>
      <c r="S793" s="742"/>
      <c r="T793" s="743">
        <v>0</v>
      </c>
      <c r="U793" s="744"/>
      <c r="W793" s="47"/>
      <c r="X793" s="47"/>
      <c r="Y793" s="743">
        <v>0</v>
      </c>
      <c r="Z793" s="646"/>
      <c r="AA793" s="328">
        <f t="shared" si="107"/>
        <v>0</v>
      </c>
      <c r="AB793" s="298">
        <f t="shared" si="108"/>
        <v>0</v>
      </c>
      <c r="AC793" s="4"/>
      <c r="AD793" s="47"/>
      <c r="AE793" s="47"/>
      <c r="AF793" s="319"/>
      <c r="AG793" s="328">
        <f t="shared" si="109"/>
        <v>0</v>
      </c>
    </row>
    <row r="794" spans="2:42">
      <c r="B794" s="502" t="s">
        <v>483</v>
      </c>
      <c r="C794" s="742"/>
      <c r="D794" s="742"/>
      <c r="E794" s="743">
        <v>0</v>
      </c>
      <c r="F794" s="744"/>
      <c r="G794" s="745"/>
      <c r="H794" s="742"/>
      <c r="I794" s="742"/>
      <c r="J794" s="743">
        <v>0</v>
      </c>
      <c r="K794" s="744"/>
      <c r="L794" s="745"/>
      <c r="M794" s="742"/>
      <c r="N794" s="742"/>
      <c r="O794" s="743">
        <v>0</v>
      </c>
      <c r="P794" s="744"/>
      <c r="Q794" s="745"/>
      <c r="R794" s="742"/>
      <c r="S794" s="742"/>
      <c r="T794" s="743">
        <v>0</v>
      </c>
      <c r="U794" s="744"/>
      <c r="W794" s="47"/>
      <c r="X794" s="47"/>
      <c r="Y794" s="743">
        <v>0</v>
      </c>
      <c r="Z794" s="646"/>
      <c r="AA794" s="328">
        <f t="shared" si="107"/>
        <v>0</v>
      </c>
      <c r="AB794" s="298">
        <f t="shared" si="108"/>
        <v>0</v>
      </c>
      <c r="AC794" s="4"/>
      <c r="AD794" s="47"/>
      <c r="AE794" s="47"/>
      <c r="AF794" s="319"/>
      <c r="AG794" s="328">
        <f t="shared" si="109"/>
        <v>0</v>
      </c>
    </row>
    <row r="795" spans="2:42">
      <c r="B795" s="502" t="s">
        <v>484</v>
      </c>
      <c r="C795" s="742"/>
      <c r="D795" s="742"/>
      <c r="E795" s="743">
        <v>0</v>
      </c>
      <c r="F795" s="744"/>
      <c r="G795" s="745"/>
      <c r="H795" s="742"/>
      <c r="I795" s="742"/>
      <c r="J795" s="743">
        <v>0</v>
      </c>
      <c r="K795" s="744"/>
      <c r="L795" s="745"/>
      <c r="M795" s="742"/>
      <c r="N795" s="742"/>
      <c r="O795" s="743">
        <v>0</v>
      </c>
      <c r="P795" s="744"/>
      <c r="Q795" s="745"/>
      <c r="R795" s="742"/>
      <c r="S795" s="742"/>
      <c r="T795" s="743">
        <v>2</v>
      </c>
      <c r="U795" s="744"/>
      <c r="W795" s="47"/>
      <c r="X795" s="47"/>
      <c r="Y795" s="743">
        <v>4</v>
      </c>
      <c r="Z795" s="646"/>
      <c r="AA795" s="328">
        <f t="shared" si="107"/>
        <v>6</v>
      </c>
      <c r="AB795" s="298">
        <f t="shared" si="108"/>
        <v>0</v>
      </c>
      <c r="AC795" s="4"/>
      <c r="AD795" s="47"/>
      <c r="AE795" s="47"/>
      <c r="AF795" s="319"/>
      <c r="AG795" s="328">
        <f t="shared" si="109"/>
        <v>0</v>
      </c>
    </row>
    <row r="796" spans="2:42">
      <c r="B796" s="502" t="s">
        <v>485</v>
      </c>
      <c r="C796" s="742"/>
      <c r="D796" s="742"/>
      <c r="E796" s="743">
        <v>0</v>
      </c>
      <c r="F796" s="744"/>
      <c r="G796" s="745"/>
      <c r="H796" s="742"/>
      <c r="I796" s="742"/>
      <c r="J796" s="743">
        <v>0</v>
      </c>
      <c r="K796" s="744"/>
      <c r="L796" s="745"/>
      <c r="M796" s="742"/>
      <c r="N796" s="742"/>
      <c r="O796" s="743">
        <v>0</v>
      </c>
      <c r="P796" s="744"/>
      <c r="Q796" s="745"/>
      <c r="R796" s="742"/>
      <c r="S796" s="742"/>
      <c r="T796" s="743">
        <v>2</v>
      </c>
      <c r="U796" s="744"/>
      <c r="W796" s="47"/>
      <c r="X796" s="47"/>
      <c r="Y796" s="743">
        <v>4</v>
      </c>
      <c r="Z796" s="646"/>
      <c r="AA796" s="328">
        <f t="shared" si="107"/>
        <v>6</v>
      </c>
      <c r="AB796" s="298">
        <f t="shared" si="108"/>
        <v>0</v>
      </c>
      <c r="AC796" s="4"/>
      <c r="AD796" s="47"/>
      <c r="AE796" s="47"/>
      <c r="AF796" s="319"/>
      <c r="AG796" s="328">
        <f t="shared" si="109"/>
        <v>0</v>
      </c>
    </row>
    <row r="797" spans="2:42">
      <c r="B797" s="502" t="s">
        <v>1129</v>
      </c>
      <c r="C797" s="742"/>
      <c r="D797" s="742"/>
      <c r="E797" s="743">
        <v>0</v>
      </c>
      <c r="F797" s="744"/>
      <c r="G797" s="745"/>
      <c r="H797" s="742"/>
      <c r="I797" s="742"/>
      <c r="J797" s="743">
        <v>0</v>
      </c>
      <c r="K797" s="744"/>
      <c r="L797" s="745"/>
      <c r="M797" s="742"/>
      <c r="N797" s="742"/>
      <c r="O797" s="743">
        <v>0</v>
      </c>
      <c r="P797" s="744"/>
      <c r="Q797" s="745"/>
      <c r="R797" s="742"/>
      <c r="S797" s="742"/>
      <c r="T797" s="743">
        <v>0</v>
      </c>
      <c r="U797" s="744"/>
      <c r="W797" s="47"/>
      <c r="X797" s="47"/>
      <c r="Y797" s="743">
        <v>0</v>
      </c>
      <c r="Z797" s="646"/>
      <c r="AA797" s="328">
        <f t="shared" si="107"/>
        <v>0</v>
      </c>
      <c r="AB797" s="298">
        <f t="shared" si="108"/>
        <v>0</v>
      </c>
      <c r="AC797" s="4"/>
      <c r="AD797" s="47"/>
      <c r="AE797" s="47"/>
      <c r="AF797" s="319"/>
      <c r="AG797" s="328">
        <f t="shared" si="109"/>
        <v>0</v>
      </c>
    </row>
    <row r="798" spans="2:42">
      <c r="B798" s="267" t="s">
        <v>358</v>
      </c>
      <c r="C798" s="742"/>
      <c r="D798" s="742"/>
      <c r="E798" s="743">
        <v>0</v>
      </c>
      <c r="F798" s="744"/>
      <c r="G798" s="745"/>
      <c r="H798" s="742"/>
      <c r="I798" s="742"/>
      <c r="J798" s="743">
        <v>0</v>
      </c>
      <c r="K798" s="744"/>
      <c r="L798" s="750"/>
      <c r="M798" s="742"/>
      <c r="N798" s="742"/>
      <c r="O798" s="743">
        <v>0</v>
      </c>
      <c r="P798" s="744"/>
      <c r="Q798" s="750"/>
      <c r="R798" s="742"/>
      <c r="S798" s="742"/>
      <c r="T798" s="743">
        <v>1</v>
      </c>
      <c r="U798" s="744"/>
      <c r="V798" s="438"/>
      <c r="W798" s="47"/>
      <c r="X798" s="47"/>
      <c r="Y798" s="743">
        <v>1</v>
      </c>
      <c r="Z798" s="646"/>
      <c r="AA798" s="328">
        <f t="shared" si="107"/>
        <v>2</v>
      </c>
      <c r="AB798" s="298">
        <f t="shared" si="108"/>
        <v>0</v>
      </c>
      <c r="AC798" s="4"/>
      <c r="AD798" s="47"/>
      <c r="AE798" s="47"/>
      <c r="AF798" s="319"/>
      <c r="AG798" s="328">
        <f t="shared" si="109"/>
        <v>0</v>
      </c>
    </row>
    <row r="799" spans="2:42">
      <c r="B799" s="267" t="s">
        <v>991</v>
      </c>
      <c r="C799" s="742"/>
      <c r="D799" s="742"/>
      <c r="E799" s="743">
        <v>0</v>
      </c>
      <c r="F799" s="744"/>
      <c r="G799" s="745"/>
      <c r="H799" s="742"/>
      <c r="I799" s="742"/>
      <c r="J799" s="743">
        <v>0</v>
      </c>
      <c r="K799" s="744"/>
      <c r="L799" s="750"/>
      <c r="M799" s="742"/>
      <c r="N799" s="742"/>
      <c r="O799" s="743">
        <v>0</v>
      </c>
      <c r="P799" s="744"/>
      <c r="Q799" s="750"/>
      <c r="R799" s="742"/>
      <c r="S799" s="742"/>
      <c r="T799" s="743">
        <v>0</v>
      </c>
      <c r="U799" s="744"/>
      <c r="V799" s="438"/>
      <c r="W799" s="47"/>
      <c r="X799" s="47"/>
      <c r="Y799" s="743">
        <v>0</v>
      </c>
      <c r="Z799" s="646"/>
      <c r="AA799" s="328">
        <f t="shared" si="107"/>
        <v>0</v>
      </c>
      <c r="AB799" s="298">
        <f t="shared" si="108"/>
        <v>0</v>
      </c>
      <c r="AC799" s="4"/>
      <c r="AD799" s="47"/>
      <c r="AE799" s="47"/>
      <c r="AF799" s="319"/>
      <c r="AG799" s="328">
        <f t="shared" si="109"/>
        <v>0</v>
      </c>
    </row>
    <row r="800" spans="2:42">
      <c r="B800" s="267" t="s">
        <v>411</v>
      </c>
      <c r="C800" s="742"/>
      <c r="D800" s="742"/>
      <c r="E800" s="743">
        <v>0</v>
      </c>
      <c r="F800" s="744"/>
      <c r="G800" s="745"/>
      <c r="H800" s="742"/>
      <c r="I800" s="742"/>
      <c r="J800" s="743">
        <v>0</v>
      </c>
      <c r="K800" s="744"/>
      <c r="L800" s="750"/>
      <c r="M800" s="742"/>
      <c r="N800" s="742"/>
      <c r="O800" s="743">
        <v>0</v>
      </c>
      <c r="P800" s="744"/>
      <c r="Q800" s="750"/>
      <c r="R800" s="742"/>
      <c r="S800" s="742"/>
      <c r="T800" s="743">
        <v>0</v>
      </c>
      <c r="U800" s="744"/>
      <c r="V800" s="438"/>
      <c r="W800" s="47"/>
      <c r="X800" s="47"/>
      <c r="Y800" s="743">
        <v>0</v>
      </c>
      <c r="Z800" s="646"/>
      <c r="AA800" s="328">
        <f t="shared" si="107"/>
        <v>0</v>
      </c>
      <c r="AB800" s="298">
        <f t="shared" si="108"/>
        <v>0</v>
      </c>
      <c r="AC800" s="4"/>
      <c r="AD800" s="47"/>
      <c r="AE800" s="47"/>
      <c r="AF800" s="319"/>
      <c r="AG800" s="328">
        <f t="shared" si="109"/>
        <v>0</v>
      </c>
    </row>
    <row r="801" spans="2:49">
      <c r="B801" s="267" t="s">
        <v>361</v>
      </c>
      <c r="C801" s="742"/>
      <c r="D801" s="742"/>
      <c r="E801" s="743">
        <v>0</v>
      </c>
      <c r="F801" s="744"/>
      <c r="G801" s="745"/>
      <c r="H801" s="742"/>
      <c r="I801" s="742"/>
      <c r="J801" s="743">
        <v>0</v>
      </c>
      <c r="K801" s="744"/>
      <c r="L801" s="750"/>
      <c r="M801" s="742"/>
      <c r="N801" s="742"/>
      <c r="O801" s="743">
        <v>0</v>
      </c>
      <c r="P801" s="744"/>
      <c r="Q801" s="750"/>
      <c r="R801" s="742"/>
      <c r="S801" s="742"/>
      <c r="T801" s="743">
        <v>0</v>
      </c>
      <c r="U801" s="744"/>
      <c r="V801" s="438"/>
      <c r="W801" s="47"/>
      <c r="X801" s="47"/>
      <c r="Y801" s="743">
        <v>0</v>
      </c>
      <c r="Z801" s="646"/>
      <c r="AA801" s="328">
        <f t="shared" si="107"/>
        <v>0</v>
      </c>
      <c r="AB801" s="298">
        <f t="shared" si="108"/>
        <v>0</v>
      </c>
      <c r="AC801" s="4"/>
      <c r="AD801" s="47"/>
      <c r="AE801" s="47"/>
      <c r="AF801" s="319"/>
      <c r="AG801" s="328">
        <f t="shared" si="109"/>
        <v>0</v>
      </c>
    </row>
    <row r="802" spans="2:49">
      <c r="B802" s="267" t="s">
        <v>362</v>
      </c>
      <c r="C802" s="742"/>
      <c r="D802" s="751"/>
      <c r="E802" s="743">
        <v>0</v>
      </c>
      <c r="F802" s="744"/>
      <c r="G802" s="745"/>
      <c r="H802" s="742"/>
      <c r="I802" s="751"/>
      <c r="J802" s="743">
        <v>0</v>
      </c>
      <c r="K802" s="744"/>
      <c r="L802" s="750"/>
      <c r="M802" s="742"/>
      <c r="N802" s="751"/>
      <c r="O802" s="743">
        <v>0</v>
      </c>
      <c r="P802" s="744"/>
      <c r="Q802" s="750"/>
      <c r="R802" s="742"/>
      <c r="S802" s="751"/>
      <c r="T802" s="743">
        <v>0</v>
      </c>
      <c r="U802" s="744"/>
      <c r="V802" s="438"/>
      <c r="W802" s="47"/>
      <c r="X802" s="5"/>
      <c r="Y802" s="743">
        <v>0</v>
      </c>
      <c r="Z802" s="646"/>
      <c r="AA802" s="328">
        <f t="shared" si="107"/>
        <v>0</v>
      </c>
      <c r="AB802" s="298">
        <f t="shared" si="108"/>
        <v>0</v>
      </c>
      <c r="AC802" s="4"/>
      <c r="AD802" s="47"/>
      <c r="AE802" s="47"/>
      <c r="AF802" s="319"/>
      <c r="AG802" s="328">
        <f t="shared" si="109"/>
        <v>0</v>
      </c>
    </row>
    <row r="803" spans="2:49">
      <c r="B803" s="437" t="s">
        <v>355</v>
      </c>
      <c r="C803" s="742"/>
      <c r="D803" s="742"/>
      <c r="E803" s="743">
        <v>0</v>
      </c>
      <c r="F803" s="744"/>
      <c r="G803" s="745"/>
      <c r="H803" s="742"/>
      <c r="I803" s="742"/>
      <c r="J803" s="743">
        <v>0</v>
      </c>
      <c r="K803" s="744"/>
      <c r="L803" s="750"/>
      <c r="M803" s="742"/>
      <c r="N803" s="742"/>
      <c r="O803" s="743">
        <v>0</v>
      </c>
      <c r="P803" s="744"/>
      <c r="Q803" s="750"/>
      <c r="R803" s="742"/>
      <c r="S803" s="742"/>
      <c r="T803" s="743">
        <v>2.5</v>
      </c>
      <c r="U803" s="744"/>
      <c r="V803" s="438"/>
      <c r="W803" s="47"/>
      <c r="X803" s="47"/>
      <c r="Y803" s="743">
        <v>5.25</v>
      </c>
      <c r="Z803" s="646"/>
      <c r="AA803" s="328">
        <f t="shared" si="107"/>
        <v>7.75</v>
      </c>
      <c r="AB803" s="298">
        <f t="shared" si="108"/>
        <v>0</v>
      </c>
      <c r="AC803" s="4"/>
      <c r="AD803" s="47"/>
      <c r="AE803" s="47"/>
      <c r="AF803" s="319"/>
      <c r="AG803" s="328">
        <f t="shared" si="109"/>
        <v>0</v>
      </c>
    </row>
    <row r="804" spans="2:49">
      <c r="B804" s="437" t="s">
        <v>356</v>
      </c>
      <c r="C804" s="752"/>
      <c r="D804" s="752"/>
      <c r="E804" s="743">
        <v>0</v>
      </c>
      <c r="F804" s="744"/>
      <c r="G804" s="750"/>
      <c r="H804" s="751"/>
      <c r="I804" s="751"/>
      <c r="J804" s="743">
        <v>0</v>
      </c>
      <c r="K804" s="744"/>
      <c r="L804" s="750"/>
      <c r="M804" s="751"/>
      <c r="N804" s="751"/>
      <c r="O804" s="743">
        <v>0</v>
      </c>
      <c r="P804" s="744"/>
      <c r="Q804" s="750"/>
      <c r="R804" s="751"/>
      <c r="S804" s="751"/>
      <c r="T804" s="743">
        <v>0</v>
      </c>
      <c r="U804" s="744"/>
      <c r="V804" s="438"/>
      <c r="W804" s="5"/>
      <c r="X804" s="5"/>
      <c r="Y804" s="743">
        <v>0</v>
      </c>
      <c r="Z804" s="646"/>
      <c r="AA804" s="328">
        <f t="shared" si="107"/>
        <v>0</v>
      </c>
      <c r="AB804" s="298">
        <f t="shared" si="108"/>
        <v>0</v>
      </c>
      <c r="AC804" s="4"/>
      <c r="AD804" s="47"/>
      <c r="AE804" s="47"/>
      <c r="AF804" s="319"/>
      <c r="AG804" s="328">
        <f t="shared" si="109"/>
        <v>0</v>
      </c>
    </row>
    <row r="805" spans="2:49">
      <c r="B805" s="64" t="s">
        <v>61</v>
      </c>
      <c r="C805" s="753"/>
      <c r="D805" s="753"/>
      <c r="E805" s="754">
        <f>SUM(E784:E804)</f>
        <v>0</v>
      </c>
      <c r="F805" s="744"/>
      <c r="G805" s="753"/>
      <c r="H805" s="753"/>
      <c r="I805" s="753"/>
      <c r="J805" s="754">
        <f>SUM(J784:J804)</f>
        <v>8</v>
      </c>
      <c r="K805" s="744"/>
      <c r="L805" s="753"/>
      <c r="M805" s="753"/>
      <c r="N805" s="753"/>
      <c r="O805" s="754">
        <f>SUM(O784:O804)</f>
        <v>8.75</v>
      </c>
      <c r="P805" s="744"/>
      <c r="Q805" s="753"/>
      <c r="R805" s="753"/>
      <c r="S805" s="753"/>
      <c r="T805" s="754">
        <f>SUM(T784:T804)</f>
        <v>16.25</v>
      </c>
      <c r="U805" s="744"/>
      <c r="V805" s="31"/>
      <c r="W805" s="31"/>
      <c r="X805" s="31"/>
      <c r="Y805" s="754">
        <f>SUM(Y784:Y804)</f>
        <v>23</v>
      </c>
      <c r="Z805" s="646"/>
      <c r="AA805" s="370">
        <f>SUM(AA784:AA804)</f>
        <v>56</v>
      </c>
      <c r="AB805" s="370">
        <f>SUM(AB784:AB804)</f>
        <v>0</v>
      </c>
      <c r="AC805" s="4"/>
      <c r="AD805" s="64"/>
      <c r="AE805" s="64"/>
      <c r="AF805" s="370">
        <f>SUM(AF784:AF804)</f>
        <v>0</v>
      </c>
      <c r="AG805" s="370">
        <f>SUM(AG784:AG804)</f>
        <v>0</v>
      </c>
    </row>
    <row r="806" spans="2:49">
      <c r="B806" s="63" t="s">
        <v>1116</v>
      </c>
      <c r="C806" s="742"/>
      <c r="D806" s="742"/>
      <c r="E806" s="743">
        <v>8</v>
      </c>
      <c r="F806" s="744"/>
      <c r="G806" s="745"/>
      <c r="H806" s="742"/>
      <c r="I806" s="742"/>
      <c r="J806" s="743">
        <v>8</v>
      </c>
      <c r="K806" s="744"/>
      <c r="L806" s="745"/>
      <c r="M806" s="742"/>
      <c r="N806" s="742"/>
      <c r="O806" s="743">
        <v>8</v>
      </c>
      <c r="P806" s="744"/>
      <c r="Q806" s="745"/>
      <c r="R806" s="742"/>
      <c r="S806" s="742"/>
      <c r="T806" s="743">
        <v>8</v>
      </c>
      <c r="U806" s="744"/>
      <c r="W806" s="47"/>
      <c r="X806" s="47"/>
      <c r="Y806" s="743">
        <v>8</v>
      </c>
      <c r="Z806" s="646"/>
      <c r="AA806" s="328">
        <f>(E806+J806+O806+T806+Y806)</f>
        <v>40</v>
      </c>
      <c r="AB806" s="298">
        <f>Z806+U806+P806+K806+F806</f>
        <v>0</v>
      </c>
      <c r="AC806" s="4"/>
      <c r="AD806" s="47"/>
      <c r="AE806" s="47"/>
      <c r="AF806" s="319"/>
      <c r="AG806" s="328">
        <f>AF806</f>
        <v>0</v>
      </c>
    </row>
    <row r="807" spans="2:49" s="785" customFormat="1" ht="12.75">
      <c r="B807" s="63" t="s">
        <v>64</v>
      </c>
      <c r="C807" s="780"/>
      <c r="D807" s="780"/>
      <c r="E807" s="743">
        <v>1</v>
      </c>
      <c r="F807" s="346"/>
      <c r="G807" s="777"/>
      <c r="H807" s="780"/>
      <c r="I807" s="780"/>
      <c r="J807" s="743">
        <v>1</v>
      </c>
      <c r="K807" s="346"/>
      <c r="L807" s="778"/>
      <c r="M807" s="780"/>
      <c r="N807" s="780"/>
      <c r="O807" s="743">
        <v>0</v>
      </c>
      <c r="P807" s="346"/>
      <c r="Q807" s="778"/>
      <c r="R807" s="780"/>
      <c r="S807" s="780"/>
      <c r="T807" s="743">
        <v>0</v>
      </c>
      <c r="U807" s="346"/>
      <c r="V807" s="778"/>
      <c r="W807" s="780"/>
      <c r="X807" s="780"/>
      <c r="Y807" s="743">
        <v>0</v>
      </c>
      <c r="Z807" s="346"/>
      <c r="AA807" s="344">
        <f>SUM(E807+J807+O807+T807+Y807)</f>
        <v>2</v>
      </c>
      <c r="AB807" s="779">
        <f>Z807+U807+P807+K807+F807</f>
        <v>0</v>
      </c>
      <c r="AC807" s="781"/>
      <c r="AD807" s="780" t="s">
        <v>29</v>
      </c>
      <c r="AE807" s="780" t="s">
        <v>29</v>
      </c>
      <c r="AF807" s="346"/>
      <c r="AG807" s="344">
        <f>AF807</f>
        <v>0</v>
      </c>
      <c r="AH807" s="781"/>
      <c r="AI807" s="782"/>
      <c r="AJ807" s="783"/>
      <c r="AK807" s="784"/>
      <c r="AL807" s="784"/>
      <c r="AM807" s="784"/>
      <c r="AN807" s="784"/>
      <c r="AO807" s="784"/>
      <c r="AP807" s="784"/>
      <c r="AQ807" s="783"/>
      <c r="AR807" s="783"/>
      <c r="AS807" s="783"/>
      <c r="AT807" s="783"/>
      <c r="AU807" s="783"/>
      <c r="AV807" s="783"/>
      <c r="AW807" s="783"/>
    </row>
    <row r="808" spans="2:49">
      <c r="B808" s="71" t="s">
        <v>66</v>
      </c>
      <c r="C808" s="371"/>
      <c r="D808" s="371"/>
      <c r="E808" s="71"/>
      <c r="F808" s="613"/>
      <c r="G808" s="71"/>
      <c r="H808" s="71"/>
      <c r="I808" s="71"/>
      <c r="J808" s="71"/>
      <c r="K808" s="613"/>
      <c r="L808" s="71"/>
      <c r="M808" s="71"/>
      <c r="N808" s="71"/>
      <c r="O808" s="71"/>
      <c r="P808" s="613"/>
      <c r="Q808" s="71"/>
      <c r="R808" s="71"/>
      <c r="S808" s="71"/>
      <c r="T808" s="71"/>
      <c r="U808" s="613"/>
      <c r="V808" s="71"/>
      <c r="W808" s="71"/>
      <c r="X808" s="71"/>
      <c r="Y808" s="71"/>
      <c r="Z808" s="613"/>
      <c r="AA808" s="370">
        <f>SUM(AA806:AA807)</f>
        <v>42</v>
      </c>
      <c r="AB808" s="370">
        <f>SUM(AB807:AB807)</f>
        <v>0</v>
      </c>
      <c r="AC808" s="4"/>
      <c r="AG808" s="370">
        <f>SUM(AG807:AG807)</f>
        <v>0</v>
      </c>
      <c r="AK808" s="407"/>
    </row>
    <row r="809" spans="2:49">
      <c r="B809" s="217" t="s">
        <v>67</v>
      </c>
      <c r="C809" s="207">
        <f>C810+C811</f>
        <v>4</v>
      </c>
      <c r="D809" s="207"/>
      <c r="E809" s="209"/>
      <c r="F809" s="209"/>
      <c r="G809" s="207"/>
      <c r="H809" s="209"/>
      <c r="I809" s="209"/>
      <c r="J809" s="209"/>
      <c r="K809" s="209"/>
      <c r="L809" s="207"/>
      <c r="M809" s="207"/>
      <c r="N809" s="207"/>
      <c r="O809" s="207"/>
      <c r="P809" s="209"/>
      <c r="Q809" s="207"/>
      <c r="R809" s="207"/>
      <c r="S809" s="207"/>
      <c r="T809" s="207"/>
      <c r="U809" s="209"/>
      <c r="V809" s="207"/>
      <c r="W809" s="207"/>
      <c r="X809" s="207"/>
      <c r="Y809" s="210"/>
      <c r="Z809" s="209"/>
      <c r="AA809" s="211"/>
      <c r="AB809" s="209"/>
      <c r="AC809" s="211"/>
      <c r="AD809" s="211"/>
      <c r="AE809" s="211"/>
      <c r="AF809" s="211"/>
      <c r="AG809" s="211"/>
      <c r="AK809" s="407"/>
    </row>
    <row r="810" spans="2:49">
      <c r="B810" s="238" t="s">
        <v>68</v>
      </c>
      <c r="C810" s="239">
        <v>0</v>
      </c>
      <c r="D810" s="207"/>
      <c r="E810" s="209"/>
      <c r="F810" s="209"/>
      <c r="G810" s="207"/>
      <c r="H810" s="209"/>
      <c r="I810" s="209"/>
      <c r="J810" s="209"/>
      <c r="K810" s="209"/>
      <c r="L810" s="207"/>
      <c r="M810" s="207"/>
      <c r="N810" s="207"/>
      <c r="O810" s="207"/>
      <c r="P810" s="209"/>
      <c r="Q810" s="207"/>
      <c r="R810" s="207"/>
      <c r="S810" s="207"/>
      <c r="T810" s="207"/>
      <c r="U810" s="209"/>
      <c r="V810" s="207"/>
      <c r="W810" s="207"/>
      <c r="X810" s="207"/>
      <c r="Y810" s="210"/>
      <c r="Z810" s="209"/>
      <c r="AA810" s="211"/>
      <c r="AB810" s="209"/>
      <c r="AC810" s="211"/>
      <c r="AD810" s="211"/>
      <c r="AE810" s="211"/>
      <c r="AF810" s="211"/>
      <c r="AG810" s="211"/>
      <c r="AK810" s="407"/>
    </row>
    <row r="811" spans="2:49">
      <c r="B811" s="238" t="s">
        <v>69</v>
      </c>
      <c r="C811" s="239">
        <v>4</v>
      </c>
      <c r="D811" s="207"/>
      <c r="E811" s="209"/>
      <c r="F811" s="209"/>
      <c r="G811" s="207"/>
      <c r="H811" s="209"/>
      <c r="I811" s="209"/>
      <c r="J811" s="209"/>
      <c r="K811" s="209"/>
      <c r="L811" s="207"/>
      <c r="M811" s="207"/>
      <c r="N811" s="207"/>
      <c r="O811" s="207"/>
      <c r="P811" s="209"/>
      <c r="Q811" s="207"/>
      <c r="R811" s="207"/>
      <c r="S811" s="207"/>
      <c r="T811" s="207"/>
      <c r="U811" s="209"/>
      <c r="V811" s="207"/>
      <c r="W811" s="207"/>
      <c r="X811" s="207"/>
      <c r="Y811" s="210"/>
      <c r="Z811" s="209"/>
      <c r="AA811" s="211"/>
      <c r="AB811" s="209"/>
      <c r="AC811" s="211"/>
      <c r="AD811" s="211"/>
      <c r="AE811" s="211"/>
      <c r="AF811" s="211"/>
      <c r="AG811" s="211"/>
    </row>
    <row r="813" spans="2:49" ht="25.5">
      <c r="B813" s="1576" t="s">
        <v>18</v>
      </c>
      <c r="C813" s="1577">
        <v>45873</v>
      </c>
      <c r="D813" s="1577"/>
      <c r="E813" s="1577" t="s">
        <v>564</v>
      </c>
      <c r="F813" s="1577"/>
      <c r="G813" s="807"/>
      <c r="H813" s="1577">
        <v>45874</v>
      </c>
      <c r="I813" s="1577"/>
      <c r="J813" s="1577" t="s">
        <v>565</v>
      </c>
      <c r="K813" s="1577"/>
      <c r="L813" s="807"/>
      <c r="M813" s="1577">
        <v>45875</v>
      </c>
      <c r="N813" s="1577"/>
      <c r="O813" s="1577" t="s">
        <v>566</v>
      </c>
      <c r="P813" s="1577"/>
      <c r="Q813" s="807"/>
      <c r="R813" s="1577">
        <v>45876</v>
      </c>
      <c r="S813" s="1577"/>
      <c r="T813" s="1577" t="s">
        <v>567</v>
      </c>
      <c r="U813" s="1577"/>
      <c r="V813" s="807"/>
      <c r="W813" s="1577">
        <v>45877</v>
      </c>
      <c r="X813" s="1577"/>
      <c r="Y813" s="1577" t="s">
        <v>568</v>
      </c>
      <c r="Z813" s="1577"/>
      <c r="AA813" s="1578" t="s">
        <v>19</v>
      </c>
      <c r="AB813" s="1578" t="s">
        <v>20</v>
      </c>
      <c r="AC813" s="762"/>
      <c r="AD813" s="1577"/>
      <c r="AE813" s="1577"/>
      <c r="AF813" s="808" t="s">
        <v>1111</v>
      </c>
      <c r="AG813" s="1578" t="s">
        <v>21</v>
      </c>
      <c r="AI813" s="368"/>
      <c r="AK813" s="194" t="s">
        <v>84</v>
      </c>
      <c r="AL813" s="366"/>
      <c r="AM813" s="366"/>
      <c r="AN813" s="366"/>
      <c r="AO813" s="366"/>
      <c r="AP813" s="366"/>
    </row>
    <row r="814" spans="2:49">
      <c r="B814" s="1576"/>
      <c r="C814" s="809" t="s">
        <v>23</v>
      </c>
      <c r="D814" s="809" t="s">
        <v>24</v>
      </c>
      <c r="E814" s="768" t="s">
        <v>25</v>
      </c>
      <c r="F814" s="810" t="s">
        <v>14</v>
      </c>
      <c r="G814" s="762"/>
      <c r="H814" s="809"/>
      <c r="I814" s="809" t="s">
        <v>24</v>
      </c>
      <c r="J814" s="810" t="s">
        <v>25</v>
      </c>
      <c r="K814" s="810" t="s">
        <v>14</v>
      </c>
      <c r="L814" s="762"/>
      <c r="M814" s="809" t="s">
        <v>23</v>
      </c>
      <c r="N814" s="809" t="s">
        <v>24</v>
      </c>
      <c r="O814" s="810" t="s">
        <v>25</v>
      </c>
      <c r="P814" s="810" t="s">
        <v>14</v>
      </c>
      <c r="Q814" s="762"/>
      <c r="R814" s="809" t="s">
        <v>23</v>
      </c>
      <c r="S814" s="809" t="s">
        <v>24</v>
      </c>
      <c r="T814" s="810" t="s">
        <v>25</v>
      </c>
      <c r="U814" s="810" t="s">
        <v>14</v>
      </c>
      <c r="V814" s="762"/>
      <c r="W814" s="809" t="s">
        <v>23</v>
      </c>
      <c r="X814" s="809" t="s">
        <v>24</v>
      </c>
      <c r="Y814" s="810" t="s">
        <v>25</v>
      </c>
      <c r="Z814" s="810" t="s">
        <v>14</v>
      </c>
      <c r="AA814" s="1578"/>
      <c r="AB814" s="1578"/>
      <c r="AC814" s="762"/>
      <c r="AD814" s="809" t="s">
        <v>23</v>
      </c>
      <c r="AE814" s="809" t="s">
        <v>24</v>
      </c>
      <c r="AF814" s="810" t="s">
        <v>25</v>
      </c>
      <c r="AG814" s="1578"/>
      <c r="AI814" s="368"/>
      <c r="AJ814" s="367"/>
      <c r="AK814" s="188" t="s">
        <v>26</v>
      </c>
      <c r="AL814" s="196">
        <f>AA836</f>
        <v>94.5</v>
      </c>
      <c r="AM814" s="510">
        <v>40.31</v>
      </c>
      <c r="AN814" s="510">
        <f t="shared" ref="AN814:AN819" si="110">AL814*AM814</f>
        <v>3809.2950000000001</v>
      </c>
    </row>
    <row r="815" spans="2:49">
      <c r="B815" s="758" t="s">
        <v>515</v>
      </c>
      <c r="C815" s="758"/>
      <c r="D815" s="758"/>
      <c r="E815" s="759">
        <v>0</v>
      </c>
      <c r="F815" s="761"/>
      <c r="G815" s="762"/>
      <c r="H815" s="758"/>
      <c r="I815" s="758"/>
      <c r="J815" s="759">
        <v>0</v>
      </c>
      <c r="K815" s="761"/>
      <c r="L815" s="762"/>
      <c r="M815" s="758">
        <v>0.375</v>
      </c>
      <c r="N815" s="758">
        <v>0.25</v>
      </c>
      <c r="O815" s="759">
        <v>8</v>
      </c>
      <c r="P815" s="761"/>
      <c r="Q815" s="762"/>
      <c r="R815" s="758"/>
      <c r="S815" s="758"/>
      <c r="T815" s="759">
        <v>0</v>
      </c>
      <c r="U815" s="761"/>
      <c r="V815" s="762"/>
      <c r="W815" s="758"/>
      <c r="X815" s="758"/>
      <c r="Y815" s="759">
        <v>0</v>
      </c>
      <c r="Z815" s="761"/>
      <c r="AA815" s="763">
        <f t="shared" ref="AA815:AA835" si="111">(E815+J815+O815+T815+Y815)</f>
        <v>8</v>
      </c>
      <c r="AB815" s="764">
        <f t="shared" ref="AB815:AB835" si="112">Z815+U815+P815+K815+F815</f>
        <v>0</v>
      </c>
      <c r="AC815" s="762"/>
      <c r="AD815" s="811"/>
      <c r="AE815" s="811"/>
      <c r="AF815" s="759"/>
      <c r="AG815" s="763">
        <f t="shared" ref="AG815:AG835" si="113">AF815</f>
        <v>0</v>
      </c>
      <c r="AI815" s="368"/>
      <c r="AJ815" s="367"/>
      <c r="AK815" s="188" t="s">
        <v>30</v>
      </c>
      <c r="AL815" s="196">
        <f>AB836</f>
        <v>0</v>
      </c>
      <c r="AM815" s="511">
        <v>60.465000000000003</v>
      </c>
      <c r="AN815" s="510">
        <f t="shared" si="110"/>
        <v>0</v>
      </c>
    </row>
    <row r="816" spans="2:49">
      <c r="B816" s="758" t="s">
        <v>1112</v>
      </c>
      <c r="C816" s="758"/>
      <c r="D816" s="758"/>
      <c r="E816" s="759">
        <v>0</v>
      </c>
      <c r="F816" s="761"/>
      <c r="G816" s="762"/>
      <c r="H816" s="758">
        <v>0.375</v>
      </c>
      <c r="I816" s="758">
        <v>0.25</v>
      </c>
      <c r="J816" s="759">
        <v>8</v>
      </c>
      <c r="K816" s="761"/>
      <c r="L816" s="762"/>
      <c r="M816" s="758">
        <v>0.375</v>
      </c>
      <c r="N816" s="758">
        <v>0.25</v>
      </c>
      <c r="O816" s="759">
        <v>8</v>
      </c>
      <c r="P816" s="761"/>
      <c r="Q816" s="762"/>
      <c r="R816" s="758"/>
      <c r="S816" s="758"/>
      <c r="T816" s="759">
        <v>0</v>
      </c>
      <c r="U816" s="761"/>
      <c r="V816" s="762"/>
      <c r="W816" s="758">
        <v>0.33333333333333331</v>
      </c>
      <c r="X816" s="758">
        <v>0.20833333333333334</v>
      </c>
      <c r="Y816" s="759">
        <v>8</v>
      </c>
      <c r="Z816" s="761"/>
      <c r="AA816" s="763">
        <f t="shared" si="111"/>
        <v>24</v>
      </c>
      <c r="AB816" s="764">
        <f t="shared" si="112"/>
        <v>0</v>
      </c>
      <c r="AC816" s="762"/>
      <c r="AD816" s="758"/>
      <c r="AE816" s="758"/>
      <c r="AF816" s="759"/>
      <c r="AG816" s="763">
        <f t="shared" si="113"/>
        <v>0</v>
      </c>
      <c r="AH816" s="175"/>
      <c r="AI816" s="402"/>
      <c r="AJ816" s="367"/>
      <c r="AK816" s="188" t="s">
        <v>32</v>
      </c>
      <c r="AL816" s="196">
        <f>AG836</f>
        <v>0</v>
      </c>
      <c r="AM816" s="510">
        <v>60.465000000000003</v>
      </c>
      <c r="AN816" s="510">
        <f t="shared" si="110"/>
        <v>0</v>
      </c>
    </row>
    <row r="817" spans="2:49">
      <c r="B817" s="812" t="s">
        <v>972</v>
      </c>
      <c r="C817" s="758"/>
      <c r="D817" s="758"/>
      <c r="E817" s="759">
        <v>0</v>
      </c>
      <c r="F817" s="761"/>
      <c r="G817" s="762"/>
      <c r="H817" s="758"/>
      <c r="I817" s="758"/>
      <c r="J817" s="759">
        <v>0</v>
      </c>
      <c r="K817" s="761"/>
      <c r="L817" s="762"/>
      <c r="M817" s="758"/>
      <c r="N817" s="758"/>
      <c r="O817" s="759">
        <v>0</v>
      </c>
      <c r="P817" s="761"/>
      <c r="Q817" s="762"/>
      <c r="R817" s="758"/>
      <c r="S817" s="758"/>
      <c r="T817" s="759">
        <v>0</v>
      </c>
      <c r="U817" s="761"/>
      <c r="V817" s="762"/>
      <c r="W817" s="758"/>
      <c r="X817" s="758"/>
      <c r="Y817" s="759">
        <v>0</v>
      </c>
      <c r="Z817" s="761"/>
      <c r="AA817" s="763">
        <f t="shared" si="111"/>
        <v>0</v>
      </c>
      <c r="AB817" s="764">
        <f t="shared" si="112"/>
        <v>0</v>
      </c>
      <c r="AC817" s="762"/>
      <c r="AD817" s="758"/>
      <c r="AE817" s="758"/>
      <c r="AF817" s="759"/>
      <c r="AG817" s="763">
        <f t="shared" si="113"/>
        <v>0</v>
      </c>
      <c r="AH817" s="175"/>
      <c r="AJ817" s="401"/>
      <c r="AK817" s="403" t="s">
        <v>213</v>
      </c>
      <c r="AL817" s="404">
        <f>AA839</f>
        <v>42</v>
      </c>
      <c r="AM817" s="510">
        <v>53.05</v>
      </c>
      <c r="AN817" s="510">
        <f t="shared" si="110"/>
        <v>2228.1</v>
      </c>
      <c r="AO817" s="405"/>
      <c r="AP817" s="405"/>
    </row>
    <row r="818" spans="2:49">
      <c r="B818" s="758" t="s">
        <v>974</v>
      </c>
      <c r="C818" s="758"/>
      <c r="D818" s="758"/>
      <c r="E818" s="759">
        <v>0</v>
      </c>
      <c r="F818" s="761"/>
      <c r="G818" s="762"/>
      <c r="H818" s="758"/>
      <c r="I818" s="758"/>
      <c r="J818" s="759">
        <v>0</v>
      </c>
      <c r="K818" s="761"/>
      <c r="L818" s="762"/>
      <c r="M818" s="758"/>
      <c r="N818" s="758"/>
      <c r="O818" s="759">
        <v>0</v>
      </c>
      <c r="P818" s="761"/>
      <c r="Q818" s="762"/>
      <c r="R818" s="758"/>
      <c r="S818" s="758"/>
      <c r="T818" s="759">
        <v>0</v>
      </c>
      <c r="U818" s="761"/>
      <c r="V818" s="762"/>
      <c r="W818" s="758"/>
      <c r="X818" s="758"/>
      <c r="Y818" s="759">
        <v>0</v>
      </c>
      <c r="Z818" s="761"/>
      <c r="AA818" s="763">
        <f t="shared" si="111"/>
        <v>0</v>
      </c>
      <c r="AB818" s="764">
        <f t="shared" si="112"/>
        <v>0</v>
      </c>
      <c r="AC818" s="762"/>
      <c r="AD818" s="758"/>
      <c r="AE818" s="758"/>
      <c r="AF818" s="759"/>
      <c r="AG818" s="763">
        <f t="shared" si="113"/>
        <v>0</v>
      </c>
      <c r="AI818" s="368"/>
      <c r="AK818" s="188" t="s">
        <v>36</v>
      </c>
      <c r="AL818" s="196">
        <f>AB839</f>
        <v>0</v>
      </c>
      <c r="AM818" s="510">
        <v>79.574999999999989</v>
      </c>
      <c r="AN818" s="510">
        <f t="shared" si="110"/>
        <v>0</v>
      </c>
    </row>
    <row r="819" spans="2:49" s="776" customFormat="1">
      <c r="B819" s="813" t="s">
        <v>998</v>
      </c>
      <c r="C819" s="758">
        <v>0.375</v>
      </c>
      <c r="D819" s="758">
        <v>0.25</v>
      </c>
      <c r="E819" s="759">
        <v>8</v>
      </c>
      <c r="F819" s="761"/>
      <c r="G819" s="762"/>
      <c r="H819" s="758"/>
      <c r="I819" s="758"/>
      <c r="J819" s="759">
        <v>0</v>
      </c>
      <c r="K819" s="761"/>
      <c r="L819" s="762"/>
      <c r="M819" s="758">
        <v>0.375</v>
      </c>
      <c r="N819" s="758">
        <v>0.29166666666666669</v>
      </c>
      <c r="O819" s="759">
        <v>9</v>
      </c>
      <c r="P819" s="761"/>
      <c r="Q819" s="762"/>
      <c r="R819" s="758">
        <v>0.375</v>
      </c>
      <c r="S819" s="758">
        <v>0.27083333333333331</v>
      </c>
      <c r="T819" s="759">
        <v>8.5</v>
      </c>
      <c r="U819" s="761"/>
      <c r="V819" s="762"/>
      <c r="W819" s="758">
        <v>0.375</v>
      </c>
      <c r="X819" s="758">
        <v>0.25</v>
      </c>
      <c r="Y819" s="759">
        <v>8</v>
      </c>
      <c r="Z819" s="761"/>
      <c r="AA819" s="763">
        <f t="shared" si="111"/>
        <v>33.5</v>
      </c>
      <c r="AB819" s="764">
        <f t="shared" si="112"/>
        <v>0</v>
      </c>
      <c r="AC819" s="762"/>
      <c r="AD819" s="758"/>
      <c r="AE819" s="758"/>
      <c r="AF819" s="759"/>
      <c r="AG819" s="763">
        <f t="shared" si="113"/>
        <v>0</v>
      </c>
      <c r="AH819" s="345"/>
      <c r="AI819" s="770"/>
      <c r="AJ819" s="771"/>
      <c r="AK819" s="772" t="s">
        <v>38</v>
      </c>
      <c r="AL819" s="773">
        <f>AG839</f>
        <v>0</v>
      </c>
      <c r="AM819" s="774">
        <v>79.574999999999989</v>
      </c>
      <c r="AN819" s="774">
        <f t="shared" si="110"/>
        <v>0</v>
      </c>
      <c r="AO819" s="775"/>
      <c r="AP819" s="775"/>
      <c r="AQ819" s="771"/>
      <c r="AR819" s="771"/>
      <c r="AS819" s="771"/>
      <c r="AT819" s="771"/>
      <c r="AU819" s="771"/>
      <c r="AV819" s="771"/>
      <c r="AW819" s="771"/>
    </row>
    <row r="820" spans="2:49">
      <c r="B820" s="758" t="s">
        <v>977</v>
      </c>
      <c r="C820" s="758"/>
      <c r="D820" s="758"/>
      <c r="E820" s="759">
        <v>0</v>
      </c>
      <c r="F820" s="761"/>
      <c r="G820" s="762"/>
      <c r="H820" s="758"/>
      <c r="I820" s="758"/>
      <c r="J820" s="759">
        <v>0</v>
      </c>
      <c r="K820" s="761"/>
      <c r="L820" s="762"/>
      <c r="M820" s="758"/>
      <c r="N820" s="758"/>
      <c r="O820" s="759">
        <v>0</v>
      </c>
      <c r="P820" s="761"/>
      <c r="Q820" s="762"/>
      <c r="R820" s="758"/>
      <c r="S820" s="758"/>
      <c r="T820" s="759">
        <v>0</v>
      </c>
      <c r="U820" s="761"/>
      <c r="V820" s="762"/>
      <c r="W820" s="758"/>
      <c r="X820" s="758"/>
      <c r="Y820" s="759">
        <v>0</v>
      </c>
      <c r="Z820" s="761"/>
      <c r="AA820" s="763">
        <f t="shared" si="111"/>
        <v>0</v>
      </c>
      <c r="AB820" s="764">
        <f t="shared" si="112"/>
        <v>0</v>
      </c>
      <c r="AC820" s="762"/>
      <c r="AD820" s="758"/>
      <c r="AE820" s="758"/>
      <c r="AF820" s="759"/>
      <c r="AG820" s="763">
        <f t="shared" si="113"/>
        <v>0</v>
      </c>
      <c r="AK820" s="772" t="s">
        <v>1133</v>
      </c>
      <c r="AN820" s="510">
        <f>SUM(AN814:AN819)</f>
        <v>6037.3950000000004</v>
      </c>
    </row>
    <row r="821" spans="2:49">
      <c r="B821" s="758" t="s">
        <v>519</v>
      </c>
      <c r="C821" s="758"/>
      <c r="D821" s="758"/>
      <c r="E821" s="759">
        <v>0</v>
      </c>
      <c r="F821" s="761"/>
      <c r="G821" s="762"/>
      <c r="H821" s="758"/>
      <c r="I821" s="758"/>
      <c r="J821" s="759">
        <v>0</v>
      </c>
      <c r="K821" s="761"/>
      <c r="L821" s="762"/>
      <c r="M821" s="758"/>
      <c r="N821" s="758"/>
      <c r="O821" s="759">
        <v>0</v>
      </c>
      <c r="P821" s="761"/>
      <c r="Q821" s="762"/>
      <c r="R821" s="758"/>
      <c r="S821" s="758"/>
      <c r="T821" s="759">
        <v>0</v>
      </c>
      <c r="U821" s="761"/>
      <c r="V821" s="762"/>
      <c r="W821" s="758"/>
      <c r="X821" s="758"/>
      <c r="Y821" s="759">
        <v>0</v>
      </c>
      <c r="Z821" s="761"/>
      <c r="AA821" s="763">
        <f t="shared" si="111"/>
        <v>0</v>
      </c>
      <c r="AB821" s="764">
        <f t="shared" si="112"/>
        <v>0</v>
      </c>
      <c r="AC821" s="762"/>
      <c r="AD821" s="758"/>
      <c r="AE821" s="758"/>
      <c r="AF821" s="759"/>
      <c r="AG821" s="763">
        <f t="shared" si="113"/>
        <v>0</v>
      </c>
    </row>
    <row r="822" spans="2:49">
      <c r="B822" s="758" t="s">
        <v>999</v>
      </c>
      <c r="C822" s="758"/>
      <c r="D822" s="814"/>
      <c r="E822" s="759">
        <v>0</v>
      </c>
      <c r="F822" s="761"/>
      <c r="G822" s="762"/>
      <c r="H822" s="758"/>
      <c r="I822" s="758"/>
      <c r="J822" s="759">
        <v>0</v>
      </c>
      <c r="K822" s="761"/>
      <c r="L822" s="762"/>
      <c r="M822" s="758"/>
      <c r="N822" s="758"/>
      <c r="O822" s="759">
        <v>0</v>
      </c>
      <c r="P822" s="761"/>
      <c r="Q822" s="762"/>
      <c r="R822" s="758"/>
      <c r="S822" s="758"/>
      <c r="T822" s="759">
        <v>0</v>
      </c>
      <c r="U822" s="761"/>
      <c r="V822" s="762"/>
      <c r="W822" s="758"/>
      <c r="X822" s="758"/>
      <c r="Y822" s="759">
        <v>0</v>
      </c>
      <c r="Z822" s="761"/>
      <c r="AA822" s="763">
        <f t="shared" si="111"/>
        <v>0</v>
      </c>
      <c r="AB822" s="764">
        <f t="shared" si="112"/>
        <v>0</v>
      </c>
      <c r="AC822" s="762"/>
      <c r="AD822" s="758"/>
      <c r="AE822" s="758"/>
      <c r="AF822" s="759"/>
      <c r="AG822" s="763">
        <f t="shared" si="113"/>
        <v>0</v>
      </c>
      <c r="AK822" s="192" t="s">
        <v>1115</v>
      </c>
      <c r="AL822" s="189">
        <f>C840</f>
        <v>8</v>
      </c>
      <c r="AM822" s="774">
        <v>45</v>
      </c>
      <c r="AN822" s="510">
        <f>AM822*AL822</f>
        <v>360</v>
      </c>
    </row>
    <row r="823" spans="2:49">
      <c r="B823" s="758" t="s">
        <v>1113</v>
      </c>
      <c r="C823" s="758"/>
      <c r="D823" s="758"/>
      <c r="E823" s="759">
        <v>0</v>
      </c>
      <c r="F823" s="761"/>
      <c r="G823" s="762"/>
      <c r="H823" s="758"/>
      <c r="I823" s="758"/>
      <c r="J823" s="759">
        <v>0</v>
      </c>
      <c r="K823" s="761"/>
      <c r="L823" s="762"/>
      <c r="M823" s="758"/>
      <c r="N823" s="758"/>
      <c r="O823" s="759">
        <v>0</v>
      </c>
      <c r="P823" s="761"/>
      <c r="Q823" s="762"/>
      <c r="R823" s="758"/>
      <c r="S823" s="758"/>
      <c r="T823" s="759">
        <v>0</v>
      </c>
      <c r="U823" s="761"/>
      <c r="V823" s="762"/>
      <c r="W823" s="758"/>
      <c r="X823" s="758"/>
      <c r="Y823" s="759">
        <v>0</v>
      </c>
      <c r="Z823" s="761"/>
      <c r="AA823" s="763">
        <f t="shared" si="111"/>
        <v>0</v>
      </c>
      <c r="AB823" s="764">
        <f t="shared" si="112"/>
        <v>0</v>
      </c>
      <c r="AC823" s="762"/>
      <c r="AD823" s="758"/>
      <c r="AE823" s="758"/>
      <c r="AF823" s="759"/>
      <c r="AG823" s="763">
        <f t="shared" si="113"/>
        <v>0</v>
      </c>
      <c r="AK823" s="192" t="s">
        <v>1134</v>
      </c>
      <c r="AN823" s="510">
        <f>AN822+AN820</f>
        <v>6397.3950000000004</v>
      </c>
    </row>
    <row r="824" spans="2:49">
      <c r="B824" s="815" t="s">
        <v>483</v>
      </c>
      <c r="C824" s="758"/>
      <c r="D824" s="758"/>
      <c r="E824" s="759">
        <v>0</v>
      </c>
      <c r="F824" s="761"/>
      <c r="G824" s="762"/>
      <c r="H824" s="758"/>
      <c r="I824" s="758"/>
      <c r="J824" s="759">
        <v>0</v>
      </c>
      <c r="K824" s="761"/>
      <c r="L824" s="762"/>
      <c r="M824" s="758"/>
      <c r="N824" s="758"/>
      <c r="O824" s="759">
        <v>0</v>
      </c>
      <c r="P824" s="761"/>
      <c r="Q824" s="762"/>
      <c r="R824" s="758"/>
      <c r="S824" s="758"/>
      <c r="T824" s="759">
        <v>0</v>
      </c>
      <c r="U824" s="761"/>
      <c r="V824" s="762"/>
      <c r="W824" s="758"/>
      <c r="X824" s="758"/>
      <c r="Y824" s="759">
        <v>0</v>
      </c>
      <c r="Z824" s="761"/>
      <c r="AA824" s="763">
        <f t="shared" si="111"/>
        <v>0</v>
      </c>
      <c r="AB824" s="764">
        <f t="shared" si="112"/>
        <v>0</v>
      </c>
      <c r="AC824" s="762"/>
      <c r="AD824" s="758"/>
      <c r="AE824" s="758"/>
      <c r="AF824" s="759"/>
      <c r="AG824" s="763">
        <f t="shared" si="113"/>
        <v>0</v>
      </c>
    </row>
    <row r="825" spans="2:49">
      <c r="B825" s="815" t="s">
        <v>483</v>
      </c>
      <c r="C825" s="758"/>
      <c r="D825" s="758"/>
      <c r="E825" s="759">
        <v>0</v>
      </c>
      <c r="F825" s="761"/>
      <c r="G825" s="762"/>
      <c r="H825" s="758"/>
      <c r="I825" s="758"/>
      <c r="J825" s="759">
        <v>0</v>
      </c>
      <c r="K825" s="761"/>
      <c r="L825" s="762"/>
      <c r="M825" s="758"/>
      <c r="N825" s="758"/>
      <c r="O825" s="759">
        <v>0</v>
      </c>
      <c r="P825" s="761"/>
      <c r="Q825" s="762"/>
      <c r="R825" s="758"/>
      <c r="S825" s="758"/>
      <c r="T825" s="759">
        <v>0</v>
      </c>
      <c r="U825" s="761"/>
      <c r="V825" s="762"/>
      <c r="W825" s="758"/>
      <c r="X825" s="758"/>
      <c r="Y825" s="759">
        <v>0</v>
      </c>
      <c r="Z825" s="761"/>
      <c r="AA825" s="763">
        <f t="shared" si="111"/>
        <v>0</v>
      </c>
      <c r="AB825" s="764">
        <f t="shared" si="112"/>
        <v>0</v>
      </c>
      <c r="AC825" s="762"/>
      <c r="AD825" s="758"/>
      <c r="AE825" s="758"/>
      <c r="AF825" s="759"/>
      <c r="AG825" s="763">
        <f t="shared" si="113"/>
        <v>0</v>
      </c>
    </row>
    <row r="826" spans="2:49">
      <c r="B826" s="815" t="s">
        <v>484</v>
      </c>
      <c r="C826" s="758"/>
      <c r="D826" s="758"/>
      <c r="E826" s="759">
        <v>0</v>
      </c>
      <c r="F826" s="761"/>
      <c r="G826" s="762"/>
      <c r="H826" s="758"/>
      <c r="I826" s="758"/>
      <c r="J826" s="759">
        <v>0</v>
      </c>
      <c r="K826" s="761"/>
      <c r="L826" s="762"/>
      <c r="M826" s="758"/>
      <c r="N826" s="758"/>
      <c r="O826" s="759">
        <v>0</v>
      </c>
      <c r="P826" s="761"/>
      <c r="Q826" s="762"/>
      <c r="R826" s="758"/>
      <c r="S826" s="758"/>
      <c r="T826" s="759">
        <v>6</v>
      </c>
      <c r="U826" s="761"/>
      <c r="V826" s="762"/>
      <c r="W826" s="758"/>
      <c r="X826" s="758"/>
      <c r="Y826" s="759">
        <v>6</v>
      </c>
      <c r="Z826" s="761"/>
      <c r="AA826" s="763">
        <f t="shared" si="111"/>
        <v>12</v>
      </c>
      <c r="AB826" s="764">
        <f t="shared" si="112"/>
        <v>0</v>
      </c>
      <c r="AC826" s="762"/>
      <c r="AD826" s="758"/>
      <c r="AE826" s="758"/>
      <c r="AF826" s="759"/>
      <c r="AG826" s="763">
        <f t="shared" si="113"/>
        <v>0</v>
      </c>
    </row>
    <row r="827" spans="2:49">
      <c r="B827" s="815" t="s">
        <v>485</v>
      </c>
      <c r="C827" s="758"/>
      <c r="D827" s="758"/>
      <c r="E827" s="759">
        <v>0</v>
      </c>
      <c r="F827" s="761"/>
      <c r="G827" s="762"/>
      <c r="H827" s="758"/>
      <c r="I827" s="758"/>
      <c r="J827" s="759">
        <v>0</v>
      </c>
      <c r="K827" s="761"/>
      <c r="L827" s="762"/>
      <c r="M827" s="758"/>
      <c r="N827" s="758"/>
      <c r="O827" s="759">
        <v>0</v>
      </c>
      <c r="P827" s="761"/>
      <c r="Q827" s="762"/>
      <c r="R827" s="758"/>
      <c r="S827" s="758"/>
      <c r="T827" s="759">
        <v>6</v>
      </c>
      <c r="U827" s="761"/>
      <c r="V827" s="762"/>
      <c r="W827" s="758"/>
      <c r="X827" s="758"/>
      <c r="Y827" s="759">
        <v>6</v>
      </c>
      <c r="Z827" s="761"/>
      <c r="AA827" s="763">
        <f t="shared" si="111"/>
        <v>12</v>
      </c>
      <c r="AB827" s="764">
        <f t="shared" si="112"/>
        <v>0</v>
      </c>
      <c r="AC827" s="762"/>
      <c r="AD827" s="758"/>
      <c r="AE827" s="758"/>
      <c r="AF827" s="759"/>
      <c r="AG827" s="763">
        <f t="shared" si="113"/>
        <v>0</v>
      </c>
    </row>
    <row r="828" spans="2:49">
      <c r="B828" s="815" t="s">
        <v>1129</v>
      </c>
      <c r="C828" s="758"/>
      <c r="D828" s="758"/>
      <c r="E828" s="759">
        <v>0</v>
      </c>
      <c r="F828" s="761"/>
      <c r="G828" s="762"/>
      <c r="H828" s="758"/>
      <c r="I828" s="758"/>
      <c r="J828" s="759">
        <v>0</v>
      </c>
      <c r="K828" s="761"/>
      <c r="L828" s="762"/>
      <c r="M828" s="758"/>
      <c r="N828" s="758"/>
      <c r="O828" s="759">
        <v>0</v>
      </c>
      <c r="P828" s="761"/>
      <c r="Q828" s="762"/>
      <c r="R828" s="758"/>
      <c r="S828" s="758"/>
      <c r="T828" s="759">
        <v>0</v>
      </c>
      <c r="U828" s="761"/>
      <c r="V828" s="762"/>
      <c r="W828" s="758"/>
      <c r="X828" s="758"/>
      <c r="Y828" s="759">
        <v>0</v>
      </c>
      <c r="Z828" s="761"/>
      <c r="AA828" s="763">
        <f t="shared" si="111"/>
        <v>0</v>
      </c>
      <c r="AB828" s="764">
        <f t="shared" si="112"/>
        <v>0</v>
      </c>
      <c r="AC828" s="762"/>
      <c r="AD828" s="758"/>
      <c r="AE828" s="758"/>
      <c r="AF828" s="759"/>
      <c r="AG828" s="763">
        <f t="shared" si="113"/>
        <v>0</v>
      </c>
    </row>
    <row r="829" spans="2:49">
      <c r="B829" s="816" t="s">
        <v>358</v>
      </c>
      <c r="C829" s="758"/>
      <c r="D829" s="758"/>
      <c r="E829" s="759">
        <v>0</v>
      </c>
      <c r="F829" s="761"/>
      <c r="G829" s="762"/>
      <c r="H829" s="758"/>
      <c r="I829" s="758"/>
      <c r="J829" s="759">
        <v>0</v>
      </c>
      <c r="K829" s="761"/>
      <c r="L829" s="765"/>
      <c r="M829" s="758"/>
      <c r="N829" s="758"/>
      <c r="O829" s="759">
        <v>0</v>
      </c>
      <c r="P829" s="761"/>
      <c r="Q829" s="765"/>
      <c r="R829" s="758"/>
      <c r="S829" s="758"/>
      <c r="T829" s="759">
        <v>0</v>
      </c>
      <c r="U829" s="761"/>
      <c r="V829" s="765"/>
      <c r="W829" s="758"/>
      <c r="X829" s="758"/>
      <c r="Y829" s="759">
        <v>0</v>
      </c>
      <c r="Z829" s="761"/>
      <c r="AA829" s="763">
        <f t="shared" si="111"/>
        <v>0</v>
      </c>
      <c r="AB829" s="764">
        <f t="shared" si="112"/>
        <v>0</v>
      </c>
      <c r="AC829" s="762"/>
      <c r="AD829" s="758"/>
      <c r="AE829" s="758"/>
      <c r="AF829" s="759"/>
      <c r="AG829" s="763">
        <f t="shared" si="113"/>
        <v>0</v>
      </c>
    </row>
    <row r="830" spans="2:49">
      <c r="B830" s="816" t="s">
        <v>1135</v>
      </c>
      <c r="C830" s="758"/>
      <c r="D830" s="758"/>
      <c r="E830" s="759">
        <v>0</v>
      </c>
      <c r="F830" s="761"/>
      <c r="G830" s="762"/>
      <c r="H830" s="758"/>
      <c r="I830" s="758"/>
      <c r="J830" s="759">
        <v>0</v>
      </c>
      <c r="K830" s="761"/>
      <c r="L830" s="765"/>
      <c r="M830" s="758"/>
      <c r="N830" s="758"/>
      <c r="O830" s="759">
        <v>0</v>
      </c>
      <c r="P830" s="761"/>
      <c r="Q830" s="765"/>
      <c r="R830" s="758"/>
      <c r="S830" s="758"/>
      <c r="T830" s="759">
        <v>0</v>
      </c>
      <c r="U830" s="761"/>
      <c r="V830" s="765"/>
      <c r="W830" s="758"/>
      <c r="X830" s="758"/>
      <c r="Y830" s="759">
        <v>0</v>
      </c>
      <c r="Z830" s="761"/>
      <c r="AA830" s="763">
        <f t="shared" si="111"/>
        <v>0</v>
      </c>
      <c r="AB830" s="764">
        <f t="shared" si="112"/>
        <v>0</v>
      </c>
      <c r="AC830" s="762"/>
      <c r="AD830" s="758"/>
      <c r="AE830" s="758"/>
      <c r="AF830" s="759"/>
      <c r="AG830" s="763">
        <f t="shared" si="113"/>
        <v>0</v>
      </c>
    </row>
    <row r="831" spans="2:49">
      <c r="B831" s="816" t="s">
        <v>411</v>
      </c>
      <c r="C831" s="758"/>
      <c r="D831" s="758"/>
      <c r="E831" s="759">
        <v>0</v>
      </c>
      <c r="F831" s="761"/>
      <c r="G831" s="762"/>
      <c r="H831" s="758"/>
      <c r="I831" s="758"/>
      <c r="J831" s="759">
        <v>0</v>
      </c>
      <c r="K831" s="761"/>
      <c r="L831" s="765"/>
      <c r="M831" s="758"/>
      <c r="N831" s="758"/>
      <c r="O831" s="759">
        <v>0</v>
      </c>
      <c r="P831" s="761"/>
      <c r="Q831" s="765"/>
      <c r="R831" s="758"/>
      <c r="S831" s="758"/>
      <c r="T831" s="759">
        <v>0</v>
      </c>
      <c r="U831" s="761"/>
      <c r="V831" s="765"/>
      <c r="W831" s="758"/>
      <c r="X831" s="758"/>
      <c r="Y831" s="759">
        <v>0</v>
      </c>
      <c r="Z831" s="761"/>
      <c r="AA831" s="763">
        <f t="shared" si="111"/>
        <v>0</v>
      </c>
      <c r="AB831" s="764">
        <f t="shared" si="112"/>
        <v>0</v>
      </c>
      <c r="AC831" s="762"/>
      <c r="AD831" s="758"/>
      <c r="AE831" s="758"/>
      <c r="AF831" s="759"/>
      <c r="AG831" s="763">
        <f t="shared" si="113"/>
        <v>0</v>
      </c>
    </row>
    <row r="832" spans="2:49">
      <c r="B832" s="816" t="s">
        <v>361</v>
      </c>
      <c r="C832" s="758"/>
      <c r="D832" s="758"/>
      <c r="E832" s="759">
        <v>0</v>
      </c>
      <c r="F832" s="761"/>
      <c r="G832" s="762"/>
      <c r="H832" s="758"/>
      <c r="I832" s="758"/>
      <c r="J832" s="759">
        <v>0</v>
      </c>
      <c r="K832" s="761"/>
      <c r="L832" s="765"/>
      <c r="M832" s="758"/>
      <c r="N832" s="758"/>
      <c r="O832" s="759">
        <v>0</v>
      </c>
      <c r="P832" s="761"/>
      <c r="Q832" s="765"/>
      <c r="R832" s="758"/>
      <c r="S832" s="758"/>
      <c r="T832" s="759">
        <v>0</v>
      </c>
      <c r="U832" s="761"/>
      <c r="V832" s="765"/>
      <c r="W832" s="758"/>
      <c r="X832" s="758"/>
      <c r="Y832" s="759">
        <v>0</v>
      </c>
      <c r="Z832" s="761"/>
      <c r="AA832" s="763">
        <f t="shared" si="111"/>
        <v>0</v>
      </c>
      <c r="AB832" s="764">
        <f t="shared" si="112"/>
        <v>0</v>
      </c>
      <c r="AC832" s="762"/>
      <c r="AD832" s="758"/>
      <c r="AE832" s="758"/>
      <c r="AF832" s="759"/>
      <c r="AG832" s="763">
        <f t="shared" si="113"/>
        <v>0</v>
      </c>
    </row>
    <row r="833" spans="2:42">
      <c r="B833" s="816" t="s">
        <v>362</v>
      </c>
      <c r="C833" s="758"/>
      <c r="D833" s="766"/>
      <c r="E833" s="759">
        <v>0</v>
      </c>
      <c r="F833" s="761"/>
      <c r="G833" s="762"/>
      <c r="H833" s="758"/>
      <c r="I833" s="766"/>
      <c r="J833" s="759">
        <v>0</v>
      </c>
      <c r="K833" s="761"/>
      <c r="L833" s="765"/>
      <c r="M833" s="758"/>
      <c r="N833" s="766"/>
      <c r="O833" s="759">
        <v>0</v>
      </c>
      <c r="P833" s="761"/>
      <c r="Q833" s="765"/>
      <c r="R833" s="758"/>
      <c r="S833" s="766"/>
      <c r="T833" s="759">
        <v>0</v>
      </c>
      <c r="U833" s="761"/>
      <c r="V833" s="765"/>
      <c r="W833" s="758"/>
      <c r="X833" s="766"/>
      <c r="Y833" s="759">
        <v>0</v>
      </c>
      <c r="Z833" s="761"/>
      <c r="AA833" s="763">
        <f t="shared" si="111"/>
        <v>0</v>
      </c>
      <c r="AB833" s="764">
        <f t="shared" si="112"/>
        <v>0</v>
      </c>
      <c r="AC833" s="762"/>
      <c r="AD833" s="758"/>
      <c r="AE833" s="758"/>
      <c r="AF833" s="759"/>
      <c r="AG833" s="763">
        <f t="shared" si="113"/>
        <v>0</v>
      </c>
    </row>
    <row r="834" spans="2:42">
      <c r="B834" s="817" t="s">
        <v>355</v>
      </c>
      <c r="C834" s="758"/>
      <c r="D834" s="758"/>
      <c r="E834" s="759">
        <v>0</v>
      </c>
      <c r="F834" s="761"/>
      <c r="G834" s="762"/>
      <c r="H834" s="758"/>
      <c r="I834" s="758"/>
      <c r="J834" s="759">
        <v>0</v>
      </c>
      <c r="K834" s="761"/>
      <c r="L834" s="765"/>
      <c r="M834" s="758"/>
      <c r="N834" s="758"/>
      <c r="O834" s="759">
        <v>0</v>
      </c>
      <c r="P834" s="761"/>
      <c r="Q834" s="765"/>
      <c r="R834" s="758"/>
      <c r="S834" s="758"/>
      <c r="T834" s="759">
        <v>2.5</v>
      </c>
      <c r="U834" s="761"/>
      <c r="V834" s="765"/>
      <c r="W834" s="758"/>
      <c r="X834" s="758"/>
      <c r="Y834" s="759">
        <v>2.5</v>
      </c>
      <c r="Z834" s="761"/>
      <c r="AA834" s="763">
        <f t="shared" si="111"/>
        <v>5</v>
      </c>
      <c r="AB834" s="764">
        <f t="shared" si="112"/>
        <v>0</v>
      </c>
      <c r="AC834" s="762"/>
      <c r="AD834" s="758"/>
      <c r="AE834" s="758"/>
      <c r="AF834" s="759"/>
      <c r="AG834" s="763">
        <f t="shared" si="113"/>
        <v>0</v>
      </c>
    </row>
    <row r="835" spans="2:42">
      <c r="B835" s="817" t="s">
        <v>356</v>
      </c>
      <c r="C835" s="818"/>
      <c r="D835" s="818"/>
      <c r="E835" s="759">
        <v>0</v>
      </c>
      <c r="F835" s="761"/>
      <c r="G835" s="765"/>
      <c r="H835" s="766"/>
      <c r="I835" s="766"/>
      <c r="J835" s="759">
        <v>0</v>
      </c>
      <c r="K835" s="761"/>
      <c r="L835" s="765"/>
      <c r="M835" s="766"/>
      <c r="N835" s="766"/>
      <c r="O835" s="759">
        <v>0</v>
      </c>
      <c r="P835" s="761"/>
      <c r="Q835" s="765"/>
      <c r="R835" s="766"/>
      <c r="S835" s="766"/>
      <c r="T835" s="759">
        <v>0</v>
      </c>
      <c r="U835" s="761"/>
      <c r="V835" s="765"/>
      <c r="W835" s="766"/>
      <c r="X835" s="766"/>
      <c r="Y835" s="759">
        <v>0</v>
      </c>
      <c r="Z835" s="761"/>
      <c r="AA835" s="763">
        <f t="shared" si="111"/>
        <v>0</v>
      </c>
      <c r="AB835" s="764">
        <f t="shared" si="112"/>
        <v>0</v>
      </c>
      <c r="AC835" s="762"/>
      <c r="AD835" s="758"/>
      <c r="AE835" s="758"/>
      <c r="AF835" s="759"/>
      <c r="AG835" s="763">
        <f t="shared" si="113"/>
        <v>0</v>
      </c>
    </row>
    <row r="836" spans="2:42">
      <c r="B836" s="767" t="s">
        <v>61</v>
      </c>
      <c r="C836" s="767"/>
      <c r="D836" s="767"/>
      <c r="E836" s="760">
        <f>SUM(E815:E835)</f>
        <v>8</v>
      </c>
      <c r="F836" s="761"/>
      <c r="G836" s="767"/>
      <c r="H836" s="767"/>
      <c r="I836" s="767"/>
      <c r="J836" s="760">
        <f>SUM(J815:J835)</f>
        <v>8</v>
      </c>
      <c r="K836" s="761"/>
      <c r="L836" s="767"/>
      <c r="M836" s="767"/>
      <c r="N836" s="767"/>
      <c r="O836" s="760">
        <f>SUM(O815:O835)</f>
        <v>25</v>
      </c>
      <c r="P836" s="761"/>
      <c r="Q836" s="767"/>
      <c r="R836" s="767"/>
      <c r="S836" s="767"/>
      <c r="T836" s="760">
        <f>SUM(T815:T835)</f>
        <v>23</v>
      </c>
      <c r="U836" s="761"/>
      <c r="V836" s="767"/>
      <c r="W836" s="767"/>
      <c r="X836" s="767"/>
      <c r="Y836" s="760">
        <f>SUM(Y815:Y835)</f>
        <v>30.5</v>
      </c>
      <c r="Z836" s="761"/>
      <c r="AA836" s="763">
        <f>SUM(AA815:AA835)</f>
        <v>94.5</v>
      </c>
      <c r="AB836" s="763">
        <f>SUM(AB815:AB835)</f>
        <v>0</v>
      </c>
      <c r="AC836" s="762"/>
      <c r="AD836" s="767"/>
      <c r="AE836" s="767"/>
      <c r="AF836" s="763">
        <f>SUM(AF815:AF835)</f>
        <v>0</v>
      </c>
      <c r="AG836" s="763">
        <f>SUM(AG815:AG835)</f>
        <v>0</v>
      </c>
    </row>
    <row r="837" spans="2:42">
      <c r="B837" s="816" t="s">
        <v>1116</v>
      </c>
      <c r="C837" s="758"/>
      <c r="D837" s="758"/>
      <c r="E837" s="759">
        <v>8</v>
      </c>
      <c r="F837" s="761"/>
      <c r="G837" s="762"/>
      <c r="H837" s="758"/>
      <c r="I837" s="758"/>
      <c r="J837" s="759">
        <v>8</v>
      </c>
      <c r="K837" s="761"/>
      <c r="L837" s="762"/>
      <c r="M837" s="758"/>
      <c r="N837" s="758"/>
      <c r="O837" s="759">
        <v>8</v>
      </c>
      <c r="P837" s="761"/>
      <c r="Q837" s="762"/>
      <c r="R837" s="758"/>
      <c r="S837" s="758"/>
      <c r="T837" s="759">
        <v>8</v>
      </c>
      <c r="U837" s="761"/>
      <c r="V837" s="762"/>
      <c r="W837" s="758"/>
      <c r="X837" s="758"/>
      <c r="Y837" s="759">
        <v>8</v>
      </c>
      <c r="Z837" s="761"/>
      <c r="AA837" s="763">
        <f>(E837+J837+O837+T837+Y837)</f>
        <v>40</v>
      </c>
      <c r="AB837" s="764">
        <f>Z837+U837+P837+K837+F837</f>
        <v>0</v>
      </c>
      <c r="AC837" s="762"/>
      <c r="AD837" s="758"/>
      <c r="AE837" s="758"/>
      <c r="AF837" s="759"/>
      <c r="AG837" s="763">
        <f>AF837</f>
        <v>0</v>
      </c>
    </row>
    <row r="838" spans="2:42">
      <c r="B838" s="816" t="s">
        <v>64</v>
      </c>
      <c r="C838" s="758"/>
      <c r="D838" s="758"/>
      <c r="E838" s="759">
        <v>0</v>
      </c>
      <c r="F838" s="759"/>
      <c r="G838" s="819"/>
      <c r="H838" s="758"/>
      <c r="I838" s="758"/>
      <c r="J838" s="759">
        <v>0</v>
      </c>
      <c r="K838" s="759"/>
      <c r="L838" s="765"/>
      <c r="M838" s="758"/>
      <c r="N838" s="758"/>
      <c r="O838" s="759">
        <v>2</v>
      </c>
      <c r="P838" s="759"/>
      <c r="Q838" s="765"/>
      <c r="R838" s="758"/>
      <c r="S838" s="758"/>
      <c r="T838" s="759">
        <v>0</v>
      </c>
      <c r="U838" s="759"/>
      <c r="V838" s="765"/>
      <c r="W838" s="758"/>
      <c r="X838" s="758"/>
      <c r="Y838" s="759">
        <v>0</v>
      </c>
      <c r="Z838" s="759"/>
      <c r="AA838" s="763">
        <f>SUM(E838+J838+O838+T838+Y838)</f>
        <v>2</v>
      </c>
      <c r="AB838" s="768">
        <f>Z838+U838+P838+K838+F838</f>
        <v>0</v>
      </c>
      <c r="AC838" s="762"/>
      <c r="AD838" s="758" t="s">
        <v>29</v>
      </c>
      <c r="AE838" s="758" t="s">
        <v>29</v>
      </c>
      <c r="AF838" s="759"/>
      <c r="AG838" s="763">
        <f>AF838</f>
        <v>0</v>
      </c>
    </row>
    <row r="839" spans="2:42">
      <c r="B839" s="819" t="s">
        <v>66</v>
      </c>
      <c r="C839" s="820"/>
      <c r="D839" s="820"/>
      <c r="E839" s="819"/>
      <c r="F839" s="819"/>
      <c r="G839" s="819"/>
      <c r="H839" s="819"/>
      <c r="I839" s="819"/>
      <c r="J839" s="819"/>
      <c r="K839" s="819"/>
      <c r="L839" s="819"/>
      <c r="M839" s="819"/>
      <c r="N839" s="819"/>
      <c r="O839" s="819"/>
      <c r="P839" s="819"/>
      <c r="Q839" s="819"/>
      <c r="R839" s="819"/>
      <c r="S839" s="819"/>
      <c r="T839" s="819"/>
      <c r="U839" s="819"/>
      <c r="V839" s="819"/>
      <c r="W839" s="819"/>
      <c r="X839" s="819"/>
      <c r="Y839" s="819"/>
      <c r="Z839" s="819"/>
      <c r="AA839" s="763">
        <f>SUM(AA837:AA838)</f>
        <v>42</v>
      </c>
      <c r="AB839" s="763">
        <f>SUM(AB838:AB838)</f>
        <v>0</v>
      </c>
      <c r="AC839" s="762"/>
      <c r="AD839" s="811"/>
      <c r="AE839" s="811"/>
      <c r="AF839" s="811"/>
      <c r="AG839" s="763">
        <f>SUM(AG838:AG838)</f>
        <v>0</v>
      </c>
      <c r="AK839" s="407"/>
    </row>
    <row r="840" spans="2:42">
      <c r="B840" s="821" t="s">
        <v>67</v>
      </c>
      <c r="C840" s="822">
        <f>C841+C842</f>
        <v>8</v>
      </c>
      <c r="D840" s="822"/>
      <c r="E840" s="823"/>
      <c r="F840" s="823"/>
      <c r="G840" s="822"/>
      <c r="H840" s="823"/>
      <c r="I840" s="823"/>
      <c r="J840" s="823"/>
      <c r="K840" s="823"/>
      <c r="L840" s="822"/>
      <c r="M840" s="822"/>
      <c r="N840" s="822"/>
      <c r="O840" s="822"/>
      <c r="P840" s="823"/>
      <c r="Q840" s="822"/>
      <c r="R840" s="822"/>
      <c r="S840" s="822"/>
      <c r="T840" s="822"/>
      <c r="U840" s="823"/>
      <c r="V840" s="822"/>
      <c r="W840" s="822"/>
      <c r="X840" s="822"/>
      <c r="Y840" s="824"/>
      <c r="Z840" s="823"/>
      <c r="AA840" s="825"/>
      <c r="AB840" s="823"/>
      <c r="AC840" s="825"/>
      <c r="AD840" s="825"/>
      <c r="AE840" s="825"/>
      <c r="AF840" s="825"/>
      <c r="AG840" s="825"/>
      <c r="AK840" s="407"/>
    </row>
    <row r="841" spans="2:42">
      <c r="B841" s="826" t="s">
        <v>68</v>
      </c>
      <c r="C841" s="822">
        <v>0</v>
      </c>
      <c r="D841" s="822"/>
      <c r="E841" s="823"/>
      <c r="F841" s="823"/>
      <c r="G841" s="822"/>
      <c r="H841" s="823"/>
      <c r="I841" s="823"/>
      <c r="J841" s="823"/>
      <c r="K841" s="823"/>
      <c r="L841" s="822"/>
      <c r="M841" s="822"/>
      <c r="N841" s="822"/>
      <c r="O841" s="822"/>
      <c r="P841" s="823"/>
      <c r="Q841" s="822"/>
      <c r="R841" s="822"/>
      <c r="S841" s="822"/>
      <c r="T841" s="822"/>
      <c r="U841" s="823"/>
      <c r="V841" s="822"/>
      <c r="W841" s="822"/>
      <c r="X841" s="822"/>
      <c r="Y841" s="824"/>
      <c r="Z841" s="823"/>
      <c r="AA841" s="825"/>
      <c r="AB841" s="823"/>
      <c r="AC841" s="825"/>
      <c r="AD841" s="825"/>
      <c r="AE841" s="825"/>
      <c r="AF841" s="825"/>
      <c r="AG841" s="825"/>
      <c r="AK841" s="407"/>
    </row>
    <row r="842" spans="2:42">
      <c r="B842" s="826" t="s">
        <v>69</v>
      </c>
      <c r="C842" s="822">
        <v>8</v>
      </c>
      <c r="D842" s="822"/>
      <c r="E842" s="823"/>
      <c r="F842" s="823"/>
      <c r="G842" s="822"/>
      <c r="H842" s="823"/>
      <c r="I842" s="823"/>
      <c r="J842" s="823"/>
      <c r="K842" s="823"/>
      <c r="L842" s="822"/>
      <c r="M842" s="822"/>
      <c r="N842" s="822"/>
      <c r="O842" s="822"/>
      <c r="P842" s="823"/>
      <c r="Q842" s="822"/>
      <c r="R842" s="822"/>
      <c r="S842" s="822"/>
      <c r="T842" s="822"/>
      <c r="U842" s="823"/>
      <c r="V842" s="822"/>
      <c r="W842" s="822"/>
      <c r="X842" s="822"/>
      <c r="Y842" s="824"/>
      <c r="Z842" s="823"/>
      <c r="AA842" s="825"/>
      <c r="AB842" s="823"/>
      <c r="AC842" s="825"/>
      <c r="AD842" s="825"/>
      <c r="AE842" s="825"/>
      <c r="AF842" s="825"/>
      <c r="AG842" s="825"/>
    </row>
    <row r="843" spans="2:42">
      <c r="B843" s="827"/>
      <c r="C843" s="811"/>
      <c r="D843" s="811"/>
      <c r="E843" s="813"/>
      <c r="F843" s="813"/>
      <c r="G843" s="813"/>
      <c r="H843" s="811"/>
      <c r="I843" s="811"/>
      <c r="J843" s="813"/>
      <c r="K843" s="813"/>
      <c r="L843" s="813"/>
      <c r="M843" s="811"/>
      <c r="N843" s="811"/>
      <c r="O843" s="813"/>
      <c r="P843" s="813"/>
      <c r="Q843" s="762"/>
      <c r="R843" s="811"/>
      <c r="S843" s="811"/>
      <c r="T843" s="813"/>
      <c r="U843" s="813"/>
      <c r="V843" s="762"/>
      <c r="W843" s="811"/>
      <c r="X843" s="811"/>
      <c r="Y843" s="813"/>
      <c r="Z843" s="813"/>
      <c r="AA843" s="813"/>
      <c r="AB843" s="813"/>
      <c r="AC843" s="813"/>
      <c r="AD843" s="811"/>
      <c r="AE843" s="811"/>
      <c r="AF843" s="811"/>
      <c r="AG843" s="811"/>
    </row>
    <row r="844" spans="2:42">
      <c r="B844" s="827"/>
      <c r="C844" s="811"/>
      <c r="D844" s="811"/>
      <c r="E844" s="813"/>
      <c r="F844" s="813"/>
      <c r="G844" s="813"/>
      <c r="H844" s="811"/>
      <c r="I844" s="811"/>
      <c r="J844" s="813"/>
      <c r="K844" s="813"/>
      <c r="L844" s="813"/>
      <c r="M844" s="811"/>
      <c r="N844" s="811"/>
      <c r="O844" s="813"/>
      <c r="P844" s="813"/>
      <c r="Q844" s="762"/>
      <c r="R844" s="811"/>
      <c r="S844" s="811"/>
      <c r="T844" s="813"/>
      <c r="U844" s="813"/>
      <c r="V844" s="762"/>
      <c r="W844" s="811"/>
      <c r="X844" s="811"/>
      <c r="Y844" s="813"/>
      <c r="Z844" s="813"/>
      <c r="AA844" s="813"/>
      <c r="AB844" s="813"/>
      <c r="AC844" s="813"/>
      <c r="AD844" s="811"/>
      <c r="AE844" s="811"/>
      <c r="AF844" s="811"/>
      <c r="AG844" s="811"/>
    </row>
    <row r="845" spans="2:42" ht="25.5">
      <c r="B845" s="1576" t="s">
        <v>18</v>
      </c>
      <c r="C845" s="1577">
        <v>45880</v>
      </c>
      <c r="D845" s="1577"/>
      <c r="E845" s="1577" t="s">
        <v>564</v>
      </c>
      <c r="F845" s="1577"/>
      <c r="G845" s="807"/>
      <c r="H845" s="1577">
        <v>45881</v>
      </c>
      <c r="I845" s="1577"/>
      <c r="J845" s="1577" t="s">
        <v>565</v>
      </c>
      <c r="K845" s="1577"/>
      <c r="L845" s="807"/>
      <c r="M845" s="1577">
        <v>45882</v>
      </c>
      <c r="N845" s="1577"/>
      <c r="O845" s="1577" t="s">
        <v>566</v>
      </c>
      <c r="P845" s="1577"/>
      <c r="Q845" s="807"/>
      <c r="R845" s="1577">
        <v>45883</v>
      </c>
      <c r="S845" s="1577"/>
      <c r="T845" s="1577" t="s">
        <v>567</v>
      </c>
      <c r="U845" s="1577"/>
      <c r="V845" s="807"/>
      <c r="W845" s="1577">
        <v>45884</v>
      </c>
      <c r="X845" s="1577"/>
      <c r="Y845" s="1577" t="s">
        <v>568</v>
      </c>
      <c r="Z845" s="1577"/>
      <c r="AA845" s="1578" t="s">
        <v>19</v>
      </c>
      <c r="AB845" s="1578" t="s">
        <v>20</v>
      </c>
      <c r="AC845" s="762"/>
      <c r="AD845" s="1577"/>
      <c r="AE845" s="1577"/>
      <c r="AF845" s="808" t="s">
        <v>1111</v>
      </c>
      <c r="AG845" s="1578" t="s">
        <v>21</v>
      </c>
      <c r="AI845" s="368"/>
      <c r="AK845" s="194" t="s">
        <v>84</v>
      </c>
      <c r="AL845" s="366"/>
      <c r="AM845" s="366"/>
      <c r="AN845" s="366"/>
      <c r="AO845" s="366"/>
      <c r="AP845" s="366"/>
    </row>
    <row r="846" spans="2:42">
      <c r="B846" s="1576"/>
      <c r="C846" s="809" t="s">
        <v>23</v>
      </c>
      <c r="D846" s="809" t="s">
        <v>24</v>
      </c>
      <c r="E846" s="768" t="s">
        <v>25</v>
      </c>
      <c r="F846" s="810" t="s">
        <v>14</v>
      </c>
      <c r="G846" s="762"/>
      <c r="H846" s="809"/>
      <c r="I846" s="809" t="s">
        <v>24</v>
      </c>
      <c r="J846" s="810" t="s">
        <v>25</v>
      </c>
      <c r="K846" s="810" t="s">
        <v>14</v>
      </c>
      <c r="L846" s="762"/>
      <c r="M846" s="809" t="s">
        <v>23</v>
      </c>
      <c r="N846" s="809" t="s">
        <v>24</v>
      </c>
      <c r="O846" s="810" t="s">
        <v>25</v>
      </c>
      <c r="P846" s="810" t="s">
        <v>14</v>
      </c>
      <c r="Q846" s="762"/>
      <c r="R846" s="809" t="s">
        <v>23</v>
      </c>
      <c r="S846" s="809" t="s">
        <v>24</v>
      </c>
      <c r="T846" s="810" t="s">
        <v>25</v>
      </c>
      <c r="U846" s="810" t="s">
        <v>14</v>
      </c>
      <c r="V846" s="762"/>
      <c r="W846" s="809" t="s">
        <v>23</v>
      </c>
      <c r="X846" s="809" t="s">
        <v>24</v>
      </c>
      <c r="Y846" s="810" t="s">
        <v>25</v>
      </c>
      <c r="Z846" s="810" t="s">
        <v>14</v>
      </c>
      <c r="AA846" s="1578"/>
      <c r="AB846" s="1578"/>
      <c r="AC846" s="762"/>
      <c r="AD846" s="809" t="s">
        <v>23</v>
      </c>
      <c r="AE846" s="809" t="s">
        <v>24</v>
      </c>
      <c r="AF846" s="810" t="s">
        <v>25</v>
      </c>
      <c r="AG846" s="1578"/>
      <c r="AI846" s="368"/>
      <c r="AJ846" s="367"/>
      <c r="AK846" s="188" t="s">
        <v>26</v>
      </c>
      <c r="AL846" s="196">
        <f>AA868</f>
        <v>83.5</v>
      </c>
      <c r="AM846" s="510">
        <v>40.31</v>
      </c>
      <c r="AN846" s="510">
        <f t="shared" ref="AN846:AN851" si="114">AL846*AM846</f>
        <v>3365.8850000000002</v>
      </c>
    </row>
    <row r="847" spans="2:42">
      <c r="B847" s="758" t="s">
        <v>515</v>
      </c>
      <c r="C847" s="758"/>
      <c r="D847" s="758"/>
      <c r="E847" s="759">
        <v>0</v>
      </c>
      <c r="F847" s="761"/>
      <c r="G847" s="762"/>
      <c r="H847" s="758"/>
      <c r="I847" s="758"/>
      <c r="J847" s="759">
        <v>0</v>
      </c>
      <c r="K847" s="761"/>
      <c r="L847" s="762"/>
      <c r="M847" s="758"/>
      <c r="N847" s="758"/>
      <c r="O847" s="759">
        <v>0</v>
      </c>
      <c r="P847" s="761"/>
      <c r="Q847" s="762"/>
      <c r="R847" s="758"/>
      <c r="S847" s="758"/>
      <c r="T847" s="759">
        <v>0</v>
      </c>
      <c r="U847" s="761"/>
      <c r="V847" s="762"/>
      <c r="W847" s="758"/>
      <c r="X847" s="758"/>
      <c r="Y847" s="759">
        <v>0</v>
      </c>
      <c r="Z847" s="761"/>
      <c r="AA847" s="763">
        <f t="shared" ref="AA847:AA867" si="115">(E847+J847+O847+T847+Y847)</f>
        <v>0</v>
      </c>
      <c r="AB847" s="764">
        <f t="shared" ref="AB847:AB867" si="116">Z847+U847+P847+K847+F847</f>
        <v>0</v>
      </c>
      <c r="AC847" s="762"/>
      <c r="AD847" s="811"/>
      <c r="AE847" s="811"/>
      <c r="AF847" s="759"/>
      <c r="AG847" s="763">
        <f t="shared" ref="AG847:AG867" si="117">AF847</f>
        <v>0</v>
      </c>
      <c r="AI847" s="368"/>
      <c r="AJ847" s="367"/>
      <c r="AK847" s="188" t="s">
        <v>30</v>
      </c>
      <c r="AL847" s="196">
        <f>AB868</f>
        <v>0</v>
      </c>
      <c r="AM847" s="511">
        <v>60.465000000000003</v>
      </c>
      <c r="AN847" s="510">
        <f t="shared" si="114"/>
        <v>0</v>
      </c>
    </row>
    <row r="848" spans="2:42">
      <c r="B848" s="758" t="s">
        <v>1112</v>
      </c>
      <c r="C848" s="758"/>
      <c r="D848" s="758"/>
      <c r="E848" s="759">
        <v>0</v>
      </c>
      <c r="F848" s="761"/>
      <c r="G848" s="762"/>
      <c r="H848" s="758">
        <v>0.375</v>
      </c>
      <c r="I848" s="758">
        <v>0.25</v>
      </c>
      <c r="J848" s="759">
        <v>8</v>
      </c>
      <c r="K848" s="761"/>
      <c r="L848" s="762"/>
      <c r="M848" s="758"/>
      <c r="N848" s="758"/>
      <c r="O848" s="759">
        <v>0</v>
      </c>
      <c r="P848" s="761"/>
      <c r="Q848" s="762"/>
      <c r="R848" s="758"/>
      <c r="S848" s="758"/>
      <c r="T848" s="759">
        <v>0</v>
      </c>
      <c r="U848" s="761"/>
      <c r="V848" s="762"/>
      <c r="W848" s="758"/>
      <c r="X848" s="758"/>
      <c r="Y848" s="759">
        <v>0</v>
      </c>
      <c r="Z848" s="761"/>
      <c r="AA848" s="763">
        <f t="shared" si="115"/>
        <v>8</v>
      </c>
      <c r="AB848" s="764">
        <f t="shared" si="116"/>
        <v>0</v>
      </c>
      <c r="AC848" s="762"/>
      <c r="AD848" s="758"/>
      <c r="AE848" s="758"/>
      <c r="AF848" s="759"/>
      <c r="AG848" s="763">
        <f t="shared" si="117"/>
        <v>0</v>
      </c>
      <c r="AH848" s="175"/>
      <c r="AI848" s="402"/>
      <c r="AJ848" s="367"/>
      <c r="AK848" s="188" t="s">
        <v>32</v>
      </c>
      <c r="AL848" s="196">
        <f>AG868</f>
        <v>0</v>
      </c>
      <c r="AM848" s="510">
        <v>60.465000000000003</v>
      </c>
      <c r="AN848" s="510">
        <f t="shared" si="114"/>
        <v>0</v>
      </c>
    </row>
    <row r="849" spans="2:42">
      <c r="B849" s="812" t="s">
        <v>972</v>
      </c>
      <c r="C849" s="758"/>
      <c r="D849" s="758"/>
      <c r="E849" s="759">
        <v>0</v>
      </c>
      <c r="F849" s="761"/>
      <c r="G849" s="762"/>
      <c r="H849" s="758"/>
      <c r="I849" s="758"/>
      <c r="J849" s="759">
        <v>0</v>
      </c>
      <c r="K849" s="761"/>
      <c r="L849" s="762"/>
      <c r="M849" s="758"/>
      <c r="N849" s="758"/>
      <c r="O849" s="759">
        <v>0</v>
      </c>
      <c r="P849" s="761"/>
      <c r="Q849" s="762"/>
      <c r="R849" s="758"/>
      <c r="S849" s="758"/>
      <c r="T849" s="759">
        <v>0</v>
      </c>
      <c r="U849" s="761"/>
      <c r="V849" s="762"/>
      <c r="W849" s="758"/>
      <c r="X849" s="758"/>
      <c r="Y849" s="759">
        <v>0</v>
      </c>
      <c r="Z849" s="761"/>
      <c r="AA849" s="763">
        <f t="shared" si="115"/>
        <v>0</v>
      </c>
      <c r="AB849" s="764">
        <f t="shared" si="116"/>
        <v>0</v>
      </c>
      <c r="AC849" s="762"/>
      <c r="AD849" s="758"/>
      <c r="AE849" s="758"/>
      <c r="AF849" s="759"/>
      <c r="AG849" s="763">
        <f t="shared" si="117"/>
        <v>0</v>
      </c>
      <c r="AH849" s="175"/>
      <c r="AJ849" s="401"/>
      <c r="AK849" s="403" t="s">
        <v>213</v>
      </c>
      <c r="AL849" s="404">
        <f>AA871</f>
        <v>40</v>
      </c>
      <c r="AM849" s="510">
        <v>53.05</v>
      </c>
      <c r="AN849" s="510">
        <f t="shared" si="114"/>
        <v>2122</v>
      </c>
      <c r="AO849" s="405"/>
      <c r="AP849" s="405"/>
    </row>
    <row r="850" spans="2:42">
      <c r="B850" s="758" t="s">
        <v>974</v>
      </c>
      <c r="C850" s="758"/>
      <c r="D850" s="758"/>
      <c r="E850" s="759">
        <v>0</v>
      </c>
      <c r="F850" s="761"/>
      <c r="G850" s="762"/>
      <c r="H850" s="758"/>
      <c r="I850" s="758"/>
      <c r="J850" s="759">
        <v>0</v>
      </c>
      <c r="K850" s="761"/>
      <c r="L850" s="762"/>
      <c r="M850" s="758"/>
      <c r="N850" s="758"/>
      <c r="O850" s="759">
        <v>0</v>
      </c>
      <c r="P850" s="761"/>
      <c r="Q850" s="762"/>
      <c r="R850" s="758"/>
      <c r="S850" s="758"/>
      <c r="T850" s="759">
        <v>0</v>
      </c>
      <c r="U850" s="761"/>
      <c r="V850" s="762"/>
      <c r="W850" s="758"/>
      <c r="X850" s="758"/>
      <c r="Y850" s="759">
        <v>0</v>
      </c>
      <c r="Z850" s="761"/>
      <c r="AA850" s="763">
        <f t="shared" si="115"/>
        <v>0</v>
      </c>
      <c r="AB850" s="764">
        <f t="shared" si="116"/>
        <v>0</v>
      </c>
      <c r="AC850" s="762"/>
      <c r="AD850" s="758"/>
      <c r="AE850" s="758"/>
      <c r="AF850" s="759"/>
      <c r="AG850" s="763">
        <f t="shared" si="117"/>
        <v>0</v>
      </c>
      <c r="AI850" s="368"/>
      <c r="AK850" s="188" t="s">
        <v>36</v>
      </c>
      <c r="AL850" s="196">
        <f>AB871</f>
        <v>0</v>
      </c>
      <c r="AM850" s="510">
        <v>79.574999999999989</v>
      </c>
      <c r="AN850" s="510">
        <f t="shared" si="114"/>
        <v>0</v>
      </c>
    </row>
    <row r="851" spans="2:42">
      <c r="B851" s="813" t="s">
        <v>998</v>
      </c>
      <c r="C851" s="758">
        <v>0.375</v>
      </c>
      <c r="D851" s="758">
        <v>0.25</v>
      </c>
      <c r="E851" s="759">
        <v>8</v>
      </c>
      <c r="F851" s="761"/>
      <c r="G851" s="762"/>
      <c r="H851" s="758"/>
      <c r="I851" s="758"/>
      <c r="J851" s="759">
        <v>0</v>
      </c>
      <c r="K851" s="761"/>
      <c r="L851" s="762"/>
      <c r="M851" s="758"/>
      <c r="N851" s="758"/>
      <c r="O851" s="759">
        <v>0</v>
      </c>
      <c r="P851" s="761"/>
      <c r="Q851" s="762"/>
      <c r="R851" s="758"/>
      <c r="S851" s="758"/>
      <c r="T851" s="759">
        <v>0</v>
      </c>
      <c r="U851" s="761"/>
      <c r="V851" s="762"/>
      <c r="W851" s="758"/>
      <c r="X851" s="758"/>
      <c r="Y851" s="759">
        <v>0</v>
      </c>
      <c r="Z851" s="761"/>
      <c r="AA851" s="763">
        <f t="shared" si="115"/>
        <v>8</v>
      </c>
      <c r="AB851" s="764">
        <f t="shared" si="116"/>
        <v>0</v>
      </c>
      <c r="AC851" s="762"/>
      <c r="AD851" s="758"/>
      <c r="AE851" s="758"/>
      <c r="AF851" s="759"/>
      <c r="AG851" s="763">
        <f t="shared" si="117"/>
        <v>0</v>
      </c>
      <c r="AH851" s="345"/>
      <c r="AI851" s="770"/>
      <c r="AJ851" s="771"/>
      <c r="AK851" s="772" t="s">
        <v>38</v>
      </c>
      <c r="AL851" s="773">
        <f>AG871</f>
        <v>0</v>
      </c>
      <c r="AM851" s="774">
        <v>79.574999999999989</v>
      </c>
      <c r="AN851" s="774">
        <f t="shared" si="114"/>
        <v>0</v>
      </c>
      <c r="AO851" s="775"/>
      <c r="AP851" s="775"/>
    </row>
    <row r="852" spans="2:42">
      <c r="B852" s="758" t="s">
        <v>977</v>
      </c>
      <c r="C852" s="758"/>
      <c r="D852" s="758"/>
      <c r="E852" s="759">
        <v>0</v>
      </c>
      <c r="F852" s="761"/>
      <c r="G852" s="762"/>
      <c r="H852" s="758"/>
      <c r="I852" s="758"/>
      <c r="J852" s="759">
        <v>0</v>
      </c>
      <c r="K852" s="761"/>
      <c r="L852" s="762"/>
      <c r="M852" s="758"/>
      <c r="N852" s="758"/>
      <c r="O852" s="759">
        <v>0</v>
      </c>
      <c r="P852" s="761"/>
      <c r="Q852" s="762"/>
      <c r="R852" s="758"/>
      <c r="S852" s="758"/>
      <c r="T852" s="759">
        <v>0</v>
      </c>
      <c r="U852" s="761"/>
      <c r="V852" s="762"/>
      <c r="W852" s="758"/>
      <c r="X852" s="758"/>
      <c r="Y852" s="759">
        <v>0</v>
      </c>
      <c r="Z852" s="761"/>
      <c r="AA852" s="763">
        <f t="shared" si="115"/>
        <v>0</v>
      </c>
      <c r="AB852" s="764">
        <f t="shared" si="116"/>
        <v>0</v>
      </c>
      <c r="AC852" s="762"/>
      <c r="AD852" s="758"/>
      <c r="AE852" s="758"/>
      <c r="AF852" s="759"/>
      <c r="AG852" s="763">
        <f t="shared" si="117"/>
        <v>0</v>
      </c>
      <c r="AN852" s="510">
        <f>SUM(AN846:AN851)</f>
        <v>5487.8850000000002</v>
      </c>
    </row>
    <row r="853" spans="2:42">
      <c r="B853" s="758" t="s">
        <v>519</v>
      </c>
      <c r="C853" s="758"/>
      <c r="D853" s="758"/>
      <c r="E853" s="759">
        <v>0</v>
      </c>
      <c r="F853" s="761"/>
      <c r="G853" s="762"/>
      <c r="H853" s="758"/>
      <c r="I853" s="758"/>
      <c r="J853" s="759">
        <v>0</v>
      </c>
      <c r="K853" s="761"/>
      <c r="L853" s="762"/>
      <c r="M853" s="758"/>
      <c r="N853" s="758"/>
      <c r="O853" s="759">
        <v>0</v>
      </c>
      <c r="P853" s="761"/>
      <c r="Q853" s="762"/>
      <c r="R853" s="758"/>
      <c r="S853" s="758"/>
      <c r="T853" s="759">
        <v>0</v>
      </c>
      <c r="U853" s="761"/>
      <c r="V853" s="762"/>
      <c r="W853" s="758"/>
      <c r="X853" s="758"/>
      <c r="Y853" s="759">
        <v>0</v>
      </c>
      <c r="Z853" s="761"/>
      <c r="AA853" s="763">
        <f t="shared" si="115"/>
        <v>0</v>
      </c>
      <c r="AB853" s="764">
        <f t="shared" si="116"/>
        <v>0</v>
      </c>
      <c r="AC853" s="762"/>
      <c r="AD853" s="758"/>
      <c r="AE853" s="758"/>
      <c r="AF853" s="759"/>
      <c r="AG853" s="763">
        <f t="shared" si="117"/>
        <v>0</v>
      </c>
    </row>
    <row r="854" spans="2:42">
      <c r="B854" s="758" t="s">
        <v>999</v>
      </c>
      <c r="C854" s="758"/>
      <c r="D854" s="814"/>
      <c r="E854" s="759">
        <v>0</v>
      </c>
      <c r="F854" s="761"/>
      <c r="G854" s="762"/>
      <c r="H854" s="758"/>
      <c r="I854" s="758"/>
      <c r="J854" s="759">
        <v>0</v>
      </c>
      <c r="K854" s="761"/>
      <c r="L854" s="762"/>
      <c r="M854" s="758">
        <v>0.375</v>
      </c>
      <c r="N854" s="758">
        <v>0.25</v>
      </c>
      <c r="O854" s="759">
        <v>8</v>
      </c>
      <c r="P854" s="761"/>
      <c r="Q854" s="762"/>
      <c r="R854" s="758">
        <v>0.375</v>
      </c>
      <c r="S854" s="758">
        <v>0.25</v>
      </c>
      <c r="T854" s="759">
        <v>8</v>
      </c>
      <c r="U854" s="761"/>
      <c r="V854" s="762"/>
      <c r="W854" s="758">
        <v>0.375</v>
      </c>
      <c r="X854" s="758">
        <v>0.25</v>
      </c>
      <c r="Y854" s="759">
        <v>8</v>
      </c>
      <c r="Z854" s="761"/>
      <c r="AA854" s="763">
        <f t="shared" si="115"/>
        <v>24</v>
      </c>
      <c r="AB854" s="764">
        <f t="shared" si="116"/>
        <v>0</v>
      </c>
      <c r="AC854" s="762"/>
      <c r="AD854" s="758"/>
      <c r="AE854" s="758"/>
      <c r="AF854" s="759"/>
      <c r="AG854" s="763">
        <f t="shared" si="117"/>
        <v>0</v>
      </c>
      <c r="AK854" s="192" t="s">
        <v>1115</v>
      </c>
      <c r="AL854" s="189">
        <f>C872</f>
        <v>5</v>
      </c>
      <c r="AM854" s="774">
        <v>45</v>
      </c>
      <c r="AN854" s="510">
        <f>AM854*AL854</f>
        <v>225</v>
      </c>
    </row>
    <row r="855" spans="2:42">
      <c r="B855" s="758" t="s">
        <v>1113</v>
      </c>
      <c r="C855" s="758"/>
      <c r="D855" s="758"/>
      <c r="E855" s="759">
        <v>0</v>
      </c>
      <c r="F855" s="761"/>
      <c r="G855" s="762"/>
      <c r="H855" s="758"/>
      <c r="I855" s="758"/>
      <c r="J855" s="759">
        <v>0</v>
      </c>
      <c r="K855" s="761"/>
      <c r="L855" s="762"/>
      <c r="M855" s="758"/>
      <c r="N855" s="758"/>
      <c r="O855" s="759">
        <v>0</v>
      </c>
      <c r="P855" s="761"/>
      <c r="Q855" s="762"/>
      <c r="R855" s="758"/>
      <c r="S855" s="758"/>
      <c r="T855" s="759">
        <v>0</v>
      </c>
      <c r="U855" s="761"/>
      <c r="V855" s="762"/>
      <c r="W855" s="758"/>
      <c r="X855" s="758"/>
      <c r="Y855" s="759">
        <v>0</v>
      </c>
      <c r="Z855" s="761"/>
      <c r="AA855" s="763">
        <f t="shared" si="115"/>
        <v>0</v>
      </c>
      <c r="AB855" s="764">
        <f t="shared" si="116"/>
        <v>0</v>
      </c>
      <c r="AC855" s="762"/>
      <c r="AD855" s="758"/>
      <c r="AE855" s="758"/>
      <c r="AF855" s="759"/>
      <c r="AG855" s="763">
        <f t="shared" si="117"/>
        <v>0</v>
      </c>
    </row>
    <row r="856" spans="2:42">
      <c r="B856" s="815" t="s">
        <v>483</v>
      </c>
      <c r="C856" s="758"/>
      <c r="D856" s="758"/>
      <c r="E856" s="759">
        <v>0</v>
      </c>
      <c r="F856" s="761"/>
      <c r="G856" s="762"/>
      <c r="H856" s="758"/>
      <c r="I856" s="758"/>
      <c r="J856" s="759">
        <v>0</v>
      </c>
      <c r="K856" s="761"/>
      <c r="L856" s="762"/>
      <c r="M856" s="758"/>
      <c r="N856" s="758"/>
      <c r="O856" s="759">
        <v>0</v>
      </c>
      <c r="P856" s="761"/>
      <c r="Q856" s="762"/>
      <c r="R856" s="758"/>
      <c r="S856" s="758"/>
      <c r="T856" s="759">
        <v>0</v>
      </c>
      <c r="U856" s="761"/>
      <c r="V856" s="762"/>
      <c r="W856" s="758"/>
      <c r="X856" s="758"/>
      <c r="Y856" s="759">
        <v>0</v>
      </c>
      <c r="Z856" s="761"/>
      <c r="AA856" s="763">
        <f t="shared" si="115"/>
        <v>0</v>
      </c>
      <c r="AB856" s="764">
        <f t="shared" si="116"/>
        <v>0</v>
      </c>
      <c r="AC856" s="762"/>
      <c r="AD856" s="758"/>
      <c r="AE856" s="758"/>
      <c r="AF856" s="759"/>
      <c r="AG856" s="763">
        <f t="shared" si="117"/>
        <v>0</v>
      </c>
    </row>
    <row r="857" spans="2:42">
      <c r="B857" s="815" t="s">
        <v>483</v>
      </c>
      <c r="C857" s="758"/>
      <c r="D857" s="758"/>
      <c r="E857" s="759">
        <v>0</v>
      </c>
      <c r="F857" s="761"/>
      <c r="G857" s="762"/>
      <c r="H857" s="758"/>
      <c r="I857" s="758"/>
      <c r="J857" s="759">
        <v>0</v>
      </c>
      <c r="K857" s="761"/>
      <c r="L857" s="762"/>
      <c r="M857" s="758"/>
      <c r="N857" s="758"/>
      <c r="O857" s="759">
        <v>0</v>
      </c>
      <c r="P857" s="761"/>
      <c r="Q857" s="762"/>
      <c r="R857" s="758"/>
      <c r="S857" s="758"/>
      <c r="T857" s="759">
        <v>0</v>
      </c>
      <c r="U857" s="761"/>
      <c r="V857" s="762"/>
      <c r="W857" s="758"/>
      <c r="X857" s="758"/>
      <c r="Y857" s="759">
        <v>0</v>
      </c>
      <c r="Z857" s="761"/>
      <c r="AA857" s="763">
        <f t="shared" si="115"/>
        <v>0</v>
      </c>
      <c r="AB857" s="764">
        <f t="shared" si="116"/>
        <v>0</v>
      </c>
      <c r="AC857" s="762"/>
      <c r="AD857" s="758"/>
      <c r="AE857" s="758"/>
      <c r="AF857" s="759"/>
      <c r="AG857" s="763">
        <f t="shared" si="117"/>
        <v>0</v>
      </c>
    </row>
    <row r="858" spans="2:42">
      <c r="B858" s="815" t="s">
        <v>484</v>
      </c>
      <c r="C858" s="758"/>
      <c r="D858" s="758"/>
      <c r="E858" s="759">
        <v>0</v>
      </c>
      <c r="F858" s="761"/>
      <c r="G858" s="762"/>
      <c r="H858" s="758"/>
      <c r="I858" s="758"/>
      <c r="J858" s="759">
        <v>0</v>
      </c>
      <c r="K858" s="761"/>
      <c r="L858" s="762"/>
      <c r="M858" s="758"/>
      <c r="N858" s="758"/>
      <c r="O858" s="759">
        <v>6</v>
      </c>
      <c r="P858" s="761"/>
      <c r="Q858" s="762"/>
      <c r="R858" s="758"/>
      <c r="S858" s="758"/>
      <c r="T858" s="759">
        <v>0</v>
      </c>
      <c r="U858" s="761"/>
      <c r="V858" s="762"/>
      <c r="W858" s="758"/>
      <c r="X858" s="758"/>
      <c r="Y858" s="759">
        <v>4</v>
      </c>
      <c r="Z858" s="761"/>
      <c r="AA858" s="763">
        <f t="shared" si="115"/>
        <v>10</v>
      </c>
      <c r="AB858" s="764">
        <f t="shared" si="116"/>
        <v>0</v>
      </c>
      <c r="AC858" s="762"/>
      <c r="AD858" s="758"/>
      <c r="AE858" s="758"/>
      <c r="AF858" s="759"/>
      <c r="AG858" s="763">
        <f t="shared" si="117"/>
        <v>0</v>
      </c>
    </row>
    <row r="859" spans="2:42">
      <c r="B859" s="815" t="s">
        <v>485</v>
      </c>
      <c r="C859" s="758"/>
      <c r="D859" s="758"/>
      <c r="E859" s="759">
        <v>0</v>
      </c>
      <c r="F859" s="761"/>
      <c r="G859" s="762"/>
      <c r="H859" s="758"/>
      <c r="I859" s="758"/>
      <c r="J859" s="759">
        <v>0</v>
      </c>
      <c r="K859" s="761"/>
      <c r="L859" s="762"/>
      <c r="M859" s="758"/>
      <c r="N859" s="758"/>
      <c r="O859" s="759">
        <v>6</v>
      </c>
      <c r="P859" s="761"/>
      <c r="Q859" s="762"/>
      <c r="R859" s="758"/>
      <c r="S859" s="758"/>
      <c r="T859" s="759">
        <v>0</v>
      </c>
      <c r="U859" s="761"/>
      <c r="V859" s="762"/>
      <c r="W859" s="758"/>
      <c r="X859" s="758"/>
      <c r="Y859" s="759">
        <v>4</v>
      </c>
      <c r="Z859" s="761"/>
      <c r="AA859" s="763">
        <f t="shared" si="115"/>
        <v>10</v>
      </c>
      <c r="AB859" s="764">
        <f t="shared" si="116"/>
        <v>0</v>
      </c>
      <c r="AC859" s="762"/>
      <c r="AD859" s="758"/>
      <c r="AE859" s="758"/>
      <c r="AF859" s="759"/>
      <c r="AG859" s="763">
        <f t="shared" si="117"/>
        <v>0</v>
      </c>
    </row>
    <row r="860" spans="2:42">
      <c r="B860" s="815" t="s">
        <v>1136</v>
      </c>
      <c r="C860" s="758"/>
      <c r="D860" s="758"/>
      <c r="E860" s="759">
        <v>0</v>
      </c>
      <c r="F860" s="761"/>
      <c r="G860" s="762"/>
      <c r="H860" s="758"/>
      <c r="I860" s="758"/>
      <c r="J860" s="759">
        <v>0</v>
      </c>
      <c r="K860" s="761"/>
      <c r="L860" s="762"/>
      <c r="M860" s="758"/>
      <c r="N860" s="758"/>
      <c r="O860" s="759">
        <v>0</v>
      </c>
      <c r="P860" s="761"/>
      <c r="Q860" s="762"/>
      <c r="R860" s="758"/>
      <c r="S860" s="758"/>
      <c r="T860" s="759">
        <v>0</v>
      </c>
      <c r="U860" s="761"/>
      <c r="V860" s="762"/>
      <c r="W860" s="758"/>
      <c r="X860" s="758"/>
      <c r="Y860" s="759">
        <v>4</v>
      </c>
      <c r="Z860" s="761"/>
      <c r="AA860" s="763">
        <f t="shared" si="115"/>
        <v>4</v>
      </c>
      <c r="AB860" s="764">
        <f t="shared" si="116"/>
        <v>0</v>
      </c>
      <c r="AC860" s="762"/>
      <c r="AD860" s="758"/>
      <c r="AE860" s="758"/>
      <c r="AF860" s="759"/>
      <c r="AG860" s="763">
        <f t="shared" si="117"/>
        <v>0</v>
      </c>
    </row>
    <row r="861" spans="2:42">
      <c r="B861" s="816" t="s">
        <v>358</v>
      </c>
      <c r="C861" s="758"/>
      <c r="D861" s="758"/>
      <c r="E861" s="759">
        <v>0</v>
      </c>
      <c r="F861" s="761"/>
      <c r="G861" s="762"/>
      <c r="H861" s="758"/>
      <c r="I861" s="758"/>
      <c r="J861" s="759">
        <v>5</v>
      </c>
      <c r="K861" s="761"/>
      <c r="L861" s="765"/>
      <c r="M861" s="758"/>
      <c r="N861" s="758"/>
      <c r="O861" s="759">
        <v>4</v>
      </c>
      <c r="P861" s="761"/>
      <c r="Q861" s="765"/>
      <c r="R861" s="758"/>
      <c r="S861" s="758"/>
      <c r="T861" s="759">
        <v>0</v>
      </c>
      <c r="U861" s="761"/>
      <c r="V861" s="765"/>
      <c r="W861" s="758"/>
      <c r="X861" s="758"/>
      <c r="Y861" s="759">
        <v>0</v>
      </c>
      <c r="Z861" s="761"/>
      <c r="AA861" s="763">
        <f t="shared" si="115"/>
        <v>9</v>
      </c>
      <c r="AB861" s="764">
        <f t="shared" si="116"/>
        <v>0</v>
      </c>
      <c r="AC861" s="762"/>
      <c r="AD861" s="758"/>
      <c r="AE861" s="758"/>
      <c r="AF861" s="759"/>
      <c r="AG861" s="763">
        <f t="shared" si="117"/>
        <v>0</v>
      </c>
    </row>
    <row r="862" spans="2:42">
      <c r="B862" s="816" t="s">
        <v>1135</v>
      </c>
      <c r="C862" s="758"/>
      <c r="D862" s="758"/>
      <c r="E862" s="759">
        <v>0</v>
      </c>
      <c r="F862" s="761"/>
      <c r="G862" s="762"/>
      <c r="H862" s="758"/>
      <c r="I862" s="758"/>
      <c r="J862" s="759">
        <v>0</v>
      </c>
      <c r="K862" s="761"/>
      <c r="L862" s="765"/>
      <c r="M862" s="758"/>
      <c r="N862" s="758"/>
      <c r="O862" s="759">
        <v>0</v>
      </c>
      <c r="P862" s="761"/>
      <c r="Q862" s="765"/>
      <c r="R862" s="758"/>
      <c r="S862" s="758"/>
      <c r="T862" s="759">
        <v>0</v>
      </c>
      <c r="U862" s="761"/>
      <c r="V862" s="765"/>
      <c r="W862" s="758"/>
      <c r="X862" s="758"/>
      <c r="Y862" s="759">
        <v>0</v>
      </c>
      <c r="Z862" s="761"/>
      <c r="AA862" s="763">
        <f t="shared" si="115"/>
        <v>0</v>
      </c>
      <c r="AB862" s="764">
        <f t="shared" si="116"/>
        <v>0</v>
      </c>
      <c r="AC862" s="762"/>
      <c r="AD862" s="758"/>
      <c r="AE862" s="758"/>
      <c r="AF862" s="759"/>
      <c r="AG862" s="763">
        <f t="shared" si="117"/>
        <v>0</v>
      </c>
    </row>
    <row r="863" spans="2:42">
      <c r="B863" s="816" t="s">
        <v>411</v>
      </c>
      <c r="C863" s="758"/>
      <c r="D863" s="758"/>
      <c r="E863" s="759">
        <v>0</v>
      </c>
      <c r="F863" s="761"/>
      <c r="G863" s="762"/>
      <c r="H863" s="758"/>
      <c r="I863" s="758"/>
      <c r="J863" s="759">
        <v>0</v>
      </c>
      <c r="K863" s="761"/>
      <c r="L863" s="765"/>
      <c r="M863" s="758"/>
      <c r="N863" s="758"/>
      <c r="O863" s="759">
        <v>0</v>
      </c>
      <c r="P863" s="761"/>
      <c r="Q863" s="765"/>
      <c r="R863" s="758"/>
      <c r="S863" s="758"/>
      <c r="T863" s="759">
        <v>0</v>
      </c>
      <c r="U863" s="761"/>
      <c r="V863" s="765"/>
      <c r="W863" s="758"/>
      <c r="X863" s="758"/>
      <c r="Y863" s="759">
        <v>0</v>
      </c>
      <c r="Z863" s="761"/>
      <c r="AA863" s="763">
        <f t="shared" si="115"/>
        <v>0</v>
      </c>
      <c r="AB863" s="764">
        <f t="shared" si="116"/>
        <v>0</v>
      </c>
      <c r="AC863" s="762"/>
      <c r="AD863" s="758"/>
      <c r="AE863" s="758"/>
      <c r="AF863" s="759"/>
      <c r="AG863" s="763">
        <f t="shared" si="117"/>
        <v>0</v>
      </c>
    </row>
    <row r="864" spans="2:42">
      <c r="B864" s="816" t="s">
        <v>361</v>
      </c>
      <c r="C864" s="758"/>
      <c r="D864" s="758"/>
      <c r="E864" s="759">
        <v>0</v>
      </c>
      <c r="F864" s="761"/>
      <c r="G864" s="762"/>
      <c r="H864" s="758"/>
      <c r="I864" s="758"/>
      <c r="J864" s="759">
        <v>0</v>
      </c>
      <c r="K864" s="761"/>
      <c r="L864" s="765"/>
      <c r="M864" s="758"/>
      <c r="N864" s="758"/>
      <c r="O864" s="759">
        <v>0</v>
      </c>
      <c r="P864" s="761"/>
      <c r="Q864" s="765"/>
      <c r="R864" s="758"/>
      <c r="S864" s="758"/>
      <c r="T864" s="759">
        <v>0</v>
      </c>
      <c r="U864" s="761"/>
      <c r="V864" s="765"/>
      <c r="W864" s="758"/>
      <c r="X864" s="758"/>
      <c r="Y864" s="759">
        <v>0</v>
      </c>
      <c r="Z864" s="761"/>
      <c r="AA864" s="763">
        <f t="shared" si="115"/>
        <v>0</v>
      </c>
      <c r="AB864" s="764">
        <f t="shared" si="116"/>
        <v>0</v>
      </c>
      <c r="AC864" s="762"/>
      <c r="AD864" s="758"/>
      <c r="AE864" s="758"/>
      <c r="AF864" s="759"/>
      <c r="AG864" s="763">
        <f t="shared" si="117"/>
        <v>0</v>
      </c>
    </row>
    <row r="865" spans="2:42">
      <c r="B865" s="816" t="s">
        <v>362</v>
      </c>
      <c r="C865" s="758"/>
      <c r="D865" s="766"/>
      <c r="E865" s="759">
        <v>0</v>
      </c>
      <c r="F865" s="761"/>
      <c r="G865" s="762"/>
      <c r="H865" s="758"/>
      <c r="I865" s="766"/>
      <c r="J865" s="759">
        <v>0</v>
      </c>
      <c r="K865" s="761"/>
      <c r="L865" s="765"/>
      <c r="M865" s="758"/>
      <c r="N865" s="766"/>
      <c r="O865" s="759">
        <v>0</v>
      </c>
      <c r="P865" s="761"/>
      <c r="Q865" s="765"/>
      <c r="R865" s="758"/>
      <c r="S865" s="766"/>
      <c r="T865" s="759">
        <v>0</v>
      </c>
      <c r="U865" s="761"/>
      <c r="V865" s="765"/>
      <c r="W865" s="758"/>
      <c r="X865" s="766"/>
      <c r="Y865" s="759">
        <v>0</v>
      </c>
      <c r="Z865" s="761"/>
      <c r="AA865" s="763">
        <f t="shared" si="115"/>
        <v>0</v>
      </c>
      <c r="AB865" s="764">
        <f t="shared" si="116"/>
        <v>0</v>
      </c>
      <c r="AC865" s="762"/>
      <c r="AD865" s="758"/>
      <c r="AE865" s="758"/>
      <c r="AF865" s="759"/>
      <c r="AG865" s="763">
        <f t="shared" si="117"/>
        <v>0</v>
      </c>
    </row>
    <row r="866" spans="2:42">
      <c r="B866" s="817" t="s">
        <v>355</v>
      </c>
      <c r="C866" s="758"/>
      <c r="D866" s="758"/>
      <c r="E866" s="759">
        <v>0</v>
      </c>
      <c r="F866" s="761"/>
      <c r="G866" s="762"/>
      <c r="H866" s="758"/>
      <c r="I866" s="758"/>
      <c r="J866" s="759">
        <v>0</v>
      </c>
      <c r="K866" s="761"/>
      <c r="L866" s="765"/>
      <c r="M866" s="758"/>
      <c r="N866" s="758"/>
      <c r="O866" s="759">
        <v>2.75</v>
      </c>
      <c r="P866" s="761"/>
      <c r="Q866" s="765"/>
      <c r="R866" s="758"/>
      <c r="S866" s="758"/>
      <c r="T866" s="759">
        <v>0</v>
      </c>
      <c r="U866" s="761"/>
      <c r="V866" s="765"/>
      <c r="W866" s="758"/>
      <c r="X866" s="758"/>
      <c r="Y866" s="759">
        <v>7.75</v>
      </c>
      <c r="Z866" s="761"/>
      <c r="AA866" s="763">
        <f t="shared" si="115"/>
        <v>10.5</v>
      </c>
      <c r="AB866" s="764">
        <f t="shared" si="116"/>
        <v>0</v>
      </c>
      <c r="AC866" s="762"/>
      <c r="AD866" s="758"/>
      <c r="AE866" s="758"/>
      <c r="AF866" s="759"/>
      <c r="AG866" s="763">
        <f t="shared" si="117"/>
        <v>0</v>
      </c>
    </row>
    <row r="867" spans="2:42">
      <c r="B867" s="817" t="s">
        <v>356</v>
      </c>
      <c r="C867" s="818"/>
      <c r="D867" s="818"/>
      <c r="E867" s="759">
        <v>0</v>
      </c>
      <c r="F867" s="761"/>
      <c r="G867" s="765"/>
      <c r="H867" s="766"/>
      <c r="I867" s="766"/>
      <c r="J867" s="759">
        <v>0</v>
      </c>
      <c r="K867" s="761"/>
      <c r="L867" s="765"/>
      <c r="M867" s="766"/>
      <c r="N867" s="766"/>
      <c r="O867" s="759">
        <v>0</v>
      </c>
      <c r="P867" s="761"/>
      <c r="Q867" s="765"/>
      <c r="R867" s="766"/>
      <c r="S867" s="766"/>
      <c r="T867" s="759">
        <v>0</v>
      </c>
      <c r="U867" s="761"/>
      <c r="V867" s="765"/>
      <c r="W867" s="766"/>
      <c r="X867" s="766"/>
      <c r="Y867" s="759">
        <v>0</v>
      </c>
      <c r="Z867" s="761"/>
      <c r="AA867" s="763">
        <f t="shared" si="115"/>
        <v>0</v>
      </c>
      <c r="AB867" s="764">
        <f t="shared" si="116"/>
        <v>0</v>
      </c>
      <c r="AC867" s="762"/>
      <c r="AD867" s="758"/>
      <c r="AE867" s="758"/>
      <c r="AF867" s="759"/>
      <c r="AG867" s="763">
        <f t="shared" si="117"/>
        <v>0</v>
      </c>
    </row>
    <row r="868" spans="2:42">
      <c r="B868" s="767" t="s">
        <v>61</v>
      </c>
      <c r="C868" s="767"/>
      <c r="D868" s="767"/>
      <c r="E868" s="760">
        <f>SUM(E847:E867)</f>
        <v>8</v>
      </c>
      <c r="F868" s="761"/>
      <c r="G868" s="767"/>
      <c r="H868" s="767"/>
      <c r="I868" s="767"/>
      <c r="J868" s="760">
        <f>SUM(J847:J867)</f>
        <v>13</v>
      </c>
      <c r="K868" s="761"/>
      <c r="L868" s="767"/>
      <c r="M868" s="767"/>
      <c r="N868" s="767"/>
      <c r="O868" s="760">
        <f>SUM(O847:O867)</f>
        <v>26.75</v>
      </c>
      <c r="P868" s="761"/>
      <c r="Q868" s="767"/>
      <c r="R868" s="767"/>
      <c r="S868" s="767"/>
      <c r="T868" s="760">
        <f>SUM(T847:T867)</f>
        <v>8</v>
      </c>
      <c r="U868" s="761"/>
      <c r="V868" s="767"/>
      <c r="W868" s="767"/>
      <c r="X868" s="767"/>
      <c r="Y868" s="760">
        <f>SUM(Y847:Y867)</f>
        <v>27.75</v>
      </c>
      <c r="Z868" s="761"/>
      <c r="AA868" s="763">
        <f>SUM(AA847:AA867)</f>
        <v>83.5</v>
      </c>
      <c r="AB868" s="763">
        <f>SUM(AB847:AB867)</f>
        <v>0</v>
      </c>
      <c r="AC868" s="762"/>
      <c r="AD868" s="767"/>
      <c r="AE868" s="767"/>
      <c r="AF868" s="763">
        <f>SUM(AF847:AF867)</f>
        <v>0</v>
      </c>
      <c r="AG868" s="763">
        <f>SUM(AG847:AG867)</f>
        <v>0</v>
      </c>
    </row>
    <row r="869" spans="2:42">
      <c r="B869" s="816" t="s">
        <v>1116</v>
      </c>
      <c r="C869" s="758"/>
      <c r="D869" s="758"/>
      <c r="E869" s="759">
        <v>8</v>
      </c>
      <c r="F869" s="761"/>
      <c r="G869" s="762"/>
      <c r="H869" s="758"/>
      <c r="I869" s="758"/>
      <c r="J869" s="759">
        <v>8</v>
      </c>
      <c r="K869" s="761"/>
      <c r="L869" s="762"/>
      <c r="M869" s="758"/>
      <c r="N869" s="758"/>
      <c r="O869" s="759">
        <v>8</v>
      </c>
      <c r="P869" s="761"/>
      <c r="Q869" s="762"/>
      <c r="R869" s="758"/>
      <c r="S869" s="758"/>
      <c r="T869" s="759">
        <v>8</v>
      </c>
      <c r="U869" s="761"/>
      <c r="V869" s="762"/>
      <c r="W869" s="758"/>
      <c r="X869" s="758"/>
      <c r="Y869" s="759">
        <v>8</v>
      </c>
      <c r="Z869" s="761"/>
      <c r="AA869" s="763">
        <f>(E869+J869+O869+T869+Y869)</f>
        <v>40</v>
      </c>
      <c r="AB869" s="764">
        <f>Z869+U869+P869+K869+F869</f>
        <v>0</v>
      </c>
      <c r="AC869" s="762"/>
      <c r="AD869" s="758"/>
      <c r="AE869" s="758"/>
      <c r="AF869" s="759"/>
      <c r="AG869" s="763">
        <f>AF869</f>
        <v>0</v>
      </c>
    </row>
    <row r="870" spans="2:42">
      <c r="B870" s="816" t="s">
        <v>64</v>
      </c>
      <c r="C870" s="758"/>
      <c r="D870" s="758"/>
      <c r="E870" s="759">
        <v>0</v>
      </c>
      <c r="F870" s="759"/>
      <c r="G870" s="819"/>
      <c r="H870" s="758"/>
      <c r="I870" s="758"/>
      <c r="J870" s="759">
        <v>0</v>
      </c>
      <c r="K870" s="759"/>
      <c r="L870" s="765"/>
      <c r="M870" s="758"/>
      <c r="N870" s="758"/>
      <c r="O870" s="759">
        <v>0</v>
      </c>
      <c r="P870" s="759"/>
      <c r="Q870" s="765"/>
      <c r="R870" s="758"/>
      <c r="S870" s="758"/>
      <c r="T870" s="759">
        <v>0</v>
      </c>
      <c r="U870" s="759"/>
      <c r="V870" s="765"/>
      <c r="W870" s="758"/>
      <c r="X870" s="758"/>
      <c r="Y870" s="759">
        <v>0</v>
      </c>
      <c r="Z870" s="759"/>
      <c r="AA870" s="763">
        <f>SUM(E870+J870+O870+T870+Y870)</f>
        <v>0</v>
      </c>
      <c r="AB870" s="768">
        <f>Z870+U870+P870+K870+F870</f>
        <v>0</v>
      </c>
      <c r="AC870" s="762"/>
      <c r="AD870" s="758" t="s">
        <v>29</v>
      </c>
      <c r="AE870" s="758" t="s">
        <v>29</v>
      </c>
      <c r="AF870" s="759"/>
      <c r="AG870" s="763">
        <f>AF870</f>
        <v>0</v>
      </c>
    </row>
    <row r="871" spans="2:42">
      <c r="B871" s="819" t="s">
        <v>66</v>
      </c>
      <c r="C871" s="820"/>
      <c r="D871" s="820"/>
      <c r="E871" s="819"/>
      <c r="F871" s="819"/>
      <c r="G871" s="819"/>
      <c r="H871" s="819"/>
      <c r="I871" s="819"/>
      <c r="J871" s="819"/>
      <c r="K871" s="819"/>
      <c r="L871" s="819"/>
      <c r="M871" s="819"/>
      <c r="N871" s="819"/>
      <c r="O871" s="819"/>
      <c r="P871" s="819"/>
      <c r="Q871" s="819"/>
      <c r="R871" s="819"/>
      <c r="S871" s="819"/>
      <c r="T871" s="819"/>
      <c r="U871" s="819"/>
      <c r="V871" s="819"/>
      <c r="W871" s="819"/>
      <c r="X871" s="819"/>
      <c r="Y871" s="819"/>
      <c r="Z871" s="819"/>
      <c r="AA871" s="763">
        <f>SUM(AA869:AA870)</f>
        <v>40</v>
      </c>
      <c r="AB871" s="763">
        <f>SUM(AB870:AB870)</f>
        <v>0</v>
      </c>
      <c r="AC871" s="762"/>
      <c r="AD871" s="811"/>
      <c r="AE871" s="811"/>
      <c r="AF871" s="811"/>
      <c r="AG871" s="763">
        <f>SUM(AG870:AG870)</f>
        <v>0</v>
      </c>
      <c r="AK871" s="407"/>
    </row>
    <row r="872" spans="2:42">
      <c r="B872" s="821" t="s">
        <v>67</v>
      </c>
      <c r="C872" s="822">
        <f>C873+C874</f>
        <v>5</v>
      </c>
      <c r="D872" s="822"/>
      <c r="E872" s="823"/>
      <c r="F872" s="823"/>
      <c r="G872" s="822"/>
      <c r="H872" s="823"/>
      <c r="I872" s="823"/>
      <c r="J872" s="823"/>
      <c r="K872" s="823"/>
      <c r="L872" s="822"/>
      <c r="M872" s="822"/>
      <c r="N872" s="822"/>
      <c r="O872" s="822"/>
      <c r="P872" s="823"/>
      <c r="Q872" s="822"/>
      <c r="R872" s="822"/>
      <c r="S872" s="822"/>
      <c r="T872" s="822"/>
      <c r="U872" s="823"/>
      <c r="V872" s="822"/>
      <c r="W872" s="822"/>
      <c r="X872" s="822"/>
      <c r="Y872" s="824"/>
      <c r="Z872" s="823"/>
      <c r="AA872" s="825"/>
      <c r="AB872" s="823"/>
      <c r="AC872" s="825"/>
      <c r="AD872" s="825"/>
      <c r="AE872" s="825"/>
      <c r="AF872" s="825"/>
      <c r="AG872" s="825"/>
      <c r="AK872" s="407"/>
    </row>
    <row r="873" spans="2:42">
      <c r="B873" s="826" t="s">
        <v>68</v>
      </c>
      <c r="C873" s="822">
        <v>0</v>
      </c>
      <c r="D873" s="822"/>
      <c r="E873" s="823"/>
      <c r="F873" s="823"/>
      <c r="G873" s="822"/>
      <c r="H873" s="823"/>
      <c r="I873" s="823"/>
      <c r="J873" s="823"/>
      <c r="K873" s="823"/>
      <c r="L873" s="822"/>
      <c r="M873" s="822"/>
      <c r="N873" s="822"/>
      <c r="O873" s="822"/>
      <c r="P873" s="823"/>
      <c r="Q873" s="822"/>
      <c r="R873" s="822"/>
      <c r="S873" s="822"/>
      <c r="T873" s="822"/>
      <c r="U873" s="823"/>
      <c r="V873" s="822"/>
      <c r="W873" s="822"/>
      <c r="X873" s="822"/>
      <c r="Y873" s="824"/>
      <c r="Z873" s="823"/>
      <c r="AA873" s="825"/>
      <c r="AB873" s="823"/>
      <c r="AC873" s="825"/>
      <c r="AD873" s="825"/>
      <c r="AE873" s="825"/>
      <c r="AF873" s="825"/>
      <c r="AG873" s="825"/>
      <c r="AK873" s="407"/>
    </row>
    <row r="874" spans="2:42">
      <c r="B874" s="826" t="s">
        <v>69</v>
      </c>
      <c r="C874" s="822">
        <v>5</v>
      </c>
      <c r="D874" s="822"/>
      <c r="E874" s="823"/>
      <c r="F874" s="823"/>
      <c r="G874" s="822"/>
      <c r="H874" s="823"/>
      <c r="I874" s="823"/>
      <c r="J874" s="823"/>
      <c r="K874" s="823"/>
      <c r="L874" s="822"/>
      <c r="M874" s="822"/>
      <c r="N874" s="822"/>
      <c r="O874" s="822"/>
      <c r="P874" s="823"/>
      <c r="Q874" s="822"/>
      <c r="R874" s="822"/>
      <c r="S874" s="822"/>
      <c r="T874" s="822"/>
      <c r="U874" s="823"/>
      <c r="V874" s="822"/>
      <c r="W874" s="822"/>
      <c r="X874" s="822"/>
      <c r="Y874" s="824"/>
      <c r="Z874" s="823"/>
      <c r="AA874" s="825"/>
      <c r="AB874" s="823"/>
      <c r="AC874" s="825"/>
      <c r="AD874" s="825"/>
      <c r="AE874" s="825"/>
      <c r="AF874" s="825"/>
      <c r="AG874" s="825"/>
    </row>
    <row r="875" spans="2:42">
      <c r="B875" s="827"/>
      <c r="C875" s="811"/>
      <c r="D875" s="811"/>
      <c r="E875" s="813"/>
      <c r="F875" s="813"/>
      <c r="G875" s="813"/>
      <c r="H875" s="811"/>
      <c r="I875" s="811"/>
      <c r="J875" s="813"/>
      <c r="K875" s="813"/>
      <c r="L875" s="813"/>
      <c r="M875" s="811"/>
      <c r="N875" s="811"/>
      <c r="O875" s="813"/>
      <c r="P875" s="813"/>
      <c r="Q875" s="762"/>
      <c r="R875" s="811"/>
      <c r="S875" s="811"/>
      <c r="T875" s="813"/>
      <c r="U875" s="813"/>
      <c r="V875" s="762"/>
      <c r="W875" s="811"/>
      <c r="X875" s="811"/>
      <c r="Y875" s="813"/>
      <c r="Z875" s="813"/>
      <c r="AA875" s="813"/>
      <c r="AB875" s="813"/>
      <c r="AC875" s="813"/>
      <c r="AD875" s="811"/>
      <c r="AE875" s="811"/>
      <c r="AF875" s="811"/>
      <c r="AG875" s="811"/>
    </row>
    <row r="876" spans="2:42">
      <c r="B876" s="827"/>
      <c r="C876" s="811"/>
      <c r="D876" s="811"/>
      <c r="E876" s="813"/>
      <c r="F876" s="813"/>
      <c r="G876" s="813"/>
      <c r="H876" s="811"/>
      <c r="I876" s="811"/>
      <c r="J876" s="813"/>
      <c r="K876" s="813"/>
      <c r="L876" s="813"/>
      <c r="M876" s="811"/>
      <c r="N876" s="811"/>
      <c r="O876" s="813"/>
      <c r="P876" s="813"/>
      <c r="Q876" s="762"/>
      <c r="R876" s="811"/>
      <c r="S876" s="811"/>
      <c r="T876" s="813"/>
      <c r="U876" s="813"/>
      <c r="V876" s="762"/>
      <c r="W876" s="811"/>
      <c r="X876" s="811"/>
      <c r="Y876" s="813"/>
      <c r="Z876" s="813"/>
      <c r="AA876" s="813"/>
      <c r="AB876" s="813"/>
      <c r="AC876" s="813"/>
      <c r="AD876" s="811"/>
      <c r="AE876" s="811"/>
      <c r="AF876" s="811"/>
      <c r="AG876" s="811"/>
    </row>
    <row r="877" spans="2:42" ht="25.5">
      <c r="B877" s="1576" t="s">
        <v>18</v>
      </c>
      <c r="C877" s="1577">
        <v>45887</v>
      </c>
      <c r="D877" s="1577"/>
      <c r="E877" s="1577" t="s">
        <v>564</v>
      </c>
      <c r="F877" s="1577"/>
      <c r="G877" s="807"/>
      <c r="H877" s="1577">
        <v>45888</v>
      </c>
      <c r="I877" s="1577"/>
      <c r="J877" s="1577" t="s">
        <v>565</v>
      </c>
      <c r="K877" s="1577"/>
      <c r="L877" s="807"/>
      <c r="M877" s="1577">
        <v>45889</v>
      </c>
      <c r="N877" s="1577"/>
      <c r="O877" s="1577" t="s">
        <v>566</v>
      </c>
      <c r="P877" s="1577"/>
      <c r="Q877" s="807"/>
      <c r="R877" s="1577">
        <v>45890</v>
      </c>
      <c r="S877" s="1577"/>
      <c r="T877" s="1577" t="s">
        <v>567</v>
      </c>
      <c r="U877" s="1577"/>
      <c r="V877" s="807"/>
      <c r="W877" s="1577">
        <v>45891</v>
      </c>
      <c r="X877" s="1577"/>
      <c r="Y877" s="1577" t="s">
        <v>568</v>
      </c>
      <c r="Z877" s="1577"/>
      <c r="AA877" s="1578" t="s">
        <v>19</v>
      </c>
      <c r="AB877" s="1578" t="s">
        <v>20</v>
      </c>
      <c r="AC877" s="762"/>
      <c r="AD877" s="1577"/>
      <c r="AE877" s="1577"/>
      <c r="AF877" s="808" t="s">
        <v>1111</v>
      </c>
      <c r="AG877" s="1578" t="s">
        <v>21</v>
      </c>
      <c r="AI877" s="368"/>
      <c r="AK877" s="194" t="s">
        <v>84</v>
      </c>
      <c r="AL877" s="366"/>
      <c r="AM877" s="366"/>
      <c r="AN877" s="366"/>
      <c r="AO877" s="366"/>
      <c r="AP877" s="366"/>
    </row>
    <row r="878" spans="2:42">
      <c r="B878" s="1576"/>
      <c r="C878" s="809" t="s">
        <v>23</v>
      </c>
      <c r="D878" s="809" t="s">
        <v>24</v>
      </c>
      <c r="E878" s="768" t="s">
        <v>25</v>
      </c>
      <c r="F878" s="810" t="s">
        <v>14</v>
      </c>
      <c r="G878" s="762"/>
      <c r="H878" s="809"/>
      <c r="I878" s="809" t="s">
        <v>24</v>
      </c>
      <c r="J878" s="810" t="s">
        <v>25</v>
      </c>
      <c r="K878" s="810" t="s">
        <v>14</v>
      </c>
      <c r="L878" s="762"/>
      <c r="M878" s="809" t="s">
        <v>23</v>
      </c>
      <c r="N878" s="809" t="s">
        <v>24</v>
      </c>
      <c r="O878" s="810" t="s">
        <v>25</v>
      </c>
      <c r="P878" s="810" t="s">
        <v>14</v>
      </c>
      <c r="Q878" s="762"/>
      <c r="R878" s="809" t="s">
        <v>23</v>
      </c>
      <c r="S878" s="809" t="s">
        <v>24</v>
      </c>
      <c r="T878" s="810" t="s">
        <v>25</v>
      </c>
      <c r="U878" s="810" t="s">
        <v>14</v>
      </c>
      <c r="V878" s="762"/>
      <c r="W878" s="809" t="s">
        <v>23</v>
      </c>
      <c r="X878" s="809" t="s">
        <v>24</v>
      </c>
      <c r="Y878" s="810" t="s">
        <v>25</v>
      </c>
      <c r="Z878" s="810" t="s">
        <v>14</v>
      </c>
      <c r="AA878" s="1578"/>
      <c r="AB878" s="1578"/>
      <c r="AC878" s="762"/>
      <c r="AD878" s="809" t="s">
        <v>23</v>
      </c>
      <c r="AE878" s="809" t="s">
        <v>24</v>
      </c>
      <c r="AF878" s="810" t="s">
        <v>25</v>
      </c>
      <c r="AG878" s="1578"/>
      <c r="AI878" s="368"/>
      <c r="AJ878" s="367"/>
      <c r="AK878" s="188" t="s">
        <v>26</v>
      </c>
      <c r="AL878" s="196">
        <f>AA900</f>
        <v>38.75</v>
      </c>
      <c r="AM878" s="510">
        <v>40.31</v>
      </c>
      <c r="AN878" s="510">
        <f t="shared" ref="AN878:AN883" si="118">AL878*AM878</f>
        <v>1562.0125</v>
      </c>
    </row>
    <row r="879" spans="2:42">
      <c r="B879" s="758" t="s">
        <v>515</v>
      </c>
      <c r="C879" s="758"/>
      <c r="D879" s="758"/>
      <c r="E879" s="759">
        <v>0</v>
      </c>
      <c r="F879" s="761"/>
      <c r="G879" s="762"/>
      <c r="H879" s="758"/>
      <c r="I879" s="758"/>
      <c r="J879" s="759">
        <v>0</v>
      </c>
      <c r="K879" s="761"/>
      <c r="L879" s="762"/>
      <c r="M879" s="758"/>
      <c r="N879" s="758"/>
      <c r="O879" s="759">
        <v>0</v>
      </c>
      <c r="P879" s="761"/>
      <c r="Q879" s="762"/>
      <c r="R879" s="758"/>
      <c r="S879" s="758"/>
      <c r="T879" s="759">
        <v>0</v>
      </c>
      <c r="U879" s="761"/>
      <c r="V879" s="762"/>
      <c r="W879" s="758"/>
      <c r="X879" s="758"/>
      <c r="Y879" s="759">
        <v>0</v>
      </c>
      <c r="Z879" s="761"/>
      <c r="AA879" s="763">
        <f t="shared" ref="AA879:AA899" si="119">(E879+J879+O879+T879+Y879)</f>
        <v>0</v>
      </c>
      <c r="AB879" s="764">
        <f t="shared" ref="AB879:AB899" si="120">Z879+U879+P879+K879+F879</f>
        <v>0</v>
      </c>
      <c r="AC879" s="762"/>
      <c r="AD879" s="811"/>
      <c r="AE879" s="811"/>
      <c r="AF879" s="759"/>
      <c r="AG879" s="763">
        <f t="shared" ref="AG879:AG899" si="121">AF879</f>
        <v>0</v>
      </c>
      <c r="AI879" s="368"/>
      <c r="AJ879" s="367"/>
      <c r="AK879" s="188" t="s">
        <v>30</v>
      </c>
      <c r="AL879" s="196">
        <f>AB900</f>
        <v>0</v>
      </c>
      <c r="AM879" s="511">
        <v>60.465000000000003</v>
      </c>
      <c r="AN879" s="510">
        <f t="shared" si="118"/>
        <v>0</v>
      </c>
    </row>
    <row r="880" spans="2:42">
      <c r="B880" s="758" t="s">
        <v>1112</v>
      </c>
      <c r="C880" s="758"/>
      <c r="D880" s="758"/>
      <c r="E880" s="759">
        <v>0</v>
      </c>
      <c r="F880" s="761"/>
      <c r="G880" s="762"/>
      <c r="H880" s="758"/>
      <c r="I880" s="758"/>
      <c r="J880" s="759">
        <v>0</v>
      </c>
      <c r="K880" s="761"/>
      <c r="L880" s="762"/>
      <c r="M880" s="758"/>
      <c r="N880" s="758"/>
      <c r="O880" s="759">
        <v>0</v>
      </c>
      <c r="P880" s="761"/>
      <c r="Q880" s="762"/>
      <c r="R880" s="758"/>
      <c r="S880" s="758"/>
      <c r="T880" s="759">
        <v>0</v>
      </c>
      <c r="U880" s="761"/>
      <c r="V880" s="762"/>
      <c r="W880" s="758"/>
      <c r="X880" s="758"/>
      <c r="Y880" s="759">
        <v>0</v>
      </c>
      <c r="Z880" s="761"/>
      <c r="AA880" s="763">
        <f t="shared" si="119"/>
        <v>0</v>
      </c>
      <c r="AB880" s="764">
        <f t="shared" si="120"/>
        <v>0</v>
      </c>
      <c r="AC880" s="762"/>
      <c r="AD880" s="758"/>
      <c r="AE880" s="758"/>
      <c r="AF880" s="759"/>
      <c r="AG880" s="763">
        <f t="shared" si="121"/>
        <v>0</v>
      </c>
      <c r="AH880" s="175"/>
      <c r="AI880" s="402"/>
      <c r="AJ880" s="367"/>
      <c r="AK880" s="188" t="s">
        <v>32</v>
      </c>
      <c r="AL880" s="196">
        <f>AG900</f>
        <v>0</v>
      </c>
      <c r="AM880" s="510">
        <v>60.465000000000003</v>
      </c>
      <c r="AN880" s="510">
        <f t="shared" si="118"/>
        <v>0</v>
      </c>
    </row>
    <row r="881" spans="2:42">
      <c r="B881" s="812" t="s">
        <v>972</v>
      </c>
      <c r="C881" s="758"/>
      <c r="D881" s="758"/>
      <c r="E881" s="759">
        <v>0</v>
      </c>
      <c r="F881" s="761"/>
      <c r="G881" s="762"/>
      <c r="H881" s="758"/>
      <c r="I881" s="758"/>
      <c r="J881" s="759">
        <v>0</v>
      </c>
      <c r="K881" s="761"/>
      <c r="L881" s="762"/>
      <c r="M881" s="758"/>
      <c r="N881" s="758"/>
      <c r="O881" s="759">
        <v>0</v>
      </c>
      <c r="P881" s="761"/>
      <c r="Q881" s="762"/>
      <c r="R881" s="758"/>
      <c r="S881" s="758"/>
      <c r="T881" s="759">
        <v>0</v>
      </c>
      <c r="U881" s="761"/>
      <c r="V881" s="762"/>
      <c r="W881" s="758"/>
      <c r="X881" s="758"/>
      <c r="Y881" s="759">
        <v>0</v>
      </c>
      <c r="Z881" s="761"/>
      <c r="AA881" s="763">
        <f t="shared" si="119"/>
        <v>0</v>
      </c>
      <c r="AB881" s="764">
        <f t="shared" si="120"/>
        <v>0</v>
      </c>
      <c r="AC881" s="762"/>
      <c r="AD881" s="758"/>
      <c r="AE881" s="758"/>
      <c r="AF881" s="759"/>
      <c r="AG881" s="763">
        <f t="shared" si="121"/>
        <v>0</v>
      </c>
      <c r="AH881" s="175"/>
      <c r="AJ881" s="401"/>
      <c r="AK881" s="403" t="s">
        <v>213</v>
      </c>
      <c r="AL881" s="404">
        <f>AA903</f>
        <v>24</v>
      </c>
      <c r="AM881" s="510">
        <v>53.05</v>
      </c>
      <c r="AN881" s="510">
        <f t="shared" si="118"/>
        <v>1273.1999999999998</v>
      </c>
      <c r="AO881" s="405"/>
      <c r="AP881" s="405"/>
    </row>
    <row r="882" spans="2:42">
      <c r="B882" s="758" t="s">
        <v>974</v>
      </c>
      <c r="C882" s="758"/>
      <c r="D882" s="758"/>
      <c r="E882" s="759">
        <v>0</v>
      </c>
      <c r="F882" s="761"/>
      <c r="G882" s="762"/>
      <c r="H882" s="758"/>
      <c r="I882" s="758"/>
      <c r="J882" s="759">
        <v>0</v>
      </c>
      <c r="K882" s="761"/>
      <c r="L882" s="762"/>
      <c r="M882" s="758"/>
      <c r="N882" s="758"/>
      <c r="O882" s="759">
        <v>0</v>
      </c>
      <c r="P882" s="761"/>
      <c r="Q882" s="762"/>
      <c r="R882" s="758"/>
      <c r="S882" s="758"/>
      <c r="T882" s="759">
        <v>0</v>
      </c>
      <c r="U882" s="761"/>
      <c r="V882" s="762"/>
      <c r="W882" s="758"/>
      <c r="X882" s="758"/>
      <c r="Y882" s="759">
        <v>0</v>
      </c>
      <c r="Z882" s="761"/>
      <c r="AA882" s="763">
        <f t="shared" si="119"/>
        <v>0</v>
      </c>
      <c r="AB882" s="764">
        <f t="shared" si="120"/>
        <v>0</v>
      </c>
      <c r="AC882" s="762"/>
      <c r="AD882" s="758"/>
      <c r="AE882" s="758"/>
      <c r="AF882" s="759"/>
      <c r="AG882" s="763">
        <f t="shared" si="121"/>
        <v>0</v>
      </c>
      <c r="AI882" s="368"/>
      <c r="AK882" s="188" t="s">
        <v>36</v>
      </c>
      <c r="AL882" s="196">
        <f>AB903</f>
        <v>0</v>
      </c>
      <c r="AM882" s="510">
        <v>79.574999999999989</v>
      </c>
      <c r="AN882" s="510">
        <f t="shared" si="118"/>
        <v>0</v>
      </c>
    </row>
    <row r="883" spans="2:42">
      <c r="B883" s="813" t="s">
        <v>998</v>
      </c>
      <c r="C883" s="758"/>
      <c r="D883" s="758"/>
      <c r="E883" s="759">
        <v>0</v>
      </c>
      <c r="F883" s="761"/>
      <c r="G883" s="762"/>
      <c r="H883" s="758"/>
      <c r="I883" s="758"/>
      <c r="J883" s="759">
        <v>0</v>
      </c>
      <c r="K883" s="761"/>
      <c r="L883" s="762"/>
      <c r="M883" s="758"/>
      <c r="N883" s="758"/>
      <c r="O883" s="759">
        <v>0</v>
      </c>
      <c r="P883" s="761"/>
      <c r="Q883" s="762"/>
      <c r="R883" s="758">
        <v>0.375</v>
      </c>
      <c r="S883" s="758">
        <v>0.25</v>
      </c>
      <c r="T883" s="759">
        <v>8</v>
      </c>
      <c r="U883" s="761"/>
      <c r="V883" s="762"/>
      <c r="W883" s="758">
        <v>0.375</v>
      </c>
      <c r="X883" s="758">
        <v>0.25</v>
      </c>
      <c r="Y883" s="759">
        <v>8</v>
      </c>
      <c r="Z883" s="761"/>
      <c r="AA883" s="763">
        <f t="shared" si="119"/>
        <v>16</v>
      </c>
      <c r="AB883" s="764">
        <f t="shared" si="120"/>
        <v>0</v>
      </c>
      <c r="AC883" s="762"/>
      <c r="AD883" s="758"/>
      <c r="AE883" s="758"/>
      <c r="AF883" s="759"/>
      <c r="AG883" s="763">
        <f t="shared" si="121"/>
        <v>0</v>
      </c>
      <c r="AH883" s="345"/>
      <c r="AI883" s="770"/>
      <c r="AJ883" s="771"/>
      <c r="AK883" s="772" t="s">
        <v>38</v>
      </c>
      <c r="AL883" s="773">
        <f>AG903</f>
        <v>0</v>
      </c>
      <c r="AM883" s="774">
        <v>79.574999999999989</v>
      </c>
      <c r="AN883" s="774">
        <f t="shared" si="118"/>
        <v>0</v>
      </c>
      <c r="AO883" s="775"/>
      <c r="AP883" s="775"/>
    </row>
    <row r="884" spans="2:42">
      <c r="B884" s="758" t="s">
        <v>977</v>
      </c>
      <c r="C884" s="758"/>
      <c r="D884" s="758"/>
      <c r="E884" s="759">
        <v>0</v>
      </c>
      <c r="F884" s="761"/>
      <c r="G884" s="762"/>
      <c r="H884" s="758"/>
      <c r="I884" s="758"/>
      <c r="J884" s="759">
        <v>0</v>
      </c>
      <c r="K884" s="761"/>
      <c r="L884" s="762"/>
      <c r="M884" s="758"/>
      <c r="N884" s="758"/>
      <c r="O884" s="759">
        <v>0</v>
      </c>
      <c r="P884" s="761"/>
      <c r="Q884" s="762"/>
      <c r="R884" s="758"/>
      <c r="S884" s="758"/>
      <c r="T884" s="759">
        <v>0</v>
      </c>
      <c r="U884" s="761"/>
      <c r="V884" s="762"/>
      <c r="W884" s="758"/>
      <c r="X884" s="758"/>
      <c r="Y884" s="759">
        <v>0</v>
      </c>
      <c r="Z884" s="761"/>
      <c r="AA884" s="763">
        <f t="shared" si="119"/>
        <v>0</v>
      </c>
      <c r="AB884" s="764">
        <f t="shared" si="120"/>
        <v>0</v>
      </c>
      <c r="AC884" s="762"/>
      <c r="AD884" s="758"/>
      <c r="AE884" s="758"/>
      <c r="AF884" s="759"/>
      <c r="AG884" s="763">
        <f t="shared" si="121"/>
        <v>0</v>
      </c>
      <c r="AN884" s="510">
        <f>SUM(AN878:AN883)</f>
        <v>2835.2124999999996</v>
      </c>
    </row>
    <row r="885" spans="2:42">
      <c r="B885" s="758" t="s">
        <v>519</v>
      </c>
      <c r="C885" s="758"/>
      <c r="D885" s="758"/>
      <c r="E885" s="759">
        <v>0</v>
      </c>
      <c r="F885" s="761"/>
      <c r="G885" s="762"/>
      <c r="H885" s="758"/>
      <c r="I885" s="758"/>
      <c r="J885" s="759">
        <v>0</v>
      </c>
      <c r="K885" s="761"/>
      <c r="L885" s="762"/>
      <c r="M885" s="758"/>
      <c r="N885" s="758"/>
      <c r="O885" s="759">
        <v>0</v>
      </c>
      <c r="P885" s="761"/>
      <c r="Q885" s="762"/>
      <c r="R885" s="758"/>
      <c r="S885" s="758"/>
      <c r="T885" s="759">
        <v>0</v>
      </c>
      <c r="U885" s="761"/>
      <c r="V885" s="762"/>
      <c r="W885" s="758"/>
      <c r="X885" s="758"/>
      <c r="Y885" s="759">
        <v>0</v>
      </c>
      <c r="Z885" s="761"/>
      <c r="AA885" s="763">
        <f t="shared" si="119"/>
        <v>0</v>
      </c>
      <c r="AB885" s="764">
        <f t="shared" si="120"/>
        <v>0</v>
      </c>
      <c r="AC885" s="762"/>
      <c r="AD885" s="758"/>
      <c r="AE885" s="758"/>
      <c r="AF885" s="759"/>
      <c r="AG885" s="763">
        <f t="shared" si="121"/>
        <v>0</v>
      </c>
    </row>
    <row r="886" spans="2:42">
      <c r="B886" s="758" t="s">
        <v>999</v>
      </c>
      <c r="C886" s="758">
        <v>0.375</v>
      </c>
      <c r="D886" s="814" t="s">
        <v>246</v>
      </c>
      <c r="E886" s="759">
        <v>8</v>
      </c>
      <c r="F886" s="761"/>
      <c r="G886" s="762"/>
      <c r="H886" s="758"/>
      <c r="I886" s="758"/>
      <c r="J886" s="759">
        <v>0</v>
      </c>
      <c r="K886" s="761"/>
      <c r="L886" s="762"/>
      <c r="M886" s="758"/>
      <c r="N886" s="758"/>
      <c r="O886" s="759">
        <v>0</v>
      </c>
      <c r="P886" s="761"/>
      <c r="Q886" s="762"/>
      <c r="R886" s="758"/>
      <c r="S886" s="758"/>
      <c r="T886" s="759">
        <v>0</v>
      </c>
      <c r="U886" s="761"/>
      <c r="V886" s="762"/>
      <c r="W886" s="758"/>
      <c r="X886" s="758"/>
      <c r="Y886" s="759">
        <v>0</v>
      </c>
      <c r="Z886" s="761"/>
      <c r="AA886" s="763">
        <f t="shared" si="119"/>
        <v>8</v>
      </c>
      <c r="AB886" s="764">
        <f t="shared" si="120"/>
        <v>0</v>
      </c>
      <c r="AC886" s="762"/>
      <c r="AD886" s="758"/>
      <c r="AE886" s="758"/>
      <c r="AF886" s="759"/>
      <c r="AG886" s="763">
        <f t="shared" si="121"/>
        <v>0</v>
      </c>
      <c r="AK886" s="192" t="s">
        <v>1115</v>
      </c>
      <c r="AL886" s="189">
        <f>C904</f>
        <v>3</v>
      </c>
      <c r="AM886" s="774">
        <v>45</v>
      </c>
      <c r="AN886" s="510">
        <f>AM886*AL886</f>
        <v>135</v>
      </c>
    </row>
    <row r="887" spans="2:42">
      <c r="B887" s="758" t="s">
        <v>1113</v>
      </c>
      <c r="C887" s="758"/>
      <c r="D887" s="758"/>
      <c r="E887" s="759">
        <v>0</v>
      </c>
      <c r="F887" s="761"/>
      <c r="G887" s="762"/>
      <c r="H887" s="758"/>
      <c r="I887" s="758"/>
      <c r="J887" s="759">
        <v>0</v>
      </c>
      <c r="K887" s="761"/>
      <c r="L887" s="762"/>
      <c r="M887" s="758"/>
      <c r="N887" s="758"/>
      <c r="O887" s="759">
        <v>0</v>
      </c>
      <c r="P887" s="761"/>
      <c r="Q887" s="762"/>
      <c r="R887" s="758"/>
      <c r="S887" s="758"/>
      <c r="T887" s="759">
        <v>0</v>
      </c>
      <c r="U887" s="761"/>
      <c r="V887" s="762"/>
      <c r="W887" s="758"/>
      <c r="X887" s="758"/>
      <c r="Y887" s="759">
        <v>0</v>
      </c>
      <c r="Z887" s="761"/>
      <c r="AA887" s="763">
        <f t="shared" si="119"/>
        <v>0</v>
      </c>
      <c r="AB887" s="764">
        <f t="shared" si="120"/>
        <v>0</v>
      </c>
      <c r="AC887" s="762"/>
      <c r="AD887" s="758"/>
      <c r="AE887" s="758"/>
      <c r="AF887" s="759"/>
      <c r="AG887" s="763">
        <f t="shared" si="121"/>
        <v>0</v>
      </c>
    </row>
    <row r="888" spans="2:42">
      <c r="B888" s="815" t="s">
        <v>483</v>
      </c>
      <c r="C888" s="758"/>
      <c r="D888" s="758"/>
      <c r="E888" s="759">
        <v>0</v>
      </c>
      <c r="F888" s="761"/>
      <c r="G888" s="762"/>
      <c r="H888" s="758"/>
      <c r="I888" s="758"/>
      <c r="J888" s="759">
        <v>0</v>
      </c>
      <c r="K888" s="761"/>
      <c r="L888" s="762"/>
      <c r="M888" s="758"/>
      <c r="N888" s="758"/>
      <c r="O888" s="759">
        <v>0</v>
      </c>
      <c r="P888" s="761"/>
      <c r="Q888" s="762"/>
      <c r="R888" s="758"/>
      <c r="S888" s="758"/>
      <c r="T888" s="759">
        <v>0</v>
      </c>
      <c r="U888" s="761"/>
      <c r="V888" s="762"/>
      <c r="W888" s="758"/>
      <c r="X888" s="758"/>
      <c r="Y888" s="759">
        <v>0</v>
      </c>
      <c r="Z888" s="761"/>
      <c r="AA888" s="763">
        <f t="shared" si="119"/>
        <v>0</v>
      </c>
      <c r="AB888" s="764">
        <f t="shared" si="120"/>
        <v>0</v>
      </c>
      <c r="AC888" s="762"/>
      <c r="AD888" s="758"/>
      <c r="AE888" s="758"/>
      <c r="AF888" s="759"/>
      <c r="AG888" s="763">
        <f t="shared" si="121"/>
        <v>0</v>
      </c>
    </row>
    <row r="889" spans="2:42">
      <c r="B889" s="815" t="s">
        <v>483</v>
      </c>
      <c r="C889" s="758"/>
      <c r="D889" s="758"/>
      <c r="E889" s="759">
        <v>0</v>
      </c>
      <c r="F889" s="761"/>
      <c r="G889" s="762"/>
      <c r="H889" s="758"/>
      <c r="I889" s="758"/>
      <c r="J889" s="759">
        <v>0</v>
      </c>
      <c r="K889" s="761"/>
      <c r="L889" s="762"/>
      <c r="M889" s="758"/>
      <c r="N889" s="758"/>
      <c r="O889" s="759">
        <v>0</v>
      </c>
      <c r="P889" s="761"/>
      <c r="Q889" s="762"/>
      <c r="R889" s="758"/>
      <c r="S889" s="758"/>
      <c r="T889" s="759">
        <v>0</v>
      </c>
      <c r="U889" s="761"/>
      <c r="V889" s="762"/>
      <c r="W889" s="758"/>
      <c r="X889" s="758"/>
      <c r="Y889" s="759">
        <v>0</v>
      </c>
      <c r="Z889" s="761"/>
      <c r="AA889" s="763">
        <f t="shared" si="119"/>
        <v>0</v>
      </c>
      <c r="AB889" s="764">
        <f t="shared" si="120"/>
        <v>0</v>
      </c>
      <c r="AC889" s="762"/>
      <c r="AD889" s="758"/>
      <c r="AE889" s="758"/>
      <c r="AF889" s="759"/>
      <c r="AG889" s="763">
        <f t="shared" si="121"/>
        <v>0</v>
      </c>
    </row>
    <row r="890" spans="2:42">
      <c r="B890" s="815" t="s">
        <v>484</v>
      </c>
      <c r="C890" s="758"/>
      <c r="D890" s="758"/>
      <c r="E890" s="759">
        <v>4</v>
      </c>
      <c r="F890" s="761"/>
      <c r="G890" s="762"/>
      <c r="H890" s="758"/>
      <c r="I890" s="758"/>
      <c r="J890" s="759">
        <v>0</v>
      </c>
      <c r="K890" s="761"/>
      <c r="L890" s="762"/>
      <c r="M890" s="758"/>
      <c r="N890" s="758"/>
      <c r="O890" s="759">
        <v>0</v>
      </c>
      <c r="P890" s="761"/>
      <c r="Q890" s="762"/>
      <c r="R890" s="758"/>
      <c r="S890" s="758"/>
      <c r="T890" s="759">
        <v>0</v>
      </c>
      <c r="U890" s="761"/>
      <c r="V890" s="762"/>
      <c r="W890" s="758"/>
      <c r="X890" s="758"/>
      <c r="Y890" s="759">
        <v>0</v>
      </c>
      <c r="Z890" s="761"/>
      <c r="AA890" s="763">
        <f t="shared" si="119"/>
        <v>4</v>
      </c>
      <c r="AB890" s="764">
        <f t="shared" si="120"/>
        <v>0</v>
      </c>
      <c r="AC890" s="762"/>
      <c r="AD890" s="758"/>
      <c r="AE890" s="758"/>
      <c r="AF890" s="759"/>
      <c r="AG890" s="763">
        <f t="shared" si="121"/>
        <v>0</v>
      </c>
    </row>
    <row r="891" spans="2:42">
      <c r="B891" s="815" t="s">
        <v>485</v>
      </c>
      <c r="C891" s="758"/>
      <c r="D891" s="758"/>
      <c r="E891" s="759">
        <v>4</v>
      </c>
      <c r="F891" s="761"/>
      <c r="G891" s="762"/>
      <c r="H891" s="758"/>
      <c r="I891" s="758"/>
      <c r="J891" s="759">
        <v>0</v>
      </c>
      <c r="K891" s="761"/>
      <c r="L891" s="762"/>
      <c r="M891" s="758"/>
      <c r="N891" s="758"/>
      <c r="O891" s="759">
        <v>0</v>
      </c>
      <c r="P891" s="761"/>
      <c r="Q891" s="762"/>
      <c r="R891" s="758"/>
      <c r="S891" s="758"/>
      <c r="T891" s="759">
        <v>0</v>
      </c>
      <c r="U891" s="761"/>
      <c r="V891" s="762"/>
      <c r="W891" s="758"/>
      <c r="X891" s="758"/>
      <c r="Y891" s="759">
        <v>0</v>
      </c>
      <c r="Z891" s="761"/>
      <c r="AA891" s="763">
        <f t="shared" si="119"/>
        <v>4</v>
      </c>
      <c r="AB891" s="764">
        <f t="shared" si="120"/>
        <v>0</v>
      </c>
      <c r="AC891" s="762"/>
      <c r="AD891" s="758"/>
      <c r="AE891" s="758"/>
      <c r="AF891" s="759"/>
      <c r="AG891" s="763">
        <f t="shared" si="121"/>
        <v>0</v>
      </c>
    </row>
    <row r="892" spans="2:42">
      <c r="B892" s="815" t="s">
        <v>1129</v>
      </c>
      <c r="C892" s="758"/>
      <c r="D892" s="758"/>
      <c r="E892" s="759">
        <v>0</v>
      </c>
      <c r="F892" s="761"/>
      <c r="G892" s="762"/>
      <c r="H892" s="758"/>
      <c r="I892" s="758"/>
      <c r="J892" s="759">
        <v>0</v>
      </c>
      <c r="K892" s="761"/>
      <c r="L892" s="762"/>
      <c r="M892" s="758"/>
      <c r="N892" s="758"/>
      <c r="O892" s="759">
        <v>0</v>
      </c>
      <c r="P892" s="761"/>
      <c r="Q892" s="762"/>
      <c r="R892" s="758"/>
      <c r="S892" s="758"/>
      <c r="T892" s="759">
        <v>0</v>
      </c>
      <c r="U892" s="761"/>
      <c r="V892" s="762"/>
      <c r="W892" s="758"/>
      <c r="X892" s="758"/>
      <c r="Y892" s="759">
        <v>0</v>
      </c>
      <c r="Z892" s="761"/>
      <c r="AA892" s="763">
        <f t="shared" si="119"/>
        <v>0</v>
      </c>
      <c r="AB892" s="764">
        <f t="shared" si="120"/>
        <v>0</v>
      </c>
      <c r="AC892" s="762"/>
      <c r="AD892" s="758"/>
      <c r="AE892" s="758"/>
      <c r="AF892" s="759"/>
      <c r="AG892" s="763">
        <f t="shared" si="121"/>
        <v>0</v>
      </c>
    </row>
    <row r="893" spans="2:42">
      <c r="B893" s="816" t="s">
        <v>358</v>
      </c>
      <c r="C893" s="758"/>
      <c r="D893" s="758"/>
      <c r="E893" s="759">
        <v>1</v>
      </c>
      <c r="F893" s="761"/>
      <c r="G893" s="762"/>
      <c r="H893" s="758"/>
      <c r="I893" s="758"/>
      <c r="J893" s="759">
        <v>0</v>
      </c>
      <c r="K893" s="761"/>
      <c r="L893" s="765"/>
      <c r="M893" s="758"/>
      <c r="N893" s="758"/>
      <c r="O893" s="759">
        <v>0</v>
      </c>
      <c r="P893" s="761"/>
      <c r="Q893" s="765"/>
      <c r="R893" s="758"/>
      <c r="S893" s="758"/>
      <c r="T893" s="759">
        <v>1</v>
      </c>
      <c r="U893" s="761"/>
      <c r="V893" s="765"/>
      <c r="W893" s="758"/>
      <c r="X893" s="758"/>
      <c r="Y893" s="759">
        <v>2</v>
      </c>
      <c r="Z893" s="761"/>
      <c r="AA893" s="763">
        <f t="shared" si="119"/>
        <v>4</v>
      </c>
      <c r="AB893" s="764">
        <f t="shared" si="120"/>
        <v>0</v>
      </c>
      <c r="AC893" s="762"/>
      <c r="AD893" s="758"/>
      <c r="AE893" s="758"/>
      <c r="AF893" s="759"/>
      <c r="AG893" s="763">
        <f t="shared" si="121"/>
        <v>0</v>
      </c>
    </row>
    <row r="894" spans="2:42">
      <c r="B894" s="816" t="s">
        <v>1135</v>
      </c>
      <c r="C894" s="758"/>
      <c r="D894" s="758"/>
      <c r="E894" s="759">
        <v>0</v>
      </c>
      <c r="F894" s="761"/>
      <c r="G894" s="762"/>
      <c r="H894" s="758"/>
      <c r="I894" s="758"/>
      <c r="J894" s="759">
        <v>0</v>
      </c>
      <c r="K894" s="761"/>
      <c r="L894" s="765"/>
      <c r="M894" s="758"/>
      <c r="N894" s="758"/>
      <c r="O894" s="759">
        <v>0</v>
      </c>
      <c r="P894" s="761"/>
      <c r="Q894" s="765"/>
      <c r="R894" s="758"/>
      <c r="S894" s="758"/>
      <c r="T894" s="759">
        <v>0</v>
      </c>
      <c r="U894" s="761"/>
      <c r="V894" s="765"/>
      <c r="W894" s="758"/>
      <c r="X894" s="758"/>
      <c r="Y894" s="759">
        <v>0</v>
      </c>
      <c r="Z894" s="761"/>
      <c r="AA894" s="763">
        <f t="shared" si="119"/>
        <v>0</v>
      </c>
      <c r="AB894" s="764">
        <f t="shared" si="120"/>
        <v>0</v>
      </c>
      <c r="AC894" s="762"/>
      <c r="AD894" s="758"/>
      <c r="AE894" s="758"/>
      <c r="AF894" s="759"/>
      <c r="AG894" s="763">
        <f t="shared" si="121"/>
        <v>0</v>
      </c>
    </row>
    <row r="895" spans="2:42">
      <c r="B895" s="816" t="s">
        <v>411</v>
      </c>
      <c r="C895" s="758"/>
      <c r="D895" s="758"/>
      <c r="E895" s="759">
        <v>0</v>
      </c>
      <c r="F895" s="761"/>
      <c r="G895" s="762"/>
      <c r="H895" s="758"/>
      <c r="I895" s="758"/>
      <c r="J895" s="759">
        <v>0</v>
      </c>
      <c r="K895" s="761"/>
      <c r="L895" s="765"/>
      <c r="M895" s="758"/>
      <c r="N895" s="758"/>
      <c r="O895" s="759">
        <v>0</v>
      </c>
      <c r="P895" s="761"/>
      <c r="Q895" s="765"/>
      <c r="R895" s="758"/>
      <c r="S895" s="758"/>
      <c r="T895" s="759">
        <v>0</v>
      </c>
      <c r="U895" s="761"/>
      <c r="V895" s="765"/>
      <c r="W895" s="758"/>
      <c r="X895" s="758"/>
      <c r="Y895" s="759">
        <v>0</v>
      </c>
      <c r="Z895" s="761"/>
      <c r="AA895" s="763">
        <f t="shared" si="119"/>
        <v>0</v>
      </c>
      <c r="AB895" s="764">
        <f t="shared" si="120"/>
        <v>0</v>
      </c>
      <c r="AC895" s="762"/>
      <c r="AD895" s="758"/>
      <c r="AE895" s="758"/>
      <c r="AF895" s="759"/>
      <c r="AG895" s="763">
        <f t="shared" si="121"/>
        <v>0</v>
      </c>
    </row>
    <row r="896" spans="2:42">
      <c r="B896" s="816" t="s">
        <v>361</v>
      </c>
      <c r="C896" s="758"/>
      <c r="D896" s="758"/>
      <c r="E896" s="759">
        <v>0</v>
      </c>
      <c r="F896" s="761"/>
      <c r="G896" s="762"/>
      <c r="H896" s="758"/>
      <c r="I896" s="758"/>
      <c r="J896" s="759">
        <v>0</v>
      </c>
      <c r="K896" s="761"/>
      <c r="L896" s="765"/>
      <c r="M896" s="758"/>
      <c r="N896" s="758"/>
      <c r="O896" s="759">
        <v>0</v>
      </c>
      <c r="P896" s="761"/>
      <c r="Q896" s="765"/>
      <c r="R896" s="758"/>
      <c r="S896" s="758"/>
      <c r="T896" s="759">
        <v>0</v>
      </c>
      <c r="U896" s="761"/>
      <c r="V896" s="765"/>
      <c r="W896" s="758"/>
      <c r="X896" s="758"/>
      <c r="Y896" s="759">
        <v>0</v>
      </c>
      <c r="Z896" s="761"/>
      <c r="AA896" s="763">
        <f t="shared" si="119"/>
        <v>0</v>
      </c>
      <c r="AB896" s="764">
        <f t="shared" si="120"/>
        <v>0</v>
      </c>
      <c r="AC896" s="762"/>
      <c r="AD896" s="758"/>
      <c r="AE896" s="758"/>
      <c r="AF896" s="759"/>
      <c r="AG896" s="763">
        <f t="shared" si="121"/>
        <v>0</v>
      </c>
    </row>
    <row r="897" spans="2:42">
      <c r="B897" s="816" t="s">
        <v>362</v>
      </c>
      <c r="C897" s="758"/>
      <c r="D897" s="766"/>
      <c r="E897" s="759">
        <v>0</v>
      </c>
      <c r="F897" s="761"/>
      <c r="G897" s="762"/>
      <c r="H897" s="758"/>
      <c r="I897" s="766"/>
      <c r="J897" s="759">
        <v>0</v>
      </c>
      <c r="K897" s="761"/>
      <c r="L897" s="765"/>
      <c r="M897" s="758"/>
      <c r="N897" s="766"/>
      <c r="O897" s="759">
        <v>0</v>
      </c>
      <c r="P897" s="761"/>
      <c r="Q897" s="765"/>
      <c r="R897" s="758"/>
      <c r="S897" s="766"/>
      <c r="T897" s="759">
        <v>0</v>
      </c>
      <c r="U897" s="761"/>
      <c r="V897" s="765"/>
      <c r="W897" s="758"/>
      <c r="X897" s="766"/>
      <c r="Y897" s="759">
        <v>0</v>
      </c>
      <c r="Z897" s="761"/>
      <c r="AA897" s="763">
        <f t="shared" si="119"/>
        <v>0</v>
      </c>
      <c r="AB897" s="764">
        <f t="shared" si="120"/>
        <v>0</v>
      </c>
      <c r="AC897" s="762"/>
      <c r="AD897" s="758"/>
      <c r="AE897" s="758"/>
      <c r="AF897" s="759"/>
      <c r="AG897" s="763">
        <f t="shared" si="121"/>
        <v>0</v>
      </c>
    </row>
    <row r="898" spans="2:42">
      <c r="B898" s="817" t="s">
        <v>355</v>
      </c>
      <c r="C898" s="758"/>
      <c r="D898" s="758"/>
      <c r="E898" s="759">
        <v>2.75</v>
      </c>
      <c r="F898" s="761"/>
      <c r="G898" s="762"/>
      <c r="H898" s="758"/>
      <c r="I898" s="758"/>
      <c r="J898" s="759">
        <v>0</v>
      </c>
      <c r="K898" s="761"/>
      <c r="L898" s="765"/>
      <c r="M898" s="758"/>
      <c r="N898" s="758"/>
      <c r="O898" s="759">
        <v>0</v>
      </c>
      <c r="P898" s="761"/>
      <c r="Q898" s="765"/>
      <c r="R898" s="758"/>
      <c r="S898" s="758"/>
      <c r="T898" s="759">
        <v>0</v>
      </c>
      <c r="U898" s="761"/>
      <c r="V898" s="765"/>
      <c r="W898" s="758"/>
      <c r="X898" s="758"/>
      <c r="Y898" s="759">
        <v>0</v>
      </c>
      <c r="Z898" s="761"/>
      <c r="AA898" s="763">
        <f t="shared" si="119"/>
        <v>2.75</v>
      </c>
      <c r="AB898" s="764">
        <f t="shared" si="120"/>
        <v>0</v>
      </c>
      <c r="AC898" s="762"/>
      <c r="AD898" s="758"/>
      <c r="AE898" s="758"/>
      <c r="AF898" s="759"/>
      <c r="AG898" s="763">
        <f t="shared" si="121"/>
        <v>0</v>
      </c>
    </row>
    <row r="899" spans="2:42">
      <c r="B899" s="817" t="s">
        <v>356</v>
      </c>
      <c r="C899" s="818"/>
      <c r="D899" s="818"/>
      <c r="E899" s="759">
        <v>0</v>
      </c>
      <c r="F899" s="761"/>
      <c r="G899" s="765"/>
      <c r="H899" s="766"/>
      <c r="I899" s="766"/>
      <c r="J899" s="759">
        <v>0</v>
      </c>
      <c r="K899" s="761"/>
      <c r="L899" s="765"/>
      <c r="M899" s="766"/>
      <c r="N899" s="766"/>
      <c r="O899" s="759">
        <v>0</v>
      </c>
      <c r="P899" s="761"/>
      <c r="Q899" s="765"/>
      <c r="R899" s="766"/>
      <c r="S899" s="766"/>
      <c r="T899" s="759">
        <v>0</v>
      </c>
      <c r="U899" s="761"/>
      <c r="V899" s="765"/>
      <c r="W899" s="766"/>
      <c r="X899" s="766"/>
      <c r="Y899" s="759">
        <v>0</v>
      </c>
      <c r="Z899" s="761"/>
      <c r="AA899" s="763">
        <f t="shared" si="119"/>
        <v>0</v>
      </c>
      <c r="AB899" s="764">
        <f t="shared" si="120"/>
        <v>0</v>
      </c>
      <c r="AC899" s="762"/>
      <c r="AD899" s="758"/>
      <c r="AE899" s="758"/>
      <c r="AF899" s="759"/>
      <c r="AG899" s="763">
        <f t="shared" si="121"/>
        <v>0</v>
      </c>
    </row>
    <row r="900" spans="2:42">
      <c r="B900" s="767" t="s">
        <v>61</v>
      </c>
      <c r="C900" s="767"/>
      <c r="D900" s="767"/>
      <c r="E900" s="760">
        <f>SUM(E879:E899)</f>
        <v>19.75</v>
      </c>
      <c r="F900" s="761"/>
      <c r="G900" s="767"/>
      <c r="H900" s="767"/>
      <c r="I900" s="767"/>
      <c r="J900" s="760">
        <f>SUM(J879:J899)</f>
        <v>0</v>
      </c>
      <c r="K900" s="761"/>
      <c r="L900" s="767"/>
      <c r="M900" s="767"/>
      <c r="N900" s="767"/>
      <c r="O900" s="760">
        <f>SUM(O879:O899)</f>
        <v>0</v>
      </c>
      <c r="P900" s="761"/>
      <c r="Q900" s="767"/>
      <c r="R900" s="767"/>
      <c r="S900" s="767"/>
      <c r="T900" s="760">
        <f>SUM(T879:T899)</f>
        <v>9</v>
      </c>
      <c r="U900" s="761"/>
      <c r="V900" s="767"/>
      <c r="W900" s="767"/>
      <c r="X900" s="767"/>
      <c r="Y900" s="760">
        <f>SUM(Y879:Y899)</f>
        <v>10</v>
      </c>
      <c r="Z900" s="761"/>
      <c r="AA900" s="763">
        <f>SUM(AA879:AA899)</f>
        <v>38.75</v>
      </c>
      <c r="AB900" s="763">
        <f>SUM(AB879:AB899)</f>
        <v>0</v>
      </c>
      <c r="AC900" s="762"/>
      <c r="AD900" s="767"/>
      <c r="AE900" s="767"/>
      <c r="AF900" s="763">
        <f>SUM(AF879:AF899)</f>
        <v>0</v>
      </c>
      <c r="AG900" s="763">
        <f>SUM(AG879:AG899)</f>
        <v>0</v>
      </c>
    </row>
    <row r="901" spans="2:42">
      <c r="B901" s="816" t="s">
        <v>1116</v>
      </c>
      <c r="C901" s="758"/>
      <c r="D901" s="758"/>
      <c r="E901" s="759">
        <v>8</v>
      </c>
      <c r="F901" s="761"/>
      <c r="G901" s="762"/>
      <c r="H901" s="758"/>
      <c r="I901" s="758"/>
      <c r="J901" s="759">
        <v>0</v>
      </c>
      <c r="K901" s="761"/>
      <c r="L901" s="762"/>
      <c r="M901" s="758"/>
      <c r="N901" s="758"/>
      <c r="O901" s="759">
        <v>0</v>
      </c>
      <c r="P901" s="761"/>
      <c r="Q901" s="762"/>
      <c r="R901" s="758"/>
      <c r="S901" s="758"/>
      <c r="T901" s="759">
        <v>8</v>
      </c>
      <c r="U901" s="761"/>
      <c r="V901" s="762"/>
      <c r="W901" s="758"/>
      <c r="X901" s="758"/>
      <c r="Y901" s="759">
        <v>8</v>
      </c>
      <c r="Z901" s="761"/>
      <c r="AA901" s="763">
        <f>(E901+J901+O901+T901+Y901)</f>
        <v>24</v>
      </c>
      <c r="AB901" s="764">
        <f>Z901+U901+P901+K901+F901</f>
        <v>0</v>
      </c>
      <c r="AC901" s="762"/>
      <c r="AD901" s="758"/>
      <c r="AE901" s="758"/>
      <c r="AF901" s="759"/>
      <c r="AG901" s="763">
        <f>AF901</f>
        <v>0</v>
      </c>
    </row>
    <row r="902" spans="2:42">
      <c r="B902" s="816" t="s">
        <v>64</v>
      </c>
      <c r="C902" s="758"/>
      <c r="D902" s="758"/>
      <c r="E902" s="759">
        <v>0</v>
      </c>
      <c r="F902" s="759"/>
      <c r="G902" s="819"/>
      <c r="H902" s="758"/>
      <c r="I902" s="758"/>
      <c r="J902" s="759">
        <v>0</v>
      </c>
      <c r="K902" s="759"/>
      <c r="L902" s="765"/>
      <c r="M902" s="758"/>
      <c r="N902" s="758"/>
      <c r="O902" s="759">
        <v>0</v>
      </c>
      <c r="P902" s="759"/>
      <c r="Q902" s="765"/>
      <c r="R902" s="758"/>
      <c r="S902" s="758"/>
      <c r="T902" s="759">
        <v>0</v>
      </c>
      <c r="U902" s="759"/>
      <c r="V902" s="765"/>
      <c r="W902" s="758"/>
      <c r="X902" s="758"/>
      <c r="Y902" s="759">
        <v>0</v>
      </c>
      <c r="Z902" s="759"/>
      <c r="AA902" s="763">
        <f>SUM(E902+J902+O902+T902+Y902)</f>
        <v>0</v>
      </c>
      <c r="AB902" s="768">
        <f>Z902+U902+P902+K902+F902</f>
        <v>0</v>
      </c>
      <c r="AC902" s="762"/>
      <c r="AD902" s="758" t="s">
        <v>29</v>
      </c>
      <c r="AE902" s="758" t="s">
        <v>29</v>
      </c>
      <c r="AF902" s="759"/>
      <c r="AG902" s="763">
        <f>AF902</f>
        <v>0</v>
      </c>
    </row>
    <row r="903" spans="2:42">
      <c r="B903" s="819" t="s">
        <v>66</v>
      </c>
      <c r="C903" s="820"/>
      <c r="D903" s="820"/>
      <c r="E903" s="819"/>
      <c r="F903" s="819"/>
      <c r="G903" s="819"/>
      <c r="H903" s="819"/>
      <c r="I903" s="819"/>
      <c r="J903" s="819"/>
      <c r="K903" s="819"/>
      <c r="L903" s="819"/>
      <c r="M903" s="819"/>
      <c r="N903" s="819"/>
      <c r="O903" s="819"/>
      <c r="P903" s="819"/>
      <c r="Q903" s="819"/>
      <c r="R903" s="819"/>
      <c r="S903" s="819"/>
      <c r="T903" s="819"/>
      <c r="U903" s="819"/>
      <c r="V903" s="819"/>
      <c r="W903" s="819"/>
      <c r="X903" s="819"/>
      <c r="Y903" s="819"/>
      <c r="Z903" s="819"/>
      <c r="AA903" s="763">
        <f>SUM(AA901:AA902)</f>
        <v>24</v>
      </c>
      <c r="AB903" s="763">
        <f>SUM(AB902:AB902)</f>
        <v>0</v>
      </c>
      <c r="AC903" s="762"/>
      <c r="AD903" s="811"/>
      <c r="AE903" s="811"/>
      <c r="AF903" s="811"/>
      <c r="AG903" s="763">
        <f>SUM(AG902:AG902)</f>
        <v>0</v>
      </c>
      <c r="AK903" s="407"/>
    </row>
    <row r="904" spans="2:42">
      <c r="B904" s="821" t="s">
        <v>67</v>
      </c>
      <c r="C904" s="822">
        <f>C905+C906</f>
        <v>3</v>
      </c>
      <c r="D904" s="822"/>
      <c r="E904" s="823"/>
      <c r="F904" s="823"/>
      <c r="G904" s="822"/>
      <c r="H904" s="823"/>
      <c r="I904" s="823"/>
      <c r="J904" s="823"/>
      <c r="K904" s="823"/>
      <c r="L904" s="822"/>
      <c r="M904" s="822"/>
      <c r="N904" s="822"/>
      <c r="O904" s="822"/>
      <c r="P904" s="823"/>
      <c r="Q904" s="822"/>
      <c r="R904" s="822"/>
      <c r="S904" s="822"/>
      <c r="T904" s="822"/>
      <c r="U904" s="823"/>
      <c r="V904" s="822"/>
      <c r="W904" s="822"/>
      <c r="X904" s="822"/>
      <c r="Y904" s="824"/>
      <c r="Z904" s="823"/>
      <c r="AA904" s="825"/>
      <c r="AB904" s="823"/>
      <c r="AC904" s="825"/>
      <c r="AD904" s="825"/>
      <c r="AE904" s="825"/>
      <c r="AF904" s="825"/>
      <c r="AG904" s="825"/>
      <c r="AK904" s="407"/>
    </row>
    <row r="905" spans="2:42">
      <c r="B905" s="826" t="s">
        <v>68</v>
      </c>
      <c r="C905" s="822">
        <v>0</v>
      </c>
      <c r="D905" s="822"/>
      <c r="E905" s="823"/>
      <c r="F905" s="823"/>
      <c r="G905" s="822"/>
      <c r="H905" s="823"/>
      <c r="I905" s="823"/>
      <c r="J905" s="823"/>
      <c r="K905" s="823"/>
      <c r="L905" s="822"/>
      <c r="M905" s="822"/>
      <c r="N905" s="822"/>
      <c r="O905" s="822"/>
      <c r="P905" s="823"/>
      <c r="Q905" s="822"/>
      <c r="R905" s="822"/>
      <c r="S905" s="822"/>
      <c r="T905" s="822"/>
      <c r="U905" s="823"/>
      <c r="V905" s="822"/>
      <c r="W905" s="822"/>
      <c r="X905" s="822"/>
      <c r="Y905" s="824"/>
      <c r="Z905" s="823"/>
      <c r="AA905" s="825"/>
      <c r="AB905" s="823"/>
      <c r="AC905" s="825"/>
      <c r="AD905" s="825"/>
      <c r="AE905" s="825"/>
      <c r="AF905" s="825"/>
      <c r="AG905" s="825"/>
      <c r="AK905" s="407"/>
    </row>
    <row r="906" spans="2:42">
      <c r="B906" s="826" t="s">
        <v>69</v>
      </c>
      <c r="C906" s="822">
        <v>3</v>
      </c>
      <c r="D906" s="822"/>
      <c r="E906" s="823"/>
      <c r="F906" s="823"/>
      <c r="G906" s="822"/>
      <c r="H906" s="823"/>
      <c r="I906" s="823"/>
      <c r="J906" s="823"/>
      <c r="K906" s="823"/>
      <c r="L906" s="822"/>
      <c r="M906" s="822"/>
      <c r="N906" s="822"/>
      <c r="O906" s="822"/>
      <c r="P906" s="823"/>
      <c r="Q906" s="822"/>
      <c r="R906" s="822"/>
      <c r="S906" s="822"/>
      <c r="T906" s="822"/>
      <c r="U906" s="823"/>
      <c r="V906" s="822"/>
      <c r="W906" s="822"/>
      <c r="X906" s="822"/>
      <c r="Y906" s="824"/>
      <c r="Z906" s="823"/>
      <c r="AA906" s="825"/>
      <c r="AB906" s="823"/>
      <c r="AC906" s="825"/>
      <c r="AD906" s="825"/>
      <c r="AE906" s="825"/>
      <c r="AF906" s="825"/>
      <c r="AG906" s="825"/>
    </row>
    <row r="907" spans="2:42">
      <c r="B907" s="827"/>
      <c r="C907" s="811"/>
      <c r="D907" s="811"/>
      <c r="E907" s="813"/>
      <c r="F907" s="813"/>
      <c r="G907" s="813"/>
      <c r="H907" s="811"/>
      <c r="I907" s="811"/>
      <c r="J907" s="813"/>
      <c r="K907" s="813"/>
      <c r="L907" s="813"/>
      <c r="M907" s="811"/>
      <c r="N907" s="811"/>
      <c r="O907" s="813"/>
      <c r="P907" s="813"/>
      <c r="Q907" s="762"/>
      <c r="R907" s="811"/>
      <c r="S907" s="811"/>
      <c r="T907" s="813"/>
      <c r="U907" s="813"/>
      <c r="V907" s="762"/>
      <c r="W907" s="811"/>
      <c r="X907" s="811"/>
      <c r="Y907" s="813"/>
      <c r="Z907" s="813"/>
      <c r="AA907" s="813"/>
      <c r="AB907" s="813"/>
      <c r="AC907" s="813"/>
      <c r="AD907" s="811"/>
      <c r="AE907" s="811"/>
      <c r="AF907" s="811"/>
      <c r="AG907" s="811"/>
    </row>
    <row r="908" spans="2:42">
      <c r="B908" s="827"/>
      <c r="C908" s="811"/>
      <c r="D908" s="811"/>
      <c r="E908" s="813"/>
      <c r="F908" s="813"/>
      <c r="G908" s="813"/>
      <c r="H908" s="811"/>
      <c r="I908" s="811"/>
      <c r="J908" s="813"/>
      <c r="K908" s="813"/>
      <c r="L908" s="813"/>
      <c r="M908" s="811"/>
      <c r="N908" s="811"/>
      <c r="O908" s="813"/>
      <c r="P908" s="813"/>
      <c r="Q908" s="762"/>
      <c r="R908" s="811"/>
      <c r="S908" s="811"/>
      <c r="T908" s="813"/>
      <c r="U908" s="813"/>
      <c r="V908" s="762"/>
      <c r="W908" s="811"/>
      <c r="X908" s="811"/>
      <c r="Y908" s="813"/>
      <c r="Z908" s="813"/>
      <c r="AA908" s="813"/>
      <c r="AB908" s="813"/>
      <c r="AC908" s="813"/>
      <c r="AD908" s="811"/>
      <c r="AE908" s="811"/>
      <c r="AF908" s="811"/>
      <c r="AG908" s="811"/>
    </row>
    <row r="909" spans="2:42" ht="25.5">
      <c r="B909" s="1576" t="s">
        <v>18</v>
      </c>
      <c r="C909" s="1577">
        <v>45894</v>
      </c>
      <c r="D909" s="1577"/>
      <c r="E909" s="1577" t="s">
        <v>564</v>
      </c>
      <c r="F909" s="1577"/>
      <c r="G909" s="807"/>
      <c r="H909" s="1577">
        <v>45895</v>
      </c>
      <c r="I909" s="1577"/>
      <c r="J909" s="1577" t="s">
        <v>565</v>
      </c>
      <c r="K909" s="1577"/>
      <c r="L909" s="807"/>
      <c r="M909" s="1577">
        <v>45896</v>
      </c>
      <c r="N909" s="1577"/>
      <c r="O909" s="1577" t="s">
        <v>566</v>
      </c>
      <c r="P909" s="1577"/>
      <c r="Q909" s="807"/>
      <c r="R909" s="1577">
        <v>45897</v>
      </c>
      <c r="S909" s="1577"/>
      <c r="T909" s="1577" t="s">
        <v>567</v>
      </c>
      <c r="U909" s="1577"/>
      <c r="V909" s="807"/>
      <c r="W909" s="1577">
        <v>45898</v>
      </c>
      <c r="X909" s="1577"/>
      <c r="Y909" s="1577" t="s">
        <v>568</v>
      </c>
      <c r="Z909" s="1577"/>
      <c r="AA909" s="1578" t="s">
        <v>19</v>
      </c>
      <c r="AB909" s="1578" t="s">
        <v>20</v>
      </c>
      <c r="AC909" s="762"/>
      <c r="AD909" s="1577"/>
      <c r="AE909" s="1577"/>
      <c r="AF909" s="808" t="s">
        <v>1111</v>
      </c>
      <c r="AG909" s="1578" t="s">
        <v>21</v>
      </c>
      <c r="AI909" s="368"/>
      <c r="AK909" s="194" t="s">
        <v>84</v>
      </c>
      <c r="AL909" s="366"/>
      <c r="AM909" s="366"/>
      <c r="AN909" s="366"/>
      <c r="AO909" s="366"/>
      <c r="AP909" s="366"/>
    </row>
    <row r="910" spans="2:42">
      <c r="B910" s="1576"/>
      <c r="C910" s="809" t="s">
        <v>23</v>
      </c>
      <c r="D910" s="809" t="s">
        <v>24</v>
      </c>
      <c r="E910" s="768" t="s">
        <v>25</v>
      </c>
      <c r="F910" s="810" t="s">
        <v>14</v>
      </c>
      <c r="G910" s="762"/>
      <c r="H910" s="809"/>
      <c r="I910" s="809" t="s">
        <v>24</v>
      </c>
      <c r="J910" s="810" t="s">
        <v>25</v>
      </c>
      <c r="K910" s="810" t="s">
        <v>14</v>
      </c>
      <c r="L910" s="762"/>
      <c r="M910" s="809" t="s">
        <v>23</v>
      </c>
      <c r="N910" s="809" t="s">
        <v>24</v>
      </c>
      <c r="O910" s="810" t="s">
        <v>25</v>
      </c>
      <c r="P910" s="810" t="s">
        <v>14</v>
      </c>
      <c r="Q910" s="762"/>
      <c r="R910" s="809" t="s">
        <v>23</v>
      </c>
      <c r="S910" s="809" t="s">
        <v>24</v>
      </c>
      <c r="T910" s="810" t="s">
        <v>25</v>
      </c>
      <c r="U910" s="810" t="s">
        <v>14</v>
      </c>
      <c r="V910" s="762"/>
      <c r="W910" s="809" t="s">
        <v>23</v>
      </c>
      <c r="X910" s="809" t="s">
        <v>24</v>
      </c>
      <c r="Y910" s="810" t="s">
        <v>25</v>
      </c>
      <c r="Z910" s="810" t="s">
        <v>14</v>
      </c>
      <c r="AA910" s="1578"/>
      <c r="AB910" s="1578"/>
      <c r="AC910" s="762"/>
      <c r="AD910" s="809" t="s">
        <v>23</v>
      </c>
      <c r="AE910" s="809" t="s">
        <v>24</v>
      </c>
      <c r="AF910" s="810" t="s">
        <v>25</v>
      </c>
      <c r="AG910" s="1578"/>
      <c r="AI910" s="368"/>
      <c r="AJ910" s="367"/>
      <c r="AK910" s="188" t="s">
        <v>26</v>
      </c>
      <c r="AL910" s="196">
        <f>AA932</f>
        <v>0</v>
      </c>
      <c r="AM910" s="510">
        <v>40.31</v>
      </c>
      <c r="AN910" s="510">
        <f t="shared" ref="AN910:AN915" si="122">AL910*AM910</f>
        <v>0</v>
      </c>
    </row>
    <row r="911" spans="2:42">
      <c r="B911" s="758" t="s">
        <v>515</v>
      </c>
      <c r="C911" s="758" t="s">
        <v>1137</v>
      </c>
      <c r="D911" s="758"/>
      <c r="E911" s="759">
        <v>0</v>
      </c>
      <c r="F911" s="761"/>
      <c r="G911" s="762"/>
      <c r="H911" s="758"/>
      <c r="I911" s="758"/>
      <c r="J911" s="759">
        <v>0</v>
      </c>
      <c r="K911" s="761"/>
      <c r="L911" s="762"/>
      <c r="M911" s="758"/>
      <c r="N911" s="758"/>
      <c r="O911" s="759">
        <v>0</v>
      </c>
      <c r="P911" s="761"/>
      <c r="Q911" s="762"/>
      <c r="R911" s="758"/>
      <c r="S911" s="758"/>
      <c r="T911" s="759">
        <v>0</v>
      </c>
      <c r="U911" s="761"/>
      <c r="V911" s="762"/>
      <c r="W911" s="758"/>
      <c r="X911" s="758"/>
      <c r="Y911" s="759">
        <v>0</v>
      </c>
      <c r="Z911" s="761"/>
      <c r="AA911" s="763">
        <f t="shared" ref="AA911:AA931" si="123">(E911+J911+O911+T911+Y911)</f>
        <v>0</v>
      </c>
      <c r="AB911" s="764">
        <f t="shared" ref="AB911:AB931" si="124">Z911+U911+P911+K911+F911</f>
        <v>0</v>
      </c>
      <c r="AC911" s="762"/>
      <c r="AD911" s="811"/>
      <c r="AE911" s="811"/>
      <c r="AF911" s="759"/>
      <c r="AG911" s="763">
        <f t="shared" ref="AG911:AG931" si="125">AF911</f>
        <v>0</v>
      </c>
      <c r="AI911" s="368"/>
      <c r="AJ911" s="367"/>
      <c r="AK911" s="188" t="s">
        <v>30</v>
      </c>
      <c r="AL911" s="196">
        <f>AB932</f>
        <v>0</v>
      </c>
      <c r="AM911" s="511">
        <v>60.465000000000003</v>
      </c>
      <c r="AN911" s="510">
        <f t="shared" si="122"/>
        <v>0</v>
      </c>
    </row>
    <row r="912" spans="2:42">
      <c r="B912" s="758" t="s">
        <v>1112</v>
      </c>
      <c r="C912" s="758"/>
      <c r="D912" s="758"/>
      <c r="E912" s="759">
        <v>0</v>
      </c>
      <c r="F912" s="761"/>
      <c r="G912" s="762"/>
      <c r="H912" s="758"/>
      <c r="I912" s="758"/>
      <c r="J912" s="759">
        <v>0</v>
      </c>
      <c r="K912" s="761"/>
      <c r="L912" s="762"/>
      <c r="M912" s="758"/>
      <c r="N912" s="758"/>
      <c r="O912" s="759">
        <v>0</v>
      </c>
      <c r="P912" s="761"/>
      <c r="Q912" s="762"/>
      <c r="R912" s="758"/>
      <c r="S912" s="758"/>
      <c r="T912" s="759">
        <v>0</v>
      </c>
      <c r="U912" s="761"/>
      <c r="V912" s="762"/>
      <c r="W912" s="758"/>
      <c r="X912" s="758"/>
      <c r="Y912" s="759">
        <v>0</v>
      </c>
      <c r="Z912" s="761"/>
      <c r="AA912" s="763">
        <f t="shared" si="123"/>
        <v>0</v>
      </c>
      <c r="AB912" s="764">
        <f t="shared" si="124"/>
        <v>0</v>
      </c>
      <c r="AC912" s="762"/>
      <c r="AD912" s="758"/>
      <c r="AE912" s="758"/>
      <c r="AF912" s="759"/>
      <c r="AG912" s="763">
        <f t="shared" si="125"/>
        <v>0</v>
      </c>
      <c r="AH912" s="175"/>
      <c r="AI912" s="402"/>
      <c r="AJ912" s="367"/>
      <c r="AK912" s="188" t="s">
        <v>32</v>
      </c>
      <c r="AL912" s="196">
        <f>AG932</f>
        <v>0</v>
      </c>
      <c r="AM912" s="510">
        <v>60.465000000000003</v>
      </c>
      <c r="AN912" s="510">
        <f t="shared" si="122"/>
        <v>0</v>
      </c>
    </row>
    <row r="913" spans="2:42">
      <c r="B913" s="812" t="s">
        <v>972</v>
      </c>
      <c r="C913" s="758"/>
      <c r="D913" s="758"/>
      <c r="E913" s="759">
        <v>0</v>
      </c>
      <c r="F913" s="761"/>
      <c r="G913" s="762"/>
      <c r="H913" s="758"/>
      <c r="I913" s="758"/>
      <c r="J913" s="759">
        <v>0</v>
      </c>
      <c r="K913" s="761"/>
      <c r="L913" s="762"/>
      <c r="M913" s="758"/>
      <c r="N913" s="758"/>
      <c r="O913" s="759">
        <v>0</v>
      </c>
      <c r="P913" s="761"/>
      <c r="Q913" s="762"/>
      <c r="R913" s="758"/>
      <c r="S913" s="758"/>
      <c r="T913" s="759">
        <v>0</v>
      </c>
      <c r="U913" s="761"/>
      <c r="V913" s="762"/>
      <c r="W913" s="758"/>
      <c r="X913" s="758"/>
      <c r="Y913" s="759">
        <v>0</v>
      </c>
      <c r="Z913" s="761"/>
      <c r="AA913" s="763">
        <f t="shared" si="123"/>
        <v>0</v>
      </c>
      <c r="AB913" s="764">
        <f t="shared" si="124"/>
        <v>0</v>
      </c>
      <c r="AC913" s="762"/>
      <c r="AD913" s="758"/>
      <c r="AE913" s="758"/>
      <c r="AF913" s="759"/>
      <c r="AG913" s="763">
        <f t="shared" si="125"/>
        <v>0</v>
      </c>
      <c r="AH913" s="175"/>
      <c r="AJ913" s="401"/>
      <c r="AK913" s="403" t="s">
        <v>213</v>
      </c>
      <c r="AL913" s="404">
        <f>AA935</f>
        <v>32</v>
      </c>
      <c r="AM913" s="510">
        <v>53.05</v>
      </c>
      <c r="AN913" s="510">
        <f t="shared" si="122"/>
        <v>1697.6</v>
      </c>
      <c r="AO913" s="405"/>
      <c r="AP913" s="405"/>
    </row>
    <row r="914" spans="2:42">
      <c r="B914" s="758" t="s">
        <v>974</v>
      </c>
      <c r="C914" s="758"/>
      <c r="D914" s="758"/>
      <c r="E914" s="759">
        <v>0</v>
      </c>
      <c r="F914" s="761"/>
      <c r="G914" s="762"/>
      <c r="H914" s="758"/>
      <c r="I914" s="758"/>
      <c r="J914" s="759">
        <v>0</v>
      </c>
      <c r="K914" s="761"/>
      <c r="L914" s="762"/>
      <c r="M914" s="758"/>
      <c r="N914" s="758"/>
      <c r="O914" s="759">
        <v>0</v>
      </c>
      <c r="P914" s="761"/>
      <c r="Q914" s="762"/>
      <c r="R914" s="758"/>
      <c r="S914" s="758"/>
      <c r="T914" s="759">
        <v>0</v>
      </c>
      <c r="U914" s="761"/>
      <c r="V914" s="762"/>
      <c r="W914" s="758"/>
      <c r="X914" s="758"/>
      <c r="Y914" s="759">
        <v>0</v>
      </c>
      <c r="Z914" s="761"/>
      <c r="AA914" s="763">
        <f t="shared" si="123"/>
        <v>0</v>
      </c>
      <c r="AB914" s="764">
        <f t="shared" si="124"/>
        <v>0</v>
      </c>
      <c r="AC914" s="762"/>
      <c r="AD914" s="758"/>
      <c r="AE914" s="758"/>
      <c r="AF914" s="759"/>
      <c r="AG914" s="763">
        <f t="shared" si="125"/>
        <v>0</v>
      </c>
      <c r="AI914" s="368"/>
      <c r="AK914" s="188" t="s">
        <v>36</v>
      </c>
      <c r="AL914" s="196">
        <f>AB935</f>
        <v>0</v>
      </c>
      <c r="AM914" s="510">
        <v>79.574999999999989</v>
      </c>
      <c r="AN914" s="510">
        <f t="shared" si="122"/>
        <v>0</v>
      </c>
    </row>
    <row r="915" spans="2:42">
      <c r="B915" s="813" t="s">
        <v>998</v>
      </c>
      <c r="C915" s="758"/>
      <c r="D915" s="758"/>
      <c r="E915" s="759">
        <v>0</v>
      </c>
      <c r="F915" s="761"/>
      <c r="G915" s="762"/>
      <c r="H915" s="758"/>
      <c r="I915" s="758"/>
      <c r="J915" s="544">
        <v>0</v>
      </c>
      <c r="K915" s="761"/>
      <c r="L915" s="762"/>
      <c r="M915" s="758"/>
      <c r="N915" s="758"/>
      <c r="O915" s="544">
        <v>0</v>
      </c>
      <c r="P915" s="761"/>
      <c r="Q915" s="762"/>
      <c r="R915" s="758"/>
      <c r="S915" s="758"/>
      <c r="T915" s="544">
        <v>0</v>
      </c>
      <c r="U915" s="761"/>
      <c r="V915" s="762"/>
      <c r="W915" s="758"/>
      <c r="X915" s="326"/>
      <c r="Y915" s="759">
        <v>0</v>
      </c>
      <c r="Z915" s="761"/>
      <c r="AA915" s="763">
        <f t="shared" si="123"/>
        <v>0</v>
      </c>
      <c r="AB915" s="764">
        <f t="shared" si="124"/>
        <v>0</v>
      </c>
      <c r="AC915" s="762"/>
      <c r="AD915" s="758"/>
      <c r="AE915" s="758"/>
      <c r="AF915" s="759"/>
      <c r="AG915" s="763">
        <f t="shared" si="125"/>
        <v>0</v>
      </c>
      <c r="AH915" s="345"/>
      <c r="AI915" s="770"/>
      <c r="AJ915" s="771"/>
      <c r="AK915" s="772" t="s">
        <v>38</v>
      </c>
      <c r="AL915" s="773">
        <f>AG935</f>
        <v>0</v>
      </c>
      <c r="AM915" s="774">
        <v>79.574999999999989</v>
      </c>
      <c r="AN915" s="774">
        <f t="shared" si="122"/>
        <v>0</v>
      </c>
      <c r="AO915" s="775"/>
      <c r="AP915" s="775"/>
    </row>
    <row r="916" spans="2:42">
      <c r="B916" s="758" t="s">
        <v>977</v>
      </c>
      <c r="C916" s="758"/>
      <c r="D916" s="758"/>
      <c r="E916" s="759">
        <v>0</v>
      </c>
      <c r="F916" s="761"/>
      <c r="G916" s="762"/>
      <c r="H916" s="758"/>
      <c r="I916" s="758"/>
      <c r="J916" s="759">
        <v>0</v>
      </c>
      <c r="K916" s="761"/>
      <c r="L916" s="762"/>
      <c r="M916" s="758"/>
      <c r="N916" s="758"/>
      <c r="O916" s="759">
        <v>0</v>
      </c>
      <c r="P916" s="761"/>
      <c r="Q916" s="762"/>
      <c r="R916" s="758"/>
      <c r="S916" s="758"/>
      <c r="T916" s="759">
        <v>0</v>
      </c>
      <c r="U916" s="761"/>
      <c r="V916" s="762"/>
      <c r="W916" s="758"/>
      <c r="X916" s="758"/>
      <c r="Y916" s="759">
        <v>0</v>
      </c>
      <c r="Z916" s="761"/>
      <c r="AA916" s="763">
        <f t="shared" si="123"/>
        <v>0</v>
      </c>
      <c r="AB916" s="764">
        <f t="shared" si="124"/>
        <v>0</v>
      </c>
      <c r="AC916" s="762"/>
      <c r="AD916" s="758"/>
      <c r="AE916" s="758"/>
      <c r="AF916" s="759"/>
      <c r="AG916" s="763">
        <f t="shared" si="125"/>
        <v>0</v>
      </c>
      <c r="AN916" s="510">
        <f>SUM(AN910:AN915)</f>
        <v>1697.6</v>
      </c>
    </row>
    <row r="917" spans="2:42">
      <c r="B917" s="758" t="s">
        <v>519</v>
      </c>
      <c r="C917" s="758"/>
      <c r="D917" s="758"/>
      <c r="E917" s="759">
        <v>0</v>
      </c>
      <c r="F917" s="761"/>
      <c r="G917" s="762"/>
      <c r="H917" s="758"/>
      <c r="I917" s="758"/>
      <c r="J917" s="759">
        <v>0</v>
      </c>
      <c r="K917" s="761"/>
      <c r="L917" s="762"/>
      <c r="M917" s="758"/>
      <c r="N917" s="758"/>
      <c r="O917" s="759">
        <v>0</v>
      </c>
      <c r="P917" s="761"/>
      <c r="Q917" s="762"/>
      <c r="R917" s="758"/>
      <c r="S917" s="758"/>
      <c r="T917" s="759">
        <v>0</v>
      </c>
      <c r="U917" s="761"/>
      <c r="V917" s="762"/>
      <c r="W917" s="758"/>
      <c r="X917" s="758"/>
      <c r="Y917" s="759">
        <v>0</v>
      </c>
      <c r="Z917" s="761"/>
      <c r="AA917" s="763">
        <f t="shared" si="123"/>
        <v>0</v>
      </c>
      <c r="AB917" s="764">
        <f t="shared" si="124"/>
        <v>0</v>
      </c>
      <c r="AC917" s="762"/>
      <c r="AD917" s="758"/>
      <c r="AE917" s="758"/>
      <c r="AF917" s="759"/>
      <c r="AG917" s="763">
        <f t="shared" si="125"/>
        <v>0</v>
      </c>
    </row>
    <row r="918" spans="2:42">
      <c r="B918" s="758" t="s">
        <v>999</v>
      </c>
      <c r="C918" s="758"/>
      <c r="D918" s="814"/>
      <c r="E918" s="759">
        <v>0</v>
      </c>
      <c r="F918" s="761"/>
      <c r="G918" s="762"/>
      <c r="H918" s="758"/>
      <c r="I918" s="758"/>
      <c r="J918" s="759">
        <v>0</v>
      </c>
      <c r="K918" s="761"/>
      <c r="L918" s="762"/>
      <c r="M918" s="758"/>
      <c r="N918" s="758"/>
      <c r="O918" s="759">
        <v>0</v>
      </c>
      <c r="P918" s="761"/>
      <c r="Q918" s="762"/>
      <c r="R918" s="758"/>
      <c r="S918" s="758"/>
      <c r="T918" s="759">
        <v>0</v>
      </c>
      <c r="U918" s="761"/>
      <c r="V918" s="762"/>
      <c r="W918" s="758"/>
      <c r="X918" s="758"/>
      <c r="Y918" s="759">
        <v>0</v>
      </c>
      <c r="Z918" s="761"/>
      <c r="AA918" s="763">
        <f t="shared" si="123"/>
        <v>0</v>
      </c>
      <c r="AB918" s="764">
        <f t="shared" si="124"/>
        <v>0</v>
      </c>
      <c r="AC918" s="762"/>
      <c r="AD918" s="758"/>
      <c r="AE918" s="758"/>
      <c r="AF918" s="759"/>
      <c r="AG918" s="763">
        <f t="shared" si="125"/>
        <v>0</v>
      </c>
      <c r="AK918" s="192" t="s">
        <v>1115</v>
      </c>
      <c r="AL918" s="189">
        <f>C936</f>
        <v>0</v>
      </c>
      <c r="AM918" s="774">
        <v>45</v>
      </c>
      <c r="AN918" s="510">
        <f>AM918*AL918</f>
        <v>0</v>
      </c>
    </row>
    <row r="919" spans="2:42">
      <c r="B919" s="758" t="s">
        <v>1113</v>
      </c>
      <c r="C919" s="758"/>
      <c r="D919" s="758"/>
      <c r="E919" s="759">
        <v>0</v>
      </c>
      <c r="F919" s="761"/>
      <c r="G919" s="762"/>
      <c r="H919" s="758"/>
      <c r="I919" s="758"/>
      <c r="J919" s="759">
        <v>0</v>
      </c>
      <c r="K919" s="761"/>
      <c r="L919" s="762"/>
      <c r="M919" s="758"/>
      <c r="N919" s="758"/>
      <c r="O919" s="759">
        <v>0</v>
      </c>
      <c r="P919" s="761"/>
      <c r="Q919" s="762"/>
      <c r="R919" s="758"/>
      <c r="S919" s="758"/>
      <c r="T919" s="759">
        <v>0</v>
      </c>
      <c r="U919" s="761"/>
      <c r="V919" s="762"/>
      <c r="W919" s="758"/>
      <c r="X919" s="758"/>
      <c r="Y919" s="759">
        <v>0</v>
      </c>
      <c r="Z919" s="761"/>
      <c r="AA919" s="763">
        <f t="shared" si="123"/>
        <v>0</v>
      </c>
      <c r="AB919" s="764">
        <f t="shared" si="124"/>
        <v>0</v>
      </c>
      <c r="AC919" s="762"/>
      <c r="AD919" s="758"/>
      <c r="AE919" s="758"/>
      <c r="AF919" s="759"/>
      <c r="AG919" s="763">
        <f t="shared" si="125"/>
        <v>0</v>
      </c>
    </row>
    <row r="920" spans="2:42">
      <c r="B920" s="815" t="s">
        <v>483</v>
      </c>
      <c r="C920" s="758"/>
      <c r="D920" s="758"/>
      <c r="E920" s="759">
        <v>0</v>
      </c>
      <c r="F920" s="761"/>
      <c r="G920" s="762"/>
      <c r="H920" s="758"/>
      <c r="I920" s="758"/>
      <c r="J920" s="759">
        <v>0</v>
      </c>
      <c r="K920" s="761"/>
      <c r="L920" s="762"/>
      <c r="M920" s="758"/>
      <c r="N920" s="758"/>
      <c r="O920" s="759">
        <v>0</v>
      </c>
      <c r="P920" s="761"/>
      <c r="Q920" s="762"/>
      <c r="R920" s="758"/>
      <c r="S920" s="758"/>
      <c r="T920" s="759">
        <v>0</v>
      </c>
      <c r="U920" s="761"/>
      <c r="V920" s="762"/>
      <c r="W920" s="758"/>
      <c r="X920" s="758"/>
      <c r="Y920" s="759">
        <v>0</v>
      </c>
      <c r="Z920" s="761"/>
      <c r="AA920" s="763">
        <f t="shared" si="123"/>
        <v>0</v>
      </c>
      <c r="AB920" s="764">
        <f t="shared" si="124"/>
        <v>0</v>
      </c>
      <c r="AC920" s="762"/>
      <c r="AD920" s="758"/>
      <c r="AE920" s="758"/>
      <c r="AF920" s="759"/>
      <c r="AG920" s="763">
        <f t="shared" si="125"/>
        <v>0</v>
      </c>
    </row>
    <row r="921" spans="2:42">
      <c r="B921" s="815" t="s">
        <v>483</v>
      </c>
      <c r="C921" s="758"/>
      <c r="D921" s="758"/>
      <c r="E921" s="759">
        <v>0</v>
      </c>
      <c r="F921" s="761"/>
      <c r="G921" s="762"/>
      <c r="H921" s="758"/>
      <c r="I921" s="758"/>
      <c r="J921" s="759">
        <v>0</v>
      </c>
      <c r="K921" s="761"/>
      <c r="L921" s="762"/>
      <c r="M921" s="758"/>
      <c r="N921" s="758"/>
      <c r="O921" s="759">
        <v>0</v>
      </c>
      <c r="P921" s="761"/>
      <c r="Q921" s="762"/>
      <c r="R921" s="758"/>
      <c r="S921" s="758"/>
      <c r="T921" s="759">
        <v>0</v>
      </c>
      <c r="U921" s="761"/>
      <c r="V921" s="762"/>
      <c r="W921" s="758"/>
      <c r="X921" s="758"/>
      <c r="Y921" s="759">
        <v>0</v>
      </c>
      <c r="Z921" s="761"/>
      <c r="AA921" s="763">
        <f t="shared" si="123"/>
        <v>0</v>
      </c>
      <c r="AB921" s="764">
        <f t="shared" si="124"/>
        <v>0</v>
      </c>
      <c r="AC921" s="762"/>
      <c r="AD921" s="758"/>
      <c r="AE921" s="758"/>
      <c r="AF921" s="759"/>
      <c r="AG921" s="763">
        <f t="shared" si="125"/>
        <v>0</v>
      </c>
    </row>
    <row r="922" spans="2:42">
      <c r="B922" s="815" t="s">
        <v>484</v>
      </c>
      <c r="C922" s="758"/>
      <c r="D922" s="758"/>
      <c r="E922" s="759">
        <v>0</v>
      </c>
      <c r="F922" s="761"/>
      <c r="G922" s="762"/>
      <c r="H922" s="758"/>
      <c r="I922" s="758"/>
      <c r="J922" s="759">
        <v>0</v>
      </c>
      <c r="K922" s="761"/>
      <c r="L922" s="762"/>
      <c r="M922" s="758"/>
      <c r="N922" s="758"/>
      <c r="O922" s="759">
        <v>0</v>
      </c>
      <c r="P922" s="761"/>
      <c r="Q922" s="762"/>
      <c r="R922" s="758"/>
      <c r="S922" s="758"/>
      <c r="T922" s="759">
        <v>0</v>
      </c>
      <c r="U922" s="761"/>
      <c r="V922" s="762"/>
      <c r="W922" s="758"/>
      <c r="X922" s="758"/>
      <c r="Y922" s="759">
        <v>0</v>
      </c>
      <c r="Z922" s="761"/>
      <c r="AA922" s="763">
        <f t="shared" si="123"/>
        <v>0</v>
      </c>
      <c r="AB922" s="764">
        <f t="shared" si="124"/>
        <v>0</v>
      </c>
      <c r="AC922" s="762"/>
      <c r="AD922" s="758"/>
      <c r="AE922" s="758"/>
      <c r="AF922" s="759"/>
      <c r="AG922" s="763">
        <f t="shared" si="125"/>
        <v>0</v>
      </c>
    </row>
    <row r="923" spans="2:42">
      <c r="B923" s="815" t="s">
        <v>485</v>
      </c>
      <c r="C923" s="758"/>
      <c r="D923" s="758"/>
      <c r="E923" s="759">
        <v>0</v>
      </c>
      <c r="F923" s="761"/>
      <c r="G923" s="762"/>
      <c r="H923" s="758"/>
      <c r="I923" s="758"/>
      <c r="J923" s="759">
        <v>0</v>
      </c>
      <c r="K923" s="761"/>
      <c r="L923" s="762"/>
      <c r="M923" s="758"/>
      <c r="N923" s="758"/>
      <c r="O923" s="759">
        <v>0</v>
      </c>
      <c r="P923" s="761"/>
      <c r="Q923" s="762"/>
      <c r="R923" s="758"/>
      <c r="S923" s="758"/>
      <c r="T923" s="759">
        <v>0</v>
      </c>
      <c r="U923" s="761"/>
      <c r="V923" s="762"/>
      <c r="W923" s="758"/>
      <c r="X923" s="758"/>
      <c r="Y923" s="759">
        <v>0</v>
      </c>
      <c r="Z923" s="761"/>
      <c r="AA923" s="763">
        <f t="shared" si="123"/>
        <v>0</v>
      </c>
      <c r="AB923" s="764">
        <f t="shared" si="124"/>
        <v>0</v>
      </c>
      <c r="AC923" s="762"/>
      <c r="AD923" s="758"/>
      <c r="AE923" s="758"/>
      <c r="AF923" s="759"/>
      <c r="AG923" s="763">
        <f t="shared" si="125"/>
        <v>0</v>
      </c>
    </row>
    <row r="924" spans="2:42">
      <c r="B924" s="815" t="s">
        <v>1129</v>
      </c>
      <c r="C924" s="758"/>
      <c r="D924" s="758"/>
      <c r="E924" s="759">
        <v>0</v>
      </c>
      <c r="F924" s="761"/>
      <c r="G924" s="762"/>
      <c r="H924" s="758"/>
      <c r="I924" s="758"/>
      <c r="J924" s="759">
        <v>0</v>
      </c>
      <c r="K924" s="761"/>
      <c r="L924" s="762"/>
      <c r="M924" s="758"/>
      <c r="N924" s="758"/>
      <c r="O924" s="759">
        <v>0</v>
      </c>
      <c r="P924" s="761"/>
      <c r="Q924" s="762"/>
      <c r="R924" s="758"/>
      <c r="S924" s="758"/>
      <c r="T924" s="759">
        <v>0</v>
      </c>
      <c r="U924" s="761"/>
      <c r="V924" s="762"/>
      <c r="W924" s="758"/>
      <c r="X924" s="758"/>
      <c r="Y924" s="759">
        <v>0</v>
      </c>
      <c r="Z924" s="761"/>
      <c r="AA924" s="763">
        <f t="shared" si="123"/>
        <v>0</v>
      </c>
      <c r="AB924" s="764">
        <f t="shared" si="124"/>
        <v>0</v>
      </c>
      <c r="AC924" s="762"/>
      <c r="AD924" s="758"/>
      <c r="AE924" s="758"/>
      <c r="AF924" s="759"/>
      <c r="AG924" s="763">
        <f t="shared" si="125"/>
        <v>0</v>
      </c>
    </row>
    <row r="925" spans="2:42">
      <c r="B925" s="816" t="s">
        <v>358</v>
      </c>
      <c r="C925" s="758"/>
      <c r="D925" s="758"/>
      <c r="E925" s="759">
        <v>0</v>
      </c>
      <c r="F925" s="761"/>
      <c r="G925" s="762"/>
      <c r="H925" s="758"/>
      <c r="I925" s="758"/>
      <c r="J925" s="759">
        <v>0</v>
      </c>
      <c r="K925" s="761"/>
      <c r="L925" s="765"/>
      <c r="M925" s="758"/>
      <c r="N925" s="758"/>
      <c r="O925" s="759">
        <v>0</v>
      </c>
      <c r="P925" s="761"/>
      <c r="Q925" s="765"/>
      <c r="R925" s="758"/>
      <c r="S925" s="758"/>
      <c r="T925" s="759">
        <v>0</v>
      </c>
      <c r="U925" s="761"/>
      <c r="V925" s="765"/>
      <c r="W925" s="758"/>
      <c r="X925" s="758"/>
      <c r="Y925" s="759">
        <v>0</v>
      </c>
      <c r="Z925" s="761"/>
      <c r="AA925" s="763">
        <f t="shared" si="123"/>
        <v>0</v>
      </c>
      <c r="AB925" s="764">
        <f t="shared" si="124"/>
        <v>0</v>
      </c>
      <c r="AC925" s="762"/>
      <c r="AD925" s="758"/>
      <c r="AE925" s="758"/>
      <c r="AF925" s="759"/>
      <c r="AG925" s="763">
        <f t="shared" si="125"/>
        <v>0</v>
      </c>
    </row>
    <row r="926" spans="2:42">
      <c r="B926" s="816" t="s">
        <v>1135</v>
      </c>
      <c r="C926" s="758"/>
      <c r="D926" s="758"/>
      <c r="E926" s="759">
        <v>0</v>
      </c>
      <c r="F926" s="761"/>
      <c r="G926" s="762"/>
      <c r="H926" s="758"/>
      <c r="I926" s="758"/>
      <c r="J926" s="759">
        <v>0</v>
      </c>
      <c r="K926" s="761"/>
      <c r="L926" s="765"/>
      <c r="M926" s="758"/>
      <c r="N926" s="758"/>
      <c r="O926" s="759">
        <v>0</v>
      </c>
      <c r="P926" s="761"/>
      <c r="Q926" s="765"/>
      <c r="R926" s="758"/>
      <c r="S926" s="758"/>
      <c r="T926" s="759">
        <v>0</v>
      </c>
      <c r="U926" s="761"/>
      <c r="V926" s="765"/>
      <c r="W926" s="758"/>
      <c r="X926" s="758"/>
      <c r="Y926" s="759">
        <v>0</v>
      </c>
      <c r="Z926" s="761"/>
      <c r="AA926" s="763">
        <f t="shared" si="123"/>
        <v>0</v>
      </c>
      <c r="AB926" s="764">
        <f t="shared" si="124"/>
        <v>0</v>
      </c>
      <c r="AC926" s="762"/>
      <c r="AD926" s="758"/>
      <c r="AE926" s="758"/>
      <c r="AF926" s="759"/>
      <c r="AG926" s="763">
        <f t="shared" si="125"/>
        <v>0</v>
      </c>
    </row>
    <row r="927" spans="2:42">
      <c r="B927" s="816" t="s">
        <v>411</v>
      </c>
      <c r="C927" s="758"/>
      <c r="D927" s="758"/>
      <c r="E927" s="759">
        <v>0</v>
      </c>
      <c r="F927" s="761"/>
      <c r="G927" s="762"/>
      <c r="H927" s="758"/>
      <c r="I927" s="758"/>
      <c r="J927" s="759">
        <v>0</v>
      </c>
      <c r="K927" s="761"/>
      <c r="L927" s="765"/>
      <c r="M927" s="758"/>
      <c r="N927" s="758"/>
      <c r="O927" s="759">
        <v>0</v>
      </c>
      <c r="P927" s="761"/>
      <c r="Q927" s="765"/>
      <c r="R927" s="758"/>
      <c r="S927" s="758"/>
      <c r="T927" s="759">
        <v>0</v>
      </c>
      <c r="U927" s="761"/>
      <c r="V927" s="765"/>
      <c r="W927" s="758"/>
      <c r="X927" s="758"/>
      <c r="Y927" s="759">
        <v>0</v>
      </c>
      <c r="Z927" s="761"/>
      <c r="AA927" s="763">
        <f t="shared" si="123"/>
        <v>0</v>
      </c>
      <c r="AB927" s="764">
        <f t="shared" si="124"/>
        <v>0</v>
      </c>
      <c r="AC927" s="762"/>
      <c r="AD927" s="758"/>
      <c r="AE927" s="758"/>
      <c r="AF927" s="759"/>
      <c r="AG927" s="763">
        <f t="shared" si="125"/>
        <v>0</v>
      </c>
    </row>
    <row r="928" spans="2:42">
      <c r="B928" s="816" t="s">
        <v>361</v>
      </c>
      <c r="C928" s="758"/>
      <c r="D928" s="758"/>
      <c r="E928" s="759">
        <v>0</v>
      </c>
      <c r="F928" s="761"/>
      <c r="G928" s="762"/>
      <c r="H928" s="758"/>
      <c r="I928" s="758"/>
      <c r="J928" s="759">
        <v>0</v>
      </c>
      <c r="K928" s="761"/>
      <c r="L928" s="765"/>
      <c r="M928" s="758"/>
      <c r="N928" s="758"/>
      <c r="O928" s="759">
        <v>0</v>
      </c>
      <c r="P928" s="761"/>
      <c r="Q928" s="765"/>
      <c r="R928" s="758"/>
      <c r="S928" s="758"/>
      <c r="T928" s="759">
        <v>0</v>
      </c>
      <c r="U928" s="761"/>
      <c r="V928" s="765"/>
      <c r="W928" s="758"/>
      <c r="X928" s="758"/>
      <c r="Y928" s="759">
        <v>0</v>
      </c>
      <c r="Z928" s="761"/>
      <c r="AA928" s="763">
        <f t="shared" si="123"/>
        <v>0</v>
      </c>
      <c r="AB928" s="764">
        <f t="shared" si="124"/>
        <v>0</v>
      </c>
      <c r="AC928" s="762"/>
      <c r="AD928" s="758"/>
      <c r="AE928" s="758"/>
      <c r="AF928" s="759"/>
      <c r="AG928" s="763">
        <f t="shared" si="125"/>
        <v>0</v>
      </c>
    </row>
    <row r="929" spans="2:42">
      <c r="B929" s="816" t="s">
        <v>362</v>
      </c>
      <c r="C929" s="758"/>
      <c r="D929" s="766"/>
      <c r="E929" s="759">
        <v>0</v>
      </c>
      <c r="F929" s="761"/>
      <c r="G929" s="762"/>
      <c r="H929" s="758"/>
      <c r="I929" s="766"/>
      <c r="J929" s="759">
        <v>0</v>
      </c>
      <c r="K929" s="761"/>
      <c r="L929" s="765"/>
      <c r="M929" s="758"/>
      <c r="N929" s="766"/>
      <c r="O929" s="759">
        <v>0</v>
      </c>
      <c r="P929" s="761"/>
      <c r="Q929" s="765"/>
      <c r="R929" s="758"/>
      <c r="S929" s="766"/>
      <c r="T929" s="759">
        <v>0</v>
      </c>
      <c r="U929" s="761"/>
      <c r="V929" s="765"/>
      <c r="W929" s="758"/>
      <c r="X929" s="766"/>
      <c r="Y929" s="759">
        <v>0</v>
      </c>
      <c r="Z929" s="761"/>
      <c r="AA929" s="763">
        <f t="shared" si="123"/>
        <v>0</v>
      </c>
      <c r="AB929" s="764">
        <f t="shared" si="124"/>
        <v>0</v>
      </c>
      <c r="AC929" s="762"/>
      <c r="AD929" s="758"/>
      <c r="AE929" s="758"/>
      <c r="AF929" s="759"/>
      <c r="AG929" s="763">
        <f t="shared" si="125"/>
        <v>0</v>
      </c>
    </row>
    <row r="930" spans="2:42">
      <c r="B930" s="817" t="s">
        <v>355</v>
      </c>
      <c r="C930" s="758"/>
      <c r="D930" s="758"/>
      <c r="E930" s="759">
        <v>0</v>
      </c>
      <c r="F930" s="761"/>
      <c r="G930" s="762"/>
      <c r="H930" s="758"/>
      <c r="I930" s="758"/>
      <c r="J930" s="759">
        <v>0</v>
      </c>
      <c r="K930" s="761"/>
      <c r="L930" s="765"/>
      <c r="M930" s="758"/>
      <c r="N930" s="758"/>
      <c r="O930" s="759">
        <v>0</v>
      </c>
      <c r="P930" s="761"/>
      <c r="Q930" s="765"/>
      <c r="R930" s="758"/>
      <c r="S930" s="758"/>
      <c r="T930" s="759">
        <v>0</v>
      </c>
      <c r="U930" s="761"/>
      <c r="V930" s="765"/>
      <c r="W930" s="758"/>
      <c r="X930" s="758"/>
      <c r="Y930" s="759">
        <v>0</v>
      </c>
      <c r="Z930" s="761"/>
      <c r="AA930" s="763">
        <f t="shared" si="123"/>
        <v>0</v>
      </c>
      <c r="AB930" s="764">
        <f t="shared" si="124"/>
        <v>0</v>
      </c>
      <c r="AC930" s="762"/>
      <c r="AD930" s="758"/>
      <c r="AE930" s="758"/>
      <c r="AF930" s="759"/>
      <c r="AG930" s="763">
        <f t="shared" si="125"/>
        <v>0</v>
      </c>
    </row>
    <row r="931" spans="2:42">
      <c r="B931" s="817" t="s">
        <v>356</v>
      </c>
      <c r="C931" s="818"/>
      <c r="D931" s="818"/>
      <c r="E931" s="759">
        <v>0</v>
      </c>
      <c r="F931" s="761"/>
      <c r="G931" s="765"/>
      <c r="H931" s="766"/>
      <c r="I931" s="766"/>
      <c r="J931" s="759">
        <v>0</v>
      </c>
      <c r="K931" s="761"/>
      <c r="L931" s="765"/>
      <c r="M931" s="766"/>
      <c r="N931" s="766"/>
      <c r="O931" s="759">
        <v>0</v>
      </c>
      <c r="P931" s="761"/>
      <c r="Q931" s="765"/>
      <c r="R931" s="766"/>
      <c r="S931" s="766"/>
      <c r="T931" s="759">
        <v>0</v>
      </c>
      <c r="U931" s="761"/>
      <c r="V931" s="765"/>
      <c r="W931" s="766"/>
      <c r="X931" s="766"/>
      <c r="Y931" s="759">
        <v>0</v>
      </c>
      <c r="Z931" s="761"/>
      <c r="AA931" s="763">
        <f t="shared" si="123"/>
        <v>0</v>
      </c>
      <c r="AB931" s="764">
        <f t="shared" si="124"/>
        <v>0</v>
      </c>
      <c r="AC931" s="762"/>
      <c r="AD931" s="758"/>
      <c r="AE931" s="758"/>
      <c r="AF931" s="759"/>
      <c r="AG931" s="763">
        <f t="shared" si="125"/>
        <v>0</v>
      </c>
    </row>
    <row r="932" spans="2:42">
      <c r="B932" s="767" t="s">
        <v>61</v>
      </c>
      <c r="C932" s="767"/>
      <c r="D932" s="767"/>
      <c r="E932" s="760">
        <f>SUM(E911:E931)</f>
        <v>0</v>
      </c>
      <c r="F932" s="761"/>
      <c r="G932" s="767"/>
      <c r="H932" s="767"/>
      <c r="I932" s="767"/>
      <c r="J932" s="760">
        <f>SUM(J911:J931)</f>
        <v>0</v>
      </c>
      <c r="K932" s="761"/>
      <c r="L932" s="767"/>
      <c r="M932" s="767"/>
      <c r="N932" s="767"/>
      <c r="O932" s="760">
        <f>SUM(O911:O931)</f>
        <v>0</v>
      </c>
      <c r="P932" s="761"/>
      <c r="Q932" s="767"/>
      <c r="R932" s="767"/>
      <c r="S932" s="767"/>
      <c r="T932" s="760">
        <f>SUM(T911:T931)</f>
        <v>0</v>
      </c>
      <c r="U932" s="761"/>
      <c r="V932" s="767"/>
      <c r="W932" s="767"/>
      <c r="X932" s="767"/>
      <c r="Y932" s="760">
        <f>SUM(Y911:Y931)</f>
        <v>0</v>
      </c>
      <c r="Z932" s="761"/>
      <c r="AA932" s="763">
        <f>SUM(AA911:AA931)</f>
        <v>0</v>
      </c>
      <c r="AB932" s="763">
        <f>SUM(AB911:AB931)</f>
        <v>0</v>
      </c>
      <c r="AC932" s="762"/>
      <c r="AD932" s="767"/>
      <c r="AE932" s="767"/>
      <c r="AF932" s="763">
        <f>SUM(AF911:AF931)</f>
        <v>0</v>
      </c>
      <c r="AG932" s="763">
        <f>SUM(AG911:AG931)</f>
        <v>0</v>
      </c>
    </row>
    <row r="933" spans="2:42">
      <c r="B933" s="816" t="s">
        <v>1116</v>
      </c>
      <c r="C933" s="758"/>
      <c r="D933" s="758"/>
      <c r="E933" s="759">
        <v>0</v>
      </c>
      <c r="F933" s="761"/>
      <c r="G933" s="762"/>
      <c r="H933" s="758"/>
      <c r="I933" s="758"/>
      <c r="J933" s="759">
        <v>8</v>
      </c>
      <c r="K933" s="761"/>
      <c r="L933" s="762"/>
      <c r="M933" s="758"/>
      <c r="N933" s="758"/>
      <c r="O933" s="759">
        <v>8</v>
      </c>
      <c r="P933" s="761"/>
      <c r="Q933" s="762"/>
      <c r="R933" s="758"/>
      <c r="S933" s="758"/>
      <c r="T933" s="759">
        <v>8</v>
      </c>
      <c r="U933" s="761"/>
      <c r="V933" s="762"/>
      <c r="W933" s="758"/>
      <c r="X933" s="758"/>
      <c r="Y933" s="759">
        <v>8</v>
      </c>
      <c r="Z933" s="761"/>
      <c r="AA933" s="763">
        <f>(E933+J933+O933+T933+Y933)</f>
        <v>32</v>
      </c>
      <c r="AB933" s="764">
        <f>Z933+U933+P933+K933+F933</f>
        <v>0</v>
      </c>
      <c r="AC933" s="762"/>
      <c r="AD933" s="758"/>
      <c r="AE933" s="758"/>
      <c r="AF933" s="759"/>
      <c r="AG933" s="763">
        <f>AF933</f>
        <v>0</v>
      </c>
    </row>
    <row r="934" spans="2:42">
      <c r="B934" s="816" t="s">
        <v>64</v>
      </c>
      <c r="C934" s="758"/>
      <c r="D934" s="758"/>
      <c r="E934" s="759">
        <v>0</v>
      </c>
      <c r="F934" s="759"/>
      <c r="G934" s="819"/>
      <c r="H934" s="758"/>
      <c r="I934" s="758"/>
      <c r="J934" s="759">
        <v>0</v>
      </c>
      <c r="K934" s="759"/>
      <c r="L934" s="765"/>
      <c r="M934" s="758"/>
      <c r="N934" s="758"/>
      <c r="O934" s="759">
        <v>0</v>
      </c>
      <c r="P934" s="759"/>
      <c r="Q934" s="765"/>
      <c r="R934" s="758"/>
      <c r="S934" s="758"/>
      <c r="T934" s="759">
        <v>0</v>
      </c>
      <c r="U934" s="759"/>
      <c r="V934" s="765"/>
      <c r="W934" s="758"/>
      <c r="X934" s="758"/>
      <c r="Y934" s="759">
        <v>0</v>
      </c>
      <c r="Z934" s="759"/>
      <c r="AA934" s="763">
        <f>SUM(E934+J934+O934+T934+Y934)</f>
        <v>0</v>
      </c>
      <c r="AB934" s="768">
        <f>Z934+U934+P934+K934+F934</f>
        <v>0</v>
      </c>
      <c r="AC934" s="762"/>
      <c r="AD934" s="758" t="s">
        <v>29</v>
      </c>
      <c r="AE934" s="758" t="s">
        <v>29</v>
      </c>
      <c r="AF934" s="759"/>
      <c r="AG934" s="763">
        <f>AF934</f>
        <v>0</v>
      </c>
    </row>
    <row r="935" spans="2:42">
      <c r="B935" s="819" t="s">
        <v>66</v>
      </c>
      <c r="C935" s="820"/>
      <c r="D935" s="820"/>
      <c r="E935" s="819"/>
      <c r="F935" s="819"/>
      <c r="G935" s="819"/>
      <c r="H935" s="819"/>
      <c r="I935" s="819"/>
      <c r="J935" s="819"/>
      <c r="K935" s="819"/>
      <c r="L935" s="819"/>
      <c r="M935" s="819"/>
      <c r="N935" s="819"/>
      <c r="O935" s="819"/>
      <c r="P935" s="819"/>
      <c r="Q935" s="819"/>
      <c r="R935" s="819"/>
      <c r="S935" s="819"/>
      <c r="T935" s="819"/>
      <c r="U935" s="819"/>
      <c r="V935" s="819"/>
      <c r="W935" s="819"/>
      <c r="X935" s="819"/>
      <c r="Y935" s="819"/>
      <c r="Z935" s="819"/>
      <c r="AA935" s="763">
        <f>SUM(AA933:AA934)</f>
        <v>32</v>
      </c>
      <c r="AB935" s="763">
        <f>SUM(AB934:AB934)</f>
        <v>0</v>
      </c>
      <c r="AC935" s="762"/>
      <c r="AD935" s="811"/>
      <c r="AE935" s="811"/>
      <c r="AF935" s="811"/>
      <c r="AG935" s="763">
        <f>SUM(AG934:AG934)</f>
        <v>0</v>
      </c>
      <c r="AK935" s="407"/>
    </row>
    <row r="936" spans="2:42">
      <c r="B936" s="821" t="s">
        <v>67</v>
      </c>
      <c r="C936" s="822">
        <f>C937+C938</f>
        <v>0</v>
      </c>
      <c r="D936" s="822"/>
      <c r="E936" s="823"/>
      <c r="F936" s="823"/>
      <c r="G936" s="822"/>
      <c r="H936" s="823"/>
      <c r="I936" s="823"/>
      <c r="J936" s="823"/>
      <c r="K936" s="823"/>
      <c r="L936" s="822"/>
      <c r="M936" s="822"/>
      <c r="N936" s="822"/>
      <c r="O936" s="822"/>
      <c r="P936" s="823"/>
      <c r="Q936" s="822"/>
      <c r="R936" s="822"/>
      <c r="S936" s="822"/>
      <c r="T936" s="822"/>
      <c r="U936" s="823"/>
      <c r="V936" s="822"/>
      <c r="W936" s="822"/>
      <c r="X936" s="822"/>
      <c r="Y936" s="824"/>
      <c r="Z936" s="823"/>
      <c r="AA936" s="825"/>
      <c r="AB936" s="823"/>
      <c r="AC936" s="825"/>
      <c r="AD936" s="825"/>
      <c r="AE936" s="825"/>
      <c r="AF936" s="825"/>
      <c r="AG936" s="825"/>
      <c r="AK936" s="407"/>
    </row>
    <row r="937" spans="2:42">
      <c r="B937" s="826" t="s">
        <v>68</v>
      </c>
      <c r="C937" s="822">
        <v>0</v>
      </c>
      <c r="D937" s="822"/>
      <c r="E937" s="823"/>
      <c r="F937" s="823"/>
      <c r="G937" s="822"/>
      <c r="H937" s="823"/>
      <c r="I937" s="823"/>
      <c r="J937" s="823"/>
      <c r="K937" s="823"/>
      <c r="L937" s="822"/>
      <c r="M937" s="822"/>
      <c r="N937" s="822"/>
      <c r="O937" s="822"/>
      <c r="P937" s="823"/>
      <c r="Q937" s="822"/>
      <c r="R937" s="822"/>
      <c r="S937" s="822"/>
      <c r="T937" s="822"/>
      <c r="U937" s="823"/>
      <c r="V937" s="822"/>
      <c r="W937" s="822"/>
      <c r="X937" s="822"/>
      <c r="Y937" s="824"/>
      <c r="Z937" s="823"/>
      <c r="AA937" s="825"/>
      <c r="AB937" s="823"/>
      <c r="AC937" s="825"/>
      <c r="AD937" s="825"/>
      <c r="AE937" s="825"/>
      <c r="AF937" s="825"/>
      <c r="AG937" s="825"/>
      <c r="AK937" s="407"/>
    </row>
    <row r="938" spans="2:42">
      <c r="B938" s="826" t="s">
        <v>69</v>
      </c>
      <c r="C938" s="822">
        <v>0</v>
      </c>
      <c r="D938" s="822"/>
      <c r="E938" s="823"/>
      <c r="F938" s="823"/>
      <c r="G938" s="822"/>
      <c r="H938" s="823"/>
      <c r="I938" s="823"/>
      <c r="J938" s="823"/>
      <c r="K938" s="823"/>
      <c r="L938" s="822"/>
      <c r="M938" s="822"/>
      <c r="N938" s="822"/>
      <c r="O938" s="822"/>
      <c r="P938" s="823"/>
      <c r="Q938" s="822"/>
      <c r="R938" s="822"/>
      <c r="S938" s="822"/>
      <c r="T938" s="822"/>
      <c r="U938" s="823"/>
      <c r="V938" s="822"/>
      <c r="W938" s="822"/>
      <c r="X938" s="822"/>
      <c r="Y938" s="824"/>
      <c r="Z938" s="823"/>
      <c r="AA938" s="825"/>
      <c r="AB938" s="823"/>
      <c r="AC938" s="825"/>
      <c r="AD938" s="825"/>
      <c r="AE938" s="825"/>
      <c r="AF938" s="825"/>
      <c r="AG938" s="825"/>
    </row>
    <row r="939" spans="2:42">
      <c r="B939" s="827"/>
      <c r="C939" s="811"/>
      <c r="D939" s="811"/>
      <c r="E939" s="813"/>
      <c r="F939" s="813"/>
      <c r="G939" s="813"/>
      <c r="H939" s="811"/>
      <c r="I939" s="811"/>
      <c r="J939" s="813"/>
      <c r="K939" s="813"/>
      <c r="L939" s="813"/>
      <c r="M939" s="811"/>
      <c r="N939" s="811"/>
      <c r="O939" s="813"/>
      <c r="P939" s="813"/>
      <c r="Q939" s="762"/>
      <c r="R939" s="811"/>
      <c r="S939" s="811"/>
      <c r="T939" s="813"/>
      <c r="U939" s="813"/>
      <c r="V939" s="762"/>
      <c r="W939" s="811"/>
      <c r="X939" s="811"/>
      <c r="Y939" s="813"/>
      <c r="Z939" s="813"/>
      <c r="AA939" s="813"/>
      <c r="AB939" s="813"/>
      <c r="AC939" s="813"/>
      <c r="AD939" s="811"/>
      <c r="AE939" s="811"/>
      <c r="AF939" s="811"/>
      <c r="AG939" s="811"/>
    </row>
    <row r="940" spans="2:42">
      <c r="B940" s="827"/>
      <c r="C940" s="811"/>
      <c r="D940" s="811"/>
      <c r="E940" s="813"/>
      <c r="F940" s="813"/>
      <c r="G940" s="813"/>
      <c r="H940" s="811"/>
      <c r="I940" s="811"/>
      <c r="J940" s="813"/>
      <c r="K940" s="813"/>
      <c r="L940" s="813"/>
      <c r="M940" s="811"/>
      <c r="N940" s="811"/>
      <c r="O940" s="813"/>
      <c r="P940" s="813"/>
      <c r="Q940" s="762"/>
      <c r="R940" s="811"/>
      <c r="S940" s="811"/>
      <c r="T940" s="813"/>
      <c r="U940" s="813"/>
      <c r="V940" s="762"/>
      <c r="W940" s="811"/>
      <c r="X940" s="811"/>
      <c r="Y940" s="813"/>
      <c r="Z940" s="813"/>
      <c r="AA940" s="813"/>
      <c r="AB940" s="813"/>
      <c r="AC940" s="813"/>
      <c r="AD940" s="811"/>
      <c r="AE940" s="811"/>
      <c r="AF940" s="811"/>
      <c r="AG940" s="811"/>
    </row>
    <row r="941" spans="2:42" ht="25.5">
      <c r="B941" s="1576" t="s">
        <v>18</v>
      </c>
      <c r="C941" s="1577">
        <v>45901</v>
      </c>
      <c r="D941" s="1577"/>
      <c r="E941" s="1577" t="s">
        <v>564</v>
      </c>
      <c r="F941" s="1577"/>
      <c r="G941" s="807"/>
      <c r="H941" s="1577">
        <v>45902</v>
      </c>
      <c r="I941" s="1577"/>
      <c r="J941" s="1577" t="s">
        <v>565</v>
      </c>
      <c r="K941" s="1577"/>
      <c r="L941" s="807"/>
      <c r="M941" s="1577">
        <v>45903</v>
      </c>
      <c r="N941" s="1577"/>
      <c r="O941" s="1577" t="s">
        <v>566</v>
      </c>
      <c r="P941" s="1577"/>
      <c r="Q941" s="807"/>
      <c r="R941" s="1577">
        <v>45904</v>
      </c>
      <c r="S941" s="1577"/>
      <c r="T941" s="1577" t="s">
        <v>567</v>
      </c>
      <c r="U941" s="1577"/>
      <c r="V941" s="807"/>
      <c r="W941" s="1577">
        <v>45905</v>
      </c>
      <c r="X941" s="1577"/>
      <c r="Y941" s="1577" t="s">
        <v>568</v>
      </c>
      <c r="Z941" s="1577"/>
      <c r="AA941" s="1578" t="s">
        <v>19</v>
      </c>
      <c r="AB941" s="1578" t="s">
        <v>20</v>
      </c>
      <c r="AC941" s="762"/>
      <c r="AD941" s="1577"/>
      <c r="AE941" s="1577"/>
      <c r="AF941" s="808" t="s">
        <v>1111</v>
      </c>
      <c r="AG941" s="1578" t="s">
        <v>21</v>
      </c>
      <c r="AI941" s="368"/>
      <c r="AK941" s="194" t="s">
        <v>84</v>
      </c>
      <c r="AL941" s="366"/>
      <c r="AM941" s="366"/>
      <c r="AN941" s="366"/>
      <c r="AO941" s="366"/>
      <c r="AP941" s="366"/>
    </row>
    <row r="942" spans="2:42">
      <c r="B942" s="1576"/>
      <c r="C942" s="809" t="s">
        <v>23</v>
      </c>
      <c r="D942" s="809" t="s">
        <v>24</v>
      </c>
      <c r="E942" s="768" t="s">
        <v>25</v>
      </c>
      <c r="F942" s="810" t="s">
        <v>14</v>
      </c>
      <c r="G942" s="762"/>
      <c r="H942" s="809"/>
      <c r="I942" s="809" t="s">
        <v>24</v>
      </c>
      <c r="J942" s="810" t="s">
        <v>25</v>
      </c>
      <c r="K942" s="810" t="s">
        <v>14</v>
      </c>
      <c r="L942" s="762"/>
      <c r="M942" s="809" t="s">
        <v>23</v>
      </c>
      <c r="N942" s="809" t="s">
        <v>24</v>
      </c>
      <c r="O942" s="810" t="s">
        <v>25</v>
      </c>
      <c r="P942" s="810" t="s">
        <v>14</v>
      </c>
      <c r="Q942" s="762"/>
      <c r="R942" s="809" t="s">
        <v>23</v>
      </c>
      <c r="S942" s="809" t="s">
        <v>24</v>
      </c>
      <c r="T942" s="810" t="s">
        <v>25</v>
      </c>
      <c r="U942" s="810" t="s">
        <v>14</v>
      </c>
      <c r="V942" s="762"/>
      <c r="W942" s="809" t="s">
        <v>23</v>
      </c>
      <c r="X942" s="809" t="s">
        <v>24</v>
      </c>
      <c r="Y942" s="810" t="s">
        <v>25</v>
      </c>
      <c r="Z942" s="810" t="s">
        <v>14</v>
      </c>
      <c r="AA942" s="1578"/>
      <c r="AB942" s="1578"/>
      <c r="AC942" s="762"/>
      <c r="AD942" s="809" t="s">
        <v>23</v>
      </c>
      <c r="AE942" s="809" t="s">
        <v>24</v>
      </c>
      <c r="AF942" s="810" t="s">
        <v>25</v>
      </c>
      <c r="AG942" s="1578"/>
      <c r="AI942" s="368"/>
      <c r="AJ942" s="367"/>
      <c r="AK942" s="188" t="s">
        <v>26</v>
      </c>
      <c r="AL942" s="196">
        <f>AA964</f>
        <v>69.25</v>
      </c>
      <c r="AM942" s="510">
        <v>40.31</v>
      </c>
      <c r="AN942" s="510">
        <f t="shared" ref="AN942:AN947" si="126">AL942*AM942</f>
        <v>2791.4675000000002</v>
      </c>
    </row>
    <row r="943" spans="2:42">
      <c r="B943" s="758" t="s">
        <v>515</v>
      </c>
      <c r="C943" s="758"/>
      <c r="D943" s="758"/>
      <c r="E943" s="759">
        <v>0</v>
      </c>
      <c r="F943" s="761"/>
      <c r="G943" s="762"/>
      <c r="H943" s="758"/>
      <c r="I943" s="758"/>
      <c r="J943" s="759">
        <v>0</v>
      </c>
      <c r="K943" s="761"/>
      <c r="L943" s="762"/>
      <c r="M943" s="758"/>
      <c r="N943" s="758"/>
      <c r="O943" s="759">
        <v>0</v>
      </c>
      <c r="P943" s="761"/>
      <c r="Q943" s="762"/>
      <c r="R943" s="758"/>
      <c r="S943" s="758"/>
      <c r="T943" s="759">
        <v>0</v>
      </c>
      <c r="U943" s="761"/>
      <c r="V943" s="762"/>
      <c r="W943" s="758"/>
      <c r="X943" s="758"/>
      <c r="Y943" s="759">
        <v>0</v>
      </c>
      <c r="Z943" s="761"/>
      <c r="AA943" s="763">
        <f t="shared" ref="AA943:AA963" si="127">(E943+J943+O943+T943+Y943)</f>
        <v>0</v>
      </c>
      <c r="AB943" s="764">
        <f t="shared" ref="AB943:AB963" si="128">Z943+U943+P943+K943+F943</f>
        <v>0</v>
      </c>
      <c r="AC943" s="762"/>
      <c r="AD943" s="811"/>
      <c r="AE943" s="811"/>
      <c r="AF943" s="759"/>
      <c r="AG943" s="763">
        <f t="shared" ref="AG943:AG963" si="129">AF943</f>
        <v>0</v>
      </c>
      <c r="AI943" s="368"/>
      <c r="AJ943" s="367"/>
      <c r="AK943" s="188" t="s">
        <v>30</v>
      </c>
      <c r="AL943" s="196">
        <f>AB964</f>
        <v>0</v>
      </c>
      <c r="AM943" s="511">
        <v>60.465000000000003</v>
      </c>
      <c r="AN943" s="510">
        <f t="shared" si="126"/>
        <v>0</v>
      </c>
    </row>
    <row r="944" spans="2:42">
      <c r="B944" s="758" t="s">
        <v>1112</v>
      </c>
      <c r="C944" s="758"/>
      <c r="D944" s="758"/>
      <c r="E944" s="759">
        <v>0</v>
      </c>
      <c r="F944" s="761"/>
      <c r="G944" s="762"/>
      <c r="H944" s="758"/>
      <c r="I944" s="758"/>
      <c r="J944" s="759">
        <v>0</v>
      </c>
      <c r="K944" s="761"/>
      <c r="L944" s="762"/>
      <c r="M944" s="758"/>
      <c r="N944" s="758"/>
      <c r="O944" s="759">
        <v>0</v>
      </c>
      <c r="P944" s="761"/>
      <c r="Q944" s="762"/>
      <c r="R944" s="758"/>
      <c r="S944" s="758"/>
      <c r="T944" s="759">
        <v>0</v>
      </c>
      <c r="U944" s="761"/>
      <c r="V944" s="762"/>
      <c r="W944" s="758"/>
      <c r="X944" s="758"/>
      <c r="Y944" s="759">
        <v>0</v>
      </c>
      <c r="Z944" s="761"/>
      <c r="AA944" s="763">
        <f t="shared" si="127"/>
        <v>0</v>
      </c>
      <c r="AB944" s="764">
        <f t="shared" si="128"/>
        <v>0</v>
      </c>
      <c r="AC944" s="762"/>
      <c r="AD944" s="758"/>
      <c r="AE944" s="758"/>
      <c r="AF944" s="759"/>
      <c r="AG944" s="763">
        <f t="shared" si="129"/>
        <v>0</v>
      </c>
      <c r="AH944" s="175"/>
      <c r="AI944" s="402"/>
      <c r="AJ944" s="367"/>
      <c r="AK944" s="188" t="s">
        <v>32</v>
      </c>
      <c r="AL944" s="196">
        <f>AG964</f>
        <v>0</v>
      </c>
      <c r="AM944" s="510">
        <v>60.465000000000003</v>
      </c>
      <c r="AN944" s="510">
        <f t="shared" si="126"/>
        <v>0</v>
      </c>
    </row>
    <row r="945" spans="2:42">
      <c r="B945" s="812" t="s">
        <v>972</v>
      </c>
      <c r="C945" s="758"/>
      <c r="D945" s="758"/>
      <c r="E945" s="759">
        <v>0</v>
      </c>
      <c r="F945" s="761"/>
      <c r="G945" s="762"/>
      <c r="H945" s="758"/>
      <c r="I945" s="758"/>
      <c r="J945" s="759">
        <v>0</v>
      </c>
      <c r="K945" s="761"/>
      <c r="L945" s="762"/>
      <c r="M945" s="758"/>
      <c r="N945" s="758"/>
      <c r="O945" s="759">
        <v>0</v>
      </c>
      <c r="P945" s="761"/>
      <c r="Q945" s="762"/>
      <c r="R945" s="758"/>
      <c r="S945" s="758"/>
      <c r="T945" s="759">
        <v>0</v>
      </c>
      <c r="U945" s="761"/>
      <c r="V945" s="762"/>
      <c r="W945" s="758"/>
      <c r="X945" s="758"/>
      <c r="Y945" s="759">
        <v>0</v>
      </c>
      <c r="Z945" s="761"/>
      <c r="AA945" s="763">
        <f t="shared" si="127"/>
        <v>0</v>
      </c>
      <c r="AB945" s="764">
        <f t="shared" si="128"/>
        <v>0</v>
      </c>
      <c r="AC945" s="762"/>
      <c r="AD945" s="758"/>
      <c r="AE945" s="758"/>
      <c r="AF945" s="759"/>
      <c r="AG945" s="763">
        <f t="shared" si="129"/>
        <v>0</v>
      </c>
      <c r="AH945" s="175"/>
      <c r="AJ945" s="401"/>
      <c r="AK945" s="403" t="s">
        <v>213</v>
      </c>
      <c r="AL945" s="404">
        <f>AA967</f>
        <v>40</v>
      </c>
      <c r="AM945" s="510">
        <v>53.05</v>
      </c>
      <c r="AN945" s="510">
        <f t="shared" si="126"/>
        <v>2122</v>
      </c>
      <c r="AO945" s="405"/>
      <c r="AP945" s="405"/>
    </row>
    <row r="946" spans="2:42">
      <c r="B946" s="758" t="s">
        <v>974</v>
      </c>
      <c r="C946" s="758"/>
      <c r="D946" s="758"/>
      <c r="E946" s="759">
        <v>0</v>
      </c>
      <c r="F946" s="761"/>
      <c r="G946" s="762"/>
      <c r="H946" s="758"/>
      <c r="I946" s="758"/>
      <c r="J946" s="759">
        <v>0</v>
      </c>
      <c r="K946" s="761"/>
      <c r="L946" s="762"/>
      <c r="M946" s="758"/>
      <c r="N946" s="758"/>
      <c r="O946" s="759">
        <v>0</v>
      </c>
      <c r="P946" s="761"/>
      <c r="Q946" s="762"/>
      <c r="R946" s="758"/>
      <c r="S946" s="758"/>
      <c r="T946" s="759">
        <v>0</v>
      </c>
      <c r="U946" s="761"/>
      <c r="V946" s="762"/>
      <c r="W946" s="758"/>
      <c r="X946" s="758"/>
      <c r="Y946" s="759">
        <v>0</v>
      </c>
      <c r="Z946" s="761"/>
      <c r="AA946" s="763">
        <f t="shared" si="127"/>
        <v>0</v>
      </c>
      <c r="AB946" s="764">
        <f t="shared" si="128"/>
        <v>0</v>
      </c>
      <c r="AC946" s="762"/>
      <c r="AD946" s="758"/>
      <c r="AE946" s="758"/>
      <c r="AF946" s="759"/>
      <c r="AG946" s="763">
        <f t="shared" si="129"/>
        <v>0</v>
      </c>
      <c r="AI946" s="368"/>
      <c r="AK946" s="188" t="s">
        <v>36</v>
      </c>
      <c r="AL946" s="196">
        <f>AB967</f>
        <v>0</v>
      </c>
      <c r="AM946" s="510">
        <v>79.574999999999989</v>
      </c>
      <c r="AN946" s="510">
        <f t="shared" si="126"/>
        <v>0</v>
      </c>
    </row>
    <row r="947" spans="2:42">
      <c r="B947" s="813" t="s">
        <v>998</v>
      </c>
      <c r="C947" s="758"/>
      <c r="D947" s="758"/>
      <c r="E947" s="759">
        <v>0</v>
      </c>
      <c r="F947" s="761"/>
      <c r="G947" s="762"/>
      <c r="H947" s="758">
        <v>0.40625</v>
      </c>
      <c r="I947" s="758">
        <v>0.26041666666666669</v>
      </c>
      <c r="J947" s="759">
        <v>7.5</v>
      </c>
      <c r="K947" s="761"/>
      <c r="L947" s="762"/>
      <c r="M947" s="758">
        <v>0.39583333333333331</v>
      </c>
      <c r="N947" s="758">
        <v>0.25</v>
      </c>
      <c r="O947" s="759">
        <v>7.5</v>
      </c>
      <c r="P947" s="761"/>
      <c r="Q947" s="762"/>
      <c r="R947" s="758">
        <v>0.39583333333333331</v>
      </c>
      <c r="S947" s="758">
        <v>0.27083333333333331</v>
      </c>
      <c r="T947" s="759">
        <v>8</v>
      </c>
      <c r="U947" s="761"/>
      <c r="V947" s="762"/>
      <c r="W947" s="758">
        <v>0.375</v>
      </c>
      <c r="X947" s="758">
        <v>0.25</v>
      </c>
      <c r="Y947" s="759">
        <v>8</v>
      </c>
      <c r="Z947" s="761"/>
      <c r="AA947" s="763">
        <f t="shared" si="127"/>
        <v>31</v>
      </c>
      <c r="AB947" s="764">
        <f t="shared" si="128"/>
        <v>0</v>
      </c>
      <c r="AC947" s="762"/>
      <c r="AD947" s="758"/>
      <c r="AE947" s="758"/>
      <c r="AF947" s="759"/>
      <c r="AG947" s="763">
        <f t="shared" si="129"/>
        <v>0</v>
      </c>
      <c r="AH947" s="345"/>
      <c r="AI947" s="770"/>
      <c r="AJ947" s="771"/>
      <c r="AK947" s="772" t="s">
        <v>38</v>
      </c>
      <c r="AL947" s="773">
        <f>AG967</f>
        <v>0</v>
      </c>
      <c r="AM947" s="774">
        <v>79.574999999999989</v>
      </c>
      <c r="AN947" s="774">
        <f t="shared" si="126"/>
        <v>0</v>
      </c>
      <c r="AO947" s="775"/>
      <c r="AP947" s="775"/>
    </row>
    <row r="948" spans="2:42">
      <c r="B948" s="758" t="s">
        <v>977</v>
      </c>
      <c r="C948" s="758"/>
      <c r="D948" s="758"/>
      <c r="E948" s="759">
        <v>0</v>
      </c>
      <c r="F948" s="761"/>
      <c r="G948" s="762"/>
      <c r="H948" s="758"/>
      <c r="I948" s="758"/>
      <c r="J948" s="759">
        <v>0</v>
      </c>
      <c r="K948" s="761"/>
      <c r="L948" s="762"/>
      <c r="M948" s="758"/>
      <c r="N948" s="758"/>
      <c r="O948" s="759">
        <v>0</v>
      </c>
      <c r="P948" s="761"/>
      <c r="Q948" s="762"/>
      <c r="R948" s="758"/>
      <c r="S948" s="758"/>
      <c r="T948" s="759">
        <v>0</v>
      </c>
      <c r="U948" s="761"/>
      <c r="V948" s="762"/>
      <c r="W948" s="758"/>
      <c r="X948" s="758"/>
      <c r="Y948" s="759">
        <v>0</v>
      </c>
      <c r="Z948" s="761"/>
      <c r="AA948" s="763">
        <f t="shared" si="127"/>
        <v>0</v>
      </c>
      <c r="AB948" s="764">
        <f t="shared" si="128"/>
        <v>0</v>
      </c>
      <c r="AC948" s="762"/>
      <c r="AD948" s="758"/>
      <c r="AE948" s="758"/>
      <c r="AF948" s="759"/>
      <c r="AG948" s="763">
        <f t="shared" si="129"/>
        <v>0</v>
      </c>
      <c r="AN948" s="510">
        <f>SUM(AN942:AN947)</f>
        <v>4913.4675000000007</v>
      </c>
    </row>
    <row r="949" spans="2:42">
      <c r="B949" s="758" t="s">
        <v>519</v>
      </c>
      <c r="C949" s="758"/>
      <c r="D949" s="758"/>
      <c r="E949" s="759">
        <v>0</v>
      </c>
      <c r="F949" s="761"/>
      <c r="G949" s="762"/>
      <c r="H949" s="758"/>
      <c r="I949" s="758"/>
      <c r="J949" s="759">
        <v>0</v>
      </c>
      <c r="K949" s="761"/>
      <c r="L949" s="762"/>
      <c r="M949" s="758"/>
      <c r="N949" s="758"/>
      <c r="O949" s="759">
        <v>0</v>
      </c>
      <c r="P949" s="761"/>
      <c r="Q949" s="762"/>
      <c r="R949" s="758"/>
      <c r="S949" s="758"/>
      <c r="T949" s="759">
        <v>0</v>
      </c>
      <c r="U949" s="761"/>
      <c r="V949" s="762"/>
      <c r="W949" s="758"/>
      <c r="X949" s="758"/>
      <c r="Y949" s="759">
        <v>0</v>
      </c>
      <c r="Z949" s="761"/>
      <c r="AA949" s="763">
        <f t="shared" si="127"/>
        <v>0</v>
      </c>
      <c r="AB949" s="764">
        <f t="shared" si="128"/>
        <v>0</v>
      </c>
      <c r="AC949" s="762"/>
      <c r="AD949" s="758"/>
      <c r="AE949" s="758"/>
      <c r="AF949" s="759"/>
      <c r="AG949" s="763">
        <f t="shared" si="129"/>
        <v>0</v>
      </c>
    </row>
    <row r="950" spans="2:42">
      <c r="B950" s="758" t="s">
        <v>999</v>
      </c>
      <c r="C950" s="758"/>
      <c r="D950" s="814"/>
      <c r="E950" s="759">
        <v>0</v>
      </c>
      <c r="F950" s="761"/>
      <c r="G950" s="762"/>
      <c r="H950" s="758"/>
      <c r="I950" s="758"/>
      <c r="J950" s="759">
        <v>0</v>
      </c>
      <c r="K950" s="761"/>
      <c r="L950" s="762"/>
      <c r="M950" s="758"/>
      <c r="N950" s="758"/>
      <c r="O950" s="759">
        <v>0</v>
      </c>
      <c r="P950" s="761"/>
      <c r="Q950" s="762"/>
      <c r="R950" s="758"/>
      <c r="S950" s="758"/>
      <c r="T950" s="759">
        <v>0</v>
      </c>
      <c r="U950" s="761"/>
      <c r="V950" s="762"/>
      <c r="W950" s="758"/>
      <c r="X950" s="758"/>
      <c r="Y950" s="759">
        <v>0</v>
      </c>
      <c r="Z950" s="761"/>
      <c r="AA950" s="763">
        <f t="shared" si="127"/>
        <v>0</v>
      </c>
      <c r="AB950" s="764">
        <f t="shared" si="128"/>
        <v>0</v>
      </c>
      <c r="AC950" s="762"/>
      <c r="AD950" s="758"/>
      <c r="AE950" s="758"/>
      <c r="AF950" s="759"/>
      <c r="AG950" s="763">
        <f t="shared" si="129"/>
        <v>0</v>
      </c>
      <c r="AK950" s="192" t="s">
        <v>1115</v>
      </c>
      <c r="AL950" s="189">
        <f>C968</f>
        <v>5</v>
      </c>
      <c r="AM950" s="774">
        <v>45</v>
      </c>
      <c r="AN950" s="510">
        <f>AM950*AL950</f>
        <v>225</v>
      </c>
    </row>
    <row r="951" spans="2:42">
      <c r="B951" s="758" t="s">
        <v>1113</v>
      </c>
      <c r="C951" s="758"/>
      <c r="D951" s="758"/>
      <c r="E951" s="759">
        <v>0</v>
      </c>
      <c r="F951" s="761"/>
      <c r="G951" s="762"/>
      <c r="H951" s="758"/>
      <c r="I951" s="758"/>
      <c r="J951" s="759">
        <v>0</v>
      </c>
      <c r="K951" s="761"/>
      <c r="L951" s="762"/>
      <c r="M951" s="758"/>
      <c r="N951" s="758"/>
      <c r="O951" s="759">
        <v>0</v>
      </c>
      <c r="P951" s="761"/>
      <c r="Q951" s="762"/>
      <c r="R951" s="758"/>
      <c r="S951" s="758"/>
      <c r="T951" s="759">
        <v>0</v>
      </c>
      <c r="U951" s="761"/>
      <c r="V951" s="762"/>
      <c r="W951" s="758"/>
      <c r="X951" s="758"/>
      <c r="Y951" s="759">
        <v>0</v>
      </c>
      <c r="Z951" s="761"/>
      <c r="AA951" s="763">
        <f t="shared" si="127"/>
        <v>0</v>
      </c>
      <c r="AB951" s="764">
        <f t="shared" si="128"/>
        <v>0</v>
      </c>
      <c r="AC951" s="762"/>
      <c r="AD951" s="758"/>
      <c r="AE951" s="758"/>
      <c r="AF951" s="759"/>
      <c r="AG951" s="763">
        <f t="shared" si="129"/>
        <v>0</v>
      </c>
    </row>
    <row r="952" spans="2:42">
      <c r="B952" s="815" t="s">
        <v>483</v>
      </c>
      <c r="C952" s="758"/>
      <c r="D952" s="758"/>
      <c r="E952" s="759">
        <v>0</v>
      </c>
      <c r="F952" s="761"/>
      <c r="G952" s="762"/>
      <c r="H952" s="758"/>
      <c r="I952" s="758"/>
      <c r="J952" s="759">
        <v>0</v>
      </c>
      <c r="K952" s="761"/>
      <c r="L952" s="762"/>
      <c r="M952" s="758"/>
      <c r="N952" s="758"/>
      <c r="O952" s="759">
        <v>0</v>
      </c>
      <c r="P952" s="761"/>
      <c r="Q952" s="762"/>
      <c r="R952" s="758"/>
      <c r="S952" s="758"/>
      <c r="T952" s="759">
        <v>0</v>
      </c>
      <c r="U952" s="761"/>
      <c r="V952" s="762"/>
      <c r="W952" s="758"/>
      <c r="X952" s="758"/>
      <c r="Y952" s="759">
        <v>0</v>
      </c>
      <c r="Z952" s="761"/>
      <c r="AA952" s="763">
        <f t="shared" si="127"/>
        <v>0</v>
      </c>
      <c r="AB952" s="764">
        <f t="shared" si="128"/>
        <v>0</v>
      </c>
      <c r="AC952" s="762"/>
      <c r="AD952" s="758"/>
      <c r="AE952" s="758"/>
      <c r="AF952" s="759"/>
      <c r="AG952" s="763">
        <f t="shared" si="129"/>
        <v>0</v>
      </c>
    </row>
    <row r="953" spans="2:42">
      <c r="B953" s="815" t="s">
        <v>483</v>
      </c>
      <c r="C953" s="758"/>
      <c r="D953" s="758"/>
      <c r="E953" s="759">
        <v>0</v>
      </c>
      <c r="F953" s="761"/>
      <c r="G953" s="762"/>
      <c r="H953" s="758"/>
      <c r="I953" s="758"/>
      <c r="J953" s="759">
        <v>0</v>
      </c>
      <c r="K953" s="761"/>
      <c r="L953" s="762"/>
      <c r="M953" s="758"/>
      <c r="N953" s="758"/>
      <c r="O953" s="759">
        <v>0</v>
      </c>
      <c r="P953" s="761"/>
      <c r="Q953" s="762"/>
      <c r="R953" s="758"/>
      <c r="S953" s="758"/>
      <c r="T953" s="759">
        <v>0</v>
      </c>
      <c r="U953" s="761"/>
      <c r="V953" s="762"/>
      <c r="W953" s="758"/>
      <c r="X953" s="758"/>
      <c r="Y953" s="759">
        <v>0</v>
      </c>
      <c r="Z953" s="761"/>
      <c r="AA953" s="763">
        <f t="shared" si="127"/>
        <v>0</v>
      </c>
      <c r="AB953" s="764">
        <f t="shared" si="128"/>
        <v>0</v>
      </c>
      <c r="AC953" s="762"/>
      <c r="AD953" s="758"/>
      <c r="AE953" s="758"/>
      <c r="AF953" s="759"/>
      <c r="AG953" s="763">
        <f t="shared" si="129"/>
        <v>0</v>
      </c>
    </row>
    <row r="954" spans="2:42">
      <c r="B954" s="815" t="s">
        <v>484</v>
      </c>
      <c r="C954" s="758"/>
      <c r="D954" s="758"/>
      <c r="E954" s="759">
        <v>0</v>
      </c>
      <c r="F954" s="761"/>
      <c r="G954" s="762"/>
      <c r="H954" s="758"/>
      <c r="I954" s="758"/>
      <c r="J954" s="759">
        <v>5</v>
      </c>
      <c r="K954" s="761"/>
      <c r="L954" s="762"/>
      <c r="M954" s="758"/>
      <c r="N954" s="758"/>
      <c r="O954" s="759">
        <v>0</v>
      </c>
      <c r="P954" s="761"/>
      <c r="Q954" s="762"/>
      <c r="R954" s="758"/>
      <c r="S954" s="758"/>
      <c r="T954" s="759">
        <v>5</v>
      </c>
      <c r="U954" s="761"/>
      <c r="V954" s="762"/>
      <c r="W954" s="758"/>
      <c r="X954" s="758"/>
      <c r="Y954" s="759">
        <v>5</v>
      </c>
      <c r="Z954" s="761"/>
      <c r="AA954" s="763">
        <f t="shared" si="127"/>
        <v>15</v>
      </c>
      <c r="AB954" s="764">
        <f t="shared" si="128"/>
        <v>0</v>
      </c>
      <c r="AC954" s="762"/>
      <c r="AD954" s="758"/>
      <c r="AE954" s="758"/>
      <c r="AF954" s="759"/>
      <c r="AG954" s="763">
        <f t="shared" si="129"/>
        <v>0</v>
      </c>
    </row>
    <row r="955" spans="2:42">
      <c r="B955" s="815" t="s">
        <v>485</v>
      </c>
      <c r="C955" s="758"/>
      <c r="D955" s="758"/>
      <c r="E955" s="759">
        <v>0</v>
      </c>
      <c r="F955" s="761"/>
      <c r="G955" s="762"/>
      <c r="H955" s="758"/>
      <c r="I955" s="758"/>
      <c r="J955" s="759">
        <v>5</v>
      </c>
      <c r="K955" s="761"/>
      <c r="L955" s="762"/>
      <c r="M955" s="758"/>
      <c r="N955" s="758"/>
      <c r="O955" s="759">
        <v>0</v>
      </c>
      <c r="P955" s="761"/>
      <c r="Q955" s="762"/>
      <c r="R955" s="758"/>
      <c r="S955" s="758"/>
      <c r="T955" s="759">
        <v>5</v>
      </c>
      <c r="U955" s="761"/>
      <c r="V955" s="762"/>
      <c r="W955" s="758"/>
      <c r="X955" s="758"/>
      <c r="Y955" s="759">
        <v>5</v>
      </c>
      <c r="Z955" s="761"/>
      <c r="AA955" s="763">
        <f t="shared" si="127"/>
        <v>15</v>
      </c>
      <c r="AB955" s="764">
        <f t="shared" si="128"/>
        <v>0</v>
      </c>
      <c r="AC955" s="762"/>
      <c r="AD955" s="758"/>
      <c r="AE955" s="758"/>
      <c r="AF955" s="759"/>
      <c r="AG955" s="763">
        <f t="shared" si="129"/>
        <v>0</v>
      </c>
    </row>
    <row r="956" spans="2:42">
      <c r="B956" s="815" t="s">
        <v>1129</v>
      </c>
      <c r="C956" s="758"/>
      <c r="D956" s="758"/>
      <c r="E956" s="759">
        <v>0</v>
      </c>
      <c r="F956" s="761"/>
      <c r="G956" s="762"/>
      <c r="H956" s="758"/>
      <c r="I956" s="758"/>
      <c r="J956" s="759">
        <v>0</v>
      </c>
      <c r="K956" s="761"/>
      <c r="L956" s="762"/>
      <c r="M956" s="758"/>
      <c r="N956" s="758"/>
      <c r="O956" s="759">
        <v>0</v>
      </c>
      <c r="P956" s="761"/>
      <c r="Q956" s="762"/>
      <c r="R956" s="758"/>
      <c r="S956" s="758"/>
      <c r="T956" s="759">
        <v>0</v>
      </c>
      <c r="U956" s="761"/>
      <c r="V956" s="762"/>
      <c r="W956" s="758"/>
      <c r="X956" s="758"/>
      <c r="Y956" s="759">
        <v>0</v>
      </c>
      <c r="Z956" s="761"/>
      <c r="AA956" s="763">
        <f t="shared" si="127"/>
        <v>0</v>
      </c>
      <c r="AB956" s="764">
        <f t="shared" si="128"/>
        <v>0</v>
      </c>
      <c r="AC956" s="762"/>
      <c r="AD956" s="758"/>
      <c r="AE956" s="758"/>
      <c r="AF956" s="759"/>
      <c r="AG956" s="763">
        <f t="shared" si="129"/>
        <v>0</v>
      </c>
    </row>
    <row r="957" spans="2:42">
      <c r="B957" s="816" t="s">
        <v>358</v>
      </c>
      <c r="C957" s="758"/>
      <c r="D957" s="758"/>
      <c r="E957" s="759">
        <v>0</v>
      </c>
      <c r="F957" s="761"/>
      <c r="G957" s="762"/>
      <c r="H957" s="758"/>
      <c r="I957" s="758"/>
      <c r="J957" s="759">
        <v>0</v>
      </c>
      <c r="K957" s="761"/>
      <c r="L957" s="765"/>
      <c r="M957" s="758"/>
      <c r="N957" s="758"/>
      <c r="O957" s="759">
        <v>0</v>
      </c>
      <c r="P957" s="761"/>
      <c r="Q957" s="765"/>
      <c r="R957" s="758"/>
      <c r="S957" s="758"/>
      <c r="T957" s="759">
        <v>0</v>
      </c>
      <c r="U957" s="761"/>
      <c r="V957" s="765"/>
      <c r="W957" s="758"/>
      <c r="X957" s="758"/>
      <c r="Y957" s="759">
        <v>0</v>
      </c>
      <c r="Z957" s="761"/>
      <c r="AA957" s="763">
        <f t="shared" si="127"/>
        <v>0</v>
      </c>
      <c r="AB957" s="764">
        <f t="shared" si="128"/>
        <v>0</v>
      </c>
      <c r="AC957" s="762"/>
      <c r="AD957" s="758"/>
      <c r="AE957" s="758"/>
      <c r="AF957" s="759"/>
      <c r="AG957" s="763">
        <f t="shared" si="129"/>
        <v>0</v>
      </c>
    </row>
    <row r="958" spans="2:42">
      <c r="B958" s="816" t="s">
        <v>1135</v>
      </c>
      <c r="C958" s="758"/>
      <c r="D958" s="758"/>
      <c r="E958" s="759">
        <v>0</v>
      </c>
      <c r="F958" s="761"/>
      <c r="G958" s="762"/>
      <c r="H958" s="758"/>
      <c r="I958" s="758"/>
      <c r="J958" s="759">
        <v>0</v>
      </c>
      <c r="K958" s="761"/>
      <c r="L958" s="765"/>
      <c r="M958" s="758"/>
      <c r="N958" s="758"/>
      <c r="O958" s="759">
        <v>0</v>
      </c>
      <c r="P958" s="761"/>
      <c r="Q958" s="765"/>
      <c r="R958" s="758"/>
      <c r="S958" s="758"/>
      <c r="T958" s="759">
        <v>0</v>
      </c>
      <c r="U958" s="761"/>
      <c r="V958" s="765"/>
      <c r="W958" s="758"/>
      <c r="X958" s="758"/>
      <c r="Y958" s="759">
        <v>0</v>
      </c>
      <c r="Z958" s="761"/>
      <c r="AA958" s="763">
        <f t="shared" si="127"/>
        <v>0</v>
      </c>
      <c r="AB958" s="764">
        <f t="shared" si="128"/>
        <v>0</v>
      </c>
      <c r="AC958" s="762"/>
      <c r="AD958" s="758"/>
      <c r="AE958" s="758"/>
      <c r="AF958" s="759"/>
      <c r="AG958" s="763">
        <f t="shared" si="129"/>
        <v>0</v>
      </c>
    </row>
    <row r="959" spans="2:42">
      <c r="B959" s="816" t="s">
        <v>411</v>
      </c>
      <c r="C959" s="758"/>
      <c r="D959" s="758"/>
      <c r="E959" s="759">
        <v>0</v>
      </c>
      <c r="F959" s="761"/>
      <c r="G959" s="762"/>
      <c r="H959" s="758"/>
      <c r="I959" s="758"/>
      <c r="J959" s="759">
        <v>0</v>
      </c>
      <c r="K959" s="761"/>
      <c r="L959" s="765"/>
      <c r="M959" s="758"/>
      <c r="N959" s="758"/>
      <c r="O959" s="759">
        <v>0</v>
      </c>
      <c r="P959" s="761"/>
      <c r="Q959" s="765"/>
      <c r="R959" s="758"/>
      <c r="S959" s="758"/>
      <c r="T959" s="759">
        <v>0</v>
      </c>
      <c r="U959" s="761"/>
      <c r="V959" s="765"/>
      <c r="W959" s="758"/>
      <c r="X959" s="758"/>
      <c r="Y959" s="759">
        <v>0</v>
      </c>
      <c r="Z959" s="761"/>
      <c r="AA959" s="763">
        <f t="shared" si="127"/>
        <v>0</v>
      </c>
      <c r="AB959" s="764">
        <f t="shared" si="128"/>
        <v>0</v>
      </c>
      <c r="AC959" s="762"/>
      <c r="AD959" s="758"/>
      <c r="AE959" s="758"/>
      <c r="AF959" s="759"/>
      <c r="AG959" s="763">
        <f t="shared" si="129"/>
        <v>0</v>
      </c>
    </row>
    <row r="960" spans="2:42">
      <c r="B960" s="816" t="s">
        <v>361</v>
      </c>
      <c r="C960" s="758"/>
      <c r="D960" s="758"/>
      <c r="E960" s="759">
        <v>0</v>
      </c>
      <c r="F960" s="761"/>
      <c r="G960" s="762"/>
      <c r="H960" s="758"/>
      <c r="I960" s="758"/>
      <c r="J960" s="759">
        <v>0</v>
      </c>
      <c r="K960" s="761"/>
      <c r="L960" s="765"/>
      <c r="M960" s="758"/>
      <c r="N960" s="758"/>
      <c r="O960" s="759">
        <v>0</v>
      </c>
      <c r="P960" s="761"/>
      <c r="Q960" s="765"/>
      <c r="R960" s="758"/>
      <c r="S960" s="758"/>
      <c r="T960" s="759">
        <v>0</v>
      </c>
      <c r="U960" s="761"/>
      <c r="V960" s="765"/>
      <c r="W960" s="758"/>
      <c r="X960" s="758"/>
      <c r="Y960" s="759">
        <v>0</v>
      </c>
      <c r="Z960" s="761"/>
      <c r="AA960" s="763">
        <f t="shared" si="127"/>
        <v>0</v>
      </c>
      <c r="AB960" s="764">
        <f t="shared" si="128"/>
        <v>0</v>
      </c>
      <c r="AC960" s="762"/>
      <c r="AD960" s="758"/>
      <c r="AE960" s="758"/>
      <c r="AF960" s="759"/>
      <c r="AG960" s="763">
        <f t="shared" si="129"/>
        <v>0</v>
      </c>
    </row>
    <row r="961" spans="2:42">
      <c r="B961" s="816" t="s">
        <v>362</v>
      </c>
      <c r="C961" s="758"/>
      <c r="D961" s="766"/>
      <c r="E961" s="759">
        <v>0</v>
      </c>
      <c r="F961" s="761"/>
      <c r="G961" s="762"/>
      <c r="H961" s="758"/>
      <c r="I961" s="766"/>
      <c r="J961" s="759">
        <v>0</v>
      </c>
      <c r="K961" s="761"/>
      <c r="L961" s="765"/>
      <c r="M961" s="758"/>
      <c r="N961" s="766"/>
      <c r="O961" s="759">
        <v>0</v>
      </c>
      <c r="P961" s="761"/>
      <c r="Q961" s="765"/>
      <c r="R961" s="758"/>
      <c r="S961" s="766"/>
      <c r="T961" s="759">
        <v>0</v>
      </c>
      <c r="U961" s="761"/>
      <c r="V961" s="765"/>
      <c r="W961" s="758"/>
      <c r="X961" s="766"/>
      <c r="Y961" s="759">
        <v>0</v>
      </c>
      <c r="Z961" s="761"/>
      <c r="AA961" s="763">
        <f t="shared" si="127"/>
        <v>0</v>
      </c>
      <c r="AB961" s="764">
        <f t="shared" si="128"/>
        <v>0</v>
      </c>
      <c r="AC961" s="762"/>
      <c r="AD961" s="758"/>
      <c r="AE961" s="758"/>
      <c r="AF961" s="759"/>
      <c r="AG961" s="763">
        <f t="shared" si="129"/>
        <v>0</v>
      </c>
    </row>
    <row r="962" spans="2:42">
      <c r="B962" s="817" t="s">
        <v>355</v>
      </c>
      <c r="C962" s="758"/>
      <c r="D962" s="758"/>
      <c r="E962" s="759">
        <v>0</v>
      </c>
      <c r="F962" s="761"/>
      <c r="G962" s="762"/>
      <c r="H962" s="758"/>
      <c r="I962" s="758"/>
      <c r="J962" s="759">
        <v>2.75</v>
      </c>
      <c r="K962" s="761"/>
      <c r="L962" s="765"/>
      <c r="M962" s="758"/>
      <c r="N962" s="758"/>
      <c r="O962" s="759">
        <v>0</v>
      </c>
      <c r="P962" s="761"/>
      <c r="Q962" s="765"/>
      <c r="R962" s="758"/>
      <c r="S962" s="758"/>
      <c r="T962" s="759">
        <v>2.75</v>
      </c>
      <c r="U962" s="761"/>
      <c r="V962" s="765"/>
      <c r="W962" s="758"/>
      <c r="X962" s="758"/>
      <c r="Y962" s="759">
        <v>2.75</v>
      </c>
      <c r="Z962" s="761"/>
      <c r="AA962" s="763">
        <f t="shared" si="127"/>
        <v>8.25</v>
      </c>
      <c r="AB962" s="764">
        <f t="shared" si="128"/>
        <v>0</v>
      </c>
      <c r="AC962" s="762"/>
      <c r="AD962" s="758"/>
      <c r="AE962" s="758"/>
      <c r="AF962" s="759"/>
      <c r="AG962" s="763">
        <f t="shared" si="129"/>
        <v>0</v>
      </c>
    </row>
    <row r="963" spans="2:42">
      <c r="B963" s="817" t="s">
        <v>356</v>
      </c>
      <c r="C963" s="818"/>
      <c r="D963" s="818"/>
      <c r="E963" s="759">
        <v>0</v>
      </c>
      <c r="F963" s="761"/>
      <c r="G963" s="765"/>
      <c r="H963" s="766"/>
      <c r="I963" s="766"/>
      <c r="J963" s="759">
        <v>0</v>
      </c>
      <c r="K963" s="761"/>
      <c r="L963" s="765"/>
      <c r="M963" s="766"/>
      <c r="N963" s="766"/>
      <c r="O963" s="759">
        <v>0</v>
      </c>
      <c r="P963" s="761"/>
      <c r="Q963" s="765"/>
      <c r="R963" s="766"/>
      <c r="S963" s="766"/>
      <c r="T963" s="759">
        <v>0</v>
      </c>
      <c r="U963" s="761"/>
      <c r="V963" s="765"/>
      <c r="W963" s="766"/>
      <c r="X963" s="766"/>
      <c r="Y963" s="759">
        <v>0</v>
      </c>
      <c r="Z963" s="761"/>
      <c r="AA963" s="763">
        <f t="shared" si="127"/>
        <v>0</v>
      </c>
      <c r="AB963" s="764">
        <f t="shared" si="128"/>
        <v>0</v>
      </c>
      <c r="AC963" s="762"/>
      <c r="AD963" s="758"/>
      <c r="AE963" s="758"/>
      <c r="AF963" s="759"/>
      <c r="AG963" s="763">
        <f t="shared" si="129"/>
        <v>0</v>
      </c>
    </row>
    <row r="964" spans="2:42">
      <c r="B964" s="767" t="s">
        <v>61</v>
      </c>
      <c r="C964" s="767"/>
      <c r="D964" s="767"/>
      <c r="E964" s="760">
        <f>SUM(E943:E963)</f>
        <v>0</v>
      </c>
      <c r="F964" s="761"/>
      <c r="G964" s="767"/>
      <c r="H964" s="767"/>
      <c r="I964" s="767"/>
      <c r="J964" s="760">
        <f>SUM(J943:J963)</f>
        <v>20.25</v>
      </c>
      <c r="K964" s="761"/>
      <c r="L964" s="767"/>
      <c r="M964" s="767"/>
      <c r="N964" s="767"/>
      <c r="O964" s="760">
        <f>SUM(O943:O963)</f>
        <v>7.5</v>
      </c>
      <c r="P964" s="761"/>
      <c r="Q964" s="767"/>
      <c r="R964" s="767"/>
      <c r="S964" s="767"/>
      <c r="T964" s="760">
        <f>SUM(T943:T963)</f>
        <v>20.75</v>
      </c>
      <c r="U964" s="761"/>
      <c r="V964" s="767"/>
      <c r="W964" s="767"/>
      <c r="X964" s="767"/>
      <c r="Y964" s="760">
        <f>SUM(Y943:Y963)</f>
        <v>20.75</v>
      </c>
      <c r="Z964" s="761"/>
      <c r="AA964" s="763">
        <f>SUM(AA943:AA963)</f>
        <v>69.25</v>
      </c>
      <c r="AB964" s="763">
        <f>SUM(AB943:AB963)</f>
        <v>0</v>
      </c>
      <c r="AC964" s="762"/>
      <c r="AD964" s="767"/>
      <c r="AE964" s="767"/>
      <c r="AF964" s="763">
        <f>SUM(AF943:AF963)</f>
        <v>0</v>
      </c>
      <c r="AG964" s="763">
        <f>SUM(AG943:AG963)</f>
        <v>0</v>
      </c>
    </row>
    <row r="965" spans="2:42">
      <c r="B965" s="816" t="s">
        <v>1116</v>
      </c>
      <c r="C965" s="758"/>
      <c r="D965" s="758"/>
      <c r="E965" s="759">
        <v>8</v>
      </c>
      <c r="F965" s="761"/>
      <c r="G965" s="762"/>
      <c r="H965" s="758"/>
      <c r="I965" s="758"/>
      <c r="J965" s="759">
        <v>8</v>
      </c>
      <c r="K965" s="761"/>
      <c r="L965" s="762"/>
      <c r="M965" s="758"/>
      <c r="N965" s="758"/>
      <c r="O965" s="759">
        <v>8</v>
      </c>
      <c r="P965" s="761"/>
      <c r="Q965" s="762"/>
      <c r="R965" s="758"/>
      <c r="S965" s="758"/>
      <c r="T965" s="759">
        <v>8</v>
      </c>
      <c r="U965" s="761"/>
      <c r="V965" s="762"/>
      <c r="W965" s="758"/>
      <c r="X965" s="758"/>
      <c r="Y965" s="759">
        <v>8</v>
      </c>
      <c r="Z965" s="761"/>
      <c r="AA965" s="763">
        <f>(E965+J965+O965+T965+Y965)</f>
        <v>40</v>
      </c>
      <c r="AB965" s="764">
        <f>Z965+U965+P965+K965+F965</f>
        <v>0</v>
      </c>
      <c r="AC965" s="762"/>
      <c r="AD965" s="758"/>
      <c r="AE965" s="758"/>
      <c r="AF965" s="759"/>
      <c r="AG965" s="763">
        <f>AF965</f>
        <v>0</v>
      </c>
    </row>
    <row r="966" spans="2:42">
      <c r="B966" s="816" t="s">
        <v>64</v>
      </c>
      <c r="C966" s="758"/>
      <c r="D966" s="758"/>
      <c r="E966" s="759">
        <v>0</v>
      </c>
      <c r="F966" s="759"/>
      <c r="G966" s="819"/>
      <c r="H966" s="758"/>
      <c r="I966" s="758"/>
      <c r="J966" s="759">
        <v>0</v>
      </c>
      <c r="K966" s="759"/>
      <c r="L966" s="765"/>
      <c r="M966" s="758"/>
      <c r="N966" s="758"/>
      <c r="O966" s="759">
        <v>0</v>
      </c>
      <c r="P966" s="759"/>
      <c r="Q966" s="765"/>
      <c r="R966" s="758"/>
      <c r="S966" s="758"/>
      <c r="T966" s="759">
        <v>0</v>
      </c>
      <c r="U966" s="759"/>
      <c r="V966" s="765"/>
      <c r="W966" s="758"/>
      <c r="X966" s="758"/>
      <c r="Y966" s="759">
        <v>0</v>
      </c>
      <c r="Z966" s="759"/>
      <c r="AA966" s="763">
        <f>SUM(E966+J966+O966+T966+Y966)</f>
        <v>0</v>
      </c>
      <c r="AB966" s="768">
        <f>Z966+U966+P966+K966+F966</f>
        <v>0</v>
      </c>
      <c r="AC966" s="762"/>
      <c r="AD966" s="758" t="s">
        <v>29</v>
      </c>
      <c r="AE966" s="758" t="s">
        <v>29</v>
      </c>
      <c r="AF966" s="759"/>
      <c r="AG966" s="763">
        <f>AF966</f>
        <v>0</v>
      </c>
    </row>
    <row r="967" spans="2:42">
      <c r="B967" s="819" t="s">
        <v>66</v>
      </c>
      <c r="C967" s="820"/>
      <c r="D967" s="820"/>
      <c r="E967" s="819"/>
      <c r="F967" s="819"/>
      <c r="G967" s="819"/>
      <c r="H967" s="819"/>
      <c r="I967" s="819"/>
      <c r="J967" s="819"/>
      <c r="K967" s="819"/>
      <c r="L967" s="819"/>
      <c r="M967" s="819"/>
      <c r="N967" s="819"/>
      <c r="O967" s="819"/>
      <c r="P967" s="819"/>
      <c r="Q967" s="819"/>
      <c r="R967" s="819"/>
      <c r="S967" s="819"/>
      <c r="T967" s="819"/>
      <c r="U967" s="819"/>
      <c r="V967" s="819"/>
      <c r="W967" s="819"/>
      <c r="X967" s="819"/>
      <c r="Y967" s="819"/>
      <c r="Z967" s="819"/>
      <c r="AA967" s="763">
        <f>SUM(AA965:AA966)</f>
        <v>40</v>
      </c>
      <c r="AB967" s="763">
        <f>SUM(AB966:AB966)</f>
        <v>0</v>
      </c>
      <c r="AC967" s="762"/>
      <c r="AD967" s="811"/>
      <c r="AE967" s="811"/>
      <c r="AF967" s="811"/>
      <c r="AG967" s="763">
        <f>SUM(AG966:AG966)</f>
        <v>0</v>
      </c>
      <c r="AK967" s="407"/>
    </row>
    <row r="968" spans="2:42">
      <c r="B968" s="821" t="s">
        <v>67</v>
      </c>
      <c r="C968" s="822">
        <f>C969+C970</f>
        <v>5</v>
      </c>
      <c r="D968" s="822"/>
      <c r="E968" s="823"/>
      <c r="F968" s="823"/>
      <c r="G968" s="822"/>
      <c r="H968" s="823"/>
      <c r="I968" s="823"/>
      <c r="J968" s="823"/>
      <c r="K968" s="823"/>
      <c r="L968" s="822"/>
      <c r="M968" s="822"/>
      <c r="N968" s="822"/>
      <c r="O968" s="822"/>
      <c r="P968" s="823"/>
      <c r="Q968" s="822"/>
      <c r="R968" s="822"/>
      <c r="S968" s="822"/>
      <c r="T968" s="822"/>
      <c r="U968" s="823"/>
      <c r="V968" s="822"/>
      <c r="W968" s="822"/>
      <c r="X968" s="822"/>
      <c r="Y968" s="824"/>
      <c r="Z968" s="823"/>
      <c r="AA968" s="825"/>
      <c r="AB968" s="823"/>
      <c r="AC968" s="825"/>
      <c r="AD968" s="825"/>
      <c r="AE968" s="825"/>
      <c r="AF968" s="825"/>
      <c r="AG968" s="825"/>
      <c r="AK968" s="407"/>
    </row>
    <row r="969" spans="2:42">
      <c r="B969" s="826" t="s">
        <v>68</v>
      </c>
      <c r="C969" s="822">
        <v>0</v>
      </c>
      <c r="D969" s="822"/>
      <c r="E969" s="823"/>
      <c r="F969" s="823"/>
      <c r="G969" s="822"/>
      <c r="H969" s="823"/>
      <c r="I969" s="823"/>
      <c r="J969" s="823"/>
      <c r="K969" s="823"/>
      <c r="L969" s="822"/>
      <c r="M969" s="822"/>
      <c r="N969" s="822"/>
      <c r="O969" s="822"/>
      <c r="P969" s="823"/>
      <c r="Q969" s="822"/>
      <c r="R969" s="822"/>
      <c r="S969" s="822"/>
      <c r="T969" s="822"/>
      <c r="U969" s="823"/>
      <c r="V969" s="822"/>
      <c r="W969" s="822"/>
      <c r="X969" s="822"/>
      <c r="Y969" s="824"/>
      <c r="Z969" s="823"/>
      <c r="AA969" s="825"/>
      <c r="AB969" s="823"/>
      <c r="AC969" s="825"/>
      <c r="AD969" s="825"/>
      <c r="AE969" s="825"/>
      <c r="AF969" s="825"/>
      <c r="AG969" s="825"/>
      <c r="AK969" s="407"/>
    </row>
    <row r="970" spans="2:42">
      <c r="B970" s="826" t="s">
        <v>69</v>
      </c>
      <c r="C970" s="822">
        <v>5</v>
      </c>
      <c r="D970" s="822"/>
      <c r="E970" s="823"/>
      <c r="F970" s="823"/>
      <c r="G970" s="822"/>
      <c r="H970" s="823"/>
      <c r="I970" s="823"/>
      <c r="J970" s="823"/>
      <c r="K970" s="823"/>
      <c r="L970" s="822"/>
      <c r="M970" s="822"/>
      <c r="N970" s="822"/>
      <c r="O970" s="822"/>
      <c r="P970" s="823"/>
      <c r="Q970" s="822"/>
      <c r="R970" s="822"/>
      <c r="S970" s="822"/>
      <c r="T970" s="822"/>
      <c r="U970" s="823"/>
      <c r="V970" s="822"/>
      <c r="W970" s="822"/>
      <c r="X970" s="822"/>
      <c r="Y970" s="824"/>
      <c r="Z970" s="823"/>
      <c r="AA970" s="825"/>
      <c r="AB970" s="823"/>
      <c r="AC970" s="825"/>
      <c r="AD970" s="825"/>
      <c r="AE970" s="825"/>
      <c r="AF970" s="825"/>
      <c r="AG970" s="825"/>
    </row>
    <row r="973" spans="2:42" ht="25.5">
      <c r="B973" s="1576" t="s">
        <v>18</v>
      </c>
      <c r="C973" s="1577">
        <v>45908</v>
      </c>
      <c r="D973" s="1577"/>
      <c r="E973" s="1577" t="s">
        <v>564</v>
      </c>
      <c r="F973" s="1577"/>
      <c r="G973" s="807"/>
      <c r="H973" s="1577">
        <v>45909</v>
      </c>
      <c r="I973" s="1577"/>
      <c r="J973" s="1577" t="s">
        <v>565</v>
      </c>
      <c r="K973" s="1577"/>
      <c r="L973" s="807"/>
      <c r="M973" s="1577">
        <v>45910</v>
      </c>
      <c r="N973" s="1577"/>
      <c r="O973" s="1577" t="s">
        <v>566</v>
      </c>
      <c r="P973" s="1577"/>
      <c r="Q973" s="807"/>
      <c r="R973" s="1577">
        <v>45911</v>
      </c>
      <c r="S973" s="1577"/>
      <c r="T973" s="1577" t="s">
        <v>567</v>
      </c>
      <c r="U973" s="1577"/>
      <c r="V973" s="807"/>
      <c r="W973" s="1577">
        <v>45912</v>
      </c>
      <c r="X973" s="1577"/>
      <c r="Y973" s="1577" t="s">
        <v>568</v>
      </c>
      <c r="Z973" s="1577"/>
      <c r="AA973" s="1578" t="s">
        <v>19</v>
      </c>
      <c r="AB973" s="1578" t="s">
        <v>20</v>
      </c>
      <c r="AC973" s="762"/>
      <c r="AD973" s="1577"/>
      <c r="AE973" s="1577"/>
      <c r="AF973" s="808" t="s">
        <v>1111</v>
      </c>
      <c r="AG973" s="1578" t="s">
        <v>21</v>
      </c>
      <c r="AI973" s="368"/>
      <c r="AK973" s="194" t="s">
        <v>84</v>
      </c>
      <c r="AL973" s="366"/>
      <c r="AM973" s="366"/>
      <c r="AN973" s="366"/>
      <c r="AO973" s="366"/>
      <c r="AP973" s="366"/>
    </row>
    <row r="974" spans="2:42">
      <c r="B974" s="1576"/>
      <c r="C974" s="809" t="s">
        <v>23</v>
      </c>
      <c r="D974" s="809" t="s">
        <v>24</v>
      </c>
      <c r="E974" s="768" t="s">
        <v>25</v>
      </c>
      <c r="F974" s="810" t="s">
        <v>14</v>
      </c>
      <c r="G974" s="762"/>
      <c r="H974" s="809"/>
      <c r="I974" s="809" t="s">
        <v>24</v>
      </c>
      <c r="J974" s="810" t="s">
        <v>25</v>
      </c>
      <c r="K974" s="810" t="s">
        <v>14</v>
      </c>
      <c r="L974" s="762"/>
      <c r="M974" s="809" t="s">
        <v>23</v>
      </c>
      <c r="N974" s="809" t="s">
        <v>24</v>
      </c>
      <c r="O974" s="810" t="s">
        <v>25</v>
      </c>
      <c r="P974" s="810" t="s">
        <v>14</v>
      </c>
      <c r="Q974" s="762"/>
      <c r="R974" s="809" t="s">
        <v>23</v>
      </c>
      <c r="S974" s="809" t="s">
        <v>24</v>
      </c>
      <c r="T974" s="810" t="s">
        <v>25</v>
      </c>
      <c r="U974" s="810" t="s">
        <v>14</v>
      </c>
      <c r="V974" s="762"/>
      <c r="W974" s="809" t="s">
        <v>23</v>
      </c>
      <c r="X974" s="809" t="s">
        <v>24</v>
      </c>
      <c r="Y974" s="810" t="s">
        <v>25</v>
      </c>
      <c r="Z974" s="810" t="s">
        <v>14</v>
      </c>
      <c r="AA974" s="1578"/>
      <c r="AB974" s="1578"/>
      <c r="AC974" s="762"/>
      <c r="AD974" s="809" t="s">
        <v>23</v>
      </c>
      <c r="AE974" s="809" t="s">
        <v>24</v>
      </c>
      <c r="AF974" s="810" t="s">
        <v>25</v>
      </c>
      <c r="AG974" s="1578"/>
      <c r="AI974" s="368"/>
      <c r="AJ974" s="367"/>
      <c r="AK974" s="188" t="s">
        <v>26</v>
      </c>
      <c r="AL974" s="196">
        <f>AA996</f>
        <v>119.5</v>
      </c>
      <c r="AM974" s="510">
        <v>40.31</v>
      </c>
      <c r="AN974" s="510">
        <f t="shared" ref="AN974:AN979" si="130">AL974*AM974</f>
        <v>4817.0450000000001</v>
      </c>
    </row>
    <row r="975" spans="2:42">
      <c r="B975" s="758" t="s">
        <v>515</v>
      </c>
      <c r="C975" s="758"/>
      <c r="D975" s="758"/>
      <c r="E975" s="759">
        <v>0</v>
      </c>
      <c r="F975" s="761"/>
      <c r="G975" s="762"/>
      <c r="H975" s="758"/>
      <c r="I975" s="758"/>
      <c r="J975" s="759">
        <v>0</v>
      </c>
      <c r="K975" s="761"/>
      <c r="L975" s="762"/>
      <c r="M975" s="758"/>
      <c r="N975" s="758"/>
      <c r="O975" s="759">
        <v>0</v>
      </c>
      <c r="P975" s="761"/>
      <c r="Q975" s="762"/>
      <c r="R975" s="758"/>
      <c r="S975" s="758"/>
      <c r="T975" s="759">
        <v>0</v>
      </c>
      <c r="U975" s="761"/>
      <c r="V975" s="762"/>
      <c r="W975" s="758"/>
      <c r="X975" s="758"/>
      <c r="Y975" s="759">
        <v>0</v>
      </c>
      <c r="Z975" s="761"/>
      <c r="AA975" s="763">
        <f t="shared" ref="AA975:AA995" si="131">(E975+J975+O975+T975+Y975)</f>
        <v>0</v>
      </c>
      <c r="AB975" s="764">
        <f t="shared" ref="AB975:AB995" si="132">Z975+U975+P975+K975+F975</f>
        <v>0</v>
      </c>
      <c r="AC975" s="762"/>
      <c r="AD975" s="811"/>
      <c r="AE975" s="811"/>
      <c r="AF975" s="759"/>
      <c r="AG975" s="763">
        <f t="shared" ref="AG975:AG995" si="133">AF975</f>
        <v>0</v>
      </c>
      <c r="AI975" s="368"/>
      <c r="AJ975" s="367"/>
      <c r="AK975" s="188" t="s">
        <v>30</v>
      </c>
      <c r="AL975" s="196">
        <f>AB996</f>
        <v>0</v>
      </c>
      <c r="AM975" s="511">
        <v>60.465000000000003</v>
      </c>
      <c r="AN975" s="510">
        <f t="shared" si="130"/>
        <v>0</v>
      </c>
    </row>
    <row r="976" spans="2:42">
      <c r="B976" s="758" t="s">
        <v>1112</v>
      </c>
      <c r="C976" s="758"/>
      <c r="D976" s="758"/>
      <c r="E976" s="759">
        <v>0</v>
      </c>
      <c r="F976" s="761"/>
      <c r="G976" s="762"/>
      <c r="H976" s="758">
        <v>0.39583333333333331</v>
      </c>
      <c r="I976" s="758">
        <v>0.27083333333333331</v>
      </c>
      <c r="J976" s="759">
        <v>8</v>
      </c>
      <c r="K976" s="761"/>
      <c r="L976" s="762"/>
      <c r="M976" s="758"/>
      <c r="N976" s="758"/>
      <c r="O976" s="759">
        <v>0</v>
      </c>
      <c r="P976" s="761"/>
      <c r="Q976" s="762"/>
      <c r="R976" s="758"/>
      <c r="S976" s="758"/>
      <c r="T976" s="759">
        <v>0</v>
      </c>
      <c r="U976" s="761"/>
      <c r="V976" s="762"/>
      <c r="W976" s="758"/>
      <c r="X976" s="758"/>
      <c r="Y976" s="759">
        <v>0</v>
      </c>
      <c r="Z976" s="761"/>
      <c r="AA976" s="763">
        <f t="shared" si="131"/>
        <v>8</v>
      </c>
      <c r="AB976" s="764">
        <f t="shared" si="132"/>
        <v>0</v>
      </c>
      <c r="AC976" s="762"/>
      <c r="AD976" s="758"/>
      <c r="AE976" s="758"/>
      <c r="AF976" s="759"/>
      <c r="AG976" s="763">
        <f t="shared" si="133"/>
        <v>0</v>
      </c>
      <c r="AH976" s="175"/>
      <c r="AI976" s="402"/>
      <c r="AJ976" s="367"/>
      <c r="AK976" s="188" t="s">
        <v>32</v>
      </c>
      <c r="AL976" s="196">
        <f>AG996</f>
        <v>0</v>
      </c>
      <c r="AM976" s="510">
        <v>60.465000000000003</v>
      </c>
      <c r="AN976" s="510">
        <f t="shared" si="130"/>
        <v>0</v>
      </c>
    </row>
    <row r="977" spans="2:42">
      <c r="B977" s="758" t="s">
        <v>1138</v>
      </c>
      <c r="C977" s="758">
        <v>0.375</v>
      </c>
      <c r="D977" s="758">
        <v>0.25</v>
      </c>
      <c r="E977" s="759">
        <v>8</v>
      </c>
      <c r="F977" s="761"/>
      <c r="G977" s="762"/>
      <c r="H977" s="758"/>
      <c r="I977" s="758"/>
      <c r="J977" s="759">
        <v>0</v>
      </c>
      <c r="K977" s="761"/>
      <c r="L977" s="762"/>
      <c r="M977" s="758"/>
      <c r="N977" s="758"/>
      <c r="O977" s="759">
        <v>0</v>
      </c>
      <c r="P977" s="761"/>
      <c r="Q977" s="762"/>
      <c r="R977" s="758"/>
      <c r="S977" s="758"/>
      <c r="T977" s="759">
        <v>0</v>
      </c>
      <c r="U977" s="761"/>
      <c r="V977" s="762"/>
      <c r="W977" s="758"/>
      <c r="X977" s="758"/>
      <c r="Y977" s="759">
        <v>0</v>
      </c>
      <c r="Z977" s="761"/>
      <c r="AA977" s="763">
        <f t="shared" si="131"/>
        <v>8</v>
      </c>
      <c r="AB977" s="764">
        <f t="shared" si="132"/>
        <v>0</v>
      </c>
      <c r="AC977" s="762"/>
      <c r="AD977" s="758"/>
      <c r="AE977" s="758"/>
      <c r="AF977" s="759"/>
      <c r="AG977" s="763">
        <f t="shared" si="133"/>
        <v>0</v>
      </c>
      <c r="AH977" s="175"/>
      <c r="AJ977" s="401"/>
      <c r="AK977" s="403" t="s">
        <v>213</v>
      </c>
      <c r="AL977" s="404">
        <f>AA999</f>
        <v>40</v>
      </c>
      <c r="AM977" s="510">
        <v>53.05</v>
      </c>
      <c r="AN977" s="510">
        <f t="shared" si="130"/>
        <v>2122</v>
      </c>
      <c r="AO977" s="405"/>
      <c r="AP977" s="405"/>
    </row>
    <row r="978" spans="2:42">
      <c r="B978" s="758" t="s">
        <v>637</v>
      </c>
      <c r="C978" s="758">
        <v>0.375</v>
      </c>
      <c r="D978" s="758">
        <v>0.25</v>
      </c>
      <c r="E978" s="759">
        <v>8</v>
      </c>
      <c r="F978" s="761"/>
      <c r="G978" s="762"/>
      <c r="H978" s="758">
        <v>0.375</v>
      </c>
      <c r="I978" s="758">
        <v>0.25</v>
      </c>
      <c r="J978" s="759">
        <v>8</v>
      </c>
      <c r="K978" s="761"/>
      <c r="L978" s="762"/>
      <c r="M978" s="758">
        <v>0.375</v>
      </c>
      <c r="N978" s="758">
        <v>0.25</v>
      </c>
      <c r="O978" s="759">
        <v>8</v>
      </c>
      <c r="P978" s="761"/>
      <c r="Q978" s="762"/>
      <c r="R978" s="758">
        <v>0.375</v>
      </c>
      <c r="S978" s="758">
        <v>0.25</v>
      </c>
      <c r="T978" s="759">
        <v>8</v>
      </c>
      <c r="U978" s="761"/>
      <c r="V978" s="762"/>
      <c r="W978" s="758"/>
      <c r="X978" s="758"/>
      <c r="Y978" s="759">
        <v>0</v>
      </c>
      <c r="Z978" s="761"/>
      <c r="AA978" s="763">
        <f t="shared" si="131"/>
        <v>32</v>
      </c>
      <c r="AB978" s="764">
        <f t="shared" si="132"/>
        <v>0</v>
      </c>
      <c r="AC978" s="762"/>
      <c r="AD978" s="758"/>
      <c r="AE978" s="758"/>
      <c r="AF978" s="759"/>
      <c r="AG978" s="763">
        <f t="shared" si="133"/>
        <v>0</v>
      </c>
      <c r="AI978" s="368"/>
      <c r="AK978" s="188" t="s">
        <v>36</v>
      </c>
      <c r="AL978" s="196">
        <f>AB999</f>
        <v>0</v>
      </c>
      <c r="AM978" s="510">
        <v>79.574999999999989</v>
      </c>
      <c r="AN978" s="510">
        <f t="shared" si="130"/>
        <v>0</v>
      </c>
    </row>
    <row r="979" spans="2:42">
      <c r="B979" s="813" t="s">
        <v>998</v>
      </c>
      <c r="C979" s="758">
        <v>0.375</v>
      </c>
      <c r="D979" s="758">
        <v>0.25</v>
      </c>
      <c r="E979" s="759">
        <v>8</v>
      </c>
      <c r="F979" s="761"/>
      <c r="G979" s="762"/>
      <c r="H979" s="758">
        <v>0.375</v>
      </c>
      <c r="I979" s="758">
        <v>0.25</v>
      </c>
      <c r="J979" s="759">
        <v>8</v>
      </c>
      <c r="K979" s="761"/>
      <c r="L979" s="762"/>
      <c r="M979" s="758">
        <v>0.375</v>
      </c>
      <c r="N979" s="758">
        <v>0.25</v>
      </c>
      <c r="O979" s="759">
        <v>8</v>
      </c>
      <c r="P979" s="761"/>
      <c r="Q979" s="762"/>
      <c r="R979" s="758">
        <v>0.375</v>
      </c>
      <c r="S979" s="758">
        <v>0.25</v>
      </c>
      <c r="T979" s="759">
        <v>8</v>
      </c>
      <c r="U979" s="761"/>
      <c r="V979" s="762"/>
      <c r="W979" s="758">
        <v>0.375</v>
      </c>
      <c r="X979" s="758">
        <v>0.25</v>
      </c>
      <c r="Y979" s="759">
        <v>8</v>
      </c>
      <c r="Z979" s="761"/>
      <c r="AA979" s="763">
        <f t="shared" si="131"/>
        <v>40</v>
      </c>
      <c r="AB979" s="764">
        <f t="shared" si="132"/>
        <v>0</v>
      </c>
      <c r="AC979" s="762"/>
      <c r="AD979" s="758"/>
      <c r="AE979" s="758"/>
      <c r="AF979" s="759"/>
      <c r="AG979" s="763">
        <f t="shared" si="133"/>
        <v>0</v>
      </c>
      <c r="AH979" s="345"/>
      <c r="AI979" s="770"/>
      <c r="AJ979" s="771"/>
      <c r="AK979" s="772" t="s">
        <v>38</v>
      </c>
      <c r="AL979" s="773">
        <f>AG999</f>
        <v>0</v>
      </c>
      <c r="AM979" s="774">
        <v>79.574999999999989</v>
      </c>
      <c r="AN979" s="774">
        <f t="shared" si="130"/>
        <v>0</v>
      </c>
      <c r="AO979" s="775"/>
      <c r="AP979" s="775"/>
    </row>
    <row r="980" spans="2:42">
      <c r="B980" s="758" t="s">
        <v>977</v>
      </c>
      <c r="C980" s="758"/>
      <c r="D980" s="758"/>
      <c r="E980" s="759">
        <v>0</v>
      </c>
      <c r="F980" s="761"/>
      <c r="G980" s="762"/>
      <c r="H980" s="758"/>
      <c r="I980" s="758"/>
      <c r="J980" s="759">
        <v>0</v>
      </c>
      <c r="K980" s="761"/>
      <c r="L980" s="762"/>
      <c r="M980" s="758"/>
      <c r="N980" s="758"/>
      <c r="O980" s="759">
        <v>0</v>
      </c>
      <c r="P980" s="761"/>
      <c r="Q980" s="762"/>
      <c r="R980" s="758"/>
      <c r="S980" s="758"/>
      <c r="T980" s="759">
        <v>0</v>
      </c>
      <c r="U980" s="761"/>
      <c r="V980" s="762"/>
      <c r="W980" s="758"/>
      <c r="X980" s="758"/>
      <c r="Y980" s="759">
        <v>0</v>
      </c>
      <c r="Z980" s="761"/>
      <c r="AA980" s="763">
        <f t="shared" si="131"/>
        <v>0</v>
      </c>
      <c r="AB980" s="764">
        <f t="shared" si="132"/>
        <v>0</v>
      </c>
      <c r="AC980" s="762"/>
      <c r="AD980" s="758"/>
      <c r="AE980" s="758"/>
      <c r="AF980" s="759"/>
      <c r="AG980" s="763">
        <f t="shared" si="133"/>
        <v>0</v>
      </c>
      <c r="AN980" s="510">
        <f>SUM(AN974:AN979)</f>
        <v>6939.0450000000001</v>
      </c>
    </row>
    <row r="981" spans="2:42">
      <c r="B981" s="758" t="s">
        <v>519</v>
      </c>
      <c r="C981" s="758"/>
      <c r="D981" s="758"/>
      <c r="E981" s="759">
        <v>0</v>
      </c>
      <c r="F981" s="761"/>
      <c r="G981" s="762"/>
      <c r="H981" s="758"/>
      <c r="I981" s="758"/>
      <c r="J981" s="759">
        <v>0</v>
      </c>
      <c r="K981" s="761"/>
      <c r="L981" s="762"/>
      <c r="M981" s="758"/>
      <c r="N981" s="758"/>
      <c r="O981" s="759">
        <v>0</v>
      </c>
      <c r="P981" s="761"/>
      <c r="Q981" s="762"/>
      <c r="R981" s="758"/>
      <c r="S981" s="758"/>
      <c r="T981" s="759">
        <v>0</v>
      </c>
      <c r="U981" s="761"/>
      <c r="V981" s="762"/>
      <c r="W981" s="758"/>
      <c r="X981" s="758"/>
      <c r="Y981" s="759">
        <v>0</v>
      </c>
      <c r="Z981" s="761"/>
      <c r="AA981" s="763">
        <f t="shared" si="131"/>
        <v>0</v>
      </c>
      <c r="AB981" s="764">
        <f t="shared" si="132"/>
        <v>0</v>
      </c>
      <c r="AC981" s="762"/>
      <c r="AD981" s="758"/>
      <c r="AE981" s="758"/>
      <c r="AF981" s="759"/>
      <c r="AG981" s="763">
        <f t="shared" si="133"/>
        <v>0</v>
      </c>
    </row>
    <row r="982" spans="2:42">
      <c r="B982" s="758" t="s">
        <v>999</v>
      </c>
      <c r="C982" s="758"/>
      <c r="D982" s="814"/>
      <c r="E982" s="759">
        <v>0</v>
      </c>
      <c r="F982" s="761"/>
      <c r="G982" s="762"/>
      <c r="H982" s="758"/>
      <c r="I982" s="758"/>
      <c r="J982" s="759">
        <v>0</v>
      </c>
      <c r="K982" s="761"/>
      <c r="L982" s="762"/>
      <c r="M982" s="758"/>
      <c r="N982" s="758"/>
      <c r="O982" s="759">
        <v>0</v>
      </c>
      <c r="P982" s="761"/>
      <c r="Q982" s="762"/>
      <c r="R982" s="758"/>
      <c r="S982" s="758"/>
      <c r="T982" s="759">
        <v>0</v>
      </c>
      <c r="U982" s="761"/>
      <c r="V982" s="762"/>
      <c r="W982" s="758"/>
      <c r="X982" s="758"/>
      <c r="Y982" s="759">
        <v>0</v>
      </c>
      <c r="Z982" s="761"/>
      <c r="AA982" s="763">
        <f t="shared" si="131"/>
        <v>0</v>
      </c>
      <c r="AB982" s="764">
        <f t="shared" si="132"/>
        <v>0</v>
      </c>
      <c r="AC982" s="762"/>
      <c r="AD982" s="758"/>
      <c r="AE982" s="758"/>
      <c r="AF982" s="759"/>
      <c r="AG982" s="763">
        <f t="shared" si="133"/>
        <v>0</v>
      </c>
      <c r="AK982" s="192" t="s">
        <v>1115</v>
      </c>
      <c r="AL982" s="189">
        <f>C1000</f>
        <v>11</v>
      </c>
      <c r="AM982" s="774">
        <v>45</v>
      </c>
      <c r="AN982" s="510">
        <f>AM982*AL982</f>
        <v>495</v>
      </c>
    </row>
    <row r="983" spans="2:42">
      <c r="B983" s="758" t="s">
        <v>1113</v>
      </c>
      <c r="C983" s="758"/>
      <c r="D983" s="758"/>
      <c r="E983" s="759">
        <v>0</v>
      </c>
      <c r="F983" s="761"/>
      <c r="G983" s="762"/>
      <c r="H983" s="758"/>
      <c r="I983" s="758"/>
      <c r="J983" s="759">
        <v>0</v>
      </c>
      <c r="K983" s="761"/>
      <c r="L983" s="762"/>
      <c r="M983" s="758"/>
      <c r="N983" s="758"/>
      <c r="O983" s="759">
        <v>0</v>
      </c>
      <c r="P983" s="761"/>
      <c r="Q983" s="762"/>
      <c r="R983" s="758"/>
      <c r="S983" s="758"/>
      <c r="T983" s="759">
        <v>0</v>
      </c>
      <c r="U983" s="761"/>
      <c r="V983" s="762"/>
      <c r="W983" s="758"/>
      <c r="X983" s="758"/>
      <c r="Y983" s="759">
        <v>0</v>
      </c>
      <c r="Z983" s="761"/>
      <c r="AA983" s="763">
        <f t="shared" si="131"/>
        <v>0</v>
      </c>
      <c r="AB983" s="764">
        <f t="shared" si="132"/>
        <v>0</v>
      </c>
      <c r="AC983" s="762"/>
      <c r="AD983" s="758"/>
      <c r="AE983" s="758"/>
      <c r="AF983" s="759"/>
      <c r="AG983" s="763">
        <f t="shared" si="133"/>
        <v>0</v>
      </c>
    </row>
    <row r="984" spans="2:42">
      <c r="B984" s="815" t="s">
        <v>483</v>
      </c>
      <c r="C984" s="758"/>
      <c r="D984" s="758"/>
      <c r="E984" s="759">
        <v>0</v>
      </c>
      <c r="F984" s="761"/>
      <c r="G984" s="762"/>
      <c r="H984" s="758"/>
      <c r="I984" s="758"/>
      <c r="J984" s="759">
        <v>0</v>
      </c>
      <c r="K984" s="761"/>
      <c r="L984" s="762"/>
      <c r="M984" s="758"/>
      <c r="N984" s="758"/>
      <c r="O984" s="759">
        <v>0</v>
      </c>
      <c r="P984" s="761"/>
      <c r="Q984" s="762"/>
      <c r="R984" s="758"/>
      <c r="S984" s="758"/>
      <c r="T984" s="759">
        <v>0</v>
      </c>
      <c r="U984" s="761"/>
      <c r="V984" s="762"/>
      <c r="W984" s="758"/>
      <c r="X984" s="758"/>
      <c r="Y984" s="759">
        <v>0</v>
      </c>
      <c r="Z984" s="761"/>
      <c r="AA984" s="763">
        <f t="shared" si="131"/>
        <v>0</v>
      </c>
      <c r="AB984" s="764">
        <f t="shared" si="132"/>
        <v>0</v>
      </c>
      <c r="AC984" s="762"/>
      <c r="AD984" s="758"/>
      <c r="AE984" s="758"/>
      <c r="AF984" s="759"/>
      <c r="AG984" s="763">
        <f t="shared" si="133"/>
        <v>0</v>
      </c>
    </row>
    <row r="985" spans="2:42">
      <c r="B985" s="815" t="s">
        <v>483</v>
      </c>
      <c r="C985" s="758"/>
      <c r="D985" s="758"/>
      <c r="E985" s="759">
        <v>4</v>
      </c>
      <c r="F985" s="761"/>
      <c r="G985" s="762"/>
      <c r="H985" s="758"/>
      <c r="I985" s="758"/>
      <c r="J985" s="759">
        <v>4</v>
      </c>
      <c r="K985" s="761"/>
      <c r="L985" s="762"/>
      <c r="M985" s="758"/>
      <c r="N985" s="758"/>
      <c r="O985" s="759">
        <v>0</v>
      </c>
      <c r="P985" s="761"/>
      <c r="Q985" s="762"/>
      <c r="R985" s="758"/>
      <c r="S985" s="758"/>
      <c r="T985" s="759">
        <v>0</v>
      </c>
      <c r="U985" s="761"/>
      <c r="V985" s="762"/>
      <c r="W985" s="758"/>
      <c r="X985" s="758"/>
      <c r="Y985" s="759">
        <v>0</v>
      </c>
      <c r="Z985" s="761"/>
      <c r="AA985" s="763">
        <f t="shared" si="131"/>
        <v>8</v>
      </c>
      <c r="AB985" s="764">
        <f t="shared" si="132"/>
        <v>0</v>
      </c>
      <c r="AC985" s="762"/>
      <c r="AD985" s="758"/>
      <c r="AE985" s="758"/>
      <c r="AF985" s="759"/>
      <c r="AG985" s="763">
        <f t="shared" si="133"/>
        <v>0</v>
      </c>
    </row>
    <row r="986" spans="2:42">
      <c r="B986" s="815" t="s">
        <v>484</v>
      </c>
      <c r="C986" s="758"/>
      <c r="D986" s="758"/>
      <c r="E986" s="759">
        <v>4</v>
      </c>
      <c r="F986" s="761"/>
      <c r="G986" s="762"/>
      <c r="H986" s="758"/>
      <c r="I986" s="758"/>
      <c r="J986" s="759">
        <v>4</v>
      </c>
      <c r="K986" s="761"/>
      <c r="L986" s="762"/>
      <c r="M986" s="758"/>
      <c r="N986" s="758"/>
      <c r="O986" s="759">
        <v>0</v>
      </c>
      <c r="P986" s="761"/>
      <c r="Q986" s="762"/>
      <c r="R986" s="758"/>
      <c r="S986" s="758"/>
      <c r="T986" s="759">
        <v>0</v>
      </c>
      <c r="U986" s="761"/>
      <c r="V986" s="762"/>
      <c r="W986" s="758"/>
      <c r="X986" s="758"/>
      <c r="Y986" s="759">
        <v>0</v>
      </c>
      <c r="Z986" s="761"/>
      <c r="AA986" s="763">
        <f t="shared" si="131"/>
        <v>8</v>
      </c>
      <c r="AB986" s="764">
        <f t="shared" si="132"/>
        <v>0</v>
      </c>
      <c r="AC986" s="762"/>
      <c r="AD986" s="758"/>
      <c r="AE986" s="758"/>
      <c r="AF986" s="759"/>
      <c r="AG986" s="763">
        <f t="shared" si="133"/>
        <v>0</v>
      </c>
    </row>
    <row r="987" spans="2:42">
      <c r="B987" s="815" t="s">
        <v>485</v>
      </c>
      <c r="C987" s="758"/>
      <c r="D987" s="758"/>
      <c r="E987" s="759">
        <v>0</v>
      </c>
      <c r="F987" s="761"/>
      <c r="G987" s="762"/>
      <c r="H987" s="758"/>
      <c r="I987" s="758"/>
      <c r="J987" s="759">
        <v>0</v>
      </c>
      <c r="K987" s="761"/>
      <c r="L987" s="762"/>
      <c r="M987" s="758"/>
      <c r="N987" s="758"/>
      <c r="O987" s="759">
        <v>0</v>
      </c>
      <c r="P987" s="761"/>
      <c r="Q987" s="762"/>
      <c r="R987" s="758"/>
      <c r="S987" s="758"/>
      <c r="T987" s="759">
        <v>0</v>
      </c>
      <c r="U987" s="761"/>
      <c r="V987" s="762"/>
      <c r="W987" s="758"/>
      <c r="X987" s="758"/>
      <c r="Y987" s="759">
        <v>0</v>
      </c>
      <c r="Z987" s="761"/>
      <c r="AA987" s="763">
        <f t="shared" si="131"/>
        <v>0</v>
      </c>
      <c r="AB987" s="764">
        <f t="shared" si="132"/>
        <v>0</v>
      </c>
      <c r="AC987" s="762"/>
      <c r="AD987" s="758"/>
      <c r="AE987" s="758"/>
      <c r="AF987" s="759"/>
      <c r="AG987" s="763">
        <f t="shared" si="133"/>
        <v>0</v>
      </c>
    </row>
    <row r="988" spans="2:42">
      <c r="B988" s="815" t="s">
        <v>1129</v>
      </c>
      <c r="C988" s="758"/>
      <c r="D988" s="758"/>
      <c r="E988" s="759">
        <v>0</v>
      </c>
      <c r="F988" s="761"/>
      <c r="G988" s="762"/>
      <c r="H988" s="758"/>
      <c r="I988" s="758"/>
      <c r="J988" s="759">
        <v>0</v>
      </c>
      <c r="K988" s="761"/>
      <c r="L988" s="762"/>
      <c r="M988" s="758"/>
      <c r="N988" s="758"/>
      <c r="O988" s="759">
        <v>0</v>
      </c>
      <c r="P988" s="761"/>
      <c r="Q988" s="762"/>
      <c r="R988" s="758"/>
      <c r="S988" s="758"/>
      <c r="T988" s="759">
        <v>0</v>
      </c>
      <c r="U988" s="761"/>
      <c r="V988" s="762"/>
      <c r="W988" s="758"/>
      <c r="X988" s="758"/>
      <c r="Y988" s="759">
        <v>0</v>
      </c>
      <c r="Z988" s="761"/>
      <c r="AA988" s="763">
        <f t="shared" si="131"/>
        <v>0</v>
      </c>
      <c r="AB988" s="764">
        <f t="shared" si="132"/>
        <v>0</v>
      </c>
      <c r="AC988" s="762"/>
      <c r="AD988" s="758"/>
      <c r="AE988" s="758"/>
      <c r="AF988" s="759"/>
      <c r="AG988" s="763">
        <f t="shared" si="133"/>
        <v>0</v>
      </c>
    </row>
    <row r="989" spans="2:42">
      <c r="B989" s="816" t="s">
        <v>358</v>
      </c>
      <c r="C989" s="758"/>
      <c r="D989" s="758"/>
      <c r="E989" s="759">
        <v>0</v>
      </c>
      <c r="F989" s="761"/>
      <c r="G989" s="762"/>
      <c r="H989" s="758"/>
      <c r="I989" s="758"/>
      <c r="J989" s="759">
        <v>0</v>
      </c>
      <c r="K989" s="761"/>
      <c r="L989" s="765"/>
      <c r="M989" s="758"/>
      <c r="N989" s="758"/>
      <c r="O989" s="759">
        <v>0</v>
      </c>
      <c r="P989" s="761"/>
      <c r="Q989" s="765"/>
      <c r="R989" s="758"/>
      <c r="S989" s="758"/>
      <c r="T989" s="759">
        <v>0</v>
      </c>
      <c r="U989" s="761"/>
      <c r="V989" s="765"/>
      <c r="W989" s="758"/>
      <c r="X989" s="758"/>
      <c r="Y989" s="759">
        <v>0</v>
      </c>
      <c r="Z989" s="761"/>
      <c r="AA989" s="763">
        <f t="shared" si="131"/>
        <v>0</v>
      </c>
      <c r="AB989" s="764">
        <f t="shared" si="132"/>
        <v>0</v>
      </c>
      <c r="AC989" s="762"/>
      <c r="AD989" s="758"/>
      <c r="AE989" s="758"/>
      <c r="AF989" s="759"/>
      <c r="AG989" s="763">
        <f t="shared" si="133"/>
        <v>0</v>
      </c>
    </row>
    <row r="990" spans="2:42">
      <c r="B990" s="816" t="s">
        <v>1135</v>
      </c>
      <c r="C990" s="758"/>
      <c r="D990" s="758"/>
      <c r="E990" s="759">
        <v>0</v>
      </c>
      <c r="F990" s="761"/>
      <c r="G990" s="762"/>
      <c r="H990" s="758"/>
      <c r="I990" s="758"/>
      <c r="J990" s="759">
        <v>0</v>
      </c>
      <c r="K990" s="761"/>
      <c r="L990" s="765"/>
      <c r="M990" s="758"/>
      <c r="N990" s="758"/>
      <c r="O990" s="759">
        <v>0</v>
      </c>
      <c r="P990" s="761"/>
      <c r="Q990" s="765"/>
      <c r="R990" s="758"/>
      <c r="S990" s="758"/>
      <c r="T990" s="759">
        <v>0</v>
      </c>
      <c r="U990" s="761"/>
      <c r="V990" s="765"/>
      <c r="W990" s="758"/>
      <c r="X990" s="758"/>
      <c r="Y990" s="759">
        <v>0</v>
      </c>
      <c r="Z990" s="761"/>
      <c r="AA990" s="763">
        <f t="shared" si="131"/>
        <v>0</v>
      </c>
      <c r="AB990" s="764">
        <f t="shared" si="132"/>
        <v>0</v>
      </c>
      <c r="AC990" s="762"/>
      <c r="AD990" s="758"/>
      <c r="AE990" s="758"/>
      <c r="AF990" s="759"/>
      <c r="AG990" s="763">
        <f t="shared" si="133"/>
        <v>0</v>
      </c>
    </row>
    <row r="991" spans="2:42">
      <c r="B991" s="816" t="s">
        <v>411</v>
      </c>
      <c r="C991" s="758"/>
      <c r="D991" s="758"/>
      <c r="E991" s="759">
        <v>0</v>
      </c>
      <c r="F991" s="761"/>
      <c r="G991" s="762"/>
      <c r="H991" s="758"/>
      <c r="I991" s="758"/>
      <c r="J991" s="759">
        <v>0</v>
      </c>
      <c r="K991" s="761"/>
      <c r="L991" s="765"/>
      <c r="M991" s="758"/>
      <c r="N991" s="758"/>
      <c r="O991" s="759">
        <v>0</v>
      </c>
      <c r="P991" s="761"/>
      <c r="Q991" s="765"/>
      <c r="R991" s="758"/>
      <c r="S991" s="758"/>
      <c r="T991" s="759">
        <v>0</v>
      </c>
      <c r="U991" s="761"/>
      <c r="V991" s="765"/>
      <c r="W991" s="758"/>
      <c r="X991" s="758"/>
      <c r="Y991" s="759">
        <v>0</v>
      </c>
      <c r="Z991" s="761"/>
      <c r="AA991" s="763">
        <f t="shared" si="131"/>
        <v>0</v>
      </c>
      <c r="AB991" s="764">
        <f t="shared" si="132"/>
        <v>0</v>
      </c>
      <c r="AC991" s="762"/>
      <c r="AD991" s="758"/>
      <c r="AE991" s="758"/>
      <c r="AF991" s="759"/>
      <c r="AG991" s="763">
        <f t="shared" si="133"/>
        <v>0</v>
      </c>
    </row>
    <row r="992" spans="2:42">
      <c r="B992" s="816" t="s">
        <v>361</v>
      </c>
      <c r="C992" s="758"/>
      <c r="D992" s="758"/>
      <c r="E992" s="759">
        <v>0</v>
      </c>
      <c r="F992" s="761"/>
      <c r="G992" s="762"/>
      <c r="H992" s="758"/>
      <c r="I992" s="758"/>
      <c r="J992" s="759">
        <v>0</v>
      </c>
      <c r="K992" s="761"/>
      <c r="L992" s="765"/>
      <c r="M992" s="758"/>
      <c r="N992" s="758"/>
      <c r="O992" s="759">
        <v>0</v>
      </c>
      <c r="P992" s="761"/>
      <c r="Q992" s="765"/>
      <c r="R992" s="758"/>
      <c r="S992" s="758"/>
      <c r="T992" s="759">
        <v>0</v>
      </c>
      <c r="U992" s="761"/>
      <c r="V992" s="765"/>
      <c r="W992" s="758"/>
      <c r="X992" s="758"/>
      <c r="Y992" s="759">
        <v>0</v>
      </c>
      <c r="Z992" s="761"/>
      <c r="AA992" s="763">
        <f t="shared" si="131"/>
        <v>0</v>
      </c>
      <c r="AB992" s="764">
        <f t="shared" si="132"/>
        <v>0</v>
      </c>
      <c r="AC992" s="762"/>
      <c r="AD992" s="758"/>
      <c r="AE992" s="758"/>
      <c r="AF992" s="759"/>
      <c r="AG992" s="763">
        <f t="shared" si="133"/>
        <v>0</v>
      </c>
    </row>
    <row r="993" spans="2:42">
      <c r="B993" s="816" t="s">
        <v>362</v>
      </c>
      <c r="C993" s="758"/>
      <c r="D993" s="766"/>
      <c r="E993" s="759">
        <v>0</v>
      </c>
      <c r="F993" s="761"/>
      <c r="G993" s="762"/>
      <c r="H993" s="758"/>
      <c r="I993" s="766"/>
      <c r="J993" s="759">
        <v>0</v>
      </c>
      <c r="K993" s="761"/>
      <c r="L993" s="765"/>
      <c r="M993" s="758"/>
      <c r="N993" s="766"/>
      <c r="O993" s="759">
        <v>0</v>
      </c>
      <c r="P993" s="761"/>
      <c r="Q993" s="765"/>
      <c r="R993" s="758"/>
      <c r="S993" s="766"/>
      <c r="T993" s="759">
        <v>0</v>
      </c>
      <c r="U993" s="761"/>
      <c r="V993" s="765"/>
      <c r="W993" s="758"/>
      <c r="X993" s="766"/>
      <c r="Y993" s="759">
        <v>0</v>
      </c>
      <c r="Z993" s="761"/>
      <c r="AA993" s="763">
        <f t="shared" si="131"/>
        <v>0</v>
      </c>
      <c r="AB993" s="764">
        <f t="shared" si="132"/>
        <v>0</v>
      </c>
      <c r="AC993" s="762"/>
      <c r="AD993" s="758"/>
      <c r="AE993" s="758"/>
      <c r="AF993" s="759"/>
      <c r="AG993" s="763">
        <f t="shared" si="133"/>
        <v>0</v>
      </c>
    </row>
    <row r="994" spans="2:42">
      <c r="B994" s="817" t="s">
        <v>355</v>
      </c>
      <c r="C994" s="758"/>
      <c r="D994" s="758"/>
      <c r="E994" s="759">
        <v>7.75</v>
      </c>
      <c r="F994" s="761"/>
      <c r="G994" s="762"/>
      <c r="H994" s="758"/>
      <c r="I994" s="758"/>
      <c r="J994" s="759">
        <v>7.75</v>
      </c>
      <c r="K994" s="761"/>
      <c r="L994" s="765"/>
      <c r="M994" s="758"/>
      <c r="N994" s="758"/>
      <c r="O994" s="759">
        <v>0</v>
      </c>
      <c r="P994" s="761"/>
      <c r="Q994" s="765"/>
      <c r="R994" s="758"/>
      <c r="S994" s="758"/>
      <c r="T994" s="759">
        <v>0</v>
      </c>
      <c r="U994" s="761"/>
      <c r="V994" s="765"/>
      <c r="W994" s="758"/>
      <c r="X994" s="758"/>
      <c r="Y994" s="759">
        <v>0</v>
      </c>
      <c r="Z994" s="761"/>
      <c r="AA994" s="763">
        <f t="shared" si="131"/>
        <v>15.5</v>
      </c>
      <c r="AB994" s="764">
        <f t="shared" si="132"/>
        <v>0</v>
      </c>
      <c r="AC994" s="762"/>
      <c r="AD994" s="758"/>
      <c r="AE994" s="758"/>
      <c r="AF994" s="759"/>
      <c r="AG994" s="763">
        <f t="shared" si="133"/>
        <v>0</v>
      </c>
    </row>
    <row r="995" spans="2:42">
      <c r="B995" s="817" t="s">
        <v>356</v>
      </c>
      <c r="C995" s="818"/>
      <c r="D995" s="818"/>
      <c r="E995" s="759">
        <v>0</v>
      </c>
      <c r="F995" s="761"/>
      <c r="G995" s="765"/>
      <c r="H995" s="766"/>
      <c r="I995" s="766"/>
      <c r="J995" s="759">
        <v>0</v>
      </c>
      <c r="K995" s="761"/>
      <c r="L995" s="765"/>
      <c r="M995" s="766"/>
      <c r="N995" s="766"/>
      <c r="O995" s="759">
        <v>0</v>
      </c>
      <c r="P995" s="761"/>
      <c r="Q995" s="765"/>
      <c r="R995" s="766"/>
      <c r="S995" s="766"/>
      <c r="T995" s="759">
        <v>0</v>
      </c>
      <c r="U995" s="761"/>
      <c r="V995" s="765"/>
      <c r="W995" s="766"/>
      <c r="X995" s="766"/>
      <c r="Y995" s="759">
        <v>0</v>
      </c>
      <c r="Z995" s="761"/>
      <c r="AA995" s="763">
        <f t="shared" si="131"/>
        <v>0</v>
      </c>
      <c r="AB995" s="764">
        <f t="shared" si="132"/>
        <v>0</v>
      </c>
      <c r="AC995" s="762"/>
      <c r="AD995" s="758"/>
      <c r="AE995" s="758"/>
      <c r="AF995" s="759"/>
      <c r="AG995" s="763">
        <f t="shared" si="133"/>
        <v>0</v>
      </c>
    </row>
    <row r="996" spans="2:42">
      <c r="B996" s="767" t="s">
        <v>61</v>
      </c>
      <c r="C996" s="767"/>
      <c r="D996" s="767"/>
      <c r="E996" s="760">
        <f>SUM(E975:E995)</f>
        <v>39.75</v>
      </c>
      <c r="F996" s="761"/>
      <c r="G996" s="767"/>
      <c r="H996" s="767"/>
      <c r="I996" s="767"/>
      <c r="J996" s="760">
        <f>SUM(J975:J995)</f>
        <v>39.75</v>
      </c>
      <c r="K996" s="761"/>
      <c r="L996" s="767"/>
      <c r="M996" s="767"/>
      <c r="N996" s="767"/>
      <c r="O996" s="760">
        <f>SUM(O975:O995)</f>
        <v>16</v>
      </c>
      <c r="P996" s="761"/>
      <c r="Q996" s="767"/>
      <c r="R996" s="767"/>
      <c r="S996" s="767"/>
      <c r="T996" s="760">
        <f>SUM(T975:T995)</f>
        <v>16</v>
      </c>
      <c r="U996" s="761"/>
      <c r="V996" s="767"/>
      <c r="W996" s="767"/>
      <c r="X996" s="767"/>
      <c r="Y996" s="760">
        <f>SUM(Y975:Y995)</f>
        <v>8</v>
      </c>
      <c r="Z996" s="761"/>
      <c r="AA996" s="763">
        <f>SUM(AA975:AA995)</f>
        <v>119.5</v>
      </c>
      <c r="AB996" s="763">
        <f>SUM(AB975:AB995)</f>
        <v>0</v>
      </c>
      <c r="AC996" s="762"/>
      <c r="AD996" s="767"/>
      <c r="AE996" s="767"/>
      <c r="AF996" s="763">
        <f>SUM(AF975:AF995)</f>
        <v>0</v>
      </c>
      <c r="AG996" s="763">
        <f>SUM(AG975:AG995)</f>
        <v>0</v>
      </c>
    </row>
    <row r="997" spans="2:42">
      <c r="B997" s="816" t="s">
        <v>1116</v>
      </c>
      <c r="C997" s="758"/>
      <c r="D997" s="758"/>
      <c r="E997" s="759">
        <v>8</v>
      </c>
      <c r="F997" s="761"/>
      <c r="G997" s="762"/>
      <c r="H997" s="758"/>
      <c r="I997" s="758"/>
      <c r="J997" s="759">
        <v>8</v>
      </c>
      <c r="K997" s="761"/>
      <c r="L997" s="762"/>
      <c r="M997" s="758"/>
      <c r="N997" s="758"/>
      <c r="O997" s="759">
        <v>8</v>
      </c>
      <c r="P997" s="761"/>
      <c r="Q997" s="762"/>
      <c r="R997" s="758"/>
      <c r="S997" s="758"/>
      <c r="T997" s="759">
        <v>8</v>
      </c>
      <c r="U997" s="761"/>
      <c r="V997" s="762"/>
      <c r="W997" s="758"/>
      <c r="X997" s="758"/>
      <c r="Y997" s="759">
        <v>8</v>
      </c>
      <c r="Z997" s="761"/>
      <c r="AA997" s="763">
        <f>(E997+J997+O997+T997+Y997)</f>
        <v>40</v>
      </c>
      <c r="AB997" s="764">
        <f>Z997+U997+P997+K997+F997</f>
        <v>0</v>
      </c>
      <c r="AC997" s="762"/>
      <c r="AD997" s="758"/>
      <c r="AE997" s="758"/>
      <c r="AF997" s="759"/>
      <c r="AG997" s="763">
        <f>AF997</f>
        <v>0</v>
      </c>
    </row>
    <row r="998" spans="2:42">
      <c r="B998" s="816" t="s">
        <v>64</v>
      </c>
      <c r="C998" s="758"/>
      <c r="D998" s="758"/>
      <c r="E998" s="759">
        <v>0</v>
      </c>
      <c r="F998" s="759"/>
      <c r="G998" s="819"/>
      <c r="H998" s="758"/>
      <c r="I998" s="758"/>
      <c r="J998" s="759">
        <v>0</v>
      </c>
      <c r="K998" s="759"/>
      <c r="L998" s="765"/>
      <c r="M998" s="758"/>
      <c r="N998" s="758"/>
      <c r="O998" s="759">
        <v>0</v>
      </c>
      <c r="P998" s="759"/>
      <c r="Q998" s="765"/>
      <c r="R998" s="758"/>
      <c r="S998" s="758"/>
      <c r="T998" s="759">
        <v>0</v>
      </c>
      <c r="U998" s="759"/>
      <c r="V998" s="765"/>
      <c r="W998" s="758"/>
      <c r="X998" s="758"/>
      <c r="Y998" s="759">
        <v>0</v>
      </c>
      <c r="Z998" s="759"/>
      <c r="AA998" s="763">
        <f>SUM(E998+J998+O998+T998+Y998)</f>
        <v>0</v>
      </c>
      <c r="AB998" s="768">
        <f>Z998+U998+P998+K998+F998</f>
        <v>0</v>
      </c>
      <c r="AC998" s="762"/>
      <c r="AD998" s="758" t="s">
        <v>29</v>
      </c>
      <c r="AE998" s="758" t="s">
        <v>29</v>
      </c>
      <c r="AF998" s="759"/>
      <c r="AG998" s="763">
        <f>AF998</f>
        <v>0</v>
      </c>
    </row>
    <row r="999" spans="2:42">
      <c r="B999" s="819" t="s">
        <v>66</v>
      </c>
      <c r="C999" s="820"/>
      <c r="D999" s="820"/>
      <c r="E999" s="819"/>
      <c r="F999" s="819"/>
      <c r="G999" s="819"/>
      <c r="H999" s="819"/>
      <c r="I999" s="819"/>
      <c r="J999" s="819"/>
      <c r="K999" s="819"/>
      <c r="L999" s="819"/>
      <c r="M999" s="819"/>
      <c r="N999" s="819"/>
      <c r="O999" s="819"/>
      <c r="P999" s="819"/>
      <c r="Q999" s="819"/>
      <c r="R999" s="819"/>
      <c r="S999" s="819"/>
      <c r="T999" s="819"/>
      <c r="U999" s="819"/>
      <c r="V999" s="819"/>
      <c r="W999" s="819"/>
      <c r="X999" s="819"/>
      <c r="Y999" s="819"/>
      <c r="Z999" s="819"/>
      <c r="AA999" s="763">
        <f>SUM(AA997:AA998)</f>
        <v>40</v>
      </c>
      <c r="AB999" s="763">
        <f>SUM(AB998:AB998)</f>
        <v>0</v>
      </c>
      <c r="AC999" s="762"/>
      <c r="AD999" s="811"/>
      <c r="AE999" s="811"/>
      <c r="AF999" s="811"/>
      <c r="AG999" s="763">
        <f>SUM(AG998:AG998)</f>
        <v>0</v>
      </c>
      <c r="AK999" s="407"/>
    </row>
    <row r="1000" spans="2:42">
      <c r="B1000" s="821" t="s">
        <v>67</v>
      </c>
      <c r="C1000" s="822">
        <f>C1001+C1002</f>
        <v>11</v>
      </c>
      <c r="D1000" s="822"/>
      <c r="E1000" s="823"/>
      <c r="F1000" s="823"/>
      <c r="G1000" s="822"/>
      <c r="H1000" s="823"/>
      <c r="I1000" s="823"/>
      <c r="J1000" s="823"/>
      <c r="K1000" s="823"/>
      <c r="L1000" s="822"/>
      <c r="M1000" s="822"/>
      <c r="N1000" s="822"/>
      <c r="O1000" s="822"/>
      <c r="P1000" s="823"/>
      <c r="Q1000" s="822"/>
      <c r="R1000" s="822"/>
      <c r="S1000" s="822"/>
      <c r="T1000" s="822"/>
      <c r="U1000" s="823"/>
      <c r="V1000" s="822"/>
      <c r="W1000" s="822"/>
      <c r="X1000" s="822"/>
      <c r="Y1000" s="824"/>
      <c r="Z1000" s="823"/>
      <c r="AA1000" s="825"/>
      <c r="AB1000" s="823"/>
      <c r="AC1000" s="825"/>
      <c r="AD1000" s="825"/>
      <c r="AE1000" s="825"/>
      <c r="AF1000" s="825"/>
      <c r="AG1000" s="825"/>
      <c r="AK1000" s="407"/>
    </row>
    <row r="1001" spans="2:42">
      <c r="B1001" s="826" t="s">
        <v>68</v>
      </c>
      <c r="C1001" s="822">
        <v>0</v>
      </c>
      <c r="D1001" s="822"/>
      <c r="E1001" s="823"/>
      <c r="F1001" s="823"/>
      <c r="G1001" s="822"/>
      <c r="H1001" s="823"/>
      <c r="I1001" s="823"/>
      <c r="J1001" s="823"/>
      <c r="K1001" s="823"/>
      <c r="L1001" s="822"/>
      <c r="M1001" s="822"/>
      <c r="N1001" s="822"/>
      <c r="O1001" s="822"/>
      <c r="P1001" s="823"/>
      <c r="Q1001" s="822"/>
      <c r="R1001" s="822"/>
      <c r="S1001" s="822"/>
      <c r="T1001" s="822"/>
      <c r="U1001" s="823"/>
      <c r="V1001" s="822"/>
      <c r="W1001" s="822"/>
      <c r="X1001" s="822"/>
      <c r="Y1001" s="824"/>
      <c r="Z1001" s="823"/>
      <c r="AA1001" s="825"/>
      <c r="AB1001" s="823"/>
      <c r="AC1001" s="825"/>
      <c r="AD1001" s="825"/>
      <c r="AE1001" s="825"/>
      <c r="AF1001" s="825"/>
      <c r="AG1001" s="825"/>
      <c r="AK1001" s="407"/>
    </row>
    <row r="1002" spans="2:42">
      <c r="B1002" s="826" t="s">
        <v>69</v>
      </c>
      <c r="C1002" s="822">
        <v>11</v>
      </c>
      <c r="D1002" s="822"/>
      <c r="E1002" s="823"/>
      <c r="F1002" s="823"/>
      <c r="G1002" s="822"/>
      <c r="H1002" s="823"/>
      <c r="I1002" s="823"/>
      <c r="J1002" s="823"/>
      <c r="K1002" s="823"/>
      <c r="L1002" s="822"/>
      <c r="M1002" s="822"/>
      <c r="N1002" s="822"/>
      <c r="O1002" s="822"/>
      <c r="P1002" s="823"/>
      <c r="Q1002" s="822"/>
      <c r="R1002" s="822"/>
      <c r="S1002" s="822"/>
      <c r="T1002" s="822"/>
      <c r="U1002" s="823"/>
      <c r="V1002" s="822"/>
      <c r="W1002" s="822"/>
      <c r="X1002" s="822"/>
      <c r="Y1002" s="824"/>
      <c r="Z1002" s="823"/>
      <c r="AA1002" s="825"/>
      <c r="AB1002" s="823"/>
      <c r="AC1002" s="825"/>
      <c r="AD1002" s="825"/>
      <c r="AE1002" s="825"/>
      <c r="AF1002" s="825"/>
      <c r="AG1002" s="825"/>
    </row>
    <row r="1003" spans="2:42">
      <c r="B1003" s="827"/>
      <c r="C1003" s="811"/>
      <c r="D1003" s="811"/>
      <c r="E1003" s="813"/>
      <c r="F1003" s="813"/>
      <c r="G1003" s="813"/>
      <c r="H1003" s="811"/>
      <c r="I1003" s="811"/>
      <c r="J1003" s="813"/>
      <c r="K1003" s="813"/>
      <c r="L1003" s="813"/>
      <c r="M1003" s="811"/>
      <c r="N1003" s="811"/>
      <c r="O1003" s="813"/>
      <c r="P1003" s="813"/>
      <c r="Q1003" s="762"/>
      <c r="R1003" s="811"/>
      <c r="S1003" s="811"/>
      <c r="T1003" s="813"/>
      <c r="U1003" s="813"/>
      <c r="V1003" s="762"/>
      <c r="W1003" s="811"/>
      <c r="X1003" s="811"/>
      <c r="Y1003" s="813"/>
      <c r="Z1003" s="813"/>
      <c r="AA1003" s="813"/>
      <c r="AB1003" s="813"/>
      <c r="AC1003" s="813"/>
      <c r="AD1003" s="811"/>
      <c r="AE1003" s="811"/>
      <c r="AF1003" s="811"/>
      <c r="AG1003" s="811"/>
    </row>
    <row r="1004" spans="2:42">
      <c r="B1004" s="827"/>
      <c r="C1004" s="811"/>
      <c r="D1004" s="811"/>
      <c r="E1004" s="813"/>
      <c r="F1004" s="813"/>
      <c r="G1004" s="813"/>
      <c r="H1004" s="811"/>
      <c r="I1004" s="811"/>
      <c r="J1004" s="813"/>
      <c r="K1004" s="813"/>
      <c r="L1004" s="813"/>
      <c r="M1004" s="811"/>
      <c r="N1004" s="811"/>
      <c r="O1004" s="813"/>
      <c r="P1004" s="813"/>
      <c r="Q1004" s="762"/>
      <c r="R1004" s="811"/>
      <c r="S1004" s="811"/>
      <c r="T1004" s="813"/>
      <c r="U1004" s="813"/>
      <c r="V1004" s="762"/>
      <c r="W1004" s="811"/>
      <c r="X1004" s="811"/>
      <c r="Y1004" s="813"/>
      <c r="Z1004" s="813"/>
      <c r="AA1004" s="813"/>
      <c r="AB1004" s="813"/>
      <c r="AC1004" s="813"/>
      <c r="AD1004" s="811"/>
      <c r="AE1004" s="811"/>
      <c r="AF1004" s="811"/>
      <c r="AG1004" s="811"/>
    </row>
    <row r="1005" spans="2:42" ht="25.5">
      <c r="B1005" s="1576" t="s">
        <v>18</v>
      </c>
      <c r="C1005" s="1577">
        <v>45915</v>
      </c>
      <c r="D1005" s="1577"/>
      <c r="E1005" s="1577" t="s">
        <v>564</v>
      </c>
      <c r="F1005" s="1577"/>
      <c r="G1005" s="807"/>
      <c r="H1005" s="1577">
        <v>45916</v>
      </c>
      <c r="I1005" s="1577"/>
      <c r="J1005" s="1577" t="s">
        <v>565</v>
      </c>
      <c r="K1005" s="1577"/>
      <c r="L1005" s="807"/>
      <c r="M1005" s="1577">
        <v>45917</v>
      </c>
      <c r="N1005" s="1577"/>
      <c r="O1005" s="1577" t="s">
        <v>566</v>
      </c>
      <c r="P1005" s="1577"/>
      <c r="Q1005" s="807"/>
      <c r="R1005" s="1577">
        <v>45918</v>
      </c>
      <c r="S1005" s="1577"/>
      <c r="T1005" s="1577" t="s">
        <v>567</v>
      </c>
      <c r="U1005" s="1577"/>
      <c r="V1005" s="807"/>
      <c r="W1005" s="1577">
        <v>45919</v>
      </c>
      <c r="X1005" s="1577"/>
      <c r="Y1005" s="1577" t="s">
        <v>568</v>
      </c>
      <c r="Z1005" s="1577"/>
      <c r="AA1005" s="1578" t="s">
        <v>19</v>
      </c>
      <c r="AB1005" s="1578" t="s">
        <v>20</v>
      </c>
      <c r="AC1005" s="762"/>
      <c r="AD1005" s="1577"/>
      <c r="AE1005" s="1577"/>
      <c r="AF1005" s="808" t="s">
        <v>1111</v>
      </c>
      <c r="AG1005" s="1578" t="s">
        <v>21</v>
      </c>
      <c r="AI1005" s="368"/>
      <c r="AK1005" s="194" t="s">
        <v>84</v>
      </c>
      <c r="AL1005" s="366"/>
      <c r="AM1005" s="366"/>
      <c r="AN1005" s="366"/>
      <c r="AO1005" s="366"/>
      <c r="AP1005" s="366"/>
    </row>
    <row r="1006" spans="2:42">
      <c r="B1006" s="1576"/>
      <c r="C1006" s="809" t="s">
        <v>23</v>
      </c>
      <c r="D1006" s="809" t="s">
        <v>24</v>
      </c>
      <c r="E1006" s="768" t="s">
        <v>25</v>
      </c>
      <c r="F1006" s="810" t="s">
        <v>14</v>
      </c>
      <c r="G1006" s="762"/>
      <c r="H1006" s="809"/>
      <c r="I1006" s="809" t="s">
        <v>24</v>
      </c>
      <c r="J1006" s="810" t="s">
        <v>25</v>
      </c>
      <c r="K1006" s="810" t="s">
        <v>14</v>
      </c>
      <c r="L1006" s="762"/>
      <c r="M1006" s="809" t="s">
        <v>23</v>
      </c>
      <c r="N1006" s="809" t="s">
        <v>24</v>
      </c>
      <c r="O1006" s="810" t="s">
        <v>25</v>
      </c>
      <c r="P1006" s="810" t="s">
        <v>14</v>
      </c>
      <c r="Q1006" s="762"/>
      <c r="R1006" s="809" t="s">
        <v>23</v>
      </c>
      <c r="S1006" s="809" t="s">
        <v>24</v>
      </c>
      <c r="T1006" s="810" t="s">
        <v>25</v>
      </c>
      <c r="U1006" s="810" t="s">
        <v>14</v>
      </c>
      <c r="V1006" s="762"/>
      <c r="W1006" s="809" t="s">
        <v>23</v>
      </c>
      <c r="X1006" s="809" t="s">
        <v>24</v>
      </c>
      <c r="Y1006" s="810" t="s">
        <v>25</v>
      </c>
      <c r="Z1006" s="810" t="s">
        <v>14</v>
      </c>
      <c r="AA1006" s="1578"/>
      <c r="AB1006" s="1578"/>
      <c r="AC1006" s="762"/>
      <c r="AD1006" s="809" t="s">
        <v>23</v>
      </c>
      <c r="AE1006" s="809" t="s">
        <v>24</v>
      </c>
      <c r="AF1006" s="810" t="s">
        <v>25</v>
      </c>
      <c r="AG1006" s="1578"/>
      <c r="AI1006" s="368"/>
      <c r="AJ1006" s="367"/>
      <c r="AK1006" s="188" t="s">
        <v>26</v>
      </c>
      <c r="AL1006" s="196">
        <f>AA1028</f>
        <v>71.5</v>
      </c>
      <c r="AM1006" s="510">
        <v>40.31</v>
      </c>
      <c r="AN1006" s="510">
        <f t="shared" ref="AN1006:AN1011" si="134">AL1006*AM1006</f>
        <v>2882.165</v>
      </c>
    </row>
    <row r="1007" spans="2:42">
      <c r="B1007" s="758" t="s">
        <v>515</v>
      </c>
      <c r="C1007" s="758"/>
      <c r="D1007" s="758"/>
      <c r="E1007" s="759">
        <v>0</v>
      </c>
      <c r="F1007" s="761"/>
      <c r="G1007" s="762"/>
      <c r="H1007" s="758"/>
      <c r="I1007" s="758"/>
      <c r="J1007" s="759">
        <v>0</v>
      </c>
      <c r="K1007" s="761"/>
      <c r="L1007" s="762"/>
      <c r="M1007" s="758"/>
      <c r="N1007" s="758"/>
      <c r="O1007" s="759">
        <v>0</v>
      </c>
      <c r="P1007" s="761"/>
      <c r="Q1007" s="762"/>
      <c r="R1007" s="758"/>
      <c r="S1007" s="758"/>
      <c r="T1007" s="759">
        <v>0</v>
      </c>
      <c r="U1007" s="761"/>
      <c r="V1007" s="762"/>
      <c r="W1007" s="758"/>
      <c r="X1007" s="758"/>
      <c r="Y1007" s="759">
        <v>0</v>
      </c>
      <c r="Z1007" s="761"/>
      <c r="AA1007" s="763">
        <f t="shared" ref="AA1007:AA1027" si="135">(E1007+J1007+O1007+T1007+Y1007)</f>
        <v>0</v>
      </c>
      <c r="AB1007" s="764">
        <f t="shared" ref="AB1007:AB1027" si="136">Z1007+U1007+P1007+K1007+F1007</f>
        <v>0</v>
      </c>
      <c r="AC1007" s="762"/>
      <c r="AD1007" s="811"/>
      <c r="AE1007" s="811"/>
      <c r="AF1007" s="759"/>
      <c r="AG1007" s="763">
        <f t="shared" ref="AG1007:AG1027" si="137">AF1007</f>
        <v>0</v>
      </c>
      <c r="AI1007" s="368"/>
      <c r="AJ1007" s="367"/>
      <c r="AK1007" s="188" t="s">
        <v>30</v>
      </c>
      <c r="AL1007" s="196">
        <f>AB1028</f>
        <v>0</v>
      </c>
      <c r="AM1007" s="511">
        <v>60.465000000000003</v>
      </c>
      <c r="AN1007" s="510">
        <f t="shared" si="134"/>
        <v>0</v>
      </c>
    </row>
    <row r="1008" spans="2:42">
      <c r="B1008" s="758" t="s">
        <v>1112</v>
      </c>
      <c r="C1008" s="758"/>
      <c r="D1008" s="758"/>
      <c r="E1008" s="759">
        <v>0</v>
      </c>
      <c r="F1008" s="761"/>
      <c r="G1008" s="762"/>
      <c r="H1008" s="758"/>
      <c r="I1008" s="758"/>
      <c r="J1008" s="759">
        <v>0</v>
      </c>
      <c r="K1008" s="761"/>
      <c r="L1008" s="762"/>
      <c r="M1008" s="758">
        <v>0.45833333333333331</v>
      </c>
      <c r="N1008" s="758">
        <v>0.125</v>
      </c>
      <c r="O1008" s="759">
        <v>4</v>
      </c>
      <c r="P1008" s="761"/>
      <c r="Q1008" s="762"/>
      <c r="R1008" s="758"/>
      <c r="S1008" s="758"/>
      <c r="T1008" s="759">
        <v>0</v>
      </c>
      <c r="U1008" s="761"/>
      <c r="V1008" s="762"/>
      <c r="W1008" s="758"/>
      <c r="X1008" s="758"/>
      <c r="Y1008" s="759">
        <v>0</v>
      </c>
      <c r="Z1008" s="761"/>
      <c r="AA1008" s="763">
        <f t="shared" si="135"/>
        <v>4</v>
      </c>
      <c r="AB1008" s="764">
        <f t="shared" si="136"/>
        <v>0</v>
      </c>
      <c r="AC1008" s="762"/>
      <c r="AD1008" s="758"/>
      <c r="AE1008" s="758"/>
      <c r="AF1008" s="759"/>
      <c r="AG1008" s="763">
        <f t="shared" si="137"/>
        <v>0</v>
      </c>
      <c r="AH1008" s="175"/>
      <c r="AI1008" s="402"/>
      <c r="AJ1008" s="367"/>
      <c r="AK1008" s="188" t="s">
        <v>32</v>
      </c>
      <c r="AL1008" s="196">
        <f>AG1028</f>
        <v>0</v>
      </c>
      <c r="AM1008" s="510">
        <v>60.465000000000003</v>
      </c>
      <c r="AN1008" s="510">
        <f t="shared" si="134"/>
        <v>0</v>
      </c>
    </row>
    <row r="1009" spans="2:42">
      <c r="B1009" s="758" t="s">
        <v>1138</v>
      </c>
      <c r="C1009" s="758"/>
      <c r="D1009" s="758"/>
      <c r="E1009" s="759">
        <v>0</v>
      </c>
      <c r="F1009" s="761"/>
      <c r="G1009" s="762"/>
      <c r="H1009" s="758"/>
      <c r="I1009" s="758"/>
      <c r="J1009" s="759">
        <v>0</v>
      </c>
      <c r="K1009" s="761"/>
      <c r="L1009" s="762"/>
      <c r="M1009" s="758"/>
      <c r="N1009" s="758"/>
      <c r="O1009" s="759">
        <v>0</v>
      </c>
      <c r="P1009" s="761"/>
      <c r="Q1009" s="762"/>
      <c r="R1009" s="758"/>
      <c r="S1009" s="758"/>
      <c r="T1009" s="759">
        <v>0</v>
      </c>
      <c r="U1009" s="761"/>
      <c r="V1009" s="762"/>
      <c r="W1009" s="758"/>
      <c r="X1009" s="758"/>
      <c r="Y1009" s="759">
        <v>0</v>
      </c>
      <c r="Z1009" s="761"/>
      <c r="AA1009" s="763">
        <f t="shared" si="135"/>
        <v>0</v>
      </c>
      <c r="AB1009" s="764">
        <f t="shared" si="136"/>
        <v>0</v>
      </c>
      <c r="AC1009" s="762"/>
      <c r="AD1009" s="758"/>
      <c r="AE1009" s="758"/>
      <c r="AF1009" s="759"/>
      <c r="AG1009" s="763">
        <f t="shared" si="137"/>
        <v>0</v>
      </c>
      <c r="AH1009" s="175"/>
      <c r="AJ1009" s="401"/>
      <c r="AK1009" s="403" t="s">
        <v>213</v>
      </c>
      <c r="AL1009" s="404">
        <f>AA1031</f>
        <v>40</v>
      </c>
      <c r="AM1009" s="510">
        <v>53.05</v>
      </c>
      <c r="AN1009" s="510">
        <f t="shared" si="134"/>
        <v>2122</v>
      </c>
      <c r="AO1009" s="405"/>
      <c r="AP1009" s="405"/>
    </row>
    <row r="1010" spans="2:42">
      <c r="B1010" s="758" t="s">
        <v>637</v>
      </c>
      <c r="C1010" s="758"/>
      <c r="D1010" s="758"/>
      <c r="E1010" s="759">
        <v>0</v>
      </c>
      <c r="F1010" s="761"/>
      <c r="G1010" s="762"/>
      <c r="H1010" s="758"/>
      <c r="I1010" s="758"/>
      <c r="J1010" s="759">
        <v>0</v>
      </c>
      <c r="K1010" s="761"/>
      <c r="L1010" s="762"/>
      <c r="M1010" s="758"/>
      <c r="N1010" s="758"/>
      <c r="O1010" s="759">
        <v>0</v>
      </c>
      <c r="P1010" s="761"/>
      <c r="Q1010" s="762"/>
      <c r="R1010" s="758"/>
      <c r="S1010" s="758"/>
      <c r="T1010" s="759">
        <v>0</v>
      </c>
      <c r="U1010" s="761"/>
      <c r="V1010" s="762"/>
      <c r="W1010" s="758"/>
      <c r="X1010" s="758"/>
      <c r="Y1010" s="759">
        <v>0</v>
      </c>
      <c r="Z1010" s="761"/>
      <c r="AA1010" s="763">
        <f t="shared" si="135"/>
        <v>0</v>
      </c>
      <c r="AB1010" s="764">
        <f t="shared" si="136"/>
        <v>0</v>
      </c>
      <c r="AC1010" s="762"/>
      <c r="AD1010" s="758"/>
      <c r="AE1010" s="758"/>
      <c r="AF1010" s="759"/>
      <c r="AG1010" s="763">
        <f t="shared" si="137"/>
        <v>0</v>
      </c>
      <c r="AI1010" s="368"/>
      <c r="AK1010" s="188" t="s">
        <v>36</v>
      </c>
      <c r="AL1010" s="196">
        <f>AB1031</f>
        <v>0</v>
      </c>
      <c r="AM1010" s="510">
        <v>79.574999999999989</v>
      </c>
      <c r="AN1010" s="510">
        <f t="shared" si="134"/>
        <v>0</v>
      </c>
    </row>
    <row r="1011" spans="2:42">
      <c r="B1011" s="813" t="s">
        <v>998</v>
      </c>
      <c r="C1011" s="758">
        <v>0.39583333333333331</v>
      </c>
      <c r="D1011" s="758">
        <v>0.27083333333333331</v>
      </c>
      <c r="E1011" s="759">
        <v>8</v>
      </c>
      <c r="F1011" s="761"/>
      <c r="G1011" s="762"/>
      <c r="H1011" s="758">
        <v>4.1666666666666664E-2</v>
      </c>
      <c r="I1011" s="758">
        <v>0.25</v>
      </c>
      <c r="J1011" s="759">
        <v>5</v>
      </c>
      <c r="K1011" s="761"/>
      <c r="L1011" s="762"/>
      <c r="M1011" s="758">
        <v>0.4375</v>
      </c>
      <c r="N1011" s="758">
        <v>0.3125</v>
      </c>
      <c r="O1011" s="759">
        <v>8</v>
      </c>
      <c r="P1011" s="761"/>
      <c r="Q1011" s="762"/>
      <c r="R1011" s="758">
        <v>0.45833333333333331</v>
      </c>
      <c r="S1011" s="758">
        <v>0.29166666666666669</v>
      </c>
      <c r="T1011" s="759">
        <v>7</v>
      </c>
      <c r="U1011" s="761"/>
      <c r="V1011" s="762"/>
      <c r="W1011" s="758">
        <v>0.39583333333333331</v>
      </c>
      <c r="X1011" s="758">
        <v>0.27083333333333331</v>
      </c>
      <c r="Y1011" s="759">
        <v>8</v>
      </c>
      <c r="Z1011" s="761"/>
      <c r="AA1011" s="763">
        <f t="shared" si="135"/>
        <v>36</v>
      </c>
      <c r="AB1011" s="764">
        <f t="shared" si="136"/>
        <v>0</v>
      </c>
      <c r="AC1011" s="762"/>
      <c r="AD1011" s="758"/>
      <c r="AE1011" s="758"/>
      <c r="AF1011" s="759"/>
      <c r="AG1011" s="763">
        <f t="shared" si="137"/>
        <v>0</v>
      </c>
      <c r="AH1011" s="345"/>
      <c r="AI1011" s="770"/>
      <c r="AJ1011" s="771"/>
      <c r="AK1011" s="772" t="s">
        <v>38</v>
      </c>
      <c r="AL1011" s="773">
        <f>AG1031</f>
        <v>0</v>
      </c>
      <c r="AM1011" s="774">
        <v>79.574999999999989</v>
      </c>
      <c r="AN1011" s="774">
        <f t="shared" si="134"/>
        <v>0</v>
      </c>
      <c r="AO1011" s="775"/>
      <c r="AP1011" s="775"/>
    </row>
    <row r="1012" spans="2:42">
      <c r="B1012" s="758" t="s">
        <v>977</v>
      </c>
      <c r="C1012" s="758"/>
      <c r="D1012" s="758"/>
      <c r="E1012" s="759">
        <v>0</v>
      </c>
      <c r="F1012" s="761"/>
      <c r="G1012" s="762"/>
      <c r="H1012" s="758"/>
      <c r="I1012" s="758"/>
      <c r="J1012" s="759">
        <v>0</v>
      </c>
      <c r="K1012" s="761"/>
      <c r="L1012" s="762"/>
      <c r="M1012" s="758"/>
      <c r="N1012" s="758"/>
      <c r="O1012" s="759">
        <v>0</v>
      </c>
      <c r="P1012" s="761"/>
      <c r="Q1012" s="762"/>
      <c r="R1012" s="758"/>
      <c r="S1012" s="758"/>
      <c r="T1012" s="759">
        <v>0</v>
      </c>
      <c r="U1012" s="761"/>
      <c r="V1012" s="762"/>
      <c r="W1012" s="758"/>
      <c r="X1012" s="758"/>
      <c r="Y1012" s="759">
        <v>0</v>
      </c>
      <c r="Z1012" s="761"/>
      <c r="AA1012" s="763">
        <f t="shared" si="135"/>
        <v>0</v>
      </c>
      <c r="AB1012" s="764">
        <f t="shared" si="136"/>
        <v>0</v>
      </c>
      <c r="AC1012" s="762"/>
      <c r="AD1012" s="758"/>
      <c r="AE1012" s="758"/>
      <c r="AF1012" s="759"/>
      <c r="AG1012" s="763">
        <f t="shared" si="137"/>
        <v>0</v>
      </c>
      <c r="AN1012" s="510">
        <f>SUM(AN1006:AN1011)</f>
        <v>5004.165</v>
      </c>
    </row>
    <row r="1013" spans="2:42">
      <c r="B1013" s="758" t="s">
        <v>519</v>
      </c>
      <c r="C1013" s="758"/>
      <c r="D1013" s="758"/>
      <c r="E1013" s="759">
        <v>0</v>
      </c>
      <c r="F1013" s="761"/>
      <c r="G1013" s="762"/>
      <c r="H1013" s="758"/>
      <c r="I1013" s="758"/>
      <c r="J1013" s="759">
        <v>0</v>
      </c>
      <c r="K1013" s="761"/>
      <c r="L1013" s="762"/>
      <c r="M1013" s="758"/>
      <c r="N1013" s="758"/>
      <c r="O1013" s="759">
        <v>0</v>
      </c>
      <c r="P1013" s="761"/>
      <c r="Q1013" s="762"/>
      <c r="R1013" s="758"/>
      <c r="S1013" s="758"/>
      <c r="T1013" s="759">
        <v>0</v>
      </c>
      <c r="U1013" s="761"/>
      <c r="V1013" s="762"/>
      <c r="W1013" s="758"/>
      <c r="X1013" s="758"/>
      <c r="Y1013" s="759">
        <v>0</v>
      </c>
      <c r="Z1013" s="761"/>
      <c r="AA1013" s="763">
        <f t="shared" si="135"/>
        <v>0</v>
      </c>
      <c r="AB1013" s="764">
        <f t="shared" si="136"/>
        <v>0</v>
      </c>
      <c r="AC1013" s="762"/>
      <c r="AD1013" s="758"/>
      <c r="AE1013" s="758"/>
      <c r="AF1013" s="759"/>
      <c r="AG1013" s="763">
        <f t="shared" si="137"/>
        <v>0</v>
      </c>
    </row>
    <row r="1014" spans="2:42">
      <c r="B1014" s="758" t="s">
        <v>999</v>
      </c>
      <c r="C1014" s="758"/>
      <c r="D1014" s="814"/>
      <c r="E1014" s="759">
        <v>0</v>
      </c>
      <c r="F1014" s="761"/>
      <c r="G1014" s="762"/>
      <c r="H1014" s="758"/>
      <c r="I1014" s="758"/>
      <c r="J1014" s="759">
        <v>0</v>
      </c>
      <c r="K1014" s="761"/>
      <c r="L1014" s="762"/>
      <c r="M1014" s="758"/>
      <c r="N1014" s="758"/>
      <c r="O1014" s="759">
        <v>0</v>
      </c>
      <c r="P1014" s="761"/>
      <c r="Q1014" s="762"/>
      <c r="R1014" s="758"/>
      <c r="S1014" s="758"/>
      <c r="T1014" s="759">
        <v>0</v>
      </c>
      <c r="U1014" s="761"/>
      <c r="V1014" s="762"/>
      <c r="W1014" s="758"/>
      <c r="X1014" s="758"/>
      <c r="Y1014" s="759">
        <v>0</v>
      </c>
      <c r="Z1014" s="761"/>
      <c r="AA1014" s="763">
        <f t="shared" si="135"/>
        <v>0</v>
      </c>
      <c r="AB1014" s="764">
        <f t="shared" si="136"/>
        <v>0</v>
      </c>
      <c r="AC1014" s="762"/>
      <c r="AD1014" s="758"/>
      <c r="AE1014" s="758"/>
      <c r="AF1014" s="759"/>
      <c r="AG1014" s="763">
        <f t="shared" si="137"/>
        <v>0</v>
      </c>
      <c r="AK1014" s="192" t="s">
        <v>1115</v>
      </c>
      <c r="AL1014" s="189">
        <f>C1032</f>
        <v>7</v>
      </c>
      <c r="AM1014" s="774">
        <v>45</v>
      </c>
      <c r="AN1014" s="510">
        <f>AM1014*AL1014</f>
        <v>315</v>
      </c>
    </row>
    <row r="1015" spans="2:42">
      <c r="B1015" s="758" t="s">
        <v>1113</v>
      </c>
      <c r="C1015" s="758"/>
      <c r="D1015" s="758"/>
      <c r="E1015" s="759">
        <v>0</v>
      </c>
      <c r="F1015" s="761"/>
      <c r="G1015" s="762"/>
      <c r="H1015" s="758"/>
      <c r="I1015" s="758"/>
      <c r="J1015" s="759">
        <v>0</v>
      </c>
      <c r="K1015" s="761"/>
      <c r="L1015" s="762"/>
      <c r="M1015" s="758"/>
      <c r="N1015" s="758"/>
      <c r="O1015" s="759">
        <v>0</v>
      </c>
      <c r="P1015" s="761"/>
      <c r="Q1015" s="762"/>
      <c r="R1015" s="758"/>
      <c r="S1015" s="758"/>
      <c r="T1015" s="759">
        <v>0</v>
      </c>
      <c r="U1015" s="761"/>
      <c r="V1015" s="762"/>
      <c r="W1015" s="758"/>
      <c r="X1015" s="758"/>
      <c r="Y1015" s="759">
        <v>0</v>
      </c>
      <c r="Z1015" s="761"/>
      <c r="AA1015" s="763">
        <f t="shared" si="135"/>
        <v>0</v>
      </c>
      <c r="AB1015" s="764">
        <f t="shared" si="136"/>
        <v>0</v>
      </c>
      <c r="AC1015" s="762"/>
      <c r="AD1015" s="758"/>
      <c r="AE1015" s="758"/>
      <c r="AF1015" s="759"/>
      <c r="AG1015" s="763">
        <f t="shared" si="137"/>
        <v>0</v>
      </c>
    </row>
    <row r="1016" spans="2:42">
      <c r="B1016" s="815" t="s">
        <v>483</v>
      </c>
      <c r="C1016" s="758"/>
      <c r="D1016" s="758"/>
      <c r="E1016" s="759">
        <v>0</v>
      </c>
      <c r="F1016" s="761"/>
      <c r="G1016" s="762"/>
      <c r="H1016" s="758"/>
      <c r="I1016" s="758"/>
      <c r="J1016" s="759">
        <v>0</v>
      </c>
      <c r="K1016" s="761"/>
      <c r="L1016" s="762"/>
      <c r="M1016" s="758"/>
      <c r="N1016" s="758"/>
      <c r="O1016" s="759">
        <v>0</v>
      </c>
      <c r="P1016" s="761"/>
      <c r="Q1016" s="762"/>
      <c r="R1016" s="758"/>
      <c r="S1016" s="758"/>
      <c r="T1016" s="759">
        <v>0</v>
      </c>
      <c r="U1016" s="761"/>
      <c r="V1016" s="762"/>
      <c r="W1016" s="758"/>
      <c r="X1016" s="758"/>
      <c r="Y1016" s="759">
        <v>0</v>
      </c>
      <c r="Z1016" s="761"/>
      <c r="AA1016" s="763">
        <f t="shared" si="135"/>
        <v>0</v>
      </c>
      <c r="AB1016" s="764">
        <f t="shared" si="136"/>
        <v>0</v>
      </c>
      <c r="AC1016" s="762"/>
      <c r="AD1016" s="758"/>
      <c r="AE1016" s="758"/>
      <c r="AF1016" s="759"/>
      <c r="AG1016" s="763">
        <f t="shared" si="137"/>
        <v>0</v>
      </c>
    </row>
    <row r="1017" spans="2:42">
      <c r="B1017" s="815" t="s">
        <v>483</v>
      </c>
      <c r="C1017" s="758"/>
      <c r="D1017" s="758"/>
      <c r="E1017" s="759">
        <v>0</v>
      </c>
      <c r="F1017" s="761"/>
      <c r="G1017" s="762"/>
      <c r="H1017" s="758"/>
      <c r="I1017" s="758"/>
      <c r="J1017" s="759">
        <v>0</v>
      </c>
      <c r="K1017" s="761"/>
      <c r="L1017" s="762"/>
      <c r="M1017" s="758"/>
      <c r="N1017" s="758"/>
      <c r="O1017" s="759">
        <v>4</v>
      </c>
      <c r="P1017" s="761"/>
      <c r="Q1017" s="762"/>
      <c r="R1017" s="758"/>
      <c r="S1017" s="758"/>
      <c r="T1017" s="759">
        <v>4</v>
      </c>
      <c r="U1017" s="761"/>
      <c r="V1017" s="762"/>
      <c r="W1017" s="758"/>
      <c r="X1017" s="758"/>
      <c r="Y1017" s="759">
        <v>0</v>
      </c>
      <c r="Z1017" s="761"/>
      <c r="AA1017" s="763">
        <f t="shared" si="135"/>
        <v>8</v>
      </c>
      <c r="AB1017" s="764">
        <f t="shared" si="136"/>
        <v>0</v>
      </c>
      <c r="AC1017" s="762"/>
      <c r="AD1017" s="758"/>
      <c r="AE1017" s="758"/>
      <c r="AF1017" s="759"/>
      <c r="AG1017" s="763">
        <f t="shared" si="137"/>
        <v>0</v>
      </c>
    </row>
    <row r="1018" spans="2:42">
      <c r="B1018" s="815" t="s">
        <v>484</v>
      </c>
      <c r="C1018" s="758"/>
      <c r="D1018" s="758"/>
      <c r="E1018" s="759">
        <v>0</v>
      </c>
      <c r="F1018" s="761"/>
      <c r="G1018" s="762"/>
      <c r="H1018" s="758"/>
      <c r="I1018" s="758"/>
      <c r="J1018" s="759">
        <v>0</v>
      </c>
      <c r="K1018" s="761"/>
      <c r="L1018" s="762"/>
      <c r="M1018" s="758"/>
      <c r="N1018" s="758"/>
      <c r="O1018" s="759">
        <v>4</v>
      </c>
      <c r="P1018" s="761"/>
      <c r="Q1018" s="762"/>
      <c r="R1018" s="758"/>
      <c r="S1018" s="758"/>
      <c r="T1018" s="759">
        <v>4</v>
      </c>
      <c r="U1018" s="761"/>
      <c r="V1018" s="762"/>
      <c r="W1018" s="758"/>
      <c r="X1018" s="758"/>
      <c r="Y1018" s="759">
        <v>0</v>
      </c>
      <c r="Z1018" s="761"/>
      <c r="AA1018" s="763">
        <f t="shared" si="135"/>
        <v>8</v>
      </c>
      <c r="AB1018" s="764">
        <f t="shared" si="136"/>
        <v>0</v>
      </c>
      <c r="AC1018" s="762"/>
      <c r="AD1018" s="758"/>
      <c r="AE1018" s="758"/>
      <c r="AF1018" s="759"/>
      <c r="AG1018" s="763">
        <f t="shared" si="137"/>
        <v>0</v>
      </c>
    </row>
    <row r="1019" spans="2:42">
      <c r="B1019" s="815" t="s">
        <v>485</v>
      </c>
      <c r="C1019" s="758"/>
      <c r="D1019" s="758"/>
      <c r="E1019" s="759">
        <v>0</v>
      </c>
      <c r="F1019" s="761"/>
      <c r="G1019" s="762"/>
      <c r="H1019" s="758"/>
      <c r="I1019" s="758"/>
      <c r="J1019" s="759">
        <v>0</v>
      </c>
      <c r="K1019" s="761"/>
      <c r="L1019" s="762"/>
      <c r="M1019" s="758"/>
      <c r="N1019" s="758"/>
      <c r="O1019" s="759">
        <v>0</v>
      </c>
      <c r="P1019" s="761"/>
      <c r="Q1019" s="762"/>
      <c r="R1019" s="758"/>
      <c r="S1019" s="758"/>
      <c r="T1019" s="759">
        <v>0</v>
      </c>
      <c r="U1019" s="761"/>
      <c r="V1019" s="762"/>
      <c r="W1019" s="758"/>
      <c r="X1019" s="758"/>
      <c r="Y1019" s="759">
        <v>0</v>
      </c>
      <c r="Z1019" s="761"/>
      <c r="AA1019" s="763">
        <f t="shared" si="135"/>
        <v>0</v>
      </c>
      <c r="AB1019" s="764">
        <f t="shared" si="136"/>
        <v>0</v>
      </c>
      <c r="AC1019" s="762"/>
      <c r="AD1019" s="758"/>
      <c r="AE1019" s="758"/>
      <c r="AF1019" s="759"/>
      <c r="AG1019" s="763">
        <f t="shared" si="137"/>
        <v>0</v>
      </c>
    </row>
    <row r="1020" spans="2:42">
      <c r="B1020" s="815" t="s">
        <v>1129</v>
      </c>
      <c r="C1020" s="758"/>
      <c r="D1020" s="758"/>
      <c r="E1020" s="759">
        <v>0</v>
      </c>
      <c r="F1020" s="761"/>
      <c r="G1020" s="762"/>
      <c r="H1020" s="758"/>
      <c r="I1020" s="758"/>
      <c r="J1020" s="759">
        <v>0</v>
      </c>
      <c r="K1020" s="761"/>
      <c r="L1020" s="762"/>
      <c r="M1020" s="758"/>
      <c r="N1020" s="758"/>
      <c r="O1020" s="759">
        <v>0</v>
      </c>
      <c r="P1020" s="761"/>
      <c r="Q1020" s="762"/>
      <c r="R1020" s="758"/>
      <c r="S1020" s="758"/>
      <c r="T1020" s="759">
        <v>0</v>
      </c>
      <c r="U1020" s="761"/>
      <c r="V1020" s="762"/>
      <c r="W1020" s="758"/>
      <c r="X1020" s="758"/>
      <c r="Y1020" s="759">
        <v>0</v>
      </c>
      <c r="Z1020" s="761"/>
      <c r="AA1020" s="763">
        <f t="shared" si="135"/>
        <v>0</v>
      </c>
      <c r="AB1020" s="764">
        <f t="shared" si="136"/>
        <v>0</v>
      </c>
      <c r="AC1020" s="762"/>
      <c r="AD1020" s="758"/>
      <c r="AE1020" s="758"/>
      <c r="AF1020" s="759"/>
      <c r="AG1020" s="763">
        <f t="shared" si="137"/>
        <v>0</v>
      </c>
    </row>
    <row r="1021" spans="2:42">
      <c r="B1021" s="816" t="s">
        <v>358</v>
      </c>
      <c r="C1021" s="758"/>
      <c r="D1021" s="758"/>
      <c r="E1021" s="759">
        <v>0</v>
      </c>
      <c r="F1021" s="761"/>
      <c r="G1021" s="762"/>
      <c r="H1021" s="758"/>
      <c r="I1021" s="758"/>
      <c r="J1021" s="759">
        <v>0</v>
      </c>
      <c r="K1021" s="761"/>
      <c r="L1021" s="765"/>
      <c r="M1021" s="758"/>
      <c r="N1021" s="758"/>
      <c r="O1021" s="759">
        <v>0</v>
      </c>
      <c r="P1021" s="761"/>
      <c r="Q1021" s="765"/>
      <c r="R1021" s="758"/>
      <c r="S1021" s="758"/>
      <c r="T1021" s="759">
        <v>0</v>
      </c>
      <c r="U1021" s="761"/>
      <c r="V1021" s="765"/>
      <c r="W1021" s="758"/>
      <c r="X1021" s="758"/>
      <c r="Y1021" s="759">
        <v>0</v>
      </c>
      <c r="Z1021" s="761"/>
      <c r="AA1021" s="763">
        <f t="shared" si="135"/>
        <v>0</v>
      </c>
      <c r="AB1021" s="764">
        <f t="shared" si="136"/>
        <v>0</v>
      </c>
      <c r="AC1021" s="762"/>
      <c r="AD1021" s="758"/>
      <c r="AE1021" s="758"/>
      <c r="AF1021" s="759"/>
      <c r="AG1021" s="763">
        <f t="shared" si="137"/>
        <v>0</v>
      </c>
    </row>
    <row r="1022" spans="2:42">
      <c r="B1022" s="816" t="s">
        <v>1135</v>
      </c>
      <c r="C1022" s="758"/>
      <c r="D1022" s="758"/>
      <c r="E1022" s="759">
        <v>0</v>
      </c>
      <c r="F1022" s="761"/>
      <c r="G1022" s="762"/>
      <c r="H1022" s="758"/>
      <c r="I1022" s="758"/>
      <c r="J1022" s="759">
        <v>0</v>
      </c>
      <c r="K1022" s="761"/>
      <c r="L1022" s="765"/>
      <c r="M1022" s="758"/>
      <c r="N1022" s="758"/>
      <c r="O1022" s="759">
        <v>0</v>
      </c>
      <c r="P1022" s="761"/>
      <c r="Q1022" s="765"/>
      <c r="R1022" s="758"/>
      <c r="S1022" s="758"/>
      <c r="T1022" s="759">
        <v>0</v>
      </c>
      <c r="U1022" s="761"/>
      <c r="V1022" s="765"/>
      <c r="W1022" s="758"/>
      <c r="X1022" s="758"/>
      <c r="Y1022" s="759">
        <v>0</v>
      </c>
      <c r="Z1022" s="761"/>
      <c r="AA1022" s="763">
        <f t="shared" si="135"/>
        <v>0</v>
      </c>
      <c r="AB1022" s="764">
        <f t="shared" si="136"/>
        <v>0</v>
      </c>
      <c r="AC1022" s="762"/>
      <c r="AD1022" s="758"/>
      <c r="AE1022" s="758"/>
      <c r="AF1022" s="759"/>
      <c r="AG1022" s="763">
        <f t="shared" si="137"/>
        <v>0</v>
      </c>
    </row>
    <row r="1023" spans="2:42">
      <c r="B1023" s="816" t="s">
        <v>411</v>
      </c>
      <c r="C1023" s="758"/>
      <c r="D1023" s="758"/>
      <c r="E1023" s="759">
        <v>0</v>
      </c>
      <c r="F1023" s="761"/>
      <c r="G1023" s="762"/>
      <c r="H1023" s="758"/>
      <c r="I1023" s="758"/>
      <c r="J1023" s="759">
        <v>0</v>
      </c>
      <c r="K1023" s="761"/>
      <c r="L1023" s="765"/>
      <c r="M1023" s="758"/>
      <c r="N1023" s="758"/>
      <c r="O1023" s="759">
        <v>0</v>
      </c>
      <c r="P1023" s="761"/>
      <c r="Q1023" s="765"/>
      <c r="R1023" s="758"/>
      <c r="S1023" s="758"/>
      <c r="T1023" s="759">
        <v>0</v>
      </c>
      <c r="U1023" s="761"/>
      <c r="V1023" s="765"/>
      <c r="W1023" s="758"/>
      <c r="X1023" s="758"/>
      <c r="Y1023" s="759">
        <v>0</v>
      </c>
      <c r="Z1023" s="761"/>
      <c r="AA1023" s="763">
        <f t="shared" si="135"/>
        <v>0</v>
      </c>
      <c r="AB1023" s="764">
        <f t="shared" si="136"/>
        <v>0</v>
      </c>
      <c r="AC1023" s="762"/>
      <c r="AD1023" s="758"/>
      <c r="AE1023" s="758"/>
      <c r="AF1023" s="759"/>
      <c r="AG1023" s="763">
        <f t="shared" si="137"/>
        <v>0</v>
      </c>
    </row>
    <row r="1024" spans="2:42">
      <c r="B1024" s="816" t="s">
        <v>361</v>
      </c>
      <c r="C1024" s="758"/>
      <c r="D1024" s="758"/>
      <c r="E1024" s="759">
        <v>0</v>
      </c>
      <c r="F1024" s="761"/>
      <c r="G1024" s="762"/>
      <c r="H1024" s="758"/>
      <c r="I1024" s="758"/>
      <c r="J1024" s="759">
        <v>0</v>
      </c>
      <c r="K1024" s="761"/>
      <c r="L1024" s="765"/>
      <c r="M1024" s="758"/>
      <c r="N1024" s="758"/>
      <c r="O1024" s="759">
        <v>0</v>
      </c>
      <c r="P1024" s="761"/>
      <c r="Q1024" s="765"/>
      <c r="R1024" s="758"/>
      <c r="S1024" s="758"/>
      <c r="T1024" s="759">
        <v>0</v>
      </c>
      <c r="U1024" s="761"/>
      <c r="V1024" s="765"/>
      <c r="W1024" s="758"/>
      <c r="X1024" s="758"/>
      <c r="Y1024" s="759">
        <v>0</v>
      </c>
      <c r="Z1024" s="761"/>
      <c r="AA1024" s="763">
        <f t="shared" si="135"/>
        <v>0</v>
      </c>
      <c r="AB1024" s="764">
        <f t="shared" si="136"/>
        <v>0</v>
      </c>
      <c r="AC1024" s="762"/>
      <c r="AD1024" s="758"/>
      <c r="AE1024" s="758"/>
      <c r="AF1024" s="759"/>
      <c r="AG1024" s="763">
        <f t="shared" si="137"/>
        <v>0</v>
      </c>
    </row>
    <row r="1025" spans="2:42">
      <c r="B1025" s="816" t="s">
        <v>362</v>
      </c>
      <c r="C1025" s="758"/>
      <c r="D1025" s="766"/>
      <c r="E1025" s="759">
        <v>0</v>
      </c>
      <c r="F1025" s="761"/>
      <c r="G1025" s="762"/>
      <c r="H1025" s="758"/>
      <c r="I1025" s="766"/>
      <c r="J1025" s="759">
        <v>0</v>
      </c>
      <c r="K1025" s="761"/>
      <c r="L1025" s="765"/>
      <c r="M1025" s="758"/>
      <c r="N1025" s="766"/>
      <c r="O1025" s="759">
        <v>0</v>
      </c>
      <c r="P1025" s="761"/>
      <c r="Q1025" s="765"/>
      <c r="R1025" s="758"/>
      <c r="S1025" s="766"/>
      <c r="T1025" s="759">
        <v>0</v>
      </c>
      <c r="U1025" s="761"/>
      <c r="V1025" s="765"/>
      <c r="W1025" s="758"/>
      <c r="X1025" s="766"/>
      <c r="Y1025" s="759">
        <v>0</v>
      </c>
      <c r="Z1025" s="761"/>
      <c r="AA1025" s="763">
        <f t="shared" si="135"/>
        <v>0</v>
      </c>
      <c r="AB1025" s="764">
        <f t="shared" si="136"/>
        <v>0</v>
      </c>
      <c r="AC1025" s="762"/>
      <c r="AD1025" s="758"/>
      <c r="AE1025" s="758"/>
      <c r="AF1025" s="759"/>
      <c r="AG1025" s="763">
        <f t="shared" si="137"/>
        <v>0</v>
      </c>
    </row>
    <row r="1026" spans="2:42">
      <c r="B1026" s="817" t="s">
        <v>355</v>
      </c>
      <c r="C1026" s="758"/>
      <c r="D1026" s="758"/>
      <c r="E1026" s="759">
        <v>0</v>
      </c>
      <c r="F1026" s="761"/>
      <c r="G1026" s="762"/>
      <c r="H1026" s="758"/>
      <c r="I1026" s="758"/>
      <c r="J1026" s="759">
        <v>0</v>
      </c>
      <c r="K1026" s="761"/>
      <c r="L1026" s="765"/>
      <c r="M1026" s="758"/>
      <c r="N1026" s="758"/>
      <c r="O1026" s="759">
        <v>7.75</v>
      </c>
      <c r="P1026" s="761"/>
      <c r="Q1026" s="765"/>
      <c r="R1026" s="758"/>
      <c r="S1026" s="758"/>
      <c r="T1026" s="759">
        <v>7.75</v>
      </c>
      <c r="U1026" s="761"/>
      <c r="V1026" s="765"/>
      <c r="W1026" s="758"/>
      <c r="X1026" s="758"/>
      <c r="Y1026" s="759">
        <v>0</v>
      </c>
      <c r="Z1026" s="761"/>
      <c r="AA1026" s="763">
        <f t="shared" si="135"/>
        <v>15.5</v>
      </c>
      <c r="AB1026" s="764">
        <f t="shared" si="136"/>
        <v>0</v>
      </c>
      <c r="AC1026" s="762"/>
      <c r="AD1026" s="758"/>
      <c r="AE1026" s="758"/>
      <c r="AF1026" s="759"/>
      <c r="AG1026" s="763">
        <f t="shared" si="137"/>
        <v>0</v>
      </c>
    </row>
    <row r="1027" spans="2:42">
      <c r="B1027" s="817" t="s">
        <v>356</v>
      </c>
      <c r="C1027" s="818"/>
      <c r="D1027" s="818"/>
      <c r="E1027" s="759">
        <v>0</v>
      </c>
      <c r="F1027" s="761"/>
      <c r="G1027" s="765"/>
      <c r="H1027" s="766"/>
      <c r="I1027" s="766"/>
      <c r="J1027" s="759">
        <v>0</v>
      </c>
      <c r="K1027" s="761"/>
      <c r="L1027" s="765"/>
      <c r="M1027" s="766"/>
      <c r="N1027" s="766"/>
      <c r="O1027" s="759">
        <v>0</v>
      </c>
      <c r="P1027" s="761"/>
      <c r="Q1027" s="765"/>
      <c r="R1027" s="766"/>
      <c r="S1027" s="766"/>
      <c r="T1027" s="759">
        <v>0</v>
      </c>
      <c r="U1027" s="761"/>
      <c r="V1027" s="765"/>
      <c r="W1027" s="766"/>
      <c r="X1027" s="766"/>
      <c r="Y1027" s="759">
        <v>0</v>
      </c>
      <c r="Z1027" s="761"/>
      <c r="AA1027" s="763">
        <f t="shared" si="135"/>
        <v>0</v>
      </c>
      <c r="AB1027" s="764">
        <f t="shared" si="136"/>
        <v>0</v>
      </c>
      <c r="AC1027" s="762"/>
      <c r="AD1027" s="758"/>
      <c r="AE1027" s="758"/>
      <c r="AF1027" s="759"/>
      <c r="AG1027" s="763">
        <f t="shared" si="137"/>
        <v>0</v>
      </c>
    </row>
    <row r="1028" spans="2:42">
      <c r="B1028" s="767" t="s">
        <v>61</v>
      </c>
      <c r="C1028" s="767"/>
      <c r="D1028" s="767"/>
      <c r="E1028" s="760">
        <f>SUM(E1007:E1027)</f>
        <v>8</v>
      </c>
      <c r="F1028" s="761"/>
      <c r="G1028" s="767"/>
      <c r="H1028" s="767"/>
      <c r="I1028" s="767"/>
      <c r="J1028" s="760">
        <f>SUM(J1007:J1027)</f>
        <v>5</v>
      </c>
      <c r="K1028" s="761"/>
      <c r="L1028" s="767"/>
      <c r="M1028" s="767"/>
      <c r="N1028" s="767"/>
      <c r="O1028" s="760">
        <f>SUM(O1007:O1027)</f>
        <v>27.75</v>
      </c>
      <c r="P1028" s="761"/>
      <c r="Q1028" s="767"/>
      <c r="R1028" s="767"/>
      <c r="S1028" s="767"/>
      <c r="T1028" s="760">
        <f>SUM(T1007:T1027)</f>
        <v>22.75</v>
      </c>
      <c r="U1028" s="761"/>
      <c r="V1028" s="767"/>
      <c r="W1028" s="767"/>
      <c r="X1028" s="767"/>
      <c r="Y1028" s="760">
        <f>SUM(Y1007:Y1027)</f>
        <v>8</v>
      </c>
      <c r="Z1028" s="761"/>
      <c r="AA1028" s="763">
        <f>SUM(AA1007:AA1027)</f>
        <v>71.5</v>
      </c>
      <c r="AB1028" s="763">
        <f>SUM(AB1007:AB1027)</f>
        <v>0</v>
      </c>
      <c r="AC1028" s="762"/>
      <c r="AD1028" s="767"/>
      <c r="AE1028" s="767"/>
      <c r="AF1028" s="763">
        <f>SUM(AF1007:AF1027)</f>
        <v>0</v>
      </c>
      <c r="AG1028" s="763">
        <f>SUM(AG1007:AG1027)</f>
        <v>0</v>
      </c>
    </row>
    <row r="1029" spans="2:42">
      <c r="B1029" s="816" t="s">
        <v>1116</v>
      </c>
      <c r="C1029" s="758"/>
      <c r="D1029" s="758"/>
      <c r="E1029" s="759">
        <v>8</v>
      </c>
      <c r="F1029" s="761"/>
      <c r="G1029" s="762"/>
      <c r="H1029" s="758"/>
      <c r="I1029" s="758"/>
      <c r="J1029" s="759">
        <v>8</v>
      </c>
      <c r="K1029" s="761"/>
      <c r="L1029" s="762"/>
      <c r="M1029" s="758"/>
      <c r="N1029" s="758"/>
      <c r="O1029" s="759">
        <v>8</v>
      </c>
      <c r="P1029" s="761"/>
      <c r="Q1029" s="762"/>
      <c r="R1029" s="758"/>
      <c r="S1029" s="758"/>
      <c r="T1029" s="759">
        <v>8</v>
      </c>
      <c r="U1029" s="761"/>
      <c r="V1029" s="762"/>
      <c r="W1029" s="758"/>
      <c r="X1029" s="758"/>
      <c r="Y1029" s="759">
        <v>8</v>
      </c>
      <c r="Z1029" s="761"/>
      <c r="AA1029" s="763">
        <f>(E1029+J1029+O1029+T1029+Y1029)</f>
        <v>40</v>
      </c>
      <c r="AB1029" s="764">
        <f>Z1029+U1029+P1029+K1029+F1029</f>
        <v>0</v>
      </c>
      <c r="AC1029" s="762"/>
      <c r="AD1029" s="758"/>
      <c r="AE1029" s="758"/>
      <c r="AF1029" s="759"/>
      <c r="AG1029" s="763">
        <f>AF1029</f>
        <v>0</v>
      </c>
    </row>
    <row r="1030" spans="2:42">
      <c r="B1030" s="816" t="s">
        <v>64</v>
      </c>
      <c r="C1030" s="758"/>
      <c r="D1030" s="758"/>
      <c r="E1030" s="759">
        <v>0</v>
      </c>
      <c r="F1030" s="759"/>
      <c r="G1030" s="819"/>
      <c r="H1030" s="758"/>
      <c r="I1030" s="758"/>
      <c r="J1030" s="759">
        <v>0</v>
      </c>
      <c r="K1030" s="759"/>
      <c r="L1030" s="765"/>
      <c r="M1030" s="758"/>
      <c r="N1030" s="758"/>
      <c r="O1030" s="759">
        <v>0</v>
      </c>
      <c r="P1030" s="759"/>
      <c r="Q1030" s="765"/>
      <c r="R1030" s="758"/>
      <c r="S1030" s="758"/>
      <c r="T1030" s="759">
        <v>0</v>
      </c>
      <c r="U1030" s="759"/>
      <c r="V1030" s="765"/>
      <c r="W1030" s="758"/>
      <c r="X1030" s="758"/>
      <c r="Y1030" s="759">
        <v>0</v>
      </c>
      <c r="Z1030" s="759"/>
      <c r="AA1030" s="763">
        <f>SUM(E1030+J1030+O1030+T1030+Y1030)</f>
        <v>0</v>
      </c>
      <c r="AB1030" s="768">
        <f>Z1030+U1030+P1030+K1030+F1030</f>
        <v>0</v>
      </c>
      <c r="AC1030" s="762"/>
      <c r="AD1030" s="758" t="s">
        <v>29</v>
      </c>
      <c r="AE1030" s="758" t="s">
        <v>29</v>
      </c>
      <c r="AF1030" s="759"/>
      <c r="AG1030" s="763">
        <f>AF1030</f>
        <v>0</v>
      </c>
    </row>
    <row r="1031" spans="2:42">
      <c r="B1031" s="819" t="s">
        <v>66</v>
      </c>
      <c r="C1031" s="820"/>
      <c r="D1031" s="820"/>
      <c r="E1031" s="819"/>
      <c r="F1031" s="819"/>
      <c r="G1031" s="819"/>
      <c r="H1031" s="819"/>
      <c r="I1031" s="819"/>
      <c r="J1031" s="819"/>
      <c r="K1031" s="819"/>
      <c r="L1031" s="819"/>
      <c r="M1031" s="819"/>
      <c r="N1031" s="819"/>
      <c r="O1031" s="819"/>
      <c r="P1031" s="819"/>
      <c r="Q1031" s="819"/>
      <c r="R1031" s="819"/>
      <c r="S1031" s="819"/>
      <c r="T1031" s="819"/>
      <c r="U1031" s="819"/>
      <c r="V1031" s="819"/>
      <c r="W1031" s="819"/>
      <c r="X1031" s="819"/>
      <c r="Y1031" s="819"/>
      <c r="Z1031" s="819"/>
      <c r="AA1031" s="763">
        <f>SUM(AA1029:AA1030)</f>
        <v>40</v>
      </c>
      <c r="AB1031" s="763">
        <f>SUM(AB1030:AB1030)</f>
        <v>0</v>
      </c>
      <c r="AC1031" s="762"/>
      <c r="AD1031" s="811"/>
      <c r="AE1031" s="811"/>
      <c r="AF1031" s="811"/>
      <c r="AG1031" s="763">
        <f>SUM(AG1030:AG1030)</f>
        <v>0</v>
      </c>
      <c r="AK1031" s="407"/>
    </row>
    <row r="1032" spans="2:42">
      <c r="B1032" s="836" t="s">
        <v>67</v>
      </c>
      <c r="C1032" s="837">
        <f>C1033+C1034</f>
        <v>7</v>
      </c>
      <c r="D1032" s="837"/>
      <c r="E1032" s="838"/>
      <c r="F1032" s="838"/>
      <c r="G1032" s="837"/>
      <c r="H1032" s="838"/>
      <c r="I1032" s="838"/>
      <c r="J1032" s="838"/>
      <c r="K1032" s="838"/>
      <c r="L1032" s="837"/>
      <c r="M1032" s="837"/>
      <c r="N1032" s="837"/>
      <c r="O1032" s="837"/>
      <c r="P1032" s="838"/>
      <c r="Q1032" s="837"/>
      <c r="R1032" s="837"/>
      <c r="S1032" s="837"/>
      <c r="T1032" s="837"/>
      <c r="U1032" s="838"/>
      <c r="V1032" s="837"/>
      <c r="W1032" s="837"/>
      <c r="X1032" s="837"/>
      <c r="Y1032" s="839"/>
      <c r="Z1032" s="838"/>
      <c r="AA1032" s="840"/>
      <c r="AB1032" s="838"/>
      <c r="AC1032" s="840"/>
      <c r="AD1032" s="840"/>
      <c r="AE1032" s="840"/>
      <c r="AF1032" s="840"/>
      <c r="AG1032" s="840"/>
      <c r="AH1032" s="834"/>
      <c r="AI1032" s="841"/>
      <c r="AJ1032" s="835"/>
      <c r="AK1032" s="842"/>
      <c r="AL1032" s="843"/>
      <c r="AM1032" s="843"/>
      <c r="AN1032" s="843"/>
      <c r="AO1032" s="843"/>
      <c r="AP1032" s="843"/>
    </row>
    <row r="1033" spans="2:42">
      <c r="B1033" s="844" t="s">
        <v>68</v>
      </c>
      <c r="C1033" s="837">
        <v>0</v>
      </c>
      <c r="D1033" s="837"/>
      <c r="E1033" s="838"/>
      <c r="F1033" s="838"/>
      <c r="G1033" s="837"/>
      <c r="H1033" s="838"/>
      <c r="I1033" s="838"/>
      <c r="J1033" s="838"/>
      <c r="K1033" s="838"/>
      <c r="L1033" s="837"/>
      <c r="M1033" s="837"/>
      <c r="N1033" s="837"/>
      <c r="O1033" s="837"/>
      <c r="P1033" s="838"/>
      <c r="Q1033" s="837"/>
      <c r="R1033" s="837"/>
      <c r="S1033" s="837"/>
      <c r="T1033" s="837"/>
      <c r="U1033" s="838"/>
      <c r="V1033" s="837"/>
      <c r="W1033" s="837"/>
      <c r="X1033" s="837"/>
      <c r="Y1033" s="839"/>
      <c r="Z1033" s="838"/>
      <c r="AA1033" s="840"/>
      <c r="AB1033" s="838"/>
      <c r="AC1033" s="840"/>
      <c r="AD1033" s="840"/>
      <c r="AE1033" s="840"/>
      <c r="AF1033" s="840"/>
      <c r="AG1033" s="840"/>
      <c r="AH1033" s="834"/>
      <c r="AI1033" s="841"/>
      <c r="AJ1033" s="835"/>
      <c r="AK1033" s="842"/>
      <c r="AL1033" s="843"/>
      <c r="AM1033" s="843"/>
      <c r="AN1033" s="843"/>
      <c r="AO1033" s="843"/>
      <c r="AP1033" s="843"/>
    </row>
    <row r="1034" spans="2:42">
      <c r="B1034" s="844" t="s">
        <v>69</v>
      </c>
      <c r="C1034" s="837">
        <v>7</v>
      </c>
      <c r="D1034" s="837"/>
      <c r="E1034" s="838"/>
      <c r="F1034" s="838"/>
      <c r="G1034" s="837"/>
      <c r="H1034" s="838"/>
      <c r="I1034" s="838"/>
      <c r="J1034" s="838"/>
      <c r="K1034" s="838"/>
      <c r="L1034" s="837"/>
      <c r="M1034" s="837"/>
      <c r="N1034" s="837"/>
      <c r="O1034" s="837"/>
      <c r="P1034" s="838"/>
      <c r="Q1034" s="837"/>
      <c r="R1034" s="837"/>
      <c r="S1034" s="837"/>
      <c r="T1034" s="837"/>
      <c r="U1034" s="838"/>
      <c r="V1034" s="837"/>
      <c r="W1034" s="837"/>
      <c r="X1034" s="837"/>
      <c r="Y1034" s="839"/>
      <c r="Z1034" s="838"/>
      <c r="AA1034" s="840"/>
      <c r="AB1034" s="838"/>
      <c r="AC1034" s="840"/>
      <c r="AD1034" s="840"/>
      <c r="AE1034" s="840"/>
      <c r="AF1034" s="840"/>
      <c r="AG1034" s="840"/>
      <c r="AH1034" s="834"/>
      <c r="AI1034" s="841"/>
      <c r="AJ1034" s="835"/>
      <c r="AK1034" s="843"/>
      <c r="AL1034" s="843"/>
      <c r="AM1034" s="843"/>
      <c r="AN1034" s="843"/>
      <c r="AO1034" s="843"/>
      <c r="AP1034" s="843"/>
    </row>
    <row r="1035" spans="2:42">
      <c r="B1035" s="845"/>
      <c r="C1035" s="835"/>
      <c r="D1035" s="835"/>
      <c r="E1035" s="846"/>
      <c r="F1035" s="846"/>
      <c r="G1035" s="846"/>
      <c r="H1035" s="835"/>
      <c r="I1035" s="835"/>
      <c r="J1035" s="846"/>
      <c r="K1035" s="846"/>
      <c r="L1035" s="846"/>
      <c r="M1035" s="835"/>
      <c r="N1035" s="835"/>
      <c r="O1035" s="846"/>
      <c r="P1035" s="846"/>
      <c r="Q1035" s="834"/>
      <c r="R1035" s="835"/>
      <c r="S1035" s="835"/>
      <c r="T1035" s="846"/>
      <c r="U1035" s="846"/>
      <c r="V1035" s="834"/>
      <c r="W1035" s="835"/>
      <c r="X1035" s="835"/>
      <c r="Y1035" s="846"/>
      <c r="Z1035" s="846"/>
      <c r="AA1035" s="846"/>
      <c r="AB1035" s="846"/>
      <c r="AC1035" s="846"/>
      <c r="AD1035" s="835"/>
      <c r="AE1035" s="835"/>
      <c r="AF1035" s="835"/>
      <c r="AG1035" s="835"/>
      <c r="AH1035" s="834"/>
      <c r="AI1035" s="841"/>
      <c r="AJ1035" s="835"/>
      <c r="AK1035" s="843"/>
      <c r="AL1035" s="843"/>
      <c r="AM1035" s="843"/>
      <c r="AN1035" s="843"/>
      <c r="AO1035" s="843"/>
      <c r="AP1035" s="843"/>
    </row>
    <row r="1036" spans="2:42">
      <c r="B1036" s="845"/>
      <c r="C1036" s="835"/>
      <c r="D1036" s="835"/>
      <c r="E1036" s="846"/>
      <c r="F1036" s="846"/>
      <c r="G1036" s="846"/>
      <c r="H1036" s="835"/>
      <c r="I1036" s="835"/>
      <c r="J1036" s="846"/>
      <c r="K1036" s="846"/>
      <c r="L1036" s="846"/>
      <c r="M1036" s="835"/>
      <c r="N1036" s="835"/>
      <c r="O1036" s="846"/>
      <c r="P1036" s="846"/>
      <c r="Q1036" s="834"/>
      <c r="R1036" s="835"/>
      <c r="S1036" s="835"/>
      <c r="T1036" s="846"/>
      <c r="U1036" s="846"/>
      <c r="V1036" s="834"/>
      <c r="W1036" s="835"/>
      <c r="X1036" s="835"/>
      <c r="Y1036" s="846"/>
      <c r="Z1036" s="846"/>
      <c r="AA1036" s="846"/>
      <c r="AB1036" s="846"/>
      <c r="AC1036" s="846"/>
      <c r="AD1036" s="835"/>
      <c r="AE1036" s="835"/>
      <c r="AF1036" s="835"/>
      <c r="AG1036" s="835"/>
      <c r="AH1036" s="834"/>
      <c r="AI1036" s="841"/>
      <c r="AJ1036" s="835"/>
      <c r="AK1036" s="843"/>
      <c r="AL1036" s="843"/>
      <c r="AM1036" s="843"/>
      <c r="AN1036" s="843"/>
      <c r="AO1036" s="843"/>
      <c r="AP1036" s="843"/>
    </row>
    <row r="1037" spans="2:42" ht="25.5">
      <c r="B1037" s="1579"/>
      <c r="C1037" s="1572">
        <v>45922</v>
      </c>
      <c r="D1037" s="1572"/>
      <c r="E1037" s="1572" t="s">
        <v>564</v>
      </c>
      <c r="F1037" s="1572"/>
      <c r="G1037" s="847"/>
      <c r="H1037" s="1572">
        <v>45923</v>
      </c>
      <c r="I1037" s="1572"/>
      <c r="J1037" s="1572" t="s">
        <v>565</v>
      </c>
      <c r="K1037" s="1572"/>
      <c r="L1037" s="847"/>
      <c r="M1037" s="1572">
        <v>45924</v>
      </c>
      <c r="N1037" s="1572"/>
      <c r="O1037" s="1572" t="s">
        <v>566</v>
      </c>
      <c r="P1037" s="1572"/>
      <c r="Q1037" s="847"/>
      <c r="R1037" s="1572">
        <v>45925</v>
      </c>
      <c r="S1037" s="1572"/>
      <c r="T1037" s="1572" t="s">
        <v>567</v>
      </c>
      <c r="U1037" s="1572"/>
      <c r="V1037" s="847"/>
      <c r="W1037" s="1572">
        <v>45926</v>
      </c>
      <c r="X1037" s="1572"/>
      <c r="Y1037" s="1572" t="s">
        <v>568</v>
      </c>
      <c r="Z1037" s="1572"/>
      <c r="AA1037" s="1573" t="s">
        <v>19</v>
      </c>
      <c r="AB1037" s="1573" t="s">
        <v>20</v>
      </c>
      <c r="AC1037" s="848"/>
      <c r="AD1037" s="1572"/>
      <c r="AE1037" s="1572"/>
      <c r="AF1037" s="849" t="s">
        <v>1111</v>
      </c>
      <c r="AG1037" s="1573" t="s">
        <v>21</v>
      </c>
      <c r="AH1037" s="848"/>
      <c r="AI1037" s="850"/>
      <c r="AJ1037" s="851"/>
      <c r="AK1037" s="852" t="s">
        <v>84</v>
      </c>
      <c r="AL1037" s="853"/>
      <c r="AM1037" s="853"/>
      <c r="AN1037" s="853"/>
      <c r="AO1037" s="853"/>
      <c r="AP1037" s="853"/>
    </row>
    <row r="1038" spans="2:42">
      <c r="B1038" s="1579"/>
      <c r="C1038" s="854" t="s">
        <v>23</v>
      </c>
      <c r="D1038" s="854" t="s">
        <v>24</v>
      </c>
      <c r="E1038" s="855" t="s">
        <v>25</v>
      </c>
      <c r="F1038" s="856" t="s">
        <v>14</v>
      </c>
      <c r="G1038" s="848"/>
      <c r="H1038" s="854"/>
      <c r="I1038" s="854" t="s">
        <v>24</v>
      </c>
      <c r="J1038" s="856" t="s">
        <v>25</v>
      </c>
      <c r="K1038" s="856" t="s">
        <v>14</v>
      </c>
      <c r="L1038" s="848"/>
      <c r="M1038" s="854" t="s">
        <v>23</v>
      </c>
      <c r="N1038" s="854" t="s">
        <v>24</v>
      </c>
      <c r="O1038" s="856" t="s">
        <v>25</v>
      </c>
      <c r="P1038" s="856" t="s">
        <v>14</v>
      </c>
      <c r="Q1038" s="848"/>
      <c r="R1038" s="854" t="s">
        <v>23</v>
      </c>
      <c r="S1038" s="854" t="s">
        <v>24</v>
      </c>
      <c r="T1038" s="856" t="s">
        <v>25</v>
      </c>
      <c r="U1038" s="856" t="s">
        <v>14</v>
      </c>
      <c r="V1038" s="848"/>
      <c r="W1038" s="854" t="s">
        <v>23</v>
      </c>
      <c r="X1038" s="854" t="s">
        <v>24</v>
      </c>
      <c r="Y1038" s="856" t="s">
        <v>25</v>
      </c>
      <c r="Z1038" s="856" t="s">
        <v>14</v>
      </c>
      <c r="AA1038" s="1573"/>
      <c r="AB1038" s="1573"/>
      <c r="AC1038" s="848"/>
      <c r="AD1038" s="854" t="s">
        <v>23</v>
      </c>
      <c r="AE1038" s="854" t="s">
        <v>24</v>
      </c>
      <c r="AF1038" s="856" t="s">
        <v>25</v>
      </c>
      <c r="AG1038" s="1573"/>
      <c r="AH1038" s="848"/>
      <c r="AI1038" s="850"/>
      <c r="AJ1038" s="851"/>
      <c r="AK1038" s="857" t="s">
        <v>26</v>
      </c>
      <c r="AL1038" s="858">
        <f>AA1060</f>
        <v>63.5</v>
      </c>
      <c r="AM1038" s="859">
        <v>40.31</v>
      </c>
      <c r="AN1038" s="859">
        <f t="shared" ref="AN1038:AN1043" si="138">AL1038*AM1038</f>
        <v>2559.6849999999999</v>
      </c>
      <c r="AO1038" s="860"/>
      <c r="AP1038" s="860"/>
    </row>
    <row r="1039" spans="2:42">
      <c r="B1039" s="861" t="s">
        <v>515</v>
      </c>
      <c r="C1039" s="861"/>
      <c r="D1039" s="861"/>
      <c r="E1039" s="862">
        <v>0</v>
      </c>
      <c r="F1039" s="863"/>
      <c r="G1039" s="848"/>
      <c r="H1039" s="861"/>
      <c r="I1039" s="861"/>
      <c r="J1039" s="862">
        <v>0</v>
      </c>
      <c r="K1039" s="863"/>
      <c r="L1039" s="848"/>
      <c r="M1039" s="861"/>
      <c r="N1039" s="861"/>
      <c r="O1039" s="862">
        <v>0</v>
      </c>
      <c r="P1039" s="863"/>
      <c r="Q1039" s="848"/>
      <c r="R1039" s="861"/>
      <c r="S1039" s="861"/>
      <c r="T1039" s="862">
        <v>0</v>
      </c>
      <c r="U1039" s="863"/>
      <c r="V1039" s="848"/>
      <c r="W1039" s="861"/>
      <c r="X1039" s="861"/>
      <c r="Y1039" s="862">
        <v>0</v>
      </c>
      <c r="Z1039" s="863"/>
      <c r="AA1039" s="864">
        <f t="shared" ref="AA1039:AA1059" si="139">(E1039+J1039+O1039+T1039+Y1039)</f>
        <v>0</v>
      </c>
      <c r="AB1039" s="865">
        <f t="shared" ref="AB1039:AB1059" si="140">Z1039+U1039+P1039+K1039+F1039</f>
        <v>0</v>
      </c>
      <c r="AC1039" s="848"/>
      <c r="AD1039" s="851"/>
      <c r="AE1039" s="851"/>
      <c r="AF1039" s="862"/>
      <c r="AG1039" s="864">
        <f t="shared" ref="AG1039:AG1059" si="141">AF1039</f>
        <v>0</v>
      </c>
      <c r="AH1039" s="848"/>
      <c r="AI1039" s="850"/>
      <c r="AJ1039" s="851"/>
      <c r="AK1039" s="857" t="s">
        <v>30</v>
      </c>
      <c r="AL1039" s="858">
        <f>AB1060</f>
        <v>0</v>
      </c>
      <c r="AM1039" s="859">
        <v>60.465000000000003</v>
      </c>
      <c r="AN1039" s="859">
        <f t="shared" si="138"/>
        <v>0</v>
      </c>
      <c r="AO1039" s="860"/>
      <c r="AP1039" s="860"/>
    </row>
    <row r="1040" spans="2:42">
      <c r="B1040" s="861" t="s">
        <v>1112</v>
      </c>
      <c r="C1040" s="861"/>
      <c r="D1040" s="861"/>
      <c r="E1040" s="862">
        <v>0</v>
      </c>
      <c r="F1040" s="863"/>
      <c r="G1040" s="848"/>
      <c r="H1040" s="861"/>
      <c r="I1040" s="861"/>
      <c r="J1040" s="862">
        <v>0</v>
      </c>
      <c r="K1040" s="863"/>
      <c r="L1040" s="848"/>
      <c r="M1040" s="861"/>
      <c r="N1040" s="861"/>
      <c r="O1040" s="862">
        <v>0</v>
      </c>
      <c r="P1040" s="863"/>
      <c r="Q1040" s="848"/>
      <c r="R1040" s="861"/>
      <c r="S1040" s="861"/>
      <c r="T1040" s="862">
        <v>0</v>
      </c>
      <c r="U1040" s="863"/>
      <c r="V1040" s="848"/>
      <c r="W1040" s="861"/>
      <c r="X1040" s="861"/>
      <c r="Y1040" s="862">
        <v>0</v>
      </c>
      <c r="Z1040" s="863"/>
      <c r="AA1040" s="864">
        <f t="shared" si="139"/>
        <v>0</v>
      </c>
      <c r="AB1040" s="865">
        <f t="shared" si="140"/>
        <v>0</v>
      </c>
      <c r="AC1040" s="848"/>
      <c r="AD1040" s="861"/>
      <c r="AE1040" s="861"/>
      <c r="AF1040" s="862"/>
      <c r="AG1040" s="864">
        <f t="shared" si="141"/>
        <v>0</v>
      </c>
      <c r="AH1040" s="848"/>
      <c r="AI1040" s="850"/>
      <c r="AJ1040" s="851"/>
      <c r="AK1040" s="857" t="s">
        <v>32</v>
      </c>
      <c r="AL1040" s="858">
        <f>AG1060</f>
        <v>0</v>
      </c>
      <c r="AM1040" s="859">
        <v>60.465000000000003</v>
      </c>
      <c r="AN1040" s="859">
        <f t="shared" si="138"/>
        <v>0</v>
      </c>
      <c r="AO1040" s="860"/>
      <c r="AP1040" s="860"/>
    </row>
    <row r="1041" spans="2:42">
      <c r="B1041" s="861" t="s">
        <v>1138</v>
      </c>
      <c r="C1041" s="861"/>
      <c r="D1041" s="861"/>
      <c r="E1041" s="862">
        <v>0</v>
      </c>
      <c r="F1041" s="863"/>
      <c r="G1041" s="848"/>
      <c r="H1041" s="861"/>
      <c r="I1041" s="861"/>
      <c r="J1041" s="862">
        <v>0</v>
      </c>
      <c r="K1041" s="863"/>
      <c r="L1041" s="848"/>
      <c r="M1041" s="861"/>
      <c r="N1041" s="861"/>
      <c r="O1041" s="862">
        <v>0</v>
      </c>
      <c r="P1041" s="863"/>
      <c r="Q1041" s="848"/>
      <c r="R1041" s="861"/>
      <c r="S1041" s="861"/>
      <c r="T1041" s="862">
        <v>0</v>
      </c>
      <c r="U1041" s="863"/>
      <c r="V1041" s="848"/>
      <c r="W1041" s="861"/>
      <c r="X1041" s="861"/>
      <c r="Y1041" s="862">
        <v>0</v>
      </c>
      <c r="Z1041" s="863"/>
      <c r="AA1041" s="864">
        <f t="shared" si="139"/>
        <v>0</v>
      </c>
      <c r="AB1041" s="865">
        <f t="shared" si="140"/>
        <v>0</v>
      </c>
      <c r="AC1041" s="848"/>
      <c r="AD1041" s="861"/>
      <c r="AE1041" s="861"/>
      <c r="AF1041" s="862"/>
      <c r="AG1041" s="864">
        <f t="shared" si="141"/>
        <v>0</v>
      </c>
      <c r="AH1041" s="848"/>
      <c r="AI1041" s="850"/>
      <c r="AJ1041" s="851"/>
      <c r="AK1041" s="857" t="s">
        <v>213</v>
      </c>
      <c r="AL1041" s="858">
        <f>AA1063</f>
        <v>41</v>
      </c>
      <c r="AM1041" s="859">
        <v>53.05</v>
      </c>
      <c r="AN1041" s="859">
        <f t="shared" si="138"/>
        <v>2175.0499999999997</v>
      </c>
      <c r="AO1041" s="860"/>
      <c r="AP1041" s="860"/>
    </row>
    <row r="1042" spans="2:42">
      <c r="B1042" s="861" t="s">
        <v>637</v>
      </c>
      <c r="C1042" s="861"/>
      <c r="D1042" s="861"/>
      <c r="E1042" s="862">
        <v>0</v>
      </c>
      <c r="F1042" s="863"/>
      <c r="G1042" s="848"/>
      <c r="H1042" s="861"/>
      <c r="I1042" s="861"/>
      <c r="J1042" s="862">
        <v>0</v>
      </c>
      <c r="K1042" s="863"/>
      <c r="L1042" s="848"/>
      <c r="M1042" s="861"/>
      <c r="N1042" s="861"/>
      <c r="O1042" s="862">
        <v>0</v>
      </c>
      <c r="P1042" s="863"/>
      <c r="Q1042" s="848"/>
      <c r="R1042" s="861"/>
      <c r="S1042" s="861"/>
      <c r="T1042" s="862">
        <v>0</v>
      </c>
      <c r="U1042" s="863"/>
      <c r="V1042" s="848"/>
      <c r="W1042" s="861"/>
      <c r="X1042" s="861"/>
      <c r="Y1042" s="862">
        <v>0</v>
      </c>
      <c r="Z1042" s="863"/>
      <c r="AA1042" s="864">
        <f t="shared" si="139"/>
        <v>0</v>
      </c>
      <c r="AB1042" s="865">
        <f t="shared" si="140"/>
        <v>0</v>
      </c>
      <c r="AC1042" s="848"/>
      <c r="AD1042" s="861"/>
      <c r="AE1042" s="861"/>
      <c r="AF1042" s="862"/>
      <c r="AG1042" s="864">
        <f t="shared" si="141"/>
        <v>0</v>
      </c>
      <c r="AH1042" s="848"/>
      <c r="AI1042" s="850"/>
      <c r="AJ1042" s="851"/>
      <c r="AK1042" s="857" t="s">
        <v>36</v>
      </c>
      <c r="AL1042" s="858">
        <f>AB1063</f>
        <v>0</v>
      </c>
      <c r="AM1042" s="859">
        <v>79.574999999999989</v>
      </c>
      <c r="AN1042" s="859">
        <f t="shared" si="138"/>
        <v>0</v>
      </c>
      <c r="AO1042" s="860"/>
      <c r="AP1042" s="860"/>
    </row>
    <row r="1043" spans="2:42" s="785" customFormat="1" ht="12.75">
      <c r="B1043" s="887" t="s">
        <v>998</v>
      </c>
      <c r="C1043" s="888"/>
      <c r="D1043" s="888"/>
      <c r="E1043" s="1283">
        <v>0</v>
      </c>
      <c r="F1043" s="889"/>
      <c r="G1043" s="887"/>
      <c r="H1043" s="888">
        <v>0.39583333333333331</v>
      </c>
      <c r="I1043" s="888">
        <v>0.27083333333333331</v>
      </c>
      <c r="J1043" s="889">
        <v>8</v>
      </c>
      <c r="K1043" s="889"/>
      <c r="L1043" s="887"/>
      <c r="M1043" s="888">
        <v>0.375</v>
      </c>
      <c r="N1043" s="888">
        <v>0.25</v>
      </c>
      <c r="O1043" s="889">
        <v>8</v>
      </c>
      <c r="P1043" s="889"/>
      <c r="Q1043" s="887"/>
      <c r="R1043" s="888">
        <v>0.375</v>
      </c>
      <c r="S1043" s="888">
        <v>0.25</v>
      </c>
      <c r="T1043" s="889">
        <v>8</v>
      </c>
      <c r="U1043" s="889"/>
      <c r="V1043" s="887"/>
      <c r="W1043" s="888">
        <v>0.375</v>
      </c>
      <c r="X1043" s="888">
        <v>0.25</v>
      </c>
      <c r="Y1043" s="889">
        <v>8</v>
      </c>
      <c r="Z1043" s="889"/>
      <c r="AA1043" s="890">
        <f t="shared" si="139"/>
        <v>32</v>
      </c>
      <c r="AB1043" s="887">
        <f t="shared" si="140"/>
        <v>0</v>
      </c>
      <c r="AC1043" s="887"/>
      <c r="AD1043" s="888"/>
      <c r="AE1043" s="888"/>
      <c r="AF1043" s="889"/>
      <c r="AG1043" s="890">
        <f t="shared" si="141"/>
        <v>0</v>
      </c>
      <c r="AH1043" s="887"/>
      <c r="AI1043" s="891"/>
      <c r="AJ1043" s="891"/>
      <c r="AK1043" s="887" t="s">
        <v>38</v>
      </c>
      <c r="AL1043" s="892">
        <f>AG1063</f>
        <v>0</v>
      </c>
      <c r="AM1043" s="893">
        <v>79.574999999999989</v>
      </c>
      <c r="AN1043" s="893">
        <f t="shared" si="138"/>
        <v>0</v>
      </c>
      <c r="AO1043" s="891"/>
      <c r="AP1043" s="891"/>
    </row>
    <row r="1044" spans="2:42">
      <c r="B1044" s="861" t="s">
        <v>977</v>
      </c>
      <c r="C1044" s="861"/>
      <c r="D1044" s="861"/>
      <c r="E1044" s="862">
        <v>0</v>
      </c>
      <c r="F1044" s="863"/>
      <c r="G1044" s="848"/>
      <c r="H1044" s="861"/>
      <c r="I1044" s="861"/>
      <c r="J1044" s="862">
        <v>0</v>
      </c>
      <c r="K1044" s="863"/>
      <c r="L1044" s="848"/>
      <c r="M1044" s="861"/>
      <c r="N1044" s="861"/>
      <c r="O1044" s="862">
        <v>0</v>
      </c>
      <c r="P1044" s="863"/>
      <c r="Q1044" s="848"/>
      <c r="R1044" s="861"/>
      <c r="S1044" s="861"/>
      <c r="T1044" s="862">
        <v>0</v>
      </c>
      <c r="U1044" s="863"/>
      <c r="V1044" s="848"/>
      <c r="W1044" s="861"/>
      <c r="X1044" s="861"/>
      <c r="Y1044" s="862">
        <v>0</v>
      </c>
      <c r="Z1044" s="863"/>
      <c r="AA1044" s="864">
        <f t="shared" si="139"/>
        <v>0</v>
      </c>
      <c r="AB1044" s="865">
        <f t="shared" si="140"/>
        <v>0</v>
      </c>
      <c r="AC1044" s="848"/>
      <c r="AD1044" s="861"/>
      <c r="AE1044" s="861"/>
      <c r="AF1044" s="862"/>
      <c r="AG1044" s="864">
        <f t="shared" si="141"/>
        <v>0</v>
      </c>
      <c r="AH1044" s="848"/>
      <c r="AI1044" s="850"/>
      <c r="AJ1044" s="851"/>
      <c r="AK1044" s="860"/>
      <c r="AL1044" s="860"/>
      <c r="AM1044" s="860"/>
      <c r="AN1044" s="859">
        <f>SUM(AN1038:AN1043)</f>
        <v>4734.7349999999997</v>
      </c>
      <c r="AO1044" s="860"/>
      <c r="AP1044" s="860"/>
    </row>
    <row r="1045" spans="2:42">
      <c r="B1045" s="861" t="s">
        <v>519</v>
      </c>
      <c r="C1045" s="861"/>
      <c r="D1045" s="861"/>
      <c r="E1045" s="862">
        <v>0</v>
      </c>
      <c r="F1045" s="863"/>
      <c r="G1045" s="848"/>
      <c r="H1045" s="861"/>
      <c r="I1045" s="861"/>
      <c r="J1045" s="862">
        <v>0</v>
      </c>
      <c r="K1045" s="863"/>
      <c r="L1045" s="848"/>
      <c r="M1045" s="861"/>
      <c r="N1045" s="861"/>
      <c r="O1045" s="862">
        <v>0</v>
      </c>
      <c r="P1045" s="863"/>
      <c r="Q1045" s="848"/>
      <c r="R1045" s="861"/>
      <c r="S1045" s="861"/>
      <c r="T1045" s="862">
        <v>0</v>
      </c>
      <c r="U1045" s="863"/>
      <c r="V1045" s="848"/>
      <c r="W1045" s="861"/>
      <c r="X1045" s="861"/>
      <c r="Y1045" s="862">
        <v>0</v>
      </c>
      <c r="Z1045" s="863"/>
      <c r="AA1045" s="864">
        <f t="shared" si="139"/>
        <v>0</v>
      </c>
      <c r="AB1045" s="865">
        <f t="shared" si="140"/>
        <v>0</v>
      </c>
      <c r="AC1045" s="848"/>
      <c r="AD1045" s="861"/>
      <c r="AE1045" s="861"/>
      <c r="AF1045" s="862"/>
      <c r="AG1045" s="864">
        <f t="shared" si="141"/>
        <v>0</v>
      </c>
      <c r="AH1045" s="848"/>
      <c r="AI1045" s="850"/>
      <c r="AJ1045" s="851"/>
      <c r="AK1045" s="860"/>
      <c r="AL1045" s="860"/>
      <c r="AM1045" s="860"/>
      <c r="AN1045" s="860"/>
      <c r="AO1045" s="860"/>
      <c r="AP1045" s="860"/>
    </row>
    <row r="1046" spans="2:42">
      <c r="B1046" s="861" t="s">
        <v>999</v>
      </c>
      <c r="C1046" s="861"/>
      <c r="D1046" s="867"/>
      <c r="E1046" s="862">
        <v>0</v>
      </c>
      <c r="F1046" s="863"/>
      <c r="G1046" s="848"/>
      <c r="H1046" s="861"/>
      <c r="I1046" s="861"/>
      <c r="J1046" s="862">
        <v>0</v>
      </c>
      <c r="K1046" s="863"/>
      <c r="L1046" s="848"/>
      <c r="M1046" s="861"/>
      <c r="N1046" s="861"/>
      <c r="O1046" s="862">
        <v>0</v>
      </c>
      <c r="P1046" s="863"/>
      <c r="Q1046" s="848"/>
      <c r="R1046" s="861"/>
      <c r="S1046" s="861"/>
      <c r="T1046" s="862">
        <v>0</v>
      </c>
      <c r="U1046" s="863"/>
      <c r="V1046" s="848"/>
      <c r="W1046" s="861"/>
      <c r="X1046" s="861"/>
      <c r="Y1046" s="862">
        <v>0</v>
      </c>
      <c r="Z1046" s="863"/>
      <c r="AA1046" s="864">
        <f t="shared" si="139"/>
        <v>0</v>
      </c>
      <c r="AB1046" s="865">
        <f t="shared" si="140"/>
        <v>0</v>
      </c>
      <c r="AC1046" s="848"/>
      <c r="AD1046" s="861"/>
      <c r="AE1046" s="861"/>
      <c r="AF1046" s="862"/>
      <c r="AG1046" s="864">
        <f t="shared" si="141"/>
        <v>0</v>
      </c>
      <c r="AH1046" s="848"/>
      <c r="AI1046" s="850"/>
      <c r="AJ1046" s="851"/>
      <c r="AK1046" s="868" t="s">
        <v>1115</v>
      </c>
      <c r="AL1046" s="869">
        <f>C1064</f>
        <v>5</v>
      </c>
      <c r="AM1046" s="859">
        <v>45</v>
      </c>
      <c r="AN1046" s="859">
        <f>AM1046*AL1046</f>
        <v>225</v>
      </c>
      <c r="AO1046" s="860"/>
      <c r="AP1046" s="860"/>
    </row>
    <row r="1047" spans="2:42">
      <c r="B1047" s="861" t="s">
        <v>1113</v>
      </c>
      <c r="C1047" s="861"/>
      <c r="D1047" s="861"/>
      <c r="E1047" s="862">
        <v>0</v>
      </c>
      <c r="F1047" s="863"/>
      <c r="G1047" s="848"/>
      <c r="H1047" s="861"/>
      <c r="I1047" s="861"/>
      <c r="J1047" s="862">
        <v>0</v>
      </c>
      <c r="K1047" s="863"/>
      <c r="L1047" s="848"/>
      <c r="M1047" s="861"/>
      <c r="N1047" s="861"/>
      <c r="O1047" s="862">
        <v>0</v>
      </c>
      <c r="P1047" s="863"/>
      <c r="Q1047" s="848"/>
      <c r="R1047" s="861"/>
      <c r="S1047" s="861"/>
      <c r="T1047" s="862">
        <v>0</v>
      </c>
      <c r="U1047" s="863"/>
      <c r="V1047" s="848"/>
      <c r="W1047" s="861"/>
      <c r="X1047" s="861"/>
      <c r="Y1047" s="862">
        <v>0</v>
      </c>
      <c r="Z1047" s="863"/>
      <c r="AA1047" s="864">
        <f t="shared" si="139"/>
        <v>0</v>
      </c>
      <c r="AB1047" s="865">
        <f t="shared" si="140"/>
        <v>0</v>
      </c>
      <c r="AC1047" s="848"/>
      <c r="AD1047" s="861"/>
      <c r="AE1047" s="861"/>
      <c r="AF1047" s="862"/>
      <c r="AG1047" s="864">
        <f t="shared" si="141"/>
        <v>0</v>
      </c>
      <c r="AH1047" s="848"/>
      <c r="AI1047" s="850"/>
      <c r="AJ1047" s="851"/>
      <c r="AK1047" s="860"/>
      <c r="AL1047" s="860"/>
      <c r="AM1047" s="860"/>
      <c r="AN1047" s="860"/>
      <c r="AO1047" s="860"/>
      <c r="AP1047" s="860"/>
    </row>
    <row r="1048" spans="2:42">
      <c r="B1048" s="870" t="s">
        <v>483</v>
      </c>
      <c r="C1048" s="861"/>
      <c r="D1048" s="861"/>
      <c r="E1048" s="862">
        <v>0</v>
      </c>
      <c r="F1048" s="863"/>
      <c r="G1048" s="848"/>
      <c r="H1048" s="861"/>
      <c r="I1048" s="861"/>
      <c r="J1048" s="862">
        <v>0</v>
      </c>
      <c r="K1048" s="863"/>
      <c r="L1048" s="848"/>
      <c r="M1048" s="861"/>
      <c r="N1048" s="861"/>
      <c r="O1048" s="862">
        <v>0</v>
      </c>
      <c r="P1048" s="863"/>
      <c r="Q1048" s="848"/>
      <c r="R1048" s="861"/>
      <c r="S1048" s="861"/>
      <c r="T1048" s="862">
        <v>0</v>
      </c>
      <c r="U1048" s="863"/>
      <c r="V1048" s="848"/>
      <c r="W1048" s="861"/>
      <c r="X1048" s="861"/>
      <c r="Y1048" s="862">
        <v>0</v>
      </c>
      <c r="Z1048" s="863"/>
      <c r="AA1048" s="864">
        <f t="shared" si="139"/>
        <v>0</v>
      </c>
      <c r="AB1048" s="865">
        <f t="shared" si="140"/>
        <v>0</v>
      </c>
      <c r="AC1048" s="848"/>
      <c r="AD1048" s="861"/>
      <c r="AE1048" s="861"/>
      <c r="AF1048" s="862"/>
      <c r="AG1048" s="864">
        <f t="shared" si="141"/>
        <v>0</v>
      </c>
      <c r="AH1048" s="848"/>
      <c r="AI1048" s="850"/>
      <c r="AJ1048" s="851"/>
      <c r="AK1048" s="860"/>
      <c r="AL1048" s="860"/>
      <c r="AM1048" s="860"/>
      <c r="AN1048" s="860"/>
      <c r="AO1048" s="860"/>
      <c r="AP1048" s="860"/>
    </row>
    <row r="1049" spans="2:42">
      <c r="B1049" s="870" t="s">
        <v>483</v>
      </c>
      <c r="C1049" s="861"/>
      <c r="D1049" s="861"/>
      <c r="E1049" s="862">
        <v>0</v>
      </c>
      <c r="F1049" s="863"/>
      <c r="G1049" s="848"/>
      <c r="H1049" s="861"/>
      <c r="I1049" s="861"/>
      <c r="J1049" s="862">
        <v>0</v>
      </c>
      <c r="K1049" s="863"/>
      <c r="L1049" s="848"/>
      <c r="M1049" s="861"/>
      <c r="N1049" s="861"/>
      <c r="O1049" s="862">
        <v>0</v>
      </c>
      <c r="P1049" s="863"/>
      <c r="Q1049" s="848"/>
      <c r="R1049" s="861"/>
      <c r="S1049" s="861"/>
      <c r="T1049" s="862">
        <v>4</v>
      </c>
      <c r="U1049" s="863"/>
      <c r="V1049" s="848"/>
      <c r="W1049" s="861"/>
      <c r="X1049" s="861"/>
      <c r="Y1049" s="862">
        <v>4</v>
      </c>
      <c r="Z1049" s="863"/>
      <c r="AA1049" s="864">
        <f t="shared" si="139"/>
        <v>8</v>
      </c>
      <c r="AB1049" s="865">
        <f t="shared" si="140"/>
        <v>0</v>
      </c>
      <c r="AC1049" s="848"/>
      <c r="AD1049" s="861"/>
      <c r="AE1049" s="861"/>
      <c r="AF1049" s="862"/>
      <c r="AG1049" s="864">
        <f t="shared" si="141"/>
        <v>0</v>
      </c>
      <c r="AH1049" s="848"/>
      <c r="AI1049" s="850"/>
      <c r="AJ1049" s="851"/>
      <c r="AK1049" s="860"/>
      <c r="AL1049" s="860"/>
      <c r="AM1049" s="860"/>
      <c r="AN1049" s="860"/>
      <c r="AO1049" s="860"/>
      <c r="AP1049" s="860"/>
    </row>
    <row r="1050" spans="2:42">
      <c r="B1050" s="870" t="s">
        <v>484</v>
      </c>
      <c r="C1050" s="861"/>
      <c r="D1050" s="861"/>
      <c r="E1050" s="862">
        <v>0</v>
      </c>
      <c r="F1050" s="863"/>
      <c r="G1050" s="848"/>
      <c r="H1050" s="861"/>
      <c r="I1050" s="861"/>
      <c r="J1050" s="862">
        <v>0</v>
      </c>
      <c r="K1050" s="863"/>
      <c r="L1050" s="848"/>
      <c r="M1050" s="861"/>
      <c r="N1050" s="861"/>
      <c r="O1050" s="862">
        <v>0</v>
      </c>
      <c r="P1050" s="863"/>
      <c r="Q1050" s="848"/>
      <c r="R1050" s="861"/>
      <c r="S1050" s="861"/>
      <c r="T1050" s="862">
        <v>4</v>
      </c>
      <c r="U1050" s="863"/>
      <c r="V1050" s="848"/>
      <c r="W1050" s="861"/>
      <c r="X1050" s="861"/>
      <c r="Y1050" s="862">
        <v>4</v>
      </c>
      <c r="Z1050" s="863"/>
      <c r="AA1050" s="864">
        <f t="shared" si="139"/>
        <v>8</v>
      </c>
      <c r="AB1050" s="865">
        <f t="shared" si="140"/>
        <v>0</v>
      </c>
      <c r="AC1050" s="848"/>
      <c r="AD1050" s="861"/>
      <c r="AE1050" s="861"/>
      <c r="AF1050" s="862"/>
      <c r="AG1050" s="864">
        <f t="shared" si="141"/>
        <v>0</v>
      </c>
      <c r="AH1050" s="848"/>
      <c r="AI1050" s="850"/>
      <c r="AJ1050" s="851"/>
      <c r="AK1050" s="860"/>
      <c r="AL1050" s="860"/>
      <c r="AM1050" s="860"/>
      <c r="AN1050" s="860"/>
      <c r="AO1050" s="860"/>
      <c r="AP1050" s="860"/>
    </row>
    <row r="1051" spans="2:42">
      <c r="B1051" s="870" t="s">
        <v>485</v>
      </c>
      <c r="C1051" s="861"/>
      <c r="D1051" s="861"/>
      <c r="E1051" s="862">
        <v>0</v>
      </c>
      <c r="F1051" s="863"/>
      <c r="G1051" s="848"/>
      <c r="H1051" s="861"/>
      <c r="I1051" s="861"/>
      <c r="J1051" s="862">
        <v>0</v>
      </c>
      <c r="K1051" s="863"/>
      <c r="L1051" s="848"/>
      <c r="M1051" s="861"/>
      <c r="N1051" s="861"/>
      <c r="O1051" s="862">
        <v>0</v>
      </c>
      <c r="P1051" s="863"/>
      <c r="Q1051" s="848"/>
      <c r="R1051" s="861"/>
      <c r="S1051" s="861"/>
      <c r="T1051" s="862">
        <v>0</v>
      </c>
      <c r="U1051" s="863"/>
      <c r="V1051" s="848"/>
      <c r="W1051" s="861"/>
      <c r="X1051" s="861"/>
      <c r="Y1051" s="862">
        <v>0</v>
      </c>
      <c r="Z1051" s="863"/>
      <c r="AA1051" s="864">
        <f t="shared" si="139"/>
        <v>0</v>
      </c>
      <c r="AB1051" s="865">
        <f t="shared" si="140"/>
        <v>0</v>
      </c>
      <c r="AC1051" s="848"/>
      <c r="AD1051" s="861"/>
      <c r="AE1051" s="861"/>
      <c r="AF1051" s="862"/>
      <c r="AG1051" s="864">
        <f t="shared" si="141"/>
        <v>0</v>
      </c>
      <c r="AH1051" s="848"/>
      <c r="AI1051" s="850"/>
      <c r="AJ1051" s="851"/>
      <c r="AK1051" s="860"/>
      <c r="AL1051" s="860"/>
      <c r="AM1051" s="860"/>
      <c r="AN1051" s="860"/>
      <c r="AO1051" s="860"/>
      <c r="AP1051" s="860"/>
    </row>
    <row r="1052" spans="2:42">
      <c r="B1052" s="870" t="s">
        <v>1129</v>
      </c>
      <c r="C1052" s="861"/>
      <c r="D1052" s="861"/>
      <c r="E1052" s="862">
        <v>0</v>
      </c>
      <c r="F1052" s="863"/>
      <c r="G1052" s="848"/>
      <c r="H1052" s="861"/>
      <c r="I1052" s="861"/>
      <c r="J1052" s="862">
        <v>0</v>
      </c>
      <c r="K1052" s="863"/>
      <c r="L1052" s="848"/>
      <c r="M1052" s="861"/>
      <c r="N1052" s="861"/>
      <c r="O1052" s="862">
        <v>0</v>
      </c>
      <c r="P1052" s="863"/>
      <c r="Q1052" s="848"/>
      <c r="R1052" s="861"/>
      <c r="S1052" s="861"/>
      <c r="T1052" s="862">
        <v>0</v>
      </c>
      <c r="U1052" s="863"/>
      <c r="V1052" s="848"/>
      <c r="W1052" s="861"/>
      <c r="X1052" s="861"/>
      <c r="Y1052" s="862">
        <v>0</v>
      </c>
      <c r="Z1052" s="863"/>
      <c r="AA1052" s="864">
        <f t="shared" si="139"/>
        <v>0</v>
      </c>
      <c r="AB1052" s="865">
        <f t="shared" si="140"/>
        <v>0</v>
      </c>
      <c r="AC1052" s="848"/>
      <c r="AD1052" s="861"/>
      <c r="AE1052" s="861"/>
      <c r="AF1052" s="862"/>
      <c r="AG1052" s="864">
        <f t="shared" si="141"/>
        <v>0</v>
      </c>
      <c r="AH1052" s="848"/>
      <c r="AI1052" s="850"/>
      <c r="AJ1052" s="851"/>
      <c r="AK1052" s="860"/>
      <c r="AL1052" s="860"/>
      <c r="AM1052" s="860"/>
      <c r="AN1052" s="860"/>
      <c r="AO1052" s="860"/>
      <c r="AP1052" s="860"/>
    </row>
    <row r="1053" spans="2:42">
      <c r="B1053" s="871" t="s">
        <v>358</v>
      </c>
      <c r="C1053" s="861"/>
      <c r="D1053" s="861"/>
      <c r="E1053" s="862">
        <v>0</v>
      </c>
      <c r="F1053" s="863"/>
      <c r="G1053" s="848"/>
      <c r="H1053" s="861"/>
      <c r="I1053" s="861"/>
      <c r="J1053" s="862">
        <v>0</v>
      </c>
      <c r="K1053" s="863"/>
      <c r="L1053" s="872"/>
      <c r="M1053" s="861"/>
      <c r="N1053" s="861"/>
      <c r="O1053" s="862">
        <v>0</v>
      </c>
      <c r="P1053" s="863"/>
      <c r="Q1053" s="872"/>
      <c r="R1053" s="861"/>
      <c r="S1053" s="861"/>
      <c r="T1053" s="862">
        <v>0</v>
      </c>
      <c r="U1053" s="863"/>
      <c r="V1053" s="872"/>
      <c r="W1053" s="861"/>
      <c r="X1053" s="861"/>
      <c r="Y1053" s="862">
        <v>0</v>
      </c>
      <c r="Z1053" s="863"/>
      <c r="AA1053" s="864">
        <f t="shared" si="139"/>
        <v>0</v>
      </c>
      <c r="AB1053" s="865">
        <f t="shared" si="140"/>
        <v>0</v>
      </c>
      <c r="AC1053" s="848"/>
      <c r="AD1053" s="861"/>
      <c r="AE1053" s="861"/>
      <c r="AF1053" s="862"/>
      <c r="AG1053" s="864">
        <f t="shared" si="141"/>
        <v>0</v>
      </c>
      <c r="AH1053" s="848"/>
      <c r="AI1053" s="850"/>
      <c r="AJ1053" s="851"/>
      <c r="AK1053" s="860"/>
      <c r="AL1053" s="860"/>
      <c r="AM1053" s="860"/>
      <c r="AN1053" s="860"/>
      <c r="AO1053" s="860"/>
      <c r="AP1053" s="860"/>
    </row>
    <row r="1054" spans="2:42">
      <c r="B1054" s="871" t="s">
        <v>1139</v>
      </c>
      <c r="C1054" s="861"/>
      <c r="D1054" s="861"/>
      <c r="E1054" s="862">
        <v>0</v>
      </c>
      <c r="F1054" s="863"/>
      <c r="G1054" s="848"/>
      <c r="H1054" s="861"/>
      <c r="I1054" s="861"/>
      <c r="J1054" s="862">
        <v>0</v>
      </c>
      <c r="K1054" s="863"/>
      <c r="L1054" s="872"/>
      <c r="M1054" s="861"/>
      <c r="N1054" s="861"/>
      <c r="O1054" s="862">
        <v>0</v>
      </c>
      <c r="P1054" s="863"/>
      <c r="Q1054" s="872"/>
      <c r="R1054" s="861"/>
      <c r="S1054" s="861"/>
      <c r="T1054" s="862">
        <v>0</v>
      </c>
      <c r="U1054" s="863"/>
      <c r="V1054" s="872"/>
      <c r="W1054" s="861"/>
      <c r="X1054" s="861"/>
      <c r="Y1054" s="862">
        <v>0</v>
      </c>
      <c r="Z1054" s="863"/>
      <c r="AA1054" s="864">
        <f t="shared" si="139"/>
        <v>0</v>
      </c>
      <c r="AB1054" s="865">
        <f t="shared" si="140"/>
        <v>0</v>
      </c>
      <c r="AC1054" s="848"/>
      <c r="AD1054" s="861"/>
      <c r="AE1054" s="861"/>
      <c r="AF1054" s="862"/>
      <c r="AG1054" s="864">
        <f t="shared" si="141"/>
        <v>0</v>
      </c>
      <c r="AH1054" s="848"/>
      <c r="AI1054" s="850"/>
      <c r="AJ1054" s="851"/>
      <c r="AK1054" s="860"/>
      <c r="AL1054" s="860"/>
      <c r="AM1054" s="860"/>
      <c r="AN1054" s="860"/>
      <c r="AO1054" s="860"/>
      <c r="AP1054" s="860"/>
    </row>
    <row r="1055" spans="2:42">
      <c r="B1055" s="871" t="s">
        <v>411</v>
      </c>
      <c r="C1055" s="861"/>
      <c r="D1055" s="861"/>
      <c r="E1055" s="862">
        <v>0</v>
      </c>
      <c r="F1055" s="863"/>
      <c r="G1055" s="848"/>
      <c r="H1055" s="861"/>
      <c r="I1055" s="861"/>
      <c r="J1055" s="862">
        <v>0</v>
      </c>
      <c r="K1055" s="863"/>
      <c r="L1055" s="872"/>
      <c r="M1055" s="861"/>
      <c r="N1055" s="861"/>
      <c r="O1055" s="862">
        <v>0</v>
      </c>
      <c r="P1055" s="863"/>
      <c r="Q1055" s="872"/>
      <c r="R1055" s="861"/>
      <c r="S1055" s="861"/>
      <c r="T1055" s="862">
        <v>0</v>
      </c>
      <c r="U1055" s="863"/>
      <c r="V1055" s="872"/>
      <c r="W1055" s="861"/>
      <c r="X1055" s="861"/>
      <c r="Y1055" s="862">
        <v>0</v>
      </c>
      <c r="Z1055" s="863"/>
      <c r="AA1055" s="864">
        <f t="shared" si="139"/>
        <v>0</v>
      </c>
      <c r="AB1055" s="865">
        <f t="shared" si="140"/>
        <v>0</v>
      </c>
      <c r="AC1055" s="848"/>
      <c r="AD1055" s="861"/>
      <c r="AE1055" s="861"/>
      <c r="AF1055" s="862"/>
      <c r="AG1055" s="864">
        <f t="shared" si="141"/>
        <v>0</v>
      </c>
      <c r="AH1055" s="848"/>
      <c r="AI1055" s="850"/>
      <c r="AJ1055" s="851"/>
      <c r="AK1055" s="860"/>
      <c r="AL1055" s="860"/>
      <c r="AM1055" s="860"/>
      <c r="AN1055" s="860"/>
      <c r="AO1055" s="860"/>
      <c r="AP1055" s="860"/>
    </row>
    <row r="1056" spans="2:42">
      <c r="B1056" s="871" t="s">
        <v>361</v>
      </c>
      <c r="C1056" s="861"/>
      <c r="D1056" s="861"/>
      <c r="E1056" s="862">
        <v>0</v>
      </c>
      <c r="F1056" s="863"/>
      <c r="G1056" s="848"/>
      <c r="H1056" s="861"/>
      <c r="I1056" s="861"/>
      <c r="J1056" s="862">
        <v>0</v>
      </c>
      <c r="K1056" s="863"/>
      <c r="L1056" s="872"/>
      <c r="M1056" s="861"/>
      <c r="N1056" s="861"/>
      <c r="O1056" s="862">
        <v>0</v>
      </c>
      <c r="P1056" s="863"/>
      <c r="Q1056" s="872"/>
      <c r="R1056" s="861"/>
      <c r="S1056" s="861"/>
      <c r="T1056" s="862">
        <v>0</v>
      </c>
      <c r="U1056" s="863"/>
      <c r="V1056" s="872"/>
      <c r="W1056" s="861"/>
      <c r="X1056" s="861"/>
      <c r="Y1056" s="862">
        <v>0</v>
      </c>
      <c r="Z1056" s="863"/>
      <c r="AA1056" s="864">
        <f t="shared" si="139"/>
        <v>0</v>
      </c>
      <c r="AB1056" s="865">
        <f t="shared" si="140"/>
        <v>0</v>
      </c>
      <c r="AC1056" s="848"/>
      <c r="AD1056" s="861"/>
      <c r="AE1056" s="861"/>
      <c r="AF1056" s="862"/>
      <c r="AG1056" s="864">
        <f t="shared" si="141"/>
        <v>0</v>
      </c>
      <c r="AH1056" s="848"/>
      <c r="AI1056" s="850"/>
      <c r="AJ1056" s="851"/>
      <c r="AK1056" s="860"/>
      <c r="AL1056" s="860"/>
      <c r="AM1056" s="860"/>
      <c r="AN1056" s="860"/>
      <c r="AO1056" s="860"/>
      <c r="AP1056" s="860"/>
    </row>
    <row r="1057" spans="2:49">
      <c r="B1057" s="871" t="s">
        <v>362</v>
      </c>
      <c r="C1057" s="861"/>
      <c r="D1057" s="873"/>
      <c r="E1057" s="862">
        <v>0</v>
      </c>
      <c r="F1057" s="863"/>
      <c r="G1057" s="848"/>
      <c r="H1057" s="861"/>
      <c r="I1057" s="873"/>
      <c r="J1057" s="862">
        <v>0</v>
      </c>
      <c r="K1057" s="863"/>
      <c r="L1057" s="872"/>
      <c r="M1057" s="861"/>
      <c r="N1057" s="873"/>
      <c r="O1057" s="862">
        <v>0</v>
      </c>
      <c r="P1057" s="863"/>
      <c r="Q1057" s="872"/>
      <c r="R1057" s="861"/>
      <c r="S1057" s="873"/>
      <c r="T1057" s="862">
        <v>0</v>
      </c>
      <c r="U1057" s="863"/>
      <c r="V1057" s="872"/>
      <c r="W1057" s="861"/>
      <c r="X1057" s="873"/>
      <c r="Y1057" s="862">
        <v>0</v>
      </c>
      <c r="Z1057" s="863"/>
      <c r="AA1057" s="864">
        <f t="shared" si="139"/>
        <v>0</v>
      </c>
      <c r="AB1057" s="865">
        <f t="shared" si="140"/>
        <v>0</v>
      </c>
      <c r="AC1057" s="848"/>
      <c r="AD1057" s="861"/>
      <c r="AE1057" s="861"/>
      <c r="AF1057" s="862"/>
      <c r="AG1057" s="864">
        <f t="shared" si="141"/>
        <v>0</v>
      </c>
      <c r="AH1057" s="848"/>
      <c r="AI1057" s="850"/>
      <c r="AJ1057" s="851"/>
      <c r="AK1057" s="860"/>
      <c r="AL1057" s="860"/>
      <c r="AM1057" s="860"/>
      <c r="AN1057" s="860"/>
      <c r="AO1057" s="860"/>
      <c r="AP1057" s="860"/>
    </row>
    <row r="1058" spans="2:49">
      <c r="B1058" s="874" t="s">
        <v>355</v>
      </c>
      <c r="C1058" s="861"/>
      <c r="D1058" s="861"/>
      <c r="E1058" s="862">
        <v>0</v>
      </c>
      <c r="F1058" s="863"/>
      <c r="G1058" s="848"/>
      <c r="H1058" s="861"/>
      <c r="I1058" s="861"/>
      <c r="J1058" s="862">
        <v>0</v>
      </c>
      <c r="K1058" s="863"/>
      <c r="L1058" s="872"/>
      <c r="M1058" s="861"/>
      <c r="N1058" s="861"/>
      <c r="O1058" s="862">
        <v>0</v>
      </c>
      <c r="P1058" s="863"/>
      <c r="Q1058" s="872"/>
      <c r="R1058" s="861"/>
      <c r="S1058" s="861"/>
      <c r="T1058" s="862">
        <v>7.75</v>
      </c>
      <c r="U1058" s="863"/>
      <c r="V1058" s="872"/>
      <c r="W1058" s="861"/>
      <c r="X1058" s="861"/>
      <c r="Y1058" s="862">
        <v>7.75</v>
      </c>
      <c r="Z1058" s="863"/>
      <c r="AA1058" s="864">
        <f t="shared" si="139"/>
        <v>15.5</v>
      </c>
      <c r="AB1058" s="865">
        <f t="shared" si="140"/>
        <v>0</v>
      </c>
      <c r="AC1058" s="848"/>
      <c r="AD1058" s="861"/>
      <c r="AE1058" s="861"/>
      <c r="AF1058" s="862"/>
      <c r="AG1058" s="864">
        <f t="shared" si="141"/>
        <v>0</v>
      </c>
      <c r="AH1058" s="848"/>
      <c r="AI1058" s="850"/>
      <c r="AJ1058" s="851"/>
      <c r="AK1058" s="860"/>
      <c r="AL1058" s="860"/>
      <c r="AM1058" s="860"/>
      <c r="AN1058" s="860"/>
      <c r="AO1058" s="860"/>
      <c r="AP1058" s="860"/>
    </row>
    <row r="1059" spans="2:49">
      <c r="B1059" s="874" t="s">
        <v>356</v>
      </c>
      <c r="C1059" s="875"/>
      <c r="D1059" s="875"/>
      <c r="E1059" s="862">
        <v>0</v>
      </c>
      <c r="F1059" s="863"/>
      <c r="G1059" s="872"/>
      <c r="H1059" s="873"/>
      <c r="I1059" s="873"/>
      <c r="J1059" s="862">
        <v>0</v>
      </c>
      <c r="K1059" s="863"/>
      <c r="L1059" s="872"/>
      <c r="M1059" s="873"/>
      <c r="N1059" s="873"/>
      <c r="O1059" s="862">
        <v>0</v>
      </c>
      <c r="P1059" s="863"/>
      <c r="Q1059" s="872"/>
      <c r="R1059" s="873"/>
      <c r="S1059" s="873"/>
      <c r="T1059" s="862">
        <v>0</v>
      </c>
      <c r="U1059" s="863"/>
      <c r="V1059" s="872"/>
      <c r="W1059" s="873"/>
      <c r="X1059" s="873"/>
      <c r="Y1059" s="862">
        <v>0</v>
      </c>
      <c r="Z1059" s="863"/>
      <c r="AA1059" s="864">
        <f t="shared" si="139"/>
        <v>0</v>
      </c>
      <c r="AB1059" s="865">
        <f t="shared" si="140"/>
        <v>0</v>
      </c>
      <c r="AC1059" s="848"/>
      <c r="AD1059" s="861"/>
      <c r="AE1059" s="861"/>
      <c r="AF1059" s="862"/>
      <c r="AG1059" s="864">
        <f t="shared" si="141"/>
        <v>0</v>
      </c>
      <c r="AH1059" s="848"/>
      <c r="AI1059" s="850"/>
      <c r="AJ1059" s="851"/>
      <c r="AK1059" s="860"/>
      <c r="AL1059" s="860"/>
      <c r="AM1059" s="860"/>
      <c r="AN1059" s="860"/>
      <c r="AO1059" s="860"/>
      <c r="AP1059" s="860"/>
    </row>
    <row r="1060" spans="2:49">
      <c r="B1060" s="876" t="s">
        <v>61</v>
      </c>
      <c r="C1060" s="876"/>
      <c r="D1060" s="876"/>
      <c r="E1060" s="877">
        <f>SUM(E1039:E1059)</f>
        <v>0</v>
      </c>
      <c r="F1060" s="863"/>
      <c r="G1060" s="876"/>
      <c r="H1060" s="876"/>
      <c r="I1060" s="876"/>
      <c r="J1060" s="877">
        <f>SUM(J1039:J1059)</f>
        <v>8</v>
      </c>
      <c r="K1060" s="863"/>
      <c r="L1060" s="876"/>
      <c r="M1060" s="876"/>
      <c r="N1060" s="876"/>
      <c r="O1060" s="877">
        <f>SUM(O1039:O1059)</f>
        <v>8</v>
      </c>
      <c r="P1060" s="863"/>
      <c r="Q1060" s="876"/>
      <c r="R1060" s="876"/>
      <c r="S1060" s="876"/>
      <c r="T1060" s="877">
        <f>SUM(T1039:T1059)</f>
        <v>23.75</v>
      </c>
      <c r="U1060" s="863"/>
      <c r="V1060" s="876"/>
      <c r="W1060" s="876"/>
      <c r="X1060" s="876"/>
      <c r="Y1060" s="877">
        <f>SUM(Y1039:Y1059)</f>
        <v>23.75</v>
      </c>
      <c r="Z1060" s="863"/>
      <c r="AA1060" s="864">
        <f>SUM(AA1039:AA1059)</f>
        <v>63.5</v>
      </c>
      <c r="AB1060" s="864">
        <f>SUM(AB1039:AB1059)</f>
        <v>0</v>
      </c>
      <c r="AC1060" s="848"/>
      <c r="AD1060" s="876"/>
      <c r="AE1060" s="876"/>
      <c r="AF1060" s="864">
        <f>SUM(AF1039:AF1059)</f>
        <v>0</v>
      </c>
      <c r="AG1060" s="864">
        <f>SUM(AG1039:AG1059)</f>
        <v>0</v>
      </c>
      <c r="AH1060" s="848"/>
      <c r="AI1060" s="850"/>
      <c r="AJ1060" s="851"/>
      <c r="AK1060" s="860"/>
      <c r="AL1060" s="860"/>
      <c r="AM1060" s="860"/>
      <c r="AN1060" s="860"/>
      <c r="AO1060" s="860"/>
      <c r="AP1060" s="860"/>
    </row>
    <row r="1061" spans="2:49">
      <c r="B1061" s="871" t="s">
        <v>1116</v>
      </c>
      <c r="C1061" s="861"/>
      <c r="D1061" s="861"/>
      <c r="E1061" s="862">
        <v>8</v>
      </c>
      <c r="F1061" s="863"/>
      <c r="G1061" s="848"/>
      <c r="H1061" s="861"/>
      <c r="I1061" s="861"/>
      <c r="J1061" s="862">
        <v>8</v>
      </c>
      <c r="K1061" s="863"/>
      <c r="L1061" s="848"/>
      <c r="M1061" s="861"/>
      <c r="N1061" s="861"/>
      <c r="O1061" s="862">
        <v>8</v>
      </c>
      <c r="P1061" s="863"/>
      <c r="Q1061" s="848"/>
      <c r="R1061" s="861"/>
      <c r="S1061" s="861"/>
      <c r="T1061" s="862">
        <v>8</v>
      </c>
      <c r="U1061" s="863"/>
      <c r="V1061" s="848"/>
      <c r="W1061" s="861"/>
      <c r="X1061" s="861"/>
      <c r="Y1061" s="862">
        <v>8</v>
      </c>
      <c r="Z1061" s="863"/>
      <c r="AA1061" s="864">
        <f>(E1061+J1061+O1061+T1061+Y1061)</f>
        <v>40</v>
      </c>
      <c r="AB1061" s="865">
        <f>Z1061+U1061+P1061+K1061+F1061</f>
        <v>0</v>
      </c>
      <c r="AC1061" s="848"/>
      <c r="AD1061" s="861"/>
      <c r="AE1061" s="861"/>
      <c r="AF1061" s="862"/>
      <c r="AG1061" s="864">
        <f>AF1061</f>
        <v>0</v>
      </c>
      <c r="AH1061" s="848"/>
      <c r="AI1061" s="850"/>
      <c r="AJ1061" s="851"/>
      <c r="AK1061" s="860"/>
      <c r="AL1061" s="860"/>
      <c r="AM1061" s="860"/>
      <c r="AN1061" s="860"/>
      <c r="AO1061" s="860"/>
      <c r="AP1061" s="860"/>
    </row>
    <row r="1062" spans="2:49" s="776" customFormat="1">
      <c r="B1062" s="871" t="s">
        <v>64</v>
      </c>
      <c r="C1062" s="861"/>
      <c r="D1062" s="861"/>
      <c r="E1062" s="862">
        <v>0</v>
      </c>
      <c r="F1062" s="862"/>
      <c r="G1062" s="878"/>
      <c r="H1062" s="861"/>
      <c r="I1062" s="861"/>
      <c r="J1062" s="862">
        <v>1</v>
      </c>
      <c r="K1062" s="862"/>
      <c r="L1062" s="872"/>
      <c r="M1062" s="861"/>
      <c r="N1062" s="861"/>
      <c r="O1062" s="862">
        <v>0</v>
      </c>
      <c r="P1062" s="862"/>
      <c r="Q1062" s="872"/>
      <c r="R1062" s="861"/>
      <c r="S1062" s="861"/>
      <c r="T1062" s="862">
        <v>0</v>
      </c>
      <c r="U1062" s="862"/>
      <c r="V1062" s="872"/>
      <c r="W1062" s="861"/>
      <c r="X1062" s="861"/>
      <c r="Y1062" s="862">
        <v>0</v>
      </c>
      <c r="Z1062" s="862"/>
      <c r="AA1062" s="864">
        <f>SUM(E1062+J1062+O1062+T1062+Y1062)</f>
        <v>1</v>
      </c>
      <c r="AB1062" s="855">
        <f>Z1062+U1062+P1062+K1062+F1062</f>
        <v>0</v>
      </c>
      <c r="AC1062" s="848"/>
      <c r="AD1062" s="861" t="s">
        <v>29</v>
      </c>
      <c r="AE1062" s="861" t="s">
        <v>29</v>
      </c>
      <c r="AF1062" s="862"/>
      <c r="AG1062" s="864">
        <f>AF1062</f>
        <v>0</v>
      </c>
      <c r="AH1062" s="848"/>
      <c r="AI1062" s="850"/>
      <c r="AJ1062" s="851"/>
      <c r="AK1062" s="860"/>
      <c r="AL1062" s="860"/>
      <c r="AM1062" s="860"/>
      <c r="AN1062" s="860"/>
      <c r="AO1062" s="860"/>
      <c r="AP1062" s="860"/>
      <c r="AQ1062" s="771"/>
      <c r="AR1062" s="771"/>
      <c r="AS1062" s="771"/>
      <c r="AT1062" s="771"/>
      <c r="AU1062" s="771"/>
      <c r="AV1062" s="771"/>
      <c r="AW1062" s="771"/>
    </row>
    <row r="1063" spans="2:49">
      <c r="B1063" s="878" t="s">
        <v>66</v>
      </c>
      <c r="C1063" s="879"/>
      <c r="D1063" s="879"/>
      <c r="E1063" s="878"/>
      <c r="F1063" s="878"/>
      <c r="G1063" s="878"/>
      <c r="H1063" s="878"/>
      <c r="I1063" s="878"/>
      <c r="J1063" s="878"/>
      <c r="K1063" s="878"/>
      <c r="L1063" s="878"/>
      <c r="M1063" s="878"/>
      <c r="N1063" s="878"/>
      <c r="O1063" s="878"/>
      <c r="P1063" s="878"/>
      <c r="Q1063" s="878"/>
      <c r="R1063" s="878"/>
      <c r="S1063" s="878"/>
      <c r="T1063" s="878"/>
      <c r="U1063" s="878"/>
      <c r="V1063" s="878"/>
      <c r="W1063" s="878"/>
      <c r="X1063" s="878"/>
      <c r="Y1063" s="878"/>
      <c r="Z1063" s="878"/>
      <c r="AA1063" s="864">
        <f>SUM(AA1061:AA1062)</f>
        <v>41</v>
      </c>
      <c r="AB1063" s="864">
        <f>SUM(AB1062:AB1062)</f>
        <v>0</v>
      </c>
      <c r="AC1063" s="848"/>
      <c r="AD1063" s="851"/>
      <c r="AE1063" s="851"/>
      <c r="AF1063" s="851"/>
      <c r="AG1063" s="864">
        <f>SUM(AG1062:AG1062)</f>
        <v>0</v>
      </c>
      <c r="AH1063" s="848"/>
      <c r="AI1063" s="850"/>
      <c r="AJ1063" s="851"/>
      <c r="AK1063" s="880"/>
      <c r="AL1063" s="860"/>
      <c r="AM1063" s="860"/>
      <c r="AN1063" s="860"/>
      <c r="AO1063" s="860"/>
      <c r="AP1063" s="860"/>
    </row>
    <row r="1064" spans="2:49">
      <c r="B1064" s="881" t="s">
        <v>67</v>
      </c>
      <c r="C1064" s="882">
        <f>C1065+C1066</f>
        <v>5</v>
      </c>
      <c r="D1064" s="882"/>
      <c r="E1064" s="883"/>
      <c r="F1064" s="883"/>
      <c r="G1064" s="882"/>
      <c r="H1064" s="883"/>
      <c r="I1064" s="883"/>
      <c r="J1064" s="883"/>
      <c r="K1064" s="883"/>
      <c r="L1064" s="882"/>
      <c r="M1064" s="882"/>
      <c r="N1064" s="882"/>
      <c r="O1064" s="882"/>
      <c r="P1064" s="883"/>
      <c r="Q1064" s="882"/>
      <c r="R1064" s="882"/>
      <c r="S1064" s="882"/>
      <c r="T1064" s="882"/>
      <c r="U1064" s="883"/>
      <c r="V1064" s="882"/>
      <c r="W1064" s="882"/>
      <c r="X1064" s="882"/>
      <c r="Y1064" s="884"/>
      <c r="Z1064" s="883"/>
      <c r="AA1064" s="885"/>
      <c r="AB1064" s="883"/>
      <c r="AC1064" s="885"/>
      <c r="AD1064" s="885"/>
      <c r="AE1064" s="885"/>
      <c r="AF1064" s="885"/>
      <c r="AG1064" s="885"/>
      <c r="AH1064" s="848"/>
      <c r="AI1064" s="850"/>
      <c r="AJ1064" s="851"/>
      <c r="AK1064" s="880"/>
      <c r="AL1064" s="860"/>
      <c r="AM1064" s="860"/>
      <c r="AN1064" s="860"/>
      <c r="AO1064" s="860"/>
      <c r="AP1064" s="860"/>
    </row>
    <row r="1065" spans="2:49">
      <c r="B1065" s="886" t="s">
        <v>68</v>
      </c>
      <c r="C1065" s="882">
        <v>0</v>
      </c>
      <c r="D1065" s="882"/>
      <c r="E1065" s="883"/>
      <c r="F1065" s="883"/>
      <c r="G1065" s="882"/>
      <c r="H1065" s="883"/>
      <c r="I1065" s="883"/>
      <c r="J1065" s="883"/>
      <c r="K1065" s="883"/>
      <c r="L1065" s="882"/>
      <c r="M1065" s="882"/>
      <c r="N1065" s="882"/>
      <c r="O1065" s="882"/>
      <c r="P1065" s="883"/>
      <c r="Q1065" s="882"/>
      <c r="R1065" s="882"/>
      <c r="S1065" s="882"/>
      <c r="T1065" s="882"/>
      <c r="U1065" s="883"/>
      <c r="V1065" s="882"/>
      <c r="W1065" s="882"/>
      <c r="X1065" s="882"/>
      <c r="Y1065" s="884"/>
      <c r="Z1065" s="883"/>
      <c r="AA1065" s="885"/>
      <c r="AB1065" s="883"/>
      <c r="AC1065" s="885"/>
      <c r="AD1065" s="885"/>
      <c r="AE1065" s="885"/>
      <c r="AF1065" s="885"/>
      <c r="AG1065" s="885"/>
      <c r="AH1065" s="848"/>
      <c r="AI1065" s="850"/>
      <c r="AJ1065" s="851"/>
      <c r="AK1065" s="880"/>
      <c r="AL1065" s="860"/>
      <c r="AM1065" s="860"/>
      <c r="AN1065" s="860"/>
      <c r="AO1065" s="860"/>
      <c r="AP1065" s="860"/>
    </row>
    <row r="1066" spans="2:49">
      <c r="B1066" s="886" t="s">
        <v>69</v>
      </c>
      <c r="C1066" s="882">
        <v>5</v>
      </c>
      <c r="D1066" s="882"/>
      <c r="E1066" s="883"/>
      <c r="F1066" s="883"/>
      <c r="G1066" s="882"/>
      <c r="H1066" s="883"/>
      <c r="I1066" s="883"/>
      <c r="J1066" s="883"/>
      <c r="K1066" s="883"/>
      <c r="L1066" s="882"/>
      <c r="M1066" s="882"/>
      <c r="N1066" s="882"/>
      <c r="O1066" s="882"/>
      <c r="P1066" s="883"/>
      <c r="Q1066" s="882"/>
      <c r="R1066" s="882"/>
      <c r="S1066" s="882"/>
      <c r="T1066" s="882"/>
      <c r="U1066" s="883"/>
      <c r="V1066" s="882"/>
      <c r="W1066" s="882"/>
      <c r="X1066" s="882"/>
      <c r="Y1066" s="884"/>
      <c r="Z1066" s="883"/>
      <c r="AA1066" s="885"/>
      <c r="AB1066" s="883"/>
      <c r="AC1066" s="885"/>
      <c r="AD1066" s="885"/>
      <c r="AE1066" s="885"/>
      <c r="AF1066" s="885"/>
      <c r="AG1066" s="885"/>
      <c r="AH1066" s="848"/>
      <c r="AI1066" s="850"/>
      <c r="AJ1066" s="851"/>
      <c r="AK1066" s="860"/>
      <c r="AL1066" s="860"/>
      <c r="AM1066" s="860"/>
      <c r="AN1066" s="860"/>
      <c r="AO1066" s="860"/>
      <c r="AP1066" s="860"/>
    </row>
    <row r="1067" spans="2:49">
      <c r="B1067" s="845"/>
      <c r="C1067" s="835"/>
      <c r="D1067" s="835"/>
      <c r="E1067" s="846"/>
      <c r="F1067" s="846"/>
      <c r="G1067" s="846"/>
      <c r="H1067" s="835"/>
      <c r="I1067" s="835"/>
      <c r="J1067" s="846"/>
      <c r="K1067" s="846"/>
      <c r="L1067" s="846"/>
      <c r="M1067" s="835"/>
      <c r="N1067" s="835"/>
      <c r="O1067" s="846"/>
      <c r="P1067" s="846"/>
      <c r="Q1067" s="834"/>
      <c r="R1067" s="835"/>
      <c r="S1067" s="835"/>
      <c r="T1067" s="846"/>
      <c r="U1067" s="846"/>
      <c r="V1067" s="834"/>
      <c r="W1067" s="835"/>
      <c r="X1067" s="835"/>
      <c r="Y1067" s="846"/>
      <c r="Z1067" s="846"/>
      <c r="AA1067" s="846"/>
      <c r="AB1067" s="846"/>
      <c r="AC1067" s="846"/>
      <c r="AD1067" s="835"/>
      <c r="AE1067" s="835"/>
      <c r="AF1067" s="835"/>
      <c r="AG1067" s="835"/>
      <c r="AH1067" s="834"/>
      <c r="AI1067" s="841"/>
      <c r="AJ1067" s="835"/>
      <c r="AK1067" s="843"/>
      <c r="AL1067" s="843"/>
      <c r="AM1067" s="843"/>
      <c r="AN1067" s="843"/>
      <c r="AO1067" s="843"/>
      <c r="AP1067" s="843"/>
    </row>
    <row r="1068" spans="2:49">
      <c r="B1068" s="845"/>
      <c r="C1068" s="835"/>
      <c r="D1068" s="835"/>
      <c r="E1068" s="846"/>
      <c r="F1068" s="846"/>
      <c r="G1068" s="846"/>
      <c r="H1068" s="835"/>
      <c r="I1068" s="835"/>
      <c r="J1068" s="846"/>
      <c r="K1068" s="846"/>
      <c r="L1068" s="846"/>
      <c r="M1068" s="835"/>
      <c r="N1068" s="835"/>
      <c r="O1068" s="846"/>
      <c r="P1068" s="846"/>
      <c r="Q1068" s="834"/>
      <c r="R1068" s="835"/>
      <c r="S1068" s="835"/>
      <c r="T1068" s="846"/>
      <c r="U1068" s="846"/>
      <c r="V1068" s="834"/>
      <c r="W1068" s="835"/>
      <c r="X1068" s="835"/>
      <c r="Y1068" s="846"/>
      <c r="Z1068" s="846"/>
      <c r="AA1068" s="846"/>
      <c r="AB1068" s="846"/>
      <c r="AC1068" s="846"/>
      <c r="AD1068" s="835"/>
      <c r="AE1068" s="835"/>
      <c r="AF1068" s="835"/>
      <c r="AG1068" s="835"/>
      <c r="AH1068" s="834"/>
      <c r="AI1068" s="841"/>
      <c r="AJ1068" s="835"/>
      <c r="AK1068" s="843"/>
      <c r="AL1068" s="843"/>
      <c r="AM1068" s="843"/>
      <c r="AN1068" s="843"/>
      <c r="AO1068" s="843"/>
      <c r="AP1068" s="843"/>
    </row>
    <row r="1069" spans="2:49" ht="25.5">
      <c r="B1069" s="1579"/>
      <c r="C1069" s="1572">
        <v>45929</v>
      </c>
      <c r="D1069" s="1572"/>
      <c r="E1069" s="1572" t="s">
        <v>564</v>
      </c>
      <c r="F1069" s="1572"/>
      <c r="G1069" s="847"/>
      <c r="H1069" s="1572">
        <v>45930</v>
      </c>
      <c r="I1069" s="1572"/>
      <c r="J1069" s="1572" t="s">
        <v>565</v>
      </c>
      <c r="K1069" s="1572"/>
      <c r="L1069" s="847"/>
      <c r="M1069" s="1572">
        <v>45931</v>
      </c>
      <c r="N1069" s="1572"/>
      <c r="O1069" s="1572" t="s">
        <v>566</v>
      </c>
      <c r="P1069" s="1572"/>
      <c r="Q1069" s="847"/>
      <c r="R1069" s="1572">
        <v>45932</v>
      </c>
      <c r="S1069" s="1572"/>
      <c r="T1069" s="1572" t="s">
        <v>567</v>
      </c>
      <c r="U1069" s="1572"/>
      <c r="V1069" s="847"/>
      <c r="W1069" s="1572">
        <v>45933</v>
      </c>
      <c r="X1069" s="1572"/>
      <c r="Y1069" s="1572" t="s">
        <v>568</v>
      </c>
      <c r="Z1069" s="1572"/>
      <c r="AA1069" s="1573" t="s">
        <v>19</v>
      </c>
      <c r="AB1069" s="1573" t="s">
        <v>20</v>
      </c>
      <c r="AC1069" s="848"/>
      <c r="AD1069" s="1572"/>
      <c r="AE1069" s="1572"/>
      <c r="AF1069" s="849" t="s">
        <v>1111</v>
      </c>
      <c r="AG1069" s="1573" t="s">
        <v>21</v>
      </c>
      <c r="AH1069" s="848"/>
      <c r="AI1069" s="850"/>
      <c r="AJ1069" s="851"/>
      <c r="AK1069" s="852" t="s">
        <v>84</v>
      </c>
      <c r="AL1069" s="853"/>
      <c r="AM1069" s="853"/>
      <c r="AN1069" s="853"/>
      <c r="AO1069" s="853"/>
      <c r="AP1069" s="853"/>
    </row>
    <row r="1070" spans="2:49">
      <c r="B1070" s="1579"/>
      <c r="C1070" s="854" t="s">
        <v>23</v>
      </c>
      <c r="D1070" s="854" t="s">
        <v>24</v>
      </c>
      <c r="E1070" s="855" t="s">
        <v>25</v>
      </c>
      <c r="F1070" s="856" t="s">
        <v>14</v>
      </c>
      <c r="G1070" s="848"/>
      <c r="H1070" s="854"/>
      <c r="I1070" s="854" t="s">
        <v>24</v>
      </c>
      <c r="J1070" s="856" t="s">
        <v>25</v>
      </c>
      <c r="K1070" s="856" t="s">
        <v>14</v>
      </c>
      <c r="L1070" s="848"/>
      <c r="M1070" s="854" t="s">
        <v>23</v>
      </c>
      <c r="N1070" s="854" t="s">
        <v>24</v>
      </c>
      <c r="O1070" s="856" t="s">
        <v>25</v>
      </c>
      <c r="P1070" s="856" t="s">
        <v>14</v>
      </c>
      <c r="Q1070" s="848"/>
      <c r="R1070" s="854" t="s">
        <v>23</v>
      </c>
      <c r="S1070" s="854" t="s">
        <v>24</v>
      </c>
      <c r="T1070" s="856" t="s">
        <v>25</v>
      </c>
      <c r="U1070" s="856" t="s">
        <v>14</v>
      </c>
      <c r="V1070" s="848"/>
      <c r="W1070" s="854" t="s">
        <v>23</v>
      </c>
      <c r="X1070" s="854" t="s">
        <v>24</v>
      </c>
      <c r="Y1070" s="856" t="s">
        <v>25</v>
      </c>
      <c r="Z1070" s="856" t="s">
        <v>14</v>
      </c>
      <c r="AA1070" s="1573"/>
      <c r="AB1070" s="1573"/>
      <c r="AC1070" s="848"/>
      <c r="AD1070" s="854" t="s">
        <v>23</v>
      </c>
      <c r="AE1070" s="854" t="s">
        <v>24</v>
      </c>
      <c r="AF1070" s="856" t="s">
        <v>25</v>
      </c>
      <c r="AG1070" s="1573"/>
      <c r="AH1070" s="848"/>
      <c r="AI1070" s="850"/>
      <c r="AJ1070" s="851"/>
      <c r="AK1070" s="857" t="s">
        <v>26</v>
      </c>
      <c r="AL1070" s="858">
        <f>AA1092</f>
        <v>27</v>
      </c>
      <c r="AM1070" s="859">
        <v>40.31</v>
      </c>
      <c r="AN1070" s="859">
        <f t="shared" ref="AN1070:AN1075" si="142">AL1070*AM1070</f>
        <v>1088.3700000000001</v>
      </c>
      <c r="AO1070" s="860"/>
      <c r="AP1070" s="860"/>
    </row>
    <row r="1071" spans="2:49">
      <c r="B1071" s="861" t="s">
        <v>515</v>
      </c>
      <c r="C1071" s="861"/>
      <c r="D1071" s="861"/>
      <c r="E1071" s="862">
        <v>0</v>
      </c>
      <c r="F1071" s="863"/>
      <c r="G1071" s="848"/>
      <c r="H1071" s="861"/>
      <c r="I1071" s="861"/>
      <c r="J1071" s="862">
        <v>0</v>
      </c>
      <c r="K1071" s="863"/>
      <c r="L1071" s="848"/>
      <c r="M1071" s="861"/>
      <c r="N1071" s="861"/>
      <c r="O1071" s="862">
        <v>0</v>
      </c>
      <c r="P1071" s="863"/>
      <c r="Q1071" s="848"/>
      <c r="R1071" s="861"/>
      <c r="S1071" s="861"/>
      <c r="T1071" s="862">
        <v>0</v>
      </c>
      <c r="U1071" s="863"/>
      <c r="V1071" s="848"/>
      <c r="W1071" s="861"/>
      <c r="X1071" s="861"/>
      <c r="Y1071" s="862">
        <v>0</v>
      </c>
      <c r="Z1071" s="863"/>
      <c r="AA1071" s="864">
        <f t="shared" ref="AA1071:AA1091" si="143">(E1071+J1071+O1071+T1071+Y1071)</f>
        <v>0</v>
      </c>
      <c r="AB1071" s="865">
        <f t="shared" ref="AB1071:AB1091" si="144">Z1071+U1071+P1071+K1071+F1071</f>
        <v>0</v>
      </c>
      <c r="AC1071" s="848"/>
      <c r="AD1071" s="851"/>
      <c r="AE1071" s="851"/>
      <c r="AF1071" s="862"/>
      <c r="AG1071" s="864">
        <f t="shared" ref="AG1071:AG1091" si="145">AF1071</f>
        <v>0</v>
      </c>
      <c r="AH1071" s="848"/>
      <c r="AI1071" s="850"/>
      <c r="AJ1071" s="851"/>
      <c r="AK1071" s="857" t="s">
        <v>30</v>
      </c>
      <c r="AL1071" s="858">
        <f>AB1092</f>
        <v>0</v>
      </c>
      <c r="AM1071" s="859">
        <v>60.465000000000003</v>
      </c>
      <c r="AN1071" s="859">
        <f t="shared" si="142"/>
        <v>0</v>
      </c>
      <c r="AO1071" s="860"/>
      <c r="AP1071" s="860"/>
    </row>
    <row r="1072" spans="2:49">
      <c r="B1072" s="861" t="s">
        <v>1112</v>
      </c>
      <c r="C1072" s="861"/>
      <c r="D1072" s="861"/>
      <c r="E1072" s="862">
        <v>0</v>
      </c>
      <c r="F1072" s="863"/>
      <c r="G1072" s="848"/>
      <c r="H1072" s="861"/>
      <c r="I1072" s="861"/>
      <c r="J1072" s="862">
        <v>0</v>
      </c>
      <c r="K1072" s="863"/>
      <c r="L1072" s="848"/>
      <c r="M1072" s="861"/>
      <c r="N1072" s="861"/>
      <c r="O1072" s="862">
        <v>0</v>
      </c>
      <c r="P1072" s="863"/>
      <c r="Q1072" s="848"/>
      <c r="R1072" s="861"/>
      <c r="S1072" s="861"/>
      <c r="T1072" s="862">
        <v>0</v>
      </c>
      <c r="U1072" s="863"/>
      <c r="V1072" s="848"/>
      <c r="W1072" s="861"/>
      <c r="X1072" s="861"/>
      <c r="Y1072" s="862">
        <v>0</v>
      </c>
      <c r="Z1072" s="863"/>
      <c r="AA1072" s="864">
        <f t="shared" si="143"/>
        <v>0</v>
      </c>
      <c r="AB1072" s="865">
        <f t="shared" si="144"/>
        <v>0</v>
      </c>
      <c r="AC1072" s="848"/>
      <c r="AD1072" s="861"/>
      <c r="AE1072" s="861"/>
      <c r="AF1072" s="862"/>
      <c r="AG1072" s="864">
        <f t="shared" si="145"/>
        <v>0</v>
      </c>
      <c r="AH1072" s="848"/>
      <c r="AI1072" s="850"/>
      <c r="AJ1072" s="851"/>
      <c r="AK1072" s="857" t="s">
        <v>32</v>
      </c>
      <c r="AL1072" s="858">
        <f>AG1092</f>
        <v>0</v>
      </c>
      <c r="AM1072" s="859">
        <v>60.465000000000003</v>
      </c>
      <c r="AN1072" s="859">
        <f t="shared" si="142"/>
        <v>0</v>
      </c>
      <c r="AO1072" s="860"/>
      <c r="AP1072" s="860"/>
    </row>
    <row r="1073" spans="2:49">
      <c r="B1073" s="861" t="s">
        <v>1138</v>
      </c>
      <c r="C1073" s="861"/>
      <c r="D1073" s="861"/>
      <c r="E1073" s="862">
        <v>0</v>
      </c>
      <c r="F1073" s="863"/>
      <c r="G1073" s="848"/>
      <c r="H1073" s="861"/>
      <c r="I1073" s="861"/>
      <c r="J1073" s="862">
        <v>0</v>
      </c>
      <c r="K1073" s="863"/>
      <c r="L1073" s="848"/>
      <c r="M1073" s="861"/>
      <c r="N1073" s="861"/>
      <c r="O1073" s="862">
        <v>0</v>
      </c>
      <c r="P1073" s="863"/>
      <c r="Q1073" s="848"/>
      <c r="R1073" s="861"/>
      <c r="S1073" s="861"/>
      <c r="T1073" s="862">
        <v>0</v>
      </c>
      <c r="U1073" s="863"/>
      <c r="V1073" s="848"/>
      <c r="W1073" s="861"/>
      <c r="X1073" s="861"/>
      <c r="Y1073" s="862">
        <v>0</v>
      </c>
      <c r="Z1073" s="863"/>
      <c r="AA1073" s="864">
        <f t="shared" si="143"/>
        <v>0</v>
      </c>
      <c r="AB1073" s="865">
        <f t="shared" si="144"/>
        <v>0</v>
      </c>
      <c r="AC1073" s="848"/>
      <c r="AD1073" s="861"/>
      <c r="AE1073" s="861"/>
      <c r="AF1073" s="862"/>
      <c r="AG1073" s="864">
        <f t="shared" si="145"/>
        <v>0</v>
      </c>
      <c r="AH1073" s="848"/>
      <c r="AI1073" s="850"/>
      <c r="AJ1073" s="851"/>
      <c r="AK1073" s="857" t="s">
        <v>213</v>
      </c>
      <c r="AL1073" s="858">
        <f>AA1095</f>
        <v>16</v>
      </c>
      <c r="AM1073" s="859">
        <v>53.05</v>
      </c>
      <c r="AN1073" s="859">
        <f t="shared" si="142"/>
        <v>848.8</v>
      </c>
      <c r="AO1073" s="860"/>
      <c r="AP1073" s="860"/>
    </row>
    <row r="1074" spans="2:49">
      <c r="B1074" s="861" t="s">
        <v>637</v>
      </c>
      <c r="C1074" s="861"/>
      <c r="D1074" s="861"/>
      <c r="E1074" s="862">
        <v>0</v>
      </c>
      <c r="F1074" s="863"/>
      <c r="G1074" s="848"/>
      <c r="H1074" s="861"/>
      <c r="I1074" s="861"/>
      <c r="J1074" s="862">
        <v>0</v>
      </c>
      <c r="K1074" s="863"/>
      <c r="L1074" s="848"/>
      <c r="M1074" s="861"/>
      <c r="N1074" s="861"/>
      <c r="O1074" s="862">
        <v>0</v>
      </c>
      <c r="P1074" s="863"/>
      <c r="Q1074" s="848"/>
      <c r="R1074" s="861"/>
      <c r="S1074" s="861"/>
      <c r="T1074" s="862">
        <v>0</v>
      </c>
      <c r="U1074" s="863"/>
      <c r="V1074" s="848"/>
      <c r="W1074" s="861"/>
      <c r="X1074" s="861"/>
      <c r="Y1074" s="862">
        <v>0</v>
      </c>
      <c r="Z1074" s="863"/>
      <c r="AA1074" s="864">
        <f t="shared" si="143"/>
        <v>0</v>
      </c>
      <c r="AB1074" s="865">
        <f t="shared" si="144"/>
        <v>0</v>
      </c>
      <c r="AC1074" s="848"/>
      <c r="AD1074" s="861"/>
      <c r="AE1074" s="861"/>
      <c r="AF1074" s="862"/>
      <c r="AG1074" s="864">
        <f t="shared" si="145"/>
        <v>0</v>
      </c>
      <c r="AH1074" s="848"/>
      <c r="AI1074" s="850"/>
      <c r="AJ1074" s="851"/>
      <c r="AK1074" s="857" t="s">
        <v>36</v>
      </c>
      <c r="AL1074" s="858">
        <f>AB1095</f>
        <v>0</v>
      </c>
      <c r="AM1074" s="859">
        <v>79.574999999999989</v>
      </c>
      <c r="AN1074" s="859">
        <f t="shared" si="142"/>
        <v>0</v>
      </c>
      <c r="AO1074" s="860"/>
      <c r="AP1074" s="860"/>
    </row>
    <row r="1075" spans="2:49" s="776" customFormat="1">
      <c r="B1075" s="866" t="s">
        <v>998</v>
      </c>
      <c r="C1075" s="861">
        <v>0.375</v>
      </c>
      <c r="D1075" s="861">
        <v>0.25</v>
      </c>
      <c r="E1075" s="862">
        <v>8</v>
      </c>
      <c r="F1075" s="863"/>
      <c r="G1075" s="848"/>
      <c r="H1075" s="861">
        <v>0.375</v>
      </c>
      <c r="I1075" s="861">
        <v>0.25</v>
      </c>
      <c r="J1075" s="862">
        <v>8</v>
      </c>
      <c r="K1075" s="863"/>
      <c r="L1075" s="848"/>
      <c r="M1075" s="861">
        <v>0.375</v>
      </c>
      <c r="N1075" s="861">
        <v>0.25</v>
      </c>
      <c r="O1075" s="862">
        <v>8</v>
      </c>
      <c r="P1075" s="863"/>
      <c r="Q1075" s="848"/>
      <c r="R1075" s="861"/>
      <c r="S1075" s="861"/>
      <c r="T1075" s="544">
        <v>0</v>
      </c>
      <c r="U1075" s="863"/>
      <c r="V1075" s="848"/>
      <c r="W1075" s="861"/>
      <c r="X1075" s="861"/>
      <c r="Y1075" s="862">
        <v>0</v>
      </c>
      <c r="Z1075" s="863"/>
      <c r="AA1075" s="864">
        <f t="shared" si="143"/>
        <v>24</v>
      </c>
      <c r="AB1075" s="865">
        <f t="shared" si="144"/>
        <v>0</v>
      </c>
      <c r="AC1075" s="848"/>
      <c r="AD1075" s="861"/>
      <c r="AE1075" s="861"/>
      <c r="AF1075" s="862"/>
      <c r="AG1075" s="864">
        <f t="shared" si="145"/>
        <v>0</v>
      </c>
      <c r="AH1075" s="848"/>
      <c r="AI1075" s="850"/>
      <c r="AJ1075" s="851"/>
      <c r="AK1075" s="857" t="s">
        <v>38</v>
      </c>
      <c r="AL1075" s="858">
        <f>AG1095</f>
        <v>0</v>
      </c>
      <c r="AM1075" s="859">
        <v>79.574999999999989</v>
      </c>
      <c r="AN1075" s="859">
        <f t="shared" si="142"/>
        <v>0</v>
      </c>
      <c r="AO1075" s="860"/>
      <c r="AP1075" s="860"/>
      <c r="AQ1075" s="771"/>
      <c r="AR1075" s="771"/>
      <c r="AS1075" s="771"/>
      <c r="AT1075" s="771"/>
      <c r="AU1075" s="771"/>
      <c r="AV1075" s="771"/>
      <c r="AW1075" s="771"/>
    </row>
    <row r="1076" spans="2:49">
      <c r="B1076" s="861" t="s">
        <v>977</v>
      </c>
      <c r="C1076" s="861"/>
      <c r="D1076" s="861"/>
      <c r="E1076" s="862">
        <v>0</v>
      </c>
      <c r="F1076" s="863"/>
      <c r="G1076" s="848"/>
      <c r="H1076" s="861"/>
      <c r="I1076" s="861"/>
      <c r="J1076" s="862">
        <v>0</v>
      </c>
      <c r="K1076" s="863"/>
      <c r="L1076" s="848"/>
      <c r="M1076" s="861"/>
      <c r="N1076" s="861"/>
      <c r="O1076" s="862">
        <v>0</v>
      </c>
      <c r="P1076" s="863"/>
      <c r="Q1076" s="848"/>
      <c r="R1076" s="861"/>
      <c r="S1076" s="861"/>
      <c r="T1076" s="862">
        <v>0</v>
      </c>
      <c r="U1076" s="863"/>
      <c r="V1076" s="848"/>
      <c r="W1076" s="861"/>
      <c r="X1076" s="861"/>
      <c r="Y1076" s="862">
        <v>0</v>
      </c>
      <c r="Z1076" s="863"/>
      <c r="AA1076" s="864">
        <f t="shared" si="143"/>
        <v>0</v>
      </c>
      <c r="AB1076" s="865">
        <f t="shared" si="144"/>
        <v>0</v>
      </c>
      <c r="AC1076" s="848"/>
      <c r="AD1076" s="861"/>
      <c r="AE1076" s="861"/>
      <c r="AF1076" s="862"/>
      <c r="AG1076" s="864">
        <f t="shared" si="145"/>
        <v>0</v>
      </c>
      <c r="AH1076" s="848"/>
      <c r="AI1076" s="850"/>
      <c r="AJ1076" s="851"/>
      <c r="AK1076" s="860"/>
      <c r="AL1076" s="860"/>
      <c r="AM1076" s="860"/>
      <c r="AN1076" s="859">
        <f>SUM(AN1070:AN1075)</f>
        <v>1937.17</v>
      </c>
      <c r="AO1076" s="860"/>
      <c r="AP1076" s="860"/>
    </row>
    <row r="1077" spans="2:49">
      <c r="B1077" s="861" t="s">
        <v>519</v>
      </c>
      <c r="C1077" s="861"/>
      <c r="D1077" s="861"/>
      <c r="E1077" s="862">
        <v>0</v>
      </c>
      <c r="F1077" s="863"/>
      <c r="G1077" s="848"/>
      <c r="H1077" s="861"/>
      <c r="I1077" s="861"/>
      <c r="J1077" s="862">
        <v>0</v>
      </c>
      <c r="K1077" s="863"/>
      <c r="L1077" s="848"/>
      <c r="M1077" s="861"/>
      <c r="N1077" s="861"/>
      <c r="O1077" s="862">
        <v>0</v>
      </c>
      <c r="P1077" s="863"/>
      <c r="Q1077" s="848"/>
      <c r="R1077" s="861"/>
      <c r="S1077" s="861"/>
      <c r="T1077" s="862">
        <v>0</v>
      </c>
      <c r="U1077" s="863"/>
      <c r="V1077" s="848"/>
      <c r="W1077" s="861"/>
      <c r="X1077" s="861"/>
      <c r="Y1077" s="862">
        <v>0</v>
      </c>
      <c r="Z1077" s="863"/>
      <c r="AA1077" s="864">
        <f t="shared" si="143"/>
        <v>0</v>
      </c>
      <c r="AB1077" s="865">
        <f t="shared" si="144"/>
        <v>0</v>
      </c>
      <c r="AC1077" s="848"/>
      <c r="AD1077" s="861"/>
      <c r="AE1077" s="861"/>
      <c r="AF1077" s="862"/>
      <c r="AG1077" s="864">
        <f t="shared" si="145"/>
        <v>0</v>
      </c>
      <c r="AH1077" s="848"/>
      <c r="AI1077" s="850"/>
      <c r="AJ1077" s="851"/>
      <c r="AK1077" s="860"/>
      <c r="AL1077" s="860"/>
      <c r="AM1077" s="860"/>
      <c r="AN1077" s="860"/>
      <c r="AO1077" s="860"/>
      <c r="AP1077" s="860"/>
    </row>
    <row r="1078" spans="2:49">
      <c r="B1078" s="861" t="s">
        <v>999</v>
      </c>
      <c r="C1078" s="861"/>
      <c r="D1078" s="867"/>
      <c r="E1078" s="862">
        <v>0</v>
      </c>
      <c r="F1078" s="863"/>
      <c r="G1078" s="848"/>
      <c r="H1078" s="861"/>
      <c r="I1078" s="861"/>
      <c r="J1078" s="862">
        <v>0</v>
      </c>
      <c r="K1078" s="863"/>
      <c r="L1078" s="848"/>
      <c r="M1078" s="861"/>
      <c r="N1078" s="861"/>
      <c r="O1078" s="862">
        <v>0</v>
      </c>
      <c r="P1078" s="863"/>
      <c r="Q1078" s="848"/>
      <c r="R1078" s="861"/>
      <c r="S1078" s="861"/>
      <c r="T1078" s="862">
        <v>0</v>
      </c>
      <c r="U1078" s="863"/>
      <c r="V1078" s="848"/>
      <c r="W1078" s="861"/>
      <c r="X1078" s="861"/>
      <c r="Y1078" s="862">
        <v>0</v>
      </c>
      <c r="Z1078" s="863"/>
      <c r="AA1078" s="864">
        <f t="shared" si="143"/>
        <v>0</v>
      </c>
      <c r="AB1078" s="865">
        <f t="shared" si="144"/>
        <v>0</v>
      </c>
      <c r="AC1078" s="848"/>
      <c r="AD1078" s="861"/>
      <c r="AE1078" s="861"/>
      <c r="AF1078" s="862"/>
      <c r="AG1078" s="864">
        <f t="shared" si="145"/>
        <v>0</v>
      </c>
      <c r="AH1078" s="848"/>
      <c r="AI1078" s="850"/>
      <c r="AJ1078" s="851"/>
      <c r="AK1078" s="868" t="s">
        <v>1115</v>
      </c>
      <c r="AL1078" s="869">
        <f>C1096</f>
        <v>3</v>
      </c>
      <c r="AM1078" s="859">
        <v>45</v>
      </c>
      <c r="AN1078" s="859">
        <f>AM1078*AL1078</f>
        <v>135</v>
      </c>
      <c r="AO1078" s="860"/>
      <c r="AP1078" s="860"/>
    </row>
    <row r="1079" spans="2:49">
      <c r="B1079" s="861" t="s">
        <v>1113</v>
      </c>
      <c r="C1079" s="861"/>
      <c r="D1079" s="861"/>
      <c r="E1079" s="862">
        <v>0</v>
      </c>
      <c r="F1079" s="863"/>
      <c r="G1079" s="848"/>
      <c r="H1079" s="861"/>
      <c r="I1079" s="861"/>
      <c r="J1079" s="862">
        <v>0</v>
      </c>
      <c r="K1079" s="863"/>
      <c r="L1079" s="848"/>
      <c r="M1079" s="861"/>
      <c r="N1079" s="861"/>
      <c r="O1079" s="862">
        <v>0</v>
      </c>
      <c r="P1079" s="863"/>
      <c r="Q1079" s="848"/>
      <c r="R1079" s="861"/>
      <c r="S1079" s="861"/>
      <c r="T1079" s="862">
        <v>0</v>
      </c>
      <c r="U1079" s="863"/>
      <c r="V1079" s="848"/>
      <c r="W1079" s="861"/>
      <c r="X1079" s="861"/>
      <c r="Y1079" s="862">
        <v>0</v>
      </c>
      <c r="Z1079" s="863"/>
      <c r="AA1079" s="864">
        <f t="shared" si="143"/>
        <v>0</v>
      </c>
      <c r="AB1079" s="865">
        <f t="shared" si="144"/>
        <v>0</v>
      </c>
      <c r="AC1079" s="848"/>
      <c r="AD1079" s="861"/>
      <c r="AE1079" s="861"/>
      <c r="AF1079" s="862"/>
      <c r="AG1079" s="864">
        <f t="shared" si="145"/>
        <v>0</v>
      </c>
      <c r="AH1079" s="848"/>
      <c r="AI1079" s="850"/>
      <c r="AJ1079" s="851"/>
      <c r="AK1079" s="860"/>
      <c r="AL1079" s="860"/>
      <c r="AM1079" s="860"/>
      <c r="AN1079" s="860"/>
      <c r="AO1079" s="860"/>
      <c r="AP1079" s="860"/>
    </row>
    <row r="1080" spans="2:49">
      <c r="B1080" s="870" t="s">
        <v>483</v>
      </c>
      <c r="C1080" s="861"/>
      <c r="D1080" s="861"/>
      <c r="E1080" s="862">
        <v>0</v>
      </c>
      <c r="F1080" s="863"/>
      <c r="G1080" s="848"/>
      <c r="H1080" s="861"/>
      <c r="I1080" s="861"/>
      <c r="J1080" s="862">
        <v>0</v>
      </c>
      <c r="K1080" s="863"/>
      <c r="L1080" s="848"/>
      <c r="M1080" s="861"/>
      <c r="N1080" s="861"/>
      <c r="O1080" s="862">
        <v>0</v>
      </c>
      <c r="P1080" s="863"/>
      <c r="Q1080" s="848"/>
      <c r="R1080" s="861"/>
      <c r="S1080" s="861"/>
      <c r="T1080" s="862">
        <v>0</v>
      </c>
      <c r="U1080" s="863"/>
      <c r="V1080" s="848"/>
      <c r="W1080" s="861"/>
      <c r="X1080" s="861"/>
      <c r="Y1080" s="862">
        <v>0</v>
      </c>
      <c r="Z1080" s="863"/>
      <c r="AA1080" s="864">
        <f t="shared" si="143"/>
        <v>0</v>
      </c>
      <c r="AB1080" s="865">
        <f t="shared" si="144"/>
        <v>0</v>
      </c>
      <c r="AC1080" s="848"/>
      <c r="AD1080" s="861"/>
      <c r="AE1080" s="861"/>
      <c r="AF1080" s="862"/>
      <c r="AG1080" s="864">
        <f t="shared" si="145"/>
        <v>0</v>
      </c>
      <c r="AH1080" s="848"/>
      <c r="AI1080" s="850"/>
      <c r="AJ1080" s="851"/>
      <c r="AK1080" s="860"/>
      <c r="AL1080" s="860"/>
      <c r="AM1080" s="860"/>
      <c r="AN1080" s="860"/>
      <c r="AO1080" s="860"/>
      <c r="AP1080" s="860"/>
    </row>
    <row r="1081" spans="2:49">
      <c r="B1081" s="870" t="s">
        <v>483</v>
      </c>
      <c r="C1081" s="861"/>
      <c r="D1081" s="861"/>
      <c r="E1081" s="862">
        <v>0</v>
      </c>
      <c r="F1081" s="863"/>
      <c r="G1081" s="848"/>
      <c r="H1081" s="861"/>
      <c r="I1081" s="861"/>
      <c r="J1081" s="862">
        <v>0</v>
      </c>
      <c r="K1081" s="863"/>
      <c r="L1081" s="848"/>
      <c r="M1081" s="861"/>
      <c r="N1081" s="861"/>
      <c r="O1081" s="862">
        <v>0</v>
      </c>
      <c r="P1081" s="863"/>
      <c r="Q1081" s="848"/>
      <c r="R1081" s="861"/>
      <c r="S1081" s="861"/>
      <c r="T1081" s="862">
        <v>0</v>
      </c>
      <c r="U1081" s="863"/>
      <c r="V1081" s="848"/>
      <c r="W1081" s="861"/>
      <c r="X1081" s="861"/>
      <c r="Y1081" s="862">
        <v>0</v>
      </c>
      <c r="Z1081" s="863"/>
      <c r="AA1081" s="864">
        <f t="shared" si="143"/>
        <v>0</v>
      </c>
      <c r="AB1081" s="865">
        <f t="shared" si="144"/>
        <v>0</v>
      </c>
      <c r="AC1081" s="848"/>
      <c r="AD1081" s="861"/>
      <c r="AE1081" s="861"/>
      <c r="AF1081" s="862"/>
      <c r="AG1081" s="864">
        <f t="shared" si="145"/>
        <v>0</v>
      </c>
      <c r="AH1081" s="848"/>
      <c r="AI1081" s="850"/>
      <c r="AJ1081" s="851"/>
      <c r="AK1081" s="860"/>
      <c r="AL1081" s="860"/>
      <c r="AM1081" s="860"/>
      <c r="AN1081" s="860"/>
      <c r="AO1081" s="860"/>
      <c r="AP1081" s="860"/>
    </row>
    <row r="1082" spans="2:49">
      <c r="B1082" s="870" t="s">
        <v>484</v>
      </c>
      <c r="C1082" s="861"/>
      <c r="D1082" s="861"/>
      <c r="E1082" s="862">
        <v>0</v>
      </c>
      <c r="F1082" s="863"/>
      <c r="G1082" s="848"/>
      <c r="H1082" s="861"/>
      <c r="I1082" s="861"/>
      <c r="J1082" s="862">
        <v>0</v>
      </c>
      <c r="K1082" s="863"/>
      <c r="L1082" s="848"/>
      <c r="M1082" s="861"/>
      <c r="N1082" s="861"/>
      <c r="O1082" s="862">
        <v>0</v>
      </c>
      <c r="P1082" s="863"/>
      <c r="Q1082" s="848"/>
      <c r="R1082" s="861"/>
      <c r="S1082" s="861"/>
      <c r="T1082" s="862">
        <v>0</v>
      </c>
      <c r="U1082" s="863"/>
      <c r="V1082" s="848"/>
      <c r="W1082" s="861"/>
      <c r="X1082" s="861"/>
      <c r="Y1082" s="862">
        <v>0</v>
      </c>
      <c r="Z1082" s="863"/>
      <c r="AA1082" s="864">
        <f t="shared" si="143"/>
        <v>0</v>
      </c>
      <c r="AB1082" s="865">
        <f t="shared" si="144"/>
        <v>0</v>
      </c>
      <c r="AC1082" s="848"/>
      <c r="AD1082" s="861"/>
      <c r="AE1082" s="861"/>
      <c r="AF1082" s="862"/>
      <c r="AG1082" s="864">
        <f t="shared" si="145"/>
        <v>0</v>
      </c>
      <c r="AH1082" s="848"/>
      <c r="AI1082" s="850"/>
      <c r="AJ1082" s="851"/>
      <c r="AK1082" s="860"/>
      <c r="AL1082" s="860"/>
      <c r="AM1082" s="860"/>
      <c r="AN1082" s="860"/>
      <c r="AO1082" s="860"/>
      <c r="AP1082" s="860"/>
    </row>
    <row r="1083" spans="2:49">
      <c r="B1083" s="870" t="s">
        <v>485</v>
      </c>
      <c r="C1083" s="861"/>
      <c r="D1083" s="861"/>
      <c r="E1083" s="862">
        <v>0</v>
      </c>
      <c r="F1083" s="863"/>
      <c r="G1083" s="848"/>
      <c r="H1083" s="861"/>
      <c r="I1083" s="861"/>
      <c r="J1083" s="862">
        <v>0</v>
      </c>
      <c r="K1083" s="863"/>
      <c r="L1083" s="848"/>
      <c r="M1083" s="861"/>
      <c r="N1083" s="861"/>
      <c r="O1083" s="862">
        <v>0</v>
      </c>
      <c r="P1083" s="863"/>
      <c r="Q1083" s="848"/>
      <c r="R1083" s="861"/>
      <c r="S1083" s="861"/>
      <c r="T1083" s="862">
        <v>0</v>
      </c>
      <c r="U1083" s="863"/>
      <c r="V1083" s="848"/>
      <c r="W1083" s="861"/>
      <c r="X1083" s="861"/>
      <c r="Y1083" s="862">
        <v>0</v>
      </c>
      <c r="Z1083" s="863"/>
      <c r="AA1083" s="864">
        <f t="shared" si="143"/>
        <v>0</v>
      </c>
      <c r="AB1083" s="865">
        <f t="shared" si="144"/>
        <v>0</v>
      </c>
      <c r="AC1083" s="848"/>
      <c r="AD1083" s="861"/>
      <c r="AE1083" s="861"/>
      <c r="AF1083" s="862"/>
      <c r="AG1083" s="864">
        <f t="shared" si="145"/>
        <v>0</v>
      </c>
      <c r="AH1083" s="848"/>
      <c r="AI1083" s="850"/>
      <c r="AJ1083" s="851"/>
      <c r="AK1083" s="860"/>
      <c r="AL1083" s="860"/>
      <c r="AM1083" s="860"/>
      <c r="AN1083" s="860"/>
      <c r="AO1083" s="860"/>
      <c r="AP1083" s="860"/>
    </row>
    <row r="1084" spans="2:49">
      <c r="B1084" s="870" t="s">
        <v>1129</v>
      </c>
      <c r="C1084" s="861"/>
      <c r="D1084" s="861"/>
      <c r="E1084" s="862">
        <v>0</v>
      </c>
      <c r="F1084" s="863"/>
      <c r="G1084" s="848"/>
      <c r="H1084" s="861"/>
      <c r="I1084" s="861"/>
      <c r="J1084" s="862">
        <v>0</v>
      </c>
      <c r="K1084" s="863"/>
      <c r="L1084" s="848"/>
      <c r="M1084" s="861"/>
      <c r="N1084" s="861"/>
      <c r="O1084" s="862">
        <v>0</v>
      </c>
      <c r="P1084" s="863"/>
      <c r="Q1084" s="848"/>
      <c r="R1084" s="861"/>
      <c r="S1084" s="861"/>
      <c r="T1084" s="862">
        <v>0</v>
      </c>
      <c r="U1084" s="863"/>
      <c r="V1084" s="848"/>
      <c r="W1084" s="861"/>
      <c r="X1084" s="861"/>
      <c r="Y1084" s="862">
        <v>0</v>
      </c>
      <c r="Z1084" s="863"/>
      <c r="AA1084" s="864">
        <f t="shared" si="143"/>
        <v>0</v>
      </c>
      <c r="AB1084" s="865">
        <f t="shared" si="144"/>
        <v>0</v>
      </c>
      <c r="AC1084" s="848"/>
      <c r="AD1084" s="861"/>
      <c r="AE1084" s="861"/>
      <c r="AF1084" s="862"/>
      <c r="AG1084" s="864">
        <f t="shared" si="145"/>
        <v>0</v>
      </c>
      <c r="AH1084" s="848"/>
      <c r="AI1084" s="850"/>
      <c r="AJ1084" s="851"/>
      <c r="AK1084" s="860"/>
      <c r="AL1084" s="860"/>
      <c r="AM1084" s="860"/>
      <c r="AN1084" s="860"/>
      <c r="AO1084" s="860"/>
      <c r="AP1084" s="860"/>
    </row>
    <row r="1085" spans="2:49">
      <c r="B1085" s="871" t="s">
        <v>358</v>
      </c>
      <c r="C1085" s="861"/>
      <c r="D1085" s="861"/>
      <c r="E1085" s="862">
        <v>0</v>
      </c>
      <c r="F1085" s="863"/>
      <c r="G1085" s="848"/>
      <c r="H1085" s="861"/>
      <c r="I1085" s="861"/>
      <c r="J1085" s="862">
        <v>0</v>
      </c>
      <c r="K1085" s="863"/>
      <c r="L1085" s="872"/>
      <c r="M1085" s="861"/>
      <c r="N1085" s="861"/>
      <c r="O1085" s="862">
        <v>1</v>
      </c>
      <c r="P1085" s="863"/>
      <c r="Q1085" s="872"/>
      <c r="R1085" s="861"/>
      <c r="S1085" s="861"/>
      <c r="T1085" s="862">
        <v>1</v>
      </c>
      <c r="U1085" s="863"/>
      <c r="V1085" s="872"/>
      <c r="W1085" s="861"/>
      <c r="X1085" s="861"/>
      <c r="Y1085" s="862">
        <v>1</v>
      </c>
      <c r="Z1085" s="863"/>
      <c r="AA1085" s="864">
        <f t="shared" si="143"/>
        <v>3</v>
      </c>
      <c r="AB1085" s="865">
        <f t="shared" si="144"/>
        <v>0</v>
      </c>
      <c r="AC1085" s="848"/>
      <c r="AD1085" s="861"/>
      <c r="AE1085" s="861"/>
      <c r="AF1085" s="862"/>
      <c r="AG1085" s="864">
        <f t="shared" si="145"/>
        <v>0</v>
      </c>
      <c r="AH1085" s="848"/>
      <c r="AI1085" s="850"/>
      <c r="AJ1085" s="851"/>
      <c r="AK1085" s="860"/>
      <c r="AL1085" s="860"/>
      <c r="AM1085" s="860"/>
      <c r="AN1085" s="860"/>
      <c r="AO1085" s="860"/>
      <c r="AP1085" s="860"/>
    </row>
    <row r="1086" spans="2:49">
      <c r="B1086" s="871" t="s">
        <v>1139</v>
      </c>
      <c r="C1086" s="861"/>
      <c r="D1086" s="861"/>
      <c r="E1086" s="862">
        <v>0</v>
      </c>
      <c r="F1086" s="863"/>
      <c r="G1086" s="848"/>
      <c r="H1086" s="861"/>
      <c r="I1086" s="861"/>
      <c r="J1086" s="862">
        <v>0</v>
      </c>
      <c r="K1086" s="863"/>
      <c r="L1086" s="872"/>
      <c r="M1086" s="861"/>
      <c r="N1086" s="861"/>
      <c r="O1086" s="862">
        <v>0</v>
      </c>
      <c r="P1086" s="863"/>
      <c r="Q1086" s="872"/>
      <c r="R1086" s="861"/>
      <c r="S1086" s="861"/>
      <c r="T1086" s="862">
        <v>0</v>
      </c>
      <c r="U1086" s="863"/>
      <c r="V1086" s="872"/>
      <c r="W1086" s="861"/>
      <c r="X1086" s="861"/>
      <c r="Y1086" s="862">
        <v>0</v>
      </c>
      <c r="Z1086" s="863"/>
      <c r="AA1086" s="864">
        <f t="shared" si="143"/>
        <v>0</v>
      </c>
      <c r="AB1086" s="865">
        <f t="shared" si="144"/>
        <v>0</v>
      </c>
      <c r="AC1086" s="848"/>
      <c r="AD1086" s="861"/>
      <c r="AE1086" s="861"/>
      <c r="AF1086" s="862"/>
      <c r="AG1086" s="864">
        <f t="shared" si="145"/>
        <v>0</v>
      </c>
      <c r="AH1086" s="848"/>
      <c r="AI1086" s="850"/>
      <c r="AJ1086" s="851"/>
      <c r="AK1086" s="860"/>
      <c r="AL1086" s="860"/>
      <c r="AM1086" s="860"/>
      <c r="AN1086" s="860"/>
      <c r="AO1086" s="860"/>
      <c r="AP1086" s="860"/>
    </row>
    <row r="1087" spans="2:49">
      <c r="B1087" s="871" t="s">
        <v>411</v>
      </c>
      <c r="C1087" s="861"/>
      <c r="D1087" s="861"/>
      <c r="E1087" s="862">
        <v>0</v>
      </c>
      <c r="F1087" s="863"/>
      <c r="G1087" s="848"/>
      <c r="H1087" s="861"/>
      <c r="I1087" s="861"/>
      <c r="J1087" s="862">
        <v>0</v>
      </c>
      <c r="K1087" s="863"/>
      <c r="L1087" s="872"/>
      <c r="M1087" s="861"/>
      <c r="N1087" s="861"/>
      <c r="O1087" s="862">
        <v>0</v>
      </c>
      <c r="P1087" s="863"/>
      <c r="Q1087" s="872"/>
      <c r="R1087" s="861"/>
      <c r="S1087" s="861"/>
      <c r="T1087" s="862">
        <v>0</v>
      </c>
      <c r="U1087" s="863"/>
      <c r="V1087" s="872"/>
      <c r="W1087" s="861"/>
      <c r="X1087" s="861"/>
      <c r="Y1087" s="862">
        <v>0</v>
      </c>
      <c r="Z1087" s="863"/>
      <c r="AA1087" s="864">
        <f t="shared" si="143"/>
        <v>0</v>
      </c>
      <c r="AB1087" s="865">
        <f t="shared" si="144"/>
        <v>0</v>
      </c>
      <c r="AC1087" s="848"/>
      <c r="AD1087" s="861"/>
      <c r="AE1087" s="861"/>
      <c r="AF1087" s="862"/>
      <c r="AG1087" s="864">
        <f t="shared" si="145"/>
        <v>0</v>
      </c>
      <c r="AH1087" s="848"/>
      <c r="AI1087" s="850"/>
      <c r="AJ1087" s="851"/>
      <c r="AK1087" s="860"/>
      <c r="AL1087" s="860"/>
      <c r="AM1087" s="860"/>
      <c r="AN1087" s="860"/>
      <c r="AO1087" s="860"/>
      <c r="AP1087" s="860"/>
    </row>
    <row r="1088" spans="2:49">
      <c r="B1088" s="871" t="s">
        <v>361</v>
      </c>
      <c r="C1088" s="861"/>
      <c r="D1088" s="861"/>
      <c r="E1088" s="862">
        <v>0</v>
      </c>
      <c r="F1088" s="863"/>
      <c r="G1088" s="848"/>
      <c r="H1088" s="861"/>
      <c r="I1088" s="861"/>
      <c r="J1088" s="862">
        <v>0</v>
      </c>
      <c r="K1088" s="863"/>
      <c r="L1088" s="872"/>
      <c r="M1088" s="861"/>
      <c r="N1088" s="861"/>
      <c r="O1088" s="862">
        <v>0</v>
      </c>
      <c r="P1088" s="863"/>
      <c r="Q1088" s="872"/>
      <c r="R1088" s="861"/>
      <c r="S1088" s="861"/>
      <c r="T1088" s="862">
        <v>0</v>
      </c>
      <c r="U1088" s="863"/>
      <c r="V1088" s="872"/>
      <c r="W1088" s="861"/>
      <c r="X1088" s="861"/>
      <c r="Y1088" s="862">
        <v>0</v>
      </c>
      <c r="Z1088" s="863"/>
      <c r="AA1088" s="864">
        <f t="shared" si="143"/>
        <v>0</v>
      </c>
      <c r="AB1088" s="865">
        <f t="shared" si="144"/>
        <v>0</v>
      </c>
      <c r="AC1088" s="848"/>
      <c r="AD1088" s="861"/>
      <c r="AE1088" s="861"/>
      <c r="AF1088" s="862"/>
      <c r="AG1088" s="864">
        <f t="shared" si="145"/>
        <v>0</v>
      </c>
      <c r="AH1088" s="848"/>
      <c r="AI1088" s="850"/>
      <c r="AJ1088" s="851"/>
      <c r="AK1088" s="860"/>
      <c r="AL1088" s="860"/>
      <c r="AM1088" s="860"/>
      <c r="AN1088" s="860"/>
      <c r="AO1088" s="860"/>
      <c r="AP1088" s="860"/>
    </row>
    <row r="1089" spans="2:42">
      <c r="B1089" s="871" t="s">
        <v>362</v>
      </c>
      <c r="C1089" s="861"/>
      <c r="D1089" s="873"/>
      <c r="E1089" s="862">
        <v>0</v>
      </c>
      <c r="F1089" s="863"/>
      <c r="G1089" s="848"/>
      <c r="H1089" s="861"/>
      <c r="I1089" s="873"/>
      <c r="J1089" s="862">
        <v>0</v>
      </c>
      <c r="K1089" s="863"/>
      <c r="L1089" s="872"/>
      <c r="M1089" s="861"/>
      <c r="N1089" s="873"/>
      <c r="O1089" s="862">
        <v>0</v>
      </c>
      <c r="P1089" s="863"/>
      <c r="Q1089" s="872"/>
      <c r="R1089" s="861"/>
      <c r="S1089" s="873"/>
      <c r="T1089" s="862">
        <v>0</v>
      </c>
      <c r="U1089" s="863"/>
      <c r="V1089" s="872"/>
      <c r="W1089" s="861"/>
      <c r="X1089" s="873"/>
      <c r="Y1089" s="862">
        <v>0</v>
      </c>
      <c r="Z1089" s="863"/>
      <c r="AA1089" s="864">
        <f t="shared" si="143"/>
        <v>0</v>
      </c>
      <c r="AB1089" s="865">
        <f t="shared" si="144"/>
        <v>0</v>
      </c>
      <c r="AC1089" s="848"/>
      <c r="AD1089" s="861"/>
      <c r="AE1089" s="861"/>
      <c r="AF1089" s="862"/>
      <c r="AG1089" s="864">
        <f t="shared" si="145"/>
        <v>0</v>
      </c>
      <c r="AH1089" s="848"/>
      <c r="AI1089" s="850"/>
      <c r="AJ1089" s="851"/>
      <c r="AK1089" s="860"/>
      <c r="AL1089" s="860"/>
      <c r="AM1089" s="860"/>
      <c r="AN1089" s="860"/>
      <c r="AO1089" s="860"/>
      <c r="AP1089" s="860"/>
    </row>
    <row r="1090" spans="2:42">
      <c r="B1090" s="874" t="s">
        <v>355</v>
      </c>
      <c r="C1090" s="861"/>
      <c r="D1090" s="861"/>
      <c r="E1090" s="862">
        <v>0</v>
      </c>
      <c r="F1090" s="863"/>
      <c r="G1090" s="848"/>
      <c r="H1090" s="861"/>
      <c r="I1090" s="861"/>
      <c r="J1090" s="862">
        <v>0</v>
      </c>
      <c r="K1090" s="863"/>
      <c r="L1090" s="872"/>
      <c r="M1090" s="861"/>
      <c r="N1090" s="861"/>
      <c r="O1090" s="862">
        <v>0</v>
      </c>
      <c r="P1090" s="863"/>
      <c r="Q1090" s="872"/>
      <c r="R1090" s="861"/>
      <c r="S1090" s="861"/>
      <c r="T1090" s="862">
        <v>0</v>
      </c>
      <c r="U1090" s="863"/>
      <c r="V1090" s="872"/>
      <c r="W1090" s="861"/>
      <c r="X1090" s="861"/>
      <c r="Y1090" s="862">
        <v>0</v>
      </c>
      <c r="Z1090" s="863"/>
      <c r="AA1090" s="864">
        <f t="shared" si="143"/>
        <v>0</v>
      </c>
      <c r="AB1090" s="865">
        <f t="shared" si="144"/>
        <v>0</v>
      </c>
      <c r="AC1090" s="848"/>
      <c r="AD1090" s="861"/>
      <c r="AE1090" s="861"/>
      <c r="AF1090" s="862"/>
      <c r="AG1090" s="864">
        <f t="shared" si="145"/>
        <v>0</v>
      </c>
      <c r="AH1090" s="848"/>
      <c r="AI1090" s="850"/>
      <c r="AJ1090" s="851"/>
      <c r="AK1090" s="860"/>
      <c r="AL1090" s="860"/>
      <c r="AM1090" s="860"/>
      <c r="AN1090" s="860"/>
      <c r="AO1090" s="860"/>
      <c r="AP1090" s="860"/>
    </row>
    <row r="1091" spans="2:42">
      <c r="B1091" s="874" t="s">
        <v>356</v>
      </c>
      <c r="C1091" s="875"/>
      <c r="D1091" s="875"/>
      <c r="E1091" s="862">
        <v>0</v>
      </c>
      <c r="F1091" s="863"/>
      <c r="G1091" s="872"/>
      <c r="H1091" s="873"/>
      <c r="I1091" s="873"/>
      <c r="J1091" s="862">
        <v>0</v>
      </c>
      <c r="K1091" s="863"/>
      <c r="L1091" s="872"/>
      <c r="M1091" s="873"/>
      <c r="N1091" s="873"/>
      <c r="O1091" s="862">
        <v>0</v>
      </c>
      <c r="P1091" s="863"/>
      <c r="Q1091" s="872"/>
      <c r="R1091" s="873"/>
      <c r="S1091" s="873"/>
      <c r="T1091" s="862">
        <v>0</v>
      </c>
      <c r="U1091" s="863"/>
      <c r="V1091" s="872"/>
      <c r="W1091" s="873"/>
      <c r="X1091" s="873"/>
      <c r="Y1091" s="862">
        <v>0</v>
      </c>
      <c r="Z1091" s="863"/>
      <c r="AA1091" s="864">
        <f t="shared" si="143"/>
        <v>0</v>
      </c>
      <c r="AB1091" s="865">
        <f t="shared" si="144"/>
        <v>0</v>
      </c>
      <c r="AC1091" s="848"/>
      <c r="AD1091" s="861"/>
      <c r="AE1091" s="861"/>
      <c r="AF1091" s="862"/>
      <c r="AG1091" s="864">
        <f t="shared" si="145"/>
        <v>0</v>
      </c>
      <c r="AH1091" s="848"/>
      <c r="AI1091" s="850"/>
      <c r="AJ1091" s="851"/>
      <c r="AK1091" s="860"/>
      <c r="AL1091" s="860"/>
      <c r="AM1091" s="860"/>
      <c r="AN1091" s="860"/>
      <c r="AO1091" s="860"/>
      <c r="AP1091" s="860"/>
    </row>
    <row r="1092" spans="2:42">
      <c r="B1092" s="876" t="s">
        <v>61</v>
      </c>
      <c r="C1092" s="876"/>
      <c r="D1092" s="876"/>
      <c r="E1092" s="877">
        <f>SUM(E1071:E1091)</f>
        <v>8</v>
      </c>
      <c r="F1092" s="863"/>
      <c r="G1092" s="876"/>
      <c r="H1092" s="876"/>
      <c r="I1092" s="876"/>
      <c r="J1092" s="877">
        <f>SUM(J1071:J1091)</f>
        <v>8</v>
      </c>
      <c r="K1092" s="863"/>
      <c r="L1092" s="876"/>
      <c r="M1092" s="876"/>
      <c r="N1092" s="876"/>
      <c r="O1092" s="877">
        <f>SUM(O1071:O1091)</f>
        <v>9</v>
      </c>
      <c r="P1092" s="863"/>
      <c r="Q1092" s="876"/>
      <c r="R1092" s="876"/>
      <c r="S1092" s="876"/>
      <c r="T1092" s="877">
        <f>SUM(T1071:T1091)</f>
        <v>1</v>
      </c>
      <c r="U1092" s="863"/>
      <c r="V1092" s="876"/>
      <c r="W1092" s="876"/>
      <c r="X1092" s="876"/>
      <c r="Y1092" s="877">
        <f>SUM(Y1071:Y1091)</f>
        <v>1</v>
      </c>
      <c r="Z1092" s="863"/>
      <c r="AA1092" s="864">
        <f>SUM(AA1071:AA1091)</f>
        <v>27</v>
      </c>
      <c r="AB1092" s="864">
        <f>SUM(AB1071:AB1091)</f>
        <v>0</v>
      </c>
      <c r="AC1092" s="848"/>
      <c r="AD1092" s="876"/>
      <c r="AE1092" s="876"/>
      <c r="AF1092" s="864">
        <f>SUM(AF1071:AF1091)</f>
        <v>0</v>
      </c>
      <c r="AG1092" s="864">
        <f>SUM(AG1071:AG1091)</f>
        <v>0</v>
      </c>
      <c r="AH1092" s="848"/>
      <c r="AI1092" s="850"/>
      <c r="AJ1092" s="851"/>
      <c r="AK1092" s="860"/>
      <c r="AL1092" s="860"/>
      <c r="AM1092" s="860"/>
      <c r="AN1092" s="860"/>
      <c r="AO1092" s="860"/>
      <c r="AP1092" s="860"/>
    </row>
    <row r="1093" spans="2:42">
      <c r="B1093" s="871" t="s">
        <v>1116</v>
      </c>
      <c r="C1093" s="861"/>
      <c r="D1093" s="861"/>
      <c r="E1093" s="862">
        <v>8</v>
      </c>
      <c r="F1093" s="863"/>
      <c r="G1093" s="848"/>
      <c r="H1093" s="861"/>
      <c r="I1093" s="861"/>
      <c r="J1093" s="862">
        <v>2</v>
      </c>
      <c r="K1093" s="863"/>
      <c r="L1093" s="848"/>
      <c r="M1093" s="861"/>
      <c r="N1093" s="861"/>
      <c r="O1093" s="862">
        <v>2</v>
      </c>
      <c r="P1093" s="863"/>
      <c r="Q1093" s="848"/>
      <c r="R1093" s="861"/>
      <c r="S1093" s="861"/>
      <c r="T1093" s="862">
        <v>2</v>
      </c>
      <c r="U1093" s="863"/>
      <c r="V1093" s="848"/>
      <c r="W1093" s="861"/>
      <c r="X1093" s="861"/>
      <c r="Y1093" s="862">
        <v>2</v>
      </c>
      <c r="Z1093" s="863"/>
      <c r="AA1093" s="864">
        <f>(E1093+J1093+O1093+T1093+Y1093)</f>
        <v>16</v>
      </c>
      <c r="AB1093" s="865">
        <f>Z1093+U1093+P1093+K1093+F1093</f>
        <v>0</v>
      </c>
      <c r="AC1093" s="848"/>
      <c r="AD1093" s="861"/>
      <c r="AE1093" s="861"/>
      <c r="AF1093" s="862"/>
      <c r="AG1093" s="864">
        <f>AF1093</f>
        <v>0</v>
      </c>
      <c r="AH1093" s="848"/>
      <c r="AI1093" s="850"/>
      <c r="AJ1093" s="851"/>
      <c r="AK1093" s="860"/>
      <c r="AL1093" s="860"/>
      <c r="AM1093" s="860"/>
      <c r="AN1093" s="860"/>
      <c r="AO1093" s="860"/>
      <c r="AP1093" s="860"/>
    </row>
    <row r="1094" spans="2:42">
      <c r="B1094" s="871" t="s">
        <v>64</v>
      </c>
      <c r="C1094" s="861"/>
      <c r="D1094" s="861"/>
      <c r="E1094" s="862">
        <v>0</v>
      </c>
      <c r="F1094" s="862"/>
      <c r="G1094" s="878"/>
      <c r="H1094" s="861"/>
      <c r="I1094" s="861"/>
      <c r="J1094" s="862">
        <v>0</v>
      </c>
      <c r="K1094" s="862"/>
      <c r="L1094" s="872"/>
      <c r="M1094" s="861"/>
      <c r="N1094" s="861"/>
      <c r="O1094" s="862">
        <v>0</v>
      </c>
      <c r="P1094" s="862"/>
      <c r="Q1094" s="872"/>
      <c r="R1094" s="861"/>
      <c r="S1094" s="861"/>
      <c r="T1094" s="862">
        <v>0</v>
      </c>
      <c r="U1094" s="862"/>
      <c r="V1094" s="872"/>
      <c r="W1094" s="861"/>
      <c r="X1094" s="861"/>
      <c r="Y1094" s="862">
        <v>0</v>
      </c>
      <c r="Z1094" s="862"/>
      <c r="AA1094" s="864">
        <f>SUM(E1094+J1094+O1094+T1094+Y1094)</f>
        <v>0</v>
      </c>
      <c r="AB1094" s="855">
        <f>Z1094+U1094+P1094+K1094+F1094</f>
        <v>0</v>
      </c>
      <c r="AC1094" s="848"/>
      <c r="AD1094" s="861" t="s">
        <v>29</v>
      </c>
      <c r="AE1094" s="861" t="s">
        <v>29</v>
      </c>
      <c r="AF1094" s="862"/>
      <c r="AG1094" s="864">
        <f>AF1094</f>
        <v>0</v>
      </c>
      <c r="AH1094" s="848"/>
      <c r="AI1094" s="850"/>
      <c r="AJ1094" s="851"/>
      <c r="AK1094" s="860"/>
      <c r="AL1094" s="860"/>
      <c r="AM1094" s="860"/>
      <c r="AN1094" s="860"/>
      <c r="AO1094" s="860"/>
      <c r="AP1094" s="860"/>
    </row>
    <row r="1095" spans="2:42">
      <c r="B1095" s="878" t="s">
        <v>66</v>
      </c>
      <c r="C1095" s="879"/>
      <c r="D1095" s="879"/>
      <c r="E1095" s="878"/>
      <c r="F1095" s="878"/>
      <c r="G1095" s="878"/>
      <c r="H1095" s="878"/>
      <c r="I1095" s="878"/>
      <c r="J1095" s="878"/>
      <c r="K1095" s="878"/>
      <c r="L1095" s="878"/>
      <c r="M1095" s="878"/>
      <c r="N1095" s="878"/>
      <c r="O1095" s="878"/>
      <c r="P1095" s="878"/>
      <c r="Q1095" s="878"/>
      <c r="R1095" s="878"/>
      <c r="S1095" s="878"/>
      <c r="T1095" s="878"/>
      <c r="U1095" s="878"/>
      <c r="V1095" s="878"/>
      <c r="W1095" s="878"/>
      <c r="X1095" s="878"/>
      <c r="Y1095" s="878"/>
      <c r="Z1095" s="878"/>
      <c r="AA1095" s="864">
        <f>SUM(AA1093:AA1094)</f>
        <v>16</v>
      </c>
      <c r="AB1095" s="864">
        <f>SUM(AB1094:AB1094)</f>
        <v>0</v>
      </c>
      <c r="AC1095" s="848"/>
      <c r="AD1095" s="851"/>
      <c r="AE1095" s="851"/>
      <c r="AF1095" s="851"/>
      <c r="AG1095" s="864">
        <f>SUM(AG1094:AG1094)</f>
        <v>0</v>
      </c>
      <c r="AH1095" s="848"/>
      <c r="AI1095" s="850"/>
      <c r="AJ1095" s="851"/>
      <c r="AK1095" s="880"/>
      <c r="AL1095" s="860"/>
      <c r="AM1095" s="860"/>
      <c r="AN1095" s="860"/>
      <c r="AO1095" s="860"/>
      <c r="AP1095" s="860"/>
    </row>
    <row r="1096" spans="2:42">
      <c r="B1096" s="881" t="s">
        <v>67</v>
      </c>
      <c r="C1096" s="882">
        <f>C1097+C1098</f>
        <v>3</v>
      </c>
      <c r="D1096" s="882"/>
      <c r="E1096" s="883"/>
      <c r="F1096" s="883"/>
      <c r="G1096" s="882"/>
      <c r="H1096" s="883"/>
      <c r="I1096" s="883"/>
      <c r="J1096" s="883"/>
      <c r="K1096" s="883"/>
      <c r="L1096" s="882"/>
      <c r="M1096" s="882"/>
      <c r="N1096" s="882"/>
      <c r="O1096" s="882"/>
      <c r="P1096" s="883"/>
      <c r="Q1096" s="882"/>
      <c r="R1096" s="882"/>
      <c r="S1096" s="882"/>
      <c r="T1096" s="882"/>
      <c r="U1096" s="883"/>
      <c r="V1096" s="882"/>
      <c r="W1096" s="882"/>
      <c r="X1096" s="882"/>
      <c r="Y1096" s="884"/>
      <c r="Z1096" s="883"/>
      <c r="AA1096" s="885"/>
      <c r="AB1096" s="883"/>
      <c r="AC1096" s="885"/>
      <c r="AD1096" s="885"/>
      <c r="AE1096" s="885"/>
      <c r="AF1096" s="885"/>
      <c r="AG1096" s="885"/>
      <c r="AH1096" s="848"/>
      <c r="AI1096" s="850"/>
      <c r="AJ1096" s="851"/>
      <c r="AK1096" s="880"/>
      <c r="AL1096" s="860"/>
      <c r="AM1096" s="860"/>
      <c r="AN1096" s="860"/>
      <c r="AO1096" s="860"/>
      <c r="AP1096" s="860"/>
    </row>
    <row r="1097" spans="2:42">
      <c r="B1097" s="886" t="s">
        <v>68</v>
      </c>
      <c r="C1097" s="882">
        <v>0</v>
      </c>
      <c r="D1097" s="882"/>
      <c r="E1097" s="883"/>
      <c r="F1097" s="883"/>
      <c r="G1097" s="882"/>
      <c r="H1097" s="883"/>
      <c r="I1097" s="883"/>
      <c r="J1097" s="883"/>
      <c r="K1097" s="883"/>
      <c r="L1097" s="882"/>
      <c r="M1097" s="882"/>
      <c r="N1097" s="882"/>
      <c r="O1097" s="882"/>
      <c r="P1097" s="883"/>
      <c r="Q1097" s="882"/>
      <c r="R1097" s="882"/>
      <c r="S1097" s="882"/>
      <c r="T1097" s="882"/>
      <c r="U1097" s="883"/>
      <c r="V1097" s="882"/>
      <c r="W1097" s="882"/>
      <c r="X1097" s="882"/>
      <c r="Y1097" s="884"/>
      <c r="Z1097" s="883"/>
      <c r="AA1097" s="885"/>
      <c r="AB1097" s="883"/>
      <c r="AC1097" s="885"/>
      <c r="AD1097" s="885"/>
      <c r="AE1097" s="885"/>
      <c r="AF1097" s="885"/>
      <c r="AG1097" s="885"/>
      <c r="AH1097" s="848"/>
      <c r="AI1097" s="850"/>
      <c r="AJ1097" s="851"/>
      <c r="AK1097" s="880"/>
      <c r="AL1097" s="860"/>
      <c r="AM1097" s="860"/>
      <c r="AN1097" s="860"/>
      <c r="AO1097" s="860"/>
      <c r="AP1097" s="860"/>
    </row>
    <row r="1098" spans="2:42">
      <c r="B1098" s="886" t="s">
        <v>69</v>
      </c>
      <c r="C1098" s="882">
        <v>3</v>
      </c>
      <c r="D1098" s="882"/>
      <c r="E1098" s="883"/>
      <c r="F1098" s="883"/>
      <c r="G1098" s="882"/>
      <c r="H1098" s="883"/>
      <c r="I1098" s="883"/>
      <c r="J1098" s="883"/>
      <c r="K1098" s="883"/>
      <c r="L1098" s="882"/>
      <c r="M1098" s="882"/>
      <c r="N1098" s="882"/>
      <c r="O1098" s="882"/>
      <c r="P1098" s="883"/>
      <c r="Q1098" s="882"/>
      <c r="R1098" s="882"/>
      <c r="S1098" s="882"/>
      <c r="T1098" s="882"/>
      <c r="U1098" s="883"/>
      <c r="V1098" s="882"/>
      <c r="W1098" s="882"/>
      <c r="X1098" s="882"/>
      <c r="Y1098" s="884"/>
      <c r="Z1098" s="883"/>
      <c r="AA1098" s="885"/>
      <c r="AB1098" s="883"/>
      <c r="AC1098" s="885"/>
      <c r="AD1098" s="885"/>
      <c r="AE1098" s="885"/>
      <c r="AF1098" s="885"/>
      <c r="AG1098" s="885"/>
      <c r="AH1098" s="848"/>
      <c r="AI1098" s="850"/>
      <c r="AJ1098" s="851"/>
      <c r="AK1098" s="860"/>
      <c r="AL1098" s="860"/>
      <c r="AM1098" s="860"/>
      <c r="AN1098" s="860"/>
      <c r="AO1098" s="860"/>
      <c r="AP1098" s="860"/>
    </row>
    <row r="1101" spans="2:42" ht="25.5">
      <c r="B1101" s="1571"/>
      <c r="C1101" s="1570">
        <v>45936</v>
      </c>
      <c r="D1101" s="1570"/>
      <c r="E1101" s="1570" t="s">
        <v>564</v>
      </c>
      <c r="F1101" s="1570"/>
      <c r="G1101" s="894"/>
      <c r="H1101" s="1570">
        <v>45937</v>
      </c>
      <c r="I1101" s="1570"/>
      <c r="J1101" s="1570" t="s">
        <v>565</v>
      </c>
      <c r="K1101" s="1570"/>
      <c r="L1101" s="894"/>
      <c r="M1101" s="1570">
        <v>45938</v>
      </c>
      <c r="N1101" s="1570"/>
      <c r="O1101" s="1570" t="s">
        <v>566</v>
      </c>
      <c r="P1101" s="1570"/>
      <c r="Q1101" s="894"/>
      <c r="R1101" s="1570">
        <v>45939</v>
      </c>
      <c r="S1101" s="1570"/>
      <c r="T1101" s="1570" t="s">
        <v>567</v>
      </c>
      <c r="U1101" s="1570"/>
      <c r="V1101" s="894"/>
      <c r="W1101" s="1570">
        <v>45940</v>
      </c>
      <c r="X1101" s="1570"/>
      <c r="Y1101" s="1570" t="s">
        <v>568</v>
      </c>
      <c r="Z1101" s="1570"/>
      <c r="AA1101" s="1569" t="s">
        <v>19</v>
      </c>
      <c r="AB1101" s="1569" t="s">
        <v>20</v>
      </c>
      <c r="AC1101" s="4"/>
      <c r="AD1101" s="1570"/>
      <c r="AE1101" s="1570"/>
      <c r="AF1101" s="895" t="s">
        <v>1111</v>
      </c>
      <c r="AG1101" s="1569" t="s">
        <v>21</v>
      </c>
      <c r="AK1101" s="194" t="s">
        <v>84</v>
      </c>
      <c r="AL1101" s="366"/>
      <c r="AM1101" s="366"/>
      <c r="AN1101" s="366"/>
      <c r="AO1101" s="366"/>
      <c r="AP1101" s="366"/>
    </row>
    <row r="1102" spans="2:42">
      <c r="B1102" s="1571"/>
      <c r="C1102" s="896" t="s">
        <v>23</v>
      </c>
      <c r="D1102" s="896" t="s">
        <v>24</v>
      </c>
      <c r="E1102" s="897" t="s">
        <v>25</v>
      </c>
      <c r="F1102" s="898" t="s">
        <v>14</v>
      </c>
      <c r="G1102" s="4"/>
      <c r="H1102" s="896"/>
      <c r="I1102" s="896" t="s">
        <v>24</v>
      </c>
      <c r="J1102" s="898" t="s">
        <v>25</v>
      </c>
      <c r="K1102" s="898" t="s">
        <v>14</v>
      </c>
      <c r="L1102" s="4"/>
      <c r="M1102" s="896" t="s">
        <v>23</v>
      </c>
      <c r="N1102" s="896" t="s">
        <v>24</v>
      </c>
      <c r="O1102" s="898" t="s">
        <v>25</v>
      </c>
      <c r="P1102" s="898" t="s">
        <v>14</v>
      </c>
      <c r="R1102" s="896" t="s">
        <v>23</v>
      </c>
      <c r="S1102" s="896" t="s">
        <v>24</v>
      </c>
      <c r="T1102" s="898" t="s">
        <v>25</v>
      </c>
      <c r="U1102" s="898" t="s">
        <v>14</v>
      </c>
      <c r="W1102" s="896" t="s">
        <v>23</v>
      </c>
      <c r="X1102" s="896" t="s">
        <v>24</v>
      </c>
      <c r="Y1102" s="898" t="s">
        <v>25</v>
      </c>
      <c r="Z1102" s="898" t="s">
        <v>14</v>
      </c>
      <c r="AA1102" s="1569"/>
      <c r="AB1102" s="1569"/>
      <c r="AC1102" s="4"/>
      <c r="AD1102" s="896" t="s">
        <v>23</v>
      </c>
      <c r="AE1102" s="896" t="s">
        <v>24</v>
      </c>
      <c r="AF1102" s="898" t="s">
        <v>25</v>
      </c>
      <c r="AG1102" s="1569"/>
      <c r="AK1102" s="188" t="s">
        <v>26</v>
      </c>
      <c r="AL1102" s="196">
        <f>AA1124</f>
        <v>36.75</v>
      </c>
      <c r="AM1102" s="510">
        <v>40.31</v>
      </c>
      <c r="AN1102" s="510">
        <f t="shared" ref="AN1102:AN1107" si="146">AL1102*AM1102</f>
        <v>1481.3925000000002</v>
      </c>
    </row>
    <row r="1103" spans="2:42">
      <c r="B1103" s="47" t="s">
        <v>515</v>
      </c>
      <c r="C1103" s="47"/>
      <c r="D1103" s="47"/>
      <c r="E1103" s="319">
        <v>0</v>
      </c>
      <c r="F1103" s="320"/>
      <c r="G1103" s="4"/>
      <c r="H1103" s="47"/>
      <c r="I1103" s="47"/>
      <c r="J1103" s="319">
        <v>0</v>
      </c>
      <c r="K1103" s="320"/>
      <c r="L1103" s="4"/>
      <c r="M1103" s="47"/>
      <c r="N1103" s="47"/>
      <c r="O1103" s="319">
        <v>0</v>
      </c>
      <c r="P1103" s="320"/>
      <c r="R1103" s="47"/>
      <c r="S1103" s="47"/>
      <c r="T1103" s="319">
        <v>0</v>
      </c>
      <c r="U1103" s="320"/>
      <c r="W1103" s="47"/>
      <c r="X1103" s="47"/>
      <c r="Y1103" s="319">
        <v>0</v>
      </c>
      <c r="Z1103" s="320"/>
      <c r="AA1103" s="328">
        <f t="shared" ref="AA1103:AA1123" si="147">(E1103+J1103+O1103+T1103+Y1103)</f>
        <v>0</v>
      </c>
      <c r="AB1103" s="400">
        <f t="shared" ref="AB1103:AB1123" si="148">Z1103+U1103+P1103+K1103+F1103</f>
        <v>0</v>
      </c>
      <c r="AC1103" s="4"/>
      <c r="AF1103" s="319"/>
      <c r="AG1103" s="328">
        <f t="shared" ref="AG1103:AG1123" si="149">AF1103</f>
        <v>0</v>
      </c>
      <c r="AK1103" s="188" t="s">
        <v>30</v>
      </c>
      <c r="AL1103" s="196">
        <f>AB1124</f>
        <v>0</v>
      </c>
      <c r="AM1103" s="510">
        <v>60.465000000000003</v>
      </c>
      <c r="AN1103" s="510">
        <f t="shared" si="146"/>
        <v>0</v>
      </c>
    </row>
    <row r="1104" spans="2:42">
      <c r="B1104" s="47" t="s">
        <v>1112</v>
      </c>
      <c r="C1104" s="47"/>
      <c r="D1104" s="47"/>
      <c r="E1104" s="319">
        <v>0</v>
      </c>
      <c r="F1104" s="320"/>
      <c r="G1104" s="4"/>
      <c r="H1104" s="47"/>
      <c r="I1104" s="47"/>
      <c r="J1104" s="319">
        <v>0</v>
      </c>
      <c r="K1104" s="320"/>
      <c r="L1104" s="4"/>
      <c r="M1104" s="47"/>
      <c r="N1104" s="47"/>
      <c r="O1104" s="319">
        <v>0</v>
      </c>
      <c r="P1104" s="320"/>
      <c r="R1104" s="47"/>
      <c r="S1104" s="47"/>
      <c r="T1104" s="319">
        <v>0</v>
      </c>
      <c r="U1104" s="320"/>
      <c r="W1104" s="47"/>
      <c r="X1104" s="47"/>
      <c r="Y1104" s="319">
        <v>0</v>
      </c>
      <c r="Z1104" s="320"/>
      <c r="AA1104" s="328">
        <f t="shared" si="147"/>
        <v>0</v>
      </c>
      <c r="AB1104" s="400">
        <f t="shared" si="148"/>
        <v>0</v>
      </c>
      <c r="AC1104" s="4"/>
      <c r="AD1104" s="47"/>
      <c r="AE1104" s="47"/>
      <c r="AF1104" s="319"/>
      <c r="AG1104" s="328">
        <f t="shared" si="149"/>
        <v>0</v>
      </c>
      <c r="AK1104" s="188" t="s">
        <v>32</v>
      </c>
      <c r="AL1104" s="196">
        <f>AG1124</f>
        <v>0</v>
      </c>
      <c r="AM1104" s="510">
        <v>60.465000000000003</v>
      </c>
      <c r="AN1104" s="510">
        <f t="shared" si="146"/>
        <v>0</v>
      </c>
    </row>
    <row r="1105" spans="2:40">
      <c r="B1105" s="47" t="s">
        <v>1138</v>
      </c>
      <c r="C1105" s="47"/>
      <c r="D1105" s="47"/>
      <c r="E1105" s="319">
        <v>0</v>
      </c>
      <c r="F1105" s="320"/>
      <c r="G1105" s="4"/>
      <c r="H1105" s="47"/>
      <c r="I1105" s="47"/>
      <c r="J1105" s="319">
        <v>0</v>
      </c>
      <c r="K1105" s="320"/>
      <c r="L1105" s="4"/>
      <c r="M1105" s="47"/>
      <c r="N1105" s="47"/>
      <c r="O1105" s="319">
        <v>0</v>
      </c>
      <c r="P1105" s="320"/>
      <c r="R1105" s="47"/>
      <c r="S1105" s="47"/>
      <c r="T1105" s="319">
        <v>0</v>
      </c>
      <c r="U1105" s="320"/>
      <c r="W1105" s="47"/>
      <c r="X1105" s="47"/>
      <c r="Y1105" s="319">
        <v>0</v>
      </c>
      <c r="Z1105" s="320"/>
      <c r="AA1105" s="328">
        <f t="shared" si="147"/>
        <v>0</v>
      </c>
      <c r="AB1105" s="400">
        <f t="shared" si="148"/>
        <v>0</v>
      </c>
      <c r="AC1105" s="4"/>
      <c r="AD1105" s="47"/>
      <c r="AE1105" s="47"/>
      <c r="AF1105" s="319"/>
      <c r="AG1105" s="328">
        <f t="shared" si="149"/>
        <v>0</v>
      </c>
      <c r="AK1105" s="188" t="s">
        <v>213</v>
      </c>
      <c r="AL1105" s="196">
        <f>AA1127</f>
        <v>11</v>
      </c>
      <c r="AM1105" s="510">
        <v>53.05</v>
      </c>
      <c r="AN1105" s="510">
        <f t="shared" si="146"/>
        <v>583.54999999999995</v>
      </c>
    </row>
    <row r="1106" spans="2:40">
      <c r="B1106" s="47" t="s">
        <v>637</v>
      </c>
      <c r="C1106" s="47"/>
      <c r="D1106" s="47"/>
      <c r="E1106" s="319">
        <v>0</v>
      </c>
      <c r="F1106" s="320"/>
      <c r="G1106" s="4"/>
      <c r="H1106" s="47"/>
      <c r="I1106" s="47"/>
      <c r="J1106" s="319">
        <v>0</v>
      </c>
      <c r="K1106" s="320"/>
      <c r="L1106" s="4"/>
      <c r="M1106" s="47"/>
      <c r="N1106" s="47"/>
      <c r="O1106" s="319">
        <v>0</v>
      </c>
      <c r="P1106" s="320"/>
      <c r="R1106" s="47"/>
      <c r="S1106" s="47"/>
      <c r="T1106" s="319">
        <v>0</v>
      </c>
      <c r="U1106" s="320"/>
      <c r="W1106" s="47"/>
      <c r="X1106" s="47"/>
      <c r="Y1106" s="319">
        <v>0</v>
      </c>
      <c r="Z1106" s="320"/>
      <c r="AA1106" s="328">
        <f t="shared" si="147"/>
        <v>0</v>
      </c>
      <c r="AB1106" s="400">
        <f t="shared" si="148"/>
        <v>0</v>
      </c>
      <c r="AC1106" s="4"/>
      <c r="AD1106" s="47"/>
      <c r="AE1106" s="47"/>
      <c r="AF1106" s="319"/>
      <c r="AG1106" s="328">
        <f t="shared" si="149"/>
        <v>0</v>
      </c>
      <c r="AK1106" s="188" t="s">
        <v>36</v>
      </c>
      <c r="AL1106" s="196">
        <f>AB1127</f>
        <v>0</v>
      </c>
      <c r="AM1106" s="510">
        <v>79.574999999999989</v>
      </c>
      <c r="AN1106" s="510">
        <f t="shared" si="146"/>
        <v>0</v>
      </c>
    </row>
    <row r="1107" spans="2:40">
      <c r="B1107" s="374" t="s">
        <v>998</v>
      </c>
      <c r="C1107" s="47"/>
      <c r="D1107" s="47"/>
      <c r="E1107" s="319">
        <v>0</v>
      </c>
      <c r="F1107" s="320"/>
      <c r="G1107" s="4"/>
      <c r="H1107" s="47"/>
      <c r="I1107" s="47"/>
      <c r="J1107" s="319">
        <v>0</v>
      </c>
      <c r="K1107" s="320"/>
      <c r="L1107" s="4"/>
      <c r="M1107" s="47"/>
      <c r="N1107" s="47"/>
      <c r="O1107" s="319">
        <v>0</v>
      </c>
      <c r="P1107" s="320"/>
      <c r="R1107" s="47"/>
      <c r="S1107" s="47"/>
      <c r="T1107" s="319">
        <v>0</v>
      </c>
      <c r="U1107" s="320"/>
      <c r="W1107" s="47"/>
      <c r="X1107" s="47"/>
      <c r="Y1107" s="319">
        <v>0</v>
      </c>
      <c r="Z1107" s="320"/>
      <c r="AA1107" s="328">
        <f t="shared" si="147"/>
        <v>0</v>
      </c>
      <c r="AB1107" s="400">
        <f t="shared" si="148"/>
        <v>0</v>
      </c>
      <c r="AC1107" s="4"/>
      <c r="AD1107" s="47"/>
      <c r="AE1107" s="47"/>
      <c r="AF1107" s="319"/>
      <c r="AG1107" s="328">
        <f t="shared" si="149"/>
        <v>0</v>
      </c>
      <c r="AK1107" s="188" t="s">
        <v>38</v>
      </c>
      <c r="AL1107" s="196">
        <f>AG1127</f>
        <v>0</v>
      </c>
      <c r="AM1107" s="510">
        <v>79.574999999999989</v>
      </c>
      <c r="AN1107" s="510">
        <f t="shared" si="146"/>
        <v>0</v>
      </c>
    </row>
    <row r="1108" spans="2:40">
      <c r="B1108" s="47" t="s">
        <v>977</v>
      </c>
      <c r="C1108" s="47"/>
      <c r="D1108" s="47"/>
      <c r="E1108" s="319">
        <v>0</v>
      </c>
      <c r="F1108" s="320"/>
      <c r="G1108" s="4"/>
      <c r="H1108" s="47"/>
      <c r="I1108" s="47"/>
      <c r="J1108" s="319">
        <v>0</v>
      </c>
      <c r="K1108" s="320"/>
      <c r="L1108" s="4"/>
      <c r="M1108" s="47"/>
      <c r="N1108" s="47"/>
      <c r="O1108" s="319">
        <v>0</v>
      </c>
      <c r="P1108" s="320"/>
      <c r="R1108" s="47"/>
      <c r="S1108" s="47"/>
      <c r="T1108" s="319">
        <v>0</v>
      </c>
      <c r="U1108" s="320"/>
      <c r="W1108" s="47"/>
      <c r="X1108" s="47"/>
      <c r="Y1108" s="319">
        <v>0</v>
      </c>
      <c r="Z1108" s="320"/>
      <c r="AA1108" s="328">
        <f t="shared" si="147"/>
        <v>0</v>
      </c>
      <c r="AB1108" s="400">
        <f t="shared" si="148"/>
        <v>0</v>
      </c>
      <c r="AC1108" s="4"/>
      <c r="AD1108" s="47"/>
      <c r="AE1108" s="47"/>
      <c r="AF1108" s="319"/>
      <c r="AG1108" s="328">
        <f t="shared" si="149"/>
        <v>0</v>
      </c>
      <c r="AN1108" s="510">
        <f>SUM(AN1102:AN1107)</f>
        <v>2064.9425000000001</v>
      </c>
    </row>
    <row r="1109" spans="2:40">
      <c r="B1109" s="47" t="s">
        <v>519</v>
      </c>
      <c r="C1109" s="47"/>
      <c r="D1109" s="47"/>
      <c r="E1109" s="319">
        <v>0</v>
      </c>
      <c r="F1109" s="320"/>
      <c r="G1109" s="4"/>
      <c r="H1109" s="47"/>
      <c r="I1109" s="47"/>
      <c r="J1109" s="319">
        <v>0</v>
      </c>
      <c r="K1109" s="320"/>
      <c r="L1109" s="4"/>
      <c r="M1109" s="47"/>
      <c r="N1109" s="47"/>
      <c r="O1109" s="319">
        <v>0</v>
      </c>
      <c r="P1109" s="320"/>
      <c r="R1109" s="47"/>
      <c r="S1109" s="47"/>
      <c r="T1109" s="319">
        <v>0</v>
      </c>
      <c r="U1109" s="320"/>
      <c r="W1109" s="47"/>
      <c r="X1109" s="47"/>
      <c r="Y1109" s="319">
        <v>0</v>
      </c>
      <c r="Z1109" s="320"/>
      <c r="AA1109" s="328">
        <f t="shared" si="147"/>
        <v>0</v>
      </c>
      <c r="AB1109" s="400">
        <f t="shared" si="148"/>
        <v>0</v>
      </c>
      <c r="AC1109" s="4"/>
      <c r="AD1109" s="47"/>
      <c r="AE1109" s="47"/>
      <c r="AF1109" s="319"/>
      <c r="AG1109" s="328">
        <f t="shared" si="149"/>
        <v>0</v>
      </c>
    </row>
    <row r="1110" spans="2:40">
      <c r="B1110" s="47" t="s">
        <v>999</v>
      </c>
      <c r="C1110" s="47"/>
      <c r="D1110" s="441"/>
      <c r="E1110" s="319">
        <v>0</v>
      </c>
      <c r="F1110" s="320"/>
      <c r="G1110" s="4"/>
      <c r="H1110" s="47"/>
      <c r="I1110" s="47"/>
      <c r="J1110" s="319">
        <v>0</v>
      </c>
      <c r="K1110" s="320"/>
      <c r="L1110" s="4"/>
      <c r="M1110" s="47"/>
      <c r="N1110" s="47"/>
      <c r="O1110" s="319">
        <v>0</v>
      </c>
      <c r="P1110" s="320"/>
      <c r="R1110" s="47"/>
      <c r="S1110" s="47"/>
      <c r="T1110" s="319">
        <v>0</v>
      </c>
      <c r="U1110" s="320"/>
      <c r="W1110" s="47"/>
      <c r="X1110" s="47"/>
      <c r="Y1110" s="319">
        <v>0</v>
      </c>
      <c r="Z1110" s="320"/>
      <c r="AA1110" s="328">
        <f t="shared" si="147"/>
        <v>0</v>
      </c>
      <c r="AB1110" s="400">
        <f t="shared" si="148"/>
        <v>0</v>
      </c>
      <c r="AC1110" s="4"/>
      <c r="AD1110" s="47"/>
      <c r="AE1110" s="47"/>
      <c r="AF1110" s="319"/>
      <c r="AG1110" s="328">
        <f t="shared" si="149"/>
        <v>0</v>
      </c>
      <c r="AK1110" s="192" t="s">
        <v>1115</v>
      </c>
      <c r="AL1110" s="189">
        <f>C1128</f>
        <v>0</v>
      </c>
      <c r="AM1110" s="510">
        <v>45</v>
      </c>
      <c r="AN1110" s="510">
        <f>AM1110*AL1110</f>
        <v>0</v>
      </c>
    </row>
    <row r="1111" spans="2:40">
      <c r="B1111" s="47" t="s">
        <v>1113</v>
      </c>
      <c r="C1111" s="47"/>
      <c r="D1111" s="47"/>
      <c r="E1111" s="319">
        <v>0</v>
      </c>
      <c r="F1111" s="320"/>
      <c r="G1111" s="4"/>
      <c r="H1111" s="47"/>
      <c r="I1111" s="47"/>
      <c r="J1111" s="319">
        <v>0</v>
      </c>
      <c r="K1111" s="320"/>
      <c r="L1111" s="4"/>
      <c r="M1111" s="47"/>
      <c r="N1111" s="47"/>
      <c r="O1111" s="319">
        <v>0</v>
      </c>
      <c r="P1111" s="320"/>
      <c r="R1111" s="47"/>
      <c r="S1111" s="47"/>
      <c r="T1111" s="319">
        <v>0</v>
      </c>
      <c r="U1111" s="320"/>
      <c r="W1111" s="47"/>
      <c r="X1111" s="47"/>
      <c r="Y1111" s="319">
        <v>0</v>
      </c>
      <c r="Z1111" s="320"/>
      <c r="AA1111" s="328">
        <f t="shared" si="147"/>
        <v>0</v>
      </c>
      <c r="AB1111" s="400">
        <f t="shared" si="148"/>
        <v>0</v>
      </c>
      <c r="AC1111" s="4"/>
      <c r="AD1111" s="47"/>
      <c r="AE1111" s="47"/>
      <c r="AF1111" s="319"/>
      <c r="AG1111" s="328">
        <f t="shared" si="149"/>
        <v>0</v>
      </c>
    </row>
    <row r="1112" spans="2:40">
      <c r="B1112" s="502" t="s">
        <v>483</v>
      </c>
      <c r="C1112" s="47"/>
      <c r="D1112" s="47"/>
      <c r="E1112" s="319">
        <v>0</v>
      </c>
      <c r="F1112" s="320"/>
      <c r="G1112" s="4"/>
      <c r="H1112" s="47"/>
      <c r="I1112" s="47"/>
      <c r="J1112" s="319">
        <v>0</v>
      </c>
      <c r="K1112" s="320"/>
      <c r="L1112" s="4"/>
      <c r="M1112" s="47"/>
      <c r="N1112" s="47"/>
      <c r="O1112" s="319">
        <v>0</v>
      </c>
      <c r="P1112" s="320"/>
      <c r="R1112" s="47"/>
      <c r="S1112" s="47"/>
      <c r="T1112" s="319">
        <v>0</v>
      </c>
      <c r="U1112" s="320"/>
      <c r="W1112" s="47"/>
      <c r="X1112" s="47"/>
      <c r="Y1112" s="319">
        <v>0</v>
      </c>
      <c r="Z1112" s="320"/>
      <c r="AA1112" s="328">
        <f t="shared" si="147"/>
        <v>0</v>
      </c>
      <c r="AB1112" s="400">
        <f t="shared" si="148"/>
        <v>0</v>
      </c>
      <c r="AC1112" s="4"/>
      <c r="AD1112" s="47"/>
      <c r="AE1112" s="47"/>
      <c r="AF1112" s="319"/>
      <c r="AG1112" s="328">
        <f t="shared" si="149"/>
        <v>0</v>
      </c>
    </row>
    <row r="1113" spans="2:40">
      <c r="B1113" s="502" t="s">
        <v>483</v>
      </c>
      <c r="C1113" s="47"/>
      <c r="D1113" s="47"/>
      <c r="E1113" s="319">
        <v>0</v>
      </c>
      <c r="F1113" s="320"/>
      <c r="G1113" s="4"/>
      <c r="H1113" s="47"/>
      <c r="I1113" s="47"/>
      <c r="J1113" s="319">
        <v>0</v>
      </c>
      <c r="K1113" s="320"/>
      <c r="L1113" s="4"/>
      <c r="M1113" s="47"/>
      <c r="N1113" s="47"/>
      <c r="O1113" s="319">
        <v>8</v>
      </c>
      <c r="P1113" s="320"/>
      <c r="R1113" s="47"/>
      <c r="S1113" s="47"/>
      <c r="T1113" s="319">
        <v>0</v>
      </c>
      <c r="U1113" s="320"/>
      <c r="W1113" s="47"/>
      <c r="X1113" s="47"/>
      <c r="Y1113" s="319">
        <v>0</v>
      </c>
      <c r="Z1113" s="320"/>
      <c r="AA1113" s="328">
        <f t="shared" si="147"/>
        <v>8</v>
      </c>
      <c r="AB1113" s="400">
        <f t="shared" si="148"/>
        <v>0</v>
      </c>
      <c r="AC1113" s="4"/>
      <c r="AD1113" s="47"/>
      <c r="AE1113" s="47"/>
      <c r="AF1113" s="319"/>
      <c r="AG1113" s="328">
        <f t="shared" si="149"/>
        <v>0</v>
      </c>
    </row>
    <row r="1114" spans="2:40">
      <c r="B1114" s="502" t="s">
        <v>484</v>
      </c>
      <c r="C1114" s="47"/>
      <c r="D1114" s="47"/>
      <c r="E1114" s="319">
        <v>0</v>
      </c>
      <c r="F1114" s="320"/>
      <c r="G1114" s="4"/>
      <c r="H1114" s="47"/>
      <c r="I1114" s="47"/>
      <c r="J1114" s="319">
        <v>0</v>
      </c>
      <c r="K1114" s="320"/>
      <c r="L1114" s="4"/>
      <c r="M1114" s="47"/>
      <c r="N1114" s="47"/>
      <c r="O1114" s="319">
        <v>8</v>
      </c>
      <c r="P1114" s="320"/>
      <c r="R1114" s="47"/>
      <c r="S1114" s="47"/>
      <c r="T1114" s="319">
        <v>0</v>
      </c>
      <c r="U1114" s="320"/>
      <c r="W1114" s="47"/>
      <c r="X1114" s="47"/>
      <c r="Y1114" s="319">
        <v>0</v>
      </c>
      <c r="Z1114" s="320"/>
      <c r="AA1114" s="328">
        <f t="shared" si="147"/>
        <v>8</v>
      </c>
      <c r="AB1114" s="400">
        <f t="shared" si="148"/>
        <v>0</v>
      </c>
      <c r="AC1114" s="4"/>
      <c r="AD1114" s="47"/>
      <c r="AE1114" s="47"/>
      <c r="AF1114" s="319"/>
      <c r="AG1114" s="328">
        <f t="shared" si="149"/>
        <v>0</v>
      </c>
    </row>
    <row r="1115" spans="2:40">
      <c r="B1115" s="502" t="s">
        <v>485</v>
      </c>
      <c r="C1115" s="47"/>
      <c r="D1115" s="47"/>
      <c r="E1115" s="319">
        <v>0</v>
      </c>
      <c r="F1115" s="320"/>
      <c r="G1115" s="4"/>
      <c r="H1115" s="47"/>
      <c r="I1115" s="47"/>
      <c r="J1115" s="319">
        <v>0</v>
      </c>
      <c r="K1115" s="320"/>
      <c r="L1115" s="4"/>
      <c r="M1115" s="47"/>
      <c r="N1115" s="47"/>
      <c r="O1115" s="319">
        <v>8</v>
      </c>
      <c r="P1115" s="320"/>
      <c r="R1115" s="47"/>
      <c r="S1115" s="47"/>
      <c r="T1115" s="319">
        <v>0</v>
      </c>
      <c r="U1115" s="320"/>
      <c r="W1115" s="47"/>
      <c r="X1115" s="47"/>
      <c r="Y1115" s="319">
        <v>0</v>
      </c>
      <c r="Z1115" s="320"/>
      <c r="AA1115" s="328">
        <f t="shared" si="147"/>
        <v>8</v>
      </c>
      <c r="AB1115" s="400">
        <f t="shared" si="148"/>
        <v>0</v>
      </c>
      <c r="AC1115" s="4"/>
      <c r="AD1115" s="47"/>
      <c r="AE1115" s="47"/>
      <c r="AF1115" s="319"/>
      <c r="AG1115" s="328">
        <f t="shared" si="149"/>
        <v>0</v>
      </c>
    </row>
    <row r="1116" spans="2:40">
      <c r="B1116" s="502" t="s">
        <v>1129</v>
      </c>
      <c r="C1116" s="47"/>
      <c r="D1116" s="47"/>
      <c r="E1116" s="319">
        <v>0</v>
      </c>
      <c r="F1116" s="320"/>
      <c r="G1116" s="4"/>
      <c r="H1116" s="47"/>
      <c r="I1116" s="47"/>
      <c r="J1116" s="319">
        <v>0</v>
      </c>
      <c r="K1116" s="320"/>
      <c r="L1116" s="4"/>
      <c r="M1116" s="47"/>
      <c r="N1116" s="47"/>
      <c r="O1116" s="319">
        <v>0</v>
      </c>
      <c r="P1116" s="320"/>
      <c r="R1116" s="47"/>
      <c r="S1116" s="47"/>
      <c r="T1116" s="319">
        <v>0</v>
      </c>
      <c r="U1116" s="320"/>
      <c r="W1116" s="47"/>
      <c r="X1116" s="47"/>
      <c r="Y1116" s="319">
        <v>0</v>
      </c>
      <c r="Z1116" s="320"/>
      <c r="AA1116" s="328">
        <f t="shared" si="147"/>
        <v>0</v>
      </c>
      <c r="AB1116" s="400">
        <f t="shared" si="148"/>
        <v>0</v>
      </c>
      <c r="AC1116" s="4"/>
      <c r="AD1116" s="47"/>
      <c r="AE1116" s="47"/>
      <c r="AF1116" s="319"/>
      <c r="AG1116" s="328">
        <f t="shared" si="149"/>
        <v>0</v>
      </c>
    </row>
    <row r="1117" spans="2:40">
      <c r="B1117" s="267" t="s">
        <v>358</v>
      </c>
      <c r="C1117" s="47"/>
      <c r="D1117" s="47"/>
      <c r="E1117" s="319">
        <v>1</v>
      </c>
      <c r="F1117" s="320"/>
      <c r="G1117" s="4"/>
      <c r="H1117" s="47"/>
      <c r="I1117" s="47"/>
      <c r="J1117" s="319">
        <v>1</v>
      </c>
      <c r="K1117" s="320"/>
      <c r="L1117" s="438"/>
      <c r="M1117" s="47"/>
      <c r="N1117" s="47"/>
      <c r="O1117" s="319">
        <v>1</v>
      </c>
      <c r="P1117" s="320"/>
      <c r="Q1117" s="438"/>
      <c r="R1117" s="47"/>
      <c r="S1117" s="47"/>
      <c r="T1117" s="319">
        <v>1</v>
      </c>
      <c r="U1117" s="320"/>
      <c r="V1117" s="438"/>
      <c r="W1117" s="47"/>
      <c r="X1117" s="47"/>
      <c r="Y1117" s="319">
        <v>1</v>
      </c>
      <c r="Z1117" s="320"/>
      <c r="AA1117" s="328">
        <f t="shared" si="147"/>
        <v>5</v>
      </c>
      <c r="AB1117" s="400">
        <f t="shared" si="148"/>
        <v>0</v>
      </c>
      <c r="AC1117" s="4"/>
      <c r="AD1117" s="47"/>
      <c r="AE1117" s="47"/>
      <c r="AF1117" s="319"/>
      <c r="AG1117" s="328">
        <f t="shared" si="149"/>
        <v>0</v>
      </c>
    </row>
    <row r="1118" spans="2:40">
      <c r="B1118" s="267" t="s">
        <v>991</v>
      </c>
      <c r="C1118" s="47"/>
      <c r="D1118" s="47"/>
      <c r="E1118" s="319">
        <v>0</v>
      </c>
      <c r="F1118" s="320"/>
      <c r="G1118" s="4"/>
      <c r="H1118" s="47"/>
      <c r="I1118" s="47"/>
      <c r="J1118" s="319">
        <v>0</v>
      </c>
      <c r="K1118" s="320"/>
      <c r="L1118" s="438"/>
      <c r="M1118" s="47"/>
      <c r="N1118" s="47"/>
      <c r="O1118" s="319">
        <v>0</v>
      </c>
      <c r="P1118" s="320"/>
      <c r="Q1118" s="438"/>
      <c r="R1118" s="47"/>
      <c r="S1118" s="47"/>
      <c r="T1118" s="319">
        <v>0</v>
      </c>
      <c r="U1118" s="320"/>
      <c r="V1118" s="438"/>
      <c r="W1118" s="47"/>
      <c r="X1118" s="47"/>
      <c r="Y1118" s="319">
        <v>0</v>
      </c>
      <c r="Z1118" s="320"/>
      <c r="AA1118" s="328">
        <f t="shared" si="147"/>
        <v>0</v>
      </c>
      <c r="AB1118" s="400">
        <f t="shared" si="148"/>
        <v>0</v>
      </c>
      <c r="AC1118" s="4"/>
      <c r="AD1118" s="47"/>
      <c r="AE1118" s="47"/>
      <c r="AF1118" s="319"/>
      <c r="AG1118" s="328">
        <f t="shared" si="149"/>
        <v>0</v>
      </c>
    </row>
    <row r="1119" spans="2:40">
      <c r="B1119" s="267" t="s">
        <v>411</v>
      </c>
      <c r="C1119" s="47"/>
      <c r="D1119" s="47"/>
      <c r="E1119" s="319">
        <v>0</v>
      </c>
      <c r="F1119" s="320"/>
      <c r="G1119" s="4"/>
      <c r="H1119" s="47"/>
      <c r="I1119" s="47"/>
      <c r="J1119" s="319">
        <v>0</v>
      </c>
      <c r="K1119" s="320"/>
      <c r="L1119" s="438"/>
      <c r="M1119" s="47"/>
      <c r="N1119" s="47"/>
      <c r="O1119" s="319">
        <v>0</v>
      </c>
      <c r="P1119" s="320"/>
      <c r="Q1119" s="438"/>
      <c r="R1119" s="47"/>
      <c r="S1119" s="47"/>
      <c r="T1119" s="319">
        <v>0</v>
      </c>
      <c r="U1119" s="320"/>
      <c r="V1119" s="438"/>
      <c r="W1119" s="47"/>
      <c r="X1119" s="47"/>
      <c r="Y1119" s="319">
        <v>0</v>
      </c>
      <c r="Z1119" s="320"/>
      <c r="AA1119" s="328">
        <f t="shared" si="147"/>
        <v>0</v>
      </c>
      <c r="AB1119" s="400">
        <f t="shared" si="148"/>
        <v>0</v>
      </c>
      <c r="AC1119" s="4"/>
      <c r="AD1119" s="47"/>
      <c r="AE1119" s="47"/>
      <c r="AF1119" s="319"/>
      <c r="AG1119" s="328">
        <f t="shared" si="149"/>
        <v>0</v>
      </c>
    </row>
    <row r="1120" spans="2:40">
      <c r="B1120" s="267" t="s">
        <v>361</v>
      </c>
      <c r="C1120" s="47"/>
      <c r="D1120" s="47"/>
      <c r="E1120" s="319">
        <v>0</v>
      </c>
      <c r="F1120" s="320"/>
      <c r="G1120" s="4"/>
      <c r="H1120" s="47"/>
      <c r="I1120" s="47"/>
      <c r="J1120" s="319">
        <v>0</v>
      </c>
      <c r="K1120" s="320"/>
      <c r="L1120" s="438"/>
      <c r="M1120" s="47"/>
      <c r="N1120" s="47"/>
      <c r="O1120" s="319">
        <v>0</v>
      </c>
      <c r="P1120" s="320"/>
      <c r="Q1120" s="438"/>
      <c r="R1120" s="47"/>
      <c r="S1120" s="47"/>
      <c r="T1120" s="319">
        <v>0</v>
      </c>
      <c r="U1120" s="320"/>
      <c r="V1120" s="438"/>
      <c r="W1120" s="47"/>
      <c r="X1120" s="47"/>
      <c r="Y1120" s="319">
        <v>0</v>
      </c>
      <c r="Z1120" s="320"/>
      <c r="AA1120" s="328">
        <f t="shared" si="147"/>
        <v>0</v>
      </c>
      <c r="AB1120" s="400">
        <f t="shared" si="148"/>
        <v>0</v>
      </c>
      <c r="AC1120" s="4"/>
      <c r="AD1120" s="47"/>
      <c r="AE1120" s="47"/>
      <c r="AF1120" s="319"/>
      <c r="AG1120" s="328">
        <f t="shared" si="149"/>
        <v>0</v>
      </c>
    </row>
    <row r="1121" spans="2:42">
      <c r="B1121" s="267" t="s">
        <v>362</v>
      </c>
      <c r="C1121" s="47"/>
      <c r="D1121" s="5"/>
      <c r="E1121" s="319">
        <v>0</v>
      </c>
      <c r="F1121" s="320"/>
      <c r="G1121" s="4"/>
      <c r="H1121" s="47"/>
      <c r="I1121" s="5"/>
      <c r="J1121" s="319">
        <v>0</v>
      </c>
      <c r="K1121" s="320"/>
      <c r="L1121" s="438"/>
      <c r="M1121" s="47"/>
      <c r="N1121" s="5"/>
      <c r="O1121" s="319">
        <v>0</v>
      </c>
      <c r="P1121" s="320"/>
      <c r="Q1121" s="438"/>
      <c r="R1121" s="47"/>
      <c r="S1121" s="5"/>
      <c r="T1121" s="319">
        <v>0</v>
      </c>
      <c r="U1121" s="320"/>
      <c r="V1121" s="438"/>
      <c r="W1121" s="47"/>
      <c r="X1121" s="5"/>
      <c r="Y1121" s="319">
        <v>0</v>
      </c>
      <c r="Z1121" s="320"/>
      <c r="AA1121" s="328">
        <f t="shared" si="147"/>
        <v>0</v>
      </c>
      <c r="AB1121" s="400">
        <f t="shared" si="148"/>
        <v>0</v>
      </c>
      <c r="AC1121" s="4"/>
      <c r="AD1121" s="47"/>
      <c r="AE1121" s="47"/>
      <c r="AF1121" s="319"/>
      <c r="AG1121" s="328">
        <f t="shared" si="149"/>
        <v>0</v>
      </c>
    </row>
    <row r="1122" spans="2:42">
      <c r="B1122" s="437" t="s">
        <v>355</v>
      </c>
      <c r="C1122" s="47"/>
      <c r="D1122" s="47"/>
      <c r="E1122" s="319">
        <v>0</v>
      </c>
      <c r="F1122" s="320"/>
      <c r="G1122" s="4"/>
      <c r="H1122" s="47"/>
      <c r="I1122" s="47"/>
      <c r="J1122" s="319">
        <v>0</v>
      </c>
      <c r="K1122" s="320"/>
      <c r="L1122" s="438"/>
      <c r="M1122" s="47"/>
      <c r="N1122" s="47"/>
      <c r="O1122" s="319">
        <v>7.75</v>
      </c>
      <c r="P1122" s="320"/>
      <c r="Q1122" s="438"/>
      <c r="R1122" s="47"/>
      <c r="S1122" s="47"/>
      <c r="T1122" s="319">
        <v>0</v>
      </c>
      <c r="U1122" s="320"/>
      <c r="V1122" s="438"/>
      <c r="W1122" s="47"/>
      <c r="X1122" s="47"/>
      <c r="Y1122" s="319">
        <v>0</v>
      </c>
      <c r="Z1122" s="320"/>
      <c r="AA1122" s="328">
        <f t="shared" si="147"/>
        <v>7.75</v>
      </c>
      <c r="AB1122" s="400">
        <f t="shared" si="148"/>
        <v>0</v>
      </c>
      <c r="AC1122" s="4"/>
      <c r="AD1122" s="47"/>
      <c r="AE1122" s="47"/>
      <c r="AF1122" s="319"/>
      <c r="AG1122" s="328">
        <f t="shared" si="149"/>
        <v>0</v>
      </c>
    </row>
    <row r="1123" spans="2:42">
      <c r="B1123" s="437" t="s">
        <v>356</v>
      </c>
      <c r="C1123" s="713"/>
      <c r="D1123" s="713"/>
      <c r="E1123" s="319">
        <v>0</v>
      </c>
      <c r="F1123" s="320"/>
      <c r="G1123" s="438"/>
      <c r="H1123" s="5"/>
      <c r="I1123" s="5"/>
      <c r="J1123" s="319">
        <v>0</v>
      </c>
      <c r="K1123" s="320"/>
      <c r="L1123" s="438"/>
      <c r="M1123" s="5"/>
      <c r="N1123" s="5"/>
      <c r="O1123" s="319">
        <v>0</v>
      </c>
      <c r="P1123" s="320"/>
      <c r="Q1123" s="438"/>
      <c r="R1123" s="5"/>
      <c r="S1123" s="5"/>
      <c r="T1123" s="319">
        <v>0</v>
      </c>
      <c r="U1123" s="320"/>
      <c r="V1123" s="438"/>
      <c r="W1123" s="5"/>
      <c r="X1123" s="5"/>
      <c r="Y1123" s="319">
        <v>0</v>
      </c>
      <c r="Z1123" s="320"/>
      <c r="AA1123" s="328">
        <f t="shared" si="147"/>
        <v>0</v>
      </c>
      <c r="AB1123" s="400">
        <f t="shared" si="148"/>
        <v>0</v>
      </c>
      <c r="AC1123" s="4"/>
      <c r="AD1123" s="47"/>
      <c r="AE1123" s="47"/>
      <c r="AF1123" s="319"/>
      <c r="AG1123" s="328">
        <f t="shared" si="149"/>
        <v>0</v>
      </c>
    </row>
    <row r="1124" spans="2:42">
      <c r="B1124" s="31" t="s">
        <v>61</v>
      </c>
      <c r="C1124" s="31"/>
      <c r="D1124" s="31"/>
      <c r="E1124" s="439">
        <f>SUM(E1103:E1123)</f>
        <v>1</v>
      </c>
      <c r="F1124" s="320"/>
      <c r="G1124" s="31"/>
      <c r="H1124" s="31"/>
      <c r="I1124" s="31"/>
      <c r="J1124" s="439">
        <f>SUM(J1103:J1123)</f>
        <v>1</v>
      </c>
      <c r="K1124" s="320"/>
      <c r="L1124" s="31"/>
      <c r="M1124" s="31"/>
      <c r="N1124" s="31"/>
      <c r="O1124" s="439">
        <f>SUM(O1103:O1123)</f>
        <v>32.75</v>
      </c>
      <c r="P1124" s="320"/>
      <c r="Q1124" s="31"/>
      <c r="R1124" s="31"/>
      <c r="S1124" s="31"/>
      <c r="T1124" s="439">
        <f>SUM(T1103:T1123)</f>
        <v>1</v>
      </c>
      <c r="U1124" s="320"/>
      <c r="V1124" s="31"/>
      <c r="W1124" s="31"/>
      <c r="X1124" s="31"/>
      <c r="Y1124" s="439">
        <f>SUM(Y1103:Y1123)</f>
        <v>1</v>
      </c>
      <c r="Z1124" s="320"/>
      <c r="AA1124" s="328">
        <f>SUM(AA1103:AA1123)</f>
        <v>36.75</v>
      </c>
      <c r="AB1124" s="328">
        <f>SUM(AB1103:AB1123)</f>
        <v>0</v>
      </c>
      <c r="AC1124" s="4"/>
      <c r="AD1124" s="31"/>
      <c r="AE1124" s="31"/>
      <c r="AF1124" s="328">
        <f>SUM(AF1103:AF1123)</f>
        <v>0</v>
      </c>
      <c r="AG1124" s="328">
        <f>SUM(AG1103:AG1123)</f>
        <v>0</v>
      </c>
    </row>
    <row r="1125" spans="2:42">
      <c r="B1125" s="267" t="s">
        <v>1116</v>
      </c>
      <c r="C1125" s="47"/>
      <c r="D1125" s="47"/>
      <c r="E1125" s="319">
        <v>2</v>
      </c>
      <c r="F1125" s="320"/>
      <c r="G1125" s="4"/>
      <c r="H1125" s="47"/>
      <c r="I1125" s="47"/>
      <c r="J1125" s="319">
        <v>2</v>
      </c>
      <c r="K1125" s="320"/>
      <c r="L1125" s="4"/>
      <c r="M1125" s="47"/>
      <c r="N1125" s="47"/>
      <c r="O1125" s="319">
        <v>2</v>
      </c>
      <c r="P1125" s="320"/>
      <c r="R1125" s="47"/>
      <c r="S1125" s="47"/>
      <c r="T1125" s="319">
        <v>2</v>
      </c>
      <c r="U1125" s="320"/>
      <c r="W1125" s="47"/>
      <c r="X1125" s="47"/>
      <c r="Y1125" s="319">
        <v>2</v>
      </c>
      <c r="Z1125" s="320"/>
      <c r="AA1125" s="328">
        <f>(E1125+J1125+O1125+T1125+Y1125)</f>
        <v>10</v>
      </c>
      <c r="AB1125" s="400">
        <f>Z1125+U1125+P1125+K1125+F1125</f>
        <v>0</v>
      </c>
      <c r="AC1125" s="4"/>
      <c r="AD1125" s="47"/>
      <c r="AE1125" s="47"/>
      <c r="AF1125" s="319"/>
      <c r="AG1125" s="328">
        <f>AF1125</f>
        <v>0</v>
      </c>
    </row>
    <row r="1126" spans="2:42">
      <c r="B1126" s="267" t="s">
        <v>64</v>
      </c>
      <c r="C1126" s="47"/>
      <c r="D1126" s="47"/>
      <c r="E1126" s="319">
        <v>0</v>
      </c>
      <c r="F1126" s="319"/>
      <c r="G1126" s="71"/>
      <c r="H1126" s="47"/>
      <c r="I1126" s="47"/>
      <c r="J1126" s="319">
        <v>0</v>
      </c>
      <c r="K1126" s="319"/>
      <c r="L1126" s="438"/>
      <c r="M1126" s="47"/>
      <c r="N1126" s="47"/>
      <c r="O1126" s="319">
        <v>0</v>
      </c>
      <c r="P1126" s="319"/>
      <c r="Q1126" s="438"/>
      <c r="R1126" s="47"/>
      <c r="S1126" s="47"/>
      <c r="T1126" s="319">
        <v>1</v>
      </c>
      <c r="U1126" s="319"/>
      <c r="V1126" s="438"/>
      <c r="W1126" s="47"/>
      <c r="X1126" s="47"/>
      <c r="Y1126" s="319">
        <v>0</v>
      </c>
      <c r="Z1126" s="319"/>
      <c r="AA1126" s="328">
        <f>SUM(E1126+J1126+O1126+T1126+Y1126)</f>
        <v>1</v>
      </c>
      <c r="AB1126" s="897">
        <f>Z1126+U1126+P1126+K1126+F1126</f>
        <v>0</v>
      </c>
      <c r="AC1126" s="4"/>
      <c r="AD1126" s="47" t="s">
        <v>29</v>
      </c>
      <c r="AE1126" s="47" t="s">
        <v>29</v>
      </c>
      <c r="AF1126" s="319"/>
      <c r="AG1126" s="328">
        <f>AF1126</f>
        <v>0</v>
      </c>
    </row>
    <row r="1127" spans="2:42">
      <c r="B1127" s="71" t="s">
        <v>66</v>
      </c>
      <c r="C1127" s="371"/>
      <c r="D1127" s="371"/>
      <c r="E1127" s="71"/>
      <c r="F1127" s="71"/>
      <c r="G1127" s="71"/>
      <c r="H1127" s="71"/>
      <c r="I1127" s="71"/>
      <c r="J1127" s="71"/>
      <c r="K1127" s="71"/>
      <c r="L1127" s="71"/>
      <c r="M1127" s="71"/>
      <c r="N1127" s="71"/>
      <c r="O1127" s="71"/>
      <c r="P1127" s="71"/>
      <c r="Q1127" s="71"/>
      <c r="R1127" s="71"/>
      <c r="S1127" s="71"/>
      <c r="T1127" s="71"/>
      <c r="U1127" s="71"/>
      <c r="V1127" s="71"/>
      <c r="W1127" s="71"/>
      <c r="X1127" s="71"/>
      <c r="Y1127" s="71"/>
      <c r="Z1127" s="71"/>
      <c r="AA1127" s="328">
        <f>SUM(AA1125:AA1126)</f>
        <v>11</v>
      </c>
      <c r="AB1127" s="328">
        <f>SUM(AB1126:AB1126)</f>
        <v>0</v>
      </c>
      <c r="AC1127" s="4"/>
      <c r="AG1127" s="328">
        <f>SUM(AG1126:AG1126)</f>
        <v>0</v>
      </c>
      <c r="AK1127" s="407"/>
    </row>
    <row r="1128" spans="2:42">
      <c r="B1128" s="899" t="s">
        <v>67</v>
      </c>
      <c r="C1128" s="900">
        <f>C1129+C1130</f>
        <v>0</v>
      </c>
      <c r="D1128" s="900"/>
      <c r="E1128" s="901"/>
      <c r="F1128" s="901"/>
      <c r="G1128" s="900"/>
      <c r="H1128" s="901"/>
      <c r="I1128" s="901"/>
      <c r="J1128" s="901"/>
      <c r="K1128" s="901"/>
      <c r="L1128" s="900"/>
      <c r="M1128" s="900"/>
      <c r="N1128" s="900"/>
      <c r="O1128" s="900"/>
      <c r="P1128" s="901"/>
      <c r="Q1128" s="900"/>
      <c r="R1128" s="900"/>
      <c r="S1128" s="900"/>
      <c r="T1128" s="900"/>
      <c r="U1128" s="901"/>
      <c r="V1128" s="900"/>
      <c r="W1128" s="900"/>
      <c r="X1128" s="900"/>
      <c r="Y1128" s="902"/>
      <c r="Z1128" s="901"/>
      <c r="AA1128" s="903"/>
      <c r="AB1128" s="901"/>
      <c r="AC1128" s="903"/>
      <c r="AD1128" s="903"/>
      <c r="AE1128" s="903"/>
      <c r="AF1128" s="903"/>
      <c r="AG1128" s="903"/>
      <c r="AK1128" s="407"/>
    </row>
    <row r="1129" spans="2:42">
      <c r="B1129" s="904" t="s">
        <v>68</v>
      </c>
      <c r="C1129" s="900">
        <v>0</v>
      </c>
      <c r="D1129" s="900"/>
      <c r="E1129" s="901"/>
      <c r="F1129" s="901"/>
      <c r="G1129" s="900"/>
      <c r="H1129" s="901"/>
      <c r="I1129" s="901"/>
      <c r="J1129" s="901"/>
      <c r="K1129" s="901"/>
      <c r="L1129" s="900"/>
      <c r="M1129" s="900"/>
      <c r="N1129" s="900"/>
      <c r="O1129" s="900"/>
      <c r="P1129" s="901"/>
      <c r="Q1129" s="900"/>
      <c r="R1129" s="900"/>
      <c r="S1129" s="900"/>
      <c r="T1129" s="900"/>
      <c r="U1129" s="901"/>
      <c r="V1129" s="900"/>
      <c r="W1129" s="900"/>
      <c r="X1129" s="900"/>
      <c r="Y1129" s="902"/>
      <c r="Z1129" s="901"/>
      <c r="AA1129" s="903"/>
      <c r="AB1129" s="901"/>
      <c r="AC1129" s="903"/>
      <c r="AD1129" s="903"/>
      <c r="AE1129" s="903"/>
      <c r="AF1129" s="903"/>
      <c r="AG1129" s="903"/>
      <c r="AK1129" s="407"/>
    </row>
    <row r="1130" spans="2:42">
      <c r="B1130" s="904" t="s">
        <v>69</v>
      </c>
      <c r="C1130" s="900">
        <v>0</v>
      </c>
      <c r="D1130" s="900"/>
      <c r="E1130" s="901"/>
      <c r="F1130" s="901"/>
      <c r="G1130" s="900"/>
      <c r="H1130" s="901"/>
      <c r="I1130" s="901"/>
      <c r="J1130" s="901"/>
      <c r="K1130" s="901"/>
      <c r="L1130" s="900"/>
      <c r="M1130" s="900"/>
      <c r="N1130" s="900"/>
      <c r="O1130" s="900"/>
      <c r="P1130" s="901"/>
      <c r="Q1130" s="900"/>
      <c r="R1130" s="900"/>
      <c r="S1130" s="900"/>
      <c r="T1130" s="900"/>
      <c r="U1130" s="901"/>
      <c r="V1130" s="900"/>
      <c r="W1130" s="900"/>
      <c r="X1130" s="900"/>
      <c r="Y1130" s="902"/>
      <c r="Z1130" s="901"/>
      <c r="AA1130" s="903"/>
      <c r="AB1130" s="901"/>
      <c r="AC1130" s="903"/>
      <c r="AD1130" s="903"/>
      <c r="AE1130" s="903"/>
      <c r="AF1130" s="903"/>
      <c r="AG1130" s="903"/>
    </row>
    <row r="1133" spans="2:42" ht="25.5">
      <c r="B1133" s="1571"/>
      <c r="C1133" s="1570">
        <v>45943</v>
      </c>
      <c r="D1133" s="1570"/>
      <c r="E1133" s="1570" t="s">
        <v>564</v>
      </c>
      <c r="F1133" s="1570"/>
      <c r="G1133" s="894"/>
      <c r="H1133" s="1570">
        <v>45944</v>
      </c>
      <c r="I1133" s="1570"/>
      <c r="J1133" s="1570" t="s">
        <v>565</v>
      </c>
      <c r="K1133" s="1570"/>
      <c r="L1133" s="894"/>
      <c r="M1133" s="1570">
        <v>45945</v>
      </c>
      <c r="N1133" s="1570"/>
      <c r="O1133" s="1570" t="s">
        <v>566</v>
      </c>
      <c r="P1133" s="1570"/>
      <c r="Q1133" s="894"/>
      <c r="R1133" s="1570">
        <v>45946</v>
      </c>
      <c r="S1133" s="1570"/>
      <c r="T1133" s="1570" t="s">
        <v>567</v>
      </c>
      <c r="U1133" s="1570"/>
      <c r="V1133" s="894"/>
      <c r="W1133" s="1570">
        <v>45947</v>
      </c>
      <c r="X1133" s="1570"/>
      <c r="Y1133" s="1570" t="s">
        <v>568</v>
      </c>
      <c r="Z1133" s="1570"/>
      <c r="AA1133" s="1569" t="s">
        <v>19</v>
      </c>
      <c r="AB1133" s="1569" t="s">
        <v>20</v>
      </c>
      <c r="AC1133" s="4"/>
      <c r="AD1133" s="1570"/>
      <c r="AE1133" s="1570"/>
      <c r="AF1133" s="895" t="s">
        <v>1111</v>
      </c>
      <c r="AG1133" s="1569" t="s">
        <v>21</v>
      </c>
      <c r="AK1133" s="194" t="s">
        <v>84</v>
      </c>
      <c r="AL1133" s="366"/>
      <c r="AM1133" s="366"/>
      <c r="AN1133" s="366"/>
      <c r="AO1133" s="366"/>
      <c r="AP1133" s="366"/>
    </row>
    <row r="1134" spans="2:42">
      <c r="B1134" s="1571"/>
      <c r="C1134" s="896" t="s">
        <v>23</v>
      </c>
      <c r="D1134" s="896" t="s">
        <v>24</v>
      </c>
      <c r="E1134" s="897" t="s">
        <v>25</v>
      </c>
      <c r="F1134" s="898" t="s">
        <v>14</v>
      </c>
      <c r="G1134" s="4"/>
      <c r="H1134" s="896"/>
      <c r="I1134" s="896" t="s">
        <v>24</v>
      </c>
      <c r="J1134" s="898" t="s">
        <v>25</v>
      </c>
      <c r="K1134" s="898" t="s">
        <v>14</v>
      </c>
      <c r="L1134" s="4"/>
      <c r="M1134" s="896" t="s">
        <v>23</v>
      </c>
      <c r="N1134" s="896" t="s">
        <v>24</v>
      </c>
      <c r="O1134" s="898" t="s">
        <v>25</v>
      </c>
      <c r="P1134" s="898" t="s">
        <v>14</v>
      </c>
      <c r="R1134" s="896" t="s">
        <v>23</v>
      </c>
      <c r="S1134" s="896" t="s">
        <v>24</v>
      </c>
      <c r="T1134" s="898" t="s">
        <v>25</v>
      </c>
      <c r="U1134" s="898" t="s">
        <v>14</v>
      </c>
      <c r="W1134" s="896" t="s">
        <v>23</v>
      </c>
      <c r="X1134" s="896" t="s">
        <v>24</v>
      </c>
      <c r="Y1134" s="898" t="s">
        <v>25</v>
      </c>
      <c r="Z1134" s="898" t="s">
        <v>14</v>
      </c>
      <c r="AA1134" s="1569"/>
      <c r="AB1134" s="1569"/>
      <c r="AC1134" s="4"/>
      <c r="AD1134" s="896" t="s">
        <v>23</v>
      </c>
      <c r="AE1134" s="896" t="s">
        <v>24</v>
      </c>
      <c r="AF1134" s="898" t="s">
        <v>25</v>
      </c>
      <c r="AG1134" s="1569"/>
      <c r="AK1134" s="188" t="s">
        <v>26</v>
      </c>
      <c r="AL1134" s="196">
        <f>AA1156</f>
        <v>228.75</v>
      </c>
      <c r="AM1134" s="510">
        <v>40.31</v>
      </c>
      <c r="AN1134" s="510">
        <f t="shared" ref="AN1134:AN1139" si="150">AL1134*AM1134</f>
        <v>9220.9125000000004</v>
      </c>
    </row>
    <row r="1135" spans="2:42">
      <c r="B1135" s="47" t="s">
        <v>515</v>
      </c>
      <c r="C1135" s="47"/>
      <c r="D1135" s="47"/>
      <c r="E1135" s="319">
        <v>0</v>
      </c>
      <c r="F1135" s="320"/>
      <c r="G1135" s="4"/>
      <c r="H1135" s="47"/>
      <c r="I1135" s="47"/>
      <c r="J1135" s="319">
        <v>0</v>
      </c>
      <c r="K1135" s="320"/>
      <c r="L1135" s="4"/>
      <c r="M1135" s="47"/>
      <c r="N1135" s="47"/>
      <c r="O1135" s="319">
        <v>0</v>
      </c>
      <c r="P1135" s="320"/>
      <c r="R1135" s="47"/>
      <c r="S1135" s="47"/>
      <c r="T1135" s="319">
        <v>0</v>
      </c>
      <c r="U1135" s="320"/>
      <c r="W1135" s="47"/>
      <c r="X1135" s="47"/>
      <c r="Y1135" s="319">
        <v>0</v>
      </c>
      <c r="Z1135" s="320"/>
      <c r="AA1135" s="328">
        <f t="shared" ref="AA1135:AA1155" si="151">(E1135+J1135+O1135+T1135+Y1135)</f>
        <v>0</v>
      </c>
      <c r="AB1135" s="400">
        <f t="shared" ref="AB1135:AB1155" si="152">Z1135+U1135+P1135+K1135+F1135</f>
        <v>0</v>
      </c>
      <c r="AC1135" s="4"/>
      <c r="AF1135" s="319"/>
      <c r="AG1135" s="328">
        <f t="shared" ref="AG1135:AG1155" si="153">AF1135</f>
        <v>0</v>
      </c>
      <c r="AK1135" s="188" t="s">
        <v>30</v>
      </c>
      <c r="AL1135" s="196">
        <f>AB1156</f>
        <v>0</v>
      </c>
      <c r="AM1135" s="510">
        <v>60.465000000000003</v>
      </c>
      <c r="AN1135" s="510">
        <f t="shared" si="150"/>
        <v>0</v>
      </c>
    </row>
    <row r="1136" spans="2:42">
      <c r="B1136" s="47" t="s">
        <v>1112</v>
      </c>
      <c r="C1136" s="47">
        <v>0.375</v>
      </c>
      <c r="D1136" s="47">
        <v>8.3333333333333329E-2</v>
      </c>
      <c r="E1136" s="319">
        <v>6</v>
      </c>
      <c r="F1136" s="320"/>
      <c r="G1136" s="4"/>
      <c r="H1136" s="47"/>
      <c r="I1136" s="47"/>
      <c r="J1136" s="319">
        <v>0</v>
      </c>
      <c r="K1136" s="320"/>
      <c r="L1136" s="4"/>
      <c r="M1136" s="47"/>
      <c r="N1136" s="47"/>
      <c r="O1136" s="319">
        <v>0</v>
      </c>
      <c r="P1136" s="320"/>
      <c r="R1136" s="47">
        <v>0.20833333333333334</v>
      </c>
      <c r="S1136" s="47">
        <v>0.45833333333333331</v>
      </c>
      <c r="T1136" s="319">
        <v>6</v>
      </c>
      <c r="U1136" s="320"/>
      <c r="W1136" s="47"/>
      <c r="X1136" s="47"/>
      <c r="Y1136" s="319">
        <v>0</v>
      </c>
      <c r="Z1136" s="320"/>
      <c r="AA1136" s="328">
        <f t="shared" si="151"/>
        <v>12</v>
      </c>
      <c r="AB1136" s="400">
        <f t="shared" si="152"/>
        <v>0</v>
      </c>
      <c r="AC1136" s="4"/>
      <c r="AD1136" s="47"/>
      <c r="AE1136" s="47"/>
      <c r="AF1136" s="319"/>
      <c r="AG1136" s="328">
        <f t="shared" si="153"/>
        <v>0</v>
      </c>
      <c r="AK1136" s="188" t="s">
        <v>32</v>
      </c>
      <c r="AL1136" s="196">
        <f>AG1156</f>
        <v>0</v>
      </c>
      <c r="AM1136" s="510">
        <v>60.465000000000003</v>
      </c>
      <c r="AN1136" s="510">
        <f t="shared" si="150"/>
        <v>0</v>
      </c>
    </row>
    <row r="1137" spans="2:40">
      <c r="B1137" s="47" t="s">
        <v>234</v>
      </c>
      <c r="C1137" s="47"/>
      <c r="D1137" s="47"/>
      <c r="E1137" s="319">
        <v>0</v>
      </c>
      <c r="F1137" s="320"/>
      <c r="G1137" s="4"/>
      <c r="H1137" s="47"/>
      <c r="I1137" s="47"/>
      <c r="J1137" s="319">
        <v>0</v>
      </c>
      <c r="K1137" s="320"/>
      <c r="L1137" s="4"/>
      <c r="M1137" s="47">
        <v>0.33333333333333331</v>
      </c>
      <c r="N1137" s="47">
        <v>0.20833333333333334</v>
      </c>
      <c r="O1137" s="319">
        <v>8</v>
      </c>
      <c r="P1137" s="320"/>
      <c r="R1137" s="47">
        <v>0.33333333333333331</v>
      </c>
      <c r="S1137" s="47">
        <v>0.20833333333333334</v>
      </c>
      <c r="T1137" s="319">
        <v>8</v>
      </c>
      <c r="U1137" s="320"/>
      <c r="W1137" s="47"/>
      <c r="X1137" s="47"/>
      <c r="Y1137" s="319">
        <v>0</v>
      </c>
      <c r="Z1137" s="320"/>
      <c r="AA1137" s="328">
        <f t="shared" si="151"/>
        <v>16</v>
      </c>
      <c r="AB1137" s="400">
        <f t="shared" si="152"/>
        <v>0</v>
      </c>
      <c r="AC1137" s="4"/>
      <c r="AD1137" s="47"/>
      <c r="AE1137" s="47"/>
      <c r="AF1137" s="319"/>
      <c r="AG1137" s="328">
        <f t="shared" si="153"/>
        <v>0</v>
      </c>
      <c r="AK1137" s="188" t="s">
        <v>213</v>
      </c>
      <c r="AL1137" s="196">
        <f>AA1159</f>
        <v>21</v>
      </c>
      <c r="AM1137" s="510">
        <v>53.05</v>
      </c>
      <c r="AN1137" s="510">
        <f t="shared" si="150"/>
        <v>1114.05</v>
      </c>
    </row>
    <row r="1138" spans="2:40">
      <c r="B1138" s="47" t="s">
        <v>637</v>
      </c>
      <c r="C1138" s="47"/>
      <c r="D1138" s="47"/>
      <c r="E1138" s="319">
        <v>0</v>
      </c>
      <c r="F1138" s="320"/>
      <c r="G1138" s="4"/>
      <c r="H1138" s="47"/>
      <c r="I1138" s="47"/>
      <c r="J1138" s="319">
        <v>0</v>
      </c>
      <c r="K1138" s="320"/>
      <c r="L1138" s="4"/>
      <c r="M1138" s="47"/>
      <c r="N1138" s="47"/>
      <c r="O1138" s="319">
        <v>0</v>
      </c>
      <c r="P1138" s="320"/>
      <c r="R1138" s="47"/>
      <c r="S1138" s="47"/>
      <c r="T1138" s="319">
        <v>0</v>
      </c>
      <c r="U1138" s="320"/>
      <c r="W1138" s="47"/>
      <c r="X1138" s="47"/>
      <c r="Y1138" s="319">
        <v>0</v>
      </c>
      <c r="Z1138" s="320"/>
      <c r="AA1138" s="328">
        <f t="shared" si="151"/>
        <v>0</v>
      </c>
      <c r="AB1138" s="400">
        <f t="shared" si="152"/>
        <v>0</v>
      </c>
      <c r="AC1138" s="4"/>
      <c r="AD1138" s="47"/>
      <c r="AE1138" s="47"/>
      <c r="AF1138" s="319"/>
      <c r="AG1138" s="328">
        <f t="shared" si="153"/>
        <v>0</v>
      </c>
      <c r="AK1138" s="188" t="s">
        <v>36</v>
      </c>
      <c r="AL1138" s="196">
        <f>AB1159</f>
        <v>0</v>
      </c>
      <c r="AM1138" s="510">
        <v>79.574999999999989</v>
      </c>
      <c r="AN1138" s="510">
        <f t="shared" si="150"/>
        <v>0</v>
      </c>
    </row>
    <row r="1139" spans="2:40">
      <c r="B1139" s="374" t="s">
        <v>998</v>
      </c>
      <c r="C1139" s="47"/>
      <c r="D1139" s="47"/>
      <c r="E1139" s="319">
        <v>0</v>
      </c>
      <c r="F1139" s="320"/>
      <c r="G1139" s="4"/>
      <c r="H1139" s="47"/>
      <c r="I1139" s="47"/>
      <c r="J1139" s="319">
        <v>0</v>
      </c>
      <c r="K1139" s="320"/>
      <c r="L1139" s="4"/>
      <c r="M1139" s="47"/>
      <c r="N1139" s="47"/>
      <c r="O1139" s="319">
        <v>0</v>
      </c>
      <c r="P1139" s="320"/>
      <c r="R1139" s="47"/>
      <c r="S1139" s="47"/>
      <c r="T1139" s="319">
        <v>0</v>
      </c>
      <c r="U1139" s="320"/>
      <c r="W1139" s="47"/>
      <c r="X1139" s="47"/>
      <c r="Y1139" s="319">
        <v>0</v>
      </c>
      <c r="Z1139" s="320"/>
      <c r="AA1139" s="328">
        <f t="shared" si="151"/>
        <v>0</v>
      </c>
      <c r="AB1139" s="400">
        <f t="shared" si="152"/>
        <v>0</v>
      </c>
      <c r="AC1139" s="4"/>
      <c r="AD1139" s="47"/>
      <c r="AE1139" s="47"/>
      <c r="AF1139" s="319"/>
      <c r="AG1139" s="328">
        <f t="shared" si="153"/>
        <v>0</v>
      </c>
      <c r="AK1139" s="188" t="s">
        <v>38</v>
      </c>
      <c r="AL1139" s="196">
        <f>AG1159</f>
        <v>0</v>
      </c>
      <c r="AM1139" s="510">
        <v>79.574999999999989</v>
      </c>
      <c r="AN1139" s="510">
        <f t="shared" si="150"/>
        <v>0</v>
      </c>
    </row>
    <row r="1140" spans="2:40">
      <c r="B1140" s="47" t="s">
        <v>53</v>
      </c>
      <c r="C1140" s="47"/>
      <c r="D1140" s="47"/>
      <c r="E1140" s="319">
        <v>0</v>
      </c>
      <c r="F1140" s="320"/>
      <c r="G1140" s="4"/>
      <c r="H1140" s="47"/>
      <c r="I1140" s="47"/>
      <c r="J1140" s="319">
        <v>0</v>
      </c>
      <c r="K1140" s="320"/>
      <c r="L1140" s="4"/>
      <c r="M1140" s="47"/>
      <c r="N1140" s="47"/>
      <c r="O1140" s="319">
        <v>0</v>
      </c>
      <c r="P1140" s="320"/>
      <c r="R1140" s="47">
        <v>0.33333333333333331</v>
      </c>
      <c r="S1140" s="47">
        <v>0.25</v>
      </c>
      <c r="T1140" s="319">
        <v>9</v>
      </c>
      <c r="U1140" s="320"/>
      <c r="W1140" s="47"/>
      <c r="X1140" s="47"/>
      <c r="Y1140" s="319">
        <v>0</v>
      </c>
      <c r="Z1140" s="320"/>
      <c r="AA1140" s="328">
        <f t="shared" si="151"/>
        <v>9</v>
      </c>
      <c r="AB1140" s="400">
        <f t="shared" si="152"/>
        <v>0</v>
      </c>
      <c r="AC1140" s="4"/>
      <c r="AD1140" s="47"/>
      <c r="AE1140" s="47"/>
      <c r="AF1140" s="319"/>
      <c r="AG1140" s="328">
        <f t="shared" si="153"/>
        <v>0</v>
      </c>
      <c r="AN1140" s="510">
        <f>SUM(AN1134:AN1139)</f>
        <v>10334.9625</v>
      </c>
    </row>
    <row r="1141" spans="2:40">
      <c r="B1141" s="47" t="s">
        <v>241</v>
      </c>
      <c r="C1141" s="47"/>
      <c r="D1141" s="47"/>
      <c r="E1141" s="319">
        <v>0</v>
      </c>
      <c r="F1141" s="320"/>
      <c r="G1141" s="4"/>
      <c r="H1141" s="47"/>
      <c r="I1141" s="47"/>
      <c r="J1141" s="319">
        <v>0</v>
      </c>
      <c r="K1141" s="320"/>
      <c r="L1141" s="4"/>
      <c r="M1141" s="47">
        <v>0.375</v>
      </c>
      <c r="N1141" s="47">
        <v>0.20833333333333334</v>
      </c>
      <c r="O1141" s="319">
        <v>8</v>
      </c>
      <c r="P1141" s="320"/>
      <c r="R1141" s="47">
        <v>0.20833333333333334</v>
      </c>
      <c r="S1141" s="47">
        <v>0.25</v>
      </c>
      <c r="T1141" s="319">
        <v>12</v>
      </c>
      <c r="U1141" s="320"/>
      <c r="W1141" s="47">
        <v>0.5</v>
      </c>
      <c r="X1141" s="47">
        <v>0.20833333333333334</v>
      </c>
      <c r="Y1141" s="319">
        <v>5</v>
      </c>
      <c r="Z1141" s="320"/>
      <c r="AA1141" s="328">
        <f t="shared" si="151"/>
        <v>25</v>
      </c>
      <c r="AB1141" s="400">
        <f t="shared" si="152"/>
        <v>0</v>
      </c>
      <c r="AC1141" s="4"/>
      <c r="AD1141" s="47"/>
      <c r="AE1141" s="47"/>
      <c r="AF1141" s="319"/>
      <c r="AG1141" s="328">
        <f t="shared" si="153"/>
        <v>0</v>
      </c>
    </row>
    <row r="1142" spans="2:40">
      <c r="B1142" s="47" t="s">
        <v>1140</v>
      </c>
      <c r="C1142" s="47">
        <v>0.375</v>
      </c>
      <c r="D1142" s="441" t="s">
        <v>127</v>
      </c>
      <c r="E1142" s="319">
        <v>4</v>
      </c>
      <c r="F1142" s="320"/>
      <c r="G1142" s="4"/>
      <c r="H1142" s="47"/>
      <c r="I1142" s="47"/>
      <c r="J1142" s="319">
        <v>0</v>
      </c>
      <c r="K1142" s="320"/>
      <c r="L1142" s="4"/>
      <c r="M1142" s="47"/>
      <c r="N1142" s="47"/>
      <c r="O1142" s="319">
        <v>0</v>
      </c>
      <c r="P1142" s="320"/>
      <c r="R1142" s="47">
        <v>0.25</v>
      </c>
      <c r="S1142" s="47">
        <v>0.25</v>
      </c>
      <c r="T1142" s="319">
        <v>11</v>
      </c>
      <c r="U1142" s="320"/>
      <c r="W1142" s="47"/>
      <c r="X1142" s="47"/>
      <c r="Y1142" s="319">
        <v>0</v>
      </c>
      <c r="Z1142" s="320"/>
      <c r="AA1142" s="328">
        <f t="shared" si="151"/>
        <v>15</v>
      </c>
      <c r="AB1142" s="400">
        <f t="shared" si="152"/>
        <v>0</v>
      </c>
      <c r="AC1142" s="4"/>
      <c r="AD1142" s="47"/>
      <c r="AE1142" s="47"/>
      <c r="AF1142" s="319"/>
      <c r="AG1142" s="328">
        <f t="shared" si="153"/>
        <v>0</v>
      </c>
      <c r="AK1142" s="192" t="s">
        <v>1115</v>
      </c>
      <c r="AL1142" s="189">
        <f>C1160</f>
        <v>12</v>
      </c>
      <c r="AM1142" s="510">
        <v>45</v>
      </c>
      <c r="AN1142" s="510">
        <f>AM1142*AL1142</f>
        <v>540</v>
      </c>
    </row>
    <row r="1143" spans="2:40">
      <c r="B1143" s="47" t="s">
        <v>1113</v>
      </c>
      <c r="C1143" s="47"/>
      <c r="D1143" s="47"/>
      <c r="E1143" s="319">
        <v>0</v>
      </c>
      <c r="F1143" s="320"/>
      <c r="G1143" s="4"/>
      <c r="H1143" s="47"/>
      <c r="I1143" s="47"/>
      <c r="J1143" s="319">
        <v>0</v>
      </c>
      <c r="K1143" s="320"/>
      <c r="L1143" s="4"/>
      <c r="M1143" s="47">
        <v>0.33333333333333331</v>
      </c>
      <c r="N1143" s="47">
        <v>0.20833333333333334</v>
      </c>
      <c r="O1143" s="319">
        <v>8</v>
      </c>
      <c r="P1143" s="320"/>
      <c r="R1143" s="47"/>
      <c r="S1143" s="47"/>
      <c r="T1143" s="319">
        <v>0</v>
      </c>
      <c r="U1143" s="320"/>
      <c r="W1143" s="47">
        <v>0.33333333333333331</v>
      </c>
      <c r="X1143" s="47">
        <v>0.25</v>
      </c>
      <c r="Y1143" s="319">
        <v>8</v>
      </c>
      <c r="Z1143" s="320"/>
      <c r="AA1143" s="328">
        <f t="shared" si="151"/>
        <v>16</v>
      </c>
      <c r="AB1143" s="400">
        <f t="shared" si="152"/>
        <v>0</v>
      </c>
      <c r="AC1143" s="4"/>
      <c r="AD1143" s="47"/>
      <c r="AE1143" s="47"/>
      <c r="AF1143" s="319"/>
      <c r="AG1143" s="328">
        <f t="shared" si="153"/>
        <v>0</v>
      </c>
    </row>
    <row r="1144" spans="2:40">
      <c r="B1144" s="502" t="s">
        <v>483</v>
      </c>
      <c r="C1144" s="47"/>
      <c r="D1144" s="47"/>
      <c r="E1144" s="319">
        <v>0</v>
      </c>
      <c r="F1144" s="320"/>
      <c r="G1144" s="4"/>
      <c r="H1144" s="47"/>
      <c r="I1144" s="47"/>
      <c r="J1144" s="319">
        <v>0</v>
      </c>
      <c r="K1144" s="320"/>
      <c r="L1144" s="4"/>
      <c r="M1144" s="47"/>
      <c r="N1144" s="47"/>
      <c r="O1144" s="319">
        <v>0</v>
      </c>
      <c r="P1144" s="320"/>
      <c r="R1144" s="47"/>
      <c r="S1144" s="47"/>
      <c r="T1144" s="319">
        <v>0</v>
      </c>
      <c r="U1144" s="320"/>
      <c r="W1144" s="47"/>
      <c r="X1144" s="47"/>
      <c r="Y1144" s="319">
        <v>0</v>
      </c>
      <c r="Z1144" s="320"/>
      <c r="AA1144" s="328">
        <f t="shared" si="151"/>
        <v>0</v>
      </c>
      <c r="AB1144" s="400">
        <f t="shared" si="152"/>
        <v>0</v>
      </c>
      <c r="AC1144" s="4"/>
      <c r="AD1144" s="47"/>
      <c r="AE1144" s="47"/>
      <c r="AF1144" s="319"/>
      <c r="AG1144" s="328">
        <f t="shared" si="153"/>
        <v>0</v>
      </c>
    </row>
    <row r="1145" spans="2:40">
      <c r="B1145" s="502" t="s">
        <v>483</v>
      </c>
      <c r="C1145" s="47"/>
      <c r="D1145" s="47"/>
      <c r="E1145" s="319">
        <v>8</v>
      </c>
      <c r="F1145" s="320"/>
      <c r="G1145" s="4"/>
      <c r="H1145" s="47"/>
      <c r="I1145" s="47"/>
      <c r="J1145" s="319">
        <v>8</v>
      </c>
      <c r="K1145" s="320"/>
      <c r="L1145" s="4"/>
      <c r="M1145" s="47"/>
      <c r="N1145" s="47"/>
      <c r="O1145" s="319">
        <v>0</v>
      </c>
      <c r="P1145" s="320"/>
      <c r="R1145" s="47"/>
      <c r="S1145" s="47"/>
      <c r="T1145" s="319">
        <v>8</v>
      </c>
      <c r="U1145" s="320"/>
      <c r="W1145" s="47"/>
      <c r="X1145" s="47"/>
      <c r="Y1145" s="319">
        <v>8</v>
      </c>
      <c r="Z1145" s="320"/>
      <c r="AA1145" s="328">
        <f t="shared" si="151"/>
        <v>32</v>
      </c>
      <c r="AB1145" s="400">
        <f t="shared" si="152"/>
        <v>0</v>
      </c>
      <c r="AC1145" s="4"/>
      <c r="AD1145" s="47"/>
      <c r="AE1145" s="47"/>
      <c r="AF1145" s="319"/>
      <c r="AG1145" s="328">
        <f t="shared" si="153"/>
        <v>0</v>
      </c>
    </row>
    <row r="1146" spans="2:40">
      <c r="B1146" s="502" t="s">
        <v>484</v>
      </c>
      <c r="C1146" s="47"/>
      <c r="D1146" s="47"/>
      <c r="E1146" s="319">
        <v>8</v>
      </c>
      <c r="F1146" s="320"/>
      <c r="G1146" s="4"/>
      <c r="H1146" s="47"/>
      <c r="I1146" s="47"/>
      <c r="J1146" s="319">
        <v>8</v>
      </c>
      <c r="K1146" s="320"/>
      <c r="L1146" s="4"/>
      <c r="M1146" s="47"/>
      <c r="N1146" s="47"/>
      <c r="O1146" s="319">
        <v>0</v>
      </c>
      <c r="P1146" s="320"/>
      <c r="R1146" s="47"/>
      <c r="S1146" s="47"/>
      <c r="T1146" s="319">
        <v>8</v>
      </c>
      <c r="U1146" s="320"/>
      <c r="W1146" s="47"/>
      <c r="X1146" s="47"/>
      <c r="Y1146" s="319">
        <v>8</v>
      </c>
      <c r="Z1146" s="320"/>
      <c r="AA1146" s="328">
        <f t="shared" si="151"/>
        <v>32</v>
      </c>
      <c r="AB1146" s="400">
        <f t="shared" si="152"/>
        <v>0</v>
      </c>
      <c r="AC1146" s="4"/>
      <c r="AD1146" s="47"/>
      <c r="AE1146" s="47"/>
      <c r="AF1146" s="319"/>
      <c r="AG1146" s="328">
        <f t="shared" si="153"/>
        <v>0</v>
      </c>
    </row>
    <row r="1147" spans="2:40">
      <c r="B1147" s="502" t="s">
        <v>485</v>
      </c>
      <c r="C1147" s="47"/>
      <c r="D1147" s="47"/>
      <c r="E1147" s="319">
        <v>8</v>
      </c>
      <c r="F1147" s="320"/>
      <c r="G1147" s="4"/>
      <c r="H1147" s="47"/>
      <c r="I1147" s="47"/>
      <c r="J1147" s="319">
        <v>8</v>
      </c>
      <c r="K1147" s="320"/>
      <c r="L1147" s="4"/>
      <c r="M1147" s="47"/>
      <c r="N1147" s="47"/>
      <c r="O1147" s="319">
        <v>0</v>
      </c>
      <c r="P1147" s="320"/>
      <c r="R1147" s="47"/>
      <c r="S1147" s="47"/>
      <c r="T1147" s="319">
        <v>8</v>
      </c>
      <c r="U1147" s="320"/>
      <c r="W1147" s="47"/>
      <c r="X1147" s="47"/>
      <c r="Y1147" s="319">
        <v>8</v>
      </c>
      <c r="Z1147" s="320"/>
      <c r="AA1147" s="328">
        <f t="shared" si="151"/>
        <v>32</v>
      </c>
      <c r="AB1147" s="400">
        <f t="shared" si="152"/>
        <v>0</v>
      </c>
      <c r="AC1147" s="4"/>
      <c r="AD1147" s="47"/>
      <c r="AE1147" s="47"/>
      <c r="AF1147" s="319"/>
      <c r="AG1147" s="328">
        <f t="shared" si="153"/>
        <v>0</v>
      </c>
    </row>
    <row r="1148" spans="2:40">
      <c r="B1148" s="502" t="s">
        <v>1129</v>
      </c>
      <c r="C1148" s="47"/>
      <c r="D1148" s="47"/>
      <c r="E1148" s="319">
        <v>0</v>
      </c>
      <c r="F1148" s="320"/>
      <c r="G1148" s="4"/>
      <c r="H1148" s="47"/>
      <c r="I1148" s="47"/>
      <c r="J1148" s="319">
        <v>0</v>
      </c>
      <c r="K1148" s="320"/>
      <c r="L1148" s="4"/>
      <c r="M1148" s="47"/>
      <c r="N1148" s="47"/>
      <c r="O1148" s="319">
        <v>0</v>
      </c>
      <c r="P1148" s="320"/>
      <c r="R1148" s="47"/>
      <c r="S1148" s="47"/>
      <c r="T1148" s="319">
        <v>0</v>
      </c>
      <c r="U1148" s="320"/>
      <c r="W1148" s="47"/>
      <c r="X1148" s="47"/>
      <c r="Y1148" s="319">
        <v>0</v>
      </c>
      <c r="Z1148" s="320"/>
      <c r="AA1148" s="328">
        <f t="shared" si="151"/>
        <v>0</v>
      </c>
      <c r="AB1148" s="400">
        <f t="shared" si="152"/>
        <v>0</v>
      </c>
      <c r="AC1148" s="4"/>
      <c r="AD1148" s="47"/>
      <c r="AE1148" s="47"/>
      <c r="AF1148" s="319"/>
      <c r="AG1148" s="328">
        <f t="shared" si="153"/>
        <v>0</v>
      </c>
    </row>
    <row r="1149" spans="2:40">
      <c r="B1149" s="267" t="s">
        <v>358</v>
      </c>
      <c r="C1149" s="47"/>
      <c r="D1149" s="47"/>
      <c r="E1149" s="319">
        <v>1</v>
      </c>
      <c r="F1149" s="320"/>
      <c r="G1149" s="4"/>
      <c r="H1149" s="47"/>
      <c r="I1149" s="47"/>
      <c r="J1149" s="319">
        <v>1</v>
      </c>
      <c r="K1149" s="320"/>
      <c r="L1149" s="438"/>
      <c r="M1149" s="47"/>
      <c r="N1149" s="47"/>
      <c r="O1149" s="319">
        <v>1</v>
      </c>
      <c r="P1149" s="320"/>
      <c r="Q1149" s="438"/>
      <c r="R1149" s="47"/>
      <c r="S1149" s="47"/>
      <c r="T1149" s="319">
        <v>2</v>
      </c>
      <c r="U1149" s="320"/>
      <c r="V1149" s="438"/>
      <c r="W1149" s="47"/>
      <c r="X1149" s="47"/>
      <c r="Y1149" s="319">
        <v>1</v>
      </c>
      <c r="Z1149" s="320"/>
      <c r="AA1149" s="328">
        <f t="shared" si="151"/>
        <v>6</v>
      </c>
      <c r="AB1149" s="400">
        <f t="shared" si="152"/>
        <v>0</v>
      </c>
      <c r="AC1149" s="4"/>
      <c r="AD1149" s="47"/>
      <c r="AE1149" s="47"/>
      <c r="AF1149" s="319"/>
      <c r="AG1149" s="328">
        <f t="shared" si="153"/>
        <v>0</v>
      </c>
    </row>
    <row r="1150" spans="2:40">
      <c r="B1150" s="267" t="s">
        <v>991</v>
      </c>
      <c r="C1150" s="47"/>
      <c r="D1150" s="47"/>
      <c r="E1150" s="319">
        <v>0</v>
      </c>
      <c r="F1150" s="320"/>
      <c r="G1150" s="4"/>
      <c r="H1150" s="47"/>
      <c r="I1150" s="47"/>
      <c r="J1150" s="319">
        <v>0</v>
      </c>
      <c r="K1150" s="320"/>
      <c r="L1150" s="438"/>
      <c r="M1150" s="47"/>
      <c r="N1150" s="47"/>
      <c r="O1150" s="319">
        <v>0</v>
      </c>
      <c r="P1150" s="320"/>
      <c r="Q1150" s="438"/>
      <c r="R1150" s="47"/>
      <c r="S1150" s="47"/>
      <c r="T1150" s="319">
        <v>0</v>
      </c>
      <c r="U1150" s="320"/>
      <c r="V1150" s="438"/>
      <c r="W1150" s="47"/>
      <c r="X1150" s="47"/>
      <c r="Y1150" s="319">
        <v>0</v>
      </c>
      <c r="Z1150" s="320"/>
      <c r="AA1150" s="328">
        <f t="shared" si="151"/>
        <v>0</v>
      </c>
      <c r="AB1150" s="400">
        <f t="shared" si="152"/>
        <v>0</v>
      </c>
      <c r="AC1150" s="4"/>
      <c r="AD1150" s="47"/>
      <c r="AE1150" s="47"/>
      <c r="AF1150" s="319"/>
      <c r="AG1150" s="328">
        <f t="shared" si="153"/>
        <v>0</v>
      </c>
    </row>
    <row r="1151" spans="2:40">
      <c r="B1151" s="267" t="s">
        <v>411</v>
      </c>
      <c r="C1151" s="47"/>
      <c r="D1151" s="47"/>
      <c r="E1151" s="319">
        <v>0</v>
      </c>
      <c r="F1151" s="320"/>
      <c r="G1151" s="4"/>
      <c r="H1151" s="47"/>
      <c r="I1151" s="47"/>
      <c r="J1151" s="319">
        <v>0</v>
      </c>
      <c r="K1151" s="320"/>
      <c r="L1151" s="438"/>
      <c r="M1151" s="47"/>
      <c r="N1151" s="47"/>
      <c r="O1151" s="319">
        <v>0</v>
      </c>
      <c r="P1151" s="320"/>
      <c r="Q1151" s="438"/>
      <c r="R1151" s="47"/>
      <c r="S1151" s="47"/>
      <c r="T1151" s="319">
        <v>0</v>
      </c>
      <c r="U1151" s="320"/>
      <c r="V1151" s="438"/>
      <c r="W1151" s="47"/>
      <c r="X1151" s="47"/>
      <c r="Y1151" s="319">
        <v>0</v>
      </c>
      <c r="Z1151" s="320"/>
      <c r="AA1151" s="328">
        <f t="shared" si="151"/>
        <v>0</v>
      </c>
      <c r="AB1151" s="400">
        <f t="shared" si="152"/>
        <v>0</v>
      </c>
      <c r="AC1151" s="4"/>
      <c r="AD1151" s="47"/>
      <c r="AE1151" s="47"/>
      <c r="AF1151" s="319"/>
      <c r="AG1151" s="328">
        <f t="shared" si="153"/>
        <v>0</v>
      </c>
    </row>
    <row r="1152" spans="2:40">
      <c r="B1152" s="267" t="s">
        <v>361</v>
      </c>
      <c r="C1152" s="47"/>
      <c r="D1152" s="47"/>
      <c r="E1152" s="319">
        <v>0</v>
      </c>
      <c r="F1152" s="320"/>
      <c r="G1152" s="4"/>
      <c r="H1152" s="47"/>
      <c r="I1152" s="47"/>
      <c r="J1152" s="319">
        <v>0</v>
      </c>
      <c r="K1152" s="320"/>
      <c r="L1152" s="438"/>
      <c r="M1152" s="47"/>
      <c r="N1152" s="47"/>
      <c r="O1152" s="319">
        <v>0</v>
      </c>
      <c r="P1152" s="320"/>
      <c r="Q1152" s="438"/>
      <c r="R1152" s="47"/>
      <c r="S1152" s="47"/>
      <c r="T1152" s="319">
        <v>0</v>
      </c>
      <c r="U1152" s="320"/>
      <c r="V1152" s="438"/>
      <c r="W1152" s="47"/>
      <c r="X1152" s="47"/>
      <c r="Y1152" s="319">
        <v>0</v>
      </c>
      <c r="Z1152" s="320"/>
      <c r="AA1152" s="328">
        <f t="shared" si="151"/>
        <v>0</v>
      </c>
      <c r="AB1152" s="400">
        <f t="shared" si="152"/>
        <v>0</v>
      </c>
      <c r="AC1152" s="4"/>
      <c r="AD1152" s="47"/>
      <c r="AE1152" s="47"/>
      <c r="AF1152" s="319"/>
      <c r="AG1152" s="328">
        <f t="shared" si="153"/>
        <v>0</v>
      </c>
    </row>
    <row r="1153" spans="2:42">
      <c r="B1153" s="267" t="s">
        <v>362</v>
      </c>
      <c r="C1153" s="47"/>
      <c r="D1153" s="5"/>
      <c r="E1153" s="319">
        <v>0</v>
      </c>
      <c r="F1153" s="320"/>
      <c r="G1153" s="4"/>
      <c r="H1153" s="47"/>
      <c r="I1153" s="5"/>
      <c r="J1153" s="319">
        <v>0</v>
      </c>
      <c r="K1153" s="320"/>
      <c r="L1153" s="438"/>
      <c r="M1153" s="47"/>
      <c r="N1153" s="5"/>
      <c r="O1153" s="319">
        <v>0</v>
      </c>
      <c r="P1153" s="320"/>
      <c r="Q1153" s="438"/>
      <c r="R1153" s="47"/>
      <c r="S1153" s="5"/>
      <c r="T1153" s="319">
        <v>0</v>
      </c>
      <c r="U1153" s="320"/>
      <c r="V1153" s="438"/>
      <c r="W1153" s="47"/>
      <c r="X1153" s="5"/>
      <c r="Y1153" s="319">
        <v>0</v>
      </c>
      <c r="Z1153" s="320"/>
      <c r="AA1153" s="328">
        <f t="shared" si="151"/>
        <v>0</v>
      </c>
      <c r="AB1153" s="400">
        <f t="shared" si="152"/>
        <v>0</v>
      </c>
      <c r="AC1153" s="4"/>
      <c r="AD1153" s="47"/>
      <c r="AE1153" s="47"/>
      <c r="AF1153" s="319"/>
      <c r="AG1153" s="328">
        <f t="shared" si="153"/>
        <v>0</v>
      </c>
    </row>
    <row r="1154" spans="2:42">
      <c r="B1154" s="437" t="s">
        <v>355</v>
      </c>
      <c r="C1154" s="47"/>
      <c r="D1154" s="47"/>
      <c r="E1154" s="319">
        <v>7.75</v>
      </c>
      <c r="F1154" s="320"/>
      <c r="G1154" s="4"/>
      <c r="H1154" s="47"/>
      <c r="I1154" s="47"/>
      <c r="J1154" s="319">
        <v>7.75</v>
      </c>
      <c r="K1154" s="320"/>
      <c r="L1154" s="438"/>
      <c r="M1154" s="47"/>
      <c r="N1154" s="47"/>
      <c r="O1154" s="319">
        <v>0</v>
      </c>
      <c r="P1154" s="320"/>
      <c r="Q1154" s="438"/>
      <c r="R1154" s="47"/>
      <c r="S1154" s="47"/>
      <c r="T1154" s="319">
        <v>7.75</v>
      </c>
      <c r="U1154" s="320"/>
      <c r="V1154" s="438"/>
      <c r="W1154" s="47"/>
      <c r="X1154" s="47"/>
      <c r="Y1154" s="319">
        <v>7.75</v>
      </c>
      <c r="Z1154" s="320"/>
      <c r="AA1154" s="328">
        <f t="shared" si="151"/>
        <v>31</v>
      </c>
      <c r="AB1154" s="400">
        <f t="shared" si="152"/>
        <v>0</v>
      </c>
      <c r="AC1154" s="4"/>
      <c r="AD1154" s="47"/>
      <c r="AE1154" s="47"/>
      <c r="AF1154" s="319"/>
      <c r="AG1154" s="328">
        <f t="shared" si="153"/>
        <v>0</v>
      </c>
    </row>
    <row r="1155" spans="2:42">
      <c r="B1155" s="437" t="s">
        <v>356</v>
      </c>
      <c r="C1155" s="713"/>
      <c r="D1155" s="713"/>
      <c r="E1155" s="319">
        <v>0</v>
      </c>
      <c r="F1155" s="320"/>
      <c r="G1155" s="438"/>
      <c r="H1155" s="5"/>
      <c r="I1155" s="5"/>
      <c r="J1155" s="319">
        <v>0</v>
      </c>
      <c r="K1155" s="320"/>
      <c r="L1155" s="438"/>
      <c r="M1155" s="5"/>
      <c r="N1155" s="5"/>
      <c r="O1155" s="319">
        <v>0</v>
      </c>
      <c r="P1155" s="320"/>
      <c r="Q1155" s="438"/>
      <c r="R1155" s="5"/>
      <c r="S1155" s="5"/>
      <c r="T1155" s="319">
        <v>2.75</v>
      </c>
      <c r="U1155" s="320"/>
      <c r="V1155" s="438"/>
      <c r="W1155" s="5"/>
      <c r="X1155" s="5"/>
      <c r="Y1155" s="319">
        <v>0</v>
      </c>
      <c r="Z1155" s="320"/>
      <c r="AA1155" s="328">
        <f t="shared" si="151"/>
        <v>2.75</v>
      </c>
      <c r="AB1155" s="400">
        <f t="shared" si="152"/>
        <v>0</v>
      </c>
      <c r="AC1155" s="4"/>
      <c r="AD1155" s="47"/>
      <c r="AE1155" s="47"/>
      <c r="AF1155" s="319"/>
      <c r="AG1155" s="328">
        <f t="shared" si="153"/>
        <v>0</v>
      </c>
    </row>
    <row r="1156" spans="2:42">
      <c r="B1156" s="31" t="s">
        <v>61</v>
      </c>
      <c r="C1156" s="31"/>
      <c r="D1156" s="31"/>
      <c r="E1156" s="439">
        <f>SUM(E1135:E1155)</f>
        <v>42.75</v>
      </c>
      <c r="F1156" s="320"/>
      <c r="G1156" s="31"/>
      <c r="H1156" s="31"/>
      <c r="I1156" s="31"/>
      <c r="J1156" s="439">
        <f>SUM(J1135:J1155)</f>
        <v>32.75</v>
      </c>
      <c r="K1156" s="320"/>
      <c r="L1156" s="31"/>
      <c r="M1156" s="31"/>
      <c r="N1156" s="31"/>
      <c r="O1156" s="439">
        <f>SUM(O1135:O1155)</f>
        <v>25</v>
      </c>
      <c r="P1156" s="320"/>
      <c r="Q1156" s="31"/>
      <c r="R1156" s="31"/>
      <c r="S1156" s="31"/>
      <c r="T1156" s="439">
        <f>SUM(T1135:T1155)</f>
        <v>82.5</v>
      </c>
      <c r="U1156" s="320"/>
      <c r="V1156" s="31"/>
      <c r="W1156" s="31"/>
      <c r="X1156" s="31"/>
      <c r="Y1156" s="439">
        <f>SUM(Y1135:Y1155)</f>
        <v>45.75</v>
      </c>
      <c r="Z1156" s="320"/>
      <c r="AA1156" s="328">
        <f>SUM(AA1135:AA1155)</f>
        <v>228.75</v>
      </c>
      <c r="AB1156" s="328">
        <f>SUM(AB1135:AB1155)</f>
        <v>0</v>
      </c>
      <c r="AC1156" s="4"/>
      <c r="AD1156" s="31"/>
      <c r="AE1156" s="31"/>
      <c r="AF1156" s="328">
        <f>SUM(AF1135:AF1155)</f>
        <v>0</v>
      </c>
      <c r="AG1156" s="328">
        <f>SUM(AG1135:AG1155)</f>
        <v>0</v>
      </c>
    </row>
    <row r="1157" spans="2:42">
      <c r="B1157" s="267" t="s">
        <v>1116</v>
      </c>
      <c r="C1157" s="47"/>
      <c r="D1157" s="47"/>
      <c r="E1157" s="319">
        <v>4</v>
      </c>
      <c r="F1157" s="320"/>
      <c r="G1157" s="4"/>
      <c r="H1157" s="47"/>
      <c r="I1157" s="47"/>
      <c r="J1157" s="319">
        <v>4</v>
      </c>
      <c r="K1157" s="320"/>
      <c r="L1157" s="4"/>
      <c r="M1157" s="47"/>
      <c r="N1157" s="47"/>
      <c r="O1157" s="319">
        <v>4</v>
      </c>
      <c r="P1157" s="320"/>
      <c r="R1157" s="47"/>
      <c r="S1157" s="47"/>
      <c r="T1157" s="319">
        <v>4</v>
      </c>
      <c r="U1157" s="320"/>
      <c r="W1157" s="47"/>
      <c r="X1157" s="47"/>
      <c r="Y1157" s="319">
        <v>4</v>
      </c>
      <c r="Z1157" s="320"/>
      <c r="AA1157" s="328">
        <f>(E1157+J1157+O1157+T1157+Y1157)</f>
        <v>20</v>
      </c>
      <c r="AB1157" s="400">
        <f>Z1157+U1157+P1157+K1157+F1157</f>
        <v>0</v>
      </c>
      <c r="AC1157" s="4"/>
      <c r="AD1157" s="47"/>
      <c r="AE1157" s="47"/>
      <c r="AF1157" s="319"/>
      <c r="AG1157" s="328">
        <f>AF1157</f>
        <v>0</v>
      </c>
    </row>
    <row r="1158" spans="2:42">
      <c r="B1158" s="267" t="s">
        <v>64</v>
      </c>
      <c r="C1158" s="47"/>
      <c r="D1158" s="47"/>
      <c r="E1158" s="319">
        <v>0</v>
      </c>
      <c r="F1158" s="319"/>
      <c r="G1158" s="71"/>
      <c r="H1158" s="47"/>
      <c r="I1158" s="47"/>
      <c r="J1158" s="319">
        <v>0</v>
      </c>
      <c r="K1158" s="319"/>
      <c r="L1158" s="438"/>
      <c r="M1158" s="47"/>
      <c r="N1158" s="47"/>
      <c r="O1158" s="319">
        <v>0</v>
      </c>
      <c r="P1158" s="319"/>
      <c r="Q1158" s="438"/>
      <c r="R1158" s="47"/>
      <c r="S1158" s="47"/>
      <c r="T1158" s="319">
        <v>1</v>
      </c>
      <c r="U1158" s="319"/>
      <c r="V1158" s="438"/>
      <c r="W1158" s="47"/>
      <c r="X1158" s="47"/>
      <c r="Y1158" s="319">
        <v>0</v>
      </c>
      <c r="Z1158" s="319"/>
      <c r="AA1158" s="328">
        <f>SUM(E1158+J1158+O1158+T1158+Y1158)</f>
        <v>1</v>
      </c>
      <c r="AB1158" s="897">
        <f>Z1158+U1158+P1158+K1158+F1158</f>
        <v>0</v>
      </c>
      <c r="AC1158" s="4"/>
      <c r="AD1158" s="47" t="s">
        <v>29</v>
      </c>
      <c r="AE1158" s="47" t="s">
        <v>29</v>
      </c>
      <c r="AF1158" s="319"/>
      <c r="AG1158" s="328">
        <f>AF1158</f>
        <v>0</v>
      </c>
    </row>
    <row r="1159" spans="2:42">
      <c r="B1159" s="71" t="s">
        <v>66</v>
      </c>
      <c r="C1159" s="371"/>
      <c r="D1159" s="371"/>
      <c r="E1159" s="71"/>
      <c r="F1159" s="71"/>
      <c r="G1159" s="71"/>
      <c r="H1159" s="71"/>
      <c r="I1159" s="71"/>
      <c r="J1159" s="71"/>
      <c r="K1159" s="71"/>
      <c r="L1159" s="71"/>
      <c r="M1159" s="71"/>
      <c r="N1159" s="71"/>
      <c r="O1159" s="71"/>
      <c r="P1159" s="71"/>
      <c r="Q1159" s="71"/>
      <c r="R1159" s="71"/>
      <c r="S1159" s="71"/>
      <c r="T1159" s="71"/>
      <c r="U1159" s="71"/>
      <c r="V1159" s="71"/>
      <c r="W1159" s="71"/>
      <c r="X1159" s="71"/>
      <c r="Y1159" s="71"/>
      <c r="Z1159" s="71"/>
      <c r="AA1159" s="328">
        <f>SUM(AA1157:AA1158)</f>
        <v>21</v>
      </c>
      <c r="AB1159" s="328">
        <f>SUM(AB1158:AB1158)</f>
        <v>0</v>
      </c>
      <c r="AC1159" s="4"/>
      <c r="AG1159" s="328">
        <f>SUM(AG1158:AG1158)</f>
        <v>0</v>
      </c>
      <c r="AK1159" s="407"/>
    </row>
    <row r="1160" spans="2:42">
      <c r="B1160" s="899" t="s">
        <v>67</v>
      </c>
      <c r="C1160" s="900">
        <f>C1161+C1162</f>
        <v>12</v>
      </c>
      <c r="D1160" s="900"/>
      <c r="E1160" s="901"/>
      <c r="F1160" s="901"/>
      <c r="G1160" s="900"/>
      <c r="H1160" s="901"/>
      <c r="I1160" s="901"/>
      <c r="J1160" s="901"/>
      <c r="K1160" s="901"/>
      <c r="L1160" s="900"/>
      <c r="M1160" s="900"/>
      <c r="N1160" s="900"/>
      <c r="O1160" s="900"/>
      <c r="P1160" s="901"/>
      <c r="Q1160" s="900"/>
      <c r="R1160" s="900"/>
      <c r="S1160" s="900"/>
      <c r="T1160" s="900"/>
      <c r="U1160" s="901"/>
      <c r="V1160" s="900"/>
      <c r="W1160" s="900"/>
      <c r="X1160" s="900"/>
      <c r="Y1160" s="902"/>
      <c r="Z1160" s="901"/>
      <c r="AA1160" s="903"/>
      <c r="AB1160" s="901"/>
      <c r="AC1160" s="903"/>
      <c r="AD1160" s="903"/>
      <c r="AE1160" s="903"/>
      <c r="AF1160" s="903"/>
      <c r="AG1160" s="903"/>
      <c r="AK1160" s="407"/>
    </row>
    <row r="1161" spans="2:42">
      <c r="B1161" s="904" t="s">
        <v>68</v>
      </c>
      <c r="C1161" s="900">
        <v>0</v>
      </c>
      <c r="D1161" s="900"/>
      <c r="E1161" s="901"/>
      <c r="F1161" s="901"/>
      <c r="G1161" s="900"/>
      <c r="H1161" s="901"/>
      <c r="I1161" s="901"/>
      <c r="J1161" s="901"/>
      <c r="K1161" s="901"/>
      <c r="L1161" s="900"/>
      <c r="M1161" s="900"/>
      <c r="N1161" s="900"/>
      <c r="O1161" s="900"/>
      <c r="P1161" s="901"/>
      <c r="Q1161" s="900"/>
      <c r="R1161" s="900"/>
      <c r="S1161" s="900"/>
      <c r="T1161" s="900"/>
      <c r="U1161" s="901"/>
      <c r="V1161" s="900"/>
      <c r="W1161" s="900"/>
      <c r="X1161" s="900"/>
      <c r="Y1161" s="902"/>
      <c r="Z1161" s="901"/>
      <c r="AA1161" s="903"/>
      <c r="AB1161" s="901"/>
      <c r="AC1161" s="903"/>
      <c r="AD1161" s="903"/>
      <c r="AE1161" s="903"/>
      <c r="AF1161" s="903"/>
      <c r="AG1161" s="903"/>
      <c r="AK1161" s="407"/>
    </row>
    <row r="1162" spans="2:42">
      <c r="B1162" s="904" t="s">
        <v>69</v>
      </c>
      <c r="C1162" s="900">
        <v>12</v>
      </c>
      <c r="D1162" s="900"/>
      <c r="E1162" s="901"/>
      <c r="F1162" s="901"/>
      <c r="G1162" s="900"/>
      <c r="H1162" s="901"/>
      <c r="I1162" s="901"/>
      <c r="J1162" s="901"/>
      <c r="K1162" s="901"/>
      <c r="L1162" s="900"/>
      <c r="M1162" s="900"/>
      <c r="N1162" s="900"/>
      <c r="O1162" s="900"/>
      <c r="P1162" s="901"/>
      <c r="Q1162" s="900"/>
      <c r="R1162" s="900"/>
      <c r="S1162" s="900"/>
      <c r="T1162" s="900"/>
      <c r="U1162" s="901"/>
      <c r="V1162" s="900"/>
      <c r="W1162" s="900"/>
      <c r="X1162" s="900"/>
      <c r="Y1162" s="902"/>
      <c r="Z1162" s="901"/>
      <c r="AA1162" s="903"/>
      <c r="AB1162" s="901"/>
      <c r="AC1162" s="903"/>
      <c r="AD1162" s="903"/>
      <c r="AE1162" s="903"/>
      <c r="AF1162" s="903"/>
      <c r="AG1162" s="903"/>
    </row>
    <row r="1165" spans="2:42" ht="25.5">
      <c r="B1165" s="1571"/>
      <c r="C1165" s="1570">
        <v>45950</v>
      </c>
      <c r="D1165" s="1570"/>
      <c r="E1165" s="1570" t="s">
        <v>564</v>
      </c>
      <c r="F1165" s="1570"/>
      <c r="G1165" s="894"/>
      <c r="H1165" s="1570">
        <v>45951</v>
      </c>
      <c r="I1165" s="1570"/>
      <c r="J1165" s="1570" t="s">
        <v>565</v>
      </c>
      <c r="K1165" s="1570"/>
      <c r="L1165" s="894"/>
      <c r="M1165" s="1570">
        <v>45952</v>
      </c>
      <c r="N1165" s="1570"/>
      <c r="O1165" s="1570" t="s">
        <v>566</v>
      </c>
      <c r="P1165" s="1570"/>
      <c r="Q1165" s="894"/>
      <c r="R1165" s="1570">
        <v>45953</v>
      </c>
      <c r="S1165" s="1570"/>
      <c r="T1165" s="1570" t="s">
        <v>567</v>
      </c>
      <c r="U1165" s="1570"/>
      <c r="V1165" s="894"/>
      <c r="W1165" s="1570">
        <v>45954</v>
      </c>
      <c r="X1165" s="1570"/>
      <c r="Y1165" s="1570" t="s">
        <v>568</v>
      </c>
      <c r="Z1165" s="1570"/>
      <c r="AA1165" s="1569" t="s">
        <v>19</v>
      </c>
      <c r="AB1165" s="1569" t="s">
        <v>20</v>
      </c>
      <c r="AC1165" s="4"/>
      <c r="AD1165" s="1570"/>
      <c r="AE1165" s="1570"/>
      <c r="AF1165" s="895" t="s">
        <v>1111</v>
      </c>
      <c r="AG1165" s="1569" t="s">
        <v>21</v>
      </c>
      <c r="AK1165" s="194" t="s">
        <v>84</v>
      </c>
      <c r="AL1165" s="366"/>
      <c r="AM1165" s="366"/>
      <c r="AN1165" s="366"/>
      <c r="AO1165" s="366"/>
      <c r="AP1165" s="366"/>
    </row>
    <row r="1166" spans="2:42">
      <c r="B1166" s="1571"/>
      <c r="C1166" s="896" t="s">
        <v>23</v>
      </c>
      <c r="D1166" s="896" t="s">
        <v>24</v>
      </c>
      <c r="E1166" s="897" t="s">
        <v>25</v>
      </c>
      <c r="F1166" s="898" t="s">
        <v>14</v>
      </c>
      <c r="G1166" s="4"/>
      <c r="H1166" s="896"/>
      <c r="I1166" s="896" t="s">
        <v>24</v>
      </c>
      <c r="J1166" s="898" t="s">
        <v>25</v>
      </c>
      <c r="K1166" s="898" t="s">
        <v>14</v>
      </c>
      <c r="L1166" s="4"/>
      <c r="M1166" s="896" t="s">
        <v>23</v>
      </c>
      <c r="N1166" s="896" t="s">
        <v>24</v>
      </c>
      <c r="O1166" s="898" t="s">
        <v>25</v>
      </c>
      <c r="P1166" s="898" t="s">
        <v>14</v>
      </c>
      <c r="R1166" s="896" t="s">
        <v>23</v>
      </c>
      <c r="S1166" s="896" t="s">
        <v>24</v>
      </c>
      <c r="T1166" s="898" t="s">
        <v>25</v>
      </c>
      <c r="U1166" s="898" t="s">
        <v>14</v>
      </c>
      <c r="W1166" s="896" t="s">
        <v>23</v>
      </c>
      <c r="X1166" s="896" t="s">
        <v>24</v>
      </c>
      <c r="Y1166" s="898" t="s">
        <v>25</v>
      </c>
      <c r="Z1166" s="898" t="s">
        <v>14</v>
      </c>
      <c r="AA1166" s="1569"/>
      <c r="AB1166" s="1569"/>
      <c r="AC1166" s="4"/>
      <c r="AD1166" s="896" t="s">
        <v>23</v>
      </c>
      <c r="AE1166" s="896" t="s">
        <v>24</v>
      </c>
      <c r="AF1166" s="898" t="s">
        <v>25</v>
      </c>
      <c r="AG1166" s="1569"/>
      <c r="AK1166" s="188" t="s">
        <v>26</v>
      </c>
      <c r="AL1166" s="196">
        <f>AA1188</f>
        <v>231</v>
      </c>
      <c r="AM1166" s="510">
        <v>40.31</v>
      </c>
      <c r="AN1166" s="510">
        <f t="shared" ref="AN1166:AN1171" si="154">AL1166*AM1166</f>
        <v>9311.61</v>
      </c>
    </row>
    <row r="1167" spans="2:42">
      <c r="B1167" s="47" t="s">
        <v>515</v>
      </c>
      <c r="C1167" s="47"/>
      <c r="D1167" s="47"/>
      <c r="E1167" s="319">
        <v>0</v>
      </c>
      <c r="F1167" s="320"/>
      <c r="G1167" s="4"/>
      <c r="H1167" s="47"/>
      <c r="I1167" s="47"/>
      <c r="J1167" s="319">
        <v>0</v>
      </c>
      <c r="K1167" s="320"/>
      <c r="L1167" s="4"/>
      <c r="M1167" s="47"/>
      <c r="N1167" s="47"/>
      <c r="O1167" s="319">
        <v>0</v>
      </c>
      <c r="P1167" s="320"/>
      <c r="R1167" s="47"/>
      <c r="S1167" s="47"/>
      <c r="T1167" s="319">
        <v>0</v>
      </c>
      <c r="U1167" s="320"/>
      <c r="W1167" s="47"/>
      <c r="X1167" s="47"/>
      <c r="Y1167" s="319">
        <v>0</v>
      </c>
      <c r="Z1167" s="320"/>
      <c r="AA1167" s="328">
        <f t="shared" ref="AA1167:AA1187" si="155">(E1167+J1167+O1167+T1167+Y1167)</f>
        <v>0</v>
      </c>
      <c r="AB1167" s="400">
        <f t="shared" ref="AB1167:AB1187" si="156">Z1167+U1167+P1167+K1167+F1167</f>
        <v>0</v>
      </c>
      <c r="AC1167" s="4"/>
      <c r="AF1167" s="319"/>
      <c r="AG1167" s="328">
        <f t="shared" ref="AG1167:AG1187" si="157">AF1167</f>
        <v>0</v>
      </c>
      <c r="AK1167" s="188" t="s">
        <v>30</v>
      </c>
      <c r="AL1167" s="196">
        <f>AB1188</f>
        <v>0</v>
      </c>
      <c r="AM1167" s="510">
        <v>60.465000000000003</v>
      </c>
      <c r="AN1167" s="510">
        <f t="shared" si="154"/>
        <v>0</v>
      </c>
    </row>
    <row r="1168" spans="2:42">
      <c r="B1168" s="47" t="s">
        <v>1112</v>
      </c>
      <c r="C1168" s="47"/>
      <c r="D1168" s="47"/>
      <c r="E1168" s="319">
        <v>0</v>
      </c>
      <c r="F1168" s="320"/>
      <c r="G1168" s="4"/>
      <c r="H1168" s="47"/>
      <c r="I1168" s="47"/>
      <c r="J1168" s="319">
        <v>0</v>
      </c>
      <c r="K1168" s="320"/>
      <c r="L1168" s="4"/>
      <c r="M1168" s="47"/>
      <c r="N1168" s="47"/>
      <c r="O1168" s="319">
        <v>0</v>
      </c>
      <c r="P1168" s="320"/>
      <c r="R1168" s="47"/>
      <c r="S1168" s="47"/>
      <c r="T1168" s="319">
        <v>0</v>
      </c>
      <c r="U1168" s="320"/>
      <c r="W1168" s="47"/>
      <c r="X1168" s="47"/>
      <c r="Y1168" s="319">
        <v>0</v>
      </c>
      <c r="Z1168" s="320"/>
      <c r="AA1168" s="328">
        <f t="shared" si="155"/>
        <v>0</v>
      </c>
      <c r="AB1168" s="400">
        <f t="shared" si="156"/>
        <v>0</v>
      </c>
      <c r="AC1168" s="4"/>
      <c r="AD1168" s="47"/>
      <c r="AE1168" s="47"/>
      <c r="AF1168" s="319"/>
      <c r="AG1168" s="328">
        <f t="shared" si="157"/>
        <v>0</v>
      </c>
      <c r="AK1168" s="188" t="s">
        <v>32</v>
      </c>
      <c r="AL1168" s="196">
        <f>AG1188</f>
        <v>0</v>
      </c>
      <c r="AM1168" s="510">
        <v>60.465000000000003</v>
      </c>
      <c r="AN1168" s="510">
        <f t="shared" si="154"/>
        <v>0</v>
      </c>
    </row>
    <row r="1169" spans="2:40">
      <c r="B1169" s="47" t="s">
        <v>234</v>
      </c>
      <c r="C1169" s="47">
        <v>0.35416666666666669</v>
      </c>
      <c r="D1169" s="47">
        <v>0.22916666666666666</v>
      </c>
      <c r="E1169" s="319">
        <v>8</v>
      </c>
      <c r="F1169" s="320"/>
      <c r="G1169" s="4"/>
      <c r="H1169" s="47"/>
      <c r="I1169" s="47"/>
      <c r="J1169" s="319">
        <v>0</v>
      </c>
      <c r="K1169" s="320"/>
      <c r="L1169" s="4"/>
      <c r="M1169" s="47"/>
      <c r="N1169" s="47"/>
      <c r="O1169" s="319">
        <v>0</v>
      </c>
      <c r="P1169" s="320"/>
      <c r="R1169" s="47"/>
      <c r="S1169" s="47"/>
      <c r="T1169" s="319">
        <v>0</v>
      </c>
      <c r="U1169" s="320"/>
      <c r="W1169" s="47"/>
      <c r="X1169" s="47"/>
      <c r="Y1169" s="319">
        <v>0</v>
      </c>
      <c r="Z1169" s="320"/>
      <c r="AA1169" s="328">
        <f t="shared" si="155"/>
        <v>8</v>
      </c>
      <c r="AB1169" s="400">
        <f t="shared" si="156"/>
        <v>0</v>
      </c>
      <c r="AC1169" s="4"/>
      <c r="AD1169" s="47"/>
      <c r="AE1169" s="47"/>
      <c r="AF1169" s="319"/>
      <c r="AG1169" s="328">
        <f t="shared" si="157"/>
        <v>0</v>
      </c>
      <c r="AK1169" s="188" t="s">
        <v>213</v>
      </c>
      <c r="AL1169" s="196">
        <f>AA1191</f>
        <v>20</v>
      </c>
      <c r="AM1169" s="510">
        <v>53.05</v>
      </c>
      <c r="AN1169" s="510">
        <f t="shared" si="154"/>
        <v>1061</v>
      </c>
    </row>
    <row r="1170" spans="2:40">
      <c r="B1170" s="47" t="s">
        <v>637</v>
      </c>
      <c r="C1170" s="47"/>
      <c r="D1170" s="47"/>
      <c r="E1170" s="319">
        <v>0</v>
      </c>
      <c r="F1170" s="320"/>
      <c r="G1170" s="4"/>
      <c r="H1170" s="47"/>
      <c r="I1170" s="47"/>
      <c r="J1170" s="319">
        <v>0</v>
      </c>
      <c r="K1170" s="320"/>
      <c r="L1170" s="4"/>
      <c r="M1170" s="47"/>
      <c r="N1170" s="47"/>
      <c r="O1170" s="319">
        <v>0</v>
      </c>
      <c r="P1170" s="320"/>
      <c r="R1170" s="47"/>
      <c r="S1170" s="47"/>
      <c r="T1170" s="319">
        <v>0</v>
      </c>
      <c r="U1170" s="320"/>
      <c r="W1170" s="47"/>
      <c r="X1170" s="47"/>
      <c r="Y1170" s="319">
        <v>0</v>
      </c>
      <c r="Z1170" s="320"/>
      <c r="AA1170" s="328">
        <f t="shared" si="155"/>
        <v>0</v>
      </c>
      <c r="AB1170" s="400">
        <f t="shared" si="156"/>
        <v>0</v>
      </c>
      <c r="AC1170" s="4"/>
      <c r="AD1170" s="47"/>
      <c r="AE1170" s="47"/>
      <c r="AF1170" s="319"/>
      <c r="AG1170" s="328">
        <f t="shared" si="157"/>
        <v>0</v>
      </c>
      <c r="AK1170" s="188" t="s">
        <v>36</v>
      </c>
      <c r="AL1170" s="196">
        <f>AB1191</f>
        <v>0</v>
      </c>
      <c r="AM1170" s="510">
        <v>79.574999999999989</v>
      </c>
      <c r="AN1170" s="510">
        <f t="shared" si="154"/>
        <v>0</v>
      </c>
    </row>
    <row r="1171" spans="2:40">
      <c r="B1171" s="374" t="s">
        <v>998</v>
      </c>
      <c r="C1171" s="47"/>
      <c r="D1171" s="47"/>
      <c r="E1171" s="319">
        <v>0</v>
      </c>
      <c r="F1171" s="320"/>
      <c r="G1171" s="4"/>
      <c r="H1171" s="47"/>
      <c r="I1171" s="47"/>
      <c r="J1171" s="319">
        <v>0</v>
      </c>
      <c r="K1171" s="320"/>
      <c r="L1171" s="4"/>
      <c r="M1171" s="47"/>
      <c r="N1171" s="47"/>
      <c r="O1171" s="319">
        <v>0</v>
      </c>
      <c r="P1171" s="320"/>
      <c r="R1171" s="47"/>
      <c r="S1171" s="47"/>
      <c r="T1171" s="319">
        <v>0</v>
      </c>
      <c r="U1171" s="320"/>
      <c r="W1171" s="47"/>
      <c r="X1171" s="47"/>
      <c r="Y1171" s="319">
        <v>0</v>
      </c>
      <c r="Z1171" s="320"/>
      <c r="AA1171" s="328">
        <f t="shared" si="155"/>
        <v>0</v>
      </c>
      <c r="AB1171" s="400">
        <f t="shared" si="156"/>
        <v>0</v>
      </c>
      <c r="AC1171" s="4"/>
      <c r="AD1171" s="47"/>
      <c r="AE1171" s="47"/>
      <c r="AF1171" s="319"/>
      <c r="AG1171" s="328">
        <f t="shared" si="157"/>
        <v>0</v>
      </c>
      <c r="AK1171" s="188" t="s">
        <v>38</v>
      </c>
      <c r="AL1171" s="196">
        <f>AG1191</f>
        <v>0</v>
      </c>
      <c r="AM1171" s="510">
        <v>79.574999999999989</v>
      </c>
      <c r="AN1171" s="510">
        <f t="shared" si="154"/>
        <v>0</v>
      </c>
    </row>
    <row r="1172" spans="2:40">
      <c r="B1172" s="47" t="s">
        <v>53</v>
      </c>
      <c r="C1172" s="47">
        <v>0.35416666666666669</v>
      </c>
      <c r="D1172" s="47">
        <v>0.22916666666666666</v>
      </c>
      <c r="E1172" s="319">
        <v>8</v>
      </c>
      <c r="F1172" s="320"/>
      <c r="G1172" s="4"/>
      <c r="H1172" s="47">
        <v>0.375</v>
      </c>
      <c r="I1172" s="47">
        <v>0.20833333333333334</v>
      </c>
      <c r="J1172" s="319">
        <v>8</v>
      </c>
      <c r="K1172" s="320"/>
      <c r="L1172" s="4"/>
      <c r="M1172" s="47"/>
      <c r="N1172" s="47"/>
      <c r="O1172" s="319">
        <v>0</v>
      </c>
      <c r="P1172" s="320"/>
      <c r="R1172" s="47">
        <v>0.375</v>
      </c>
      <c r="S1172" s="47">
        <v>0.25</v>
      </c>
      <c r="T1172" s="319">
        <v>8</v>
      </c>
      <c r="U1172" s="320"/>
      <c r="W1172" s="47">
        <v>0.375</v>
      </c>
      <c r="X1172" s="47">
        <v>0.25</v>
      </c>
      <c r="Y1172" s="319">
        <v>8</v>
      </c>
      <c r="Z1172" s="320"/>
      <c r="AA1172" s="328">
        <f t="shared" si="155"/>
        <v>32</v>
      </c>
      <c r="AB1172" s="400">
        <f t="shared" si="156"/>
        <v>0</v>
      </c>
      <c r="AC1172" s="4"/>
      <c r="AD1172" s="47"/>
      <c r="AE1172" s="47"/>
      <c r="AF1172" s="319"/>
      <c r="AG1172" s="328">
        <f t="shared" si="157"/>
        <v>0</v>
      </c>
      <c r="AN1172" s="510">
        <f>SUM(AN1166:AN1171)</f>
        <v>10372.61</v>
      </c>
    </row>
    <row r="1173" spans="2:40">
      <c r="B1173" s="47" t="s">
        <v>241</v>
      </c>
      <c r="C1173" s="47"/>
      <c r="D1173" s="47"/>
      <c r="E1173" s="319">
        <v>0</v>
      </c>
      <c r="F1173" s="320"/>
      <c r="G1173" s="4"/>
      <c r="H1173" s="47"/>
      <c r="I1173" s="47"/>
      <c r="J1173" s="319">
        <v>0</v>
      </c>
      <c r="K1173" s="320"/>
      <c r="L1173" s="4"/>
      <c r="M1173" s="47">
        <v>0.35416666666666669</v>
      </c>
      <c r="N1173" s="47">
        <v>0.22916666666666666</v>
      </c>
      <c r="O1173" s="319">
        <v>8</v>
      </c>
      <c r="P1173" s="320"/>
      <c r="R1173" s="47">
        <v>0.33333333333333331</v>
      </c>
      <c r="S1173" s="47">
        <v>0.20833333333333334</v>
      </c>
      <c r="T1173" s="319">
        <v>8</v>
      </c>
      <c r="U1173" s="320"/>
      <c r="W1173" s="47">
        <v>0.375</v>
      </c>
      <c r="X1173" s="47">
        <v>0.25</v>
      </c>
      <c r="Y1173" s="319">
        <v>8</v>
      </c>
      <c r="Z1173" s="320"/>
      <c r="AA1173" s="328">
        <f t="shared" si="155"/>
        <v>24</v>
      </c>
      <c r="AB1173" s="400">
        <f t="shared" si="156"/>
        <v>0</v>
      </c>
      <c r="AC1173" s="4"/>
      <c r="AD1173" s="47"/>
      <c r="AE1173" s="47"/>
      <c r="AF1173" s="319"/>
      <c r="AG1173" s="328">
        <f t="shared" si="157"/>
        <v>0</v>
      </c>
    </row>
    <row r="1174" spans="2:40">
      <c r="B1174" s="47" t="s">
        <v>1140</v>
      </c>
      <c r="C1174" s="47"/>
      <c r="D1174" s="441"/>
      <c r="E1174" s="319">
        <v>0</v>
      </c>
      <c r="F1174" s="320"/>
      <c r="G1174" s="4"/>
      <c r="H1174" s="47"/>
      <c r="I1174" s="47"/>
      <c r="J1174" s="319">
        <v>0</v>
      </c>
      <c r="K1174" s="320"/>
      <c r="L1174" s="4"/>
      <c r="M1174" s="47"/>
      <c r="N1174" s="47"/>
      <c r="O1174" s="319">
        <v>0</v>
      </c>
      <c r="P1174" s="320"/>
      <c r="R1174" s="47"/>
      <c r="S1174" s="47"/>
      <c r="T1174" s="319">
        <v>0</v>
      </c>
      <c r="U1174" s="320"/>
      <c r="W1174" s="47"/>
      <c r="X1174" s="47"/>
      <c r="Y1174" s="319">
        <v>0</v>
      </c>
      <c r="Z1174" s="320"/>
      <c r="AA1174" s="328">
        <f t="shared" si="155"/>
        <v>0</v>
      </c>
      <c r="AB1174" s="400">
        <f t="shared" si="156"/>
        <v>0</v>
      </c>
      <c r="AC1174" s="4"/>
      <c r="AD1174" s="47"/>
      <c r="AE1174" s="47"/>
      <c r="AF1174" s="319"/>
      <c r="AG1174" s="328">
        <f t="shared" si="157"/>
        <v>0</v>
      </c>
      <c r="AK1174" s="192" t="s">
        <v>1115</v>
      </c>
      <c r="AL1174" s="189">
        <f>C1192</f>
        <v>0</v>
      </c>
      <c r="AM1174" s="510">
        <v>45</v>
      </c>
      <c r="AN1174" s="510">
        <f>AM1174*AL1174</f>
        <v>0</v>
      </c>
    </row>
    <row r="1175" spans="2:40">
      <c r="B1175" s="47" t="s">
        <v>1113</v>
      </c>
      <c r="C1175" s="47">
        <v>0.33333333333333331</v>
      </c>
      <c r="D1175" s="47">
        <v>0.20833333333333334</v>
      </c>
      <c r="E1175" s="319">
        <v>8</v>
      </c>
      <c r="F1175" s="320"/>
      <c r="G1175" s="4"/>
      <c r="H1175" s="47"/>
      <c r="I1175" s="47"/>
      <c r="J1175" s="319">
        <v>0</v>
      </c>
      <c r="K1175" s="320"/>
      <c r="L1175" s="4"/>
      <c r="M1175" s="47">
        <v>0.33333333333333331</v>
      </c>
      <c r="N1175" s="47">
        <v>0.20833333333333334</v>
      </c>
      <c r="O1175" s="319">
        <v>8</v>
      </c>
      <c r="P1175" s="320"/>
      <c r="R1175" s="47">
        <v>0.33333333333333331</v>
      </c>
      <c r="S1175" s="47">
        <v>0.20833333333333334</v>
      </c>
      <c r="T1175" s="319">
        <v>8</v>
      </c>
      <c r="U1175" s="320"/>
      <c r="W1175" s="47">
        <v>0.375</v>
      </c>
      <c r="X1175" s="47">
        <v>0.25</v>
      </c>
      <c r="Y1175" s="319">
        <v>8</v>
      </c>
      <c r="Z1175" s="320"/>
      <c r="AA1175" s="328">
        <f t="shared" si="155"/>
        <v>32</v>
      </c>
      <c r="AB1175" s="400">
        <f t="shared" si="156"/>
        <v>0</v>
      </c>
      <c r="AC1175" s="4"/>
      <c r="AD1175" s="47"/>
      <c r="AE1175" s="47"/>
      <c r="AF1175" s="319"/>
      <c r="AG1175" s="328">
        <f t="shared" si="157"/>
        <v>0</v>
      </c>
    </row>
    <row r="1176" spans="2:40">
      <c r="B1176" s="502" t="s">
        <v>483</v>
      </c>
      <c r="C1176" s="47"/>
      <c r="D1176" s="47"/>
      <c r="E1176" s="319">
        <v>0</v>
      </c>
      <c r="F1176" s="320"/>
      <c r="G1176" s="4"/>
      <c r="H1176" s="47"/>
      <c r="I1176" s="47"/>
      <c r="J1176" s="319">
        <v>0</v>
      </c>
      <c r="K1176" s="320"/>
      <c r="L1176" s="4"/>
      <c r="M1176" s="47"/>
      <c r="N1176" s="47"/>
      <c r="O1176" s="319">
        <v>0</v>
      </c>
      <c r="P1176" s="320"/>
      <c r="R1176" s="47"/>
      <c r="S1176" s="47"/>
      <c r="T1176" s="319">
        <v>0</v>
      </c>
      <c r="U1176" s="320"/>
      <c r="W1176" s="47"/>
      <c r="X1176" s="47"/>
      <c r="Y1176" s="319">
        <v>0</v>
      </c>
      <c r="Z1176" s="320"/>
      <c r="AA1176" s="328">
        <f t="shared" si="155"/>
        <v>0</v>
      </c>
      <c r="AB1176" s="400">
        <f t="shared" si="156"/>
        <v>0</v>
      </c>
      <c r="AC1176" s="4"/>
      <c r="AD1176" s="47"/>
      <c r="AE1176" s="47"/>
      <c r="AF1176" s="319"/>
      <c r="AG1176" s="328">
        <f t="shared" si="157"/>
        <v>0</v>
      </c>
    </row>
    <row r="1177" spans="2:40">
      <c r="B1177" s="502" t="s">
        <v>483</v>
      </c>
      <c r="C1177" s="47"/>
      <c r="D1177" s="47"/>
      <c r="E1177" s="319">
        <v>8</v>
      </c>
      <c r="F1177" s="320"/>
      <c r="G1177" s="4"/>
      <c r="H1177" s="47"/>
      <c r="I1177" s="47"/>
      <c r="J1177" s="319">
        <v>0</v>
      </c>
      <c r="K1177" s="320"/>
      <c r="L1177" s="4"/>
      <c r="M1177" s="47"/>
      <c r="N1177" s="47"/>
      <c r="O1177" s="319">
        <v>8</v>
      </c>
      <c r="P1177" s="320"/>
      <c r="R1177" s="47"/>
      <c r="S1177" s="47"/>
      <c r="T1177" s="319">
        <v>8</v>
      </c>
      <c r="U1177" s="320"/>
      <c r="W1177" s="47"/>
      <c r="X1177" s="47"/>
      <c r="Y1177" s="319">
        <v>8</v>
      </c>
      <c r="Z1177" s="320"/>
      <c r="AA1177" s="328">
        <f t="shared" si="155"/>
        <v>32</v>
      </c>
      <c r="AB1177" s="400">
        <f t="shared" si="156"/>
        <v>0</v>
      </c>
      <c r="AC1177" s="4"/>
      <c r="AD1177" s="47"/>
      <c r="AE1177" s="47"/>
      <c r="AF1177" s="319"/>
      <c r="AG1177" s="328">
        <f t="shared" si="157"/>
        <v>0</v>
      </c>
    </row>
    <row r="1178" spans="2:40">
      <c r="B1178" s="502" t="s">
        <v>484</v>
      </c>
      <c r="C1178" s="47"/>
      <c r="D1178" s="47"/>
      <c r="E1178" s="319">
        <v>8</v>
      </c>
      <c r="F1178" s="320"/>
      <c r="G1178" s="4"/>
      <c r="H1178" s="47"/>
      <c r="I1178" s="47"/>
      <c r="J1178" s="319">
        <v>0</v>
      </c>
      <c r="K1178" s="320"/>
      <c r="L1178" s="4"/>
      <c r="M1178" s="47"/>
      <c r="N1178" s="47"/>
      <c r="O1178" s="319">
        <v>8</v>
      </c>
      <c r="P1178" s="320"/>
      <c r="R1178" s="47"/>
      <c r="S1178" s="47"/>
      <c r="T1178" s="319">
        <v>8</v>
      </c>
      <c r="U1178" s="320"/>
      <c r="W1178" s="47"/>
      <c r="X1178" s="47"/>
      <c r="Y1178" s="319">
        <v>8</v>
      </c>
      <c r="Z1178" s="320"/>
      <c r="AA1178" s="328">
        <f t="shared" si="155"/>
        <v>32</v>
      </c>
      <c r="AB1178" s="400">
        <f t="shared" si="156"/>
        <v>0</v>
      </c>
      <c r="AC1178" s="4"/>
      <c r="AD1178" s="47"/>
      <c r="AE1178" s="47"/>
      <c r="AF1178" s="319"/>
      <c r="AG1178" s="328">
        <f t="shared" si="157"/>
        <v>0</v>
      </c>
    </row>
    <row r="1179" spans="2:40">
      <c r="B1179" s="502" t="s">
        <v>485</v>
      </c>
      <c r="C1179" s="47"/>
      <c r="D1179" s="47"/>
      <c r="E1179" s="319">
        <v>8</v>
      </c>
      <c r="F1179" s="320"/>
      <c r="G1179" s="4"/>
      <c r="H1179" s="47"/>
      <c r="I1179" s="47"/>
      <c r="J1179" s="319">
        <v>0</v>
      </c>
      <c r="K1179" s="320"/>
      <c r="L1179" s="4"/>
      <c r="M1179" s="47"/>
      <c r="N1179" s="47"/>
      <c r="O1179" s="319">
        <v>8</v>
      </c>
      <c r="P1179" s="320"/>
      <c r="R1179" s="47"/>
      <c r="S1179" s="47"/>
      <c r="T1179" s="319">
        <v>8</v>
      </c>
      <c r="U1179" s="320"/>
      <c r="W1179" s="47"/>
      <c r="X1179" s="47"/>
      <c r="Y1179" s="319">
        <v>8</v>
      </c>
      <c r="Z1179" s="320"/>
      <c r="AA1179" s="328">
        <f t="shared" si="155"/>
        <v>32</v>
      </c>
      <c r="AB1179" s="400">
        <f t="shared" si="156"/>
        <v>0</v>
      </c>
      <c r="AC1179" s="4"/>
      <c r="AD1179" s="47"/>
      <c r="AE1179" s="47"/>
      <c r="AF1179" s="319"/>
      <c r="AG1179" s="328">
        <f t="shared" si="157"/>
        <v>0</v>
      </c>
    </row>
    <row r="1180" spans="2:40">
      <c r="B1180" s="502" t="s">
        <v>1129</v>
      </c>
      <c r="C1180" s="47"/>
      <c r="D1180" s="47"/>
      <c r="E1180" s="319">
        <v>0</v>
      </c>
      <c r="F1180" s="320"/>
      <c r="G1180" s="4"/>
      <c r="H1180" s="47"/>
      <c r="I1180" s="47"/>
      <c r="J1180" s="319">
        <v>0</v>
      </c>
      <c r="K1180" s="320"/>
      <c r="L1180" s="4"/>
      <c r="M1180" s="47"/>
      <c r="N1180" s="47"/>
      <c r="O1180" s="319">
        <v>0</v>
      </c>
      <c r="P1180" s="320"/>
      <c r="R1180" s="47"/>
      <c r="S1180" s="47"/>
      <c r="T1180" s="319">
        <v>0</v>
      </c>
      <c r="U1180" s="320"/>
      <c r="W1180" s="47"/>
      <c r="X1180" s="47"/>
      <c r="Y1180" s="319">
        <v>0</v>
      </c>
      <c r="Z1180" s="320"/>
      <c r="AA1180" s="328">
        <f t="shared" si="155"/>
        <v>0</v>
      </c>
      <c r="AB1180" s="400">
        <f t="shared" si="156"/>
        <v>0</v>
      </c>
      <c r="AC1180" s="4"/>
      <c r="AD1180" s="47"/>
      <c r="AE1180" s="47"/>
      <c r="AF1180" s="319"/>
      <c r="AG1180" s="328">
        <f t="shared" si="157"/>
        <v>0</v>
      </c>
    </row>
    <row r="1181" spans="2:40">
      <c r="B1181" s="267" t="s">
        <v>358</v>
      </c>
      <c r="C1181" s="47"/>
      <c r="D1181" s="47"/>
      <c r="E1181" s="319">
        <v>2</v>
      </c>
      <c r="F1181" s="320"/>
      <c r="G1181" s="4"/>
      <c r="H1181" s="47"/>
      <c r="I1181" s="47"/>
      <c r="J1181" s="319">
        <v>1</v>
      </c>
      <c r="K1181" s="320"/>
      <c r="L1181" s="438"/>
      <c r="M1181" s="47"/>
      <c r="N1181" s="47"/>
      <c r="O1181" s="319">
        <v>2</v>
      </c>
      <c r="P1181" s="320"/>
      <c r="Q1181" s="438"/>
      <c r="R1181" s="47"/>
      <c r="S1181" s="47"/>
      <c r="T1181" s="319">
        <v>2</v>
      </c>
      <c r="U1181" s="320"/>
      <c r="V1181" s="438"/>
      <c r="W1181" s="47"/>
      <c r="X1181" s="47"/>
      <c r="Y1181" s="319">
        <v>1</v>
      </c>
      <c r="Z1181" s="320"/>
      <c r="AA1181" s="328">
        <f t="shared" si="155"/>
        <v>8</v>
      </c>
      <c r="AB1181" s="400">
        <f t="shared" si="156"/>
        <v>0</v>
      </c>
      <c r="AC1181" s="4"/>
      <c r="AD1181" s="47"/>
      <c r="AE1181" s="47"/>
      <c r="AF1181" s="319"/>
      <c r="AG1181" s="328">
        <f t="shared" si="157"/>
        <v>0</v>
      </c>
    </row>
    <row r="1182" spans="2:40">
      <c r="B1182" s="267" t="s">
        <v>991</v>
      </c>
      <c r="C1182" s="47"/>
      <c r="D1182" s="47"/>
      <c r="E1182" s="319">
        <v>0</v>
      </c>
      <c r="F1182" s="320"/>
      <c r="G1182" s="4"/>
      <c r="H1182" s="47"/>
      <c r="I1182" s="47"/>
      <c r="J1182" s="319">
        <v>0</v>
      </c>
      <c r="K1182" s="320"/>
      <c r="L1182" s="438"/>
      <c r="M1182" s="47"/>
      <c r="N1182" s="47"/>
      <c r="O1182" s="319">
        <v>0</v>
      </c>
      <c r="P1182" s="320"/>
      <c r="Q1182" s="438"/>
      <c r="R1182" s="47"/>
      <c r="S1182" s="47"/>
      <c r="T1182" s="319">
        <v>0</v>
      </c>
      <c r="U1182" s="320"/>
      <c r="V1182" s="438"/>
      <c r="W1182" s="47"/>
      <c r="X1182" s="47"/>
      <c r="Y1182" s="319">
        <v>0</v>
      </c>
      <c r="Z1182" s="320"/>
      <c r="AA1182" s="328">
        <f t="shared" si="155"/>
        <v>0</v>
      </c>
      <c r="AB1182" s="400">
        <f t="shared" si="156"/>
        <v>0</v>
      </c>
      <c r="AC1182" s="4"/>
      <c r="AD1182" s="47"/>
      <c r="AE1182" s="47"/>
      <c r="AF1182" s="319"/>
      <c r="AG1182" s="328">
        <f t="shared" si="157"/>
        <v>0</v>
      </c>
    </row>
    <row r="1183" spans="2:40">
      <c r="B1183" s="267" t="s">
        <v>411</v>
      </c>
      <c r="C1183" s="47"/>
      <c r="D1183" s="47"/>
      <c r="E1183" s="319">
        <v>0</v>
      </c>
      <c r="F1183" s="320"/>
      <c r="G1183" s="4"/>
      <c r="H1183" s="47"/>
      <c r="I1183" s="47"/>
      <c r="J1183" s="319">
        <v>0</v>
      </c>
      <c r="K1183" s="320"/>
      <c r="L1183" s="438"/>
      <c r="M1183" s="47"/>
      <c r="N1183" s="47"/>
      <c r="O1183" s="319">
        <v>0</v>
      </c>
      <c r="P1183" s="320"/>
      <c r="Q1183" s="438"/>
      <c r="R1183" s="47"/>
      <c r="S1183" s="47"/>
      <c r="T1183" s="319">
        <v>0</v>
      </c>
      <c r="U1183" s="320"/>
      <c r="V1183" s="438"/>
      <c r="W1183" s="47"/>
      <c r="X1183" s="47"/>
      <c r="Y1183" s="319">
        <v>0</v>
      </c>
      <c r="Z1183" s="320"/>
      <c r="AA1183" s="328">
        <f t="shared" si="155"/>
        <v>0</v>
      </c>
      <c r="AB1183" s="400">
        <f t="shared" si="156"/>
        <v>0</v>
      </c>
      <c r="AC1183" s="4"/>
      <c r="AD1183" s="47"/>
      <c r="AE1183" s="47"/>
      <c r="AF1183" s="319"/>
      <c r="AG1183" s="328">
        <f t="shared" si="157"/>
        <v>0</v>
      </c>
    </row>
    <row r="1184" spans="2:40">
      <c r="B1184" s="267" t="s">
        <v>361</v>
      </c>
      <c r="C1184" s="47"/>
      <c r="D1184" s="47"/>
      <c r="E1184" s="319">
        <v>0</v>
      </c>
      <c r="F1184" s="320"/>
      <c r="G1184" s="4"/>
      <c r="H1184" s="47"/>
      <c r="I1184" s="47"/>
      <c r="J1184" s="319">
        <v>0</v>
      </c>
      <c r="K1184" s="320"/>
      <c r="L1184" s="438"/>
      <c r="M1184" s="47"/>
      <c r="N1184" s="47"/>
      <c r="O1184" s="319">
        <v>0</v>
      </c>
      <c r="P1184" s="320"/>
      <c r="Q1184" s="438"/>
      <c r="R1184" s="47"/>
      <c r="S1184" s="47"/>
      <c r="T1184" s="319">
        <v>0</v>
      </c>
      <c r="U1184" s="320"/>
      <c r="V1184" s="438"/>
      <c r="W1184" s="47"/>
      <c r="X1184" s="47"/>
      <c r="Y1184" s="319">
        <v>0</v>
      </c>
      <c r="Z1184" s="320"/>
      <c r="AA1184" s="328">
        <f t="shared" si="155"/>
        <v>0</v>
      </c>
      <c r="AB1184" s="400">
        <f t="shared" si="156"/>
        <v>0</v>
      </c>
      <c r="AC1184" s="4"/>
      <c r="AD1184" s="47"/>
      <c r="AE1184" s="47"/>
      <c r="AF1184" s="319"/>
      <c r="AG1184" s="328">
        <f t="shared" si="157"/>
        <v>0</v>
      </c>
    </row>
    <row r="1185" spans="2:42">
      <c r="B1185" s="267" t="s">
        <v>362</v>
      </c>
      <c r="C1185" s="47"/>
      <c r="D1185" s="5"/>
      <c r="E1185" s="319">
        <v>0</v>
      </c>
      <c r="F1185" s="320"/>
      <c r="G1185" s="4"/>
      <c r="H1185" s="47"/>
      <c r="I1185" s="5"/>
      <c r="J1185" s="319">
        <v>0</v>
      </c>
      <c r="K1185" s="320"/>
      <c r="L1185" s="438"/>
      <c r="M1185" s="47"/>
      <c r="N1185" s="5"/>
      <c r="O1185" s="319">
        <v>0</v>
      </c>
      <c r="P1185" s="320"/>
      <c r="Q1185" s="438"/>
      <c r="R1185" s="47"/>
      <c r="S1185" s="5"/>
      <c r="T1185" s="319">
        <v>0</v>
      </c>
      <c r="U1185" s="320"/>
      <c r="V1185" s="438"/>
      <c r="W1185" s="47"/>
      <c r="X1185" s="5"/>
      <c r="Y1185" s="319">
        <v>0</v>
      </c>
      <c r="Z1185" s="320"/>
      <c r="AA1185" s="328">
        <f t="shared" si="155"/>
        <v>0</v>
      </c>
      <c r="AB1185" s="400">
        <f t="shared" si="156"/>
        <v>0</v>
      </c>
      <c r="AC1185" s="4"/>
      <c r="AD1185" s="47"/>
      <c r="AE1185" s="47"/>
      <c r="AF1185" s="319"/>
      <c r="AG1185" s="328">
        <f t="shared" si="157"/>
        <v>0</v>
      </c>
    </row>
    <row r="1186" spans="2:42">
      <c r="B1186" s="437" t="s">
        <v>355</v>
      </c>
      <c r="C1186" s="47"/>
      <c r="D1186" s="47"/>
      <c r="E1186" s="319">
        <v>7.75</v>
      </c>
      <c r="F1186" s="320"/>
      <c r="G1186" s="4"/>
      <c r="H1186" s="47"/>
      <c r="I1186" s="47"/>
      <c r="J1186" s="319">
        <v>0</v>
      </c>
      <c r="K1186" s="320"/>
      <c r="L1186" s="438"/>
      <c r="M1186" s="47"/>
      <c r="N1186" s="47"/>
      <c r="O1186" s="319">
        <v>7.75</v>
      </c>
      <c r="P1186" s="320"/>
      <c r="Q1186" s="438"/>
      <c r="R1186" s="47"/>
      <c r="S1186" s="47"/>
      <c r="T1186" s="319">
        <v>7.75</v>
      </c>
      <c r="U1186" s="320"/>
      <c r="V1186" s="438"/>
      <c r="W1186" s="47"/>
      <c r="X1186" s="47"/>
      <c r="Y1186" s="319">
        <v>7.75</v>
      </c>
      <c r="Z1186" s="320"/>
      <c r="AA1186" s="328">
        <f t="shared" si="155"/>
        <v>31</v>
      </c>
      <c r="AB1186" s="400">
        <f t="shared" si="156"/>
        <v>0</v>
      </c>
      <c r="AC1186" s="4"/>
      <c r="AD1186" s="47"/>
      <c r="AE1186" s="47"/>
      <c r="AF1186" s="319"/>
      <c r="AG1186" s="328">
        <f t="shared" si="157"/>
        <v>0</v>
      </c>
    </row>
    <row r="1187" spans="2:42">
      <c r="B1187" s="437" t="s">
        <v>356</v>
      </c>
      <c r="C1187" s="713"/>
      <c r="D1187" s="713"/>
      <c r="E1187" s="319">
        <v>0</v>
      </c>
      <c r="F1187" s="320"/>
      <c r="G1187" s="438"/>
      <c r="H1187" s="5"/>
      <c r="I1187" s="5"/>
      <c r="J1187" s="319">
        <v>0</v>
      </c>
      <c r="K1187" s="320"/>
      <c r="L1187" s="438"/>
      <c r="M1187" s="5"/>
      <c r="N1187" s="5"/>
      <c r="O1187" s="319">
        <v>0</v>
      </c>
      <c r="P1187" s="320"/>
      <c r="Q1187" s="438"/>
      <c r="R1187" s="5"/>
      <c r="S1187" s="5"/>
      <c r="T1187" s="319">
        <v>0</v>
      </c>
      <c r="U1187" s="320"/>
      <c r="V1187" s="438"/>
      <c r="W1187" s="5"/>
      <c r="X1187" s="5"/>
      <c r="Y1187" s="319">
        <v>0</v>
      </c>
      <c r="Z1187" s="320"/>
      <c r="AA1187" s="328">
        <f t="shared" si="155"/>
        <v>0</v>
      </c>
      <c r="AB1187" s="400">
        <f t="shared" si="156"/>
        <v>0</v>
      </c>
      <c r="AC1187" s="4"/>
      <c r="AD1187" s="47"/>
      <c r="AE1187" s="47"/>
      <c r="AF1187" s="319"/>
      <c r="AG1187" s="328">
        <f t="shared" si="157"/>
        <v>0</v>
      </c>
    </row>
    <row r="1188" spans="2:42">
      <c r="B1188" s="31" t="s">
        <v>61</v>
      </c>
      <c r="C1188" s="31"/>
      <c r="D1188" s="31"/>
      <c r="E1188" s="439">
        <f>SUM(E1167:E1187)</f>
        <v>57.75</v>
      </c>
      <c r="F1188" s="320"/>
      <c r="G1188" s="31"/>
      <c r="H1188" s="31"/>
      <c r="I1188" s="31"/>
      <c r="J1188" s="439">
        <f>SUM(J1167:J1187)</f>
        <v>9</v>
      </c>
      <c r="K1188" s="320"/>
      <c r="L1188" s="31"/>
      <c r="M1188" s="31"/>
      <c r="N1188" s="31"/>
      <c r="O1188" s="439">
        <f>SUM(O1167:O1187)</f>
        <v>49.75</v>
      </c>
      <c r="P1188" s="320"/>
      <c r="Q1188" s="31"/>
      <c r="R1188" s="31"/>
      <c r="S1188" s="31"/>
      <c r="T1188" s="439">
        <f>SUM(T1167:T1187)</f>
        <v>57.75</v>
      </c>
      <c r="U1188" s="320"/>
      <c r="V1188" s="31"/>
      <c r="W1188" s="31"/>
      <c r="X1188" s="31"/>
      <c r="Y1188" s="439">
        <f>SUM(Y1167:Y1187)</f>
        <v>56.75</v>
      </c>
      <c r="Z1188" s="320"/>
      <c r="AA1188" s="328">
        <f>SUM(AA1167:AA1187)</f>
        <v>231</v>
      </c>
      <c r="AB1188" s="328">
        <f>SUM(AB1167:AB1187)</f>
        <v>0</v>
      </c>
      <c r="AC1188" s="4"/>
      <c r="AD1188" s="31"/>
      <c r="AE1188" s="31"/>
      <c r="AF1188" s="328">
        <f>SUM(AF1167:AF1187)</f>
        <v>0</v>
      </c>
      <c r="AG1188" s="328">
        <f>SUM(AG1167:AG1187)</f>
        <v>0</v>
      </c>
    </row>
    <row r="1189" spans="2:42">
      <c r="B1189" s="267" t="s">
        <v>1116</v>
      </c>
      <c r="C1189" s="47"/>
      <c r="D1189" s="47"/>
      <c r="E1189" s="319">
        <v>4</v>
      </c>
      <c r="F1189" s="320"/>
      <c r="G1189" s="4"/>
      <c r="H1189" s="47"/>
      <c r="I1189" s="47"/>
      <c r="J1189" s="319">
        <v>4</v>
      </c>
      <c r="K1189" s="320"/>
      <c r="L1189" s="4"/>
      <c r="M1189" s="47"/>
      <c r="N1189" s="47"/>
      <c r="O1189" s="319">
        <v>4</v>
      </c>
      <c r="P1189" s="320"/>
      <c r="R1189" s="47"/>
      <c r="S1189" s="47"/>
      <c r="T1189" s="319">
        <v>4</v>
      </c>
      <c r="U1189" s="320"/>
      <c r="W1189" s="47"/>
      <c r="X1189" s="47"/>
      <c r="Y1189" s="319">
        <v>4</v>
      </c>
      <c r="Z1189" s="320"/>
      <c r="AA1189" s="328">
        <f>(E1189+J1189+O1189+T1189+Y1189)</f>
        <v>20</v>
      </c>
      <c r="AB1189" s="400">
        <f>Z1189+U1189+P1189+K1189+F1189</f>
        <v>0</v>
      </c>
      <c r="AC1189" s="4"/>
      <c r="AD1189" s="47"/>
      <c r="AE1189" s="47"/>
      <c r="AF1189" s="319"/>
      <c r="AG1189" s="328">
        <v>8</v>
      </c>
    </row>
    <row r="1190" spans="2:42">
      <c r="B1190" s="267" t="s">
        <v>64</v>
      </c>
      <c r="C1190" s="47"/>
      <c r="D1190" s="47"/>
      <c r="E1190" s="319">
        <v>0</v>
      </c>
      <c r="F1190" s="319"/>
      <c r="G1190" s="71"/>
      <c r="H1190" s="47"/>
      <c r="I1190" s="47"/>
      <c r="J1190" s="319">
        <v>0</v>
      </c>
      <c r="K1190" s="319"/>
      <c r="L1190" s="438"/>
      <c r="M1190" s="47"/>
      <c r="N1190" s="47"/>
      <c r="O1190" s="319">
        <v>0</v>
      </c>
      <c r="P1190" s="319"/>
      <c r="Q1190" s="438"/>
      <c r="R1190" s="47"/>
      <c r="S1190" s="47"/>
      <c r="T1190" s="319">
        <v>0</v>
      </c>
      <c r="U1190" s="319"/>
      <c r="V1190" s="438"/>
      <c r="W1190" s="47"/>
      <c r="X1190" s="47"/>
      <c r="Y1190" s="319">
        <v>0</v>
      </c>
      <c r="Z1190" s="319"/>
      <c r="AA1190" s="328">
        <f>SUM(E1190+J1190+O1190+T1190+Y1190)</f>
        <v>0</v>
      </c>
      <c r="AB1190" s="897">
        <f>Z1190+U1190+P1190+K1190+F1190</f>
        <v>0</v>
      </c>
      <c r="AC1190" s="4"/>
      <c r="AD1190" s="47" t="s">
        <v>29</v>
      </c>
      <c r="AE1190" s="47" t="s">
        <v>29</v>
      </c>
      <c r="AF1190" s="319"/>
      <c r="AG1190" s="328">
        <f>AF1190</f>
        <v>0</v>
      </c>
    </row>
    <row r="1191" spans="2:42">
      <c r="B1191" s="71" t="s">
        <v>66</v>
      </c>
      <c r="C1191" s="371"/>
      <c r="D1191" s="371"/>
      <c r="E1191" s="71"/>
      <c r="F1191" s="71"/>
      <c r="G1191" s="71"/>
      <c r="H1191" s="71"/>
      <c r="I1191" s="71"/>
      <c r="J1191" s="71"/>
      <c r="K1191" s="71"/>
      <c r="L1191" s="71"/>
      <c r="M1191" s="71"/>
      <c r="N1191" s="71"/>
      <c r="O1191" s="71"/>
      <c r="P1191" s="71"/>
      <c r="Q1191" s="71"/>
      <c r="R1191" s="71"/>
      <c r="S1191" s="71"/>
      <c r="T1191" s="71"/>
      <c r="U1191" s="71"/>
      <c r="V1191" s="71"/>
      <c r="W1191" s="71"/>
      <c r="X1191" s="71"/>
      <c r="Y1191" s="71"/>
      <c r="Z1191" s="71"/>
      <c r="AA1191" s="328">
        <f>SUM(AA1189:AA1190)</f>
        <v>20</v>
      </c>
      <c r="AB1191" s="328">
        <f>SUM(AB1190:AB1190)</f>
        <v>0</v>
      </c>
      <c r="AC1191" s="4"/>
      <c r="AG1191" s="328">
        <f>SUM(AG1190:AG1190)</f>
        <v>0</v>
      </c>
      <c r="AK1191" s="407"/>
    </row>
    <row r="1192" spans="2:42">
      <c r="B1192" s="899" t="s">
        <v>67</v>
      </c>
      <c r="C1192" s="900">
        <f>C1193+C1194</f>
        <v>0</v>
      </c>
      <c r="D1192" s="900"/>
      <c r="E1192" s="901"/>
      <c r="F1192" s="901"/>
      <c r="G1192" s="900"/>
      <c r="H1192" s="901"/>
      <c r="I1192" s="901"/>
      <c r="J1192" s="901"/>
      <c r="K1192" s="901"/>
      <c r="L1192" s="900"/>
      <c r="M1192" s="900"/>
      <c r="N1192" s="900"/>
      <c r="O1192" s="900"/>
      <c r="P1192" s="901"/>
      <c r="Q1192" s="900"/>
      <c r="R1192" s="900"/>
      <c r="S1192" s="900"/>
      <c r="T1192" s="900"/>
      <c r="U1192" s="901"/>
      <c r="V1192" s="900"/>
      <c r="W1192" s="900"/>
      <c r="X1192" s="900"/>
      <c r="Y1192" s="902"/>
      <c r="Z1192" s="901"/>
      <c r="AA1192" s="903"/>
      <c r="AB1192" s="901"/>
      <c r="AC1192" s="903"/>
      <c r="AD1192" s="903"/>
      <c r="AE1192" s="903"/>
      <c r="AF1192" s="903"/>
      <c r="AG1192" s="903"/>
      <c r="AK1192" s="407"/>
    </row>
    <row r="1193" spans="2:42">
      <c r="B1193" s="904" t="s">
        <v>68</v>
      </c>
      <c r="C1193" s="900">
        <v>0</v>
      </c>
      <c r="D1193" s="900"/>
      <c r="E1193" s="901"/>
      <c r="F1193" s="901"/>
      <c r="G1193" s="900"/>
      <c r="H1193" s="901"/>
      <c r="I1193" s="901"/>
      <c r="J1193" s="901"/>
      <c r="K1193" s="901"/>
      <c r="L1193" s="900"/>
      <c r="M1193" s="900"/>
      <c r="N1193" s="900"/>
      <c r="O1193" s="900"/>
      <c r="P1193" s="901"/>
      <c r="Q1193" s="900"/>
      <c r="R1193" s="900"/>
      <c r="S1193" s="900"/>
      <c r="T1193" s="900"/>
      <c r="U1193" s="901"/>
      <c r="V1193" s="900"/>
      <c r="W1193" s="900"/>
      <c r="X1193" s="900"/>
      <c r="Y1193" s="902"/>
      <c r="Z1193" s="901"/>
      <c r="AA1193" s="903"/>
      <c r="AB1193" s="901"/>
      <c r="AC1193" s="903"/>
      <c r="AD1193" s="903"/>
      <c r="AE1193" s="903"/>
      <c r="AF1193" s="903"/>
      <c r="AG1193" s="903"/>
      <c r="AK1193" s="407"/>
    </row>
    <row r="1194" spans="2:42">
      <c r="B1194" s="904" t="s">
        <v>69</v>
      </c>
      <c r="C1194" s="900">
        <v>0</v>
      </c>
      <c r="D1194" s="900"/>
      <c r="E1194" s="901"/>
      <c r="F1194" s="901"/>
      <c r="G1194" s="900"/>
      <c r="H1194" s="901"/>
      <c r="I1194" s="901"/>
      <c r="J1194" s="901"/>
      <c r="K1194" s="901"/>
      <c r="L1194" s="900"/>
      <c r="M1194" s="900"/>
      <c r="N1194" s="900"/>
      <c r="O1194" s="900"/>
      <c r="P1194" s="901"/>
      <c r="Q1194" s="900"/>
      <c r="R1194" s="900"/>
      <c r="S1194" s="900"/>
      <c r="T1194" s="900"/>
      <c r="U1194" s="901"/>
      <c r="V1194" s="900"/>
      <c r="W1194" s="900"/>
      <c r="X1194" s="900"/>
      <c r="Y1194" s="902"/>
      <c r="Z1194" s="901"/>
      <c r="AA1194" s="903"/>
      <c r="AB1194" s="901"/>
      <c r="AC1194" s="903"/>
      <c r="AD1194" s="903"/>
      <c r="AE1194" s="903"/>
      <c r="AF1194" s="903"/>
      <c r="AG1194" s="903"/>
    </row>
    <row r="1197" spans="2:42" ht="25.5">
      <c r="B1197" s="1571"/>
      <c r="C1197" s="1570">
        <v>45957</v>
      </c>
      <c r="D1197" s="1570"/>
      <c r="E1197" s="1570" t="s">
        <v>564</v>
      </c>
      <c r="F1197" s="1570"/>
      <c r="G1197" s="894"/>
      <c r="H1197" s="1570">
        <v>45958</v>
      </c>
      <c r="I1197" s="1570"/>
      <c r="J1197" s="1570" t="s">
        <v>565</v>
      </c>
      <c r="K1197" s="1570"/>
      <c r="L1197" s="894"/>
      <c r="M1197" s="1570">
        <v>45959</v>
      </c>
      <c r="N1197" s="1570"/>
      <c r="O1197" s="1570" t="s">
        <v>566</v>
      </c>
      <c r="P1197" s="1570"/>
      <c r="Q1197" s="894"/>
      <c r="R1197" s="1570">
        <v>45960</v>
      </c>
      <c r="S1197" s="1570"/>
      <c r="T1197" s="1570" t="s">
        <v>567</v>
      </c>
      <c r="U1197" s="1570"/>
      <c r="V1197" s="894"/>
      <c r="W1197" s="1570">
        <v>45961</v>
      </c>
      <c r="X1197" s="1570"/>
      <c r="Y1197" s="1570" t="s">
        <v>568</v>
      </c>
      <c r="Z1197" s="1570"/>
      <c r="AA1197" s="1569" t="s">
        <v>19</v>
      </c>
      <c r="AB1197" s="1569" t="s">
        <v>20</v>
      </c>
      <c r="AC1197" s="4"/>
      <c r="AD1197" s="1570"/>
      <c r="AE1197" s="1570"/>
      <c r="AF1197" s="895" t="s">
        <v>1111</v>
      </c>
      <c r="AG1197" s="1569" t="s">
        <v>21</v>
      </c>
      <c r="AK1197" s="194" t="s">
        <v>84</v>
      </c>
      <c r="AL1197" s="366"/>
      <c r="AM1197" s="366"/>
      <c r="AN1197" s="366"/>
      <c r="AO1197" s="366"/>
      <c r="AP1197" s="366"/>
    </row>
    <row r="1198" spans="2:42">
      <c r="B1198" s="1571"/>
      <c r="C1198" s="896" t="s">
        <v>23</v>
      </c>
      <c r="D1198" s="896" t="s">
        <v>24</v>
      </c>
      <c r="E1198" s="897" t="s">
        <v>25</v>
      </c>
      <c r="F1198" s="898" t="s">
        <v>14</v>
      </c>
      <c r="G1198" s="4"/>
      <c r="H1198" s="896"/>
      <c r="I1198" s="896" t="s">
        <v>24</v>
      </c>
      <c r="J1198" s="898" t="s">
        <v>25</v>
      </c>
      <c r="K1198" s="898" t="s">
        <v>14</v>
      </c>
      <c r="L1198" s="4"/>
      <c r="M1198" s="896" t="s">
        <v>23</v>
      </c>
      <c r="N1198" s="896" t="s">
        <v>24</v>
      </c>
      <c r="O1198" s="898" t="s">
        <v>25</v>
      </c>
      <c r="P1198" s="898" t="s">
        <v>14</v>
      </c>
      <c r="R1198" s="896" t="s">
        <v>23</v>
      </c>
      <c r="S1198" s="896" t="s">
        <v>24</v>
      </c>
      <c r="T1198" s="898" t="s">
        <v>25</v>
      </c>
      <c r="U1198" s="898" t="s">
        <v>14</v>
      </c>
      <c r="W1198" s="896" t="s">
        <v>23</v>
      </c>
      <c r="X1198" s="896" t="s">
        <v>24</v>
      </c>
      <c r="Y1198" s="898" t="s">
        <v>25</v>
      </c>
      <c r="Z1198" s="898" t="s">
        <v>14</v>
      </c>
      <c r="AA1198" s="1569"/>
      <c r="AB1198" s="1569"/>
      <c r="AC1198" s="4"/>
      <c r="AD1198" s="896" t="s">
        <v>23</v>
      </c>
      <c r="AE1198" s="896" t="s">
        <v>24</v>
      </c>
      <c r="AF1198" s="898" t="s">
        <v>25</v>
      </c>
      <c r="AG1198" s="1569"/>
      <c r="AK1198" s="188" t="s">
        <v>26</v>
      </c>
      <c r="AL1198" s="196">
        <f>AA1220</f>
        <v>214.5</v>
      </c>
      <c r="AM1198" s="510">
        <v>40.31</v>
      </c>
      <c r="AN1198" s="510">
        <f t="shared" ref="AN1198:AN1203" si="158">AL1198*AM1198</f>
        <v>8646.4950000000008</v>
      </c>
    </row>
    <row r="1199" spans="2:42">
      <c r="B1199" s="47" t="s">
        <v>515</v>
      </c>
      <c r="C1199" s="47"/>
      <c r="D1199" s="47"/>
      <c r="E1199" s="319">
        <v>0</v>
      </c>
      <c r="F1199" s="320"/>
      <c r="G1199" s="4"/>
      <c r="H1199" s="47"/>
      <c r="I1199" s="47"/>
      <c r="J1199" s="319">
        <v>0</v>
      </c>
      <c r="K1199" s="320"/>
      <c r="L1199" s="4"/>
      <c r="M1199" s="47"/>
      <c r="N1199" s="47"/>
      <c r="O1199" s="319">
        <v>0</v>
      </c>
      <c r="P1199" s="320"/>
      <c r="R1199" s="47"/>
      <c r="S1199" s="47"/>
      <c r="T1199" s="319">
        <v>0</v>
      </c>
      <c r="U1199" s="320"/>
      <c r="W1199" s="47"/>
      <c r="X1199" s="47"/>
      <c r="Y1199" s="319">
        <v>0</v>
      </c>
      <c r="Z1199" s="320"/>
      <c r="AA1199" s="328">
        <f t="shared" ref="AA1199:AA1219" si="159">(E1199+J1199+O1199+T1199+Y1199)</f>
        <v>0</v>
      </c>
      <c r="AB1199" s="400">
        <f t="shared" ref="AB1199:AB1219" si="160">Z1199+U1199+P1199+K1199+F1199</f>
        <v>0</v>
      </c>
      <c r="AC1199" s="4"/>
      <c r="AF1199" s="319"/>
      <c r="AG1199" s="328">
        <f t="shared" ref="AG1199:AG1219" si="161">AF1199</f>
        <v>0</v>
      </c>
      <c r="AK1199" s="188" t="s">
        <v>30</v>
      </c>
      <c r="AL1199" s="196">
        <f>AB1220</f>
        <v>2</v>
      </c>
      <c r="AM1199" s="510">
        <v>60.465000000000003</v>
      </c>
      <c r="AN1199" s="510">
        <f t="shared" si="158"/>
        <v>120.93</v>
      </c>
    </row>
    <row r="1200" spans="2:42">
      <c r="B1200" s="47" t="s">
        <v>1112</v>
      </c>
      <c r="C1200" s="47"/>
      <c r="D1200" s="47"/>
      <c r="E1200" s="319">
        <v>0</v>
      </c>
      <c r="F1200" s="320"/>
      <c r="G1200" s="4"/>
      <c r="H1200" s="47">
        <v>0.33333333333333331</v>
      </c>
      <c r="I1200" s="47">
        <v>0.20833333333333334</v>
      </c>
      <c r="J1200" s="319">
        <v>8</v>
      </c>
      <c r="K1200" s="320"/>
      <c r="L1200" s="4"/>
      <c r="M1200" s="47">
        <v>0.33333333333333331</v>
      </c>
      <c r="N1200" s="47">
        <v>0.20833333333333334</v>
      </c>
      <c r="O1200" s="319">
        <v>8</v>
      </c>
      <c r="P1200" s="320"/>
      <c r="R1200" s="47"/>
      <c r="S1200" s="47"/>
      <c r="T1200" s="319">
        <v>0</v>
      </c>
      <c r="U1200" s="320"/>
      <c r="W1200" s="47"/>
      <c r="X1200" s="47"/>
      <c r="Y1200" s="319">
        <v>0</v>
      </c>
      <c r="Z1200" s="320"/>
      <c r="AA1200" s="328">
        <f t="shared" si="159"/>
        <v>16</v>
      </c>
      <c r="AB1200" s="400">
        <f t="shared" si="160"/>
        <v>0</v>
      </c>
      <c r="AC1200" s="4"/>
      <c r="AD1200" s="47"/>
      <c r="AE1200" s="47"/>
      <c r="AF1200" s="319"/>
      <c r="AG1200" s="328">
        <f t="shared" si="161"/>
        <v>0</v>
      </c>
      <c r="AK1200" s="188" t="s">
        <v>32</v>
      </c>
      <c r="AL1200" s="196">
        <f>AG1220</f>
        <v>0</v>
      </c>
      <c r="AM1200" s="510">
        <v>60.465000000000003</v>
      </c>
      <c r="AN1200" s="510">
        <f t="shared" si="158"/>
        <v>0</v>
      </c>
    </row>
    <row r="1201" spans="2:40">
      <c r="B1201" s="47" t="s">
        <v>234</v>
      </c>
      <c r="C1201" s="47">
        <v>0.33333333333333331</v>
      </c>
      <c r="D1201" s="47">
        <v>0.20833333333333334</v>
      </c>
      <c r="E1201" s="319">
        <v>8</v>
      </c>
      <c r="F1201" s="320"/>
      <c r="G1201" s="4"/>
      <c r="H1201" s="47"/>
      <c r="I1201" s="47"/>
      <c r="J1201" s="319">
        <v>0</v>
      </c>
      <c r="K1201" s="320"/>
      <c r="L1201" s="4"/>
      <c r="M1201" s="47"/>
      <c r="N1201" s="47"/>
      <c r="O1201" s="319">
        <v>0</v>
      </c>
      <c r="P1201" s="320"/>
      <c r="R1201" s="47"/>
      <c r="S1201" s="47"/>
      <c r="T1201" s="319">
        <v>0</v>
      </c>
      <c r="U1201" s="320"/>
      <c r="W1201" s="47">
        <v>0.33333333333333331</v>
      </c>
      <c r="X1201" s="47">
        <v>3</v>
      </c>
      <c r="Y1201" s="319">
        <v>8</v>
      </c>
      <c r="Z1201" s="320"/>
      <c r="AA1201" s="328">
        <f t="shared" si="159"/>
        <v>16</v>
      </c>
      <c r="AB1201" s="400">
        <f t="shared" si="160"/>
        <v>0</v>
      </c>
      <c r="AC1201" s="4"/>
      <c r="AD1201" s="47"/>
      <c r="AE1201" s="47"/>
      <c r="AF1201" s="319"/>
      <c r="AG1201" s="328">
        <f t="shared" si="161"/>
        <v>0</v>
      </c>
      <c r="AK1201" s="188" t="s">
        <v>213</v>
      </c>
      <c r="AL1201" s="196">
        <f>AA1223</f>
        <v>20</v>
      </c>
      <c r="AM1201" s="510">
        <v>53.05</v>
      </c>
      <c r="AN1201" s="510">
        <f t="shared" si="158"/>
        <v>1061</v>
      </c>
    </row>
    <row r="1202" spans="2:40">
      <c r="B1202" s="47" t="s">
        <v>637</v>
      </c>
      <c r="C1202" s="47"/>
      <c r="D1202" s="47"/>
      <c r="E1202" s="319">
        <v>0</v>
      </c>
      <c r="F1202" s="320"/>
      <c r="G1202" s="4"/>
      <c r="H1202" s="47"/>
      <c r="I1202" s="47"/>
      <c r="J1202" s="319">
        <v>0</v>
      </c>
      <c r="K1202" s="320"/>
      <c r="L1202" s="4"/>
      <c r="M1202" s="47"/>
      <c r="N1202" s="47"/>
      <c r="O1202" s="319">
        <v>0</v>
      </c>
      <c r="P1202" s="320"/>
      <c r="R1202" s="47"/>
      <c r="S1202" s="47"/>
      <c r="T1202" s="319">
        <v>0</v>
      </c>
      <c r="U1202" s="320"/>
      <c r="W1202" s="47"/>
      <c r="X1202" s="47"/>
      <c r="Y1202" s="319">
        <v>0</v>
      </c>
      <c r="Z1202" s="320"/>
      <c r="AA1202" s="328">
        <f t="shared" si="159"/>
        <v>0</v>
      </c>
      <c r="AB1202" s="400">
        <f t="shared" si="160"/>
        <v>0</v>
      </c>
      <c r="AC1202" s="4"/>
      <c r="AD1202" s="47"/>
      <c r="AE1202" s="47"/>
      <c r="AF1202" s="319"/>
      <c r="AG1202" s="328">
        <f t="shared" si="161"/>
        <v>0</v>
      </c>
      <c r="AK1202" s="188" t="s">
        <v>36</v>
      </c>
      <c r="AL1202" s="196">
        <f>AB1223</f>
        <v>0</v>
      </c>
      <c r="AM1202" s="510">
        <v>79.574999999999989</v>
      </c>
      <c r="AN1202" s="510">
        <f t="shared" si="158"/>
        <v>0</v>
      </c>
    </row>
    <row r="1203" spans="2:40">
      <c r="B1203" s="374" t="s">
        <v>998</v>
      </c>
      <c r="C1203" s="47"/>
      <c r="D1203" s="47"/>
      <c r="E1203" s="319">
        <v>0</v>
      </c>
      <c r="F1203" s="320"/>
      <c r="G1203" s="4"/>
      <c r="H1203" s="47"/>
      <c r="I1203" s="47"/>
      <c r="J1203" s="319">
        <v>0</v>
      </c>
      <c r="K1203" s="320"/>
      <c r="L1203" s="4"/>
      <c r="M1203" s="47"/>
      <c r="N1203" s="47"/>
      <c r="O1203" s="319">
        <v>0</v>
      </c>
      <c r="P1203" s="320"/>
      <c r="R1203" s="47"/>
      <c r="S1203" s="47"/>
      <c r="T1203" s="319">
        <v>0</v>
      </c>
      <c r="U1203" s="320"/>
      <c r="W1203" s="47"/>
      <c r="X1203" s="47"/>
      <c r="Y1203" s="319">
        <v>0</v>
      </c>
      <c r="Z1203" s="320"/>
      <c r="AA1203" s="328">
        <f t="shared" si="159"/>
        <v>0</v>
      </c>
      <c r="AB1203" s="400">
        <f t="shared" si="160"/>
        <v>0</v>
      </c>
      <c r="AC1203" s="4"/>
      <c r="AD1203" s="47"/>
      <c r="AE1203" s="47"/>
      <c r="AF1203" s="319"/>
      <c r="AG1203" s="328">
        <f t="shared" si="161"/>
        <v>0</v>
      </c>
      <c r="AK1203" s="188" t="s">
        <v>38</v>
      </c>
      <c r="AL1203" s="196">
        <f>AG1223</f>
        <v>0</v>
      </c>
      <c r="AM1203" s="510">
        <v>79.574999999999989</v>
      </c>
      <c r="AN1203" s="510">
        <f t="shared" si="158"/>
        <v>0</v>
      </c>
    </row>
    <row r="1204" spans="2:40">
      <c r="B1204" s="47" t="s">
        <v>53</v>
      </c>
      <c r="C1204" s="47">
        <v>0.375</v>
      </c>
      <c r="D1204" s="47">
        <v>0.20833333333333334</v>
      </c>
      <c r="E1204" s="319">
        <v>8</v>
      </c>
      <c r="F1204" s="320"/>
      <c r="G1204" s="4"/>
      <c r="H1204" s="47">
        <v>0.375</v>
      </c>
      <c r="I1204" s="47">
        <v>0.25</v>
      </c>
      <c r="J1204" s="319">
        <v>8</v>
      </c>
      <c r="K1204" s="320"/>
      <c r="L1204" s="4"/>
      <c r="M1204" s="47">
        <v>0.375</v>
      </c>
      <c r="N1204" s="47">
        <v>0.25</v>
      </c>
      <c r="O1204" s="319">
        <v>8</v>
      </c>
      <c r="P1204" s="320"/>
      <c r="R1204" s="47">
        <v>0.375</v>
      </c>
      <c r="S1204" s="47">
        <v>0.25</v>
      </c>
      <c r="T1204" s="319">
        <v>8</v>
      </c>
      <c r="U1204" s="320"/>
      <c r="W1204" s="47">
        <v>0.375</v>
      </c>
      <c r="X1204" s="47">
        <v>0.25</v>
      </c>
      <c r="Y1204" s="319">
        <v>8</v>
      </c>
      <c r="Z1204" s="320"/>
      <c r="AA1204" s="328">
        <f t="shared" si="159"/>
        <v>40</v>
      </c>
      <c r="AB1204" s="400">
        <f t="shared" si="160"/>
        <v>0</v>
      </c>
      <c r="AC1204" s="4"/>
      <c r="AD1204" s="47"/>
      <c r="AE1204" s="47"/>
      <c r="AF1204" s="319"/>
      <c r="AG1204" s="328">
        <f t="shared" si="161"/>
        <v>0</v>
      </c>
      <c r="AN1204" s="510">
        <f>SUM(AN1198:AN1203)</f>
        <v>9828.4250000000011</v>
      </c>
    </row>
    <row r="1205" spans="2:40">
      <c r="B1205" s="47" t="s">
        <v>241</v>
      </c>
      <c r="C1205" s="47">
        <v>0.375</v>
      </c>
      <c r="D1205" s="47">
        <v>0.25</v>
      </c>
      <c r="E1205" s="319">
        <v>8</v>
      </c>
      <c r="F1205" s="320"/>
      <c r="G1205" s="4"/>
      <c r="H1205" s="47">
        <v>0.375</v>
      </c>
      <c r="I1205" s="47">
        <v>0.25</v>
      </c>
      <c r="J1205" s="319">
        <v>8</v>
      </c>
      <c r="K1205" s="320"/>
      <c r="L1205" s="4"/>
      <c r="M1205" s="47">
        <v>0.375</v>
      </c>
      <c r="N1205" s="47">
        <v>0.25</v>
      </c>
      <c r="O1205" s="319">
        <v>8</v>
      </c>
      <c r="P1205" s="320"/>
      <c r="R1205" s="47">
        <v>0.375</v>
      </c>
      <c r="S1205" s="47">
        <v>0.25</v>
      </c>
      <c r="T1205" s="319">
        <v>8</v>
      </c>
      <c r="U1205" s="320"/>
      <c r="W1205" s="47">
        <v>0.375</v>
      </c>
      <c r="X1205" s="47">
        <v>0.25</v>
      </c>
      <c r="Y1205" s="319">
        <v>8</v>
      </c>
      <c r="Z1205" s="320"/>
      <c r="AA1205" s="328">
        <f t="shared" si="159"/>
        <v>40</v>
      </c>
      <c r="AB1205" s="400">
        <f t="shared" si="160"/>
        <v>0</v>
      </c>
      <c r="AC1205" s="4"/>
      <c r="AD1205" s="47"/>
      <c r="AE1205" s="47"/>
      <c r="AF1205" s="319"/>
      <c r="AG1205" s="328">
        <f t="shared" si="161"/>
        <v>0</v>
      </c>
    </row>
    <row r="1206" spans="2:40">
      <c r="B1206" s="47" t="s">
        <v>1140</v>
      </c>
      <c r="C1206" s="47"/>
      <c r="D1206" s="441"/>
      <c r="E1206" s="319">
        <v>0</v>
      </c>
      <c r="F1206" s="320"/>
      <c r="G1206" s="4"/>
      <c r="H1206" s="47"/>
      <c r="I1206" s="47"/>
      <c r="J1206" s="319">
        <v>0</v>
      </c>
      <c r="K1206" s="320"/>
      <c r="L1206" s="4"/>
      <c r="M1206" s="47"/>
      <c r="N1206" s="47"/>
      <c r="O1206" s="319">
        <v>0</v>
      </c>
      <c r="P1206" s="320"/>
      <c r="R1206" s="47"/>
      <c r="S1206" s="47"/>
      <c r="T1206" s="319">
        <v>0</v>
      </c>
      <c r="U1206" s="320"/>
      <c r="W1206" s="47"/>
      <c r="X1206" s="47"/>
      <c r="Y1206" s="319">
        <v>0</v>
      </c>
      <c r="Z1206" s="320"/>
      <c r="AA1206" s="328">
        <f t="shared" si="159"/>
        <v>0</v>
      </c>
      <c r="AB1206" s="400">
        <f t="shared" si="160"/>
        <v>0</v>
      </c>
      <c r="AC1206" s="4"/>
      <c r="AD1206" s="47"/>
      <c r="AE1206" s="47"/>
      <c r="AF1206" s="319"/>
      <c r="AG1206" s="328">
        <f t="shared" si="161"/>
        <v>0</v>
      </c>
      <c r="AK1206" s="192" t="s">
        <v>1115</v>
      </c>
      <c r="AL1206" s="189">
        <f>C1224</f>
        <v>17</v>
      </c>
      <c r="AM1206" s="510">
        <v>45</v>
      </c>
      <c r="AN1206" s="510">
        <f>AM1206*AL1206</f>
        <v>765</v>
      </c>
    </row>
    <row r="1207" spans="2:40">
      <c r="B1207" s="47" t="s">
        <v>1113</v>
      </c>
      <c r="C1207" s="47"/>
      <c r="D1207" s="47"/>
      <c r="E1207" s="319">
        <v>0</v>
      </c>
      <c r="F1207" s="320"/>
      <c r="G1207" s="4"/>
      <c r="H1207" s="47"/>
      <c r="I1207" s="47"/>
      <c r="J1207" s="319">
        <v>0</v>
      </c>
      <c r="K1207" s="320"/>
      <c r="L1207" s="4"/>
      <c r="M1207" s="47"/>
      <c r="N1207" s="47"/>
      <c r="O1207" s="319">
        <v>0</v>
      </c>
      <c r="P1207" s="320"/>
      <c r="R1207" s="47"/>
      <c r="S1207" s="47"/>
      <c r="T1207" s="319">
        <v>0</v>
      </c>
      <c r="U1207" s="320"/>
      <c r="W1207" s="47"/>
      <c r="X1207" s="47"/>
      <c r="Y1207" s="319">
        <v>0</v>
      </c>
      <c r="Z1207" s="320"/>
      <c r="AA1207" s="328">
        <f t="shared" si="159"/>
        <v>0</v>
      </c>
      <c r="AB1207" s="400">
        <f t="shared" si="160"/>
        <v>0</v>
      </c>
      <c r="AC1207" s="4"/>
      <c r="AD1207" s="47"/>
      <c r="AE1207" s="47"/>
      <c r="AF1207" s="319"/>
      <c r="AG1207" s="328">
        <f t="shared" si="161"/>
        <v>0</v>
      </c>
    </row>
    <row r="1208" spans="2:40">
      <c r="B1208" s="502" t="s">
        <v>483</v>
      </c>
      <c r="C1208" s="47"/>
      <c r="D1208" s="47"/>
      <c r="E1208" s="319">
        <v>0</v>
      </c>
      <c r="F1208" s="320"/>
      <c r="G1208" s="4"/>
      <c r="H1208" s="47"/>
      <c r="I1208" s="47"/>
      <c r="J1208" s="319">
        <v>0</v>
      </c>
      <c r="K1208" s="320"/>
      <c r="L1208" s="4"/>
      <c r="M1208" s="47"/>
      <c r="N1208" s="47"/>
      <c r="O1208" s="319">
        <v>0</v>
      </c>
      <c r="P1208" s="320"/>
      <c r="R1208" s="47"/>
      <c r="S1208" s="47"/>
      <c r="T1208" s="319">
        <v>0</v>
      </c>
      <c r="U1208" s="320"/>
      <c r="W1208" s="47"/>
      <c r="X1208" s="47"/>
      <c r="Y1208" s="319">
        <v>0</v>
      </c>
      <c r="Z1208" s="320"/>
      <c r="AA1208" s="328">
        <f t="shared" si="159"/>
        <v>0</v>
      </c>
      <c r="AB1208" s="400">
        <f t="shared" si="160"/>
        <v>0</v>
      </c>
      <c r="AC1208" s="4"/>
      <c r="AD1208" s="47"/>
      <c r="AE1208" s="47"/>
      <c r="AF1208" s="319"/>
      <c r="AG1208" s="328">
        <f t="shared" si="161"/>
        <v>0</v>
      </c>
    </row>
    <row r="1209" spans="2:40">
      <c r="B1209" s="502" t="s">
        <v>483</v>
      </c>
      <c r="C1209" s="47"/>
      <c r="D1209" s="47"/>
      <c r="E1209" s="319">
        <v>0</v>
      </c>
      <c r="F1209" s="320"/>
      <c r="G1209" s="4"/>
      <c r="H1209" s="47"/>
      <c r="I1209" s="47"/>
      <c r="J1209" s="319">
        <v>8</v>
      </c>
      <c r="K1209" s="320"/>
      <c r="L1209" s="4"/>
      <c r="M1209" s="47"/>
      <c r="N1209" s="47"/>
      <c r="O1209" s="319">
        <v>0</v>
      </c>
      <c r="P1209" s="320"/>
      <c r="R1209" s="47"/>
      <c r="S1209" s="47"/>
      <c r="T1209" s="319">
        <v>0</v>
      </c>
      <c r="U1209" s="320"/>
      <c r="W1209" s="47"/>
      <c r="X1209" s="47"/>
      <c r="Y1209" s="319">
        <v>0</v>
      </c>
      <c r="Z1209" s="320"/>
      <c r="AA1209" s="328">
        <f t="shared" si="159"/>
        <v>8</v>
      </c>
      <c r="AB1209" s="400">
        <f t="shared" si="160"/>
        <v>0</v>
      </c>
      <c r="AC1209" s="4"/>
      <c r="AD1209" s="47"/>
      <c r="AE1209" s="47"/>
      <c r="AF1209" s="319"/>
      <c r="AG1209" s="328">
        <f t="shared" si="161"/>
        <v>0</v>
      </c>
    </row>
    <row r="1210" spans="2:40">
      <c r="B1210" s="502" t="s">
        <v>484</v>
      </c>
      <c r="C1210" s="47"/>
      <c r="D1210" s="47"/>
      <c r="E1210" s="319">
        <v>0</v>
      </c>
      <c r="F1210" s="320"/>
      <c r="G1210" s="4"/>
      <c r="H1210" s="47"/>
      <c r="I1210" s="47"/>
      <c r="J1210" s="319">
        <v>8</v>
      </c>
      <c r="K1210" s="320"/>
      <c r="L1210" s="4"/>
      <c r="M1210" s="47"/>
      <c r="N1210" s="47"/>
      <c r="O1210" s="319">
        <v>0</v>
      </c>
      <c r="P1210" s="320"/>
      <c r="R1210" s="47"/>
      <c r="S1210" s="47"/>
      <c r="T1210" s="319">
        <v>0</v>
      </c>
      <c r="U1210" s="320"/>
      <c r="W1210" s="47"/>
      <c r="X1210" s="47"/>
      <c r="Y1210" s="319">
        <v>0</v>
      </c>
      <c r="Z1210" s="320"/>
      <c r="AA1210" s="328">
        <f t="shared" si="159"/>
        <v>8</v>
      </c>
      <c r="AB1210" s="400">
        <f t="shared" si="160"/>
        <v>0</v>
      </c>
      <c r="AC1210" s="4"/>
      <c r="AD1210" s="47"/>
      <c r="AE1210" s="47"/>
      <c r="AF1210" s="319"/>
      <c r="AG1210" s="328">
        <f t="shared" si="161"/>
        <v>0</v>
      </c>
    </row>
    <row r="1211" spans="2:40">
      <c r="B1211" s="502" t="s">
        <v>485</v>
      </c>
      <c r="C1211" s="47"/>
      <c r="D1211" s="47"/>
      <c r="E1211" s="319">
        <v>0</v>
      </c>
      <c r="F1211" s="320"/>
      <c r="G1211" s="4"/>
      <c r="H1211" s="47"/>
      <c r="I1211" s="47"/>
      <c r="J1211" s="319">
        <v>8</v>
      </c>
      <c r="K1211" s="320"/>
      <c r="L1211" s="4"/>
      <c r="M1211" s="47"/>
      <c r="N1211" s="47"/>
      <c r="O1211" s="319">
        <v>0</v>
      </c>
      <c r="P1211" s="320"/>
      <c r="R1211" s="47"/>
      <c r="S1211" s="47"/>
      <c r="T1211" s="319">
        <v>8</v>
      </c>
      <c r="U1211" s="320">
        <v>2</v>
      </c>
      <c r="W1211" s="47"/>
      <c r="X1211" s="47"/>
      <c r="Y1211" s="319">
        <v>0</v>
      </c>
      <c r="Z1211" s="320"/>
      <c r="AA1211" s="328">
        <f t="shared" si="159"/>
        <v>16</v>
      </c>
      <c r="AB1211" s="400">
        <f t="shared" si="160"/>
        <v>2</v>
      </c>
      <c r="AC1211" s="4"/>
      <c r="AD1211" s="47"/>
      <c r="AE1211" s="47"/>
      <c r="AF1211" s="319"/>
      <c r="AG1211" s="328">
        <f t="shared" si="161"/>
        <v>0</v>
      </c>
    </row>
    <row r="1212" spans="2:40">
      <c r="B1212" s="502" t="s">
        <v>1129</v>
      </c>
      <c r="C1212" s="47"/>
      <c r="D1212" s="47"/>
      <c r="E1212" s="319">
        <v>0</v>
      </c>
      <c r="F1212" s="320"/>
      <c r="G1212" s="4"/>
      <c r="H1212" s="47"/>
      <c r="I1212" s="47"/>
      <c r="J1212" s="319">
        <v>0</v>
      </c>
      <c r="K1212" s="320"/>
      <c r="L1212" s="4"/>
      <c r="M1212" s="47"/>
      <c r="N1212" s="47"/>
      <c r="O1212" s="319">
        <v>0</v>
      </c>
      <c r="P1212" s="320"/>
      <c r="R1212" s="47"/>
      <c r="S1212" s="47"/>
      <c r="T1212" s="319">
        <v>0</v>
      </c>
      <c r="U1212" s="320"/>
      <c r="W1212" s="47"/>
      <c r="X1212" s="47"/>
      <c r="Y1212" s="319">
        <v>0</v>
      </c>
      <c r="Z1212" s="320"/>
      <c r="AA1212" s="328">
        <f t="shared" si="159"/>
        <v>0</v>
      </c>
      <c r="AB1212" s="400">
        <f t="shared" si="160"/>
        <v>0</v>
      </c>
      <c r="AC1212" s="4"/>
      <c r="AD1212" s="47"/>
      <c r="AE1212" s="47"/>
      <c r="AF1212" s="319"/>
      <c r="AG1212" s="328">
        <f t="shared" si="161"/>
        <v>0</v>
      </c>
    </row>
    <row r="1213" spans="2:40">
      <c r="B1213" s="267" t="s">
        <v>358</v>
      </c>
      <c r="C1213" s="47"/>
      <c r="D1213" s="47"/>
      <c r="E1213" s="319">
        <v>4</v>
      </c>
      <c r="F1213" s="320"/>
      <c r="G1213" s="4"/>
      <c r="H1213" s="47"/>
      <c r="I1213" s="47"/>
      <c r="J1213" s="319">
        <v>4</v>
      </c>
      <c r="K1213" s="320"/>
      <c r="L1213" s="438"/>
      <c r="M1213" s="47"/>
      <c r="N1213" s="47"/>
      <c r="O1213" s="319">
        <v>4</v>
      </c>
      <c r="P1213" s="320"/>
      <c r="Q1213" s="438"/>
      <c r="R1213" s="47"/>
      <c r="S1213" s="47"/>
      <c r="T1213" s="319">
        <v>6</v>
      </c>
      <c r="U1213" s="320"/>
      <c r="V1213" s="438"/>
      <c r="W1213" s="47"/>
      <c r="X1213" s="47"/>
      <c r="Y1213" s="319">
        <v>6</v>
      </c>
      <c r="Z1213" s="320"/>
      <c r="AA1213" s="328">
        <f t="shared" si="159"/>
        <v>24</v>
      </c>
      <c r="AB1213" s="400">
        <f t="shared" si="160"/>
        <v>0</v>
      </c>
      <c r="AC1213" s="4"/>
      <c r="AD1213" s="47"/>
      <c r="AE1213" s="47"/>
      <c r="AF1213" s="319"/>
      <c r="AG1213" s="328">
        <f t="shared" si="161"/>
        <v>0</v>
      </c>
    </row>
    <row r="1214" spans="2:40">
      <c r="B1214" s="267" t="s">
        <v>991</v>
      </c>
      <c r="C1214" s="47"/>
      <c r="D1214" s="47"/>
      <c r="E1214" s="319">
        <v>0</v>
      </c>
      <c r="F1214" s="320"/>
      <c r="G1214" s="4"/>
      <c r="H1214" s="47"/>
      <c r="I1214" s="47"/>
      <c r="J1214" s="319">
        <v>0</v>
      </c>
      <c r="K1214" s="320"/>
      <c r="L1214" s="438"/>
      <c r="M1214" s="47"/>
      <c r="N1214" s="47"/>
      <c r="O1214" s="319">
        <v>0</v>
      </c>
      <c r="P1214" s="320"/>
      <c r="Q1214" s="438"/>
      <c r="R1214" s="47"/>
      <c r="S1214" s="47"/>
      <c r="T1214" s="319">
        <v>0</v>
      </c>
      <c r="U1214" s="320"/>
      <c r="V1214" s="438"/>
      <c r="W1214" s="47"/>
      <c r="X1214" s="47"/>
      <c r="Y1214" s="319">
        <v>0</v>
      </c>
      <c r="Z1214" s="320"/>
      <c r="AA1214" s="328">
        <f t="shared" si="159"/>
        <v>0</v>
      </c>
      <c r="AB1214" s="400">
        <f t="shared" si="160"/>
        <v>0</v>
      </c>
      <c r="AC1214" s="4"/>
      <c r="AD1214" s="47"/>
      <c r="AE1214" s="47"/>
      <c r="AF1214" s="319"/>
      <c r="AG1214" s="328">
        <f t="shared" si="161"/>
        <v>0</v>
      </c>
    </row>
    <row r="1215" spans="2:40">
      <c r="B1215" s="267" t="s">
        <v>411</v>
      </c>
      <c r="C1215" s="47"/>
      <c r="D1215" s="47"/>
      <c r="E1215" s="319">
        <v>0</v>
      </c>
      <c r="F1215" s="320"/>
      <c r="G1215" s="4"/>
      <c r="H1215" s="47"/>
      <c r="I1215" s="47"/>
      <c r="J1215" s="319">
        <v>0</v>
      </c>
      <c r="K1215" s="320"/>
      <c r="L1215" s="438"/>
      <c r="M1215" s="47"/>
      <c r="N1215" s="47"/>
      <c r="O1215" s="319">
        <v>0</v>
      </c>
      <c r="P1215" s="320"/>
      <c r="Q1215" s="438"/>
      <c r="R1215" s="47"/>
      <c r="S1215" s="47"/>
      <c r="T1215" s="319">
        <v>0</v>
      </c>
      <c r="U1215" s="320"/>
      <c r="V1215" s="438"/>
      <c r="W1215" s="47"/>
      <c r="X1215" s="47"/>
      <c r="Y1215" s="319">
        <v>0</v>
      </c>
      <c r="Z1215" s="320"/>
      <c r="AA1215" s="328">
        <f t="shared" si="159"/>
        <v>0</v>
      </c>
      <c r="AB1215" s="400">
        <f t="shared" si="160"/>
        <v>0</v>
      </c>
      <c r="AC1215" s="4"/>
      <c r="AD1215" s="47"/>
      <c r="AE1215" s="47"/>
      <c r="AF1215" s="319"/>
      <c r="AG1215" s="328">
        <f t="shared" si="161"/>
        <v>0</v>
      </c>
    </row>
    <row r="1216" spans="2:40">
      <c r="B1216" s="267" t="s">
        <v>361</v>
      </c>
      <c r="C1216" s="47"/>
      <c r="D1216" s="47"/>
      <c r="E1216" s="319">
        <v>0</v>
      </c>
      <c r="F1216" s="320"/>
      <c r="G1216" s="4"/>
      <c r="H1216" s="47"/>
      <c r="I1216" s="47"/>
      <c r="J1216" s="319">
        <v>0</v>
      </c>
      <c r="K1216" s="320"/>
      <c r="L1216" s="438"/>
      <c r="M1216" s="47"/>
      <c r="N1216" s="47"/>
      <c r="O1216" s="319">
        <v>0</v>
      </c>
      <c r="P1216" s="320"/>
      <c r="Q1216" s="438"/>
      <c r="R1216" s="47"/>
      <c r="S1216" s="47"/>
      <c r="T1216" s="319">
        <v>0</v>
      </c>
      <c r="U1216" s="320"/>
      <c r="V1216" s="438"/>
      <c r="W1216" s="47"/>
      <c r="X1216" s="47"/>
      <c r="Y1216" s="319">
        <v>0</v>
      </c>
      <c r="Z1216" s="320"/>
      <c r="AA1216" s="328">
        <f t="shared" si="159"/>
        <v>0</v>
      </c>
      <c r="AB1216" s="400">
        <f t="shared" si="160"/>
        <v>0</v>
      </c>
      <c r="AC1216" s="4"/>
      <c r="AD1216" s="47"/>
      <c r="AE1216" s="47"/>
      <c r="AF1216" s="319"/>
      <c r="AG1216" s="328">
        <f t="shared" si="161"/>
        <v>0</v>
      </c>
    </row>
    <row r="1217" spans="2:42">
      <c r="B1217" s="267" t="s">
        <v>362</v>
      </c>
      <c r="C1217" s="47"/>
      <c r="D1217" s="5"/>
      <c r="E1217" s="319">
        <v>0</v>
      </c>
      <c r="F1217" s="320"/>
      <c r="G1217" s="4"/>
      <c r="H1217" s="47"/>
      <c r="I1217" s="5"/>
      <c r="J1217" s="319">
        <v>0</v>
      </c>
      <c r="K1217" s="320"/>
      <c r="L1217" s="438"/>
      <c r="M1217" s="47"/>
      <c r="N1217" s="5"/>
      <c r="O1217" s="319">
        <v>0</v>
      </c>
      <c r="P1217" s="320"/>
      <c r="Q1217" s="438"/>
      <c r="R1217" s="47"/>
      <c r="S1217" s="5"/>
      <c r="T1217" s="319">
        <v>0</v>
      </c>
      <c r="U1217" s="320"/>
      <c r="V1217" s="438"/>
      <c r="W1217" s="47"/>
      <c r="X1217" s="5"/>
      <c r="Y1217" s="319">
        <v>0</v>
      </c>
      <c r="Z1217" s="320"/>
      <c r="AA1217" s="328">
        <f t="shared" si="159"/>
        <v>0</v>
      </c>
      <c r="AB1217" s="400">
        <f t="shared" si="160"/>
        <v>0</v>
      </c>
      <c r="AC1217" s="4"/>
      <c r="AD1217" s="47"/>
      <c r="AE1217" s="47"/>
      <c r="AF1217" s="319"/>
      <c r="AG1217" s="328">
        <f t="shared" si="161"/>
        <v>0</v>
      </c>
    </row>
    <row r="1218" spans="2:42">
      <c r="B1218" s="437" t="s">
        <v>355</v>
      </c>
      <c r="C1218" s="47"/>
      <c r="D1218" s="47"/>
      <c r="E1218" s="319">
        <v>0</v>
      </c>
      <c r="F1218" s="320"/>
      <c r="G1218" s="4"/>
      <c r="H1218" s="47"/>
      <c r="I1218" s="47"/>
      <c r="J1218" s="319">
        <v>7.75</v>
      </c>
      <c r="K1218" s="320"/>
      <c r="L1218" s="438"/>
      <c r="M1218" s="47"/>
      <c r="N1218" s="47"/>
      <c r="O1218" s="319">
        <v>18</v>
      </c>
      <c r="P1218" s="320"/>
      <c r="Q1218" s="438"/>
      <c r="R1218" s="47"/>
      <c r="S1218" s="47"/>
      <c r="T1218" s="319">
        <v>0</v>
      </c>
      <c r="U1218" s="320"/>
      <c r="V1218" s="438"/>
      <c r="W1218" s="47"/>
      <c r="X1218" s="47"/>
      <c r="Y1218" s="319">
        <v>0</v>
      </c>
      <c r="Z1218" s="320"/>
      <c r="AA1218" s="328">
        <f t="shared" si="159"/>
        <v>25.75</v>
      </c>
      <c r="AB1218" s="400">
        <f t="shared" si="160"/>
        <v>0</v>
      </c>
      <c r="AC1218" s="4"/>
      <c r="AD1218" s="47"/>
      <c r="AE1218" s="47"/>
      <c r="AF1218" s="319"/>
      <c r="AG1218" s="328">
        <f t="shared" si="161"/>
        <v>0</v>
      </c>
    </row>
    <row r="1219" spans="2:42">
      <c r="B1219" s="437" t="s">
        <v>356</v>
      </c>
      <c r="C1219" s="713"/>
      <c r="D1219" s="713"/>
      <c r="E1219" s="319">
        <v>0</v>
      </c>
      <c r="F1219" s="320"/>
      <c r="G1219" s="438"/>
      <c r="H1219" s="5"/>
      <c r="I1219" s="5"/>
      <c r="J1219" s="319">
        <v>0</v>
      </c>
      <c r="K1219" s="320"/>
      <c r="L1219" s="438"/>
      <c r="M1219" s="5"/>
      <c r="N1219" s="5"/>
      <c r="O1219" s="319">
        <v>0</v>
      </c>
      <c r="P1219" s="320"/>
      <c r="Q1219" s="438"/>
      <c r="R1219" s="5"/>
      <c r="S1219" s="5"/>
      <c r="T1219" s="319">
        <v>2.25</v>
      </c>
      <c r="U1219" s="320"/>
      <c r="V1219" s="438"/>
      <c r="W1219" s="5"/>
      <c r="X1219" s="5"/>
      <c r="Y1219" s="319">
        <v>18.5</v>
      </c>
      <c r="Z1219" s="320"/>
      <c r="AA1219" s="328">
        <f t="shared" si="159"/>
        <v>20.75</v>
      </c>
      <c r="AB1219" s="400">
        <f t="shared" si="160"/>
        <v>0</v>
      </c>
      <c r="AC1219" s="4"/>
      <c r="AD1219" s="47"/>
      <c r="AE1219" s="47"/>
      <c r="AF1219" s="319"/>
      <c r="AG1219" s="328">
        <f t="shared" si="161"/>
        <v>0</v>
      </c>
    </row>
    <row r="1220" spans="2:42">
      <c r="B1220" s="31" t="s">
        <v>61</v>
      </c>
      <c r="C1220" s="31"/>
      <c r="D1220" s="31"/>
      <c r="E1220" s="439">
        <f>SUM(E1199:E1219)</f>
        <v>28</v>
      </c>
      <c r="F1220" s="320"/>
      <c r="G1220" s="31"/>
      <c r="H1220" s="31"/>
      <c r="I1220" s="31"/>
      <c r="J1220" s="439">
        <f>SUM(J1199:J1219)</f>
        <v>59.75</v>
      </c>
      <c r="K1220" s="320"/>
      <c r="L1220" s="31"/>
      <c r="M1220" s="31"/>
      <c r="N1220" s="31"/>
      <c r="O1220" s="439">
        <f>SUM(O1199:O1219)</f>
        <v>46</v>
      </c>
      <c r="P1220" s="320"/>
      <c r="Q1220" s="31"/>
      <c r="R1220" s="31"/>
      <c r="S1220" s="31"/>
      <c r="T1220" s="439">
        <f>SUM(T1199:T1219)</f>
        <v>32.25</v>
      </c>
      <c r="U1220" s="320"/>
      <c r="V1220" s="31"/>
      <c r="W1220" s="31"/>
      <c r="X1220" s="31"/>
      <c r="Y1220" s="439">
        <f>SUM(Y1199:Y1219)</f>
        <v>48.5</v>
      </c>
      <c r="Z1220" s="320"/>
      <c r="AA1220" s="328">
        <f>SUM(AA1199:AA1219)</f>
        <v>214.5</v>
      </c>
      <c r="AB1220" s="328">
        <f>SUM(AB1199:AB1219)</f>
        <v>2</v>
      </c>
      <c r="AC1220" s="4"/>
      <c r="AD1220" s="31"/>
      <c r="AE1220" s="31"/>
      <c r="AF1220" s="328">
        <f>SUM(AF1199:AF1219)</f>
        <v>0</v>
      </c>
      <c r="AG1220" s="328">
        <f>SUM(AG1199:AG1219)</f>
        <v>0</v>
      </c>
    </row>
    <row r="1221" spans="2:42">
      <c r="B1221" s="267" t="s">
        <v>1116</v>
      </c>
      <c r="C1221" s="47"/>
      <c r="D1221" s="47"/>
      <c r="E1221" s="319">
        <v>4</v>
      </c>
      <c r="F1221" s="320"/>
      <c r="G1221" s="4"/>
      <c r="H1221" s="47"/>
      <c r="I1221" s="47"/>
      <c r="J1221" s="319">
        <v>4</v>
      </c>
      <c r="K1221" s="320"/>
      <c r="L1221" s="4"/>
      <c r="M1221" s="47"/>
      <c r="N1221" s="47"/>
      <c r="O1221" s="319">
        <v>4</v>
      </c>
      <c r="P1221" s="320"/>
      <c r="R1221" s="47"/>
      <c r="S1221" s="47"/>
      <c r="T1221" s="319">
        <v>4</v>
      </c>
      <c r="U1221" s="320"/>
      <c r="W1221" s="47"/>
      <c r="X1221" s="47"/>
      <c r="Y1221" s="319">
        <v>4</v>
      </c>
      <c r="Z1221" s="320"/>
      <c r="AA1221" s="328">
        <f>(E1221+J1221+O1221+T1221+Y1221)</f>
        <v>20</v>
      </c>
      <c r="AB1221" s="400">
        <f>Z1221+U1221+P1221+K1221+F1221</f>
        <v>0</v>
      </c>
      <c r="AC1221" s="4"/>
      <c r="AD1221" s="47"/>
      <c r="AE1221" s="47"/>
      <c r="AF1221" s="319"/>
      <c r="AG1221" s="328">
        <f>AF1221</f>
        <v>0</v>
      </c>
    </row>
    <row r="1222" spans="2:42">
      <c r="B1222" s="267" t="s">
        <v>64</v>
      </c>
      <c r="C1222" s="47"/>
      <c r="D1222" s="47"/>
      <c r="E1222" s="319">
        <v>0</v>
      </c>
      <c r="F1222" s="319"/>
      <c r="G1222" s="71"/>
      <c r="H1222" s="47"/>
      <c r="I1222" s="47"/>
      <c r="J1222" s="319">
        <v>0</v>
      </c>
      <c r="K1222" s="319"/>
      <c r="L1222" s="438"/>
      <c r="M1222" s="47"/>
      <c r="N1222" s="47"/>
      <c r="O1222" s="319">
        <v>0</v>
      </c>
      <c r="P1222" s="319"/>
      <c r="Q1222" s="438"/>
      <c r="R1222" s="47"/>
      <c r="S1222" s="47"/>
      <c r="T1222" s="319">
        <v>0</v>
      </c>
      <c r="U1222" s="319"/>
      <c r="V1222" s="438"/>
      <c r="W1222" s="47"/>
      <c r="X1222" s="47"/>
      <c r="Y1222" s="319">
        <v>0</v>
      </c>
      <c r="Z1222" s="319"/>
      <c r="AA1222" s="328">
        <f>SUM(E1222+J1222+O1222+T1222+Y1222)</f>
        <v>0</v>
      </c>
      <c r="AB1222" s="897">
        <f>Z1222+U1222+P1222+K1222+F1222</f>
        <v>0</v>
      </c>
      <c r="AC1222" s="4"/>
      <c r="AD1222" s="47" t="s">
        <v>29</v>
      </c>
      <c r="AE1222" s="47" t="s">
        <v>29</v>
      </c>
      <c r="AF1222" s="319"/>
      <c r="AG1222" s="328">
        <f>AF1222</f>
        <v>0</v>
      </c>
    </row>
    <row r="1223" spans="2:42">
      <c r="B1223" s="71" t="s">
        <v>66</v>
      </c>
      <c r="C1223" s="371"/>
      <c r="D1223" s="371"/>
      <c r="E1223" s="71"/>
      <c r="F1223" s="71"/>
      <c r="G1223" s="71"/>
      <c r="H1223" s="71"/>
      <c r="I1223" s="71"/>
      <c r="J1223" s="71"/>
      <c r="K1223" s="71"/>
      <c r="L1223" s="71"/>
      <c r="M1223" s="71"/>
      <c r="N1223" s="71"/>
      <c r="O1223" s="71"/>
      <c r="P1223" s="71"/>
      <c r="Q1223" s="71"/>
      <c r="R1223" s="71"/>
      <c r="S1223" s="71"/>
      <c r="T1223" s="71"/>
      <c r="U1223" s="71"/>
      <c r="V1223" s="71"/>
      <c r="W1223" s="71"/>
      <c r="X1223" s="71"/>
      <c r="Y1223" s="71"/>
      <c r="Z1223" s="71"/>
      <c r="AA1223" s="328">
        <f>SUM(AA1221:AA1222)</f>
        <v>20</v>
      </c>
      <c r="AB1223" s="328">
        <f>SUM(AB1222:AB1222)</f>
        <v>0</v>
      </c>
      <c r="AC1223" s="4"/>
      <c r="AG1223" s="328">
        <f>SUM(AG1222:AG1222)</f>
        <v>0</v>
      </c>
      <c r="AK1223" s="407"/>
    </row>
    <row r="1224" spans="2:42">
      <c r="B1224" s="899" t="s">
        <v>67</v>
      </c>
      <c r="C1224" s="900">
        <f>C1225+C1226</f>
        <v>17</v>
      </c>
      <c r="D1224" s="900"/>
      <c r="E1224" s="901"/>
      <c r="F1224" s="901"/>
      <c r="G1224" s="900"/>
      <c r="H1224" s="901"/>
      <c r="I1224" s="901"/>
      <c r="J1224" s="901"/>
      <c r="K1224" s="901"/>
      <c r="L1224" s="900"/>
      <c r="M1224" s="900"/>
      <c r="N1224" s="900"/>
      <c r="O1224" s="900"/>
      <c r="P1224" s="901"/>
      <c r="Q1224" s="900"/>
      <c r="R1224" s="900"/>
      <c r="S1224" s="900"/>
      <c r="T1224" s="900"/>
      <c r="U1224" s="901"/>
      <c r="V1224" s="900"/>
      <c r="W1224" s="900"/>
      <c r="X1224" s="900"/>
      <c r="Y1224" s="902"/>
      <c r="Z1224" s="901"/>
      <c r="AA1224" s="903"/>
      <c r="AB1224" s="901"/>
      <c r="AC1224" s="903"/>
      <c r="AD1224" s="903"/>
      <c r="AE1224" s="903"/>
      <c r="AF1224" s="903"/>
      <c r="AG1224" s="903"/>
      <c r="AK1224" s="407"/>
    </row>
    <row r="1225" spans="2:42">
      <c r="B1225" s="904" t="s">
        <v>68</v>
      </c>
      <c r="C1225" s="900">
        <v>0</v>
      </c>
      <c r="D1225" s="900"/>
      <c r="E1225" s="901"/>
      <c r="F1225" s="901"/>
      <c r="G1225" s="900"/>
      <c r="H1225" s="901"/>
      <c r="I1225" s="901"/>
      <c r="J1225" s="901"/>
      <c r="K1225" s="901"/>
      <c r="L1225" s="900"/>
      <c r="M1225" s="900"/>
      <c r="N1225" s="900"/>
      <c r="O1225" s="900"/>
      <c r="P1225" s="901"/>
      <c r="Q1225" s="900"/>
      <c r="R1225" s="900"/>
      <c r="S1225" s="900"/>
      <c r="T1225" s="900"/>
      <c r="U1225" s="901"/>
      <c r="V1225" s="900"/>
      <c r="W1225" s="900"/>
      <c r="X1225" s="900"/>
      <c r="Y1225" s="902"/>
      <c r="Z1225" s="901"/>
      <c r="AA1225" s="903"/>
      <c r="AB1225" s="901"/>
      <c r="AC1225" s="903"/>
      <c r="AD1225" s="903"/>
      <c r="AE1225" s="903"/>
      <c r="AF1225" s="903"/>
      <c r="AG1225" s="903"/>
      <c r="AK1225" s="407"/>
    </row>
    <row r="1226" spans="2:42">
      <c r="B1226" s="904" t="s">
        <v>69</v>
      </c>
      <c r="C1226" s="900">
        <v>17</v>
      </c>
      <c r="D1226" s="900"/>
      <c r="E1226" s="901"/>
      <c r="F1226" s="901"/>
      <c r="G1226" s="900"/>
      <c r="H1226" s="901"/>
      <c r="I1226" s="901"/>
      <c r="J1226" s="901"/>
      <c r="K1226" s="901"/>
      <c r="L1226" s="900"/>
      <c r="M1226" s="900"/>
      <c r="N1226" s="900"/>
      <c r="O1226" s="900"/>
      <c r="P1226" s="901"/>
      <c r="Q1226" s="900"/>
      <c r="R1226" s="900"/>
      <c r="S1226" s="900"/>
      <c r="T1226" s="900"/>
      <c r="U1226" s="901"/>
      <c r="V1226" s="900"/>
      <c r="W1226" s="900"/>
      <c r="X1226" s="900"/>
      <c r="Y1226" s="902"/>
      <c r="Z1226" s="901"/>
      <c r="AA1226" s="903"/>
      <c r="AB1226" s="901"/>
      <c r="AC1226" s="903"/>
      <c r="AD1226" s="903"/>
      <c r="AE1226" s="903"/>
      <c r="AF1226" s="903"/>
      <c r="AG1226" s="903"/>
    </row>
    <row r="1229" spans="2:42" ht="25.5">
      <c r="B1229" s="1571"/>
      <c r="C1229" s="1570">
        <v>45964</v>
      </c>
      <c r="D1229" s="1570"/>
      <c r="E1229" s="1570" t="s">
        <v>564</v>
      </c>
      <c r="F1229" s="1570"/>
      <c r="G1229" s="894"/>
      <c r="H1229" s="1570">
        <v>45965</v>
      </c>
      <c r="I1229" s="1570"/>
      <c r="J1229" s="1570" t="s">
        <v>565</v>
      </c>
      <c r="K1229" s="1570"/>
      <c r="L1229" s="894"/>
      <c r="M1229" s="1570">
        <v>45966</v>
      </c>
      <c r="N1229" s="1570"/>
      <c r="O1229" s="1570" t="s">
        <v>566</v>
      </c>
      <c r="P1229" s="1570"/>
      <c r="Q1229" s="894"/>
      <c r="R1229" s="1570">
        <v>45967</v>
      </c>
      <c r="S1229" s="1570"/>
      <c r="T1229" s="1570" t="s">
        <v>567</v>
      </c>
      <c r="U1229" s="1570"/>
      <c r="V1229" s="894"/>
      <c r="W1229" s="1570">
        <v>45968</v>
      </c>
      <c r="X1229" s="1570"/>
      <c r="Y1229" s="1570" t="s">
        <v>568</v>
      </c>
      <c r="Z1229" s="1570"/>
      <c r="AA1229" s="1569" t="s">
        <v>19</v>
      </c>
      <c r="AB1229" s="1569" t="s">
        <v>20</v>
      </c>
      <c r="AC1229" s="4"/>
      <c r="AD1229" s="1570"/>
      <c r="AE1229" s="1570"/>
      <c r="AF1229" s="895" t="s">
        <v>1111</v>
      </c>
      <c r="AG1229" s="1569" t="s">
        <v>21</v>
      </c>
      <c r="AK1229" s="194" t="s">
        <v>84</v>
      </c>
      <c r="AL1229" s="366"/>
      <c r="AM1229" s="366"/>
      <c r="AN1229" s="366"/>
      <c r="AO1229" s="366"/>
      <c r="AP1229" s="366"/>
    </row>
    <row r="1230" spans="2:42">
      <c r="B1230" s="1571"/>
      <c r="C1230" s="896" t="s">
        <v>23</v>
      </c>
      <c r="D1230" s="896" t="s">
        <v>24</v>
      </c>
      <c r="E1230" s="897" t="s">
        <v>25</v>
      </c>
      <c r="F1230" s="898" t="s">
        <v>14</v>
      </c>
      <c r="G1230" s="4"/>
      <c r="H1230" s="896"/>
      <c r="I1230" s="896" t="s">
        <v>24</v>
      </c>
      <c r="J1230" s="898" t="s">
        <v>25</v>
      </c>
      <c r="K1230" s="898" t="s">
        <v>14</v>
      </c>
      <c r="L1230" s="4"/>
      <c r="M1230" s="896" t="s">
        <v>23</v>
      </c>
      <c r="N1230" s="896" t="s">
        <v>24</v>
      </c>
      <c r="O1230" s="898" t="s">
        <v>25</v>
      </c>
      <c r="P1230" s="898" t="s">
        <v>14</v>
      </c>
      <c r="R1230" s="896" t="s">
        <v>23</v>
      </c>
      <c r="S1230" s="896" t="s">
        <v>24</v>
      </c>
      <c r="T1230" s="898" t="s">
        <v>25</v>
      </c>
      <c r="U1230" s="898" t="s">
        <v>14</v>
      </c>
      <c r="W1230" s="896" t="s">
        <v>23</v>
      </c>
      <c r="X1230" s="896" t="s">
        <v>24</v>
      </c>
      <c r="Y1230" s="898" t="s">
        <v>25</v>
      </c>
      <c r="Z1230" s="898" t="s">
        <v>14</v>
      </c>
      <c r="AA1230" s="1569"/>
      <c r="AB1230" s="1569"/>
      <c r="AC1230" s="4"/>
      <c r="AD1230" s="896" t="s">
        <v>23</v>
      </c>
      <c r="AE1230" s="896" t="s">
        <v>24</v>
      </c>
      <c r="AF1230" s="898" t="s">
        <v>25</v>
      </c>
      <c r="AG1230" s="1569"/>
      <c r="AK1230" s="188" t="s">
        <v>26</v>
      </c>
      <c r="AL1230" s="196">
        <f>AA1252</f>
        <v>56.75</v>
      </c>
      <c r="AM1230" s="510">
        <v>40.31</v>
      </c>
      <c r="AN1230" s="510">
        <f t="shared" ref="AN1230:AN1235" si="162">AL1230*AM1230</f>
        <v>2287.5925000000002</v>
      </c>
    </row>
    <row r="1231" spans="2:42">
      <c r="B1231" s="47" t="s">
        <v>515</v>
      </c>
      <c r="C1231" s="47"/>
      <c r="D1231" s="47"/>
      <c r="E1231" s="319">
        <v>0</v>
      </c>
      <c r="F1231" s="320"/>
      <c r="G1231" s="4"/>
      <c r="H1231" s="47"/>
      <c r="I1231" s="47"/>
      <c r="J1231" s="319">
        <v>0</v>
      </c>
      <c r="K1231" s="320"/>
      <c r="L1231" s="4"/>
      <c r="M1231" s="47"/>
      <c r="N1231" s="47"/>
      <c r="O1231" s="319">
        <v>0</v>
      </c>
      <c r="P1231" s="320"/>
      <c r="R1231" s="47"/>
      <c r="S1231" s="47"/>
      <c r="T1231" s="319">
        <v>0</v>
      </c>
      <c r="U1231" s="320"/>
      <c r="W1231" s="47"/>
      <c r="X1231" s="47"/>
      <c r="Y1231" s="319">
        <v>0</v>
      </c>
      <c r="Z1231" s="320"/>
      <c r="AA1231" s="328">
        <f t="shared" ref="AA1231:AA1251" si="163">(E1231+J1231+O1231+T1231+Y1231)</f>
        <v>0</v>
      </c>
      <c r="AB1231" s="400">
        <f t="shared" ref="AB1231:AB1251" si="164">Z1231+U1231+P1231+K1231+F1231</f>
        <v>0</v>
      </c>
      <c r="AC1231" s="4"/>
      <c r="AF1231" s="319"/>
      <c r="AG1231" s="328">
        <f t="shared" ref="AG1231:AG1251" si="165">AF1231</f>
        <v>0</v>
      </c>
      <c r="AK1231" s="188" t="s">
        <v>30</v>
      </c>
      <c r="AL1231" s="196">
        <f>AB1252</f>
        <v>4.5</v>
      </c>
      <c r="AM1231" s="510">
        <v>60.465000000000003</v>
      </c>
      <c r="AN1231" s="510">
        <f t="shared" si="162"/>
        <v>272.09250000000003</v>
      </c>
    </row>
    <row r="1232" spans="2:42">
      <c r="B1232" s="47" t="s">
        <v>1112</v>
      </c>
      <c r="C1232" s="47"/>
      <c r="D1232" s="47"/>
      <c r="E1232" s="319">
        <v>0</v>
      </c>
      <c r="F1232" s="320"/>
      <c r="G1232" s="4"/>
      <c r="H1232" s="47"/>
      <c r="I1232" s="47"/>
      <c r="J1232" s="319">
        <v>0</v>
      </c>
      <c r="K1232" s="320"/>
      <c r="L1232" s="4"/>
      <c r="M1232" s="47"/>
      <c r="N1232" s="47"/>
      <c r="O1232" s="319">
        <v>0</v>
      </c>
      <c r="P1232" s="320"/>
      <c r="R1232" s="47"/>
      <c r="S1232" s="47"/>
      <c r="T1232" s="319">
        <v>0</v>
      </c>
      <c r="U1232" s="320"/>
      <c r="W1232" s="47"/>
      <c r="X1232" s="47"/>
      <c r="Y1232" s="319">
        <v>0</v>
      </c>
      <c r="Z1232" s="320"/>
      <c r="AA1232" s="328">
        <f t="shared" si="163"/>
        <v>0</v>
      </c>
      <c r="AB1232" s="400">
        <f t="shared" si="164"/>
        <v>0</v>
      </c>
      <c r="AC1232" s="4"/>
      <c r="AD1232" s="47"/>
      <c r="AE1232" s="47"/>
      <c r="AF1232" s="319"/>
      <c r="AG1232" s="328">
        <f t="shared" si="165"/>
        <v>0</v>
      </c>
      <c r="AK1232" s="188" t="s">
        <v>32</v>
      </c>
      <c r="AL1232" s="196">
        <f>AG1252</f>
        <v>0</v>
      </c>
      <c r="AM1232" s="510">
        <v>60.465000000000003</v>
      </c>
      <c r="AN1232" s="510">
        <f t="shared" si="162"/>
        <v>0</v>
      </c>
    </row>
    <row r="1233" spans="2:40">
      <c r="B1233" s="47" t="s">
        <v>234</v>
      </c>
      <c r="C1233" s="47"/>
      <c r="D1233" s="47"/>
      <c r="E1233" s="319">
        <v>0</v>
      </c>
      <c r="F1233" s="320"/>
      <c r="G1233" s="4"/>
      <c r="H1233" s="47"/>
      <c r="I1233" s="47"/>
      <c r="J1233" s="319">
        <v>0</v>
      </c>
      <c r="K1233" s="320"/>
      <c r="L1233" s="4"/>
      <c r="M1233" s="47"/>
      <c r="N1233" s="47"/>
      <c r="O1233" s="319">
        <v>0</v>
      </c>
      <c r="P1233" s="320"/>
      <c r="R1233" s="47"/>
      <c r="S1233" s="47"/>
      <c r="T1233" s="319">
        <v>0</v>
      </c>
      <c r="U1233" s="320"/>
      <c r="W1233" s="47"/>
      <c r="X1233" s="47"/>
      <c r="Y1233" s="319">
        <v>0</v>
      </c>
      <c r="Z1233" s="320"/>
      <c r="AA1233" s="328">
        <f t="shared" si="163"/>
        <v>0</v>
      </c>
      <c r="AB1233" s="400">
        <f t="shared" si="164"/>
        <v>0</v>
      </c>
      <c r="AC1233" s="4"/>
      <c r="AD1233" s="47"/>
      <c r="AE1233" s="47"/>
      <c r="AF1233" s="319"/>
      <c r="AG1233" s="328">
        <f t="shared" si="165"/>
        <v>0</v>
      </c>
      <c r="AK1233" s="188" t="s">
        <v>213</v>
      </c>
      <c r="AL1233" s="196">
        <f>AA1255</f>
        <v>20</v>
      </c>
      <c r="AM1233" s="510">
        <v>53.05</v>
      </c>
      <c r="AN1233" s="510">
        <f t="shared" si="162"/>
        <v>1061</v>
      </c>
    </row>
    <row r="1234" spans="2:40">
      <c r="B1234" s="47" t="s">
        <v>637</v>
      </c>
      <c r="C1234" s="47"/>
      <c r="D1234" s="47"/>
      <c r="E1234" s="319">
        <v>0</v>
      </c>
      <c r="F1234" s="320"/>
      <c r="G1234" s="4"/>
      <c r="H1234" s="47"/>
      <c r="I1234" s="47"/>
      <c r="J1234" s="319">
        <v>0</v>
      </c>
      <c r="K1234" s="320"/>
      <c r="L1234" s="4"/>
      <c r="M1234" s="47"/>
      <c r="N1234" s="47"/>
      <c r="O1234" s="319">
        <v>0</v>
      </c>
      <c r="P1234" s="320"/>
      <c r="R1234" s="47"/>
      <c r="S1234" s="47"/>
      <c r="T1234" s="319">
        <v>0</v>
      </c>
      <c r="U1234" s="320"/>
      <c r="W1234" s="47"/>
      <c r="X1234" s="47"/>
      <c r="Y1234" s="319">
        <v>0</v>
      </c>
      <c r="Z1234" s="320"/>
      <c r="AA1234" s="328">
        <f t="shared" si="163"/>
        <v>0</v>
      </c>
      <c r="AB1234" s="400">
        <f t="shared" si="164"/>
        <v>0</v>
      </c>
      <c r="AC1234" s="4"/>
      <c r="AD1234" s="47"/>
      <c r="AE1234" s="47"/>
      <c r="AF1234" s="319"/>
      <c r="AG1234" s="328">
        <f t="shared" si="165"/>
        <v>0</v>
      </c>
      <c r="AK1234" s="188" t="s">
        <v>36</v>
      </c>
      <c r="AL1234" s="196">
        <f>AB1255</f>
        <v>0</v>
      </c>
      <c r="AM1234" s="510">
        <v>79.574999999999989</v>
      </c>
      <c r="AN1234" s="510">
        <f t="shared" si="162"/>
        <v>0</v>
      </c>
    </row>
    <row r="1235" spans="2:40">
      <c r="B1235" s="374" t="s">
        <v>998</v>
      </c>
      <c r="C1235" s="47"/>
      <c r="D1235" s="47"/>
      <c r="E1235" s="319">
        <v>0</v>
      </c>
      <c r="F1235" s="320"/>
      <c r="G1235" s="4"/>
      <c r="H1235" s="47"/>
      <c r="I1235" s="47"/>
      <c r="J1235" s="319">
        <v>0</v>
      </c>
      <c r="K1235" s="320"/>
      <c r="L1235" s="4"/>
      <c r="M1235" s="47"/>
      <c r="N1235" s="47"/>
      <c r="O1235" s="319">
        <v>0</v>
      </c>
      <c r="P1235" s="320"/>
      <c r="R1235" s="47"/>
      <c r="S1235" s="47"/>
      <c r="T1235" s="319">
        <v>0</v>
      </c>
      <c r="U1235" s="320"/>
      <c r="W1235" s="47"/>
      <c r="X1235" s="47"/>
      <c r="Y1235" s="319">
        <v>0</v>
      </c>
      <c r="Z1235" s="320"/>
      <c r="AA1235" s="328">
        <f t="shared" si="163"/>
        <v>0</v>
      </c>
      <c r="AB1235" s="400">
        <f t="shared" si="164"/>
        <v>0</v>
      </c>
      <c r="AC1235" s="4"/>
      <c r="AD1235" s="47"/>
      <c r="AE1235" s="47"/>
      <c r="AF1235" s="319"/>
      <c r="AG1235" s="328">
        <f t="shared" si="165"/>
        <v>0</v>
      </c>
      <c r="AK1235" s="188" t="s">
        <v>38</v>
      </c>
      <c r="AL1235" s="196">
        <f>AG1255</f>
        <v>0</v>
      </c>
      <c r="AM1235" s="510">
        <v>79.574999999999989</v>
      </c>
      <c r="AN1235" s="510">
        <f t="shared" si="162"/>
        <v>0</v>
      </c>
    </row>
    <row r="1236" spans="2:40">
      <c r="B1236" s="47" t="s">
        <v>53</v>
      </c>
      <c r="C1236" s="47"/>
      <c r="D1236" s="47"/>
      <c r="E1236" s="319">
        <v>0</v>
      </c>
      <c r="F1236" s="320"/>
      <c r="G1236" s="4"/>
      <c r="H1236" s="47"/>
      <c r="I1236" s="47"/>
      <c r="J1236" s="319">
        <v>0</v>
      </c>
      <c r="K1236" s="320"/>
      <c r="L1236" s="4"/>
      <c r="M1236" s="47"/>
      <c r="N1236" s="47"/>
      <c r="O1236" s="319">
        <v>0</v>
      </c>
      <c r="P1236" s="320"/>
      <c r="R1236" s="47"/>
      <c r="S1236" s="47"/>
      <c r="T1236" s="319">
        <v>0</v>
      </c>
      <c r="U1236" s="320"/>
      <c r="W1236" s="47"/>
      <c r="X1236" s="47"/>
      <c r="Y1236" s="319">
        <v>0</v>
      </c>
      <c r="Z1236" s="320"/>
      <c r="AA1236" s="328">
        <f t="shared" si="163"/>
        <v>0</v>
      </c>
      <c r="AB1236" s="400">
        <f t="shared" si="164"/>
        <v>0</v>
      </c>
      <c r="AC1236" s="4"/>
      <c r="AD1236" s="47"/>
      <c r="AE1236" s="47"/>
      <c r="AF1236" s="319"/>
      <c r="AG1236" s="328">
        <f t="shared" si="165"/>
        <v>0</v>
      </c>
      <c r="AN1236" s="510">
        <f>SUM(AN1230:AN1235)</f>
        <v>3620.6850000000004</v>
      </c>
    </row>
    <row r="1237" spans="2:40">
      <c r="B1237" s="47" t="s">
        <v>241</v>
      </c>
      <c r="C1237" s="47"/>
      <c r="D1237" s="47"/>
      <c r="E1237" s="319">
        <v>0</v>
      </c>
      <c r="F1237" s="320"/>
      <c r="G1237" s="4"/>
      <c r="H1237" s="47">
        <v>0.375</v>
      </c>
      <c r="I1237" s="47">
        <v>0.16666666666666666</v>
      </c>
      <c r="J1237" s="319">
        <v>7</v>
      </c>
      <c r="K1237" s="320"/>
      <c r="L1237" s="4"/>
      <c r="M1237" s="47">
        <v>0.39583333333333331</v>
      </c>
      <c r="N1237" s="47">
        <v>0.16666666666666666</v>
      </c>
      <c r="O1237" s="319">
        <v>6.5</v>
      </c>
      <c r="P1237" s="320"/>
      <c r="R1237" s="47">
        <v>0.19444444444444445</v>
      </c>
      <c r="S1237" s="47">
        <v>0.2361111111111111</v>
      </c>
      <c r="T1237" s="319">
        <v>8</v>
      </c>
      <c r="U1237" s="320">
        <v>4</v>
      </c>
      <c r="W1237" s="47">
        <v>0.33333333333333331</v>
      </c>
      <c r="X1237" s="47">
        <v>0.5</v>
      </c>
      <c r="Y1237" s="319">
        <v>4</v>
      </c>
      <c r="Z1237" s="320"/>
      <c r="AA1237" s="328">
        <f t="shared" si="163"/>
        <v>25.5</v>
      </c>
      <c r="AB1237" s="400">
        <f t="shared" si="164"/>
        <v>4</v>
      </c>
      <c r="AC1237" s="4"/>
      <c r="AD1237" s="47"/>
      <c r="AE1237" s="47"/>
      <c r="AF1237" s="319"/>
      <c r="AG1237" s="328">
        <f t="shared" si="165"/>
        <v>0</v>
      </c>
    </row>
    <row r="1238" spans="2:40">
      <c r="B1238" s="47" t="s">
        <v>1140</v>
      </c>
      <c r="C1238" s="47"/>
      <c r="D1238" s="441"/>
      <c r="E1238" s="319">
        <v>0</v>
      </c>
      <c r="F1238" s="320"/>
      <c r="G1238" s="4"/>
      <c r="H1238" s="47"/>
      <c r="I1238" s="47"/>
      <c r="J1238" s="319">
        <v>0</v>
      </c>
      <c r="K1238" s="320"/>
      <c r="L1238" s="4"/>
      <c r="M1238" s="47"/>
      <c r="N1238" s="47"/>
      <c r="O1238" s="319">
        <v>0</v>
      </c>
      <c r="P1238" s="320"/>
      <c r="R1238" s="47"/>
      <c r="S1238" s="47"/>
      <c r="T1238" s="319">
        <v>0</v>
      </c>
      <c r="U1238" s="320"/>
      <c r="W1238" s="47"/>
      <c r="X1238" s="47"/>
      <c r="Y1238" s="319">
        <v>0</v>
      </c>
      <c r="Z1238" s="320"/>
      <c r="AA1238" s="328">
        <f t="shared" si="163"/>
        <v>0</v>
      </c>
      <c r="AB1238" s="400">
        <f t="shared" si="164"/>
        <v>0</v>
      </c>
      <c r="AC1238" s="4"/>
      <c r="AD1238" s="47"/>
      <c r="AE1238" s="47"/>
      <c r="AF1238" s="319"/>
      <c r="AG1238" s="328">
        <f t="shared" si="165"/>
        <v>0</v>
      </c>
      <c r="AK1238" s="192" t="s">
        <v>1115</v>
      </c>
      <c r="AL1238" s="189">
        <f>C1256</f>
        <v>6</v>
      </c>
      <c r="AM1238" s="510">
        <v>45</v>
      </c>
      <c r="AN1238" s="510">
        <f>AM1238*AL1238</f>
        <v>270</v>
      </c>
    </row>
    <row r="1239" spans="2:40">
      <c r="B1239" s="47" t="s">
        <v>1113</v>
      </c>
      <c r="C1239" s="47"/>
      <c r="D1239" s="47"/>
      <c r="E1239" s="319">
        <v>0</v>
      </c>
      <c r="F1239" s="320"/>
      <c r="G1239" s="4"/>
      <c r="H1239" s="47"/>
      <c r="I1239" s="47"/>
      <c r="J1239" s="319">
        <v>0</v>
      </c>
      <c r="K1239" s="320"/>
      <c r="L1239" s="4"/>
      <c r="M1239" s="47">
        <v>0.33333333333333331</v>
      </c>
      <c r="N1239" s="47">
        <v>0.22916666666666666</v>
      </c>
      <c r="O1239" s="319">
        <v>8</v>
      </c>
      <c r="P1239" s="320">
        <v>0.5</v>
      </c>
      <c r="R1239" s="47"/>
      <c r="S1239" s="47"/>
      <c r="T1239" s="319">
        <v>0</v>
      </c>
      <c r="U1239" s="320"/>
      <c r="W1239" s="47"/>
      <c r="X1239" s="47"/>
      <c r="Y1239" s="319">
        <v>0</v>
      </c>
      <c r="Z1239" s="320"/>
      <c r="AA1239" s="328">
        <f t="shared" si="163"/>
        <v>8</v>
      </c>
      <c r="AB1239" s="400">
        <f t="shared" si="164"/>
        <v>0.5</v>
      </c>
      <c r="AC1239" s="4"/>
      <c r="AD1239" s="47"/>
      <c r="AE1239" s="47"/>
      <c r="AF1239" s="319"/>
      <c r="AG1239" s="328">
        <f t="shared" si="165"/>
        <v>0</v>
      </c>
    </row>
    <row r="1240" spans="2:40">
      <c r="B1240" s="502" t="s">
        <v>483</v>
      </c>
      <c r="C1240" s="47"/>
      <c r="D1240" s="47"/>
      <c r="E1240" s="319">
        <v>0</v>
      </c>
      <c r="F1240" s="320"/>
      <c r="G1240" s="4"/>
      <c r="H1240" s="47"/>
      <c r="I1240" s="47"/>
      <c r="J1240" s="319">
        <v>0</v>
      </c>
      <c r="K1240" s="320"/>
      <c r="L1240" s="4"/>
      <c r="M1240" s="47"/>
      <c r="N1240" s="47"/>
      <c r="O1240" s="319">
        <v>0</v>
      </c>
      <c r="P1240" s="320"/>
      <c r="R1240" s="47"/>
      <c r="S1240" s="47"/>
      <c r="T1240" s="319">
        <v>0</v>
      </c>
      <c r="U1240" s="320"/>
      <c r="W1240" s="47"/>
      <c r="X1240" s="47"/>
      <c r="Y1240" s="319">
        <v>0</v>
      </c>
      <c r="Z1240" s="320"/>
      <c r="AA1240" s="328">
        <f t="shared" si="163"/>
        <v>0</v>
      </c>
      <c r="AB1240" s="400">
        <f t="shared" si="164"/>
        <v>0</v>
      </c>
      <c r="AC1240" s="4"/>
      <c r="AD1240" s="47"/>
      <c r="AE1240" s="47"/>
      <c r="AF1240" s="319"/>
      <c r="AG1240" s="328">
        <f t="shared" si="165"/>
        <v>0</v>
      </c>
    </row>
    <row r="1241" spans="2:40">
      <c r="B1241" s="502" t="s">
        <v>483</v>
      </c>
      <c r="C1241" s="47"/>
      <c r="D1241" s="47"/>
      <c r="E1241" s="319">
        <v>0</v>
      </c>
      <c r="F1241" s="320"/>
      <c r="G1241" s="4"/>
      <c r="H1241" s="47"/>
      <c r="I1241" s="47"/>
      <c r="J1241" s="319">
        <v>0</v>
      </c>
      <c r="K1241" s="320"/>
      <c r="L1241" s="4"/>
      <c r="M1241" s="47"/>
      <c r="N1241" s="47"/>
      <c r="O1241" s="319">
        <v>0</v>
      </c>
      <c r="P1241" s="320"/>
      <c r="R1241" s="47"/>
      <c r="S1241" s="47"/>
      <c r="T1241" s="319">
        <v>0</v>
      </c>
      <c r="U1241" s="320"/>
      <c r="W1241" s="47"/>
      <c r="X1241" s="47"/>
      <c r="Y1241" s="319">
        <v>0</v>
      </c>
      <c r="Z1241" s="320"/>
      <c r="AA1241" s="328">
        <f t="shared" si="163"/>
        <v>0</v>
      </c>
      <c r="AB1241" s="400">
        <f t="shared" si="164"/>
        <v>0</v>
      </c>
      <c r="AC1241" s="4"/>
      <c r="AD1241" s="47"/>
      <c r="AE1241" s="47"/>
      <c r="AF1241" s="319"/>
      <c r="AG1241" s="328">
        <f t="shared" si="165"/>
        <v>0</v>
      </c>
    </row>
    <row r="1242" spans="2:40">
      <c r="B1242" s="502" t="s">
        <v>484</v>
      </c>
      <c r="C1242" s="47"/>
      <c r="D1242" s="47"/>
      <c r="E1242" s="319">
        <v>0</v>
      </c>
      <c r="F1242" s="320"/>
      <c r="G1242" s="4"/>
      <c r="H1242" s="47"/>
      <c r="I1242" s="47"/>
      <c r="J1242" s="319">
        <v>0</v>
      </c>
      <c r="K1242" s="320"/>
      <c r="L1242" s="4"/>
      <c r="M1242" s="47"/>
      <c r="N1242" s="47"/>
      <c r="O1242" s="319">
        <v>0</v>
      </c>
      <c r="P1242" s="320"/>
      <c r="R1242" s="47"/>
      <c r="S1242" s="47"/>
      <c r="T1242" s="319">
        <v>0</v>
      </c>
      <c r="U1242" s="320"/>
      <c r="W1242" s="47"/>
      <c r="X1242" s="47"/>
      <c r="Y1242" s="319">
        <v>0</v>
      </c>
      <c r="Z1242" s="320"/>
      <c r="AA1242" s="328">
        <f t="shared" si="163"/>
        <v>0</v>
      </c>
      <c r="AB1242" s="400">
        <f t="shared" si="164"/>
        <v>0</v>
      </c>
      <c r="AC1242" s="4"/>
      <c r="AD1242" s="47"/>
      <c r="AE1242" s="47"/>
      <c r="AF1242" s="319"/>
      <c r="AG1242" s="328">
        <f t="shared" si="165"/>
        <v>0</v>
      </c>
    </row>
    <row r="1243" spans="2:40">
      <c r="B1243" s="502" t="s">
        <v>485</v>
      </c>
      <c r="C1243" s="47"/>
      <c r="D1243" s="47"/>
      <c r="E1243" s="319">
        <v>0</v>
      </c>
      <c r="F1243" s="320"/>
      <c r="G1243" s="4"/>
      <c r="H1243" s="47"/>
      <c r="I1243" s="47"/>
      <c r="J1243" s="319">
        <v>0</v>
      </c>
      <c r="K1243" s="320"/>
      <c r="L1243" s="4"/>
      <c r="M1243" s="47"/>
      <c r="N1243" s="47"/>
      <c r="O1243" s="319">
        <v>6</v>
      </c>
      <c r="P1243" s="320"/>
      <c r="R1243" s="47"/>
      <c r="S1243" s="47"/>
      <c r="T1243" s="319">
        <v>0</v>
      </c>
      <c r="U1243" s="320"/>
      <c r="W1243" s="47"/>
      <c r="X1243" s="47"/>
      <c r="Y1243" s="319">
        <v>0</v>
      </c>
      <c r="Z1243" s="320"/>
      <c r="AA1243" s="328">
        <f t="shared" si="163"/>
        <v>6</v>
      </c>
      <c r="AB1243" s="400">
        <f t="shared" si="164"/>
        <v>0</v>
      </c>
      <c r="AC1243" s="4"/>
      <c r="AD1243" s="47"/>
      <c r="AE1243" s="47"/>
      <c r="AF1243" s="319"/>
      <c r="AG1243" s="328">
        <f t="shared" si="165"/>
        <v>0</v>
      </c>
    </row>
    <row r="1244" spans="2:40">
      <c r="B1244" s="502" t="s">
        <v>1129</v>
      </c>
      <c r="C1244" s="47"/>
      <c r="D1244" s="47"/>
      <c r="E1244" s="319">
        <v>0</v>
      </c>
      <c r="F1244" s="320"/>
      <c r="G1244" s="4"/>
      <c r="H1244" s="47"/>
      <c r="I1244" s="47"/>
      <c r="J1244" s="319">
        <v>0</v>
      </c>
      <c r="K1244" s="320"/>
      <c r="L1244" s="4"/>
      <c r="M1244" s="47"/>
      <c r="N1244" s="47"/>
      <c r="O1244" s="319">
        <v>0</v>
      </c>
      <c r="P1244" s="320"/>
      <c r="R1244" s="47"/>
      <c r="S1244" s="47"/>
      <c r="T1244" s="319">
        <v>0</v>
      </c>
      <c r="U1244" s="320"/>
      <c r="W1244" s="47"/>
      <c r="X1244" s="47"/>
      <c r="Y1244" s="319">
        <v>0</v>
      </c>
      <c r="Z1244" s="320"/>
      <c r="AA1244" s="328">
        <f t="shared" si="163"/>
        <v>0</v>
      </c>
      <c r="AB1244" s="400">
        <f t="shared" si="164"/>
        <v>0</v>
      </c>
      <c r="AC1244" s="4"/>
      <c r="AD1244" s="47"/>
      <c r="AE1244" s="47"/>
      <c r="AF1244" s="319"/>
      <c r="AG1244" s="328">
        <f t="shared" si="165"/>
        <v>0</v>
      </c>
    </row>
    <row r="1245" spans="2:40">
      <c r="B1245" s="267" t="s">
        <v>358</v>
      </c>
      <c r="C1245" s="47"/>
      <c r="D1245" s="47"/>
      <c r="E1245" s="319">
        <v>0</v>
      </c>
      <c r="F1245" s="320"/>
      <c r="G1245" s="4"/>
      <c r="H1245" s="47"/>
      <c r="I1245" s="47"/>
      <c r="J1245" s="319">
        <v>1</v>
      </c>
      <c r="K1245" s="320"/>
      <c r="L1245" s="438"/>
      <c r="M1245" s="47"/>
      <c r="N1245" s="47"/>
      <c r="O1245" s="319">
        <v>1</v>
      </c>
      <c r="P1245" s="320"/>
      <c r="Q1245" s="438"/>
      <c r="R1245" s="47"/>
      <c r="S1245" s="47"/>
      <c r="T1245" s="319">
        <v>1</v>
      </c>
      <c r="U1245" s="320"/>
      <c r="V1245" s="438"/>
      <c r="W1245" s="47"/>
      <c r="X1245" s="47"/>
      <c r="Y1245" s="319">
        <v>0</v>
      </c>
      <c r="Z1245" s="320"/>
      <c r="AA1245" s="328">
        <f t="shared" si="163"/>
        <v>3</v>
      </c>
      <c r="AB1245" s="400">
        <f t="shared" si="164"/>
        <v>0</v>
      </c>
      <c r="AC1245" s="4"/>
      <c r="AD1245" s="47"/>
      <c r="AE1245" s="47"/>
      <c r="AF1245" s="319"/>
      <c r="AG1245" s="328">
        <f t="shared" si="165"/>
        <v>0</v>
      </c>
    </row>
    <row r="1246" spans="2:40">
      <c r="B1246" s="267" t="s">
        <v>991</v>
      </c>
      <c r="C1246" s="47"/>
      <c r="D1246" s="47"/>
      <c r="E1246" s="319">
        <v>0</v>
      </c>
      <c r="F1246" s="320"/>
      <c r="G1246" s="4"/>
      <c r="H1246" s="47"/>
      <c r="I1246" s="47"/>
      <c r="J1246" s="319">
        <v>0</v>
      </c>
      <c r="K1246" s="320"/>
      <c r="L1246" s="438"/>
      <c r="M1246" s="47"/>
      <c r="N1246" s="47"/>
      <c r="O1246" s="319">
        <v>0</v>
      </c>
      <c r="P1246" s="320"/>
      <c r="Q1246" s="438"/>
      <c r="R1246" s="47"/>
      <c r="S1246" s="47"/>
      <c r="T1246" s="319">
        <v>0</v>
      </c>
      <c r="U1246" s="320"/>
      <c r="V1246" s="438"/>
      <c r="W1246" s="47"/>
      <c r="X1246" s="47"/>
      <c r="Y1246" s="319">
        <v>0</v>
      </c>
      <c r="Z1246" s="320"/>
      <c r="AA1246" s="328">
        <f t="shared" si="163"/>
        <v>0</v>
      </c>
      <c r="AB1246" s="400">
        <f t="shared" si="164"/>
        <v>0</v>
      </c>
      <c r="AC1246" s="4"/>
      <c r="AD1246" s="47"/>
      <c r="AE1246" s="47"/>
      <c r="AF1246" s="319"/>
      <c r="AG1246" s="328">
        <f t="shared" si="165"/>
        <v>0</v>
      </c>
    </row>
    <row r="1247" spans="2:40">
      <c r="B1247" s="267" t="s">
        <v>411</v>
      </c>
      <c r="C1247" s="47"/>
      <c r="D1247" s="47"/>
      <c r="E1247" s="319">
        <v>0</v>
      </c>
      <c r="F1247" s="320"/>
      <c r="G1247" s="4"/>
      <c r="H1247" s="47"/>
      <c r="I1247" s="47"/>
      <c r="J1247" s="319">
        <v>0</v>
      </c>
      <c r="K1247" s="320"/>
      <c r="L1247" s="438"/>
      <c r="M1247" s="47"/>
      <c r="N1247" s="47"/>
      <c r="O1247" s="319">
        <v>0</v>
      </c>
      <c r="P1247" s="320"/>
      <c r="Q1247" s="438"/>
      <c r="R1247" s="47"/>
      <c r="S1247" s="47"/>
      <c r="T1247" s="319">
        <v>0</v>
      </c>
      <c r="U1247" s="320"/>
      <c r="V1247" s="438"/>
      <c r="W1247" s="47"/>
      <c r="X1247" s="47"/>
      <c r="Y1247" s="319">
        <v>0</v>
      </c>
      <c r="Z1247" s="320"/>
      <c r="AA1247" s="328">
        <f t="shared" si="163"/>
        <v>0</v>
      </c>
      <c r="AB1247" s="400">
        <f t="shared" si="164"/>
        <v>0</v>
      </c>
      <c r="AC1247" s="4"/>
      <c r="AD1247" s="47"/>
      <c r="AE1247" s="47"/>
      <c r="AF1247" s="319"/>
      <c r="AG1247" s="328">
        <f t="shared" si="165"/>
        <v>0</v>
      </c>
    </row>
    <row r="1248" spans="2:40">
      <c r="B1248" s="267" t="s">
        <v>361</v>
      </c>
      <c r="C1248" s="47"/>
      <c r="D1248" s="47"/>
      <c r="E1248" s="319">
        <v>0</v>
      </c>
      <c r="F1248" s="320"/>
      <c r="G1248" s="4"/>
      <c r="H1248" s="47"/>
      <c r="I1248" s="47"/>
      <c r="J1248" s="319">
        <v>0</v>
      </c>
      <c r="K1248" s="320"/>
      <c r="L1248" s="438"/>
      <c r="M1248" s="47"/>
      <c r="N1248" s="47"/>
      <c r="O1248" s="319">
        <v>0</v>
      </c>
      <c r="P1248" s="320"/>
      <c r="Q1248" s="438"/>
      <c r="R1248" s="47"/>
      <c r="S1248" s="47"/>
      <c r="T1248" s="319">
        <v>0</v>
      </c>
      <c r="U1248" s="320"/>
      <c r="V1248" s="438"/>
      <c r="W1248" s="47"/>
      <c r="X1248" s="47"/>
      <c r="Y1248" s="319">
        <v>0</v>
      </c>
      <c r="Z1248" s="320"/>
      <c r="AA1248" s="328">
        <f t="shared" si="163"/>
        <v>0</v>
      </c>
      <c r="AB1248" s="400">
        <f t="shared" si="164"/>
        <v>0</v>
      </c>
      <c r="AC1248" s="4"/>
      <c r="AD1248" s="47"/>
      <c r="AE1248" s="47"/>
      <c r="AF1248" s="319"/>
      <c r="AG1248" s="328">
        <f t="shared" si="165"/>
        <v>0</v>
      </c>
    </row>
    <row r="1249" spans="2:42">
      <c r="B1249" s="267" t="s">
        <v>362</v>
      </c>
      <c r="C1249" s="47"/>
      <c r="D1249" s="5"/>
      <c r="E1249" s="319">
        <v>0</v>
      </c>
      <c r="F1249" s="320"/>
      <c r="G1249" s="4"/>
      <c r="H1249" s="47"/>
      <c r="I1249" s="5"/>
      <c r="J1249" s="319">
        <v>0</v>
      </c>
      <c r="K1249" s="320"/>
      <c r="L1249" s="438"/>
      <c r="M1249" s="47"/>
      <c r="N1249" s="5"/>
      <c r="O1249" s="319">
        <v>0</v>
      </c>
      <c r="P1249" s="320"/>
      <c r="Q1249" s="438"/>
      <c r="R1249" s="47"/>
      <c r="S1249" s="5"/>
      <c r="T1249" s="319">
        <v>0</v>
      </c>
      <c r="U1249" s="320"/>
      <c r="V1249" s="438"/>
      <c r="W1249" s="47"/>
      <c r="X1249" s="5"/>
      <c r="Y1249" s="319">
        <v>0</v>
      </c>
      <c r="Z1249" s="320"/>
      <c r="AA1249" s="328">
        <f t="shared" si="163"/>
        <v>0</v>
      </c>
      <c r="AB1249" s="400">
        <f t="shared" si="164"/>
        <v>0</v>
      </c>
      <c r="AC1249" s="4"/>
      <c r="AD1249" s="47"/>
      <c r="AE1249" s="47"/>
      <c r="AF1249" s="319"/>
      <c r="AG1249" s="328">
        <f t="shared" si="165"/>
        <v>0</v>
      </c>
    </row>
    <row r="1250" spans="2:42">
      <c r="B1250" s="437" t="s">
        <v>355</v>
      </c>
      <c r="C1250" s="47"/>
      <c r="D1250" s="47"/>
      <c r="E1250" s="319">
        <v>0</v>
      </c>
      <c r="F1250" s="320"/>
      <c r="G1250" s="4"/>
      <c r="H1250" s="47"/>
      <c r="I1250" s="47"/>
      <c r="J1250" s="319">
        <v>0</v>
      </c>
      <c r="K1250" s="320"/>
      <c r="L1250" s="438"/>
      <c r="M1250" s="47"/>
      <c r="N1250" s="47"/>
      <c r="O1250" s="319">
        <v>2.25</v>
      </c>
      <c r="P1250" s="320"/>
      <c r="Q1250" s="438"/>
      <c r="R1250" s="47"/>
      <c r="S1250" s="47"/>
      <c r="T1250" s="319">
        <v>0</v>
      </c>
      <c r="U1250" s="320"/>
      <c r="V1250" s="438"/>
      <c r="W1250" s="47"/>
      <c r="X1250" s="47"/>
      <c r="Y1250" s="319">
        <v>0</v>
      </c>
      <c r="Z1250" s="320"/>
      <c r="AA1250" s="328">
        <f t="shared" si="163"/>
        <v>2.25</v>
      </c>
      <c r="AB1250" s="400">
        <f t="shared" si="164"/>
        <v>0</v>
      </c>
      <c r="AC1250" s="4"/>
      <c r="AD1250" s="47"/>
      <c r="AE1250" s="47"/>
      <c r="AF1250" s="319"/>
      <c r="AG1250" s="328">
        <f t="shared" si="165"/>
        <v>0</v>
      </c>
    </row>
    <row r="1251" spans="2:42">
      <c r="B1251" s="437" t="s">
        <v>356</v>
      </c>
      <c r="C1251" s="713"/>
      <c r="D1251" s="713"/>
      <c r="E1251" s="319">
        <v>0</v>
      </c>
      <c r="F1251" s="320"/>
      <c r="G1251" s="438"/>
      <c r="H1251" s="5"/>
      <c r="I1251" s="5"/>
      <c r="J1251" s="319">
        <v>0</v>
      </c>
      <c r="K1251" s="320"/>
      <c r="L1251" s="438"/>
      <c r="M1251" s="5"/>
      <c r="N1251" s="5"/>
      <c r="O1251" s="319">
        <v>12</v>
      </c>
      <c r="P1251" s="320"/>
      <c r="Q1251" s="438"/>
      <c r="R1251" s="5"/>
      <c r="S1251" s="5"/>
      <c r="T1251" s="319">
        <v>0</v>
      </c>
      <c r="U1251" s="320"/>
      <c r="V1251" s="438"/>
      <c r="W1251" s="5"/>
      <c r="X1251" s="5"/>
      <c r="Y1251" s="319">
        <v>0</v>
      </c>
      <c r="Z1251" s="320"/>
      <c r="AA1251" s="328">
        <f t="shared" si="163"/>
        <v>12</v>
      </c>
      <c r="AB1251" s="400">
        <f t="shared" si="164"/>
        <v>0</v>
      </c>
      <c r="AC1251" s="4"/>
      <c r="AD1251" s="47"/>
      <c r="AE1251" s="47"/>
      <c r="AF1251" s="319"/>
      <c r="AG1251" s="328">
        <f t="shared" si="165"/>
        <v>0</v>
      </c>
    </row>
    <row r="1252" spans="2:42">
      <c r="B1252" s="31" t="s">
        <v>61</v>
      </c>
      <c r="C1252" s="31"/>
      <c r="D1252" s="31"/>
      <c r="E1252" s="439">
        <f>SUM(E1231:E1251)</f>
        <v>0</v>
      </c>
      <c r="F1252" s="320"/>
      <c r="G1252" s="31"/>
      <c r="H1252" s="31"/>
      <c r="I1252" s="31"/>
      <c r="J1252" s="439">
        <f>SUM(J1231:J1251)</f>
        <v>8</v>
      </c>
      <c r="K1252" s="320"/>
      <c r="L1252" s="31"/>
      <c r="M1252" s="31"/>
      <c r="N1252" s="31"/>
      <c r="O1252" s="439">
        <f>SUM(O1231:O1251)</f>
        <v>35.75</v>
      </c>
      <c r="P1252" s="320"/>
      <c r="Q1252" s="31"/>
      <c r="R1252" s="31"/>
      <c r="S1252" s="31"/>
      <c r="T1252" s="439">
        <f>SUM(T1231:T1251)</f>
        <v>9</v>
      </c>
      <c r="U1252" s="320"/>
      <c r="V1252" s="31"/>
      <c r="W1252" s="31"/>
      <c r="X1252" s="31"/>
      <c r="Y1252" s="439">
        <f>SUM(Y1231:Y1251)</f>
        <v>4</v>
      </c>
      <c r="Z1252" s="320"/>
      <c r="AA1252" s="328">
        <f>SUM(AA1231:AA1251)</f>
        <v>56.75</v>
      </c>
      <c r="AB1252" s="328">
        <f>SUM(AB1231:AB1251)</f>
        <v>4.5</v>
      </c>
      <c r="AC1252" s="4"/>
      <c r="AD1252" s="31"/>
      <c r="AE1252" s="31"/>
      <c r="AF1252" s="328">
        <f>SUM(AF1231:AF1251)</f>
        <v>0</v>
      </c>
      <c r="AG1252" s="328">
        <f>SUM(AG1231:AG1251)</f>
        <v>0</v>
      </c>
    </row>
    <row r="1253" spans="2:42">
      <c r="B1253" s="267" t="s">
        <v>1116</v>
      </c>
      <c r="C1253" s="47"/>
      <c r="D1253" s="47"/>
      <c r="E1253" s="319">
        <v>4</v>
      </c>
      <c r="F1253" s="320"/>
      <c r="G1253" s="4"/>
      <c r="H1253" s="47"/>
      <c r="I1253" s="47"/>
      <c r="J1253" s="319">
        <v>4</v>
      </c>
      <c r="K1253" s="320"/>
      <c r="L1253" s="4"/>
      <c r="M1253" s="47"/>
      <c r="N1253" s="47"/>
      <c r="O1253" s="319">
        <v>4</v>
      </c>
      <c r="P1253" s="320"/>
      <c r="R1253" s="47"/>
      <c r="S1253" s="47"/>
      <c r="T1253" s="319">
        <v>4</v>
      </c>
      <c r="U1253" s="320"/>
      <c r="W1253" s="47"/>
      <c r="X1253" s="47"/>
      <c r="Y1253" s="319">
        <v>4</v>
      </c>
      <c r="Z1253" s="320"/>
      <c r="AA1253" s="328">
        <f>(E1253+J1253+O1253+T1253+Y1253)</f>
        <v>20</v>
      </c>
      <c r="AB1253" s="400">
        <f>Z1253+U1253+P1253+K1253+F1253</f>
        <v>0</v>
      </c>
      <c r="AC1253" s="4"/>
      <c r="AD1253" s="47"/>
      <c r="AE1253" s="47"/>
      <c r="AF1253" s="319"/>
      <c r="AG1253" s="328">
        <f>AF1253</f>
        <v>0</v>
      </c>
    </row>
    <row r="1254" spans="2:42">
      <c r="B1254" s="267" t="s">
        <v>64</v>
      </c>
      <c r="C1254" s="47"/>
      <c r="D1254" s="47"/>
      <c r="E1254" s="319">
        <v>0</v>
      </c>
      <c r="F1254" s="319"/>
      <c r="G1254" s="71"/>
      <c r="H1254" s="47"/>
      <c r="I1254" s="47"/>
      <c r="J1254" s="319">
        <v>0</v>
      </c>
      <c r="K1254" s="319"/>
      <c r="L1254" s="438"/>
      <c r="M1254" s="47"/>
      <c r="N1254" s="47"/>
      <c r="O1254" s="319">
        <v>0</v>
      </c>
      <c r="P1254" s="319"/>
      <c r="Q1254" s="438"/>
      <c r="R1254" s="47"/>
      <c r="S1254" s="47"/>
      <c r="T1254" s="319">
        <v>0</v>
      </c>
      <c r="U1254" s="319"/>
      <c r="V1254" s="438"/>
      <c r="W1254" s="47"/>
      <c r="X1254" s="47"/>
      <c r="Y1254" s="319">
        <v>0</v>
      </c>
      <c r="Z1254" s="319"/>
      <c r="AA1254" s="328">
        <f>SUM(E1254+J1254+O1254+T1254+Y1254)</f>
        <v>0</v>
      </c>
      <c r="AB1254" s="897">
        <f>Z1254+U1254+P1254+K1254+F1254</f>
        <v>0</v>
      </c>
      <c r="AC1254" s="4"/>
      <c r="AD1254" s="47" t="s">
        <v>29</v>
      </c>
      <c r="AE1254" s="47" t="s">
        <v>29</v>
      </c>
      <c r="AF1254" s="319"/>
      <c r="AG1254" s="328">
        <f>AF1254</f>
        <v>0</v>
      </c>
    </row>
    <row r="1255" spans="2:42">
      <c r="B1255" s="71" t="s">
        <v>66</v>
      </c>
      <c r="C1255" s="371"/>
      <c r="D1255" s="371"/>
      <c r="E1255" s="71"/>
      <c r="F1255" s="71"/>
      <c r="G1255" s="71"/>
      <c r="H1255" s="71"/>
      <c r="I1255" s="71"/>
      <c r="J1255" s="71"/>
      <c r="K1255" s="71"/>
      <c r="L1255" s="71"/>
      <c r="M1255" s="71"/>
      <c r="N1255" s="71"/>
      <c r="O1255" s="71"/>
      <c r="P1255" s="71"/>
      <c r="Q1255" s="71"/>
      <c r="R1255" s="71"/>
      <c r="S1255" s="71"/>
      <c r="T1255" s="71"/>
      <c r="U1255" s="71"/>
      <c r="V1255" s="71"/>
      <c r="W1255" s="71"/>
      <c r="X1255" s="71"/>
      <c r="Y1255" s="71"/>
      <c r="Z1255" s="71"/>
      <c r="AA1255" s="328">
        <f>SUM(AA1253:AA1254)</f>
        <v>20</v>
      </c>
      <c r="AB1255" s="328">
        <f>SUM(AB1254:AB1254)</f>
        <v>0</v>
      </c>
      <c r="AC1255" s="4"/>
      <c r="AG1255" s="328">
        <f>SUM(AG1254:AG1254)</f>
        <v>0</v>
      </c>
      <c r="AK1255" s="407"/>
    </row>
    <row r="1256" spans="2:42">
      <c r="B1256" s="899" t="s">
        <v>67</v>
      </c>
      <c r="C1256" s="900">
        <f>C1257+C1258</f>
        <v>6</v>
      </c>
      <c r="D1256" s="900"/>
      <c r="E1256" s="901"/>
      <c r="F1256" s="901"/>
      <c r="G1256" s="900"/>
      <c r="H1256" s="901"/>
      <c r="I1256" s="901"/>
      <c r="J1256" s="901"/>
      <c r="K1256" s="901"/>
      <c r="L1256" s="900"/>
      <c r="M1256" s="900"/>
      <c r="N1256" s="900"/>
      <c r="O1256" s="900"/>
      <c r="P1256" s="901"/>
      <c r="Q1256" s="900"/>
      <c r="R1256" s="900"/>
      <c r="S1256" s="900"/>
      <c r="T1256" s="900"/>
      <c r="U1256" s="901"/>
      <c r="V1256" s="900"/>
      <c r="W1256" s="900"/>
      <c r="X1256" s="900"/>
      <c r="Y1256" s="902"/>
      <c r="Z1256" s="901"/>
      <c r="AA1256" s="903"/>
      <c r="AB1256" s="901"/>
      <c r="AC1256" s="903"/>
      <c r="AD1256" s="903"/>
      <c r="AE1256" s="903"/>
      <c r="AF1256" s="903"/>
      <c r="AG1256" s="903"/>
      <c r="AK1256" s="407"/>
    </row>
    <row r="1257" spans="2:42">
      <c r="B1257" s="904" t="s">
        <v>68</v>
      </c>
      <c r="C1257" s="900">
        <v>0</v>
      </c>
      <c r="D1257" s="900"/>
      <c r="E1257" s="901"/>
      <c r="F1257" s="901"/>
      <c r="G1257" s="900"/>
      <c r="H1257" s="901"/>
      <c r="I1257" s="901"/>
      <c r="J1257" s="901"/>
      <c r="K1257" s="901"/>
      <c r="L1257" s="900"/>
      <c r="M1257" s="900"/>
      <c r="N1257" s="900"/>
      <c r="O1257" s="900"/>
      <c r="P1257" s="901"/>
      <c r="Q1257" s="900"/>
      <c r="R1257" s="900"/>
      <c r="S1257" s="900"/>
      <c r="T1257" s="900"/>
      <c r="U1257" s="901"/>
      <c r="V1257" s="900"/>
      <c r="W1257" s="900"/>
      <c r="X1257" s="900"/>
      <c r="Y1257" s="902"/>
      <c r="Z1257" s="901"/>
      <c r="AA1257" s="903"/>
      <c r="AB1257" s="901"/>
      <c r="AC1257" s="903"/>
      <c r="AD1257" s="903"/>
      <c r="AE1257" s="903"/>
      <c r="AF1257" s="903"/>
      <c r="AG1257" s="903"/>
      <c r="AK1257" s="407"/>
    </row>
    <row r="1258" spans="2:42">
      <c r="B1258" s="904" t="s">
        <v>69</v>
      </c>
      <c r="C1258" s="900">
        <v>6</v>
      </c>
      <c r="D1258" s="900"/>
      <c r="E1258" s="901"/>
      <c r="F1258" s="901"/>
      <c r="G1258" s="900"/>
      <c r="H1258" s="901"/>
      <c r="I1258" s="901"/>
      <c r="J1258" s="901"/>
      <c r="K1258" s="901"/>
      <c r="L1258" s="900"/>
      <c r="M1258" s="900"/>
      <c r="N1258" s="900"/>
      <c r="O1258" s="900"/>
      <c r="P1258" s="901"/>
      <c r="Q1258" s="900"/>
      <c r="R1258" s="900"/>
      <c r="S1258" s="900"/>
      <c r="T1258" s="900"/>
      <c r="U1258" s="901"/>
      <c r="V1258" s="900"/>
      <c r="W1258" s="900"/>
      <c r="X1258" s="900"/>
      <c r="Y1258" s="902"/>
      <c r="Z1258" s="901"/>
      <c r="AA1258" s="903"/>
      <c r="AB1258" s="901"/>
      <c r="AC1258" s="903"/>
      <c r="AD1258" s="903"/>
      <c r="AE1258" s="903"/>
      <c r="AF1258" s="903"/>
      <c r="AG1258" s="903"/>
    </row>
    <row r="1261" spans="2:42" ht="25.5">
      <c r="B1261" s="1571"/>
      <c r="C1261" s="1570">
        <v>45971</v>
      </c>
      <c r="D1261" s="1570"/>
      <c r="E1261" s="1570" t="s">
        <v>564</v>
      </c>
      <c r="F1261" s="1570"/>
      <c r="G1261" s="894"/>
      <c r="H1261" s="1570">
        <v>45972</v>
      </c>
      <c r="I1261" s="1570"/>
      <c r="J1261" s="1570" t="s">
        <v>565</v>
      </c>
      <c r="K1261" s="1570"/>
      <c r="L1261" s="894"/>
      <c r="M1261" s="1570">
        <v>45973</v>
      </c>
      <c r="N1261" s="1570"/>
      <c r="O1261" s="1570" t="s">
        <v>566</v>
      </c>
      <c r="P1261" s="1570"/>
      <c r="Q1261" s="894"/>
      <c r="R1261" s="1570">
        <v>45974</v>
      </c>
      <c r="S1261" s="1570"/>
      <c r="T1261" s="1570" t="s">
        <v>567</v>
      </c>
      <c r="U1261" s="1570"/>
      <c r="V1261" s="894"/>
      <c r="W1261" s="1570">
        <v>45975</v>
      </c>
      <c r="X1261" s="1570"/>
      <c r="Y1261" s="1570" t="s">
        <v>568</v>
      </c>
      <c r="Z1261" s="1570"/>
      <c r="AA1261" s="1569" t="s">
        <v>19</v>
      </c>
      <c r="AB1261" s="1569" t="s">
        <v>20</v>
      </c>
      <c r="AC1261" s="4"/>
      <c r="AD1261" s="1570"/>
      <c r="AE1261" s="1570"/>
      <c r="AF1261" s="895" t="s">
        <v>1111</v>
      </c>
      <c r="AG1261" s="1569" t="s">
        <v>21</v>
      </c>
      <c r="AK1261" s="194" t="s">
        <v>84</v>
      </c>
      <c r="AL1261" s="366"/>
      <c r="AM1261" s="366"/>
      <c r="AN1261" s="366"/>
      <c r="AO1261" s="366"/>
      <c r="AP1261" s="366"/>
    </row>
    <row r="1262" spans="2:42">
      <c r="B1262" s="1571"/>
      <c r="C1262" s="896" t="s">
        <v>23</v>
      </c>
      <c r="D1262" s="896" t="s">
        <v>24</v>
      </c>
      <c r="E1262" s="897" t="s">
        <v>25</v>
      </c>
      <c r="F1262" s="898" t="s">
        <v>14</v>
      </c>
      <c r="G1262" s="4"/>
      <c r="H1262" s="896"/>
      <c r="I1262" s="896" t="s">
        <v>24</v>
      </c>
      <c r="J1262" s="898" t="s">
        <v>25</v>
      </c>
      <c r="K1262" s="898" t="s">
        <v>14</v>
      </c>
      <c r="L1262" s="4"/>
      <c r="M1262" s="896" t="s">
        <v>23</v>
      </c>
      <c r="N1262" s="896" t="s">
        <v>24</v>
      </c>
      <c r="O1262" s="898" t="s">
        <v>25</v>
      </c>
      <c r="P1262" s="898" t="s">
        <v>14</v>
      </c>
      <c r="R1262" s="896" t="s">
        <v>23</v>
      </c>
      <c r="S1262" s="896" t="s">
        <v>24</v>
      </c>
      <c r="T1262" s="898" t="s">
        <v>25</v>
      </c>
      <c r="U1262" s="898" t="s">
        <v>14</v>
      </c>
      <c r="W1262" s="896" t="s">
        <v>23</v>
      </c>
      <c r="X1262" s="896" t="s">
        <v>24</v>
      </c>
      <c r="Y1262" s="898" t="s">
        <v>25</v>
      </c>
      <c r="Z1262" s="898" t="s">
        <v>14</v>
      </c>
      <c r="AA1262" s="1569"/>
      <c r="AB1262" s="1569"/>
      <c r="AC1262" s="4"/>
      <c r="AD1262" s="896" t="s">
        <v>23</v>
      </c>
      <c r="AE1262" s="896" t="s">
        <v>24</v>
      </c>
      <c r="AF1262" s="898" t="s">
        <v>25</v>
      </c>
      <c r="AG1262" s="1569"/>
      <c r="AK1262" s="188" t="s">
        <v>26</v>
      </c>
      <c r="AL1262" s="196">
        <f>AA1284</f>
        <v>7</v>
      </c>
      <c r="AM1262" s="510">
        <v>40.31</v>
      </c>
      <c r="AN1262" s="510">
        <f t="shared" ref="AN1262:AN1267" si="166">AL1262*AM1262</f>
        <v>282.17</v>
      </c>
    </row>
    <row r="1263" spans="2:42">
      <c r="B1263" s="47" t="s">
        <v>515</v>
      </c>
      <c r="C1263" s="47"/>
      <c r="D1263" s="47"/>
      <c r="E1263" s="319">
        <v>0</v>
      </c>
      <c r="F1263" s="320"/>
      <c r="G1263" s="4"/>
      <c r="H1263" s="47"/>
      <c r="I1263" s="47"/>
      <c r="J1263" s="319">
        <v>0</v>
      </c>
      <c r="K1263" s="320"/>
      <c r="L1263" s="4"/>
      <c r="M1263" s="47"/>
      <c r="N1263" s="47"/>
      <c r="O1263" s="319">
        <v>0</v>
      </c>
      <c r="P1263" s="320"/>
      <c r="R1263" s="47"/>
      <c r="S1263" s="47"/>
      <c r="T1263" s="319">
        <v>0</v>
      </c>
      <c r="U1263" s="320"/>
      <c r="W1263" s="47"/>
      <c r="X1263" s="47"/>
      <c r="Y1263" s="319">
        <v>0</v>
      </c>
      <c r="Z1263" s="320"/>
      <c r="AA1263" s="328">
        <f t="shared" ref="AA1263:AA1283" si="167">(E1263+J1263+O1263+T1263+Y1263)</f>
        <v>0</v>
      </c>
      <c r="AB1263" s="400">
        <f t="shared" ref="AB1263:AB1283" si="168">Z1263+U1263+P1263+K1263+F1263</f>
        <v>0</v>
      </c>
      <c r="AC1263" s="4"/>
      <c r="AF1263" s="319"/>
      <c r="AG1263" s="328">
        <f t="shared" ref="AG1263:AG1283" si="169">AF1263</f>
        <v>0</v>
      </c>
      <c r="AK1263" s="188" t="s">
        <v>30</v>
      </c>
      <c r="AL1263" s="196">
        <f>AB1284</f>
        <v>0</v>
      </c>
      <c r="AM1263" s="510">
        <v>60.465000000000003</v>
      </c>
      <c r="AN1263" s="510">
        <f t="shared" si="166"/>
        <v>0</v>
      </c>
    </row>
    <row r="1264" spans="2:42">
      <c r="B1264" s="47" t="s">
        <v>1112</v>
      </c>
      <c r="C1264" s="47"/>
      <c r="D1264" s="47"/>
      <c r="E1264" s="319">
        <v>0</v>
      </c>
      <c r="F1264" s="320"/>
      <c r="G1264" s="4"/>
      <c r="H1264" s="47"/>
      <c r="I1264" s="47"/>
      <c r="J1264" s="319">
        <v>0</v>
      </c>
      <c r="K1264" s="320"/>
      <c r="L1264" s="4"/>
      <c r="M1264" s="47"/>
      <c r="N1264" s="47"/>
      <c r="O1264" s="319">
        <v>0</v>
      </c>
      <c r="P1264" s="320"/>
      <c r="R1264" s="47"/>
      <c r="S1264" s="47"/>
      <c r="T1264" s="319">
        <v>0</v>
      </c>
      <c r="U1264" s="320"/>
      <c r="W1264" s="47"/>
      <c r="X1264" s="47"/>
      <c r="Y1264" s="319">
        <v>0</v>
      </c>
      <c r="Z1264" s="320"/>
      <c r="AA1264" s="328">
        <f t="shared" si="167"/>
        <v>0</v>
      </c>
      <c r="AB1264" s="400">
        <f t="shared" si="168"/>
        <v>0</v>
      </c>
      <c r="AC1264" s="4"/>
      <c r="AD1264" s="47"/>
      <c r="AE1264" s="47"/>
      <c r="AF1264" s="319"/>
      <c r="AG1264" s="328">
        <f t="shared" si="169"/>
        <v>0</v>
      </c>
      <c r="AK1264" s="188" t="s">
        <v>32</v>
      </c>
      <c r="AL1264" s="196">
        <f>AG1284</f>
        <v>0</v>
      </c>
      <c r="AM1264" s="510">
        <v>60.465000000000003</v>
      </c>
      <c r="AN1264" s="510">
        <f t="shared" si="166"/>
        <v>0</v>
      </c>
    </row>
    <row r="1265" spans="2:40">
      <c r="B1265" s="47" t="s">
        <v>234</v>
      </c>
      <c r="C1265" s="47"/>
      <c r="D1265" s="47"/>
      <c r="E1265" s="319">
        <v>0</v>
      </c>
      <c r="F1265" s="320"/>
      <c r="G1265" s="4"/>
      <c r="H1265" s="47"/>
      <c r="I1265" s="47"/>
      <c r="J1265" s="319">
        <v>0</v>
      </c>
      <c r="K1265" s="320"/>
      <c r="L1265" s="4"/>
      <c r="M1265" s="47"/>
      <c r="N1265" s="47"/>
      <c r="O1265" s="319">
        <v>0</v>
      </c>
      <c r="P1265" s="320"/>
      <c r="R1265" s="47"/>
      <c r="S1265" s="47"/>
      <c r="T1265" s="319">
        <v>0</v>
      </c>
      <c r="U1265" s="320"/>
      <c r="W1265" s="47"/>
      <c r="X1265" s="47"/>
      <c r="Y1265" s="319">
        <v>0</v>
      </c>
      <c r="Z1265" s="320"/>
      <c r="AA1265" s="328">
        <f t="shared" si="167"/>
        <v>0</v>
      </c>
      <c r="AB1265" s="400">
        <f t="shared" si="168"/>
        <v>0</v>
      </c>
      <c r="AC1265" s="4"/>
      <c r="AD1265" s="47"/>
      <c r="AE1265" s="47"/>
      <c r="AF1265" s="319"/>
      <c r="AG1265" s="328">
        <f t="shared" si="169"/>
        <v>0</v>
      </c>
      <c r="AK1265" s="188" t="s">
        <v>213</v>
      </c>
      <c r="AL1265" s="196">
        <f>AA1287</f>
        <v>20</v>
      </c>
      <c r="AM1265" s="510">
        <v>53.05</v>
      </c>
      <c r="AN1265" s="510">
        <f t="shared" si="166"/>
        <v>1061</v>
      </c>
    </row>
    <row r="1266" spans="2:40">
      <c r="B1266" s="47" t="s">
        <v>637</v>
      </c>
      <c r="C1266" s="47"/>
      <c r="D1266" s="47"/>
      <c r="E1266" s="319">
        <v>0</v>
      </c>
      <c r="F1266" s="320"/>
      <c r="G1266" s="4"/>
      <c r="H1266" s="47"/>
      <c r="I1266" s="47"/>
      <c r="J1266" s="319">
        <v>0</v>
      </c>
      <c r="K1266" s="320"/>
      <c r="L1266" s="4"/>
      <c r="M1266" s="47"/>
      <c r="N1266" s="47"/>
      <c r="O1266" s="319">
        <v>0</v>
      </c>
      <c r="P1266" s="320"/>
      <c r="R1266" s="47"/>
      <c r="S1266" s="47"/>
      <c r="T1266" s="319">
        <v>0</v>
      </c>
      <c r="U1266" s="320"/>
      <c r="W1266" s="47"/>
      <c r="X1266" s="47"/>
      <c r="Y1266" s="319">
        <v>0</v>
      </c>
      <c r="Z1266" s="320"/>
      <c r="AA1266" s="328">
        <f t="shared" si="167"/>
        <v>0</v>
      </c>
      <c r="AB1266" s="400">
        <f t="shared" si="168"/>
        <v>0</v>
      </c>
      <c r="AC1266" s="4"/>
      <c r="AD1266" s="47"/>
      <c r="AE1266" s="47"/>
      <c r="AF1266" s="319"/>
      <c r="AG1266" s="328">
        <f t="shared" si="169"/>
        <v>0</v>
      </c>
      <c r="AK1266" s="188" t="s">
        <v>36</v>
      </c>
      <c r="AL1266" s="196">
        <f>AB1287</f>
        <v>0</v>
      </c>
      <c r="AM1266" s="510">
        <v>79.574999999999989</v>
      </c>
      <c r="AN1266" s="510">
        <f t="shared" si="166"/>
        <v>0</v>
      </c>
    </row>
    <row r="1267" spans="2:40">
      <c r="B1267" s="374" t="s">
        <v>998</v>
      </c>
      <c r="C1267" s="47"/>
      <c r="D1267" s="47"/>
      <c r="E1267" s="319">
        <v>0</v>
      </c>
      <c r="F1267" s="320"/>
      <c r="G1267" s="4"/>
      <c r="H1267" s="47"/>
      <c r="I1267" s="47"/>
      <c r="J1267" s="319">
        <v>0</v>
      </c>
      <c r="K1267" s="320"/>
      <c r="L1267" s="4"/>
      <c r="M1267" s="47"/>
      <c r="N1267" s="47"/>
      <c r="O1267" s="319">
        <v>0</v>
      </c>
      <c r="P1267" s="320"/>
      <c r="R1267" s="47"/>
      <c r="S1267" s="47"/>
      <c r="T1267" s="319">
        <v>0</v>
      </c>
      <c r="U1267" s="320"/>
      <c r="W1267" s="47"/>
      <c r="X1267" s="47"/>
      <c r="Y1267" s="319">
        <v>0</v>
      </c>
      <c r="Z1267" s="320"/>
      <c r="AA1267" s="328">
        <f t="shared" si="167"/>
        <v>0</v>
      </c>
      <c r="AB1267" s="400">
        <f t="shared" si="168"/>
        <v>0</v>
      </c>
      <c r="AC1267" s="4"/>
      <c r="AD1267" s="47"/>
      <c r="AE1267" s="47"/>
      <c r="AF1267" s="319"/>
      <c r="AG1267" s="328">
        <f t="shared" si="169"/>
        <v>0</v>
      </c>
      <c r="AK1267" s="188" t="s">
        <v>38</v>
      </c>
      <c r="AL1267" s="196">
        <f>AG1287</f>
        <v>0</v>
      </c>
      <c r="AM1267" s="510">
        <v>79.574999999999989</v>
      </c>
      <c r="AN1267" s="510">
        <f t="shared" si="166"/>
        <v>0</v>
      </c>
    </row>
    <row r="1268" spans="2:40">
      <c r="B1268" s="47" t="s">
        <v>53</v>
      </c>
      <c r="C1268" s="47"/>
      <c r="D1268" s="47"/>
      <c r="E1268" s="319">
        <v>0</v>
      </c>
      <c r="F1268" s="320"/>
      <c r="G1268" s="4"/>
      <c r="H1268" s="47"/>
      <c r="I1268" s="47"/>
      <c r="J1268" s="319">
        <v>0</v>
      </c>
      <c r="K1268" s="320"/>
      <c r="L1268" s="4"/>
      <c r="M1268" s="47"/>
      <c r="N1268" s="47"/>
      <c r="O1268" s="319">
        <v>0</v>
      </c>
      <c r="P1268" s="320"/>
      <c r="R1268" s="47"/>
      <c r="S1268" s="47"/>
      <c r="T1268" s="319">
        <v>0</v>
      </c>
      <c r="U1268" s="320"/>
      <c r="W1268" s="47"/>
      <c r="X1268" s="47"/>
      <c r="Y1268" s="319">
        <v>0</v>
      </c>
      <c r="Z1268" s="320"/>
      <c r="AA1268" s="328">
        <f t="shared" si="167"/>
        <v>0</v>
      </c>
      <c r="AB1268" s="400">
        <f t="shared" si="168"/>
        <v>0</v>
      </c>
      <c r="AC1268" s="4"/>
      <c r="AD1268" s="47"/>
      <c r="AE1268" s="47"/>
      <c r="AF1268" s="319"/>
      <c r="AG1268" s="328">
        <f t="shared" si="169"/>
        <v>0</v>
      </c>
      <c r="AN1268" s="510">
        <f>SUM(AN1262:AN1267)</f>
        <v>1343.17</v>
      </c>
    </row>
    <row r="1269" spans="2:40">
      <c r="B1269" s="47" t="s">
        <v>241</v>
      </c>
      <c r="C1269" s="47"/>
      <c r="D1269" s="47"/>
      <c r="E1269" s="319">
        <v>0</v>
      </c>
      <c r="F1269" s="320"/>
      <c r="G1269" s="4"/>
      <c r="H1269" s="47"/>
      <c r="I1269" s="47"/>
      <c r="J1269" s="319">
        <v>0</v>
      </c>
      <c r="K1269" s="320"/>
      <c r="L1269" s="4"/>
      <c r="M1269" s="47">
        <v>0.39583333333333331</v>
      </c>
      <c r="N1269" s="47">
        <v>0.1875</v>
      </c>
      <c r="O1269" s="319">
        <v>7</v>
      </c>
      <c r="P1269" s="320"/>
      <c r="R1269" s="47"/>
      <c r="S1269" s="47"/>
      <c r="T1269" s="319">
        <v>0</v>
      </c>
      <c r="U1269" s="320"/>
      <c r="W1269" s="47"/>
      <c r="X1269" s="47"/>
      <c r="Y1269" s="319">
        <v>0</v>
      </c>
      <c r="Z1269" s="320"/>
      <c r="AA1269" s="328">
        <f t="shared" si="167"/>
        <v>7</v>
      </c>
      <c r="AB1269" s="400">
        <f t="shared" si="168"/>
        <v>0</v>
      </c>
      <c r="AC1269" s="4"/>
      <c r="AD1269" s="47"/>
      <c r="AE1269" s="47"/>
      <c r="AF1269" s="319"/>
      <c r="AG1269" s="328">
        <f t="shared" si="169"/>
        <v>0</v>
      </c>
    </row>
    <row r="1270" spans="2:40">
      <c r="B1270" s="47" t="s">
        <v>1140</v>
      </c>
      <c r="C1270" s="47"/>
      <c r="D1270" s="441"/>
      <c r="E1270" s="319">
        <v>0</v>
      </c>
      <c r="F1270" s="320"/>
      <c r="G1270" s="4"/>
      <c r="H1270" s="47"/>
      <c r="I1270" s="47"/>
      <c r="J1270" s="319">
        <v>0</v>
      </c>
      <c r="K1270" s="320"/>
      <c r="L1270" s="4"/>
      <c r="M1270" s="47"/>
      <c r="N1270" s="47"/>
      <c r="O1270" s="319">
        <v>0</v>
      </c>
      <c r="P1270" s="320"/>
      <c r="R1270" s="47"/>
      <c r="S1270" s="47"/>
      <c r="T1270" s="319">
        <v>0</v>
      </c>
      <c r="U1270" s="320"/>
      <c r="W1270" s="47"/>
      <c r="X1270" s="47"/>
      <c r="Y1270" s="319">
        <v>0</v>
      </c>
      <c r="Z1270" s="320"/>
      <c r="AA1270" s="328">
        <f t="shared" si="167"/>
        <v>0</v>
      </c>
      <c r="AB1270" s="400">
        <f t="shared" si="168"/>
        <v>0</v>
      </c>
      <c r="AC1270" s="4"/>
      <c r="AD1270" s="47"/>
      <c r="AE1270" s="47"/>
      <c r="AF1270" s="319"/>
      <c r="AG1270" s="328">
        <f t="shared" si="169"/>
        <v>0</v>
      </c>
      <c r="AK1270" s="192" t="s">
        <v>1115</v>
      </c>
      <c r="AL1270" s="189">
        <f>C1288</f>
        <v>0</v>
      </c>
      <c r="AM1270" s="510">
        <v>45</v>
      </c>
      <c r="AN1270" s="510">
        <f>AM1270*AL1270</f>
        <v>0</v>
      </c>
    </row>
    <row r="1271" spans="2:40">
      <c r="B1271" s="47" t="s">
        <v>1113</v>
      </c>
      <c r="C1271" s="47"/>
      <c r="D1271" s="47"/>
      <c r="E1271" s="319">
        <v>0</v>
      </c>
      <c r="F1271" s="320"/>
      <c r="G1271" s="4"/>
      <c r="H1271" s="47"/>
      <c r="I1271" s="47"/>
      <c r="J1271" s="319">
        <v>0</v>
      </c>
      <c r="K1271" s="320"/>
      <c r="L1271" s="4"/>
      <c r="M1271" s="47"/>
      <c r="N1271" s="47"/>
      <c r="O1271" s="319">
        <v>0</v>
      </c>
      <c r="P1271" s="320"/>
      <c r="R1271" s="47"/>
      <c r="S1271" s="47"/>
      <c r="T1271" s="319">
        <v>0</v>
      </c>
      <c r="U1271" s="320"/>
      <c r="W1271" s="47"/>
      <c r="X1271" s="47"/>
      <c r="Y1271" s="319">
        <v>0</v>
      </c>
      <c r="Z1271" s="320"/>
      <c r="AA1271" s="328">
        <f t="shared" si="167"/>
        <v>0</v>
      </c>
      <c r="AB1271" s="400">
        <f t="shared" si="168"/>
        <v>0</v>
      </c>
      <c r="AC1271" s="4"/>
      <c r="AD1271" s="47"/>
      <c r="AE1271" s="47"/>
      <c r="AF1271" s="319"/>
      <c r="AG1271" s="328">
        <f t="shared" si="169"/>
        <v>0</v>
      </c>
    </row>
    <row r="1272" spans="2:40">
      <c r="B1272" s="502" t="s">
        <v>483</v>
      </c>
      <c r="C1272" s="47"/>
      <c r="D1272" s="47"/>
      <c r="E1272" s="319">
        <v>0</v>
      </c>
      <c r="F1272" s="320"/>
      <c r="G1272" s="4"/>
      <c r="H1272" s="47"/>
      <c r="I1272" s="47"/>
      <c r="J1272" s="319">
        <v>0</v>
      </c>
      <c r="K1272" s="320"/>
      <c r="L1272" s="4"/>
      <c r="M1272" s="47"/>
      <c r="N1272" s="47"/>
      <c r="O1272" s="319">
        <v>0</v>
      </c>
      <c r="P1272" s="320"/>
      <c r="R1272" s="47"/>
      <c r="S1272" s="47"/>
      <c r="T1272" s="319">
        <v>0</v>
      </c>
      <c r="U1272" s="320"/>
      <c r="W1272" s="47"/>
      <c r="X1272" s="47"/>
      <c r="Y1272" s="319">
        <v>0</v>
      </c>
      <c r="Z1272" s="320"/>
      <c r="AA1272" s="328">
        <f t="shared" si="167"/>
        <v>0</v>
      </c>
      <c r="AB1272" s="400">
        <f t="shared" si="168"/>
        <v>0</v>
      </c>
      <c r="AC1272" s="4"/>
      <c r="AD1272" s="47"/>
      <c r="AE1272" s="47"/>
      <c r="AF1272" s="319"/>
      <c r="AG1272" s="328">
        <f t="shared" si="169"/>
        <v>0</v>
      </c>
    </row>
    <row r="1273" spans="2:40">
      <c r="B1273" s="502" t="s">
        <v>483</v>
      </c>
      <c r="C1273" s="47"/>
      <c r="D1273" s="47"/>
      <c r="E1273" s="319">
        <v>0</v>
      </c>
      <c r="F1273" s="320"/>
      <c r="G1273" s="4"/>
      <c r="H1273" s="47"/>
      <c r="I1273" s="47"/>
      <c r="J1273" s="319">
        <v>0</v>
      </c>
      <c r="K1273" s="320"/>
      <c r="L1273" s="4"/>
      <c r="M1273" s="47"/>
      <c r="N1273" s="47"/>
      <c r="O1273" s="319">
        <v>0</v>
      </c>
      <c r="P1273" s="320"/>
      <c r="R1273" s="47"/>
      <c r="S1273" s="47"/>
      <c r="T1273" s="319">
        <v>0</v>
      </c>
      <c r="U1273" s="320"/>
      <c r="W1273" s="47"/>
      <c r="X1273" s="47"/>
      <c r="Y1273" s="319">
        <v>0</v>
      </c>
      <c r="Z1273" s="320"/>
      <c r="AA1273" s="328">
        <f t="shared" si="167"/>
        <v>0</v>
      </c>
      <c r="AB1273" s="400">
        <f t="shared" si="168"/>
        <v>0</v>
      </c>
      <c r="AC1273" s="4"/>
      <c r="AD1273" s="47"/>
      <c r="AE1273" s="47"/>
      <c r="AF1273" s="319"/>
      <c r="AG1273" s="328">
        <f t="shared" si="169"/>
        <v>0</v>
      </c>
    </row>
    <row r="1274" spans="2:40">
      <c r="B1274" s="502" t="s">
        <v>484</v>
      </c>
      <c r="C1274" s="47"/>
      <c r="D1274" s="47"/>
      <c r="E1274" s="319">
        <v>0</v>
      </c>
      <c r="F1274" s="320"/>
      <c r="G1274" s="4"/>
      <c r="H1274" s="47"/>
      <c r="I1274" s="47"/>
      <c r="J1274" s="319">
        <v>0</v>
      </c>
      <c r="K1274" s="320"/>
      <c r="L1274" s="4"/>
      <c r="M1274" s="47"/>
      <c r="N1274" s="47"/>
      <c r="O1274" s="319">
        <v>0</v>
      </c>
      <c r="P1274" s="320"/>
      <c r="R1274" s="47"/>
      <c r="S1274" s="47"/>
      <c r="T1274" s="319">
        <v>0</v>
      </c>
      <c r="U1274" s="320"/>
      <c r="W1274" s="47"/>
      <c r="X1274" s="47"/>
      <c r="Y1274" s="319">
        <v>0</v>
      </c>
      <c r="Z1274" s="320"/>
      <c r="AA1274" s="328">
        <f t="shared" si="167"/>
        <v>0</v>
      </c>
      <c r="AB1274" s="400">
        <f t="shared" si="168"/>
        <v>0</v>
      </c>
      <c r="AC1274" s="4"/>
      <c r="AD1274" s="47"/>
      <c r="AE1274" s="47"/>
      <c r="AF1274" s="319"/>
      <c r="AG1274" s="328">
        <f t="shared" si="169"/>
        <v>0</v>
      </c>
    </row>
    <row r="1275" spans="2:40">
      <c r="B1275" s="502" t="s">
        <v>485</v>
      </c>
      <c r="C1275" s="47"/>
      <c r="D1275" s="47"/>
      <c r="E1275" s="319">
        <v>0</v>
      </c>
      <c r="F1275" s="320"/>
      <c r="G1275" s="4"/>
      <c r="H1275" s="47"/>
      <c r="I1275" s="47"/>
      <c r="J1275" s="319">
        <v>0</v>
      </c>
      <c r="K1275" s="320"/>
      <c r="L1275" s="4"/>
      <c r="M1275" s="47"/>
      <c r="N1275" s="47"/>
      <c r="O1275" s="319">
        <v>0</v>
      </c>
      <c r="P1275" s="320"/>
      <c r="R1275" s="47"/>
      <c r="S1275" s="47"/>
      <c r="T1275" s="319">
        <v>0</v>
      </c>
      <c r="U1275" s="320"/>
      <c r="W1275" s="47"/>
      <c r="X1275" s="47"/>
      <c r="Y1275" s="319">
        <v>0</v>
      </c>
      <c r="Z1275" s="320"/>
      <c r="AA1275" s="328">
        <f t="shared" si="167"/>
        <v>0</v>
      </c>
      <c r="AB1275" s="400">
        <f t="shared" si="168"/>
        <v>0</v>
      </c>
      <c r="AC1275" s="4"/>
      <c r="AD1275" s="47"/>
      <c r="AE1275" s="47"/>
      <c r="AF1275" s="319"/>
      <c r="AG1275" s="328">
        <f t="shared" si="169"/>
        <v>0</v>
      </c>
    </row>
    <row r="1276" spans="2:40">
      <c r="B1276" s="502" t="s">
        <v>1129</v>
      </c>
      <c r="C1276" s="47"/>
      <c r="D1276" s="47"/>
      <c r="E1276" s="319">
        <v>0</v>
      </c>
      <c r="F1276" s="320"/>
      <c r="G1276" s="4"/>
      <c r="H1276" s="47"/>
      <c r="I1276" s="47"/>
      <c r="J1276" s="319">
        <v>0</v>
      </c>
      <c r="K1276" s="320"/>
      <c r="L1276" s="4"/>
      <c r="M1276" s="47"/>
      <c r="N1276" s="47"/>
      <c r="O1276" s="319">
        <v>0</v>
      </c>
      <c r="P1276" s="320"/>
      <c r="R1276" s="47"/>
      <c r="S1276" s="47"/>
      <c r="T1276" s="319">
        <v>0</v>
      </c>
      <c r="U1276" s="320"/>
      <c r="W1276" s="47"/>
      <c r="X1276" s="47"/>
      <c r="Y1276" s="319">
        <v>0</v>
      </c>
      <c r="Z1276" s="320"/>
      <c r="AA1276" s="328">
        <f t="shared" si="167"/>
        <v>0</v>
      </c>
      <c r="AB1276" s="400">
        <f t="shared" si="168"/>
        <v>0</v>
      </c>
      <c r="AC1276" s="4"/>
      <c r="AD1276" s="47"/>
      <c r="AE1276" s="47"/>
      <c r="AF1276" s="319"/>
      <c r="AG1276" s="328">
        <f t="shared" si="169"/>
        <v>0</v>
      </c>
    </row>
    <row r="1277" spans="2:40">
      <c r="B1277" s="267" t="s">
        <v>358</v>
      </c>
      <c r="C1277" s="47"/>
      <c r="D1277" s="47"/>
      <c r="E1277" s="319">
        <v>0</v>
      </c>
      <c r="F1277" s="320"/>
      <c r="G1277" s="4"/>
      <c r="H1277" s="47"/>
      <c r="I1277" s="47"/>
      <c r="J1277" s="319">
        <v>0</v>
      </c>
      <c r="K1277" s="320"/>
      <c r="L1277" s="438"/>
      <c r="M1277" s="47"/>
      <c r="N1277" s="47"/>
      <c r="O1277" s="319">
        <v>0</v>
      </c>
      <c r="P1277" s="320"/>
      <c r="Q1277" s="438"/>
      <c r="R1277" s="47"/>
      <c r="S1277" s="47"/>
      <c r="T1277" s="319">
        <v>0</v>
      </c>
      <c r="U1277" s="320"/>
      <c r="V1277" s="438"/>
      <c r="W1277" s="47"/>
      <c r="X1277" s="47"/>
      <c r="Y1277" s="319">
        <v>0</v>
      </c>
      <c r="Z1277" s="320"/>
      <c r="AA1277" s="328">
        <f t="shared" si="167"/>
        <v>0</v>
      </c>
      <c r="AB1277" s="400">
        <f t="shared" si="168"/>
        <v>0</v>
      </c>
      <c r="AC1277" s="4"/>
      <c r="AD1277" s="47"/>
      <c r="AE1277" s="47"/>
      <c r="AF1277" s="319"/>
      <c r="AG1277" s="328">
        <f t="shared" si="169"/>
        <v>0</v>
      </c>
    </row>
    <row r="1278" spans="2:40">
      <c r="B1278" s="267" t="s">
        <v>991</v>
      </c>
      <c r="C1278" s="47"/>
      <c r="D1278" s="47"/>
      <c r="E1278" s="319">
        <v>0</v>
      </c>
      <c r="F1278" s="320"/>
      <c r="G1278" s="4"/>
      <c r="H1278" s="47"/>
      <c r="I1278" s="47"/>
      <c r="J1278" s="319">
        <v>0</v>
      </c>
      <c r="K1278" s="320"/>
      <c r="L1278" s="438"/>
      <c r="M1278" s="47"/>
      <c r="N1278" s="47"/>
      <c r="O1278" s="319">
        <v>0</v>
      </c>
      <c r="P1278" s="320"/>
      <c r="Q1278" s="438"/>
      <c r="R1278" s="47"/>
      <c r="S1278" s="47"/>
      <c r="T1278" s="319">
        <v>0</v>
      </c>
      <c r="U1278" s="320"/>
      <c r="V1278" s="438"/>
      <c r="W1278" s="47"/>
      <c r="X1278" s="47"/>
      <c r="Y1278" s="319">
        <v>0</v>
      </c>
      <c r="Z1278" s="320"/>
      <c r="AA1278" s="328">
        <f t="shared" si="167"/>
        <v>0</v>
      </c>
      <c r="AB1278" s="400">
        <f t="shared" si="168"/>
        <v>0</v>
      </c>
      <c r="AC1278" s="4"/>
      <c r="AD1278" s="47"/>
      <c r="AE1278" s="47"/>
      <c r="AF1278" s="319"/>
      <c r="AG1278" s="328">
        <f t="shared" si="169"/>
        <v>0</v>
      </c>
    </row>
    <row r="1279" spans="2:40">
      <c r="B1279" s="267" t="s">
        <v>411</v>
      </c>
      <c r="C1279" s="47"/>
      <c r="D1279" s="47"/>
      <c r="E1279" s="319">
        <v>0</v>
      </c>
      <c r="F1279" s="320"/>
      <c r="G1279" s="4"/>
      <c r="H1279" s="47"/>
      <c r="I1279" s="47"/>
      <c r="J1279" s="319">
        <v>0</v>
      </c>
      <c r="K1279" s="320"/>
      <c r="L1279" s="438"/>
      <c r="M1279" s="47"/>
      <c r="N1279" s="47"/>
      <c r="O1279" s="319">
        <v>0</v>
      </c>
      <c r="P1279" s="320"/>
      <c r="Q1279" s="438"/>
      <c r="R1279" s="47"/>
      <c r="S1279" s="47"/>
      <c r="T1279" s="319">
        <v>0</v>
      </c>
      <c r="U1279" s="320"/>
      <c r="V1279" s="438"/>
      <c r="W1279" s="47"/>
      <c r="X1279" s="47"/>
      <c r="Y1279" s="319">
        <v>0</v>
      </c>
      <c r="Z1279" s="320"/>
      <c r="AA1279" s="328">
        <f t="shared" si="167"/>
        <v>0</v>
      </c>
      <c r="AB1279" s="400">
        <f t="shared" si="168"/>
        <v>0</v>
      </c>
      <c r="AC1279" s="4"/>
      <c r="AD1279" s="47"/>
      <c r="AE1279" s="47"/>
      <c r="AF1279" s="319"/>
      <c r="AG1279" s="328">
        <f t="shared" si="169"/>
        <v>0</v>
      </c>
    </row>
    <row r="1280" spans="2:40">
      <c r="B1280" s="267" t="s">
        <v>361</v>
      </c>
      <c r="C1280" s="47"/>
      <c r="D1280" s="47"/>
      <c r="E1280" s="319">
        <v>0</v>
      </c>
      <c r="F1280" s="320"/>
      <c r="G1280" s="4"/>
      <c r="H1280" s="47"/>
      <c r="I1280" s="47"/>
      <c r="J1280" s="319">
        <v>0</v>
      </c>
      <c r="K1280" s="320"/>
      <c r="L1280" s="438"/>
      <c r="M1280" s="47"/>
      <c r="N1280" s="47"/>
      <c r="O1280" s="319">
        <v>0</v>
      </c>
      <c r="P1280" s="320"/>
      <c r="Q1280" s="438"/>
      <c r="R1280" s="47"/>
      <c r="S1280" s="47"/>
      <c r="T1280" s="319">
        <v>0</v>
      </c>
      <c r="U1280" s="320"/>
      <c r="V1280" s="438"/>
      <c r="W1280" s="47"/>
      <c r="X1280" s="47"/>
      <c r="Y1280" s="319">
        <v>0</v>
      </c>
      <c r="Z1280" s="320"/>
      <c r="AA1280" s="328">
        <f t="shared" si="167"/>
        <v>0</v>
      </c>
      <c r="AB1280" s="400">
        <f t="shared" si="168"/>
        <v>0</v>
      </c>
      <c r="AC1280" s="4"/>
      <c r="AD1280" s="47"/>
      <c r="AE1280" s="47"/>
      <c r="AF1280" s="319"/>
      <c r="AG1280" s="328">
        <f t="shared" si="169"/>
        <v>0</v>
      </c>
    </row>
    <row r="1281" spans="2:42">
      <c r="B1281" s="267" t="s">
        <v>362</v>
      </c>
      <c r="C1281" s="47"/>
      <c r="D1281" s="5"/>
      <c r="E1281" s="319">
        <v>0</v>
      </c>
      <c r="F1281" s="320"/>
      <c r="G1281" s="4"/>
      <c r="H1281" s="47"/>
      <c r="I1281" s="5"/>
      <c r="J1281" s="319">
        <v>0</v>
      </c>
      <c r="K1281" s="320"/>
      <c r="L1281" s="438"/>
      <c r="M1281" s="47"/>
      <c r="N1281" s="5"/>
      <c r="O1281" s="319">
        <v>0</v>
      </c>
      <c r="P1281" s="320"/>
      <c r="Q1281" s="438"/>
      <c r="R1281" s="47"/>
      <c r="S1281" s="5"/>
      <c r="T1281" s="319">
        <v>0</v>
      </c>
      <c r="U1281" s="320"/>
      <c r="V1281" s="438"/>
      <c r="W1281" s="47"/>
      <c r="X1281" s="5"/>
      <c r="Y1281" s="319">
        <v>0</v>
      </c>
      <c r="Z1281" s="320"/>
      <c r="AA1281" s="328">
        <f t="shared" si="167"/>
        <v>0</v>
      </c>
      <c r="AB1281" s="400">
        <f t="shared" si="168"/>
        <v>0</v>
      </c>
      <c r="AC1281" s="4"/>
      <c r="AD1281" s="47"/>
      <c r="AE1281" s="47"/>
      <c r="AF1281" s="319"/>
      <c r="AG1281" s="328">
        <f t="shared" si="169"/>
        <v>0</v>
      </c>
    </row>
    <row r="1282" spans="2:42">
      <c r="B1282" s="437" t="s">
        <v>355</v>
      </c>
      <c r="C1282" s="47"/>
      <c r="D1282" s="47"/>
      <c r="E1282" s="319">
        <v>0</v>
      </c>
      <c r="F1282" s="320"/>
      <c r="G1282" s="4"/>
      <c r="H1282" s="47"/>
      <c r="I1282" s="47"/>
      <c r="J1282" s="319">
        <v>0</v>
      </c>
      <c r="K1282" s="320"/>
      <c r="L1282" s="438"/>
      <c r="M1282" s="47"/>
      <c r="N1282" s="47"/>
      <c r="O1282" s="319">
        <v>0</v>
      </c>
      <c r="P1282" s="320"/>
      <c r="Q1282" s="438"/>
      <c r="R1282" s="47"/>
      <c r="S1282" s="47"/>
      <c r="T1282" s="319">
        <v>0</v>
      </c>
      <c r="U1282" s="320"/>
      <c r="V1282" s="438"/>
      <c r="W1282" s="47"/>
      <c r="X1282" s="47"/>
      <c r="Y1282" s="319">
        <v>0</v>
      </c>
      <c r="Z1282" s="320"/>
      <c r="AA1282" s="328">
        <f t="shared" si="167"/>
        <v>0</v>
      </c>
      <c r="AB1282" s="400">
        <f t="shared" si="168"/>
        <v>0</v>
      </c>
      <c r="AC1282" s="4"/>
      <c r="AD1282" s="47"/>
      <c r="AE1282" s="47"/>
      <c r="AF1282" s="319"/>
      <c r="AG1282" s="328">
        <f t="shared" si="169"/>
        <v>0</v>
      </c>
    </row>
    <row r="1283" spans="2:42">
      <c r="B1283" s="437" t="s">
        <v>356</v>
      </c>
      <c r="C1283" s="713"/>
      <c r="D1283" s="713"/>
      <c r="E1283" s="319">
        <v>0</v>
      </c>
      <c r="F1283" s="320"/>
      <c r="G1283" s="438"/>
      <c r="H1283" s="5"/>
      <c r="I1283" s="5"/>
      <c r="J1283" s="319">
        <v>0</v>
      </c>
      <c r="K1283" s="320"/>
      <c r="L1283" s="438"/>
      <c r="M1283" s="5"/>
      <c r="N1283" s="5"/>
      <c r="O1283" s="319">
        <v>0</v>
      </c>
      <c r="P1283" s="320"/>
      <c r="Q1283" s="438"/>
      <c r="R1283" s="5"/>
      <c r="S1283" s="5"/>
      <c r="T1283" s="319">
        <v>0</v>
      </c>
      <c r="U1283" s="320"/>
      <c r="V1283" s="438"/>
      <c r="W1283" s="5"/>
      <c r="X1283" s="5"/>
      <c r="Y1283" s="319">
        <v>0</v>
      </c>
      <c r="Z1283" s="320"/>
      <c r="AA1283" s="328">
        <f t="shared" si="167"/>
        <v>0</v>
      </c>
      <c r="AB1283" s="400">
        <f t="shared" si="168"/>
        <v>0</v>
      </c>
      <c r="AC1283" s="4"/>
      <c r="AD1283" s="47"/>
      <c r="AE1283" s="47"/>
      <c r="AF1283" s="319"/>
      <c r="AG1283" s="328">
        <f t="shared" si="169"/>
        <v>0</v>
      </c>
    </row>
    <row r="1284" spans="2:42">
      <c r="B1284" s="31" t="s">
        <v>61</v>
      </c>
      <c r="C1284" s="31"/>
      <c r="D1284" s="31"/>
      <c r="E1284" s="439">
        <f>SUM(E1263:E1283)</f>
        <v>0</v>
      </c>
      <c r="F1284" s="320"/>
      <c r="G1284" s="31"/>
      <c r="H1284" s="31"/>
      <c r="I1284" s="31"/>
      <c r="J1284" s="439">
        <f>SUM(J1263:J1283)</f>
        <v>0</v>
      </c>
      <c r="K1284" s="320"/>
      <c r="L1284" s="31"/>
      <c r="M1284" s="31"/>
      <c r="N1284" s="31"/>
      <c r="O1284" s="439">
        <f>SUM(O1263:O1283)</f>
        <v>7</v>
      </c>
      <c r="P1284" s="320"/>
      <c r="Q1284" s="31"/>
      <c r="R1284" s="31"/>
      <c r="S1284" s="31"/>
      <c r="T1284" s="439">
        <f>SUM(T1263:T1283)</f>
        <v>0</v>
      </c>
      <c r="U1284" s="320"/>
      <c r="V1284" s="31"/>
      <c r="W1284" s="31"/>
      <c r="X1284" s="31"/>
      <c r="Y1284" s="439">
        <f>SUM(Y1263:Y1283)</f>
        <v>0</v>
      </c>
      <c r="Z1284" s="320"/>
      <c r="AA1284" s="328">
        <f>SUM(AA1263:AA1283)</f>
        <v>7</v>
      </c>
      <c r="AB1284" s="328">
        <f>SUM(AB1263:AB1283)</f>
        <v>0</v>
      </c>
      <c r="AC1284" s="4"/>
      <c r="AD1284" s="31"/>
      <c r="AE1284" s="31"/>
      <c r="AF1284" s="328">
        <f>SUM(AF1263:AF1283)</f>
        <v>0</v>
      </c>
      <c r="AG1284" s="328">
        <f>SUM(AG1263:AG1283)</f>
        <v>0</v>
      </c>
    </row>
    <row r="1285" spans="2:42">
      <c r="B1285" s="267" t="s">
        <v>1116</v>
      </c>
      <c r="C1285" s="47"/>
      <c r="D1285" s="47"/>
      <c r="E1285" s="319">
        <v>4</v>
      </c>
      <c r="F1285" s="320"/>
      <c r="G1285" s="4"/>
      <c r="H1285" s="47"/>
      <c r="I1285" s="47"/>
      <c r="J1285" s="319">
        <v>4</v>
      </c>
      <c r="K1285" s="320"/>
      <c r="L1285" s="4"/>
      <c r="M1285" s="47"/>
      <c r="N1285" s="47"/>
      <c r="O1285" s="319">
        <v>4</v>
      </c>
      <c r="P1285" s="320"/>
      <c r="R1285" s="47"/>
      <c r="S1285" s="47"/>
      <c r="T1285" s="319">
        <v>4</v>
      </c>
      <c r="U1285" s="320"/>
      <c r="W1285" s="47"/>
      <c r="X1285" s="47"/>
      <c r="Y1285" s="319">
        <v>4</v>
      </c>
      <c r="Z1285" s="320"/>
      <c r="AA1285" s="328">
        <f>(E1285+J1285+O1285+T1285+Y1285)</f>
        <v>20</v>
      </c>
      <c r="AB1285" s="400">
        <f>Z1285+U1285+P1285+K1285+F1285</f>
        <v>0</v>
      </c>
      <c r="AC1285" s="4"/>
      <c r="AD1285" s="47"/>
      <c r="AE1285" s="47"/>
      <c r="AF1285" s="319"/>
      <c r="AG1285" s="328">
        <f>AF1285</f>
        <v>0</v>
      </c>
    </row>
    <row r="1286" spans="2:42">
      <c r="B1286" s="267" t="s">
        <v>64</v>
      </c>
      <c r="C1286" s="47"/>
      <c r="D1286" s="47"/>
      <c r="E1286" s="319">
        <v>0</v>
      </c>
      <c r="F1286" s="319"/>
      <c r="G1286" s="71"/>
      <c r="H1286" s="47"/>
      <c r="I1286" s="47"/>
      <c r="J1286" s="319">
        <v>0</v>
      </c>
      <c r="K1286" s="319"/>
      <c r="L1286" s="438"/>
      <c r="M1286" s="47"/>
      <c r="N1286" s="47"/>
      <c r="O1286" s="319">
        <v>0</v>
      </c>
      <c r="P1286" s="319"/>
      <c r="Q1286" s="438"/>
      <c r="R1286" s="47"/>
      <c r="S1286" s="47"/>
      <c r="T1286" s="319">
        <v>0</v>
      </c>
      <c r="U1286" s="319"/>
      <c r="V1286" s="438"/>
      <c r="W1286" s="47"/>
      <c r="X1286" s="47"/>
      <c r="Y1286" s="319">
        <v>0</v>
      </c>
      <c r="Z1286" s="319"/>
      <c r="AA1286" s="328">
        <f>SUM(E1286+J1286+O1286+T1286+Y1286)</f>
        <v>0</v>
      </c>
      <c r="AB1286" s="897">
        <f>Z1286+U1286+P1286+K1286+F1286</f>
        <v>0</v>
      </c>
      <c r="AC1286" s="4"/>
      <c r="AD1286" s="47" t="s">
        <v>29</v>
      </c>
      <c r="AE1286" s="47" t="s">
        <v>29</v>
      </c>
      <c r="AF1286" s="319"/>
      <c r="AG1286" s="328">
        <f>AF1286</f>
        <v>0</v>
      </c>
    </row>
    <row r="1287" spans="2:42">
      <c r="B1287" s="71" t="s">
        <v>66</v>
      </c>
      <c r="C1287" s="371"/>
      <c r="D1287" s="371"/>
      <c r="E1287" s="71"/>
      <c r="F1287" s="71"/>
      <c r="G1287" s="71"/>
      <c r="H1287" s="71"/>
      <c r="I1287" s="71"/>
      <c r="J1287" s="71"/>
      <c r="K1287" s="71"/>
      <c r="L1287" s="71"/>
      <c r="M1287" s="71"/>
      <c r="N1287" s="71"/>
      <c r="O1287" s="71"/>
      <c r="P1287" s="71"/>
      <c r="Q1287" s="71"/>
      <c r="R1287" s="71"/>
      <c r="S1287" s="71"/>
      <c r="T1287" s="71"/>
      <c r="U1287" s="71"/>
      <c r="V1287" s="71"/>
      <c r="W1287" s="71"/>
      <c r="X1287" s="71"/>
      <c r="Y1287" s="71"/>
      <c r="Z1287" s="71"/>
      <c r="AA1287" s="328">
        <f>SUM(AA1285:AA1286)</f>
        <v>20</v>
      </c>
      <c r="AB1287" s="328">
        <f>SUM(AB1286:AB1286)</f>
        <v>0</v>
      </c>
      <c r="AC1287" s="4"/>
      <c r="AG1287" s="328">
        <f>SUM(AG1286:AG1286)</f>
        <v>0</v>
      </c>
      <c r="AK1287" s="407"/>
    </row>
    <row r="1288" spans="2:42">
      <c r="B1288" s="899" t="s">
        <v>67</v>
      </c>
      <c r="C1288" s="900">
        <f>C1289+C1290</f>
        <v>0</v>
      </c>
      <c r="D1288" s="900"/>
      <c r="E1288" s="901"/>
      <c r="F1288" s="901"/>
      <c r="G1288" s="900"/>
      <c r="H1288" s="901"/>
      <c r="I1288" s="901"/>
      <c r="J1288" s="901"/>
      <c r="K1288" s="901"/>
      <c r="L1288" s="900"/>
      <c r="M1288" s="900"/>
      <c r="N1288" s="900"/>
      <c r="O1288" s="900"/>
      <c r="P1288" s="901"/>
      <c r="Q1288" s="900"/>
      <c r="R1288" s="900"/>
      <c r="S1288" s="900"/>
      <c r="T1288" s="900"/>
      <c r="U1288" s="901"/>
      <c r="V1288" s="900"/>
      <c r="W1288" s="900"/>
      <c r="X1288" s="900"/>
      <c r="Y1288" s="902"/>
      <c r="Z1288" s="901"/>
      <c r="AA1288" s="903"/>
      <c r="AB1288" s="901"/>
      <c r="AC1288" s="903"/>
      <c r="AD1288" s="903"/>
      <c r="AE1288" s="903"/>
      <c r="AF1288" s="903"/>
      <c r="AG1288" s="903"/>
      <c r="AK1288" s="407"/>
    </row>
    <row r="1289" spans="2:42">
      <c r="B1289" s="904" t="s">
        <v>68</v>
      </c>
      <c r="C1289" s="900">
        <v>0</v>
      </c>
      <c r="D1289" s="900"/>
      <c r="E1289" s="901"/>
      <c r="F1289" s="901"/>
      <c r="G1289" s="900"/>
      <c r="H1289" s="901"/>
      <c r="I1289" s="901"/>
      <c r="J1289" s="901"/>
      <c r="K1289" s="901"/>
      <c r="L1289" s="900"/>
      <c r="M1289" s="900"/>
      <c r="N1289" s="900"/>
      <c r="O1289" s="900"/>
      <c r="P1289" s="901"/>
      <c r="Q1289" s="900"/>
      <c r="R1289" s="900"/>
      <c r="S1289" s="900"/>
      <c r="T1289" s="900"/>
      <c r="U1289" s="901"/>
      <c r="V1289" s="900"/>
      <c r="W1289" s="900"/>
      <c r="X1289" s="900"/>
      <c r="Y1289" s="902"/>
      <c r="Z1289" s="901"/>
      <c r="AA1289" s="903"/>
      <c r="AB1289" s="901"/>
      <c r="AC1289" s="903"/>
      <c r="AD1289" s="903"/>
      <c r="AE1289" s="903"/>
      <c r="AF1289" s="903"/>
      <c r="AG1289" s="903"/>
      <c r="AK1289" s="407"/>
    </row>
    <row r="1290" spans="2:42">
      <c r="B1290" s="904" t="s">
        <v>69</v>
      </c>
      <c r="C1290" s="900">
        <v>0</v>
      </c>
      <c r="D1290" s="900"/>
      <c r="E1290" s="901"/>
      <c r="F1290" s="901"/>
      <c r="G1290" s="900"/>
      <c r="H1290" s="901"/>
      <c r="I1290" s="901"/>
      <c r="J1290" s="901"/>
      <c r="K1290" s="901"/>
      <c r="L1290" s="900"/>
      <c r="M1290" s="900"/>
      <c r="N1290" s="900"/>
      <c r="O1290" s="900"/>
      <c r="P1290" s="901"/>
      <c r="Q1290" s="900"/>
      <c r="R1290" s="900"/>
      <c r="S1290" s="900"/>
      <c r="T1290" s="900"/>
      <c r="U1290" s="901"/>
      <c r="V1290" s="900"/>
      <c r="W1290" s="900"/>
      <c r="X1290" s="900"/>
      <c r="Y1290" s="902"/>
      <c r="Z1290" s="901"/>
      <c r="AA1290" s="903"/>
      <c r="AB1290" s="901"/>
      <c r="AC1290" s="903"/>
      <c r="AD1290" s="903"/>
      <c r="AE1290" s="903"/>
      <c r="AF1290" s="903"/>
      <c r="AG1290" s="903"/>
    </row>
    <row r="1293" spans="2:42" ht="25.5">
      <c r="B1293" s="1571"/>
      <c r="C1293" s="1570">
        <v>45978</v>
      </c>
      <c r="D1293" s="1570"/>
      <c r="E1293" s="1570" t="s">
        <v>564</v>
      </c>
      <c r="F1293" s="1570"/>
      <c r="G1293" s="894"/>
      <c r="H1293" s="1570">
        <v>45979</v>
      </c>
      <c r="I1293" s="1570"/>
      <c r="J1293" s="1570" t="s">
        <v>565</v>
      </c>
      <c r="K1293" s="1570"/>
      <c r="L1293" s="894"/>
      <c r="M1293" s="1570">
        <v>45980</v>
      </c>
      <c r="N1293" s="1570"/>
      <c r="O1293" s="1570" t="s">
        <v>566</v>
      </c>
      <c r="P1293" s="1570"/>
      <c r="Q1293" s="894"/>
      <c r="R1293" s="1570">
        <v>45981</v>
      </c>
      <c r="S1293" s="1570"/>
      <c r="T1293" s="1570" t="s">
        <v>567</v>
      </c>
      <c r="U1293" s="1570"/>
      <c r="V1293" s="894"/>
      <c r="W1293" s="1570">
        <v>45982</v>
      </c>
      <c r="X1293" s="1570"/>
      <c r="Y1293" s="1570" t="s">
        <v>568</v>
      </c>
      <c r="Z1293" s="1570"/>
      <c r="AA1293" s="1569" t="s">
        <v>19</v>
      </c>
      <c r="AB1293" s="1569" t="s">
        <v>20</v>
      </c>
      <c r="AC1293" s="4"/>
      <c r="AD1293" s="1570"/>
      <c r="AE1293" s="1570"/>
      <c r="AF1293" s="895" t="s">
        <v>1111</v>
      </c>
      <c r="AG1293" s="1569" t="s">
        <v>21</v>
      </c>
      <c r="AK1293" s="194" t="s">
        <v>84</v>
      </c>
      <c r="AL1293" s="366"/>
      <c r="AM1293" s="366"/>
      <c r="AN1293" s="366"/>
      <c r="AO1293" s="366"/>
      <c r="AP1293" s="366"/>
    </row>
    <row r="1294" spans="2:42">
      <c r="B1294" s="1571"/>
      <c r="C1294" s="896" t="s">
        <v>23</v>
      </c>
      <c r="D1294" s="896" t="s">
        <v>24</v>
      </c>
      <c r="E1294" s="897" t="s">
        <v>25</v>
      </c>
      <c r="F1294" s="898" t="s">
        <v>14</v>
      </c>
      <c r="G1294" s="4"/>
      <c r="H1294" s="896"/>
      <c r="I1294" s="896" t="s">
        <v>24</v>
      </c>
      <c r="J1294" s="898" t="s">
        <v>25</v>
      </c>
      <c r="K1294" s="898" t="s">
        <v>14</v>
      </c>
      <c r="L1294" s="4"/>
      <c r="M1294" s="896" t="s">
        <v>23</v>
      </c>
      <c r="N1294" s="896" t="s">
        <v>24</v>
      </c>
      <c r="O1294" s="898" t="s">
        <v>25</v>
      </c>
      <c r="P1294" s="898" t="s">
        <v>14</v>
      </c>
      <c r="R1294" s="896" t="s">
        <v>23</v>
      </c>
      <c r="S1294" s="896" t="s">
        <v>24</v>
      </c>
      <c r="T1294" s="898" t="s">
        <v>25</v>
      </c>
      <c r="U1294" s="898" t="s">
        <v>14</v>
      </c>
      <c r="W1294" s="896" t="s">
        <v>23</v>
      </c>
      <c r="X1294" s="896" t="s">
        <v>24</v>
      </c>
      <c r="Y1294" s="898" t="s">
        <v>25</v>
      </c>
      <c r="Z1294" s="898" t="s">
        <v>14</v>
      </c>
      <c r="AA1294" s="1569"/>
      <c r="AB1294" s="1569"/>
      <c r="AC1294" s="4"/>
      <c r="AD1294" s="896" t="s">
        <v>23</v>
      </c>
      <c r="AE1294" s="896" t="s">
        <v>24</v>
      </c>
      <c r="AF1294" s="898" t="s">
        <v>25</v>
      </c>
      <c r="AG1294" s="1569"/>
      <c r="AK1294" s="188" t="s">
        <v>26</v>
      </c>
      <c r="AL1294" s="196">
        <f>AA1316</f>
        <v>16</v>
      </c>
      <c r="AM1294" s="510">
        <v>40.31</v>
      </c>
      <c r="AN1294" s="510">
        <f t="shared" ref="AN1294:AN1299" si="170">AL1294*AM1294</f>
        <v>644.96</v>
      </c>
    </row>
    <row r="1295" spans="2:42">
      <c r="B1295" s="47" t="s">
        <v>515</v>
      </c>
      <c r="C1295" s="47"/>
      <c r="D1295" s="47"/>
      <c r="E1295" s="319">
        <v>0</v>
      </c>
      <c r="F1295" s="320"/>
      <c r="G1295" s="4"/>
      <c r="H1295" s="47"/>
      <c r="I1295" s="47"/>
      <c r="J1295" s="319">
        <v>0</v>
      </c>
      <c r="K1295" s="320"/>
      <c r="L1295" s="4"/>
      <c r="M1295" s="47"/>
      <c r="N1295" s="47"/>
      <c r="O1295" s="319">
        <v>0</v>
      </c>
      <c r="P1295" s="320"/>
      <c r="R1295" s="47"/>
      <c r="S1295" s="47"/>
      <c r="T1295" s="319">
        <v>0</v>
      </c>
      <c r="U1295" s="320"/>
      <c r="W1295" s="47"/>
      <c r="X1295" s="47"/>
      <c r="Y1295" s="319">
        <v>0</v>
      </c>
      <c r="Z1295" s="320"/>
      <c r="AA1295" s="328">
        <f t="shared" ref="AA1295:AA1315" si="171">(E1295+J1295+O1295+T1295+Y1295)</f>
        <v>0</v>
      </c>
      <c r="AB1295" s="400">
        <f t="shared" ref="AB1295:AB1315" si="172">Z1295+U1295+P1295+K1295+F1295</f>
        <v>0</v>
      </c>
      <c r="AC1295" s="4"/>
      <c r="AF1295" s="319"/>
      <c r="AG1295" s="328">
        <f t="shared" ref="AG1295:AG1315" si="173">AF1295</f>
        <v>0</v>
      </c>
      <c r="AK1295" s="188" t="s">
        <v>30</v>
      </c>
      <c r="AL1295" s="196">
        <f>AB1316</f>
        <v>0</v>
      </c>
      <c r="AM1295" s="510">
        <v>60.465000000000003</v>
      </c>
      <c r="AN1295" s="510">
        <f t="shared" si="170"/>
        <v>0</v>
      </c>
    </row>
    <row r="1296" spans="2:42">
      <c r="B1296" s="47" t="s">
        <v>1112</v>
      </c>
      <c r="C1296" s="47"/>
      <c r="D1296" s="47"/>
      <c r="E1296" s="319">
        <v>0</v>
      </c>
      <c r="F1296" s="320"/>
      <c r="G1296" s="4"/>
      <c r="H1296" s="47"/>
      <c r="I1296" s="47"/>
      <c r="J1296" s="319">
        <v>0</v>
      </c>
      <c r="K1296" s="320"/>
      <c r="L1296" s="4"/>
      <c r="M1296" s="47"/>
      <c r="N1296" s="47"/>
      <c r="O1296" s="319">
        <v>0</v>
      </c>
      <c r="P1296" s="320"/>
      <c r="R1296" s="47"/>
      <c r="S1296" s="47"/>
      <c r="T1296" s="319">
        <v>0</v>
      </c>
      <c r="U1296" s="320"/>
      <c r="W1296" s="47"/>
      <c r="X1296" s="47"/>
      <c r="Y1296" s="319">
        <v>0</v>
      </c>
      <c r="Z1296" s="320"/>
      <c r="AA1296" s="328">
        <f t="shared" si="171"/>
        <v>0</v>
      </c>
      <c r="AB1296" s="400">
        <f t="shared" si="172"/>
        <v>0</v>
      </c>
      <c r="AC1296" s="4"/>
      <c r="AD1296" s="47"/>
      <c r="AE1296" s="47"/>
      <c r="AF1296" s="319"/>
      <c r="AG1296" s="328">
        <f t="shared" si="173"/>
        <v>0</v>
      </c>
      <c r="AK1296" s="188" t="s">
        <v>32</v>
      </c>
      <c r="AL1296" s="196">
        <f>AG1316</f>
        <v>0</v>
      </c>
      <c r="AM1296" s="510">
        <v>60.465000000000003</v>
      </c>
      <c r="AN1296" s="510">
        <f t="shared" si="170"/>
        <v>0</v>
      </c>
    </row>
    <row r="1297" spans="2:40">
      <c r="B1297" s="47" t="s">
        <v>234</v>
      </c>
      <c r="C1297" s="47"/>
      <c r="D1297" s="47"/>
      <c r="E1297" s="319">
        <v>0</v>
      </c>
      <c r="F1297" s="320"/>
      <c r="G1297" s="4"/>
      <c r="H1297" s="47"/>
      <c r="I1297" s="47"/>
      <c r="J1297" s="319">
        <v>0</v>
      </c>
      <c r="K1297" s="320"/>
      <c r="L1297" s="4"/>
      <c r="M1297" s="47"/>
      <c r="N1297" s="47"/>
      <c r="O1297" s="319">
        <v>0</v>
      </c>
      <c r="P1297" s="320"/>
      <c r="R1297" s="47"/>
      <c r="S1297" s="47"/>
      <c r="T1297" s="319">
        <v>0</v>
      </c>
      <c r="U1297" s="320"/>
      <c r="W1297" s="47"/>
      <c r="X1297" s="47"/>
      <c r="Y1297" s="319">
        <v>0</v>
      </c>
      <c r="Z1297" s="320"/>
      <c r="AA1297" s="328">
        <f t="shared" si="171"/>
        <v>0</v>
      </c>
      <c r="AB1297" s="400">
        <f t="shared" si="172"/>
        <v>0</v>
      </c>
      <c r="AC1297" s="4"/>
      <c r="AD1297" s="47"/>
      <c r="AE1297" s="47"/>
      <c r="AF1297" s="319"/>
      <c r="AG1297" s="328">
        <f t="shared" si="173"/>
        <v>0</v>
      </c>
      <c r="AK1297" s="188" t="s">
        <v>213</v>
      </c>
      <c r="AL1297" s="196">
        <f>AA1319</f>
        <v>20</v>
      </c>
      <c r="AM1297" s="510">
        <v>53.05</v>
      </c>
      <c r="AN1297" s="510">
        <f t="shared" si="170"/>
        <v>1061</v>
      </c>
    </row>
    <row r="1298" spans="2:40">
      <c r="B1298" s="47" t="s">
        <v>637</v>
      </c>
      <c r="C1298" s="47"/>
      <c r="D1298" s="47"/>
      <c r="E1298" s="319">
        <v>0</v>
      </c>
      <c r="F1298" s="320"/>
      <c r="G1298" s="4"/>
      <c r="H1298" s="47"/>
      <c r="I1298" s="47"/>
      <c r="J1298" s="319">
        <v>0</v>
      </c>
      <c r="K1298" s="320"/>
      <c r="L1298" s="4"/>
      <c r="M1298" s="47"/>
      <c r="N1298" s="47"/>
      <c r="O1298" s="319">
        <v>0</v>
      </c>
      <c r="P1298" s="320"/>
      <c r="R1298" s="47"/>
      <c r="S1298" s="47"/>
      <c r="T1298" s="319">
        <v>0</v>
      </c>
      <c r="U1298" s="320"/>
      <c r="W1298" s="47"/>
      <c r="X1298" s="47"/>
      <c r="Y1298" s="319">
        <v>0</v>
      </c>
      <c r="Z1298" s="320"/>
      <c r="AA1298" s="328">
        <f t="shared" si="171"/>
        <v>0</v>
      </c>
      <c r="AB1298" s="400">
        <f t="shared" si="172"/>
        <v>0</v>
      </c>
      <c r="AC1298" s="4"/>
      <c r="AD1298" s="47"/>
      <c r="AE1298" s="47"/>
      <c r="AF1298" s="319"/>
      <c r="AG1298" s="328">
        <f t="shared" si="173"/>
        <v>0</v>
      </c>
      <c r="AK1298" s="188" t="s">
        <v>36</v>
      </c>
      <c r="AL1298" s="196">
        <f>AB1319</f>
        <v>0</v>
      </c>
      <c r="AM1298" s="510">
        <v>79.574999999999989</v>
      </c>
      <c r="AN1298" s="510">
        <f t="shared" si="170"/>
        <v>0</v>
      </c>
    </row>
    <row r="1299" spans="2:40">
      <c r="B1299" s="374" t="s">
        <v>998</v>
      </c>
      <c r="C1299" s="47"/>
      <c r="D1299" s="47"/>
      <c r="E1299" s="319">
        <v>0</v>
      </c>
      <c r="F1299" s="320"/>
      <c r="G1299" s="4"/>
      <c r="H1299" s="47"/>
      <c r="I1299" s="47"/>
      <c r="J1299" s="319">
        <v>0</v>
      </c>
      <c r="K1299" s="320"/>
      <c r="L1299" s="4"/>
      <c r="M1299" s="47"/>
      <c r="N1299" s="47"/>
      <c r="O1299" s="319">
        <v>0</v>
      </c>
      <c r="P1299" s="320"/>
      <c r="R1299" s="47"/>
      <c r="S1299" s="47"/>
      <c r="T1299" s="319">
        <v>0</v>
      </c>
      <c r="U1299" s="320"/>
      <c r="W1299" s="47"/>
      <c r="X1299" s="47"/>
      <c r="Y1299" s="319">
        <v>0</v>
      </c>
      <c r="Z1299" s="320"/>
      <c r="AA1299" s="328">
        <f t="shared" si="171"/>
        <v>0</v>
      </c>
      <c r="AB1299" s="400">
        <f t="shared" si="172"/>
        <v>0</v>
      </c>
      <c r="AC1299" s="4"/>
      <c r="AD1299" s="47"/>
      <c r="AE1299" s="47"/>
      <c r="AF1299" s="319"/>
      <c r="AG1299" s="328">
        <f t="shared" si="173"/>
        <v>0</v>
      </c>
      <c r="AK1299" s="188" t="s">
        <v>38</v>
      </c>
      <c r="AL1299" s="196">
        <f>AG1319</f>
        <v>0</v>
      </c>
      <c r="AM1299" s="510">
        <v>79.574999999999989</v>
      </c>
      <c r="AN1299" s="510">
        <f t="shared" si="170"/>
        <v>0</v>
      </c>
    </row>
    <row r="1300" spans="2:40">
      <c r="B1300" s="47" t="s">
        <v>53</v>
      </c>
      <c r="C1300" s="47"/>
      <c r="D1300" s="47"/>
      <c r="E1300" s="319">
        <v>0</v>
      </c>
      <c r="F1300" s="320"/>
      <c r="G1300" s="4"/>
      <c r="H1300" s="47"/>
      <c r="I1300" s="47"/>
      <c r="J1300" s="319">
        <v>0</v>
      </c>
      <c r="K1300" s="320"/>
      <c r="L1300" s="4"/>
      <c r="M1300" s="47"/>
      <c r="N1300" s="47"/>
      <c r="O1300" s="319">
        <v>0</v>
      </c>
      <c r="P1300" s="320"/>
      <c r="R1300" s="47"/>
      <c r="S1300" s="47"/>
      <c r="T1300" s="319">
        <v>0</v>
      </c>
      <c r="U1300" s="320"/>
      <c r="W1300" s="47"/>
      <c r="X1300" s="47"/>
      <c r="Y1300" s="319">
        <v>0</v>
      </c>
      <c r="Z1300" s="320"/>
      <c r="AA1300" s="328">
        <f t="shared" si="171"/>
        <v>0</v>
      </c>
      <c r="AB1300" s="400">
        <f t="shared" si="172"/>
        <v>0</v>
      </c>
      <c r="AC1300" s="4"/>
      <c r="AD1300" s="47"/>
      <c r="AE1300" s="47"/>
      <c r="AF1300" s="319"/>
      <c r="AG1300" s="328">
        <f t="shared" si="173"/>
        <v>0</v>
      </c>
      <c r="AN1300" s="510">
        <f>SUM(AN1294:AN1299)</f>
        <v>1705.96</v>
      </c>
    </row>
    <row r="1301" spans="2:40">
      <c r="B1301" s="47" t="s">
        <v>241</v>
      </c>
      <c r="C1301" s="47"/>
      <c r="D1301" s="47"/>
      <c r="E1301" s="319">
        <v>0</v>
      </c>
      <c r="F1301" s="320"/>
      <c r="G1301" s="4"/>
      <c r="H1301" s="47">
        <v>0.375</v>
      </c>
      <c r="I1301" s="47">
        <v>0.25</v>
      </c>
      <c r="J1301" s="319">
        <v>8</v>
      </c>
      <c r="K1301" s="320"/>
      <c r="L1301" s="4"/>
      <c r="M1301" s="47">
        <v>0.375</v>
      </c>
      <c r="N1301" s="47">
        <v>0.25</v>
      </c>
      <c r="O1301" s="319">
        <v>8</v>
      </c>
      <c r="P1301" s="320"/>
      <c r="R1301" s="47"/>
      <c r="S1301" s="47"/>
      <c r="T1301" s="319">
        <v>0</v>
      </c>
      <c r="U1301" s="320"/>
      <c r="W1301" s="47"/>
      <c r="X1301" s="47"/>
      <c r="Y1301" s="319">
        <v>0</v>
      </c>
      <c r="Z1301" s="320"/>
      <c r="AA1301" s="328">
        <f t="shared" si="171"/>
        <v>16</v>
      </c>
      <c r="AB1301" s="400">
        <f t="shared" si="172"/>
        <v>0</v>
      </c>
      <c r="AC1301" s="4"/>
      <c r="AD1301" s="47"/>
      <c r="AE1301" s="47"/>
      <c r="AF1301" s="319"/>
      <c r="AG1301" s="328">
        <f t="shared" si="173"/>
        <v>0</v>
      </c>
    </row>
    <row r="1302" spans="2:40">
      <c r="B1302" s="47" t="s">
        <v>1140</v>
      </c>
      <c r="C1302" s="47"/>
      <c r="D1302" s="441"/>
      <c r="E1302" s="319">
        <v>0</v>
      </c>
      <c r="F1302" s="320"/>
      <c r="G1302" s="4"/>
      <c r="H1302" s="47"/>
      <c r="I1302" s="47"/>
      <c r="J1302" s="319">
        <v>0</v>
      </c>
      <c r="K1302" s="320"/>
      <c r="L1302" s="4"/>
      <c r="M1302" s="47"/>
      <c r="N1302" s="47"/>
      <c r="O1302" s="319">
        <v>0</v>
      </c>
      <c r="P1302" s="320"/>
      <c r="R1302" s="47"/>
      <c r="S1302" s="47"/>
      <c r="T1302" s="319">
        <v>0</v>
      </c>
      <c r="U1302" s="320"/>
      <c r="W1302" s="47"/>
      <c r="X1302" s="47"/>
      <c r="Y1302" s="319">
        <v>0</v>
      </c>
      <c r="Z1302" s="320"/>
      <c r="AA1302" s="328">
        <f t="shared" si="171"/>
        <v>0</v>
      </c>
      <c r="AB1302" s="400">
        <f t="shared" si="172"/>
        <v>0</v>
      </c>
      <c r="AC1302" s="4"/>
      <c r="AD1302" s="47"/>
      <c r="AE1302" s="47"/>
      <c r="AF1302" s="319"/>
      <c r="AG1302" s="328">
        <f t="shared" si="173"/>
        <v>0</v>
      </c>
      <c r="AK1302" s="192" t="s">
        <v>1115</v>
      </c>
      <c r="AL1302" s="189">
        <f>C1320</f>
        <v>3</v>
      </c>
      <c r="AM1302" s="510">
        <v>45</v>
      </c>
      <c r="AN1302" s="510">
        <f>AM1302*AL1302</f>
        <v>135</v>
      </c>
    </row>
    <row r="1303" spans="2:40">
      <c r="B1303" s="47" t="s">
        <v>1113</v>
      </c>
      <c r="C1303" s="47"/>
      <c r="D1303" s="47"/>
      <c r="E1303" s="319">
        <v>0</v>
      </c>
      <c r="F1303" s="320"/>
      <c r="G1303" s="4"/>
      <c r="H1303" s="47"/>
      <c r="I1303" s="47"/>
      <c r="J1303" s="319">
        <v>0</v>
      </c>
      <c r="K1303" s="320"/>
      <c r="L1303" s="4"/>
      <c r="M1303" s="47"/>
      <c r="N1303" s="47"/>
      <c r="O1303" s="319">
        <v>0</v>
      </c>
      <c r="P1303" s="320"/>
      <c r="R1303" s="47"/>
      <c r="S1303" s="47"/>
      <c r="T1303" s="319">
        <v>0</v>
      </c>
      <c r="U1303" s="320"/>
      <c r="W1303" s="47"/>
      <c r="X1303" s="47"/>
      <c r="Y1303" s="319">
        <v>0</v>
      </c>
      <c r="Z1303" s="320"/>
      <c r="AA1303" s="328">
        <f t="shared" si="171"/>
        <v>0</v>
      </c>
      <c r="AB1303" s="400">
        <f t="shared" si="172"/>
        <v>0</v>
      </c>
      <c r="AC1303" s="4"/>
      <c r="AD1303" s="47"/>
      <c r="AE1303" s="47"/>
      <c r="AF1303" s="319"/>
      <c r="AG1303" s="328">
        <f t="shared" si="173"/>
        <v>0</v>
      </c>
    </row>
    <row r="1304" spans="2:40">
      <c r="B1304" s="502" t="s">
        <v>483</v>
      </c>
      <c r="C1304" s="47"/>
      <c r="D1304" s="47"/>
      <c r="E1304" s="319">
        <v>0</v>
      </c>
      <c r="F1304" s="320"/>
      <c r="G1304" s="4"/>
      <c r="H1304" s="47"/>
      <c r="I1304" s="47"/>
      <c r="J1304" s="319">
        <v>0</v>
      </c>
      <c r="K1304" s="320"/>
      <c r="L1304" s="4"/>
      <c r="M1304" s="47"/>
      <c r="N1304" s="47"/>
      <c r="O1304" s="319">
        <v>0</v>
      </c>
      <c r="P1304" s="320"/>
      <c r="R1304" s="47"/>
      <c r="S1304" s="47"/>
      <c r="T1304" s="319">
        <v>0</v>
      </c>
      <c r="U1304" s="320"/>
      <c r="W1304" s="47"/>
      <c r="X1304" s="47"/>
      <c r="Y1304" s="319">
        <v>0</v>
      </c>
      <c r="Z1304" s="320"/>
      <c r="AA1304" s="328">
        <f t="shared" si="171"/>
        <v>0</v>
      </c>
      <c r="AB1304" s="400">
        <f t="shared" si="172"/>
        <v>0</v>
      </c>
      <c r="AC1304" s="4"/>
      <c r="AD1304" s="47"/>
      <c r="AE1304" s="47"/>
      <c r="AF1304" s="319"/>
      <c r="AG1304" s="328">
        <f t="shared" si="173"/>
        <v>0</v>
      </c>
    </row>
    <row r="1305" spans="2:40">
      <c r="B1305" s="502" t="s">
        <v>483</v>
      </c>
      <c r="C1305" s="47"/>
      <c r="D1305" s="47"/>
      <c r="E1305" s="319">
        <v>0</v>
      </c>
      <c r="F1305" s="320"/>
      <c r="G1305" s="4"/>
      <c r="H1305" s="47"/>
      <c r="I1305" s="47"/>
      <c r="J1305" s="319">
        <v>0</v>
      </c>
      <c r="K1305" s="320"/>
      <c r="L1305" s="4"/>
      <c r="M1305" s="47"/>
      <c r="N1305" s="47"/>
      <c r="O1305" s="319">
        <v>0</v>
      </c>
      <c r="P1305" s="320"/>
      <c r="R1305" s="47"/>
      <c r="S1305" s="47"/>
      <c r="T1305" s="319">
        <v>0</v>
      </c>
      <c r="U1305" s="320"/>
      <c r="W1305" s="47"/>
      <c r="X1305" s="47"/>
      <c r="Y1305" s="319">
        <v>0</v>
      </c>
      <c r="Z1305" s="320"/>
      <c r="AA1305" s="328">
        <f t="shared" si="171"/>
        <v>0</v>
      </c>
      <c r="AB1305" s="400">
        <f t="shared" si="172"/>
        <v>0</v>
      </c>
      <c r="AC1305" s="4"/>
      <c r="AD1305" s="47"/>
      <c r="AE1305" s="47"/>
      <c r="AF1305" s="319"/>
      <c r="AG1305" s="328">
        <f t="shared" si="173"/>
        <v>0</v>
      </c>
    </row>
    <row r="1306" spans="2:40">
      <c r="B1306" s="502" t="s">
        <v>484</v>
      </c>
      <c r="C1306" s="47"/>
      <c r="D1306" s="47"/>
      <c r="E1306" s="319">
        <v>0</v>
      </c>
      <c r="F1306" s="320"/>
      <c r="G1306" s="4"/>
      <c r="H1306" s="47"/>
      <c r="I1306" s="47"/>
      <c r="J1306" s="319">
        <v>0</v>
      </c>
      <c r="K1306" s="320"/>
      <c r="L1306" s="4"/>
      <c r="M1306" s="47"/>
      <c r="N1306" s="47"/>
      <c r="O1306" s="319">
        <v>0</v>
      </c>
      <c r="P1306" s="320"/>
      <c r="R1306" s="47"/>
      <c r="S1306" s="47"/>
      <c r="T1306" s="319">
        <v>0</v>
      </c>
      <c r="U1306" s="320"/>
      <c r="W1306" s="47"/>
      <c r="X1306" s="47"/>
      <c r="Y1306" s="319">
        <v>0</v>
      </c>
      <c r="Z1306" s="320"/>
      <c r="AA1306" s="328">
        <f t="shared" si="171"/>
        <v>0</v>
      </c>
      <c r="AB1306" s="400">
        <f t="shared" si="172"/>
        <v>0</v>
      </c>
      <c r="AC1306" s="4"/>
      <c r="AD1306" s="47"/>
      <c r="AE1306" s="47"/>
      <c r="AF1306" s="319"/>
      <c r="AG1306" s="328">
        <f t="shared" si="173"/>
        <v>0</v>
      </c>
    </row>
    <row r="1307" spans="2:40">
      <c r="B1307" s="502" t="s">
        <v>485</v>
      </c>
      <c r="C1307" s="47"/>
      <c r="D1307" s="47"/>
      <c r="E1307" s="319">
        <v>0</v>
      </c>
      <c r="F1307" s="320"/>
      <c r="G1307" s="4"/>
      <c r="H1307" s="47"/>
      <c r="I1307" s="47"/>
      <c r="J1307" s="319">
        <v>0</v>
      </c>
      <c r="K1307" s="320"/>
      <c r="L1307" s="4"/>
      <c r="M1307" s="47"/>
      <c r="N1307" s="47"/>
      <c r="O1307" s="319">
        <v>0</v>
      </c>
      <c r="P1307" s="320"/>
      <c r="R1307" s="47"/>
      <c r="S1307" s="47"/>
      <c r="T1307" s="319">
        <v>0</v>
      </c>
      <c r="U1307" s="320"/>
      <c r="W1307" s="47"/>
      <c r="X1307" s="47"/>
      <c r="Y1307" s="319">
        <v>0</v>
      </c>
      <c r="Z1307" s="320"/>
      <c r="AA1307" s="328">
        <f t="shared" si="171"/>
        <v>0</v>
      </c>
      <c r="AB1307" s="400">
        <f t="shared" si="172"/>
        <v>0</v>
      </c>
      <c r="AC1307" s="4"/>
      <c r="AD1307" s="47"/>
      <c r="AE1307" s="47"/>
      <c r="AF1307" s="319"/>
      <c r="AG1307" s="328">
        <f t="shared" si="173"/>
        <v>0</v>
      </c>
    </row>
    <row r="1308" spans="2:40">
      <c r="B1308" s="502" t="s">
        <v>1129</v>
      </c>
      <c r="C1308" s="47"/>
      <c r="D1308" s="47"/>
      <c r="E1308" s="319">
        <v>0</v>
      </c>
      <c r="F1308" s="320"/>
      <c r="G1308" s="4"/>
      <c r="H1308" s="47"/>
      <c r="I1308" s="47"/>
      <c r="J1308" s="319">
        <v>0</v>
      </c>
      <c r="K1308" s="320"/>
      <c r="L1308" s="4"/>
      <c r="M1308" s="47"/>
      <c r="N1308" s="47"/>
      <c r="O1308" s="319">
        <v>0</v>
      </c>
      <c r="P1308" s="320"/>
      <c r="R1308" s="47"/>
      <c r="S1308" s="47"/>
      <c r="T1308" s="319">
        <v>0</v>
      </c>
      <c r="U1308" s="320"/>
      <c r="W1308" s="47"/>
      <c r="X1308" s="47"/>
      <c r="Y1308" s="319">
        <v>0</v>
      </c>
      <c r="Z1308" s="320"/>
      <c r="AA1308" s="328">
        <f t="shared" si="171"/>
        <v>0</v>
      </c>
      <c r="AB1308" s="400">
        <f t="shared" si="172"/>
        <v>0</v>
      </c>
      <c r="AC1308" s="4"/>
      <c r="AD1308" s="47"/>
      <c r="AE1308" s="47"/>
      <c r="AF1308" s="319"/>
      <c r="AG1308" s="328">
        <f t="shared" si="173"/>
        <v>0</v>
      </c>
    </row>
    <row r="1309" spans="2:40">
      <c r="B1309" s="267" t="s">
        <v>358</v>
      </c>
      <c r="C1309" s="47"/>
      <c r="D1309" s="47"/>
      <c r="E1309" s="319">
        <v>0</v>
      </c>
      <c r="F1309" s="320"/>
      <c r="G1309" s="4"/>
      <c r="H1309" s="47"/>
      <c r="I1309" s="47"/>
      <c r="J1309" s="319">
        <v>0</v>
      </c>
      <c r="K1309" s="320"/>
      <c r="L1309" s="438"/>
      <c r="M1309" s="47"/>
      <c r="N1309" s="47"/>
      <c r="O1309" s="319">
        <v>0</v>
      </c>
      <c r="P1309" s="320"/>
      <c r="Q1309" s="438"/>
      <c r="R1309" s="47"/>
      <c r="S1309" s="47"/>
      <c r="T1309" s="319">
        <v>0</v>
      </c>
      <c r="U1309" s="320"/>
      <c r="V1309" s="438"/>
      <c r="W1309" s="47"/>
      <c r="X1309" s="47"/>
      <c r="Y1309" s="319">
        <v>0</v>
      </c>
      <c r="Z1309" s="320"/>
      <c r="AA1309" s="328">
        <f t="shared" si="171"/>
        <v>0</v>
      </c>
      <c r="AB1309" s="400">
        <f t="shared" si="172"/>
        <v>0</v>
      </c>
      <c r="AC1309" s="4"/>
      <c r="AD1309" s="47"/>
      <c r="AE1309" s="47"/>
      <c r="AF1309" s="319"/>
      <c r="AG1309" s="328">
        <f t="shared" si="173"/>
        <v>0</v>
      </c>
    </row>
    <row r="1310" spans="2:40">
      <c r="B1310" s="267" t="s">
        <v>991</v>
      </c>
      <c r="C1310" s="47"/>
      <c r="D1310" s="47"/>
      <c r="E1310" s="319">
        <v>0</v>
      </c>
      <c r="F1310" s="320"/>
      <c r="G1310" s="4"/>
      <c r="H1310" s="47"/>
      <c r="I1310" s="47"/>
      <c r="J1310" s="319">
        <v>0</v>
      </c>
      <c r="K1310" s="320"/>
      <c r="L1310" s="438"/>
      <c r="M1310" s="47"/>
      <c r="N1310" s="47"/>
      <c r="O1310" s="319">
        <v>0</v>
      </c>
      <c r="P1310" s="320"/>
      <c r="Q1310" s="438"/>
      <c r="R1310" s="47"/>
      <c r="S1310" s="47"/>
      <c r="T1310" s="319">
        <v>0</v>
      </c>
      <c r="U1310" s="320"/>
      <c r="V1310" s="438"/>
      <c r="W1310" s="47"/>
      <c r="X1310" s="47"/>
      <c r="Y1310" s="319">
        <v>0</v>
      </c>
      <c r="Z1310" s="320"/>
      <c r="AA1310" s="328">
        <f t="shared" si="171"/>
        <v>0</v>
      </c>
      <c r="AB1310" s="400">
        <f t="shared" si="172"/>
        <v>0</v>
      </c>
      <c r="AC1310" s="4"/>
      <c r="AD1310" s="47"/>
      <c r="AE1310" s="47"/>
      <c r="AF1310" s="319"/>
      <c r="AG1310" s="328">
        <f t="shared" si="173"/>
        <v>0</v>
      </c>
    </row>
    <row r="1311" spans="2:40">
      <c r="B1311" s="267" t="s">
        <v>411</v>
      </c>
      <c r="C1311" s="47"/>
      <c r="D1311" s="47"/>
      <c r="E1311" s="319">
        <v>0</v>
      </c>
      <c r="F1311" s="320"/>
      <c r="G1311" s="4"/>
      <c r="H1311" s="47"/>
      <c r="I1311" s="47"/>
      <c r="J1311" s="319">
        <v>0</v>
      </c>
      <c r="K1311" s="320"/>
      <c r="L1311" s="438"/>
      <c r="M1311" s="47"/>
      <c r="N1311" s="47"/>
      <c r="O1311" s="319">
        <v>0</v>
      </c>
      <c r="P1311" s="320"/>
      <c r="Q1311" s="438"/>
      <c r="R1311" s="47"/>
      <c r="S1311" s="47"/>
      <c r="T1311" s="319">
        <v>0</v>
      </c>
      <c r="U1311" s="320"/>
      <c r="V1311" s="438"/>
      <c r="W1311" s="47"/>
      <c r="X1311" s="47"/>
      <c r="Y1311" s="319">
        <v>0</v>
      </c>
      <c r="Z1311" s="320"/>
      <c r="AA1311" s="328">
        <f t="shared" si="171"/>
        <v>0</v>
      </c>
      <c r="AB1311" s="400">
        <f t="shared" si="172"/>
        <v>0</v>
      </c>
      <c r="AC1311" s="4"/>
      <c r="AD1311" s="47"/>
      <c r="AE1311" s="47"/>
      <c r="AF1311" s="319"/>
      <c r="AG1311" s="328">
        <f t="shared" si="173"/>
        <v>0</v>
      </c>
    </row>
    <row r="1312" spans="2:40">
      <c r="B1312" s="267" t="s">
        <v>361</v>
      </c>
      <c r="C1312" s="47"/>
      <c r="D1312" s="47"/>
      <c r="E1312" s="319">
        <v>0</v>
      </c>
      <c r="F1312" s="320"/>
      <c r="G1312" s="4"/>
      <c r="H1312" s="47"/>
      <c r="I1312" s="47"/>
      <c r="J1312" s="319">
        <v>0</v>
      </c>
      <c r="K1312" s="320"/>
      <c r="L1312" s="438"/>
      <c r="M1312" s="47"/>
      <c r="N1312" s="47"/>
      <c r="O1312" s="319">
        <v>0</v>
      </c>
      <c r="P1312" s="320"/>
      <c r="Q1312" s="438"/>
      <c r="R1312" s="47"/>
      <c r="S1312" s="47"/>
      <c r="T1312" s="319">
        <v>0</v>
      </c>
      <c r="U1312" s="320"/>
      <c r="V1312" s="438"/>
      <c r="W1312" s="47"/>
      <c r="X1312" s="47"/>
      <c r="Y1312" s="319">
        <v>0</v>
      </c>
      <c r="Z1312" s="320"/>
      <c r="AA1312" s="328">
        <f t="shared" si="171"/>
        <v>0</v>
      </c>
      <c r="AB1312" s="400">
        <f t="shared" si="172"/>
        <v>0</v>
      </c>
      <c r="AC1312" s="4"/>
      <c r="AD1312" s="47"/>
      <c r="AE1312" s="47"/>
      <c r="AF1312" s="319"/>
      <c r="AG1312" s="328">
        <f t="shared" si="173"/>
        <v>0</v>
      </c>
    </row>
    <row r="1313" spans="2:42">
      <c r="B1313" s="267" t="s">
        <v>362</v>
      </c>
      <c r="C1313" s="47"/>
      <c r="D1313" s="5"/>
      <c r="E1313" s="319">
        <v>0</v>
      </c>
      <c r="F1313" s="320"/>
      <c r="G1313" s="4"/>
      <c r="H1313" s="47"/>
      <c r="I1313" s="5"/>
      <c r="J1313" s="319">
        <v>0</v>
      </c>
      <c r="K1313" s="320"/>
      <c r="L1313" s="438"/>
      <c r="M1313" s="47"/>
      <c r="N1313" s="5"/>
      <c r="O1313" s="319">
        <v>0</v>
      </c>
      <c r="P1313" s="320"/>
      <c r="Q1313" s="438"/>
      <c r="R1313" s="47"/>
      <c r="S1313" s="5"/>
      <c r="T1313" s="319">
        <v>0</v>
      </c>
      <c r="U1313" s="320"/>
      <c r="V1313" s="438"/>
      <c r="W1313" s="47"/>
      <c r="X1313" s="5"/>
      <c r="Y1313" s="319">
        <v>0</v>
      </c>
      <c r="Z1313" s="320"/>
      <c r="AA1313" s="328">
        <f t="shared" si="171"/>
        <v>0</v>
      </c>
      <c r="AB1313" s="400">
        <f t="shared" si="172"/>
        <v>0</v>
      </c>
      <c r="AC1313" s="4"/>
      <c r="AD1313" s="47"/>
      <c r="AE1313" s="47"/>
      <c r="AF1313" s="319"/>
      <c r="AG1313" s="328">
        <f t="shared" si="173"/>
        <v>0</v>
      </c>
    </row>
    <row r="1314" spans="2:42">
      <c r="B1314" s="437" t="s">
        <v>355</v>
      </c>
      <c r="C1314" s="47"/>
      <c r="D1314" s="47"/>
      <c r="E1314" s="319">
        <v>0</v>
      </c>
      <c r="F1314" s="320"/>
      <c r="G1314" s="4"/>
      <c r="H1314" s="47"/>
      <c r="I1314" s="47"/>
      <c r="J1314" s="319">
        <v>0</v>
      </c>
      <c r="K1314" s="320"/>
      <c r="L1314" s="438"/>
      <c r="M1314" s="47"/>
      <c r="N1314" s="47"/>
      <c r="O1314" s="319">
        <v>0</v>
      </c>
      <c r="P1314" s="320"/>
      <c r="Q1314" s="438"/>
      <c r="R1314" s="47"/>
      <c r="S1314" s="47"/>
      <c r="T1314" s="319">
        <v>0</v>
      </c>
      <c r="U1314" s="320"/>
      <c r="V1314" s="438"/>
      <c r="W1314" s="47"/>
      <c r="X1314" s="47"/>
      <c r="Y1314" s="319">
        <v>0</v>
      </c>
      <c r="Z1314" s="320"/>
      <c r="AA1314" s="328">
        <f t="shared" si="171"/>
        <v>0</v>
      </c>
      <c r="AB1314" s="400">
        <f t="shared" si="172"/>
        <v>0</v>
      </c>
      <c r="AC1314" s="4"/>
      <c r="AD1314" s="47"/>
      <c r="AE1314" s="47"/>
      <c r="AF1314" s="319"/>
      <c r="AG1314" s="328">
        <f t="shared" si="173"/>
        <v>0</v>
      </c>
    </row>
    <row r="1315" spans="2:42">
      <c r="B1315" s="437" t="s">
        <v>356</v>
      </c>
      <c r="C1315" s="713"/>
      <c r="D1315" s="713"/>
      <c r="E1315" s="319">
        <v>0</v>
      </c>
      <c r="F1315" s="320"/>
      <c r="G1315" s="438"/>
      <c r="H1315" s="5"/>
      <c r="I1315" s="5"/>
      <c r="J1315" s="319">
        <v>0</v>
      </c>
      <c r="K1315" s="320"/>
      <c r="L1315" s="438"/>
      <c r="M1315" s="5"/>
      <c r="N1315" s="5"/>
      <c r="O1315" s="319">
        <v>0</v>
      </c>
      <c r="P1315" s="320"/>
      <c r="Q1315" s="438"/>
      <c r="R1315" s="5"/>
      <c r="S1315" s="5"/>
      <c r="T1315" s="319">
        <v>0</v>
      </c>
      <c r="U1315" s="320"/>
      <c r="V1315" s="438"/>
      <c r="W1315" s="5"/>
      <c r="X1315" s="5"/>
      <c r="Y1315" s="319">
        <v>0</v>
      </c>
      <c r="Z1315" s="320"/>
      <c r="AA1315" s="328">
        <f t="shared" si="171"/>
        <v>0</v>
      </c>
      <c r="AB1315" s="400">
        <f t="shared" si="172"/>
        <v>0</v>
      </c>
      <c r="AC1315" s="4"/>
      <c r="AD1315" s="47"/>
      <c r="AE1315" s="47"/>
      <c r="AF1315" s="319"/>
      <c r="AG1315" s="328">
        <f t="shared" si="173"/>
        <v>0</v>
      </c>
    </row>
    <row r="1316" spans="2:42">
      <c r="B1316" s="31" t="s">
        <v>61</v>
      </c>
      <c r="C1316" s="31"/>
      <c r="D1316" s="31"/>
      <c r="E1316" s="439">
        <f>SUM(E1295:E1315)</f>
        <v>0</v>
      </c>
      <c r="F1316" s="320"/>
      <c r="G1316" s="31"/>
      <c r="H1316" s="31"/>
      <c r="I1316" s="31"/>
      <c r="J1316" s="439">
        <f>SUM(J1295:J1315)</f>
        <v>8</v>
      </c>
      <c r="K1316" s="320"/>
      <c r="L1316" s="31"/>
      <c r="M1316" s="31"/>
      <c r="N1316" s="31"/>
      <c r="O1316" s="439">
        <f>SUM(O1295:O1315)</f>
        <v>8</v>
      </c>
      <c r="P1316" s="320"/>
      <c r="Q1316" s="31"/>
      <c r="R1316" s="31"/>
      <c r="S1316" s="31"/>
      <c r="T1316" s="439">
        <f>SUM(T1295:T1315)</f>
        <v>0</v>
      </c>
      <c r="U1316" s="320"/>
      <c r="V1316" s="31"/>
      <c r="W1316" s="31"/>
      <c r="X1316" s="31"/>
      <c r="Y1316" s="439">
        <f>SUM(Y1295:Y1315)</f>
        <v>0</v>
      </c>
      <c r="Z1316" s="320"/>
      <c r="AA1316" s="328">
        <f>SUM(AA1295:AA1315)</f>
        <v>16</v>
      </c>
      <c r="AB1316" s="328">
        <f>SUM(AB1295:AB1315)</f>
        <v>0</v>
      </c>
      <c r="AC1316" s="4"/>
      <c r="AD1316" s="31"/>
      <c r="AE1316" s="31"/>
      <c r="AF1316" s="328">
        <f>SUM(AF1295:AF1315)</f>
        <v>0</v>
      </c>
      <c r="AG1316" s="328">
        <f>SUM(AG1295:AG1315)</f>
        <v>0</v>
      </c>
    </row>
    <row r="1317" spans="2:42">
      <c r="B1317" s="267" t="s">
        <v>1116</v>
      </c>
      <c r="C1317" s="47"/>
      <c r="D1317" s="47"/>
      <c r="E1317" s="319">
        <v>4</v>
      </c>
      <c r="F1317" s="320"/>
      <c r="G1317" s="4"/>
      <c r="H1317" s="47"/>
      <c r="I1317" s="47"/>
      <c r="J1317" s="319">
        <v>4</v>
      </c>
      <c r="K1317" s="320"/>
      <c r="L1317" s="4"/>
      <c r="M1317" s="47"/>
      <c r="N1317" s="47"/>
      <c r="O1317" s="319">
        <v>4</v>
      </c>
      <c r="P1317" s="320"/>
      <c r="R1317" s="47"/>
      <c r="S1317" s="47"/>
      <c r="T1317" s="319">
        <v>4</v>
      </c>
      <c r="U1317" s="320"/>
      <c r="W1317" s="47"/>
      <c r="X1317" s="47"/>
      <c r="Y1317" s="319">
        <v>4</v>
      </c>
      <c r="Z1317" s="320"/>
      <c r="AA1317" s="328">
        <f>(E1317+J1317+O1317+T1317+Y1317)</f>
        <v>20</v>
      </c>
      <c r="AB1317" s="400">
        <f>Z1317+U1317+P1317+K1317+F1317</f>
        <v>0</v>
      </c>
      <c r="AC1317" s="4"/>
      <c r="AD1317" s="47"/>
      <c r="AE1317" s="47"/>
      <c r="AF1317" s="319"/>
      <c r="AG1317" s="328">
        <f>AF1317</f>
        <v>0</v>
      </c>
    </row>
    <row r="1318" spans="2:42">
      <c r="B1318" s="267" t="s">
        <v>64</v>
      </c>
      <c r="C1318" s="47"/>
      <c r="D1318" s="47"/>
      <c r="E1318" s="319">
        <v>0</v>
      </c>
      <c r="F1318" s="319"/>
      <c r="G1318" s="71"/>
      <c r="H1318" s="47"/>
      <c r="I1318" s="47"/>
      <c r="J1318" s="319">
        <v>0</v>
      </c>
      <c r="K1318" s="319"/>
      <c r="L1318" s="438"/>
      <c r="M1318" s="47"/>
      <c r="N1318" s="47"/>
      <c r="O1318" s="319">
        <v>0</v>
      </c>
      <c r="P1318" s="319"/>
      <c r="Q1318" s="438"/>
      <c r="R1318" s="47"/>
      <c r="S1318" s="47"/>
      <c r="T1318" s="319">
        <v>0</v>
      </c>
      <c r="U1318" s="319"/>
      <c r="V1318" s="438"/>
      <c r="W1318" s="47"/>
      <c r="X1318" s="47"/>
      <c r="Y1318" s="319">
        <v>0</v>
      </c>
      <c r="Z1318" s="319"/>
      <c r="AA1318" s="328">
        <f>SUM(E1318+J1318+O1318+T1318+Y1318)</f>
        <v>0</v>
      </c>
      <c r="AB1318" s="897">
        <f>Z1318+U1318+P1318+K1318+F1318</f>
        <v>0</v>
      </c>
      <c r="AC1318" s="4"/>
      <c r="AD1318" s="47" t="s">
        <v>29</v>
      </c>
      <c r="AE1318" s="47" t="s">
        <v>29</v>
      </c>
      <c r="AF1318" s="319"/>
      <c r="AG1318" s="328">
        <f>AF1318</f>
        <v>0</v>
      </c>
    </row>
    <row r="1319" spans="2:42">
      <c r="B1319" s="71" t="s">
        <v>66</v>
      </c>
      <c r="C1319" s="371"/>
      <c r="D1319" s="371"/>
      <c r="E1319" s="71"/>
      <c r="F1319" s="71"/>
      <c r="G1319" s="71"/>
      <c r="H1319" s="71"/>
      <c r="I1319" s="71"/>
      <c r="J1319" s="71"/>
      <c r="K1319" s="71"/>
      <c r="L1319" s="71"/>
      <c r="M1319" s="71"/>
      <c r="N1319" s="71"/>
      <c r="O1319" s="71"/>
      <c r="P1319" s="71"/>
      <c r="Q1319" s="71"/>
      <c r="R1319" s="71"/>
      <c r="S1319" s="71"/>
      <c r="T1319" s="71"/>
      <c r="U1319" s="71"/>
      <c r="V1319" s="71"/>
      <c r="W1319" s="71"/>
      <c r="X1319" s="71"/>
      <c r="Y1319" s="71"/>
      <c r="Z1319" s="71"/>
      <c r="AA1319" s="328">
        <f>SUM(AA1317:AA1318)</f>
        <v>20</v>
      </c>
      <c r="AB1319" s="328">
        <f>SUM(AB1318:AB1318)</f>
        <v>0</v>
      </c>
      <c r="AC1319" s="4"/>
      <c r="AG1319" s="328">
        <f>SUM(AG1318:AG1318)</f>
        <v>0</v>
      </c>
      <c r="AK1319" s="407"/>
    </row>
    <row r="1320" spans="2:42">
      <c r="B1320" s="899" t="s">
        <v>67</v>
      </c>
      <c r="C1320" s="900">
        <f>C1321+C1322</f>
        <v>3</v>
      </c>
      <c r="D1320" s="900"/>
      <c r="E1320" s="901"/>
      <c r="F1320" s="901"/>
      <c r="G1320" s="900"/>
      <c r="H1320" s="901"/>
      <c r="I1320" s="901"/>
      <c r="J1320" s="901"/>
      <c r="K1320" s="901"/>
      <c r="L1320" s="900"/>
      <c r="M1320" s="900"/>
      <c r="N1320" s="900"/>
      <c r="O1320" s="900"/>
      <c r="P1320" s="901"/>
      <c r="Q1320" s="900"/>
      <c r="R1320" s="900"/>
      <c r="S1320" s="900"/>
      <c r="T1320" s="900"/>
      <c r="U1320" s="901"/>
      <c r="V1320" s="900"/>
      <c r="W1320" s="900"/>
      <c r="X1320" s="900"/>
      <c r="Y1320" s="902"/>
      <c r="Z1320" s="901"/>
      <c r="AA1320" s="903"/>
      <c r="AB1320" s="901"/>
      <c r="AC1320" s="903"/>
      <c r="AD1320" s="903"/>
      <c r="AE1320" s="903"/>
      <c r="AF1320" s="903"/>
      <c r="AG1320" s="903"/>
      <c r="AK1320" s="407"/>
    </row>
    <row r="1321" spans="2:42">
      <c r="B1321" s="904" t="s">
        <v>68</v>
      </c>
      <c r="C1321" s="900">
        <v>0</v>
      </c>
      <c r="D1321" s="900"/>
      <c r="E1321" s="901"/>
      <c r="F1321" s="901"/>
      <c r="G1321" s="900"/>
      <c r="H1321" s="901"/>
      <c r="I1321" s="901"/>
      <c r="J1321" s="901"/>
      <c r="K1321" s="901"/>
      <c r="L1321" s="900"/>
      <c r="M1321" s="900"/>
      <c r="N1321" s="900"/>
      <c r="O1321" s="900"/>
      <c r="P1321" s="901"/>
      <c r="Q1321" s="900"/>
      <c r="R1321" s="900"/>
      <c r="S1321" s="900"/>
      <c r="T1321" s="900"/>
      <c r="U1321" s="901"/>
      <c r="V1321" s="900"/>
      <c r="W1321" s="900"/>
      <c r="X1321" s="900"/>
      <c r="Y1321" s="902"/>
      <c r="Z1321" s="901"/>
      <c r="AA1321" s="903"/>
      <c r="AB1321" s="901"/>
      <c r="AC1321" s="903"/>
      <c r="AD1321" s="903"/>
      <c r="AE1321" s="903"/>
      <c r="AF1321" s="903"/>
      <c r="AG1321" s="903"/>
      <c r="AK1321" s="407"/>
    </row>
    <row r="1322" spans="2:42">
      <c r="B1322" s="904" t="s">
        <v>69</v>
      </c>
      <c r="C1322" s="900">
        <v>3</v>
      </c>
      <c r="D1322" s="900"/>
      <c r="E1322" s="901"/>
      <c r="F1322" s="901"/>
      <c r="G1322" s="900"/>
      <c r="H1322" s="901"/>
      <c r="I1322" s="901"/>
      <c r="J1322" s="901"/>
      <c r="K1322" s="901"/>
      <c r="L1322" s="900"/>
      <c r="M1322" s="900"/>
      <c r="N1322" s="900"/>
      <c r="O1322" s="900"/>
      <c r="P1322" s="901"/>
      <c r="Q1322" s="900"/>
      <c r="R1322" s="900"/>
      <c r="S1322" s="900"/>
      <c r="T1322" s="900"/>
      <c r="U1322" s="901"/>
      <c r="V1322" s="900"/>
      <c r="W1322" s="900"/>
      <c r="X1322" s="900"/>
      <c r="Y1322" s="902"/>
      <c r="Z1322" s="901"/>
      <c r="AA1322" s="903"/>
      <c r="AB1322" s="901"/>
      <c r="AC1322" s="903"/>
      <c r="AD1322" s="903"/>
      <c r="AE1322" s="903"/>
      <c r="AF1322" s="903"/>
      <c r="AG1322" s="903"/>
    </row>
    <row r="1325" spans="2:42" ht="25.5">
      <c r="B1325" s="1571"/>
      <c r="C1325" s="1570">
        <v>45985</v>
      </c>
      <c r="D1325" s="1570"/>
      <c r="E1325" s="1570" t="s">
        <v>564</v>
      </c>
      <c r="F1325" s="1570"/>
      <c r="G1325" s="894"/>
      <c r="H1325" s="1570">
        <v>45986</v>
      </c>
      <c r="I1325" s="1570"/>
      <c r="J1325" s="1570" t="s">
        <v>565</v>
      </c>
      <c r="K1325" s="1570"/>
      <c r="L1325" s="894"/>
      <c r="M1325" s="1570">
        <v>45987</v>
      </c>
      <c r="N1325" s="1570"/>
      <c r="O1325" s="1570" t="s">
        <v>566</v>
      </c>
      <c r="P1325" s="1570"/>
      <c r="Q1325" s="894"/>
      <c r="R1325" s="1570">
        <v>45988</v>
      </c>
      <c r="S1325" s="1570"/>
      <c r="T1325" s="1570" t="s">
        <v>567</v>
      </c>
      <c r="U1325" s="1570"/>
      <c r="V1325" s="894"/>
      <c r="W1325" s="1570">
        <v>45989</v>
      </c>
      <c r="X1325" s="1570"/>
      <c r="Y1325" s="1570" t="s">
        <v>568</v>
      </c>
      <c r="Z1325" s="1570"/>
      <c r="AA1325" s="1569" t="s">
        <v>19</v>
      </c>
      <c r="AB1325" s="1569" t="s">
        <v>20</v>
      </c>
      <c r="AC1325" s="4"/>
      <c r="AD1325" s="1570"/>
      <c r="AE1325" s="1570"/>
      <c r="AF1325" s="895" t="s">
        <v>1111</v>
      </c>
      <c r="AG1325" s="1569" t="s">
        <v>21</v>
      </c>
      <c r="AK1325" s="194" t="s">
        <v>84</v>
      </c>
      <c r="AL1325" s="366"/>
      <c r="AM1325" s="366"/>
      <c r="AN1325" s="366"/>
      <c r="AO1325" s="366"/>
      <c r="AP1325" s="366"/>
    </row>
    <row r="1326" spans="2:42">
      <c r="B1326" s="1571"/>
      <c r="C1326" s="896" t="s">
        <v>23</v>
      </c>
      <c r="D1326" s="896" t="s">
        <v>24</v>
      </c>
      <c r="E1326" s="897" t="s">
        <v>25</v>
      </c>
      <c r="F1326" s="898" t="s">
        <v>14</v>
      </c>
      <c r="G1326" s="4"/>
      <c r="H1326" s="896"/>
      <c r="I1326" s="896" t="s">
        <v>24</v>
      </c>
      <c r="J1326" s="898" t="s">
        <v>25</v>
      </c>
      <c r="K1326" s="898" t="s">
        <v>14</v>
      </c>
      <c r="L1326" s="4"/>
      <c r="M1326" s="896" t="s">
        <v>23</v>
      </c>
      <c r="N1326" s="896" t="s">
        <v>24</v>
      </c>
      <c r="O1326" s="898" t="s">
        <v>25</v>
      </c>
      <c r="P1326" s="898" t="s">
        <v>14</v>
      </c>
      <c r="R1326" s="896" t="s">
        <v>23</v>
      </c>
      <c r="S1326" s="896" t="s">
        <v>24</v>
      </c>
      <c r="T1326" s="898" t="s">
        <v>25</v>
      </c>
      <c r="U1326" s="898" t="s">
        <v>14</v>
      </c>
      <c r="W1326" s="896" t="s">
        <v>23</v>
      </c>
      <c r="X1326" s="896" t="s">
        <v>24</v>
      </c>
      <c r="Y1326" s="898" t="s">
        <v>25</v>
      </c>
      <c r="Z1326" s="898" t="s">
        <v>14</v>
      </c>
      <c r="AA1326" s="1569"/>
      <c r="AB1326" s="1569"/>
      <c r="AC1326" s="4"/>
      <c r="AD1326" s="896" t="s">
        <v>23</v>
      </c>
      <c r="AE1326" s="896" t="s">
        <v>24</v>
      </c>
      <c r="AF1326" s="898" t="s">
        <v>25</v>
      </c>
      <c r="AG1326" s="1569"/>
      <c r="AK1326" s="188" t="s">
        <v>26</v>
      </c>
      <c r="AL1326" s="196">
        <f>AA1348</f>
        <v>0</v>
      </c>
      <c r="AM1326" s="510">
        <v>40.31</v>
      </c>
      <c r="AN1326" s="510">
        <f t="shared" ref="AN1326:AN1331" si="174">AL1326*AM1326</f>
        <v>0</v>
      </c>
    </row>
    <row r="1327" spans="2:42">
      <c r="B1327" s="47" t="s">
        <v>515</v>
      </c>
      <c r="C1327" s="47"/>
      <c r="D1327" s="47"/>
      <c r="E1327" s="319">
        <v>0</v>
      </c>
      <c r="F1327" s="320"/>
      <c r="G1327" s="4"/>
      <c r="H1327" s="47"/>
      <c r="I1327" s="47"/>
      <c r="J1327" s="319">
        <v>0</v>
      </c>
      <c r="K1327" s="320"/>
      <c r="L1327" s="4"/>
      <c r="M1327" s="47"/>
      <c r="N1327" s="47"/>
      <c r="O1327" s="319">
        <v>0</v>
      </c>
      <c r="P1327" s="320"/>
      <c r="R1327" s="47"/>
      <c r="S1327" s="47"/>
      <c r="T1327" s="319">
        <v>0</v>
      </c>
      <c r="U1327" s="320"/>
      <c r="W1327" s="47"/>
      <c r="X1327" s="47"/>
      <c r="Y1327" s="319">
        <v>0</v>
      </c>
      <c r="Z1327" s="320"/>
      <c r="AA1327" s="328">
        <f t="shared" ref="AA1327:AA1347" si="175">(E1327+J1327+O1327+T1327+Y1327)</f>
        <v>0</v>
      </c>
      <c r="AB1327" s="400">
        <f t="shared" ref="AB1327:AB1347" si="176">Z1327+U1327+P1327+K1327+F1327</f>
        <v>0</v>
      </c>
      <c r="AC1327" s="4"/>
      <c r="AF1327" s="319"/>
      <c r="AG1327" s="328">
        <f t="shared" ref="AG1327:AG1347" si="177">AF1327</f>
        <v>0</v>
      </c>
      <c r="AK1327" s="188" t="s">
        <v>30</v>
      </c>
      <c r="AL1327" s="196">
        <f>AB1348</f>
        <v>0</v>
      </c>
      <c r="AM1327" s="510">
        <v>60.465000000000003</v>
      </c>
      <c r="AN1327" s="510">
        <f t="shared" si="174"/>
        <v>0</v>
      </c>
    </row>
    <row r="1328" spans="2:42">
      <c r="B1328" s="47" t="s">
        <v>1112</v>
      </c>
      <c r="C1328" s="47"/>
      <c r="D1328" s="47"/>
      <c r="E1328" s="319">
        <v>0</v>
      </c>
      <c r="F1328" s="320"/>
      <c r="G1328" s="4"/>
      <c r="H1328" s="47"/>
      <c r="I1328" s="47"/>
      <c r="J1328" s="319">
        <v>0</v>
      </c>
      <c r="K1328" s="320"/>
      <c r="L1328" s="4"/>
      <c r="M1328" s="47"/>
      <c r="N1328" s="47"/>
      <c r="O1328" s="319">
        <v>0</v>
      </c>
      <c r="P1328" s="320"/>
      <c r="R1328" s="47"/>
      <c r="S1328" s="47"/>
      <c r="T1328" s="319">
        <v>0</v>
      </c>
      <c r="U1328" s="320"/>
      <c r="W1328" s="47"/>
      <c r="X1328" s="47"/>
      <c r="Y1328" s="319">
        <v>0</v>
      </c>
      <c r="Z1328" s="320"/>
      <c r="AA1328" s="328">
        <f t="shared" si="175"/>
        <v>0</v>
      </c>
      <c r="AB1328" s="400">
        <f t="shared" si="176"/>
        <v>0</v>
      </c>
      <c r="AC1328" s="4"/>
      <c r="AD1328" s="47"/>
      <c r="AE1328" s="47"/>
      <c r="AF1328" s="319"/>
      <c r="AG1328" s="328">
        <f t="shared" si="177"/>
        <v>0</v>
      </c>
      <c r="AK1328" s="188" t="s">
        <v>32</v>
      </c>
      <c r="AL1328" s="196">
        <f>AG1348</f>
        <v>0</v>
      </c>
      <c r="AM1328" s="510">
        <v>60.465000000000003</v>
      </c>
      <c r="AN1328" s="510">
        <f t="shared" si="174"/>
        <v>0</v>
      </c>
    </row>
    <row r="1329" spans="2:40">
      <c r="B1329" s="47" t="s">
        <v>234</v>
      </c>
      <c r="C1329" s="47"/>
      <c r="D1329" s="47"/>
      <c r="E1329" s="319">
        <v>0</v>
      </c>
      <c r="F1329" s="320"/>
      <c r="G1329" s="4"/>
      <c r="H1329" s="47"/>
      <c r="I1329" s="47"/>
      <c r="J1329" s="319">
        <v>0</v>
      </c>
      <c r="K1329" s="320"/>
      <c r="L1329" s="4"/>
      <c r="M1329" s="47"/>
      <c r="N1329" s="47"/>
      <c r="O1329" s="319">
        <v>0</v>
      </c>
      <c r="P1329" s="320"/>
      <c r="R1329" s="47"/>
      <c r="S1329" s="47"/>
      <c r="T1329" s="319">
        <v>0</v>
      </c>
      <c r="U1329" s="320"/>
      <c r="W1329" s="47"/>
      <c r="X1329" s="47"/>
      <c r="Y1329" s="319">
        <v>0</v>
      </c>
      <c r="Z1329" s="320"/>
      <c r="AA1329" s="328">
        <f t="shared" si="175"/>
        <v>0</v>
      </c>
      <c r="AB1329" s="400">
        <f t="shared" si="176"/>
        <v>0</v>
      </c>
      <c r="AC1329" s="4"/>
      <c r="AD1329" s="47"/>
      <c r="AE1329" s="47"/>
      <c r="AF1329" s="319"/>
      <c r="AG1329" s="328">
        <f t="shared" si="177"/>
        <v>0</v>
      </c>
      <c r="AK1329" s="188" t="s">
        <v>213</v>
      </c>
      <c r="AL1329" s="196">
        <f>AA1351</f>
        <v>0</v>
      </c>
      <c r="AM1329" s="510">
        <v>53.05</v>
      </c>
      <c r="AN1329" s="510">
        <f t="shared" si="174"/>
        <v>0</v>
      </c>
    </row>
    <row r="1330" spans="2:40">
      <c r="B1330" s="47" t="s">
        <v>637</v>
      </c>
      <c r="C1330" s="47"/>
      <c r="D1330" s="47"/>
      <c r="E1330" s="319">
        <v>0</v>
      </c>
      <c r="F1330" s="320"/>
      <c r="G1330" s="4"/>
      <c r="H1330" s="47"/>
      <c r="I1330" s="47"/>
      <c r="J1330" s="319">
        <v>0</v>
      </c>
      <c r="K1330" s="320"/>
      <c r="L1330" s="4"/>
      <c r="M1330" s="47"/>
      <c r="N1330" s="47"/>
      <c r="O1330" s="319">
        <v>0</v>
      </c>
      <c r="P1330" s="320"/>
      <c r="R1330" s="47"/>
      <c r="S1330" s="47"/>
      <c r="T1330" s="319">
        <v>0</v>
      </c>
      <c r="U1330" s="320"/>
      <c r="W1330" s="47"/>
      <c r="X1330" s="47"/>
      <c r="Y1330" s="319">
        <v>0</v>
      </c>
      <c r="Z1330" s="320"/>
      <c r="AA1330" s="328">
        <f t="shared" si="175"/>
        <v>0</v>
      </c>
      <c r="AB1330" s="400">
        <f t="shared" si="176"/>
        <v>0</v>
      </c>
      <c r="AC1330" s="4"/>
      <c r="AD1330" s="47"/>
      <c r="AE1330" s="47"/>
      <c r="AF1330" s="319"/>
      <c r="AG1330" s="328">
        <f t="shared" si="177"/>
        <v>0</v>
      </c>
      <c r="AK1330" s="188" t="s">
        <v>36</v>
      </c>
      <c r="AL1330" s="196">
        <f>AB1351</f>
        <v>0</v>
      </c>
      <c r="AM1330" s="510">
        <v>79.574999999999989</v>
      </c>
      <c r="AN1330" s="510">
        <f t="shared" si="174"/>
        <v>0</v>
      </c>
    </row>
    <row r="1331" spans="2:40">
      <c r="B1331" s="374" t="s">
        <v>998</v>
      </c>
      <c r="C1331" s="47"/>
      <c r="D1331" s="47"/>
      <c r="E1331" s="319">
        <v>0</v>
      </c>
      <c r="F1331" s="320"/>
      <c r="G1331" s="4"/>
      <c r="H1331" s="47"/>
      <c r="I1331" s="47"/>
      <c r="J1331" s="319">
        <v>0</v>
      </c>
      <c r="K1331" s="320"/>
      <c r="L1331" s="4"/>
      <c r="M1331" s="47"/>
      <c r="N1331" s="47"/>
      <c r="O1331" s="319">
        <v>0</v>
      </c>
      <c r="P1331" s="320"/>
      <c r="R1331" s="47"/>
      <c r="S1331" s="47"/>
      <c r="T1331" s="319">
        <v>0</v>
      </c>
      <c r="U1331" s="320"/>
      <c r="W1331" s="47"/>
      <c r="X1331" s="47"/>
      <c r="Y1331" s="319">
        <v>0</v>
      </c>
      <c r="Z1331" s="320"/>
      <c r="AA1331" s="328">
        <f t="shared" si="175"/>
        <v>0</v>
      </c>
      <c r="AB1331" s="400">
        <f t="shared" si="176"/>
        <v>0</v>
      </c>
      <c r="AC1331" s="4"/>
      <c r="AD1331" s="47"/>
      <c r="AE1331" s="47"/>
      <c r="AF1331" s="319"/>
      <c r="AG1331" s="328">
        <f t="shared" si="177"/>
        <v>0</v>
      </c>
      <c r="AK1331" s="188" t="s">
        <v>38</v>
      </c>
      <c r="AL1331" s="196">
        <f>AG1351</f>
        <v>0</v>
      </c>
      <c r="AM1331" s="510">
        <v>79.574999999999989</v>
      </c>
      <c r="AN1331" s="510">
        <f t="shared" si="174"/>
        <v>0</v>
      </c>
    </row>
    <row r="1332" spans="2:40">
      <c r="B1332" s="47" t="s">
        <v>53</v>
      </c>
      <c r="C1332" s="47"/>
      <c r="D1332" s="47"/>
      <c r="E1332" s="319">
        <v>0</v>
      </c>
      <c r="F1332" s="320"/>
      <c r="G1332" s="4"/>
      <c r="H1332" s="47"/>
      <c r="I1332" s="47"/>
      <c r="J1332" s="319">
        <v>0</v>
      </c>
      <c r="K1332" s="320"/>
      <c r="L1332" s="4"/>
      <c r="M1332" s="47"/>
      <c r="N1332" s="47"/>
      <c r="O1332" s="319">
        <v>0</v>
      </c>
      <c r="P1332" s="320"/>
      <c r="R1332" s="47"/>
      <c r="S1332" s="47"/>
      <c r="T1332" s="319">
        <v>0</v>
      </c>
      <c r="U1332" s="320"/>
      <c r="W1332" s="47"/>
      <c r="X1332" s="47"/>
      <c r="Y1332" s="319">
        <v>0</v>
      </c>
      <c r="Z1332" s="320"/>
      <c r="AA1332" s="328">
        <f t="shared" si="175"/>
        <v>0</v>
      </c>
      <c r="AB1332" s="400">
        <f t="shared" si="176"/>
        <v>0</v>
      </c>
      <c r="AC1332" s="4"/>
      <c r="AD1332" s="47"/>
      <c r="AE1332" s="47"/>
      <c r="AF1332" s="319"/>
      <c r="AG1332" s="328">
        <f t="shared" si="177"/>
        <v>0</v>
      </c>
      <c r="AN1332" s="510">
        <f>SUM(AN1326:AN1331)</f>
        <v>0</v>
      </c>
    </row>
    <row r="1333" spans="2:40">
      <c r="B1333" s="47" t="s">
        <v>241</v>
      </c>
      <c r="C1333" s="47"/>
      <c r="D1333" s="47"/>
      <c r="E1333" s="319">
        <v>0</v>
      </c>
      <c r="F1333" s="320"/>
      <c r="G1333" s="4"/>
      <c r="H1333" s="47"/>
      <c r="I1333" s="47"/>
      <c r="J1333" s="319">
        <v>0</v>
      </c>
      <c r="K1333" s="320"/>
      <c r="L1333" s="4"/>
      <c r="M1333" s="47"/>
      <c r="N1333" s="47"/>
      <c r="O1333" s="319">
        <v>0</v>
      </c>
      <c r="P1333" s="320"/>
      <c r="R1333" s="47"/>
      <c r="S1333" s="47"/>
      <c r="T1333" s="319">
        <v>0</v>
      </c>
      <c r="U1333" s="320"/>
      <c r="W1333" s="47"/>
      <c r="X1333" s="47"/>
      <c r="Y1333" s="319">
        <v>0</v>
      </c>
      <c r="Z1333" s="320"/>
      <c r="AA1333" s="328">
        <f t="shared" si="175"/>
        <v>0</v>
      </c>
      <c r="AB1333" s="400">
        <f t="shared" si="176"/>
        <v>0</v>
      </c>
      <c r="AC1333" s="4"/>
      <c r="AD1333" s="47"/>
      <c r="AE1333" s="47"/>
      <c r="AF1333" s="319"/>
      <c r="AG1333" s="328">
        <f t="shared" si="177"/>
        <v>0</v>
      </c>
    </row>
    <row r="1334" spans="2:40">
      <c r="B1334" s="47" t="s">
        <v>1140</v>
      </c>
      <c r="C1334" s="47"/>
      <c r="D1334" s="441"/>
      <c r="E1334" s="319">
        <v>0</v>
      </c>
      <c r="F1334" s="320"/>
      <c r="G1334" s="4"/>
      <c r="H1334" s="47"/>
      <c r="I1334" s="47"/>
      <c r="J1334" s="319">
        <v>0</v>
      </c>
      <c r="K1334" s="320"/>
      <c r="L1334" s="4"/>
      <c r="M1334" s="47"/>
      <c r="N1334" s="47"/>
      <c r="O1334" s="319">
        <v>0</v>
      </c>
      <c r="P1334" s="320"/>
      <c r="R1334" s="47"/>
      <c r="S1334" s="47"/>
      <c r="T1334" s="319">
        <v>0</v>
      </c>
      <c r="U1334" s="320"/>
      <c r="W1334" s="47"/>
      <c r="X1334" s="47"/>
      <c r="Y1334" s="319">
        <v>0</v>
      </c>
      <c r="Z1334" s="320"/>
      <c r="AA1334" s="328">
        <f t="shared" si="175"/>
        <v>0</v>
      </c>
      <c r="AB1334" s="400">
        <f t="shared" si="176"/>
        <v>0</v>
      </c>
      <c r="AC1334" s="4"/>
      <c r="AD1334" s="47"/>
      <c r="AE1334" s="47"/>
      <c r="AF1334" s="319"/>
      <c r="AG1334" s="328">
        <f t="shared" si="177"/>
        <v>0</v>
      </c>
      <c r="AK1334" s="192" t="s">
        <v>1115</v>
      </c>
      <c r="AL1334" s="189">
        <f>C1352</f>
        <v>3</v>
      </c>
      <c r="AM1334" s="510">
        <v>45</v>
      </c>
      <c r="AN1334" s="510">
        <f>AM1334*AL1334</f>
        <v>135</v>
      </c>
    </row>
    <row r="1335" spans="2:40">
      <c r="B1335" s="47" t="s">
        <v>1113</v>
      </c>
      <c r="C1335" s="47"/>
      <c r="D1335" s="47"/>
      <c r="E1335" s="319">
        <v>0</v>
      </c>
      <c r="F1335" s="320"/>
      <c r="G1335" s="4"/>
      <c r="H1335" s="47"/>
      <c r="I1335" s="47"/>
      <c r="J1335" s="319">
        <v>0</v>
      </c>
      <c r="K1335" s="320"/>
      <c r="L1335" s="4"/>
      <c r="M1335" s="47"/>
      <c r="N1335" s="47"/>
      <c r="O1335" s="319">
        <v>0</v>
      </c>
      <c r="P1335" s="320"/>
      <c r="R1335" s="47"/>
      <c r="S1335" s="47"/>
      <c r="T1335" s="319">
        <v>0</v>
      </c>
      <c r="U1335" s="320"/>
      <c r="W1335" s="47"/>
      <c r="X1335" s="47"/>
      <c r="Y1335" s="319">
        <v>0</v>
      </c>
      <c r="Z1335" s="320"/>
      <c r="AA1335" s="328">
        <f t="shared" si="175"/>
        <v>0</v>
      </c>
      <c r="AB1335" s="400">
        <f t="shared" si="176"/>
        <v>0</v>
      </c>
      <c r="AC1335" s="4"/>
      <c r="AD1335" s="47"/>
      <c r="AE1335" s="47"/>
      <c r="AF1335" s="319"/>
      <c r="AG1335" s="328">
        <f t="shared" si="177"/>
        <v>0</v>
      </c>
    </row>
    <row r="1336" spans="2:40">
      <c r="B1336" s="502" t="s">
        <v>483</v>
      </c>
      <c r="C1336" s="47"/>
      <c r="D1336" s="47"/>
      <c r="E1336" s="319">
        <v>0</v>
      </c>
      <c r="F1336" s="320"/>
      <c r="G1336" s="4"/>
      <c r="H1336" s="47"/>
      <c r="I1336" s="47"/>
      <c r="J1336" s="319">
        <v>0</v>
      </c>
      <c r="K1336" s="320"/>
      <c r="L1336" s="4"/>
      <c r="M1336" s="47"/>
      <c r="N1336" s="47"/>
      <c r="O1336" s="319">
        <v>0</v>
      </c>
      <c r="P1336" s="320"/>
      <c r="R1336" s="47"/>
      <c r="S1336" s="47"/>
      <c r="T1336" s="319">
        <v>0</v>
      </c>
      <c r="U1336" s="320"/>
      <c r="W1336" s="47"/>
      <c r="X1336" s="47"/>
      <c r="Y1336" s="319">
        <v>0</v>
      </c>
      <c r="Z1336" s="320"/>
      <c r="AA1336" s="328">
        <f t="shared" si="175"/>
        <v>0</v>
      </c>
      <c r="AB1336" s="400">
        <f t="shared" si="176"/>
        <v>0</v>
      </c>
      <c r="AC1336" s="4"/>
      <c r="AD1336" s="47"/>
      <c r="AE1336" s="47"/>
      <c r="AF1336" s="319"/>
      <c r="AG1336" s="328">
        <f t="shared" si="177"/>
        <v>0</v>
      </c>
    </row>
    <row r="1337" spans="2:40">
      <c r="B1337" s="502" t="s">
        <v>483</v>
      </c>
      <c r="C1337" s="47"/>
      <c r="D1337" s="47"/>
      <c r="E1337" s="319">
        <v>0</v>
      </c>
      <c r="F1337" s="320"/>
      <c r="G1337" s="4"/>
      <c r="H1337" s="47"/>
      <c r="I1337" s="47"/>
      <c r="J1337" s="319">
        <v>0</v>
      </c>
      <c r="K1337" s="320"/>
      <c r="L1337" s="4"/>
      <c r="M1337" s="47"/>
      <c r="N1337" s="47"/>
      <c r="O1337" s="319">
        <v>0</v>
      </c>
      <c r="P1337" s="320"/>
      <c r="R1337" s="47"/>
      <c r="S1337" s="47"/>
      <c r="T1337" s="319">
        <v>0</v>
      </c>
      <c r="U1337" s="320"/>
      <c r="W1337" s="47"/>
      <c r="X1337" s="47"/>
      <c r="Y1337" s="319">
        <v>0</v>
      </c>
      <c r="Z1337" s="320"/>
      <c r="AA1337" s="328">
        <f t="shared" si="175"/>
        <v>0</v>
      </c>
      <c r="AB1337" s="400">
        <f t="shared" si="176"/>
        <v>0</v>
      </c>
      <c r="AC1337" s="4"/>
      <c r="AD1337" s="47"/>
      <c r="AE1337" s="47"/>
      <c r="AF1337" s="319"/>
      <c r="AG1337" s="328">
        <f t="shared" si="177"/>
        <v>0</v>
      </c>
    </row>
    <row r="1338" spans="2:40">
      <c r="B1338" s="502" t="s">
        <v>484</v>
      </c>
      <c r="C1338" s="47"/>
      <c r="D1338" s="47"/>
      <c r="E1338" s="319">
        <v>0</v>
      </c>
      <c r="F1338" s="320"/>
      <c r="G1338" s="4"/>
      <c r="H1338" s="47"/>
      <c r="I1338" s="47"/>
      <c r="J1338" s="319">
        <v>0</v>
      </c>
      <c r="K1338" s="320"/>
      <c r="L1338" s="4"/>
      <c r="M1338" s="47"/>
      <c r="N1338" s="47"/>
      <c r="O1338" s="319">
        <v>0</v>
      </c>
      <c r="P1338" s="320"/>
      <c r="R1338" s="47"/>
      <c r="S1338" s="47"/>
      <c r="T1338" s="319">
        <v>0</v>
      </c>
      <c r="U1338" s="320"/>
      <c r="W1338" s="47"/>
      <c r="X1338" s="47"/>
      <c r="Y1338" s="319">
        <v>0</v>
      </c>
      <c r="Z1338" s="320"/>
      <c r="AA1338" s="328">
        <f t="shared" si="175"/>
        <v>0</v>
      </c>
      <c r="AB1338" s="400">
        <f t="shared" si="176"/>
        <v>0</v>
      </c>
      <c r="AC1338" s="4"/>
      <c r="AD1338" s="47"/>
      <c r="AE1338" s="47"/>
      <c r="AF1338" s="319"/>
      <c r="AG1338" s="328">
        <f t="shared" si="177"/>
        <v>0</v>
      </c>
    </row>
    <row r="1339" spans="2:40">
      <c r="B1339" s="502" t="s">
        <v>485</v>
      </c>
      <c r="C1339" s="47"/>
      <c r="D1339" s="47"/>
      <c r="E1339" s="319">
        <v>0</v>
      </c>
      <c r="F1339" s="320"/>
      <c r="G1339" s="4"/>
      <c r="H1339" s="47"/>
      <c r="I1339" s="47"/>
      <c r="J1339" s="319">
        <v>0</v>
      </c>
      <c r="K1339" s="320"/>
      <c r="L1339" s="4"/>
      <c r="M1339" s="47"/>
      <c r="N1339" s="47"/>
      <c r="O1339" s="319">
        <v>0</v>
      </c>
      <c r="P1339" s="320"/>
      <c r="R1339" s="47"/>
      <c r="S1339" s="47"/>
      <c r="T1339" s="319">
        <v>0</v>
      </c>
      <c r="U1339" s="320"/>
      <c r="W1339" s="47"/>
      <c r="X1339" s="47"/>
      <c r="Y1339" s="319">
        <v>0</v>
      </c>
      <c r="Z1339" s="320"/>
      <c r="AA1339" s="328">
        <f t="shared" si="175"/>
        <v>0</v>
      </c>
      <c r="AB1339" s="400">
        <f t="shared" si="176"/>
        <v>0</v>
      </c>
      <c r="AC1339" s="4"/>
      <c r="AD1339" s="47"/>
      <c r="AE1339" s="47"/>
      <c r="AF1339" s="319"/>
      <c r="AG1339" s="328">
        <f t="shared" si="177"/>
        <v>0</v>
      </c>
    </row>
    <row r="1340" spans="2:40">
      <c r="B1340" s="502" t="s">
        <v>1129</v>
      </c>
      <c r="C1340" s="47"/>
      <c r="D1340" s="47"/>
      <c r="E1340" s="319">
        <v>0</v>
      </c>
      <c r="F1340" s="320"/>
      <c r="G1340" s="4"/>
      <c r="H1340" s="47"/>
      <c r="I1340" s="47"/>
      <c r="J1340" s="319">
        <v>0</v>
      </c>
      <c r="K1340" s="320"/>
      <c r="L1340" s="4"/>
      <c r="M1340" s="47"/>
      <c r="N1340" s="47"/>
      <c r="O1340" s="319">
        <v>0</v>
      </c>
      <c r="P1340" s="320"/>
      <c r="R1340" s="47"/>
      <c r="S1340" s="47"/>
      <c r="T1340" s="319">
        <v>0</v>
      </c>
      <c r="U1340" s="320"/>
      <c r="W1340" s="47"/>
      <c r="X1340" s="47"/>
      <c r="Y1340" s="319">
        <v>0</v>
      </c>
      <c r="Z1340" s="320"/>
      <c r="AA1340" s="328">
        <f t="shared" si="175"/>
        <v>0</v>
      </c>
      <c r="AB1340" s="400">
        <f t="shared" si="176"/>
        <v>0</v>
      </c>
      <c r="AC1340" s="4"/>
      <c r="AD1340" s="47"/>
      <c r="AE1340" s="47"/>
      <c r="AF1340" s="319"/>
      <c r="AG1340" s="328">
        <f t="shared" si="177"/>
        <v>0</v>
      </c>
    </row>
    <row r="1341" spans="2:40">
      <c r="B1341" s="267" t="s">
        <v>358</v>
      </c>
      <c r="C1341" s="47"/>
      <c r="D1341" s="47"/>
      <c r="E1341" s="319">
        <v>0</v>
      </c>
      <c r="F1341" s="320"/>
      <c r="G1341" s="4"/>
      <c r="H1341" s="47"/>
      <c r="I1341" s="47"/>
      <c r="J1341" s="319">
        <v>0</v>
      </c>
      <c r="K1341" s="320"/>
      <c r="L1341" s="438"/>
      <c r="M1341" s="47"/>
      <c r="N1341" s="47"/>
      <c r="O1341" s="319">
        <v>0</v>
      </c>
      <c r="P1341" s="320"/>
      <c r="Q1341" s="438"/>
      <c r="R1341" s="47"/>
      <c r="S1341" s="47"/>
      <c r="T1341" s="319">
        <v>0</v>
      </c>
      <c r="U1341" s="320"/>
      <c r="V1341" s="438"/>
      <c r="W1341" s="47"/>
      <c r="X1341" s="47"/>
      <c r="Y1341" s="319">
        <v>0</v>
      </c>
      <c r="Z1341" s="320"/>
      <c r="AA1341" s="328">
        <f t="shared" si="175"/>
        <v>0</v>
      </c>
      <c r="AB1341" s="400">
        <f t="shared" si="176"/>
        <v>0</v>
      </c>
      <c r="AC1341" s="4"/>
      <c r="AD1341" s="47"/>
      <c r="AE1341" s="47"/>
      <c r="AF1341" s="319"/>
      <c r="AG1341" s="328">
        <f t="shared" si="177"/>
        <v>0</v>
      </c>
    </row>
    <row r="1342" spans="2:40">
      <c r="B1342" s="267" t="s">
        <v>991</v>
      </c>
      <c r="C1342" s="47"/>
      <c r="D1342" s="47"/>
      <c r="E1342" s="319">
        <v>0</v>
      </c>
      <c r="F1342" s="320"/>
      <c r="G1342" s="4"/>
      <c r="H1342" s="47"/>
      <c r="I1342" s="47"/>
      <c r="J1342" s="319">
        <v>0</v>
      </c>
      <c r="K1342" s="320"/>
      <c r="L1342" s="438"/>
      <c r="M1342" s="47"/>
      <c r="N1342" s="47"/>
      <c r="O1342" s="319">
        <v>0</v>
      </c>
      <c r="P1342" s="320"/>
      <c r="Q1342" s="438"/>
      <c r="R1342" s="47"/>
      <c r="S1342" s="47"/>
      <c r="T1342" s="319">
        <v>0</v>
      </c>
      <c r="U1342" s="320"/>
      <c r="V1342" s="438"/>
      <c r="W1342" s="47"/>
      <c r="X1342" s="47"/>
      <c r="Y1342" s="319">
        <v>0</v>
      </c>
      <c r="Z1342" s="320"/>
      <c r="AA1342" s="328">
        <f t="shared" si="175"/>
        <v>0</v>
      </c>
      <c r="AB1342" s="400">
        <f t="shared" si="176"/>
        <v>0</v>
      </c>
      <c r="AC1342" s="4"/>
      <c r="AD1342" s="47"/>
      <c r="AE1342" s="47"/>
      <c r="AF1342" s="319"/>
      <c r="AG1342" s="328">
        <f t="shared" si="177"/>
        <v>0</v>
      </c>
    </row>
    <row r="1343" spans="2:40">
      <c r="B1343" s="267" t="s">
        <v>411</v>
      </c>
      <c r="C1343" s="47"/>
      <c r="D1343" s="47"/>
      <c r="E1343" s="319">
        <v>0</v>
      </c>
      <c r="F1343" s="320"/>
      <c r="G1343" s="4"/>
      <c r="H1343" s="47"/>
      <c r="I1343" s="47"/>
      <c r="J1343" s="319">
        <v>0</v>
      </c>
      <c r="K1343" s="320"/>
      <c r="L1343" s="438"/>
      <c r="M1343" s="47"/>
      <c r="N1343" s="47"/>
      <c r="O1343" s="319">
        <v>0</v>
      </c>
      <c r="P1343" s="320"/>
      <c r="Q1343" s="438"/>
      <c r="R1343" s="47"/>
      <c r="S1343" s="47"/>
      <c r="T1343" s="319">
        <v>0</v>
      </c>
      <c r="U1343" s="320"/>
      <c r="V1343" s="438"/>
      <c r="W1343" s="47"/>
      <c r="X1343" s="47"/>
      <c r="Y1343" s="319">
        <v>0</v>
      </c>
      <c r="Z1343" s="320"/>
      <c r="AA1343" s="328">
        <f t="shared" si="175"/>
        <v>0</v>
      </c>
      <c r="AB1343" s="400">
        <f t="shared" si="176"/>
        <v>0</v>
      </c>
      <c r="AC1343" s="4"/>
      <c r="AD1343" s="47"/>
      <c r="AE1343" s="47"/>
      <c r="AF1343" s="319"/>
      <c r="AG1343" s="328">
        <f t="shared" si="177"/>
        <v>0</v>
      </c>
    </row>
    <row r="1344" spans="2:40">
      <c r="B1344" s="267" t="s">
        <v>361</v>
      </c>
      <c r="C1344" s="47"/>
      <c r="D1344" s="47"/>
      <c r="E1344" s="319">
        <v>0</v>
      </c>
      <c r="F1344" s="320"/>
      <c r="G1344" s="4"/>
      <c r="H1344" s="47"/>
      <c r="I1344" s="47"/>
      <c r="J1344" s="319">
        <v>0</v>
      </c>
      <c r="K1344" s="320"/>
      <c r="L1344" s="438"/>
      <c r="M1344" s="47"/>
      <c r="N1344" s="47"/>
      <c r="O1344" s="319">
        <v>0</v>
      </c>
      <c r="P1344" s="320"/>
      <c r="Q1344" s="438"/>
      <c r="R1344" s="47"/>
      <c r="S1344" s="47"/>
      <c r="T1344" s="319">
        <v>0</v>
      </c>
      <c r="U1344" s="320"/>
      <c r="V1344" s="438"/>
      <c r="W1344" s="47"/>
      <c r="X1344" s="47"/>
      <c r="Y1344" s="319">
        <v>0</v>
      </c>
      <c r="Z1344" s="320"/>
      <c r="AA1344" s="328">
        <f t="shared" si="175"/>
        <v>0</v>
      </c>
      <c r="AB1344" s="400">
        <f t="shared" si="176"/>
        <v>0</v>
      </c>
      <c r="AC1344" s="4"/>
      <c r="AD1344" s="47"/>
      <c r="AE1344" s="47"/>
      <c r="AF1344" s="319"/>
      <c r="AG1344" s="328">
        <f t="shared" si="177"/>
        <v>0</v>
      </c>
    </row>
    <row r="1345" spans="2:42">
      <c r="B1345" s="267" t="s">
        <v>362</v>
      </c>
      <c r="C1345" s="47"/>
      <c r="D1345" s="5"/>
      <c r="E1345" s="319">
        <v>0</v>
      </c>
      <c r="F1345" s="320"/>
      <c r="G1345" s="4"/>
      <c r="H1345" s="47"/>
      <c r="I1345" s="5"/>
      <c r="J1345" s="319">
        <v>0</v>
      </c>
      <c r="K1345" s="320"/>
      <c r="L1345" s="438"/>
      <c r="M1345" s="47"/>
      <c r="N1345" s="5"/>
      <c r="O1345" s="319">
        <v>0</v>
      </c>
      <c r="P1345" s="320"/>
      <c r="Q1345" s="438"/>
      <c r="R1345" s="47"/>
      <c r="S1345" s="5"/>
      <c r="T1345" s="319">
        <v>0</v>
      </c>
      <c r="U1345" s="320"/>
      <c r="V1345" s="438"/>
      <c r="W1345" s="47"/>
      <c r="X1345" s="5"/>
      <c r="Y1345" s="319">
        <v>0</v>
      </c>
      <c r="Z1345" s="320"/>
      <c r="AA1345" s="328">
        <f t="shared" si="175"/>
        <v>0</v>
      </c>
      <c r="AB1345" s="400">
        <f t="shared" si="176"/>
        <v>0</v>
      </c>
      <c r="AC1345" s="4"/>
      <c r="AD1345" s="47"/>
      <c r="AE1345" s="47"/>
      <c r="AF1345" s="319"/>
      <c r="AG1345" s="328">
        <f t="shared" si="177"/>
        <v>0</v>
      </c>
    </row>
    <row r="1346" spans="2:42">
      <c r="B1346" s="437" t="s">
        <v>355</v>
      </c>
      <c r="C1346" s="47"/>
      <c r="D1346" s="47"/>
      <c r="E1346" s="319">
        <v>0</v>
      </c>
      <c r="F1346" s="320"/>
      <c r="G1346" s="4"/>
      <c r="H1346" s="47"/>
      <c r="I1346" s="47"/>
      <c r="J1346" s="319">
        <v>0</v>
      </c>
      <c r="K1346" s="320"/>
      <c r="L1346" s="438"/>
      <c r="M1346" s="47"/>
      <c r="N1346" s="47"/>
      <c r="O1346" s="319">
        <v>0</v>
      </c>
      <c r="P1346" s="320"/>
      <c r="Q1346" s="438"/>
      <c r="R1346" s="47"/>
      <c r="S1346" s="47"/>
      <c r="T1346" s="319">
        <v>0</v>
      </c>
      <c r="U1346" s="320"/>
      <c r="V1346" s="438"/>
      <c r="W1346" s="47"/>
      <c r="X1346" s="47"/>
      <c r="Y1346" s="319">
        <v>0</v>
      </c>
      <c r="Z1346" s="320"/>
      <c r="AA1346" s="328">
        <f t="shared" si="175"/>
        <v>0</v>
      </c>
      <c r="AB1346" s="400">
        <f t="shared" si="176"/>
        <v>0</v>
      </c>
      <c r="AC1346" s="4"/>
      <c r="AD1346" s="47"/>
      <c r="AE1346" s="47"/>
      <c r="AF1346" s="319"/>
      <c r="AG1346" s="328">
        <f t="shared" si="177"/>
        <v>0</v>
      </c>
    </row>
    <row r="1347" spans="2:42">
      <c r="B1347" s="437" t="s">
        <v>356</v>
      </c>
      <c r="C1347" s="713"/>
      <c r="D1347" s="713"/>
      <c r="E1347" s="319">
        <v>0</v>
      </c>
      <c r="F1347" s="320"/>
      <c r="G1347" s="438"/>
      <c r="H1347" s="5"/>
      <c r="I1347" s="5"/>
      <c r="J1347" s="319">
        <v>0</v>
      </c>
      <c r="K1347" s="320"/>
      <c r="L1347" s="438"/>
      <c r="M1347" s="5"/>
      <c r="N1347" s="5"/>
      <c r="O1347" s="319">
        <v>0</v>
      </c>
      <c r="P1347" s="320"/>
      <c r="Q1347" s="438"/>
      <c r="R1347" s="5"/>
      <c r="S1347" s="5"/>
      <c r="T1347" s="319">
        <v>0</v>
      </c>
      <c r="U1347" s="320"/>
      <c r="V1347" s="438"/>
      <c r="W1347" s="5"/>
      <c r="X1347" s="5"/>
      <c r="Y1347" s="319">
        <v>0</v>
      </c>
      <c r="Z1347" s="320"/>
      <c r="AA1347" s="328">
        <f t="shared" si="175"/>
        <v>0</v>
      </c>
      <c r="AB1347" s="400">
        <f t="shared" si="176"/>
        <v>0</v>
      </c>
      <c r="AC1347" s="4"/>
      <c r="AD1347" s="47"/>
      <c r="AE1347" s="47"/>
      <c r="AF1347" s="319"/>
      <c r="AG1347" s="328">
        <f t="shared" si="177"/>
        <v>0</v>
      </c>
    </row>
    <row r="1348" spans="2:42">
      <c r="B1348" s="31" t="s">
        <v>61</v>
      </c>
      <c r="C1348" s="31"/>
      <c r="D1348" s="31"/>
      <c r="E1348" s="439">
        <f>SUM(E1327:E1347)</f>
        <v>0</v>
      </c>
      <c r="F1348" s="320"/>
      <c r="G1348" s="31"/>
      <c r="H1348" s="31"/>
      <c r="I1348" s="31"/>
      <c r="J1348" s="439">
        <f>SUM(J1327:J1347)</f>
        <v>0</v>
      </c>
      <c r="K1348" s="320"/>
      <c r="L1348" s="31"/>
      <c r="M1348" s="31"/>
      <c r="N1348" s="31"/>
      <c r="O1348" s="439">
        <f>SUM(O1327:O1347)</f>
        <v>0</v>
      </c>
      <c r="P1348" s="320"/>
      <c r="Q1348" s="31"/>
      <c r="R1348" s="31"/>
      <c r="S1348" s="31"/>
      <c r="T1348" s="439">
        <f>SUM(T1327:T1347)</f>
        <v>0</v>
      </c>
      <c r="U1348" s="320"/>
      <c r="V1348" s="31"/>
      <c r="W1348" s="31"/>
      <c r="X1348" s="31"/>
      <c r="Y1348" s="439">
        <f>SUM(Y1327:Y1347)</f>
        <v>0</v>
      </c>
      <c r="Z1348" s="320"/>
      <c r="AA1348" s="328">
        <f>SUM(AA1327:AA1347)</f>
        <v>0</v>
      </c>
      <c r="AB1348" s="328">
        <f>SUM(AB1327:AB1347)</f>
        <v>0</v>
      </c>
      <c r="AC1348" s="4"/>
      <c r="AD1348" s="31"/>
      <c r="AE1348" s="31"/>
      <c r="AF1348" s="328">
        <f>SUM(AF1327:AF1347)</f>
        <v>0</v>
      </c>
      <c r="AG1348" s="328">
        <f>SUM(AG1327:AG1347)</f>
        <v>0</v>
      </c>
    </row>
    <row r="1349" spans="2:42">
      <c r="B1349" s="267" t="s">
        <v>1116</v>
      </c>
      <c r="C1349" s="47"/>
      <c r="D1349" s="47"/>
      <c r="E1349" s="319">
        <v>0</v>
      </c>
      <c r="F1349" s="320"/>
      <c r="G1349" s="4"/>
      <c r="H1349" s="47"/>
      <c r="I1349" s="47"/>
      <c r="J1349" s="319">
        <v>0</v>
      </c>
      <c r="K1349" s="320"/>
      <c r="L1349" s="4"/>
      <c r="M1349" s="47"/>
      <c r="N1349" s="47"/>
      <c r="O1349" s="319">
        <v>0</v>
      </c>
      <c r="P1349" s="320"/>
      <c r="R1349" s="47"/>
      <c r="S1349" s="47"/>
      <c r="T1349" s="319">
        <v>0</v>
      </c>
      <c r="U1349" s="320"/>
      <c r="W1349" s="47"/>
      <c r="X1349" s="47"/>
      <c r="Y1349" s="319">
        <v>0</v>
      </c>
      <c r="Z1349" s="320"/>
      <c r="AA1349" s="328">
        <f>(E1349+J1349+O1349+T1349+Y1349)</f>
        <v>0</v>
      </c>
      <c r="AB1349" s="400">
        <f>Z1349+U1349+P1349+K1349+F1349</f>
        <v>0</v>
      </c>
      <c r="AC1349" s="4"/>
      <c r="AD1349" s="47"/>
      <c r="AE1349" s="47"/>
      <c r="AF1349" s="319"/>
      <c r="AG1349" s="328">
        <f>AF1349</f>
        <v>0</v>
      </c>
    </row>
    <row r="1350" spans="2:42">
      <c r="B1350" s="267" t="s">
        <v>64</v>
      </c>
      <c r="C1350" s="47"/>
      <c r="D1350" s="47"/>
      <c r="E1350" s="319">
        <v>0</v>
      </c>
      <c r="F1350" s="319"/>
      <c r="G1350" s="71"/>
      <c r="H1350" s="47"/>
      <c r="I1350" s="47"/>
      <c r="J1350" s="319">
        <v>0</v>
      </c>
      <c r="K1350" s="319"/>
      <c r="L1350" s="438"/>
      <c r="M1350" s="47"/>
      <c r="N1350" s="47"/>
      <c r="O1350" s="319">
        <v>0</v>
      </c>
      <c r="P1350" s="319"/>
      <c r="Q1350" s="438"/>
      <c r="R1350" s="47"/>
      <c r="S1350" s="47"/>
      <c r="T1350" s="319">
        <v>0</v>
      </c>
      <c r="U1350" s="319"/>
      <c r="V1350" s="438"/>
      <c r="W1350" s="47"/>
      <c r="X1350" s="47"/>
      <c r="Y1350" s="319">
        <v>0</v>
      </c>
      <c r="Z1350" s="319"/>
      <c r="AA1350" s="328">
        <f>SUM(E1350+J1350+O1350+T1350+Y1350)</f>
        <v>0</v>
      </c>
      <c r="AB1350" s="897">
        <f>Z1350+U1350+P1350+K1350+F1350</f>
        <v>0</v>
      </c>
      <c r="AC1350" s="4"/>
      <c r="AD1350" s="47" t="s">
        <v>29</v>
      </c>
      <c r="AE1350" s="47" t="s">
        <v>29</v>
      </c>
      <c r="AF1350" s="319"/>
      <c r="AG1350" s="328">
        <f>AF1350</f>
        <v>0</v>
      </c>
    </row>
    <row r="1351" spans="2:42">
      <c r="B1351" s="71" t="s">
        <v>66</v>
      </c>
      <c r="C1351" s="371"/>
      <c r="D1351" s="371"/>
      <c r="E1351" s="71"/>
      <c r="F1351" s="71"/>
      <c r="G1351" s="71"/>
      <c r="H1351" s="71"/>
      <c r="I1351" s="71"/>
      <c r="J1351" s="71"/>
      <c r="K1351" s="71"/>
      <c r="L1351" s="71"/>
      <c r="M1351" s="71"/>
      <c r="N1351" s="71"/>
      <c r="O1351" s="71"/>
      <c r="P1351" s="71"/>
      <c r="Q1351" s="71"/>
      <c r="R1351" s="71"/>
      <c r="S1351" s="71"/>
      <c r="T1351" s="71"/>
      <c r="U1351" s="71"/>
      <c r="V1351" s="71"/>
      <c r="W1351" s="71"/>
      <c r="X1351" s="71"/>
      <c r="Y1351" s="71"/>
      <c r="Z1351" s="71"/>
      <c r="AA1351" s="328">
        <f>SUM(AA1349:AA1350)</f>
        <v>0</v>
      </c>
      <c r="AB1351" s="328">
        <f>SUM(AB1350:AB1350)</f>
        <v>0</v>
      </c>
      <c r="AC1351" s="4"/>
      <c r="AG1351" s="328">
        <f>SUM(AG1350:AG1350)</f>
        <v>0</v>
      </c>
      <c r="AK1351" s="407"/>
    </row>
    <row r="1352" spans="2:42">
      <c r="B1352" s="899" t="s">
        <v>67</v>
      </c>
      <c r="C1352" s="900">
        <f>C1353+C1354</f>
        <v>3</v>
      </c>
      <c r="D1352" s="900"/>
      <c r="E1352" s="901"/>
      <c r="F1352" s="901"/>
      <c r="G1352" s="900"/>
      <c r="H1352" s="901"/>
      <c r="I1352" s="901"/>
      <c r="J1352" s="901"/>
      <c r="K1352" s="901"/>
      <c r="L1352" s="900"/>
      <c r="M1352" s="900"/>
      <c r="N1352" s="900"/>
      <c r="O1352" s="900"/>
      <c r="P1352" s="901"/>
      <c r="Q1352" s="900"/>
      <c r="R1352" s="900"/>
      <c r="S1352" s="900"/>
      <c r="T1352" s="900"/>
      <c r="U1352" s="901"/>
      <c r="V1352" s="900"/>
      <c r="W1352" s="900"/>
      <c r="X1352" s="900"/>
      <c r="Y1352" s="902"/>
      <c r="Z1352" s="901"/>
      <c r="AA1352" s="903"/>
      <c r="AB1352" s="901"/>
      <c r="AC1352" s="903"/>
      <c r="AD1352" s="903"/>
      <c r="AE1352" s="903"/>
      <c r="AF1352" s="903"/>
      <c r="AG1352" s="903"/>
      <c r="AK1352" s="407"/>
    </row>
    <row r="1353" spans="2:42">
      <c r="B1353" s="904" t="s">
        <v>68</v>
      </c>
      <c r="C1353" s="900">
        <v>0</v>
      </c>
      <c r="D1353" s="900"/>
      <c r="E1353" s="901"/>
      <c r="F1353" s="901"/>
      <c r="G1353" s="900"/>
      <c r="H1353" s="901"/>
      <c r="I1353" s="901"/>
      <c r="J1353" s="901"/>
      <c r="K1353" s="901"/>
      <c r="L1353" s="900"/>
      <c r="M1353" s="900"/>
      <c r="N1353" s="900"/>
      <c r="O1353" s="900"/>
      <c r="P1353" s="901"/>
      <c r="Q1353" s="900"/>
      <c r="R1353" s="900"/>
      <c r="S1353" s="900"/>
      <c r="T1353" s="900"/>
      <c r="U1353" s="901"/>
      <c r="V1353" s="900"/>
      <c r="W1353" s="900"/>
      <c r="X1353" s="900"/>
      <c r="Y1353" s="902"/>
      <c r="Z1353" s="901"/>
      <c r="AA1353" s="903"/>
      <c r="AB1353" s="901"/>
      <c r="AC1353" s="903"/>
      <c r="AD1353" s="903"/>
      <c r="AE1353" s="903"/>
      <c r="AF1353" s="903"/>
      <c r="AG1353" s="903"/>
      <c r="AK1353" s="407"/>
    </row>
    <row r="1354" spans="2:42">
      <c r="B1354" s="904" t="s">
        <v>69</v>
      </c>
      <c r="C1354" s="900">
        <v>3</v>
      </c>
      <c r="D1354" s="900"/>
      <c r="E1354" s="901"/>
      <c r="F1354" s="901"/>
      <c r="G1354" s="900"/>
      <c r="H1354" s="901"/>
      <c r="I1354" s="901"/>
      <c r="J1354" s="901"/>
      <c r="K1354" s="901"/>
      <c r="L1354" s="900"/>
      <c r="M1354" s="900"/>
      <c r="N1354" s="900"/>
      <c r="O1354" s="900"/>
      <c r="P1354" s="901"/>
      <c r="Q1354" s="900"/>
      <c r="R1354" s="900"/>
      <c r="S1354" s="900"/>
      <c r="T1354" s="900"/>
      <c r="U1354" s="901"/>
      <c r="V1354" s="900"/>
      <c r="W1354" s="900"/>
      <c r="X1354" s="900"/>
      <c r="Y1354" s="902"/>
      <c r="Z1354" s="901"/>
      <c r="AA1354" s="903"/>
      <c r="AB1354" s="901"/>
      <c r="AC1354" s="903"/>
      <c r="AD1354" s="903"/>
      <c r="AE1354" s="903"/>
      <c r="AF1354" s="903"/>
      <c r="AG1354" s="903"/>
    </row>
    <row r="1357" spans="2:42" ht="25.5">
      <c r="B1357" s="1576"/>
      <c r="C1357" s="1577">
        <v>45992</v>
      </c>
      <c r="D1357" s="1577"/>
      <c r="E1357" s="1577" t="s">
        <v>564</v>
      </c>
      <c r="F1357" s="1577"/>
      <c r="G1357" s="807"/>
      <c r="H1357" s="1577">
        <v>45993</v>
      </c>
      <c r="I1357" s="1577"/>
      <c r="J1357" s="1577" t="s">
        <v>565</v>
      </c>
      <c r="K1357" s="1577"/>
      <c r="L1357" s="807"/>
      <c r="M1357" s="1577">
        <v>45994</v>
      </c>
      <c r="N1357" s="1577"/>
      <c r="O1357" s="1577" t="s">
        <v>566</v>
      </c>
      <c r="P1357" s="1577"/>
      <c r="Q1357" s="807"/>
      <c r="R1357" s="1577">
        <v>45995</v>
      </c>
      <c r="S1357" s="1577"/>
      <c r="T1357" s="1577" t="s">
        <v>567</v>
      </c>
      <c r="U1357" s="1577"/>
      <c r="V1357" s="807"/>
      <c r="W1357" s="1577">
        <v>45996</v>
      </c>
      <c r="X1357" s="1577"/>
      <c r="Y1357" s="1577" t="s">
        <v>568</v>
      </c>
      <c r="Z1357" s="1577"/>
      <c r="AA1357" s="1578" t="s">
        <v>19</v>
      </c>
      <c r="AB1357" s="1578" t="s">
        <v>20</v>
      </c>
      <c r="AC1357" s="762"/>
      <c r="AD1357" s="1577"/>
      <c r="AE1357" s="1577"/>
      <c r="AF1357" s="808" t="s">
        <v>1111</v>
      </c>
      <c r="AG1357" s="1578" t="s">
        <v>21</v>
      </c>
      <c r="AH1357" s="762"/>
      <c r="AI1357" s="1295"/>
      <c r="AJ1357" s="811"/>
      <c r="AK1357" s="1296" t="s">
        <v>84</v>
      </c>
      <c r="AL1357" s="1297"/>
      <c r="AM1357" s="1297"/>
      <c r="AN1357" s="1297"/>
      <c r="AO1357" s="1297"/>
      <c r="AP1357" s="1297"/>
    </row>
    <row r="1358" spans="2:42">
      <c r="B1358" s="1576"/>
      <c r="C1358" s="809" t="s">
        <v>23</v>
      </c>
      <c r="D1358" s="809" t="s">
        <v>24</v>
      </c>
      <c r="E1358" s="768" t="s">
        <v>25</v>
      </c>
      <c r="F1358" s="810" t="s">
        <v>14</v>
      </c>
      <c r="G1358" s="762"/>
      <c r="H1358" s="809"/>
      <c r="I1358" s="809" t="s">
        <v>24</v>
      </c>
      <c r="J1358" s="810" t="s">
        <v>25</v>
      </c>
      <c r="K1358" s="810" t="s">
        <v>14</v>
      </c>
      <c r="L1358" s="762"/>
      <c r="M1358" s="809" t="s">
        <v>23</v>
      </c>
      <c r="N1358" s="809" t="s">
        <v>24</v>
      </c>
      <c r="O1358" s="810" t="s">
        <v>25</v>
      </c>
      <c r="P1358" s="810" t="s">
        <v>14</v>
      </c>
      <c r="Q1358" s="762"/>
      <c r="R1358" s="809" t="s">
        <v>23</v>
      </c>
      <c r="S1358" s="809" t="s">
        <v>24</v>
      </c>
      <c r="T1358" s="810" t="s">
        <v>25</v>
      </c>
      <c r="U1358" s="810" t="s">
        <v>14</v>
      </c>
      <c r="V1358" s="762"/>
      <c r="W1358" s="809" t="s">
        <v>23</v>
      </c>
      <c r="X1358" s="809" t="s">
        <v>24</v>
      </c>
      <c r="Y1358" s="810" t="s">
        <v>25</v>
      </c>
      <c r="Z1358" s="810" t="s">
        <v>14</v>
      </c>
      <c r="AA1358" s="1578"/>
      <c r="AB1358" s="1578"/>
      <c r="AC1358" s="762"/>
      <c r="AD1358" s="809" t="s">
        <v>23</v>
      </c>
      <c r="AE1358" s="809" t="s">
        <v>24</v>
      </c>
      <c r="AF1358" s="810" t="s">
        <v>25</v>
      </c>
      <c r="AG1358" s="1578"/>
      <c r="AH1358" s="762"/>
      <c r="AI1358" s="1295"/>
      <c r="AJ1358" s="811"/>
      <c r="AK1358" s="1298" t="s">
        <v>26</v>
      </c>
      <c r="AL1358" s="1299">
        <f>AA1380</f>
        <v>24</v>
      </c>
      <c r="AM1358" s="1300">
        <v>40.31</v>
      </c>
      <c r="AN1358" s="1300">
        <f t="shared" ref="AN1358:AN1363" si="178">AL1358*AM1358</f>
        <v>967.44</v>
      </c>
      <c r="AO1358" s="1301"/>
      <c r="AP1358" s="1301"/>
    </row>
    <row r="1359" spans="2:42">
      <c r="B1359" s="758" t="s">
        <v>515</v>
      </c>
      <c r="C1359" s="758"/>
      <c r="D1359" s="758"/>
      <c r="E1359" s="759">
        <v>0</v>
      </c>
      <c r="F1359" s="761"/>
      <c r="G1359" s="762"/>
      <c r="H1359" s="758"/>
      <c r="I1359" s="758"/>
      <c r="J1359" s="759">
        <v>0</v>
      </c>
      <c r="K1359" s="761"/>
      <c r="L1359" s="762"/>
      <c r="M1359" s="758"/>
      <c r="N1359" s="758"/>
      <c r="O1359" s="759">
        <v>0</v>
      </c>
      <c r="P1359" s="761"/>
      <c r="Q1359" s="762"/>
      <c r="R1359" s="758"/>
      <c r="S1359" s="758"/>
      <c r="T1359" s="759">
        <v>0</v>
      </c>
      <c r="U1359" s="761"/>
      <c r="V1359" s="762"/>
      <c r="W1359" s="758"/>
      <c r="X1359" s="758"/>
      <c r="Y1359" s="759">
        <v>0</v>
      </c>
      <c r="Z1359" s="761"/>
      <c r="AA1359" s="763">
        <f t="shared" ref="AA1359:AA1379" si="179">(E1359+J1359+O1359+T1359+Y1359)</f>
        <v>0</v>
      </c>
      <c r="AB1359" s="764">
        <f t="shared" ref="AB1359:AB1379" si="180">Z1359+U1359+P1359+K1359+F1359</f>
        <v>0</v>
      </c>
      <c r="AC1359" s="762"/>
      <c r="AD1359" s="811"/>
      <c r="AE1359" s="811"/>
      <c r="AF1359" s="759"/>
      <c r="AG1359" s="763">
        <f t="shared" ref="AG1359:AG1379" si="181">AF1359</f>
        <v>0</v>
      </c>
      <c r="AH1359" s="762"/>
      <c r="AI1359" s="1295"/>
      <c r="AJ1359" s="811"/>
      <c r="AK1359" s="1298" t="s">
        <v>30</v>
      </c>
      <c r="AL1359" s="1299">
        <f>AB1380</f>
        <v>0</v>
      </c>
      <c r="AM1359" s="1300">
        <v>60.465000000000003</v>
      </c>
      <c r="AN1359" s="1300">
        <f t="shared" si="178"/>
        <v>0</v>
      </c>
      <c r="AO1359" s="1301"/>
      <c r="AP1359" s="1301"/>
    </row>
    <row r="1360" spans="2:42">
      <c r="B1360" s="758" t="s">
        <v>1112</v>
      </c>
      <c r="C1360" s="758"/>
      <c r="D1360" s="758"/>
      <c r="E1360" s="759">
        <v>0</v>
      </c>
      <c r="F1360" s="761"/>
      <c r="G1360" s="762"/>
      <c r="H1360" s="758"/>
      <c r="I1360" s="758"/>
      <c r="J1360" s="759">
        <v>0</v>
      </c>
      <c r="K1360" s="761"/>
      <c r="L1360" s="762"/>
      <c r="M1360" s="758"/>
      <c r="N1360" s="758"/>
      <c r="O1360" s="759">
        <v>0</v>
      </c>
      <c r="P1360" s="761"/>
      <c r="Q1360" s="762"/>
      <c r="R1360" s="758"/>
      <c r="S1360" s="758"/>
      <c r="T1360" s="759">
        <v>0</v>
      </c>
      <c r="U1360" s="761"/>
      <c r="V1360" s="762"/>
      <c r="W1360" s="758"/>
      <c r="X1360" s="758"/>
      <c r="Y1360" s="759">
        <v>0</v>
      </c>
      <c r="Z1360" s="761"/>
      <c r="AA1360" s="763">
        <f t="shared" si="179"/>
        <v>0</v>
      </c>
      <c r="AB1360" s="764">
        <f t="shared" si="180"/>
        <v>0</v>
      </c>
      <c r="AC1360" s="762"/>
      <c r="AD1360" s="758"/>
      <c r="AE1360" s="758"/>
      <c r="AF1360" s="759"/>
      <c r="AG1360" s="763">
        <f t="shared" si="181"/>
        <v>0</v>
      </c>
      <c r="AH1360" s="762"/>
      <c r="AI1360" s="1295"/>
      <c r="AJ1360" s="811"/>
      <c r="AK1360" s="1298" t="s">
        <v>32</v>
      </c>
      <c r="AL1360" s="1299">
        <f>AG1380</f>
        <v>0</v>
      </c>
      <c r="AM1360" s="1300">
        <v>60.465000000000003</v>
      </c>
      <c r="AN1360" s="1300">
        <f t="shared" si="178"/>
        <v>0</v>
      </c>
      <c r="AO1360" s="1301"/>
      <c r="AP1360" s="1301"/>
    </row>
    <row r="1361" spans="2:42">
      <c r="B1361" s="758" t="s">
        <v>234</v>
      </c>
      <c r="C1361" s="758"/>
      <c r="D1361" s="758"/>
      <c r="E1361" s="759">
        <v>0</v>
      </c>
      <c r="F1361" s="761"/>
      <c r="G1361" s="762"/>
      <c r="H1361" s="758"/>
      <c r="I1361" s="758"/>
      <c r="J1361" s="759">
        <v>0</v>
      </c>
      <c r="K1361" s="761"/>
      <c r="L1361" s="762"/>
      <c r="M1361" s="758"/>
      <c r="N1361" s="758"/>
      <c r="O1361" s="759">
        <v>0</v>
      </c>
      <c r="P1361" s="761"/>
      <c r="Q1361" s="762"/>
      <c r="R1361" s="758"/>
      <c r="S1361" s="758"/>
      <c r="T1361" s="759">
        <v>0</v>
      </c>
      <c r="U1361" s="761"/>
      <c r="V1361" s="762"/>
      <c r="W1361" s="758"/>
      <c r="X1361" s="758"/>
      <c r="Y1361" s="759">
        <v>0</v>
      </c>
      <c r="Z1361" s="761"/>
      <c r="AA1361" s="763">
        <f t="shared" si="179"/>
        <v>0</v>
      </c>
      <c r="AB1361" s="764">
        <f t="shared" si="180"/>
        <v>0</v>
      </c>
      <c r="AC1361" s="762"/>
      <c r="AD1361" s="758"/>
      <c r="AE1361" s="758"/>
      <c r="AF1361" s="759"/>
      <c r="AG1361" s="763">
        <f t="shared" si="181"/>
        <v>0</v>
      </c>
      <c r="AH1361" s="762"/>
      <c r="AI1361" s="1295"/>
      <c r="AJ1361" s="811"/>
      <c r="AK1361" s="1298" t="s">
        <v>213</v>
      </c>
      <c r="AL1361" s="1299">
        <f>AA1383</f>
        <v>12</v>
      </c>
      <c r="AM1361" s="1300">
        <v>53.05</v>
      </c>
      <c r="AN1361" s="1300">
        <f t="shared" si="178"/>
        <v>636.59999999999991</v>
      </c>
      <c r="AO1361" s="1301"/>
      <c r="AP1361" s="1301"/>
    </row>
    <row r="1362" spans="2:42">
      <c r="B1362" s="758" t="s">
        <v>637</v>
      </c>
      <c r="C1362" s="758"/>
      <c r="D1362" s="758"/>
      <c r="E1362" s="759">
        <v>0</v>
      </c>
      <c r="F1362" s="761"/>
      <c r="G1362" s="762"/>
      <c r="H1362" s="758"/>
      <c r="I1362" s="758"/>
      <c r="J1362" s="759">
        <v>0</v>
      </c>
      <c r="K1362" s="761"/>
      <c r="L1362" s="762"/>
      <c r="M1362" s="758"/>
      <c r="N1362" s="758"/>
      <c r="O1362" s="759">
        <v>0</v>
      </c>
      <c r="P1362" s="761"/>
      <c r="Q1362" s="762"/>
      <c r="R1362" s="758"/>
      <c r="S1362" s="758"/>
      <c r="T1362" s="759">
        <v>0</v>
      </c>
      <c r="U1362" s="761"/>
      <c r="V1362" s="762"/>
      <c r="W1362" s="758"/>
      <c r="X1362" s="758"/>
      <c r="Y1362" s="759">
        <v>0</v>
      </c>
      <c r="Z1362" s="761"/>
      <c r="AA1362" s="763">
        <f t="shared" si="179"/>
        <v>0</v>
      </c>
      <c r="AB1362" s="764">
        <f t="shared" si="180"/>
        <v>0</v>
      </c>
      <c r="AC1362" s="762"/>
      <c r="AD1362" s="758"/>
      <c r="AE1362" s="758"/>
      <c r="AF1362" s="759"/>
      <c r="AG1362" s="763">
        <f t="shared" si="181"/>
        <v>0</v>
      </c>
      <c r="AH1362" s="762"/>
      <c r="AI1362" s="1295"/>
      <c r="AJ1362" s="811"/>
      <c r="AK1362" s="1298" t="s">
        <v>36</v>
      </c>
      <c r="AL1362" s="1299">
        <f>AB1383</f>
        <v>0</v>
      </c>
      <c r="AM1362" s="1300">
        <v>79.574999999999989</v>
      </c>
      <c r="AN1362" s="1300">
        <f t="shared" si="178"/>
        <v>0</v>
      </c>
      <c r="AO1362" s="1301"/>
      <c r="AP1362" s="1301"/>
    </row>
    <row r="1363" spans="2:42">
      <c r="B1363" s="813" t="s">
        <v>998</v>
      </c>
      <c r="C1363" s="758"/>
      <c r="D1363" s="758"/>
      <c r="E1363" s="759">
        <v>0</v>
      </c>
      <c r="F1363" s="761"/>
      <c r="G1363" s="762"/>
      <c r="H1363" s="758"/>
      <c r="I1363" s="758"/>
      <c r="J1363" s="759">
        <v>0</v>
      </c>
      <c r="K1363" s="761"/>
      <c r="L1363" s="762"/>
      <c r="M1363" s="758"/>
      <c r="N1363" s="758"/>
      <c r="O1363" s="759">
        <v>0</v>
      </c>
      <c r="P1363" s="761"/>
      <c r="Q1363" s="762"/>
      <c r="R1363" s="758"/>
      <c r="S1363" s="758"/>
      <c r="T1363" s="759">
        <v>0</v>
      </c>
      <c r="U1363" s="761"/>
      <c r="V1363" s="762"/>
      <c r="W1363" s="758"/>
      <c r="X1363" s="758"/>
      <c r="Y1363" s="759">
        <v>0</v>
      </c>
      <c r="Z1363" s="761"/>
      <c r="AA1363" s="763">
        <f t="shared" si="179"/>
        <v>0</v>
      </c>
      <c r="AB1363" s="764">
        <f t="shared" si="180"/>
        <v>0</v>
      </c>
      <c r="AC1363" s="762"/>
      <c r="AD1363" s="758"/>
      <c r="AE1363" s="758"/>
      <c r="AF1363" s="759"/>
      <c r="AG1363" s="763">
        <f t="shared" si="181"/>
        <v>0</v>
      </c>
      <c r="AH1363" s="762"/>
      <c r="AI1363" s="1295"/>
      <c r="AJ1363" s="811"/>
      <c r="AK1363" s="1298" t="s">
        <v>38</v>
      </c>
      <c r="AL1363" s="1299">
        <f>AG1383</f>
        <v>0</v>
      </c>
      <c r="AM1363" s="1300">
        <v>79.574999999999989</v>
      </c>
      <c r="AN1363" s="1300">
        <f t="shared" si="178"/>
        <v>0</v>
      </c>
      <c r="AO1363" s="1301"/>
      <c r="AP1363" s="1301"/>
    </row>
    <row r="1364" spans="2:42">
      <c r="B1364" s="758" t="s">
        <v>53</v>
      </c>
      <c r="C1364" s="758"/>
      <c r="D1364" s="758"/>
      <c r="E1364" s="759">
        <v>0</v>
      </c>
      <c r="F1364" s="761"/>
      <c r="G1364" s="762"/>
      <c r="H1364" s="758"/>
      <c r="I1364" s="758"/>
      <c r="J1364" s="759">
        <v>0</v>
      </c>
      <c r="K1364" s="761"/>
      <c r="L1364" s="762"/>
      <c r="M1364" s="758"/>
      <c r="N1364" s="758"/>
      <c r="O1364" s="759">
        <v>0</v>
      </c>
      <c r="P1364" s="761"/>
      <c r="Q1364" s="762"/>
      <c r="R1364" s="758"/>
      <c r="S1364" s="758"/>
      <c r="T1364" s="759">
        <v>0</v>
      </c>
      <c r="U1364" s="761"/>
      <c r="V1364" s="762"/>
      <c r="W1364" s="758"/>
      <c r="X1364" s="758"/>
      <c r="Y1364" s="759">
        <v>0</v>
      </c>
      <c r="Z1364" s="761"/>
      <c r="AA1364" s="763">
        <f t="shared" si="179"/>
        <v>0</v>
      </c>
      <c r="AB1364" s="764">
        <f t="shared" si="180"/>
        <v>0</v>
      </c>
      <c r="AC1364" s="762"/>
      <c r="AD1364" s="758"/>
      <c r="AE1364" s="758"/>
      <c r="AF1364" s="759"/>
      <c r="AG1364" s="763">
        <f t="shared" si="181"/>
        <v>0</v>
      </c>
      <c r="AH1364" s="762"/>
      <c r="AI1364" s="1295"/>
      <c r="AJ1364" s="811"/>
      <c r="AK1364" s="1301"/>
      <c r="AL1364" s="1301"/>
      <c r="AM1364" s="1301"/>
      <c r="AN1364" s="1300">
        <f>SUM(AN1358:AN1363)</f>
        <v>1604.04</v>
      </c>
      <c r="AO1364" s="1301"/>
      <c r="AP1364" s="1301"/>
    </row>
    <row r="1365" spans="2:42">
      <c r="B1365" s="758" t="s">
        <v>241</v>
      </c>
      <c r="C1365" s="758"/>
      <c r="D1365" s="758"/>
      <c r="E1365" s="759">
        <v>0</v>
      </c>
      <c r="F1365" s="761"/>
      <c r="G1365" s="762"/>
      <c r="H1365" s="758"/>
      <c r="I1365" s="758"/>
      <c r="J1365" s="759">
        <v>0</v>
      </c>
      <c r="K1365" s="761"/>
      <c r="L1365" s="762"/>
      <c r="M1365" s="758"/>
      <c r="N1365" s="758"/>
      <c r="O1365" s="759">
        <v>0</v>
      </c>
      <c r="P1365" s="761"/>
      <c r="Q1365" s="762"/>
      <c r="R1365" s="758"/>
      <c r="S1365" s="758"/>
      <c r="T1365" s="759">
        <v>0</v>
      </c>
      <c r="U1365" s="761"/>
      <c r="V1365" s="762"/>
      <c r="W1365" s="758"/>
      <c r="X1365" s="758"/>
      <c r="Y1365" s="759">
        <v>0</v>
      </c>
      <c r="Z1365" s="761"/>
      <c r="AA1365" s="763">
        <f t="shared" si="179"/>
        <v>0</v>
      </c>
      <c r="AB1365" s="764">
        <f t="shared" si="180"/>
        <v>0</v>
      </c>
      <c r="AC1365" s="762"/>
      <c r="AD1365" s="758"/>
      <c r="AE1365" s="758"/>
      <c r="AF1365" s="759"/>
      <c r="AG1365" s="763">
        <f t="shared" si="181"/>
        <v>0</v>
      </c>
      <c r="AH1365" s="762"/>
      <c r="AI1365" s="1295"/>
      <c r="AJ1365" s="811"/>
      <c r="AK1365" s="1301"/>
      <c r="AL1365" s="1301"/>
      <c r="AM1365" s="1301"/>
      <c r="AN1365" s="1301"/>
      <c r="AO1365" s="1301"/>
      <c r="AP1365" s="1301"/>
    </row>
    <row r="1366" spans="2:42">
      <c r="B1366" s="758" t="s">
        <v>1141</v>
      </c>
      <c r="C1366" s="758"/>
      <c r="D1366" s="814"/>
      <c r="E1366" s="759">
        <v>0</v>
      </c>
      <c r="F1366" s="761"/>
      <c r="G1366" s="762"/>
      <c r="H1366" s="758"/>
      <c r="I1366" s="758"/>
      <c r="J1366" s="759">
        <v>0</v>
      </c>
      <c r="K1366" s="761"/>
      <c r="L1366" s="762"/>
      <c r="M1366" s="758"/>
      <c r="N1366" s="758"/>
      <c r="O1366" s="759">
        <v>0</v>
      </c>
      <c r="P1366" s="761"/>
      <c r="Q1366" s="762"/>
      <c r="R1366" s="758">
        <v>0.375</v>
      </c>
      <c r="S1366" s="758">
        <v>0.25</v>
      </c>
      <c r="T1366" s="759">
        <v>8</v>
      </c>
      <c r="U1366" s="761"/>
      <c r="V1366" s="762"/>
      <c r="W1366" s="758">
        <v>0.375</v>
      </c>
      <c r="X1366" s="758">
        <v>0.25</v>
      </c>
      <c r="Y1366" s="759">
        <v>8</v>
      </c>
      <c r="Z1366" s="761"/>
      <c r="AA1366" s="763">
        <f t="shared" si="179"/>
        <v>16</v>
      </c>
      <c r="AB1366" s="764">
        <f t="shared" si="180"/>
        <v>0</v>
      </c>
      <c r="AC1366" s="762"/>
      <c r="AD1366" s="758"/>
      <c r="AE1366" s="758"/>
      <c r="AF1366" s="759"/>
      <c r="AG1366" s="763">
        <f t="shared" si="181"/>
        <v>0</v>
      </c>
      <c r="AH1366" s="762"/>
      <c r="AI1366" s="1295"/>
      <c r="AJ1366" s="811"/>
      <c r="AK1366" s="1302" t="s">
        <v>1115</v>
      </c>
      <c r="AL1366" s="1303">
        <f>C1384</f>
        <v>3</v>
      </c>
      <c r="AM1366" s="1300">
        <v>45</v>
      </c>
      <c r="AN1366" s="1300">
        <f>AM1366*AL1366</f>
        <v>135</v>
      </c>
      <c r="AO1366" s="1301"/>
      <c r="AP1366" s="1301"/>
    </row>
    <row r="1367" spans="2:42">
      <c r="B1367" s="758" t="s">
        <v>103</v>
      </c>
      <c r="C1367" s="758"/>
      <c r="D1367" s="758"/>
      <c r="E1367" s="759">
        <v>0</v>
      </c>
      <c r="F1367" s="761"/>
      <c r="G1367" s="762"/>
      <c r="H1367" s="758"/>
      <c r="I1367" s="758"/>
      <c r="J1367" s="759">
        <v>0</v>
      </c>
      <c r="K1367" s="761"/>
      <c r="L1367" s="762"/>
      <c r="M1367" s="758">
        <v>0.375</v>
      </c>
      <c r="N1367" s="758">
        <v>0.25</v>
      </c>
      <c r="O1367" s="759">
        <v>8</v>
      </c>
      <c r="P1367" s="761"/>
      <c r="Q1367" s="762"/>
      <c r="R1367" s="758"/>
      <c r="S1367" s="758"/>
      <c r="T1367" s="759">
        <v>0</v>
      </c>
      <c r="U1367" s="761"/>
      <c r="V1367" s="762"/>
      <c r="W1367" s="758"/>
      <c r="X1367" s="758"/>
      <c r="Y1367" s="759">
        <v>0</v>
      </c>
      <c r="Z1367" s="761"/>
      <c r="AA1367" s="763">
        <f t="shared" si="179"/>
        <v>8</v>
      </c>
      <c r="AB1367" s="764">
        <f t="shared" si="180"/>
        <v>0</v>
      </c>
      <c r="AC1367" s="762"/>
      <c r="AD1367" s="758"/>
      <c r="AE1367" s="758"/>
      <c r="AF1367" s="759"/>
      <c r="AG1367" s="763">
        <f t="shared" si="181"/>
        <v>0</v>
      </c>
      <c r="AH1367" s="762"/>
      <c r="AI1367" s="1295"/>
      <c r="AJ1367" s="811"/>
      <c r="AK1367" s="1301"/>
      <c r="AL1367" s="1301"/>
      <c r="AM1367" s="1301"/>
      <c r="AN1367" s="1301"/>
      <c r="AO1367" s="1301"/>
      <c r="AP1367" s="1301"/>
    </row>
    <row r="1368" spans="2:42">
      <c r="B1368" s="815" t="s">
        <v>483</v>
      </c>
      <c r="C1368" s="758"/>
      <c r="D1368" s="758"/>
      <c r="E1368" s="759">
        <v>0</v>
      </c>
      <c r="F1368" s="761"/>
      <c r="G1368" s="762"/>
      <c r="H1368" s="758"/>
      <c r="I1368" s="758"/>
      <c r="J1368" s="759">
        <v>0</v>
      </c>
      <c r="K1368" s="761"/>
      <c r="L1368" s="762"/>
      <c r="M1368" s="758"/>
      <c r="N1368" s="758"/>
      <c r="O1368" s="759">
        <v>0</v>
      </c>
      <c r="P1368" s="761"/>
      <c r="Q1368" s="762"/>
      <c r="R1368" s="758"/>
      <c r="S1368" s="758"/>
      <c r="T1368" s="759">
        <v>0</v>
      </c>
      <c r="U1368" s="761"/>
      <c r="V1368" s="762"/>
      <c r="W1368" s="758"/>
      <c r="X1368" s="758"/>
      <c r="Y1368" s="759">
        <v>0</v>
      </c>
      <c r="Z1368" s="761"/>
      <c r="AA1368" s="763">
        <f t="shared" si="179"/>
        <v>0</v>
      </c>
      <c r="AB1368" s="764">
        <f t="shared" si="180"/>
        <v>0</v>
      </c>
      <c r="AC1368" s="762"/>
      <c r="AD1368" s="758"/>
      <c r="AE1368" s="758"/>
      <c r="AF1368" s="759"/>
      <c r="AG1368" s="763">
        <f t="shared" si="181"/>
        <v>0</v>
      </c>
      <c r="AH1368" s="762"/>
      <c r="AI1368" s="1295"/>
      <c r="AJ1368" s="811"/>
      <c r="AK1368" s="1301"/>
      <c r="AL1368" s="1301"/>
      <c r="AM1368" s="1301"/>
      <c r="AN1368" s="1301"/>
      <c r="AO1368" s="1301"/>
      <c r="AP1368" s="1301"/>
    </row>
    <row r="1369" spans="2:42">
      <c r="B1369" s="815" t="s">
        <v>483</v>
      </c>
      <c r="C1369" s="758"/>
      <c r="D1369" s="758"/>
      <c r="E1369" s="759">
        <v>0</v>
      </c>
      <c r="F1369" s="761"/>
      <c r="G1369" s="762"/>
      <c r="H1369" s="758"/>
      <c r="I1369" s="758"/>
      <c r="J1369" s="759">
        <v>0</v>
      </c>
      <c r="K1369" s="761"/>
      <c r="L1369" s="762"/>
      <c r="M1369" s="758"/>
      <c r="N1369" s="758"/>
      <c r="O1369" s="759">
        <v>0</v>
      </c>
      <c r="P1369" s="761"/>
      <c r="Q1369" s="762"/>
      <c r="R1369" s="758"/>
      <c r="S1369" s="758"/>
      <c r="T1369" s="759">
        <v>0</v>
      </c>
      <c r="U1369" s="761"/>
      <c r="V1369" s="762"/>
      <c r="W1369" s="758"/>
      <c r="X1369" s="758"/>
      <c r="Y1369" s="759">
        <v>0</v>
      </c>
      <c r="Z1369" s="761"/>
      <c r="AA1369" s="763">
        <f t="shared" si="179"/>
        <v>0</v>
      </c>
      <c r="AB1369" s="764">
        <f t="shared" si="180"/>
        <v>0</v>
      </c>
      <c r="AC1369" s="762"/>
      <c r="AD1369" s="758"/>
      <c r="AE1369" s="758"/>
      <c r="AF1369" s="759"/>
      <c r="AG1369" s="763">
        <f t="shared" si="181"/>
        <v>0</v>
      </c>
      <c r="AH1369" s="762"/>
      <c r="AI1369" s="1295"/>
      <c r="AJ1369" s="811"/>
      <c r="AK1369" s="1301"/>
      <c r="AL1369" s="1301"/>
      <c r="AM1369" s="1301"/>
      <c r="AN1369" s="1301"/>
      <c r="AO1369" s="1301"/>
      <c r="AP1369" s="1301"/>
    </row>
    <row r="1370" spans="2:42">
      <c r="B1370" s="815" t="s">
        <v>484</v>
      </c>
      <c r="C1370" s="758"/>
      <c r="D1370" s="758"/>
      <c r="E1370" s="759">
        <v>0</v>
      </c>
      <c r="F1370" s="761"/>
      <c r="G1370" s="762"/>
      <c r="H1370" s="758"/>
      <c r="I1370" s="758"/>
      <c r="J1370" s="759">
        <v>0</v>
      </c>
      <c r="K1370" s="761"/>
      <c r="L1370" s="762"/>
      <c r="M1370" s="758"/>
      <c r="N1370" s="758"/>
      <c r="O1370" s="759">
        <v>0</v>
      </c>
      <c r="P1370" s="761"/>
      <c r="Q1370" s="762"/>
      <c r="R1370" s="758"/>
      <c r="S1370" s="758"/>
      <c r="T1370" s="759">
        <v>0</v>
      </c>
      <c r="U1370" s="761"/>
      <c r="V1370" s="762"/>
      <c r="W1370" s="758"/>
      <c r="X1370" s="758"/>
      <c r="Y1370" s="759">
        <v>0</v>
      </c>
      <c r="Z1370" s="761"/>
      <c r="AA1370" s="763">
        <f t="shared" si="179"/>
        <v>0</v>
      </c>
      <c r="AB1370" s="764">
        <f t="shared" si="180"/>
        <v>0</v>
      </c>
      <c r="AC1370" s="762"/>
      <c r="AD1370" s="758"/>
      <c r="AE1370" s="758"/>
      <c r="AF1370" s="759"/>
      <c r="AG1370" s="763">
        <f t="shared" si="181"/>
        <v>0</v>
      </c>
      <c r="AH1370" s="762"/>
      <c r="AI1370" s="1295"/>
      <c r="AJ1370" s="811"/>
      <c r="AK1370" s="1301"/>
      <c r="AL1370" s="1301"/>
      <c r="AM1370" s="1301"/>
      <c r="AN1370" s="1301"/>
      <c r="AO1370" s="1301"/>
      <c r="AP1370" s="1301"/>
    </row>
    <row r="1371" spans="2:42">
      <c r="B1371" s="815" t="s">
        <v>485</v>
      </c>
      <c r="C1371" s="758"/>
      <c r="D1371" s="758"/>
      <c r="E1371" s="759">
        <v>0</v>
      </c>
      <c r="F1371" s="761"/>
      <c r="G1371" s="762"/>
      <c r="H1371" s="758"/>
      <c r="I1371" s="758"/>
      <c r="J1371" s="759">
        <v>0</v>
      </c>
      <c r="K1371" s="761"/>
      <c r="L1371" s="762"/>
      <c r="M1371" s="758"/>
      <c r="N1371" s="758"/>
      <c r="O1371" s="759">
        <v>0</v>
      </c>
      <c r="P1371" s="761"/>
      <c r="Q1371" s="762"/>
      <c r="R1371" s="758"/>
      <c r="S1371" s="758"/>
      <c r="T1371" s="759">
        <v>0</v>
      </c>
      <c r="U1371" s="761"/>
      <c r="V1371" s="762"/>
      <c r="W1371" s="758"/>
      <c r="X1371" s="758"/>
      <c r="Y1371" s="759">
        <v>0</v>
      </c>
      <c r="Z1371" s="761"/>
      <c r="AA1371" s="763">
        <f t="shared" si="179"/>
        <v>0</v>
      </c>
      <c r="AB1371" s="764">
        <f t="shared" si="180"/>
        <v>0</v>
      </c>
      <c r="AC1371" s="762"/>
      <c r="AD1371" s="758"/>
      <c r="AE1371" s="758"/>
      <c r="AF1371" s="759"/>
      <c r="AG1371" s="763">
        <f t="shared" si="181"/>
        <v>0</v>
      </c>
      <c r="AH1371" s="762"/>
      <c r="AI1371" s="1295"/>
      <c r="AJ1371" s="811"/>
      <c r="AK1371" s="1301"/>
      <c r="AL1371" s="1301"/>
      <c r="AM1371" s="1301"/>
      <c r="AN1371" s="1301"/>
      <c r="AO1371" s="1301"/>
      <c r="AP1371" s="1301"/>
    </row>
    <row r="1372" spans="2:42">
      <c r="B1372" s="815" t="s">
        <v>1129</v>
      </c>
      <c r="C1372" s="758"/>
      <c r="D1372" s="758"/>
      <c r="E1372" s="759">
        <v>0</v>
      </c>
      <c r="F1372" s="761"/>
      <c r="G1372" s="762"/>
      <c r="H1372" s="758"/>
      <c r="I1372" s="758"/>
      <c r="J1372" s="759">
        <v>0</v>
      </c>
      <c r="K1372" s="761"/>
      <c r="L1372" s="762"/>
      <c r="M1372" s="758"/>
      <c r="N1372" s="758"/>
      <c r="O1372" s="759">
        <v>0</v>
      </c>
      <c r="P1372" s="761"/>
      <c r="Q1372" s="762"/>
      <c r="R1372" s="758"/>
      <c r="S1372" s="758"/>
      <c r="T1372" s="759">
        <v>0</v>
      </c>
      <c r="U1372" s="761"/>
      <c r="V1372" s="762"/>
      <c r="W1372" s="758"/>
      <c r="X1372" s="758"/>
      <c r="Y1372" s="759">
        <v>0</v>
      </c>
      <c r="Z1372" s="761"/>
      <c r="AA1372" s="763">
        <f t="shared" si="179"/>
        <v>0</v>
      </c>
      <c r="AB1372" s="764">
        <f t="shared" si="180"/>
        <v>0</v>
      </c>
      <c r="AC1372" s="762"/>
      <c r="AD1372" s="758"/>
      <c r="AE1372" s="758"/>
      <c r="AF1372" s="759"/>
      <c r="AG1372" s="763">
        <f t="shared" si="181"/>
        <v>0</v>
      </c>
      <c r="AH1372" s="762"/>
      <c r="AI1372" s="1295"/>
      <c r="AJ1372" s="811"/>
      <c r="AK1372" s="1301"/>
      <c r="AL1372" s="1301"/>
      <c r="AM1372" s="1301"/>
      <c r="AN1372" s="1301"/>
      <c r="AO1372" s="1301"/>
      <c r="AP1372" s="1301"/>
    </row>
    <row r="1373" spans="2:42">
      <c r="B1373" s="816" t="s">
        <v>358</v>
      </c>
      <c r="C1373" s="758"/>
      <c r="D1373" s="758"/>
      <c r="E1373" s="759">
        <v>0</v>
      </c>
      <c r="F1373" s="761"/>
      <c r="G1373" s="762"/>
      <c r="H1373" s="758"/>
      <c r="I1373" s="758"/>
      <c r="J1373" s="759">
        <v>0</v>
      </c>
      <c r="K1373" s="761"/>
      <c r="L1373" s="765"/>
      <c r="M1373" s="758"/>
      <c r="N1373" s="758"/>
      <c r="O1373" s="759">
        <v>0</v>
      </c>
      <c r="P1373" s="761"/>
      <c r="Q1373" s="765"/>
      <c r="R1373" s="758"/>
      <c r="S1373" s="758"/>
      <c r="T1373" s="759">
        <v>0</v>
      </c>
      <c r="U1373" s="761"/>
      <c r="V1373" s="765"/>
      <c r="W1373" s="758"/>
      <c r="X1373" s="758"/>
      <c r="Y1373" s="759">
        <v>0</v>
      </c>
      <c r="Z1373" s="761"/>
      <c r="AA1373" s="763">
        <f t="shared" si="179"/>
        <v>0</v>
      </c>
      <c r="AB1373" s="764">
        <f t="shared" si="180"/>
        <v>0</v>
      </c>
      <c r="AC1373" s="762"/>
      <c r="AD1373" s="758"/>
      <c r="AE1373" s="758"/>
      <c r="AF1373" s="759"/>
      <c r="AG1373" s="763">
        <f t="shared" si="181"/>
        <v>0</v>
      </c>
      <c r="AH1373" s="762"/>
      <c r="AI1373" s="1295"/>
      <c r="AJ1373" s="811"/>
      <c r="AK1373" s="1301"/>
      <c r="AL1373" s="1301"/>
      <c r="AM1373" s="1301"/>
      <c r="AN1373" s="1301"/>
      <c r="AO1373" s="1301"/>
      <c r="AP1373" s="1301"/>
    </row>
    <row r="1374" spans="2:42">
      <c r="B1374" s="816" t="s">
        <v>1135</v>
      </c>
      <c r="C1374" s="758"/>
      <c r="D1374" s="758"/>
      <c r="E1374" s="759">
        <v>0</v>
      </c>
      <c r="F1374" s="761"/>
      <c r="G1374" s="762"/>
      <c r="H1374" s="758"/>
      <c r="I1374" s="758"/>
      <c r="J1374" s="759">
        <v>0</v>
      </c>
      <c r="K1374" s="761"/>
      <c r="L1374" s="765"/>
      <c r="M1374" s="758"/>
      <c r="N1374" s="758"/>
      <c r="O1374" s="759">
        <v>0</v>
      </c>
      <c r="P1374" s="761"/>
      <c r="Q1374" s="765"/>
      <c r="R1374" s="758"/>
      <c r="S1374" s="758"/>
      <c r="T1374" s="759">
        <v>0</v>
      </c>
      <c r="U1374" s="761"/>
      <c r="V1374" s="765"/>
      <c r="W1374" s="758"/>
      <c r="X1374" s="758"/>
      <c r="Y1374" s="759">
        <v>0</v>
      </c>
      <c r="Z1374" s="761"/>
      <c r="AA1374" s="763">
        <f t="shared" si="179"/>
        <v>0</v>
      </c>
      <c r="AB1374" s="764">
        <f t="shared" si="180"/>
        <v>0</v>
      </c>
      <c r="AC1374" s="762"/>
      <c r="AD1374" s="758"/>
      <c r="AE1374" s="758"/>
      <c r="AF1374" s="759"/>
      <c r="AG1374" s="763">
        <f t="shared" si="181"/>
        <v>0</v>
      </c>
      <c r="AH1374" s="762"/>
      <c r="AI1374" s="1295"/>
      <c r="AJ1374" s="811"/>
      <c r="AK1374" s="1301"/>
      <c r="AL1374" s="1301"/>
      <c r="AM1374" s="1301"/>
      <c r="AN1374" s="1301"/>
      <c r="AO1374" s="1301"/>
      <c r="AP1374" s="1301"/>
    </row>
    <row r="1375" spans="2:42">
      <c r="B1375" s="816" t="s">
        <v>411</v>
      </c>
      <c r="C1375" s="758"/>
      <c r="D1375" s="758"/>
      <c r="E1375" s="759">
        <v>0</v>
      </c>
      <c r="F1375" s="761"/>
      <c r="G1375" s="762"/>
      <c r="H1375" s="758"/>
      <c r="I1375" s="758"/>
      <c r="J1375" s="759">
        <v>0</v>
      </c>
      <c r="K1375" s="761"/>
      <c r="L1375" s="765"/>
      <c r="M1375" s="758"/>
      <c r="N1375" s="758"/>
      <c r="O1375" s="759">
        <v>0</v>
      </c>
      <c r="P1375" s="761"/>
      <c r="Q1375" s="765"/>
      <c r="R1375" s="758"/>
      <c r="S1375" s="758"/>
      <c r="T1375" s="759">
        <v>0</v>
      </c>
      <c r="U1375" s="761"/>
      <c r="V1375" s="765"/>
      <c r="W1375" s="758"/>
      <c r="X1375" s="758"/>
      <c r="Y1375" s="759">
        <v>0</v>
      </c>
      <c r="Z1375" s="761"/>
      <c r="AA1375" s="763">
        <f t="shared" si="179"/>
        <v>0</v>
      </c>
      <c r="AB1375" s="764">
        <f t="shared" si="180"/>
        <v>0</v>
      </c>
      <c r="AC1375" s="762"/>
      <c r="AD1375" s="758"/>
      <c r="AE1375" s="758"/>
      <c r="AF1375" s="759"/>
      <c r="AG1375" s="763">
        <f t="shared" si="181"/>
        <v>0</v>
      </c>
      <c r="AH1375" s="762"/>
      <c r="AI1375" s="1295"/>
      <c r="AJ1375" s="811"/>
      <c r="AK1375" s="1301"/>
      <c r="AL1375" s="1301"/>
      <c r="AM1375" s="1301"/>
      <c r="AN1375" s="1301"/>
      <c r="AO1375" s="1301"/>
      <c r="AP1375" s="1301"/>
    </row>
    <row r="1376" spans="2:42">
      <c r="B1376" s="816" t="s">
        <v>361</v>
      </c>
      <c r="C1376" s="758"/>
      <c r="D1376" s="758"/>
      <c r="E1376" s="759">
        <v>0</v>
      </c>
      <c r="F1376" s="761"/>
      <c r="G1376" s="762"/>
      <c r="H1376" s="758"/>
      <c r="I1376" s="758"/>
      <c r="J1376" s="759">
        <v>0</v>
      </c>
      <c r="K1376" s="761"/>
      <c r="L1376" s="765"/>
      <c r="M1376" s="758"/>
      <c r="N1376" s="758"/>
      <c r="O1376" s="759">
        <v>0</v>
      </c>
      <c r="P1376" s="761"/>
      <c r="Q1376" s="765"/>
      <c r="R1376" s="758"/>
      <c r="S1376" s="758"/>
      <c r="T1376" s="759">
        <v>0</v>
      </c>
      <c r="U1376" s="761"/>
      <c r="V1376" s="765"/>
      <c r="W1376" s="758"/>
      <c r="X1376" s="758"/>
      <c r="Y1376" s="759">
        <v>0</v>
      </c>
      <c r="Z1376" s="761"/>
      <c r="AA1376" s="763">
        <f t="shared" si="179"/>
        <v>0</v>
      </c>
      <c r="AB1376" s="764">
        <f t="shared" si="180"/>
        <v>0</v>
      </c>
      <c r="AC1376" s="762"/>
      <c r="AD1376" s="758"/>
      <c r="AE1376" s="758"/>
      <c r="AF1376" s="759"/>
      <c r="AG1376" s="763">
        <f t="shared" si="181"/>
        <v>0</v>
      </c>
      <c r="AH1376" s="762"/>
      <c r="AI1376" s="1295"/>
      <c r="AJ1376" s="811"/>
      <c r="AK1376" s="1301"/>
      <c r="AL1376" s="1301"/>
      <c r="AM1376" s="1301"/>
      <c r="AN1376" s="1301"/>
      <c r="AO1376" s="1301"/>
      <c r="AP1376" s="1301"/>
    </row>
    <row r="1377" spans="2:42">
      <c r="B1377" s="816" t="s">
        <v>362</v>
      </c>
      <c r="C1377" s="758"/>
      <c r="D1377" s="766"/>
      <c r="E1377" s="759">
        <v>0</v>
      </c>
      <c r="F1377" s="761"/>
      <c r="G1377" s="762"/>
      <c r="H1377" s="758"/>
      <c r="I1377" s="766"/>
      <c r="J1377" s="759">
        <v>0</v>
      </c>
      <c r="K1377" s="761"/>
      <c r="L1377" s="765"/>
      <c r="M1377" s="758"/>
      <c r="N1377" s="766"/>
      <c r="O1377" s="759">
        <v>0</v>
      </c>
      <c r="P1377" s="761"/>
      <c r="Q1377" s="765"/>
      <c r="R1377" s="758"/>
      <c r="S1377" s="766"/>
      <c r="T1377" s="759">
        <v>0</v>
      </c>
      <c r="U1377" s="761"/>
      <c r="V1377" s="765"/>
      <c r="W1377" s="758"/>
      <c r="X1377" s="766"/>
      <c r="Y1377" s="759">
        <v>0</v>
      </c>
      <c r="Z1377" s="761"/>
      <c r="AA1377" s="763">
        <f t="shared" si="179"/>
        <v>0</v>
      </c>
      <c r="AB1377" s="764">
        <f t="shared" si="180"/>
        <v>0</v>
      </c>
      <c r="AC1377" s="762"/>
      <c r="AD1377" s="758"/>
      <c r="AE1377" s="758"/>
      <c r="AF1377" s="759"/>
      <c r="AG1377" s="763">
        <f t="shared" si="181"/>
        <v>0</v>
      </c>
      <c r="AH1377" s="762"/>
      <c r="AI1377" s="1295"/>
      <c r="AJ1377" s="811"/>
      <c r="AK1377" s="1301"/>
      <c r="AL1377" s="1301"/>
      <c r="AM1377" s="1301"/>
      <c r="AN1377" s="1301"/>
      <c r="AO1377" s="1301"/>
      <c r="AP1377" s="1301"/>
    </row>
    <row r="1378" spans="2:42">
      <c r="B1378" s="817" t="s">
        <v>355</v>
      </c>
      <c r="C1378" s="758"/>
      <c r="D1378" s="758"/>
      <c r="E1378" s="759">
        <v>0</v>
      </c>
      <c r="F1378" s="761"/>
      <c r="G1378" s="762"/>
      <c r="H1378" s="758"/>
      <c r="I1378" s="758"/>
      <c r="J1378" s="759">
        <v>0</v>
      </c>
      <c r="K1378" s="761"/>
      <c r="L1378" s="765"/>
      <c r="M1378" s="758"/>
      <c r="N1378" s="758"/>
      <c r="O1378" s="759">
        <v>0</v>
      </c>
      <c r="P1378" s="761"/>
      <c r="Q1378" s="765"/>
      <c r="R1378" s="758"/>
      <c r="S1378" s="758"/>
      <c r="T1378" s="759">
        <v>0</v>
      </c>
      <c r="U1378" s="761"/>
      <c r="V1378" s="765"/>
      <c r="W1378" s="758"/>
      <c r="X1378" s="758"/>
      <c r="Y1378" s="759">
        <v>0</v>
      </c>
      <c r="Z1378" s="761"/>
      <c r="AA1378" s="763">
        <f t="shared" si="179"/>
        <v>0</v>
      </c>
      <c r="AB1378" s="764">
        <f t="shared" si="180"/>
        <v>0</v>
      </c>
      <c r="AC1378" s="762"/>
      <c r="AD1378" s="758"/>
      <c r="AE1378" s="758"/>
      <c r="AF1378" s="759"/>
      <c r="AG1378" s="763">
        <f t="shared" si="181"/>
        <v>0</v>
      </c>
      <c r="AH1378" s="762"/>
      <c r="AI1378" s="1295"/>
      <c r="AJ1378" s="811"/>
      <c r="AK1378" s="1301"/>
      <c r="AL1378" s="1301"/>
      <c r="AM1378" s="1301"/>
      <c r="AN1378" s="1301"/>
      <c r="AO1378" s="1301"/>
      <c r="AP1378" s="1301"/>
    </row>
    <row r="1379" spans="2:42">
      <c r="B1379" s="817" t="s">
        <v>356</v>
      </c>
      <c r="C1379" s="818"/>
      <c r="D1379" s="818"/>
      <c r="E1379" s="759">
        <v>0</v>
      </c>
      <c r="F1379" s="761"/>
      <c r="G1379" s="765"/>
      <c r="H1379" s="766"/>
      <c r="I1379" s="766"/>
      <c r="J1379" s="759">
        <v>0</v>
      </c>
      <c r="K1379" s="761"/>
      <c r="L1379" s="765"/>
      <c r="M1379" s="766"/>
      <c r="N1379" s="766"/>
      <c r="O1379" s="759">
        <v>0</v>
      </c>
      <c r="P1379" s="761"/>
      <c r="Q1379" s="765"/>
      <c r="R1379" s="766"/>
      <c r="S1379" s="766"/>
      <c r="T1379" s="759">
        <v>0</v>
      </c>
      <c r="U1379" s="761"/>
      <c r="V1379" s="765"/>
      <c r="W1379" s="766"/>
      <c r="X1379" s="766"/>
      <c r="Y1379" s="759">
        <v>0</v>
      </c>
      <c r="Z1379" s="761"/>
      <c r="AA1379" s="763">
        <f t="shared" si="179"/>
        <v>0</v>
      </c>
      <c r="AB1379" s="764">
        <f t="shared" si="180"/>
        <v>0</v>
      </c>
      <c r="AC1379" s="762"/>
      <c r="AD1379" s="758"/>
      <c r="AE1379" s="758"/>
      <c r="AF1379" s="759"/>
      <c r="AG1379" s="763">
        <f t="shared" si="181"/>
        <v>0</v>
      </c>
      <c r="AH1379" s="762"/>
      <c r="AI1379" s="1295"/>
      <c r="AJ1379" s="811"/>
      <c r="AK1379" s="1301"/>
      <c r="AL1379" s="1301"/>
      <c r="AM1379" s="1301"/>
      <c r="AN1379" s="1301"/>
      <c r="AO1379" s="1301"/>
      <c r="AP1379" s="1301"/>
    </row>
    <row r="1380" spans="2:42">
      <c r="B1380" s="767" t="s">
        <v>61</v>
      </c>
      <c r="C1380" s="767"/>
      <c r="D1380" s="767"/>
      <c r="E1380" s="760">
        <f>SUM(E1359:E1379)</f>
        <v>0</v>
      </c>
      <c r="F1380" s="761"/>
      <c r="G1380" s="767"/>
      <c r="H1380" s="767"/>
      <c r="I1380" s="767"/>
      <c r="J1380" s="760">
        <f>SUM(J1359:J1379)</f>
        <v>0</v>
      </c>
      <c r="K1380" s="761"/>
      <c r="L1380" s="767"/>
      <c r="M1380" s="767"/>
      <c r="N1380" s="767"/>
      <c r="O1380" s="760">
        <f>SUM(O1359:O1379)</f>
        <v>8</v>
      </c>
      <c r="P1380" s="761"/>
      <c r="Q1380" s="767"/>
      <c r="R1380" s="767"/>
      <c r="S1380" s="767"/>
      <c r="T1380" s="760">
        <f>SUM(T1359:T1379)</f>
        <v>8</v>
      </c>
      <c r="U1380" s="761"/>
      <c r="V1380" s="767"/>
      <c r="W1380" s="767"/>
      <c r="X1380" s="767"/>
      <c r="Y1380" s="760">
        <f>SUM(Y1359:Y1379)</f>
        <v>8</v>
      </c>
      <c r="Z1380" s="761"/>
      <c r="AA1380" s="763">
        <f>SUM(AA1359:AA1379)</f>
        <v>24</v>
      </c>
      <c r="AB1380" s="763">
        <f>SUM(AB1359:AB1379)</f>
        <v>0</v>
      </c>
      <c r="AC1380" s="762"/>
      <c r="AD1380" s="767"/>
      <c r="AE1380" s="767"/>
      <c r="AF1380" s="763">
        <f>SUM(AF1359:AF1379)</f>
        <v>0</v>
      </c>
      <c r="AG1380" s="763">
        <f>SUM(AG1359:AG1379)</f>
        <v>0</v>
      </c>
      <c r="AH1380" s="762"/>
      <c r="AI1380" s="1295"/>
      <c r="AJ1380" s="811"/>
      <c r="AK1380" s="1301"/>
      <c r="AL1380" s="1301"/>
      <c r="AM1380" s="1301"/>
      <c r="AN1380" s="1301"/>
      <c r="AO1380" s="1301"/>
      <c r="AP1380" s="1301"/>
    </row>
    <row r="1381" spans="2:42">
      <c r="B1381" s="816" t="s">
        <v>1116</v>
      </c>
      <c r="C1381" s="758"/>
      <c r="D1381" s="758"/>
      <c r="E1381" s="759">
        <v>0</v>
      </c>
      <c r="F1381" s="761"/>
      <c r="G1381" s="762"/>
      <c r="H1381" s="758"/>
      <c r="I1381" s="758"/>
      <c r="J1381" s="759">
        <v>0</v>
      </c>
      <c r="K1381" s="761"/>
      <c r="L1381" s="762"/>
      <c r="M1381" s="758"/>
      <c r="N1381" s="758"/>
      <c r="O1381" s="759">
        <v>4</v>
      </c>
      <c r="P1381" s="761"/>
      <c r="Q1381" s="762"/>
      <c r="R1381" s="758"/>
      <c r="S1381" s="758"/>
      <c r="T1381" s="759">
        <v>4</v>
      </c>
      <c r="U1381" s="761"/>
      <c r="V1381" s="762"/>
      <c r="W1381" s="758"/>
      <c r="X1381" s="758"/>
      <c r="Y1381" s="759">
        <v>4</v>
      </c>
      <c r="Z1381" s="761"/>
      <c r="AA1381" s="763">
        <f>(E1381+J1381+O1381+T1381+Y1381)</f>
        <v>12</v>
      </c>
      <c r="AB1381" s="764">
        <f>Z1381+U1381+P1381+K1381+F1381</f>
        <v>0</v>
      </c>
      <c r="AC1381" s="762"/>
      <c r="AD1381" s="758"/>
      <c r="AE1381" s="758"/>
      <c r="AF1381" s="759"/>
      <c r="AG1381" s="763">
        <f>AF1381</f>
        <v>0</v>
      </c>
      <c r="AH1381" s="762"/>
      <c r="AI1381" s="1295"/>
      <c r="AJ1381" s="811"/>
      <c r="AK1381" s="1301"/>
      <c r="AL1381" s="1301"/>
      <c r="AM1381" s="1301"/>
      <c r="AN1381" s="1301"/>
      <c r="AO1381" s="1301"/>
      <c r="AP1381" s="1301"/>
    </row>
    <row r="1382" spans="2:42">
      <c r="B1382" s="816" t="s">
        <v>64</v>
      </c>
      <c r="C1382" s="758"/>
      <c r="D1382" s="758"/>
      <c r="E1382" s="759">
        <v>0</v>
      </c>
      <c r="F1382" s="759"/>
      <c r="G1382" s="819"/>
      <c r="H1382" s="758"/>
      <c r="I1382" s="758"/>
      <c r="J1382" s="759">
        <v>0</v>
      </c>
      <c r="K1382" s="759"/>
      <c r="L1382" s="765"/>
      <c r="M1382" s="758"/>
      <c r="N1382" s="758"/>
      <c r="O1382" s="759">
        <v>0</v>
      </c>
      <c r="P1382" s="759"/>
      <c r="Q1382" s="765"/>
      <c r="R1382" s="758"/>
      <c r="S1382" s="758"/>
      <c r="T1382" s="759">
        <v>0</v>
      </c>
      <c r="U1382" s="759"/>
      <c r="V1382" s="765"/>
      <c r="W1382" s="758"/>
      <c r="X1382" s="758"/>
      <c r="Y1382" s="759">
        <v>0</v>
      </c>
      <c r="Z1382" s="759"/>
      <c r="AA1382" s="763">
        <f>SUM(E1382+J1382+O1382+T1382+Y1382)</f>
        <v>0</v>
      </c>
      <c r="AB1382" s="768">
        <f>Z1382+U1382+P1382+K1382+F1382</f>
        <v>0</v>
      </c>
      <c r="AC1382" s="762"/>
      <c r="AD1382" s="758" t="s">
        <v>29</v>
      </c>
      <c r="AE1382" s="758" t="s">
        <v>29</v>
      </c>
      <c r="AF1382" s="759"/>
      <c r="AG1382" s="763">
        <f>AF1382</f>
        <v>0</v>
      </c>
      <c r="AH1382" s="762"/>
      <c r="AI1382" s="1295"/>
      <c r="AJ1382" s="811"/>
      <c r="AK1382" s="1301"/>
      <c r="AL1382" s="1301"/>
      <c r="AM1382" s="1301"/>
      <c r="AN1382" s="1301"/>
      <c r="AO1382" s="1301"/>
      <c r="AP1382" s="1301"/>
    </row>
    <row r="1383" spans="2:42">
      <c r="B1383" s="819" t="s">
        <v>66</v>
      </c>
      <c r="C1383" s="820"/>
      <c r="D1383" s="820"/>
      <c r="E1383" s="819"/>
      <c r="F1383" s="819"/>
      <c r="G1383" s="819"/>
      <c r="H1383" s="819"/>
      <c r="I1383" s="819"/>
      <c r="J1383" s="819"/>
      <c r="K1383" s="819"/>
      <c r="L1383" s="819"/>
      <c r="M1383" s="819"/>
      <c r="N1383" s="819"/>
      <c r="O1383" s="819"/>
      <c r="P1383" s="819"/>
      <c r="Q1383" s="819"/>
      <c r="R1383" s="819"/>
      <c r="S1383" s="819"/>
      <c r="T1383" s="819"/>
      <c r="U1383" s="819"/>
      <c r="V1383" s="819"/>
      <c r="W1383" s="819"/>
      <c r="X1383" s="819"/>
      <c r="Y1383" s="819"/>
      <c r="Z1383" s="819"/>
      <c r="AA1383" s="763">
        <f>SUM(AA1381:AA1382)</f>
        <v>12</v>
      </c>
      <c r="AB1383" s="763">
        <f>SUM(AB1382:AB1382)</f>
        <v>0</v>
      </c>
      <c r="AC1383" s="762"/>
      <c r="AD1383" s="811"/>
      <c r="AE1383" s="811"/>
      <c r="AF1383" s="811"/>
      <c r="AG1383" s="763">
        <f>SUM(AG1382:AG1382)</f>
        <v>0</v>
      </c>
      <c r="AH1383" s="762"/>
      <c r="AI1383" s="1295"/>
      <c r="AJ1383" s="811"/>
      <c r="AK1383" s="1304"/>
      <c r="AL1383" s="1301"/>
      <c r="AM1383" s="1301"/>
      <c r="AN1383" s="1301"/>
      <c r="AO1383" s="1301"/>
      <c r="AP1383" s="1301"/>
    </row>
    <row r="1384" spans="2:42">
      <c r="B1384" s="821" t="s">
        <v>67</v>
      </c>
      <c r="C1384" s="822">
        <f>C1385+C1386</f>
        <v>3</v>
      </c>
      <c r="D1384" s="822"/>
      <c r="E1384" s="823"/>
      <c r="F1384" s="823"/>
      <c r="G1384" s="822"/>
      <c r="H1384" s="823"/>
      <c r="I1384" s="823"/>
      <c r="J1384" s="823"/>
      <c r="K1384" s="823"/>
      <c r="L1384" s="822"/>
      <c r="M1384" s="822"/>
      <c r="N1384" s="822"/>
      <c r="O1384" s="822"/>
      <c r="P1384" s="823"/>
      <c r="Q1384" s="822"/>
      <c r="R1384" s="822"/>
      <c r="S1384" s="822"/>
      <c r="T1384" s="822"/>
      <c r="U1384" s="823"/>
      <c r="V1384" s="822"/>
      <c r="W1384" s="822"/>
      <c r="X1384" s="822"/>
      <c r="Y1384" s="824"/>
      <c r="Z1384" s="823"/>
      <c r="AA1384" s="825"/>
      <c r="AB1384" s="823"/>
      <c r="AC1384" s="825"/>
      <c r="AD1384" s="825"/>
      <c r="AE1384" s="825"/>
      <c r="AF1384" s="825"/>
      <c r="AG1384" s="825"/>
      <c r="AH1384" s="762"/>
      <c r="AI1384" s="1295"/>
      <c r="AJ1384" s="811"/>
      <c r="AK1384" s="1304"/>
      <c r="AL1384" s="1301"/>
      <c r="AM1384" s="1301"/>
      <c r="AN1384" s="1301"/>
      <c r="AO1384" s="1301"/>
      <c r="AP1384" s="1301"/>
    </row>
    <row r="1385" spans="2:42">
      <c r="B1385" s="826" t="s">
        <v>68</v>
      </c>
      <c r="C1385" s="822">
        <v>0</v>
      </c>
      <c r="D1385" s="822"/>
      <c r="E1385" s="823"/>
      <c r="F1385" s="823"/>
      <c r="G1385" s="822"/>
      <c r="H1385" s="823"/>
      <c r="I1385" s="823"/>
      <c r="J1385" s="823"/>
      <c r="K1385" s="823"/>
      <c r="L1385" s="822"/>
      <c r="M1385" s="822"/>
      <c r="N1385" s="822"/>
      <c r="O1385" s="822"/>
      <c r="P1385" s="823"/>
      <c r="Q1385" s="822"/>
      <c r="R1385" s="822"/>
      <c r="S1385" s="822"/>
      <c r="T1385" s="822"/>
      <c r="U1385" s="823"/>
      <c r="V1385" s="822"/>
      <c r="W1385" s="822"/>
      <c r="X1385" s="822"/>
      <c r="Y1385" s="824"/>
      <c r="Z1385" s="823"/>
      <c r="AA1385" s="825"/>
      <c r="AB1385" s="823"/>
      <c r="AC1385" s="825"/>
      <c r="AD1385" s="825"/>
      <c r="AE1385" s="825"/>
      <c r="AF1385" s="825"/>
      <c r="AG1385" s="825"/>
      <c r="AH1385" s="762"/>
      <c r="AI1385" s="1295"/>
      <c r="AJ1385" s="811"/>
      <c r="AK1385" s="1304"/>
      <c r="AL1385" s="1301"/>
      <c r="AM1385" s="1301"/>
      <c r="AN1385" s="1301"/>
      <c r="AO1385" s="1301"/>
      <c r="AP1385" s="1301"/>
    </row>
    <row r="1386" spans="2:42">
      <c r="B1386" s="826" t="s">
        <v>69</v>
      </c>
      <c r="C1386" s="822">
        <v>3</v>
      </c>
      <c r="D1386" s="822"/>
      <c r="E1386" s="823"/>
      <c r="F1386" s="823"/>
      <c r="G1386" s="822"/>
      <c r="H1386" s="823"/>
      <c r="I1386" s="823"/>
      <c r="J1386" s="823"/>
      <c r="K1386" s="823"/>
      <c r="L1386" s="822"/>
      <c r="M1386" s="822"/>
      <c r="N1386" s="822"/>
      <c r="O1386" s="822"/>
      <c r="P1386" s="823"/>
      <c r="Q1386" s="822"/>
      <c r="R1386" s="822"/>
      <c r="S1386" s="822"/>
      <c r="T1386" s="822"/>
      <c r="U1386" s="823"/>
      <c r="V1386" s="822"/>
      <c r="W1386" s="822"/>
      <c r="X1386" s="822"/>
      <c r="Y1386" s="824"/>
      <c r="Z1386" s="823"/>
      <c r="AA1386" s="825"/>
      <c r="AB1386" s="823"/>
      <c r="AC1386" s="825"/>
      <c r="AD1386" s="825"/>
      <c r="AE1386" s="825"/>
      <c r="AF1386" s="825"/>
      <c r="AG1386" s="825"/>
      <c r="AH1386" s="762"/>
      <c r="AI1386" s="1295"/>
      <c r="AJ1386" s="811"/>
      <c r="AK1386" s="1301"/>
      <c r="AL1386" s="1301"/>
      <c r="AM1386" s="1301"/>
      <c r="AN1386" s="1301"/>
      <c r="AO1386" s="1301"/>
      <c r="AP1386" s="1301"/>
    </row>
    <row r="1387" spans="2:42">
      <c r="B1387" s="827"/>
      <c r="C1387" s="811"/>
      <c r="D1387" s="811"/>
      <c r="E1387" s="813"/>
      <c r="F1387" s="813"/>
      <c r="G1387" s="813"/>
      <c r="H1387" s="811"/>
      <c r="I1387" s="811"/>
      <c r="J1387" s="813"/>
      <c r="K1387" s="813"/>
      <c r="L1387" s="813"/>
      <c r="M1387" s="811"/>
      <c r="N1387" s="811"/>
      <c r="O1387" s="813"/>
      <c r="P1387" s="813"/>
      <c r="Q1387" s="762"/>
      <c r="R1387" s="811"/>
      <c r="S1387" s="811"/>
      <c r="T1387" s="813"/>
      <c r="U1387" s="813"/>
      <c r="V1387" s="762"/>
      <c r="W1387" s="811"/>
      <c r="X1387" s="811"/>
      <c r="Y1387" s="813"/>
      <c r="Z1387" s="813"/>
      <c r="AA1387" s="813"/>
      <c r="AB1387" s="813"/>
      <c r="AC1387" s="813"/>
      <c r="AD1387" s="811"/>
      <c r="AE1387" s="811"/>
      <c r="AF1387" s="811"/>
      <c r="AG1387" s="811"/>
      <c r="AH1387" s="762"/>
      <c r="AI1387" s="1295"/>
      <c r="AJ1387" s="811"/>
      <c r="AK1387" s="1301"/>
      <c r="AL1387" s="1301"/>
      <c r="AM1387" s="1301"/>
      <c r="AN1387" s="1301"/>
      <c r="AO1387" s="1301"/>
      <c r="AP1387" s="1301"/>
    </row>
    <row r="1388" spans="2:42">
      <c r="B1388" s="827"/>
      <c r="C1388" s="811"/>
      <c r="D1388" s="811"/>
      <c r="E1388" s="813"/>
      <c r="F1388" s="813"/>
      <c r="G1388" s="813"/>
      <c r="H1388" s="811"/>
      <c r="I1388" s="811"/>
      <c r="J1388" s="813"/>
      <c r="K1388" s="813"/>
      <c r="L1388" s="813"/>
      <c r="M1388" s="811"/>
      <c r="N1388" s="811"/>
      <c r="O1388" s="813"/>
      <c r="P1388" s="813"/>
      <c r="Q1388" s="762"/>
      <c r="R1388" s="811"/>
      <c r="S1388" s="811"/>
      <c r="T1388" s="813"/>
      <c r="U1388" s="813"/>
      <c r="V1388" s="762"/>
      <c r="W1388" s="811"/>
      <c r="X1388" s="811"/>
      <c r="Y1388" s="813"/>
      <c r="Z1388" s="813"/>
      <c r="AA1388" s="813"/>
      <c r="AB1388" s="813"/>
      <c r="AC1388" s="813"/>
      <c r="AD1388" s="811"/>
      <c r="AE1388" s="811"/>
      <c r="AF1388" s="811"/>
      <c r="AG1388" s="811"/>
      <c r="AH1388" s="762"/>
      <c r="AI1388" s="1295"/>
      <c r="AJ1388" s="811"/>
      <c r="AK1388" s="1301"/>
      <c r="AL1388" s="1301"/>
      <c r="AM1388" s="1301"/>
      <c r="AN1388" s="1301"/>
      <c r="AO1388" s="1301"/>
      <c r="AP1388" s="1301"/>
    </row>
    <row r="1389" spans="2:42" ht="25.5">
      <c r="B1389" s="1576"/>
      <c r="C1389" s="1577">
        <v>45999</v>
      </c>
      <c r="D1389" s="1577"/>
      <c r="E1389" s="1577" t="s">
        <v>564</v>
      </c>
      <c r="F1389" s="1577"/>
      <c r="G1389" s="807"/>
      <c r="H1389" s="1577">
        <v>46000</v>
      </c>
      <c r="I1389" s="1577"/>
      <c r="J1389" s="1577" t="s">
        <v>565</v>
      </c>
      <c r="K1389" s="1577"/>
      <c r="L1389" s="807"/>
      <c r="M1389" s="1577">
        <v>46001</v>
      </c>
      <c r="N1389" s="1577"/>
      <c r="O1389" s="1577" t="s">
        <v>566</v>
      </c>
      <c r="P1389" s="1577"/>
      <c r="Q1389" s="807"/>
      <c r="R1389" s="1577">
        <v>46002</v>
      </c>
      <c r="S1389" s="1577"/>
      <c r="T1389" s="1577" t="s">
        <v>567</v>
      </c>
      <c r="U1389" s="1577"/>
      <c r="V1389" s="807"/>
      <c r="W1389" s="1577">
        <v>46003</v>
      </c>
      <c r="X1389" s="1577"/>
      <c r="Y1389" s="1577" t="s">
        <v>568</v>
      </c>
      <c r="Z1389" s="1577"/>
      <c r="AA1389" s="1578" t="s">
        <v>19</v>
      </c>
      <c r="AB1389" s="1578" t="s">
        <v>20</v>
      </c>
      <c r="AC1389" s="762"/>
      <c r="AD1389" s="1577"/>
      <c r="AE1389" s="1577"/>
      <c r="AF1389" s="808" t="s">
        <v>1111</v>
      </c>
      <c r="AG1389" s="1578" t="s">
        <v>21</v>
      </c>
      <c r="AH1389" s="762"/>
      <c r="AI1389" s="1295"/>
      <c r="AJ1389" s="811"/>
      <c r="AK1389" s="1296" t="s">
        <v>84</v>
      </c>
      <c r="AL1389" s="1297"/>
      <c r="AM1389" s="1297"/>
      <c r="AN1389" s="1297"/>
      <c r="AO1389" s="1297"/>
      <c r="AP1389" s="1297"/>
    </row>
    <row r="1390" spans="2:42">
      <c r="B1390" s="1576"/>
      <c r="C1390" s="809" t="s">
        <v>23</v>
      </c>
      <c r="D1390" s="809" t="s">
        <v>24</v>
      </c>
      <c r="E1390" s="768" t="s">
        <v>25</v>
      </c>
      <c r="F1390" s="810" t="s">
        <v>14</v>
      </c>
      <c r="G1390" s="762"/>
      <c r="H1390" s="809"/>
      <c r="I1390" s="809" t="s">
        <v>24</v>
      </c>
      <c r="J1390" s="810" t="s">
        <v>25</v>
      </c>
      <c r="K1390" s="810" t="s">
        <v>14</v>
      </c>
      <c r="L1390" s="762"/>
      <c r="M1390" s="809" t="s">
        <v>23</v>
      </c>
      <c r="N1390" s="809" t="s">
        <v>24</v>
      </c>
      <c r="O1390" s="810" t="s">
        <v>25</v>
      </c>
      <c r="P1390" s="810" t="s">
        <v>14</v>
      </c>
      <c r="Q1390" s="762"/>
      <c r="R1390" s="809" t="s">
        <v>23</v>
      </c>
      <c r="S1390" s="809" t="s">
        <v>24</v>
      </c>
      <c r="T1390" s="810" t="s">
        <v>25</v>
      </c>
      <c r="U1390" s="810" t="s">
        <v>14</v>
      </c>
      <c r="V1390" s="762"/>
      <c r="W1390" s="809" t="s">
        <v>23</v>
      </c>
      <c r="X1390" s="809" t="s">
        <v>24</v>
      </c>
      <c r="Y1390" s="810" t="s">
        <v>25</v>
      </c>
      <c r="Z1390" s="810" t="s">
        <v>14</v>
      </c>
      <c r="AA1390" s="1578"/>
      <c r="AB1390" s="1578"/>
      <c r="AC1390" s="762"/>
      <c r="AD1390" s="809" t="s">
        <v>23</v>
      </c>
      <c r="AE1390" s="809" t="s">
        <v>24</v>
      </c>
      <c r="AF1390" s="810" t="s">
        <v>25</v>
      </c>
      <c r="AG1390" s="1578"/>
      <c r="AH1390" s="762"/>
      <c r="AI1390" s="1295"/>
      <c r="AJ1390" s="811"/>
      <c r="AK1390" s="1298" t="s">
        <v>26</v>
      </c>
      <c r="AL1390" s="1299">
        <f>AA1412</f>
        <v>32</v>
      </c>
      <c r="AM1390" s="1300">
        <v>40.31</v>
      </c>
      <c r="AN1390" s="1300">
        <f t="shared" ref="AN1390:AN1395" si="182">AL1390*AM1390</f>
        <v>1289.92</v>
      </c>
      <c r="AO1390" s="1301"/>
      <c r="AP1390" s="1301"/>
    </row>
    <row r="1391" spans="2:42">
      <c r="B1391" s="758" t="s">
        <v>515</v>
      </c>
      <c r="C1391" s="758"/>
      <c r="D1391" s="758"/>
      <c r="E1391" s="759">
        <v>0</v>
      </c>
      <c r="F1391" s="761"/>
      <c r="G1391" s="762"/>
      <c r="H1391" s="758"/>
      <c r="I1391" s="758"/>
      <c r="J1391" s="759">
        <v>0</v>
      </c>
      <c r="K1391" s="761"/>
      <c r="L1391" s="762"/>
      <c r="M1391" s="758"/>
      <c r="N1391" s="758"/>
      <c r="O1391" s="759">
        <v>0</v>
      </c>
      <c r="P1391" s="761"/>
      <c r="Q1391" s="762"/>
      <c r="R1391" s="758"/>
      <c r="S1391" s="758"/>
      <c r="T1391" s="759">
        <v>0</v>
      </c>
      <c r="U1391" s="761"/>
      <c r="V1391" s="762"/>
      <c r="W1391" s="758"/>
      <c r="X1391" s="758"/>
      <c r="Y1391" s="759">
        <v>0</v>
      </c>
      <c r="Z1391" s="761"/>
      <c r="AA1391" s="763">
        <f t="shared" ref="AA1391:AA1411" si="183">(E1391+J1391+O1391+T1391+Y1391)</f>
        <v>0</v>
      </c>
      <c r="AB1391" s="764">
        <f t="shared" ref="AB1391:AB1411" si="184">Z1391+U1391+P1391+K1391+F1391</f>
        <v>0</v>
      </c>
      <c r="AC1391" s="762"/>
      <c r="AD1391" s="811"/>
      <c r="AE1391" s="811"/>
      <c r="AF1391" s="759"/>
      <c r="AG1391" s="763">
        <f t="shared" ref="AG1391:AG1411" si="185">AF1391</f>
        <v>0</v>
      </c>
      <c r="AH1391" s="762"/>
      <c r="AI1391" s="1295"/>
      <c r="AJ1391" s="811"/>
      <c r="AK1391" s="1298" t="s">
        <v>30</v>
      </c>
      <c r="AL1391" s="1299">
        <f>AB1412</f>
        <v>0</v>
      </c>
      <c r="AM1391" s="1300">
        <v>60.465000000000003</v>
      </c>
      <c r="AN1391" s="1300">
        <f t="shared" si="182"/>
        <v>0</v>
      </c>
      <c r="AO1391" s="1301"/>
      <c r="AP1391" s="1301"/>
    </row>
    <row r="1392" spans="2:42">
      <c r="B1392" s="758" t="s">
        <v>1112</v>
      </c>
      <c r="C1392" s="758"/>
      <c r="D1392" s="758"/>
      <c r="E1392" s="759">
        <v>0</v>
      </c>
      <c r="F1392" s="761"/>
      <c r="G1392" s="762"/>
      <c r="H1392" s="758"/>
      <c r="I1392" s="758"/>
      <c r="J1392" s="759">
        <v>0</v>
      </c>
      <c r="K1392" s="761"/>
      <c r="L1392" s="762"/>
      <c r="M1392" s="758"/>
      <c r="N1392" s="758"/>
      <c r="O1392" s="759">
        <v>0</v>
      </c>
      <c r="P1392" s="761"/>
      <c r="Q1392" s="762"/>
      <c r="R1392" s="758"/>
      <c r="S1392" s="758"/>
      <c r="T1392" s="759">
        <v>0</v>
      </c>
      <c r="U1392" s="761"/>
      <c r="V1392" s="762"/>
      <c r="W1392" s="758"/>
      <c r="X1392" s="758"/>
      <c r="Y1392" s="759">
        <v>0</v>
      </c>
      <c r="Z1392" s="761"/>
      <c r="AA1392" s="763">
        <f t="shared" si="183"/>
        <v>0</v>
      </c>
      <c r="AB1392" s="764">
        <f t="shared" si="184"/>
        <v>0</v>
      </c>
      <c r="AC1392" s="762"/>
      <c r="AD1392" s="758"/>
      <c r="AE1392" s="758"/>
      <c r="AF1392" s="759"/>
      <c r="AG1392" s="763">
        <f t="shared" si="185"/>
        <v>0</v>
      </c>
      <c r="AH1392" s="762"/>
      <c r="AI1392" s="1295"/>
      <c r="AJ1392" s="811"/>
      <c r="AK1392" s="1298" t="s">
        <v>32</v>
      </c>
      <c r="AL1392" s="1299">
        <f>AG1412</f>
        <v>0</v>
      </c>
      <c r="AM1392" s="1300">
        <v>60.465000000000003</v>
      </c>
      <c r="AN1392" s="1300">
        <f t="shared" si="182"/>
        <v>0</v>
      </c>
      <c r="AO1392" s="1301"/>
      <c r="AP1392" s="1301"/>
    </row>
    <row r="1393" spans="2:42">
      <c r="B1393" s="758" t="s">
        <v>1141</v>
      </c>
      <c r="C1393" s="758"/>
      <c r="D1393" s="758"/>
      <c r="E1393" s="759">
        <v>0</v>
      </c>
      <c r="F1393" s="761"/>
      <c r="G1393" s="762"/>
      <c r="H1393" s="758"/>
      <c r="I1393" s="758"/>
      <c r="J1393" s="759">
        <v>0</v>
      </c>
      <c r="K1393" s="761"/>
      <c r="L1393" s="762"/>
      <c r="M1393" s="758"/>
      <c r="N1393" s="758"/>
      <c r="O1393" s="759">
        <v>0</v>
      </c>
      <c r="P1393" s="761"/>
      <c r="Q1393" s="762"/>
      <c r="R1393" s="758"/>
      <c r="S1393" s="758"/>
      <c r="T1393" s="759">
        <v>0</v>
      </c>
      <c r="U1393" s="761"/>
      <c r="V1393" s="762"/>
      <c r="W1393" s="758"/>
      <c r="X1393" s="758"/>
      <c r="Y1393" s="759">
        <v>0</v>
      </c>
      <c r="Z1393" s="761"/>
      <c r="AA1393" s="763">
        <f t="shared" si="183"/>
        <v>0</v>
      </c>
      <c r="AB1393" s="764">
        <f t="shared" si="184"/>
        <v>0</v>
      </c>
      <c r="AC1393" s="762"/>
      <c r="AD1393" s="758"/>
      <c r="AE1393" s="758"/>
      <c r="AF1393" s="759"/>
      <c r="AG1393" s="763">
        <f t="shared" si="185"/>
        <v>0</v>
      </c>
      <c r="AH1393" s="762"/>
      <c r="AI1393" s="1295"/>
      <c r="AJ1393" s="811"/>
      <c r="AK1393" s="1298" t="s">
        <v>213</v>
      </c>
      <c r="AL1393" s="1299">
        <f>AA1415</f>
        <v>16</v>
      </c>
      <c r="AM1393" s="1300">
        <v>53.05</v>
      </c>
      <c r="AN1393" s="1300">
        <f t="shared" si="182"/>
        <v>848.8</v>
      </c>
      <c r="AO1393" s="1301"/>
      <c r="AP1393" s="1301"/>
    </row>
    <row r="1394" spans="2:42">
      <c r="B1394" s="758" t="s">
        <v>72</v>
      </c>
      <c r="C1394" s="758"/>
      <c r="D1394" s="758"/>
      <c r="E1394" s="759">
        <v>0</v>
      </c>
      <c r="F1394" s="761"/>
      <c r="G1394" s="762"/>
      <c r="H1394" s="758"/>
      <c r="I1394" s="758"/>
      <c r="J1394" s="759">
        <v>0</v>
      </c>
      <c r="K1394" s="761"/>
      <c r="L1394" s="762"/>
      <c r="M1394" s="758"/>
      <c r="N1394" s="758"/>
      <c r="O1394" s="759">
        <v>0</v>
      </c>
      <c r="P1394" s="761"/>
      <c r="Q1394" s="762"/>
      <c r="R1394" s="758"/>
      <c r="S1394" s="758"/>
      <c r="T1394" s="759">
        <v>0</v>
      </c>
      <c r="U1394" s="761"/>
      <c r="V1394" s="762"/>
      <c r="W1394" s="758"/>
      <c r="X1394" s="758"/>
      <c r="Y1394" s="759">
        <v>0</v>
      </c>
      <c r="Z1394" s="761"/>
      <c r="AA1394" s="763">
        <f t="shared" si="183"/>
        <v>0</v>
      </c>
      <c r="AB1394" s="764">
        <f t="shared" si="184"/>
        <v>0</v>
      </c>
      <c r="AC1394" s="762"/>
      <c r="AD1394" s="758"/>
      <c r="AE1394" s="758"/>
      <c r="AF1394" s="759"/>
      <c r="AG1394" s="763">
        <f t="shared" si="185"/>
        <v>0</v>
      </c>
      <c r="AH1394" s="762"/>
      <c r="AI1394" s="1295"/>
      <c r="AJ1394" s="811"/>
      <c r="AK1394" s="1298" t="s">
        <v>36</v>
      </c>
      <c r="AL1394" s="1299">
        <f>AB1415</f>
        <v>0</v>
      </c>
      <c r="AM1394" s="1300">
        <v>79.574999999999989</v>
      </c>
      <c r="AN1394" s="1300">
        <f t="shared" si="182"/>
        <v>0</v>
      </c>
      <c r="AO1394" s="1301"/>
      <c r="AP1394" s="1301"/>
    </row>
    <row r="1395" spans="2:42">
      <c r="B1395" s="813" t="s">
        <v>998</v>
      </c>
      <c r="C1395" s="758">
        <v>0.375</v>
      </c>
      <c r="D1395" s="758">
        <v>0.25</v>
      </c>
      <c r="E1395" s="759">
        <v>8</v>
      </c>
      <c r="F1395" s="761"/>
      <c r="G1395" s="762"/>
      <c r="H1395" s="758"/>
      <c r="I1395" s="758"/>
      <c r="J1395" s="759">
        <v>0</v>
      </c>
      <c r="K1395" s="761"/>
      <c r="L1395" s="762"/>
      <c r="M1395" s="758">
        <v>0.375</v>
      </c>
      <c r="N1395" s="758">
        <v>0.25</v>
      </c>
      <c r="O1395" s="759">
        <v>8</v>
      </c>
      <c r="P1395" s="761"/>
      <c r="Q1395" s="762"/>
      <c r="R1395" s="758">
        <v>0.375</v>
      </c>
      <c r="S1395" s="758">
        <v>0.25</v>
      </c>
      <c r="T1395" s="759">
        <v>8</v>
      </c>
      <c r="U1395" s="761"/>
      <c r="V1395" s="762"/>
      <c r="W1395" s="758">
        <v>0.375</v>
      </c>
      <c r="X1395" s="758">
        <v>0.25</v>
      </c>
      <c r="Y1395" s="759">
        <v>8</v>
      </c>
      <c r="Z1395" s="761"/>
      <c r="AA1395" s="763">
        <f>(E1395+J1395+O1395+T1395+Y1395)</f>
        <v>32</v>
      </c>
      <c r="AB1395" s="764">
        <f t="shared" si="184"/>
        <v>0</v>
      </c>
      <c r="AC1395" s="762"/>
      <c r="AD1395" s="758"/>
      <c r="AE1395" s="758"/>
      <c r="AF1395" s="759"/>
      <c r="AG1395" s="763">
        <f t="shared" si="185"/>
        <v>0</v>
      </c>
      <c r="AH1395" s="762"/>
      <c r="AI1395" s="1295"/>
      <c r="AJ1395" s="811"/>
      <c r="AK1395" s="1298" t="s">
        <v>38</v>
      </c>
      <c r="AL1395" s="1299">
        <f>AG1415</f>
        <v>0</v>
      </c>
      <c r="AM1395" s="1300">
        <v>79.574999999999989</v>
      </c>
      <c r="AN1395" s="1300">
        <f t="shared" si="182"/>
        <v>0</v>
      </c>
      <c r="AO1395" s="1301"/>
      <c r="AP1395" s="1301"/>
    </row>
    <row r="1396" spans="2:42">
      <c r="B1396" s="758" t="s">
        <v>53</v>
      </c>
      <c r="C1396" s="758"/>
      <c r="D1396" s="758"/>
      <c r="E1396" s="759">
        <v>0</v>
      </c>
      <c r="F1396" s="761"/>
      <c r="G1396" s="762"/>
      <c r="H1396" s="758"/>
      <c r="I1396" s="758"/>
      <c r="J1396" s="759">
        <v>0</v>
      </c>
      <c r="K1396" s="761"/>
      <c r="L1396" s="762"/>
      <c r="M1396" s="758"/>
      <c r="N1396" s="758"/>
      <c r="O1396" s="759">
        <v>0</v>
      </c>
      <c r="P1396" s="761"/>
      <c r="Q1396" s="762"/>
      <c r="R1396" s="758"/>
      <c r="S1396" s="758"/>
      <c r="T1396" s="759">
        <v>0</v>
      </c>
      <c r="U1396" s="761"/>
      <c r="V1396" s="762"/>
      <c r="W1396" s="758"/>
      <c r="X1396" s="758"/>
      <c r="Y1396" s="759">
        <v>0</v>
      </c>
      <c r="Z1396" s="761"/>
      <c r="AA1396" s="763">
        <f t="shared" si="183"/>
        <v>0</v>
      </c>
      <c r="AB1396" s="764">
        <f t="shared" si="184"/>
        <v>0</v>
      </c>
      <c r="AC1396" s="762"/>
      <c r="AD1396" s="758"/>
      <c r="AE1396" s="758"/>
      <c r="AF1396" s="759"/>
      <c r="AG1396" s="763">
        <f t="shared" si="185"/>
        <v>0</v>
      </c>
      <c r="AH1396" s="762"/>
      <c r="AI1396" s="1295"/>
      <c r="AJ1396" s="811"/>
      <c r="AK1396" s="1301"/>
      <c r="AL1396" s="1301"/>
      <c r="AM1396" s="1301"/>
      <c r="AN1396" s="1300">
        <f>SUM(AN1390:AN1395)</f>
        <v>2138.7200000000003</v>
      </c>
      <c r="AO1396" s="1301"/>
      <c r="AP1396" s="1301"/>
    </row>
    <row r="1397" spans="2:42">
      <c r="B1397" s="758" t="s">
        <v>241</v>
      </c>
      <c r="C1397" s="758"/>
      <c r="D1397" s="758"/>
      <c r="E1397" s="759">
        <v>0</v>
      </c>
      <c r="F1397" s="761"/>
      <c r="G1397" s="762"/>
      <c r="H1397" s="758"/>
      <c r="I1397" s="758"/>
      <c r="J1397" s="759">
        <v>0</v>
      </c>
      <c r="K1397" s="761"/>
      <c r="L1397" s="762"/>
      <c r="M1397" s="758"/>
      <c r="N1397" s="758"/>
      <c r="O1397" s="759">
        <v>0</v>
      </c>
      <c r="P1397" s="761"/>
      <c r="Q1397" s="762"/>
      <c r="R1397" s="758"/>
      <c r="S1397" s="758"/>
      <c r="T1397" s="759">
        <v>0</v>
      </c>
      <c r="U1397" s="761"/>
      <c r="V1397" s="762"/>
      <c r="W1397" s="758"/>
      <c r="X1397" s="758"/>
      <c r="Y1397" s="759">
        <v>0</v>
      </c>
      <c r="Z1397" s="761"/>
      <c r="AA1397" s="763">
        <f t="shared" si="183"/>
        <v>0</v>
      </c>
      <c r="AB1397" s="764">
        <f t="shared" si="184"/>
        <v>0</v>
      </c>
      <c r="AC1397" s="762"/>
      <c r="AD1397" s="758"/>
      <c r="AE1397" s="758"/>
      <c r="AF1397" s="759"/>
      <c r="AG1397" s="763">
        <f t="shared" si="185"/>
        <v>0</v>
      </c>
      <c r="AH1397" s="762"/>
      <c r="AI1397" s="1295"/>
      <c r="AJ1397" s="811"/>
      <c r="AK1397" s="1301"/>
      <c r="AL1397" s="1301"/>
      <c r="AM1397" s="1301"/>
      <c r="AN1397" s="1301"/>
      <c r="AO1397" s="1301"/>
      <c r="AP1397" s="1301"/>
    </row>
    <row r="1398" spans="2:42">
      <c r="B1398" s="758" t="s">
        <v>1141</v>
      </c>
      <c r="C1398" s="758"/>
      <c r="D1398" s="814"/>
      <c r="E1398" s="759">
        <v>0</v>
      </c>
      <c r="F1398" s="761"/>
      <c r="G1398" s="762"/>
      <c r="H1398" s="758"/>
      <c r="I1398" s="758"/>
      <c r="J1398" s="759">
        <v>0</v>
      </c>
      <c r="K1398" s="761"/>
      <c r="L1398" s="762"/>
      <c r="M1398" s="758"/>
      <c r="N1398" s="758"/>
      <c r="O1398" s="759">
        <v>0</v>
      </c>
      <c r="P1398" s="761"/>
      <c r="Q1398" s="762"/>
      <c r="R1398" s="758"/>
      <c r="S1398" s="758"/>
      <c r="T1398" s="759">
        <v>0</v>
      </c>
      <c r="U1398" s="761"/>
      <c r="V1398" s="762"/>
      <c r="W1398" s="758"/>
      <c r="X1398" s="758"/>
      <c r="Y1398" s="759">
        <v>0</v>
      </c>
      <c r="Z1398" s="761"/>
      <c r="AA1398" s="763">
        <f t="shared" si="183"/>
        <v>0</v>
      </c>
      <c r="AB1398" s="764">
        <f t="shared" si="184"/>
        <v>0</v>
      </c>
      <c r="AC1398" s="762"/>
      <c r="AD1398" s="758"/>
      <c r="AE1398" s="758"/>
      <c r="AF1398" s="759"/>
      <c r="AG1398" s="763">
        <f t="shared" si="185"/>
        <v>0</v>
      </c>
      <c r="AH1398" s="762"/>
      <c r="AI1398" s="1295"/>
      <c r="AJ1398" s="811"/>
      <c r="AK1398" s="1302" t="s">
        <v>1115</v>
      </c>
      <c r="AL1398" s="1303">
        <f>C1416</f>
        <v>6</v>
      </c>
      <c r="AM1398" s="1300">
        <v>45</v>
      </c>
      <c r="AN1398" s="1300">
        <f>AM1398*AL1398</f>
        <v>270</v>
      </c>
      <c r="AO1398" s="1301"/>
      <c r="AP1398" s="1301"/>
    </row>
    <row r="1399" spans="2:42">
      <c r="B1399" s="758" t="s">
        <v>1113</v>
      </c>
      <c r="C1399" s="758"/>
      <c r="D1399" s="758"/>
      <c r="E1399" s="759">
        <v>0</v>
      </c>
      <c r="F1399" s="761"/>
      <c r="G1399" s="762"/>
      <c r="H1399" s="758"/>
      <c r="I1399" s="758"/>
      <c r="J1399" s="759">
        <v>0</v>
      </c>
      <c r="K1399" s="761"/>
      <c r="L1399" s="762"/>
      <c r="M1399" s="758"/>
      <c r="N1399" s="758"/>
      <c r="O1399" s="759">
        <v>0</v>
      </c>
      <c r="P1399" s="761"/>
      <c r="Q1399" s="762"/>
      <c r="R1399" s="758"/>
      <c r="S1399" s="758"/>
      <c r="T1399" s="759">
        <v>0</v>
      </c>
      <c r="U1399" s="761"/>
      <c r="V1399" s="762"/>
      <c r="W1399" s="758"/>
      <c r="X1399" s="758"/>
      <c r="Y1399" s="759">
        <v>0</v>
      </c>
      <c r="Z1399" s="761"/>
      <c r="AA1399" s="763">
        <f t="shared" si="183"/>
        <v>0</v>
      </c>
      <c r="AB1399" s="764">
        <f t="shared" si="184"/>
        <v>0</v>
      </c>
      <c r="AC1399" s="762"/>
      <c r="AD1399" s="758"/>
      <c r="AE1399" s="758"/>
      <c r="AF1399" s="759"/>
      <c r="AG1399" s="763">
        <f t="shared" si="185"/>
        <v>0</v>
      </c>
      <c r="AH1399" s="762"/>
      <c r="AI1399" s="1295"/>
      <c r="AJ1399" s="811"/>
      <c r="AK1399" s="1301"/>
      <c r="AL1399" s="1301"/>
      <c r="AM1399" s="1301"/>
      <c r="AN1399" s="1301"/>
      <c r="AO1399" s="1301"/>
      <c r="AP1399" s="1301"/>
    </row>
    <row r="1400" spans="2:42">
      <c r="B1400" s="815" t="s">
        <v>483</v>
      </c>
      <c r="C1400" s="758"/>
      <c r="D1400" s="758"/>
      <c r="E1400" s="759">
        <v>0</v>
      </c>
      <c r="F1400" s="761"/>
      <c r="G1400" s="762"/>
      <c r="H1400" s="758"/>
      <c r="I1400" s="758"/>
      <c r="J1400" s="759">
        <v>0</v>
      </c>
      <c r="K1400" s="761"/>
      <c r="L1400" s="762"/>
      <c r="M1400" s="758"/>
      <c r="N1400" s="758"/>
      <c r="O1400" s="759">
        <v>0</v>
      </c>
      <c r="P1400" s="761"/>
      <c r="Q1400" s="762"/>
      <c r="R1400" s="758"/>
      <c r="S1400" s="758"/>
      <c r="T1400" s="759">
        <v>0</v>
      </c>
      <c r="U1400" s="761"/>
      <c r="V1400" s="762"/>
      <c r="W1400" s="758"/>
      <c r="X1400" s="758"/>
      <c r="Y1400" s="759">
        <v>0</v>
      </c>
      <c r="Z1400" s="761"/>
      <c r="AA1400" s="763">
        <f t="shared" si="183"/>
        <v>0</v>
      </c>
      <c r="AB1400" s="764">
        <f t="shared" si="184"/>
        <v>0</v>
      </c>
      <c r="AC1400" s="762"/>
      <c r="AD1400" s="758"/>
      <c r="AE1400" s="758"/>
      <c r="AF1400" s="759"/>
      <c r="AG1400" s="763">
        <f t="shared" si="185"/>
        <v>0</v>
      </c>
      <c r="AH1400" s="762"/>
      <c r="AI1400" s="1295"/>
      <c r="AJ1400" s="811"/>
      <c r="AK1400" s="1301"/>
      <c r="AL1400" s="1301"/>
      <c r="AM1400" s="1301"/>
      <c r="AN1400" s="1301"/>
      <c r="AO1400" s="1301"/>
      <c r="AP1400" s="1301"/>
    </row>
    <row r="1401" spans="2:42">
      <c r="B1401" s="815" t="s">
        <v>483</v>
      </c>
      <c r="C1401" s="758"/>
      <c r="D1401" s="758"/>
      <c r="E1401" s="759">
        <v>0</v>
      </c>
      <c r="F1401" s="761"/>
      <c r="G1401" s="762"/>
      <c r="H1401" s="758"/>
      <c r="I1401" s="758"/>
      <c r="J1401" s="759">
        <v>0</v>
      </c>
      <c r="K1401" s="761"/>
      <c r="L1401" s="762"/>
      <c r="M1401" s="758"/>
      <c r="N1401" s="758"/>
      <c r="O1401" s="759">
        <v>0</v>
      </c>
      <c r="P1401" s="761"/>
      <c r="Q1401" s="762"/>
      <c r="R1401" s="758"/>
      <c r="S1401" s="758"/>
      <c r="T1401" s="759">
        <v>0</v>
      </c>
      <c r="U1401" s="761"/>
      <c r="V1401" s="762"/>
      <c r="W1401" s="758"/>
      <c r="X1401" s="758"/>
      <c r="Y1401" s="759">
        <v>0</v>
      </c>
      <c r="Z1401" s="761"/>
      <c r="AA1401" s="763">
        <f t="shared" si="183"/>
        <v>0</v>
      </c>
      <c r="AB1401" s="764">
        <f t="shared" si="184"/>
        <v>0</v>
      </c>
      <c r="AC1401" s="762"/>
      <c r="AD1401" s="758"/>
      <c r="AE1401" s="758"/>
      <c r="AF1401" s="759"/>
      <c r="AG1401" s="763">
        <f t="shared" si="185"/>
        <v>0</v>
      </c>
      <c r="AH1401" s="762"/>
      <c r="AI1401" s="1295"/>
      <c r="AJ1401" s="811"/>
      <c r="AK1401" s="1301"/>
      <c r="AL1401" s="1301"/>
      <c r="AM1401" s="1301"/>
      <c r="AN1401" s="1301"/>
      <c r="AO1401" s="1301"/>
      <c r="AP1401" s="1301"/>
    </row>
    <row r="1402" spans="2:42">
      <c r="B1402" s="815" t="s">
        <v>484</v>
      </c>
      <c r="C1402" s="758"/>
      <c r="D1402" s="758"/>
      <c r="E1402" s="759">
        <v>0</v>
      </c>
      <c r="F1402" s="761"/>
      <c r="G1402" s="762"/>
      <c r="H1402" s="758"/>
      <c r="I1402" s="758"/>
      <c r="J1402" s="759">
        <v>0</v>
      </c>
      <c r="K1402" s="761"/>
      <c r="L1402" s="762"/>
      <c r="M1402" s="758"/>
      <c r="N1402" s="758"/>
      <c r="O1402" s="759">
        <v>0</v>
      </c>
      <c r="P1402" s="761"/>
      <c r="Q1402" s="762"/>
      <c r="R1402" s="758"/>
      <c r="S1402" s="758"/>
      <c r="T1402" s="759">
        <v>0</v>
      </c>
      <c r="U1402" s="761"/>
      <c r="V1402" s="762"/>
      <c r="W1402" s="758"/>
      <c r="X1402" s="758"/>
      <c r="Y1402" s="759">
        <v>0</v>
      </c>
      <c r="Z1402" s="761"/>
      <c r="AA1402" s="763">
        <f t="shared" si="183"/>
        <v>0</v>
      </c>
      <c r="AB1402" s="764">
        <f t="shared" si="184"/>
        <v>0</v>
      </c>
      <c r="AC1402" s="762"/>
      <c r="AD1402" s="758"/>
      <c r="AE1402" s="758"/>
      <c r="AF1402" s="759"/>
      <c r="AG1402" s="763">
        <f t="shared" si="185"/>
        <v>0</v>
      </c>
      <c r="AH1402" s="762"/>
      <c r="AI1402" s="1295"/>
      <c r="AJ1402" s="811"/>
      <c r="AK1402" s="1301"/>
      <c r="AL1402" s="1301"/>
      <c r="AM1402" s="1301"/>
      <c r="AN1402" s="1301"/>
      <c r="AO1402" s="1301"/>
      <c r="AP1402" s="1301"/>
    </row>
    <row r="1403" spans="2:42">
      <c r="B1403" s="815" t="s">
        <v>485</v>
      </c>
      <c r="C1403" s="758"/>
      <c r="D1403" s="758"/>
      <c r="E1403" s="759">
        <v>0</v>
      </c>
      <c r="F1403" s="761"/>
      <c r="G1403" s="762"/>
      <c r="H1403" s="758"/>
      <c r="I1403" s="758"/>
      <c r="J1403" s="759">
        <v>0</v>
      </c>
      <c r="K1403" s="761"/>
      <c r="L1403" s="762"/>
      <c r="M1403" s="758"/>
      <c r="N1403" s="758"/>
      <c r="O1403" s="759">
        <v>0</v>
      </c>
      <c r="P1403" s="761"/>
      <c r="Q1403" s="762"/>
      <c r="R1403" s="758"/>
      <c r="S1403" s="758"/>
      <c r="T1403" s="759">
        <v>0</v>
      </c>
      <c r="U1403" s="761"/>
      <c r="V1403" s="762"/>
      <c r="W1403" s="758"/>
      <c r="X1403" s="758"/>
      <c r="Y1403" s="759">
        <v>0</v>
      </c>
      <c r="Z1403" s="761"/>
      <c r="AA1403" s="763">
        <f t="shared" si="183"/>
        <v>0</v>
      </c>
      <c r="AB1403" s="764">
        <f t="shared" si="184"/>
        <v>0</v>
      </c>
      <c r="AC1403" s="762"/>
      <c r="AD1403" s="758"/>
      <c r="AE1403" s="758"/>
      <c r="AF1403" s="759"/>
      <c r="AG1403" s="763">
        <f t="shared" si="185"/>
        <v>0</v>
      </c>
      <c r="AH1403" s="762"/>
      <c r="AI1403" s="1295"/>
      <c r="AJ1403" s="811"/>
      <c r="AK1403" s="1301"/>
      <c r="AL1403" s="1301"/>
      <c r="AM1403" s="1301"/>
      <c r="AN1403" s="1301"/>
      <c r="AO1403" s="1301"/>
      <c r="AP1403" s="1301"/>
    </row>
    <row r="1404" spans="2:42">
      <c r="B1404" s="815" t="s">
        <v>1129</v>
      </c>
      <c r="C1404" s="758"/>
      <c r="D1404" s="758"/>
      <c r="E1404" s="759">
        <v>0</v>
      </c>
      <c r="F1404" s="761"/>
      <c r="G1404" s="762"/>
      <c r="H1404" s="758"/>
      <c r="I1404" s="758"/>
      <c r="J1404" s="759">
        <v>0</v>
      </c>
      <c r="K1404" s="761"/>
      <c r="L1404" s="762"/>
      <c r="M1404" s="758"/>
      <c r="N1404" s="758"/>
      <c r="O1404" s="759">
        <v>0</v>
      </c>
      <c r="P1404" s="761"/>
      <c r="Q1404" s="762"/>
      <c r="R1404" s="758"/>
      <c r="S1404" s="758"/>
      <c r="T1404" s="759">
        <v>0</v>
      </c>
      <c r="U1404" s="761"/>
      <c r="V1404" s="762"/>
      <c r="W1404" s="758"/>
      <c r="X1404" s="758"/>
      <c r="Y1404" s="759">
        <v>0</v>
      </c>
      <c r="Z1404" s="761"/>
      <c r="AA1404" s="763">
        <f t="shared" si="183"/>
        <v>0</v>
      </c>
      <c r="AB1404" s="764">
        <f t="shared" si="184"/>
        <v>0</v>
      </c>
      <c r="AC1404" s="762"/>
      <c r="AD1404" s="758"/>
      <c r="AE1404" s="758"/>
      <c r="AF1404" s="759"/>
      <c r="AG1404" s="763">
        <f t="shared" si="185"/>
        <v>0</v>
      </c>
      <c r="AH1404" s="762"/>
      <c r="AI1404" s="1295"/>
      <c r="AJ1404" s="811"/>
      <c r="AK1404" s="1301"/>
      <c r="AL1404" s="1301"/>
      <c r="AM1404" s="1301"/>
      <c r="AN1404" s="1301"/>
      <c r="AO1404" s="1301"/>
      <c r="AP1404" s="1301"/>
    </row>
    <row r="1405" spans="2:42">
      <c r="B1405" s="816" t="s">
        <v>358</v>
      </c>
      <c r="C1405" s="758"/>
      <c r="D1405" s="758"/>
      <c r="E1405" s="759">
        <v>0</v>
      </c>
      <c r="F1405" s="761"/>
      <c r="G1405" s="762"/>
      <c r="H1405" s="758"/>
      <c r="I1405" s="758"/>
      <c r="J1405" s="759">
        <v>0</v>
      </c>
      <c r="K1405" s="761"/>
      <c r="L1405" s="765"/>
      <c r="M1405" s="758"/>
      <c r="N1405" s="758"/>
      <c r="O1405" s="759">
        <v>0</v>
      </c>
      <c r="P1405" s="761"/>
      <c r="Q1405" s="765"/>
      <c r="R1405" s="758"/>
      <c r="S1405" s="758"/>
      <c r="T1405" s="759">
        <v>0</v>
      </c>
      <c r="U1405" s="761"/>
      <c r="V1405" s="765"/>
      <c r="W1405" s="758"/>
      <c r="X1405" s="758"/>
      <c r="Y1405" s="759">
        <v>0</v>
      </c>
      <c r="Z1405" s="761"/>
      <c r="AA1405" s="763">
        <f t="shared" si="183"/>
        <v>0</v>
      </c>
      <c r="AB1405" s="764">
        <f t="shared" si="184"/>
        <v>0</v>
      </c>
      <c r="AC1405" s="762"/>
      <c r="AD1405" s="758"/>
      <c r="AE1405" s="758"/>
      <c r="AF1405" s="759"/>
      <c r="AG1405" s="763">
        <f t="shared" si="185"/>
        <v>0</v>
      </c>
      <c r="AH1405" s="762"/>
      <c r="AI1405" s="1295"/>
      <c r="AJ1405" s="811"/>
      <c r="AK1405" s="1301"/>
      <c r="AL1405" s="1301"/>
      <c r="AM1405" s="1301"/>
      <c r="AN1405" s="1301"/>
      <c r="AO1405" s="1301"/>
      <c r="AP1405" s="1301"/>
    </row>
    <row r="1406" spans="2:42">
      <c r="B1406" s="816" t="s">
        <v>1135</v>
      </c>
      <c r="C1406" s="758"/>
      <c r="D1406" s="758"/>
      <c r="E1406" s="759">
        <v>0</v>
      </c>
      <c r="F1406" s="761"/>
      <c r="G1406" s="762"/>
      <c r="H1406" s="758"/>
      <c r="I1406" s="758"/>
      <c r="J1406" s="759">
        <v>0</v>
      </c>
      <c r="K1406" s="761"/>
      <c r="L1406" s="765"/>
      <c r="M1406" s="758"/>
      <c r="N1406" s="758"/>
      <c r="O1406" s="759">
        <v>0</v>
      </c>
      <c r="P1406" s="761"/>
      <c r="Q1406" s="765"/>
      <c r="R1406" s="758"/>
      <c r="S1406" s="758"/>
      <c r="T1406" s="759">
        <v>0</v>
      </c>
      <c r="U1406" s="761"/>
      <c r="V1406" s="765"/>
      <c r="W1406" s="758"/>
      <c r="X1406" s="758"/>
      <c r="Y1406" s="759">
        <v>0</v>
      </c>
      <c r="Z1406" s="761"/>
      <c r="AA1406" s="763">
        <f t="shared" si="183"/>
        <v>0</v>
      </c>
      <c r="AB1406" s="764">
        <f t="shared" si="184"/>
        <v>0</v>
      </c>
      <c r="AC1406" s="762"/>
      <c r="AD1406" s="758"/>
      <c r="AE1406" s="758"/>
      <c r="AF1406" s="759"/>
      <c r="AG1406" s="763">
        <f t="shared" si="185"/>
        <v>0</v>
      </c>
      <c r="AH1406" s="762"/>
      <c r="AI1406" s="1295"/>
      <c r="AJ1406" s="811"/>
      <c r="AK1406" s="1301"/>
      <c r="AL1406" s="1301"/>
      <c r="AM1406" s="1301"/>
      <c r="AN1406" s="1301"/>
      <c r="AO1406" s="1301"/>
      <c r="AP1406" s="1301"/>
    </row>
    <row r="1407" spans="2:42">
      <c r="B1407" s="816" t="s">
        <v>411</v>
      </c>
      <c r="C1407" s="758"/>
      <c r="D1407" s="758"/>
      <c r="E1407" s="759">
        <v>0</v>
      </c>
      <c r="F1407" s="761"/>
      <c r="G1407" s="762"/>
      <c r="H1407" s="758"/>
      <c r="I1407" s="758"/>
      <c r="J1407" s="759">
        <v>0</v>
      </c>
      <c r="K1407" s="761"/>
      <c r="L1407" s="765"/>
      <c r="M1407" s="758"/>
      <c r="N1407" s="758"/>
      <c r="O1407" s="759">
        <v>0</v>
      </c>
      <c r="P1407" s="761"/>
      <c r="Q1407" s="765"/>
      <c r="R1407" s="758"/>
      <c r="S1407" s="758"/>
      <c r="T1407" s="759">
        <v>0</v>
      </c>
      <c r="U1407" s="761"/>
      <c r="V1407" s="765"/>
      <c r="W1407" s="758"/>
      <c r="X1407" s="758"/>
      <c r="Y1407" s="759">
        <v>0</v>
      </c>
      <c r="Z1407" s="761"/>
      <c r="AA1407" s="763">
        <f t="shared" si="183"/>
        <v>0</v>
      </c>
      <c r="AB1407" s="764">
        <f t="shared" si="184"/>
        <v>0</v>
      </c>
      <c r="AC1407" s="762"/>
      <c r="AD1407" s="758"/>
      <c r="AE1407" s="758"/>
      <c r="AF1407" s="759"/>
      <c r="AG1407" s="763">
        <f t="shared" si="185"/>
        <v>0</v>
      </c>
      <c r="AH1407" s="762"/>
      <c r="AI1407" s="1295"/>
      <c r="AJ1407" s="811"/>
      <c r="AK1407" s="1301"/>
      <c r="AL1407" s="1301"/>
      <c r="AM1407" s="1301"/>
      <c r="AN1407" s="1301"/>
      <c r="AO1407" s="1301"/>
      <c r="AP1407" s="1301"/>
    </row>
    <row r="1408" spans="2:42">
      <c r="B1408" s="816" t="s">
        <v>361</v>
      </c>
      <c r="C1408" s="758"/>
      <c r="D1408" s="758"/>
      <c r="E1408" s="759">
        <v>0</v>
      </c>
      <c r="F1408" s="761"/>
      <c r="G1408" s="762"/>
      <c r="H1408" s="758"/>
      <c r="I1408" s="758"/>
      <c r="J1408" s="759">
        <v>0</v>
      </c>
      <c r="K1408" s="761"/>
      <c r="L1408" s="765"/>
      <c r="M1408" s="758"/>
      <c r="N1408" s="758"/>
      <c r="O1408" s="759">
        <v>0</v>
      </c>
      <c r="P1408" s="761"/>
      <c r="Q1408" s="765"/>
      <c r="R1408" s="758"/>
      <c r="S1408" s="758"/>
      <c r="T1408" s="759">
        <v>0</v>
      </c>
      <c r="U1408" s="761"/>
      <c r="V1408" s="765"/>
      <c r="W1408" s="758"/>
      <c r="X1408" s="758"/>
      <c r="Y1408" s="759">
        <v>0</v>
      </c>
      <c r="Z1408" s="761"/>
      <c r="AA1408" s="763">
        <f t="shared" si="183"/>
        <v>0</v>
      </c>
      <c r="AB1408" s="764">
        <f t="shared" si="184"/>
        <v>0</v>
      </c>
      <c r="AC1408" s="762"/>
      <c r="AD1408" s="758"/>
      <c r="AE1408" s="758"/>
      <c r="AF1408" s="759"/>
      <c r="AG1408" s="763">
        <f t="shared" si="185"/>
        <v>0</v>
      </c>
      <c r="AH1408" s="762"/>
      <c r="AI1408" s="1295"/>
      <c r="AJ1408" s="811"/>
      <c r="AK1408" s="1301"/>
      <c r="AL1408" s="1301"/>
      <c r="AM1408" s="1301"/>
      <c r="AN1408" s="1301"/>
      <c r="AO1408" s="1301"/>
      <c r="AP1408" s="1301"/>
    </row>
    <row r="1409" spans="2:42">
      <c r="B1409" s="816" t="s">
        <v>362</v>
      </c>
      <c r="C1409" s="758"/>
      <c r="D1409" s="766"/>
      <c r="E1409" s="759">
        <v>0</v>
      </c>
      <c r="F1409" s="761"/>
      <c r="G1409" s="762"/>
      <c r="H1409" s="758"/>
      <c r="I1409" s="766"/>
      <c r="J1409" s="759">
        <v>0</v>
      </c>
      <c r="K1409" s="761"/>
      <c r="L1409" s="765"/>
      <c r="M1409" s="758"/>
      <c r="N1409" s="766"/>
      <c r="O1409" s="759">
        <v>0</v>
      </c>
      <c r="P1409" s="761"/>
      <c r="Q1409" s="765"/>
      <c r="R1409" s="758"/>
      <c r="S1409" s="766"/>
      <c r="T1409" s="759">
        <v>0</v>
      </c>
      <c r="U1409" s="761"/>
      <c r="V1409" s="765"/>
      <c r="W1409" s="758"/>
      <c r="X1409" s="766"/>
      <c r="Y1409" s="759">
        <v>0</v>
      </c>
      <c r="Z1409" s="761"/>
      <c r="AA1409" s="763">
        <f t="shared" si="183"/>
        <v>0</v>
      </c>
      <c r="AB1409" s="764">
        <f t="shared" si="184"/>
        <v>0</v>
      </c>
      <c r="AC1409" s="762"/>
      <c r="AD1409" s="758"/>
      <c r="AE1409" s="758"/>
      <c r="AF1409" s="759"/>
      <c r="AG1409" s="763">
        <f t="shared" si="185"/>
        <v>0</v>
      </c>
      <c r="AH1409" s="762"/>
      <c r="AI1409" s="1295"/>
      <c r="AJ1409" s="811"/>
      <c r="AK1409" s="1301"/>
      <c r="AL1409" s="1301"/>
      <c r="AM1409" s="1301"/>
      <c r="AN1409" s="1301"/>
      <c r="AO1409" s="1301"/>
      <c r="AP1409" s="1301"/>
    </row>
    <row r="1410" spans="2:42">
      <c r="B1410" s="817" t="s">
        <v>355</v>
      </c>
      <c r="C1410" s="758"/>
      <c r="D1410" s="758"/>
      <c r="E1410" s="759">
        <v>0</v>
      </c>
      <c r="F1410" s="761"/>
      <c r="G1410" s="762"/>
      <c r="H1410" s="758"/>
      <c r="I1410" s="758"/>
      <c r="J1410" s="759">
        <v>0</v>
      </c>
      <c r="K1410" s="761"/>
      <c r="L1410" s="765"/>
      <c r="M1410" s="758"/>
      <c r="N1410" s="758"/>
      <c r="O1410" s="759">
        <v>0</v>
      </c>
      <c r="P1410" s="761"/>
      <c r="Q1410" s="765"/>
      <c r="R1410" s="758"/>
      <c r="S1410" s="758"/>
      <c r="T1410" s="759">
        <v>0</v>
      </c>
      <c r="U1410" s="761"/>
      <c r="V1410" s="765"/>
      <c r="W1410" s="758"/>
      <c r="X1410" s="758"/>
      <c r="Y1410" s="759">
        <v>0</v>
      </c>
      <c r="Z1410" s="761"/>
      <c r="AA1410" s="763">
        <f t="shared" si="183"/>
        <v>0</v>
      </c>
      <c r="AB1410" s="764">
        <f t="shared" si="184"/>
        <v>0</v>
      </c>
      <c r="AC1410" s="762"/>
      <c r="AD1410" s="758"/>
      <c r="AE1410" s="758"/>
      <c r="AF1410" s="759"/>
      <c r="AG1410" s="763">
        <f t="shared" si="185"/>
        <v>0</v>
      </c>
      <c r="AH1410" s="762"/>
      <c r="AI1410" s="1295"/>
      <c r="AJ1410" s="811"/>
      <c r="AK1410" s="1301"/>
      <c r="AL1410" s="1301"/>
      <c r="AM1410" s="1301"/>
      <c r="AN1410" s="1301"/>
      <c r="AO1410" s="1301"/>
      <c r="AP1410" s="1301"/>
    </row>
    <row r="1411" spans="2:42">
      <c r="B1411" s="817" t="s">
        <v>356</v>
      </c>
      <c r="C1411" s="818"/>
      <c r="D1411" s="818"/>
      <c r="E1411" s="759">
        <v>0</v>
      </c>
      <c r="F1411" s="761"/>
      <c r="G1411" s="765"/>
      <c r="H1411" s="766"/>
      <c r="I1411" s="766"/>
      <c r="J1411" s="759">
        <v>0</v>
      </c>
      <c r="K1411" s="761"/>
      <c r="L1411" s="765"/>
      <c r="M1411" s="766"/>
      <c r="N1411" s="766"/>
      <c r="O1411" s="759">
        <v>0</v>
      </c>
      <c r="P1411" s="761"/>
      <c r="Q1411" s="765"/>
      <c r="R1411" s="766"/>
      <c r="S1411" s="766"/>
      <c r="T1411" s="759">
        <v>0</v>
      </c>
      <c r="U1411" s="761"/>
      <c r="V1411" s="765"/>
      <c r="W1411" s="766"/>
      <c r="X1411" s="766"/>
      <c r="Y1411" s="759">
        <v>0</v>
      </c>
      <c r="Z1411" s="761"/>
      <c r="AA1411" s="763">
        <f t="shared" si="183"/>
        <v>0</v>
      </c>
      <c r="AB1411" s="764">
        <f t="shared" si="184"/>
        <v>0</v>
      </c>
      <c r="AC1411" s="762"/>
      <c r="AD1411" s="758"/>
      <c r="AE1411" s="758"/>
      <c r="AF1411" s="759"/>
      <c r="AG1411" s="763">
        <f t="shared" si="185"/>
        <v>0</v>
      </c>
      <c r="AH1411" s="762"/>
      <c r="AI1411" s="1295"/>
      <c r="AJ1411" s="811"/>
      <c r="AK1411" s="1301"/>
      <c r="AL1411" s="1301"/>
      <c r="AM1411" s="1301"/>
      <c r="AN1411" s="1301"/>
      <c r="AO1411" s="1301"/>
      <c r="AP1411" s="1301"/>
    </row>
    <row r="1412" spans="2:42">
      <c r="B1412" s="767" t="s">
        <v>61</v>
      </c>
      <c r="C1412" s="767"/>
      <c r="D1412" s="767"/>
      <c r="E1412" s="760">
        <f>SUM(E1391:E1411)</f>
        <v>8</v>
      </c>
      <c r="F1412" s="761"/>
      <c r="G1412" s="767"/>
      <c r="H1412" s="767"/>
      <c r="I1412" s="767"/>
      <c r="J1412" s="760">
        <f>SUM(J1391:J1411)</f>
        <v>0</v>
      </c>
      <c r="K1412" s="761"/>
      <c r="L1412" s="767"/>
      <c r="M1412" s="767"/>
      <c r="N1412" s="767"/>
      <c r="O1412" s="760">
        <f>SUM(O1391:O1411)</f>
        <v>8</v>
      </c>
      <c r="P1412" s="761"/>
      <c r="Q1412" s="767"/>
      <c r="R1412" s="767"/>
      <c r="S1412" s="767"/>
      <c r="T1412" s="760">
        <f>SUM(T1391:T1411)</f>
        <v>8</v>
      </c>
      <c r="U1412" s="761"/>
      <c r="V1412" s="767"/>
      <c r="W1412" s="767"/>
      <c r="X1412" s="767"/>
      <c r="Y1412" s="760">
        <f>SUM(Y1391:Y1411)</f>
        <v>8</v>
      </c>
      <c r="Z1412" s="761"/>
      <c r="AA1412" s="763">
        <f>SUM(AA1391:AA1411)</f>
        <v>32</v>
      </c>
      <c r="AB1412" s="763">
        <f>SUM(AB1391:AB1411)</f>
        <v>0</v>
      </c>
      <c r="AC1412" s="762"/>
      <c r="AD1412" s="767"/>
      <c r="AE1412" s="767"/>
      <c r="AF1412" s="763">
        <f>SUM(AF1391:AF1411)</f>
        <v>0</v>
      </c>
      <c r="AG1412" s="763">
        <f>SUM(AG1391:AG1411)</f>
        <v>0</v>
      </c>
      <c r="AH1412" s="762"/>
      <c r="AI1412" s="1295"/>
      <c r="AJ1412" s="811"/>
      <c r="AK1412" s="1301"/>
      <c r="AL1412" s="1301"/>
      <c r="AM1412" s="1301"/>
      <c r="AN1412" s="1301"/>
      <c r="AO1412" s="1301"/>
      <c r="AP1412" s="1301"/>
    </row>
    <row r="1413" spans="2:42">
      <c r="B1413" s="816" t="s">
        <v>1116</v>
      </c>
      <c r="C1413" s="758"/>
      <c r="D1413" s="758"/>
      <c r="E1413" s="759">
        <v>4</v>
      </c>
      <c r="F1413" s="761"/>
      <c r="G1413" s="762"/>
      <c r="H1413" s="758"/>
      <c r="I1413" s="758"/>
      <c r="J1413" s="759">
        <v>0</v>
      </c>
      <c r="K1413" s="761"/>
      <c r="L1413" s="762"/>
      <c r="M1413" s="758"/>
      <c r="N1413" s="758"/>
      <c r="O1413" s="759">
        <v>4</v>
      </c>
      <c r="P1413" s="761"/>
      <c r="Q1413" s="762"/>
      <c r="R1413" s="758"/>
      <c r="S1413" s="758"/>
      <c r="T1413" s="759">
        <v>4</v>
      </c>
      <c r="U1413" s="761"/>
      <c r="V1413" s="762"/>
      <c r="W1413" s="758"/>
      <c r="X1413" s="758"/>
      <c r="Y1413" s="759">
        <v>4</v>
      </c>
      <c r="Z1413" s="761"/>
      <c r="AA1413" s="763">
        <f>(E1413+J1413+O1413+T1413+Y1413)</f>
        <v>16</v>
      </c>
      <c r="AB1413" s="764">
        <f>Z1413+U1413+P1413+K1413+F1413</f>
        <v>0</v>
      </c>
      <c r="AC1413" s="762"/>
      <c r="AD1413" s="758"/>
      <c r="AE1413" s="758"/>
      <c r="AF1413" s="759"/>
      <c r="AG1413" s="763">
        <f>AF1413</f>
        <v>0</v>
      </c>
      <c r="AH1413" s="762"/>
      <c r="AI1413" s="1295"/>
      <c r="AJ1413" s="811"/>
      <c r="AK1413" s="1301"/>
      <c r="AL1413" s="1301"/>
      <c r="AM1413" s="1301"/>
      <c r="AN1413" s="1301"/>
      <c r="AO1413" s="1301"/>
      <c r="AP1413" s="1301"/>
    </row>
    <row r="1414" spans="2:42">
      <c r="B1414" s="816" t="s">
        <v>64</v>
      </c>
      <c r="C1414" s="758"/>
      <c r="D1414" s="758"/>
      <c r="E1414" s="759">
        <v>0</v>
      </c>
      <c r="F1414" s="759"/>
      <c r="G1414" s="819"/>
      <c r="H1414" s="758"/>
      <c r="I1414" s="758"/>
      <c r="J1414" s="759">
        <v>0</v>
      </c>
      <c r="K1414" s="759"/>
      <c r="L1414" s="765"/>
      <c r="M1414" s="758"/>
      <c r="N1414" s="758"/>
      <c r="O1414" s="759">
        <v>0</v>
      </c>
      <c r="P1414" s="759"/>
      <c r="Q1414" s="765"/>
      <c r="R1414" s="758"/>
      <c r="S1414" s="758"/>
      <c r="T1414" s="759">
        <v>0</v>
      </c>
      <c r="U1414" s="759"/>
      <c r="V1414" s="765"/>
      <c r="W1414" s="758"/>
      <c r="X1414" s="758"/>
      <c r="Y1414" s="759">
        <v>0</v>
      </c>
      <c r="Z1414" s="759"/>
      <c r="AA1414" s="763">
        <f>SUM(E1414+J1414+O1414+T1414+Y1414)</f>
        <v>0</v>
      </c>
      <c r="AB1414" s="768">
        <f>Z1414+U1414+P1414+K1414+F1414</f>
        <v>0</v>
      </c>
      <c r="AC1414" s="762"/>
      <c r="AD1414" s="758" t="s">
        <v>29</v>
      </c>
      <c r="AE1414" s="758" t="s">
        <v>29</v>
      </c>
      <c r="AF1414" s="759"/>
      <c r="AG1414" s="763">
        <f>AF1414</f>
        <v>0</v>
      </c>
      <c r="AH1414" s="762"/>
      <c r="AI1414" s="1295"/>
      <c r="AJ1414" s="811"/>
      <c r="AK1414" s="1301"/>
      <c r="AL1414" s="1301"/>
      <c r="AM1414" s="1301"/>
      <c r="AN1414" s="1301"/>
      <c r="AO1414" s="1301"/>
      <c r="AP1414" s="1301"/>
    </row>
    <row r="1415" spans="2:42">
      <c r="B1415" s="819" t="s">
        <v>66</v>
      </c>
      <c r="C1415" s="820"/>
      <c r="D1415" s="820"/>
      <c r="E1415" s="819"/>
      <c r="F1415" s="819"/>
      <c r="G1415" s="819"/>
      <c r="H1415" s="819"/>
      <c r="I1415" s="819"/>
      <c r="J1415" s="819"/>
      <c r="K1415" s="819"/>
      <c r="L1415" s="819"/>
      <c r="M1415" s="819"/>
      <c r="N1415" s="819"/>
      <c r="O1415" s="819"/>
      <c r="P1415" s="819"/>
      <c r="Q1415" s="819"/>
      <c r="R1415" s="819"/>
      <c r="S1415" s="819"/>
      <c r="T1415" s="819"/>
      <c r="U1415" s="819"/>
      <c r="V1415" s="819"/>
      <c r="W1415" s="819"/>
      <c r="X1415" s="819"/>
      <c r="Y1415" s="819"/>
      <c r="Z1415" s="819"/>
      <c r="AA1415" s="763">
        <f>SUM(AA1413:AA1414)</f>
        <v>16</v>
      </c>
      <c r="AB1415" s="763">
        <f>SUM(AB1414:AB1414)</f>
        <v>0</v>
      </c>
      <c r="AC1415" s="762"/>
      <c r="AD1415" s="811"/>
      <c r="AE1415" s="811"/>
      <c r="AF1415" s="811"/>
      <c r="AG1415" s="763">
        <f>SUM(AG1414:AG1414)</f>
        <v>0</v>
      </c>
      <c r="AH1415" s="762"/>
      <c r="AI1415" s="1295"/>
      <c r="AJ1415" s="811"/>
      <c r="AK1415" s="1304"/>
      <c r="AL1415" s="1301"/>
      <c r="AM1415" s="1301"/>
      <c r="AN1415" s="1301"/>
      <c r="AO1415" s="1301"/>
      <c r="AP1415" s="1301"/>
    </row>
    <row r="1416" spans="2:42">
      <c r="B1416" s="821" t="s">
        <v>67</v>
      </c>
      <c r="C1416" s="822">
        <f>C1417+C1418</f>
        <v>6</v>
      </c>
      <c r="D1416" s="822"/>
      <c r="E1416" s="823"/>
      <c r="F1416" s="823"/>
      <c r="G1416" s="822"/>
      <c r="H1416" s="823"/>
      <c r="I1416" s="823"/>
      <c r="J1416" s="823"/>
      <c r="K1416" s="823"/>
      <c r="L1416" s="822"/>
      <c r="M1416" s="822"/>
      <c r="N1416" s="822"/>
      <c r="O1416" s="822"/>
      <c r="P1416" s="823"/>
      <c r="Q1416" s="822"/>
      <c r="R1416" s="822"/>
      <c r="S1416" s="822"/>
      <c r="T1416" s="822"/>
      <c r="U1416" s="823"/>
      <c r="V1416" s="822"/>
      <c r="W1416" s="822"/>
      <c r="X1416" s="822"/>
      <c r="Y1416" s="824"/>
      <c r="Z1416" s="823"/>
      <c r="AA1416" s="825"/>
      <c r="AB1416" s="823"/>
      <c r="AC1416" s="825"/>
      <c r="AD1416" s="825"/>
      <c r="AE1416" s="825"/>
      <c r="AF1416" s="825"/>
      <c r="AG1416" s="825"/>
      <c r="AH1416" s="762"/>
      <c r="AI1416" s="1295"/>
      <c r="AJ1416" s="811"/>
      <c r="AK1416" s="1304"/>
      <c r="AL1416" s="1301"/>
      <c r="AM1416" s="1301"/>
      <c r="AN1416" s="1301"/>
      <c r="AO1416" s="1301"/>
      <c r="AP1416" s="1301"/>
    </row>
    <row r="1417" spans="2:42">
      <c r="B1417" s="826" t="s">
        <v>68</v>
      </c>
      <c r="C1417" s="822">
        <v>0</v>
      </c>
      <c r="D1417" s="822"/>
      <c r="E1417" s="823"/>
      <c r="F1417" s="823"/>
      <c r="G1417" s="822"/>
      <c r="H1417" s="823"/>
      <c r="I1417" s="823"/>
      <c r="J1417" s="823"/>
      <c r="K1417" s="823"/>
      <c r="L1417" s="822"/>
      <c r="M1417" s="822"/>
      <c r="N1417" s="822"/>
      <c r="O1417" s="822"/>
      <c r="P1417" s="823"/>
      <c r="Q1417" s="822"/>
      <c r="R1417" s="822"/>
      <c r="S1417" s="822"/>
      <c r="T1417" s="822"/>
      <c r="U1417" s="823"/>
      <c r="V1417" s="822"/>
      <c r="W1417" s="822"/>
      <c r="X1417" s="822"/>
      <c r="Y1417" s="824"/>
      <c r="Z1417" s="823"/>
      <c r="AA1417" s="825"/>
      <c r="AB1417" s="823"/>
      <c r="AC1417" s="825"/>
      <c r="AD1417" s="825"/>
      <c r="AE1417" s="825"/>
      <c r="AF1417" s="825"/>
      <c r="AG1417" s="825"/>
      <c r="AH1417" s="762"/>
      <c r="AI1417" s="1295"/>
      <c r="AJ1417" s="811"/>
      <c r="AK1417" s="1304"/>
      <c r="AL1417" s="1301"/>
      <c r="AM1417" s="1301"/>
      <c r="AN1417" s="1301"/>
      <c r="AO1417" s="1301"/>
      <c r="AP1417" s="1301"/>
    </row>
    <row r="1418" spans="2:42">
      <c r="B1418" s="826" t="s">
        <v>69</v>
      </c>
      <c r="C1418" s="822">
        <v>6</v>
      </c>
      <c r="D1418" s="822"/>
      <c r="E1418" s="823"/>
      <c r="F1418" s="823"/>
      <c r="G1418" s="822"/>
      <c r="H1418" s="823"/>
      <c r="I1418" s="823"/>
      <c r="J1418" s="823"/>
      <c r="K1418" s="823"/>
      <c r="L1418" s="822"/>
      <c r="M1418" s="822"/>
      <c r="N1418" s="822"/>
      <c r="O1418" s="822"/>
      <c r="P1418" s="823"/>
      <c r="Q1418" s="822"/>
      <c r="R1418" s="822"/>
      <c r="S1418" s="822"/>
      <c r="T1418" s="822"/>
      <c r="U1418" s="823"/>
      <c r="V1418" s="822"/>
      <c r="W1418" s="822"/>
      <c r="X1418" s="822"/>
      <c r="Y1418" s="824"/>
      <c r="Z1418" s="823"/>
      <c r="AA1418" s="825"/>
      <c r="AB1418" s="823"/>
      <c r="AC1418" s="825"/>
      <c r="AD1418" s="825"/>
      <c r="AE1418" s="825"/>
      <c r="AF1418" s="825"/>
      <c r="AG1418" s="825"/>
      <c r="AH1418" s="762"/>
      <c r="AI1418" s="1295"/>
      <c r="AJ1418" s="811"/>
      <c r="AK1418" s="1301"/>
      <c r="AL1418" s="1301"/>
      <c r="AM1418" s="1301"/>
      <c r="AN1418" s="1301"/>
      <c r="AO1418" s="1301"/>
      <c r="AP1418" s="1301"/>
    </row>
    <row r="1419" spans="2:42">
      <c r="B1419" s="827"/>
      <c r="C1419" s="811"/>
      <c r="D1419" s="811"/>
      <c r="E1419" s="813"/>
      <c r="F1419" s="813"/>
      <c r="G1419" s="813"/>
      <c r="H1419" s="811"/>
      <c r="I1419" s="811"/>
      <c r="J1419" s="813"/>
      <c r="K1419" s="813"/>
      <c r="L1419" s="813"/>
      <c r="M1419" s="811"/>
      <c r="N1419" s="811"/>
      <c r="O1419" s="813"/>
      <c r="P1419" s="813"/>
      <c r="Q1419" s="762"/>
      <c r="R1419" s="811"/>
      <c r="S1419" s="811"/>
      <c r="T1419" s="813"/>
      <c r="U1419" s="813"/>
      <c r="V1419" s="762"/>
      <c r="W1419" s="811"/>
      <c r="X1419" s="811"/>
      <c r="Y1419" s="813"/>
      <c r="Z1419" s="813"/>
      <c r="AA1419" s="813"/>
      <c r="AB1419" s="813"/>
      <c r="AC1419" s="813"/>
      <c r="AD1419" s="811"/>
      <c r="AE1419" s="811"/>
      <c r="AF1419" s="811"/>
      <c r="AG1419" s="811"/>
      <c r="AH1419" s="762"/>
      <c r="AI1419" s="1295"/>
      <c r="AJ1419" s="811"/>
      <c r="AK1419" s="1301"/>
      <c r="AL1419" s="1301"/>
      <c r="AM1419" s="1301"/>
      <c r="AN1419" s="1301"/>
      <c r="AO1419" s="1301"/>
      <c r="AP1419" s="1301"/>
    </row>
    <row r="1420" spans="2:42">
      <c r="B1420" s="827"/>
      <c r="C1420" s="811"/>
      <c r="D1420" s="811"/>
      <c r="E1420" s="813"/>
      <c r="F1420" s="813"/>
      <c r="G1420" s="813"/>
      <c r="H1420" s="811"/>
      <c r="I1420" s="811"/>
      <c r="J1420" s="813"/>
      <c r="K1420" s="813"/>
      <c r="L1420" s="813"/>
      <c r="M1420" s="811"/>
      <c r="N1420" s="811"/>
      <c r="O1420" s="813"/>
      <c r="P1420" s="813"/>
      <c r="Q1420" s="762"/>
      <c r="R1420" s="811"/>
      <c r="S1420" s="811"/>
      <c r="T1420" s="813"/>
      <c r="U1420" s="813"/>
      <c r="V1420" s="762"/>
      <c r="W1420" s="811"/>
      <c r="X1420" s="811"/>
      <c r="Y1420" s="813"/>
      <c r="Z1420" s="813"/>
      <c r="AA1420" s="813"/>
      <c r="AB1420" s="813"/>
      <c r="AC1420" s="813"/>
      <c r="AD1420" s="811"/>
      <c r="AE1420" s="811"/>
      <c r="AF1420" s="811"/>
      <c r="AG1420" s="811"/>
      <c r="AH1420" s="762"/>
      <c r="AI1420" s="1295"/>
      <c r="AJ1420" s="811"/>
      <c r="AK1420" s="1301"/>
      <c r="AL1420" s="1301"/>
      <c r="AM1420" s="1301"/>
      <c r="AN1420" s="1301"/>
      <c r="AO1420" s="1301"/>
      <c r="AP1420" s="1301"/>
    </row>
    <row r="1421" spans="2:42" ht="25.5">
      <c r="B1421" s="1576"/>
      <c r="C1421" s="1577">
        <v>46006</v>
      </c>
      <c r="D1421" s="1577"/>
      <c r="E1421" s="1577" t="s">
        <v>564</v>
      </c>
      <c r="F1421" s="1577"/>
      <c r="G1421" s="807"/>
      <c r="H1421" s="1577">
        <v>46007</v>
      </c>
      <c r="I1421" s="1577"/>
      <c r="J1421" s="1577" t="s">
        <v>565</v>
      </c>
      <c r="K1421" s="1577"/>
      <c r="L1421" s="807"/>
      <c r="M1421" s="1577">
        <v>46008</v>
      </c>
      <c r="N1421" s="1577"/>
      <c r="O1421" s="1577" t="s">
        <v>566</v>
      </c>
      <c r="P1421" s="1577"/>
      <c r="Q1421" s="807"/>
      <c r="R1421" s="1577">
        <v>46009</v>
      </c>
      <c r="S1421" s="1577"/>
      <c r="T1421" s="1577" t="s">
        <v>567</v>
      </c>
      <c r="U1421" s="1577"/>
      <c r="V1421" s="807"/>
      <c r="W1421" s="1577">
        <v>46010</v>
      </c>
      <c r="X1421" s="1577"/>
      <c r="Y1421" s="1577" t="s">
        <v>568</v>
      </c>
      <c r="Z1421" s="1577"/>
      <c r="AA1421" s="1578" t="s">
        <v>19</v>
      </c>
      <c r="AB1421" s="1578" t="s">
        <v>20</v>
      </c>
      <c r="AC1421" s="762"/>
      <c r="AD1421" s="1577"/>
      <c r="AE1421" s="1577"/>
      <c r="AF1421" s="808" t="s">
        <v>1111</v>
      </c>
      <c r="AG1421" s="1578" t="s">
        <v>21</v>
      </c>
      <c r="AH1421" s="762"/>
      <c r="AI1421" s="1295"/>
      <c r="AJ1421" s="811"/>
      <c r="AK1421" s="1296" t="s">
        <v>84</v>
      </c>
      <c r="AL1421" s="1297"/>
      <c r="AM1421" s="1297"/>
      <c r="AN1421" s="1297"/>
      <c r="AO1421" s="1297"/>
      <c r="AP1421" s="1297"/>
    </row>
    <row r="1422" spans="2:42">
      <c r="B1422" s="1576"/>
      <c r="C1422" s="809" t="s">
        <v>23</v>
      </c>
      <c r="D1422" s="809" t="s">
        <v>24</v>
      </c>
      <c r="E1422" s="768" t="s">
        <v>25</v>
      </c>
      <c r="F1422" s="810" t="s">
        <v>14</v>
      </c>
      <c r="G1422" s="762"/>
      <c r="H1422" s="809"/>
      <c r="I1422" s="809" t="s">
        <v>24</v>
      </c>
      <c r="J1422" s="810" t="s">
        <v>25</v>
      </c>
      <c r="K1422" s="810" t="s">
        <v>14</v>
      </c>
      <c r="L1422" s="762"/>
      <c r="M1422" s="809" t="s">
        <v>23</v>
      </c>
      <c r="N1422" s="809" t="s">
        <v>24</v>
      </c>
      <c r="O1422" s="810" t="s">
        <v>25</v>
      </c>
      <c r="P1422" s="810" t="s">
        <v>14</v>
      </c>
      <c r="Q1422" s="762"/>
      <c r="R1422" s="809" t="s">
        <v>23</v>
      </c>
      <c r="S1422" s="809" t="s">
        <v>24</v>
      </c>
      <c r="T1422" s="810" t="s">
        <v>25</v>
      </c>
      <c r="U1422" s="810" t="s">
        <v>14</v>
      </c>
      <c r="V1422" s="762"/>
      <c r="W1422" s="809" t="s">
        <v>23</v>
      </c>
      <c r="X1422" s="809" t="s">
        <v>24</v>
      </c>
      <c r="Y1422" s="810" t="s">
        <v>25</v>
      </c>
      <c r="Z1422" s="810" t="s">
        <v>14</v>
      </c>
      <c r="AA1422" s="1578"/>
      <c r="AB1422" s="1578"/>
      <c r="AC1422" s="762"/>
      <c r="AD1422" s="809" t="s">
        <v>23</v>
      </c>
      <c r="AE1422" s="809" t="s">
        <v>24</v>
      </c>
      <c r="AF1422" s="810" t="s">
        <v>25</v>
      </c>
      <c r="AG1422" s="1578"/>
      <c r="AH1422" s="762"/>
      <c r="AI1422" s="1295"/>
      <c r="AJ1422" s="811"/>
      <c r="AK1422" s="1298" t="s">
        <v>26</v>
      </c>
      <c r="AL1422" s="1299">
        <f>AA1444</f>
        <v>32</v>
      </c>
      <c r="AM1422" s="1300">
        <v>40.31</v>
      </c>
      <c r="AN1422" s="1300">
        <f t="shared" ref="AN1422:AN1427" si="186">AL1422*AM1422</f>
        <v>1289.92</v>
      </c>
      <c r="AO1422" s="1301"/>
      <c r="AP1422" s="1301"/>
    </row>
    <row r="1423" spans="2:42">
      <c r="B1423" s="758" t="s">
        <v>515</v>
      </c>
      <c r="C1423" s="758"/>
      <c r="D1423" s="758"/>
      <c r="E1423" s="759">
        <v>0</v>
      </c>
      <c r="F1423" s="761"/>
      <c r="G1423" s="762"/>
      <c r="H1423" s="758"/>
      <c r="I1423" s="758"/>
      <c r="J1423" s="759">
        <v>0</v>
      </c>
      <c r="K1423" s="761"/>
      <c r="L1423" s="762"/>
      <c r="M1423" s="758"/>
      <c r="N1423" s="758"/>
      <c r="O1423" s="759">
        <v>0</v>
      </c>
      <c r="P1423" s="761"/>
      <c r="Q1423" s="762"/>
      <c r="R1423" s="758"/>
      <c r="S1423" s="758"/>
      <c r="T1423" s="759">
        <v>0</v>
      </c>
      <c r="U1423" s="761"/>
      <c r="V1423" s="762"/>
      <c r="W1423" s="758"/>
      <c r="X1423" s="758"/>
      <c r="Y1423" s="759">
        <v>0</v>
      </c>
      <c r="Z1423" s="761"/>
      <c r="AA1423" s="763">
        <f t="shared" ref="AA1423:AA1443" si="187">(E1423+J1423+O1423+T1423+Y1423)</f>
        <v>0</v>
      </c>
      <c r="AB1423" s="764">
        <f t="shared" ref="AB1423:AB1443" si="188">Z1423+U1423+P1423+K1423+F1423</f>
        <v>0</v>
      </c>
      <c r="AC1423" s="762"/>
      <c r="AD1423" s="811"/>
      <c r="AE1423" s="811"/>
      <c r="AF1423" s="759"/>
      <c r="AG1423" s="763">
        <f t="shared" ref="AG1423:AG1443" si="189">AF1423</f>
        <v>0</v>
      </c>
      <c r="AH1423" s="762"/>
      <c r="AI1423" s="1295"/>
      <c r="AJ1423" s="811"/>
      <c r="AK1423" s="1298" t="s">
        <v>30</v>
      </c>
      <c r="AL1423" s="1299">
        <f>AB1444</f>
        <v>0</v>
      </c>
      <c r="AM1423" s="1300">
        <v>60.465000000000003</v>
      </c>
      <c r="AN1423" s="1300">
        <f t="shared" si="186"/>
        <v>0</v>
      </c>
      <c r="AO1423" s="1301"/>
      <c r="AP1423" s="1301"/>
    </row>
    <row r="1424" spans="2:42">
      <c r="B1424" s="758" t="s">
        <v>1112</v>
      </c>
      <c r="C1424" s="758"/>
      <c r="D1424" s="758"/>
      <c r="E1424" s="759">
        <v>0</v>
      </c>
      <c r="F1424" s="761"/>
      <c r="G1424" s="762"/>
      <c r="H1424" s="758"/>
      <c r="I1424" s="758"/>
      <c r="J1424" s="759">
        <v>0</v>
      </c>
      <c r="K1424" s="761"/>
      <c r="L1424" s="762"/>
      <c r="M1424" s="758"/>
      <c r="N1424" s="758"/>
      <c r="O1424" s="759">
        <v>0</v>
      </c>
      <c r="P1424" s="761"/>
      <c r="Q1424" s="762"/>
      <c r="R1424" s="758"/>
      <c r="S1424" s="758"/>
      <c r="T1424" s="759">
        <v>0</v>
      </c>
      <c r="U1424" s="761"/>
      <c r="V1424" s="762"/>
      <c r="W1424" s="758"/>
      <c r="X1424" s="758"/>
      <c r="Y1424" s="759">
        <v>0</v>
      </c>
      <c r="Z1424" s="761"/>
      <c r="AA1424" s="763">
        <f t="shared" si="187"/>
        <v>0</v>
      </c>
      <c r="AB1424" s="764">
        <f t="shared" si="188"/>
        <v>0</v>
      </c>
      <c r="AC1424" s="762"/>
      <c r="AD1424" s="758"/>
      <c r="AE1424" s="758"/>
      <c r="AF1424" s="759"/>
      <c r="AG1424" s="763">
        <f t="shared" si="189"/>
        <v>0</v>
      </c>
      <c r="AH1424" s="762"/>
      <c r="AI1424" s="1295"/>
      <c r="AJ1424" s="811"/>
      <c r="AK1424" s="1298" t="s">
        <v>32</v>
      </c>
      <c r="AL1424" s="1299">
        <f>AG1444</f>
        <v>0</v>
      </c>
      <c r="AM1424" s="1300">
        <v>60.465000000000003</v>
      </c>
      <c r="AN1424" s="1300">
        <f t="shared" si="186"/>
        <v>0</v>
      </c>
      <c r="AO1424" s="1301"/>
      <c r="AP1424" s="1301"/>
    </row>
    <row r="1425" spans="2:42">
      <c r="B1425" s="758" t="s">
        <v>1141</v>
      </c>
      <c r="C1425" s="758"/>
      <c r="D1425" s="758"/>
      <c r="E1425" s="759">
        <v>0</v>
      </c>
      <c r="F1425" s="761"/>
      <c r="G1425" s="762"/>
      <c r="H1425" s="758"/>
      <c r="I1425" s="758"/>
      <c r="J1425" s="759">
        <v>0</v>
      </c>
      <c r="K1425" s="761"/>
      <c r="L1425" s="762"/>
      <c r="M1425" s="758"/>
      <c r="N1425" s="758"/>
      <c r="O1425" s="759">
        <v>0</v>
      </c>
      <c r="P1425" s="761"/>
      <c r="Q1425" s="762"/>
      <c r="R1425" s="758"/>
      <c r="S1425" s="758"/>
      <c r="T1425" s="759">
        <v>0</v>
      </c>
      <c r="U1425" s="761"/>
      <c r="V1425" s="762"/>
      <c r="W1425" s="758"/>
      <c r="X1425" s="758"/>
      <c r="Y1425" s="759">
        <v>0</v>
      </c>
      <c r="Z1425" s="761"/>
      <c r="AA1425" s="763">
        <f t="shared" si="187"/>
        <v>0</v>
      </c>
      <c r="AB1425" s="764">
        <f t="shared" si="188"/>
        <v>0</v>
      </c>
      <c r="AC1425" s="762"/>
      <c r="AD1425" s="758"/>
      <c r="AE1425" s="758"/>
      <c r="AF1425" s="759"/>
      <c r="AG1425" s="763">
        <f t="shared" si="189"/>
        <v>0</v>
      </c>
      <c r="AH1425" s="762"/>
      <c r="AI1425" s="1295"/>
      <c r="AJ1425" s="811"/>
      <c r="AK1425" s="1298" t="s">
        <v>213</v>
      </c>
      <c r="AL1425" s="1299">
        <f>AA1447</f>
        <v>16</v>
      </c>
      <c r="AM1425" s="1300">
        <v>53.05</v>
      </c>
      <c r="AN1425" s="1300">
        <f t="shared" si="186"/>
        <v>848.8</v>
      </c>
      <c r="AO1425" s="1301"/>
      <c r="AP1425" s="1301"/>
    </row>
    <row r="1426" spans="2:42">
      <c r="B1426" s="758" t="s">
        <v>72</v>
      </c>
      <c r="C1426" s="758"/>
      <c r="D1426" s="758"/>
      <c r="E1426" s="759">
        <v>0</v>
      </c>
      <c r="F1426" s="761"/>
      <c r="G1426" s="762"/>
      <c r="H1426" s="758"/>
      <c r="I1426" s="758"/>
      <c r="J1426" s="759">
        <v>0</v>
      </c>
      <c r="K1426" s="761"/>
      <c r="L1426" s="762"/>
      <c r="M1426" s="758"/>
      <c r="N1426" s="758"/>
      <c r="O1426" s="759">
        <v>0</v>
      </c>
      <c r="P1426" s="761"/>
      <c r="Q1426" s="762"/>
      <c r="R1426" s="758"/>
      <c r="S1426" s="758"/>
      <c r="T1426" s="759">
        <v>0</v>
      </c>
      <c r="U1426" s="761"/>
      <c r="V1426" s="762"/>
      <c r="W1426" s="758"/>
      <c r="X1426" s="758"/>
      <c r="Y1426" s="759">
        <v>0</v>
      </c>
      <c r="Z1426" s="761"/>
      <c r="AA1426" s="763">
        <f t="shared" si="187"/>
        <v>0</v>
      </c>
      <c r="AB1426" s="764">
        <f t="shared" si="188"/>
        <v>0</v>
      </c>
      <c r="AC1426" s="762"/>
      <c r="AD1426" s="758"/>
      <c r="AE1426" s="758"/>
      <c r="AF1426" s="759"/>
      <c r="AG1426" s="763">
        <f t="shared" si="189"/>
        <v>0</v>
      </c>
      <c r="AH1426" s="762"/>
      <c r="AI1426" s="1295"/>
      <c r="AJ1426" s="811"/>
      <c r="AK1426" s="1298" t="s">
        <v>36</v>
      </c>
      <c r="AL1426" s="1299">
        <f>AB1447</f>
        <v>0</v>
      </c>
      <c r="AM1426" s="1300">
        <v>79.574999999999989</v>
      </c>
      <c r="AN1426" s="1300">
        <f t="shared" si="186"/>
        <v>0</v>
      </c>
      <c r="AO1426" s="1301"/>
      <c r="AP1426" s="1301"/>
    </row>
    <row r="1427" spans="2:42">
      <c r="B1427" s="813" t="s">
        <v>998</v>
      </c>
      <c r="C1427" s="758"/>
      <c r="D1427" s="758"/>
      <c r="E1427" s="759">
        <v>0</v>
      </c>
      <c r="F1427" s="761"/>
      <c r="G1427" s="762"/>
      <c r="H1427" s="758">
        <v>0.375</v>
      </c>
      <c r="I1427" s="758">
        <v>0.25</v>
      </c>
      <c r="J1427" s="759">
        <v>8</v>
      </c>
      <c r="K1427" s="761"/>
      <c r="L1427" s="762"/>
      <c r="M1427" s="758">
        <v>0.375</v>
      </c>
      <c r="N1427" s="758">
        <v>0.25</v>
      </c>
      <c r="O1427" s="759">
        <v>8</v>
      </c>
      <c r="P1427" s="761"/>
      <c r="Q1427" s="762"/>
      <c r="R1427" s="758">
        <v>0.375</v>
      </c>
      <c r="S1427" s="758">
        <v>0.25</v>
      </c>
      <c r="T1427" s="759">
        <v>8</v>
      </c>
      <c r="U1427" s="761"/>
      <c r="V1427" s="762"/>
      <c r="W1427" s="758"/>
      <c r="X1427" s="758"/>
      <c r="Y1427" s="759">
        <v>0</v>
      </c>
      <c r="Z1427" s="761"/>
      <c r="AA1427" s="763">
        <f t="shared" si="187"/>
        <v>24</v>
      </c>
      <c r="AB1427" s="764">
        <f t="shared" si="188"/>
        <v>0</v>
      </c>
      <c r="AC1427" s="762"/>
      <c r="AD1427" s="758"/>
      <c r="AE1427" s="758"/>
      <c r="AF1427" s="759"/>
      <c r="AG1427" s="763">
        <f t="shared" si="189"/>
        <v>0</v>
      </c>
      <c r="AH1427" s="762"/>
      <c r="AI1427" s="1295"/>
      <c r="AJ1427" s="811"/>
      <c r="AK1427" s="1298" t="s">
        <v>38</v>
      </c>
      <c r="AL1427" s="1299">
        <f>AG1447</f>
        <v>0</v>
      </c>
      <c r="AM1427" s="1300">
        <v>79.574999999999989</v>
      </c>
      <c r="AN1427" s="1300">
        <f t="shared" si="186"/>
        <v>0</v>
      </c>
      <c r="AO1427" s="1301"/>
      <c r="AP1427" s="1301"/>
    </row>
    <row r="1428" spans="2:42">
      <c r="B1428" s="758" t="s">
        <v>53</v>
      </c>
      <c r="C1428" s="758"/>
      <c r="D1428" s="758"/>
      <c r="E1428" s="759">
        <v>0</v>
      </c>
      <c r="F1428" s="761"/>
      <c r="G1428" s="762"/>
      <c r="H1428" s="758"/>
      <c r="I1428" s="758"/>
      <c r="J1428" s="759">
        <v>0</v>
      </c>
      <c r="K1428" s="761"/>
      <c r="L1428" s="762"/>
      <c r="M1428" s="758"/>
      <c r="N1428" s="758"/>
      <c r="O1428" s="759">
        <v>0</v>
      </c>
      <c r="P1428" s="761"/>
      <c r="Q1428" s="762"/>
      <c r="R1428" s="758"/>
      <c r="S1428" s="758"/>
      <c r="T1428" s="759">
        <v>0</v>
      </c>
      <c r="U1428" s="761"/>
      <c r="V1428" s="762"/>
      <c r="W1428" s="758"/>
      <c r="X1428" s="758"/>
      <c r="Y1428" s="759">
        <v>0</v>
      </c>
      <c r="Z1428" s="761"/>
      <c r="AA1428" s="763">
        <f t="shared" si="187"/>
        <v>0</v>
      </c>
      <c r="AB1428" s="764">
        <f t="shared" si="188"/>
        <v>0</v>
      </c>
      <c r="AC1428" s="762"/>
      <c r="AD1428" s="758"/>
      <c r="AE1428" s="758"/>
      <c r="AF1428" s="759"/>
      <c r="AG1428" s="763">
        <f t="shared" si="189"/>
        <v>0</v>
      </c>
      <c r="AH1428" s="762"/>
      <c r="AI1428" s="1295"/>
      <c r="AJ1428" s="811"/>
      <c r="AK1428" s="1301"/>
      <c r="AL1428" s="1301"/>
      <c r="AM1428" s="1301"/>
      <c r="AN1428" s="1300">
        <f>SUM(AN1422:AN1427)</f>
        <v>2138.7200000000003</v>
      </c>
      <c r="AO1428" s="1301"/>
      <c r="AP1428" s="1301"/>
    </row>
    <row r="1429" spans="2:42">
      <c r="B1429" s="758" t="s">
        <v>241</v>
      </c>
      <c r="C1429" s="758"/>
      <c r="D1429" s="758"/>
      <c r="E1429" s="759">
        <v>0</v>
      </c>
      <c r="F1429" s="761"/>
      <c r="G1429" s="762"/>
      <c r="H1429" s="758"/>
      <c r="I1429" s="758"/>
      <c r="J1429" s="759">
        <v>0</v>
      </c>
      <c r="K1429" s="761"/>
      <c r="L1429" s="762"/>
      <c r="M1429" s="758"/>
      <c r="N1429" s="758"/>
      <c r="O1429" s="759">
        <v>0</v>
      </c>
      <c r="P1429" s="761"/>
      <c r="Q1429" s="762"/>
      <c r="R1429" s="758"/>
      <c r="S1429" s="758"/>
      <c r="T1429" s="759">
        <v>0</v>
      </c>
      <c r="U1429" s="761"/>
      <c r="V1429" s="762"/>
      <c r="W1429" s="758"/>
      <c r="X1429" s="758"/>
      <c r="Y1429" s="759">
        <v>0</v>
      </c>
      <c r="Z1429" s="761"/>
      <c r="AA1429" s="763">
        <f t="shared" si="187"/>
        <v>0</v>
      </c>
      <c r="AB1429" s="764">
        <f t="shared" si="188"/>
        <v>0</v>
      </c>
      <c r="AC1429" s="762"/>
      <c r="AD1429" s="758"/>
      <c r="AE1429" s="758"/>
      <c r="AF1429" s="759"/>
      <c r="AG1429" s="763">
        <f t="shared" si="189"/>
        <v>0</v>
      </c>
      <c r="AH1429" s="762"/>
      <c r="AI1429" s="1295"/>
      <c r="AJ1429" s="811"/>
      <c r="AK1429" s="1301"/>
      <c r="AL1429" s="1301"/>
      <c r="AM1429" s="1301"/>
      <c r="AN1429" s="1301"/>
      <c r="AO1429" s="1301"/>
      <c r="AP1429" s="1301"/>
    </row>
    <row r="1430" spans="2:42">
      <c r="B1430" s="758" t="s">
        <v>1141</v>
      </c>
      <c r="C1430" s="758"/>
      <c r="D1430" s="814"/>
      <c r="E1430" s="759">
        <v>0</v>
      </c>
      <c r="F1430" s="761"/>
      <c r="G1430" s="762"/>
      <c r="H1430" s="758"/>
      <c r="I1430" s="758"/>
      <c r="J1430" s="759">
        <v>0</v>
      </c>
      <c r="K1430" s="761"/>
      <c r="L1430" s="762"/>
      <c r="M1430" s="758"/>
      <c r="N1430" s="758"/>
      <c r="O1430" s="759">
        <v>0</v>
      </c>
      <c r="P1430" s="761"/>
      <c r="Q1430" s="762"/>
      <c r="R1430" s="758">
        <v>0.375</v>
      </c>
      <c r="S1430" s="758">
        <v>0.25</v>
      </c>
      <c r="T1430" s="759">
        <v>8</v>
      </c>
      <c r="U1430" s="761"/>
      <c r="V1430" s="762"/>
      <c r="W1430" s="758"/>
      <c r="X1430" s="758"/>
      <c r="Y1430" s="759">
        <v>0</v>
      </c>
      <c r="Z1430" s="761"/>
      <c r="AA1430" s="763">
        <f t="shared" si="187"/>
        <v>8</v>
      </c>
      <c r="AB1430" s="764">
        <f t="shared" si="188"/>
        <v>0</v>
      </c>
      <c r="AC1430" s="762"/>
      <c r="AD1430" s="758"/>
      <c r="AE1430" s="758"/>
      <c r="AF1430" s="759"/>
      <c r="AG1430" s="763">
        <f t="shared" si="189"/>
        <v>0</v>
      </c>
      <c r="AH1430" s="762"/>
      <c r="AI1430" s="1295"/>
      <c r="AJ1430" s="811"/>
      <c r="AK1430" s="1302" t="s">
        <v>1115</v>
      </c>
      <c r="AL1430" s="1303">
        <f>C1448</f>
        <v>4</v>
      </c>
      <c r="AM1430" s="1300">
        <v>45</v>
      </c>
      <c r="AN1430" s="1300">
        <f>AM1430*AL1430</f>
        <v>180</v>
      </c>
      <c r="AO1430" s="1301"/>
      <c r="AP1430" s="1301"/>
    </row>
    <row r="1431" spans="2:42">
      <c r="B1431" s="758" t="s">
        <v>1113</v>
      </c>
      <c r="C1431" s="758"/>
      <c r="D1431" s="758"/>
      <c r="E1431" s="759">
        <v>0</v>
      </c>
      <c r="F1431" s="761"/>
      <c r="G1431" s="762"/>
      <c r="H1431" s="758"/>
      <c r="I1431" s="758"/>
      <c r="J1431" s="759">
        <v>0</v>
      </c>
      <c r="K1431" s="761"/>
      <c r="L1431" s="762"/>
      <c r="M1431" s="758"/>
      <c r="N1431" s="758"/>
      <c r="O1431" s="759">
        <v>0</v>
      </c>
      <c r="P1431" s="761"/>
      <c r="Q1431" s="762"/>
      <c r="R1431" s="758"/>
      <c r="S1431" s="758"/>
      <c r="T1431" s="759">
        <v>0</v>
      </c>
      <c r="U1431" s="761"/>
      <c r="V1431" s="762"/>
      <c r="W1431" s="758"/>
      <c r="X1431" s="758"/>
      <c r="Y1431" s="759">
        <v>0</v>
      </c>
      <c r="Z1431" s="761"/>
      <c r="AA1431" s="763">
        <f t="shared" si="187"/>
        <v>0</v>
      </c>
      <c r="AB1431" s="764">
        <f t="shared" si="188"/>
        <v>0</v>
      </c>
      <c r="AC1431" s="762"/>
      <c r="AD1431" s="758"/>
      <c r="AE1431" s="758"/>
      <c r="AF1431" s="759"/>
      <c r="AG1431" s="763">
        <f t="shared" si="189"/>
        <v>0</v>
      </c>
      <c r="AH1431" s="762"/>
      <c r="AI1431" s="1295"/>
      <c r="AJ1431" s="811"/>
      <c r="AK1431" s="1301"/>
      <c r="AL1431" s="1301"/>
      <c r="AM1431" s="1301"/>
      <c r="AN1431" s="1301"/>
      <c r="AO1431" s="1301"/>
      <c r="AP1431" s="1301"/>
    </row>
    <row r="1432" spans="2:42">
      <c r="B1432" s="815" t="s">
        <v>483</v>
      </c>
      <c r="C1432" s="758"/>
      <c r="D1432" s="758"/>
      <c r="E1432" s="759">
        <v>0</v>
      </c>
      <c r="F1432" s="761"/>
      <c r="G1432" s="762"/>
      <c r="H1432" s="758"/>
      <c r="I1432" s="758"/>
      <c r="J1432" s="759">
        <v>0</v>
      </c>
      <c r="K1432" s="761"/>
      <c r="L1432" s="762"/>
      <c r="M1432" s="758"/>
      <c r="N1432" s="758"/>
      <c r="O1432" s="759">
        <v>0</v>
      </c>
      <c r="P1432" s="761"/>
      <c r="Q1432" s="762"/>
      <c r="R1432" s="758"/>
      <c r="S1432" s="758"/>
      <c r="T1432" s="759">
        <v>0</v>
      </c>
      <c r="U1432" s="761"/>
      <c r="V1432" s="762"/>
      <c r="W1432" s="758"/>
      <c r="X1432" s="758"/>
      <c r="Y1432" s="759">
        <v>0</v>
      </c>
      <c r="Z1432" s="761"/>
      <c r="AA1432" s="763">
        <f t="shared" si="187"/>
        <v>0</v>
      </c>
      <c r="AB1432" s="764">
        <f t="shared" si="188"/>
        <v>0</v>
      </c>
      <c r="AC1432" s="762"/>
      <c r="AD1432" s="758"/>
      <c r="AE1432" s="758"/>
      <c r="AF1432" s="759"/>
      <c r="AG1432" s="763">
        <f t="shared" si="189"/>
        <v>0</v>
      </c>
      <c r="AH1432" s="762"/>
      <c r="AI1432" s="1295"/>
      <c r="AJ1432" s="811"/>
      <c r="AK1432" s="1301"/>
      <c r="AL1432" s="1301"/>
      <c r="AM1432" s="1301"/>
      <c r="AN1432" s="1301"/>
      <c r="AO1432" s="1301"/>
      <c r="AP1432" s="1301"/>
    </row>
    <row r="1433" spans="2:42">
      <c r="B1433" s="815" t="s">
        <v>483</v>
      </c>
      <c r="C1433" s="758"/>
      <c r="D1433" s="758"/>
      <c r="E1433" s="759">
        <v>0</v>
      </c>
      <c r="F1433" s="761"/>
      <c r="G1433" s="762"/>
      <c r="H1433" s="758"/>
      <c r="I1433" s="758"/>
      <c r="J1433" s="759">
        <v>0</v>
      </c>
      <c r="K1433" s="761"/>
      <c r="L1433" s="762"/>
      <c r="M1433" s="758"/>
      <c r="N1433" s="758"/>
      <c r="O1433" s="759">
        <v>0</v>
      </c>
      <c r="P1433" s="761"/>
      <c r="Q1433" s="762"/>
      <c r="R1433" s="758"/>
      <c r="S1433" s="758"/>
      <c r="T1433" s="759">
        <v>0</v>
      </c>
      <c r="U1433" s="761"/>
      <c r="V1433" s="762"/>
      <c r="W1433" s="758"/>
      <c r="X1433" s="758"/>
      <c r="Y1433" s="759">
        <v>0</v>
      </c>
      <c r="Z1433" s="761"/>
      <c r="AA1433" s="763">
        <f t="shared" si="187"/>
        <v>0</v>
      </c>
      <c r="AB1433" s="764">
        <f t="shared" si="188"/>
        <v>0</v>
      </c>
      <c r="AC1433" s="762"/>
      <c r="AD1433" s="758"/>
      <c r="AE1433" s="758"/>
      <c r="AF1433" s="759"/>
      <c r="AG1433" s="763">
        <f t="shared" si="189"/>
        <v>0</v>
      </c>
      <c r="AH1433" s="762"/>
      <c r="AI1433" s="1295"/>
      <c r="AJ1433" s="811"/>
      <c r="AK1433" s="1301"/>
      <c r="AL1433" s="1301"/>
      <c r="AM1433" s="1301"/>
      <c r="AN1433" s="1301"/>
      <c r="AO1433" s="1301"/>
      <c r="AP1433" s="1301"/>
    </row>
    <row r="1434" spans="2:42">
      <c r="B1434" s="815" t="s">
        <v>484</v>
      </c>
      <c r="C1434" s="758"/>
      <c r="D1434" s="758"/>
      <c r="E1434" s="759">
        <v>0</v>
      </c>
      <c r="F1434" s="761"/>
      <c r="G1434" s="762"/>
      <c r="H1434" s="758"/>
      <c r="I1434" s="758"/>
      <c r="J1434" s="759">
        <v>0</v>
      </c>
      <c r="K1434" s="761"/>
      <c r="L1434" s="762"/>
      <c r="M1434" s="758"/>
      <c r="N1434" s="758"/>
      <c r="O1434" s="759">
        <v>0</v>
      </c>
      <c r="P1434" s="761"/>
      <c r="Q1434" s="762"/>
      <c r="R1434" s="758"/>
      <c r="S1434" s="758"/>
      <c r="T1434" s="759">
        <v>0</v>
      </c>
      <c r="U1434" s="761"/>
      <c r="V1434" s="762"/>
      <c r="W1434" s="758"/>
      <c r="X1434" s="758"/>
      <c r="Y1434" s="759">
        <v>0</v>
      </c>
      <c r="Z1434" s="761"/>
      <c r="AA1434" s="763">
        <f t="shared" si="187"/>
        <v>0</v>
      </c>
      <c r="AB1434" s="764">
        <f t="shared" si="188"/>
        <v>0</v>
      </c>
      <c r="AC1434" s="762"/>
      <c r="AD1434" s="758"/>
      <c r="AE1434" s="758"/>
      <c r="AF1434" s="759"/>
      <c r="AG1434" s="763">
        <f t="shared" si="189"/>
        <v>0</v>
      </c>
      <c r="AH1434" s="762"/>
      <c r="AI1434" s="1295"/>
      <c r="AJ1434" s="811"/>
      <c r="AK1434" s="1301"/>
      <c r="AL1434" s="1301"/>
      <c r="AM1434" s="1301"/>
      <c r="AN1434" s="1301"/>
      <c r="AO1434" s="1301"/>
      <c r="AP1434" s="1301"/>
    </row>
    <row r="1435" spans="2:42">
      <c r="B1435" s="815" t="s">
        <v>485</v>
      </c>
      <c r="C1435" s="758"/>
      <c r="D1435" s="758"/>
      <c r="E1435" s="759">
        <v>0</v>
      </c>
      <c r="F1435" s="761"/>
      <c r="G1435" s="762"/>
      <c r="H1435" s="758"/>
      <c r="I1435" s="758"/>
      <c r="J1435" s="759">
        <v>0</v>
      </c>
      <c r="K1435" s="761"/>
      <c r="L1435" s="762"/>
      <c r="M1435" s="758"/>
      <c r="N1435" s="758"/>
      <c r="O1435" s="759">
        <v>0</v>
      </c>
      <c r="P1435" s="761"/>
      <c r="Q1435" s="762"/>
      <c r="R1435" s="758"/>
      <c r="S1435" s="758"/>
      <c r="T1435" s="759">
        <v>0</v>
      </c>
      <c r="U1435" s="761"/>
      <c r="V1435" s="762"/>
      <c r="W1435" s="758"/>
      <c r="X1435" s="758"/>
      <c r="Y1435" s="759">
        <v>0</v>
      </c>
      <c r="Z1435" s="761"/>
      <c r="AA1435" s="763">
        <f t="shared" si="187"/>
        <v>0</v>
      </c>
      <c r="AB1435" s="764">
        <f t="shared" si="188"/>
        <v>0</v>
      </c>
      <c r="AC1435" s="762"/>
      <c r="AD1435" s="758"/>
      <c r="AE1435" s="758"/>
      <c r="AF1435" s="759"/>
      <c r="AG1435" s="763">
        <f t="shared" si="189"/>
        <v>0</v>
      </c>
      <c r="AH1435" s="762"/>
      <c r="AI1435" s="1295"/>
      <c r="AJ1435" s="811"/>
      <c r="AK1435" s="1301"/>
      <c r="AL1435" s="1301"/>
      <c r="AM1435" s="1301"/>
      <c r="AN1435" s="1301"/>
      <c r="AO1435" s="1301"/>
      <c r="AP1435" s="1301"/>
    </row>
    <row r="1436" spans="2:42">
      <c r="B1436" s="815" t="s">
        <v>1129</v>
      </c>
      <c r="C1436" s="758"/>
      <c r="D1436" s="758"/>
      <c r="E1436" s="759">
        <v>0</v>
      </c>
      <c r="F1436" s="761"/>
      <c r="G1436" s="762"/>
      <c r="H1436" s="758"/>
      <c r="I1436" s="758"/>
      <c r="J1436" s="759">
        <v>0</v>
      </c>
      <c r="K1436" s="761"/>
      <c r="L1436" s="762"/>
      <c r="M1436" s="758"/>
      <c r="N1436" s="758"/>
      <c r="O1436" s="759">
        <v>0</v>
      </c>
      <c r="P1436" s="761"/>
      <c r="Q1436" s="762"/>
      <c r="R1436" s="758"/>
      <c r="S1436" s="758"/>
      <c r="T1436" s="759">
        <v>0</v>
      </c>
      <c r="U1436" s="761"/>
      <c r="V1436" s="762"/>
      <c r="W1436" s="758"/>
      <c r="X1436" s="758"/>
      <c r="Y1436" s="759">
        <v>0</v>
      </c>
      <c r="Z1436" s="761"/>
      <c r="AA1436" s="763">
        <f t="shared" si="187"/>
        <v>0</v>
      </c>
      <c r="AB1436" s="764">
        <f t="shared" si="188"/>
        <v>0</v>
      </c>
      <c r="AC1436" s="762"/>
      <c r="AD1436" s="758"/>
      <c r="AE1436" s="758"/>
      <c r="AF1436" s="759"/>
      <c r="AG1436" s="763">
        <f t="shared" si="189"/>
        <v>0</v>
      </c>
      <c r="AH1436" s="762"/>
      <c r="AI1436" s="1295"/>
      <c r="AJ1436" s="811"/>
      <c r="AK1436" s="1301"/>
      <c r="AL1436" s="1301"/>
      <c r="AM1436" s="1301"/>
      <c r="AN1436" s="1301"/>
      <c r="AO1436" s="1301"/>
      <c r="AP1436" s="1301"/>
    </row>
    <row r="1437" spans="2:42">
      <c r="B1437" s="816" t="s">
        <v>358</v>
      </c>
      <c r="C1437" s="758"/>
      <c r="D1437" s="758"/>
      <c r="E1437" s="759">
        <v>0</v>
      </c>
      <c r="F1437" s="761"/>
      <c r="G1437" s="762"/>
      <c r="H1437" s="758"/>
      <c r="I1437" s="758"/>
      <c r="J1437" s="759">
        <v>0</v>
      </c>
      <c r="K1437" s="761"/>
      <c r="L1437" s="765"/>
      <c r="M1437" s="758"/>
      <c r="N1437" s="758"/>
      <c r="O1437" s="759">
        <v>0</v>
      </c>
      <c r="P1437" s="761"/>
      <c r="Q1437" s="765"/>
      <c r="R1437" s="758"/>
      <c r="S1437" s="758"/>
      <c r="T1437" s="759">
        <v>0</v>
      </c>
      <c r="U1437" s="761"/>
      <c r="V1437" s="765"/>
      <c r="W1437" s="758"/>
      <c r="X1437" s="758"/>
      <c r="Y1437" s="759">
        <v>0</v>
      </c>
      <c r="Z1437" s="761"/>
      <c r="AA1437" s="763">
        <f t="shared" si="187"/>
        <v>0</v>
      </c>
      <c r="AB1437" s="764">
        <f t="shared" si="188"/>
        <v>0</v>
      </c>
      <c r="AC1437" s="762"/>
      <c r="AD1437" s="758"/>
      <c r="AE1437" s="758"/>
      <c r="AF1437" s="759"/>
      <c r="AG1437" s="763">
        <f t="shared" si="189"/>
        <v>0</v>
      </c>
      <c r="AH1437" s="762"/>
      <c r="AI1437" s="1295"/>
      <c r="AJ1437" s="811"/>
      <c r="AK1437" s="1301"/>
      <c r="AL1437" s="1301"/>
      <c r="AM1437" s="1301"/>
      <c r="AN1437" s="1301"/>
      <c r="AO1437" s="1301"/>
      <c r="AP1437" s="1301"/>
    </row>
    <row r="1438" spans="2:42">
      <c r="B1438" s="816" t="s">
        <v>1135</v>
      </c>
      <c r="C1438" s="758"/>
      <c r="D1438" s="758"/>
      <c r="E1438" s="759">
        <v>0</v>
      </c>
      <c r="F1438" s="761"/>
      <c r="G1438" s="762"/>
      <c r="H1438" s="758"/>
      <c r="I1438" s="758"/>
      <c r="J1438" s="759">
        <v>0</v>
      </c>
      <c r="K1438" s="761"/>
      <c r="L1438" s="765"/>
      <c r="M1438" s="758"/>
      <c r="N1438" s="758"/>
      <c r="O1438" s="759">
        <v>0</v>
      </c>
      <c r="P1438" s="761"/>
      <c r="Q1438" s="765"/>
      <c r="R1438" s="758"/>
      <c r="S1438" s="758"/>
      <c r="T1438" s="759">
        <v>0</v>
      </c>
      <c r="U1438" s="761"/>
      <c r="V1438" s="765"/>
      <c r="W1438" s="758"/>
      <c r="X1438" s="758"/>
      <c r="Y1438" s="759">
        <v>0</v>
      </c>
      <c r="Z1438" s="761"/>
      <c r="AA1438" s="763">
        <f t="shared" si="187"/>
        <v>0</v>
      </c>
      <c r="AB1438" s="764">
        <f t="shared" si="188"/>
        <v>0</v>
      </c>
      <c r="AC1438" s="762"/>
      <c r="AD1438" s="758"/>
      <c r="AE1438" s="758"/>
      <c r="AF1438" s="759"/>
      <c r="AG1438" s="763">
        <f t="shared" si="189"/>
        <v>0</v>
      </c>
      <c r="AH1438" s="762"/>
      <c r="AI1438" s="1295"/>
      <c r="AJ1438" s="811"/>
      <c r="AK1438" s="1301"/>
      <c r="AL1438" s="1301"/>
      <c r="AM1438" s="1301"/>
      <c r="AN1438" s="1301"/>
      <c r="AO1438" s="1301"/>
      <c r="AP1438" s="1301"/>
    </row>
    <row r="1439" spans="2:42">
      <c r="B1439" s="816" t="s">
        <v>411</v>
      </c>
      <c r="C1439" s="758"/>
      <c r="D1439" s="758"/>
      <c r="E1439" s="759">
        <v>0</v>
      </c>
      <c r="F1439" s="761"/>
      <c r="G1439" s="762"/>
      <c r="H1439" s="758"/>
      <c r="I1439" s="758"/>
      <c r="J1439" s="759">
        <v>0</v>
      </c>
      <c r="K1439" s="761"/>
      <c r="L1439" s="765"/>
      <c r="M1439" s="758"/>
      <c r="N1439" s="758"/>
      <c r="O1439" s="759">
        <v>0</v>
      </c>
      <c r="P1439" s="761"/>
      <c r="Q1439" s="765"/>
      <c r="R1439" s="758"/>
      <c r="S1439" s="758"/>
      <c r="T1439" s="759">
        <v>0</v>
      </c>
      <c r="U1439" s="761"/>
      <c r="V1439" s="765"/>
      <c r="W1439" s="758"/>
      <c r="X1439" s="758"/>
      <c r="Y1439" s="759">
        <v>0</v>
      </c>
      <c r="Z1439" s="761"/>
      <c r="AA1439" s="763">
        <f t="shared" si="187"/>
        <v>0</v>
      </c>
      <c r="AB1439" s="764">
        <f t="shared" si="188"/>
        <v>0</v>
      </c>
      <c r="AC1439" s="762"/>
      <c r="AD1439" s="758"/>
      <c r="AE1439" s="758"/>
      <c r="AF1439" s="759"/>
      <c r="AG1439" s="763">
        <f t="shared" si="189"/>
        <v>0</v>
      </c>
      <c r="AH1439" s="762"/>
      <c r="AI1439" s="1295"/>
      <c r="AJ1439" s="811"/>
      <c r="AK1439" s="1301"/>
      <c r="AL1439" s="1301"/>
      <c r="AM1439" s="1301"/>
      <c r="AN1439" s="1301"/>
      <c r="AO1439" s="1301"/>
      <c r="AP1439" s="1301"/>
    </row>
    <row r="1440" spans="2:42">
      <c r="B1440" s="816" t="s">
        <v>361</v>
      </c>
      <c r="C1440" s="758"/>
      <c r="D1440" s="758"/>
      <c r="E1440" s="759">
        <v>0</v>
      </c>
      <c r="F1440" s="761"/>
      <c r="G1440" s="762"/>
      <c r="H1440" s="758"/>
      <c r="I1440" s="758"/>
      <c r="J1440" s="759">
        <v>0</v>
      </c>
      <c r="K1440" s="761"/>
      <c r="L1440" s="765"/>
      <c r="M1440" s="758"/>
      <c r="N1440" s="758"/>
      <c r="O1440" s="759">
        <v>0</v>
      </c>
      <c r="P1440" s="761"/>
      <c r="Q1440" s="765"/>
      <c r="R1440" s="758"/>
      <c r="S1440" s="758"/>
      <c r="T1440" s="759">
        <v>0</v>
      </c>
      <c r="U1440" s="761"/>
      <c r="V1440" s="765"/>
      <c r="W1440" s="758"/>
      <c r="X1440" s="758"/>
      <c r="Y1440" s="759">
        <v>0</v>
      </c>
      <c r="Z1440" s="761"/>
      <c r="AA1440" s="763">
        <f t="shared" si="187"/>
        <v>0</v>
      </c>
      <c r="AB1440" s="764">
        <f t="shared" si="188"/>
        <v>0</v>
      </c>
      <c r="AC1440" s="762"/>
      <c r="AD1440" s="758"/>
      <c r="AE1440" s="758"/>
      <c r="AF1440" s="759"/>
      <c r="AG1440" s="763">
        <f t="shared" si="189"/>
        <v>0</v>
      </c>
      <c r="AH1440" s="762"/>
      <c r="AI1440" s="1295"/>
      <c r="AJ1440" s="811"/>
      <c r="AK1440" s="1301"/>
      <c r="AL1440" s="1301"/>
      <c r="AM1440" s="1301"/>
      <c r="AN1440" s="1301"/>
      <c r="AO1440" s="1301"/>
      <c r="AP1440" s="1301"/>
    </row>
    <row r="1441" spans="2:42">
      <c r="B1441" s="816" t="s">
        <v>362</v>
      </c>
      <c r="C1441" s="758"/>
      <c r="D1441" s="766"/>
      <c r="E1441" s="759">
        <v>0</v>
      </c>
      <c r="F1441" s="761"/>
      <c r="G1441" s="762"/>
      <c r="H1441" s="758"/>
      <c r="I1441" s="766"/>
      <c r="J1441" s="759">
        <v>0</v>
      </c>
      <c r="K1441" s="761"/>
      <c r="L1441" s="765"/>
      <c r="M1441" s="758"/>
      <c r="N1441" s="766"/>
      <c r="O1441" s="759">
        <v>0</v>
      </c>
      <c r="P1441" s="761"/>
      <c r="Q1441" s="765"/>
      <c r="R1441" s="758"/>
      <c r="S1441" s="766"/>
      <c r="T1441" s="759">
        <v>0</v>
      </c>
      <c r="U1441" s="761"/>
      <c r="V1441" s="765"/>
      <c r="W1441" s="758"/>
      <c r="X1441" s="766"/>
      <c r="Y1441" s="759">
        <v>0</v>
      </c>
      <c r="Z1441" s="761"/>
      <c r="AA1441" s="763">
        <f t="shared" si="187"/>
        <v>0</v>
      </c>
      <c r="AB1441" s="764">
        <f t="shared" si="188"/>
        <v>0</v>
      </c>
      <c r="AC1441" s="762"/>
      <c r="AD1441" s="758"/>
      <c r="AE1441" s="758"/>
      <c r="AF1441" s="759"/>
      <c r="AG1441" s="763">
        <f t="shared" si="189"/>
        <v>0</v>
      </c>
      <c r="AH1441" s="762"/>
      <c r="AI1441" s="1295"/>
      <c r="AJ1441" s="811"/>
      <c r="AK1441" s="1301"/>
      <c r="AL1441" s="1301"/>
      <c r="AM1441" s="1301"/>
      <c r="AN1441" s="1301"/>
      <c r="AO1441" s="1301"/>
      <c r="AP1441" s="1301"/>
    </row>
    <row r="1442" spans="2:42">
      <c r="B1442" s="817" t="s">
        <v>355</v>
      </c>
      <c r="C1442" s="758"/>
      <c r="D1442" s="758"/>
      <c r="E1442" s="759">
        <v>0</v>
      </c>
      <c r="F1442" s="761"/>
      <c r="G1442" s="762"/>
      <c r="H1442" s="758"/>
      <c r="I1442" s="758"/>
      <c r="J1442" s="759">
        <v>0</v>
      </c>
      <c r="K1442" s="761"/>
      <c r="L1442" s="765"/>
      <c r="M1442" s="758"/>
      <c r="N1442" s="758"/>
      <c r="O1442" s="759">
        <v>0</v>
      </c>
      <c r="P1442" s="761"/>
      <c r="Q1442" s="765"/>
      <c r="R1442" s="758"/>
      <c r="S1442" s="758"/>
      <c r="T1442" s="759">
        <v>0</v>
      </c>
      <c r="U1442" s="761"/>
      <c r="V1442" s="765"/>
      <c r="W1442" s="758"/>
      <c r="X1442" s="758"/>
      <c r="Y1442" s="759">
        <v>0</v>
      </c>
      <c r="Z1442" s="761"/>
      <c r="AA1442" s="763">
        <f t="shared" si="187"/>
        <v>0</v>
      </c>
      <c r="AB1442" s="764">
        <f t="shared" si="188"/>
        <v>0</v>
      </c>
      <c r="AC1442" s="762"/>
      <c r="AD1442" s="758"/>
      <c r="AE1442" s="758"/>
      <c r="AF1442" s="759"/>
      <c r="AG1442" s="763">
        <f t="shared" si="189"/>
        <v>0</v>
      </c>
      <c r="AH1442" s="762"/>
      <c r="AI1442" s="1295"/>
      <c r="AJ1442" s="811"/>
      <c r="AK1442" s="1301"/>
      <c r="AL1442" s="1301"/>
      <c r="AM1442" s="1301"/>
      <c r="AN1442" s="1301"/>
      <c r="AO1442" s="1301"/>
      <c r="AP1442" s="1301"/>
    </row>
    <row r="1443" spans="2:42">
      <c r="B1443" s="817" t="s">
        <v>356</v>
      </c>
      <c r="C1443" s="818"/>
      <c r="D1443" s="818"/>
      <c r="E1443" s="759">
        <v>0</v>
      </c>
      <c r="F1443" s="761"/>
      <c r="G1443" s="765"/>
      <c r="H1443" s="766"/>
      <c r="I1443" s="766"/>
      <c r="J1443" s="759">
        <v>0</v>
      </c>
      <c r="K1443" s="761"/>
      <c r="L1443" s="765"/>
      <c r="M1443" s="766"/>
      <c r="N1443" s="766"/>
      <c r="O1443" s="759">
        <v>0</v>
      </c>
      <c r="P1443" s="761"/>
      <c r="Q1443" s="765"/>
      <c r="R1443" s="766"/>
      <c r="S1443" s="766"/>
      <c r="T1443" s="759">
        <v>0</v>
      </c>
      <c r="U1443" s="761"/>
      <c r="V1443" s="765"/>
      <c r="W1443" s="766"/>
      <c r="X1443" s="766"/>
      <c r="Y1443" s="759">
        <v>0</v>
      </c>
      <c r="Z1443" s="761"/>
      <c r="AA1443" s="763">
        <f t="shared" si="187"/>
        <v>0</v>
      </c>
      <c r="AB1443" s="764">
        <f t="shared" si="188"/>
        <v>0</v>
      </c>
      <c r="AC1443" s="762"/>
      <c r="AD1443" s="758"/>
      <c r="AE1443" s="758"/>
      <c r="AF1443" s="759"/>
      <c r="AG1443" s="763">
        <f t="shared" si="189"/>
        <v>0</v>
      </c>
      <c r="AH1443" s="762"/>
      <c r="AI1443" s="1295"/>
      <c r="AJ1443" s="811"/>
      <c r="AK1443" s="1301"/>
      <c r="AL1443" s="1301"/>
      <c r="AM1443" s="1301"/>
      <c r="AN1443" s="1301"/>
      <c r="AO1443" s="1301"/>
      <c r="AP1443" s="1301"/>
    </row>
    <row r="1444" spans="2:42">
      <c r="B1444" s="767" t="s">
        <v>61</v>
      </c>
      <c r="C1444" s="767"/>
      <c r="D1444" s="767"/>
      <c r="E1444" s="760">
        <f>SUM(E1423:E1443)</f>
        <v>0</v>
      </c>
      <c r="F1444" s="761"/>
      <c r="G1444" s="767"/>
      <c r="H1444" s="767"/>
      <c r="I1444" s="767"/>
      <c r="J1444" s="760">
        <f>SUM(J1423:J1443)</f>
        <v>8</v>
      </c>
      <c r="K1444" s="761"/>
      <c r="L1444" s="767"/>
      <c r="M1444" s="767"/>
      <c r="N1444" s="767"/>
      <c r="O1444" s="760">
        <f>SUM(O1423:O1443)</f>
        <v>8</v>
      </c>
      <c r="P1444" s="761"/>
      <c r="Q1444" s="767"/>
      <c r="R1444" s="767"/>
      <c r="S1444" s="767"/>
      <c r="T1444" s="760">
        <f>SUM(T1423:T1443)</f>
        <v>16</v>
      </c>
      <c r="U1444" s="761"/>
      <c r="V1444" s="767"/>
      <c r="W1444" s="767"/>
      <c r="X1444" s="767"/>
      <c r="Y1444" s="760">
        <f>SUM(Y1423:Y1443)</f>
        <v>0</v>
      </c>
      <c r="Z1444" s="761"/>
      <c r="AA1444" s="763">
        <f>SUM(AA1423:AA1443)</f>
        <v>32</v>
      </c>
      <c r="AB1444" s="763">
        <f>SUM(AB1423:AB1443)</f>
        <v>0</v>
      </c>
      <c r="AC1444" s="762"/>
      <c r="AD1444" s="767"/>
      <c r="AE1444" s="767"/>
      <c r="AF1444" s="763">
        <f>SUM(AF1423:AF1443)</f>
        <v>0</v>
      </c>
      <c r="AG1444" s="763">
        <f>SUM(AG1423:AG1443)</f>
        <v>0</v>
      </c>
      <c r="AH1444" s="762"/>
      <c r="AI1444" s="1295"/>
      <c r="AJ1444" s="811"/>
      <c r="AK1444" s="1301"/>
      <c r="AL1444" s="1301"/>
      <c r="AM1444" s="1301"/>
      <c r="AN1444" s="1301"/>
      <c r="AO1444" s="1301"/>
      <c r="AP1444" s="1301"/>
    </row>
    <row r="1445" spans="2:42">
      <c r="B1445" s="816" t="s">
        <v>1116</v>
      </c>
      <c r="C1445" s="758"/>
      <c r="D1445" s="758"/>
      <c r="E1445" s="759">
        <v>2</v>
      </c>
      <c r="F1445" s="761"/>
      <c r="G1445" s="762"/>
      <c r="H1445" s="758"/>
      <c r="I1445" s="758"/>
      <c r="J1445" s="759">
        <v>4</v>
      </c>
      <c r="K1445" s="761"/>
      <c r="L1445" s="762"/>
      <c r="M1445" s="758"/>
      <c r="N1445" s="758"/>
      <c r="O1445" s="759">
        <v>4</v>
      </c>
      <c r="P1445" s="761"/>
      <c r="Q1445" s="762"/>
      <c r="R1445" s="758"/>
      <c r="S1445" s="758"/>
      <c r="T1445" s="759">
        <v>4</v>
      </c>
      <c r="U1445" s="761"/>
      <c r="V1445" s="762"/>
      <c r="W1445" s="758"/>
      <c r="X1445" s="758"/>
      <c r="Y1445" s="759">
        <v>2</v>
      </c>
      <c r="Z1445" s="761"/>
      <c r="AA1445" s="763">
        <f>(E1445+J1445+O1445+T1445+Y1445)</f>
        <v>16</v>
      </c>
      <c r="AB1445" s="764">
        <f>Z1445+U1445+P1445+K1445+F1445</f>
        <v>0</v>
      </c>
      <c r="AC1445" s="762"/>
      <c r="AD1445" s="758"/>
      <c r="AE1445" s="758"/>
      <c r="AF1445" s="759"/>
      <c r="AG1445" s="763">
        <f>AF1445</f>
        <v>0</v>
      </c>
      <c r="AH1445" s="762"/>
      <c r="AI1445" s="1295"/>
      <c r="AJ1445" s="811"/>
      <c r="AK1445" s="1301"/>
      <c r="AL1445" s="1301"/>
      <c r="AM1445" s="1301"/>
      <c r="AN1445" s="1301"/>
      <c r="AO1445" s="1301"/>
      <c r="AP1445" s="1301"/>
    </row>
    <row r="1446" spans="2:42">
      <c r="B1446" s="816" t="s">
        <v>64</v>
      </c>
      <c r="C1446" s="758"/>
      <c r="D1446" s="758"/>
      <c r="E1446" s="759">
        <v>0</v>
      </c>
      <c r="F1446" s="759"/>
      <c r="G1446" s="819"/>
      <c r="H1446" s="758"/>
      <c r="I1446" s="758"/>
      <c r="J1446" s="759">
        <v>0</v>
      </c>
      <c r="K1446" s="759"/>
      <c r="L1446" s="765"/>
      <c r="M1446" s="758"/>
      <c r="N1446" s="758"/>
      <c r="O1446" s="759">
        <v>0</v>
      </c>
      <c r="P1446" s="759"/>
      <c r="Q1446" s="765"/>
      <c r="R1446" s="758"/>
      <c r="S1446" s="758"/>
      <c r="T1446" s="759">
        <v>0</v>
      </c>
      <c r="U1446" s="759"/>
      <c r="V1446" s="765"/>
      <c r="W1446" s="758"/>
      <c r="X1446" s="758"/>
      <c r="Y1446" s="759">
        <v>0</v>
      </c>
      <c r="Z1446" s="759"/>
      <c r="AA1446" s="763">
        <f>SUM(E1446+J1446+O1446+T1446+Y1446)</f>
        <v>0</v>
      </c>
      <c r="AB1446" s="768">
        <f>Z1446+U1446+P1446+K1446+F1446</f>
        <v>0</v>
      </c>
      <c r="AC1446" s="762"/>
      <c r="AD1446" s="758" t="s">
        <v>29</v>
      </c>
      <c r="AE1446" s="758" t="s">
        <v>29</v>
      </c>
      <c r="AF1446" s="759"/>
      <c r="AG1446" s="763">
        <f>AF1446</f>
        <v>0</v>
      </c>
      <c r="AH1446" s="762"/>
      <c r="AI1446" s="1295"/>
      <c r="AJ1446" s="811"/>
      <c r="AK1446" s="1301"/>
      <c r="AL1446" s="1301"/>
      <c r="AM1446" s="1301"/>
      <c r="AN1446" s="1301"/>
      <c r="AO1446" s="1301"/>
      <c r="AP1446" s="1301"/>
    </row>
    <row r="1447" spans="2:42">
      <c r="B1447" s="819" t="s">
        <v>66</v>
      </c>
      <c r="C1447" s="820"/>
      <c r="D1447" s="820"/>
      <c r="E1447" s="819"/>
      <c r="F1447" s="819"/>
      <c r="G1447" s="819"/>
      <c r="H1447" s="819"/>
      <c r="I1447" s="819"/>
      <c r="J1447" s="819"/>
      <c r="K1447" s="819"/>
      <c r="L1447" s="819"/>
      <c r="M1447" s="819"/>
      <c r="N1447" s="819"/>
      <c r="O1447" s="819"/>
      <c r="P1447" s="819"/>
      <c r="Q1447" s="819"/>
      <c r="R1447" s="819"/>
      <c r="S1447" s="819"/>
      <c r="T1447" s="819"/>
      <c r="U1447" s="819"/>
      <c r="V1447" s="819"/>
      <c r="W1447" s="819"/>
      <c r="X1447" s="819"/>
      <c r="Y1447" s="819"/>
      <c r="Z1447" s="819"/>
      <c r="AA1447" s="763">
        <f>SUM(AA1445:AA1446)</f>
        <v>16</v>
      </c>
      <c r="AB1447" s="763">
        <f>SUM(AB1446:AB1446)</f>
        <v>0</v>
      </c>
      <c r="AC1447" s="762"/>
      <c r="AD1447" s="811"/>
      <c r="AE1447" s="811"/>
      <c r="AF1447" s="811"/>
      <c r="AG1447" s="763">
        <f>SUM(AG1446:AG1446)</f>
        <v>0</v>
      </c>
      <c r="AH1447" s="762"/>
      <c r="AI1447" s="1295"/>
      <c r="AJ1447" s="811"/>
      <c r="AK1447" s="1304"/>
      <c r="AL1447" s="1301"/>
      <c r="AM1447" s="1301"/>
      <c r="AN1447" s="1301"/>
      <c r="AO1447" s="1301"/>
      <c r="AP1447" s="1301"/>
    </row>
    <row r="1448" spans="2:42">
      <c r="B1448" s="821" t="s">
        <v>67</v>
      </c>
      <c r="C1448" s="822">
        <f>C1449+C1450</f>
        <v>4</v>
      </c>
      <c r="D1448" s="822"/>
      <c r="E1448" s="823"/>
      <c r="F1448" s="823"/>
      <c r="G1448" s="822"/>
      <c r="H1448" s="823"/>
      <c r="I1448" s="823"/>
      <c r="J1448" s="823"/>
      <c r="K1448" s="823"/>
      <c r="L1448" s="822"/>
      <c r="M1448" s="822"/>
      <c r="N1448" s="822"/>
      <c r="O1448" s="822"/>
      <c r="P1448" s="823"/>
      <c r="Q1448" s="822"/>
      <c r="R1448" s="822"/>
      <c r="S1448" s="822"/>
      <c r="T1448" s="822"/>
      <c r="U1448" s="823"/>
      <c r="V1448" s="822"/>
      <c r="W1448" s="822"/>
      <c r="X1448" s="822"/>
      <c r="Y1448" s="824"/>
      <c r="Z1448" s="823"/>
      <c r="AA1448" s="825"/>
      <c r="AB1448" s="823"/>
      <c r="AC1448" s="825"/>
      <c r="AD1448" s="825"/>
      <c r="AE1448" s="825"/>
      <c r="AF1448" s="825"/>
      <c r="AG1448" s="825"/>
      <c r="AH1448" s="762"/>
      <c r="AI1448" s="1295"/>
      <c r="AJ1448" s="811"/>
      <c r="AK1448" s="1304"/>
      <c r="AL1448" s="1301"/>
      <c r="AM1448" s="1301"/>
      <c r="AN1448" s="1301"/>
      <c r="AO1448" s="1301"/>
      <c r="AP1448" s="1301"/>
    </row>
    <row r="1449" spans="2:42">
      <c r="B1449" s="826" t="s">
        <v>68</v>
      </c>
      <c r="C1449" s="822">
        <v>0</v>
      </c>
      <c r="D1449" s="822"/>
      <c r="E1449" s="823"/>
      <c r="F1449" s="823"/>
      <c r="G1449" s="822"/>
      <c r="H1449" s="823"/>
      <c r="I1449" s="823"/>
      <c r="J1449" s="823"/>
      <c r="K1449" s="823"/>
      <c r="L1449" s="822"/>
      <c r="M1449" s="822"/>
      <c r="N1449" s="822"/>
      <c r="O1449" s="822"/>
      <c r="P1449" s="823"/>
      <c r="Q1449" s="822"/>
      <c r="R1449" s="822"/>
      <c r="S1449" s="822"/>
      <c r="T1449" s="822"/>
      <c r="U1449" s="823"/>
      <c r="V1449" s="822"/>
      <c r="W1449" s="822"/>
      <c r="X1449" s="822"/>
      <c r="Y1449" s="824"/>
      <c r="Z1449" s="823"/>
      <c r="AA1449" s="825"/>
      <c r="AB1449" s="823"/>
      <c r="AC1449" s="825"/>
      <c r="AD1449" s="825"/>
      <c r="AE1449" s="825"/>
      <c r="AF1449" s="825"/>
      <c r="AG1449" s="825"/>
      <c r="AH1449" s="762"/>
      <c r="AI1449" s="1295"/>
      <c r="AJ1449" s="811"/>
      <c r="AK1449" s="1304"/>
      <c r="AL1449" s="1301"/>
      <c r="AM1449" s="1301"/>
      <c r="AN1449" s="1301"/>
      <c r="AO1449" s="1301"/>
      <c r="AP1449" s="1301"/>
    </row>
    <row r="1450" spans="2:42">
      <c r="B1450" s="826" t="s">
        <v>69</v>
      </c>
      <c r="C1450" s="822">
        <v>4</v>
      </c>
      <c r="D1450" s="822"/>
      <c r="E1450" s="823"/>
      <c r="F1450" s="823"/>
      <c r="G1450" s="822"/>
      <c r="H1450" s="823"/>
      <c r="I1450" s="823"/>
      <c r="J1450" s="823"/>
      <c r="K1450" s="823"/>
      <c r="L1450" s="822"/>
      <c r="M1450" s="822"/>
      <c r="N1450" s="822"/>
      <c r="O1450" s="822"/>
      <c r="P1450" s="823"/>
      <c r="Q1450" s="822"/>
      <c r="R1450" s="822"/>
      <c r="S1450" s="822"/>
      <c r="T1450" s="822"/>
      <c r="U1450" s="823"/>
      <c r="V1450" s="822"/>
      <c r="W1450" s="822"/>
      <c r="X1450" s="822"/>
      <c r="Y1450" s="824"/>
      <c r="Z1450" s="823"/>
      <c r="AA1450" s="825"/>
      <c r="AB1450" s="823"/>
      <c r="AC1450" s="825"/>
      <c r="AD1450" s="825"/>
      <c r="AE1450" s="825"/>
      <c r="AF1450" s="825"/>
      <c r="AG1450" s="825"/>
      <c r="AH1450" s="762"/>
      <c r="AI1450" s="1295"/>
      <c r="AJ1450" s="811"/>
      <c r="AK1450" s="1301"/>
      <c r="AL1450" s="1301"/>
      <c r="AM1450" s="1301"/>
      <c r="AN1450" s="1301"/>
      <c r="AO1450" s="1301"/>
      <c r="AP1450" s="1301"/>
    </row>
    <row r="1451" spans="2:42">
      <c r="B1451" s="827"/>
      <c r="C1451" s="811"/>
      <c r="D1451" s="811"/>
      <c r="E1451" s="813"/>
      <c r="F1451" s="813"/>
      <c r="G1451" s="813"/>
      <c r="H1451" s="811"/>
      <c r="I1451" s="811"/>
      <c r="J1451" s="813"/>
      <c r="K1451" s="813"/>
      <c r="L1451" s="813"/>
      <c r="M1451" s="811"/>
      <c r="N1451" s="811"/>
      <c r="O1451" s="813"/>
      <c r="P1451" s="813"/>
      <c r="Q1451" s="762"/>
      <c r="R1451" s="811"/>
      <c r="S1451" s="811"/>
      <c r="T1451" s="813"/>
      <c r="U1451" s="813"/>
      <c r="V1451" s="762"/>
      <c r="W1451" s="811"/>
      <c r="X1451" s="811"/>
      <c r="Y1451" s="813"/>
      <c r="Z1451" s="813"/>
      <c r="AA1451" s="813"/>
      <c r="AB1451" s="813"/>
      <c r="AC1451" s="813"/>
      <c r="AD1451" s="811"/>
      <c r="AE1451" s="811"/>
      <c r="AF1451" s="811"/>
      <c r="AG1451" s="811"/>
      <c r="AH1451" s="762"/>
      <c r="AI1451" s="1295"/>
      <c r="AJ1451" s="811"/>
      <c r="AK1451" s="1301"/>
      <c r="AL1451" s="1301"/>
      <c r="AM1451" s="1301"/>
      <c r="AN1451" s="1301"/>
      <c r="AO1451" s="1301"/>
      <c r="AP1451" s="1301"/>
    </row>
    <row r="1452" spans="2:42">
      <c r="B1452" s="827"/>
      <c r="C1452" s="811"/>
      <c r="D1452" s="811"/>
      <c r="E1452" s="813"/>
      <c r="F1452" s="813"/>
      <c r="G1452" s="813"/>
      <c r="H1452" s="811"/>
      <c r="I1452" s="811"/>
      <c r="J1452" s="813"/>
      <c r="K1452" s="813"/>
      <c r="L1452" s="813"/>
      <c r="M1452" s="811"/>
      <c r="N1452" s="811"/>
      <c r="O1452" s="813"/>
      <c r="P1452" s="813"/>
      <c r="Q1452" s="762"/>
      <c r="R1452" s="811"/>
      <c r="S1452" s="811"/>
      <c r="T1452" s="813"/>
      <c r="U1452" s="813"/>
      <c r="V1452" s="762"/>
      <c r="W1452" s="811"/>
      <c r="X1452" s="811"/>
      <c r="Y1452" s="813"/>
      <c r="Z1452" s="813"/>
      <c r="AA1452" s="813"/>
      <c r="AB1452" s="813"/>
      <c r="AC1452" s="813"/>
      <c r="AD1452" s="811"/>
      <c r="AE1452" s="811"/>
      <c r="AF1452" s="811"/>
      <c r="AG1452" s="811"/>
      <c r="AH1452" s="762"/>
      <c r="AI1452" s="1295"/>
      <c r="AJ1452" s="811"/>
      <c r="AK1452" s="1301"/>
      <c r="AL1452" s="1301"/>
      <c r="AM1452" s="1301"/>
      <c r="AN1452" s="1301"/>
      <c r="AO1452" s="1301"/>
      <c r="AP1452" s="1301"/>
    </row>
    <row r="1453" spans="2:42" ht="25.5">
      <c r="B1453" s="1576"/>
      <c r="C1453" s="1577">
        <v>46013</v>
      </c>
      <c r="D1453" s="1577"/>
      <c r="E1453" s="1577" t="s">
        <v>564</v>
      </c>
      <c r="F1453" s="1577"/>
      <c r="G1453" s="807"/>
      <c r="H1453" s="1577">
        <v>46014</v>
      </c>
      <c r="I1453" s="1577"/>
      <c r="J1453" s="1577" t="s">
        <v>565</v>
      </c>
      <c r="K1453" s="1577"/>
      <c r="L1453" s="807"/>
      <c r="M1453" s="1577">
        <v>46015</v>
      </c>
      <c r="N1453" s="1577"/>
      <c r="O1453" s="1577" t="s">
        <v>566</v>
      </c>
      <c r="P1453" s="1577"/>
      <c r="Q1453" s="807"/>
      <c r="R1453" s="1577">
        <v>46016</v>
      </c>
      <c r="S1453" s="1577"/>
      <c r="T1453" s="1577" t="s">
        <v>567</v>
      </c>
      <c r="U1453" s="1577"/>
      <c r="V1453" s="807"/>
      <c r="W1453" s="1577">
        <v>46017</v>
      </c>
      <c r="X1453" s="1577"/>
      <c r="Y1453" s="1577" t="s">
        <v>568</v>
      </c>
      <c r="Z1453" s="1577"/>
      <c r="AA1453" s="1578" t="s">
        <v>19</v>
      </c>
      <c r="AB1453" s="1578" t="s">
        <v>20</v>
      </c>
      <c r="AC1453" s="762"/>
      <c r="AD1453" s="1577"/>
      <c r="AE1453" s="1577"/>
      <c r="AF1453" s="808" t="s">
        <v>1111</v>
      </c>
      <c r="AG1453" s="1578" t="s">
        <v>21</v>
      </c>
      <c r="AH1453" s="762"/>
      <c r="AI1453" s="1295"/>
      <c r="AJ1453" s="811"/>
      <c r="AK1453" s="1296" t="s">
        <v>84</v>
      </c>
      <c r="AL1453" s="1297"/>
      <c r="AM1453" s="1297"/>
      <c r="AN1453" s="1297"/>
      <c r="AO1453" s="1297"/>
      <c r="AP1453" s="1297"/>
    </row>
    <row r="1454" spans="2:42">
      <c r="B1454" s="1576"/>
      <c r="C1454" s="809" t="s">
        <v>23</v>
      </c>
      <c r="D1454" s="809" t="s">
        <v>24</v>
      </c>
      <c r="E1454" s="768" t="s">
        <v>25</v>
      </c>
      <c r="F1454" s="810" t="s">
        <v>14</v>
      </c>
      <c r="G1454" s="762"/>
      <c r="H1454" s="809"/>
      <c r="I1454" s="809" t="s">
        <v>24</v>
      </c>
      <c r="J1454" s="810" t="s">
        <v>25</v>
      </c>
      <c r="K1454" s="810" t="s">
        <v>14</v>
      </c>
      <c r="L1454" s="762"/>
      <c r="M1454" s="809" t="s">
        <v>23</v>
      </c>
      <c r="N1454" s="809" t="s">
        <v>24</v>
      </c>
      <c r="O1454" s="810" t="s">
        <v>25</v>
      </c>
      <c r="P1454" s="810" t="s">
        <v>14</v>
      </c>
      <c r="Q1454" s="762"/>
      <c r="R1454" s="809" t="s">
        <v>23</v>
      </c>
      <c r="S1454" s="809" t="s">
        <v>24</v>
      </c>
      <c r="T1454" s="810" t="s">
        <v>25</v>
      </c>
      <c r="U1454" s="810" t="s">
        <v>14</v>
      </c>
      <c r="V1454" s="762"/>
      <c r="W1454" s="809" t="s">
        <v>23</v>
      </c>
      <c r="X1454" s="809" t="s">
        <v>24</v>
      </c>
      <c r="Y1454" s="810" t="s">
        <v>25</v>
      </c>
      <c r="Z1454" s="810" t="s">
        <v>14</v>
      </c>
      <c r="AA1454" s="1578"/>
      <c r="AB1454" s="1578"/>
      <c r="AC1454" s="762"/>
      <c r="AD1454" s="809" t="s">
        <v>23</v>
      </c>
      <c r="AE1454" s="809" t="s">
        <v>24</v>
      </c>
      <c r="AF1454" s="810" t="s">
        <v>25</v>
      </c>
      <c r="AG1454" s="1578"/>
      <c r="AH1454" s="762"/>
      <c r="AI1454" s="1295"/>
      <c r="AJ1454" s="811"/>
      <c r="AK1454" s="1298" t="s">
        <v>26</v>
      </c>
      <c r="AL1454" s="1299">
        <f>AA1476</f>
        <v>24</v>
      </c>
      <c r="AM1454" s="1300">
        <v>40.31</v>
      </c>
      <c r="AN1454" s="1300">
        <f t="shared" ref="AN1454:AN1459" si="190">AL1454*AM1454</f>
        <v>967.44</v>
      </c>
      <c r="AO1454" s="1301"/>
      <c r="AP1454" s="1301"/>
    </row>
    <row r="1455" spans="2:42">
      <c r="B1455" s="758" t="s">
        <v>515</v>
      </c>
      <c r="C1455" s="758"/>
      <c r="D1455" s="758"/>
      <c r="E1455" s="759">
        <v>0</v>
      </c>
      <c r="F1455" s="761"/>
      <c r="G1455" s="762"/>
      <c r="H1455" s="758"/>
      <c r="I1455" s="758"/>
      <c r="J1455" s="759">
        <v>0</v>
      </c>
      <c r="K1455" s="761"/>
      <c r="L1455" s="762"/>
      <c r="M1455" s="758"/>
      <c r="N1455" s="758"/>
      <c r="O1455" s="759">
        <v>0</v>
      </c>
      <c r="P1455" s="761"/>
      <c r="Q1455" s="762"/>
      <c r="R1455" s="758"/>
      <c r="S1455" s="758"/>
      <c r="T1455" s="759">
        <v>0</v>
      </c>
      <c r="U1455" s="761"/>
      <c r="V1455" s="762"/>
      <c r="W1455" s="758"/>
      <c r="X1455" s="758"/>
      <c r="Y1455" s="759">
        <v>0</v>
      </c>
      <c r="Z1455" s="761"/>
      <c r="AA1455" s="763">
        <f t="shared" ref="AA1455:AA1475" si="191">(E1455+J1455+O1455+T1455+Y1455)</f>
        <v>0</v>
      </c>
      <c r="AB1455" s="764">
        <f t="shared" ref="AB1455:AB1475" si="192">Z1455+U1455+P1455+K1455+F1455</f>
        <v>0</v>
      </c>
      <c r="AC1455" s="762"/>
      <c r="AD1455" s="811"/>
      <c r="AE1455" s="811"/>
      <c r="AF1455" s="759"/>
      <c r="AG1455" s="763">
        <f t="shared" ref="AG1455:AG1475" si="193">AF1455</f>
        <v>0</v>
      </c>
      <c r="AH1455" s="762"/>
      <c r="AI1455" s="1295"/>
      <c r="AJ1455" s="811"/>
      <c r="AK1455" s="1298" t="s">
        <v>30</v>
      </c>
      <c r="AL1455" s="1299">
        <f>AB1476</f>
        <v>0</v>
      </c>
      <c r="AM1455" s="1300">
        <v>60.465000000000003</v>
      </c>
      <c r="AN1455" s="1300">
        <f t="shared" si="190"/>
        <v>0</v>
      </c>
      <c r="AO1455" s="1301"/>
      <c r="AP1455" s="1301"/>
    </row>
    <row r="1456" spans="2:42">
      <c r="B1456" s="758" t="s">
        <v>1112</v>
      </c>
      <c r="C1456" s="758"/>
      <c r="D1456" s="758"/>
      <c r="E1456" s="759">
        <v>0</v>
      </c>
      <c r="F1456" s="761"/>
      <c r="G1456" s="762"/>
      <c r="H1456" s="758"/>
      <c r="I1456" s="758"/>
      <c r="J1456" s="759">
        <v>0</v>
      </c>
      <c r="K1456" s="761"/>
      <c r="L1456" s="762"/>
      <c r="M1456" s="758"/>
      <c r="N1456" s="758"/>
      <c r="O1456" s="759">
        <v>0</v>
      </c>
      <c r="P1456" s="761"/>
      <c r="Q1456" s="762"/>
      <c r="R1456" s="758"/>
      <c r="S1456" s="758"/>
      <c r="T1456" s="759">
        <v>0</v>
      </c>
      <c r="U1456" s="761"/>
      <c r="V1456" s="762"/>
      <c r="W1456" s="758"/>
      <c r="X1456" s="758"/>
      <c r="Y1456" s="759">
        <v>0</v>
      </c>
      <c r="Z1456" s="761"/>
      <c r="AA1456" s="763">
        <f t="shared" si="191"/>
        <v>0</v>
      </c>
      <c r="AB1456" s="764">
        <f t="shared" si="192"/>
        <v>0</v>
      </c>
      <c r="AC1456" s="762"/>
      <c r="AD1456" s="758"/>
      <c r="AE1456" s="758"/>
      <c r="AF1456" s="759"/>
      <c r="AG1456" s="763">
        <f t="shared" si="193"/>
        <v>0</v>
      </c>
      <c r="AH1456" s="762"/>
      <c r="AI1456" s="1295"/>
      <c r="AJ1456" s="811"/>
      <c r="AK1456" s="1298" t="s">
        <v>32</v>
      </c>
      <c r="AL1456" s="1299">
        <f>AG1476</f>
        <v>0</v>
      </c>
      <c r="AM1456" s="1300">
        <v>60.465000000000003</v>
      </c>
      <c r="AN1456" s="1300">
        <f t="shared" si="190"/>
        <v>0</v>
      </c>
      <c r="AO1456" s="1301"/>
      <c r="AP1456" s="1301"/>
    </row>
    <row r="1457" spans="2:42">
      <c r="B1457" s="758" t="s">
        <v>1141</v>
      </c>
      <c r="C1457" s="758"/>
      <c r="D1457" s="758"/>
      <c r="E1457" s="759">
        <v>0</v>
      </c>
      <c r="F1457" s="761"/>
      <c r="G1457" s="762"/>
      <c r="H1457" s="758"/>
      <c r="I1457" s="758"/>
      <c r="J1457" s="759">
        <v>0</v>
      </c>
      <c r="K1457" s="761"/>
      <c r="L1457" s="762"/>
      <c r="M1457" s="758"/>
      <c r="N1457" s="758"/>
      <c r="O1457" s="759">
        <v>0</v>
      </c>
      <c r="P1457" s="761"/>
      <c r="Q1457" s="762"/>
      <c r="R1457" s="758"/>
      <c r="S1457" s="758"/>
      <c r="T1457" s="759">
        <v>0</v>
      </c>
      <c r="U1457" s="761"/>
      <c r="V1457" s="762"/>
      <c r="W1457" s="758"/>
      <c r="X1457" s="758"/>
      <c r="Y1457" s="759">
        <v>0</v>
      </c>
      <c r="Z1457" s="761"/>
      <c r="AA1457" s="763">
        <f t="shared" si="191"/>
        <v>0</v>
      </c>
      <c r="AB1457" s="764">
        <f t="shared" si="192"/>
        <v>0</v>
      </c>
      <c r="AC1457" s="762"/>
      <c r="AD1457" s="758"/>
      <c r="AE1457" s="758"/>
      <c r="AF1457" s="759"/>
      <c r="AG1457" s="763">
        <f t="shared" si="193"/>
        <v>0</v>
      </c>
      <c r="AH1457" s="762"/>
      <c r="AI1457" s="1295"/>
      <c r="AJ1457" s="811"/>
      <c r="AK1457" s="1298" t="s">
        <v>213</v>
      </c>
      <c r="AL1457" s="1299">
        <f>AA1479</f>
        <v>12</v>
      </c>
      <c r="AM1457" s="1300">
        <v>53.05</v>
      </c>
      <c r="AN1457" s="1300">
        <f t="shared" si="190"/>
        <v>636.59999999999991</v>
      </c>
      <c r="AO1457" s="1301"/>
      <c r="AP1457" s="1301"/>
    </row>
    <row r="1458" spans="2:42">
      <c r="B1458" s="758" t="s">
        <v>72</v>
      </c>
      <c r="C1458" s="758"/>
      <c r="D1458" s="758"/>
      <c r="E1458" s="759">
        <v>0</v>
      </c>
      <c r="F1458" s="761"/>
      <c r="G1458" s="762"/>
      <c r="H1458" s="758"/>
      <c r="I1458" s="758"/>
      <c r="J1458" s="759">
        <v>0</v>
      </c>
      <c r="K1458" s="761"/>
      <c r="L1458" s="762"/>
      <c r="M1458" s="758"/>
      <c r="N1458" s="758"/>
      <c r="O1458" s="759">
        <v>0</v>
      </c>
      <c r="P1458" s="761"/>
      <c r="Q1458" s="762"/>
      <c r="R1458" s="758"/>
      <c r="S1458" s="758"/>
      <c r="T1458" s="759">
        <v>0</v>
      </c>
      <c r="U1458" s="761"/>
      <c r="V1458" s="762"/>
      <c r="W1458" s="758"/>
      <c r="X1458" s="758"/>
      <c r="Y1458" s="759">
        <v>0</v>
      </c>
      <c r="Z1458" s="761"/>
      <c r="AA1458" s="763">
        <f t="shared" si="191"/>
        <v>0</v>
      </c>
      <c r="AB1458" s="764">
        <f t="shared" si="192"/>
        <v>0</v>
      </c>
      <c r="AC1458" s="762"/>
      <c r="AD1458" s="758"/>
      <c r="AE1458" s="758"/>
      <c r="AF1458" s="759"/>
      <c r="AG1458" s="763">
        <f t="shared" si="193"/>
        <v>0</v>
      </c>
      <c r="AH1458" s="762"/>
      <c r="AI1458" s="1295"/>
      <c r="AJ1458" s="811"/>
      <c r="AK1458" s="1298" t="s">
        <v>36</v>
      </c>
      <c r="AL1458" s="1299">
        <f>AB1479</f>
        <v>0</v>
      </c>
      <c r="AM1458" s="1300">
        <v>79.574999999999989</v>
      </c>
      <c r="AN1458" s="1300">
        <f t="shared" si="190"/>
        <v>0</v>
      </c>
      <c r="AO1458" s="1301"/>
      <c r="AP1458" s="1301"/>
    </row>
    <row r="1459" spans="2:42">
      <c r="B1459" s="813" t="s">
        <v>998</v>
      </c>
      <c r="C1459" s="758">
        <v>0.375</v>
      </c>
      <c r="D1459" s="758">
        <v>0.25</v>
      </c>
      <c r="E1459" s="759">
        <v>8</v>
      </c>
      <c r="F1459" s="761"/>
      <c r="G1459" s="762"/>
      <c r="H1459" s="758">
        <v>0.375</v>
      </c>
      <c r="I1459" s="758">
        <v>0.25</v>
      </c>
      <c r="J1459" s="759">
        <v>8</v>
      </c>
      <c r="K1459" s="761"/>
      <c r="L1459" s="762"/>
      <c r="M1459" s="758">
        <v>0.375</v>
      </c>
      <c r="N1459" s="758">
        <v>0.25</v>
      </c>
      <c r="O1459" s="759">
        <v>8</v>
      </c>
      <c r="P1459" s="761"/>
      <c r="Q1459" s="762"/>
      <c r="R1459" s="758"/>
      <c r="S1459" s="758"/>
      <c r="T1459" s="759">
        <v>0</v>
      </c>
      <c r="U1459" s="761"/>
      <c r="V1459" s="762"/>
      <c r="W1459" s="758"/>
      <c r="X1459" s="758"/>
      <c r="Y1459" s="759">
        <v>0</v>
      </c>
      <c r="Z1459" s="761"/>
      <c r="AA1459" s="763">
        <f t="shared" si="191"/>
        <v>24</v>
      </c>
      <c r="AB1459" s="764">
        <f t="shared" si="192"/>
        <v>0</v>
      </c>
      <c r="AC1459" s="762"/>
      <c r="AD1459" s="758"/>
      <c r="AE1459" s="758"/>
      <c r="AF1459" s="759"/>
      <c r="AG1459" s="763">
        <f t="shared" si="193"/>
        <v>0</v>
      </c>
      <c r="AH1459" s="762"/>
      <c r="AI1459" s="1295"/>
      <c r="AJ1459" s="811"/>
      <c r="AK1459" s="1298" t="s">
        <v>38</v>
      </c>
      <c r="AL1459" s="1299">
        <f>AG1479</f>
        <v>0</v>
      </c>
      <c r="AM1459" s="1300">
        <v>79.574999999999989</v>
      </c>
      <c r="AN1459" s="1300">
        <f t="shared" si="190"/>
        <v>0</v>
      </c>
      <c r="AO1459" s="1301"/>
      <c r="AP1459" s="1301"/>
    </row>
    <row r="1460" spans="2:42">
      <c r="B1460" s="758" t="s">
        <v>53</v>
      </c>
      <c r="C1460" s="758"/>
      <c r="D1460" s="758"/>
      <c r="E1460" s="759">
        <v>0</v>
      </c>
      <c r="F1460" s="761"/>
      <c r="G1460" s="762"/>
      <c r="H1460" s="758"/>
      <c r="I1460" s="758"/>
      <c r="J1460" s="759">
        <v>0</v>
      </c>
      <c r="K1460" s="761"/>
      <c r="L1460" s="762"/>
      <c r="M1460" s="758"/>
      <c r="N1460" s="758"/>
      <c r="O1460" s="759">
        <v>0</v>
      </c>
      <c r="P1460" s="761"/>
      <c r="Q1460" s="762"/>
      <c r="R1460" s="758"/>
      <c r="S1460" s="758"/>
      <c r="T1460" s="759">
        <v>0</v>
      </c>
      <c r="U1460" s="761"/>
      <c r="V1460" s="762"/>
      <c r="W1460" s="758"/>
      <c r="X1460" s="758"/>
      <c r="Y1460" s="759">
        <v>0</v>
      </c>
      <c r="Z1460" s="761"/>
      <c r="AA1460" s="763">
        <f t="shared" si="191"/>
        <v>0</v>
      </c>
      <c r="AB1460" s="764">
        <f t="shared" si="192"/>
        <v>0</v>
      </c>
      <c r="AC1460" s="762"/>
      <c r="AD1460" s="758"/>
      <c r="AE1460" s="758"/>
      <c r="AF1460" s="759"/>
      <c r="AG1460" s="763">
        <f t="shared" si="193"/>
        <v>0</v>
      </c>
      <c r="AH1460" s="762"/>
      <c r="AI1460" s="1295"/>
      <c r="AJ1460" s="811"/>
      <c r="AK1460" s="1301"/>
      <c r="AL1460" s="1301"/>
      <c r="AM1460" s="1301"/>
      <c r="AN1460" s="1300">
        <f>SUM(AN1454:AN1459)</f>
        <v>1604.04</v>
      </c>
      <c r="AO1460" s="1301"/>
      <c r="AP1460" s="1301"/>
    </row>
    <row r="1461" spans="2:42">
      <c r="B1461" s="758" t="s">
        <v>241</v>
      </c>
      <c r="C1461" s="758"/>
      <c r="D1461" s="758"/>
      <c r="E1461" s="759">
        <v>0</v>
      </c>
      <c r="F1461" s="761"/>
      <c r="G1461" s="762"/>
      <c r="H1461" s="758"/>
      <c r="I1461" s="758"/>
      <c r="J1461" s="759">
        <v>0</v>
      </c>
      <c r="K1461" s="761"/>
      <c r="L1461" s="762"/>
      <c r="M1461" s="758"/>
      <c r="N1461" s="758"/>
      <c r="O1461" s="759">
        <v>0</v>
      </c>
      <c r="P1461" s="761"/>
      <c r="Q1461" s="762"/>
      <c r="R1461" s="758"/>
      <c r="S1461" s="758"/>
      <c r="T1461" s="759">
        <v>0</v>
      </c>
      <c r="U1461" s="761"/>
      <c r="V1461" s="762"/>
      <c r="W1461" s="758"/>
      <c r="X1461" s="758"/>
      <c r="Y1461" s="759">
        <v>0</v>
      </c>
      <c r="Z1461" s="761"/>
      <c r="AA1461" s="763">
        <f t="shared" si="191"/>
        <v>0</v>
      </c>
      <c r="AB1461" s="764">
        <f t="shared" si="192"/>
        <v>0</v>
      </c>
      <c r="AC1461" s="762"/>
      <c r="AD1461" s="758"/>
      <c r="AE1461" s="758"/>
      <c r="AF1461" s="759"/>
      <c r="AG1461" s="763">
        <f t="shared" si="193"/>
        <v>0</v>
      </c>
      <c r="AH1461" s="762"/>
      <c r="AI1461" s="1295"/>
      <c r="AJ1461" s="811"/>
      <c r="AK1461" s="1301"/>
      <c r="AL1461" s="1301"/>
      <c r="AM1461" s="1301"/>
      <c r="AN1461" s="1301"/>
      <c r="AO1461" s="1301"/>
      <c r="AP1461" s="1301"/>
    </row>
    <row r="1462" spans="2:42">
      <c r="B1462" s="758" t="s">
        <v>1141</v>
      </c>
      <c r="C1462" s="758"/>
      <c r="D1462" s="814"/>
      <c r="E1462" s="759">
        <v>0</v>
      </c>
      <c r="F1462" s="761"/>
      <c r="G1462" s="762"/>
      <c r="H1462" s="758"/>
      <c r="I1462" s="758"/>
      <c r="J1462" s="759">
        <v>0</v>
      </c>
      <c r="K1462" s="761"/>
      <c r="L1462" s="762"/>
      <c r="M1462" s="758"/>
      <c r="N1462" s="758"/>
      <c r="O1462" s="759">
        <v>0</v>
      </c>
      <c r="P1462" s="761"/>
      <c r="Q1462" s="762"/>
      <c r="R1462" s="758"/>
      <c r="S1462" s="758"/>
      <c r="T1462" s="759">
        <v>0</v>
      </c>
      <c r="U1462" s="761"/>
      <c r="V1462" s="762"/>
      <c r="W1462" s="758"/>
      <c r="X1462" s="758"/>
      <c r="Y1462" s="759">
        <v>0</v>
      </c>
      <c r="Z1462" s="761"/>
      <c r="AA1462" s="763">
        <f t="shared" si="191"/>
        <v>0</v>
      </c>
      <c r="AB1462" s="764">
        <f t="shared" si="192"/>
        <v>0</v>
      </c>
      <c r="AC1462" s="762"/>
      <c r="AD1462" s="758"/>
      <c r="AE1462" s="758"/>
      <c r="AF1462" s="759"/>
      <c r="AG1462" s="763">
        <f t="shared" si="193"/>
        <v>0</v>
      </c>
      <c r="AH1462" s="762"/>
      <c r="AI1462" s="1295"/>
      <c r="AJ1462" s="811"/>
      <c r="AK1462" s="1302" t="s">
        <v>1115</v>
      </c>
      <c r="AL1462" s="1303">
        <f>C1480</f>
        <v>3</v>
      </c>
      <c r="AM1462" s="1300">
        <v>45</v>
      </c>
      <c r="AN1462" s="1300">
        <f>AM1462*AL1462</f>
        <v>135</v>
      </c>
      <c r="AO1462" s="1301"/>
      <c r="AP1462" s="1301"/>
    </row>
    <row r="1463" spans="2:42">
      <c r="B1463" s="758" t="s">
        <v>1113</v>
      </c>
      <c r="C1463" s="758"/>
      <c r="D1463" s="758"/>
      <c r="E1463" s="759">
        <v>0</v>
      </c>
      <c r="F1463" s="761"/>
      <c r="G1463" s="762"/>
      <c r="H1463" s="758"/>
      <c r="I1463" s="758"/>
      <c r="J1463" s="759">
        <v>0</v>
      </c>
      <c r="K1463" s="761"/>
      <c r="L1463" s="762"/>
      <c r="M1463" s="758"/>
      <c r="N1463" s="758"/>
      <c r="O1463" s="759">
        <v>0</v>
      </c>
      <c r="P1463" s="761"/>
      <c r="Q1463" s="762"/>
      <c r="R1463" s="758"/>
      <c r="S1463" s="758"/>
      <c r="T1463" s="759">
        <v>0</v>
      </c>
      <c r="U1463" s="761"/>
      <c r="V1463" s="762"/>
      <c r="W1463" s="758"/>
      <c r="X1463" s="758"/>
      <c r="Y1463" s="759">
        <v>0</v>
      </c>
      <c r="Z1463" s="761"/>
      <c r="AA1463" s="763">
        <f t="shared" si="191"/>
        <v>0</v>
      </c>
      <c r="AB1463" s="764">
        <f t="shared" si="192"/>
        <v>0</v>
      </c>
      <c r="AC1463" s="762"/>
      <c r="AD1463" s="758"/>
      <c r="AE1463" s="758"/>
      <c r="AF1463" s="759"/>
      <c r="AG1463" s="763">
        <f t="shared" si="193"/>
        <v>0</v>
      </c>
      <c r="AH1463" s="762"/>
      <c r="AI1463" s="1295"/>
      <c r="AJ1463" s="811"/>
      <c r="AK1463" s="1301"/>
      <c r="AL1463" s="1301"/>
      <c r="AM1463" s="1301"/>
      <c r="AN1463" s="1301"/>
      <c r="AO1463" s="1301"/>
      <c r="AP1463" s="1301"/>
    </row>
    <row r="1464" spans="2:42">
      <c r="B1464" s="815" t="s">
        <v>483</v>
      </c>
      <c r="C1464" s="758"/>
      <c r="D1464" s="758"/>
      <c r="E1464" s="759">
        <v>0</v>
      </c>
      <c r="F1464" s="761"/>
      <c r="G1464" s="762"/>
      <c r="H1464" s="758"/>
      <c r="I1464" s="758"/>
      <c r="J1464" s="759">
        <v>0</v>
      </c>
      <c r="K1464" s="761"/>
      <c r="L1464" s="762"/>
      <c r="M1464" s="758"/>
      <c r="N1464" s="758"/>
      <c r="O1464" s="759">
        <v>0</v>
      </c>
      <c r="P1464" s="761"/>
      <c r="Q1464" s="762"/>
      <c r="R1464" s="758"/>
      <c r="S1464" s="758"/>
      <c r="T1464" s="759">
        <v>0</v>
      </c>
      <c r="U1464" s="761"/>
      <c r="V1464" s="762"/>
      <c r="W1464" s="758"/>
      <c r="X1464" s="758"/>
      <c r="Y1464" s="759">
        <v>0</v>
      </c>
      <c r="Z1464" s="761"/>
      <c r="AA1464" s="763">
        <f t="shared" si="191"/>
        <v>0</v>
      </c>
      <c r="AB1464" s="764">
        <f t="shared" si="192"/>
        <v>0</v>
      </c>
      <c r="AC1464" s="762"/>
      <c r="AD1464" s="758"/>
      <c r="AE1464" s="758"/>
      <c r="AF1464" s="759"/>
      <c r="AG1464" s="763">
        <f t="shared" si="193"/>
        <v>0</v>
      </c>
      <c r="AH1464" s="762"/>
      <c r="AI1464" s="1295"/>
      <c r="AJ1464" s="811"/>
      <c r="AK1464" s="1301"/>
      <c r="AL1464" s="1301"/>
      <c r="AM1464" s="1301"/>
      <c r="AN1464" s="1301"/>
      <c r="AO1464" s="1301"/>
      <c r="AP1464" s="1301"/>
    </row>
    <row r="1465" spans="2:42">
      <c r="B1465" s="815" t="s">
        <v>483</v>
      </c>
      <c r="C1465" s="758"/>
      <c r="D1465" s="758"/>
      <c r="E1465" s="759">
        <v>0</v>
      </c>
      <c r="F1465" s="761"/>
      <c r="G1465" s="762"/>
      <c r="H1465" s="758"/>
      <c r="I1465" s="758"/>
      <c r="J1465" s="759">
        <v>0</v>
      </c>
      <c r="K1465" s="761"/>
      <c r="L1465" s="762"/>
      <c r="M1465" s="758"/>
      <c r="N1465" s="758"/>
      <c r="O1465" s="759">
        <v>0</v>
      </c>
      <c r="P1465" s="761"/>
      <c r="Q1465" s="762"/>
      <c r="R1465" s="758"/>
      <c r="S1465" s="758"/>
      <c r="T1465" s="759">
        <v>0</v>
      </c>
      <c r="U1465" s="761"/>
      <c r="V1465" s="762"/>
      <c r="W1465" s="758"/>
      <c r="X1465" s="758"/>
      <c r="Y1465" s="759">
        <v>0</v>
      </c>
      <c r="Z1465" s="761"/>
      <c r="AA1465" s="763">
        <f t="shared" si="191"/>
        <v>0</v>
      </c>
      <c r="AB1465" s="764">
        <f t="shared" si="192"/>
        <v>0</v>
      </c>
      <c r="AC1465" s="762"/>
      <c r="AD1465" s="758"/>
      <c r="AE1465" s="758"/>
      <c r="AF1465" s="759"/>
      <c r="AG1465" s="763">
        <f t="shared" si="193"/>
        <v>0</v>
      </c>
      <c r="AH1465" s="762"/>
      <c r="AI1465" s="1295"/>
      <c r="AJ1465" s="811"/>
      <c r="AK1465" s="1301"/>
      <c r="AL1465" s="1301"/>
      <c r="AM1465" s="1301"/>
      <c r="AN1465" s="1301"/>
      <c r="AO1465" s="1301"/>
      <c r="AP1465" s="1301"/>
    </row>
    <row r="1466" spans="2:42">
      <c r="B1466" s="815" t="s">
        <v>484</v>
      </c>
      <c r="C1466" s="758"/>
      <c r="D1466" s="758"/>
      <c r="E1466" s="759">
        <v>0</v>
      </c>
      <c r="F1466" s="761"/>
      <c r="G1466" s="762"/>
      <c r="H1466" s="758"/>
      <c r="I1466" s="758"/>
      <c r="J1466" s="759">
        <v>0</v>
      </c>
      <c r="K1466" s="761"/>
      <c r="L1466" s="762"/>
      <c r="M1466" s="758"/>
      <c r="N1466" s="758"/>
      <c r="O1466" s="759">
        <v>0</v>
      </c>
      <c r="P1466" s="761"/>
      <c r="Q1466" s="762"/>
      <c r="R1466" s="758"/>
      <c r="S1466" s="758"/>
      <c r="T1466" s="759">
        <v>0</v>
      </c>
      <c r="U1466" s="761"/>
      <c r="V1466" s="762"/>
      <c r="W1466" s="758"/>
      <c r="X1466" s="758"/>
      <c r="Y1466" s="759">
        <v>0</v>
      </c>
      <c r="Z1466" s="761"/>
      <c r="AA1466" s="763">
        <f t="shared" si="191"/>
        <v>0</v>
      </c>
      <c r="AB1466" s="764">
        <f t="shared" si="192"/>
        <v>0</v>
      </c>
      <c r="AC1466" s="762"/>
      <c r="AD1466" s="758"/>
      <c r="AE1466" s="758"/>
      <c r="AF1466" s="759"/>
      <c r="AG1466" s="763">
        <f t="shared" si="193"/>
        <v>0</v>
      </c>
      <c r="AH1466" s="762"/>
      <c r="AI1466" s="1295"/>
      <c r="AJ1466" s="811"/>
      <c r="AK1466" s="1301"/>
      <c r="AL1466" s="1301"/>
      <c r="AM1466" s="1301"/>
      <c r="AN1466" s="1301"/>
      <c r="AO1466" s="1301"/>
      <c r="AP1466" s="1301"/>
    </row>
    <row r="1467" spans="2:42">
      <c r="B1467" s="815" t="s">
        <v>485</v>
      </c>
      <c r="C1467" s="758"/>
      <c r="D1467" s="758"/>
      <c r="E1467" s="759">
        <v>0</v>
      </c>
      <c r="F1467" s="761"/>
      <c r="G1467" s="762"/>
      <c r="H1467" s="758"/>
      <c r="I1467" s="758"/>
      <c r="J1467" s="759">
        <v>0</v>
      </c>
      <c r="K1467" s="761"/>
      <c r="L1467" s="762"/>
      <c r="M1467" s="758"/>
      <c r="N1467" s="758"/>
      <c r="O1467" s="759">
        <v>0</v>
      </c>
      <c r="P1467" s="761"/>
      <c r="Q1467" s="762"/>
      <c r="R1467" s="758"/>
      <c r="S1467" s="758"/>
      <c r="T1467" s="759">
        <v>0</v>
      </c>
      <c r="U1467" s="761"/>
      <c r="V1467" s="762"/>
      <c r="W1467" s="758"/>
      <c r="X1467" s="758"/>
      <c r="Y1467" s="759">
        <v>0</v>
      </c>
      <c r="Z1467" s="761"/>
      <c r="AA1467" s="763">
        <f t="shared" si="191"/>
        <v>0</v>
      </c>
      <c r="AB1467" s="764">
        <f t="shared" si="192"/>
        <v>0</v>
      </c>
      <c r="AC1467" s="762"/>
      <c r="AD1467" s="758"/>
      <c r="AE1467" s="758"/>
      <c r="AF1467" s="759"/>
      <c r="AG1467" s="763">
        <f t="shared" si="193"/>
        <v>0</v>
      </c>
      <c r="AH1467" s="762"/>
      <c r="AI1467" s="1295"/>
      <c r="AJ1467" s="811"/>
      <c r="AK1467" s="1301"/>
      <c r="AL1467" s="1301"/>
      <c r="AM1467" s="1301"/>
      <c r="AN1467" s="1301"/>
      <c r="AO1467" s="1301"/>
      <c r="AP1467" s="1301"/>
    </row>
    <row r="1468" spans="2:42">
      <c r="B1468" s="815" t="s">
        <v>1129</v>
      </c>
      <c r="C1468" s="758"/>
      <c r="D1468" s="758"/>
      <c r="E1468" s="759">
        <v>0</v>
      </c>
      <c r="F1468" s="761"/>
      <c r="G1468" s="762"/>
      <c r="H1468" s="758"/>
      <c r="I1468" s="758"/>
      <c r="J1468" s="759">
        <v>0</v>
      </c>
      <c r="K1468" s="761"/>
      <c r="L1468" s="762"/>
      <c r="M1468" s="758"/>
      <c r="N1468" s="758"/>
      <c r="O1468" s="759">
        <v>0</v>
      </c>
      <c r="P1468" s="761"/>
      <c r="Q1468" s="762"/>
      <c r="R1468" s="758"/>
      <c r="S1468" s="758"/>
      <c r="T1468" s="759">
        <v>0</v>
      </c>
      <c r="U1468" s="761"/>
      <c r="V1468" s="762"/>
      <c r="W1468" s="758"/>
      <c r="X1468" s="758"/>
      <c r="Y1468" s="759">
        <v>0</v>
      </c>
      <c r="Z1468" s="761"/>
      <c r="AA1468" s="763">
        <f t="shared" si="191"/>
        <v>0</v>
      </c>
      <c r="AB1468" s="764">
        <f t="shared" si="192"/>
        <v>0</v>
      </c>
      <c r="AC1468" s="762"/>
      <c r="AD1468" s="758"/>
      <c r="AE1468" s="758"/>
      <c r="AF1468" s="759"/>
      <c r="AG1468" s="763">
        <f t="shared" si="193"/>
        <v>0</v>
      </c>
      <c r="AH1468" s="762"/>
      <c r="AI1468" s="1295"/>
      <c r="AJ1468" s="811"/>
      <c r="AK1468" s="1301"/>
      <c r="AL1468" s="1301"/>
      <c r="AM1468" s="1301"/>
      <c r="AN1468" s="1301"/>
      <c r="AO1468" s="1301"/>
      <c r="AP1468" s="1301"/>
    </row>
    <row r="1469" spans="2:42">
      <c r="B1469" s="816" t="s">
        <v>358</v>
      </c>
      <c r="C1469" s="758"/>
      <c r="D1469" s="758"/>
      <c r="E1469" s="759">
        <v>0</v>
      </c>
      <c r="F1469" s="761"/>
      <c r="G1469" s="762"/>
      <c r="H1469" s="758"/>
      <c r="I1469" s="758"/>
      <c r="J1469" s="759">
        <v>0</v>
      </c>
      <c r="K1469" s="761"/>
      <c r="L1469" s="765"/>
      <c r="M1469" s="758"/>
      <c r="N1469" s="758"/>
      <c r="O1469" s="759">
        <v>0</v>
      </c>
      <c r="P1469" s="761"/>
      <c r="Q1469" s="765"/>
      <c r="R1469" s="758"/>
      <c r="S1469" s="758"/>
      <c r="T1469" s="759">
        <v>0</v>
      </c>
      <c r="U1469" s="761"/>
      <c r="V1469" s="765"/>
      <c r="W1469" s="758"/>
      <c r="X1469" s="758"/>
      <c r="Y1469" s="759">
        <v>0</v>
      </c>
      <c r="Z1469" s="761"/>
      <c r="AA1469" s="763">
        <f t="shared" si="191"/>
        <v>0</v>
      </c>
      <c r="AB1469" s="764">
        <f t="shared" si="192"/>
        <v>0</v>
      </c>
      <c r="AC1469" s="762"/>
      <c r="AD1469" s="758"/>
      <c r="AE1469" s="758"/>
      <c r="AF1469" s="759"/>
      <c r="AG1469" s="763">
        <f t="shared" si="193"/>
        <v>0</v>
      </c>
      <c r="AH1469" s="762"/>
      <c r="AI1469" s="1295"/>
      <c r="AJ1469" s="811"/>
      <c r="AK1469" s="1301"/>
      <c r="AL1469" s="1301"/>
      <c r="AM1469" s="1301"/>
      <c r="AN1469" s="1301"/>
      <c r="AO1469" s="1301"/>
      <c r="AP1469" s="1301"/>
    </row>
    <row r="1470" spans="2:42">
      <c r="B1470" s="816" t="s">
        <v>1135</v>
      </c>
      <c r="C1470" s="758"/>
      <c r="D1470" s="758"/>
      <c r="E1470" s="759">
        <v>0</v>
      </c>
      <c r="F1470" s="761"/>
      <c r="G1470" s="762"/>
      <c r="H1470" s="758"/>
      <c r="I1470" s="758"/>
      <c r="J1470" s="759">
        <v>0</v>
      </c>
      <c r="K1470" s="761"/>
      <c r="L1470" s="765"/>
      <c r="M1470" s="758"/>
      <c r="N1470" s="758"/>
      <c r="O1470" s="759">
        <v>0</v>
      </c>
      <c r="P1470" s="761"/>
      <c r="Q1470" s="765"/>
      <c r="R1470" s="758"/>
      <c r="S1470" s="758"/>
      <c r="T1470" s="759">
        <v>0</v>
      </c>
      <c r="U1470" s="761"/>
      <c r="V1470" s="765"/>
      <c r="W1470" s="758"/>
      <c r="X1470" s="758"/>
      <c r="Y1470" s="759">
        <v>0</v>
      </c>
      <c r="Z1470" s="761"/>
      <c r="AA1470" s="763">
        <f t="shared" si="191"/>
        <v>0</v>
      </c>
      <c r="AB1470" s="764">
        <f t="shared" si="192"/>
        <v>0</v>
      </c>
      <c r="AC1470" s="762"/>
      <c r="AD1470" s="758"/>
      <c r="AE1470" s="758"/>
      <c r="AF1470" s="759"/>
      <c r="AG1470" s="763">
        <f t="shared" si="193"/>
        <v>0</v>
      </c>
      <c r="AH1470" s="762"/>
      <c r="AI1470" s="1295"/>
      <c r="AJ1470" s="811"/>
      <c r="AK1470" s="1301"/>
      <c r="AL1470" s="1301"/>
      <c r="AM1470" s="1301"/>
      <c r="AN1470" s="1301"/>
      <c r="AO1470" s="1301"/>
      <c r="AP1470" s="1301"/>
    </row>
    <row r="1471" spans="2:42">
      <c r="B1471" s="816" t="s">
        <v>411</v>
      </c>
      <c r="C1471" s="758"/>
      <c r="D1471" s="758"/>
      <c r="E1471" s="759">
        <v>0</v>
      </c>
      <c r="F1471" s="761"/>
      <c r="G1471" s="762"/>
      <c r="H1471" s="758"/>
      <c r="I1471" s="758"/>
      <c r="J1471" s="759">
        <v>0</v>
      </c>
      <c r="K1471" s="761"/>
      <c r="L1471" s="765"/>
      <c r="M1471" s="758"/>
      <c r="N1471" s="758"/>
      <c r="O1471" s="759">
        <v>0</v>
      </c>
      <c r="P1471" s="761"/>
      <c r="Q1471" s="765"/>
      <c r="R1471" s="758"/>
      <c r="S1471" s="758"/>
      <c r="T1471" s="759">
        <v>0</v>
      </c>
      <c r="U1471" s="761"/>
      <c r="V1471" s="765"/>
      <c r="W1471" s="758"/>
      <c r="X1471" s="758"/>
      <c r="Y1471" s="759">
        <v>0</v>
      </c>
      <c r="Z1471" s="761"/>
      <c r="AA1471" s="763">
        <f t="shared" si="191"/>
        <v>0</v>
      </c>
      <c r="AB1471" s="764">
        <f t="shared" si="192"/>
        <v>0</v>
      </c>
      <c r="AC1471" s="762"/>
      <c r="AD1471" s="758"/>
      <c r="AE1471" s="758"/>
      <c r="AF1471" s="759"/>
      <c r="AG1471" s="763">
        <f t="shared" si="193"/>
        <v>0</v>
      </c>
      <c r="AH1471" s="762"/>
      <c r="AI1471" s="1295"/>
      <c r="AJ1471" s="811"/>
      <c r="AK1471" s="1301"/>
      <c r="AL1471" s="1301"/>
      <c r="AM1471" s="1301"/>
      <c r="AN1471" s="1301"/>
      <c r="AO1471" s="1301"/>
      <c r="AP1471" s="1301"/>
    </row>
    <row r="1472" spans="2:42">
      <c r="B1472" s="816" t="s">
        <v>361</v>
      </c>
      <c r="C1472" s="758"/>
      <c r="D1472" s="758"/>
      <c r="E1472" s="759">
        <v>0</v>
      </c>
      <c r="F1472" s="761"/>
      <c r="G1472" s="762"/>
      <c r="H1472" s="758"/>
      <c r="I1472" s="758"/>
      <c r="J1472" s="759">
        <v>0</v>
      </c>
      <c r="K1472" s="761"/>
      <c r="L1472" s="765"/>
      <c r="M1472" s="758"/>
      <c r="N1472" s="758"/>
      <c r="O1472" s="759">
        <v>0</v>
      </c>
      <c r="P1472" s="761"/>
      <c r="Q1472" s="765"/>
      <c r="R1472" s="758"/>
      <c r="S1472" s="758"/>
      <c r="T1472" s="759">
        <v>0</v>
      </c>
      <c r="U1472" s="761"/>
      <c r="V1472" s="765"/>
      <c r="W1472" s="758"/>
      <c r="X1472" s="758"/>
      <c r="Y1472" s="759">
        <v>0</v>
      </c>
      <c r="Z1472" s="761"/>
      <c r="AA1472" s="763">
        <f t="shared" si="191"/>
        <v>0</v>
      </c>
      <c r="AB1472" s="764">
        <f t="shared" si="192"/>
        <v>0</v>
      </c>
      <c r="AC1472" s="762"/>
      <c r="AD1472" s="758"/>
      <c r="AE1472" s="758"/>
      <c r="AF1472" s="759"/>
      <c r="AG1472" s="763">
        <f t="shared" si="193"/>
        <v>0</v>
      </c>
      <c r="AH1472" s="762"/>
      <c r="AI1472" s="1295"/>
      <c r="AJ1472" s="811"/>
      <c r="AK1472" s="1301"/>
      <c r="AL1472" s="1301"/>
      <c r="AM1472" s="1301"/>
      <c r="AN1472" s="1301"/>
      <c r="AO1472" s="1301"/>
      <c r="AP1472" s="1301"/>
    </row>
    <row r="1473" spans="2:42">
      <c r="B1473" s="816" t="s">
        <v>362</v>
      </c>
      <c r="C1473" s="758"/>
      <c r="D1473" s="766"/>
      <c r="E1473" s="759">
        <v>0</v>
      </c>
      <c r="F1473" s="761"/>
      <c r="G1473" s="762"/>
      <c r="H1473" s="758"/>
      <c r="I1473" s="766"/>
      <c r="J1473" s="759">
        <v>0</v>
      </c>
      <c r="K1473" s="761"/>
      <c r="L1473" s="765"/>
      <c r="M1473" s="758"/>
      <c r="N1473" s="766"/>
      <c r="O1473" s="759">
        <v>0</v>
      </c>
      <c r="P1473" s="761"/>
      <c r="Q1473" s="765"/>
      <c r="R1473" s="758"/>
      <c r="S1473" s="766"/>
      <c r="T1473" s="759">
        <v>0</v>
      </c>
      <c r="U1473" s="761"/>
      <c r="V1473" s="765"/>
      <c r="W1473" s="758"/>
      <c r="X1473" s="766"/>
      <c r="Y1473" s="759">
        <v>0</v>
      </c>
      <c r="Z1473" s="761"/>
      <c r="AA1473" s="763">
        <f t="shared" si="191"/>
        <v>0</v>
      </c>
      <c r="AB1473" s="764">
        <f t="shared" si="192"/>
        <v>0</v>
      </c>
      <c r="AC1473" s="762"/>
      <c r="AD1473" s="758"/>
      <c r="AE1473" s="758"/>
      <c r="AF1473" s="759"/>
      <c r="AG1473" s="763">
        <f t="shared" si="193"/>
        <v>0</v>
      </c>
      <c r="AH1473" s="762"/>
      <c r="AI1473" s="1295"/>
      <c r="AJ1473" s="811"/>
      <c r="AK1473" s="1301"/>
      <c r="AL1473" s="1301"/>
      <c r="AM1473" s="1301"/>
      <c r="AN1473" s="1301"/>
      <c r="AO1473" s="1301"/>
      <c r="AP1473" s="1301"/>
    </row>
    <row r="1474" spans="2:42">
      <c r="B1474" s="817" t="s">
        <v>355</v>
      </c>
      <c r="C1474" s="758"/>
      <c r="D1474" s="758"/>
      <c r="E1474" s="759">
        <v>0</v>
      </c>
      <c r="F1474" s="761"/>
      <c r="G1474" s="762"/>
      <c r="H1474" s="758"/>
      <c r="I1474" s="758"/>
      <c r="J1474" s="759">
        <v>0</v>
      </c>
      <c r="K1474" s="761"/>
      <c r="L1474" s="765"/>
      <c r="M1474" s="758"/>
      <c r="N1474" s="758"/>
      <c r="O1474" s="759">
        <v>0</v>
      </c>
      <c r="P1474" s="761"/>
      <c r="Q1474" s="765"/>
      <c r="R1474" s="758"/>
      <c r="S1474" s="758"/>
      <c r="T1474" s="759">
        <v>0</v>
      </c>
      <c r="U1474" s="761"/>
      <c r="V1474" s="765"/>
      <c r="W1474" s="758"/>
      <c r="X1474" s="758"/>
      <c r="Y1474" s="759">
        <v>0</v>
      </c>
      <c r="Z1474" s="761"/>
      <c r="AA1474" s="763">
        <f t="shared" si="191"/>
        <v>0</v>
      </c>
      <c r="AB1474" s="764">
        <f t="shared" si="192"/>
        <v>0</v>
      </c>
      <c r="AC1474" s="762"/>
      <c r="AD1474" s="758"/>
      <c r="AE1474" s="758"/>
      <c r="AF1474" s="759"/>
      <c r="AG1474" s="763">
        <f t="shared" si="193"/>
        <v>0</v>
      </c>
      <c r="AH1474" s="762"/>
      <c r="AI1474" s="1295"/>
      <c r="AJ1474" s="811"/>
      <c r="AK1474" s="1301"/>
      <c r="AL1474" s="1301"/>
      <c r="AM1474" s="1301"/>
      <c r="AN1474" s="1301"/>
      <c r="AO1474" s="1301"/>
      <c r="AP1474" s="1301"/>
    </row>
    <row r="1475" spans="2:42">
      <c r="B1475" s="817" t="s">
        <v>356</v>
      </c>
      <c r="C1475" s="818"/>
      <c r="D1475" s="818"/>
      <c r="E1475" s="759">
        <v>0</v>
      </c>
      <c r="F1475" s="761"/>
      <c r="G1475" s="765"/>
      <c r="H1475" s="766"/>
      <c r="I1475" s="766"/>
      <c r="J1475" s="759">
        <v>0</v>
      </c>
      <c r="K1475" s="761"/>
      <c r="L1475" s="765"/>
      <c r="M1475" s="766"/>
      <c r="N1475" s="766"/>
      <c r="O1475" s="759">
        <v>0</v>
      </c>
      <c r="P1475" s="761"/>
      <c r="Q1475" s="765"/>
      <c r="R1475" s="766"/>
      <c r="S1475" s="766"/>
      <c r="T1475" s="759">
        <v>0</v>
      </c>
      <c r="U1475" s="761"/>
      <c r="V1475" s="765"/>
      <c r="W1475" s="766"/>
      <c r="X1475" s="766"/>
      <c r="Y1475" s="759">
        <v>0</v>
      </c>
      <c r="Z1475" s="761"/>
      <c r="AA1475" s="763">
        <f t="shared" si="191"/>
        <v>0</v>
      </c>
      <c r="AB1475" s="764">
        <f t="shared" si="192"/>
        <v>0</v>
      </c>
      <c r="AC1475" s="762"/>
      <c r="AD1475" s="758"/>
      <c r="AE1475" s="758"/>
      <c r="AF1475" s="759"/>
      <c r="AG1475" s="763">
        <f t="shared" si="193"/>
        <v>0</v>
      </c>
      <c r="AH1475" s="762"/>
      <c r="AI1475" s="1295"/>
      <c r="AJ1475" s="811"/>
      <c r="AK1475" s="1301"/>
      <c r="AL1475" s="1301"/>
      <c r="AM1475" s="1301"/>
      <c r="AN1475" s="1301"/>
      <c r="AO1475" s="1301"/>
      <c r="AP1475" s="1301"/>
    </row>
    <row r="1476" spans="2:42">
      <c r="B1476" s="767" t="s">
        <v>61</v>
      </c>
      <c r="C1476" s="767"/>
      <c r="D1476" s="767"/>
      <c r="E1476" s="760">
        <f>SUM(E1455:E1475)</f>
        <v>8</v>
      </c>
      <c r="F1476" s="761"/>
      <c r="G1476" s="767"/>
      <c r="H1476" s="767"/>
      <c r="I1476" s="767"/>
      <c r="J1476" s="760">
        <f>SUM(J1455:J1475)</f>
        <v>8</v>
      </c>
      <c r="K1476" s="761"/>
      <c r="L1476" s="767"/>
      <c r="M1476" s="767"/>
      <c r="N1476" s="767"/>
      <c r="O1476" s="760">
        <f>SUM(O1455:O1475)</f>
        <v>8</v>
      </c>
      <c r="P1476" s="761"/>
      <c r="Q1476" s="767"/>
      <c r="R1476" s="767"/>
      <c r="S1476" s="767"/>
      <c r="T1476" s="760">
        <f>SUM(T1455:T1475)</f>
        <v>0</v>
      </c>
      <c r="U1476" s="761"/>
      <c r="V1476" s="767"/>
      <c r="W1476" s="767"/>
      <c r="X1476" s="767"/>
      <c r="Y1476" s="760">
        <f>SUM(Y1455:Y1475)</f>
        <v>0</v>
      </c>
      <c r="Z1476" s="761"/>
      <c r="AA1476" s="763">
        <f>SUM(AA1455:AA1475)</f>
        <v>24</v>
      </c>
      <c r="AB1476" s="763">
        <f>SUM(AB1455:AB1475)</f>
        <v>0</v>
      </c>
      <c r="AC1476" s="762"/>
      <c r="AD1476" s="767"/>
      <c r="AE1476" s="767"/>
      <c r="AF1476" s="763">
        <f>SUM(AF1455:AF1475)</f>
        <v>0</v>
      </c>
      <c r="AG1476" s="763">
        <f>SUM(AG1455:AG1475)</f>
        <v>0</v>
      </c>
      <c r="AH1476" s="762"/>
      <c r="AI1476" s="1295"/>
      <c r="AJ1476" s="811"/>
      <c r="AK1476" s="1301"/>
      <c r="AL1476" s="1301"/>
      <c r="AM1476" s="1301"/>
      <c r="AN1476" s="1301"/>
      <c r="AO1476" s="1301"/>
      <c r="AP1476" s="1301"/>
    </row>
    <row r="1477" spans="2:42">
      <c r="B1477" s="816" t="s">
        <v>1116</v>
      </c>
      <c r="C1477" s="758"/>
      <c r="D1477" s="758"/>
      <c r="E1477" s="759">
        <v>4</v>
      </c>
      <c r="F1477" s="761"/>
      <c r="G1477" s="762"/>
      <c r="H1477" s="758"/>
      <c r="I1477" s="758"/>
      <c r="J1477" s="759">
        <v>4</v>
      </c>
      <c r="K1477" s="761"/>
      <c r="L1477" s="762"/>
      <c r="M1477" s="758"/>
      <c r="N1477" s="758"/>
      <c r="O1477" s="759">
        <v>4</v>
      </c>
      <c r="P1477" s="761"/>
      <c r="Q1477" s="762"/>
      <c r="R1477" s="758"/>
      <c r="S1477" s="758"/>
      <c r="T1477" s="759">
        <v>0</v>
      </c>
      <c r="U1477" s="761"/>
      <c r="V1477" s="762"/>
      <c r="W1477" s="758"/>
      <c r="X1477" s="758"/>
      <c r="Y1477" s="759">
        <v>0</v>
      </c>
      <c r="Z1477" s="761"/>
      <c r="AA1477" s="763">
        <f>(E1477+J1477+O1477+T1477+Y1477)</f>
        <v>12</v>
      </c>
      <c r="AB1477" s="764">
        <f>Z1477+U1477+P1477+K1477+F1477</f>
        <v>0</v>
      </c>
      <c r="AC1477" s="762"/>
      <c r="AD1477" s="758"/>
      <c r="AE1477" s="758"/>
      <c r="AF1477" s="759"/>
      <c r="AG1477" s="763">
        <f>AF1477</f>
        <v>0</v>
      </c>
      <c r="AH1477" s="762"/>
      <c r="AI1477" s="1295"/>
      <c r="AJ1477" s="811"/>
      <c r="AK1477" s="1301"/>
      <c r="AL1477" s="1301"/>
      <c r="AM1477" s="1301"/>
      <c r="AN1477" s="1301"/>
      <c r="AO1477" s="1301"/>
      <c r="AP1477" s="1301"/>
    </row>
    <row r="1478" spans="2:42">
      <c r="B1478" s="816" t="s">
        <v>64</v>
      </c>
      <c r="C1478" s="758"/>
      <c r="D1478" s="758"/>
      <c r="E1478" s="759">
        <v>0</v>
      </c>
      <c r="F1478" s="759"/>
      <c r="G1478" s="819"/>
      <c r="H1478" s="758"/>
      <c r="I1478" s="758"/>
      <c r="J1478" s="759">
        <v>0</v>
      </c>
      <c r="K1478" s="759"/>
      <c r="L1478" s="765"/>
      <c r="M1478" s="758"/>
      <c r="N1478" s="758"/>
      <c r="O1478" s="759">
        <v>0</v>
      </c>
      <c r="P1478" s="759"/>
      <c r="Q1478" s="765"/>
      <c r="R1478" s="758"/>
      <c r="S1478" s="758"/>
      <c r="T1478" s="759">
        <v>0</v>
      </c>
      <c r="U1478" s="759"/>
      <c r="V1478" s="765"/>
      <c r="W1478" s="758"/>
      <c r="X1478" s="758"/>
      <c r="Y1478" s="759">
        <v>0</v>
      </c>
      <c r="Z1478" s="759"/>
      <c r="AA1478" s="763">
        <f>SUM(E1478+J1478+O1478+T1478+Y1478)</f>
        <v>0</v>
      </c>
      <c r="AB1478" s="768">
        <f>Z1478+U1478+P1478+K1478+F1478</f>
        <v>0</v>
      </c>
      <c r="AC1478" s="762"/>
      <c r="AD1478" s="758" t="s">
        <v>29</v>
      </c>
      <c r="AE1478" s="758" t="s">
        <v>29</v>
      </c>
      <c r="AF1478" s="759"/>
      <c r="AG1478" s="763">
        <f>AF1478</f>
        <v>0</v>
      </c>
      <c r="AH1478" s="762"/>
      <c r="AI1478" s="1295"/>
      <c r="AJ1478" s="811"/>
      <c r="AK1478" s="1301"/>
      <c r="AL1478" s="1301"/>
      <c r="AM1478" s="1301"/>
      <c r="AN1478" s="1301"/>
      <c r="AO1478" s="1301"/>
      <c r="AP1478" s="1301"/>
    </row>
    <row r="1479" spans="2:42">
      <c r="B1479" s="819" t="s">
        <v>66</v>
      </c>
      <c r="C1479" s="820"/>
      <c r="D1479" s="820"/>
      <c r="E1479" s="819"/>
      <c r="F1479" s="819"/>
      <c r="G1479" s="819"/>
      <c r="H1479" s="819"/>
      <c r="I1479" s="819"/>
      <c r="J1479" s="819"/>
      <c r="K1479" s="819"/>
      <c r="L1479" s="819"/>
      <c r="M1479" s="819"/>
      <c r="N1479" s="819"/>
      <c r="O1479" s="819"/>
      <c r="P1479" s="819"/>
      <c r="Q1479" s="819"/>
      <c r="R1479" s="819"/>
      <c r="S1479" s="819"/>
      <c r="T1479" s="819"/>
      <c r="U1479" s="819"/>
      <c r="V1479" s="819"/>
      <c r="W1479" s="819"/>
      <c r="X1479" s="819"/>
      <c r="Y1479" s="819"/>
      <c r="Z1479" s="819"/>
      <c r="AA1479" s="763">
        <f>SUM(AA1477:AA1478)</f>
        <v>12</v>
      </c>
      <c r="AB1479" s="763">
        <f>SUM(AB1478:AB1478)</f>
        <v>0</v>
      </c>
      <c r="AC1479" s="762"/>
      <c r="AD1479" s="811"/>
      <c r="AE1479" s="811"/>
      <c r="AF1479" s="811"/>
      <c r="AG1479" s="763">
        <f>SUM(AG1478:AG1478)</f>
        <v>0</v>
      </c>
      <c r="AH1479" s="762"/>
      <c r="AI1479" s="1295"/>
      <c r="AJ1479" s="811"/>
      <c r="AK1479" s="1304"/>
      <c r="AL1479" s="1301"/>
      <c r="AM1479" s="1301"/>
      <c r="AN1479" s="1301"/>
      <c r="AO1479" s="1301"/>
      <c r="AP1479" s="1301"/>
    </row>
    <row r="1480" spans="2:42">
      <c r="B1480" s="821" t="s">
        <v>67</v>
      </c>
      <c r="C1480" s="822">
        <f>C1481+C1482</f>
        <v>3</v>
      </c>
      <c r="D1480" s="822"/>
      <c r="E1480" s="823"/>
      <c r="F1480" s="823"/>
      <c r="G1480" s="822"/>
      <c r="H1480" s="823"/>
      <c r="I1480" s="823"/>
      <c r="J1480" s="823"/>
      <c r="K1480" s="823"/>
      <c r="L1480" s="822"/>
      <c r="M1480" s="822"/>
      <c r="N1480" s="822"/>
      <c r="O1480" s="822"/>
      <c r="P1480" s="823"/>
      <c r="Q1480" s="822"/>
      <c r="R1480" s="822"/>
      <c r="S1480" s="822"/>
      <c r="T1480" s="822"/>
      <c r="U1480" s="823"/>
      <c r="V1480" s="822"/>
      <c r="W1480" s="822"/>
      <c r="X1480" s="822"/>
      <c r="Y1480" s="824"/>
      <c r="Z1480" s="823"/>
      <c r="AA1480" s="825"/>
      <c r="AB1480" s="823"/>
      <c r="AC1480" s="825"/>
      <c r="AD1480" s="825"/>
      <c r="AE1480" s="825"/>
      <c r="AF1480" s="825"/>
      <c r="AG1480" s="825"/>
      <c r="AH1480" s="762"/>
      <c r="AI1480" s="1295"/>
      <c r="AJ1480" s="811"/>
      <c r="AK1480" s="1304"/>
      <c r="AL1480" s="1301"/>
      <c r="AM1480" s="1301"/>
      <c r="AN1480" s="1301"/>
      <c r="AO1480" s="1301"/>
      <c r="AP1480" s="1301"/>
    </row>
    <row r="1481" spans="2:42">
      <c r="B1481" s="826" t="s">
        <v>68</v>
      </c>
      <c r="C1481" s="822">
        <v>0</v>
      </c>
      <c r="D1481" s="822"/>
      <c r="E1481" s="823"/>
      <c r="F1481" s="823"/>
      <c r="G1481" s="822"/>
      <c r="H1481" s="823"/>
      <c r="I1481" s="823"/>
      <c r="J1481" s="823"/>
      <c r="K1481" s="823"/>
      <c r="L1481" s="822"/>
      <c r="M1481" s="822"/>
      <c r="N1481" s="822"/>
      <c r="O1481" s="822"/>
      <c r="P1481" s="823"/>
      <c r="Q1481" s="822"/>
      <c r="R1481" s="822"/>
      <c r="S1481" s="822"/>
      <c r="T1481" s="822"/>
      <c r="U1481" s="823"/>
      <c r="V1481" s="822"/>
      <c r="W1481" s="822"/>
      <c r="X1481" s="822"/>
      <c r="Y1481" s="824"/>
      <c r="Z1481" s="823"/>
      <c r="AA1481" s="825"/>
      <c r="AB1481" s="823"/>
      <c r="AC1481" s="825"/>
      <c r="AD1481" s="825"/>
      <c r="AE1481" s="825"/>
      <c r="AF1481" s="825"/>
      <c r="AG1481" s="825"/>
      <c r="AH1481" s="762"/>
      <c r="AI1481" s="1295"/>
      <c r="AJ1481" s="811"/>
      <c r="AK1481" s="1304"/>
      <c r="AL1481" s="1301"/>
      <c r="AM1481" s="1301"/>
      <c r="AN1481" s="1301"/>
      <c r="AO1481" s="1301"/>
      <c r="AP1481" s="1301"/>
    </row>
    <row r="1482" spans="2:42">
      <c r="B1482" s="826" t="s">
        <v>69</v>
      </c>
      <c r="C1482" s="822">
        <v>3</v>
      </c>
      <c r="D1482" s="822"/>
      <c r="E1482" s="823"/>
      <c r="F1482" s="823"/>
      <c r="G1482" s="822"/>
      <c r="H1482" s="823"/>
      <c r="I1482" s="823"/>
      <c r="J1482" s="823"/>
      <c r="K1482" s="823"/>
      <c r="L1482" s="822"/>
      <c r="M1482" s="822"/>
      <c r="N1482" s="822"/>
      <c r="O1482" s="822"/>
      <c r="P1482" s="823"/>
      <c r="Q1482" s="822"/>
      <c r="R1482" s="822"/>
      <c r="S1482" s="822"/>
      <c r="T1482" s="822"/>
      <c r="U1482" s="823"/>
      <c r="V1482" s="822"/>
      <c r="W1482" s="822"/>
      <c r="X1482" s="822"/>
      <c r="Y1482" s="824"/>
      <c r="Z1482" s="823"/>
      <c r="AA1482" s="825"/>
      <c r="AB1482" s="823"/>
      <c r="AC1482" s="825"/>
      <c r="AD1482" s="825"/>
      <c r="AE1482" s="825"/>
      <c r="AF1482" s="825"/>
      <c r="AG1482" s="825"/>
      <c r="AH1482" s="762"/>
      <c r="AI1482" s="1295"/>
      <c r="AJ1482" s="811"/>
      <c r="AK1482" s="1301"/>
      <c r="AL1482" s="1301"/>
      <c r="AM1482" s="1301"/>
      <c r="AN1482" s="1301"/>
      <c r="AO1482" s="1301"/>
      <c r="AP1482" s="1301"/>
    </row>
    <row r="1485" spans="2:42" ht="25.5">
      <c r="B1485" s="1576"/>
      <c r="C1485" s="1577">
        <v>46020</v>
      </c>
      <c r="D1485" s="1577"/>
      <c r="E1485" s="1577" t="s">
        <v>564</v>
      </c>
      <c r="F1485" s="1577"/>
      <c r="G1485" s="807"/>
      <c r="H1485" s="1577">
        <v>46021</v>
      </c>
      <c r="I1485" s="1577"/>
      <c r="J1485" s="1577" t="s">
        <v>565</v>
      </c>
      <c r="K1485" s="1577"/>
      <c r="L1485" s="807"/>
      <c r="M1485" s="1577">
        <v>46022</v>
      </c>
      <c r="N1485" s="1577"/>
      <c r="O1485" s="1577" t="s">
        <v>566</v>
      </c>
      <c r="P1485" s="1577"/>
      <c r="Q1485" s="894"/>
      <c r="R1485" s="1574">
        <v>46023</v>
      </c>
      <c r="S1485" s="1574"/>
      <c r="T1485" s="1574" t="s">
        <v>567</v>
      </c>
      <c r="U1485" s="1574"/>
      <c r="V1485" s="1165"/>
      <c r="W1485" s="1574">
        <v>46024</v>
      </c>
      <c r="X1485" s="1574"/>
      <c r="Y1485" s="1574" t="s">
        <v>568</v>
      </c>
      <c r="Z1485" s="1574"/>
      <c r="AA1485" s="1575" t="s">
        <v>19</v>
      </c>
      <c r="AB1485" s="1575" t="s">
        <v>20</v>
      </c>
      <c r="AC1485" s="1166"/>
      <c r="AD1485" s="1574"/>
      <c r="AE1485" s="1574"/>
      <c r="AF1485" s="1231" t="s">
        <v>1111</v>
      </c>
      <c r="AG1485" s="1575" t="s">
        <v>21</v>
      </c>
      <c r="AK1485" s="194" t="s">
        <v>84</v>
      </c>
      <c r="AL1485" s="366"/>
      <c r="AM1485" s="366"/>
      <c r="AN1485" s="366"/>
      <c r="AO1485" s="366"/>
      <c r="AP1485" s="366"/>
    </row>
    <row r="1486" spans="2:42">
      <c r="B1486" s="1576"/>
      <c r="C1486" s="809" t="s">
        <v>23</v>
      </c>
      <c r="D1486" s="809" t="s">
        <v>24</v>
      </c>
      <c r="E1486" s="768" t="s">
        <v>25</v>
      </c>
      <c r="F1486" s="810" t="s">
        <v>14</v>
      </c>
      <c r="G1486" s="762"/>
      <c r="H1486" s="809"/>
      <c r="I1486" s="809" t="s">
        <v>24</v>
      </c>
      <c r="J1486" s="810" t="s">
        <v>25</v>
      </c>
      <c r="K1486" s="810" t="s">
        <v>14</v>
      </c>
      <c r="L1486" s="762"/>
      <c r="M1486" s="809" t="s">
        <v>23</v>
      </c>
      <c r="N1486" s="809" t="s">
        <v>24</v>
      </c>
      <c r="O1486" s="810" t="s">
        <v>25</v>
      </c>
      <c r="P1486" s="810" t="s">
        <v>14</v>
      </c>
      <c r="R1486" s="1172" t="s">
        <v>23</v>
      </c>
      <c r="S1486" s="1172" t="s">
        <v>24</v>
      </c>
      <c r="T1486" s="1174" t="s">
        <v>25</v>
      </c>
      <c r="U1486" s="1174" t="s">
        <v>14</v>
      </c>
      <c r="V1486" s="1166"/>
      <c r="W1486" s="1172" t="s">
        <v>23</v>
      </c>
      <c r="X1486" s="1172" t="s">
        <v>24</v>
      </c>
      <c r="Y1486" s="1174" t="s">
        <v>25</v>
      </c>
      <c r="Z1486" s="1174" t="s">
        <v>14</v>
      </c>
      <c r="AA1486" s="1575"/>
      <c r="AB1486" s="1575"/>
      <c r="AC1486" s="1166"/>
      <c r="AD1486" s="1172" t="s">
        <v>23</v>
      </c>
      <c r="AE1486" s="1172" t="s">
        <v>24</v>
      </c>
      <c r="AF1486" s="1174" t="s">
        <v>25</v>
      </c>
      <c r="AG1486" s="1575"/>
      <c r="AK1486" s="188" t="s">
        <v>26</v>
      </c>
      <c r="AL1486" s="196">
        <f>AA1508</f>
        <v>0</v>
      </c>
      <c r="AM1486" s="510">
        <v>40.31</v>
      </c>
      <c r="AN1486" s="510">
        <f t="shared" ref="AN1486:AN1491" si="194">AL1486*AM1486</f>
        <v>0</v>
      </c>
    </row>
    <row r="1487" spans="2:42">
      <c r="B1487" s="758" t="s">
        <v>515</v>
      </c>
      <c r="C1487" s="758"/>
      <c r="D1487" s="758"/>
      <c r="E1487" s="759">
        <v>0</v>
      </c>
      <c r="F1487" s="761"/>
      <c r="G1487" s="762"/>
      <c r="H1487" s="758"/>
      <c r="I1487" s="758"/>
      <c r="J1487" s="759">
        <v>0</v>
      </c>
      <c r="K1487" s="761"/>
      <c r="L1487" s="762"/>
      <c r="M1487" s="758"/>
      <c r="N1487" s="758"/>
      <c r="O1487" s="759">
        <v>0</v>
      </c>
      <c r="P1487" s="761"/>
      <c r="R1487" s="1206"/>
      <c r="S1487" s="1206"/>
      <c r="T1487" s="1207">
        <v>0</v>
      </c>
      <c r="U1487" s="1201"/>
      <c r="V1487" s="1166"/>
      <c r="W1487" s="1206"/>
      <c r="X1487" s="1206"/>
      <c r="Y1487" s="1207">
        <v>0</v>
      </c>
      <c r="Z1487" s="1201"/>
      <c r="AA1487" s="1203">
        <f t="shared" ref="AA1487:AA1507" si="195">(E1487+J1487+O1487+T1487+Y1487)</f>
        <v>0</v>
      </c>
      <c r="AB1487" s="1225">
        <f t="shared" ref="AB1487:AB1507" si="196">Z1487+U1487+P1487+K1487+F1487</f>
        <v>0</v>
      </c>
      <c r="AC1487" s="1166"/>
      <c r="AD1487" s="1169"/>
      <c r="AE1487" s="1169"/>
      <c r="AF1487" s="1207"/>
      <c r="AG1487" s="1203">
        <f t="shared" ref="AG1487:AG1507" si="197">AF1487</f>
        <v>0</v>
      </c>
      <c r="AK1487" s="188" t="s">
        <v>30</v>
      </c>
      <c r="AL1487" s="196">
        <f>AB1508</f>
        <v>0</v>
      </c>
      <c r="AM1487" s="510">
        <v>60.465000000000003</v>
      </c>
      <c r="AN1487" s="510">
        <f t="shared" si="194"/>
        <v>0</v>
      </c>
    </row>
    <row r="1488" spans="2:42">
      <c r="B1488" s="758" t="s">
        <v>1112</v>
      </c>
      <c r="C1488" s="758"/>
      <c r="D1488" s="758"/>
      <c r="E1488" s="759">
        <v>0</v>
      </c>
      <c r="F1488" s="761"/>
      <c r="G1488" s="762"/>
      <c r="H1488" s="758"/>
      <c r="I1488" s="758"/>
      <c r="J1488" s="759">
        <v>0</v>
      </c>
      <c r="K1488" s="761"/>
      <c r="L1488" s="762"/>
      <c r="M1488" s="758"/>
      <c r="N1488" s="758"/>
      <c r="O1488" s="759">
        <v>0</v>
      </c>
      <c r="P1488" s="761"/>
      <c r="R1488" s="1206"/>
      <c r="S1488" s="1206"/>
      <c r="T1488" s="1207">
        <v>0</v>
      </c>
      <c r="U1488" s="1201"/>
      <c r="V1488" s="1166"/>
      <c r="W1488" s="1206"/>
      <c r="X1488" s="1206"/>
      <c r="Y1488" s="1207">
        <v>0</v>
      </c>
      <c r="Z1488" s="1201"/>
      <c r="AA1488" s="1203">
        <f t="shared" si="195"/>
        <v>0</v>
      </c>
      <c r="AB1488" s="1225">
        <f t="shared" si="196"/>
        <v>0</v>
      </c>
      <c r="AC1488" s="1166"/>
      <c r="AD1488" s="1206"/>
      <c r="AE1488" s="1206"/>
      <c r="AF1488" s="1207"/>
      <c r="AG1488" s="1203">
        <f t="shared" si="197"/>
        <v>0</v>
      </c>
      <c r="AK1488" s="188" t="s">
        <v>32</v>
      </c>
      <c r="AL1488" s="196">
        <f>AG1508</f>
        <v>0</v>
      </c>
      <c r="AM1488" s="510">
        <v>60.465000000000003</v>
      </c>
      <c r="AN1488" s="510">
        <f t="shared" si="194"/>
        <v>0</v>
      </c>
    </row>
    <row r="1489" spans="2:40">
      <c r="B1489" s="758" t="s">
        <v>1141</v>
      </c>
      <c r="C1489" s="758"/>
      <c r="D1489" s="758"/>
      <c r="E1489" s="759">
        <v>0</v>
      </c>
      <c r="F1489" s="761"/>
      <c r="G1489" s="762"/>
      <c r="H1489" s="758"/>
      <c r="I1489" s="758"/>
      <c r="J1489" s="759">
        <v>0</v>
      </c>
      <c r="K1489" s="761"/>
      <c r="L1489" s="762"/>
      <c r="M1489" s="758"/>
      <c r="N1489" s="758"/>
      <c r="O1489" s="759">
        <v>0</v>
      </c>
      <c r="P1489" s="761"/>
      <c r="R1489" s="1206"/>
      <c r="S1489" s="1206"/>
      <c r="T1489" s="1207">
        <v>0</v>
      </c>
      <c r="U1489" s="1201"/>
      <c r="V1489" s="1166"/>
      <c r="W1489" s="1206"/>
      <c r="X1489" s="1206"/>
      <c r="Y1489" s="1207">
        <v>0</v>
      </c>
      <c r="Z1489" s="1201"/>
      <c r="AA1489" s="1203">
        <f t="shared" si="195"/>
        <v>0</v>
      </c>
      <c r="AB1489" s="1225">
        <f t="shared" si="196"/>
        <v>0</v>
      </c>
      <c r="AC1489" s="1166"/>
      <c r="AD1489" s="1206"/>
      <c r="AE1489" s="1206"/>
      <c r="AF1489" s="1207"/>
      <c r="AG1489" s="1203">
        <f t="shared" si="197"/>
        <v>0</v>
      </c>
      <c r="AK1489" s="188" t="s">
        <v>213</v>
      </c>
      <c r="AL1489" s="196">
        <f>AA1511</f>
        <v>0</v>
      </c>
      <c r="AM1489" s="510">
        <v>53.05</v>
      </c>
      <c r="AN1489" s="510">
        <f t="shared" si="194"/>
        <v>0</v>
      </c>
    </row>
    <row r="1490" spans="2:40">
      <c r="B1490" s="758" t="s">
        <v>72</v>
      </c>
      <c r="C1490" s="758"/>
      <c r="D1490" s="758"/>
      <c r="E1490" s="759">
        <v>0</v>
      </c>
      <c r="F1490" s="761"/>
      <c r="G1490" s="762"/>
      <c r="H1490" s="758"/>
      <c r="I1490" s="758"/>
      <c r="J1490" s="759">
        <v>0</v>
      </c>
      <c r="K1490" s="761"/>
      <c r="L1490" s="762"/>
      <c r="M1490" s="758"/>
      <c r="N1490" s="758"/>
      <c r="O1490" s="759">
        <v>0</v>
      </c>
      <c r="P1490" s="761"/>
      <c r="R1490" s="1206"/>
      <c r="S1490" s="1206"/>
      <c r="T1490" s="1207">
        <v>0</v>
      </c>
      <c r="U1490" s="1201"/>
      <c r="V1490" s="1166"/>
      <c r="W1490" s="1206"/>
      <c r="X1490" s="1206"/>
      <c r="Y1490" s="1207">
        <v>0</v>
      </c>
      <c r="Z1490" s="1201"/>
      <c r="AA1490" s="1203">
        <f t="shared" si="195"/>
        <v>0</v>
      </c>
      <c r="AB1490" s="1225">
        <f t="shared" si="196"/>
        <v>0</v>
      </c>
      <c r="AC1490" s="1166"/>
      <c r="AD1490" s="1206"/>
      <c r="AE1490" s="1206"/>
      <c r="AF1490" s="1207"/>
      <c r="AG1490" s="1203">
        <f t="shared" si="197"/>
        <v>0</v>
      </c>
      <c r="AK1490" s="188" t="s">
        <v>36</v>
      </c>
      <c r="AL1490" s="196">
        <f>AB1511</f>
        <v>0</v>
      </c>
      <c r="AM1490" s="510">
        <v>79.574999999999989</v>
      </c>
      <c r="AN1490" s="510">
        <f t="shared" si="194"/>
        <v>0</v>
      </c>
    </row>
    <row r="1491" spans="2:40">
      <c r="B1491" s="813" t="s">
        <v>998</v>
      </c>
      <c r="C1491" s="758"/>
      <c r="D1491" s="758"/>
      <c r="E1491" s="759">
        <v>0</v>
      </c>
      <c r="F1491" s="761"/>
      <c r="G1491" s="762"/>
      <c r="H1491" s="758"/>
      <c r="I1491" s="758"/>
      <c r="J1491" s="759">
        <v>0</v>
      </c>
      <c r="K1491" s="761"/>
      <c r="L1491" s="762"/>
      <c r="M1491" s="758"/>
      <c r="N1491" s="758"/>
      <c r="O1491" s="759">
        <v>0</v>
      </c>
      <c r="P1491" s="761"/>
      <c r="R1491" s="1206"/>
      <c r="S1491" s="1206"/>
      <c r="T1491" s="1207">
        <v>0</v>
      </c>
      <c r="U1491" s="1201"/>
      <c r="V1491" s="1166"/>
      <c r="W1491" s="1206"/>
      <c r="X1491" s="1206"/>
      <c r="Y1491" s="1207">
        <v>0</v>
      </c>
      <c r="Z1491" s="1201"/>
      <c r="AA1491" s="1203">
        <f t="shared" si="195"/>
        <v>0</v>
      </c>
      <c r="AB1491" s="1225">
        <f t="shared" si="196"/>
        <v>0</v>
      </c>
      <c r="AC1491" s="1166"/>
      <c r="AD1491" s="1206"/>
      <c r="AE1491" s="1206"/>
      <c r="AF1491" s="1207"/>
      <c r="AG1491" s="1203">
        <f t="shared" si="197"/>
        <v>0</v>
      </c>
      <c r="AK1491" s="188" t="s">
        <v>38</v>
      </c>
      <c r="AL1491" s="196">
        <f>AG1511</f>
        <v>0</v>
      </c>
      <c r="AM1491" s="510">
        <v>79.574999999999989</v>
      </c>
      <c r="AN1491" s="510">
        <f t="shared" si="194"/>
        <v>0</v>
      </c>
    </row>
    <row r="1492" spans="2:40">
      <c r="B1492" s="758" t="s">
        <v>53</v>
      </c>
      <c r="C1492" s="758"/>
      <c r="D1492" s="758"/>
      <c r="E1492" s="759">
        <v>0</v>
      </c>
      <c r="F1492" s="761"/>
      <c r="G1492" s="762"/>
      <c r="H1492" s="758"/>
      <c r="I1492" s="758"/>
      <c r="J1492" s="759">
        <v>0</v>
      </c>
      <c r="K1492" s="761"/>
      <c r="L1492" s="762"/>
      <c r="M1492" s="758"/>
      <c r="N1492" s="758"/>
      <c r="O1492" s="759">
        <v>0</v>
      </c>
      <c r="P1492" s="761"/>
      <c r="R1492" s="1206"/>
      <c r="S1492" s="1206"/>
      <c r="T1492" s="1207">
        <v>0</v>
      </c>
      <c r="U1492" s="1201"/>
      <c r="V1492" s="1166"/>
      <c r="W1492" s="1206"/>
      <c r="X1492" s="1206"/>
      <c r="Y1492" s="1207">
        <v>0</v>
      </c>
      <c r="Z1492" s="1201"/>
      <c r="AA1492" s="1203">
        <f t="shared" si="195"/>
        <v>0</v>
      </c>
      <c r="AB1492" s="1225">
        <f t="shared" si="196"/>
        <v>0</v>
      </c>
      <c r="AC1492" s="1166"/>
      <c r="AD1492" s="1206"/>
      <c r="AE1492" s="1206"/>
      <c r="AF1492" s="1207"/>
      <c r="AG1492" s="1203">
        <f t="shared" si="197"/>
        <v>0</v>
      </c>
      <c r="AN1492" s="510">
        <f>SUM(AN1486:AN1491)</f>
        <v>0</v>
      </c>
    </row>
    <row r="1493" spans="2:40">
      <c r="B1493" s="758" t="s">
        <v>241</v>
      </c>
      <c r="C1493" s="758"/>
      <c r="D1493" s="758"/>
      <c r="E1493" s="759">
        <v>0</v>
      </c>
      <c r="F1493" s="761"/>
      <c r="G1493" s="762"/>
      <c r="H1493" s="758"/>
      <c r="I1493" s="758"/>
      <c r="J1493" s="759">
        <v>0</v>
      </c>
      <c r="K1493" s="761"/>
      <c r="L1493" s="762"/>
      <c r="M1493" s="758"/>
      <c r="N1493" s="758"/>
      <c r="O1493" s="759">
        <v>0</v>
      </c>
      <c r="P1493" s="761"/>
      <c r="R1493" s="1206"/>
      <c r="S1493" s="1206"/>
      <c r="T1493" s="1207">
        <v>0</v>
      </c>
      <c r="U1493" s="1201"/>
      <c r="V1493" s="1166"/>
      <c r="W1493" s="1206"/>
      <c r="X1493" s="1206"/>
      <c r="Y1493" s="1207">
        <v>0</v>
      </c>
      <c r="Z1493" s="1201"/>
      <c r="AA1493" s="1203">
        <f t="shared" si="195"/>
        <v>0</v>
      </c>
      <c r="AB1493" s="1225">
        <f t="shared" si="196"/>
        <v>0</v>
      </c>
      <c r="AC1493" s="1166"/>
      <c r="AD1493" s="1206"/>
      <c r="AE1493" s="1206"/>
      <c r="AF1493" s="1207"/>
      <c r="AG1493" s="1203">
        <f t="shared" si="197"/>
        <v>0</v>
      </c>
    </row>
    <row r="1494" spans="2:40">
      <c r="B1494" s="758" t="s">
        <v>1141</v>
      </c>
      <c r="C1494" s="758"/>
      <c r="D1494" s="814"/>
      <c r="E1494" s="759">
        <v>0</v>
      </c>
      <c r="F1494" s="761"/>
      <c r="G1494" s="762"/>
      <c r="H1494" s="758"/>
      <c r="I1494" s="758"/>
      <c r="J1494" s="759">
        <v>0</v>
      </c>
      <c r="K1494" s="761"/>
      <c r="L1494" s="762"/>
      <c r="M1494" s="758"/>
      <c r="N1494" s="758"/>
      <c r="O1494" s="759">
        <v>0</v>
      </c>
      <c r="P1494" s="761"/>
      <c r="R1494" s="1206"/>
      <c r="S1494" s="1206"/>
      <c r="T1494" s="1207">
        <v>0</v>
      </c>
      <c r="U1494" s="1201"/>
      <c r="V1494" s="1166"/>
      <c r="W1494" s="1206"/>
      <c r="X1494" s="1206"/>
      <c r="Y1494" s="1207">
        <v>0</v>
      </c>
      <c r="Z1494" s="1201"/>
      <c r="AA1494" s="1203">
        <f t="shared" si="195"/>
        <v>0</v>
      </c>
      <c r="AB1494" s="1225">
        <f t="shared" si="196"/>
        <v>0</v>
      </c>
      <c r="AC1494" s="1166"/>
      <c r="AD1494" s="1206"/>
      <c r="AE1494" s="1206"/>
      <c r="AF1494" s="1207"/>
      <c r="AG1494" s="1203">
        <f t="shared" si="197"/>
        <v>0</v>
      </c>
      <c r="AK1494" s="192" t="s">
        <v>1115</v>
      </c>
      <c r="AL1494" s="189">
        <f>C1512</f>
        <v>0</v>
      </c>
      <c r="AM1494" s="510">
        <v>45</v>
      </c>
      <c r="AN1494" s="510">
        <f>AM1494*AL1494</f>
        <v>0</v>
      </c>
    </row>
    <row r="1495" spans="2:40">
      <c r="B1495" s="758" t="s">
        <v>1113</v>
      </c>
      <c r="C1495" s="758"/>
      <c r="D1495" s="758"/>
      <c r="E1495" s="759">
        <v>0</v>
      </c>
      <c r="F1495" s="761"/>
      <c r="G1495" s="762"/>
      <c r="H1495" s="758"/>
      <c r="I1495" s="758"/>
      <c r="J1495" s="759">
        <v>0</v>
      </c>
      <c r="K1495" s="761"/>
      <c r="L1495" s="762"/>
      <c r="M1495" s="758"/>
      <c r="N1495" s="758"/>
      <c r="O1495" s="759">
        <v>0</v>
      </c>
      <c r="P1495" s="761"/>
      <c r="R1495" s="1206"/>
      <c r="S1495" s="1206"/>
      <c r="T1495" s="1207">
        <v>0</v>
      </c>
      <c r="U1495" s="1201"/>
      <c r="V1495" s="1166"/>
      <c r="W1495" s="1206"/>
      <c r="X1495" s="1206"/>
      <c r="Y1495" s="1207">
        <v>0</v>
      </c>
      <c r="Z1495" s="1201"/>
      <c r="AA1495" s="1203">
        <f t="shared" si="195"/>
        <v>0</v>
      </c>
      <c r="AB1495" s="1225">
        <f t="shared" si="196"/>
        <v>0</v>
      </c>
      <c r="AC1495" s="1166"/>
      <c r="AD1495" s="1206"/>
      <c r="AE1495" s="1206"/>
      <c r="AF1495" s="1207"/>
      <c r="AG1495" s="1203">
        <f t="shared" si="197"/>
        <v>0</v>
      </c>
    </row>
    <row r="1496" spans="2:40">
      <c r="B1496" s="815" t="s">
        <v>483</v>
      </c>
      <c r="C1496" s="758"/>
      <c r="D1496" s="758"/>
      <c r="E1496" s="759">
        <v>0</v>
      </c>
      <c r="F1496" s="761"/>
      <c r="G1496" s="762"/>
      <c r="H1496" s="758"/>
      <c r="I1496" s="758"/>
      <c r="J1496" s="759">
        <v>0</v>
      </c>
      <c r="K1496" s="761"/>
      <c r="L1496" s="762"/>
      <c r="M1496" s="758"/>
      <c r="N1496" s="758"/>
      <c r="O1496" s="759">
        <v>0</v>
      </c>
      <c r="P1496" s="761"/>
      <c r="R1496" s="1206"/>
      <c r="S1496" s="1206"/>
      <c r="T1496" s="1207">
        <v>0</v>
      </c>
      <c r="U1496" s="1201"/>
      <c r="V1496" s="1166"/>
      <c r="W1496" s="1206"/>
      <c r="X1496" s="1206"/>
      <c r="Y1496" s="1207">
        <v>0</v>
      </c>
      <c r="Z1496" s="1201"/>
      <c r="AA1496" s="1203">
        <f t="shared" si="195"/>
        <v>0</v>
      </c>
      <c r="AB1496" s="1225">
        <f t="shared" si="196"/>
        <v>0</v>
      </c>
      <c r="AC1496" s="1166"/>
      <c r="AD1496" s="1206"/>
      <c r="AE1496" s="1206"/>
      <c r="AF1496" s="1207"/>
      <c r="AG1496" s="1203">
        <f t="shared" si="197"/>
        <v>0</v>
      </c>
    </row>
    <row r="1497" spans="2:40">
      <c r="B1497" s="815" t="s">
        <v>483</v>
      </c>
      <c r="C1497" s="758"/>
      <c r="D1497" s="758"/>
      <c r="E1497" s="759">
        <v>0</v>
      </c>
      <c r="F1497" s="761"/>
      <c r="G1497" s="762"/>
      <c r="H1497" s="758"/>
      <c r="I1497" s="758"/>
      <c r="J1497" s="759">
        <v>0</v>
      </c>
      <c r="K1497" s="761"/>
      <c r="L1497" s="762"/>
      <c r="M1497" s="758"/>
      <c r="N1497" s="758"/>
      <c r="O1497" s="759">
        <v>0</v>
      </c>
      <c r="P1497" s="761"/>
      <c r="R1497" s="1206"/>
      <c r="S1497" s="1206"/>
      <c r="T1497" s="1207">
        <v>0</v>
      </c>
      <c r="U1497" s="1201"/>
      <c r="V1497" s="1166"/>
      <c r="W1497" s="1206"/>
      <c r="X1497" s="1206"/>
      <c r="Y1497" s="1207">
        <v>0</v>
      </c>
      <c r="Z1497" s="1201"/>
      <c r="AA1497" s="1203">
        <f t="shared" si="195"/>
        <v>0</v>
      </c>
      <c r="AB1497" s="1225">
        <f t="shared" si="196"/>
        <v>0</v>
      </c>
      <c r="AC1497" s="1166"/>
      <c r="AD1497" s="1206"/>
      <c r="AE1497" s="1206"/>
      <c r="AF1497" s="1207"/>
      <c r="AG1497" s="1203">
        <f t="shared" si="197"/>
        <v>0</v>
      </c>
    </row>
    <row r="1498" spans="2:40">
      <c r="B1498" s="815" t="s">
        <v>484</v>
      </c>
      <c r="C1498" s="758"/>
      <c r="D1498" s="758"/>
      <c r="E1498" s="759">
        <v>0</v>
      </c>
      <c r="F1498" s="761"/>
      <c r="G1498" s="762"/>
      <c r="H1498" s="758"/>
      <c r="I1498" s="758"/>
      <c r="J1498" s="759">
        <v>0</v>
      </c>
      <c r="K1498" s="761"/>
      <c r="L1498" s="762"/>
      <c r="M1498" s="758"/>
      <c r="N1498" s="758"/>
      <c r="O1498" s="759">
        <v>0</v>
      </c>
      <c r="P1498" s="761"/>
      <c r="R1498" s="1206"/>
      <c r="S1498" s="1206"/>
      <c r="T1498" s="1207">
        <v>0</v>
      </c>
      <c r="U1498" s="1201"/>
      <c r="V1498" s="1166"/>
      <c r="W1498" s="1206"/>
      <c r="X1498" s="1206"/>
      <c r="Y1498" s="1207">
        <v>0</v>
      </c>
      <c r="Z1498" s="1201"/>
      <c r="AA1498" s="1203">
        <f t="shared" si="195"/>
        <v>0</v>
      </c>
      <c r="AB1498" s="1225">
        <f t="shared" si="196"/>
        <v>0</v>
      </c>
      <c r="AC1498" s="1166"/>
      <c r="AD1498" s="1206"/>
      <c r="AE1498" s="1206"/>
      <c r="AF1498" s="1207"/>
      <c r="AG1498" s="1203">
        <f t="shared" si="197"/>
        <v>0</v>
      </c>
    </row>
    <row r="1499" spans="2:40">
      <c r="B1499" s="815" t="s">
        <v>485</v>
      </c>
      <c r="C1499" s="758"/>
      <c r="D1499" s="758"/>
      <c r="E1499" s="759">
        <v>0</v>
      </c>
      <c r="F1499" s="761"/>
      <c r="G1499" s="762"/>
      <c r="H1499" s="758"/>
      <c r="I1499" s="758"/>
      <c r="J1499" s="759">
        <v>0</v>
      </c>
      <c r="K1499" s="761"/>
      <c r="L1499" s="762"/>
      <c r="M1499" s="758"/>
      <c r="N1499" s="758"/>
      <c r="O1499" s="759">
        <v>0</v>
      </c>
      <c r="P1499" s="761"/>
      <c r="R1499" s="1206"/>
      <c r="S1499" s="1206"/>
      <c r="T1499" s="1207">
        <v>0</v>
      </c>
      <c r="U1499" s="1201"/>
      <c r="V1499" s="1166"/>
      <c r="W1499" s="1206"/>
      <c r="X1499" s="1206"/>
      <c r="Y1499" s="1207">
        <v>0</v>
      </c>
      <c r="Z1499" s="1201"/>
      <c r="AA1499" s="1203">
        <f t="shared" si="195"/>
        <v>0</v>
      </c>
      <c r="AB1499" s="1225">
        <f t="shared" si="196"/>
        <v>0</v>
      </c>
      <c r="AC1499" s="1166"/>
      <c r="AD1499" s="1206"/>
      <c r="AE1499" s="1206"/>
      <c r="AF1499" s="1207"/>
      <c r="AG1499" s="1203">
        <f t="shared" si="197"/>
        <v>0</v>
      </c>
    </row>
    <row r="1500" spans="2:40">
      <c r="B1500" s="815" t="s">
        <v>1129</v>
      </c>
      <c r="C1500" s="758"/>
      <c r="D1500" s="758"/>
      <c r="E1500" s="759">
        <v>0</v>
      </c>
      <c r="F1500" s="761"/>
      <c r="G1500" s="762"/>
      <c r="H1500" s="758"/>
      <c r="I1500" s="758"/>
      <c r="J1500" s="759">
        <v>0</v>
      </c>
      <c r="K1500" s="761"/>
      <c r="L1500" s="762"/>
      <c r="M1500" s="758"/>
      <c r="N1500" s="758"/>
      <c r="O1500" s="759">
        <v>0</v>
      </c>
      <c r="P1500" s="761"/>
      <c r="R1500" s="1206"/>
      <c r="S1500" s="1206"/>
      <c r="T1500" s="1207">
        <v>0</v>
      </c>
      <c r="U1500" s="1201"/>
      <c r="V1500" s="1166"/>
      <c r="W1500" s="1206"/>
      <c r="X1500" s="1206"/>
      <c r="Y1500" s="1207">
        <v>0</v>
      </c>
      <c r="Z1500" s="1201"/>
      <c r="AA1500" s="1203">
        <f t="shared" si="195"/>
        <v>0</v>
      </c>
      <c r="AB1500" s="1225">
        <f t="shared" si="196"/>
        <v>0</v>
      </c>
      <c r="AC1500" s="1166"/>
      <c r="AD1500" s="1206"/>
      <c r="AE1500" s="1206"/>
      <c r="AF1500" s="1207"/>
      <c r="AG1500" s="1203">
        <f t="shared" si="197"/>
        <v>0</v>
      </c>
    </row>
    <row r="1501" spans="2:40">
      <c r="B1501" s="816" t="s">
        <v>358</v>
      </c>
      <c r="C1501" s="758"/>
      <c r="D1501" s="758"/>
      <c r="E1501" s="759">
        <v>0</v>
      </c>
      <c r="F1501" s="761"/>
      <c r="G1501" s="762"/>
      <c r="H1501" s="758"/>
      <c r="I1501" s="758"/>
      <c r="J1501" s="759">
        <v>0</v>
      </c>
      <c r="K1501" s="761"/>
      <c r="L1501" s="765"/>
      <c r="M1501" s="758"/>
      <c r="N1501" s="758"/>
      <c r="O1501" s="759">
        <v>0</v>
      </c>
      <c r="P1501" s="761"/>
      <c r="Q1501" s="438"/>
      <c r="R1501" s="1206"/>
      <c r="S1501" s="1206"/>
      <c r="T1501" s="1207">
        <v>0</v>
      </c>
      <c r="U1501" s="1201"/>
      <c r="V1501" s="1209"/>
      <c r="W1501" s="1206"/>
      <c r="X1501" s="1206"/>
      <c r="Y1501" s="1207">
        <v>0</v>
      </c>
      <c r="Z1501" s="1201"/>
      <c r="AA1501" s="1203">
        <f t="shared" si="195"/>
        <v>0</v>
      </c>
      <c r="AB1501" s="1225">
        <f t="shared" si="196"/>
        <v>0</v>
      </c>
      <c r="AC1501" s="1166"/>
      <c r="AD1501" s="1206"/>
      <c r="AE1501" s="1206"/>
      <c r="AF1501" s="1207"/>
      <c r="AG1501" s="1203">
        <f t="shared" si="197"/>
        <v>0</v>
      </c>
    </row>
    <row r="1502" spans="2:40">
      <c r="B1502" s="816" t="s">
        <v>1135</v>
      </c>
      <c r="C1502" s="758"/>
      <c r="D1502" s="758"/>
      <c r="E1502" s="759">
        <v>0</v>
      </c>
      <c r="F1502" s="761"/>
      <c r="G1502" s="762"/>
      <c r="H1502" s="758"/>
      <c r="I1502" s="758"/>
      <c r="J1502" s="759">
        <v>0</v>
      </c>
      <c r="K1502" s="761"/>
      <c r="L1502" s="765"/>
      <c r="M1502" s="758"/>
      <c r="N1502" s="758"/>
      <c r="O1502" s="759">
        <v>0</v>
      </c>
      <c r="P1502" s="761"/>
      <c r="Q1502" s="438"/>
      <c r="R1502" s="1206"/>
      <c r="S1502" s="1206"/>
      <c r="T1502" s="1207">
        <v>0</v>
      </c>
      <c r="U1502" s="1201"/>
      <c r="V1502" s="1209"/>
      <c r="W1502" s="1206"/>
      <c r="X1502" s="1206"/>
      <c r="Y1502" s="1207">
        <v>0</v>
      </c>
      <c r="Z1502" s="1201"/>
      <c r="AA1502" s="1203">
        <f t="shared" si="195"/>
        <v>0</v>
      </c>
      <c r="AB1502" s="1225">
        <f t="shared" si="196"/>
        <v>0</v>
      </c>
      <c r="AC1502" s="1166"/>
      <c r="AD1502" s="1206"/>
      <c r="AE1502" s="1206"/>
      <c r="AF1502" s="1207"/>
      <c r="AG1502" s="1203">
        <f t="shared" si="197"/>
        <v>0</v>
      </c>
    </row>
    <row r="1503" spans="2:40">
      <c r="B1503" s="816" t="s">
        <v>411</v>
      </c>
      <c r="C1503" s="758"/>
      <c r="D1503" s="758"/>
      <c r="E1503" s="759">
        <v>0</v>
      </c>
      <c r="F1503" s="761"/>
      <c r="G1503" s="762"/>
      <c r="H1503" s="758"/>
      <c r="I1503" s="758"/>
      <c r="J1503" s="759">
        <v>0</v>
      </c>
      <c r="K1503" s="761"/>
      <c r="L1503" s="765"/>
      <c r="M1503" s="758"/>
      <c r="N1503" s="758"/>
      <c r="O1503" s="759">
        <v>0</v>
      </c>
      <c r="P1503" s="761"/>
      <c r="Q1503" s="438"/>
      <c r="R1503" s="1206"/>
      <c r="S1503" s="1206"/>
      <c r="T1503" s="1207">
        <v>0</v>
      </c>
      <c r="U1503" s="1201"/>
      <c r="V1503" s="1209"/>
      <c r="W1503" s="1206"/>
      <c r="X1503" s="1206"/>
      <c r="Y1503" s="1207">
        <v>0</v>
      </c>
      <c r="Z1503" s="1201"/>
      <c r="AA1503" s="1203">
        <f t="shared" si="195"/>
        <v>0</v>
      </c>
      <c r="AB1503" s="1225">
        <f t="shared" si="196"/>
        <v>0</v>
      </c>
      <c r="AC1503" s="1166"/>
      <c r="AD1503" s="1206"/>
      <c r="AE1503" s="1206"/>
      <c r="AF1503" s="1207"/>
      <c r="AG1503" s="1203">
        <f t="shared" si="197"/>
        <v>0</v>
      </c>
    </row>
    <row r="1504" spans="2:40">
      <c r="B1504" s="816" t="s">
        <v>361</v>
      </c>
      <c r="C1504" s="758"/>
      <c r="D1504" s="758"/>
      <c r="E1504" s="759">
        <v>0</v>
      </c>
      <c r="F1504" s="761"/>
      <c r="G1504" s="762"/>
      <c r="H1504" s="758"/>
      <c r="I1504" s="758"/>
      <c r="J1504" s="759">
        <v>0</v>
      </c>
      <c r="K1504" s="761"/>
      <c r="L1504" s="765"/>
      <c r="M1504" s="758"/>
      <c r="N1504" s="758"/>
      <c r="O1504" s="759">
        <v>0</v>
      </c>
      <c r="P1504" s="761"/>
      <c r="Q1504" s="438"/>
      <c r="R1504" s="1206"/>
      <c r="S1504" s="1206"/>
      <c r="T1504" s="1207">
        <v>0</v>
      </c>
      <c r="U1504" s="1201"/>
      <c r="V1504" s="1209"/>
      <c r="W1504" s="1206"/>
      <c r="X1504" s="1206"/>
      <c r="Y1504" s="1207">
        <v>0</v>
      </c>
      <c r="Z1504" s="1201"/>
      <c r="AA1504" s="1203">
        <f t="shared" si="195"/>
        <v>0</v>
      </c>
      <c r="AB1504" s="1225">
        <f t="shared" si="196"/>
        <v>0</v>
      </c>
      <c r="AC1504" s="1166"/>
      <c r="AD1504" s="1206"/>
      <c r="AE1504" s="1206"/>
      <c r="AF1504" s="1207"/>
      <c r="AG1504" s="1203">
        <f t="shared" si="197"/>
        <v>0</v>
      </c>
    </row>
    <row r="1505" spans="2:42">
      <c r="B1505" s="816" t="s">
        <v>362</v>
      </c>
      <c r="C1505" s="758"/>
      <c r="D1505" s="766"/>
      <c r="E1505" s="759">
        <v>0</v>
      </c>
      <c r="F1505" s="761"/>
      <c r="G1505" s="762"/>
      <c r="H1505" s="758"/>
      <c r="I1505" s="766"/>
      <c r="J1505" s="759">
        <v>0</v>
      </c>
      <c r="K1505" s="761"/>
      <c r="L1505" s="765"/>
      <c r="M1505" s="758"/>
      <c r="N1505" s="766"/>
      <c r="O1505" s="759">
        <v>0</v>
      </c>
      <c r="P1505" s="761"/>
      <c r="Q1505" s="438"/>
      <c r="R1505" s="1206"/>
      <c r="S1505" s="1305"/>
      <c r="T1505" s="1207">
        <v>0</v>
      </c>
      <c r="U1505" s="1201"/>
      <c r="V1505" s="1209"/>
      <c r="W1505" s="1206"/>
      <c r="X1505" s="1305"/>
      <c r="Y1505" s="1207">
        <v>0</v>
      </c>
      <c r="Z1505" s="1201"/>
      <c r="AA1505" s="1203">
        <f t="shared" si="195"/>
        <v>0</v>
      </c>
      <c r="AB1505" s="1225">
        <f t="shared" si="196"/>
        <v>0</v>
      </c>
      <c r="AC1505" s="1166"/>
      <c r="AD1505" s="1206"/>
      <c r="AE1505" s="1206"/>
      <c r="AF1505" s="1207"/>
      <c r="AG1505" s="1203">
        <f t="shared" si="197"/>
        <v>0</v>
      </c>
    </row>
    <row r="1506" spans="2:42">
      <c r="B1506" s="817" t="s">
        <v>355</v>
      </c>
      <c r="C1506" s="758"/>
      <c r="D1506" s="758"/>
      <c r="E1506" s="759">
        <v>0</v>
      </c>
      <c r="F1506" s="761"/>
      <c r="G1506" s="762"/>
      <c r="H1506" s="758"/>
      <c r="I1506" s="758"/>
      <c r="J1506" s="759">
        <v>0</v>
      </c>
      <c r="K1506" s="761"/>
      <c r="L1506" s="765"/>
      <c r="M1506" s="758"/>
      <c r="N1506" s="758"/>
      <c r="O1506" s="759">
        <v>0</v>
      </c>
      <c r="P1506" s="761"/>
      <c r="Q1506" s="438"/>
      <c r="R1506" s="1206"/>
      <c r="S1506" s="1206"/>
      <c r="T1506" s="1207">
        <v>0</v>
      </c>
      <c r="U1506" s="1201"/>
      <c r="V1506" s="1209"/>
      <c r="W1506" s="1206"/>
      <c r="X1506" s="1206"/>
      <c r="Y1506" s="1207">
        <v>0</v>
      </c>
      <c r="Z1506" s="1201"/>
      <c r="AA1506" s="1203">
        <f t="shared" si="195"/>
        <v>0</v>
      </c>
      <c r="AB1506" s="1225">
        <f t="shared" si="196"/>
        <v>0</v>
      </c>
      <c r="AC1506" s="1166"/>
      <c r="AD1506" s="1206"/>
      <c r="AE1506" s="1206"/>
      <c r="AF1506" s="1207"/>
      <c r="AG1506" s="1203">
        <f t="shared" si="197"/>
        <v>0</v>
      </c>
    </row>
    <row r="1507" spans="2:42">
      <c r="B1507" s="817" t="s">
        <v>356</v>
      </c>
      <c r="C1507" s="818"/>
      <c r="D1507" s="818"/>
      <c r="E1507" s="759">
        <v>0</v>
      </c>
      <c r="F1507" s="761"/>
      <c r="G1507" s="765"/>
      <c r="H1507" s="766"/>
      <c r="I1507" s="766"/>
      <c r="J1507" s="759">
        <v>0</v>
      </c>
      <c r="K1507" s="761"/>
      <c r="L1507" s="765"/>
      <c r="M1507" s="766"/>
      <c r="N1507" s="766"/>
      <c r="O1507" s="759">
        <v>0</v>
      </c>
      <c r="P1507" s="761"/>
      <c r="Q1507" s="438"/>
      <c r="R1507" s="1305"/>
      <c r="S1507" s="1305"/>
      <c r="T1507" s="1207">
        <v>0</v>
      </c>
      <c r="U1507" s="1201"/>
      <c r="V1507" s="1209"/>
      <c r="W1507" s="1305"/>
      <c r="X1507" s="1305"/>
      <c r="Y1507" s="1207">
        <v>0</v>
      </c>
      <c r="Z1507" s="1201"/>
      <c r="AA1507" s="1203">
        <f t="shared" si="195"/>
        <v>0</v>
      </c>
      <c r="AB1507" s="1225">
        <f t="shared" si="196"/>
        <v>0</v>
      </c>
      <c r="AC1507" s="1166"/>
      <c r="AD1507" s="1206"/>
      <c r="AE1507" s="1206"/>
      <c r="AF1507" s="1207"/>
      <c r="AG1507" s="1203">
        <f t="shared" si="197"/>
        <v>0</v>
      </c>
    </row>
    <row r="1508" spans="2:42">
      <c r="B1508" s="767" t="s">
        <v>61</v>
      </c>
      <c r="C1508" s="767"/>
      <c r="D1508" s="767"/>
      <c r="E1508" s="760">
        <f>SUM(E1487:E1507)</f>
        <v>0</v>
      </c>
      <c r="F1508" s="761"/>
      <c r="G1508" s="767"/>
      <c r="H1508" s="767"/>
      <c r="I1508" s="767"/>
      <c r="J1508" s="760">
        <f>SUM(J1487:J1507)</f>
        <v>0</v>
      </c>
      <c r="K1508" s="761"/>
      <c r="L1508" s="767"/>
      <c r="M1508" s="767"/>
      <c r="N1508" s="767"/>
      <c r="O1508" s="760">
        <f>SUM(O1487:O1507)</f>
        <v>0</v>
      </c>
      <c r="P1508" s="761"/>
      <c r="Q1508" s="31"/>
      <c r="R1508" s="1199"/>
      <c r="S1508" s="1199"/>
      <c r="T1508" s="1200">
        <f>SUM(T1487:T1507)</f>
        <v>0</v>
      </c>
      <c r="U1508" s="1201"/>
      <c r="V1508" s="1199"/>
      <c r="W1508" s="1199"/>
      <c r="X1508" s="1199"/>
      <c r="Y1508" s="1200">
        <f>SUM(Y1487:Y1507)</f>
        <v>0</v>
      </c>
      <c r="Z1508" s="1201"/>
      <c r="AA1508" s="1203">
        <f>SUM(AA1487:AA1507)</f>
        <v>0</v>
      </c>
      <c r="AB1508" s="1203">
        <f>SUM(AB1487:AB1507)</f>
        <v>0</v>
      </c>
      <c r="AC1508" s="1166"/>
      <c r="AD1508" s="1199"/>
      <c r="AE1508" s="1199"/>
      <c r="AF1508" s="1203">
        <f>SUM(AF1487:AF1507)</f>
        <v>0</v>
      </c>
      <c r="AG1508" s="1203">
        <f>SUM(AG1487:AG1507)</f>
        <v>0</v>
      </c>
    </row>
    <row r="1509" spans="2:42">
      <c r="B1509" s="816" t="s">
        <v>1116</v>
      </c>
      <c r="C1509" s="758"/>
      <c r="D1509" s="758"/>
      <c r="E1509" s="759">
        <v>0</v>
      </c>
      <c r="F1509" s="761"/>
      <c r="G1509" s="762"/>
      <c r="H1509" s="758"/>
      <c r="I1509" s="758"/>
      <c r="J1509" s="759">
        <v>0</v>
      </c>
      <c r="K1509" s="761"/>
      <c r="L1509" s="762"/>
      <c r="M1509" s="758"/>
      <c r="N1509" s="758"/>
      <c r="O1509" s="759">
        <v>0</v>
      </c>
      <c r="P1509" s="761"/>
      <c r="R1509" s="1206"/>
      <c r="S1509" s="1206"/>
      <c r="T1509" s="1207">
        <v>0</v>
      </c>
      <c r="U1509" s="1201"/>
      <c r="V1509" s="1166"/>
      <c r="W1509" s="1206"/>
      <c r="X1509" s="1206"/>
      <c r="Y1509" s="1207">
        <v>0</v>
      </c>
      <c r="Z1509" s="1201"/>
      <c r="AA1509" s="1203">
        <f>(E1509+J1509+O1509+T1509+Y1509)</f>
        <v>0</v>
      </c>
      <c r="AB1509" s="1225">
        <f>Z1509+U1509+P1509+K1509+F1509</f>
        <v>0</v>
      </c>
      <c r="AC1509" s="1166"/>
      <c r="AD1509" s="1206"/>
      <c r="AE1509" s="1206"/>
      <c r="AF1509" s="1207"/>
      <c r="AG1509" s="1203">
        <f>AF1509</f>
        <v>0</v>
      </c>
    </row>
    <row r="1510" spans="2:42">
      <c r="B1510" s="816" t="s">
        <v>64</v>
      </c>
      <c r="C1510" s="758"/>
      <c r="D1510" s="758"/>
      <c r="E1510" s="759">
        <v>0</v>
      </c>
      <c r="F1510" s="759"/>
      <c r="G1510" s="819"/>
      <c r="H1510" s="758"/>
      <c r="I1510" s="758"/>
      <c r="J1510" s="759">
        <v>0</v>
      </c>
      <c r="K1510" s="759"/>
      <c r="L1510" s="765"/>
      <c r="M1510" s="758"/>
      <c r="N1510" s="758"/>
      <c r="O1510" s="759">
        <v>0</v>
      </c>
      <c r="P1510" s="759"/>
      <c r="Q1510" s="438"/>
      <c r="R1510" s="1206"/>
      <c r="S1510" s="1206"/>
      <c r="T1510" s="1207">
        <v>0</v>
      </c>
      <c r="U1510" s="1207"/>
      <c r="V1510" s="1209"/>
      <c r="W1510" s="1206"/>
      <c r="X1510" s="1206"/>
      <c r="Y1510" s="1207">
        <v>0</v>
      </c>
      <c r="Z1510" s="1207"/>
      <c r="AA1510" s="1203">
        <f>SUM(E1510+J1510+O1510+T1510+Y1510)</f>
        <v>0</v>
      </c>
      <c r="AB1510" s="1173">
        <f>Z1510+U1510+P1510+K1510+F1510</f>
        <v>0</v>
      </c>
      <c r="AC1510" s="1166"/>
      <c r="AD1510" s="1206" t="s">
        <v>29</v>
      </c>
      <c r="AE1510" s="1206" t="s">
        <v>29</v>
      </c>
      <c r="AF1510" s="1207"/>
      <c r="AG1510" s="1203">
        <f>AF1510</f>
        <v>0</v>
      </c>
    </row>
    <row r="1511" spans="2:42">
      <c r="B1511" s="819" t="s">
        <v>66</v>
      </c>
      <c r="C1511" s="820"/>
      <c r="D1511" s="820"/>
      <c r="E1511" s="819"/>
      <c r="F1511" s="819"/>
      <c r="G1511" s="819"/>
      <c r="H1511" s="819"/>
      <c r="I1511" s="819"/>
      <c r="J1511" s="819"/>
      <c r="K1511" s="819"/>
      <c r="L1511" s="819"/>
      <c r="M1511" s="819"/>
      <c r="N1511" s="819"/>
      <c r="O1511" s="819"/>
      <c r="P1511" s="819"/>
      <c r="Q1511" s="71"/>
      <c r="R1511" s="1208"/>
      <c r="S1511" s="1208"/>
      <c r="T1511" s="1208"/>
      <c r="U1511" s="1208"/>
      <c r="V1511" s="1208"/>
      <c r="W1511" s="1208"/>
      <c r="X1511" s="1208"/>
      <c r="Y1511" s="1208"/>
      <c r="Z1511" s="1208"/>
      <c r="AA1511" s="1203">
        <f>SUM(AA1509:AA1510)</f>
        <v>0</v>
      </c>
      <c r="AB1511" s="1203">
        <f>SUM(AB1510:AB1510)</f>
        <v>0</v>
      </c>
      <c r="AC1511" s="1166"/>
      <c r="AD1511" s="1169"/>
      <c r="AE1511" s="1169"/>
      <c r="AF1511" s="1169"/>
      <c r="AG1511" s="1203">
        <f>SUM(AG1510:AG1510)</f>
        <v>0</v>
      </c>
      <c r="AK1511" s="407"/>
    </row>
    <row r="1512" spans="2:42">
      <c r="B1512" s="821" t="s">
        <v>67</v>
      </c>
      <c r="C1512" s="822">
        <f>C1513+C1514</f>
        <v>0</v>
      </c>
      <c r="D1512" s="822"/>
      <c r="E1512" s="823"/>
      <c r="F1512" s="823"/>
      <c r="G1512" s="822"/>
      <c r="H1512" s="823"/>
      <c r="I1512" s="823"/>
      <c r="J1512" s="823"/>
      <c r="K1512" s="823"/>
      <c r="L1512" s="822"/>
      <c r="M1512" s="822"/>
      <c r="N1512" s="822"/>
      <c r="O1512" s="822"/>
      <c r="P1512" s="823"/>
      <c r="Q1512" s="900"/>
      <c r="R1512" s="900"/>
      <c r="S1512" s="900"/>
      <c r="T1512" s="900"/>
      <c r="U1512" s="901"/>
      <c r="V1512" s="900"/>
      <c r="W1512" s="900"/>
      <c r="X1512" s="900"/>
      <c r="Y1512" s="902"/>
      <c r="Z1512" s="901"/>
      <c r="AA1512" s="903"/>
      <c r="AB1512" s="901"/>
      <c r="AC1512" s="903"/>
      <c r="AD1512" s="903"/>
      <c r="AE1512" s="903"/>
      <c r="AF1512" s="903"/>
      <c r="AG1512" s="903"/>
      <c r="AK1512" s="407"/>
    </row>
    <row r="1513" spans="2:42">
      <c r="B1513" s="826" t="s">
        <v>68</v>
      </c>
      <c r="C1513" s="822">
        <v>0</v>
      </c>
      <c r="D1513" s="822"/>
      <c r="E1513" s="823"/>
      <c r="F1513" s="823"/>
      <c r="G1513" s="822"/>
      <c r="H1513" s="823"/>
      <c r="I1513" s="823"/>
      <c r="J1513" s="823"/>
      <c r="K1513" s="823"/>
      <c r="L1513" s="822"/>
      <c r="M1513" s="822"/>
      <c r="N1513" s="822"/>
      <c r="O1513" s="822"/>
      <c r="P1513" s="823"/>
      <c r="Q1513" s="900"/>
      <c r="R1513" s="900"/>
      <c r="S1513" s="900"/>
      <c r="T1513" s="900"/>
      <c r="U1513" s="901"/>
      <c r="V1513" s="900"/>
      <c r="W1513" s="900"/>
      <c r="X1513" s="900"/>
      <c r="Y1513" s="902"/>
      <c r="Z1513" s="901"/>
      <c r="AA1513" s="903"/>
      <c r="AB1513" s="901"/>
      <c r="AC1513" s="903"/>
      <c r="AD1513" s="903"/>
      <c r="AE1513" s="903"/>
      <c r="AF1513" s="903"/>
      <c r="AG1513" s="903"/>
      <c r="AK1513" s="407"/>
    </row>
    <row r="1514" spans="2:42">
      <c r="B1514" s="826" t="s">
        <v>69</v>
      </c>
      <c r="C1514" s="822">
        <v>0</v>
      </c>
      <c r="D1514" s="822"/>
      <c r="E1514" s="823"/>
      <c r="F1514" s="823"/>
      <c r="G1514" s="822"/>
      <c r="H1514" s="823"/>
      <c r="I1514" s="823"/>
      <c r="J1514" s="823"/>
      <c r="K1514" s="823"/>
      <c r="L1514" s="822"/>
      <c r="M1514" s="822"/>
      <c r="N1514" s="822"/>
      <c r="O1514" s="822"/>
      <c r="P1514" s="823"/>
      <c r="Q1514" s="900"/>
      <c r="R1514" s="900"/>
      <c r="S1514" s="900"/>
      <c r="T1514" s="900"/>
      <c r="U1514" s="901"/>
      <c r="V1514" s="900"/>
      <c r="W1514" s="900"/>
      <c r="X1514" s="900"/>
      <c r="Y1514" s="902"/>
      <c r="Z1514" s="901"/>
      <c r="AA1514" s="903"/>
      <c r="AB1514" s="901"/>
      <c r="AC1514" s="903"/>
      <c r="AD1514" s="903"/>
      <c r="AE1514" s="903"/>
      <c r="AF1514" s="903"/>
      <c r="AG1514" s="903"/>
    </row>
    <row r="1517" spans="2:42" ht="25.5">
      <c r="B1517" s="1571"/>
      <c r="C1517" s="1572">
        <v>46027</v>
      </c>
      <c r="D1517" s="1572"/>
      <c r="E1517" s="1572" t="s">
        <v>564</v>
      </c>
      <c r="F1517" s="1572"/>
      <c r="G1517" s="847"/>
      <c r="H1517" s="1572">
        <v>46028</v>
      </c>
      <c r="I1517" s="1572"/>
      <c r="J1517" s="1572" t="s">
        <v>565</v>
      </c>
      <c r="K1517" s="1572"/>
      <c r="L1517" s="847"/>
      <c r="M1517" s="1572">
        <v>46029</v>
      </c>
      <c r="N1517" s="1572"/>
      <c r="O1517" s="1572" t="s">
        <v>566</v>
      </c>
      <c r="P1517" s="1572"/>
      <c r="Q1517" s="847"/>
      <c r="R1517" s="1572">
        <v>46030</v>
      </c>
      <c r="S1517" s="1572"/>
      <c r="T1517" s="1572" t="s">
        <v>567</v>
      </c>
      <c r="U1517" s="1572"/>
      <c r="V1517" s="847"/>
      <c r="W1517" s="1572">
        <v>46031</v>
      </c>
      <c r="X1517" s="1572"/>
      <c r="Y1517" s="1572" t="s">
        <v>568</v>
      </c>
      <c r="Z1517" s="1572"/>
      <c r="AA1517" s="1573" t="s">
        <v>19</v>
      </c>
      <c r="AB1517" s="1573" t="s">
        <v>20</v>
      </c>
      <c r="AC1517" s="848"/>
      <c r="AD1517" s="1572"/>
      <c r="AE1517" s="1572"/>
      <c r="AF1517" s="849" t="s">
        <v>1111</v>
      </c>
      <c r="AG1517" s="1573" t="s">
        <v>21</v>
      </c>
      <c r="AK1517" s="194" t="s">
        <v>84</v>
      </c>
      <c r="AL1517" s="366"/>
      <c r="AM1517" s="366"/>
      <c r="AN1517" s="366"/>
      <c r="AO1517" s="366"/>
      <c r="AP1517" s="366"/>
    </row>
    <row r="1518" spans="2:42">
      <c r="B1518" s="1571"/>
      <c r="C1518" s="854" t="s">
        <v>23</v>
      </c>
      <c r="D1518" s="854" t="s">
        <v>24</v>
      </c>
      <c r="E1518" s="855" t="s">
        <v>25</v>
      </c>
      <c r="F1518" s="856" t="s">
        <v>14</v>
      </c>
      <c r="G1518" s="848"/>
      <c r="H1518" s="854"/>
      <c r="I1518" s="854" t="s">
        <v>24</v>
      </c>
      <c r="J1518" s="856" t="s">
        <v>25</v>
      </c>
      <c r="K1518" s="856" t="s">
        <v>14</v>
      </c>
      <c r="L1518" s="848"/>
      <c r="M1518" s="854" t="s">
        <v>23</v>
      </c>
      <c r="N1518" s="854" t="s">
        <v>24</v>
      </c>
      <c r="O1518" s="856" t="s">
        <v>25</v>
      </c>
      <c r="P1518" s="856" t="s">
        <v>14</v>
      </c>
      <c r="Q1518" s="848"/>
      <c r="R1518" s="854" t="s">
        <v>23</v>
      </c>
      <c r="S1518" s="854" t="s">
        <v>24</v>
      </c>
      <c r="T1518" s="856" t="s">
        <v>25</v>
      </c>
      <c r="U1518" s="856" t="s">
        <v>14</v>
      </c>
      <c r="V1518" s="848"/>
      <c r="W1518" s="854" t="s">
        <v>23</v>
      </c>
      <c r="X1518" s="854" t="s">
        <v>24</v>
      </c>
      <c r="Y1518" s="856" t="s">
        <v>25</v>
      </c>
      <c r="Z1518" s="856" t="s">
        <v>14</v>
      </c>
      <c r="AA1518" s="1573"/>
      <c r="AB1518" s="1573"/>
      <c r="AC1518" s="848"/>
      <c r="AD1518" s="854" t="s">
        <v>23</v>
      </c>
      <c r="AE1518" s="854" t="s">
        <v>24</v>
      </c>
      <c r="AF1518" s="856" t="s">
        <v>25</v>
      </c>
      <c r="AG1518" s="1573"/>
      <c r="AK1518" s="188" t="s">
        <v>26</v>
      </c>
      <c r="AL1518" s="196">
        <f>AA1540</f>
        <v>40</v>
      </c>
      <c r="AM1518" s="510">
        <v>40.31</v>
      </c>
      <c r="AN1518" s="510">
        <f t="shared" ref="AN1518:AN1523" si="198">AL1518*AM1518</f>
        <v>1612.4</v>
      </c>
    </row>
    <row r="1519" spans="2:42">
      <c r="B1519" s="47" t="s">
        <v>515</v>
      </c>
      <c r="C1519" s="861"/>
      <c r="D1519" s="861"/>
      <c r="E1519" s="862">
        <v>0</v>
      </c>
      <c r="F1519" s="863"/>
      <c r="G1519" s="848"/>
      <c r="H1519" s="861"/>
      <c r="I1519" s="861"/>
      <c r="J1519" s="862">
        <v>0</v>
      </c>
      <c r="K1519" s="863"/>
      <c r="L1519" s="848"/>
      <c r="M1519" s="861"/>
      <c r="N1519" s="861"/>
      <c r="O1519" s="862">
        <v>0</v>
      </c>
      <c r="P1519" s="863"/>
      <c r="Q1519" s="848"/>
      <c r="R1519" s="861"/>
      <c r="S1519" s="861"/>
      <c r="T1519" s="862">
        <v>0</v>
      </c>
      <c r="U1519" s="863"/>
      <c r="V1519" s="848"/>
      <c r="W1519" s="861"/>
      <c r="X1519" s="861"/>
      <c r="Y1519" s="862">
        <v>0</v>
      </c>
      <c r="Z1519" s="863"/>
      <c r="AA1519" s="864">
        <f t="shared" ref="AA1519:AA1539" si="199">(E1519+J1519+O1519+T1519+Y1519)</f>
        <v>0</v>
      </c>
      <c r="AB1519" s="865">
        <f t="shared" ref="AB1519:AB1539" si="200">Z1519+U1519+P1519+K1519+F1519</f>
        <v>0</v>
      </c>
      <c r="AC1519" s="848"/>
      <c r="AD1519" s="851"/>
      <c r="AE1519" s="851"/>
      <c r="AF1519" s="862"/>
      <c r="AG1519" s="864">
        <f t="shared" ref="AG1519:AG1539" si="201">AF1519</f>
        <v>0</v>
      </c>
      <c r="AK1519" s="188" t="s">
        <v>30</v>
      </c>
      <c r="AL1519" s="196">
        <f>AB1540</f>
        <v>0</v>
      </c>
      <c r="AM1519" s="510">
        <v>60.465000000000003</v>
      </c>
      <c r="AN1519" s="510">
        <f t="shared" si="198"/>
        <v>0</v>
      </c>
    </row>
    <row r="1520" spans="2:42">
      <c r="B1520" s="47" t="s">
        <v>1112</v>
      </c>
      <c r="C1520" s="861"/>
      <c r="D1520" s="861"/>
      <c r="E1520" s="862">
        <v>0</v>
      </c>
      <c r="F1520" s="863"/>
      <c r="G1520" s="848"/>
      <c r="H1520" s="861"/>
      <c r="I1520" s="861"/>
      <c r="J1520" s="862">
        <v>0</v>
      </c>
      <c r="K1520" s="863"/>
      <c r="L1520" s="848"/>
      <c r="M1520" s="861"/>
      <c r="N1520" s="861"/>
      <c r="O1520" s="862">
        <v>0</v>
      </c>
      <c r="P1520" s="863"/>
      <c r="Q1520" s="848"/>
      <c r="R1520" s="861"/>
      <c r="S1520" s="861"/>
      <c r="T1520" s="862">
        <v>0</v>
      </c>
      <c r="U1520" s="863"/>
      <c r="V1520" s="848"/>
      <c r="W1520" s="861">
        <v>0.39583333333333331</v>
      </c>
      <c r="X1520" s="861">
        <v>0.27083333333333331</v>
      </c>
      <c r="Y1520" s="862">
        <v>8</v>
      </c>
      <c r="Z1520" s="863"/>
      <c r="AA1520" s="864">
        <f t="shared" si="199"/>
        <v>8</v>
      </c>
      <c r="AB1520" s="865">
        <f t="shared" si="200"/>
        <v>0</v>
      </c>
      <c r="AC1520" s="848"/>
      <c r="AD1520" s="861"/>
      <c r="AE1520" s="861"/>
      <c r="AF1520" s="862"/>
      <c r="AG1520" s="864">
        <f t="shared" si="201"/>
        <v>0</v>
      </c>
      <c r="AK1520" s="188" t="s">
        <v>32</v>
      </c>
      <c r="AL1520" s="196">
        <f>AG1540</f>
        <v>0</v>
      </c>
      <c r="AM1520" s="510">
        <v>60.465000000000003</v>
      </c>
      <c r="AN1520" s="510">
        <f t="shared" si="198"/>
        <v>0</v>
      </c>
    </row>
    <row r="1521" spans="2:40">
      <c r="B1521" s="47" t="s">
        <v>1141</v>
      </c>
      <c r="C1521" s="861"/>
      <c r="D1521" s="861"/>
      <c r="E1521" s="862">
        <v>0</v>
      </c>
      <c r="F1521" s="863"/>
      <c r="G1521" s="848"/>
      <c r="H1521" s="861"/>
      <c r="I1521" s="861"/>
      <c r="J1521" s="862">
        <v>0</v>
      </c>
      <c r="K1521" s="863"/>
      <c r="L1521" s="848"/>
      <c r="M1521" s="861"/>
      <c r="N1521" s="861"/>
      <c r="O1521" s="862">
        <v>0</v>
      </c>
      <c r="P1521" s="863"/>
      <c r="Q1521" s="848"/>
      <c r="R1521" s="861"/>
      <c r="S1521" s="861"/>
      <c r="T1521" s="862">
        <v>0</v>
      </c>
      <c r="U1521" s="863"/>
      <c r="V1521" s="848"/>
      <c r="W1521" s="861"/>
      <c r="X1521" s="861"/>
      <c r="Y1521" s="862">
        <v>0</v>
      </c>
      <c r="Z1521" s="863"/>
      <c r="AA1521" s="864">
        <f t="shared" si="199"/>
        <v>0</v>
      </c>
      <c r="AB1521" s="865">
        <f t="shared" si="200"/>
        <v>0</v>
      </c>
      <c r="AC1521" s="848"/>
      <c r="AD1521" s="861"/>
      <c r="AE1521" s="861"/>
      <c r="AF1521" s="862"/>
      <c r="AG1521" s="864">
        <f t="shared" si="201"/>
        <v>0</v>
      </c>
      <c r="AK1521" s="188" t="s">
        <v>213</v>
      </c>
      <c r="AL1521" s="196">
        <f>AA1543</f>
        <v>16</v>
      </c>
      <c r="AM1521" s="510">
        <v>53.05</v>
      </c>
      <c r="AN1521" s="510">
        <f t="shared" si="198"/>
        <v>848.8</v>
      </c>
    </row>
    <row r="1522" spans="2:40">
      <c r="B1522" s="47" t="s">
        <v>72</v>
      </c>
      <c r="C1522" s="861"/>
      <c r="D1522" s="861"/>
      <c r="E1522" s="862">
        <v>0</v>
      </c>
      <c r="F1522" s="863"/>
      <c r="G1522" s="848"/>
      <c r="H1522" s="861"/>
      <c r="I1522" s="861"/>
      <c r="J1522" s="862">
        <v>0</v>
      </c>
      <c r="K1522" s="863"/>
      <c r="L1522" s="848"/>
      <c r="M1522" s="861"/>
      <c r="N1522" s="861"/>
      <c r="O1522" s="862">
        <v>0</v>
      </c>
      <c r="P1522" s="863"/>
      <c r="Q1522" s="848"/>
      <c r="R1522" s="861"/>
      <c r="S1522" s="861"/>
      <c r="T1522" s="862">
        <v>0</v>
      </c>
      <c r="U1522" s="863"/>
      <c r="V1522" s="848"/>
      <c r="W1522" s="861"/>
      <c r="X1522" s="861"/>
      <c r="Y1522" s="862">
        <v>0</v>
      </c>
      <c r="Z1522" s="863"/>
      <c r="AA1522" s="864">
        <f t="shared" si="199"/>
        <v>0</v>
      </c>
      <c r="AB1522" s="865">
        <f t="shared" si="200"/>
        <v>0</v>
      </c>
      <c r="AC1522" s="848"/>
      <c r="AD1522" s="861"/>
      <c r="AE1522" s="861"/>
      <c r="AF1522" s="862"/>
      <c r="AG1522" s="864">
        <f t="shared" si="201"/>
        <v>0</v>
      </c>
      <c r="AK1522" s="188" t="s">
        <v>36</v>
      </c>
      <c r="AL1522" s="196">
        <f>AB1543</f>
        <v>0</v>
      </c>
      <c r="AM1522" s="510">
        <v>79.574999999999989</v>
      </c>
      <c r="AN1522" s="510">
        <f t="shared" si="198"/>
        <v>0</v>
      </c>
    </row>
    <row r="1523" spans="2:40">
      <c r="B1523" s="374" t="s">
        <v>998</v>
      </c>
      <c r="C1523" s="861"/>
      <c r="D1523" s="861"/>
      <c r="E1523" s="862">
        <v>0</v>
      </c>
      <c r="F1523" s="863"/>
      <c r="G1523" s="848"/>
      <c r="H1523" s="861">
        <v>0.375</v>
      </c>
      <c r="I1523" s="861">
        <v>0.25</v>
      </c>
      <c r="J1523" s="862">
        <v>8</v>
      </c>
      <c r="K1523" s="863"/>
      <c r="L1523" s="848"/>
      <c r="M1523" s="861">
        <v>0.375</v>
      </c>
      <c r="N1523" s="861">
        <v>0.25</v>
      </c>
      <c r="O1523" s="862">
        <v>8</v>
      </c>
      <c r="P1523" s="863"/>
      <c r="Q1523" s="848"/>
      <c r="R1523" s="861"/>
      <c r="S1523" s="861"/>
      <c r="T1523" s="862">
        <v>0</v>
      </c>
      <c r="U1523" s="863"/>
      <c r="V1523" s="848"/>
      <c r="W1523" s="861"/>
      <c r="X1523" s="861"/>
      <c r="Y1523" s="862">
        <v>0</v>
      </c>
      <c r="Z1523" s="863"/>
      <c r="AA1523" s="864">
        <f t="shared" si="199"/>
        <v>16</v>
      </c>
      <c r="AB1523" s="865">
        <f t="shared" si="200"/>
        <v>0</v>
      </c>
      <c r="AC1523" s="848"/>
      <c r="AD1523" s="861"/>
      <c r="AE1523" s="861"/>
      <c r="AF1523" s="862"/>
      <c r="AG1523" s="864">
        <f t="shared" si="201"/>
        <v>0</v>
      </c>
      <c r="AK1523" s="188" t="s">
        <v>38</v>
      </c>
      <c r="AL1523" s="196">
        <f>AG1543</f>
        <v>0</v>
      </c>
      <c r="AM1523" s="510">
        <v>79.574999999999989</v>
      </c>
      <c r="AN1523" s="510">
        <f t="shared" si="198"/>
        <v>0</v>
      </c>
    </row>
    <row r="1524" spans="2:40">
      <c r="B1524" s="47" t="s">
        <v>53</v>
      </c>
      <c r="C1524" s="861"/>
      <c r="D1524" s="861"/>
      <c r="E1524" s="862">
        <v>0</v>
      </c>
      <c r="F1524" s="863"/>
      <c r="G1524" s="848"/>
      <c r="H1524" s="861"/>
      <c r="I1524" s="861"/>
      <c r="J1524" s="862">
        <v>0</v>
      </c>
      <c r="K1524" s="863"/>
      <c r="L1524" s="848"/>
      <c r="M1524" s="861"/>
      <c r="N1524" s="861"/>
      <c r="O1524" s="862">
        <v>0</v>
      </c>
      <c r="P1524" s="863"/>
      <c r="Q1524" s="848"/>
      <c r="R1524" s="861"/>
      <c r="S1524" s="861"/>
      <c r="T1524" s="862">
        <v>0</v>
      </c>
      <c r="U1524" s="863"/>
      <c r="V1524" s="848"/>
      <c r="W1524" s="861"/>
      <c r="X1524" s="861"/>
      <c r="Y1524" s="862">
        <v>0</v>
      </c>
      <c r="Z1524" s="863"/>
      <c r="AA1524" s="864">
        <f t="shared" si="199"/>
        <v>0</v>
      </c>
      <c r="AB1524" s="865">
        <f t="shared" si="200"/>
        <v>0</v>
      </c>
      <c r="AC1524" s="848"/>
      <c r="AD1524" s="861"/>
      <c r="AE1524" s="861"/>
      <c r="AF1524" s="862"/>
      <c r="AG1524" s="864">
        <f t="shared" si="201"/>
        <v>0</v>
      </c>
      <c r="AN1524" s="510">
        <f>SUM(AN1518:AN1523)</f>
        <v>2461.1999999999998</v>
      </c>
    </row>
    <row r="1525" spans="2:40">
      <c r="B1525" s="47" t="s">
        <v>241</v>
      </c>
      <c r="C1525" s="861"/>
      <c r="D1525" s="861"/>
      <c r="E1525" s="862">
        <v>0</v>
      </c>
      <c r="F1525" s="863"/>
      <c r="G1525" s="848"/>
      <c r="H1525" s="861"/>
      <c r="I1525" s="861"/>
      <c r="J1525" s="862">
        <v>0</v>
      </c>
      <c r="K1525" s="863"/>
      <c r="L1525" s="848"/>
      <c r="M1525" s="861"/>
      <c r="N1525" s="861"/>
      <c r="O1525" s="862">
        <v>0</v>
      </c>
      <c r="P1525" s="863"/>
      <c r="Q1525" s="848"/>
      <c r="R1525" s="861"/>
      <c r="S1525" s="861"/>
      <c r="T1525" s="862">
        <v>0</v>
      </c>
      <c r="U1525" s="863"/>
      <c r="V1525" s="848"/>
      <c r="W1525" s="861"/>
      <c r="X1525" s="861"/>
      <c r="Y1525" s="862">
        <v>0</v>
      </c>
      <c r="Z1525" s="863"/>
      <c r="AA1525" s="864">
        <f t="shared" si="199"/>
        <v>0</v>
      </c>
      <c r="AB1525" s="865">
        <f t="shared" si="200"/>
        <v>0</v>
      </c>
      <c r="AC1525" s="848"/>
      <c r="AD1525" s="861"/>
      <c r="AE1525" s="861"/>
      <c r="AF1525" s="862"/>
      <c r="AG1525" s="864">
        <f t="shared" si="201"/>
        <v>0</v>
      </c>
    </row>
    <row r="1526" spans="2:40">
      <c r="B1526" s="47" t="s">
        <v>1141</v>
      </c>
      <c r="C1526" s="861"/>
      <c r="D1526" s="867"/>
      <c r="E1526" s="862">
        <v>0</v>
      </c>
      <c r="F1526" s="863"/>
      <c r="G1526" s="848"/>
      <c r="H1526" s="861"/>
      <c r="I1526" s="861"/>
      <c r="J1526" s="862">
        <v>0</v>
      </c>
      <c r="K1526" s="863"/>
      <c r="L1526" s="848"/>
      <c r="M1526" s="861"/>
      <c r="N1526" s="861"/>
      <c r="O1526" s="862">
        <v>0</v>
      </c>
      <c r="P1526" s="863"/>
      <c r="Q1526" s="848"/>
      <c r="R1526" s="861">
        <v>0.375</v>
      </c>
      <c r="S1526" s="861">
        <v>0.25</v>
      </c>
      <c r="T1526" s="862">
        <v>8</v>
      </c>
      <c r="U1526" s="863"/>
      <c r="V1526" s="848"/>
      <c r="W1526" s="861">
        <v>0.375</v>
      </c>
      <c r="X1526" s="861">
        <v>0.25</v>
      </c>
      <c r="Y1526" s="862">
        <v>8</v>
      </c>
      <c r="Z1526" s="863"/>
      <c r="AA1526" s="864">
        <f t="shared" si="199"/>
        <v>16</v>
      </c>
      <c r="AB1526" s="865">
        <f t="shared" si="200"/>
        <v>0</v>
      </c>
      <c r="AC1526" s="848"/>
      <c r="AD1526" s="861"/>
      <c r="AE1526" s="861"/>
      <c r="AF1526" s="862"/>
      <c r="AG1526" s="864">
        <f t="shared" si="201"/>
        <v>0</v>
      </c>
      <c r="AK1526" s="192" t="s">
        <v>1115</v>
      </c>
      <c r="AL1526" s="189">
        <f>C1544</f>
        <v>8</v>
      </c>
      <c r="AM1526" s="510">
        <v>45</v>
      </c>
      <c r="AN1526" s="510">
        <f>AM1526*AL1526</f>
        <v>360</v>
      </c>
    </row>
    <row r="1527" spans="2:40">
      <c r="B1527" s="47" t="s">
        <v>1113</v>
      </c>
      <c r="C1527" s="861"/>
      <c r="D1527" s="861"/>
      <c r="E1527" s="862">
        <v>0</v>
      </c>
      <c r="F1527" s="863"/>
      <c r="G1527" s="848"/>
      <c r="H1527" s="861"/>
      <c r="I1527" s="861"/>
      <c r="J1527" s="862">
        <v>0</v>
      </c>
      <c r="K1527" s="863"/>
      <c r="L1527" s="848"/>
      <c r="M1527" s="861"/>
      <c r="N1527" s="861"/>
      <c r="O1527" s="862">
        <v>0</v>
      </c>
      <c r="P1527" s="863"/>
      <c r="Q1527" s="848"/>
      <c r="R1527" s="861"/>
      <c r="S1527" s="861"/>
      <c r="T1527" s="862">
        <v>0</v>
      </c>
      <c r="U1527" s="863"/>
      <c r="V1527" s="848"/>
      <c r="W1527" s="861"/>
      <c r="X1527" s="861"/>
      <c r="Y1527" s="862">
        <v>0</v>
      </c>
      <c r="Z1527" s="863"/>
      <c r="AA1527" s="864">
        <f t="shared" si="199"/>
        <v>0</v>
      </c>
      <c r="AB1527" s="865">
        <f t="shared" si="200"/>
        <v>0</v>
      </c>
      <c r="AC1527" s="848"/>
      <c r="AD1527" s="861"/>
      <c r="AE1527" s="861"/>
      <c r="AF1527" s="862"/>
      <c r="AG1527" s="864">
        <f t="shared" si="201"/>
        <v>0</v>
      </c>
    </row>
    <row r="1528" spans="2:40">
      <c r="B1528" s="502" t="s">
        <v>483</v>
      </c>
      <c r="C1528" s="861"/>
      <c r="D1528" s="861"/>
      <c r="E1528" s="862">
        <v>0</v>
      </c>
      <c r="F1528" s="863"/>
      <c r="G1528" s="848"/>
      <c r="H1528" s="861"/>
      <c r="I1528" s="861"/>
      <c r="J1528" s="862">
        <v>0</v>
      </c>
      <c r="K1528" s="863"/>
      <c r="L1528" s="848"/>
      <c r="M1528" s="861"/>
      <c r="N1528" s="861"/>
      <c r="O1528" s="862">
        <v>0</v>
      </c>
      <c r="P1528" s="863"/>
      <c r="Q1528" s="848"/>
      <c r="R1528" s="861"/>
      <c r="S1528" s="861"/>
      <c r="T1528" s="862">
        <v>0</v>
      </c>
      <c r="U1528" s="863"/>
      <c r="V1528" s="848"/>
      <c r="W1528" s="861"/>
      <c r="X1528" s="861"/>
      <c r="Y1528" s="862">
        <v>0</v>
      </c>
      <c r="Z1528" s="863"/>
      <c r="AA1528" s="864">
        <f t="shared" si="199"/>
        <v>0</v>
      </c>
      <c r="AB1528" s="865">
        <f t="shared" si="200"/>
        <v>0</v>
      </c>
      <c r="AC1528" s="848"/>
      <c r="AD1528" s="861"/>
      <c r="AE1528" s="861"/>
      <c r="AF1528" s="862"/>
      <c r="AG1528" s="864">
        <f t="shared" si="201"/>
        <v>0</v>
      </c>
    </row>
    <row r="1529" spans="2:40">
      <c r="B1529" s="502" t="s">
        <v>483</v>
      </c>
      <c r="C1529" s="861"/>
      <c r="D1529" s="861"/>
      <c r="E1529" s="862">
        <v>0</v>
      </c>
      <c r="F1529" s="863"/>
      <c r="G1529" s="848"/>
      <c r="H1529" s="861"/>
      <c r="I1529" s="861"/>
      <c r="J1529" s="862">
        <v>0</v>
      </c>
      <c r="K1529" s="863"/>
      <c r="L1529" s="848"/>
      <c r="M1529" s="861"/>
      <c r="N1529" s="861"/>
      <c r="O1529" s="862">
        <v>0</v>
      </c>
      <c r="P1529" s="863"/>
      <c r="Q1529" s="848"/>
      <c r="R1529" s="861"/>
      <c r="S1529" s="861"/>
      <c r="T1529" s="862">
        <v>0</v>
      </c>
      <c r="U1529" s="863"/>
      <c r="V1529" s="848"/>
      <c r="W1529" s="861"/>
      <c r="X1529" s="861"/>
      <c r="Y1529" s="862">
        <v>0</v>
      </c>
      <c r="Z1529" s="863"/>
      <c r="AA1529" s="864">
        <f t="shared" si="199"/>
        <v>0</v>
      </c>
      <c r="AB1529" s="865">
        <f t="shared" si="200"/>
        <v>0</v>
      </c>
      <c r="AC1529" s="848"/>
      <c r="AD1529" s="861"/>
      <c r="AE1529" s="861"/>
      <c r="AF1529" s="862"/>
      <c r="AG1529" s="864">
        <f t="shared" si="201"/>
        <v>0</v>
      </c>
    </row>
    <row r="1530" spans="2:40">
      <c r="B1530" s="502" t="s">
        <v>484</v>
      </c>
      <c r="C1530" s="861"/>
      <c r="D1530" s="861"/>
      <c r="E1530" s="862">
        <v>0</v>
      </c>
      <c r="F1530" s="863"/>
      <c r="G1530" s="848"/>
      <c r="H1530" s="861"/>
      <c r="I1530" s="861"/>
      <c r="J1530" s="862">
        <v>0</v>
      </c>
      <c r="K1530" s="863"/>
      <c r="L1530" s="848"/>
      <c r="M1530" s="861"/>
      <c r="N1530" s="861"/>
      <c r="O1530" s="862">
        <v>0</v>
      </c>
      <c r="P1530" s="863"/>
      <c r="Q1530" s="848"/>
      <c r="R1530" s="861"/>
      <c r="S1530" s="861"/>
      <c r="T1530" s="862">
        <v>0</v>
      </c>
      <c r="U1530" s="863"/>
      <c r="V1530" s="848"/>
      <c r="W1530" s="861"/>
      <c r="X1530" s="861"/>
      <c r="Y1530" s="862">
        <v>0</v>
      </c>
      <c r="Z1530" s="863"/>
      <c r="AA1530" s="864">
        <f t="shared" si="199"/>
        <v>0</v>
      </c>
      <c r="AB1530" s="865">
        <f t="shared" si="200"/>
        <v>0</v>
      </c>
      <c r="AC1530" s="848"/>
      <c r="AD1530" s="861"/>
      <c r="AE1530" s="861"/>
      <c r="AF1530" s="862"/>
      <c r="AG1530" s="864">
        <f t="shared" si="201"/>
        <v>0</v>
      </c>
    </row>
    <row r="1531" spans="2:40">
      <c r="B1531" s="502" t="s">
        <v>485</v>
      </c>
      <c r="C1531" s="861"/>
      <c r="D1531" s="861"/>
      <c r="E1531" s="862">
        <v>0</v>
      </c>
      <c r="F1531" s="863"/>
      <c r="G1531" s="848"/>
      <c r="H1531" s="861"/>
      <c r="I1531" s="861"/>
      <c r="J1531" s="862">
        <v>0</v>
      </c>
      <c r="K1531" s="863"/>
      <c r="L1531" s="848"/>
      <c r="M1531" s="861"/>
      <c r="N1531" s="861"/>
      <c r="O1531" s="862">
        <v>0</v>
      </c>
      <c r="P1531" s="863"/>
      <c r="Q1531" s="848"/>
      <c r="R1531" s="861"/>
      <c r="S1531" s="861"/>
      <c r="T1531" s="862">
        <v>0</v>
      </c>
      <c r="U1531" s="863"/>
      <c r="V1531" s="848"/>
      <c r="W1531" s="861"/>
      <c r="X1531" s="861"/>
      <c r="Y1531" s="862">
        <v>0</v>
      </c>
      <c r="Z1531" s="863"/>
      <c r="AA1531" s="864">
        <f t="shared" si="199"/>
        <v>0</v>
      </c>
      <c r="AB1531" s="865">
        <f t="shared" si="200"/>
        <v>0</v>
      </c>
      <c r="AC1531" s="848"/>
      <c r="AD1531" s="861"/>
      <c r="AE1531" s="861"/>
      <c r="AF1531" s="862"/>
      <c r="AG1531" s="864">
        <f t="shared" si="201"/>
        <v>0</v>
      </c>
    </row>
    <row r="1532" spans="2:40">
      <c r="B1532" s="502" t="s">
        <v>1129</v>
      </c>
      <c r="C1532" s="861"/>
      <c r="D1532" s="861"/>
      <c r="E1532" s="862">
        <v>0</v>
      </c>
      <c r="F1532" s="863"/>
      <c r="G1532" s="848"/>
      <c r="H1532" s="861"/>
      <c r="I1532" s="861"/>
      <c r="J1532" s="862">
        <v>0</v>
      </c>
      <c r="K1532" s="863"/>
      <c r="L1532" s="848"/>
      <c r="M1532" s="861"/>
      <c r="N1532" s="861"/>
      <c r="O1532" s="862">
        <v>0</v>
      </c>
      <c r="P1532" s="863"/>
      <c r="Q1532" s="848"/>
      <c r="R1532" s="861"/>
      <c r="S1532" s="861"/>
      <c r="T1532" s="862">
        <v>0</v>
      </c>
      <c r="U1532" s="863"/>
      <c r="V1532" s="848"/>
      <c r="W1532" s="861"/>
      <c r="X1532" s="861"/>
      <c r="Y1532" s="862">
        <v>0</v>
      </c>
      <c r="Z1532" s="863"/>
      <c r="AA1532" s="864">
        <f t="shared" si="199"/>
        <v>0</v>
      </c>
      <c r="AB1532" s="865">
        <f t="shared" si="200"/>
        <v>0</v>
      </c>
      <c r="AC1532" s="848"/>
      <c r="AD1532" s="861"/>
      <c r="AE1532" s="861"/>
      <c r="AF1532" s="862"/>
      <c r="AG1532" s="864">
        <f t="shared" si="201"/>
        <v>0</v>
      </c>
    </row>
    <row r="1533" spans="2:40">
      <c r="B1533" s="267" t="s">
        <v>358</v>
      </c>
      <c r="C1533" s="861"/>
      <c r="D1533" s="861"/>
      <c r="E1533" s="862">
        <v>0</v>
      </c>
      <c r="F1533" s="863"/>
      <c r="G1533" s="848"/>
      <c r="H1533" s="861"/>
      <c r="I1533" s="861"/>
      <c r="J1533" s="862">
        <v>0</v>
      </c>
      <c r="K1533" s="863"/>
      <c r="L1533" s="872"/>
      <c r="M1533" s="861"/>
      <c r="N1533" s="861"/>
      <c r="O1533" s="862">
        <v>0</v>
      </c>
      <c r="P1533" s="863"/>
      <c r="Q1533" s="872"/>
      <c r="R1533" s="861"/>
      <c r="S1533" s="861"/>
      <c r="T1533" s="862">
        <v>0</v>
      </c>
      <c r="U1533" s="863"/>
      <c r="V1533" s="872"/>
      <c r="W1533" s="861"/>
      <c r="X1533" s="861"/>
      <c r="Y1533" s="862">
        <v>0</v>
      </c>
      <c r="Z1533" s="863"/>
      <c r="AA1533" s="864">
        <f t="shared" si="199"/>
        <v>0</v>
      </c>
      <c r="AB1533" s="865">
        <f t="shared" si="200"/>
        <v>0</v>
      </c>
      <c r="AC1533" s="848"/>
      <c r="AD1533" s="861"/>
      <c r="AE1533" s="861"/>
      <c r="AF1533" s="862"/>
      <c r="AG1533" s="864">
        <f t="shared" si="201"/>
        <v>0</v>
      </c>
    </row>
    <row r="1534" spans="2:40">
      <c r="B1534" s="267" t="s">
        <v>991</v>
      </c>
      <c r="C1534" s="861"/>
      <c r="D1534" s="861"/>
      <c r="E1534" s="862">
        <v>0</v>
      </c>
      <c r="F1534" s="863"/>
      <c r="G1534" s="848"/>
      <c r="H1534" s="861"/>
      <c r="I1534" s="861"/>
      <c r="J1534" s="862">
        <v>0</v>
      </c>
      <c r="K1534" s="863"/>
      <c r="L1534" s="872"/>
      <c r="M1534" s="861"/>
      <c r="N1534" s="861"/>
      <c r="O1534" s="862">
        <v>0</v>
      </c>
      <c r="P1534" s="863"/>
      <c r="Q1534" s="872"/>
      <c r="R1534" s="861"/>
      <c r="S1534" s="861"/>
      <c r="T1534" s="862">
        <v>0</v>
      </c>
      <c r="U1534" s="863"/>
      <c r="V1534" s="872"/>
      <c r="W1534" s="861"/>
      <c r="X1534" s="861"/>
      <c r="Y1534" s="862">
        <v>0</v>
      </c>
      <c r="Z1534" s="863"/>
      <c r="AA1534" s="864">
        <f t="shared" si="199"/>
        <v>0</v>
      </c>
      <c r="AB1534" s="865">
        <f t="shared" si="200"/>
        <v>0</v>
      </c>
      <c r="AC1534" s="848"/>
      <c r="AD1534" s="861"/>
      <c r="AE1534" s="861"/>
      <c r="AF1534" s="862"/>
      <c r="AG1534" s="864">
        <f t="shared" si="201"/>
        <v>0</v>
      </c>
    </row>
    <row r="1535" spans="2:40">
      <c r="B1535" s="267" t="s">
        <v>411</v>
      </c>
      <c r="C1535" s="861"/>
      <c r="D1535" s="861"/>
      <c r="E1535" s="862">
        <v>0</v>
      </c>
      <c r="F1535" s="863"/>
      <c r="G1535" s="848"/>
      <c r="H1535" s="861"/>
      <c r="I1535" s="861"/>
      <c r="J1535" s="862">
        <v>0</v>
      </c>
      <c r="K1535" s="863"/>
      <c r="L1535" s="872"/>
      <c r="M1535" s="861"/>
      <c r="N1535" s="861"/>
      <c r="O1535" s="862">
        <v>0</v>
      </c>
      <c r="P1535" s="863"/>
      <c r="Q1535" s="872"/>
      <c r="R1535" s="861"/>
      <c r="S1535" s="861"/>
      <c r="T1535" s="862">
        <v>0</v>
      </c>
      <c r="U1535" s="863"/>
      <c r="V1535" s="872"/>
      <c r="W1535" s="861"/>
      <c r="X1535" s="861"/>
      <c r="Y1535" s="862">
        <v>0</v>
      </c>
      <c r="Z1535" s="863"/>
      <c r="AA1535" s="864">
        <f t="shared" si="199"/>
        <v>0</v>
      </c>
      <c r="AB1535" s="865">
        <f t="shared" si="200"/>
        <v>0</v>
      </c>
      <c r="AC1535" s="848"/>
      <c r="AD1535" s="861"/>
      <c r="AE1535" s="861"/>
      <c r="AF1535" s="862"/>
      <c r="AG1535" s="864">
        <f t="shared" si="201"/>
        <v>0</v>
      </c>
    </row>
    <row r="1536" spans="2:40">
      <c r="B1536" s="267" t="s">
        <v>361</v>
      </c>
      <c r="C1536" s="861"/>
      <c r="D1536" s="861"/>
      <c r="E1536" s="862">
        <v>0</v>
      </c>
      <c r="F1536" s="863"/>
      <c r="G1536" s="848"/>
      <c r="H1536" s="861"/>
      <c r="I1536" s="861"/>
      <c r="J1536" s="862">
        <v>0</v>
      </c>
      <c r="K1536" s="863"/>
      <c r="L1536" s="872"/>
      <c r="M1536" s="861"/>
      <c r="N1536" s="861"/>
      <c r="O1536" s="862">
        <v>0</v>
      </c>
      <c r="P1536" s="863"/>
      <c r="Q1536" s="872"/>
      <c r="R1536" s="861"/>
      <c r="S1536" s="861"/>
      <c r="T1536" s="862">
        <v>0</v>
      </c>
      <c r="U1536" s="863"/>
      <c r="V1536" s="872"/>
      <c r="W1536" s="861"/>
      <c r="X1536" s="861"/>
      <c r="Y1536" s="862">
        <v>0</v>
      </c>
      <c r="Z1536" s="863"/>
      <c r="AA1536" s="864">
        <f t="shared" si="199"/>
        <v>0</v>
      </c>
      <c r="AB1536" s="865">
        <f t="shared" si="200"/>
        <v>0</v>
      </c>
      <c r="AC1536" s="848"/>
      <c r="AD1536" s="861"/>
      <c r="AE1536" s="861"/>
      <c r="AF1536" s="862"/>
      <c r="AG1536" s="864">
        <f t="shared" si="201"/>
        <v>0</v>
      </c>
    </row>
    <row r="1537" spans="2:42">
      <c r="B1537" s="267" t="s">
        <v>362</v>
      </c>
      <c r="C1537" s="861"/>
      <c r="D1537" s="873"/>
      <c r="E1537" s="862">
        <v>0</v>
      </c>
      <c r="F1537" s="863"/>
      <c r="G1537" s="848"/>
      <c r="H1537" s="861"/>
      <c r="I1537" s="873"/>
      <c r="J1537" s="862">
        <v>0</v>
      </c>
      <c r="K1537" s="863"/>
      <c r="L1537" s="872"/>
      <c r="M1537" s="861"/>
      <c r="N1537" s="873"/>
      <c r="O1537" s="862">
        <v>0</v>
      </c>
      <c r="P1537" s="863"/>
      <c r="Q1537" s="872"/>
      <c r="R1537" s="861"/>
      <c r="S1537" s="873"/>
      <c r="T1537" s="862">
        <v>0</v>
      </c>
      <c r="U1537" s="863"/>
      <c r="V1537" s="872"/>
      <c r="W1537" s="861"/>
      <c r="X1537" s="873"/>
      <c r="Y1537" s="862">
        <v>0</v>
      </c>
      <c r="Z1537" s="863"/>
      <c r="AA1537" s="864">
        <f t="shared" si="199"/>
        <v>0</v>
      </c>
      <c r="AB1537" s="865">
        <f t="shared" si="200"/>
        <v>0</v>
      </c>
      <c r="AC1537" s="848"/>
      <c r="AD1537" s="861"/>
      <c r="AE1537" s="861"/>
      <c r="AF1537" s="862"/>
      <c r="AG1537" s="864">
        <f t="shared" si="201"/>
        <v>0</v>
      </c>
    </row>
    <row r="1538" spans="2:42">
      <c r="B1538" s="437" t="s">
        <v>355</v>
      </c>
      <c r="C1538" s="861"/>
      <c r="D1538" s="861"/>
      <c r="E1538" s="862">
        <v>0</v>
      </c>
      <c r="F1538" s="863"/>
      <c r="G1538" s="848"/>
      <c r="H1538" s="861"/>
      <c r="I1538" s="861"/>
      <c r="J1538" s="862">
        <v>0</v>
      </c>
      <c r="K1538" s="863"/>
      <c r="L1538" s="872"/>
      <c r="M1538" s="861"/>
      <c r="N1538" s="861"/>
      <c r="O1538" s="862">
        <v>0</v>
      </c>
      <c r="P1538" s="863"/>
      <c r="Q1538" s="872"/>
      <c r="R1538" s="861"/>
      <c r="S1538" s="861"/>
      <c r="T1538" s="862">
        <v>0</v>
      </c>
      <c r="U1538" s="863"/>
      <c r="V1538" s="872"/>
      <c r="W1538" s="861"/>
      <c r="X1538" s="861"/>
      <c r="Y1538" s="862">
        <v>0</v>
      </c>
      <c r="Z1538" s="863"/>
      <c r="AA1538" s="864">
        <f t="shared" si="199"/>
        <v>0</v>
      </c>
      <c r="AB1538" s="865">
        <f t="shared" si="200"/>
        <v>0</v>
      </c>
      <c r="AC1538" s="848"/>
      <c r="AD1538" s="861"/>
      <c r="AE1538" s="861"/>
      <c r="AF1538" s="862"/>
      <c r="AG1538" s="864">
        <f t="shared" si="201"/>
        <v>0</v>
      </c>
    </row>
    <row r="1539" spans="2:42">
      <c r="B1539" s="437" t="s">
        <v>356</v>
      </c>
      <c r="C1539" s="875"/>
      <c r="D1539" s="875"/>
      <c r="E1539" s="862">
        <v>0</v>
      </c>
      <c r="F1539" s="863"/>
      <c r="G1539" s="872"/>
      <c r="H1539" s="873"/>
      <c r="I1539" s="873"/>
      <c r="J1539" s="862">
        <v>0</v>
      </c>
      <c r="K1539" s="863"/>
      <c r="L1539" s="872"/>
      <c r="M1539" s="873"/>
      <c r="N1539" s="873"/>
      <c r="O1539" s="862">
        <v>0</v>
      </c>
      <c r="P1539" s="863"/>
      <c r="Q1539" s="872"/>
      <c r="R1539" s="873"/>
      <c r="S1539" s="873"/>
      <c r="T1539" s="862">
        <v>0</v>
      </c>
      <c r="U1539" s="863"/>
      <c r="V1539" s="872"/>
      <c r="W1539" s="873"/>
      <c r="X1539" s="873"/>
      <c r="Y1539" s="862">
        <v>0</v>
      </c>
      <c r="Z1539" s="863"/>
      <c r="AA1539" s="864">
        <f t="shared" si="199"/>
        <v>0</v>
      </c>
      <c r="AB1539" s="865">
        <f t="shared" si="200"/>
        <v>0</v>
      </c>
      <c r="AC1539" s="848"/>
      <c r="AD1539" s="861"/>
      <c r="AE1539" s="861"/>
      <c r="AF1539" s="862"/>
      <c r="AG1539" s="864">
        <f t="shared" si="201"/>
        <v>0</v>
      </c>
    </row>
    <row r="1540" spans="2:42">
      <c r="B1540" s="31" t="s">
        <v>61</v>
      </c>
      <c r="C1540" s="876"/>
      <c r="D1540" s="876"/>
      <c r="E1540" s="877">
        <f>SUM(E1519:E1539)</f>
        <v>0</v>
      </c>
      <c r="F1540" s="863"/>
      <c r="G1540" s="876"/>
      <c r="H1540" s="876"/>
      <c r="I1540" s="876"/>
      <c r="J1540" s="877">
        <f>SUM(J1519:J1539)</f>
        <v>8</v>
      </c>
      <c r="K1540" s="863"/>
      <c r="L1540" s="876"/>
      <c r="M1540" s="876"/>
      <c r="N1540" s="876"/>
      <c r="O1540" s="877">
        <f>SUM(O1519:O1539)</f>
        <v>8</v>
      </c>
      <c r="P1540" s="863"/>
      <c r="Q1540" s="876"/>
      <c r="R1540" s="876"/>
      <c r="S1540" s="876"/>
      <c r="T1540" s="877">
        <f>SUM(T1519:T1539)</f>
        <v>8</v>
      </c>
      <c r="U1540" s="863"/>
      <c r="V1540" s="876"/>
      <c r="W1540" s="876"/>
      <c r="X1540" s="876"/>
      <c r="Y1540" s="877">
        <f>SUM(Y1519:Y1539)</f>
        <v>16</v>
      </c>
      <c r="Z1540" s="863"/>
      <c r="AA1540" s="864">
        <f>SUM(AA1519:AA1539)</f>
        <v>40</v>
      </c>
      <c r="AB1540" s="864">
        <f>SUM(AB1519:AB1539)</f>
        <v>0</v>
      </c>
      <c r="AC1540" s="848"/>
      <c r="AD1540" s="876"/>
      <c r="AE1540" s="876"/>
      <c r="AF1540" s="864">
        <f>SUM(AF1519:AF1539)</f>
        <v>0</v>
      </c>
      <c r="AG1540" s="864">
        <f>SUM(AG1519:AG1539)</f>
        <v>0</v>
      </c>
    </row>
    <row r="1541" spans="2:42">
      <c r="B1541" s="267" t="s">
        <v>1116</v>
      </c>
      <c r="C1541" s="861"/>
      <c r="D1541" s="861"/>
      <c r="E1541" s="862">
        <v>0</v>
      </c>
      <c r="F1541" s="863"/>
      <c r="G1541" s="848"/>
      <c r="H1541" s="861"/>
      <c r="I1541" s="861"/>
      <c r="J1541" s="862">
        <v>4</v>
      </c>
      <c r="K1541" s="863"/>
      <c r="L1541" s="848"/>
      <c r="M1541" s="861"/>
      <c r="N1541" s="861"/>
      <c r="O1541" s="862">
        <v>4</v>
      </c>
      <c r="P1541" s="863"/>
      <c r="Q1541" s="848"/>
      <c r="R1541" s="861"/>
      <c r="S1541" s="861"/>
      <c r="T1541" s="862">
        <v>4</v>
      </c>
      <c r="U1541" s="863"/>
      <c r="V1541" s="848"/>
      <c r="W1541" s="861"/>
      <c r="X1541" s="861"/>
      <c r="Y1541" s="862">
        <v>4</v>
      </c>
      <c r="Z1541" s="863"/>
      <c r="AA1541" s="864">
        <f>(E1541+J1541+O1541+T1541+Y1541)</f>
        <v>16</v>
      </c>
      <c r="AB1541" s="865">
        <f>Z1541+U1541+P1541+K1541+F1541</f>
        <v>0</v>
      </c>
      <c r="AC1541" s="848"/>
      <c r="AD1541" s="861"/>
      <c r="AE1541" s="861"/>
      <c r="AF1541" s="862"/>
      <c r="AG1541" s="864">
        <f>AF1541</f>
        <v>0</v>
      </c>
    </row>
    <row r="1542" spans="2:42">
      <c r="B1542" s="267" t="s">
        <v>64</v>
      </c>
      <c r="C1542" s="861"/>
      <c r="D1542" s="861"/>
      <c r="E1542" s="862">
        <v>0</v>
      </c>
      <c r="F1542" s="862"/>
      <c r="G1542" s="878"/>
      <c r="H1542" s="861"/>
      <c r="I1542" s="861"/>
      <c r="J1542" s="862">
        <v>0</v>
      </c>
      <c r="K1542" s="862"/>
      <c r="L1542" s="872"/>
      <c r="M1542" s="861"/>
      <c r="N1542" s="861"/>
      <c r="O1542" s="862">
        <v>0</v>
      </c>
      <c r="P1542" s="862"/>
      <c r="Q1542" s="872"/>
      <c r="R1542" s="861"/>
      <c r="S1542" s="861"/>
      <c r="T1542" s="862">
        <v>0</v>
      </c>
      <c r="U1542" s="862"/>
      <c r="V1542" s="872"/>
      <c r="W1542" s="861"/>
      <c r="X1542" s="861"/>
      <c r="Y1542" s="862">
        <v>0</v>
      </c>
      <c r="Z1542" s="862"/>
      <c r="AA1542" s="864">
        <f>SUM(E1542+J1542+O1542+T1542+Y1542)</f>
        <v>0</v>
      </c>
      <c r="AB1542" s="855">
        <f>Z1542+U1542+P1542+K1542+F1542</f>
        <v>0</v>
      </c>
      <c r="AC1542" s="848"/>
      <c r="AD1542" s="861" t="s">
        <v>29</v>
      </c>
      <c r="AE1542" s="861" t="s">
        <v>29</v>
      </c>
      <c r="AF1542" s="862"/>
      <c r="AG1542" s="864">
        <f>AF1542</f>
        <v>0</v>
      </c>
    </row>
    <row r="1543" spans="2:42">
      <c r="B1543" s="71" t="s">
        <v>66</v>
      </c>
      <c r="C1543" s="879"/>
      <c r="D1543" s="879"/>
      <c r="E1543" s="878"/>
      <c r="F1543" s="878"/>
      <c r="G1543" s="878"/>
      <c r="H1543" s="878"/>
      <c r="I1543" s="878"/>
      <c r="J1543" s="878"/>
      <c r="K1543" s="878"/>
      <c r="L1543" s="878"/>
      <c r="M1543" s="878"/>
      <c r="N1543" s="878"/>
      <c r="O1543" s="878"/>
      <c r="P1543" s="878"/>
      <c r="Q1543" s="878"/>
      <c r="R1543" s="878"/>
      <c r="S1543" s="878"/>
      <c r="T1543" s="878"/>
      <c r="U1543" s="878"/>
      <c r="V1543" s="878"/>
      <c r="W1543" s="878"/>
      <c r="X1543" s="878"/>
      <c r="Y1543" s="878"/>
      <c r="Z1543" s="878"/>
      <c r="AA1543" s="864">
        <f>SUM(AA1541:AA1542)</f>
        <v>16</v>
      </c>
      <c r="AB1543" s="864">
        <f>SUM(AB1542:AB1542)</f>
        <v>0</v>
      </c>
      <c r="AC1543" s="848"/>
      <c r="AD1543" s="851"/>
      <c r="AE1543" s="851"/>
      <c r="AF1543" s="851"/>
      <c r="AG1543" s="864">
        <f>SUM(AG1542:AG1542)</f>
        <v>0</v>
      </c>
      <c r="AK1543" s="407"/>
    </row>
    <row r="1544" spans="2:42">
      <c r="B1544" s="899" t="s">
        <v>67</v>
      </c>
      <c r="C1544" s="1423">
        <f>C1545+C1546</f>
        <v>8</v>
      </c>
      <c r="D1544" s="882"/>
      <c r="E1544" s="883"/>
      <c r="F1544" s="883"/>
      <c r="G1544" s="882"/>
      <c r="H1544" s="883"/>
      <c r="I1544" s="883"/>
      <c r="J1544" s="883"/>
      <c r="K1544" s="883"/>
      <c r="L1544" s="882"/>
      <c r="M1544" s="882"/>
      <c r="N1544" s="882"/>
      <c r="O1544" s="882"/>
      <c r="P1544" s="883"/>
      <c r="Q1544" s="882"/>
      <c r="R1544" s="882"/>
      <c r="S1544" s="882"/>
      <c r="T1544" s="882"/>
      <c r="U1544" s="883"/>
      <c r="V1544" s="882"/>
      <c r="W1544" s="882"/>
      <c r="X1544" s="882"/>
      <c r="Y1544" s="884"/>
      <c r="Z1544" s="883"/>
      <c r="AA1544" s="885"/>
      <c r="AB1544" s="883"/>
      <c r="AC1544" s="885"/>
      <c r="AD1544" s="885"/>
      <c r="AE1544" s="885"/>
      <c r="AF1544" s="885"/>
      <c r="AG1544" s="885"/>
      <c r="AK1544" s="407"/>
    </row>
    <row r="1545" spans="2:42">
      <c r="B1545" s="904" t="s">
        <v>68</v>
      </c>
      <c r="C1545" s="1423">
        <v>0</v>
      </c>
      <c r="D1545" s="882"/>
      <c r="E1545" s="883"/>
      <c r="F1545" s="883"/>
      <c r="G1545" s="882"/>
      <c r="H1545" s="883"/>
      <c r="I1545" s="883"/>
      <c r="J1545" s="883"/>
      <c r="K1545" s="883"/>
      <c r="L1545" s="882"/>
      <c r="M1545" s="882"/>
      <c r="N1545" s="882"/>
      <c r="O1545" s="882"/>
      <c r="P1545" s="883"/>
      <c r="Q1545" s="882"/>
      <c r="R1545" s="882"/>
      <c r="S1545" s="882"/>
      <c r="T1545" s="882"/>
      <c r="U1545" s="883"/>
      <c r="V1545" s="882"/>
      <c r="W1545" s="882"/>
      <c r="X1545" s="882"/>
      <c r="Y1545" s="884"/>
      <c r="Z1545" s="883"/>
      <c r="AA1545" s="885"/>
      <c r="AB1545" s="883"/>
      <c r="AC1545" s="885"/>
      <c r="AD1545" s="885"/>
      <c r="AE1545" s="885"/>
      <c r="AF1545" s="885"/>
      <c r="AG1545" s="885"/>
      <c r="AK1545" s="407"/>
    </row>
    <row r="1546" spans="2:42">
      <c r="B1546" s="904" t="s">
        <v>69</v>
      </c>
      <c r="C1546" s="1423">
        <v>8</v>
      </c>
      <c r="D1546" s="882"/>
      <c r="E1546" s="883"/>
      <c r="F1546" s="883"/>
      <c r="G1546" s="882"/>
      <c r="H1546" s="883"/>
      <c r="I1546" s="883"/>
      <c r="J1546" s="883"/>
      <c r="K1546" s="883"/>
      <c r="L1546" s="882"/>
      <c r="M1546" s="882"/>
      <c r="N1546" s="882"/>
      <c r="O1546" s="882"/>
      <c r="P1546" s="883"/>
      <c r="Q1546" s="882"/>
      <c r="R1546" s="882"/>
      <c r="S1546" s="882"/>
      <c r="T1546" s="882"/>
      <c r="U1546" s="883"/>
      <c r="V1546" s="882"/>
      <c r="W1546" s="882"/>
      <c r="X1546" s="882"/>
      <c r="Y1546" s="884"/>
      <c r="Z1546" s="883"/>
      <c r="AA1546" s="885"/>
      <c r="AB1546" s="883"/>
      <c r="AC1546" s="885"/>
      <c r="AD1546" s="885"/>
      <c r="AE1546" s="885"/>
      <c r="AF1546" s="885"/>
      <c r="AG1546" s="885"/>
    </row>
    <row r="1547" spans="2:42">
      <c r="C1547" s="851"/>
      <c r="D1547" s="851"/>
      <c r="E1547" s="866"/>
      <c r="F1547" s="866"/>
      <c r="G1547" s="866"/>
      <c r="H1547" s="851"/>
      <c r="I1547" s="851"/>
      <c r="J1547" s="866"/>
      <c r="K1547" s="866"/>
      <c r="L1547" s="866"/>
      <c r="M1547" s="851"/>
      <c r="N1547" s="851"/>
      <c r="O1547" s="866"/>
      <c r="P1547" s="866"/>
      <c r="Q1547" s="848"/>
      <c r="R1547" s="851"/>
      <c r="S1547" s="851"/>
      <c r="T1547" s="866"/>
      <c r="U1547" s="866"/>
      <c r="V1547" s="848"/>
      <c r="W1547" s="851"/>
      <c r="X1547" s="851"/>
      <c r="Y1547" s="866"/>
      <c r="Z1547" s="866"/>
      <c r="AA1547" s="866"/>
      <c r="AB1547" s="866"/>
      <c r="AC1547" s="866"/>
      <c r="AD1547" s="851"/>
      <c r="AE1547" s="851"/>
      <c r="AF1547" s="851"/>
      <c r="AG1547" s="851"/>
    </row>
    <row r="1548" spans="2:42">
      <c r="C1548" s="851"/>
      <c r="D1548" s="851"/>
      <c r="E1548" s="866"/>
      <c r="F1548" s="866"/>
      <c r="G1548" s="866"/>
      <c r="H1548" s="851"/>
      <c r="I1548" s="851"/>
      <c r="J1548" s="866"/>
      <c r="K1548" s="866"/>
      <c r="L1548" s="866"/>
      <c r="M1548" s="851"/>
      <c r="N1548" s="851"/>
      <c r="O1548" s="866"/>
      <c r="P1548" s="866"/>
      <c r="Q1548" s="848"/>
      <c r="R1548" s="851"/>
      <c r="S1548" s="851"/>
      <c r="T1548" s="866"/>
      <c r="U1548" s="866"/>
      <c r="V1548" s="848"/>
      <c r="W1548" s="851"/>
      <c r="X1548" s="851"/>
      <c r="Y1548" s="866"/>
      <c r="Z1548" s="866"/>
      <c r="AA1548" s="866"/>
      <c r="AB1548" s="866"/>
      <c r="AC1548" s="866"/>
      <c r="AD1548" s="851"/>
      <c r="AE1548" s="851"/>
      <c r="AF1548" s="851"/>
      <c r="AG1548" s="851"/>
    </row>
    <row r="1549" spans="2:42" ht="25.5">
      <c r="B1549" s="1571"/>
      <c r="C1549" s="1572">
        <v>46034</v>
      </c>
      <c r="D1549" s="1572"/>
      <c r="E1549" s="1572" t="s">
        <v>564</v>
      </c>
      <c r="F1549" s="1572"/>
      <c r="G1549" s="847"/>
      <c r="H1549" s="1572">
        <v>46035</v>
      </c>
      <c r="I1549" s="1572"/>
      <c r="J1549" s="1572" t="s">
        <v>565</v>
      </c>
      <c r="K1549" s="1572"/>
      <c r="L1549" s="847"/>
      <c r="M1549" s="1572">
        <v>46036</v>
      </c>
      <c r="N1549" s="1572"/>
      <c r="O1549" s="1572" t="s">
        <v>566</v>
      </c>
      <c r="P1549" s="1572"/>
      <c r="Q1549" s="847"/>
      <c r="R1549" s="1572">
        <v>46037</v>
      </c>
      <c r="S1549" s="1572"/>
      <c r="T1549" s="1572" t="s">
        <v>567</v>
      </c>
      <c r="U1549" s="1572"/>
      <c r="V1549" s="847"/>
      <c r="W1549" s="1572">
        <v>46038</v>
      </c>
      <c r="X1549" s="1572"/>
      <c r="Y1549" s="1572" t="s">
        <v>568</v>
      </c>
      <c r="Z1549" s="1572"/>
      <c r="AA1549" s="1573" t="s">
        <v>19</v>
      </c>
      <c r="AB1549" s="1573" t="s">
        <v>20</v>
      </c>
      <c r="AC1549" s="848"/>
      <c r="AD1549" s="1572"/>
      <c r="AE1549" s="1572"/>
      <c r="AF1549" s="849" t="s">
        <v>1111</v>
      </c>
      <c r="AG1549" s="1573" t="s">
        <v>21</v>
      </c>
      <c r="AK1549" s="194" t="s">
        <v>84</v>
      </c>
      <c r="AL1549" s="366"/>
      <c r="AM1549" s="366"/>
      <c r="AN1549" s="366"/>
      <c r="AO1549" s="366"/>
      <c r="AP1549" s="366"/>
    </row>
    <row r="1550" spans="2:42">
      <c r="B1550" s="1571"/>
      <c r="C1550" s="854" t="s">
        <v>23</v>
      </c>
      <c r="D1550" s="854" t="s">
        <v>24</v>
      </c>
      <c r="E1550" s="855" t="s">
        <v>25</v>
      </c>
      <c r="F1550" s="856" t="s">
        <v>14</v>
      </c>
      <c r="G1550" s="848"/>
      <c r="H1550" s="854"/>
      <c r="I1550" s="854" t="s">
        <v>24</v>
      </c>
      <c r="J1550" s="856" t="s">
        <v>25</v>
      </c>
      <c r="K1550" s="856" t="s">
        <v>14</v>
      </c>
      <c r="L1550" s="848"/>
      <c r="M1550" s="854" t="s">
        <v>23</v>
      </c>
      <c r="N1550" s="854" t="s">
        <v>24</v>
      </c>
      <c r="O1550" s="856" t="s">
        <v>25</v>
      </c>
      <c r="P1550" s="856" t="s">
        <v>14</v>
      </c>
      <c r="Q1550" s="848"/>
      <c r="R1550" s="854" t="s">
        <v>23</v>
      </c>
      <c r="S1550" s="854" t="s">
        <v>24</v>
      </c>
      <c r="T1550" s="856" t="s">
        <v>25</v>
      </c>
      <c r="U1550" s="856" t="s">
        <v>14</v>
      </c>
      <c r="V1550" s="848"/>
      <c r="W1550" s="854" t="s">
        <v>23</v>
      </c>
      <c r="X1550" s="854" t="s">
        <v>24</v>
      </c>
      <c r="Y1550" s="856" t="s">
        <v>25</v>
      </c>
      <c r="Z1550" s="856" t="s">
        <v>14</v>
      </c>
      <c r="AA1550" s="1573"/>
      <c r="AB1550" s="1573"/>
      <c r="AC1550" s="848"/>
      <c r="AD1550" s="854" t="s">
        <v>23</v>
      </c>
      <c r="AE1550" s="854" t="s">
        <v>24</v>
      </c>
      <c r="AF1550" s="856" t="s">
        <v>25</v>
      </c>
      <c r="AG1550" s="1573"/>
      <c r="AK1550" s="188" t="s">
        <v>26</v>
      </c>
      <c r="AL1550" s="196">
        <f>AA1572</f>
        <v>61.75</v>
      </c>
      <c r="AM1550" s="510">
        <v>40.31</v>
      </c>
      <c r="AN1550" s="510">
        <f t="shared" ref="AN1550:AN1555" si="202">AL1550*AM1550</f>
        <v>2489.1424999999999</v>
      </c>
    </row>
    <row r="1551" spans="2:42">
      <c r="B1551" s="47" t="s">
        <v>515</v>
      </c>
      <c r="C1551" s="861"/>
      <c r="D1551" s="861"/>
      <c r="E1551" s="862">
        <v>0</v>
      </c>
      <c r="F1551" s="863"/>
      <c r="G1551" s="848"/>
      <c r="H1551" s="861"/>
      <c r="I1551" s="861"/>
      <c r="J1551" s="862">
        <v>0</v>
      </c>
      <c r="K1551" s="863"/>
      <c r="L1551" s="848"/>
      <c r="M1551" s="861"/>
      <c r="N1551" s="861"/>
      <c r="O1551" s="862">
        <v>0</v>
      </c>
      <c r="P1551" s="863"/>
      <c r="Q1551" s="848"/>
      <c r="R1551" s="861"/>
      <c r="S1551" s="861"/>
      <c r="T1551" s="862">
        <v>0</v>
      </c>
      <c r="U1551" s="863"/>
      <c r="V1551" s="848"/>
      <c r="W1551" s="861"/>
      <c r="X1551" s="861"/>
      <c r="Y1551" s="862">
        <v>0</v>
      </c>
      <c r="Z1551" s="863"/>
      <c r="AA1551" s="864">
        <f t="shared" ref="AA1551:AA1571" si="203">(E1551+J1551+O1551+T1551+Y1551)</f>
        <v>0</v>
      </c>
      <c r="AB1551" s="865">
        <f t="shared" ref="AB1551:AB1571" si="204">Z1551+U1551+P1551+K1551+F1551</f>
        <v>0</v>
      </c>
      <c r="AC1551" s="848"/>
      <c r="AD1551" s="851"/>
      <c r="AE1551" s="851"/>
      <c r="AF1551" s="862"/>
      <c r="AG1551" s="864">
        <f t="shared" ref="AG1551:AG1571" si="205">AF1551</f>
        <v>0</v>
      </c>
      <c r="AK1551" s="188" t="s">
        <v>30</v>
      </c>
      <c r="AL1551" s="196">
        <f>AB1572</f>
        <v>0</v>
      </c>
      <c r="AM1551" s="510">
        <v>60.465000000000003</v>
      </c>
      <c r="AN1551" s="510">
        <f t="shared" si="202"/>
        <v>0</v>
      </c>
    </row>
    <row r="1552" spans="2:42">
      <c r="B1552" s="47" t="s">
        <v>1112</v>
      </c>
      <c r="C1552" s="861"/>
      <c r="D1552" s="861"/>
      <c r="E1552" s="862">
        <v>0</v>
      </c>
      <c r="F1552" s="863"/>
      <c r="G1552" s="848"/>
      <c r="H1552" s="861">
        <v>0.33333333333333331</v>
      </c>
      <c r="I1552" s="861">
        <v>0.5</v>
      </c>
      <c r="J1552" s="862">
        <v>4</v>
      </c>
      <c r="K1552" s="863"/>
      <c r="L1552" s="848"/>
      <c r="M1552" s="861">
        <v>0.33333333333333331</v>
      </c>
      <c r="N1552" s="861">
        <v>0.5</v>
      </c>
      <c r="O1552" s="862">
        <v>4</v>
      </c>
      <c r="P1552" s="863"/>
      <c r="Q1552" s="848"/>
      <c r="R1552" s="861"/>
      <c r="S1552" s="861"/>
      <c r="T1552" s="862">
        <v>0</v>
      </c>
      <c r="U1552" s="863"/>
      <c r="V1552" s="848"/>
      <c r="W1552" s="861"/>
      <c r="X1552" s="861"/>
      <c r="Y1552" s="862">
        <v>0</v>
      </c>
      <c r="Z1552" s="863"/>
      <c r="AA1552" s="864">
        <f t="shared" si="203"/>
        <v>8</v>
      </c>
      <c r="AB1552" s="865">
        <f t="shared" si="204"/>
        <v>0</v>
      </c>
      <c r="AC1552" s="848"/>
      <c r="AD1552" s="861"/>
      <c r="AE1552" s="861"/>
      <c r="AF1552" s="862"/>
      <c r="AG1552" s="864">
        <f t="shared" si="205"/>
        <v>0</v>
      </c>
      <c r="AK1552" s="188" t="s">
        <v>32</v>
      </c>
      <c r="AL1552" s="196">
        <f>AG1572</f>
        <v>0</v>
      </c>
      <c r="AM1552" s="510">
        <v>60.465000000000003</v>
      </c>
      <c r="AN1552" s="510">
        <f t="shared" si="202"/>
        <v>0</v>
      </c>
    </row>
    <row r="1553" spans="2:40">
      <c r="B1553" s="47" t="s">
        <v>1141</v>
      </c>
      <c r="C1553" s="861"/>
      <c r="D1553" s="861"/>
      <c r="E1553" s="862">
        <v>0</v>
      </c>
      <c r="F1553" s="863"/>
      <c r="G1553" s="848"/>
      <c r="H1553" s="861"/>
      <c r="I1553" s="861"/>
      <c r="J1553" s="862">
        <v>0</v>
      </c>
      <c r="K1553" s="863"/>
      <c r="L1553" s="848"/>
      <c r="M1553" s="861"/>
      <c r="N1553" s="861"/>
      <c r="O1553" s="862">
        <v>0</v>
      </c>
      <c r="P1553" s="863"/>
      <c r="Q1553" s="848"/>
      <c r="R1553" s="861"/>
      <c r="S1553" s="861"/>
      <c r="T1553" s="862">
        <v>0</v>
      </c>
      <c r="U1553" s="863"/>
      <c r="V1553" s="848"/>
      <c r="W1553" s="861"/>
      <c r="X1553" s="861"/>
      <c r="Y1553" s="862">
        <v>0</v>
      </c>
      <c r="Z1553" s="863"/>
      <c r="AA1553" s="864">
        <f t="shared" si="203"/>
        <v>0</v>
      </c>
      <c r="AB1553" s="865">
        <f t="shared" si="204"/>
        <v>0</v>
      </c>
      <c r="AC1553" s="848"/>
      <c r="AD1553" s="861"/>
      <c r="AE1553" s="861"/>
      <c r="AF1553" s="862"/>
      <c r="AG1553" s="864">
        <f t="shared" si="205"/>
        <v>0</v>
      </c>
      <c r="AK1553" s="188" t="s">
        <v>213</v>
      </c>
      <c r="AL1553" s="196">
        <f>AA1575</f>
        <v>22.25</v>
      </c>
      <c r="AM1553" s="510">
        <v>53.05</v>
      </c>
      <c r="AN1553" s="510">
        <f t="shared" si="202"/>
        <v>1180.3625</v>
      </c>
    </row>
    <row r="1554" spans="2:40">
      <c r="B1554" s="47" t="s">
        <v>72</v>
      </c>
      <c r="C1554" s="861"/>
      <c r="D1554" s="861"/>
      <c r="E1554" s="862">
        <v>0</v>
      </c>
      <c r="F1554" s="863"/>
      <c r="G1554" s="848"/>
      <c r="H1554" s="861"/>
      <c r="I1554" s="861"/>
      <c r="J1554" s="862">
        <v>0</v>
      </c>
      <c r="K1554" s="863"/>
      <c r="L1554" s="848"/>
      <c r="M1554" s="861"/>
      <c r="N1554" s="861"/>
      <c r="O1554" s="862">
        <v>0</v>
      </c>
      <c r="P1554" s="863"/>
      <c r="Q1554" s="848"/>
      <c r="R1554" s="861"/>
      <c r="S1554" s="861"/>
      <c r="T1554" s="862">
        <v>0</v>
      </c>
      <c r="U1554" s="863"/>
      <c r="V1554" s="848"/>
      <c r="W1554" s="861"/>
      <c r="X1554" s="861"/>
      <c r="Y1554" s="862">
        <v>0</v>
      </c>
      <c r="Z1554" s="863"/>
      <c r="AA1554" s="864">
        <f t="shared" si="203"/>
        <v>0</v>
      </c>
      <c r="AB1554" s="865">
        <f t="shared" si="204"/>
        <v>0</v>
      </c>
      <c r="AC1554" s="848"/>
      <c r="AD1554" s="861"/>
      <c r="AE1554" s="861"/>
      <c r="AF1554" s="862"/>
      <c r="AG1554" s="864">
        <f t="shared" si="205"/>
        <v>0</v>
      </c>
      <c r="AK1554" s="188" t="s">
        <v>36</v>
      </c>
      <c r="AL1554" s="196">
        <f>AB1575</f>
        <v>0</v>
      </c>
      <c r="AM1554" s="510">
        <v>79.574999999999989</v>
      </c>
      <c r="AN1554" s="510">
        <f t="shared" si="202"/>
        <v>0</v>
      </c>
    </row>
    <row r="1555" spans="2:40">
      <c r="B1555" s="374" t="s">
        <v>998</v>
      </c>
      <c r="C1555" s="861">
        <v>4.1666666666666664E-2</v>
      </c>
      <c r="D1555" s="861">
        <v>0.375</v>
      </c>
      <c r="E1555" s="862">
        <v>7</v>
      </c>
      <c r="F1555" s="863"/>
      <c r="G1555" s="848"/>
      <c r="H1555" s="861">
        <v>0.41666666666666669</v>
      </c>
      <c r="I1555" s="861">
        <v>0.29166666666666669</v>
      </c>
      <c r="J1555" s="862">
        <v>8</v>
      </c>
      <c r="K1555" s="863"/>
      <c r="L1555" s="848"/>
      <c r="M1555" s="861">
        <v>0.41666666666666669</v>
      </c>
      <c r="N1555" s="861">
        <v>0.27083333333333331</v>
      </c>
      <c r="O1555" s="862">
        <v>7.5</v>
      </c>
      <c r="P1555" s="863"/>
      <c r="Q1555" s="848"/>
      <c r="R1555" s="861">
        <v>0.41666666666666669</v>
      </c>
      <c r="S1555" s="861">
        <v>0.29166666666666669</v>
      </c>
      <c r="T1555" s="862">
        <v>8</v>
      </c>
      <c r="U1555" s="863"/>
      <c r="V1555" s="848"/>
      <c r="W1555" s="861">
        <v>0.45833333333333331</v>
      </c>
      <c r="X1555" s="861">
        <v>0.29166666666666669</v>
      </c>
      <c r="Y1555" s="862">
        <v>7</v>
      </c>
      <c r="Z1555" s="863"/>
      <c r="AA1555" s="864">
        <f t="shared" si="203"/>
        <v>37.5</v>
      </c>
      <c r="AB1555" s="865">
        <f t="shared" si="204"/>
        <v>0</v>
      </c>
      <c r="AC1555" s="848"/>
      <c r="AD1555" s="861"/>
      <c r="AE1555" s="861"/>
      <c r="AF1555" s="862"/>
      <c r="AG1555" s="864">
        <f t="shared" si="205"/>
        <v>0</v>
      </c>
      <c r="AK1555" s="188" t="s">
        <v>38</v>
      </c>
      <c r="AL1555" s="196">
        <f>AG1575</f>
        <v>0</v>
      </c>
      <c r="AM1555" s="510">
        <v>79.574999999999989</v>
      </c>
      <c r="AN1555" s="510">
        <f t="shared" si="202"/>
        <v>0</v>
      </c>
    </row>
    <row r="1556" spans="2:40">
      <c r="B1556" s="47" t="s">
        <v>53</v>
      </c>
      <c r="C1556" s="861"/>
      <c r="D1556" s="861"/>
      <c r="E1556" s="862">
        <v>0</v>
      </c>
      <c r="F1556" s="863"/>
      <c r="G1556" s="848"/>
      <c r="H1556" s="861"/>
      <c r="I1556" s="861"/>
      <c r="J1556" s="862">
        <v>0</v>
      </c>
      <c r="K1556" s="863"/>
      <c r="L1556" s="848"/>
      <c r="M1556" s="861"/>
      <c r="N1556" s="861"/>
      <c r="O1556" s="862">
        <v>0</v>
      </c>
      <c r="P1556" s="863"/>
      <c r="Q1556" s="848"/>
      <c r="R1556" s="861"/>
      <c r="S1556" s="861"/>
      <c r="T1556" s="862">
        <v>0</v>
      </c>
      <c r="U1556" s="863"/>
      <c r="V1556" s="848"/>
      <c r="W1556" s="861"/>
      <c r="X1556" s="861"/>
      <c r="Y1556" s="862">
        <v>0</v>
      </c>
      <c r="Z1556" s="863"/>
      <c r="AA1556" s="864">
        <f t="shared" si="203"/>
        <v>0</v>
      </c>
      <c r="AB1556" s="865">
        <f t="shared" si="204"/>
        <v>0</v>
      </c>
      <c r="AC1556" s="848"/>
      <c r="AD1556" s="861"/>
      <c r="AE1556" s="861"/>
      <c r="AF1556" s="862"/>
      <c r="AG1556" s="864">
        <f t="shared" si="205"/>
        <v>0</v>
      </c>
      <c r="AN1556" s="510">
        <f>SUM(AN1550:AN1555)</f>
        <v>3669.5050000000001</v>
      </c>
    </row>
    <row r="1557" spans="2:40">
      <c r="B1557" s="47" t="s">
        <v>241</v>
      </c>
      <c r="C1557" s="861"/>
      <c r="D1557" s="861"/>
      <c r="E1557" s="862">
        <v>0</v>
      </c>
      <c r="F1557" s="863"/>
      <c r="G1557" s="848"/>
      <c r="H1557" s="861"/>
      <c r="I1557" s="861"/>
      <c r="J1557" s="862">
        <v>0</v>
      </c>
      <c r="K1557" s="863"/>
      <c r="L1557" s="848"/>
      <c r="M1557" s="861"/>
      <c r="N1557" s="861"/>
      <c r="O1557" s="862">
        <v>0</v>
      </c>
      <c r="P1557" s="863"/>
      <c r="Q1557" s="848"/>
      <c r="R1557" s="861"/>
      <c r="S1557" s="861"/>
      <c r="T1557" s="862">
        <v>0</v>
      </c>
      <c r="U1557" s="863"/>
      <c r="V1557" s="848"/>
      <c r="W1557" s="861"/>
      <c r="X1557" s="861"/>
      <c r="Y1557" s="862">
        <v>0</v>
      </c>
      <c r="Z1557" s="863"/>
      <c r="AA1557" s="864">
        <f t="shared" si="203"/>
        <v>0</v>
      </c>
      <c r="AB1557" s="865">
        <f t="shared" si="204"/>
        <v>0</v>
      </c>
      <c r="AC1557" s="848"/>
      <c r="AD1557" s="861"/>
      <c r="AE1557" s="861"/>
      <c r="AF1557" s="862"/>
      <c r="AG1557" s="864">
        <f t="shared" si="205"/>
        <v>0</v>
      </c>
    </row>
    <row r="1558" spans="2:40">
      <c r="B1558" s="47" t="s">
        <v>1141</v>
      </c>
      <c r="C1558" s="861"/>
      <c r="D1558" s="867"/>
      <c r="E1558" s="862">
        <v>0</v>
      </c>
      <c r="F1558" s="863"/>
      <c r="G1558" s="848"/>
      <c r="H1558" s="861"/>
      <c r="I1558" s="861"/>
      <c r="J1558" s="862">
        <v>0</v>
      </c>
      <c r="K1558" s="863"/>
      <c r="L1558" s="848"/>
      <c r="M1558" s="861"/>
      <c r="N1558" s="861"/>
      <c r="O1558" s="862">
        <v>0</v>
      </c>
      <c r="P1558" s="863"/>
      <c r="Q1558" s="848"/>
      <c r="R1558" s="861"/>
      <c r="S1558" s="861"/>
      <c r="T1558" s="862">
        <v>0</v>
      </c>
      <c r="U1558" s="863"/>
      <c r="V1558" s="848"/>
      <c r="W1558" s="861"/>
      <c r="X1558" s="861"/>
      <c r="Y1558" s="862">
        <v>0</v>
      </c>
      <c r="Z1558" s="863"/>
      <c r="AA1558" s="864">
        <f t="shared" si="203"/>
        <v>0</v>
      </c>
      <c r="AB1558" s="865">
        <f t="shared" si="204"/>
        <v>0</v>
      </c>
      <c r="AC1558" s="848"/>
      <c r="AD1558" s="861"/>
      <c r="AE1558" s="861"/>
      <c r="AF1558" s="862"/>
      <c r="AG1558" s="864">
        <f t="shared" si="205"/>
        <v>0</v>
      </c>
      <c r="AK1558" s="192" t="s">
        <v>1115</v>
      </c>
      <c r="AL1558" s="189">
        <f>C1576</f>
        <v>6</v>
      </c>
      <c r="AM1558" s="510">
        <v>45</v>
      </c>
      <c r="AN1558" s="510">
        <f>AM1558*AL1558</f>
        <v>270</v>
      </c>
    </row>
    <row r="1559" spans="2:40">
      <c r="B1559" s="47" t="s">
        <v>1113</v>
      </c>
      <c r="C1559" s="861"/>
      <c r="D1559" s="861"/>
      <c r="E1559" s="862">
        <v>0</v>
      </c>
      <c r="F1559" s="863"/>
      <c r="G1559" s="848"/>
      <c r="H1559" s="861"/>
      <c r="I1559" s="861"/>
      <c r="J1559" s="862">
        <v>0</v>
      </c>
      <c r="K1559" s="863"/>
      <c r="L1559" s="848"/>
      <c r="M1559" s="861"/>
      <c r="N1559" s="861"/>
      <c r="O1559" s="862">
        <v>0</v>
      </c>
      <c r="P1559" s="863"/>
      <c r="Q1559" s="848"/>
      <c r="R1559" s="861"/>
      <c r="S1559" s="861"/>
      <c r="T1559" s="862">
        <v>0</v>
      </c>
      <c r="U1559" s="863"/>
      <c r="V1559" s="848"/>
      <c r="W1559" s="861"/>
      <c r="X1559" s="861"/>
      <c r="Y1559" s="862">
        <v>0</v>
      </c>
      <c r="Z1559" s="863"/>
      <c r="AA1559" s="864">
        <f t="shared" si="203"/>
        <v>0</v>
      </c>
      <c r="AB1559" s="865">
        <f t="shared" si="204"/>
        <v>0</v>
      </c>
      <c r="AC1559" s="848"/>
      <c r="AD1559" s="861"/>
      <c r="AE1559" s="861"/>
      <c r="AF1559" s="862"/>
      <c r="AG1559" s="864">
        <f t="shared" si="205"/>
        <v>0</v>
      </c>
    </row>
    <row r="1560" spans="2:40">
      <c r="B1560" s="502" t="s">
        <v>483</v>
      </c>
      <c r="C1560" s="861"/>
      <c r="D1560" s="861"/>
      <c r="E1560" s="862">
        <v>0</v>
      </c>
      <c r="F1560" s="863"/>
      <c r="G1560" s="848"/>
      <c r="H1560" s="861"/>
      <c r="I1560" s="861"/>
      <c r="J1560" s="862">
        <v>0</v>
      </c>
      <c r="K1560" s="863"/>
      <c r="L1560" s="848"/>
      <c r="M1560" s="861"/>
      <c r="N1560" s="861"/>
      <c r="O1560" s="862">
        <v>0</v>
      </c>
      <c r="P1560" s="863"/>
      <c r="Q1560" s="848"/>
      <c r="R1560" s="861"/>
      <c r="S1560" s="861"/>
      <c r="T1560" s="862">
        <v>0</v>
      </c>
      <c r="U1560" s="863"/>
      <c r="V1560" s="848"/>
      <c r="W1560" s="861"/>
      <c r="X1560" s="861"/>
      <c r="Y1560" s="862">
        <v>0</v>
      </c>
      <c r="Z1560" s="863"/>
      <c r="AA1560" s="864">
        <f t="shared" si="203"/>
        <v>0</v>
      </c>
      <c r="AB1560" s="865">
        <f t="shared" si="204"/>
        <v>0</v>
      </c>
      <c r="AC1560" s="848"/>
      <c r="AD1560" s="861"/>
      <c r="AE1560" s="861"/>
      <c r="AF1560" s="862"/>
      <c r="AG1560" s="864">
        <f t="shared" si="205"/>
        <v>0</v>
      </c>
    </row>
    <row r="1561" spans="2:40">
      <c r="B1561" s="502" t="s">
        <v>483</v>
      </c>
      <c r="C1561" s="861"/>
      <c r="D1561" s="861"/>
      <c r="E1561" s="862">
        <v>0</v>
      </c>
      <c r="F1561" s="863"/>
      <c r="G1561" s="848"/>
      <c r="H1561" s="861"/>
      <c r="I1561" s="861"/>
      <c r="J1561" s="862">
        <v>0</v>
      </c>
      <c r="K1561" s="863"/>
      <c r="L1561" s="848"/>
      <c r="M1561" s="861"/>
      <c r="N1561" s="861"/>
      <c r="O1561" s="862">
        <v>4</v>
      </c>
      <c r="P1561" s="863"/>
      <c r="Q1561" s="848"/>
      <c r="R1561" s="861"/>
      <c r="S1561" s="861"/>
      <c r="T1561" s="862">
        <v>0</v>
      </c>
      <c r="U1561" s="863"/>
      <c r="V1561" s="848"/>
      <c r="W1561" s="861"/>
      <c r="X1561" s="861"/>
      <c r="Y1561" s="862">
        <v>0</v>
      </c>
      <c r="Z1561" s="863"/>
      <c r="AA1561" s="864">
        <f t="shared" si="203"/>
        <v>4</v>
      </c>
      <c r="AB1561" s="865">
        <f t="shared" si="204"/>
        <v>0</v>
      </c>
      <c r="AC1561" s="848"/>
      <c r="AD1561" s="861"/>
      <c r="AE1561" s="861"/>
      <c r="AF1561" s="862"/>
      <c r="AG1561" s="864">
        <f t="shared" si="205"/>
        <v>0</v>
      </c>
    </row>
    <row r="1562" spans="2:40">
      <c r="B1562" s="502" t="s">
        <v>484</v>
      </c>
      <c r="C1562" s="861"/>
      <c r="D1562" s="861"/>
      <c r="E1562" s="862">
        <v>0</v>
      </c>
      <c r="F1562" s="863"/>
      <c r="G1562" s="848"/>
      <c r="H1562" s="861"/>
      <c r="I1562" s="861"/>
      <c r="J1562" s="862">
        <v>0</v>
      </c>
      <c r="K1562" s="863"/>
      <c r="L1562" s="848"/>
      <c r="M1562" s="861"/>
      <c r="N1562" s="861"/>
      <c r="O1562" s="862">
        <v>4</v>
      </c>
      <c r="P1562" s="863"/>
      <c r="Q1562" s="848"/>
      <c r="R1562" s="861"/>
      <c r="S1562" s="861"/>
      <c r="T1562" s="862">
        <v>0</v>
      </c>
      <c r="U1562" s="863"/>
      <c r="V1562" s="848"/>
      <c r="W1562" s="861"/>
      <c r="X1562" s="861"/>
      <c r="Y1562" s="862">
        <v>0</v>
      </c>
      <c r="Z1562" s="863"/>
      <c r="AA1562" s="864">
        <f t="shared" si="203"/>
        <v>4</v>
      </c>
      <c r="AB1562" s="865">
        <f t="shared" si="204"/>
        <v>0</v>
      </c>
      <c r="AC1562" s="848"/>
      <c r="AD1562" s="861"/>
      <c r="AE1562" s="861"/>
      <c r="AF1562" s="862"/>
      <c r="AG1562" s="864">
        <f t="shared" si="205"/>
        <v>0</v>
      </c>
    </row>
    <row r="1563" spans="2:40">
      <c r="B1563" s="502" t="s">
        <v>485</v>
      </c>
      <c r="C1563" s="861"/>
      <c r="D1563" s="861"/>
      <c r="E1563" s="862">
        <v>0</v>
      </c>
      <c r="F1563" s="863"/>
      <c r="G1563" s="848"/>
      <c r="H1563" s="861"/>
      <c r="I1563" s="861"/>
      <c r="J1563" s="862">
        <v>0</v>
      </c>
      <c r="K1563" s="863"/>
      <c r="L1563" s="848"/>
      <c r="M1563" s="861"/>
      <c r="N1563" s="861"/>
      <c r="O1563" s="862">
        <v>0</v>
      </c>
      <c r="P1563" s="863"/>
      <c r="Q1563" s="848"/>
      <c r="R1563" s="861"/>
      <c r="S1563" s="861"/>
      <c r="T1563" s="862">
        <v>0</v>
      </c>
      <c r="U1563" s="863"/>
      <c r="V1563" s="848"/>
      <c r="W1563" s="861"/>
      <c r="X1563" s="861"/>
      <c r="Y1563" s="862">
        <v>0</v>
      </c>
      <c r="Z1563" s="863"/>
      <c r="AA1563" s="864">
        <f t="shared" si="203"/>
        <v>0</v>
      </c>
      <c r="AB1563" s="865">
        <f t="shared" si="204"/>
        <v>0</v>
      </c>
      <c r="AC1563" s="848"/>
      <c r="AD1563" s="861"/>
      <c r="AE1563" s="861"/>
      <c r="AF1563" s="862"/>
      <c r="AG1563" s="864">
        <f t="shared" si="205"/>
        <v>0</v>
      </c>
    </row>
    <row r="1564" spans="2:40">
      <c r="B1564" s="502" t="s">
        <v>1129</v>
      </c>
      <c r="C1564" s="861"/>
      <c r="D1564" s="861"/>
      <c r="E1564" s="862">
        <v>0</v>
      </c>
      <c r="F1564" s="863"/>
      <c r="G1564" s="848"/>
      <c r="H1564" s="861"/>
      <c r="I1564" s="861"/>
      <c r="J1564" s="862">
        <v>0</v>
      </c>
      <c r="K1564" s="863"/>
      <c r="L1564" s="848"/>
      <c r="M1564" s="861"/>
      <c r="N1564" s="861"/>
      <c r="O1564" s="862">
        <v>0</v>
      </c>
      <c r="P1564" s="863"/>
      <c r="Q1564" s="848"/>
      <c r="R1564" s="861"/>
      <c r="S1564" s="861"/>
      <c r="T1564" s="862">
        <v>0</v>
      </c>
      <c r="U1564" s="863"/>
      <c r="V1564" s="848"/>
      <c r="W1564" s="861"/>
      <c r="X1564" s="861"/>
      <c r="Y1564" s="862">
        <v>0</v>
      </c>
      <c r="Z1564" s="863"/>
      <c r="AA1564" s="864">
        <f t="shared" si="203"/>
        <v>0</v>
      </c>
      <c r="AB1564" s="865">
        <f t="shared" si="204"/>
        <v>0</v>
      </c>
      <c r="AC1564" s="848"/>
      <c r="AD1564" s="861"/>
      <c r="AE1564" s="861"/>
      <c r="AF1564" s="862"/>
      <c r="AG1564" s="864">
        <f t="shared" si="205"/>
        <v>0</v>
      </c>
    </row>
    <row r="1565" spans="2:40">
      <c r="B1565" s="267" t="s">
        <v>358</v>
      </c>
      <c r="C1565" s="861"/>
      <c r="D1565" s="861"/>
      <c r="E1565" s="862">
        <v>0</v>
      </c>
      <c r="F1565" s="863"/>
      <c r="G1565" s="848"/>
      <c r="H1565" s="861"/>
      <c r="I1565" s="861"/>
      <c r="J1565" s="862">
        <v>0</v>
      </c>
      <c r="K1565" s="863"/>
      <c r="L1565" s="872"/>
      <c r="M1565" s="861"/>
      <c r="N1565" s="861"/>
      <c r="O1565" s="862">
        <v>1</v>
      </c>
      <c r="P1565" s="863"/>
      <c r="Q1565" s="872"/>
      <c r="R1565" s="861"/>
      <c r="S1565" s="861"/>
      <c r="T1565" s="862">
        <v>1</v>
      </c>
      <c r="U1565" s="863"/>
      <c r="V1565" s="872"/>
      <c r="W1565" s="861"/>
      <c r="X1565" s="861"/>
      <c r="Y1565" s="862">
        <v>1</v>
      </c>
      <c r="Z1565" s="863"/>
      <c r="AA1565" s="864">
        <f t="shared" si="203"/>
        <v>3</v>
      </c>
      <c r="AB1565" s="865">
        <f t="shared" si="204"/>
        <v>0</v>
      </c>
      <c r="AC1565" s="848"/>
      <c r="AD1565" s="861"/>
      <c r="AE1565" s="861"/>
      <c r="AF1565" s="862"/>
      <c r="AG1565" s="864">
        <f t="shared" si="205"/>
        <v>0</v>
      </c>
    </row>
    <row r="1566" spans="2:40">
      <c r="B1566" s="267" t="s">
        <v>991</v>
      </c>
      <c r="C1566" s="861"/>
      <c r="D1566" s="861"/>
      <c r="E1566" s="862">
        <v>0</v>
      </c>
      <c r="F1566" s="863"/>
      <c r="G1566" s="848"/>
      <c r="H1566" s="861"/>
      <c r="I1566" s="861"/>
      <c r="J1566" s="862">
        <v>0</v>
      </c>
      <c r="K1566" s="863"/>
      <c r="L1566" s="872"/>
      <c r="M1566" s="861"/>
      <c r="N1566" s="861"/>
      <c r="O1566" s="862">
        <v>0</v>
      </c>
      <c r="P1566" s="863"/>
      <c r="Q1566" s="872"/>
      <c r="R1566" s="861"/>
      <c r="S1566" s="861"/>
      <c r="T1566" s="862">
        <v>0</v>
      </c>
      <c r="U1566" s="863"/>
      <c r="V1566" s="872"/>
      <c r="W1566" s="861"/>
      <c r="X1566" s="861"/>
      <c r="Y1566" s="862">
        <v>0</v>
      </c>
      <c r="Z1566" s="863"/>
      <c r="AA1566" s="864">
        <f t="shared" si="203"/>
        <v>0</v>
      </c>
      <c r="AB1566" s="865">
        <f t="shared" si="204"/>
        <v>0</v>
      </c>
      <c r="AC1566" s="848"/>
      <c r="AD1566" s="861"/>
      <c r="AE1566" s="861"/>
      <c r="AF1566" s="862"/>
      <c r="AG1566" s="864">
        <f t="shared" si="205"/>
        <v>0</v>
      </c>
    </row>
    <row r="1567" spans="2:40">
      <c r="B1567" s="267" t="s">
        <v>411</v>
      </c>
      <c r="C1567" s="861"/>
      <c r="D1567" s="861"/>
      <c r="E1567" s="862">
        <v>0</v>
      </c>
      <c r="F1567" s="863"/>
      <c r="G1567" s="848"/>
      <c r="H1567" s="861"/>
      <c r="I1567" s="861"/>
      <c r="J1567" s="862">
        <v>0</v>
      </c>
      <c r="K1567" s="863"/>
      <c r="L1567" s="872"/>
      <c r="M1567" s="861"/>
      <c r="N1567" s="861"/>
      <c r="O1567" s="862">
        <v>0</v>
      </c>
      <c r="P1567" s="863"/>
      <c r="Q1567" s="872"/>
      <c r="R1567" s="861"/>
      <c r="S1567" s="861"/>
      <c r="T1567" s="862">
        <v>0</v>
      </c>
      <c r="U1567" s="863"/>
      <c r="V1567" s="872"/>
      <c r="W1567" s="861"/>
      <c r="X1567" s="861"/>
      <c r="Y1567" s="862">
        <v>0</v>
      </c>
      <c r="Z1567" s="863"/>
      <c r="AA1567" s="864">
        <f t="shared" si="203"/>
        <v>0</v>
      </c>
      <c r="AB1567" s="865">
        <f t="shared" si="204"/>
        <v>0</v>
      </c>
      <c r="AC1567" s="848"/>
      <c r="AD1567" s="861"/>
      <c r="AE1567" s="861"/>
      <c r="AF1567" s="862"/>
      <c r="AG1567" s="864">
        <f t="shared" si="205"/>
        <v>0</v>
      </c>
    </row>
    <row r="1568" spans="2:40">
      <c r="B1568" s="267" t="s">
        <v>361</v>
      </c>
      <c r="C1568" s="861"/>
      <c r="D1568" s="861"/>
      <c r="E1568" s="862">
        <v>0</v>
      </c>
      <c r="F1568" s="863"/>
      <c r="G1568" s="848"/>
      <c r="H1568" s="861"/>
      <c r="I1568" s="861"/>
      <c r="J1568" s="862">
        <v>0</v>
      </c>
      <c r="K1568" s="863"/>
      <c r="L1568" s="872"/>
      <c r="M1568" s="861"/>
      <c r="N1568" s="861"/>
      <c r="O1568" s="862">
        <v>0</v>
      </c>
      <c r="P1568" s="863"/>
      <c r="Q1568" s="872"/>
      <c r="R1568" s="861"/>
      <c r="S1568" s="861"/>
      <c r="T1568" s="862">
        <v>0</v>
      </c>
      <c r="U1568" s="863"/>
      <c r="V1568" s="872"/>
      <c r="W1568" s="861"/>
      <c r="X1568" s="861"/>
      <c r="Y1568" s="862">
        <v>0</v>
      </c>
      <c r="Z1568" s="863"/>
      <c r="AA1568" s="864">
        <f t="shared" si="203"/>
        <v>0</v>
      </c>
      <c r="AB1568" s="865">
        <f t="shared" si="204"/>
        <v>0</v>
      </c>
      <c r="AC1568" s="848"/>
      <c r="AD1568" s="861"/>
      <c r="AE1568" s="861"/>
      <c r="AF1568" s="862"/>
      <c r="AG1568" s="864">
        <f t="shared" si="205"/>
        <v>0</v>
      </c>
    </row>
    <row r="1569" spans="2:42">
      <c r="B1569" s="267" t="s">
        <v>362</v>
      </c>
      <c r="C1569" s="861"/>
      <c r="D1569" s="873"/>
      <c r="E1569" s="862">
        <v>0</v>
      </c>
      <c r="F1569" s="863"/>
      <c r="G1569" s="848"/>
      <c r="H1569" s="861"/>
      <c r="I1569" s="873"/>
      <c r="J1569" s="862">
        <v>0</v>
      </c>
      <c r="K1569" s="863"/>
      <c r="L1569" s="872"/>
      <c r="M1569" s="861"/>
      <c r="N1569" s="873"/>
      <c r="O1569" s="862">
        <v>0</v>
      </c>
      <c r="P1569" s="863"/>
      <c r="Q1569" s="872"/>
      <c r="R1569" s="861"/>
      <c r="S1569" s="873"/>
      <c r="T1569" s="862">
        <v>0</v>
      </c>
      <c r="U1569" s="863"/>
      <c r="V1569" s="872"/>
      <c r="W1569" s="861"/>
      <c r="X1569" s="873"/>
      <c r="Y1569" s="862">
        <v>0</v>
      </c>
      <c r="Z1569" s="863"/>
      <c r="AA1569" s="864">
        <f t="shared" si="203"/>
        <v>0</v>
      </c>
      <c r="AB1569" s="865">
        <f t="shared" si="204"/>
        <v>0</v>
      </c>
      <c r="AC1569" s="848"/>
      <c r="AD1569" s="861"/>
      <c r="AE1569" s="861"/>
      <c r="AF1569" s="862"/>
      <c r="AG1569" s="864">
        <f t="shared" si="205"/>
        <v>0</v>
      </c>
    </row>
    <row r="1570" spans="2:42">
      <c r="B1570" s="437" t="s">
        <v>355</v>
      </c>
      <c r="C1570" s="861"/>
      <c r="D1570" s="861"/>
      <c r="E1570" s="862">
        <v>0</v>
      </c>
      <c r="F1570" s="863"/>
      <c r="G1570" s="848"/>
      <c r="H1570" s="861"/>
      <c r="I1570" s="861"/>
      <c r="J1570" s="862">
        <v>0</v>
      </c>
      <c r="K1570" s="863"/>
      <c r="L1570" s="872"/>
      <c r="M1570" s="861"/>
      <c r="N1570" s="861"/>
      <c r="O1570" s="862">
        <v>5.25</v>
      </c>
      <c r="P1570" s="863"/>
      <c r="Q1570" s="872"/>
      <c r="R1570" s="861"/>
      <c r="S1570" s="861"/>
      <c r="T1570" s="862">
        <v>0</v>
      </c>
      <c r="U1570" s="863"/>
      <c r="V1570" s="872"/>
      <c r="W1570" s="861"/>
      <c r="X1570" s="861"/>
      <c r="Y1570" s="862">
        <v>0</v>
      </c>
      <c r="Z1570" s="863"/>
      <c r="AA1570" s="864">
        <f t="shared" si="203"/>
        <v>5.25</v>
      </c>
      <c r="AB1570" s="865">
        <f t="shared" si="204"/>
        <v>0</v>
      </c>
      <c r="AC1570" s="848"/>
      <c r="AD1570" s="861"/>
      <c r="AE1570" s="861"/>
      <c r="AF1570" s="862"/>
      <c r="AG1570" s="864">
        <f t="shared" si="205"/>
        <v>0</v>
      </c>
    </row>
    <row r="1571" spans="2:42">
      <c r="B1571" s="437" t="s">
        <v>356</v>
      </c>
      <c r="C1571" s="875"/>
      <c r="D1571" s="875"/>
      <c r="E1571" s="862">
        <v>0</v>
      </c>
      <c r="F1571" s="863"/>
      <c r="G1571" s="872"/>
      <c r="H1571" s="873"/>
      <c r="I1571" s="873"/>
      <c r="J1571" s="862">
        <v>0</v>
      </c>
      <c r="K1571" s="863"/>
      <c r="L1571" s="872"/>
      <c r="M1571" s="873"/>
      <c r="N1571" s="873"/>
      <c r="O1571" s="862">
        <v>0</v>
      </c>
      <c r="P1571" s="863"/>
      <c r="Q1571" s="872"/>
      <c r="R1571" s="873"/>
      <c r="S1571" s="873"/>
      <c r="T1571" s="862">
        <v>0</v>
      </c>
      <c r="U1571" s="863"/>
      <c r="V1571" s="872"/>
      <c r="W1571" s="873"/>
      <c r="X1571" s="873"/>
      <c r="Y1571" s="862">
        <v>0</v>
      </c>
      <c r="Z1571" s="863"/>
      <c r="AA1571" s="864">
        <f t="shared" si="203"/>
        <v>0</v>
      </c>
      <c r="AB1571" s="865">
        <f t="shared" si="204"/>
        <v>0</v>
      </c>
      <c r="AC1571" s="848"/>
      <c r="AD1571" s="861"/>
      <c r="AE1571" s="861"/>
      <c r="AF1571" s="862"/>
      <c r="AG1571" s="864">
        <f t="shared" si="205"/>
        <v>0</v>
      </c>
    </row>
    <row r="1572" spans="2:42">
      <c r="B1572" s="31" t="s">
        <v>61</v>
      </c>
      <c r="C1572" s="876"/>
      <c r="D1572" s="876"/>
      <c r="E1572" s="877">
        <f>SUM(E1551:E1571)</f>
        <v>7</v>
      </c>
      <c r="F1572" s="863"/>
      <c r="G1572" s="876"/>
      <c r="H1572" s="876"/>
      <c r="I1572" s="876"/>
      <c r="J1572" s="877">
        <f>SUM(J1551:J1571)</f>
        <v>12</v>
      </c>
      <c r="K1572" s="863"/>
      <c r="L1572" s="876"/>
      <c r="M1572" s="876"/>
      <c r="N1572" s="876"/>
      <c r="O1572" s="877">
        <f>SUM(O1551:O1571)</f>
        <v>25.75</v>
      </c>
      <c r="P1572" s="863"/>
      <c r="Q1572" s="876"/>
      <c r="R1572" s="876"/>
      <c r="S1572" s="876"/>
      <c r="T1572" s="877">
        <f>SUM(T1551:T1571)</f>
        <v>9</v>
      </c>
      <c r="U1572" s="863"/>
      <c r="V1572" s="876"/>
      <c r="W1572" s="876"/>
      <c r="X1572" s="876"/>
      <c r="Y1572" s="877">
        <f>SUM(Y1551:Y1571)</f>
        <v>8</v>
      </c>
      <c r="Z1572" s="863"/>
      <c r="AA1572" s="864">
        <f>SUM(AA1551:AA1571)</f>
        <v>61.75</v>
      </c>
      <c r="AB1572" s="864">
        <f>SUM(AB1551:AB1571)</f>
        <v>0</v>
      </c>
      <c r="AC1572" s="848"/>
      <c r="AD1572" s="876"/>
      <c r="AE1572" s="876"/>
      <c r="AF1572" s="864">
        <f>SUM(AF1551:AF1571)</f>
        <v>0</v>
      </c>
      <c r="AG1572" s="864">
        <f>SUM(AG1551:AG1571)</f>
        <v>0</v>
      </c>
    </row>
    <row r="1573" spans="2:42">
      <c r="B1573" s="267" t="s">
        <v>1116</v>
      </c>
      <c r="C1573" s="861"/>
      <c r="D1573" s="861"/>
      <c r="E1573" s="862">
        <v>4</v>
      </c>
      <c r="F1573" s="863"/>
      <c r="G1573" s="848"/>
      <c r="H1573" s="861"/>
      <c r="I1573" s="861"/>
      <c r="J1573" s="862">
        <v>4</v>
      </c>
      <c r="K1573" s="863"/>
      <c r="L1573" s="848"/>
      <c r="M1573" s="861"/>
      <c r="N1573" s="861"/>
      <c r="O1573" s="862">
        <v>4</v>
      </c>
      <c r="P1573" s="863"/>
      <c r="Q1573" s="848"/>
      <c r="R1573" s="861"/>
      <c r="S1573" s="861"/>
      <c r="T1573" s="862">
        <v>4</v>
      </c>
      <c r="U1573" s="863"/>
      <c r="V1573" s="848"/>
      <c r="W1573" s="861"/>
      <c r="X1573" s="861"/>
      <c r="Y1573" s="862">
        <v>4</v>
      </c>
      <c r="Z1573" s="863"/>
      <c r="AA1573" s="864">
        <f>(E1573+J1573+O1573+T1573+Y1573)</f>
        <v>20</v>
      </c>
      <c r="AB1573" s="865">
        <f>Z1573+U1573+P1573+K1573+F1573</f>
        <v>0</v>
      </c>
      <c r="AC1573" s="848"/>
      <c r="AD1573" s="861"/>
      <c r="AE1573" s="861"/>
      <c r="AF1573" s="862"/>
      <c r="AG1573" s="864">
        <f>AF1573</f>
        <v>0</v>
      </c>
    </row>
    <row r="1574" spans="2:42">
      <c r="B1574" s="267" t="s">
        <v>64</v>
      </c>
      <c r="C1574" s="861"/>
      <c r="D1574" s="861"/>
      <c r="E1574" s="862">
        <v>0</v>
      </c>
      <c r="F1574" s="862"/>
      <c r="G1574" s="878"/>
      <c r="H1574" s="861"/>
      <c r="I1574" s="861"/>
      <c r="J1574" s="862">
        <v>0</v>
      </c>
      <c r="K1574" s="862"/>
      <c r="L1574" s="872"/>
      <c r="M1574" s="861"/>
      <c r="N1574" s="861"/>
      <c r="O1574" s="862">
        <v>0</v>
      </c>
      <c r="P1574" s="862"/>
      <c r="Q1574" s="872"/>
      <c r="R1574" s="861"/>
      <c r="S1574" s="861"/>
      <c r="T1574" s="862">
        <v>0</v>
      </c>
      <c r="U1574" s="862"/>
      <c r="V1574" s="872"/>
      <c r="W1574" s="861"/>
      <c r="X1574" s="861"/>
      <c r="Y1574" s="862">
        <v>2.25</v>
      </c>
      <c r="Z1574" s="862"/>
      <c r="AA1574" s="864">
        <f>SUM(E1574+J1574+O1574+T1574+Y1574)</f>
        <v>2.25</v>
      </c>
      <c r="AB1574" s="855">
        <f>Z1574+U1574+P1574+K1574+F1574</f>
        <v>0</v>
      </c>
      <c r="AC1574" s="848"/>
      <c r="AD1574" s="861" t="s">
        <v>29</v>
      </c>
      <c r="AE1574" s="861" t="s">
        <v>29</v>
      </c>
      <c r="AF1574" s="862"/>
      <c r="AG1574" s="864">
        <f>AF1574</f>
        <v>0</v>
      </c>
    </row>
    <row r="1575" spans="2:42">
      <c r="B1575" s="71" t="s">
        <v>66</v>
      </c>
      <c r="C1575" s="879"/>
      <c r="D1575" s="879"/>
      <c r="E1575" s="878"/>
      <c r="F1575" s="878"/>
      <c r="G1575" s="878"/>
      <c r="H1575" s="878"/>
      <c r="I1575" s="878"/>
      <c r="J1575" s="878"/>
      <c r="K1575" s="878"/>
      <c r="L1575" s="878"/>
      <c r="M1575" s="878"/>
      <c r="N1575" s="878"/>
      <c r="O1575" s="878"/>
      <c r="P1575" s="878"/>
      <c r="Q1575" s="878"/>
      <c r="R1575" s="878"/>
      <c r="S1575" s="878"/>
      <c r="T1575" s="878"/>
      <c r="U1575" s="878"/>
      <c r="V1575" s="878"/>
      <c r="W1575" s="878"/>
      <c r="X1575" s="878"/>
      <c r="Y1575" s="878"/>
      <c r="Z1575" s="878"/>
      <c r="AA1575" s="864">
        <f>SUM(AA1573:AA1574)</f>
        <v>22.25</v>
      </c>
      <c r="AB1575" s="864">
        <f>SUM(AB1574:AB1574)</f>
        <v>0</v>
      </c>
      <c r="AC1575" s="848"/>
      <c r="AD1575" s="851"/>
      <c r="AE1575" s="851"/>
      <c r="AF1575" s="851"/>
      <c r="AG1575" s="864">
        <f>SUM(AG1574:AG1574)</f>
        <v>0</v>
      </c>
      <c r="AK1575" s="407"/>
    </row>
    <row r="1576" spans="2:42">
      <c r="B1576" s="899" t="s">
        <v>67</v>
      </c>
      <c r="C1576" s="882">
        <f>C1577+C1578</f>
        <v>6</v>
      </c>
      <c r="D1576" s="882"/>
      <c r="E1576" s="883"/>
      <c r="F1576" s="883"/>
      <c r="G1576" s="882"/>
      <c r="H1576" s="883"/>
      <c r="I1576" s="883"/>
      <c r="J1576" s="883"/>
      <c r="K1576" s="883"/>
      <c r="L1576" s="882"/>
      <c r="M1576" s="882"/>
      <c r="N1576" s="882"/>
      <c r="O1576" s="882"/>
      <c r="P1576" s="883"/>
      <c r="Q1576" s="882"/>
      <c r="R1576" s="882"/>
      <c r="S1576" s="882"/>
      <c r="T1576" s="882"/>
      <c r="U1576" s="883"/>
      <c r="V1576" s="882"/>
      <c r="W1576" s="882"/>
      <c r="X1576" s="882"/>
      <c r="Y1576" s="884"/>
      <c r="Z1576" s="883"/>
      <c r="AA1576" s="885"/>
      <c r="AB1576" s="883"/>
      <c r="AC1576" s="885"/>
      <c r="AD1576" s="885"/>
      <c r="AE1576" s="885"/>
      <c r="AF1576" s="885"/>
      <c r="AG1576" s="885"/>
      <c r="AK1576" s="407"/>
    </row>
    <row r="1577" spans="2:42">
      <c r="B1577" s="904" t="s">
        <v>68</v>
      </c>
      <c r="C1577" s="882">
        <v>0</v>
      </c>
      <c r="D1577" s="882"/>
      <c r="E1577" s="883"/>
      <c r="F1577" s="883"/>
      <c r="G1577" s="882"/>
      <c r="H1577" s="883"/>
      <c r="I1577" s="883"/>
      <c r="J1577" s="883"/>
      <c r="K1577" s="883"/>
      <c r="L1577" s="882"/>
      <c r="M1577" s="882"/>
      <c r="N1577" s="882"/>
      <c r="O1577" s="882"/>
      <c r="P1577" s="883"/>
      <c r="Q1577" s="882"/>
      <c r="R1577" s="882"/>
      <c r="S1577" s="882"/>
      <c r="T1577" s="882"/>
      <c r="U1577" s="883"/>
      <c r="V1577" s="882"/>
      <c r="W1577" s="882"/>
      <c r="X1577" s="882"/>
      <c r="Y1577" s="884"/>
      <c r="Z1577" s="883"/>
      <c r="AA1577" s="885"/>
      <c r="AB1577" s="883"/>
      <c r="AC1577" s="885"/>
      <c r="AD1577" s="885"/>
      <c r="AE1577" s="885"/>
      <c r="AF1577" s="885"/>
      <c r="AG1577" s="885"/>
      <c r="AK1577" s="407"/>
    </row>
    <row r="1578" spans="2:42">
      <c r="B1578" s="904" t="s">
        <v>69</v>
      </c>
      <c r="C1578" s="882">
        <v>6</v>
      </c>
      <c r="D1578" s="882"/>
      <c r="E1578" s="883"/>
      <c r="F1578" s="883"/>
      <c r="G1578" s="882"/>
      <c r="H1578" s="883"/>
      <c r="I1578" s="883"/>
      <c r="J1578" s="883"/>
      <c r="K1578" s="883"/>
      <c r="L1578" s="882"/>
      <c r="M1578" s="882"/>
      <c r="N1578" s="882"/>
      <c r="O1578" s="882"/>
      <c r="P1578" s="883"/>
      <c r="Q1578" s="882"/>
      <c r="R1578" s="882"/>
      <c r="S1578" s="882"/>
      <c r="T1578" s="882"/>
      <c r="U1578" s="883"/>
      <c r="V1578" s="882"/>
      <c r="W1578" s="882"/>
      <c r="X1578" s="882"/>
      <c r="Y1578" s="884"/>
      <c r="Z1578" s="883"/>
      <c r="AA1578" s="885"/>
      <c r="AB1578" s="883"/>
      <c r="AC1578" s="885"/>
      <c r="AD1578" s="885"/>
      <c r="AE1578" s="885"/>
      <c r="AF1578" s="885"/>
      <c r="AG1578" s="885"/>
    </row>
    <row r="1579" spans="2:42">
      <c r="C1579" s="851"/>
      <c r="D1579" s="851"/>
      <c r="E1579" s="866"/>
      <c r="F1579" s="866"/>
      <c r="G1579" s="866"/>
      <c r="H1579" s="851"/>
      <c r="I1579" s="851"/>
      <c r="J1579" s="866"/>
      <c r="K1579" s="866"/>
      <c r="L1579" s="866"/>
      <c r="M1579" s="851"/>
      <c r="N1579" s="851"/>
      <c r="O1579" s="866"/>
      <c r="P1579" s="866"/>
      <c r="Q1579" s="848"/>
      <c r="R1579" s="851"/>
      <c r="S1579" s="851"/>
      <c r="T1579" s="866"/>
      <c r="U1579" s="866"/>
      <c r="V1579" s="848"/>
      <c r="W1579" s="851"/>
      <c r="X1579" s="851"/>
      <c r="Y1579" s="866"/>
      <c r="Z1579" s="866"/>
      <c r="AA1579" s="866"/>
      <c r="AB1579" s="866"/>
      <c r="AC1579" s="866"/>
      <c r="AD1579" s="851"/>
      <c r="AE1579" s="851"/>
      <c r="AF1579" s="851"/>
      <c r="AG1579" s="851"/>
    </row>
    <row r="1580" spans="2:42" ht="25.5">
      <c r="B1580" s="1571"/>
      <c r="C1580" s="1572">
        <v>46041</v>
      </c>
      <c r="D1580" s="1572"/>
      <c r="E1580" s="1572" t="s">
        <v>564</v>
      </c>
      <c r="F1580" s="1572"/>
      <c r="G1580" s="847"/>
      <c r="H1580" s="1572">
        <v>46042</v>
      </c>
      <c r="I1580" s="1572"/>
      <c r="J1580" s="1572" t="s">
        <v>565</v>
      </c>
      <c r="K1580" s="1572"/>
      <c r="L1580" s="847"/>
      <c r="M1580" s="1572">
        <v>46043</v>
      </c>
      <c r="N1580" s="1572"/>
      <c r="O1580" s="1572" t="s">
        <v>566</v>
      </c>
      <c r="P1580" s="1572"/>
      <c r="Q1580" s="847"/>
      <c r="R1580" s="1572">
        <v>46044</v>
      </c>
      <c r="S1580" s="1572"/>
      <c r="T1580" s="1572" t="s">
        <v>567</v>
      </c>
      <c r="U1580" s="1572"/>
      <c r="V1580" s="847"/>
      <c r="W1580" s="1572">
        <v>46045</v>
      </c>
      <c r="X1580" s="1572"/>
      <c r="Y1580" s="1572" t="s">
        <v>568</v>
      </c>
      <c r="Z1580" s="1572"/>
      <c r="AA1580" s="1573" t="s">
        <v>19</v>
      </c>
      <c r="AB1580" s="1573" t="s">
        <v>20</v>
      </c>
      <c r="AC1580" s="848"/>
      <c r="AD1580" s="1572"/>
      <c r="AE1580" s="1572"/>
      <c r="AF1580" s="849" t="s">
        <v>1111</v>
      </c>
      <c r="AG1580" s="1573" t="s">
        <v>21</v>
      </c>
      <c r="AK1580" s="194" t="s">
        <v>84</v>
      </c>
      <c r="AL1580" s="366"/>
      <c r="AM1580" s="366"/>
      <c r="AN1580" s="366"/>
      <c r="AO1580" s="366"/>
      <c r="AP1580" s="366"/>
    </row>
    <row r="1581" spans="2:42">
      <c r="B1581" s="1571"/>
      <c r="C1581" s="854" t="s">
        <v>23</v>
      </c>
      <c r="D1581" s="854" t="s">
        <v>24</v>
      </c>
      <c r="E1581" s="855" t="s">
        <v>25</v>
      </c>
      <c r="F1581" s="856" t="s">
        <v>14</v>
      </c>
      <c r="G1581" s="848"/>
      <c r="H1581" s="854"/>
      <c r="I1581" s="854" t="s">
        <v>24</v>
      </c>
      <c r="J1581" s="856" t="s">
        <v>25</v>
      </c>
      <c r="K1581" s="856" t="s">
        <v>14</v>
      </c>
      <c r="L1581" s="848"/>
      <c r="M1581" s="854" t="s">
        <v>23</v>
      </c>
      <c r="N1581" s="854" t="s">
        <v>24</v>
      </c>
      <c r="O1581" s="856" t="s">
        <v>25</v>
      </c>
      <c r="P1581" s="856" t="s">
        <v>14</v>
      </c>
      <c r="Q1581" s="848"/>
      <c r="R1581" s="854" t="s">
        <v>23</v>
      </c>
      <c r="S1581" s="854" t="s">
        <v>24</v>
      </c>
      <c r="T1581" s="856" t="s">
        <v>25</v>
      </c>
      <c r="U1581" s="856" t="s">
        <v>14</v>
      </c>
      <c r="V1581" s="848"/>
      <c r="W1581" s="854" t="s">
        <v>23</v>
      </c>
      <c r="X1581" s="854" t="s">
        <v>24</v>
      </c>
      <c r="Y1581" s="856" t="s">
        <v>25</v>
      </c>
      <c r="Z1581" s="856" t="s">
        <v>14</v>
      </c>
      <c r="AA1581" s="1573"/>
      <c r="AB1581" s="1573"/>
      <c r="AC1581" s="848"/>
      <c r="AD1581" s="854" t="s">
        <v>23</v>
      </c>
      <c r="AE1581" s="854" t="s">
        <v>24</v>
      </c>
      <c r="AF1581" s="856" t="s">
        <v>25</v>
      </c>
      <c r="AG1581" s="1573"/>
      <c r="AK1581" s="188" t="s">
        <v>26</v>
      </c>
      <c r="AL1581" s="196">
        <f>AA1605</f>
        <v>140.5</v>
      </c>
      <c r="AM1581" s="510">
        <v>40.31</v>
      </c>
      <c r="AN1581" s="510">
        <f t="shared" ref="AN1581:AN1586" si="206">AL1581*AM1581</f>
        <v>5663.5550000000003</v>
      </c>
    </row>
    <row r="1582" spans="2:42">
      <c r="B1582" s="47" t="s">
        <v>515</v>
      </c>
      <c r="C1582" s="861"/>
      <c r="D1582" s="861"/>
      <c r="E1582" s="862">
        <v>0</v>
      </c>
      <c r="F1582" s="863"/>
      <c r="G1582" s="848"/>
      <c r="H1582" s="861"/>
      <c r="I1582" s="861"/>
      <c r="J1582" s="862">
        <v>0</v>
      </c>
      <c r="K1582" s="863"/>
      <c r="L1582" s="848"/>
      <c r="M1582" s="861"/>
      <c r="N1582" s="861"/>
      <c r="O1582" s="862">
        <v>0</v>
      </c>
      <c r="P1582" s="863"/>
      <c r="Q1582" s="848"/>
      <c r="R1582" s="861"/>
      <c r="S1582" s="861"/>
      <c r="T1582" s="862">
        <v>0</v>
      </c>
      <c r="U1582" s="863"/>
      <c r="V1582" s="848"/>
      <c r="W1582" s="861"/>
      <c r="X1582" s="861"/>
      <c r="Y1582" s="862">
        <v>0</v>
      </c>
      <c r="Z1582" s="863"/>
      <c r="AA1582" s="864">
        <f t="shared" ref="AA1582:AA1604" si="207">(E1582+J1582+O1582+T1582+Y1582)</f>
        <v>0</v>
      </c>
      <c r="AB1582" s="865">
        <f t="shared" ref="AB1582:AB1589" si="208">Z1582+U1582+P1582+K1582+F1582</f>
        <v>0</v>
      </c>
      <c r="AC1582" s="848"/>
      <c r="AD1582" s="851"/>
      <c r="AE1582" s="851"/>
      <c r="AF1582" s="862"/>
      <c r="AG1582" s="864">
        <f t="shared" ref="AG1582:AG1589" si="209">AF1582</f>
        <v>0</v>
      </c>
      <c r="AK1582" s="188" t="s">
        <v>30</v>
      </c>
      <c r="AL1582" s="196">
        <f>AB1605</f>
        <v>0</v>
      </c>
      <c r="AM1582" s="510">
        <v>60.465000000000003</v>
      </c>
      <c r="AN1582" s="510">
        <f t="shared" si="206"/>
        <v>0</v>
      </c>
    </row>
    <row r="1583" spans="2:42">
      <c r="B1583" s="47" t="s">
        <v>1112</v>
      </c>
      <c r="C1583" s="861"/>
      <c r="D1583" s="861"/>
      <c r="E1583" s="862">
        <v>0</v>
      </c>
      <c r="F1583" s="863"/>
      <c r="G1583" s="848"/>
      <c r="H1583" s="861"/>
      <c r="I1583" s="861"/>
      <c r="J1583" s="862">
        <v>0</v>
      </c>
      <c r="K1583" s="863"/>
      <c r="L1583" s="848"/>
      <c r="M1583" s="861"/>
      <c r="N1583" s="861"/>
      <c r="O1583" s="862">
        <v>0</v>
      </c>
      <c r="P1583" s="863"/>
      <c r="Q1583" s="848"/>
      <c r="R1583" s="861"/>
      <c r="S1583" s="861"/>
      <c r="T1583" s="862">
        <v>0</v>
      </c>
      <c r="U1583" s="863"/>
      <c r="V1583" s="848"/>
      <c r="W1583" s="861"/>
      <c r="X1583" s="861"/>
      <c r="Y1583" s="862">
        <v>0</v>
      </c>
      <c r="Z1583" s="863"/>
      <c r="AA1583" s="864">
        <f t="shared" si="207"/>
        <v>0</v>
      </c>
      <c r="AB1583" s="865">
        <f t="shared" si="208"/>
        <v>0</v>
      </c>
      <c r="AC1583" s="848"/>
      <c r="AD1583" s="861"/>
      <c r="AE1583" s="861"/>
      <c r="AF1583" s="862"/>
      <c r="AG1583" s="864">
        <f t="shared" si="209"/>
        <v>0</v>
      </c>
      <c r="AK1583" s="188" t="s">
        <v>32</v>
      </c>
      <c r="AL1583" s="196">
        <f>AG1605</f>
        <v>0</v>
      </c>
      <c r="AM1583" s="510">
        <v>60.465000000000003</v>
      </c>
      <c r="AN1583" s="510">
        <f t="shared" si="206"/>
        <v>0</v>
      </c>
    </row>
    <row r="1584" spans="2:42">
      <c r="B1584" s="47" t="s">
        <v>1141</v>
      </c>
      <c r="C1584" s="861"/>
      <c r="D1584" s="861"/>
      <c r="E1584" s="862">
        <v>0</v>
      </c>
      <c r="F1584" s="863"/>
      <c r="G1584" s="848"/>
      <c r="H1584" s="861"/>
      <c r="I1584" s="861"/>
      <c r="J1584" s="862"/>
      <c r="K1584" s="863"/>
      <c r="L1584" s="848"/>
      <c r="M1584" s="861"/>
      <c r="N1584" s="861"/>
      <c r="O1584" s="862">
        <v>0</v>
      </c>
      <c r="P1584" s="863"/>
      <c r="Q1584" s="848"/>
      <c r="R1584" s="861"/>
      <c r="S1584" s="861"/>
      <c r="T1584" s="862">
        <v>0</v>
      </c>
      <c r="U1584" s="863"/>
      <c r="V1584" s="848"/>
      <c r="W1584" s="861"/>
      <c r="X1584" s="861"/>
      <c r="Y1584" s="862">
        <v>0</v>
      </c>
      <c r="Z1584" s="863"/>
      <c r="AA1584" s="864">
        <f t="shared" si="207"/>
        <v>0</v>
      </c>
      <c r="AB1584" s="865">
        <f t="shared" si="208"/>
        <v>0</v>
      </c>
      <c r="AC1584" s="848"/>
      <c r="AD1584" s="861"/>
      <c r="AE1584" s="861"/>
      <c r="AF1584" s="862"/>
      <c r="AG1584" s="864">
        <f t="shared" si="209"/>
        <v>0</v>
      </c>
      <c r="AK1584" s="188" t="s">
        <v>213</v>
      </c>
      <c r="AL1584" s="196">
        <f>AA1608</f>
        <v>42.25</v>
      </c>
      <c r="AM1584" s="510">
        <v>53.05</v>
      </c>
      <c r="AN1584" s="510">
        <f t="shared" si="206"/>
        <v>2241.3624999999997</v>
      </c>
    </row>
    <row r="1585" spans="2:40">
      <c r="B1585" s="47" t="s">
        <v>72</v>
      </c>
      <c r="C1585" s="861"/>
      <c r="D1585" s="861"/>
      <c r="E1585" s="862">
        <v>0</v>
      </c>
      <c r="F1585" s="863"/>
      <c r="G1585" s="848"/>
      <c r="H1585" s="861">
        <v>0.375</v>
      </c>
      <c r="I1585" s="861">
        <v>0.41666666666666669</v>
      </c>
      <c r="J1585" s="862">
        <v>1</v>
      </c>
      <c r="K1585" s="863"/>
      <c r="L1585" s="848"/>
      <c r="M1585" s="861"/>
      <c r="N1585" s="861"/>
      <c r="O1585" s="862">
        <v>0</v>
      </c>
      <c r="P1585" s="863"/>
      <c r="Q1585" s="848"/>
      <c r="R1585" s="861"/>
      <c r="S1585" s="861"/>
      <c r="T1585" s="862">
        <v>0</v>
      </c>
      <c r="U1585" s="863"/>
      <c r="V1585" s="848"/>
      <c r="W1585" s="861"/>
      <c r="X1585" s="861"/>
      <c r="Y1585" s="862">
        <v>0</v>
      </c>
      <c r="Z1585" s="863"/>
      <c r="AA1585" s="864">
        <f t="shared" si="207"/>
        <v>1</v>
      </c>
      <c r="AB1585" s="865">
        <f t="shared" si="208"/>
        <v>0</v>
      </c>
      <c r="AC1585" s="848"/>
      <c r="AD1585" s="861"/>
      <c r="AE1585" s="861"/>
      <c r="AF1585" s="862"/>
      <c r="AG1585" s="864">
        <f t="shared" si="209"/>
        <v>0</v>
      </c>
      <c r="AK1585" s="188" t="s">
        <v>36</v>
      </c>
      <c r="AL1585" s="196">
        <f>AB1608</f>
        <v>0</v>
      </c>
      <c r="AM1585" s="510">
        <v>79.574999999999989</v>
      </c>
      <c r="AN1585" s="510">
        <f t="shared" si="206"/>
        <v>0</v>
      </c>
    </row>
    <row r="1586" spans="2:40" ht="9.4" customHeight="1">
      <c r="B1586" s="374" t="s">
        <v>998</v>
      </c>
      <c r="C1586" s="861"/>
      <c r="D1586" s="861"/>
      <c r="E1586" s="862">
        <v>0</v>
      </c>
      <c r="F1586" s="863"/>
      <c r="G1586" s="848"/>
      <c r="H1586" s="861">
        <v>0.41666666666666669</v>
      </c>
      <c r="I1586" s="861">
        <v>0.29166666666666669</v>
      </c>
      <c r="J1586" s="862">
        <v>8</v>
      </c>
      <c r="K1586" s="863"/>
      <c r="L1586" s="848"/>
      <c r="M1586" s="861">
        <v>4.1666666666666664E-2</v>
      </c>
      <c r="N1586" s="861">
        <v>0.16666666666666666</v>
      </c>
      <c r="O1586" s="862">
        <v>4</v>
      </c>
      <c r="P1586" s="863"/>
      <c r="Q1586" s="848"/>
      <c r="R1586" s="861">
        <v>0.375</v>
      </c>
      <c r="S1586" s="861">
        <v>0.25</v>
      </c>
      <c r="T1586" s="862">
        <v>8</v>
      </c>
      <c r="U1586" s="863"/>
      <c r="V1586" s="848"/>
      <c r="W1586" s="861">
        <v>0.52083333333333337</v>
      </c>
      <c r="X1586" s="861">
        <v>0.27083333333333331</v>
      </c>
      <c r="Y1586" s="862">
        <v>6</v>
      </c>
      <c r="Z1586" s="863"/>
      <c r="AA1586" s="864">
        <f t="shared" si="207"/>
        <v>26</v>
      </c>
      <c r="AB1586" s="865">
        <f t="shared" si="208"/>
        <v>0</v>
      </c>
      <c r="AC1586" s="848"/>
      <c r="AD1586" s="861"/>
      <c r="AE1586" s="861"/>
      <c r="AF1586" s="862"/>
      <c r="AG1586" s="864">
        <f t="shared" si="209"/>
        <v>0</v>
      </c>
      <c r="AK1586" s="188" t="s">
        <v>38</v>
      </c>
      <c r="AL1586" s="196">
        <f>AG1608</f>
        <v>0</v>
      </c>
      <c r="AM1586" s="510">
        <v>79.574999999999989</v>
      </c>
      <c r="AN1586" s="510">
        <f t="shared" si="206"/>
        <v>0</v>
      </c>
    </row>
    <row r="1587" spans="2:40">
      <c r="B1587" s="47" t="s">
        <v>53</v>
      </c>
      <c r="C1587" s="861"/>
      <c r="D1587" s="861"/>
      <c r="E1587" s="862">
        <v>0</v>
      </c>
      <c r="F1587" s="863"/>
      <c r="G1587" s="848"/>
      <c r="H1587" s="861"/>
      <c r="I1587" s="861"/>
      <c r="J1587" s="862">
        <v>0</v>
      </c>
      <c r="K1587" s="863"/>
      <c r="L1587" s="848"/>
      <c r="M1587" s="861"/>
      <c r="N1587" s="861"/>
      <c r="O1587" s="862">
        <v>0</v>
      </c>
      <c r="P1587" s="863"/>
      <c r="Q1587" s="848"/>
      <c r="R1587" s="861"/>
      <c r="S1587" s="861"/>
      <c r="T1587" s="862">
        <v>0</v>
      </c>
      <c r="U1587" s="863"/>
      <c r="V1587" s="848"/>
      <c r="W1587" s="861"/>
      <c r="X1587" s="861"/>
      <c r="Y1587" s="862">
        <v>0</v>
      </c>
      <c r="Z1587" s="863"/>
      <c r="AA1587" s="864">
        <f t="shared" si="207"/>
        <v>0</v>
      </c>
      <c r="AB1587" s="865">
        <f t="shared" si="208"/>
        <v>0</v>
      </c>
      <c r="AC1587" s="848"/>
      <c r="AD1587" s="861"/>
      <c r="AE1587" s="861"/>
      <c r="AF1587" s="862"/>
      <c r="AG1587" s="864">
        <f t="shared" si="209"/>
        <v>0</v>
      </c>
      <c r="AN1587" s="510">
        <f>SUM(AN1581:AN1586)</f>
        <v>7904.9174999999996</v>
      </c>
    </row>
    <row r="1588" spans="2:40">
      <c r="B1588" s="47" t="s">
        <v>241</v>
      </c>
      <c r="C1588" s="861"/>
      <c r="D1588" s="861"/>
      <c r="E1588" s="862">
        <v>0</v>
      </c>
      <c r="F1588" s="863"/>
      <c r="G1588" s="848"/>
      <c r="H1588" s="861"/>
      <c r="I1588" s="861"/>
      <c r="J1588" s="862">
        <v>0</v>
      </c>
      <c r="K1588" s="863"/>
      <c r="L1588" s="848"/>
      <c r="M1588" s="861"/>
      <c r="N1588" s="861"/>
      <c r="O1588" s="862">
        <v>0</v>
      </c>
      <c r="P1588" s="863"/>
      <c r="Q1588" s="848"/>
      <c r="R1588" s="861"/>
      <c r="S1588" s="861"/>
      <c r="T1588" s="862">
        <v>0</v>
      </c>
      <c r="U1588" s="863"/>
      <c r="V1588" s="848"/>
      <c r="W1588" s="861"/>
      <c r="X1588" s="861"/>
      <c r="Y1588" s="862">
        <v>0</v>
      </c>
      <c r="Z1588" s="863"/>
      <c r="AA1588" s="864">
        <f t="shared" si="207"/>
        <v>0</v>
      </c>
      <c r="AB1588" s="865">
        <f t="shared" si="208"/>
        <v>0</v>
      </c>
      <c r="AC1588" s="848"/>
      <c r="AD1588" s="861"/>
      <c r="AE1588" s="861"/>
      <c r="AF1588" s="862"/>
      <c r="AG1588" s="864">
        <f t="shared" si="209"/>
        <v>0</v>
      </c>
    </row>
    <row r="1589" spans="2:40">
      <c r="B1589" s="47" t="s">
        <v>1142</v>
      </c>
      <c r="C1589" s="861"/>
      <c r="D1589" s="867"/>
      <c r="E1589" s="862">
        <v>0</v>
      </c>
      <c r="F1589" s="863"/>
      <c r="G1589" s="848"/>
      <c r="H1589" s="861">
        <v>0.375</v>
      </c>
      <c r="I1589" s="861">
        <v>0.125</v>
      </c>
      <c r="J1589" s="862">
        <v>5</v>
      </c>
      <c r="K1589" s="863"/>
      <c r="L1589" s="848"/>
      <c r="M1589" s="861"/>
      <c r="N1589" s="861"/>
      <c r="O1589" s="862">
        <v>0</v>
      </c>
      <c r="P1589" s="863"/>
      <c r="Q1589" s="848"/>
      <c r="R1589" s="861">
        <v>0.41666666666666669</v>
      </c>
      <c r="S1589" s="861">
        <v>0.14583333333333334</v>
      </c>
      <c r="T1589" s="862">
        <v>5.5</v>
      </c>
      <c r="U1589" s="863"/>
      <c r="V1589" s="848"/>
      <c r="W1589" s="861"/>
      <c r="X1589" s="861"/>
      <c r="Y1589" s="862">
        <v>0</v>
      </c>
      <c r="Z1589" s="863"/>
      <c r="AA1589" s="864">
        <f t="shared" si="207"/>
        <v>10.5</v>
      </c>
      <c r="AB1589" s="865">
        <f t="shared" si="208"/>
        <v>0</v>
      </c>
      <c r="AC1589" s="848"/>
      <c r="AD1589" s="861"/>
      <c r="AE1589" s="861"/>
      <c r="AF1589" s="862"/>
      <c r="AG1589" s="864">
        <f t="shared" si="209"/>
        <v>0</v>
      </c>
      <c r="AK1589" s="192" t="s">
        <v>1115</v>
      </c>
      <c r="AL1589" s="189">
        <f>C1609</f>
        <v>12</v>
      </c>
      <c r="AM1589" s="510">
        <v>45</v>
      </c>
      <c r="AN1589" s="510">
        <f>AM1589*AL1589</f>
        <v>540</v>
      </c>
    </row>
    <row r="1590" spans="2:40">
      <c r="B1590" s="47" t="s">
        <v>1143</v>
      </c>
      <c r="C1590" s="861"/>
      <c r="D1590" s="867"/>
      <c r="E1590" s="862">
        <v>0</v>
      </c>
      <c r="F1590" s="863"/>
      <c r="G1590" s="848"/>
      <c r="H1590" s="861"/>
      <c r="I1590" s="861"/>
      <c r="J1590" s="862">
        <v>0</v>
      </c>
      <c r="K1590" s="863"/>
      <c r="L1590" s="848"/>
      <c r="M1590" s="861"/>
      <c r="N1590" s="861"/>
      <c r="O1590" s="862">
        <v>0</v>
      </c>
      <c r="P1590" s="863"/>
      <c r="Q1590" s="848"/>
      <c r="R1590" s="861"/>
      <c r="S1590" s="861"/>
      <c r="T1590" s="862">
        <v>0</v>
      </c>
      <c r="U1590" s="863"/>
      <c r="V1590" s="848"/>
      <c r="W1590" s="861"/>
      <c r="X1590" s="861"/>
      <c r="Y1590" s="862">
        <v>0</v>
      </c>
      <c r="Z1590" s="863"/>
      <c r="AA1590" s="864">
        <f t="shared" si="207"/>
        <v>0</v>
      </c>
      <c r="AB1590" s="865"/>
      <c r="AC1590" s="848"/>
      <c r="AD1590" s="861"/>
      <c r="AE1590" s="861"/>
      <c r="AF1590" s="862"/>
      <c r="AG1590" s="864"/>
      <c r="AK1590" s="192"/>
      <c r="AL1590" s="189"/>
      <c r="AM1590" s="510"/>
      <c r="AN1590" s="510"/>
    </row>
    <row r="1591" spans="2:40">
      <c r="B1591" s="47" t="s">
        <v>1144</v>
      </c>
      <c r="C1591" s="861"/>
      <c r="D1591" s="867"/>
      <c r="E1591" s="862">
        <v>0</v>
      </c>
      <c r="F1591" s="863"/>
      <c r="G1591" s="848"/>
      <c r="H1591" s="861">
        <v>0.375</v>
      </c>
      <c r="I1591" s="861">
        <v>0.16666666666666666</v>
      </c>
      <c r="J1591" s="862">
        <v>6</v>
      </c>
      <c r="K1591" s="863"/>
      <c r="L1591" s="848"/>
      <c r="M1591" s="861">
        <v>0.375</v>
      </c>
      <c r="N1591" s="861">
        <v>0.20833333333333334</v>
      </c>
      <c r="O1591" s="862">
        <v>7</v>
      </c>
      <c r="P1591" s="863"/>
      <c r="Q1591" s="848"/>
      <c r="R1591" s="861"/>
      <c r="S1591" s="861"/>
      <c r="T1591" s="862">
        <v>0</v>
      </c>
      <c r="U1591" s="863"/>
      <c r="V1591" s="848"/>
      <c r="W1591" s="861"/>
      <c r="X1591" s="861"/>
      <c r="Y1591" s="862">
        <v>0</v>
      </c>
      <c r="Z1591" s="863"/>
      <c r="AA1591" s="864">
        <f t="shared" si="207"/>
        <v>13</v>
      </c>
      <c r="AB1591" s="865"/>
      <c r="AC1591" s="848"/>
      <c r="AD1591" s="861"/>
      <c r="AE1591" s="861"/>
      <c r="AF1591" s="862"/>
      <c r="AG1591" s="864"/>
      <c r="AK1591" s="192"/>
      <c r="AL1591" s="189"/>
      <c r="AM1591" s="510"/>
      <c r="AN1591" s="510"/>
    </row>
    <row r="1592" spans="2:40">
      <c r="B1592" s="47" t="s">
        <v>1113</v>
      </c>
      <c r="C1592" s="861"/>
      <c r="D1592" s="861"/>
      <c r="E1592" s="862">
        <v>0</v>
      </c>
      <c r="F1592" s="863"/>
      <c r="G1592" s="848"/>
      <c r="H1592" s="861">
        <v>0.375</v>
      </c>
      <c r="I1592" s="861">
        <v>0.20833333333333334</v>
      </c>
      <c r="J1592" s="862">
        <v>7</v>
      </c>
      <c r="K1592" s="863"/>
      <c r="L1592" s="848"/>
      <c r="M1592" s="861">
        <v>0.375</v>
      </c>
      <c r="N1592" s="861">
        <v>0.20833333333333334</v>
      </c>
      <c r="O1592" s="862">
        <v>7</v>
      </c>
      <c r="P1592" s="863"/>
      <c r="Q1592" s="848"/>
      <c r="R1592" s="861"/>
      <c r="S1592" s="861"/>
      <c r="T1592" s="862">
        <v>0</v>
      </c>
      <c r="U1592" s="863"/>
      <c r="V1592" s="848"/>
      <c r="W1592" s="861">
        <v>0.41666666666666669</v>
      </c>
      <c r="X1592" s="861"/>
      <c r="Y1592" s="862">
        <v>0</v>
      </c>
      <c r="Z1592" s="863"/>
      <c r="AA1592" s="864">
        <f t="shared" si="207"/>
        <v>14</v>
      </c>
      <c r="AB1592" s="865">
        <f t="shared" ref="AB1592:AB1604" si="210">Z1592+U1592+P1592+K1592+F1592</f>
        <v>0</v>
      </c>
      <c r="AC1592" s="848"/>
      <c r="AD1592" s="861"/>
      <c r="AE1592" s="861"/>
      <c r="AF1592" s="862"/>
      <c r="AG1592" s="864">
        <f t="shared" ref="AG1592:AG1604" si="211">AF1592</f>
        <v>0</v>
      </c>
    </row>
    <row r="1593" spans="2:40">
      <c r="B1593" s="502" t="s">
        <v>483</v>
      </c>
      <c r="C1593" s="861"/>
      <c r="D1593" s="861"/>
      <c r="E1593" s="862">
        <v>0</v>
      </c>
      <c r="F1593" s="863"/>
      <c r="G1593" s="848"/>
      <c r="H1593" s="861"/>
      <c r="I1593" s="861"/>
      <c r="J1593" s="862">
        <v>0</v>
      </c>
      <c r="K1593" s="863"/>
      <c r="L1593" s="848"/>
      <c r="M1593" s="861"/>
      <c r="N1593" s="861"/>
      <c r="O1593" s="862">
        <v>0</v>
      </c>
      <c r="P1593" s="863"/>
      <c r="Q1593" s="848"/>
      <c r="R1593" s="861"/>
      <c r="S1593" s="861"/>
      <c r="T1593" s="862">
        <v>0</v>
      </c>
      <c r="U1593" s="863"/>
      <c r="V1593" s="848"/>
      <c r="W1593" s="861"/>
      <c r="X1593" s="861"/>
      <c r="Y1593" s="862">
        <v>0</v>
      </c>
      <c r="Z1593" s="863"/>
      <c r="AA1593" s="864">
        <f t="shared" si="207"/>
        <v>0</v>
      </c>
      <c r="AB1593" s="865">
        <f t="shared" si="210"/>
        <v>0</v>
      </c>
      <c r="AC1593" s="848"/>
      <c r="AD1593" s="861"/>
      <c r="AE1593" s="861"/>
      <c r="AF1593" s="862"/>
      <c r="AG1593" s="864">
        <f t="shared" si="211"/>
        <v>0</v>
      </c>
    </row>
    <row r="1594" spans="2:40">
      <c r="B1594" s="502" t="s">
        <v>483</v>
      </c>
      <c r="C1594" s="861"/>
      <c r="D1594" s="861"/>
      <c r="E1594" s="862">
        <v>0</v>
      </c>
      <c r="F1594" s="863"/>
      <c r="G1594" s="848"/>
      <c r="H1594" s="861"/>
      <c r="I1594" s="861"/>
      <c r="J1594" s="862">
        <v>4</v>
      </c>
      <c r="K1594" s="863"/>
      <c r="L1594" s="848"/>
      <c r="M1594" s="861"/>
      <c r="N1594" s="861"/>
      <c r="O1594" s="862">
        <v>6</v>
      </c>
      <c r="P1594" s="863"/>
      <c r="Q1594" s="848"/>
      <c r="R1594" s="861"/>
      <c r="S1594" s="861"/>
      <c r="T1594" s="862">
        <v>4</v>
      </c>
      <c r="U1594" s="863"/>
      <c r="V1594" s="848"/>
      <c r="W1594" s="861"/>
      <c r="X1594" s="861"/>
      <c r="Y1594" s="862">
        <v>4</v>
      </c>
      <c r="Z1594" s="863"/>
      <c r="AA1594" s="864">
        <f t="shared" si="207"/>
        <v>18</v>
      </c>
      <c r="AB1594" s="865">
        <f t="shared" si="210"/>
        <v>0</v>
      </c>
      <c r="AC1594" s="848"/>
      <c r="AD1594" s="861"/>
      <c r="AE1594" s="861"/>
      <c r="AF1594" s="862"/>
      <c r="AG1594" s="864">
        <f t="shared" si="211"/>
        <v>0</v>
      </c>
    </row>
    <row r="1595" spans="2:40">
      <c r="B1595" s="502" t="s">
        <v>484</v>
      </c>
      <c r="C1595" s="861"/>
      <c r="D1595" s="861"/>
      <c r="E1595" s="862">
        <v>0</v>
      </c>
      <c r="F1595" s="863"/>
      <c r="G1595" s="848"/>
      <c r="H1595" s="861"/>
      <c r="I1595" s="861"/>
      <c r="J1595" s="862">
        <v>4</v>
      </c>
      <c r="K1595" s="863"/>
      <c r="L1595" s="848"/>
      <c r="M1595" s="861"/>
      <c r="N1595" s="861"/>
      <c r="O1595" s="862">
        <v>6</v>
      </c>
      <c r="P1595" s="863"/>
      <c r="Q1595" s="848"/>
      <c r="R1595" s="861"/>
      <c r="S1595" s="861"/>
      <c r="T1595" s="862">
        <v>4</v>
      </c>
      <c r="U1595" s="863"/>
      <c r="V1595" s="848"/>
      <c r="W1595" s="861"/>
      <c r="X1595" s="861"/>
      <c r="Y1595" s="862">
        <v>4</v>
      </c>
      <c r="Z1595" s="863"/>
      <c r="AA1595" s="864">
        <f t="shared" si="207"/>
        <v>18</v>
      </c>
      <c r="AB1595" s="865">
        <f t="shared" si="210"/>
        <v>0</v>
      </c>
      <c r="AC1595" s="848"/>
      <c r="AD1595" s="861"/>
      <c r="AE1595" s="861"/>
      <c r="AF1595" s="862"/>
      <c r="AG1595" s="864">
        <f t="shared" si="211"/>
        <v>0</v>
      </c>
    </row>
    <row r="1596" spans="2:40">
      <c r="B1596" s="502" t="s">
        <v>485</v>
      </c>
      <c r="C1596" s="861"/>
      <c r="D1596" s="861"/>
      <c r="E1596" s="862">
        <v>0</v>
      </c>
      <c r="F1596" s="863"/>
      <c r="G1596" s="848"/>
      <c r="H1596" s="861"/>
      <c r="I1596" s="861"/>
      <c r="J1596" s="862">
        <v>4</v>
      </c>
      <c r="K1596" s="863"/>
      <c r="L1596" s="848"/>
      <c r="M1596" s="861"/>
      <c r="N1596" s="861"/>
      <c r="O1596" s="862">
        <v>6</v>
      </c>
      <c r="P1596" s="863"/>
      <c r="Q1596" s="848"/>
      <c r="R1596" s="861"/>
      <c r="S1596" s="861"/>
      <c r="T1596" s="862">
        <v>0</v>
      </c>
      <c r="U1596" s="863"/>
      <c r="V1596" s="848"/>
      <c r="W1596" s="861"/>
      <c r="X1596" s="861"/>
      <c r="Y1596" s="862">
        <v>0</v>
      </c>
      <c r="Z1596" s="863"/>
      <c r="AA1596" s="864">
        <f t="shared" si="207"/>
        <v>10</v>
      </c>
      <c r="AB1596" s="865">
        <f t="shared" si="210"/>
        <v>0</v>
      </c>
      <c r="AC1596" s="848"/>
      <c r="AD1596" s="861"/>
      <c r="AE1596" s="861"/>
      <c r="AF1596" s="862"/>
      <c r="AG1596" s="864">
        <f t="shared" si="211"/>
        <v>0</v>
      </c>
    </row>
    <row r="1597" spans="2:40">
      <c r="B1597" s="502" t="s">
        <v>1129</v>
      </c>
      <c r="C1597" s="861"/>
      <c r="D1597" s="861"/>
      <c r="E1597" s="862">
        <v>0</v>
      </c>
      <c r="F1597" s="863"/>
      <c r="G1597" s="848"/>
      <c r="H1597" s="861"/>
      <c r="I1597" s="861"/>
      <c r="J1597" s="862">
        <v>0</v>
      </c>
      <c r="K1597" s="863"/>
      <c r="L1597" s="848"/>
      <c r="M1597" s="861"/>
      <c r="N1597" s="861"/>
      <c r="O1597" s="862">
        <v>0</v>
      </c>
      <c r="P1597" s="863"/>
      <c r="Q1597" s="848"/>
      <c r="R1597" s="861"/>
      <c r="S1597" s="861"/>
      <c r="T1597" s="862">
        <v>0</v>
      </c>
      <c r="U1597" s="863"/>
      <c r="V1597" s="848"/>
      <c r="W1597" s="861"/>
      <c r="X1597" s="861"/>
      <c r="Y1597" s="862">
        <v>0</v>
      </c>
      <c r="Z1597" s="863"/>
      <c r="AA1597" s="864">
        <f t="shared" si="207"/>
        <v>0</v>
      </c>
      <c r="AB1597" s="865">
        <f t="shared" si="210"/>
        <v>0</v>
      </c>
      <c r="AC1597" s="848"/>
      <c r="AD1597" s="861"/>
      <c r="AE1597" s="861"/>
      <c r="AF1597" s="862"/>
      <c r="AG1597" s="864">
        <f t="shared" si="211"/>
        <v>0</v>
      </c>
    </row>
    <row r="1598" spans="2:40">
      <c r="B1598" s="267" t="s">
        <v>358</v>
      </c>
      <c r="C1598" s="861"/>
      <c r="D1598" s="861"/>
      <c r="E1598" s="862">
        <v>0</v>
      </c>
      <c r="F1598" s="863"/>
      <c r="G1598" s="848"/>
      <c r="H1598" s="861"/>
      <c r="I1598" s="861"/>
      <c r="J1598" s="862">
        <v>1</v>
      </c>
      <c r="K1598" s="863"/>
      <c r="L1598" s="872"/>
      <c r="M1598" s="861"/>
      <c r="N1598" s="861"/>
      <c r="O1598" s="862">
        <v>1</v>
      </c>
      <c r="P1598" s="863"/>
      <c r="Q1598" s="872"/>
      <c r="R1598" s="861"/>
      <c r="S1598" s="861"/>
      <c r="T1598" s="862">
        <v>1</v>
      </c>
      <c r="U1598" s="863"/>
      <c r="V1598" s="872"/>
      <c r="W1598" s="861"/>
      <c r="X1598" s="861"/>
      <c r="Y1598" s="862">
        <v>1</v>
      </c>
      <c r="Z1598" s="863"/>
      <c r="AA1598" s="864">
        <f t="shared" si="207"/>
        <v>4</v>
      </c>
      <c r="AB1598" s="865">
        <f t="shared" si="210"/>
        <v>0</v>
      </c>
      <c r="AC1598" s="848"/>
      <c r="AD1598" s="861"/>
      <c r="AE1598" s="861"/>
      <c r="AF1598" s="862"/>
      <c r="AG1598" s="864">
        <f t="shared" si="211"/>
        <v>0</v>
      </c>
    </row>
    <row r="1599" spans="2:40">
      <c r="B1599" s="267" t="s">
        <v>991</v>
      </c>
      <c r="C1599" s="861"/>
      <c r="D1599" s="861"/>
      <c r="E1599" s="862">
        <v>0</v>
      </c>
      <c r="F1599" s="863"/>
      <c r="G1599" s="848"/>
      <c r="H1599" s="861"/>
      <c r="I1599" s="861"/>
      <c r="J1599" s="862">
        <v>0</v>
      </c>
      <c r="K1599" s="863"/>
      <c r="L1599" s="872"/>
      <c r="M1599" s="861"/>
      <c r="N1599" s="861"/>
      <c r="O1599" s="862">
        <v>0</v>
      </c>
      <c r="P1599" s="863"/>
      <c r="Q1599" s="872"/>
      <c r="R1599" s="861"/>
      <c r="S1599" s="861"/>
      <c r="T1599" s="862">
        <v>0</v>
      </c>
      <c r="U1599" s="863"/>
      <c r="V1599" s="872"/>
      <c r="W1599" s="861"/>
      <c r="X1599" s="861"/>
      <c r="Y1599" s="862">
        <v>0</v>
      </c>
      <c r="Z1599" s="863"/>
      <c r="AA1599" s="864">
        <f t="shared" si="207"/>
        <v>0</v>
      </c>
      <c r="AB1599" s="865">
        <f t="shared" si="210"/>
        <v>0</v>
      </c>
      <c r="AC1599" s="848"/>
      <c r="AD1599" s="861"/>
      <c r="AE1599" s="861"/>
      <c r="AF1599" s="862"/>
      <c r="AG1599" s="864">
        <f t="shared" si="211"/>
        <v>0</v>
      </c>
    </row>
    <row r="1600" spans="2:40">
      <c r="B1600" s="267" t="s">
        <v>411</v>
      </c>
      <c r="C1600" s="861"/>
      <c r="D1600" s="861"/>
      <c r="E1600" s="862">
        <v>0</v>
      </c>
      <c r="F1600" s="863"/>
      <c r="G1600" s="848"/>
      <c r="H1600" s="861"/>
      <c r="I1600" s="861"/>
      <c r="J1600" s="862">
        <v>0</v>
      </c>
      <c r="K1600" s="863"/>
      <c r="L1600" s="872"/>
      <c r="M1600" s="861"/>
      <c r="N1600" s="861"/>
      <c r="O1600" s="862">
        <v>0</v>
      </c>
      <c r="P1600" s="863"/>
      <c r="Q1600" s="872"/>
      <c r="R1600" s="861"/>
      <c r="S1600" s="861"/>
      <c r="T1600" s="862">
        <v>0</v>
      </c>
      <c r="U1600" s="863"/>
      <c r="V1600" s="872"/>
      <c r="W1600" s="861"/>
      <c r="X1600" s="861"/>
      <c r="Y1600" s="862">
        <v>0</v>
      </c>
      <c r="Z1600" s="863"/>
      <c r="AA1600" s="864">
        <f t="shared" si="207"/>
        <v>0</v>
      </c>
      <c r="AB1600" s="865">
        <f t="shared" si="210"/>
        <v>0</v>
      </c>
      <c r="AC1600" s="848"/>
      <c r="AD1600" s="861"/>
      <c r="AE1600" s="861"/>
      <c r="AF1600" s="862"/>
      <c r="AG1600" s="864">
        <f t="shared" si="211"/>
        <v>0</v>
      </c>
    </row>
    <row r="1601" spans="2:37">
      <c r="B1601" s="267" t="s">
        <v>361</v>
      </c>
      <c r="C1601" s="861"/>
      <c r="D1601" s="861"/>
      <c r="E1601" s="862">
        <v>0</v>
      </c>
      <c r="F1601" s="863"/>
      <c r="G1601" s="848"/>
      <c r="H1601" s="861"/>
      <c r="I1601" s="861"/>
      <c r="J1601" s="862">
        <v>0</v>
      </c>
      <c r="K1601" s="863"/>
      <c r="L1601" s="872"/>
      <c r="M1601" s="861"/>
      <c r="N1601" s="861"/>
      <c r="O1601" s="862">
        <v>0</v>
      </c>
      <c r="P1601" s="863"/>
      <c r="Q1601" s="872"/>
      <c r="R1601" s="861"/>
      <c r="S1601" s="861"/>
      <c r="T1601" s="862">
        <v>0</v>
      </c>
      <c r="U1601" s="863"/>
      <c r="V1601" s="872"/>
      <c r="W1601" s="861"/>
      <c r="X1601" s="861"/>
      <c r="Y1601" s="862">
        <v>0</v>
      </c>
      <c r="Z1601" s="863"/>
      <c r="AA1601" s="864">
        <f t="shared" si="207"/>
        <v>0</v>
      </c>
      <c r="AB1601" s="865">
        <f t="shared" si="210"/>
        <v>0</v>
      </c>
      <c r="AC1601" s="848"/>
      <c r="AD1601" s="861"/>
      <c r="AE1601" s="861"/>
      <c r="AF1601" s="862"/>
      <c r="AG1601" s="864">
        <f t="shared" si="211"/>
        <v>0</v>
      </c>
    </row>
    <row r="1602" spans="2:37">
      <c r="B1602" s="267" t="s">
        <v>362</v>
      </c>
      <c r="C1602" s="861"/>
      <c r="D1602" s="873"/>
      <c r="E1602" s="862">
        <v>0</v>
      </c>
      <c r="F1602" s="863"/>
      <c r="G1602" s="848"/>
      <c r="H1602" s="861"/>
      <c r="I1602" s="873"/>
      <c r="J1602" s="862">
        <v>0</v>
      </c>
      <c r="K1602" s="863"/>
      <c r="L1602" s="872"/>
      <c r="M1602" s="861"/>
      <c r="N1602" s="873"/>
      <c r="O1602" s="862">
        <v>0</v>
      </c>
      <c r="P1602" s="863"/>
      <c r="Q1602" s="872"/>
      <c r="R1602" s="861"/>
      <c r="S1602" s="873"/>
      <c r="T1602" s="862">
        <v>0</v>
      </c>
      <c r="U1602" s="863"/>
      <c r="V1602" s="872"/>
      <c r="W1602" s="861"/>
      <c r="X1602" s="873"/>
      <c r="Y1602" s="862">
        <v>0</v>
      </c>
      <c r="Z1602" s="863"/>
      <c r="AA1602" s="864">
        <f t="shared" si="207"/>
        <v>0</v>
      </c>
      <c r="AB1602" s="865">
        <f t="shared" si="210"/>
        <v>0</v>
      </c>
      <c r="AC1602" s="848"/>
      <c r="AD1602" s="861"/>
      <c r="AE1602" s="861"/>
      <c r="AF1602" s="862"/>
      <c r="AG1602" s="864">
        <f t="shared" si="211"/>
        <v>0</v>
      </c>
    </row>
    <row r="1603" spans="2:37">
      <c r="B1603" s="437" t="s">
        <v>355</v>
      </c>
      <c r="C1603" s="861"/>
      <c r="D1603" s="861"/>
      <c r="E1603" s="862">
        <v>0</v>
      </c>
      <c r="F1603" s="863"/>
      <c r="G1603" s="848"/>
      <c r="H1603" s="861"/>
      <c r="I1603" s="861"/>
      <c r="J1603" s="862">
        <v>7.75</v>
      </c>
      <c r="K1603" s="863"/>
      <c r="L1603" s="872"/>
      <c r="M1603" s="861"/>
      <c r="N1603" s="861"/>
      <c r="O1603" s="862">
        <v>7.75</v>
      </c>
      <c r="P1603" s="863"/>
      <c r="Q1603" s="872"/>
      <c r="R1603" s="861"/>
      <c r="S1603" s="861"/>
      <c r="T1603" s="862">
        <v>5.25</v>
      </c>
      <c r="U1603" s="863"/>
      <c r="V1603" s="872"/>
      <c r="W1603" s="861"/>
      <c r="X1603" s="861"/>
      <c r="Y1603" s="862">
        <v>5.25</v>
      </c>
      <c r="Z1603" s="863"/>
      <c r="AA1603" s="864">
        <f t="shared" si="207"/>
        <v>26</v>
      </c>
      <c r="AB1603" s="865">
        <f t="shared" si="210"/>
        <v>0</v>
      </c>
      <c r="AC1603" s="848"/>
      <c r="AD1603" s="861"/>
      <c r="AE1603" s="861"/>
      <c r="AF1603" s="862"/>
      <c r="AG1603" s="864">
        <f t="shared" si="211"/>
        <v>0</v>
      </c>
    </row>
    <row r="1604" spans="2:37">
      <c r="B1604" s="437" t="s">
        <v>356</v>
      </c>
      <c r="C1604" s="875"/>
      <c r="D1604" s="875"/>
      <c r="E1604" s="862">
        <v>0</v>
      </c>
      <c r="F1604" s="863"/>
      <c r="G1604" s="872"/>
      <c r="H1604" s="873"/>
      <c r="I1604" s="873"/>
      <c r="J1604" s="862">
        <v>0</v>
      </c>
      <c r="K1604" s="863"/>
      <c r="L1604" s="872"/>
      <c r="M1604" s="873"/>
      <c r="N1604" s="873"/>
      <c r="O1604" s="862">
        <v>0</v>
      </c>
      <c r="P1604" s="863"/>
      <c r="Q1604" s="872"/>
      <c r="R1604" s="873"/>
      <c r="S1604" s="873"/>
      <c r="T1604" s="862">
        <v>0</v>
      </c>
      <c r="U1604" s="863"/>
      <c r="V1604" s="872"/>
      <c r="W1604" s="873"/>
      <c r="X1604" s="873"/>
      <c r="Y1604" s="862">
        <v>0</v>
      </c>
      <c r="Z1604" s="863"/>
      <c r="AA1604" s="864">
        <f t="shared" si="207"/>
        <v>0</v>
      </c>
      <c r="AB1604" s="865">
        <f t="shared" si="210"/>
        <v>0</v>
      </c>
      <c r="AC1604" s="848"/>
      <c r="AD1604" s="861"/>
      <c r="AE1604" s="861"/>
      <c r="AF1604" s="862"/>
      <c r="AG1604" s="864">
        <f t="shared" si="211"/>
        <v>0</v>
      </c>
    </row>
    <row r="1605" spans="2:37">
      <c r="B1605" s="31" t="s">
        <v>61</v>
      </c>
      <c r="C1605" s="876"/>
      <c r="D1605" s="876"/>
      <c r="E1605" s="877">
        <f>SUM(E1582:E1604)</f>
        <v>0</v>
      </c>
      <c r="F1605" s="863"/>
      <c r="G1605" s="876"/>
      <c r="H1605" s="876"/>
      <c r="I1605" s="876"/>
      <c r="J1605" s="877">
        <f>SUM(J1582:J1604)</f>
        <v>47.75</v>
      </c>
      <c r="K1605" s="863"/>
      <c r="L1605" s="876"/>
      <c r="M1605" s="876"/>
      <c r="N1605" s="876"/>
      <c r="O1605" s="877">
        <f>SUM(O1582:O1604)</f>
        <v>44.75</v>
      </c>
      <c r="P1605" s="863"/>
      <c r="Q1605" s="876"/>
      <c r="R1605" s="876"/>
      <c r="S1605" s="876"/>
      <c r="T1605" s="877">
        <f>SUM(T1582:T1604)</f>
        <v>27.75</v>
      </c>
      <c r="U1605" s="863"/>
      <c r="V1605" s="876"/>
      <c r="W1605" s="876"/>
      <c r="X1605" s="876"/>
      <c r="Y1605" s="877">
        <f>SUM(Y1582:Y1604)</f>
        <v>20.25</v>
      </c>
      <c r="Z1605" s="863"/>
      <c r="AA1605" s="864">
        <f>SUM(AA1582:AA1604)</f>
        <v>140.5</v>
      </c>
      <c r="AB1605" s="864">
        <f>SUM(AB1582:AB1604)</f>
        <v>0</v>
      </c>
      <c r="AC1605" s="848"/>
      <c r="AD1605" s="876"/>
      <c r="AE1605" s="876"/>
      <c r="AF1605" s="864">
        <f>SUM(AF1582:AF1604)</f>
        <v>0</v>
      </c>
      <c r="AG1605" s="864">
        <f>SUM(AG1582:AG1604)</f>
        <v>0</v>
      </c>
    </row>
    <row r="1606" spans="2:37">
      <c r="B1606" s="267" t="s">
        <v>1116</v>
      </c>
      <c r="C1606" s="861"/>
      <c r="D1606" s="861"/>
      <c r="E1606" s="862">
        <v>4</v>
      </c>
      <c r="F1606" s="863"/>
      <c r="G1606" s="848"/>
      <c r="H1606" s="861"/>
      <c r="I1606" s="861"/>
      <c r="J1606" s="862">
        <v>8</v>
      </c>
      <c r="K1606" s="863"/>
      <c r="L1606" s="848"/>
      <c r="M1606" s="861"/>
      <c r="N1606" s="861"/>
      <c r="O1606" s="862">
        <v>8</v>
      </c>
      <c r="P1606" s="863"/>
      <c r="Q1606" s="848"/>
      <c r="R1606" s="861"/>
      <c r="S1606" s="861"/>
      <c r="T1606" s="862">
        <v>8</v>
      </c>
      <c r="U1606" s="863"/>
      <c r="V1606" s="848"/>
      <c r="W1606" s="861"/>
      <c r="X1606" s="861"/>
      <c r="Y1606" s="862">
        <v>8</v>
      </c>
      <c r="Z1606" s="863"/>
      <c r="AA1606" s="864">
        <f>(E1606+J1606+O1606+T1606+Y1606)</f>
        <v>36</v>
      </c>
      <c r="AB1606" s="865">
        <f>Z1606+U1606+P1606+K1606+F1606</f>
        <v>0</v>
      </c>
      <c r="AC1606" s="848"/>
      <c r="AD1606" s="861"/>
      <c r="AE1606" s="861"/>
      <c r="AF1606" s="862"/>
      <c r="AG1606" s="864">
        <f>AF1606</f>
        <v>0</v>
      </c>
    </row>
    <row r="1607" spans="2:37">
      <c r="B1607" s="267" t="s">
        <v>64</v>
      </c>
      <c r="C1607" s="861"/>
      <c r="D1607" s="861"/>
      <c r="E1607" s="862">
        <v>0</v>
      </c>
      <c r="F1607" s="862"/>
      <c r="G1607" s="878"/>
      <c r="H1607" s="861"/>
      <c r="I1607" s="861"/>
      <c r="J1607" s="862">
        <v>2.25</v>
      </c>
      <c r="K1607" s="862"/>
      <c r="L1607" s="872"/>
      <c r="M1607" s="861"/>
      <c r="N1607" s="861"/>
      <c r="O1607" s="862">
        <v>4</v>
      </c>
      <c r="P1607" s="862"/>
      <c r="Q1607" s="872"/>
      <c r="R1607" s="861"/>
      <c r="S1607" s="861"/>
      <c r="T1607" s="862">
        <v>0</v>
      </c>
      <c r="U1607" s="862"/>
      <c r="V1607" s="872"/>
      <c r="W1607" s="861"/>
      <c r="X1607" s="861"/>
      <c r="Y1607" s="862">
        <v>0</v>
      </c>
      <c r="Z1607" s="862"/>
      <c r="AA1607" s="864">
        <f>SUM(E1607+J1607+O1607+T1607+Y1607)</f>
        <v>6.25</v>
      </c>
      <c r="AB1607" s="855">
        <f>Z1607+U1607+P1607+K1607+F1607</f>
        <v>0</v>
      </c>
      <c r="AC1607" s="848"/>
      <c r="AD1607" s="861" t="s">
        <v>29</v>
      </c>
      <c r="AE1607" s="861" t="s">
        <v>29</v>
      </c>
      <c r="AF1607" s="862"/>
      <c r="AG1607" s="864">
        <f>AF1607</f>
        <v>0</v>
      </c>
    </row>
    <row r="1608" spans="2:37">
      <c r="B1608" s="71" t="s">
        <v>66</v>
      </c>
      <c r="C1608" s="879"/>
      <c r="D1608" s="879"/>
      <c r="E1608" s="878"/>
      <c r="F1608" s="878"/>
      <c r="G1608" s="878"/>
      <c r="H1608" s="878"/>
      <c r="I1608" s="878"/>
      <c r="J1608" s="878"/>
      <c r="K1608" s="878"/>
      <c r="L1608" s="878"/>
      <c r="M1608" s="878"/>
      <c r="N1608" s="878"/>
      <c r="O1608" s="878"/>
      <c r="P1608" s="878"/>
      <c r="Q1608" s="878"/>
      <c r="R1608" s="878"/>
      <c r="S1608" s="878"/>
      <c r="T1608" s="878"/>
      <c r="U1608" s="878"/>
      <c r="V1608" s="878"/>
      <c r="W1608" s="878"/>
      <c r="X1608" s="878"/>
      <c r="Y1608" s="878"/>
      <c r="Z1608" s="878"/>
      <c r="AA1608" s="864">
        <f>SUM(AA1606:AA1607)</f>
        <v>42.25</v>
      </c>
      <c r="AB1608" s="864">
        <f>SUM(AB1607:AB1607)</f>
        <v>0</v>
      </c>
      <c r="AC1608" s="848"/>
      <c r="AD1608" s="851"/>
      <c r="AE1608" s="851"/>
      <c r="AF1608" s="851"/>
      <c r="AG1608" s="864">
        <f>SUM(AG1607:AG1607)</f>
        <v>0</v>
      </c>
      <c r="AK1608" s="407"/>
    </row>
    <row r="1609" spans="2:37">
      <c r="B1609" s="899" t="s">
        <v>67</v>
      </c>
      <c r="C1609" s="882">
        <f>C1610+C1611</f>
        <v>12</v>
      </c>
      <c r="D1609" s="882"/>
      <c r="E1609" s="883"/>
      <c r="F1609" s="883"/>
      <c r="G1609" s="882"/>
      <c r="H1609" s="883"/>
      <c r="I1609" s="883"/>
      <c r="J1609" s="883"/>
      <c r="K1609" s="883"/>
      <c r="L1609" s="882"/>
      <c r="M1609" s="882"/>
      <c r="N1609" s="882"/>
      <c r="O1609" s="882"/>
      <c r="P1609" s="883"/>
      <c r="Q1609" s="882"/>
      <c r="R1609" s="882"/>
      <c r="S1609" s="882"/>
      <c r="T1609" s="882"/>
      <c r="U1609" s="883"/>
      <c r="V1609" s="882"/>
      <c r="W1609" s="882"/>
      <c r="X1609" s="882"/>
      <c r="Y1609" s="884"/>
      <c r="Z1609" s="883"/>
      <c r="AA1609" s="885"/>
      <c r="AB1609" s="883"/>
      <c r="AC1609" s="885"/>
      <c r="AD1609" s="885"/>
      <c r="AE1609" s="885"/>
      <c r="AF1609" s="885"/>
      <c r="AG1609" s="885"/>
      <c r="AK1609" s="407"/>
    </row>
    <row r="1610" spans="2:37">
      <c r="B1610" s="904" t="s">
        <v>68</v>
      </c>
      <c r="C1610" s="882">
        <v>0</v>
      </c>
      <c r="D1610" s="882"/>
      <c r="E1610" s="883"/>
      <c r="F1610" s="883"/>
      <c r="G1610" s="882"/>
      <c r="H1610" s="883"/>
      <c r="I1610" s="883"/>
      <c r="J1610" s="883"/>
      <c r="K1610" s="883"/>
      <c r="L1610" s="882"/>
      <c r="M1610" s="882"/>
      <c r="N1610" s="882"/>
      <c r="O1610" s="882"/>
      <c r="P1610" s="883"/>
      <c r="Q1610" s="882"/>
      <c r="R1610" s="882"/>
      <c r="S1610" s="882"/>
      <c r="T1610" s="882"/>
      <c r="U1610" s="883"/>
      <c r="V1610" s="882"/>
      <c r="W1610" s="882"/>
      <c r="X1610" s="882"/>
      <c r="Y1610" s="884"/>
      <c r="Z1610" s="883"/>
      <c r="AA1610" s="885"/>
      <c r="AB1610" s="883"/>
      <c r="AC1610" s="885"/>
      <c r="AD1610" s="885"/>
      <c r="AE1610" s="885"/>
      <c r="AF1610" s="885"/>
      <c r="AG1610" s="885"/>
      <c r="AK1610" s="407"/>
    </row>
    <row r="1611" spans="2:37">
      <c r="B1611" s="904" t="s">
        <v>69</v>
      </c>
      <c r="C1611" s="882">
        <v>12</v>
      </c>
      <c r="D1611" s="882"/>
      <c r="E1611" s="883"/>
      <c r="F1611" s="883"/>
      <c r="G1611" s="882"/>
      <c r="H1611" s="883"/>
      <c r="I1611" s="883"/>
      <c r="J1611" s="883"/>
      <c r="K1611" s="883"/>
      <c r="L1611" s="882"/>
      <c r="M1611" s="882"/>
      <c r="N1611" s="882"/>
      <c r="O1611" s="882"/>
      <c r="P1611" s="883"/>
      <c r="Q1611" s="882"/>
      <c r="R1611" s="882"/>
      <c r="S1611" s="882"/>
      <c r="T1611" s="882"/>
      <c r="U1611" s="883"/>
      <c r="V1611" s="882"/>
      <c r="W1611" s="882"/>
      <c r="X1611" s="882"/>
      <c r="Y1611" s="884"/>
      <c r="Z1611" s="883"/>
      <c r="AA1611" s="885"/>
      <c r="AB1611" s="883"/>
      <c r="AC1611" s="885"/>
      <c r="AD1611" s="885"/>
      <c r="AE1611" s="885"/>
      <c r="AF1611" s="885"/>
      <c r="AG1611" s="885"/>
    </row>
    <row r="1612" spans="2:37">
      <c r="C1612" s="851"/>
      <c r="D1612" s="851"/>
      <c r="E1612" s="866"/>
      <c r="F1612" s="866"/>
      <c r="G1612" s="866"/>
      <c r="H1612" s="851"/>
      <c r="I1612" s="851"/>
      <c r="J1612" s="866"/>
      <c r="K1612" s="866"/>
      <c r="L1612" s="866"/>
      <c r="M1612" s="851"/>
      <c r="N1612" s="851"/>
      <c r="O1612" s="866"/>
      <c r="P1612" s="866"/>
      <c r="Q1612" s="848"/>
      <c r="R1612" s="851"/>
      <c r="S1612" s="851"/>
      <c r="T1612" s="866"/>
      <c r="U1612" s="866"/>
      <c r="V1612" s="848"/>
      <c r="W1612" s="851"/>
      <c r="X1612" s="851"/>
      <c r="Y1612" s="866"/>
      <c r="Z1612" s="866"/>
      <c r="AA1612" s="866"/>
      <c r="AB1612" s="866"/>
      <c r="AC1612" s="866"/>
      <c r="AD1612" s="851"/>
      <c r="AE1612" s="851"/>
      <c r="AF1612" s="851"/>
      <c r="AG1612" s="851"/>
    </row>
    <row r="1613" spans="2:37">
      <c r="C1613" s="851"/>
      <c r="D1613" s="851"/>
      <c r="E1613" s="866"/>
      <c r="F1613" s="866"/>
      <c r="G1613" s="866"/>
      <c r="H1613" s="851"/>
      <c r="I1613" s="851"/>
      <c r="J1613" s="866"/>
      <c r="K1613" s="866"/>
      <c r="L1613" s="866"/>
      <c r="M1613" s="851"/>
      <c r="N1613" s="851"/>
      <c r="O1613" s="866"/>
      <c r="P1613" s="866"/>
      <c r="Q1613" s="848"/>
      <c r="R1613" s="851"/>
      <c r="S1613" s="851"/>
      <c r="T1613" s="866"/>
      <c r="U1613" s="866"/>
      <c r="V1613" s="848"/>
      <c r="W1613" s="851"/>
      <c r="X1613" s="851"/>
      <c r="Y1613" s="866"/>
      <c r="Z1613" s="866"/>
      <c r="AA1613" s="866"/>
      <c r="AB1613" s="866"/>
      <c r="AC1613" s="866"/>
      <c r="AD1613" s="851"/>
      <c r="AE1613" s="851"/>
      <c r="AF1613" s="851"/>
      <c r="AG1613" s="851"/>
    </row>
    <row r="1614" spans="2:37">
      <c r="B1614" s="904" t="s">
        <v>68</v>
      </c>
      <c r="C1614" s="882">
        <v>0</v>
      </c>
      <c r="D1614" s="882"/>
      <c r="E1614" s="883"/>
      <c r="F1614" s="883"/>
      <c r="G1614" s="882"/>
      <c r="H1614" s="883"/>
      <c r="I1614" s="883"/>
      <c r="J1614" s="883"/>
      <c r="K1614" s="883"/>
      <c r="L1614" s="882"/>
      <c r="M1614" s="882"/>
      <c r="N1614" s="882"/>
      <c r="O1614" s="882"/>
      <c r="P1614" s="883"/>
      <c r="Q1614" s="882"/>
      <c r="R1614" s="882"/>
      <c r="S1614" s="882"/>
      <c r="T1614" s="882"/>
      <c r="U1614" s="883"/>
      <c r="V1614" s="882"/>
      <c r="W1614" s="882"/>
      <c r="X1614" s="882"/>
      <c r="Y1614" s="884"/>
      <c r="Z1614" s="883"/>
      <c r="AA1614" s="885"/>
      <c r="AB1614" s="883"/>
      <c r="AC1614" s="885"/>
      <c r="AD1614" s="885"/>
      <c r="AE1614" s="885"/>
      <c r="AF1614" s="885"/>
      <c r="AG1614" s="885"/>
      <c r="AK1614" s="407"/>
    </row>
    <row r="1615" spans="2:37">
      <c r="B1615" s="904" t="s">
        <v>69</v>
      </c>
      <c r="C1615" s="882">
        <v>6</v>
      </c>
      <c r="D1615" s="882"/>
      <c r="E1615" s="883"/>
      <c r="F1615" s="883"/>
      <c r="G1615" s="882"/>
      <c r="H1615" s="883"/>
      <c r="I1615" s="883"/>
      <c r="J1615" s="883"/>
      <c r="K1615" s="883"/>
      <c r="L1615" s="882"/>
      <c r="M1615" s="882"/>
      <c r="N1615" s="882"/>
      <c r="O1615" s="882"/>
      <c r="P1615" s="883"/>
      <c r="Q1615" s="882"/>
      <c r="R1615" s="882"/>
      <c r="S1615" s="882"/>
      <c r="T1615" s="882"/>
      <c r="U1615" s="883"/>
      <c r="V1615" s="882"/>
      <c r="W1615" s="882"/>
      <c r="X1615" s="882"/>
      <c r="Y1615" s="884"/>
      <c r="Z1615" s="883"/>
      <c r="AA1615" s="885"/>
      <c r="AB1615" s="883"/>
      <c r="AC1615" s="885"/>
      <c r="AD1615" s="885"/>
      <c r="AE1615" s="885"/>
      <c r="AF1615" s="885"/>
      <c r="AG1615" s="885"/>
    </row>
    <row r="1616" spans="2:37">
      <c r="C1616" s="851"/>
      <c r="D1616" s="851"/>
      <c r="E1616" s="866"/>
      <c r="F1616" s="866"/>
      <c r="G1616" s="866"/>
      <c r="H1616" s="851"/>
      <c r="I1616" s="851"/>
      <c r="J1616" s="866"/>
      <c r="K1616" s="866"/>
      <c r="L1616" s="866"/>
      <c r="M1616" s="851"/>
      <c r="N1616" s="851"/>
      <c r="O1616" s="866"/>
      <c r="P1616" s="866"/>
      <c r="Q1616" s="848"/>
      <c r="R1616" s="851"/>
      <c r="S1616" s="851"/>
      <c r="T1616" s="866"/>
      <c r="U1616" s="866"/>
      <c r="V1616" s="848"/>
      <c r="W1616" s="851"/>
      <c r="X1616" s="851"/>
      <c r="Y1616" s="866"/>
      <c r="Z1616" s="866"/>
      <c r="AA1616" s="866"/>
      <c r="AB1616" s="866"/>
      <c r="AC1616" s="866"/>
      <c r="AD1616" s="851"/>
      <c r="AE1616" s="851"/>
      <c r="AF1616" s="851"/>
      <c r="AG1616" s="851"/>
    </row>
    <row r="1617" spans="2:42" ht="13.5" customHeight="1">
      <c r="B1617" s="1571"/>
      <c r="C1617" s="1572">
        <v>46048</v>
      </c>
      <c r="D1617" s="1572"/>
      <c r="E1617" s="1572" t="s">
        <v>564</v>
      </c>
      <c r="F1617" s="1572"/>
      <c r="G1617" s="847"/>
      <c r="H1617" s="1572">
        <v>46049</v>
      </c>
      <c r="I1617" s="1572"/>
      <c r="J1617" s="1572" t="s">
        <v>565</v>
      </c>
      <c r="K1617" s="1572"/>
      <c r="L1617" s="847"/>
      <c r="M1617" s="1572">
        <v>46050</v>
      </c>
      <c r="N1617" s="1572"/>
      <c r="O1617" s="1572" t="s">
        <v>566</v>
      </c>
      <c r="P1617" s="1572"/>
      <c r="Q1617" s="847"/>
      <c r="R1617" s="1572">
        <v>46051</v>
      </c>
      <c r="S1617" s="1572"/>
      <c r="T1617" s="1572" t="s">
        <v>567</v>
      </c>
      <c r="U1617" s="1572"/>
      <c r="V1617" s="847"/>
      <c r="W1617" s="1572">
        <v>46052</v>
      </c>
      <c r="X1617" s="1572"/>
      <c r="Y1617" s="1572" t="s">
        <v>568</v>
      </c>
      <c r="Z1617" s="1572"/>
      <c r="AA1617" s="1573" t="s">
        <v>19</v>
      </c>
      <c r="AB1617" s="1573" t="s">
        <v>20</v>
      </c>
      <c r="AC1617" s="848"/>
      <c r="AD1617" s="1572"/>
      <c r="AE1617" s="1572"/>
      <c r="AF1617" s="849" t="s">
        <v>1111</v>
      </c>
      <c r="AG1617" s="1573" t="s">
        <v>21</v>
      </c>
      <c r="AK1617" s="194" t="s">
        <v>84</v>
      </c>
      <c r="AL1617" s="366"/>
      <c r="AM1617" s="366"/>
      <c r="AN1617" s="366"/>
      <c r="AO1617" s="366"/>
      <c r="AP1617" s="366"/>
    </row>
    <row r="1618" spans="2:42">
      <c r="B1618" s="1571"/>
      <c r="C1618" s="854" t="s">
        <v>23</v>
      </c>
      <c r="D1618" s="854" t="s">
        <v>24</v>
      </c>
      <c r="E1618" s="855" t="s">
        <v>25</v>
      </c>
      <c r="F1618" s="856" t="s">
        <v>14</v>
      </c>
      <c r="G1618" s="848"/>
      <c r="H1618" s="854"/>
      <c r="I1618" s="854" t="s">
        <v>24</v>
      </c>
      <c r="J1618" s="856" t="s">
        <v>25</v>
      </c>
      <c r="K1618" s="856" t="s">
        <v>14</v>
      </c>
      <c r="L1618" s="848"/>
      <c r="M1618" s="854" t="s">
        <v>23</v>
      </c>
      <c r="N1618" s="854" t="s">
        <v>24</v>
      </c>
      <c r="O1618" s="856" t="s">
        <v>25</v>
      </c>
      <c r="P1618" s="856" t="s">
        <v>14</v>
      </c>
      <c r="Q1618" s="848"/>
      <c r="R1618" s="854" t="s">
        <v>23</v>
      </c>
      <c r="S1618" s="854" t="s">
        <v>24</v>
      </c>
      <c r="T1618" s="856" t="s">
        <v>25</v>
      </c>
      <c r="U1618" s="856" t="s">
        <v>14</v>
      </c>
      <c r="V1618" s="848"/>
      <c r="W1618" s="854" t="s">
        <v>23</v>
      </c>
      <c r="X1618" s="854" t="s">
        <v>24</v>
      </c>
      <c r="Y1618" s="856" t="s">
        <v>25</v>
      </c>
      <c r="Z1618" s="856" t="s">
        <v>14</v>
      </c>
      <c r="AA1618" s="1573"/>
      <c r="AB1618" s="1573"/>
      <c r="AC1618" s="848"/>
      <c r="AD1618" s="854" t="s">
        <v>23</v>
      </c>
      <c r="AE1618" s="854" t="s">
        <v>24</v>
      </c>
      <c r="AF1618" s="856" t="s">
        <v>25</v>
      </c>
      <c r="AG1618" s="1573"/>
      <c r="AK1618" s="188" t="s">
        <v>26</v>
      </c>
      <c r="AL1618" s="196">
        <f>AA1663</f>
        <v>202.25</v>
      </c>
      <c r="AM1618" s="510">
        <v>40.31</v>
      </c>
      <c r="AN1618" s="510">
        <f t="shared" ref="AN1618:AN1623" si="212">AL1618*AM1618</f>
        <v>8152.6975000000002</v>
      </c>
    </row>
    <row r="1619" spans="2:42">
      <c r="B1619" s="47" t="s">
        <v>515</v>
      </c>
      <c r="C1619" s="861"/>
      <c r="D1619" s="861"/>
      <c r="E1619" s="862">
        <v>0</v>
      </c>
      <c r="F1619" s="863"/>
      <c r="G1619" s="848"/>
      <c r="H1619" s="861"/>
      <c r="I1619" s="861"/>
      <c r="J1619" s="862">
        <v>0</v>
      </c>
      <c r="K1619" s="863"/>
      <c r="L1619" s="848"/>
      <c r="M1619" s="861"/>
      <c r="N1619" s="861"/>
      <c r="O1619" s="862">
        <v>0</v>
      </c>
      <c r="P1619" s="863"/>
      <c r="Q1619" s="848"/>
      <c r="R1619" s="861"/>
      <c r="S1619" s="861"/>
      <c r="T1619" s="862">
        <v>0</v>
      </c>
      <c r="U1619" s="863"/>
      <c r="V1619" s="848"/>
      <c r="W1619" s="861"/>
      <c r="X1619" s="861"/>
      <c r="Y1619" s="862">
        <v>0</v>
      </c>
      <c r="Z1619" s="863"/>
      <c r="AA1619" s="864">
        <f t="shared" ref="AA1619:AA1662" si="213">(E1619+J1619+O1619+T1619+Y1619)</f>
        <v>0</v>
      </c>
      <c r="AB1619" s="865">
        <f t="shared" ref="AB1619" si="214">Z1619+U1619+P1619+K1619+F1619</f>
        <v>0</v>
      </c>
      <c r="AC1619" s="848"/>
      <c r="AD1619" s="851"/>
      <c r="AE1619" s="851"/>
      <c r="AF1619" s="862"/>
      <c r="AG1619" s="864">
        <f t="shared" ref="AG1619" si="215">AF1619</f>
        <v>0</v>
      </c>
      <c r="AK1619" s="188" t="s">
        <v>30</v>
      </c>
      <c r="AL1619" s="196">
        <f>AB1663</f>
        <v>0</v>
      </c>
      <c r="AM1619" s="510">
        <v>60.465000000000003</v>
      </c>
      <c r="AN1619" s="510">
        <f t="shared" si="212"/>
        <v>0</v>
      </c>
    </row>
    <row r="1620" spans="2:42">
      <c r="B1620" s="47" t="s">
        <v>1112</v>
      </c>
      <c r="C1620" s="861"/>
      <c r="D1620" s="861"/>
      <c r="E1620" s="862">
        <v>0</v>
      </c>
      <c r="F1620" s="863"/>
      <c r="G1620" s="848"/>
      <c r="H1620" s="861"/>
      <c r="I1620" s="861"/>
      <c r="J1620" s="862">
        <v>0</v>
      </c>
      <c r="K1620" s="863"/>
      <c r="L1620" s="848"/>
      <c r="M1620" s="861">
        <v>0.35416666666666669</v>
      </c>
      <c r="N1620" s="861">
        <v>0.125</v>
      </c>
      <c r="O1620" s="862">
        <v>6.5</v>
      </c>
      <c r="P1620" s="863"/>
      <c r="Q1620" s="848"/>
      <c r="R1620" s="861"/>
      <c r="S1620" s="861"/>
      <c r="T1620" s="862">
        <v>0</v>
      </c>
      <c r="U1620" s="863"/>
      <c r="V1620" s="848"/>
      <c r="W1620" s="861"/>
      <c r="X1620" s="861"/>
      <c r="Y1620" s="862">
        <v>0</v>
      </c>
      <c r="Z1620" s="863"/>
      <c r="AA1620" s="864">
        <f t="shared" si="213"/>
        <v>6.5</v>
      </c>
      <c r="AB1620" s="865">
        <f t="shared" ref="AB1620:AB1662" si="216">Z1620+U1620+P1620+K1620+F1620</f>
        <v>0</v>
      </c>
      <c r="AC1620" s="848"/>
      <c r="AD1620" s="861"/>
      <c r="AE1620" s="861"/>
      <c r="AF1620" s="862"/>
      <c r="AG1620" s="864">
        <f t="shared" ref="AG1620:AG1650" si="217">AF1620</f>
        <v>0</v>
      </c>
      <c r="AK1620" s="188" t="s">
        <v>32</v>
      </c>
      <c r="AL1620" s="196">
        <f>AG1663</f>
        <v>0</v>
      </c>
      <c r="AM1620" s="510">
        <v>60.465000000000003</v>
      </c>
      <c r="AN1620" s="510">
        <f t="shared" si="212"/>
        <v>0</v>
      </c>
    </row>
    <row r="1621" spans="2:42">
      <c r="B1621" s="47" t="s">
        <v>1141</v>
      </c>
      <c r="C1621" s="861"/>
      <c r="D1621" s="861"/>
      <c r="E1621" s="862">
        <v>0</v>
      </c>
      <c r="F1621" s="863"/>
      <c r="G1621" s="848"/>
      <c r="H1621" s="861"/>
      <c r="I1621" s="861"/>
      <c r="J1621" s="862">
        <v>0</v>
      </c>
      <c r="K1621" s="863"/>
      <c r="L1621" s="848"/>
      <c r="M1621" s="861"/>
      <c r="N1621" s="861"/>
      <c r="O1621" s="862">
        <v>0</v>
      </c>
      <c r="P1621" s="863"/>
      <c r="Q1621" s="848"/>
      <c r="R1621" s="861"/>
      <c r="S1621" s="861"/>
      <c r="T1621" s="862">
        <v>0</v>
      </c>
      <c r="U1621" s="863"/>
      <c r="V1621" s="848"/>
      <c r="W1621" s="861"/>
      <c r="X1621" s="861"/>
      <c r="Y1621" s="862">
        <v>0</v>
      </c>
      <c r="Z1621" s="863"/>
      <c r="AA1621" s="864">
        <f t="shared" si="213"/>
        <v>0</v>
      </c>
      <c r="AB1621" s="865">
        <f t="shared" si="216"/>
        <v>0</v>
      </c>
      <c r="AC1621" s="848"/>
      <c r="AD1621" s="861"/>
      <c r="AE1621" s="861"/>
      <c r="AF1621" s="862"/>
      <c r="AG1621" s="864">
        <f t="shared" si="217"/>
        <v>0</v>
      </c>
      <c r="AK1621" s="188" t="s">
        <v>213</v>
      </c>
      <c r="AL1621" s="196">
        <f>AA1666</f>
        <v>28</v>
      </c>
      <c r="AM1621" s="510">
        <v>53.05</v>
      </c>
      <c r="AN1621" s="510">
        <f t="shared" si="212"/>
        <v>1485.3999999999999</v>
      </c>
    </row>
    <row r="1622" spans="2:42">
      <c r="B1622" s="47" t="s">
        <v>72</v>
      </c>
      <c r="C1622" s="861"/>
      <c r="D1622" s="861"/>
      <c r="E1622" s="862">
        <v>0</v>
      </c>
      <c r="F1622" s="863"/>
      <c r="G1622" s="848"/>
      <c r="H1622" s="861"/>
      <c r="I1622" s="861"/>
      <c r="J1622" s="862">
        <v>0</v>
      </c>
      <c r="K1622" s="863"/>
      <c r="L1622" s="848"/>
      <c r="M1622" s="861"/>
      <c r="N1622" s="861"/>
      <c r="O1622" s="862">
        <v>0</v>
      </c>
      <c r="P1622" s="863"/>
      <c r="Q1622" s="848"/>
      <c r="R1622" s="861"/>
      <c r="S1622" s="861"/>
      <c r="T1622" s="862">
        <v>0</v>
      </c>
      <c r="U1622" s="863"/>
      <c r="V1622" s="848"/>
      <c r="W1622" s="861"/>
      <c r="X1622" s="861"/>
      <c r="Y1622" s="862">
        <v>0</v>
      </c>
      <c r="Z1622" s="863"/>
      <c r="AA1622" s="864">
        <f t="shared" si="213"/>
        <v>0</v>
      </c>
      <c r="AB1622" s="865">
        <f t="shared" si="216"/>
        <v>0</v>
      </c>
      <c r="AC1622" s="848"/>
      <c r="AD1622" s="861"/>
      <c r="AE1622" s="861"/>
      <c r="AF1622" s="862"/>
      <c r="AG1622" s="864">
        <f t="shared" si="217"/>
        <v>0</v>
      </c>
      <c r="AK1622" s="188" t="s">
        <v>36</v>
      </c>
      <c r="AL1622" s="196">
        <f>AB1666</f>
        <v>0</v>
      </c>
      <c r="AM1622" s="510">
        <v>79.574999999999989</v>
      </c>
      <c r="AN1622" s="510">
        <f t="shared" si="212"/>
        <v>0</v>
      </c>
    </row>
    <row r="1623" spans="2:42">
      <c r="B1623" s="374" t="s">
        <v>998</v>
      </c>
      <c r="C1623" s="861"/>
      <c r="D1623" s="861"/>
      <c r="E1623" s="862">
        <v>0</v>
      </c>
      <c r="F1623" s="863"/>
      <c r="G1623" s="848"/>
      <c r="H1623" s="861"/>
      <c r="I1623" s="861"/>
      <c r="J1623" s="862">
        <v>0</v>
      </c>
      <c r="K1623" s="863"/>
      <c r="L1623" s="848"/>
      <c r="M1623" s="861">
        <v>0.35416666666666669</v>
      </c>
      <c r="N1623" s="861">
        <v>0.22916666666666666</v>
      </c>
      <c r="O1623" s="862">
        <v>8</v>
      </c>
      <c r="P1623" s="863"/>
      <c r="Q1623" s="848"/>
      <c r="R1623" s="861">
        <v>0.375</v>
      </c>
      <c r="S1623" s="861">
        <v>0.125</v>
      </c>
      <c r="T1623" s="862">
        <v>6</v>
      </c>
      <c r="U1623" s="863"/>
      <c r="V1623" s="848"/>
      <c r="W1623" s="861">
        <v>0.375</v>
      </c>
      <c r="X1623" s="861">
        <v>0.25</v>
      </c>
      <c r="Y1623" s="862">
        <v>8</v>
      </c>
      <c r="Z1623" s="863"/>
      <c r="AA1623" s="864">
        <f t="shared" si="213"/>
        <v>22</v>
      </c>
      <c r="AB1623" s="865">
        <f t="shared" si="216"/>
        <v>0</v>
      </c>
      <c r="AC1623" s="848"/>
      <c r="AD1623" s="861"/>
      <c r="AE1623" s="861"/>
      <c r="AF1623" s="862"/>
      <c r="AG1623" s="864">
        <f t="shared" si="217"/>
        <v>0</v>
      </c>
      <c r="AK1623" s="188" t="s">
        <v>38</v>
      </c>
      <c r="AL1623" s="196">
        <f>AG1666</f>
        <v>0</v>
      </c>
      <c r="AM1623" s="510">
        <v>79.574999999999989</v>
      </c>
      <c r="AN1623" s="510">
        <f t="shared" si="212"/>
        <v>0</v>
      </c>
    </row>
    <row r="1624" spans="2:42">
      <c r="B1624" s="47" t="s">
        <v>53</v>
      </c>
      <c r="C1624" s="861"/>
      <c r="D1624" s="861"/>
      <c r="E1624" s="862">
        <v>0</v>
      </c>
      <c r="F1624" s="863"/>
      <c r="G1624" s="848"/>
      <c r="H1624" s="861"/>
      <c r="I1624" s="861"/>
      <c r="J1624" s="862">
        <v>0</v>
      </c>
      <c r="K1624" s="863"/>
      <c r="L1624" s="848"/>
      <c r="M1624" s="861"/>
      <c r="N1624" s="861"/>
      <c r="O1624" s="862">
        <v>0</v>
      </c>
      <c r="P1624" s="863"/>
      <c r="Q1624" s="848"/>
      <c r="R1624" s="861"/>
      <c r="S1624" s="861"/>
      <c r="T1624" s="862">
        <v>0</v>
      </c>
      <c r="U1624" s="863"/>
      <c r="V1624" s="848"/>
      <c r="W1624" s="861"/>
      <c r="X1624" s="861"/>
      <c r="Y1624" s="862">
        <v>0</v>
      </c>
      <c r="Z1624" s="863"/>
      <c r="AA1624" s="864">
        <f t="shared" si="213"/>
        <v>0</v>
      </c>
      <c r="AB1624" s="865">
        <f t="shared" si="216"/>
        <v>0</v>
      </c>
      <c r="AC1624" s="848"/>
      <c r="AD1624" s="861"/>
      <c r="AE1624" s="861"/>
      <c r="AF1624" s="862"/>
      <c r="AG1624" s="864">
        <f t="shared" si="217"/>
        <v>0</v>
      </c>
      <c r="AN1624" s="510">
        <f>SUM(AN1618:AN1623)</f>
        <v>9638.0974999999999</v>
      </c>
    </row>
    <row r="1625" spans="2:42">
      <c r="B1625" s="47" t="s">
        <v>241</v>
      </c>
      <c r="C1625" s="861"/>
      <c r="D1625" s="861"/>
      <c r="E1625" s="862">
        <v>0</v>
      </c>
      <c r="F1625" s="863"/>
      <c r="G1625" s="848"/>
      <c r="H1625" s="861"/>
      <c r="I1625" s="861"/>
      <c r="J1625" s="862">
        <v>0</v>
      </c>
      <c r="K1625" s="863"/>
      <c r="L1625" s="848"/>
      <c r="M1625" s="861"/>
      <c r="N1625" s="861"/>
      <c r="O1625" s="862">
        <v>0</v>
      </c>
      <c r="P1625" s="863"/>
      <c r="Q1625" s="848"/>
      <c r="R1625" s="861">
        <v>0.47916666666666669</v>
      </c>
      <c r="S1625" s="861">
        <v>0.20833333333333334</v>
      </c>
      <c r="T1625" s="862">
        <v>5.5</v>
      </c>
      <c r="U1625" s="863"/>
      <c r="V1625" s="848"/>
      <c r="W1625" s="861"/>
      <c r="X1625" s="861"/>
      <c r="Y1625" s="862">
        <v>0</v>
      </c>
      <c r="Z1625" s="863"/>
      <c r="AA1625" s="864">
        <f t="shared" si="213"/>
        <v>5.5</v>
      </c>
      <c r="AB1625" s="865">
        <f t="shared" si="216"/>
        <v>0</v>
      </c>
      <c r="AC1625" s="848"/>
      <c r="AD1625" s="861"/>
      <c r="AE1625" s="861"/>
      <c r="AF1625" s="862"/>
      <c r="AG1625" s="864">
        <f t="shared" si="217"/>
        <v>0</v>
      </c>
    </row>
    <row r="1626" spans="2:42">
      <c r="B1626" s="47" t="s">
        <v>1142</v>
      </c>
      <c r="C1626" s="861"/>
      <c r="D1626" s="867"/>
      <c r="E1626" s="862">
        <v>0</v>
      </c>
      <c r="F1626" s="863"/>
      <c r="G1626" s="848"/>
      <c r="H1626" s="861">
        <v>6.25E-2</v>
      </c>
      <c r="I1626" s="861">
        <v>0.125</v>
      </c>
      <c r="J1626" s="862">
        <v>1.5</v>
      </c>
      <c r="K1626" s="863"/>
      <c r="L1626" s="848"/>
      <c r="M1626" s="861">
        <v>0.375</v>
      </c>
      <c r="N1626" s="861">
        <v>0.125</v>
      </c>
      <c r="O1626" s="862">
        <v>6</v>
      </c>
      <c r="P1626" s="863"/>
      <c r="Q1626" s="848"/>
      <c r="R1626" s="861">
        <v>0.375</v>
      </c>
      <c r="S1626" s="861">
        <v>0.125</v>
      </c>
      <c r="T1626" s="862">
        <v>6</v>
      </c>
      <c r="U1626" s="863"/>
      <c r="V1626" s="848"/>
      <c r="W1626" s="861"/>
      <c r="X1626" s="861"/>
      <c r="Y1626" s="862">
        <v>0</v>
      </c>
      <c r="Z1626" s="863"/>
      <c r="AA1626" s="864">
        <f t="shared" si="213"/>
        <v>13.5</v>
      </c>
      <c r="AB1626" s="865">
        <f t="shared" si="216"/>
        <v>0</v>
      </c>
      <c r="AC1626" s="848"/>
      <c r="AD1626" s="861"/>
      <c r="AE1626" s="861"/>
      <c r="AF1626" s="862"/>
      <c r="AG1626" s="864">
        <f t="shared" si="217"/>
        <v>0</v>
      </c>
      <c r="AK1626" s="192" t="s">
        <v>1115</v>
      </c>
      <c r="AL1626" s="189">
        <f>C1667</f>
        <v>12</v>
      </c>
      <c r="AM1626" s="510">
        <v>45</v>
      </c>
      <c r="AN1626" s="510">
        <f>AM1626*AL1626</f>
        <v>540</v>
      </c>
    </row>
    <row r="1627" spans="2:42">
      <c r="B1627" s="47" t="s">
        <v>1143</v>
      </c>
      <c r="C1627" s="861"/>
      <c r="D1627" s="867"/>
      <c r="E1627" s="862">
        <v>0</v>
      </c>
      <c r="F1627" s="863"/>
      <c r="G1627" s="848"/>
      <c r="H1627" s="861"/>
      <c r="I1627" s="861"/>
      <c r="J1627" s="862">
        <v>0</v>
      </c>
      <c r="K1627" s="863"/>
      <c r="L1627" s="848"/>
      <c r="M1627" s="861"/>
      <c r="N1627" s="861"/>
      <c r="O1627" s="862">
        <v>0</v>
      </c>
      <c r="P1627" s="863"/>
      <c r="Q1627" s="848"/>
      <c r="R1627" s="861"/>
      <c r="S1627" s="861"/>
      <c r="T1627" s="862">
        <v>0</v>
      </c>
      <c r="U1627" s="863"/>
      <c r="V1627" s="848"/>
      <c r="W1627" s="861"/>
      <c r="X1627" s="861"/>
      <c r="Y1627" s="862">
        <v>0</v>
      </c>
      <c r="Z1627" s="863"/>
      <c r="AA1627" s="864">
        <f t="shared" si="213"/>
        <v>0</v>
      </c>
      <c r="AB1627" s="865">
        <f t="shared" si="216"/>
        <v>0</v>
      </c>
      <c r="AC1627" s="848"/>
      <c r="AD1627" s="861"/>
      <c r="AE1627" s="861"/>
      <c r="AF1627" s="862"/>
      <c r="AG1627" s="864">
        <f t="shared" si="217"/>
        <v>0</v>
      </c>
      <c r="AK1627" s="192"/>
      <c r="AL1627" s="189"/>
      <c r="AM1627" s="510"/>
      <c r="AN1627" s="510"/>
    </row>
    <row r="1628" spans="2:42">
      <c r="B1628" s="47" t="s">
        <v>1144</v>
      </c>
      <c r="C1628" s="861"/>
      <c r="D1628" s="867"/>
      <c r="E1628" s="862">
        <v>0</v>
      </c>
      <c r="F1628" s="863"/>
      <c r="G1628" s="848"/>
      <c r="H1628" s="861"/>
      <c r="I1628" s="861"/>
      <c r="J1628" s="862">
        <v>0</v>
      </c>
      <c r="K1628" s="863"/>
      <c r="L1628" s="848"/>
      <c r="M1628" s="861"/>
      <c r="N1628" s="861"/>
      <c r="O1628" s="862">
        <v>0</v>
      </c>
      <c r="P1628" s="863"/>
      <c r="Q1628" s="848"/>
      <c r="R1628" s="861"/>
      <c r="S1628" s="861"/>
      <c r="T1628" s="862">
        <v>0</v>
      </c>
      <c r="U1628" s="863"/>
      <c r="V1628" s="848"/>
      <c r="W1628" s="861">
        <v>0.375</v>
      </c>
      <c r="X1628" s="861">
        <v>0.20833333333333334</v>
      </c>
      <c r="Y1628" s="862">
        <v>7</v>
      </c>
      <c r="Z1628" s="863"/>
      <c r="AA1628" s="864">
        <f t="shared" si="213"/>
        <v>7</v>
      </c>
      <c r="AB1628" s="865">
        <f t="shared" si="216"/>
        <v>0</v>
      </c>
      <c r="AC1628" s="848"/>
      <c r="AD1628" s="861"/>
      <c r="AE1628" s="861"/>
      <c r="AF1628" s="862"/>
      <c r="AG1628" s="864">
        <f t="shared" si="217"/>
        <v>0</v>
      </c>
      <c r="AK1628" s="192"/>
      <c r="AL1628" s="189"/>
      <c r="AM1628" s="510"/>
      <c r="AN1628" s="510"/>
    </row>
    <row r="1629" spans="2:42">
      <c r="B1629" s="47" t="s">
        <v>1113</v>
      </c>
      <c r="C1629" s="861"/>
      <c r="D1629" s="861"/>
      <c r="E1629" s="862">
        <v>0</v>
      </c>
      <c r="F1629" s="863"/>
      <c r="G1629" s="848"/>
      <c r="H1629" s="861"/>
      <c r="I1629" s="861"/>
      <c r="J1629" s="862">
        <v>0</v>
      </c>
      <c r="K1629" s="863"/>
      <c r="L1629" s="848"/>
      <c r="M1629" s="861"/>
      <c r="N1629" s="861"/>
      <c r="O1629" s="862">
        <v>0</v>
      </c>
      <c r="P1629" s="863"/>
      <c r="Q1629" s="848"/>
      <c r="R1629" s="861"/>
      <c r="S1629" s="861"/>
      <c r="T1629" s="862">
        <v>0</v>
      </c>
      <c r="U1629" s="863"/>
      <c r="V1629" s="848"/>
      <c r="W1629" s="861"/>
      <c r="X1629" s="861"/>
      <c r="Y1629" s="862">
        <v>0</v>
      </c>
      <c r="Z1629" s="863"/>
      <c r="AA1629" s="864">
        <f t="shared" si="213"/>
        <v>0</v>
      </c>
      <c r="AB1629" s="865">
        <f t="shared" si="216"/>
        <v>0</v>
      </c>
      <c r="AC1629" s="848"/>
      <c r="AD1629" s="861"/>
      <c r="AE1629" s="861"/>
      <c r="AF1629" s="862"/>
      <c r="AG1629" s="864">
        <f t="shared" si="217"/>
        <v>0</v>
      </c>
    </row>
    <row r="1630" spans="2:42">
      <c r="B1630" s="47" t="s">
        <v>1145</v>
      </c>
      <c r="C1630" s="861"/>
      <c r="D1630" s="861"/>
      <c r="E1630" s="862">
        <v>0</v>
      </c>
      <c r="F1630" s="863"/>
      <c r="G1630" s="848"/>
      <c r="H1630" s="861"/>
      <c r="I1630" s="861"/>
      <c r="J1630" s="862">
        <v>0</v>
      </c>
      <c r="K1630" s="863"/>
      <c r="L1630" s="848"/>
      <c r="M1630" s="861"/>
      <c r="N1630" s="861"/>
      <c r="O1630" s="862">
        <v>0</v>
      </c>
      <c r="P1630" s="863"/>
      <c r="Q1630" s="848"/>
      <c r="R1630" s="861"/>
      <c r="S1630" s="861"/>
      <c r="T1630" s="862">
        <v>0</v>
      </c>
      <c r="U1630" s="863"/>
      <c r="V1630" s="848"/>
      <c r="W1630" s="861">
        <v>0.33333333333333331</v>
      </c>
      <c r="X1630" s="861">
        <v>0.20833333333333334</v>
      </c>
      <c r="Y1630" s="862">
        <v>8</v>
      </c>
      <c r="Z1630" s="863"/>
      <c r="AA1630" s="864">
        <f t="shared" ref="AA1630:AA1650" si="218">(E1630+J1630+O1630+T1630+Y1630)</f>
        <v>8</v>
      </c>
      <c r="AB1630" s="865">
        <f t="shared" si="216"/>
        <v>0</v>
      </c>
      <c r="AC1630" s="848"/>
      <c r="AD1630" s="861"/>
      <c r="AE1630" s="861"/>
      <c r="AF1630" s="862"/>
      <c r="AG1630" s="864">
        <f t="shared" si="217"/>
        <v>0</v>
      </c>
    </row>
    <row r="1631" spans="2:42">
      <c r="B1631" s="47" t="s">
        <v>1146</v>
      </c>
      <c r="C1631" s="861"/>
      <c r="D1631" s="861"/>
      <c r="E1631" s="862">
        <v>0</v>
      </c>
      <c r="F1631" s="863"/>
      <c r="G1631" s="848"/>
      <c r="H1631" s="861"/>
      <c r="I1631" s="861"/>
      <c r="J1631" s="862">
        <v>0</v>
      </c>
      <c r="K1631" s="863"/>
      <c r="L1631" s="848"/>
      <c r="M1631" s="861"/>
      <c r="N1631" s="861"/>
      <c r="O1631" s="862">
        <v>0</v>
      </c>
      <c r="P1631" s="863"/>
      <c r="Q1631" s="848"/>
      <c r="R1631" s="861"/>
      <c r="S1631" s="861"/>
      <c r="T1631" s="862">
        <v>0</v>
      </c>
      <c r="U1631" s="863"/>
      <c r="V1631" s="848"/>
      <c r="W1631" s="861"/>
      <c r="X1631" s="861"/>
      <c r="Y1631" s="862">
        <v>0</v>
      </c>
      <c r="Z1631" s="863"/>
      <c r="AA1631" s="864">
        <f t="shared" si="218"/>
        <v>0</v>
      </c>
      <c r="AB1631" s="865">
        <f t="shared" si="216"/>
        <v>0</v>
      </c>
      <c r="AC1631" s="848"/>
      <c r="AD1631" s="861"/>
      <c r="AE1631" s="861"/>
      <c r="AF1631" s="862"/>
      <c r="AG1631" s="864">
        <f t="shared" si="217"/>
        <v>0</v>
      </c>
    </row>
    <row r="1632" spans="2:42">
      <c r="B1632" s="47" t="s">
        <v>1147</v>
      </c>
      <c r="C1632" s="861"/>
      <c r="D1632" s="861"/>
      <c r="E1632" s="862">
        <v>0</v>
      </c>
      <c r="F1632" s="863"/>
      <c r="G1632" s="848"/>
      <c r="H1632" s="861"/>
      <c r="I1632" s="861"/>
      <c r="J1632" s="862">
        <v>0</v>
      </c>
      <c r="K1632" s="863"/>
      <c r="L1632" s="848"/>
      <c r="M1632" s="861"/>
      <c r="N1632" s="861"/>
      <c r="O1632" s="862">
        <v>0</v>
      </c>
      <c r="P1632" s="863"/>
      <c r="Q1632" s="848"/>
      <c r="R1632" s="861"/>
      <c r="S1632" s="861"/>
      <c r="T1632" s="862">
        <v>0</v>
      </c>
      <c r="U1632" s="863"/>
      <c r="V1632" s="848"/>
      <c r="W1632" s="861"/>
      <c r="X1632" s="861"/>
      <c r="Y1632" s="862">
        <v>0</v>
      </c>
      <c r="Z1632" s="863"/>
      <c r="AA1632" s="864">
        <f t="shared" si="218"/>
        <v>0</v>
      </c>
      <c r="AB1632" s="865">
        <f t="shared" si="216"/>
        <v>0</v>
      </c>
      <c r="AC1632" s="848"/>
      <c r="AD1632" s="861"/>
      <c r="AE1632" s="861"/>
      <c r="AF1632" s="862"/>
      <c r="AG1632" s="864">
        <f t="shared" si="217"/>
        <v>0</v>
      </c>
    </row>
    <row r="1633" spans="2:33">
      <c r="B1633" s="47" t="s">
        <v>1148</v>
      </c>
      <c r="C1633" s="861"/>
      <c r="D1633" s="861"/>
      <c r="E1633" s="862">
        <v>0</v>
      </c>
      <c r="F1633" s="863"/>
      <c r="G1633" s="848"/>
      <c r="H1633" s="861"/>
      <c r="I1633" s="861"/>
      <c r="J1633" s="862">
        <v>0</v>
      </c>
      <c r="K1633" s="863"/>
      <c r="L1633" s="848"/>
      <c r="M1633" s="861"/>
      <c r="N1633" s="861"/>
      <c r="O1633" s="862">
        <v>0</v>
      </c>
      <c r="P1633" s="863"/>
      <c r="Q1633" s="848"/>
      <c r="R1633" s="861"/>
      <c r="S1633" s="861"/>
      <c r="T1633" s="862">
        <v>0</v>
      </c>
      <c r="U1633" s="863"/>
      <c r="V1633" s="848"/>
      <c r="W1633" s="861"/>
      <c r="X1633" s="861"/>
      <c r="Y1633" s="862">
        <v>0</v>
      </c>
      <c r="Z1633" s="863"/>
      <c r="AA1633" s="864">
        <f t="shared" si="218"/>
        <v>0</v>
      </c>
      <c r="AB1633" s="865">
        <f t="shared" si="216"/>
        <v>0</v>
      </c>
      <c r="AC1633" s="848"/>
      <c r="AD1633" s="861"/>
      <c r="AE1633" s="861"/>
      <c r="AF1633" s="862"/>
      <c r="AG1633" s="864">
        <f t="shared" si="217"/>
        <v>0</v>
      </c>
    </row>
    <row r="1634" spans="2:33">
      <c r="B1634" s="47" t="s">
        <v>1149</v>
      </c>
      <c r="C1634" s="861"/>
      <c r="D1634" s="861"/>
      <c r="E1634" s="862">
        <v>0</v>
      </c>
      <c r="F1634" s="863"/>
      <c r="G1634" s="848"/>
      <c r="H1634" s="861"/>
      <c r="I1634" s="861"/>
      <c r="J1634" s="862">
        <v>0</v>
      </c>
      <c r="K1634" s="863"/>
      <c r="L1634" s="848"/>
      <c r="M1634" s="861"/>
      <c r="N1634" s="861"/>
      <c r="O1634" s="862">
        <v>0</v>
      </c>
      <c r="P1634" s="863"/>
      <c r="Q1634" s="848"/>
      <c r="R1634" s="861"/>
      <c r="S1634" s="861"/>
      <c r="T1634" s="862">
        <v>0</v>
      </c>
      <c r="U1634" s="863"/>
      <c r="V1634" s="848"/>
      <c r="W1634" s="861"/>
      <c r="X1634" s="861"/>
      <c r="Y1634" s="862">
        <v>0</v>
      </c>
      <c r="Z1634" s="863"/>
      <c r="AA1634" s="864">
        <f t="shared" si="218"/>
        <v>0</v>
      </c>
      <c r="AB1634" s="865">
        <f t="shared" si="216"/>
        <v>0</v>
      </c>
      <c r="AC1634" s="848"/>
      <c r="AD1634" s="861"/>
      <c r="AE1634" s="861"/>
      <c r="AF1634" s="862"/>
      <c r="AG1634" s="864">
        <f t="shared" si="217"/>
        <v>0</v>
      </c>
    </row>
    <row r="1635" spans="2:33">
      <c r="B1635" s="47" t="s">
        <v>1150</v>
      </c>
      <c r="C1635" s="861"/>
      <c r="D1635" s="861"/>
      <c r="E1635" s="862">
        <v>0</v>
      </c>
      <c r="F1635" s="863"/>
      <c r="G1635" s="848"/>
      <c r="H1635" s="861"/>
      <c r="I1635" s="861"/>
      <c r="J1635" s="862">
        <v>0</v>
      </c>
      <c r="K1635" s="863"/>
      <c r="L1635" s="848"/>
      <c r="M1635" s="861"/>
      <c r="N1635" s="861"/>
      <c r="O1635" s="862">
        <v>0</v>
      </c>
      <c r="P1635" s="863"/>
      <c r="Q1635" s="848"/>
      <c r="R1635" s="861"/>
      <c r="S1635" s="861"/>
      <c r="T1635" s="862">
        <v>0</v>
      </c>
      <c r="U1635" s="863"/>
      <c r="V1635" s="848"/>
      <c r="W1635" s="861"/>
      <c r="X1635" s="861"/>
      <c r="Y1635" s="862">
        <v>0</v>
      </c>
      <c r="Z1635" s="863"/>
      <c r="AA1635" s="864">
        <f t="shared" si="218"/>
        <v>0</v>
      </c>
      <c r="AB1635" s="865">
        <f t="shared" si="216"/>
        <v>0</v>
      </c>
      <c r="AC1635" s="848"/>
      <c r="AD1635" s="861"/>
      <c r="AE1635" s="861"/>
      <c r="AF1635" s="862"/>
      <c r="AG1635" s="864">
        <f t="shared" si="217"/>
        <v>0</v>
      </c>
    </row>
    <row r="1636" spans="2:33">
      <c r="B1636" s="47" t="s">
        <v>1151</v>
      </c>
      <c r="C1636" s="861"/>
      <c r="D1636" s="861"/>
      <c r="E1636" s="862">
        <v>0</v>
      </c>
      <c r="F1636" s="863"/>
      <c r="G1636" s="848"/>
      <c r="H1636" s="861"/>
      <c r="I1636" s="861"/>
      <c r="J1636" s="862">
        <v>0</v>
      </c>
      <c r="K1636" s="863"/>
      <c r="L1636" s="848"/>
      <c r="M1636" s="861"/>
      <c r="N1636" s="861"/>
      <c r="O1636" s="862">
        <v>0</v>
      </c>
      <c r="P1636" s="863"/>
      <c r="Q1636" s="848"/>
      <c r="R1636" s="861"/>
      <c r="S1636" s="861"/>
      <c r="T1636" s="862">
        <v>0</v>
      </c>
      <c r="U1636" s="863"/>
      <c r="V1636" s="848"/>
      <c r="W1636" s="861"/>
      <c r="X1636" s="861"/>
      <c r="Y1636" s="862">
        <v>0</v>
      </c>
      <c r="Z1636" s="863"/>
      <c r="AA1636" s="864">
        <f t="shared" si="218"/>
        <v>0</v>
      </c>
      <c r="AB1636" s="865">
        <f t="shared" si="216"/>
        <v>0</v>
      </c>
      <c r="AC1636" s="848"/>
      <c r="AD1636" s="861"/>
      <c r="AE1636" s="861"/>
      <c r="AF1636" s="862"/>
      <c r="AG1636" s="864">
        <f t="shared" si="217"/>
        <v>0</v>
      </c>
    </row>
    <row r="1637" spans="2:33">
      <c r="B1637" s="47" t="s">
        <v>1152</v>
      </c>
      <c r="C1637" s="861"/>
      <c r="D1637" s="861"/>
      <c r="E1637" s="862">
        <v>0</v>
      </c>
      <c r="F1637" s="863"/>
      <c r="G1637" s="848"/>
      <c r="H1637" s="861"/>
      <c r="I1637" s="861"/>
      <c r="J1637" s="862">
        <v>0</v>
      </c>
      <c r="K1637" s="863"/>
      <c r="L1637" s="848"/>
      <c r="M1637" s="861"/>
      <c r="N1637" s="861"/>
      <c r="O1637" s="862">
        <v>0</v>
      </c>
      <c r="P1637" s="863"/>
      <c r="Q1637" s="848"/>
      <c r="R1637" s="861"/>
      <c r="S1637" s="861"/>
      <c r="T1637" s="862">
        <v>0</v>
      </c>
      <c r="U1637" s="863"/>
      <c r="V1637" s="848"/>
      <c r="W1637" s="861"/>
      <c r="X1637" s="861"/>
      <c r="Y1637" s="862">
        <v>0</v>
      </c>
      <c r="Z1637" s="863"/>
      <c r="AA1637" s="864">
        <f t="shared" si="218"/>
        <v>0</v>
      </c>
      <c r="AB1637" s="865">
        <f t="shared" si="216"/>
        <v>0</v>
      </c>
      <c r="AC1637" s="848"/>
      <c r="AD1637" s="861"/>
      <c r="AE1637" s="861"/>
      <c r="AF1637" s="862"/>
      <c r="AG1637" s="864">
        <f t="shared" si="217"/>
        <v>0</v>
      </c>
    </row>
    <row r="1638" spans="2:33">
      <c r="B1638" s="47" t="s">
        <v>1153</v>
      </c>
      <c r="C1638" s="861"/>
      <c r="D1638" s="861"/>
      <c r="E1638" s="862">
        <v>0</v>
      </c>
      <c r="F1638" s="863"/>
      <c r="G1638" s="848"/>
      <c r="H1638" s="861"/>
      <c r="I1638" s="861"/>
      <c r="J1638" s="862">
        <v>0</v>
      </c>
      <c r="K1638" s="863"/>
      <c r="L1638" s="848"/>
      <c r="M1638" s="861"/>
      <c r="N1638" s="861"/>
      <c r="O1638" s="862">
        <v>0</v>
      </c>
      <c r="P1638" s="863"/>
      <c r="Q1638" s="848"/>
      <c r="R1638" s="861"/>
      <c r="S1638" s="861"/>
      <c r="T1638" s="862">
        <v>0</v>
      </c>
      <c r="U1638" s="863"/>
      <c r="V1638" s="848"/>
      <c r="W1638" s="861">
        <v>0.33333333333333331</v>
      </c>
      <c r="X1638" s="861">
        <v>0.20833333333333334</v>
      </c>
      <c r="Y1638" s="862">
        <v>8</v>
      </c>
      <c r="Z1638" s="863"/>
      <c r="AA1638" s="864">
        <f t="shared" si="218"/>
        <v>8</v>
      </c>
      <c r="AB1638" s="865">
        <f t="shared" si="216"/>
        <v>0</v>
      </c>
      <c r="AC1638" s="848"/>
      <c r="AD1638" s="861"/>
      <c r="AE1638" s="861"/>
      <c r="AF1638" s="862"/>
      <c r="AG1638" s="864">
        <f t="shared" si="217"/>
        <v>0</v>
      </c>
    </row>
    <row r="1639" spans="2:33">
      <c r="B1639" s="47" t="s">
        <v>1154</v>
      </c>
      <c r="C1639" s="861"/>
      <c r="D1639" s="861"/>
      <c r="E1639" s="862">
        <v>0</v>
      </c>
      <c r="F1639" s="863"/>
      <c r="G1639" s="848"/>
      <c r="H1639" s="861"/>
      <c r="I1639" s="861"/>
      <c r="J1639" s="862">
        <v>0</v>
      </c>
      <c r="K1639" s="863"/>
      <c r="L1639" s="848"/>
      <c r="M1639" s="861"/>
      <c r="N1639" s="861"/>
      <c r="O1639" s="862">
        <v>0</v>
      </c>
      <c r="P1639" s="863"/>
      <c r="Q1639" s="848"/>
      <c r="R1639" s="861"/>
      <c r="S1639" s="861"/>
      <c r="T1639" s="862">
        <v>0</v>
      </c>
      <c r="U1639" s="863"/>
      <c r="V1639" s="848"/>
      <c r="W1639" s="861"/>
      <c r="X1639" s="861"/>
      <c r="Y1639" s="862">
        <v>0</v>
      </c>
      <c r="Z1639" s="863"/>
      <c r="AA1639" s="864">
        <f t="shared" si="218"/>
        <v>0</v>
      </c>
      <c r="AB1639" s="865">
        <f t="shared" si="216"/>
        <v>0</v>
      </c>
      <c r="AC1639" s="848"/>
      <c r="AD1639" s="861"/>
      <c r="AE1639" s="861"/>
      <c r="AF1639" s="862"/>
      <c r="AG1639" s="864">
        <f t="shared" si="217"/>
        <v>0</v>
      </c>
    </row>
    <row r="1640" spans="2:33">
      <c r="B1640" s="47" t="s">
        <v>1155</v>
      </c>
      <c r="C1640" s="861"/>
      <c r="D1640" s="861"/>
      <c r="E1640" s="862">
        <v>0</v>
      </c>
      <c r="F1640" s="863"/>
      <c r="G1640" s="848"/>
      <c r="H1640" s="861"/>
      <c r="I1640" s="861"/>
      <c r="J1640" s="862">
        <v>0</v>
      </c>
      <c r="K1640" s="863"/>
      <c r="L1640" s="848"/>
      <c r="M1640" s="861"/>
      <c r="N1640" s="861"/>
      <c r="O1640" s="862">
        <v>0</v>
      </c>
      <c r="P1640" s="863"/>
      <c r="Q1640" s="848"/>
      <c r="R1640" s="861"/>
      <c r="S1640" s="861"/>
      <c r="T1640" s="862">
        <v>0</v>
      </c>
      <c r="U1640" s="863"/>
      <c r="V1640" s="848"/>
      <c r="W1640" s="861">
        <v>0.375</v>
      </c>
      <c r="X1640" s="861">
        <v>0.20833333333333334</v>
      </c>
      <c r="Y1640" s="862">
        <v>7</v>
      </c>
      <c r="Z1640" s="863"/>
      <c r="AA1640" s="864">
        <f t="shared" si="218"/>
        <v>7</v>
      </c>
      <c r="AB1640" s="865">
        <f t="shared" si="216"/>
        <v>0</v>
      </c>
      <c r="AC1640" s="848"/>
      <c r="AD1640" s="861"/>
      <c r="AE1640" s="861"/>
      <c r="AF1640" s="862"/>
      <c r="AG1640" s="864">
        <f t="shared" si="217"/>
        <v>0</v>
      </c>
    </row>
    <row r="1641" spans="2:33">
      <c r="B1641" s="47" t="s">
        <v>1156</v>
      </c>
      <c r="C1641" s="861"/>
      <c r="D1641" s="861"/>
      <c r="E1641" s="862">
        <v>0</v>
      </c>
      <c r="F1641" s="863"/>
      <c r="G1641" s="848"/>
      <c r="H1641" s="861"/>
      <c r="I1641" s="861"/>
      <c r="J1641" s="862">
        <v>0</v>
      </c>
      <c r="K1641" s="863"/>
      <c r="L1641" s="848"/>
      <c r="M1641" s="861"/>
      <c r="N1641" s="861"/>
      <c r="O1641" s="862">
        <v>0</v>
      </c>
      <c r="P1641" s="863"/>
      <c r="Q1641" s="848"/>
      <c r="R1641" s="861"/>
      <c r="S1641" s="861"/>
      <c r="T1641" s="862">
        <v>0</v>
      </c>
      <c r="U1641" s="863"/>
      <c r="V1641" s="848"/>
      <c r="W1641" s="861"/>
      <c r="X1641" s="861"/>
      <c r="Y1641" s="862">
        <v>0</v>
      </c>
      <c r="Z1641" s="863"/>
      <c r="AA1641" s="864">
        <f t="shared" si="218"/>
        <v>0</v>
      </c>
      <c r="AB1641" s="865">
        <f t="shared" si="216"/>
        <v>0</v>
      </c>
      <c r="AC1641" s="848"/>
      <c r="AD1641" s="861"/>
      <c r="AE1641" s="861"/>
      <c r="AF1641" s="862"/>
      <c r="AG1641" s="864">
        <f t="shared" si="217"/>
        <v>0</v>
      </c>
    </row>
    <row r="1642" spans="2:33">
      <c r="B1642" s="47" t="s">
        <v>1157</v>
      </c>
      <c r="C1642" s="861"/>
      <c r="D1642" s="861"/>
      <c r="E1642" s="862">
        <v>0</v>
      </c>
      <c r="F1642" s="863"/>
      <c r="G1642" s="848"/>
      <c r="H1642" s="861"/>
      <c r="I1642" s="861"/>
      <c r="J1642" s="862">
        <v>0</v>
      </c>
      <c r="K1642" s="863"/>
      <c r="L1642" s="848"/>
      <c r="M1642" s="861"/>
      <c r="N1642" s="861"/>
      <c r="O1642" s="862">
        <v>0</v>
      </c>
      <c r="P1642" s="863"/>
      <c r="Q1642" s="848"/>
      <c r="R1642" s="861"/>
      <c r="S1642" s="861"/>
      <c r="T1642" s="862">
        <v>0</v>
      </c>
      <c r="U1642" s="863"/>
      <c r="V1642" s="848"/>
      <c r="W1642" s="861"/>
      <c r="X1642" s="861"/>
      <c r="Y1642" s="862">
        <v>0</v>
      </c>
      <c r="Z1642" s="863"/>
      <c r="AA1642" s="864">
        <f t="shared" si="218"/>
        <v>0</v>
      </c>
      <c r="AB1642" s="865">
        <f t="shared" si="216"/>
        <v>0</v>
      </c>
      <c r="AC1642" s="848"/>
      <c r="AD1642" s="861"/>
      <c r="AE1642" s="861"/>
      <c r="AF1642" s="862"/>
      <c r="AG1642" s="864">
        <f t="shared" si="217"/>
        <v>0</v>
      </c>
    </row>
    <row r="1643" spans="2:33">
      <c r="B1643" s="47" t="s">
        <v>1158</v>
      </c>
      <c r="C1643" s="861"/>
      <c r="D1643" s="861"/>
      <c r="E1643" s="862">
        <v>0</v>
      </c>
      <c r="F1643" s="863"/>
      <c r="G1643" s="848"/>
      <c r="H1643" s="861"/>
      <c r="I1643" s="861"/>
      <c r="J1643" s="862">
        <v>0</v>
      </c>
      <c r="K1643" s="863"/>
      <c r="L1643" s="848"/>
      <c r="M1643" s="861"/>
      <c r="N1643" s="861"/>
      <c r="O1643" s="862">
        <v>0</v>
      </c>
      <c r="P1643" s="863"/>
      <c r="Q1643" s="848"/>
      <c r="R1643" s="861"/>
      <c r="S1643" s="861"/>
      <c r="T1643" s="862">
        <v>0</v>
      </c>
      <c r="U1643" s="863"/>
      <c r="V1643" s="848"/>
      <c r="W1643" s="861"/>
      <c r="X1643" s="861"/>
      <c r="Y1643" s="862">
        <v>0</v>
      </c>
      <c r="Z1643" s="863"/>
      <c r="AA1643" s="864">
        <f t="shared" si="218"/>
        <v>0</v>
      </c>
      <c r="AB1643" s="865">
        <f t="shared" si="216"/>
        <v>0</v>
      </c>
      <c r="AC1643" s="848"/>
      <c r="AD1643" s="861"/>
      <c r="AE1643" s="861"/>
      <c r="AF1643" s="862"/>
      <c r="AG1643" s="864">
        <f t="shared" si="217"/>
        <v>0</v>
      </c>
    </row>
    <row r="1644" spans="2:33">
      <c r="B1644" s="47" t="s">
        <v>1159</v>
      </c>
      <c r="C1644" s="861"/>
      <c r="D1644" s="861"/>
      <c r="E1644" s="862">
        <v>0</v>
      </c>
      <c r="F1644" s="863"/>
      <c r="G1644" s="848"/>
      <c r="H1644" s="861"/>
      <c r="I1644" s="861"/>
      <c r="J1644" s="862">
        <v>0</v>
      </c>
      <c r="K1644" s="863"/>
      <c r="L1644" s="848"/>
      <c r="M1644" s="861"/>
      <c r="N1644" s="861"/>
      <c r="O1644" s="862">
        <v>0</v>
      </c>
      <c r="P1644" s="863"/>
      <c r="Q1644" s="848"/>
      <c r="R1644" s="861"/>
      <c r="S1644" s="861"/>
      <c r="T1644" s="862">
        <v>0</v>
      </c>
      <c r="U1644" s="863"/>
      <c r="V1644" s="848"/>
      <c r="W1644" s="861"/>
      <c r="X1644" s="861"/>
      <c r="Y1644" s="862">
        <v>0</v>
      </c>
      <c r="Z1644" s="863"/>
      <c r="AA1644" s="864">
        <f t="shared" si="218"/>
        <v>0</v>
      </c>
      <c r="AB1644" s="865">
        <f t="shared" si="216"/>
        <v>0</v>
      </c>
      <c r="AC1644" s="848"/>
      <c r="AD1644" s="861"/>
      <c r="AE1644" s="861"/>
      <c r="AF1644" s="862"/>
      <c r="AG1644" s="864">
        <f t="shared" si="217"/>
        <v>0</v>
      </c>
    </row>
    <row r="1645" spans="2:33">
      <c r="B1645" s="47" t="s">
        <v>1160</v>
      </c>
      <c r="C1645" s="861"/>
      <c r="D1645" s="861"/>
      <c r="E1645" s="862">
        <v>0</v>
      </c>
      <c r="F1645" s="863"/>
      <c r="G1645" s="848"/>
      <c r="H1645" s="861"/>
      <c r="I1645" s="861"/>
      <c r="J1645" s="862">
        <v>0</v>
      </c>
      <c r="K1645" s="863"/>
      <c r="L1645" s="848"/>
      <c r="M1645" s="861"/>
      <c r="N1645" s="861"/>
      <c r="O1645" s="862">
        <v>0</v>
      </c>
      <c r="P1645" s="863"/>
      <c r="Q1645" s="848"/>
      <c r="R1645" s="861"/>
      <c r="S1645" s="861"/>
      <c r="T1645" s="862">
        <v>0</v>
      </c>
      <c r="U1645" s="863"/>
      <c r="V1645" s="848"/>
      <c r="W1645" s="861"/>
      <c r="X1645" s="861"/>
      <c r="Y1645" s="862">
        <v>0</v>
      </c>
      <c r="Z1645" s="863"/>
      <c r="AA1645" s="864">
        <f t="shared" si="218"/>
        <v>0</v>
      </c>
      <c r="AB1645" s="865">
        <f t="shared" si="216"/>
        <v>0</v>
      </c>
      <c r="AC1645" s="848"/>
      <c r="AD1645" s="861"/>
      <c r="AE1645" s="861"/>
      <c r="AF1645" s="862"/>
      <c r="AG1645" s="864">
        <f t="shared" si="217"/>
        <v>0</v>
      </c>
    </row>
    <row r="1646" spans="2:33">
      <c r="B1646" s="47" t="s">
        <v>1161</v>
      </c>
      <c r="C1646" s="861"/>
      <c r="D1646" s="861"/>
      <c r="E1646" s="862">
        <v>0</v>
      </c>
      <c r="F1646" s="863"/>
      <c r="G1646" s="848"/>
      <c r="H1646" s="861"/>
      <c r="I1646" s="861"/>
      <c r="J1646" s="862">
        <v>0</v>
      </c>
      <c r="K1646" s="863"/>
      <c r="L1646" s="848"/>
      <c r="M1646" s="861"/>
      <c r="N1646" s="861"/>
      <c r="O1646" s="862">
        <v>0</v>
      </c>
      <c r="P1646" s="863"/>
      <c r="Q1646" s="848"/>
      <c r="R1646" s="861"/>
      <c r="S1646" s="861"/>
      <c r="T1646" s="862">
        <v>0</v>
      </c>
      <c r="U1646" s="863"/>
      <c r="V1646" s="848"/>
      <c r="W1646" s="861"/>
      <c r="X1646" s="861"/>
      <c r="Y1646" s="862">
        <v>0</v>
      </c>
      <c r="Z1646" s="863"/>
      <c r="AA1646" s="864">
        <f t="shared" si="218"/>
        <v>0</v>
      </c>
      <c r="AB1646" s="865">
        <f t="shared" si="216"/>
        <v>0</v>
      </c>
      <c r="AC1646" s="848"/>
      <c r="AD1646" s="861"/>
      <c r="AE1646" s="861"/>
      <c r="AF1646" s="862"/>
      <c r="AG1646" s="864">
        <f t="shared" si="217"/>
        <v>0</v>
      </c>
    </row>
    <row r="1647" spans="2:33">
      <c r="B1647" s="47" t="s">
        <v>1162</v>
      </c>
      <c r="C1647" s="861"/>
      <c r="D1647" s="861"/>
      <c r="E1647" s="862">
        <v>0</v>
      </c>
      <c r="F1647" s="863"/>
      <c r="G1647" s="848"/>
      <c r="H1647" s="861"/>
      <c r="I1647" s="861"/>
      <c r="J1647" s="862">
        <v>0</v>
      </c>
      <c r="K1647" s="863"/>
      <c r="L1647" s="848"/>
      <c r="M1647" s="861"/>
      <c r="N1647" s="861"/>
      <c r="O1647" s="862">
        <v>0</v>
      </c>
      <c r="P1647" s="863"/>
      <c r="Q1647" s="848"/>
      <c r="R1647" s="861"/>
      <c r="S1647" s="861"/>
      <c r="T1647" s="862">
        <v>0</v>
      </c>
      <c r="U1647" s="863"/>
      <c r="V1647" s="848"/>
      <c r="W1647" s="861"/>
      <c r="X1647" s="861"/>
      <c r="Y1647" s="862">
        <v>0</v>
      </c>
      <c r="Z1647" s="863"/>
      <c r="AA1647" s="864">
        <f t="shared" si="218"/>
        <v>0</v>
      </c>
      <c r="AB1647" s="865">
        <f t="shared" si="216"/>
        <v>0</v>
      </c>
      <c r="AC1647" s="848"/>
      <c r="AD1647" s="861"/>
      <c r="AE1647" s="861"/>
      <c r="AF1647" s="862"/>
      <c r="AG1647" s="864">
        <f t="shared" si="217"/>
        <v>0</v>
      </c>
    </row>
    <row r="1648" spans="2:33">
      <c r="B1648" s="47" t="s">
        <v>1163</v>
      </c>
      <c r="C1648" s="861"/>
      <c r="D1648" s="861"/>
      <c r="E1648" s="862">
        <v>0</v>
      </c>
      <c r="F1648" s="863"/>
      <c r="G1648" s="848"/>
      <c r="H1648" s="861"/>
      <c r="I1648" s="861"/>
      <c r="J1648" s="862">
        <v>0</v>
      </c>
      <c r="K1648" s="863"/>
      <c r="L1648" s="848"/>
      <c r="M1648" s="861"/>
      <c r="N1648" s="861"/>
      <c r="O1648" s="862">
        <v>0</v>
      </c>
      <c r="P1648" s="863"/>
      <c r="Q1648" s="848"/>
      <c r="R1648" s="861"/>
      <c r="S1648" s="861"/>
      <c r="T1648" s="862">
        <v>0</v>
      </c>
      <c r="U1648" s="863"/>
      <c r="V1648" s="848"/>
      <c r="W1648" s="861"/>
      <c r="X1648" s="861"/>
      <c r="Y1648" s="862">
        <v>0</v>
      </c>
      <c r="Z1648" s="863"/>
      <c r="AA1648" s="864">
        <f t="shared" si="218"/>
        <v>0</v>
      </c>
      <c r="AB1648" s="865">
        <f t="shared" si="216"/>
        <v>0</v>
      </c>
      <c r="AC1648" s="848"/>
      <c r="AD1648" s="861"/>
      <c r="AE1648" s="861"/>
      <c r="AF1648" s="862"/>
      <c r="AG1648" s="864">
        <f t="shared" si="217"/>
        <v>0</v>
      </c>
    </row>
    <row r="1649" spans="2:33">
      <c r="B1649" s="47" t="s">
        <v>1164</v>
      </c>
      <c r="C1649" s="861"/>
      <c r="D1649" s="861"/>
      <c r="E1649" s="862">
        <v>0</v>
      </c>
      <c r="F1649" s="863"/>
      <c r="G1649" s="848"/>
      <c r="H1649" s="861"/>
      <c r="I1649" s="861"/>
      <c r="J1649" s="862">
        <v>0</v>
      </c>
      <c r="K1649" s="863"/>
      <c r="L1649" s="848"/>
      <c r="M1649" s="861"/>
      <c r="N1649" s="861"/>
      <c r="O1649" s="862">
        <v>0</v>
      </c>
      <c r="P1649" s="863"/>
      <c r="Q1649" s="848"/>
      <c r="R1649" s="861"/>
      <c r="S1649" s="861"/>
      <c r="T1649" s="862">
        <v>0</v>
      </c>
      <c r="U1649" s="863"/>
      <c r="V1649" s="848"/>
      <c r="W1649" s="861"/>
      <c r="X1649" s="861"/>
      <c r="Y1649" s="862">
        <v>0</v>
      </c>
      <c r="Z1649" s="863"/>
      <c r="AA1649" s="864">
        <f t="shared" si="218"/>
        <v>0</v>
      </c>
      <c r="AB1649" s="865">
        <f t="shared" si="216"/>
        <v>0</v>
      </c>
      <c r="AC1649" s="848"/>
      <c r="AD1649" s="861"/>
      <c r="AE1649" s="861"/>
      <c r="AF1649" s="862"/>
      <c r="AG1649" s="864">
        <f t="shared" si="217"/>
        <v>0</v>
      </c>
    </row>
    <row r="1650" spans="2:33">
      <c r="B1650" s="47" t="s">
        <v>1165</v>
      </c>
      <c r="C1650" s="861"/>
      <c r="D1650" s="861"/>
      <c r="E1650" s="862">
        <v>0</v>
      </c>
      <c r="F1650" s="863"/>
      <c r="G1650" s="848"/>
      <c r="H1650" s="861"/>
      <c r="I1650" s="861"/>
      <c r="J1650" s="862">
        <v>0</v>
      </c>
      <c r="K1650" s="863"/>
      <c r="L1650" s="848"/>
      <c r="M1650" s="861"/>
      <c r="N1650" s="861"/>
      <c r="O1650" s="862">
        <v>0</v>
      </c>
      <c r="P1650" s="863"/>
      <c r="Q1650" s="848"/>
      <c r="R1650" s="861"/>
      <c r="S1650" s="861"/>
      <c r="T1650" s="862">
        <v>0</v>
      </c>
      <c r="U1650" s="863"/>
      <c r="V1650" s="848"/>
      <c r="W1650" s="861"/>
      <c r="X1650" s="861"/>
      <c r="Y1650" s="862">
        <v>0</v>
      </c>
      <c r="Z1650" s="863"/>
      <c r="AA1650" s="864">
        <f t="shared" si="218"/>
        <v>0</v>
      </c>
      <c r="AB1650" s="865">
        <f t="shared" si="216"/>
        <v>0</v>
      </c>
      <c r="AC1650" s="848"/>
      <c r="AD1650" s="861"/>
      <c r="AE1650" s="861"/>
      <c r="AF1650" s="862"/>
      <c r="AG1650" s="864">
        <f t="shared" si="217"/>
        <v>0</v>
      </c>
    </row>
    <row r="1651" spans="2:33">
      <c r="B1651" s="502" t="s">
        <v>483</v>
      </c>
      <c r="C1651" s="861"/>
      <c r="D1651" s="861"/>
      <c r="E1651" s="862">
        <v>0</v>
      </c>
      <c r="F1651" s="863"/>
      <c r="G1651" s="848"/>
      <c r="H1651" s="861"/>
      <c r="I1651" s="861"/>
      <c r="J1651" s="862">
        <v>0</v>
      </c>
      <c r="K1651" s="863"/>
      <c r="L1651" s="848"/>
      <c r="M1651" s="861"/>
      <c r="N1651" s="861"/>
      <c r="O1651" s="862">
        <v>0</v>
      </c>
      <c r="P1651" s="863"/>
      <c r="Q1651" s="848"/>
      <c r="R1651" s="861"/>
      <c r="S1651" s="861"/>
      <c r="T1651" s="862">
        <v>0</v>
      </c>
      <c r="U1651" s="863"/>
      <c r="V1651" s="848"/>
      <c r="W1651" s="861"/>
      <c r="X1651" s="861"/>
      <c r="Y1651" s="862">
        <v>0</v>
      </c>
      <c r="Z1651" s="863"/>
      <c r="AA1651" s="864">
        <f t="shared" si="213"/>
        <v>0</v>
      </c>
      <c r="AB1651" s="865">
        <f t="shared" si="216"/>
        <v>0</v>
      </c>
      <c r="AC1651" s="848"/>
      <c r="AD1651" s="861"/>
      <c r="AE1651" s="861"/>
      <c r="AF1651" s="862"/>
      <c r="AG1651" s="864">
        <f t="shared" ref="AG1651:AG1662" si="219">AF1651</f>
        <v>0</v>
      </c>
    </row>
    <row r="1652" spans="2:33">
      <c r="B1652" s="502" t="s">
        <v>483</v>
      </c>
      <c r="C1652" s="861"/>
      <c r="D1652" s="861"/>
      <c r="E1652" s="862">
        <v>0</v>
      </c>
      <c r="F1652" s="863"/>
      <c r="G1652" s="848"/>
      <c r="H1652" s="861"/>
      <c r="I1652" s="861"/>
      <c r="J1652" s="862">
        <v>4</v>
      </c>
      <c r="K1652" s="863"/>
      <c r="L1652" s="848"/>
      <c r="M1652" s="861"/>
      <c r="N1652" s="861"/>
      <c r="O1652" s="862">
        <v>6</v>
      </c>
      <c r="P1652" s="863"/>
      <c r="Q1652" s="848"/>
      <c r="R1652" s="861"/>
      <c r="S1652" s="861"/>
      <c r="T1652" s="862">
        <v>8</v>
      </c>
      <c r="U1652" s="863"/>
      <c r="V1652" s="848"/>
      <c r="W1652" s="861"/>
      <c r="X1652" s="861"/>
      <c r="Y1652" s="862">
        <v>6</v>
      </c>
      <c r="Z1652" s="863"/>
      <c r="AA1652" s="864">
        <f t="shared" si="213"/>
        <v>24</v>
      </c>
      <c r="AB1652" s="865">
        <f t="shared" si="216"/>
        <v>0</v>
      </c>
      <c r="AC1652" s="848"/>
      <c r="AD1652" s="861"/>
      <c r="AE1652" s="861"/>
      <c r="AF1652" s="862"/>
      <c r="AG1652" s="864">
        <f t="shared" si="219"/>
        <v>0</v>
      </c>
    </row>
    <row r="1653" spans="2:33">
      <c r="B1653" s="502" t="s">
        <v>484</v>
      </c>
      <c r="C1653" s="861"/>
      <c r="D1653" s="861"/>
      <c r="E1653" s="862">
        <v>0</v>
      </c>
      <c r="F1653" s="863"/>
      <c r="G1653" s="848"/>
      <c r="H1653" s="861"/>
      <c r="I1653" s="861"/>
      <c r="J1653" s="862">
        <v>4</v>
      </c>
      <c r="K1653" s="863"/>
      <c r="L1653" s="848"/>
      <c r="M1653" s="861"/>
      <c r="N1653" s="861"/>
      <c r="O1653" s="862">
        <v>6</v>
      </c>
      <c r="P1653" s="863"/>
      <c r="Q1653" s="848"/>
      <c r="R1653" s="861"/>
      <c r="S1653" s="861"/>
      <c r="T1653" s="862">
        <v>8</v>
      </c>
      <c r="U1653" s="863"/>
      <c r="V1653" s="848"/>
      <c r="W1653" s="861"/>
      <c r="X1653" s="861"/>
      <c r="Y1653" s="862">
        <v>6</v>
      </c>
      <c r="Z1653" s="863"/>
      <c r="AA1653" s="864">
        <f t="shared" si="213"/>
        <v>24</v>
      </c>
      <c r="AB1653" s="865">
        <f t="shared" si="216"/>
        <v>0</v>
      </c>
      <c r="AC1653" s="848"/>
      <c r="AD1653" s="861"/>
      <c r="AE1653" s="861"/>
      <c r="AF1653" s="862"/>
      <c r="AG1653" s="864">
        <f t="shared" si="219"/>
        <v>0</v>
      </c>
    </row>
    <row r="1654" spans="2:33">
      <c r="B1654" s="502" t="s">
        <v>485</v>
      </c>
      <c r="C1654" s="861"/>
      <c r="D1654" s="861"/>
      <c r="E1654" s="862">
        <v>0</v>
      </c>
      <c r="F1654" s="863"/>
      <c r="G1654" s="848"/>
      <c r="H1654" s="861"/>
      <c r="I1654" s="861"/>
      <c r="J1654" s="862">
        <v>0</v>
      </c>
      <c r="K1654" s="863"/>
      <c r="L1654" s="848"/>
      <c r="M1654" s="861"/>
      <c r="N1654" s="861"/>
      <c r="O1654" s="862">
        <v>6</v>
      </c>
      <c r="P1654" s="863"/>
      <c r="Q1654" s="848"/>
      <c r="R1654" s="861"/>
      <c r="S1654" s="861"/>
      <c r="T1654" s="862">
        <v>8</v>
      </c>
      <c r="U1654" s="863"/>
      <c r="V1654" s="848"/>
      <c r="W1654" s="861"/>
      <c r="X1654" s="861"/>
      <c r="Y1654" s="862">
        <v>6</v>
      </c>
      <c r="Z1654" s="863"/>
      <c r="AA1654" s="864">
        <f t="shared" si="213"/>
        <v>20</v>
      </c>
      <c r="AB1654" s="865">
        <f t="shared" si="216"/>
        <v>0</v>
      </c>
      <c r="AC1654" s="848"/>
      <c r="AD1654" s="861"/>
      <c r="AE1654" s="861"/>
      <c r="AF1654" s="862"/>
      <c r="AG1654" s="864">
        <f t="shared" si="219"/>
        <v>0</v>
      </c>
    </row>
    <row r="1655" spans="2:33">
      <c r="B1655" s="502" t="s">
        <v>1129</v>
      </c>
      <c r="C1655" s="861"/>
      <c r="D1655" s="861"/>
      <c r="E1655" s="862">
        <v>0</v>
      </c>
      <c r="F1655" s="863"/>
      <c r="G1655" s="848"/>
      <c r="H1655" s="861"/>
      <c r="I1655" s="861"/>
      <c r="J1655" s="862">
        <v>0</v>
      </c>
      <c r="K1655" s="863"/>
      <c r="L1655" s="848"/>
      <c r="M1655" s="861"/>
      <c r="N1655" s="861"/>
      <c r="O1655" s="862">
        <v>0</v>
      </c>
      <c r="P1655" s="863"/>
      <c r="Q1655" s="848"/>
      <c r="R1655" s="861"/>
      <c r="S1655" s="861"/>
      <c r="T1655" s="862">
        <v>0</v>
      </c>
      <c r="U1655" s="863"/>
      <c r="V1655" s="848"/>
      <c r="W1655" s="861"/>
      <c r="X1655" s="861"/>
      <c r="Y1655" s="862">
        <v>0</v>
      </c>
      <c r="Z1655" s="863"/>
      <c r="AA1655" s="864">
        <f t="shared" si="213"/>
        <v>0</v>
      </c>
      <c r="AB1655" s="865">
        <f t="shared" si="216"/>
        <v>0</v>
      </c>
      <c r="AC1655" s="848"/>
      <c r="AD1655" s="861"/>
      <c r="AE1655" s="861"/>
      <c r="AF1655" s="862"/>
      <c r="AG1655" s="864">
        <f t="shared" si="219"/>
        <v>0</v>
      </c>
    </row>
    <row r="1656" spans="2:33">
      <c r="B1656" s="267" t="s">
        <v>358</v>
      </c>
      <c r="C1656" s="861"/>
      <c r="D1656" s="861"/>
      <c r="E1656" s="862">
        <v>0</v>
      </c>
      <c r="F1656" s="863"/>
      <c r="G1656" s="848"/>
      <c r="H1656" s="861"/>
      <c r="I1656" s="861"/>
      <c r="J1656" s="862">
        <v>2</v>
      </c>
      <c r="K1656" s="863"/>
      <c r="L1656" s="872"/>
      <c r="M1656" s="861"/>
      <c r="N1656" s="861"/>
      <c r="O1656" s="862">
        <v>2</v>
      </c>
      <c r="P1656" s="863"/>
      <c r="Q1656" s="872"/>
      <c r="R1656" s="861"/>
      <c r="S1656" s="861"/>
      <c r="T1656" s="862">
        <v>1</v>
      </c>
      <c r="U1656" s="863"/>
      <c r="V1656" s="872"/>
      <c r="W1656" s="861"/>
      <c r="X1656" s="861"/>
      <c r="Y1656" s="862">
        <v>6</v>
      </c>
      <c r="Z1656" s="863"/>
      <c r="AA1656" s="864">
        <f t="shared" si="213"/>
        <v>11</v>
      </c>
      <c r="AB1656" s="865">
        <f t="shared" si="216"/>
        <v>0</v>
      </c>
      <c r="AC1656" s="848"/>
      <c r="AD1656" s="861"/>
      <c r="AE1656" s="861"/>
      <c r="AF1656" s="862"/>
      <c r="AG1656" s="864">
        <f t="shared" si="219"/>
        <v>0</v>
      </c>
    </row>
    <row r="1657" spans="2:33">
      <c r="B1657" s="267" t="s">
        <v>991</v>
      </c>
      <c r="C1657" s="861"/>
      <c r="D1657" s="861"/>
      <c r="E1657" s="862">
        <v>0</v>
      </c>
      <c r="F1657" s="863"/>
      <c r="G1657" s="848"/>
      <c r="H1657" s="861"/>
      <c r="I1657" s="861"/>
      <c r="J1657" s="862">
        <v>0</v>
      </c>
      <c r="K1657" s="863"/>
      <c r="L1657" s="872"/>
      <c r="M1657" s="861"/>
      <c r="N1657" s="861"/>
      <c r="O1657" s="862">
        <v>0</v>
      </c>
      <c r="P1657" s="863"/>
      <c r="Q1657" s="872"/>
      <c r="R1657" s="861"/>
      <c r="S1657" s="861"/>
      <c r="T1657" s="862">
        <v>0</v>
      </c>
      <c r="U1657" s="863"/>
      <c r="V1657" s="872"/>
      <c r="W1657" s="861"/>
      <c r="X1657" s="861"/>
      <c r="Y1657" s="862">
        <v>0</v>
      </c>
      <c r="Z1657" s="863"/>
      <c r="AA1657" s="864">
        <f t="shared" si="213"/>
        <v>0</v>
      </c>
      <c r="AB1657" s="865">
        <f t="shared" si="216"/>
        <v>0</v>
      </c>
      <c r="AC1657" s="848"/>
      <c r="AD1657" s="861"/>
      <c r="AE1657" s="861"/>
      <c r="AF1657" s="862"/>
      <c r="AG1657" s="864">
        <f t="shared" si="219"/>
        <v>0</v>
      </c>
    </row>
    <row r="1658" spans="2:33">
      <c r="B1658" s="267" t="s">
        <v>411</v>
      </c>
      <c r="C1658" s="861"/>
      <c r="D1658" s="861"/>
      <c r="E1658" s="862">
        <v>0</v>
      </c>
      <c r="F1658" s="863"/>
      <c r="G1658" s="848"/>
      <c r="H1658" s="861"/>
      <c r="I1658" s="861"/>
      <c r="J1658" s="862">
        <v>0</v>
      </c>
      <c r="K1658" s="863"/>
      <c r="L1658" s="872"/>
      <c r="M1658" s="861"/>
      <c r="N1658" s="861"/>
      <c r="O1658" s="862">
        <v>0</v>
      </c>
      <c r="P1658" s="863"/>
      <c r="Q1658" s="872"/>
      <c r="R1658" s="861"/>
      <c r="S1658" s="861"/>
      <c r="T1658" s="862">
        <v>0</v>
      </c>
      <c r="U1658" s="863"/>
      <c r="V1658" s="872"/>
      <c r="W1658" s="861"/>
      <c r="X1658" s="861"/>
      <c r="Y1658" s="862">
        <v>0</v>
      </c>
      <c r="Z1658" s="863"/>
      <c r="AA1658" s="864">
        <f t="shared" si="213"/>
        <v>0</v>
      </c>
      <c r="AB1658" s="865">
        <f t="shared" si="216"/>
        <v>0</v>
      </c>
      <c r="AC1658" s="848"/>
      <c r="AD1658" s="861"/>
      <c r="AE1658" s="861"/>
      <c r="AF1658" s="862"/>
      <c r="AG1658" s="864">
        <f t="shared" si="219"/>
        <v>0</v>
      </c>
    </row>
    <row r="1659" spans="2:33">
      <c r="B1659" s="267" t="s">
        <v>361</v>
      </c>
      <c r="C1659" s="861"/>
      <c r="D1659" s="861"/>
      <c r="E1659" s="862">
        <v>0</v>
      </c>
      <c r="F1659" s="863"/>
      <c r="G1659" s="848"/>
      <c r="H1659" s="861"/>
      <c r="I1659" s="861"/>
      <c r="J1659" s="862">
        <v>0</v>
      </c>
      <c r="K1659" s="863"/>
      <c r="L1659" s="872"/>
      <c r="M1659" s="861"/>
      <c r="N1659" s="861"/>
      <c r="O1659" s="862">
        <v>0</v>
      </c>
      <c r="P1659" s="863"/>
      <c r="Q1659" s="872"/>
      <c r="R1659" s="861"/>
      <c r="S1659" s="861"/>
      <c r="T1659" s="862">
        <v>0</v>
      </c>
      <c r="U1659" s="863"/>
      <c r="V1659" s="872"/>
      <c r="W1659" s="861"/>
      <c r="X1659" s="861"/>
      <c r="Y1659" s="862">
        <v>0</v>
      </c>
      <c r="Z1659" s="863"/>
      <c r="AA1659" s="864">
        <f t="shared" si="213"/>
        <v>0</v>
      </c>
      <c r="AB1659" s="865">
        <f t="shared" si="216"/>
        <v>0</v>
      </c>
      <c r="AC1659" s="848"/>
      <c r="AD1659" s="861"/>
      <c r="AE1659" s="861"/>
      <c r="AF1659" s="862"/>
      <c r="AG1659" s="864">
        <f t="shared" si="219"/>
        <v>0</v>
      </c>
    </row>
    <row r="1660" spans="2:33">
      <c r="B1660" s="267" t="s">
        <v>362</v>
      </c>
      <c r="C1660" s="861"/>
      <c r="D1660" s="873"/>
      <c r="E1660" s="862">
        <v>0</v>
      </c>
      <c r="F1660" s="863"/>
      <c r="G1660" s="848"/>
      <c r="H1660" s="861"/>
      <c r="I1660" s="873"/>
      <c r="J1660" s="862">
        <v>0</v>
      </c>
      <c r="K1660" s="863"/>
      <c r="L1660" s="872"/>
      <c r="M1660" s="861"/>
      <c r="N1660" s="873"/>
      <c r="O1660" s="862">
        <v>0</v>
      </c>
      <c r="P1660" s="863"/>
      <c r="Q1660" s="872"/>
      <c r="R1660" s="861"/>
      <c r="S1660" s="873"/>
      <c r="T1660" s="862">
        <v>0</v>
      </c>
      <c r="U1660" s="863"/>
      <c r="V1660" s="872"/>
      <c r="W1660" s="861"/>
      <c r="X1660" s="873"/>
      <c r="Y1660" s="862">
        <v>0</v>
      </c>
      <c r="Z1660" s="863"/>
      <c r="AA1660" s="864">
        <f t="shared" si="213"/>
        <v>0</v>
      </c>
      <c r="AB1660" s="865">
        <f t="shared" si="216"/>
        <v>0</v>
      </c>
      <c r="AC1660" s="848"/>
      <c r="AD1660" s="861"/>
      <c r="AE1660" s="861"/>
      <c r="AF1660" s="862"/>
      <c r="AG1660" s="864">
        <f t="shared" si="219"/>
        <v>0</v>
      </c>
    </row>
    <row r="1661" spans="2:33">
      <c r="B1661" s="437" t="s">
        <v>355</v>
      </c>
      <c r="C1661" s="861"/>
      <c r="D1661" s="861"/>
      <c r="E1661" s="862">
        <v>0</v>
      </c>
      <c r="F1661" s="863"/>
      <c r="G1661" s="848"/>
      <c r="H1661" s="861"/>
      <c r="I1661" s="861"/>
      <c r="J1661" s="862">
        <v>5.25</v>
      </c>
      <c r="K1661" s="863"/>
      <c r="L1661" s="872"/>
      <c r="M1661" s="861"/>
      <c r="N1661" s="861"/>
      <c r="O1661" s="862">
        <v>7.75</v>
      </c>
      <c r="P1661" s="863"/>
      <c r="Q1661" s="872"/>
      <c r="R1661" s="861"/>
      <c r="S1661" s="861"/>
      <c r="T1661" s="862">
        <v>7.75</v>
      </c>
      <c r="U1661" s="863"/>
      <c r="V1661" s="872"/>
      <c r="W1661" s="861"/>
      <c r="X1661" s="861"/>
      <c r="Y1661" s="862">
        <v>0</v>
      </c>
      <c r="Z1661" s="863"/>
      <c r="AA1661" s="864">
        <f t="shared" si="213"/>
        <v>20.75</v>
      </c>
      <c r="AB1661" s="865">
        <f t="shared" si="216"/>
        <v>0</v>
      </c>
      <c r="AC1661" s="848"/>
      <c r="AD1661" s="861"/>
      <c r="AE1661" s="861"/>
      <c r="AF1661" s="862"/>
      <c r="AG1661" s="864">
        <f t="shared" si="219"/>
        <v>0</v>
      </c>
    </row>
    <row r="1662" spans="2:33">
      <c r="B1662" s="437" t="s">
        <v>356</v>
      </c>
      <c r="C1662" s="875"/>
      <c r="D1662" s="875"/>
      <c r="E1662" s="862">
        <v>0</v>
      </c>
      <c r="F1662" s="863"/>
      <c r="G1662" s="872"/>
      <c r="H1662" s="873"/>
      <c r="I1662" s="873"/>
      <c r="J1662" s="862">
        <v>0</v>
      </c>
      <c r="K1662" s="863"/>
      <c r="L1662" s="872"/>
      <c r="M1662" s="873"/>
      <c r="N1662" s="873"/>
      <c r="O1662" s="862">
        <v>0</v>
      </c>
      <c r="P1662" s="863"/>
      <c r="Q1662" s="872"/>
      <c r="R1662" s="873"/>
      <c r="S1662" s="873"/>
      <c r="T1662" s="862">
        <v>0</v>
      </c>
      <c r="U1662" s="863"/>
      <c r="V1662" s="872"/>
      <c r="W1662" s="873"/>
      <c r="X1662" s="873"/>
      <c r="Y1662" s="862">
        <v>25</v>
      </c>
      <c r="Z1662" s="863"/>
      <c r="AA1662" s="864">
        <f t="shared" si="213"/>
        <v>25</v>
      </c>
      <c r="AB1662" s="865">
        <f t="shared" si="216"/>
        <v>0</v>
      </c>
      <c r="AC1662" s="848"/>
      <c r="AD1662" s="861"/>
      <c r="AE1662" s="861"/>
      <c r="AF1662" s="862"/>
      <c r="AG1662" s="864">
        <f t="shared" si="219"/>
        <v>0</v>
      </c>
    </row>
    <row r="1663" spans="2:33">
      <c r="B1663" s="31" t="s">
        <v>61</v>
      </c>
      <c r="C1663" s="876"/>
      <c r="D1663" s="876"/>
      <c r="E1663" s="877">
        <f>SUM(E1619:E1662)</f>
        <v>0</v>
      </c>
      <c r="F1663" s="863"/>
      <c r="G1663" s="876"/>
      <c r="H1663" s="876"/>
      <c r="I1663" s="876"/>
      <c r="J1663" s="877">
        <f>SUM(J1619:J1662)</f>
        <v>16.75</v>
      </c>
      <c r="K1663" s="863"/>
      <c r="L1663" s="876"/>
      <c r="M1663" s="876"/>
      <c r="N1663" s="876"/>
      <c r="O1663" s="877">
        <f>SUM(O1619:O1662)</f>
        <v>48.25</v>
      </c>
      <c r="P1663" s="863"/>
      <c r="Q1663" s="876"/>
      <c r="R1663" s="876"/>
      <c r="S1663" s="876"/>
      <c r="T1663" s="877">
        <f>SUM(T1619:T1662)</f>
        <v>50.25</v>
      </c>
      <c r="U1663" s="863"/>
      <c r="V1663" s="876"/>
      <c r="W1663" s="876"/>
      <c r="X1663" s="876"/>
      <c r="Y1663" s="877">
        <f>SUM(Y1619:Y1662)</f>
        <v>87</v>
      </c>
      <c r="Z1663" s="863"/>
      <c r="AA1663" s="864">
        <f>SUM(AA1619:AA1662)</f>
        <v>202.25</v>
      </c>
      <c r="AB1663" s="864">
        <f>SUM(AB1619:AB1662)</f>
        <v>0</v>
      </c>
      <c r="AC1663" s="848"/>
      <c r="AD1663" s="876"/>
      <c r="AE1663" s="876"/>
      <c r="AF1663" s="864">
        <f>SUM(AF1619:AF1662)</f>
        <v>0</v>
      </c>
      <c r="AG1663" s="864">
        <f>SUM(AG1619:AG1662)</f>
        <v>0</v>
      </c>
    </row>
    <row r="1664" spans="2:33">
      <c r="B1664" s="267" t="s">
        <v>1116</v>
      </c>
      <c r="C1664" s="861"/>
      <c r="D1664" s="861"/>
      <c r="E1664" s="862">
        <v>0</v>
      </c>
      <c r="F1664" s="863"/>
      <c r="G1664" s="848"/>
      <c r="H1664" s="861"/>
      <c r="I1664" s="861"/>
      <c r="J1664" s="862">
        <v>4</v>
      </c>
      <c r="K1664" s="863"/>
      <c r="L1664" s="848"/>
      <c r="M1664" s="861"/>
      <c r="N1664" s="861"/>
      <c r="O1664" s="862">
        <v>8</v>
      </c>
      <c r="P1664" s="863"/>
      <c r="Q1664" s="848"/>
      <c r="R1664" s="861"/>
      <c r="S1664" s="861"/>
      <c r="T1664" s="862">
        <v>8</v>
      </c>
      <c r="U1664" s="863"/>
      <c r="V1664" s="848"/>
      <c r="W1664" s="861"/>
      <c r="X1664" s="861"/>
      <c r="Y1664" s="862">
        <v>8</v>
      </c>
      <c r="Z1664" s="863"/>
      <c r="AA1664" s="864">
        <f>(E1664+J1664+O1664+T1664+Y1664)</f>
        <v>28</v>
      </c>
      <c r="AB1664" s="865">
        <f>Z1664+U1664+P1664+K1664+F1664</f>
        <v>0</v>
      </c>
      <c r="AC1664" s="848"/>
      <c r="AD1664" s="861"/>
      <c r="AE1664" s="861"/>
      <c r="AF1664" s="862"/>
      <c r="AG1664" s="864">
        <f>AF1664</f>
        <v>0</v>
      </c>
    </row>
    <row r="1665" spans="2:42">
      <c r="B1665" s="267" t="s">
        <v>64</v>
      </c>
      <c r="C1665" s="861"/>
      <c r="D1665" s="861"/>
      <c r="E1665" s="862">
        <v>0</v>
      </c>
      <c r="F1665" s="862"/>
      <c r="G1665" s="878"/>
      <c r="H1665" s="861"/>
      <c r="I1665" s="861"/>
      <c r="J1665" s="862">
        <v>0</v>
      </c>
      <c r="K1665" s="862"/>
      <c r="L1665" s="872"/>
      <c r="M1665" s="861"/>
      <c r="N1665" s="861"/>
      <c r="O1665" s="862">
        <v>0</v>
      </c>
      <c r="P1665" s="862"/>
      <c r="Q1665" s="872"/>
      <c r="R1665" s="861"/>
      <c r="S1665" s="861"/>
      <c r="T1665" s="862">
        <v>0</v>
      </c>
      <c r="U1665" s="862"/>
      <c r="V1665" s="872"/>
      <c r="W1665" s="861"/>
      <c r="X1665" s="861"/>
      <c r="Y1665" s="862">
        <v>0</v>
      </c>
      <c r="Z1665" s="862"/>
      <c r="AA1665" s="864">
        <f>SUM(E1665+J1665+O1665+T1665+Y1665)</f>
        <v>0</v>
      </c>
      <c r="AB1665" s="855">
        <f>Z1665+U1665+P1665+K1665+F1665</f>
        <v>0</v>
      </c>
      <c r="AC1665" s="848"/>
      <c r="AD1665" s="861" t="s">
        <v>29</v>
      </c>
      <c r="AE1665" s="861" t="s">
        <v>29</v>
      </c>
      <c r="AF1665" s="862"/>
      <c r="AG1665" s="864">
        <f>AF1665</f>
        <v>0</v>
      </c>
    </row>
    <row r="1666" spans="2:42">
      <c r="B1666" s="71" t="s">
        <v>66</v>
      </c>
      <c r="C1666" s="879"/>
      <c r="D1666" s="879"/>
      <c r="E1666" s="878"/>
      <c r="F1666" s="878"/>
      <c r="G1666" s="878"/>
      <c r="H1666" s="878"/>
      <c r="I1666" s="878"/>
      <c r="J1666" s="878"/>
      <c r="K1666" s="878"/>
      <c r="L1666" s="878"/>
      <c r="M1666" s="878"/>
      <c r="N1666" s="878"/>
      <c r="O1666" s="878"/>
      <c r="P1666" s="878"/>
      <c r="Q1666" s="878"/>
      <c r="R1666" s="878"/>
      <c r="S1666" s="878"/>
      <c r="T1666" s="878"/>
      <c r="U1666" s="878"/>
      <c r="V1666" s="878"/>
      <c r="W1666" s="878"/>
      <c r="X1666" s="878"/>
      <c r="Y1666" s="878"/>
      <c r="Z1666" s="878"/>
      <c r="AA1666" s="864">
        <f>SUM(AA1664:AA1665)</f>
        <v>28</v>
      </c>
      <c r="AB1666" s="864">
        <f>SUM(AB1665:AB1665)</f>
        <v>0</v>
      </c>
      <c r="AC1666" s="848"/>
      <c r="AD1666" s="851"/>
      <c r="AE1666" s="851"/>
      <c r="AF1666" s="851"/>
      <c r="AG1666" s="864">
        <f>SUM(AG1665:AG1665)</f>
        <v>0</v>
      </c>
      <c r="AK1666" s="407"/>
    </row>
    <row r="1667" spans="2:42">
      <c r="B1667" s="899" t="s">
        <v>67</v>
      </c>
      <c r="C1667" s="882">
        <f>C1668+C1669</f>
        <v>12</v>
      </c>
      <c r="D1667" s="882"/>
      <c r="E1667" s="883"/>
      <c r="F1667" s="883"/>
      <c r="G1667" s="882"/>
      <c r="H1667" s="883"/>
      <c r="I1667" s="883"/>
      <c r="J1667" s="883"/>
      <c r="K1667" s="883"/>
      <c r="L1667" s="882"/>
      <c r="M1667" s="882"/>
      <c r="N1667" s="882"/>
      <c r="O1667" s="882"/>
      <c r="P1667" s="883"/>
      <c r="Q1667" s="882"/>
      <c r="R1667" s="882"/>
      <c r="S1667" s="882"/>
      <c r="T1667" s="882"/>
      <c r="U1667" s="883"/>
      <c r="V1667" s="882"/>
      <c r="W1667" s="882"/>
      <c r="X1667" s="882"/>
      <c r="Y1667" s="884"/>
      <c r="Z1667" s="883"/>
      <c r="AA1667" s="885"/>
      <c r="AB1667" s="883"/>
      <c r="AC1667" s="885"/>
      <c r="AD1667" s="885"/>
      <c r="AE1667" s="885"/>
      <c r="AF1667" s="885"/>
      <c r="AG1667" s="885"/>
      <c r="AK1667" s="407"/>
    </row>
    <row r="1668" spans="2:42">
      <c r="B1668" s="904" t="s">
        <v>68</v>
      </c>
      <c r="C1668" s="882">
        <v>0</v>
      </c>
      <c r="D1668" s="882"/>
      <c r="E1668" s="883"/>
      <c r="F1668" s="883"/>
      <c r="G1668" s="882"/>
      <c r="H1668" s="883"/>
      <c r="I1668" s="883"/>
      <c r="J1668" s="883"/>
      <c r="K1668" s="883"/>
      <c r="L1668" s="882"/>
      <c r="M1668" s="882"/>
      <c r="N1668" s="882"/>
      <c r="O1668" s="882"/>
      <c r="P1668" s="883"/>
      <c r="Q1668" s="882"/>
      <c r="R1668" s="882"/>
      <c r="S1668" s="882"/>
      <c r="T1668" s="882"/>
      <c r="U1668" s="883"/>
      <c r="V1668" s="882"/>
      <c r="W1668" s="882"/>
      <c r="X1668" s="882"/>
      <c r="Y1668" s="884"/>
      <c r="Z1668" s="883"/>
      <c r="AA1668" s="885"/>
      <c r="AB1668" s="883"/>
      <c r="AC1668" s="885"/>
      <c r="AD1668" s="885"/>
      <c r="AE1668" s="885"/>
      <c r="AF1668" s="885"/>
      <c r="AG1668" s="885"/>
      <c r="AK1668" s="407"/>
    </row>
    <row r="1669" spans="2:42">
      <c r="B1669" s="904" t="s">
        <v>69</v>
      </c>
      <c r="C1669" s="882">
        <v>12</v>
      </c>
      <c r="D1669" s="882"/>
      <c r="E1669" s="883"/>
      <c r="F1669" s="883"/>
      <c r="G1669" s="882"/>
      <c r="H1669" s="883"/>
      <c r="I1669" s="883"/>
      <c r="J1669" s="883"/>
      <c r="K1669" s="883"/>
      <c r="L1669" s="882"/>
      <c r="M1669" s="882"/>
      <c r="N1669" s="882"/>
      <c r="O1669" s="882"/>
      <c r="P1669" s="883"/>
      <c r="Q1669" s="882"/>
      <c r="R1669" s="882"/>
      <c r="S1669" s="882"/>
      <c r="T1669" s="882"/>
      <c r="U1669" s="883"/>
      <c r="V1669" s="882"/>
      <c r="W1669" s="882"/>
      <c r="X1669" s="882"/>
      <c r="Y1669" s="884"/>
      <c r="Z1669" s="883"/>
      <c r="AA1669" s="885"/>
      <c r="AB1669" s="883"/>
      <c r="AC1669" s="885"/>
      <c r="AD1669" s="885"/>
      <c r="AE1669" s="885"/>
      <c r="AF1669" s="885"/>
      <c r="AG1669" s="885"/>
    </row>
    <row r="1670" spans="2:42">
      <c r="C1670" s="851"/>
      <c r="D1670" s="851"/>
      <c r="E1670" s="866"/>
      <c r="F1670" s="866"/>
      <c r="G1670" s="866"/>
      <c r="H1670" s="851"/>
      <c r="I1670" s="851"/>
      <c r="J1670" s="866"/>
      <c r="K1670" s="866"/>
      <c r="L1670" s="866"/>
      <c r="M1670" s="851"/>
      <c r="N1670" s="851"/>
      <c r="O1670" s="866"/>
      <c r="P1670" s="866"/>
      <c r="Q1670" s="848"/>
      <c r="R1670" s="851"/>
      <c r="S1670" s="851"/>
      <c r="T1670" s="866"/>
      <c r="U1670" s="866"/>
      <c r="V1670" s="848"/>
      <c r="W1670" s="851"/>
      <c r="X1670" s="851"/>
      <c r="Y1670" s="866"/>
      <c r="Z1670" s="866"/>
      <c r="AA1670" s="866"/>
      <c r="AB1670" s="866"/>
      <c r="AC1670" s="866"/>
      <c r="AD1670" s="851"/>
      <c r="AE1670" s="851"/>
      <c r="AF1670" s="851"/>
      <c r="AG1670" s="851"/>
    </row>
    <row r="1671" spans="2:42">
      <c r="C1671" s="851"/>
      <c r="D1671" s="851"/>
      <c r="E1671" s="866"/>
      <c r="F1671" s="866"/>
      <c r="G1671" s="866"/>
      <c r="H1671" s="851"/>
      <c r="I1671" s="851"/>
      <c r="J1671" s="866"/>
      <c r="K1671" s="866"/>
      <c r="L1671" s="866"/>
      <c r="M1671" s="851"/>
      <c r="N1671" s="851"/>
      <c r="O1671" s="866"/>
      <c r="P1671" s="866"/>
      <c r="Q1671" s="848"/>
      <c r="R1671" s="851"/>
      <c r="S1671" s="851"/>
      <c r="T1671" s="866"/>
      <c r="U1671" s="866"/>
      <c r="V1671" s="848"/>
      <c r="W1671" s="851"/>
      <c r="X1671" s="851"/>
      <c r="Y1671" s="866"/>
      <c r="Z1671" s="866"/>
      <c r="AA1671" s="866"/>
      <c r="AB1671" s="866"/>
      <c r="AC1671" s="866"/>
      <c r="AD1671" s="851"/>
      <c r="AE1671" s="851"/>
      <c r="AF1671" s="851"/>
      <c r="AG1671" s="851"/>
    </row>
    <row r="1672" spans="2:42" ht="25.5">
      <c r="B1672" s="1571"/>
      <c r="C1672" s="1572">
        <v>46055</v>
      </c>
      <c r="D1672" s="1572"/>
      <c r="E1672" s="1572" t="s">
        <v>564</v>
      </c>
      <c r="F1672" s="1572"/>
      <c r="G1672" s="847"/>
      <c r="H1672" s="1572">
        <v>46056</v>
      </c>
      <c r="I1672" s="1572"/>
      <c r="J1672" s="1572" t="s">
        <v>565</v>
      </c>
      <c r="K1672" s="1572"/>
      <c r="L1672" s="847"/>
      <c r="M1672" s="1572">
        <v>46057</v>
      </c>
      <c r="N1672" s="1572"/>
      <c r="O1672" s="1572" t="s">
        <v>566</v>
      </c>
      <c r="P1672" s="1572"/>
      <c r="Q1672" s="847"/>
      <c r="R1672" s="1572">
        <v>46058</v>
      </c>
      <c r="S1672" s="1572"/>
      <c r="T1672" s="1572" t="s">
        <v>567</v>
      </c>
      <c r="U1672" s="1572"/>
      <c r="V1672" s="847"/>
      <c r="W1672" s="1572">
        <v>46059</v>
      </c>
      <c r="X1672" s="1572"/>
      <c r="Y1672" s="1572" t="s">
        <v>568</v>
      </c>
      <c r="Z1672" s="1572"/>
      <c r="AA1672" s="1573" t="s">
        <v>19</v>
      </c>
      <c r="AB1672" s="1573" t="s">
        <v>20</v>
      </c>
      <c r="AC1672" s="848"/>
      <c r="AD1672" s="1572"/>
      <c r="AE1672" s="1572"/>
      <c r="AF1672" s="849" t="s">
        <v>1111</v>
      </c>
      <c r="AG1672" s="1573" t="s">
        <v>21</v>
      </c>
      <c r="AK1672" s="194" t="s">
        <v>84</v>
      </c>
      <c r="AL1672" s="366"/>
      <c r="AM1672" s="366"/>
      <c r="AN1672" s="366"/>
      <c r="AO1672" s="366"/>
      <c r="AP1672" s="366"/>
    </row>
    <row r="1673" spans="2:42">
      <c r="B1673" s="1571"/>
      <c r="C1673" s="854" t="s">
        <v>23</v>
      </c>
      <c r="D1673" s="854" t="s">
        <v>24</v>
      </c>
      <c r="E1673" s="855" t="s">
        <v>25</v>
      </c>
      <c r="F1673" s="856" t="s">
        <v>14</v>
      </c>
      <c r="G1673" s="848"/>
      <c r="H1673" s="854"/>
      <c r="I1673" s="854" t="s">
        <v>24</v>
      </c>
      <c r="J1673" s="856" t="s">
        <v>25</v>
      </c>
      <c r="K1673" s="856" t="s">
        <v>14</v>
      </c>
      <c r="L1673" s="848"/>
      <c r="M1673" s="854" t="s">
        <v>23</v>
      </c>
      <c r="N1673" s="854" t="s">
        <v>24</v>
      </c>
      <c r="O1673" s="856" t="s">
        <v>25</v>
      </c>
      <c r="P1673" s="856" t="s">
        <v>14</v>
      </c>
      <c r="Q1673" s="848"/>
      <c r="R1673" s="854" t="s">
        <v>23</v>
      </c>
      <c r="S1673" s="854" t="s">
        <v>24</v>
      </c>
      <c r="T1673" s="856" t="s">
        <v>25</v>
      </c>
      <c r="U1673" s="856" t="s">
        <v>14</v>
      </c>
      <c r="V1673" s="848"/>
      <c r="W1673" s="854" t="s">
        <v>23</v>
      </c>
      <c r="X1673" s="854" t="s">
        <v>24</v>
      </c>
      <c r="Y1673" s="856" t="s">
        <v>25</v>
      </c>
      <c r="Z1673" s="856" t="s">
        <v>14</v>
      </c>
      <c r="AA1673" s="1573"/>
      <c r="AB1673" s="1573"/>
      <c r="AC1673" s="848"/>
      <c r="AD1673" s="854" t="s">
        <v>23</v>
      </c>
      <c r="AE1673" s="854" t="s">
        <v>24</v>
      </c>
      <c r="AF1673" s="856" t="s">
        <v>25</v>
      </c>
      <c r="AG1673" s="1573"/>
      <c r="AK1673" s="188" t="s">
        <v>26</v>
      </c>
      <c r="AL1673" s="196">
        <f>AA1718</f>
        <v>92.5</v>
      </c>
      <c r="AM1673" s="510">
        <v>40.31</v>
      </c>
      <c r="AN1673" s="510">
        <f t="shared" ref="AN1673:AN1678" si="220">AL1673*AM1673</f>
        <v>3728.6750000000002</v>
      </c>
    </row>
    <row r="1674" spans="2:42">
      <c r="B1674" s="47" t="s">
        <v>515</v>
      </c>
      <c r="C1674" s="861"/>
      <c r="D1674" s="861"/>
      <c r="E1674" s="862">
        <v>0</v>
      </c>
      <c r="F1674" s="863"/>
      <c r="G1674" s="848"/>
      <c r="H1674" s="861"/>
      <c r="I1674" s="861"/>
      <c r="J1674" s="862">
        <v>0</v>
      </c>
      <c r="K1674" s="863"/>
      <c r="L1674" s="848"/>
      <c r="M1674" s="861"/>
      <c r="N1674" s="861"/>
      <c r="O1674" s="862">
        <v>0</v>
      </c>
      <c r="P1674" s="863"/>
      <c r="Q1674" s="848"/>
      <c r="R1674" s="861"/>
      <c r="S1674" s="861"/>
      <c r="T1674" s="862">
        <v>0</v>
      </c>
      <c r="U1674" s="863"/>
      <c r="V1674" s="848"/>
      <c r="W1674" s="861"/>
      <c r="X1674" s="861"/>
      <c r="Y1674" s="862">
        <v>0</v>
      </c>
      <c r="Z1674" s="863"/>
      <c r="AA1674" s="864">
        <f t="shared" ref="AA1674:AA1717" si="221">(E1674+J1674+O1674+T1674+Y1674)</f>
        <v>0</v>
      </c>
      <c r="AB1674" s="865">
        <f t="shared" ref="AB1674:AB1717" si="222">Z1674+U1674+P1674+K1674+F1674</f>
        <v>0</v>
      </c>
      <c r="AC1674" s="848"/>
      <c r="AD1674" s="851"/>
      <c r="AE1674" s="851"/>
      <c r="AF1674" s="862"/>
      <c r="AG1674" s="864">
        <f t="shared" ref="AG1674:AG1717" si="223">AF1674</f>
        <v>0</v>
      </c>
      <c r="AK1674" s="188" t="s">
        <v>30</v>
      </c>
      <c r="AL1674" s="196">
        <f>AB1718</f>
        <v>0</v>
      </c>
      <c r="AM1674" s="510">
        <v>60.465000000000003</v>
      </c>
      <c r="AN1674" s="510">
        <f t="shared" si="220"/>
        <v>0</v>
      </c>
    </row>
    <row r="1675" spans="2:42">
      <c r="B1675" s="47" t="s">
        <v>1112</v>
      </c>
      <c r="C1675" s="861">
        <v>0.35416666666666669</v>
      </c>
      <c r="D1675" s="861">
        <v>0.125</v>
      </c>
      <c r="E1675" s="862">
        <v>6.5</v>
      </c>
      <c r="F1675" s="863"/>
      <c r="G1675" s="848"/>
      <c r="H1675" s="861">
        <v>0.33333333333333331</v>
      </c>
      <c r="I1675" s="861">
        <v>0.10416666666666667</v>
      </c>
      <c r="J1675" s="862">
        <v>6.5</v>
      </c>
      <c r="K1675" s="863"/>
      <c r="L1675" s="848"/>
      <c r="M1675" s="861"/>
      <c r="N1675" s="861"/>
      <c r="O1675" s="862">
        <v>0</v>
      </c>
      <c r="P1675" s="863"/>
      <c r="Q1675" s="848"/>
      <c r="R1675" s="861">
        <v>0.35416666666666669</v>
      </c>
      <c r="S1675" s="861">
        <v>0.125</v>
      </c>
      <c r="T1675" s="862">
        <v>6.5</v>
      </c>
      <c r="U1675" s="863"/>
      <c r="V1675" s="848"/>
      <c r="W1675" s="861"/>
      <c r="X1675" s="861"/>
      <c r="Y1675" s="862">
        <v>0</v>
      </c>
      <c r="Z1675" s="863"/>
      <c r="AA1675" s="864">
        <f t="shared" si="221"/>
        <v>19.5</v>
      </c>
      <c r="AB1675" s="865">
        <f t="shared" si="222"/>
        <v>0</v>
      </c>
      <c r="AC1675" s="848"/>
      <c r="AD1675" s="861"/>
      <c r="AE1675" s="861"/>
      <c r="AF1675" s="862"/>
      <c r="AG1675" s="864">
        <f t="shared" si="223"/>
        <v>0</v>
      </c>
      <c r="AK1675" s="188" t="s">
        <v>32</v>
      </c>
      <c r="AL1675" s="196">
        <f>AG1718</f>
        <v>0</v>
      </c>
      <c r="AM1675" s="510">
        <v>60.465000000000003</v>
      </c>
      <c r="AN1675" s="510">
        <f t="shared" si="220"/>
        <v>0</v>
      </c>
    </row>
    <row r="1676" spans="2:42">
      <c r="B1676" s="47" t="s">
        <v>1141</v>
      </c>
      <c r="C1676" s="861"/>
      <c r="D1676" s="861"/>
      <c r="E1676" s="862">
        <v>0</v>
      </c>
      <c r="F1676" s="863"/>
      <c r="G1676" s="848"/>
      <c r="H1676" s="861"/>
      <c r="I1676" s="861"/>
      <c r="J1676" s="862">
        <v>0</v>
      </c>
      <c r="K1676" s="863"/>
      <c r="L1676" s="848"/>
      <c r="M1676" s="861"/>
      <c r="N1676" s="861"/>
      <c r="O1676" s="862">
        <v>0</v>
      </c>
      <c r="P1676" s="863"/>
      <c r="Q1676" s="848"/>
      <c r="R1676" s="861"/>
      <c r="S1676" s="861"/>
      <c r="T1676" s="862">
        <v>0</v>
      </c>
      <c r="U1676" s="863"/>
      <c r="V1676" s="848"/>
      <c r="W1676" s="861"/>
      <c r="X1676" s="861"/>
      <c r="Y1676" s="862">
        <v>0</v>
      </c>
      <c r="Z1676" s="863"/>
      <c r="AA1676" s="864">
        <f t="shared" si="221"/>
        <v>0</v>
      </c>
      <c r="AB1676" s="865">
        <f t="shared" si="222"/>
        <v>0</v>
      </c>
      <c r="AC1676" s="848"/>
      <c r="AD1676" s="861"/>
      <c r="AE1676" s="861"/>
      <c r="AF1676" s="862"/>
      <c r="AG1676" s="864">
        <f t="shared" si="223"/>
        <v>0</v>
      </c>
      <c r="AK1676" s="188" t="s">
        <v>213</v>
      </c>
      <c r="AL1676" s="196">
        <f>AA1721</f>
        <v>16</v>
      </c>
      <c r="AM1676" s="510">
        <v>53.05</v>
      </c>
      <c r="AN1676" s="510">
        <f t="shared" si="220"/>
        <v>848.8</v>
      </c>
    </row>
    <row r="1677" spans="2:42">
      <c r="B1677" s="47" t="s">
        <v>72</v>
      </c>
      <c r="C1677" s="861"/>
      <c r="D1677" s="861"/>
      <c r="E1677" s="862">
        <v>0</v>
      </c>
      <c r="F1677" s="863"/>
      <c r="G1677" s="848"/>
      <c r="H1677" s="861"/>
      <c r="I1677" s="861"/>
      <c r="J1677" s="862">
        <v>0</v>
      </c>
      <c r="K1677" s="863"/>
      <c r="L1677" s="848"/>
      <c r="M1677" s="861"/>
      <c r="N1677" s="861"/>
      <c r="O1677" s="862">
        <v>0</v>
      </c>
      <c r="P1677" s="863"/>
      <c r="Q1677" s="848"/>
      <c r="R1677" s="861"/>
      <c r="S1677" s="861"/>
      <c r="T1677" s="862">
        <v>0</v>
      </c>
      <c r="U1677" s="863"/>
      <c r="V1677" s="848"/>
      <c r="W1677" s="861"/>
      <c r="X1677" s="861"/>
      <c r="Y1677" s="862">
        <v>0</v>
      </c>
      <c r="Z1677" s="863"/>
      <c r="AA1677" s="864">
        <f t="shared" si="221"/>
        <v>0</v>
      </c>
      <c r="AB1677" s="865">
        <f t="shared" si="222"/>
        <v>0</v>
      </c>
      <c r="AC1677" s="848"/>
      <c r="AD1677" s="861"/>
      <c r="AE1677" s="861"/>
      <c r="AF1677" s="862"/>
      <c r="AG1677" s="864">
        <f t="shared" si="223"/>
        <v>0</v>
      </c>
      <c r="AK1677" s="188" t="s">
        <v>36</v>
      </c>
      <c r="AL1677" s="196">
        <f>AB1721</f>
        <v>0</v>
      </c>
      <c r="AM1677" s="510">
        <v>79.574999999999989</v>
      </c>
      <c r="AN1677" s="510">
        <f t="shared" si="220"/>
        <v>0</v>
      </c>
    </row>
    <row r="1678" spans="2:42">
      <c r="B1678" s="374" t="s">
        <v>998</v>
      </c>
      <c r="C1678" s="861">
        <v>0.375</v>
      </c>
      <c r="D1678" s="861">
        <v>0.25</v>
      </c>
      <c r="E1678" s="862">
        <v>8</v>
      </c>
      <c r="F1678" s="863"/>
      <c r="G1678" s="848"/>
      <c r="H1678" s="861">
        <v>0.375</v>
      </c>
      <c r="I1678" s="861">
        <v>0.25</v>
      </c>
      <c r="J1678" s="862">
        <v>8</v>
      </c>
      <c r="K1678" s="863"/>
      <c r="L1678" s="848"/>
      <c r="M1678" s="861">
        <v>0.375</v>
      </c>
      <c r="N1678" s="861">
        <v>0.25</v>
      </c>
      <c r="O1678" s="862">
        <v>8</v>
      </c>
      <c r="P1678" s="863"/>
      <c r="Q1678" s="848"/>
      <c r="R1678" s="861">
        <v>0.375</v>
      </c>
      <c r="S1678" s="861">
        <v>0.25</v>
      </c>
      <c r="T1678" s="862">
        <v>8</v>
      </c>
      <c r="U1678" s="863"/>
      <c r="V1678" s="848"/>
      <c r="W1678" s="861">
        <v>0.375</v>
      </c>
      <c r="X1678" s="861">
        <v>0.25</v>
      </c>
      <c r="Y1678" s="862">
        <v>8</v>
      </c>
      <c r="Z1678" s="863"/>
      <c r="AA1678" s="864">
        <f t="shared" si="221"/>
        <v>40</v>
      </c>
      <c r="AB1678" s="865">
        <f t="shared" si="222"/>
        <v>0</v>
      </c>
      <c r="AC1678" s="848"/>
      <c r="AD1678" s="861"/>
      <c r="AE1678" s="861"/>
      <c r="AF1678" s="862"/>
      <c r="AG1678" s="864">
        <f t="shared" si="223"/>
        <v>0</v>
      </c>
      <c r="AK1678" s="188" t="s">
        <v>38</v>
      </c>
      <c r="AL1678" s="196">
        <f>AG1721</f>
        <v>0</v>
      </c>
      <c r="AM1678" s="510">
        <v>79.574999999999989</v>
      </c>
      <c r="AN1678" s="510">
        <f t="shared" si="220"/>
        <v>0</v>
      </c>
    </row>
    <row r="1679" spans="2:42">
      <c r="B1679" s="47" t="s">
        <v>53</v>
      </c>
      <c r="C1679" s="861"/>
      <c r="D1679" s="861"/>
      <c r="E1679" s="862">
        <v>0</v>
      </c>
      <c r="F1679" s="863"/>
      <c r="G1679" s="848"/>
      <c r="H1679" s="861"/>
      <c r="I1679" s="861"/>
      <c r="J1679" s="862">
        <v>0</v>
      </c>
      <c r="K1679" s="863"/>
      <c r="L1679" s="848"/>
      <c r="M1679" s="861"/>
      <c r="N1679" s="861"/>
      <c r="O1679" s="862">
        <v>0</v>
      </c>
      <c r="P1679" s="863"/>
      <c r="Q1679" s="848"/>
      <c r="R1679" s="861"/>
      <c r="S1679" s="861"/>
      <c r="T1679" s="862">
        <v>0</v>
      </c>
      <c r="U1679" s="863"/>
      <c r="V1679" s="848"/>
      <c r="W1679" s="861"/>
      <c r="X1679" s="861"/>
      <c r="Y1679" s="862">
        <v>0</v>
      </c>
      <c r="Z1679" s="863"/>
      <c r="AA1679" s="864">
        <f t="shared" si="221"/>
        <v>0</v>
      </c>
      <c r="AB1679" s="865">
        <f t="shared" si="222"/>
        <v>0</v>
      </c>
      <c r="AC1679" s="848"/>
      <c r="AD1679" s="861"/>
      <c r="AE1679" s="861"/>
      <c r="AF1679" s="862"/>
      <c r="AG1679" s="864">
        <f t="shared" si="223"/>
        <v>0</v>
      </c>
      <c r="AN1679" s="510">
        <f>SUM(AN1673:AN1678)</f>
        <v>4577.4750000000004</v>
      </c>
    </row>
    <row r="1680" spans="2:42">
      <c r="B1680" s="47" t="s">
        <v>241</v>
      </c>
      <c r="C1680" s="861"/>
      <c r="D1680" s="861"/>
      <c r="E1680" s="862">
        <v>0</v>
      </c>
      <c r="F1680" s="863"/>
      <c r="G1680" s="848"/>
      <c r="H1680" s="861"/>
      <c r="I1680" s="861"/>
      <c r="J1680" s="862">
        <v>0</v>
      </c>
      <c r="K1680" s="863"/>
      <c r="L1680" s="848"/>
      <c r="M1680" s="861"/>
      <c r="N1680" s="861"/>
      <c r="O1680" s="862">
        <v>0</v>
      </c>
      <c r="P1680" s="863"/>
      <c r="Q1680" s="848"/>
      <c r="R1680" s="861"/>
      <c r="S1680" s="861"/>
      <c r="T1680" s="862">
        <v>0</v>
      </c>
      <c r="U1680" s="863"/>
      <c r="V1680" s="848"/>
      <c r="W1680" s="861"/>
      <c r="X1680" s="861"/>
      <c r="Y1680" s="862">
        <v>0</v>
      </c>
      <c r="Z1680" s="863"/>
      <c r="AA1680" s="864">
        <f t="shared" si="221"/>
        <v>0</v>
      </c>
      <c r="AB1680" s="865">
        <f t="shared" si="222"/>
        <v>0</v>
      </c>
      <c r="AC1680" s="848"/>
      <c r="AD1680" s="861"/>
      <c r="AE1680" s="861"/>
      <c r="AF1680" s="862"/>
      <c r="AG1680" s="864">
        <f t="shared" si="223"/>
        <v>0</v>
      </c>
    </row>
    <row r="1681" spans="2:40">
      <c r="B1681" s="47" t="s">
        <v>1142</v>
      </c>
      <c r="C1681" s="861"/>
      <c r="D1681" s="867"/>
      <c r="E1681" s="862">
        <v>0</v>
      </c>
      <c r="F1681" s="863"/>
      <c r="G1681" s="848"/>
      <c r="H1681" s="861"/>
      <c r="I1681" s="861"/>
      <c r="J1681" s="862">
        <v>0</v>
      </c>
      <c r="K1681" s="863"/>
      <c r="L1681" s="848"/>
      <c r="M1681" s="861"/>
      <c r="N1681" s="861"/>
      <c r="O1681" s="862">
        <v>0</v>
      </c>
      <c r="P1681" s="863"/>
      <c r="Q1681" s="848"/>
      <c r="R1681" s="861"/>
      <c r="S1681" s="861"/>
      <c r="T1681" s="862">
        <v>0</v>
      </c>
      <c r="U1681" s="863"/>
      <c r="V1681" s="848"/>
      <c r="W1681" s="861"/>
      <c r="X1681" s="861"/>
      <c r="Y1681" s="862">
        <v>0</v>
      </c>
      <c r="Z1681" s="863"/>
      <c r="AA1681" s="864">
        <f t="shared" si="221"/>
        <v>0</v>
      </c>
      <c r="AB1681" s="865">
        <f t="shared" si="222"/>
        <v>0</v>
      </c>
      <c r="AC1681" s="848"/>
      <c r="AD1681" s="861"/>
      <c r="AE1681" s="861"/>
      <c r="AF1681" s="862"/>
      <c r="AG1681" s="864">
        <f t="shared" si="223"/>
        <v>0</v>
      </c>
      <c r="AK1681" s="192" t="s">
        <v>1115</v>
      </c>
      <c r="AL1681" s="189">
        <f>C1722</f>
        <v>12</v>
      </c>
      <c r="AM1681" s="510">
        <v>45</v>
      </c>
      <c r="AN1681" s="510">
        <f>AM1681*AL1681</f>
        <v>540</v>
      </c>
    </row>
    <row r="1682" spans="2:40">
      <c r="B1682" s="47" t="s">
        <v>1143</v>
      </c>
      <c r="C1682" s="861"/>
      <c r="D1682" s="867"/>
      <c r="E1682" s="862">
        <v>0</v>
      </c>
      <c r="F1682" s="863"/>
      <c r="G1682" s="848"/>
      <c r="H1682" s="861"/>
      <c r="I1682" s="861"/>
      <c r="J1682" s="862">
        <v>0</v>
      </c>
      <c r="K1682" s="863"/>
      <c r="L1682" s="848"/>
      <c r="M1682" s="861"/>
      <c r="N1682" s="861"/>
      <c r="O1682" s="862">
        <v>0</v>
      </c>
      <c r="P1682" s="863"/>
      <c r="Q1682" s="848"/>
      <c r="R1682" s="861"/>
      <c r="S1682" s="861"/>
      <c r="T1682" s="862">
        <v>0</v>
      </c>
      <c r="U1682" s="863"/>
      <c r="V1682" s="848"/>
      <c r="W1682" s="861"/>
      <c r="X1682" s="861"/>
      <c r="Y1682" s="862">
        <v>0</v>
      </c>
      <c r="Z1682" s="863"/>
      <c r="AA1682" s="864">
        <f t="shared" si="221"/>
        <v>0</v>
      </c>
      <c r="AB1682" s="865">
        <f t="shared" si="222"/>
        <v>0</v>
      </c>
      <c r="AC1682" s="848"/>
      <c r="AD1682" s="861"/>
      <c r="AE1682" s="861"/>
      <c r="AF1682" s="862"/>
      <c r="AG1682" s="864">
        <f t="shared" si="223"/>
        <v>0</v>
      </c>
      <c r="AK1682" s="192"/>
      <c r="AL1682" s="189"/>
      <c r="AM1682" s="510"/>
      <c r="AN1682" s="510"/>
    </row>
    <row r="1683" spans="2:40">
      <c r="B1683" s="47" t="s">
        <v>1144</v>
      </c>
      <c r="C1683" s="861"/>
      <c r="D1683" s="867"/>
      <c r="E1683" s="862">
        <v>0</v>
      </c>
      <c r="F1683" s="863"/>
      <c r="G1683" s="848"/>
      <c r="H1683" s="861"/>
      <c r="I1683" s="861"/>
      <c r="J1683" s="862">
        <v>0</v>
      </c>
      <c r="K1683" s="863"/>
      <c r="L1683" s="848"/>
      <c r="M1683" s="861"/>
      <c r="N1683" s="861"/>
      <c r="O1683" s="862">
        <v>0</v>
      </c>
      <c r="P1683" s="863"/>
      <c r="Q1683" s="848"/>
      <c r="R1683" s="861"/>
      <c r="S1683" s="861"/>
      <c r="T1683" s="862">
        <v>0</v>
      </c>
      <c r="U1683" s="863"/>
      <c r="V1683" s="848"/>
      <c r="W1683" s="861"/>
      <c r="X1683" s="861"/>
      <c r="Y1683" s="862">
        <v>0</v>
      </c>
      <c r="Z1683" s="863"/>
      <c r="AA1683" s="864">
        <f t="shared" si="221"/>
        <v>0</v>
      </c>
      <c r="AB1683" s="865">
        <f t="shared" si="222"/>
        <v>0</v>
      </c>
      <c r="AC1683" s="848"/>
      <c r="AD1683" s="861"/>
      <c r="AE1683" s="861"/>
      <c r="AF1683" s="862"/>
      <c r="AG1683" s="864">
        <f t="shared" si="223"/>
        <v>0</v>
      </c>
      <c r="AK1683" s="192"/>
      <c r="AL1683" s="189"/>
      <c r="AM1683" s="510"/>
      <c r="AN1683" s="510"/>
    </row>
    <row r="1684" spans="2:40">
      <c r="B1684" s="47" t="s">
        <v>1113</v>
      </c>
      <c r="C1684" s="861"/>
      <c r="D1684" s="861"/>
      <c r="E1684" s="862">
        <v>0</v>
      </c>
      <c r="F1684" s="863"/>
      <c r="G1684" s="848"/>
      <c r="H1684" s="861"/>
      <c r="I1684" s="861"/>
      <c r="J1684" s="862">
        <v>0</v>
      </c>
      <c r="K1684" s="863"/>
      <c r="L1684" s="848"/>
      <c r="M1684" s="861"/>
      <c r="N1684" s="861"/>
      <c r="O1684" s="862">
        <v>0</v>
      </c>
      <c r="P1684" s="863"/>
      <c r="Q1684" s="848"/>
      <c r="R1684" s="861"/>
      <c r="S1684" s="861"/>
      <c r="T1684" s="862">
        <v>0</v>
      </c>
      <c r="U1684" s="863"/>
      <c r="V1684" s="848"/>
      <c r="W1684" s="861"/>
      <c r="X1684" s="861"/>
      <c r="Y1684" s="862">
        <v>0</v>
      </c>
      <c r="Z1684" s="863"/>
      <c r="AA1684" s="864">
        <f t="shared" si="221"/>
        <v>0</v>
      </c>
      <c r="AB1684" s="865">
        <f t="shared" si="222"/>
        <v>0</v>
      </c>
      <c r="AC1684" s="848"/>
      <c r="AD1684" s="861"/>
      <c r="AE1684" s="861"/>
      <c r="AF1684" s="862"/>
      <c r="AG1684" s="864">
        <f t="shared" si="223"/>
        <v>0</v>
      </c>
    </row>
    <row r="1685" spans="2:40">
      <c r="B1685" s="1306" t="s">
        <v>1145</v>
      </c>
      <c r="C1685" s="861"/>
      <c r="D1685" s="861"/>
      <c r="E1685" s="862">
        <v>0</v>
      </c>
      <c r="F1685" s="863"/>
      <c r="G1685" s="848"/>
      <c r="H1685" s="861"/>
      <c r="I1685" s="861"/>
      <c r="J1685" s="862">
        <v>0</v>
      </c>
      <c r="K1685" s="863"/>
      <c r="L1685" s="848"/>
      <c r="M1685" s="861"/>
      <c r="N1685" s="861"/>
      <c r="O1685" s="862">
        <v>0</v>
      </c>
      <c r="P1685" s="863"/>
      <c r="Q1685" s="848"/>
      <c r="R1685" s="861"/>
      <c r="S1685" s="861"/>
      <c r="T1685" s="862">
        <v>0</v>
      </c>
      <c r="U1685" s="863"/>
      <c r="V1685" s="848"/>
      <c r="W1685" s="861"/>
      <c r="X1685" s="861"/>
      <c r="Y1685" s="862">
        <v>0</v>
      </c>
      <c r="Z1685" s="863"/>
      <c r="AA1685" s="864">
        <f t="shared" si="221"/>
        <v>0</v>
      </c>
      <c r="AB1685" s="865">
        <f t="shared" si="222"/>
        <v>0</v>
      </c>
      <c r="AC1685" s="848"/>
      <c r="AD1685" s="861"/>
      <c r="AE1685" s="861"/>
      <c r="AF1685" s="862"/>
      <c r="AG1685" s="864">
        <f t="shared" si="223"/>
        <v>0</v>
      </c>
    </row>
    <row r="1686" spans="2:40">
      <c r="B1686" s="1306" t="s">
        <v>1146</v>
      </c>
      <c r="C1686" s="861"/>
      <c r="D1686" s="861"/>
      <c r="E1686" s="862">
        <v>0</v>
      </c>
      <c r="F1686" s="863"/>
      <c r="G1686" s="848"/>
      <c r="H1686" s="861"/>
      <c r="I1686" s="861"/>
      <c r="J1686" s="862">
        <v>0</v>
      </c>
      <c r="K1686" s="863"/>
      <c r="L1686" s="848"/>
      <c r="M1686" s="861"/>
      <c r="N1686" s="861"/>
      <c r="O1686" s="862">
        <v>0</v>
      </c>
      <c r="P1686" s="863"/>
      <c r="Q1686" s="848"/>
      <c r="R1686" s="861"/>
      <c r="S1686" s="861"/>
      <c r="T1686" s="862">
        <v>0</v>
      </c>
      <c r="U1686" s="863"/>
      <c r="V1686" s="848"/>
      <c r="W1686" s="861"/>
      <c r="X1686" s="861"/>
      <c r="Y1686" s="862">
        <v>0</v>
      </c>
      <c r="Z1686" s="863"/>
      <c r="AA1686" s="864">
        <f t="shared" si="221"/>
        <v>0</v>
      </c>
      <c r="AB1686" s="865">
        <f t="shared" si="222"/>
        <v>0</v>
      </c>
      <c r="AC1686" s="848"/>
      <c r="AD1686" s="861"/>
      <c r="AE1686" s="861"/>
      <c r="AF1686" s="862"/>
      <c r="AG1686" s="864">
        <f t="shared" si="223"/>
        <v>0</v>
      </c>
    </row>
    <row r="1687" spans="2:40">
      <c r="B1687" s="1306" t="s">
        <v>1147</v>
      </c>
      <c r="C1687" s="861"/>
      <c r="D1687" s="861"/>
      <c r="E1687" s="862">
        <v>0</v>
      </c>
      <c r="F1687" s="863"/>
      <c r="G1687" s="848"/>
      <c r="H1687" s="861"/>
      <c r="I1687" s="861"/>
      <c r="J1687" s="862">
        <v>0</v>
      </c>
      <c r="K1687" s="863"/>
      <c r="L1687" s="848"/>
      <c r="M1687" s="861"/>
      <c r="N1687" s="861"/>
      <c r="O1687" s="862">
        <v>0</v>
      </c>
      <c r="P1687" s="863"/>
      <c r="Q1687" s="848"/>
      <c r="R1687" s="861"/>
      <c r="S1687" s="861"/>
      <c r="T1687" s="862">
        <v>0</v>
      </c>
      <c r="U1687" s="863"/>
      <c r="V1687" s="848"/>
      <c r="W1687" s="861"/>
      <c r="X1687" s="861"/>
      <c r="Y1687" s="862">
        <v>0</v>
      </c>
      <c r="Z1687" s="863"/>
      <c r="AA1687" s="864">
        <f t="shared" si="221"/>
        <v>0</v>
      </c>
      <c r="AB1687" s="865">
        <f t="shared" si="222"/>
        <v>0</v>
      </c>
      <c r="AC1687" s="848"/>
      <c r="AD1687" s="861"/>
      <c r="AE1687" s="861"/>
      <c r="AF1687" s="862"/>
      <c r="AG1687" s="864">
        <f t="shared" si="223"/>
        <v>0</v>
      </c>
    </row>
    <row r="1688" spans="2:40">
      <c r="B1688" s="1306" t="s">
        <v>1148</v>
      </c>
      <c r="C1688" s="861"/>
      <c r="D1688" s="861"/>
      <c r="E1688" s="862">
        <v>0</v>
      </c>
      <c r="F1688" s="863"/>
      <c r="G1688" s="848"/>
      <c r="H1688" s="861"/>
      <c r="I1688" s="861"/>
      <c r="J1688" s="862">
        <v>0</v>
      </c>
      <c r="K1688" s="863"/>
      <c r="L1688" s="848"/>
      <c r="M1688" s="861"/>
      <c r="N1688" s="861"/>
      <c r="O1688" s="862">
        <v>0</v>
      </c>
      <c r="P1688" s="863"/>
      <c r="Q1688" s="848"/>
      <c r="R1688" s="861"/>
      <c r="S1688" s="861"/>
      <c r="T1688" s="862">
        <v>0</v>
      </c>
      <c r="U1688" s="863"/>
      <c r="V1688" s="848"/>
      <c r="W1688" s="861"/>
      <c r="X1688" s="861"/>
      <c r="Y1688" s="862">
        <v>0</v>
      </c>
      <c r="Z1688" s="863"/>
      <c r="AA1688" s="864">
        <f t="shared" si="221"/>
        <v>0</v>
      </c>
      <c r="AB1688" s="865">
        <f t="shared" si="222"/>
        <v>0</v>
      </c>
      <c r="AC1688" s="848"/>
      <c r="AD1688" s="861"/>
      <c r="AE1688" s="861"/>
      <c r="AF1688" s="862"/>
      <c r="AG1688" s="864">
        <f t="shared" si="223"/>
        <v>0</v>
      </c>
    </row>
    <row r="1689" spans="2:40">
      <c r="B1689" s="1306" t="s">
        <v>1149</v>
      </c>
      <c r="C1689" s="861"/>
      <c r="D1689" s="861"/>
      <c r="E1689" s="862">
        <v>0</v>
      </c>
      <c r="F1689" s="863"/>
      <c r="G1689" s="848"/>
      <c r="H1689" s="861"/>
      <c r="I1689" s="861"/>
      <c r="J1689" s="862">
        <v>0</v>
      </c>
      <c r="K1689" s="863"/>
      <c r="L1689" s="848"/>
      <c r="M1689" s="861"/>
      <c r="N1689" s="861"/>
      <c r="O1689" s="862">
        <v>0</v>
      </c>
      <c r="P1689" s="863"/>
      <c r="Q1689" s="848"/>
      <c r="R1689" s="861"/>
      <c r="S1689" s="861"/>
      <c r="T1689" s="862">
        <v>0</v>
      </c>
      <c r="U1689" s="863"/>
      <c r="V1689" s="848"/>
      <c r="W1689" s="861"/>
      <c r="X1689" s="861"/>
      <c r="Y1689" s="862">
        <v>0</v>
      </c>
      <c r="Z1689" s="863"/>
      <c r="AA1689" s="864">
        <f t="shared" si="221"/>
        <v>0</v>
      </c>
      <c r="AB1689" s="865">
        <f t="shared" si="222"/>
        <v>0</v>
      </c>
      <c r="AC1689" s="848"/>
      <c r="AD1689" s="861"/>
      <c r="AE1689" s="861"/>
      <c r="AF1689" s="862"/>
      <c r="AG1689" s="864">
        <f t="shared" si="223"/>
        <v>0</v>
      </c>
    </row>
    <row r="1690" spans="2:40">
      <c r="B1690" s="1306" t="s">
        <v>1150</v>
      </c>
      <c r="C1690" s="861"/>
      <c r="D1690" s="861"/>
      <c r="E1690" s="862">
        <v>0</v>
      </c>
      <c r="F1690" s="863"/>
      <c r="G1690" s="848"/>
      <c r="H1690" s="861"/>
      <c r="I1690" s="861"/>
      <c r="J1690" s="862">
        <v>0</v>
      </c>
      <c r="K1690" s="863"/>
      <c r="L1690" s="848"/>
      <c r="M1690" s="861"/>
      <c r="N1690" s="861"/>
      <c r="O1690" s="862">
        <v>0</v>
      </c>
      <c r="P1690" s="863"/>
      <c r="Q1690" s="848"/>
      <c r="R1690" s="861"/>
      <c r="S1690" s="861"/>
      <c r="T1690" s="862">
        <v>0</v>
      </c>
      <c r="U1690" s="863"/>
      <c r="V1690" s="848"/>
      <c r="W1690" s="861"/>
      <c r="X1690" s="861"/>
      <c r="Y1690" s="862">
        <v>0</v>
      </c>
      <c r="Z1690" s="863"/>
      <c r="AA1690" s="864">
        <f t="shared" si="221"/>
        <v>0</v>
      </c>
      <c r="AB1690" s="865">
        <f t="shared" si="222"/>
        <v>0</v>
      </c>
      <c r="AC1690" s="848"/>
      <c r="AD1690" s="861"/>
      <c r="AE1690" s="861"/>
      <c r="AF1690" s="862"/>
      <c r="AG1690" s="864">
        <f t="shared" si="223"/>
        <v>0</v>
      </c>
    </row>
    <row r="1691" spans="2:40">
      <c r="B1691" s="1306" t="s">
        <v>1151</v>
      </c>
      <c r="C1691" s="861"/>
      <c r="D1691" s="861"/>
      <c r="E1691" s="862">
        <v>0</v>
      </c>
      <c r="F1691" s="863"/>
      <c r="G1691" s="848"/>
      <c r="H1691" s="861"/>
      <c r="I1691" s="861"/>
      <c r="J1691" s="862">
        <v>0</v>
      </c>
      <c r="K1691" s="863"/>
      <c r="L1691" s="848"/>
      <c r="M1691" s="861"/>
      <c r="N1691" s="861"/>
      <c r="O1691" s="862">
        <v>0</v>
      </c>
      <c r="P1691" s="863"/>
      <c r="Q1691" s="848"/>
      <c r="R1691" s="861"/>
      <c r="S1691" s="861"/>
      <c r="T1691" s="862">
        <v>0</v>
      </c>
      <c r="U1691" s="863"/>
      <c r="V1691" s="848"/>
      <c r="W1691" s="861"/>
      <c r="X1691" s="861"/>
      <c r="Y1691" s="862">
        <v>0</v>
      </c>
      <c r="Z1691" s="863"/>
      <c r="AA1691" s="864">
        <f t="shared" si="221"/>
        <v>0</v>
      </c>
      <c r="AB1691" s="865">
        <f t="shared" si="222"/>
        <v>0</v>
      </c>
      <c r="AC1691" s="848"/>
      <c r="AD1691" s="861"/>
      <c r="AE1691" s="861"/>
      <c r="AF1691" s="862"/>
      <c r="AG1691" s="864">
        <f t="shared" si="223"/>
        <v>0</v>
      </c>
    </row>
    <row r="1692" spans="2:40">
      <c r="B1692" s="1306" t="s">
        <v>1152</v>
      </c>
      <c r="C1692" s="861"/>
      <c r="D1692" s="861"/>
      <c r="E1692" s="862">
        <v>0</v>
      </c>
      <c r="F1692" s="863"/>
      <c r="G1692" s="848"/>
      <c r="H1692" s="861"/>
      <c r="I1692" s="861"/>
      <c r="J1692" s="862">
        <v>0</v>
      </c>
      <c r="K1692" s="863"/>
      <c r="L1692" s="848"/>
      <c r="M1692" s="861"/>
      <c r="N1692" s="861"/>
      <c r="O1692" s="862">
        <v>0</v>
      </c>
      <c r="P1692" s="863"/>
      <c r="Q1692" s="848"/>
      <c r="R1692" s="861"/>
      <c r="S1692" s="861"/>
      <c r="T1692" s="862">
        <v>0</v>
      </c>
      <c r="U1692" s="863"/>
      <c r="V1692" s="848"/>
      <c r="W1692" s="861"/>
      <c r="X1692" s="861"/>
      <c r="Y1692" s="862">
        <v>0</v>
      </c>
      <c r="Z1692" s="863"/>
      <c r="AA1692" s="864">
        <f t="shared" si="221"/>
        <v>0</v>
      </c>
      <c r="AB1692" s="865">
        <f t="shared" si="222"/>
        <v>0</v>
      </c>
      <c r="AC1692" s="848"/>
      <c r="AD1692" s="861"/>
      <c r="AE1692" s="861"/>
      <c r="AF1692" s="862"/>
      <c r="AG1692" s="864">
        <f t="shared" si="223"/>
        <v>0</v>
      </c>
    </row>
    <row r="1693" spans="2:40">
      <c r="B1693" s="1306" t="s">
        <v>1153</v>
      </c>
      <c r="C1693" s="861"/>
      <c r="D1693" s="861"/>
      <c r="E1693" s="862">
        <v>0</v>
      </c>
      <c r="F1693" s="863"/>
      <c r="G1693" s="848"/>
      <c r="H1693" s="861"/>
      <c r="I1693" s="861"/>
      <c r="J1693" s="862">
        <v>0</v>
      </c>
      <c r="K1693" s="863"/>
      <c r="L1693" s="848"/>
      <c r="M1693" s="861"/>
      <c r="N1693" s="861"/>
      <c r="O1693" s="862">
        <v>0</v>
      </c>
      <c r="P1693" s="863"/>
      <c r="Q1693" s="848"/>
      <c r="R1693" s="861"/>
      <c r="S1693" s="861"/>
      <c r="T1693" s="862">
        <v>0</v>
      </c>
      <c r="U1693" s="863"/>
      <c r="V1693" s="848"/>
      <c r="W1693" s="861"/>
      <c r="X1693" s="861"/>
      <c r="Y1693" s="862">
        <v>0</v>
      </c>
      <c r="Z1693" s="863"/>
      <c r="AA1693" s="864">
        <f t="shared" si="221"/>
        <v>0</v>
      </c>
      <c r="AB1693" s="865">
        <f t="shared" si="222"/>
        <v>0</v>
      </c>
      <c r="AC1693" s="848"/>
      <c r="AD1693" s="861"/>
      <c r="AE1693" s="861"/>
      <c r="AF1693" s="862"/>
      <c r="AG1693" s="864">
        <f t="shared" si="223"/>
        <v>0</v>
      </c>
    </row>
    <row r="1694" spans="2:40">
      <c r="B1694" s="1306" t="s">
        <v>1154</v>
      </c>
      <c r="C1694" s="861"/>
      <c r="D1694" s="861"/>
      <c r="E1694" s="862">
        <v>0</v>
      </c>
      <c r="F1694" s="863"/>
      <c r="G1694" s="848"/>
      <c r="H1694" s="861"/>
      <c r="I1694" s="861"/>
      <c r="J1694" s="862">
        <v>0</v>
      </c>
      <c r="K1694" s="863"/>
      <c r="L1694" s="848"/>
      <c r="M1694" s="861"/>
      <c r="N1694" s="861"/>
      <c r="O1694" s="862">
        <v>0</v>
      </c>
      <c r="P1694" s="863"/>
      <c r="Q1694" s="848"/>
      <c r="R1694" s="861"/>
      <c r="S1694" s="861"/>
      <c r="T1694" s="862">
        <v>0</v>
      </c>
      <c r="U1694" s="863"/>
      <c r="V1694" s="848"/>
      <c r="W1694" s="861"/>
      <c r="X1694" s="861"/>
      <c r="Y1694" s="862">
        <v>0</v>
      </c>
      <c r="Z1694" s="863"/>
      <c r="AA1694" s="864">
        <f t="shared" si="221"/>
        <v>0</v>
      </c>
      <c r="AB1694" s="865">
        <f t="shared" si="222"/>
        <v>0</v>
      </c>
      <c r="AC1694" s="848"/>
      <c r="AD1694" s="861"/>
      <c r="AE1694" s="861"/>
      <c r="AF1694" s="862"/>
      <c r="AG1694" s="864">
        <f t="shared" si="223"/>
        <v>0</v>
      </c>
    </row>
    <row r="1695" spans="2:40">
      <c r="B1695" s="1306" t="s">
        <v>1155</v>
      </c>
      <c r="C1695" s="861"/>
      <c r="D1695" s="861"/>
      <c r="E1695" s="862">
        <v>0</v>
      </c>
      <c r="F1695" s="863"/>
      <c r="G1695" s="848"/>
      <c r="H1695" s="861">
        <v>0.35416666666666669</v>
      </c>
      <c r="I1695" s="861">
        <v>0.25</v>
      </c>
      <c r="J1695" s="862">
        <v>8.5</v>
      </c>
      <c r="K1695" s="863"/>
      <c r="L1695" s="848"/>
      <c r="M1695" s="861">
        <v>0.35416666666666669</v>
      </c>
      <c r="N1695" s="861">
        <v>0.25</v>
      </c>
      <c r="O1695" s="862">
        <v>8.5</v>
      </c>
      <c r="P1695" s="863"/>
      <c r="Q1695" s="848"/>
      <c r="R1695" s="861">
        <v>0.375</v>
      </c>
      <c r="S1695" s="861">
        <v>0.25</v>
      </c>
      <c r="T1695" s="862">
        <v>8</v>
      </c>
      <c r="U1695" s="863"/>
      <c r="V1695" s="848"/>
      <c r="W1695" s="861">
        <v>0.375</v>
      </c>
      <c r="X1695" s="861">
        <v>0.25</v>
      </c>
      <c r="Y1695" s="862">
        <v>8</v>
      </c>
      <c r="Z1695" s="863"/>
      <c r="AA1695" s="864">
        <f t="shared" si="221"/>
        <v>33</v>
      </c>
      <c r="AB1695" s="865">
        <f t="shared" si="222"/>
        <v>0</v>
      </c>
      <c r="AC1695" s="848"/>
      <c r="AD1695" s="861"/>
      <c r="AE1695" s="861"/>
      <c r="AF1695" s="862"/>
      <c r="AG1695" s="864">
        <f t="shared" si="223"/>
        <v>0</v>
      </c>
    </row>
    <row r="1696" spans="2:40">
      <c r="B1696" s="1306" t="s">
        <v>1156</v>
      </c>
      <c r="C1696" s="861"/>
      <c r="D1696" s="861"/>
      <c r="E1696" s="862">
        <v>0</v>
      </c>
      <c r="F1696" s="863"/>
      <c r="G1696" s="848"/>
      <c r="H1696" s="861"/>
      <c r="I1696" s="861"/>
      <c r="J1696" s="862">
        <v>0</v>
      </c>
      <c r="K1696" s="863"/>
      <c r="L1696" s="848"/>
      <c r="M1696" s="861"/>
      <c r="N1696" s="861"/>
      <c r="O1696" s="862">
        <v>0</v>
      </c>
      <c r="P1696" s="863"/>
      <c r="Q1696" s="848"/>
      <c r="R1696" s="861"/>
      <c r="S1696" s="861"/>
      <c r="T1696" s="862">
        <v>0</v>
      </c>
      <c r="U1696" s="863"/>
      <c r="V1696" s="848"/>
      <c r="W1696" s="861"/>
      <c r="X1696" s="861"/>
      <c r="Y1696" s="862">
        <v>0</v>
      </c>
      <c r="Z1696" s="863"/>
      <c r="AA1696" s="864">
        <f t="shared" si="221"/>
        <v>0</v>
      </c>
      <c r="AB1696" s="865">
        <f t="shared" si="222"/>
        <v>0</v>
      </c>
      <c r="AC1696" s="848"/>
      <c r="AD1696" s="861"/>
      <c r="AE1696" s="861"/>
      <c r="AF1696" s="862"/>
      <c r="AG1696" s="864">
        <f t="shared" si="223"/>
        <v>0</v>
      </c>
    </row>
    <row r="1697" spans="2:33">
      <c r="B1697" s="1306" t="s">
        <v>1157</v>
      </c>
      <c r="C1697" s="861"/>
      <c r="D1697" s="861"/>
      <c r="E1697" s="862">
        <v>0</v>
      </c>
      <c r="F1697" s="863"/>
      <c r="G1697" s="848"/>
      <c r="H1697" s="861"/>
      <c r="I1697" s="861"/>
      <c r="J1697" s="862">
        <v>0</v>
      </c>
      <c r="K1697" s="863"/>
      <c r="L1697" s="848"/>
      <c r="M1697" s="861"/>
      <c r="N1697" s="861"/>
      <c r="O1697" s="862">
        <v>0</v>
      </c>
      <c r="P1697" s="863"/>
      <c r="Q1697" s="848"/>
      <c r="R1697" s="861"/>
      <c r="S1697" s="861"/>
      <c r="T1697" s="862">
        <v>0</v>
      </c>
      <c r="U1697" s="863"/>
      <c r="V1697" s="848"/>
      <c r="W1697" s="861"/>
      <c r="X1697" s="861"/>
      <c r="Y1697" s="862">
        <v>0</v>
      </c>
      <c r="Z1697" s="863"/>
      <c r="AA1697" s="864">
        <f t="shared" si="221"/>
        <v>0</v>
      </c>
      <c r="AB1697" s="865">
        <f t="shared" si="222"/>
        <v>0</v>
      </c>
      <c r="AC1697" s="848"/>
      <c r="AD1697" s="861"/>
      <c r="AE1697" s="861"/>
      <c r="AF1697" s="862"/>
      <c r="AG1697" s="864">
        <f t="shared" si="223"/>
        <v>0</v>
      </c>
    </row>
    <row r="1698" spans="2:33">
      <c r="B1698" s="1306" t="s">
        <v>1158</v>
      </c>
      <c r="C1698" s="861"/>
      <c r="D1698" s="861"/>
      <c r="E1698" s="862">
        <v>0</v>
      </c>
      <c r="F1698" s="863"/>
      <c r="G1698" s="848"/>
      <c r="H1698" s="861"/>
      <c r="I1698" s="861"/>
      <c r="J1698" s="862">
        <v>0</v>
      </c>
      <c r="K1698" s="863"/>
      <c r="L1698" s="848"/>
      <c r="M1698" s="861"/>
      <c r="N1698" s="861"/>
      <c r="O1698" s="862">
        <v>0</v>
      </c>
      <c r="P1698" s="863"/>
      <c r="Q1698" s="848"/>
      <c r="R1698" s="861"/>
      <c r="S1698" s="861"/>
      <c r="T1698" s="862">
        <v>0</v>
      </c>
      <c r="U1698" s="863"/>
      <c r="V1698" s="848"/>
      <c r="W1698" s="861"/>
      <c r="X1698" s="861"/>
      <c r="Y1698" s="862">
        <v>0</v>
      </c>
      <c r="Z1698" s="863"/>
      <c r="AA1698" s="864">
        <f t="shared" si="221"/>
        <v>0</v>
      </c>
      <c r="AB1698" s="865">
        <f t="shared" si="222"/>
        <v>0</v>
      </c>
      <c r="AC1698" s="848"/>
      <c r="AD1698" s="861"/>
      <c r="AE1698" s="861"/>
      <c r="AF1698" s="862"/>
      <c r="AG1698" s="864">
        <f t="shared" si="223"/>
        <v>0</v>
      </c>
    </row>
    <row r="1699" spans="2:33">
      <c r="B1699" s="1306" t="s">
        <v>1159</v>
      </c>
      <c r="C1699" s="861"/>
      <c r="D1699" s="861"/>
      <c r="E1699" s="862">
        <v>0</v>
      </c>
      <c r="F1699" s="863"/>
      <c r="G1699" s="848"/>
      <c r="H1699" s="861"/>
      <c r="I1699" s="861"/>
      <c r="J1699" s="862">
        <v>0</v>
      </c>
      <c r="K1699" s="863"/>
      <c r="L1699" s="848"/>
      <c r="M1699" s="861"/>
      <c r="N1699" s="861"/>
      <c r="O1699" s="862">
        <v>0</v>
      </c>
      <c r="P1699" s="863"/>
      <c r="Q1699" s="848"/>
      <c r="R1699" s="861"/>
      <c r="S1699" s="861"/>
      <c r="T1699" s="862">
        <v>0</v>
      </c>
      <c r="U1699" s="863"/>
      <c r="V1699" s="848"/>
      <c r="W1699" s="861"/>
      <c r="X1699" s="861"/>
      <c r="Y1699" s="862">
        <v>0</v>
      </c>
      <c r="Z1699" s="863"/>
      <c r="AA1699" s="864">
        <f t="shared" si="221"/>
        <v>0</v>
      </c>
      <c r="AB1699" s="865">
        <f t="shared" si="222"/>
        <v>0</v>
      </c>
      <c r="AC1699" s="848"/>
      <c r="AD1699" s="861"/>
      <c r="AE1699" s="861"/>
      <c r="AF1699" s="862"/>
      <c r="AG1699" s="864">
        <f t="shared" si="223"/>
        <v>0</v>
      </c>
    </row>
    <row r="1700" spans="2:33">
      <c r="B1700" s="1306" t="s">
        <v>1160</v>
      </c>
      <c r="C1700" s="861"/>
      <c r="D1700" s="861"/>
      <c r="E1700" s="862">
        <v>0</v>
      </c>
      <c r="F1700" s="863"/>
      <c r="G1700" s="848"/>
      <c r="H1700" s="861"/>
      <c r="I1700" s="861"/>
      <c r="J1700" s="862">
        <v>0</v>
      </c>
      <c r="K1700" s="863"/>
      <c r="L1700" s="848"/>
      <c r="M1700" s="861"/>
      <c r="N1700" s="861"/>
      <c r="O1700" s="862">
        <v>0</v>
      </c>
      <c r="P1700" s="863"/>
      <c r="Q1700" s="848"/>
      <c r="R1700" s="861"/>
      <c r="S1700" s="861"/>
      <c r="T1700" s="862">
        <v>0</v>
      </c>
      <c r="U1700" s="863"/>
      <c r="V1700" s="848"/>
      <c r="W1700" s="861"/>
      <c r="X1700" s="861"/>
      <c r="Y1700" s="862">
        <v>0</v>
      </c>
      <c r="Z1700" s="863"/>
      <c r="AA1700" s="864">
        <f t="shared" si="221"/>
        <v>0</v>
      </c>
      <c r="AB1700" s="865">
        <f t="shared" si="222"/>
        <v>0</v>
      </c>
      <c r="AC1700" s="848"/>
      <c r="AD1700" s="861"/>
      <c r="AE1700" s="861"/>
      <c r="AF1700" s="862"/>
      <c r="AG1700" s="864">
        <f t="shared" si="223"/>
        <v>0</v>
      </c>
    </row>
    <row r="1701" spans="2:33">
      <c r="B1701" s="1306" t="s">
        <v>1161</v>
      </c>
      <c r="C1701" s="861"/>
      <c r="D1701" s="861"/>
      <c r="E1701" s="862">
        <v>0</v>
      </c>
      <c r="F1701" s="863"/>
      <c r="G1701" s="848"/>
      <c r="H1701" s="861"/>
      <c r="I1701" s="861"/>
      <c r="J1701" s="862">
        <v>0</v>
      </c>
      <c r="K1701" s="863"/>
      <c r="L1701" s="848"/>
      <c r="M1701" s="861"/>
      <c r="N1701" s="861"/>
      <c r="O1701" s="862">
        <v>0</v>
      </c>
      <c r="P1701" s="863"/>
      <c r="Q1701" s="848"/>
      <c r="R1701" s="861"/>
      <c r="S1701" s="861"/>
      <c r="T1701" s="862">
        <v>0</v>
      </c>
      <c r="U1701" s="863"/>
      <c r="V1701" s="848"/>
      <c r="W1701" s="861"/>
      <c r="X1701" s="861"/>
      <c r="Y1701" s="862">
        <v>0</v>
      </c>
      <c r="Z1701" s="863"/>
      <c r="AA1701" s="864">
        <f t="shared" si="221"/>
        <v>0</v>
      </c>
      <c r="AB1701" s="865">
        <f t="shared" si="222"/>
        <v>0</v>
      </c>
      <c r="AC1701" s="848"/>
      <c r="AD1701" s="861"/>
      <c r="AE1701" s="861"/>
      <c r="AF1701" s="862"/>
      <c r="AG1701" s="864">
        <f t="shared" si="223"/>
        <v>0</v>
      </c>
    </row>
    <row r="1702" spans="2:33">
      <c r="B1702" s="1306" t="s">
        <v>1162</v>
      </c>
      <c r="C1702" s="861"/>
      <c r="D1702" s="861"/>
      <c r="E1702" s="862">
        <v>0</v>
      </c>
      <c r="F1702" s="863"/>
      <c r="G1702" s="848"/>
      <c r="H1702" s="861"/>
      <c r="I1702" s="861"/>
      <c r="J1702" s="862">
        <v>0</v>
      </c>
      <c r="K1702" s="863"/>
      <c r="L1702" s="848"/>
      <c r="M1702" s="861"/>
      <c r="N1702" s="861"/>
      <c r="O1702" s="862">
        <v>0</v>
      </c>
      <c r="P1702" s="863"/>
      <c r="Q1702" s="848"/>
      <c r="R1702" s="861"/>
      <c r="S1702" s="861"/>
      <c r="T1702" s="862">
        <v>0</v>
      </c>
      <c r="U1702" s="863"/>
      <c r="V1702" s="848"/>
      <c r="W1702" s="861"/>
      <c r="X1702" s="861"/>
      <c r="Y1702" s="862">
        <v>0</v>
      </c>
      <c r="Z1702" s="863"/>
      <c r="AA1702" s="864">
        <f t="shared" si="221"/>
        <v>0</v>
      </c>
      <c r="AB1702" s="865">
        <f t="shared" si="222"/>
        <v>0</v>
      </c>
      <c r="AC1702" s="848"/>
      <c r="AD1702" s="861"/>
      <c r="AE1702" s="861"/>
      <c r="AF1702" s="862"/>
      <c r="AG1702" s="864">
        <f t="shared" si="223"/>
        <v>0</v>
      </c>
    </row>
    <row r="1703" spans="2:33">
      <c r="B1703" s="1306" t="s">
        <v>1163</v>
      </c>
      <c r="C1703" s="861"/>
      <c r="D1703" s="861"/>
      <c r="E1703" s="862">
        <v>0</v>
      </c>
      <c r="F1703" s="863"/>
      <c r="G1703" s="848"/>
      <c r="H1703" s="861"/>
      <c r="I1703" s="861"/>
      <c r="J1703" s="862">
        <v>0</v>
      </c>
      <c r="K1703" s="863"/>
      <c r="L1703" s="848"/>
      <c r="M1703" s="861"/>
      <c r="N1703" s="861"/>
      <c r="O1703" s="862">
        <v>0</v>
      </c>
      <c r="P1703" s="863"/>
      <c r="Q1703" s="848"/>
      <c r="R1703" s="861"/>
      <c r="S1703" s="861"/>
      <c r="T1703" s="862">
        <v>0</v>
      </c>
      <c r="U1703" s="863"/>
      <c r="V1703" s="848"/>
      <c r="W1703" s="861"/>
      <c r="X1703" s="861"/>
      <c r="Y1703" s="862">
        <v>0</v>
      </c>
      <c r="Z1703" s="863"/>
      <c r="AA1703" s="864">
        <f t="shared" si="221"/>
        <v>0</v>
      </c>
      <c r="AB1703" s="865">
        <f t="shared" si="222"/>
        <v>0</v>
      </c>
      <c r="AC1703" s="848"/>
      <c r="AD1703" s="861"/>
      <c r="AE1703" s="861"/>
      <c r="AF1703" s="862"/>
      <c r="AG1703" s="864">
        <f t="shared" si="223"/>
        <v>0</v>
      </c>
    </row>
    <row r="1704" spans="2:33">
      <c r="B1704" s="1306" t="s">
        <v>1164</v>
      </c>
      <c r="C1704" s="861"/>
      <c r="D1704" s="861"/>
      <c r="E1704" s="862">
        <v>0</v>
      </c>
      <c r="F1704" s="863"/>
      <c r="G1704" s="848"/>
      <c r="H1704" s="861"/>
      <c r="I1704" s="861"/>
      <c r="J1704" s="862">
        <v>0</v>
      </c>
      <c r="K1704" s="863"/>
      <c r="L1704" s="848"/>
      <c r="M1704" s="861"/>
      <c r="N1704" s="861"/>
      <c r="O1704" s="862">
        <v>0</v>
      </c>
      <c r="P1704" s="863"/>
      <c r="Q1704" s="848"/>
      <c r="R1704" s="861"/>
      <c r="S1704" s="861"/>
      <c r="T1704" s="862">
        <v>0</v>
      </c>
      <c r="U1704" s="863"/>
      <c r="V1704" s="848"/>
      <c r="W1704" s="861"/>
      <c r="X1704" s="861"/>
      <c r="Y1704" s="862">
        <v>0</v>
      </c>
      <c r="Z1704" s="863"/>
      <c r="AA1704" s="864">
        <f t="shared" si="221"/>
        <v>0</v>
      </c>
      <c r="AB1704" s="865">
        <f t="shared" si="222"/>
        <v>0</v>
      </c>
      <c r="AC1704" s="848"/>
      <c r="AD1704" s="861"/>
      <c r="AE1704" s="861"/>
      <c r="AF1704" s="862"/>
      <c r="AG1704" s="864">
        <f t="shared" si="223"/>
        <v>0</v>
      </c>
    </row>
    <row r="1705" spans="2:33">
      <c r="B1705" s="1306" t="s">
        <v>1165</v>
      </c>
      <c r="C1705" s="861"/>
      <c r="D1705" s="861"/>
      <c r="E1705" s="862">
        <v>0</v>
      </c>
      <c r="F1705" s="863"/>
      <c r="G1705" s="848"/>
      <c r="H1705" s="861"/>
      <c r="I1705" s="861"/>
      <c r="J1705" s="862">
        <v>0</v>
      </c>
      <c r="K1705" s="863"/>
      <c r="L1705" s="848"/>
      <c r="M1705" s="861"/>
      <c r="N1705" s="861"/>
      <c r="O1705" s="862">
        <v>0</v>
      </c>
      <c r="P1705" s="863"/>
      <c r="Q1705" s="848"/>
      <c r="R1705" s="861"/>
      <c r="S1705" s="861"/>
      <c r="T1705" s="862">
        <v>0</v>
      </c>
      <c r="U1705" s="863"/>
      <c r="V1705" s="848"/>
      <c r="W1705" s="861"/>
      <c r="X1705" s="861"/>
      <c r="Y1705" s="862">
        <v>0</v>
      </c>
      <c r="Z1705" s="863"/>
      <c r="AA1705" s="864">
        <f t="shared" si="221"/>
        <v>0</v>
      </c>
      <c r="AB1705" s="865">
        <f t="shared" si="222"/>
        <v>0</v>
      </c>
      <c r="AC1705" s="848"/>
      <c r="AD1705" s="861"/>
      <c r="AE1705" s="861"/>
      <c r="AF1705" s="862"/>
      <c r="AG1705" s="864">
        <f t="shared" si="223"/>
        <v>0</v>
      </c>
    </row>
    <row r="1706" spans="2:33">
      <c r="B1706" s="502" t="s">
        <v>483</v>
      </c>
      <c r="C1706" s="861"/>
      <c r="D1706" s="861"/>
      <c r="E1706" s="862">
        <v>0</v>
      </c>
      <c r="F1706" s="863"/>
      <c r="G1706" s="848"/>
      <c r="H1706" s="861"/>
      <c r="I1706" s="861"/>
      <c r="J1706" s="862">
        <v>0</v>
      </c>
      <c r="K1706" s="863"/>
      <c r="L1706" s="848"/>
      <c r="M1706" s="861"/>
      <c r="N1706" s="861"/>
      <c r="O1706" s="862">
        <v>0</v>
      </c>
      <c r="P1706" s="863"/>
      <c r="Q1706" s="848"/>
      <c r="R1706" s="861"/>
      <c r="S1706" s="861"/>
      <c r="T1706" s="862">
        <v>0</v>
      </c>
      <c r="U1706" s="863"/>
      <c r="V1706" s="848"/>
      <c r="W1706" s="861"/>
      <c r="X1706" s="861"/>
      <c r="Y1706" s="862">
        <v>0</v>
      </c>
      <c r="Z1706" s="863"/>
      <c r="AA1706" s="864">
        <f t="shared" si="221"/>
        <v>0</v>
      </c>
      <c r="AB1706" s="865">
        <f t="shared" si="222"/>
        <v>0</v>
      </c>
      <c r="AC1706" s="848"/>
      <c r="AD1706" s="861"/>
      <c r="AE1706" s="861"/>
      <c r="AF1706" s="862"/>
      <c r="AG1706" s="864">
        <f t="shared" si="223"/>
        <v>0</v>
      </c>
    </row>
    <row r="1707" spans="2:33">
      <c r="B1707" s="502" t="s">
        <v>483</v>
      </c>
      <c r="C1707" s="861"/>
      <c r="D1707" s="861"/>
      <c r="E1707" s="862">
        <v>0</v>
      </c>
      <c r="F1707" s="863"/>
      <c r="G1707" s="848"/>
      <c r="H1707" s="861"/>
      <c r="I1707" s="861"/>
      <c r="J1707" s="862">
        <v>0</v>
      </c>
      <c r="K1707" s="863"/>
      <c r="L1707" s="848"/>
      <c r="M1707" s="861"/>
      <c r="N1707" s="861"/>
      <c r="O1707" s="862">
        <v>0</v>
      </c>
      <c r="P1707" s="863"/>
      <c r="Q1707" s="848"/>
      <c r="R1707" s="861"/>
      <c r="S1707" s="861"/>
      <c r="T1707" s="862">
        <v>0</v>
      </c>
      <c r="U1707" s="863"/>
      <c r="V1707" s="848"/>
      <c r="W1707" s="861"/>
      <c r="X1707" s="861"/>
      <c r="Y1707" s="862">
        <v>0</v>
      </c>
      <c r="Z1707" s="863"/>
      <c r="AA1707" s="864">
        <f t="shared" si="221"/>
        <v>0</v>
      </c>
      <c r="AB1707" s="865">
        <f t="shared" si="222"/>
        <v>0</v>
      </c>
      <c r="AC1707" s="848"/>
      <c r="AD1707" s="861"/>
      <c r="AE1707" s="861"/>
      <c r="AF1707" s="862"/>
      <c r="AG1707" s="864">
        <f t="shared" si="223"/>
        <v>0</v>
      </c>
    </row>
    <row r="1708" spans="2:33">
      <c r="B1708" s="502" t="s">
        <v>484</v>
      </c>
      <c r="C1708" s="861"/>
      <c r="D1708" s="861"/>
      <c r="E1708" s="862">
        <v>0</v>
      </c>
      <c r="F1708" s="863"/>
      <c r="G1708" s="848"/>
      <c r="H1708" s="861"/>
      <c r="I1708" s="861"/>
      <c r="J1708" s="862">
        <v>0</v>
      </c>
      <c r="K1708" s="863"/>
      <c r="L1708" s="848"/>
      <c r="M1708" s="861"/>
      <c r="N1708" s="861"/>
      <c r="O1708" s="862">
        <v>0</v>
      </c>
      <c r="P1708" s="863"/>
      <c r="Q1708" s="848"/>
      <c r="R1708" s="861"/>
      <c r="S1708" s="861"/>
      <c r="T1708" s="862">
        <v>0</v>
      </c>
      <c r="U1708" s="863"/>
      <c r="V1708" s="848"/>
      <c r="W1708" s="861"/>
      <c r="X1708" s="861"/>
      <c r="Y1708" s="862">
        <v>0</v>
      </c>
      <c r="Z1708" s="863"/>
      <c r="AA1708" s="864">
        <f t="shared" si="221"/>
        <v>0</v>
      </c>
      <c r="AB1708" s="865">
        <f t="shared" si="222"/>
        <v>0</v>
      </c>
      <c r="AC1708" s="848"/>
      <c r="AD1708" s="861"/>
      <c r="AE1708" s="861"/>
      <c r="AF1708" s="862"/>
      <c r="AG1708" s="864">
        <f t="shared" si="223"/>
        <v>0</v>
      </c>
    </row>
    <row r="1709" spans="2:33">
      <c r="B1709" s="502" t="s">
        <v>485</v>
      </c>
      <c r="C1709" s="861"/>
      <c r="D1709" s="861"/>
      <c r="E1709" s="862">
        <v>0</v>
      </c>
      <c r="F1709" s="863"/>
      <c r="G1709" s="848"/>
      <c r="H1709" s="861"/>
      <c r="I1709" s="861"/>
      <c r="J1709" s="862">
        <v>0</v>
      </c>
      <c r="K1709" s="863"/>
      <c r="L1709" s="848"/>
      <c r="M1709" s="861"/>
      <c r="N1709" s="861"/>
      <c r="O1709" s="862">
        <v>0</v>
      </c>
      <c r="P1709" s="863"/>
      <c r="Q1709" s="848"/>
      <c r="R1709" s="861"/>
      <c r="S1709" s="861"/>
      <c r="T1709" s="862">
        <v>0</v>
      </c>
      <c r="U1709" s="863"/>
      <c r="V1709" s="848"/>
      <c r="W1709" s="861"/>
      <c r="X1709" s="861"/>
      <c r="Y1709" s="862">
        <v>0</v>
      </c>
      <c r="Z1709" s="863"/>
      <c r="AA1709" s="864">
        <f t="shared" si="221"/>
        <v>0</v>
      </c>
      <c r="AB1709" s="865">
        <f t="shared" si="222"/>
        <v>0</v>
      </c>
      <c r="AC1709" s="848"/>
      <c r="AD1709" s="861"/>
      <c r="AE1709" s="861"/>
      <c r="AF1709" s="862"/>
      <c r="AG1709" s="864">
        <f t="shared" si="223"/>
        <v>0</v>
      </c>
    </row>
    <row r="1710" spans="2:33">
      <c r="B1710" s="502" t="s">
        <v>1129</v>
      </c>
      <c r="C1710" s="861"/>
      <c r="D1710" s="861"/>
      <c r="E1710" s="862">
        <v>0</v>
      </c>
      <c r="F1710" s="863"/>
      <c r="G1710" s="848"/>
      <c r="H1710" s="861"/>
      <c r="I1710" s="861"/>
      <c r="J1710" s="862">
        <v>0</v>
      </c>
      <c r="K1710" s="863"/>
      <c r="L1710" s="848"/>
      <c r="M1710" s="861"/>
      <c r="N1710" s="861"/>
      <c r="O1710" s="862">
        <v>0</v>
      </c>
      <c r="P1710" s="863"/>
      <c r="Q1710" s="848"/>
      <c r="R1710" s="861"/>
      <c r="S1710" s="861"/>
      <c r="T1710" s="862">
        <v>0</v>
      </c>
      <c r="U1710" s="863"/>
      <c r="V1710" s="848"/>
      <c r="W1710" s="861"/>
      <c r="X1710" s="861"/>
      <c r="Y1710" s="862">
        <v>0</v>
      </c>
      <c r="Z1710" s="863"/>
      <c r="AA1710" s="864">
        <f t="shared" si="221"/>
        <v>0</v>
      </c>
      <c r="AB1710" s="865">
        <f t="shared" si="222"/>
        <v>0</v>
      </c>
      <c r="AC1710" s="848"/>
      <c r="AD1710" s="861"/>
      <c r="AE1710" s="861"/>
      <c r="AF1710" s="862"/>
      <c r="AG1710" s="864">
        <f t="shared" si="223"/>
        <v>0</v>
      </c>
    </row>
    <row r="1711" spans="2:33">
      <c r="B1711" s="267" t="s">
        <v>358</v>
      </c>
      <c r="C1711" s="861"/>
      <c r="D1711" s="861"/>
      <c r="E1711" s="862">
        <v>0</v>
      </c>
      <c r="F1711" s="863"/>
      <c r="G1711" s="848"/>
      <c r="H1711" s="861"/>
      <c r="I1711" s="861"/>
      <c r="J1711" s="862">
        <v>0</v>
      </c>
      <c r="K1711" s="863"/>
      <c r="L1711" s="872"/>
      <c r="M1711" s="861"/>
      <c r="N1711" s="861"/>
      <c r="O1711" s="862">
        <v>0</v>
      </c>
      <c r="P1711" s="863"/>
      <c r="Q1711" s="872"/>
      <c r="R1711" s="861"/>
      <c r="S1711" s="861"/>
      <c r="T1711" s="862">
        <v>0</v>
      </c>
      <c r="U1711" s="863"/>
      <c r="V1711" s="872"/>
      <c r="W1711" s="861"/>
      <c r="X1711" s="861"/>
      <c r="Y1711" s="862">
        <v>0</v>
      </c>
      <c r="Z1711" s="863"/>
      <c r="AA1711" s="864">
        <f t="shared" si="221"/>
        <v>0</v>
      </c>
      <c r="AB1711" s="865">
        <f t="shared" si="222"/>
        <v>0</v>
      </c>
      <c r="AC1711" s="848"/>
      <c r="AD1711" s="861"/>
      <c r="AE1711" s="861"/>
      <c r="AF1711" s="862"/>
      <c r="AG1711" s="864">
        <f t="shared" si="223"/>
        <v>0</v>
      </c>
    </row>
    <row r="1712" spans="2:33">
      <c r="B1712" s="267" t="s">
        <v>991</v>
      </c>
      <c r="C1712" s="861"/>
      <c r="D1712" s="861"/>
      <c r="E1712" s="862">
        <v>0</v>
      </c>
      <c r="F1712" s="863"/>
      <c r="G1712" s="848"/>
      <c r="H1712" s="861"/>
      <c r="I1712" s="861"/>
      <c r="J1712" s="862">
        <v>0</v>
      </c>
      <c r="K1712" s="863"/>
      <c r="L1712" s="872"/>
      <c r="M1712" s="861"/>
      <c r="N1712" s="861"/>
      <c r="O1712" s="862">
        <v>0</v>
      </c>
      <c r="P1712" s="863"/>
      <c r="Q1712" s="872"/>
      <c r="R1712" s="861"/>
      <c r="S1712" s="861"/>
      <c r="T1712" s="862">
        <v>0</v>
      </c>
      <c r="U1712" s="863"/>
      <c r="V1712" s="872"/>
      <c r="W1712" s="861"/>
      <c r="X1712" s="861"/>
      <c r="Y1712" s="862">
        <v>0</v>
      </c>
      <c r="Z1712" s="863"/>
      <c r="AA1712" s="864">
        <f t="shared" si="221"/>
        <v>0</v>
      </c>
      <c r="AB1712" s="865">
        <f t="shared" si="222"/>
        <v>0</v>
      </c>
      <c r="AC1712" s="848"/>
      <c r="AD1712" s="861"/>
      <c r="AE1712" s="861"/>
      <c r="AF1712" s="862"/>
      <c r="AG1712" s="864">
        <f t="shared" si="223"/>
        <v>0</v>
      </c>
    </row>
    <row r="1713" spans="2:42">
      <c r="B1713" s="267" t="s">
        <v>411</v>
      </c>
      <c r="C1713" s="861"/>
      <c r="D1713" s="861"/>
      <c r="E1713" s="862">
        <v>0</v>
      </c>
      <c r="F1713" s="863"/>
      <c r="G1713" s="848"/>
      <c r="H1713" s="861"/>
      <c r="I1713" s="861"/>
      <c r="J1713" s="862">
        <v>0</v>
      </c>
      <c r="K1713" s="863"/>
      <c r="L1713" s="872"/>
      <c r="M1713" s="861"/>
      <c r="N1713" s="861"/>
      <c r="O1713" s="862">
        <v>0</v>
      </c>
      <c r="P1713" s="863"/>
      <c r="Q1713" s="872"/>
      <c r="R1713" s="861"/>
      <c r="S1713" s="861"/>
      <c r="T1713" s="862">
        <v>0</v>
      </c>
      <c r="U1713" s="863"/>
      <c r="V1713" s="872"/>
      <c r="W1713" s="861"/>
      <c r="X1713" s="861"/>
      <c r="Y1713" s="862">
        <v>0</v>
      </c>
      <c r="Z1713" s="863"/>
      <c r="AA1713" s="864">
        <f t="shared" si="221"/>
        <v>0</v>
      </c>
      <c r="AB1713" s="865">
        <f t="shared" si="222"/>
        <v>0</v>
      </c>
      <c r="AC1713" s="848"/>
      <c r="AD1713" s="861"/>
      <c r="AE1713" s="861"/>
      <c r="AF1713" s="862"/>
      <c r="AG1713" s="864">
        <f t="shared" si="223"/>
        <v>0</v>
      </c>
    </row>
    <row r="1714" spans="2:42">
      <c r="B1714" s="267" t="s">
        <v>361</v>
      </c>
      <c r="C1714" s="861"/>
      <c r="D1714" s="861"/>
      <c r="E1714" s="862">
        <v>0</v>
      </c>
      <c r="F1714" s="863"/>
      <c r="G1714" s="848"/>
      <c r="H1714" s="861"/>
      <c r="I1714" s="861"/>
      <c r="J1714" s="862">
        <v>0</v>
      </c>
      <c r="K1714" s="863"/>
      <c r="L1714" s="872"/>
      <c r="M1714" s="861"/>
      <c r="N1714" s="861"/>
      <c r="O1714" s="862">
        <v>0</v>
      </c>
      <c r="P1714" s="863"/>
      <c r="Q1714" s="872"/>
      <c r="R1714" s="861"/>
      <c r="S1714" s="861"/>
      <c r="T1714" s="862">
        <v>0</v>
      </c>
      <c r="U1714" s="863"/>
      <c r="V1714" s="872"/>
      <c r="W1714" s="861"/>
      <c r="X1714" s="861"/>
      <c r="Y1714" s="862">
        <v>0</v>
      </c>
      <c r="Z1714" s="863"/>
      <c r="AA1714" s="864">
        <f t="shared" si="221"/>
        <v>0</v>
      </c>
      <c r="AB1714" s="865">
        <f t="shared" si="222"/>
        <v>0</v>
      </c>
      <c r="AC1714" s="848"/>
      <c r="AD1714" s="861"/>
      <c r="AE1714" s="861"/>
      <c r="AF1714" s="862"/>
      <c r="AG1714" s="864">
        <f t="shared" si="223"/>
        <v>0</v>
      </c>
    </row>
    <row r="1715" spans="2:42">
      <c r="B1715" s="267" t="s">
        <v>362</v>
      </c>
      <c r="C1715" s="861"/>
      <c r="D1715" s="873"/>
      <c r="E1715" s="862">
        <v>0</v>
      </c>
      <c r="F1715" s="863"/>
      <c r="G1715" s="848"/>
      <c r="H1715" s="861"/>
      <c r="I1715" s="873"/>
      <c r="J1715" s="862">
        <v>0</v>
      </c>
      <c r="K1715" s="863"/>
      <c r="L1715" s="872"/>
      <c r="M1715" s="861"/>
      <c r="N1715" s="873"/>
      <c r="O1715" s="862">
        <v>0</v>
      </c>
      <c r="P1715" s="863"/>
      <c r="Q1715" s="872"/>
      <c r="R1715" s="861"/>
      <c r="S1715" s="873"/>
      <c r="T1715" s="862">
        <v>0</v>
      </c>
      <c r="U1715" s="863"/>
      <c r="V1715" s="872"/>
      <c r="W1715" s="861"/>
      <c r="X1715" s="873"/>
      <c r="Y1715" s="862">
        <v>0</v>
      </c>
      <c r="Z1715" s="863"/>
      <c r="AA1715" s="864">
        <f t="shared" si="221"/>
        <v>0</v>
      </c>
      <c r="AB1715" s="865">
        <f t="shared" si="222"/>
        <v>0</v>
      </c>
      <c r="AC1715" s="848"/>
      <c r="AD1715" s="861"/>
      <c r="AE1715" s="861"/>
      <c r="AF1715" s="862"/>
      <c r="AG1715" s="864">
        <f t="shared" si="223"/>
        <v>0</v>
      </c>
    </row>
    <row r="1716" spans="2:42">
      <c r="B1716" s="437" t="s">
        <v>355</v>
      </c>
      <c r="C1716" s="861"/>
      <c r="D1716" s="861"/>
      <c r="E1716" s="862">
        <v>0</v>
      </c>
      <c r="F1716" s="863"/>
      <c r="G1716" s="848"/>
      <c r="H1716" s="861"/>
      <c r="I1716" s="861"/>
      <c r="J1716" s="862">
        <v>0</v>
      </c>
      <c r="K1716" s="863"/>
      <c r="L1716" s="872"/>
      <c r="M1716" s="861"/>
      <c r="N1716" s="861"/>
      <c r="O1716" s="862">
        <v>0</v>
      </c>
      <c r="P1716" s="863"/>
      <c r="Q1716" s="872"/>
      <c r="R1716" s="861"/>
      <c r="S1716" s="861"/>
      <c r="T1716" s="862">
        <v>0</v>
      </c>
      <c r="U1716" s="863"/>
      <c r="V1716" s="872"/>
      <c r="W1716" s="861"/>
      <c r="X1716" s="861"/>
      <c r="Y1716" s="862">
        <v>0</v>
      </c>
      <c r="Z1716" s="863"/>
      <c r="AA1716" s="864">
        <f t="shared" si="221"/>
        <v>0</v>
      </c>
      <c r="AB1716" s="865">
        <f t="shared" si="222"/>
        <v>0</v>
      </c>
      <c r="AC1716" s="848"/>
      <c r="AD1716" s="861"/>
      <c r="AE1716" s="861"/>
      <c r="AF1716" s="862"/>
      <c r="AG1716" s="864">
        <f t="shared" si="223"/>
        <v>0</v>
      </c>
    </row>
    <row r="1717" spans="2:42">
      <c r="B1717" s="437" t="s">
        <v>356</v>
      </c>
      <c r="C1717" s="875"/>
      <c r="D1717" s="875"/>
      <c r="E1717" s="862">
        <v>0</v>
      </c>
      <c r="F1717" s="863"/>
      <c r="G1717" s="872"/>
      <c r="H1717" s="873"/>
      <c r="I1717" s="873"/>
      <c r="J1717" s="862">
        <v>0</v>
      </c>
      <c r="K1717" s="863"/>
      <c r="L1717" s="872"/>
      <c r="M1717" s="873"/>
      <c r="N1717" s="873"/>
      <c r="O1717" s="862">
        <v>0</v>
      </c>
      <c r="P1717" s="863"/>
      <c r="Q1717" s="872"/>
      <c r="R1717" s="873"/>
      <c r="S1717" s="873"/>
      <c r="T1717" s="862">
        <v>0</v>
      </c>
      <c r="U1717" s="863"/>
      <c r="V1717" s="872"/>
      <c r="W1717" s="873"/>
      <c r="X1717" s="873"/>
      <c r="Y1717" s="862">
        <v>0</v>
      </c>
      <c r="Z1717" s="863"/>
      <c r="AA1717" s="864">
        <f t="shared" si="221"/>
        <v>0</v>
      </c>
      <c r="AB1717" s="865">
        <f t="shared" si="222"/>
        <v>0</v>
      </c>
      <c r="AC1717" s="848"/>
      <c r="AD1717" s="861"/>
      <c r="AE1717" s="861"/>
      <c r="AF1717" s="862"/>
      <c r="AG1717" s="864">
        <f t="shared" si="223"/>
        <v>0</v>
      </c>
    </row>
    <row r="1718" spans="2:42">
      <c r="B1718" s="31" t="s">
        <v>61</v>
      </c>
      <c r="C1718" s="876"/>
      <c r="D1718" s="876"/>
      <c r="E1718" s="877">
        <f>SUM(E1674:E1717)</f>
        <v>14.5</v>
      </c>
      <c r="F1718" s="863"/>
      <c r="G1718" s="876"/>
      <c r="H1718" s="876"/>
      <c r="I1718" s="876"/>
      <c r="J1718" s="877">
        <f>SUM(J1674:J1717)</f>
        <v>23</v>
      </c>
      <c r="K1718" s="863"/>
      <c r="L1718" s="876"/>
      <c r="M1718" s="876"/>
      <c r="N1718" s="876"/>
      <c r="O1718" s="877">
        <f>SUM(O1674:O1717)</f>
        <v>16.5</v>
      </c>
      <c r="P1718" s="863"/>
      <c r="Q1718" s="876"/>
      <c r="R1718" s="876"/>
      <c r="S1718" s="876"/>
      <c r="T1718" s="877">
        <f>SUM(T1674:T1717)</f>
        <v>22.5</v>
      </c>
      <c r="U1718" s="863"/>
      <c r="V1718" s="876"/>
      <c r="W1718" s="876"/>
      <c r="X1718" s="876"/>
      <c r="Y1718" s="877">
        <f>SUM(Y1674:Y1717)</f>
        <v>16</v>
      </c>
      <c r="Z1718" s="863"/>
      <c r="AA1718" s="864">
        <f>SUM(AA1674:AA1717)</f>
        <v>92.5</v>
      </c>
      <c r="AB1718" s="864">
        <f>SUM(AB1674:AB1717)</f>
        <v>0</v>
      </c>
      <c r="AC1718" s="848"/>
      <c r="AD1718" s="876"/>
      <c r="AE1718" s="876"/>
      <c r="AF1718" s="864">
        <f>SUM(AF1674:AF1717)</f>
        <v>0</v>
      </c>
      <c r="AG1718" s="864">
        <f>SUM(AG1674:AG1717)</f>
        <v>0</v>
      </c>
    </row>
    <row r="1719" spans="2:42">
      <c r="B1719" s="267" t="s">
        <v>1116</v>
      </c>
      <c r="C1719" s="861"/>
      <c r="D1719" s="861"/>
      <c r="E1719" s="862">
        <v>4</v>
      </c>
      <c r="F1719" s="863"/>
      <c r="G1719" s="848"/>
      <c r="H1719" s="861"/>
      <c r="I1719" s="861"/>
      <c r="J1719" s="862">
        <v>4</v>
      </c>
      <c r="K1719" s="863"/>
      <c r="L1719" s="848"/>
      <c r="M1719" s="861"/>
      <c r="N1719" s="861"/>
      <c r="O1719" s="862">
        <v>4</v>
      </c>
      <c r="P1719" s="863"/>
      <c r="Q1719" s="848"/>
      <c r="R1719" s="861"/>
      <c r="S1719" s="861"/>
      <c r="T1719" s="862">
        <v>4</v>
      </c>
      <c r="U1719" s="863"/>
      <c r="V1719" s="848"/>
      <c r="W1719" s="861"/>
      <c r="X1719" s="861"/>
      <c r="Y1719" s="862">
        <v>0</v>
      </c>
      <c r="Z1719" s="863"/>
      <c r="AA1719" s="864">
        <f>(E1719+J1719+O1719+T1719+Y1719)</f>
        <v>16</v>
      </c>
      <c r="AB1719" s="865">
        <f>Z1719+U1719+P1719+K1719+F1719</f>
        <v>0</v>
      </c>
      <c r="AC1719" s="848"/>
      <c r="AD1719" s="861"/>
      <c r="AE1719" s="861"/>
      <c r="AF1719" s="862"/>
      <c r="AG1719" s="864">
        <f>AF1719</f>
        <v>0</v>
      </c>
    </row>
    <row r="1720" spans="2:42">
      <c r="B1720" s="267" t="s">
        <v>64</v>
      </c>
      <c r="C1720" s="861"/>
      <c r="D1720" s="861"/>
      <c r="E1720" s="862">
        <v>0</v>
      </c>
      <c r="F1720" s="862"/>
      <c r="G1720" s="878"/>
      <c r="H1720" s="861"/>
      <c r="I1720" s="861"/>
      <c r="J1720" s="862">
        <v>0</v>
      </c>
      <c r="K1720" s="862"/>
      <c r="L1720" s="872"/>
      <c r="M1720" s="861"/>
      <c r="N1720" s="861"/>
      <c r="O1720" s="862">
        <v>0</v>
      </c>
      <c r="P1720" s="862"/>
      <c r="Q1720" s="872"/>
      <c r="R1720" s="861"/>
      <c r="S1720" s="861"/>
      <c r="T1720" s="862">
        <v>0</v>
      </c>
      <c r="U1720" s="862"/>
      <c r="V1720" s="872"/>
      <c r="W1720" s="861"/>
      <c r="X1720" s="861"/>
      <c r="Y1720" s="862">
        <v>0</v>
      </c>
      <c r="Z1720" s="862"/>
      <c r="AA1720" s="864">
        <f>SUM(E1720+J1720+O1720+T1720+Y1720)</f>
        <v>0</v>
      </c>
      <c r="AB1720" s="855">
        <f>Z1720+U1720+P1720+K1720+F1720</f>
        <v>0</v>
      </c>
      <c r="AC1720" s="848"/>
      <c r="AD1720" s="861" t="s">
        <v>29</v>
      </c>
      <c r="AE1720" s="861" t="s">
        <v>29</v>
      </c>
      <c r="AF1720" s="862"/>
      <c r="AG1720" s="864">
        <f>AF1720</f>
        <v>0</v>
      </c>
    </row>
    <row r="1721" spans="2:42">
      <c r="B1721" s="71" t="s">
        <v>66</v>
      </c>
      <c r="C1721" s="879"/>
      <c r="D1721" s="879"/>
      <c r="E1721" s="878"/>
      <c r="F1721" s="878"/>
      <c r="G1721" s="878"/>
      <c r="H1721" s="878"/>
      <c r="I1721" s="878"/>
      <c r="J1721" s="878"/>
      <c r="K1721" s="878"/>
      <c r="L1721" s="878"/>
      <c r="M1721" s="878"/>
      <c r="N1721" s="878"/>
      <c r="O1721" s="878"/>
      <c r="P1721" s="878"/>
      <c r="Q1721" s="878"/>
      <c r="R1721" s="878"/>
      <c r="S1721" s="878"/>
      <c r="T1721" s="878"/>
      <c r="U1721" s="878"/>
      <c r="V1721" s="878"/>
      <c r="W1721" s="878"/>
      <c r="X1721" s="878"/>
      <c r="Y1721" s="878"/>
      <c r="Z1721" s="878"/>
      <c r="AA1721" s="864">
        <f>SUM(AA1719:AA1720)</f>
        <v>16</v>
      </c>
      <c r="AB1721" s="864">
        <f>SUM(AB1720:AB1720)</f>
        <v>0</v>
      </c>
      <c r="AC1721" s="848"/>
      <c r="AD1721" s="851"/>
      <c r="AE1721" s="851"/>
      <c r="AF1721" s="851"/>
      <c r="AG1721" s="864">
        <f>SUM(AG1720:AG1720)</f>
        <v>0</v>
      </c>
      <c r="AK1721" s="407"/>
    </row>
    <row r="1722" spans="2:42">
      <c r="B1722" s="899" t="s">
        <v>67</v>
      </c>
      <c r="C1722" s="882">
        <f>C1723+C1724</f>
        <v>12</v>
      </c>
      <c r="D1722" s="882"/>
      <c r="E1722" s="883"/>
      <c r="F1722" s="883"/>
      <c r="G1722" s="882"/>
      <c r="H1722" s="883"/>
      <c r="I1722" s="883"/>
      <c r="J1722" s="883"/>
      <c r="K1722" s="883"/>
      <c r="L1722" s="882"/>
      <c r="M1722" s="882"/>
      <c r="N1722" s="882"/>
      <c r="O1722" s="882"/>
      <c r="P1722" s="883"/>
      <c r="Q1722" s="882"/>
      <c r="R1722" s="882"/>
      <c r="S1722" s="882"/>
      <c r="T1722" s="882"/>
      <c r="U1722" s="883"/>
      <c r="V1722" s="882"/>
      <c r="W1722" s="882"/>
      <c r="X1722" s="882"/>
      <c r="Y1722" s="884"/>
      <c r="Z1722" s="883"/>
      <c r="AA1722" s="885"/>
      <c r="AB1722" s="883"/>
      <c r="AC1722" s="885"/>
      <c r="AD1722" s="885"/>
      <c r="AE1722" s="885"/>
      <c r="AF1722" s="885"/>
      <c r="AG1722" s="885"/>
      <c r="AK1722" s="407"/>
    </row>
    <row r="1723" spans="2:42">
      <c r="B1723" s="904" t="s">
        <v>68</v>
      </c>
      <c r="C1723" s="882">
        <v>0</v>
      </c>
      <c r="D1723" s="882"/>
      <c r="E1723" s="883"/>
      <c r="F1723" s="883"/>
      <c r="G1723" s="882"/>
      <c r="H1723" s="883"/>
      <c r="I1723" s="883"/>
      <c r="J1723" s="883"/>
      <c r="K1723" s="883"/>
      <c r="L1723" s="882"/>
      <c r="M1723" s="882"/>
      <c r="N1723" s="882"/>
      <c r="O1723" s="882"/>
      <c r="P1723" s="883"/>
      <c r="Q1723" s="882"/>
      <c r="R1723" s="882"/>
      <c r="S1723" s="882"/>
      <c r="T1723" s="882"/>
      <c r="U1723" s="883"/>
      <c r="V1723" s="882"/>
      <c r="W1723" s="882"/>
      <c r="X1723" s="882"/>
      <c r="Y1723" s="884"/>
      <c r="Z1723" s="883"/>
      <c r="AA1723" s="885"/>
      <c r="AB1723" s="883"/>
      <c r="AC1723" s="885"/>
      <c r="AD1723" s="885"/>
      <c r="AE1723" s="885"/>
      <c r="AF1723" s="885"/>
      <c r="AG1723" s="885"/>
      <c r="AK1723" s="407"/>
    </row>
    <row r="1724" spans="2:42">
      <c r="B1724" s="904" t="s">
        <v>69</v>
      </c>
      <c r="C1724" s="882">
        <v>12</v>
      </c>
      <c r="D1724" s="882"/>
      <c r="E1724" s="883"/>
      <c r="F1724" s="883"/>
      <c r="G1724" s="882"/>
      <c r="H1724" s="883"/>
      <c r="I1724" s="883"/>
      <c r="J1724" s="883"/>
      <c r="K1724" s="883"/>
      <c r="L1724" s="882"/>
      <c r="M1724" s="882"/>
      <c r="N1724" s="882"/>
      <c r="O1724" s="882"/>
      <c r="P1724" s="883"/>
      <c r="Q1724" s="882"/>
      <c r="R1724" s="882"/>
      <c r="S1724" s="882"/>
      <c r="T1724" s="882"/>
      <c r="U1724" s="883"/>
      <c r="V1724" s="882"/>
      <c r="W1724" s="882"/>
      <c r="X1724" s="882"/>
      <c r="Y1724" s="884"/>
      <c r="Z1724" s="883"/>
      <c r="AA1724" s="885"/>
      <c r="AB1724" s="883"/>
      <c r="AC1724" s="885"/>
      <c r="AD1724" s="885"/>
      <c r="AE1724" s="885"/>
      <c r="AF1724" s="885"/>
      <c r="AG1724" s="885"/>
    </row>
    <row r="1725" spans="2:42">
      <c r="C1725" s="851"/>
      <c r="D1725" s="851"/>
      <c r="E1725" s="866"/>
      <c r="F1725" s="866"/>
      <c r="G1725" s="866"/>
      <c r="H1725" s="851"/>
      <c r="I1725" s="851"/>
      <c r="J1725" s="866"/>
      <c r="K1725" s="866"/>
      <c r="L1725" s="866"/>
      <c r="M1725" s="851"/>
      <c r="N1725" s="851"/>
      <c r="O1725" s="866"/>
      <c r="P1725" s="866"/>
      <c r="Q1725" s="848"/>
      <c r="R1725" s="851"/>
      <c r="S1725" s="851"/>
      <c r="T1725" s="866"/>
      <c r="U1725" s="866"/>
      <c r="V1725" s="848"/>
      <c r="W1725" s="851"/>
      <c r="X1725" s="851"/>
      <c r="Y1725" s="866"/>
      <c r="Z1725" s="866"/>
      <c r="AA1725" s="866"/>
      <c r="AB1725" s="866"/>
      <c r="AC1725" s="866"/>
      <c r="AD1725" s="851"/>
      <c r="AE1725" s="851"/>
      <c r="AF1725" s="851"/>
      <c r="AG1725" s="851"/>
    </row>
    <row r="1726" spans="2:42">
      <c r="C1726" s="851"/>
      <c r="D1726" s="851"/>
      <c r="E1726" s="866"/>
      <c r="F1726" s="866"/>
      <c r="G1726" s="866"/>
      <c r="H1726" s="851"/>
      <c r="I1726" s="851"/>
      <c r="J1726" s="866"/>
      <c r="K1726" s="866"/>
      <c r="L1726" s="866"/>
      <c r="M1726" s="851"/>
      <c r="N1726" s="851"/>
      <c r="O1726" s="866"/>
      <c r="P1726" s="866"/>
      <c r="Q1726" s="848"/>
      <c r="R1726" s="851"/>
      <c r="S1726" s="851"/>
      <c r="T1726" s="866"/>
      <c r="U1726" s="866"/>
      <c r="V1726" s="848"/>
      <c r="W1726" s="851"/>
      <c r="X1726" s="851"/>
      <c r="Y1726" s="866"/>
      <c r="Z1726" s="866"/>
      <c r="AA1726" s="866"/>
      <c r="AB1726" s="866"/>
      <c r="AC1726" s="866"/>
      <c r="AD1726" s="851"/>
      <c r="AE1726" s="851"/>
      <c r="AF1726" s="851"/>
      <c r="AG1726" s="851"/>
    </row>
    <row r="1727" spans="2:42" ht="25.5">
      <c r="B1727" s="1571"/>
      <c r="C1727" s="1572">
        <v>46062</v>
      </c>
      <c r="D1727" s="1572"/>
      <c r="E1727" s="1572" t="s">
        <v>564</v>
      </c>
      <c r="F1727" s="1572"/>
      <c r="G1727" s="847"/>
      <c r="H1727" s="1572">
        <v>46063</v>
      </c>
      <c r="I1727" s="1572"/>
      <c r="J1727" s="1572" t="s">
        <v>565</v>
      </c>
      <c r="K1727" s="1572"/>
      <c r="L1727" s="847"/>
      <c r="M1727" s="1572">
        <v>46064</v>
      </c>
      <c r="N1727" s="1572"/>
      <c r="O1727" s="1572" t="s">
        <v>566</v>
      </c>
      <c r="P1727" s="1572"/>
      <c r="Q1727" s="847"/>
      <c r="R1727" s="1572">
        <v>46065</v>
      </c>
      <c r="S1727" s="1572"/>
      <c r="T1727" s="1572" t="s">
        <v>567</v>
      </c>
      <c r="U1727" s="1572"/>
      <c r="V1727" s="847"/>
      <c r="W1727" s="1572">
        <v>46066</v>
      </c>
      <c r="X1727" s="1572"/>
      <c r="Y1727" s="1572" t="s">
        <v>568</v>
      </c>
      <c r="Z1727" s="1572"/>
      <c r="AA1727" s="1573" t="s">
        <v>19</v>
      </c>
      <c r="AB1727" s="1573" t="s">
        <v>20</v>
      </c>
      <c r="AC1727" s="848"/>
      <c r="AD1727" s="1572"/>
      <c r="AE1727" s="1572"/>
      <c r="AF1727" s="849" t="s">
        <v>1111</v>
      </c>
      <c r="AG1727" s="1573" t="s">
        <v>21</v>
      </c>
      <c r="AK1727" s="194" t="s">
        <v>84</v>
      </c>
      <c r="AL1727" s="366"/>
      <c r="AM1727" s="366"/>
      <c r="AN1727" s="366"/>
      <c r="AO1727" s="366"/>
      <c r="AP1727" s="366"/>
    </row>
    <row r="1728" spans="2:42">
      <c r="B1728" s="1571"/>
      <c r="C1728" s="854" t="s">
        <v>23</v>
      </c>
      <c r="D1728" s="854" t="s">
        <v>24</v>
      </c>
      <c r="E1728" s="855" t="s">
        <v>25</v>
      </c>
      <c r="F1728" s="856" t="s">
        <v>14</v>
      </c>
      <c r="G1728" s="848"/>
      <c r="H1728" s="854" t="s">
        <v>23</v>
      </c>
      <c r="I1728" s="854" t="s">
        <v>24</v>
      </c>
      <c r="J1728" s="856" t="s">
        <v>25</v>
      </c>
      <c r="K1728" s="856" t="s">
        <v>14</v>
      </c>
      <c r="L1728" s="848"/>
      <c r="M1728" s="854" t="s">
        <v>23</v>
      </c>
      <c r="N1728" s="854" t="s">
        <v>24</v>
      </c>
      <c r="O1728" s="856" t="s">
        <v>25</v>
      </c>
      <c r="P1728" s="856" t="s">
        <v>14</v>
      </c>
      <c r="Q1728" s="848"/>
      <c r="R1728" s="854" t="s">
        <v>23</v>
      </c>
      <c r="S1728" s="854" t="s">
        <v>24</v>
      </c>
      <c r="T1728" s="856" t="s">
        <v>25</v>
      </c>
      <c r="U1728" s="856" t="s">
        <v>14</v>
      </c>
      <c r="V1728" s="848"/>
      <c r="W1728" s="854" t="s">
        <v>23</v>
      </c>
      <c r="X1728" s="854" t="s">
        <v>24</v>
      </c>
      <c r="Y1728" s="856" t="s">
        <v>25</v>
      </c>
      <c r="Z1728" s="856" t="s">
        <v>14</v>
      </c>
      <c r="AA1728" s="1573"/>
      <c r="AB1728" s="1573"/>
      <c r="AC1728" s="848"/>
      <c r="AD1728" s="854" t="s">
        <v>23</v>
      </c>
      <c r="AE1728" s="854" t="s">
        <v>24</v>
      </c>
      <c r="AF1728" s="856" t="s">
        <v>25</v>
      </c>
      <c r="AG1728" s="1573"/>
      <c r="AK1728" s="188" t="s">
        <v>26</v>
      </c>
      <c r="AL1728" s="196">
        <f>AA1773</f>
        <v>63</v>
      </c>
      <c r="AM1728" s="510">
        <v>40.31</v>
      </c>
      <c r="AN1728" s="510">
        <f t="shared" ref="AN1728:AN1733" si="224">AL1728*AM1728</f>
        <v>2539.5300000000002</v>
      </c>
    </row>
    <row r="1729" spans="2:40">
      <c r="B1729" s="47" t="s">
        <v>515</v>
      </c>
      <c r="C1729" s="861"/>
      <c r="D1729" s="861"/>
      <c r="E1729" s="862">
        <v>0</v>
      </c>
      <c r="F1729" s="863"/>
      <c r="G1729" s="848"/>
      <c r="H1729" s="861"/>
      <c r="I1729" s="861"/>
      <c r="J1729" s="862">
        <v>0</v>
      </c>
      <c r="K1729" s="863"/>
      <c r="L1729" s="848"/>
      <c r="M1729" s="861"/>
      <c r="N1729" s="861"/>
      <c r="O1729" s="862">
        <v>0</v>
      </c>
      <c r="P1729" s="863"/>
      <c r="Q1729" s="848"/>
      <c r="R1729" s="861"/>
      <c r="S1729" s="861"/>
      <c r="T1729" s="862">
        <v>0</v>
      </c>
      <c r="U1729" s="863"/>
      <c r="V1729" s="848"/>
      <c r="W1729" s="861"/>
      <c r="X1729" s="861"/>
      <c r="Y1729" s="862">
        <v>0</v>
      </c>
      <c r="Z1729" s="863"/>
      <c r="AA1729" s="864">
        <f t="shared" ref="AA1729:AA1772" si="225">(E1729+J1729+O1729+T1729+Y1729)</f>
        <v>0</v>
      </c>
      <c r="AB1729" s="865">
        <f t="shared" ref="AB1729:AB1772" si="226">Z1729+U1729+P1729+K1729+F1729</f>
        <v>0</v>
      </c>
      <c r="AC1729" s="848"/>
      <c r="AD1729" s="851"/>
      <c r="AE1729" s="851"/>
      <c r="AF1729" s="862"/>
      <c r="AG1729" s="864">
        <f t="shared" ref="AG1729:AG1772" si="227">AF1729</f>
        <v>0</v>
      </c>
      <c r="AK1729" s="188" t="s">
        <v>30</v>
      </c>
      <c r="AL1729" s="196">
        <f>AB1773</f>
        <v>0</v>
      </c>
      <c r="AM1729" s="510">
        <v>60.465000000000003</v>
      </c>
      <c r="AN1729" s="510">
        <f t="shared" si="224"/>
        <v>0</v>
      </c>
    </row>
    <row r="1730" spans="2:40">
      <c r="B1730" s="47" t="s">
        <v>1112</v>
      </c>
      <c r="C1730" s="861"/>
      <c r="D1730" s="861"/>
      <c r="E1730" s="862">
        <v>0</v>
      </c>
      <c r="F1730" s="863"/>
      <c r="G1730" s="848"/>
      <c r="H1730" s="861">
        <v>0.35416666666666669</v>
      </c>
      <c r="I1730" s="861">
        <v>0.125</v>
      </c>
      <c r="J1730" s="862">
        <v>6.5</v>
      </c>
      <c r="K1730" s="863"/>
      <c r="L1730" s="848"/>
      <c r="M1730" s="861">
        <v>0.33333333333333331</v>
      </c>
      <c r="N1730" s="861">
        <v>0.125</v>
      </c>
      <c r="O1730" s="862">
        <v>6.5</v>
      </c>
      <c r="P1730" s="863"/>
      <c r="Q1730" s="848"/>
      <c r="R1730" s="861"/>
      <c r="S1730" s="861"/>
      <c r="T1730" s="862">
        <v>0</v>
      </c>
      <c r="U1730" s="863"/>
      <c r="V1730" s="848"/>
      <c r="W1730" s="861">
        <v>0.35416666666666669</v>
      </c>
      <c r="X1730" s="861">
        <v>0.125</v>
      </c>
      <c r="Y1730" s="862">
        <v>6.5</v>
      </c>
      <c r="Z1730" s="863"/>
      <c r="AA1730" s="864">
        <f t="shared" si="225"/>
        <v>19.5</v>
      </c>
      <c r="AB1730" s="865">
        <f t="shared" si="226"/>
        <v>0</v>
      </c>
      <c r="AC1730" s="848"/>
      <c r="AD1730" s="861"/>
      <c r="AE1730" s="861"/>
      <c r="AF1730" s="862"/>
      <c r="AG1730" s="864">
        <f t="shared" si="227"/>
        <v>0</v>
      </c>
      <c r="AK1730" s="188" t="s">
        <v>32</v>
      </c>
      <c r="AL1730" s="196">
        <f>AG1773</f>
        <v>0</v>
      </c>
      <c r="AM1730" s="510">
        <v>60.465000000000003</v>
      </c>
      <c r="AN1730" s="510">
        <f t="shared" si="224"/>
        <v>0</v>
      </c>
    </row>
    <row r="1731" spans="2:40">
      <c r="B1731" s="47" t="s">
        <v>1141</v>
      </c>
      <c r="C1731" s="861"/>
      <c r="D1731" s="861"/>
      <c r="E1731" s="862">
        <v>0</v>
      </c>
      <c r="F1731" s="863"/>
      <c r="G1731" s="848"/>
      <c r="H1731" s="861"/>
      <c r="I1731" s="861"/>
      <c r="J1731" s="862">
        <v>0</v>
      </c>
      <c r="K1731" s="863"/>
      <c r="L1731" s="848"/>
      <c r="M1731" s="861"/>
      <c r="N1731" s="861"/>
      <c r="O1731" s="862">
        <v>0</v>
      </c>
      <c r="P1731" s="863"/>
      <c r="Q1731" s="848"/>
      <c r="R1731" s="861"/>
      <c r="S1731" s="861"/>
      <c r="T1731" s="862">
        <v>0</v>
      </c>
      <c r="U1731" s="863"/>
      <c r="V1731" s="848"/>
      <c r="W1731" s="861"/>
      <c r="X1731" s="861"/>
      <c r="Y1731" s="862">
        <v>0</v>
      </c>
      <c r="Z1731" s="863"/>
      <c r="AA1731" s="864">
        <f t="shared" si="225"/>
        <v>0</v>
      </c>
      <c r="AB1731" s="865">
        <f t="shared" si="226"/>
        <v>0</v>
      </c>
      <c r="AC1731" s="848"/>
      <c r="AD1731" s="861"/>
      <c r="AE1731" s="861"/>
      <c r="AF1731" s="862"/>
      <c r="AG1731" s="864">
        <f t="shared" si="227"/>
        <v>0</v>
      </c>
      <c r="AK1731" s="188" t="s">
        <v>213</v>
      </c>
      <c r="AL1731" s="196">
        <f>AA1776</f>
        <v>16</v>
      </c>
      <c r="AM1731" s="510">
        <v>53.05</v>
      </c>
      <c r="AN1731" s="510">
        <f t="shared" si="224"/>
        <v>848.8</v>
      </c>
    </row>
    <row r="1732" spans="2:40">
      <c r="B1732" s="47" t="s">
        <v>72</v>
      </c>
      <c r="C1732" s="861"/>
      <c r="D1732" s="861"/>
      <c r="E1732" s="862">
        <v>0</v>
      </c>
      <c r="F1732" s="863"/>
      <c r="G1732" s="848"/>
      <c r="H1732" s="861"/>
      <c r="I1732" s="861"/>
      <c r="J1732" s="862">
        <v>0</v>
      </c>
      <c r="K1732" s="863"/>
      <c r="L1732" s="848"/>
      <c r="M1732" s="861"/>
      <c r="N1732" s="861"/>
      <c r="O1732" s="862">
        <v>0</v>
      </c>
      <c r="P1732" s="863"/>
      <c r="Q1732" s="848"/>
      <c r="R1732" s="861"/>
      <c r="S1732" s="861"/>
      <c r="T1732" s="862">
        <v>0</v>
      </c>
      <c r="U1732" s="863"/>
      <c r="V1732" s="848"/>
      <c r="W1732" s="861"/>
      <c r="X1732" s="861"/>
      <c r="Y1732" s="862">
        <v>0</v>
      </c>
      <c r="Z1732" s="863"/>
      <c r="AA1732" s="864">
        <f t="shared" si="225"/>
        <v>0</v>
      </c>
      <c r="AB1732" s="865">
        <f t="shared" si="226"/>
        <v>0</v>
      </c>
      <c r="AC1732" s="848"/>
      <c r="AD1732" s="861"/>
      <c r="AE1732" s="861"/>
      <c r="AF1732" s="862"/>
      <c r="AG1732" s="864">
        <f t="shared" si="227"/>
        <v>0</v>
      </c>
      <c r="AK1732" s="188" t="s">
        <v>36</v>
      </c>
      <c r="AL1732" s="196">
        <f>AB1776</f>
        <v>0</v>
      </c>
      <c r="AM1732" s="510">
        <v>79.574999999999989</v>
      </c>
      <c r="AN1732" s="510">
        <f t="shared" si="224"/>
        <v>0</v>
      </c>
    </row>
    <row r="1733" spans="2:40">
      <c r="B1733" s="374" t="s">
        <v>998</v>
      </c>
      <c r="C1733" s="861"/>
      <c r="D1733" s="861"/>
      <c r="E1733" s="862">
        <v>0</v>
      </c>
      <c r="F1733" s="863"/>
      <c r="G1733" s="848"/>
      <c r="H1733" s="861"/>
      <c r="I1733" s="861"/>
      <c r="J1733" s="862">
        <v>0</v>
      </c>
      <c r="K1733" s="863"/>
      <c r="L1733" s="848"/>
      <c r="M1733" s="861"/>
      <c r="N1733" s="861"/>
      <c r="O1733" s="862">
        <v>0</v>
      </c>
      <c r="P1733" s="863"/>
      <c r="Q1733" s="848"/>
      <c r="R1733" s="861"/>
      <c r="S1733" s="861"/>
      <c r="T1733" s="862">
        <v>0</v>
      </c>
      <c r="U1733" s="863"/>
      <c r="V1733" s="848"/>
      <c r="W1733" s="861"/>
      <c r="X1733" s="861"/>
      <c r="Y1733" s="862">
        <v>0</v>
      </c>
      <c r="Z1733" s="863"/>
      <c r="AA1733" s="864">
        <f t="shared" si="225"/>
        <v>0</v>
      </c>
      <c r="AB1733" s="865">
        <f t="shared" si="226"/>
        <v>0</v>
      </c>
      <c r="AC1733" s="848"/>
      <c r="AD1733" s="861"/>
      <c r="AE1733" s="861"/>
      <c r="AF1733" s="862"/>
      <c r="AG1733" s="864">
        <f t="shared" si="227"/>
        <v>0</v>
      </c>
      <c r="AK1733" s="188" t="s">
        <v>38</v>
      </c>
      <c r="AL1733" s="196">
        <f>AG1776</f>
        <v>0</v>
      </c>
      <c r="AM1733" s="510">
        <v>79.574999999999989</v>
      </c>
      <c r="AN1733" s="510">
        <f t="shared" si="224"/>
        <v>0</v>
      </c>
    </row>
    <row r="1734" spans="2:40">
      <c r="B1734" s="47" t="s">
        <v>53</v>
      </c>
      <c r="C1734" s="861"/>
      <c r="D1734" s="861"/>
      <c r="E1734" s="862">
        <v>0</v>
      </c>
      <c r="F1734" s="863"/>
      <c r="G1734" s="848"/>
      <c r="H1734" s="861"/>
      <c r="I1734" s="861"/>
      <c r="J1734" s="862">
        <v>0</v>
      </c>
      <c r="K1734" s="863"/>
      <c r="L1734" s="848"/>
      <c r="M1734" s="861"/>
      <c r="N1734" s="861"/>
      <c r="O1734" s="862">
        <v>0</v>
      </c>
      <c r="P1734" s="863"/>
      <c r="Q1734" s="848"/>
      <c r="R1734" s="861"/>
      <c r="S1734" s="861"/>
      <c r="T1734" s="862">
        <v>0</v>
      </c>
      <c r="U1734" s="863"/>
      <c r="V1734" s="848"/>
      <c r="W1734" s="861"/>
      <c r="X1734" s="861"/>
      <c r="Y1734" s="862">
        <v>0</v>
      </c>
      <c r="Z1734" s="863"/>
      <c r="AA1734" s="864">
        <f t="shared" si="225"/>
        <v>0</v>
      </c>
      <c r="AB1734" s="865">
        <f t="shared" si="226"/>
        <v>0</v>
      </c>
      <c r="AC1734" s="848"/>
      <c r="AD1734" s="861"/>
      <c r="AE1734" s="861"/>
      <c r="AF1734" s="862"/>
      <c r="AG1734" s="864">
        <f t="shared" si="227"/>
        <v>0</v>
      </c>
      <c r="AN1734" s="510">
        <f>SUM(AN1728:AN1733)</f>
        <v>3388.33</v>
      </c>
    </row>
    <row r="1735" spans="2:40">
      <c r="B1735" s="47" t="s">
        <v>241</v>
      </c>
      <c r="C1735" s="861"/>
      <c r="D1735" s="861"/>
      <c r="E1735" s="862">
        <v>0</v>
      </c>
      <c r="F1735" s="863"/>
      <c r="G1735" s="848"/>
      <c r="H1735" s="861"/>
      <c r="I1735" s="861"/>
      <c r="J1735" s="862">
        <v>0</v>
      </c>
      <c r="K1735" s="863"/>
      <c r="L1735" s="848"/>
      <c r="M1735" s="861"/>
      <c r="N1735" s="861"/>
      <c r="O1735" s="862">
        <v>0</v>
      </c>
      <c r="P1735" s="863"/>
      <c r="Q1735" s="848"/>
      <c r="R1735" s="861"/>
      <c r="S1735" s="861"/>
      <c r="T1735" s="862">
        <v>0</v>
      </c>
      <c r="U1735" s="863"/>
      <c r="V1735" s="848"/>
      <c r="W1735" s="861"/>
      <c r="X1735" s="861"/>
      <c r="Y1735" s="862">
        <v>0</v>
      </c>
      <c r="Z1735" s="863"/>
      <c r="AA1735" s="864">
        <f t="shared" si="225"/>
        <v>0</v>
      </c>
      <c r="AB1735" s="865">
        <f t="shared" si="226"/>
        <v>0</v>
      </c>
      <c r="AC1735" s="848"/>
      <c r="AD1735" s="861"/>
      <c r="AE1735" s="861"/>
      <c r="AF1735" s="862"/>
      <c r="AG1735" s="864">
        <f t="shared" si="227"/>
        <v>0</v>
      </c>
    </row>
    <row r="1736" spans="2:40">
      <c r="B1736" s="47" t="s">
        <v>1142</v>
      </c>
      <c r="C1736" s="861"/>
      <c r="D1736" s="867"/>
      <c r="E1736" s="862">
        <v>0</v>
      </c>
      <c r="F1736" s="863"/>
      <c r="G1736" s="848"/>
      <c r="H1736" s="861"/>
      <c r="I1736" s="861"/>
      <c r="J1736" s="862">
        <v>0</v>
      </c>
      <c r="K1736" s="863"/>
      <c r="L1736" s="848"/>
      <c r="M1736" s="861"/>
      <c r="N1736" s="861"/>
      <c r="O1736" s="862">
        <v>0</v>
      </c>
      <c r="P1736" s="863"/>
      <c r="Q1736" s="848"/>
      <c r="R1736" s="861"/>
      <c r="S1736" s="861"/>
      <c r="T1736" s="862">
        <v>0</v>
      </c>
      <c r="U1736" s="863"/>
      <c r="V1736" s="848"/>
      <c r="W1736" s="861"/>
      <c r="X1736" s="861"/>
      <c r="Y1736" s="862">
        <v>0</v>
      </c>
      <c r="Z1736" s="863"/>
      <c r="AA1736" s="864">
        <f t="shared" si="225"/>
        <v>0</v>
      </c>
      <c r="AB1736" s="865">
        <f t="shared" si="226"/>
        <v>0</v>
      </c>
      <c r="AC1736" s="848"/>
      <c r="AD1736" s="861"/>
      <c r="AE1736" s="861"/>
      <c r="AF1736" s="862"/>
      <c r="AG1736" s="864">
        <f t="shared" si="227"/>
        <v>0</v>
      </c>
      <c r="AK1736" s="192" t="s">
        <v>1115</v>
      </c>
      <c r="AL1736" s="189">
        <f>C1777</f>
        <v>8</v>
      </c>
      <c r="AM1736" s="510">
        <v>45</v>
      </c>
      <c r="AN1736" s="510">
        <f>AM1736*AL1736</f>
        <v>360</v>
      </c>
    </row>
    <row r="1737" spans="2:40">
      <c r="B1737" s="47" t="s">
        <v>1143</v>
      </c>
      <c r="C1737" s="861"/>
      <c r="D1737" s="867"/>
      <c r="E1737" s="862">
        <v>0</v>
      </c>
      <c r="F1737" s="863"/>
      <c r="G1737" s="848"/>
      <c r="H1737" s="861"/>
      <c r="I1737" s="861"/>
      <c r="J1737" s="862">
        <v>0</v>
      </c>
      <c r="K1737" s="863"/>
      <c r="L1737" s="848"/>
      <c r="M1737" s="861"/>
      <c r="N1737" s="861"/>
      <c r="O1737" s="862">
        <v>0</v>
      </c>
      <c r="P1737" s="863"/>
      <c r="Q1737" s="848"/>
      <c r="R1737" s="861"/>
      <c r="S1737" s="861"/>
      <c r="T1737" s="862">
        <v>0</v>
      </c>
      <c r="U1737" s="863"/>
      <c r="V1737" s="848"/>
      <c r="W1737" s="861"/>
      <c r="X1737" s="861"/>
      <c r="Y1737" s="862">
        <v>0</v>
      </c>
      <c r="Z1737" s="863"/>
      <c r="AA1737" s="864">
        <f t="shared" si="225"/>
        <v>0</v>
      </c>
      <c r="AB1737" s="865">
        <f t="shared" si="226"/>
        <v>0</v>
      </c>
      <c r="AC1737" s="848"/>
      <c r="AD1737" s="861"/>
      <c r="AE1737" s="861"/>
      <c r="AF1737" s="862"/>
      <c r="AG1737" s="864">
        <f t="shared" si="227"/>
        <v>0</v>
      </c>
      <c r="AK1737" s="192"/>
      <c r="AL1737" s="189"/>
      <c r="AM1737" s="510"/>
      <c r="AN1737" s="510"/>
    </row>
    <row r="1738" spans="2:40">
      <c r="B1738" s="47" t="s">
        <v>1144</v>
      </c>
      <c r="C1738" s="861"/>
      <c r="D1738" s="867"/>
      <c r="E1738" s="862">
        <v>0</v>
      </c>
      <c r="F1738" s="863"/>
      <c r="G1738" s="848"/>
      <c r="H1738" s="861"/>
      <c r="I1738" s="861"/>
      <c r="J1738" s="862">
        <v>0</v>
      </c>
      <c r="K1738" s="863"/>
      <c r="L1738" s="848"/>
      <c r="M1738" s="861"/>
      <c r="N1738" s="861"/>
      <c r="O1738" s="862">
        <v>0</v>
      </c>
      <c r="P1738" s="863"/>
      <c r="Q1738" s="848"/>
      <c r="R1738" s="861"/>
      <c r="S1738" s="861"/>
      <c r="T1738" s="862">
        <v>0</v>
      </c>
      <c r="U1738" s="863"/>
      <c r="V1738" s="848"/>
      <c r="W1738" s="861"/>
      <c r="X1738" s="861"/>
      <c r="Y1738" s="862">
        <v>0</v>
      </c>
      <c r="Z1738" s="863"/>
      <c r="AA1738" s="864">
        <f t="shared" si="225"/>
        <v>0</v>
      </c>
      <c r="AB1738" s="865">
        <f t="shared" si="226"/>
        <v>0</v>
      </c>
      <c r="AC1738" s="848"/>
      <c r="AD1738" s="861"/>
      <c r="AE1738" s="861"/>
      <c r="AF1738" s="862"/>
      <c r="AG1738" s="864">
        <f t="shared" si="227"/>
        <v>0</v>
      </c>
      <c r="AK1738" s="192"/>
      <c r="AL1738" s="189"/>
      <c r="AM1738" s="510"/>
      <c r="AN1738" s="510"/>
    </row>
    <row r="1739" spans="2:40">
      <c r="B1739" s="47" t="s">
        <v>1113</v>
      </c>
      <c r="C1739" s="861"/>
      <c r="D1739" s="861"/>
      <c r="E1739" s="862">
        <v>0</v>
      </c>
      <c r="F1739" s="863"/>
      <c r="G1739" s="848"/>
      <c r="H1739" s="861"/>
      <c r="I1739" s="861"/>
      <c r="J1739" s="862">
        <v>0</v>
      </c>
      <c r="K1739" s="863"/>
      <c r="L1739" s="848"/>
      <c r="M1739" s="861"/>
      <c r="N1739" s="861"/>
      <c r="O1739" s="862">
        <v>0</v>
      </c>
      <c r="P1739" s="863"/>
      <c r="Q1739" s="848"/>
      <c r="R1739" s="861"/>
      <c r="S1739" s="861"/>
      <c r="T1739" s="862">
        <v>0</v>
      </c>
      <c r="U1739" s="863"/>
      <c r="V1739" s="848"/>
      <c r="W1739" s="861"/>
      <c r="X1739" s="861"/>
      <c r="Y1739" s="862">
        <v>0</v>
      </c>
      <c r="Z1739" s="863"/>
      <c r="AA1739" s="864">
        <f t="shared" si="225"/>
        <v>0</v>
      </c>
      <c r="AB1739" s="865">
        <f t="shared" si="226"/>
        <v>0</v>
      </c>
      <c r="AC1739" s="848"/>
      <c r="AD1739" s="861"/>
      <c r="AE1739" s="861"/>
      <c r="AF1739" s="862"/>
      <c r="AG1739" s="864">
        <f t="shared" si="227"/>
        <v>0</v>
      </c>
    </row>
    <row r="1740" spans="2:40">
      <c r="B1740" s="1306" t="s">
        <v>1145</v>
      </c>
      <c r="C1740" s="861"/>
      <c r="D1740" s="861"/>
      <c r="E1740" s="862">
        <v>0</v>
      </c>
      <c r="F1740" s="863"/>
      <c r="G1740" s="848"/>
      <c r="H1740" s="861"/>
      <c r="I1740" s="861"/>
      <c r="J1740" s="862">
        <v>0</v>
      </c>
      <c r="K1740" s="863"/>
      <c r="L1740" s="848"/>
      <c r="M1740" s="861"/>
      <c r="N1740" s="861"/>
      <c r="O1740" s="862">
        <v>0</v>
      </c>
      <c r="P1740" s="863"/>
      <c r="Q1740" s="848"/>
      <c r="R1740" s="861"/>
      <c r="S1740" s="861"/>
      <c r="T1740" s="862">
        <v>0</v>
      </c>
      <c r="U1740" s="863"/>
      <c r="V1740" s="848"/>
      <c r="W1740" s="861"/>
      <c r="X1740" s="861"/>
      <c r="Y1740" s="862">
        <v>0</v>
      </c>
      <c r="Z1740" s="863"/>
      <c r="AA1740" s="864">
        <f t="shared" si="225"/>
        <v>0</v>
      </c>
      <c r="AB1740" s="865">
        <f t="shared" si="226"/>
        <v>0</v>
      </c>
      <c r="AC1740" s="848"/>
      <c r="AD1740" s="861"/>
      <c r="AE1740" s="861"/>
      <c r="AF1740" s="862"/>
      <c r="AG1740" s="864">
        <f t="shared" si="227"/>
        <v>0</v>
      </c>
    </row>
    <row r="1741" spans="2:40">
      <c r="B1741" s="1306" t="s">
        <v>1146</v>
      </c>
      <c r="C1741" s="861"/>
      <c r="D1741" s="861"/>
      <c r="E1741" s="862">
        <v>0</v>
      </c>
      <c r="F1741" s="863"/>
      <c r="G1741" s="848"/>
      <c r="H1741" s="861"/>
      <c r="I1741" s="861"/>
      <c r="J1741" s="862">
        <v>0</v>
      </c>
      <c r="K1741" s="863"/>
      <c r="L1741" s="848"/>
      <c r="M1741" s="861"/>
      <c r="N1741" s="861"/>
      <c r="O1741" s="862">
        <v>0</v>
      </c>
      <c r="P1741" s="863"/>
      <c r="Q1741" s="848"/>
      <c r="R1741" s="861"/>
      <c r="S1741" s="861"/>
      <c r="T1741" s="862">
        <v>0</v>
      </c>
      <c r="U1741" s="863"/>
      <c r="V1741" s="848"/>
      <c r="W1741" s="861"/>
      <c r="X1741" s="861"/>
      <c r="Y1741" s="862">
        <v>0</v>
      </c>
      <c r="Z1741" s="863"/>
      <c r="AA1741" s="864">
        <f t="shared" si="225"/>
        <v>0</v>
      </c>
      <c r="AB1741" s="865">
        <f t="shared" si="226"/>
        <v>0</v>
      </c>
      <c r="AC1741" s="848"/>
      <c r="AD1741" s="861"/>
      <c r="AE1741" s="861"/>
      <c r="AF1741" s="862"/>
      <c r="AG1741" s="864">
        <f t="shared" si="227"/>
        <v>0</v>
      </c>
    </row>
    <row r="1742" spans="2:40">
      <c r="B1742" s="1306" t="s">
        <v>1147</v>
      </c>
      <c r="C1742" s="861"/>
      <c r="D1742" s="861"/>
      <c r="E1742" s="862">
        <v>0</v>
      </c>
      <c r="F1742" s="863"/>
      <c r="G1742" s="848"/>
      <c r="H1742" s="861"/>
      <c r="I1742" s="861"/>
      <c r="J1742" s="862">
        <v>0</v>
      </c>
      <c r="K1742" s="863"/>
      <c r="L1742" s="848"/>
      <c r="M1742" s="861"/>
      <c r="N1742" s="861"/>
      <c r="O1742" s="862">
        <v>0</v>
      </c>
      <c r="P1742" s="863"/>
      <c r="Q1742" s="848"/>
      <c r="R1742" s="861"/>
      <c r="S1742" s="861"/>
      <c r="T1742" s="862">
        <v>0</v>
      </c>
      <c r="U1742" s="863"/>
      <c r="V1742" s="848"/>
      <c r="W1742" s="861"/>
      <c r="X1742" s="861"/>
      <c r="Y1742" s="862">
        <v>0</v>
      </c>
      <c r="Z1742" s="863"/>
      <c r="AA1742" s="864">
        <f t="shared" si="225"/>
        <v>0</v>
      </c>
      <c r="AB1742" s="865">
        <f t="shared" si="226"/>
        <v>0</v>
      </c>
      <c r="AC1742" s="848"/>
      <c r="AD1742" s="861"/>
      <c r="AE1742" s="861"/>
      <c r="AF1742" s="862"/>
      <c r="AG1742" s="864">
        <f t="shared" si="227"/>
        <v>0</v>
      </c>
    </row>
    <row r="1743" spans="2:40">
      <c r="B1743" s="1306" t="s">
        <v>1148</v>
      </c>
      <c r="C1743" s="861"/>
      <c r="D1743" s="861"/>
      <c r="E1743" s="862">
        <v>0</v>
      </c>
      <c r="F1743" s="863"/>
      <c r="G1743" s="848"/>
      <c r="H1743" s="861"/>
      <c r="I1743" s="861"/>
      <c r="J1743" s="862">
        <v>0</v>
      </c>
      <c r="K1743" s="863"/>
      <c r="L1743" s="848"/>
      <c r="M1743" s="861"/>
      <c r="N1743" s="861"/>
      <c r="O1743" s="862">
        <v>0</v>
      </c>
      <c r="P1743" s="863"/>
      <c r="Q1743" s="848"/>
      <c r="R1743" s="861"/>
      <c r="S1743" s="861"/>
      <c r="T1743" s="862">
        <v>0</v>
      </c>
      <c r="U1743" s="863"/>
      <c r="V1743" s="848"/>
      <c r="W1743" s="861"/>
      <c r="X1743" s="861"/>
      <c r="Y1743" s="862">
        <v>0</v>
      </c>
      <c r="Z1743" s="863"/>
      <c r="AA1743" s="864">
        <f t="shared" si="225"/>
        <v>0</v>
      </c>
      <c r="AB1743" s="865">
        <f t="shared" si="226"/>
        <v>0</v>
      </c>
      <c r="AC1743" s="848"/>
      <c r="AD1743" s="861"/>
      <c r="AE1743" s="861"/>
      <c r="AF1743" s="862"/>
      <c r="AG1743" s="864">
        <f t="shared" si="227"/>
        <v>0</v>
      </c>
    </row>
    <row r="1744" spans="2:40">
      <c r="B1744" s="1306" t="s">
        <v>1149</v>
      </c>
      <c r="C1744" s="861"/>
      <c r="D1744" s="861"/>
      <c r="E1744" s="862">
        <v>0</v>
      </c>
      <c r="F1744" s="863"/>
      <c r="G1744" s="848"/>
      <c r="H1744" s="861"/>
      <c r="I1744" s="861"/>
      <c r="J1744" s="862">
        <v>0</v>
      </c>
      <c r="K1744" s="863"/>
      <c r="L1744" s="848"/>
      <c r="M1744" s="861"/>
      <c r="N1744" s="861"/>
      <c r="O1744" s="862">
        <v>0</v>
      </c>
      <c r="P1744" s="863"/>
      <c r="Q1744" s="848"/>
      <c r="R1744" s="861"/>
      <c r="S1744" s="861"/>
      <c r="T1744" s="862">
        <v>0</v>
      </c>
      <c r="U1744" s="863"/>
      <c r="V1744" s="848"/>
      <c r="W1744" s="861"/>
      <c r="X1744" s="861"/>
      <c r="Y1744" s="862">
        <v>0</v>
      </c>
      <c r="Z1744" s="863"/>
      <c r="AA1744" s="864">
        <f t="shared" si="225"/>
        <v>0</v>
      </c>
      <c r="AB1744" s="865">
        <f t="shared" si="226"/>
        <v>0</v>
      </c>
      <c r="AC1744" s="848"/>
      <c r="AD1744" s="861"/>
      <c r="AE1744" s="861"/>
      <c r="AF1744" s="862"/>
      <c r="AG1744" s="864">
        <f t="shared" si="227"/>
        <v>0</v>
      </c>
    </row>
    <row r="1745" spans="2:33">
      <c r="B1745" s="1306" t="s">
        <v>1150</v>
      </c>
      <c r="C1745" s="861"/>
      <c r="D1745" s="861"/>
      <c r="E1745" s="862">
        <v>0</v>
      </c>
      <c r="F1745" s="863"/>
      <c r="G1745" s="848"/>
      <c r="H1745" s="861"/>
      <c r="I1745" s="861"/>
      <c r="J1745" s="862">
        <v>0</v>
      </c>
      <c r="K1745" s="863"/>
      <c r="L1745" s="848"/>
      <c r="M1745" s="861"/>
      <c r="N1745" s="861"/>
      <c r="O1745" s="862">
        <v>0</v>
      </c>
      <c r="P1745" s="863"/>
      <c r="Q1745" s="848"/>
      <c r="R1745" s="861"/>
      <c r="S1745" s="861"/>
      <c r="T1745" s="862">
        <v>0</v>
      </c>
      <c r="U1745" s="863"/>
      <c r="V1745" s="848"/>
      <c r="W1745" s="861"/>
      <c r="X1745" s="861"/>
      <c r="Y1745" s="862">
        <v>0</v>
      </c>
      <c r="Z1745" s="863"/>
      <c r="AA1745" s="864">
        <f t="shared" si="225"/>
        <v>0</v>
      </c>
      <c r="AB1745" s="865">
        <f t="shared" si="226"/>
        <v>0</v>
      </c>
      <c r="AC1745" s="848"/>
      <c r="AD1745" s="861"/>
      <c r="AE1745" s="861"/>
      <c r="AF1745" s="862"/>
      <c r="AG1745" s="864">
        <f t="shared" si="227"/>
        <v>0</v>
      </c>
    </row>
    <row r="1746" spans="2:33">
      <c r="B1746" s="1306" t="s">
        <v>1151</v>
      </c>
      <c r="C1746" s="861"/>
      <c r="D1746" s="861"/>
      <c r="E1746" s="862">
        <v>0</v>
      </c>
      <c r="F1746" s="863"/>
      <c r="G1746" s="848"/>
      <c r="H1746" s="861"/>
      <c r="I1746" s="861"/>
      <c r="J1746" s="862">
        <v>0</v>
      </c>
      <c r="K1746" s="863"/>
      <c r="L1746" s="848"/>
      <c r="M1746" s="861">
        <v>0.39583333333333331</v>
      </c>
      <c r="N1746" s="861">
        <v>0.22916666666666666</v>
      </c>
      <c r="O1746" s="862">
        <v>7</v>
      </c>
      <c r="P1746" s="863"/>
      <c r="Q1746" s="848"/>
      <c r="R1746" s="861">
        <v>0.375</v>
      </c>
      <c r="S1746" s="861">
        <v>0.27083333333333331</v>
      </c>
      <c r="T1746" s="862">
        <v>9.5</v>
      </c>
      <c r="U1746" s="863"/>
      <c r="V1746" s="848"/>
      <c r="W1746" s="861"/>
      <c r="X1746" s="861"/>
      <c r="Y1746" s="862">
        <v>0</v>
      </c>
      <c r="Z1746" s="863"/>
      <c r="AA1746" s="864">
        <f t="shared" si="225"/>
        <v>16.5</v>
      </c>
      <c r="AB1746" s="865">
        <f t="shared" si="226"/>
        <v>0</v>
      </c>
      <c r="AC1746" s="848"/>
      <c r="AD1746" s="861"/>
      <c r="AE1746" s="861"/>
      <c r="AF1746" s="862"/>
      <c r="AG1746" s="864">
        <f t="shared" si="227"/>
        <v>0</v>
      </c>
    </row>
    <row r="1747" spans="2:33">
      <c r="B1747" s="1306" t="s">
        <v>1152</v>
      </c>
      <c r="C1747" s="861"/>
      <c r="D1747" s="861"/>
      <c r="E1747" s="862">
        <v>0</v>
      </c>
      <c r="F1747" s="863"/>
      <c r="G1747" s="848"/>
      <c r="H1747" s="861"/>
      <c r="I1747" s="861"/>
      <c r="J1747" s="862">
        <v>0</v>
      </c>
      <c r="K1747" s="863"/>
      <c r="L1747" s="848"/>
      <c r="M1747" s="861"/>
      <c r="N1747" s="861"/>
      <c r="O1747" s="862">
        <v>0</v>
      </c>
      <c r="P1747" s="863"/>
      <c r="Q1747" s="848"/>
      <c r="R1747" s="861"/>
      <c r="S1747" s="861"/>
      <c r="T1747" s="862">
        <v>0</v>
      </c>
      <c r="U1747" s="863"/>
      <c r="V1747" s="848"/>
      <c r="W1747" s="861"/>
      <c r="X1747" s="861"/>
      <c r="Y1747" s="862">
        <v>0</v>
      </c>
      <c r="Z1747" s="863"/>
      <c r="AA1747" s="864">
        <f t="shared" si="225"/>
        <v>0</v>
      </c>
      <c r="AB1747" s="865">
        <f t="shared" si="226"/>
        <v>0</v>
      </c>
      <c r="AC1747" s="848"/>
      <c r="AD1747" s="861"/>
      <c r="AE1747" s="861"/>
      <c r="AF1747" s="862"/>
      <c r="AG1747" s="864">
        <f t="shared" si="227"/>
        <v>0</v>
      </c>
    </row>
    <row r="1748" spans="2:33">
      <c r="B1748" s="1306" t="s">
        <v>1153</v>
      </c>
      <c r="C1748" s="861"/>
      <c r="D1748" s="861"/>
      <c r="E1748" s="862">
        <v>0</v>
      </c>
      <c r="F1748" s="863"/>
      <c r="G1748" s="848"/>
      <c r="H1748" s="861"/>
      <c r="I1748" s="861"/>
      <c r="J1748" s="862">
        <v>0</v>
      </c>
      <c r="K1748" s="863"/>
      <c r="L1748" s="848"/>
      <c r="M1748" s="861"/>
      <c r="N1748" s="861"/>
      <c r="O1748" s="862">
        <v>0</v>
      </c>
      <c r="P1748" s="863"/>
      <c r="Q1748" s="848"/>
      <c r="R1748" s="861"/>
      <c r="S1748" s="861"/>
      <c r="T1748" s="862">
        <v>0</v>
      </c>
      <c r="U1748" s="863"/>
      <c r="V1748" s="848"/>
      <c r="W1748" s="861"/>
      <c r="X1748" s="861"/>
      <c r="Y1748" s="862">
        <v>0</v>
      </c>
      <c r="Z1748" s="863"/>
      <c r="AA1748" s="864">
        <f t="shared" si="225"/>
        <v>0</v>
      </c>
      <c r="AB1748" s="865">
        <f t="shared" si="226"/>
        <v>0</v>
      </c>
      <c r="AC1748" s="848"/>
      <c r="AD1748" s="861"/>
      <c r="AE1748" s="861"/>
      <c r="AF1748" s="862"/>
      <c r="AG1748" s="864">
        <f t="shared" si="227"/>
        <v>0</v>
      </c>
    </row>
    <row r="1749" spans="2:33">
      <c r="B1749" s="1306" t="s">
        <v>1154</v>
      </c>
      <c r="C1749" s="861"/>
      <c r="D1749" s="861"/>
      <c r="E1749" s="862">
        <v>0</v>
      </c>
      <c r="F1749" s="863"/>
      <c r="G1749" s="848"/>
      <c r="H1749" s="861"/>
      <c r="I1749" s="861"/>
      <c r="J1749" s="862">
        <v>0</v>
      </c>
      <c r="K1749" s="863"/>
      <c r="L1749" s="848"/>
      <c r="M1749" s="861"/>
      <c r="N1749" s="861"/>
      <c r="O1749" s="862">
        <v>0</v>
      </c>
      <c r="P1749" s="863"/>
      <c r="Q1749" s="848"/>
      <c r="R1749" s="861"/>
      <c r="S1749" s="861"/>
      <c r="T1749" s="862">
        <v>0</v>
      </c>
      <c r="U1749" s="863"/>
      <c r="V1749" s="848"/>
      <c r="W1749" s="861"/>
      <c r="X1749" s="861"/>
      <c r="Y1749" s="862">
        <v>0</v>
      </c>
      <c r="Z1749" s="863"/>
      <c r="AA1749" s="864">
        <f t="shared" si="225"/>
        <v>0</v>
      </c>
      <c r="AB1749" s="865">
        <f t="shared" si="226"/>
        <v>0</v>
      </c>
      <c r="AC1749" s="848"/>
      <c r="AD1749" s="861"/>
      <c r="AE1749" s="861"/>
      <c r="AF1749" s="862"/>
      <c r="AG1749" s="864">
        <f t="shared" si="227"/>
        <v>0</v>
      </c>
    </row>
    <row r="1750" spans="2:33">
      <c r="B1750" s="1306" t="s">
        <v>1155</v>
      </c>
      <c r="C1750" s="861"/>
      <c r="D1750" s="861"/>
      <c r="E1750" s="862">
        <v>0</v>
      </c>
      <c r="F1750" s="863"/>
      <c r="G1750" s="848"/>
      <c r="H1750" s="861">
        <v>0.3125</v>
      </c>
      <c r="I1750" s="861">
        <v>0.22916666666666666</v>
      </c>
      <c r="J1750" s="862">
        <v>9</v>
      </c>
      <c r="K1750" s="863"/>
      <c r="L1750" s="848"/>
      <c r="M1750" s="861">
        <v>0.33333333333333331</v>
      </c>
      <c r="N1750" s="861">
        <v>0.22916666666666666</v>
      </c>
      <c r="O1750" s="862">
        <v>8.5</v>
      </c>
      <c r="P1750" s="863"/>
      <c r="Q1750" s="848"/>
      <c r="R1750" s="861">
        <v>0.375</v>
      </c>
      <c r="S1750" s="861">
        <v>0.27083333333333331</v>
      </c>
      <c r="T1750" s="862">
        <v>9.5</v>
      </c>
      <c r="U1750" s="863"/>
      <c r="V1750" s="848"/>
      <c r="W1750" s="861"/>
      <c r="X1750" s="861"/>
      <c r="Y1750" s="862">
        <v>0</v>
      </c>
      <c r="Z1750" s="863"/>
      <c r="AA1750" s="864">
        <f t="shared" si="225"/>
        <v>27</v>
      </c>
      <c r="AB1750" s="865">
        <f t="shared" si="226"/>
        <v>0</v>
      </c>
      <c r="AC1750" s="848"/>
      <c r="AD1750" s="861"/>
      <c r="AE1750" s="861"/>
      <c r="AF1750" s="862"/>
      <c r="AG1750" s="864">
        <f t="shared" si="227"/>
        <v>0</v>
      </c>
    </row>
    <row r="1751" spans="2:33">
      <c r="B1751" s="1306" t="s">
        <v>1156</v>
      </c>
      <c r="C1751" s="861"/>
      <c r="D1751" s="861"/>
      <c r="E1751" s="862">
        <v>0</v>
      </c>
      <c r="F1751" s="863"/>
      <c r="G1751" s="848"/>
      <c r="H1751" s="861"/>
      <c r="I1751" s="861"/>
      <c r="J1751" s="862">
        <v>0</v>
      </c>
      <c r="K1751" s="863"/>
      <c r="L1751" s="848"/>
      <c r="M1751" s="861"/>
      <c r="N1751" s="861"/>
      <c r="O1751" s="862">
        <v>0</v>
      </c>
      <c r="P1751" s="863"/>
      <c r="Q1751" s="848"/>
      <c r="R1751" s="861"/>
      <c r="S1751" s="861"/>
      <c r="T1751" s="862">
        <v>0</v>
      </c>
      <c r="U1751" s="863"/>
      <c r="V1751" s="848"/>
      <c r="W1751" s="861"/>
      <c r="X1751" s="861"/>
      <c r="Y1751" s="862">
        <v>0</v>
      </c>
      <c r="Z1751" s="863"/>
      <c r="AA1751" s="864">
        <f t="shared" si="225"/>
        <v>0</v>
      </c>
      <c r="AB1751" s="865">
        <f t="shared" si="226"/>
        <v>0</v>
      </c>
      <c r="AC1751" s="848"/>
      <c r="AD1751" s="861"/>
      <c r="AE1751" s="861"/>
      <c r="AF1751" s="862"/>
      <c r="AG1751" s="864">
        <f t="shared" si="227"/>
        <v>0</v>
      </c>
    </row>
    <row r="1752" spans="2:33">
      <c r="B1752" s="1306" t="s">
        <v>1157</v>
      </c>
      <c r="C1752" s="861"/>
      <c r="D1752" s="861"/>
      <c r="E1752" s="862">
        <v>0</v>
      </c>
      <c r="F1752" s="863"/>
      <c r="G1752" s="848"/>
      <c r="H1752" s="861"/>
      <c r="I1752" s="861"/>
      <c r="J1752" s="862">
        <v>0</v>
      </c>
      <c r="K1752" s="863"/>
      <c r="L1752" s="848"/>
      <c r="M1752" s="861"/>
      <c r="N1752" s="861"/>
      <c r="O1752" s="862">
        <v>0</v>
      </c>
      <c r="P1752" s="863"/>
      <c r="Q1752" s="848"/>
      <c r="R1752" s="861"/>
      <c r="S1752" s="861"/>
      <c r="T1752" s="862">
        <v>0</v>
      </c>
      <c r="U1752" s="863"/>
      <c r="V1752" s="848"/>
      <c r="W1752" s="861"/>
      <c r="X1752" s="861"/>
      <c r="Y1752" s="862">
        <v>0</v>
      </c>
      <c r="Z1752" s="863"/>
      <c r="AA1752" s="864">
        <f t="shared" si="225"/>
        <v>0</v>
      </c>
      <c r="AB1752" s="865">
        <f t="shared" si="226"/>
        <v>0</v>
      </c>
      <c r="AC1752" s="848"/>
      <c r="AD1752" s="861"/>
      <c r="AE1752" s="861"/>
      <c r="AF1752" s="862"/>
      <c r="AG1752" s="864">
        <f t="shared" si="227"/>
        <v>0</v>
      </c>
    </row>
    <row r="1753" spans="2:33">
      <c r="B1753" s="1306" t="s">
        <v>1158</v>
      </c>
      <c r="C1753" s="861"/>
      <c r="D1753" s="861"/>
      <c r="E1753" s="862">
        <v>0</v>
      </c>
      <c r="F1753" s="863"/>
      <c r="G1753" s="848"/>
      <c r="H1753" s="861"/>
      <c r="I1753" s="861"/>
      <c r="J1753" s="862">
        <v>0</v>
      </c>
      <c r="K1753" s="863"/>
      <c r="L1753" s="848"/>
      <c r="M1753" s="861"/>
      <c r="N1753" s="861"/>
      <c r="O1753" s="862">
        <v>0</v>
      </c>
      <c r="P1753" s="863"/>
      <c r="Q1753" s="848"/>
      <c r="R1753" s="861"/>
      <c r="S1753" s="861"/>
      <c r="T1753" s="862">
        <v>0</v>
      </c>
      <c r="U1753" s="863"/>
      <c r="V1753" s="848"/>
      <c r="W1753" s="861"/>
      <c r="X1753" s="861"/>
      <c r="Y1753" s="862">
        <v>0</v>
      </c>
      <c r="Z1753" s="863"/>
      <c r="AA1753" s="864">
        <f t="shared" si="225"/>
        <v>0</v>
      </c>
      <c r="AB1753" s="865">
        <f t="shared" si="226"/>
        <v>0</v>
      </c>
      <c r="AC1753" s="848"/>
      <c r="AD1753" s="861"/>
      <c r="AE1753" s="861"/>
      <c r="AF1753" s="862"/>
      <c r="AG1753" s="864">
        <f t="shared" si="227"/>
        <v>0</v>
      </c>
    </row>
    <row r="1754" spans="2:33">
      <c r="B1754" s="1306" t="s">
        <v>1159</v>
      </c>
      <c r="C1754" s="861"/>
      <c r="D1754" s="861"/>
      <c r="E1754" s="862">
        <v>0</v>
      </c>
      <c r="F1754" s="863"/>
      <c r="G1754" s="848"/>
      <c r="H1754" s="861"/>
      <c r="I1754" s="861"/>
      <c r="J1754" s="862">
        <v>0</v>
      </c>
      <c r="K1754" s="863"/>
      <c r="L1754" s="848"/>
      <c r="M1754" s="861"/>
      <c r="N1754" s="861"/>
      <c r="O1754" s="862">
        <v>0</v>
      </c>
      <c r="P1754" s="863"/>
      <c r="Q1754" s="848"/>
      <c r="R1754" s="861"/>
      <c r="S1754" s="861"/>
      <c r="T1754" s="862">
        <v>0</v>
      </c>
      <c r="U1754" s="863"/>
      <c r="V1754" s="848"/>
      <c r="W1754" s="861"/>
      <c r="X1754" s="861"/>
      <c r="Y1754" s="862">
        <v>0</v>
      </c>
      <c r="Z1754" s="863"/>
      <c r="AA1754" s="864">
        <f t="shared" si="225"/>
        <v>0</v>
      </c>
      <c r="AB1754" s="865">
        <f t="shared" si="226"/>
        <v>0</v>
      </c>
      <c r="AC1754" s="848"/>
      <c r="AD1754" s="861"/>
      <c r="AE1754" s="861"/>
      <c r="AF1754" s="862"/>
      <c r="AG1754" s="864">
        <f t="shared" si="227"/>
        <v>0</v>
      </c>
    </row>
    <row r="1755" spans="2:33">
      <c r="B1755" s="1306" t="s">
        <v>1160</v>
      </c>
      <c r="C1755" s="861"/>
      <c r="D1755" s="861"/>
      <c r="E1755" s="862">
        <v>0</v>
      </c>
      <c r="F1755" s="863"/>
      <c r="G1755" s="848"/>
      <c r="H1755" s="861"/>
      <c r="I1755" s="861"/>
      <c r="J1755" s="862">
        <v>0</v>
      </c>
      <c r="K1755" s="863"/>
      <c r="L1755" s="848"/>
      <c r="M1755" s="861"/>
      <c r="N1755" s="861"/>
      <c r="O1755" s="862">
        <v>0</v>
      </c>
      <c r="P1755" s="863"/>
      <c r="Q1755" s="848"/>
      <c r="R1755" s="861"/>
      <c r="S1755" s="861"/>
      <c r="T1755" s="862">
        <v>0</v>
      </c>
      <c r="U1755" s="863"/>
      <c r="V1755" s="848"/>
      <c r="W1755" s="861"/>
      <c r="X1755" s="861"/>
      <c r="Y1755" s="862">
        <v>0</v>
      </c>
      <c r="Z1755" s="863"/>
      <c r="AA1755" s="864">
        <f t="shared" si="225"/>
        <v>0</v>
      </c>
      <c r="AB1755" s="865">
        <f t="shared" si="226"/>
        <v>0</v>
      </c>
      <c r="AC1755" s="848"/>
      <c r="AD1755" s="861"/>
      <c r="AE1755" s="861"/>
      <c r="AF1755" s="862"/>
      <c r="AG1755" s="864">
        <f t="shared" si="227"/>
        <v>0</v>
      </c>
    </row>
    <row r="1756" spans="2:33">
      <c r="B1756" s="1306" t="s">
        <v>1161</v>
      </c>
      <c r="C1756" s="861"/>
      <c r="D1756" s="861"/>
      <c r="E1756" s="862">
        <v>0</v>
      </c>
      <c r="F1756" s="863"/>
      <c r="G1756" s="848"/>
      <c r="H1756" s="861"/>
      <c r="I1756" s="861"/>
      <c r="J1756" s="862">
        <v>0</v>
      </c>
      <c r="K1756" s="863"/>
      <c r="L1756" s="848"/>
      <c r="M1756" s="861"/>
      <c r="N1756" s="861"/>
      <c r="O1756" s="862">
        <v>0</v>
      </c>
      <c r="P1756" s="863"/>
      <c r="Q1756" s="848"/>
      <c r="R1756" s="861"/>
      <c r="S1756" s="861"/>
      <c r="T1756" s="862">
        <v>0</v>
      </c>
      <c r="U1756" s="863"/>
      <c r="V1756" s="848"/>
      <c r="W1756" s="861"/>
      <c r="X1756" s="861"/>
      <c r="Y1756" s="862">
        <v>0</v>
      </c>
      <c r="Z1756" s="863"/>
      <c r="AA1756" s="864">
        <f t="shared" si="225"/>
        <v>0</v>
      </c>
      <c r="AB1756" s="865">
        <f t="shared" si="226"/>
        <v>0</v>
      </c>
      <c r="AC1756" s="848"/>
      <c r="AD1756" s="861"/>
      <c r="AE1756" s="861"/>
      <c r="AF1756" s="862"/>
      <c r="AG1756" s="864">
        <f t="shared" si="227"/>
        <v>0</v>
      </c>
    </row>
    <row r="1757" spans="2:33">
      <c r="B1757" s="1306" t="s">
        <v>1162</v>
      </c>
      <c r="C1757" s="861"/>
      <c r="D1757" s="861"/>
      <c r="E1757" s="862">
        <v>0</v>
      </c>
      <c r="F1757" s="863"/>
      <c r="G1757" s="848"/>
      <c r="H1757" s="861"/>
      <c r="I1757" s="861"/>
      <c r="J1757" s="862">
        <v>0</v>
      </c>
      <c r="K1757" s="863"/>
      <c r="L1757" s="848"/>
      <c r="M1757" s="861"/>
      <c r="N1757" s="861"/>
      <c r="O1757" s="862">
        <v>0</v>
      </c>
      <c r="P1757" s="863"/>
      <c r="Q1757" s="848"/>
      <c r="R1757" s="861"/>
      <c r="S1757" s="861"/>
      <c r="T1757" s="862">
        <v>0</v>
      </c>
      <c r="U1757" s="863"/>
      <c r="V1757" s="848"/>
      <c r="W1757" s="861"/>
      <c r="X1757" s="861"/>
      <c r="Y1757" s="862">
        <v>0</v>
      </c>
      <c r="Z1757" s="863"/>
      <c r="AA1757" s="864">
        <f t="shared" si="225"/>
        <v>0</v>
      </c>
      <c r="AB1757" s="865">
        <f t="shared" si="226"/>
        <v>0</v>
      </c>
      <c r="AC1757" s="848"/>
      <c r="AD1757" s="861"/>
      <c r="AE1757" s="861"/>
      <c r="AF1757" s="862"/>
      <c r="AG1757" s="864">
        <f t="shared" si="227"/>
        <v>0</v>
      </c>
    </row>
    <row r="1758" spans="2:33">
      <c r="B1758" s="1306" t="s">
        <v>1163</v>
      </c>
      <c r="C1758" s="861"/>
      <c r="D1758" s="861"/>
      <c r="E1758" s="862">
        <v>0</v>
      </c>
      <c r="F1758" s="863"/>
      <c r="G1758" s="848"/>
      <c r="H1758" s="861"/>
      <c r="I1758" s="861"/>
      <c r="J1758" s="862">
        <v>0</v>
      </c>
      <c r="K1758" s="863"/>
      <c r="L1758" s="848"/>
      <c r="M1758" s="861"/>
      <c r="N1758" s="861"/>
      <c r="O1758" s="862">
        <v>0</v>
      </c>
      <c r="P1758" s="863"/>
      <c r="Q1758" s="848"/>
      <c r="R1758" s="861"/>
      <c r="S1758" s="861"/>
      <c r="T1758" s="862">
        <v>0</v>
      </c>
      <c r="U1758" s="863"/>
      <c r="V1758" s="848"/>
      <c r="W1758" s="861"/>
      <c r="X1758" s="861"/>
      <c r="Y1758" s="862">
        <v>0</v>
      </c>
      <c r="Z1758" s="863"/>
      <c r="AA1758" s="864">
        <f t="shared" si="225"/>
        <v>0</v>
      </c>
      <c r="AB1758" s="865">
        <f t="shared" si="226"/>
        <v>0</v>
      </c>
      <c r="AC1758" s="848"/>
      <c r="AD1758" s="861"/>
      <c r="AE1758" s="861"/>
      <c r="AF1758" s="862"/>
      <c r="AG1758" s="864">
        <f t="shared" si="227"/>
        <v>0</v>
      </c>
    </row>
    <row r="1759" spans="2:33">
      <c r="B1759" s="1306" t="s">
        <v>1164</v>
      </c>
      <c r="C1759" s="861"/>
      <c r="D1759" s="861"/>
      <c r="E1759" s="862">
        <v>0</v>
      </c>
      <c r="F1759" s="863"/>
      <c r="G1759" s="848"/>
      <c r="H1759" s="861"/>
      <c r="I1759" s="861"/>
      <c r="J1759" s="862">
        <v>0</v>
      </c>
      <c r="K1759" s="863"/>
      <c r="L1759" s="848"/>
      <c r="M1759" s="861"/>
      <c r="N1759" s="861"/>
      <c r="O1759" s="862">
        <v>0</v>
      </c>
      <c r="P1759" s="863"/>
      <c r="Q1759" s="848"/>
      <c r="R1759" s="861"/>
      <c r="S1759" s="861"/>
      <c r="T1759" s="862">
        <v>0</v>
      </c>
      <c r="U1759" s="863"/>
      <c r="V1759" s="848"/>
      <c r="W1759" s="861"/>
      <c r="X1759" s="861"/>
      <c r="Y1759" s="862">
        <v>0</v>
      </c>
      <c r="Z1759" s="863"/>
      <c r="AA1759" s="864">
        <f t="shared" si="225"/>
        <v>0</v>
      </c>
      <c r="AB1759" s="865">
        <f t="shared" si="226"/>
        <v>0</v>
      </c>
      <c r="AC1759" s="848"/>
      <c r="AD1759" s="861"/>
      <c r="AE1759" s="861"/>
      <c r="AF1759" s="862"/>
      <c r="AG1759" s="864">
        <f t="shared" si="227"/>
        <v>0</v>
      </c>
    </row>
    <row r="1760" spans="2:33">
      <c r="B1760" s="1306" t="s">
        <v>1165</v>
      </c>
      <c r="C1760" s="861"/>
      <c r="D1760" s="861"/>
      <c r="E1760" s="862">
        <v>0</v>
      </c>
      <c r="F1760" s="863"/>
      <c r="G1760" s="848"/>
      <c r="H1760" s="861"/>
      <c r="I1760" s="861"/>
      <c r="J1760" s="862">
        <v>0</v>
      </c>
      <c r="K1760" s="863"/>
      <c r="L1760" s="848"/>
      <c r="M1760" s="861"/>
      <c r="N1760" s="861"/>
      <c r="O1760" s="862">
        <v>0</v>
      </c>
      <c r="P1760" s="863"/>
      <c r="Q1760" s="848"/>
      <c r="R1760" s="861"/>
      <c r="S1760" s="861"/>
      <c r="T1760" s="862">
        <v>0</v>
      </c>
      <c r="U1760" s="863"/>
      <c r="V1760" s="848"/>
      <c r="W1760" s="861"/>
      <c r="X1760" s="861"/>
      <c r="Y1760" s="862">
        <v>0</v>
      </c>
      <c r="Z1760" s="863"/>
      <c r="AA1760" s="864">
        <f t="shared" si="225"/>
        <v>0</v>
      </c>
      <c r="AB1760" s="865">
        <f t="shared" si="226"/>
        <v>0</v>
      </c>
      <c r="AC1760" s="848"/>
      <c r="AD1760" s="861"/>
      <c r="AE1760" s="861"/>
      <c r="AF1760" s="862"/>
      <c r="AG1760" s="864">
        <f t="shared" si="227"/>
        <v>0</v>
      </c>
    </row>
    <row r="1761" spans="2:37">
      <c r="B1761" s="502" t="s">
        <v>483</v>
      </c>
      <c r="C1761" s="861"/>
      <c r="D1761" s="861"/>
      <c r="E1761" s="862">
        <v>0</v>
      </c>
      <c r="F1761" s="863"/>
      <c r="G1761" s="848"/>
      <c r="H1761" s="861"/>
      <c r="I1761" s="861"/>
      <c r="J1761" s="862">
        <v>0</v>
      </c>
      <c r="K1761" s="863"/>
      <c r="L1761" s="848"/>
      <c r="M1761" s="861"/>
      <c r="N1761" s="861"/>
      <c r="O1761" s="862">
        <v>0</v>
      </c>
      <c r="P1761" s="863"/>
      <c r="Q1761" s="848"/>
      <c r="R1761" s="861"/>
      <c r="S1761" s="861"/>
      <c r="T1761" s="862">
        <v>0</v>
      </c>
      <c r="U1761" s="863"/>
      <c r="V1761" s="848"/>
      <c r="W1761" s="861"/>
      <c r="X1761" s="861"/>
      <c r="Y1761" s="862">
        <v>0</v>
      </c>
      <c r="Z1761" s="863"/>
      <c r="AA1761" s="864">
        <f t="shared" si="225"/>
        <v>0</v>
      </c>
      <c r="AB1761" s="865">
        <f t="shared" si="226"/>
        <v>0</v>
      </c>
      <c r="AC1761" s="848"/>
      <c r="AD1761" s="861"/>
      <c r="AE1761" s="861"/>
      <c r="AF1761" s="862"/>
      <c r="AG1761" s="864">
        <f t="shared" si="227"/>
        <v>0</v>
      </c>
    </row>
    <row r="1762" spans="2:37">
      <c r="B1762" s="502" t="s">
        <v>483</v>
      </c>
      <c r="C1762" s="861"/>
      <c r="D1762" s="861"/>
      <c r="E1762" s="862">
        <v>0</v>
      </c>
      <c r="F1762" s="863"/>
      <c r="G1762" s="848"/>
      <c r="H1762" s="861"/>
      <c r="I1762" s="861"/>
      <c r="J1762" s="862">
        <v>0</v>
      </c>
      <c r="K1762" s="863"/>
      <c r="L1762" s="848"/>
      <c r="M1762" s="861"/>
      <c r="N1762" s="861"/>
      <c r="O1762" s="862">
        <v>0</v>
      </c>
      <c r="P1762" s="863"/>
      <c r="Q1762" s="848"/>
      <c r="R1762" s="861"/>
      <c r="S1762" s="861"/>
      <c r="T1762" s="862">
        <v>0</v>
      </c>
      <c r="U1762" s="863"/>
      <c r="V1762" s="848"/>
      <c r="W1762" s="861"/>
      <c r="X1762" s="861"/>
      <c r="Y1762" s="862">
        <v>0</v>
      </c>
      <c r="Z1762" s="863"/>
      <c r="AA1762" s="864">
        <f t="shared" si="225"/>
        <v>0</v>
      </c>
      <c r="AB1762" s="865">
        <f t="shared" si="226"/>
        <v>0</v>
      </c>
      <c r="AC1762" s="848"/>
      <c r="AD1762" s="861"/>
      <c r="AE1762" s="861"/>
      <c r="AF1762" s="862"/>
      <c r="AG1762" s="864">
        <f t="shared" si="227"/>
        <v>0</v>
      </c>
    </row>
    <row r="1763" spans="2:37">
      <c r="B1763" s="502" t="s">
        <v>484</v>
      </c>
      <c r="C1763" s="861"/>
      <c r="D1763" s="861"/>
      <c r="E1763" s="862">
        <v>0</v>
      </c>
      <c r="F1763" s="863"/>
      <c r="G1763" s="848"/>
      <c r="H1763" s="861"/>
      <c r="I1763" s="861"/>
      <c r="J1763" s="862">
        <v>0</v>
      </c>
      <c r="K1763" s="863"/>
      <c r="L1763" s="848"/>
      <c r="M1763" s="861"/>
      <c r="N1763" s="861"/>
      <c r="O1763" s="862">
        <v>0</v>
      </c>
      <c r="P1763" s="863"/>
      <c r="Q1763" s="848"/>
      <c r="R1763" s="861"/>
      <c r="S1763" s="861"/>
      <c r="T1763" s="862">
        <v>0</v>
      </c>
      <c r="U1763" s="863"/>
      <c r="V1763" s="848"/>
      <c r="W1763" s="861"/>
      <c r="X1763" s="861"/>
      <c r="Y1763" s="862">
        <v>0</v>
      </c>
      <c r="Z1763" s="863"/>
      <c r="AA1763" s="864">
        <f t="shared" si="225"/>
        <v>0</v>
      </c>
      <c r="AB1763" s="865">
        <f t="shared" si="226"/>
        <v>0</v>
      </c>
      <c r="AC1763" s="848"/>
      <c r="AD1763" s="861"/>
      <c r="AE1763" s="861"/>
      <c r="AF1763" s="862"/>
      <c r="AG1763" s="864">
        <f t="shared" si="227"/>
        <v>0</v>
      </c>
    </row>
    <row r="1764" spans="2:37">
      <c r="B1764" s="502" t="s">
        <v>485</v>
      </c>
      <c r="C1764" s="861"/>
      <c r="D1764" s="861"/>
      <c r="E1764" s="862">
        <v>0</v>
      </c>
      <c r="F1764" s="863"/>
      <c r="G1764" s="848"/>
      <c r="H1764" s="861"/>
      <c r="I1764" s="861"/>
      <c r="J1764" s="862">
        <v>0</v>
      </c>
      <c r="K1764" s="863"/>
      <c r="L1764" s="848"/>
      <c r="M1764" s="861"/>
      <c r="N1764" s="861"/>
      <c r="O1764" s="862">
        <v>0</v>
      </c>
      <c r="P1764" s="863"/>
      <c r="Q1764" s="848"/>
      <c r="R1764" s="861"/>
      <c r="S1764" s="861"/>
      <c r="T1764" s="862">
        <v>0</v>
      </c>
      <c r="U1764" s="863"/>
      <c r="V1764" s="848"/>
      <c r="W1764" s="861"/>
      <c r="X1764" s="861"/>
      <c r="Y1764" s="862">
        <v>0</v>
      </c>
      <c r="Z1764" s="863"/>
      <c r="AA1764" s="864">
        <f t="shared" si="225"/>
        <v>0</v>
      </c>
      <c r="AB1764" s="865">
        <f t="shared" si="226"/>
        <v>0</v>
      </c>
      <c r="AC1764" s="848"/>
      <c r="AD1764" s="861"/>
      <c r="AE1764" s="861"/>
      <c r="AF1764" s="862"/>
      <c r="AG1764" s="864">
        <f t="shared" si="227"/>
        <v>0</v>
      </c>
    </row>
    <row r="1765" spans="2:37">
      <c r="B1765" s="502" t="s">
        <v>1129</v>
      </c>
      <c r="C1765" s="861"/>
      <c r="D1765" s="861"/>
      <c r="E1765" s="862">
        <v>0</v>
      </c>
      <c r="F1765" s="863"/>
      <c r="G1765" s="848"/>
      <c r="H1765" s="861"/>
      <c r="I1765" s="861"/>
      <c r="J1765" s="862">
        <v>0</v>
      </c>
      <c r="K1765" s="863"/>
      <c r="L1765" s="848"/>
      <c r="M1765" s="861"/>
      <c r="N1765" s="861"/>
      <c r="O1765" s="862">
        <v>0</v>
      </c>
      <c r="P1765" s="863"/>
      <c r="Q1765" s="848"/>
      <c r="R1765" s="861"/>
      <c r="S1765" s="861"/>
      <c r="T1765" s="862">
        <v>0</v>
      </c>
      <c r="U1765" s="863"/>
      <c r="V1765" s="848"/>
      <c r="W1765" s="861"/>
      <c r="X1765" s="861"/>
      <c r="Y1765" s="862">
        <v>0</v>
      </c>
      <c r="Z1765" s="863"/>
      <c r="AA1765" s="864">
        <f t="shared" si="225"/>
        <v>0</v>
      </c>
      <c r="AB1765" s="865">
        <f t="shared" si="226"/>
        <v>0</v>
      </c>
      <c r="AC1765" s="848"/>
      <c r="AD1765" s="861"/>
      <c r="AE1765" s="861"/>
      <c r="AF1765" s="862"/>
      <c r="AG1765" s="864">
        <f t="shared" si="227"/>
        <v>0</v>
      </c>
    </row>
    <row r="1766" spans="2:37">
      <c r="B1766" s="267" t="s">
        <v>358</v>
      </c>
      <c r="C1766" s="861"/>
      <c r="D1766" s="861"/>
      <c r="E1766" s="862">
        <v>0</v>
      </c>
      <c r="F1766" s="863"/>
      <c r="G1766" s="848"/>
      <c r="H1766" s="861"/>
      <c r="I1766" s="861"/>
      <c r="J1766" s="862">
        <v>0</v>
      </c>
      <c r="K1766" s="863"/>
      <c r="L1766" s="872"/>
      <c r="M1766" s="861"/>
      <c r="N1766" s="861"/>
      <c r="O1766" s="862">
        <v>0</v>
      </c>
      <c r="P1766" s="863"/>
      <c r="Q1766" s="872"/>
      <c r="R1766" s="861"/>
      <c r="S1766" s="861"/>
      <c r="T1766" s="862">
        <v>0</v>
      </c>
      <c r="U1766" s="863"/>
      <c r="V1766" s="872"/>
      <c r="W1766" s="861"/>
      <c r="X1766" s="861"/>
      <c r="Y1766" s="862">
        <v>0</v>
      </c>
      <c r="Z1766" s="863"/>
      <c r="AA1766" s="864">
        <f t="shared" si="225"/>
        <v>0</v>
      </c>
      <c r="AB1766" s="865">
        <f t="shared" si="226"/>
        <v>0</v>
      </c>
      <c r="AC1766" s="848"/>
      <c r="AD1766" s="861"/>
      <c r="AE1766" s="861"/>
      <c r="AF1766" s="862"/>
      <c r="AG1766" s="864">
        <f t="shared" si="227"/>
        <v>0</v>
      </c>
    </row>
    <row r="1767" spans="2:37">
      <c r="B1767" s="267" t="s">
        <v>991</v>
      </c>
      <c r="C1767" s="861"/>
      <c r="D1767" s="861"/>
      <c r="E1767" s="862">
        <v>0</v>
      </c>
      <c r="F1767" s="863"/>
      <c r="G1767" s="848"/>
      <c r="H1767" s="861"/>
      <c r="I1767" s="861"/>
      <c r="J1767" s="862">
        <v>0</v>
      </c>
      <c r="K1767" s="863"/>
      <c r="L1767" s="872"/>
      <c r="M1767" s="861"/>
      <c r="N1767" s="861"/>
      <c r="O1767" s="862">
        <v>0</v>
      </c>
      <c r="P1767" s="863"/>
      <c r="Q1767" s="872"/>
      <c r="R1767" s="861"/>
      <c r="S1767" s="861"/>
      <c r="T1767" s="862">
        <v>0</v>
      </c>
      <c r="U1767" s="863"/>
      <c r="V1767" s="872"/>
      <c r="W1767" s="861"/>
      <c r="X1767" s="861"/>
      <c r="Y1767" s="862">
        <v>0</v>
      </c>
      <c r="Z1767" s="863"/>
      <c r="AA1767" s="864">
        <f t="shared" si="225"/>
        <v>0</v>
      </c>
      <c r="AB1767" s="865">
        <f t="shared" si="226"/>
        <v>0</v>
      </c>
      <c r="AC1767" s="848"/>
      <c r="AD1767" s="861"/>
      <c r="AE1767" s="861"/>
      <c r="AF1767" s="862"/>
      <c r="AG1767" s="864">
        <f t="shared" si="227"/>
        <v>0</v>
      </c>
    </row>
    <row r="1768" spans="2:37">
      <c r="B1768" s="267" t="s">
        <v>411</v>
      </c>
      <c r="C1768" s="861"/>
      <c r="D1768" s="861"/>
      <c r="E1768" s="862">
        <v>0</v>
      </c>
      <c r="F1768" s="863"/>
      <c r="G1768" s="848"/>
      <c r="H1768" s="861"/>
      <c r="I1768" s="861"/>
      <c r="J1768" s="862">
        <v>0</v>
      </c>
      <c r="K1768" s="863"/>
      <c r="L1768" s="872"/>
      <c r="M1768" s="861"/>
      <c r="N1768" s="861"/>
      <c r="O1768" s="862">
        <v>0</v>
      </c>
      <c r="P1768" s="863"/>
      <c r="Q1768" s="872"/>
      <c r="R1768" s="861"/>
      <c r="S1768" s="861"/>
      <c r="T1768" s="862">
        <v>0</v>
      </c>
      <c r="U1768" s="863"/>
      <c r="V1768" s="872"/>
      <c r="W1768" s="861"/>
      <c r="X1768" s="861"/>
      <c r="Y1768" s="862">
        <v>0</v>
      </c>
      <c r="Z1768" s="863"/>
      <c r="AA1768" s="864">
        <f t="shared" si="225"/>
        <v>0</v>
      </c>
      <c r="AB1768" s="865">
        <f t="shared" si="226"/>
        <v>0</v>
      </c>
      <c r="AC1768" s="848"/>
      <c r="AD1768" s="861"/>
      <c r="AE1768" s="861"/>
      <c r="AF1768" s="862"/>
      <c r="AG1768" s="864">
        <f t="shared" si="227"/>
        <v>0</v>
      </c>
    </row>
    <row r="1769" spans="2:37">
      <c r="B1769" s="267" t="s">
        <v>361</v>
      </c>
      <c r="C1769" s="861"/>
      <c r="D1769" s="861"/>
      <c r="E1769" s="862">
        <v>0</v>
      </c>
      <c r="F1769" s="863"/>
      <c r="G1769" s="848"/>
      <c r="H1769" s="861"/>
      <c r="I1769" s="861"/>
      <c r="J1769" s="862">
        <v>0</v>
      </c>
      <c r="K1769" s="863"/>
      <c r="L1769" s="872"/>
      <c r="M1769" s="861"/>
      <c r="N1769" s="861"/>
      <c r="O1769" s="862">
        <v>0</v>
      </c>
      <c r="P1769" s="863"/>
      <c r="Q1769" s="872"/>
      <c r="R1769" s="861"/>
      <c r="S1769" s="861"/>
      <c r="T1769" s="862">
        <v>0</v>
      </c>
      <c r="U1769" s="863"/>
      <c r="V1769" s="872"/>
      <c r="W1769" s="861"/>
      <c r="X1769" s="861"/>
      <c r="Y1769" s="862">
        <v>0</v>
      </c>
      <c r="Z1769" s="863"/>
      <c r="AA1769" s="864">
        <f t="shared" si="225"/>
        <v>0</v>
      </c>
      <c r="AB1769" s="865">
        <f t="shared" si="226"/>
        <v>0</v>
      </c>
      <c r="AC1769" s="848"/>
      <c r="AD1769" s="861"/>
      <c r="AE1769" s="861"/>
      <c r="AF1769" s="862"/>
      <c r="AG1769" s="864">
        <f t="shared" si="227"/>
        <v>0</v>
      </c>
    </row>
    <row r="1770" spans="2:37">
      <c r="B1770" s="267" t="s">
        <v>362</v>
      </c>
      <c r="C1770" s="861"/>
      <c r="D1770" s="873"/>
      <c r="E1770" s="862">
        <v>0</v>
      </c>
      <c r="F1770" s="863"/>
      <c r="G1770" s="848"/>
      <c r="H1770" s="861"/>
      <c r="I1770" s="873"/>
      <c r="J1770" s="862">
        <v>0</v>
      </c>
      <c r="K1770" s="863"/>
      <c r="L1770" s="872"/>
      <c r="M1770" s="861"/>
      <c r="N1770" s="873"/>
      <c r="O1770" s="862">
        <v>0</v>
      </c>
      <c r="P1770" s="863"/>
      <c r="Q1770" s="872"/>
      <c r="R1770" s="861"/>
      <c r="S1770" s="873"/>
      <c r="T1770" s="862">
        <v>0</v>
      </c>
      <c r="U1770" s="863"/>
      <c r="V1770" s="872"/>
      <c r="W1770" s="861"/>
      <c r="X1770" s="873"/>
      <c r="Y1770" s="862">
        <v>0</v>
      </c>
      <c r="Z1770" s="863"/>
      <c r="AA1770" s="864">
        <f t="shared" si="225"/>
        <v>0</v>
      </c>
      <c r="AB1770" s="865">
        <f t="shared" si="226"/>
        <v>0</v>
      </c>
      <c r="AC1770" s="848"/>
      <c r="AD1770" s="861"/>
      <c r="AE1770" s="861"/>
      <c r="AF1770" s="862"/>
      <c r="AG1770" s="864">
        <f t="shared" si="227"/>
        <v>0</v>
      </c>
    </row>
    <row r="1771" spans="2:37">
      <c r="B1771" s="437" t="s">
        <v>355</v>
      </c>
      <c r="C1771" s="861"/>
      <c r="D1771" s="861"/>
      <c r="E1771" s="862">
        <v>0</v>
      </c>
      <c r="F1771" s="863"/>
      <c r="G1771" s="848"/>
      <c r="H1771" s="861"/>
      <c r="I1771" s="861"/>
      <c r="J1771" s="862">
        <v>0</v>
      </c>
      <c r="K1771" s="863"/>
      <c r="L1771" s="872"/>
      <c r="M1771" s="861"/>
      <c r="N1771" s="861"/>
      <c r="O1771" s="862">
        <v>0</v>
      </c>
      <c r="P1771" s="863"/>
      <c r="Q1771" s="872"/>
      <c r="R1771" s="861"/>
      <c r="S1771" s="861"/>
      <c r="T1771" s="862">
        <v>0</v>
      </c>
      <c r="U1771" s="863"/>
      <c r="V1771" s="872"/>
      <c r="W1771" s="861"/>
      <c r="X1771" s="861"/>
      <c r="Y1771" s="862">
        <v>0</v>
      </c>
      <c r="Z1771" s="863"/>
      <c r="AA1771" s="864">
        <f t="shared" si="225"/>
        <v>0</v>
      </c>
      <c r="AB1771" s="865">
        <f t="shared" si="226"/>
        <v>0</v>
      </c>
      <c r="AC1771" s="848"/>
      <c r="AD1771" s="861"/>
      <c r="AE1771" s="861"/>
      <c r="AF1771" s="862"/>
      <c r="AG1771" s="864">
        <f t="shared" si="227"/>
        <v>0</v>
      </c>
    </row>
    <row r="1772" spans="2:37">
      <c r="B1772" s="437" t="s">
        <v>356</v>
      </c>
      <c r="C1772" s="875"/>
      <c r="D1772" s="875"/>
      <c r="E1772" s="862">
        <v>0</v>
      </c>
      <c r="F1772" s="863"/>
      <c r="G1772" s="872"/>
      <c r="H1772" s="873"/>
      <c r="I1772" s="873"/>
      <c r="J1772" s="862">
        <v>0</v>
      </c>
      <c r="K1772" s="863"/>
      <c r="L1772" s="872"/>
      <c r="M1772" s="873"/>
      <c r="N1772" s="873"/>
      <c r="O1772" s="862">
        <v>0</v>
      </c>
      <c r="P1772" s="863"/>
      <c r="Q1772" s="872"/>
      <c r="R1772" s="873"/>
      <c r="S1772" s="873"/>
      <c r="T1772" s="862">
        <v>0</v>
      </c>
      <c r="U1772" s="863"/>
      <c r="V1772" s="872"/>
      <c r="W1772" s="873"/>
      <c r="X1772" s="873"/>
      <c r="Y1772" s="862">
        <v>0</v>
      </c>
      <c r="Z1772" s="863"/>
      <c r="AA1772" s="864">
        <f t="shared" si="225"/>
        <v>0</v>
      </c>
      <c r="AB1772" s="865">
        <f t="shared" si="226"/>
        <v>0</v>
      </c>
      <c r="AC1772" s="848"/>
      <c r="AD1772" s="861"/>
      <c r="AE1772" s="861"/>
      <c r="AF1772" s="862"/>
      <c r="AG1772" s="864">
        <f t="shared" si="227"/>
        <v>0</v>
      </c>
    </row>
    <row r="1773" spans="2:37">
      <c r="B1773" s="31" t="s">
        <v>61</v>
      </c>
      <c r="C1773" s="876"/>
      <c r="D1773" s="876"/>
      <c r="E1773" s="877">
        <f>SUM(E1729:E1772)</f>
        <v>0</v>
      </c>
      <c r="F1773" s="863"/>
      <c r="G1773" s="876"/>
      <c r="H1773" s="876"/>
      <c r="I1773" s="876"/>
      <c r="J1773" s="877">
        <f>SUM(J1729:J1772)</f>
        <v>15.5</v>
      </c>
      <c r="K1773" s="863"/>
      <c r="L1773" s="876"/>
      <c r="M1773" s="876"/>
      <c r="N1773" s="876"/>
      <c r="O1773" s="877">
        <f>SUM(O1729:O1772)</f>
        <v>22</v>
      </c>
      <c r="P1773" s="863"/>
      <c r="Q1773" s="876"/>
      <c r="R1773" s="876"/>
      <c r="S1773" s="876"/>
      <c r="T1773" s="877">
        <f>SUM(T1729:T1772)</f>
        <v>19</v>
      </c>
      <c r="U1773" s="863"/>
      <c r="V1773" s="876"/>
      <c r="W1773" s="876"/>
      <c r="X1773" s="876"/>
      <c r="Y1773" s="877">
        <f>SUM(Y1729:Y1772)</f>
        <v>6.5</v>
      </c>
      <c r="Z1773" s="863"/>
      <c r="AA1773" s="864">
        <f>SUM(AA1729:AA1772)</f>
        <v>63</v>
      </c>
      <c r="AB1773" s="864">
        <f>SUM(AB1729:AB1772)</f>
        <v>0</v>
      </c>
      <c r="AC1773" s="848"/>
      <c r="AD1773" s="876"/>
      <c r="AE1773" s="876"/>
      <c r="AF1773" s="864">
        <f>SUM(AF1729:AF1772)</f>
        <v>0</v>
      </c>
      <c r="AG1773" s="864">
        <f>SUM(AG1729:AG1772)</f>
        <v>0</v>
      </c>
    </row>
    <row r="1774" spans="2:37">
      <c r="B1774" s="267" t="s">
        <v>1116</v>
      </c>
      <c r="C1774" s="861"/>
      <c r="D1774" s="861"/>
      <c r="E1774" s="862">
        <v>0</v>
      </c>
      <c r="F1774" s="863"/>
      <c r="G1774" s="848"/>
      <c r="H1774" s="861"/>
      <c r="I1774" s="861"/>
      <c r="J1774" s="862">
        <v>4</v>
      </c>
      <c r="K1774" s="863"/>
      <c r="L1774" s="848"/>
      <c r="M1774" s="861"/>
      <c r="N1774" s="861"/>
      <c r="O1774" s="862">
        <v>4</v>
      </c>
      <c r="P1774" s="863"/>
      <c r="Q1774" s="848"/>
      <c r="R1774" s="861"/>
      <c r="S1774" s="861"/>
      <c r="T1774" s="862">
        <v>4</v>
      </c>
      <c r="U1774" s="863"/>
      <c r="V1774" s="848"/>
      <c r="W1774" s="861"/>
      <c r="X1774" s="861"/>
      <c r="Y1774" s="862">
        <v>4</v>
      </c>
      <c r="Z1774" s="863"/>
      <c r="AA1774" s="864">
        <f>(E1774+J1774+O1774+T1774+Y1774)</f>
        <v>16</v>
      </c>
      <c r="AB1774" s="865">
        <f>Z1774+U1774+P1774+K1774+F1774</f>
        <v>0</v>
      </c>
      <c r="AC1774" s="848"/>
      <c r="AD1774" s="861"/>
      <c r="AE1774" s="861"/>
      <c r="AF1774" s="862"/>
      <c r="AG1774" s="864">
        <f>AF1774</f>
        <v>0</v>
      </c>
    </row>
    <row r="1775" spans="2:37">
      <c r="B1775" s="267" t="s">
        <v>64</v>
      </c>
      <c r="C1775" s="861"/>
      <c r="D1775" s="861"/>
      <c r="E1775" s="862">
        <v>0</v>
      </c>
      <c r="F1775" s="862"/>
      <c r="G1775" s="878"/>
      <c r="H1775" s="861"/>
      <c r="I1775" s="861"/>
      <c r="J1775" s="862">
        <v>0</v>
      </c>
      <c r="K1775" s="862"/>
      <c r="L1775" s="872"/>
      <c r="M1775" s="861"/>
      <c r="N1775" s="861"/>
      <c r="O1775" s="862">
        <v>0</v>
      </c>
      <c r="P1775" s="862"/>
      <c r="Q1775" s="872"/>
      <c r="R1775" s="861"/>
      <c r="S1775" s="861"/>
      <c r="T1775" s="862">
        <v>0</v>
      </c>
      <c r="U1775" s="862"/>
      <c r="V1775" s="872"/>
      <c r="W1775" s="861"/>
      <c r="X1775" s="861"/>
      <c r="Y1775" s="862">
        <v>0</v>
      </c>
      <c r="Z1775" s="862"/>
      <c r="AA1775" s="864">
        <f>SUM(E1775+J1775+O1775+T1775+Y1775)</f>
        <v>0</v>
      </c>
      <c r="AB1775" s="855">
        <f>Z1775+U1775+P1775+K1775+F1775</f>
        <v>0</v>
      </c>
      <c r="AC1775" s="848"/>
      <c r="AD1775" s="861" t="s">
        <v>29</v>
      </c>
      <c r="AE1775" s="861" t="s">
        <v>29</v>
      </c>
      <c r="AF1775" s="862"/>
      <c r="AG1775" s="864">
        <f>AF1775</f>
        <v>0</v>
      </c>
    </row>
    <row r="1776" spans="2:37">
      <c r="B1776" s="71" t="s">
        <v>66</v>
      </c>
      <c r="C1776" s="879"/>
      <c r="D1776" s="879"/>
      <c r="E1776" s="878"/>
      <c r="F1776" s="878"/>
      <c r="G1776" s="878"/>
      <c r="H1776" s="878"/>
      <c r="I1776" s="878"/>
      <c r="J1776" s="878"/>
      <c r="K1776" s="878"/>
      <c r="L1776" s="878"/>
      <c r="M1776" s="878"/>
      <c r="N1776" s="878"/>
      <c r="O1776" s="878"/>
      <c r="P1776" s="878"/>
      <c r="Q1776" s="878"/>
      <c r="R1776" s="878"/>
      <c r="S1776" s="878"/>
      <c r="T1776" s="878"/>
      <c r="U1776" s="878"/>
      <c r="V1776" s="878"/>
      <c r="W1776" s="878"/>
      <c r="X1776" s="878"/>
      <c r="Y1776" s="878"/>
      <c r="Z1776" s="878"/>
      <c r="AA1776" s="864">
        <f>SUM(AA1774:AA1775)</f>
        <v>16</v>
      </c>
      <c r="AB1776" s="864">
        <f>SUM(AB1775:AB1775)</f>
        <v>0</v>
      </c>
      <c r="AC1776" s="848"/>
      <c r="AD1776" s="851"/>
      <c r="AE1776" s="851"/>
      <c r="AF1776" s="851"/>
      <c r="AG1776" s="864">
        <f>SUM(AG1775:AG1775)</f>
        <v>0</v>
      </c>
      <c r="AK1776" s="407"/>
    </row>
    <row r="1777" spans="2:42">
      <c r="B1777" s="899" t="s">
        <v>67</v>
      </c>
      <c r="C1777" s="882">
        <f>C1778+C1779</f>
        <v>8</v>
      </c>
      <c r="D1777" s="882"/>
      <c r="E1777" s="883"/>
      <c r="F1777" s="883"/>
      <c r="G1777" s="882"/>
      <c r="H1777" s="883"/>
      <c r="I1777" s="883"/>
      <c r="J1777" s="883"/>
      <c r="K1777" s="883"/>
      <c r="L1777" s="882"/>
      <c r="M1777" s="882"/>
      <c r="N1777" s="882"/>
      <c r="O1777" s="882"/>
      <c r="P1777" s="883"/>
      <c r="Q1777" s="882"/>
      <c r="R1777" s="882"/>
      <c r="S1777" s="882"/>
      <c r="T1777" s="882"/>
      <c r="U1777" s="883"/>
      <c r="V1777" s="882"/>
      <c r="W1777" s="882"/>
      <c r="X1777" s="882"/>
      <c r="Y1777" s="884"/>
      <c r="Z1777" s="883"/>
      <c r="AA1777" s="885"/>
      <c r="AB1777" s="883"/>
      <c r="AC1777" s="885"/>
      <c r="AD1777" s="885"/>
      <c r="AE1777" s="885"/>
      <c r="AF1777" s="885"/>
      <c r="AG1777" s="885"/>
      <c r="AK1777" s="407"/>
    </row>
    <row r="1778" spans="2:42">
      <c r="B1778" s="904" t="s">
        <v>68</v>
      </c>
      <c r="C1778" s="882">
        <v>0</v>
      </c>
      <c r="D1778" s="882"/>
      <c r="E1778" s="883"/>
      <c r="F1778" s="883"/>
      <c r="G1778" s="882"/>
      <c r="H1778" s="883"/>
      <c r="I1778" s="883"/>
      <c r="J1778" s="883"/>
      <c r="K1778" s="883"/>
      <c r="L1778" s="882"/>
      <c r="M1778" s="882"/>
      <c r="N1778" s="882"/>
      <c r="O1778" s="882"/>
      <c r="P1778" s="883"/>
      <c r="Q1778" s="882"/>
      <c r="R1778" s="882"/>
      <c r="S1778" s="882"/>
      <c r="T1778" s="882"/>
      <c r="U1778" s="883"/>
      <c r="V1778" s="882"/>
      <c r="W1778" s="882"/>
      <c r="X1778" s="882"/>
      <c r="Y1778" s="884"/>
      <c r="Z1778" s="883"/>
      <c r="AA1778" s="885"/>
      <c r="AB1778" s="883"/>
      <c r="AC1778" s="885"/>
      <c r="AD1778" s="885"/>
      <c r="AE1778" s="885"/>
      <c r="AF1778" s="885"/>
      <c r="AG1778" s="885"/>
      <c r="AK1778" s="407"/>
    </row>
    <row r="1779" spans="2:42">
      <c r="B1779" s="904" t="s">
        <v>69</v>
      </c>
      <c r="C1779" s="882">
        <v>8</v>
      </c>
      <c r="D1779" s="882"/>
      <c r="E1779" s="883"/>
      <c r="F1779" s="883"/>
      <c r="G1779" s="882"/>
      <c r="H1779" s="883"/>
      <c r="I1779" s="883"/>
      <c r="J1779" s="883"/>
      <c r="K1779" s="883"/>
      <c r="L1779" s="882"/>
      <c r="M1779" s="882"/>
      <c r="N1779" s="882"/>
      <c r="O1779" s="882"/>
      <c r="P1779" s="883"/>
      <c r="Q1779" s="882"/>
      <c r="R1779" s="882"/>
      <c r="S1779" s="882"/>
      <c r="T1779" s="882"/>
      <c r="U1779" s="883"/>
      <c r="V1779" s="882"/>
      <c r="W1779" s="882"/>
      <c r="X1779" s="882"/>
      <c r="Y1779" s="884"/>
      <c r="Z1779" s="883"/>
      <c r="AA1779" s="885"/>
      <c r="AB1779" s="883"/>
      <c r="AC1779" s="885"/>
      <c r="AD1779" s="885"/>
      <c r="AE1779" s="885"/>
      <c r="AF1779" s="885"/>
      <c r="AG1779" s="885"/>
    </row>
    <row r="1780" spans="2:42">
      <c r="C1780" s="851"/>
      <c r="D1780" s="851"/>
      <c r="E1780" s="866"/>
      <c r="F1780" s="866"/>
      <c r="G1780" s="866"/>
      <c r="H1780" s="851"/>
      <c r="I1780" s="851"/>
      <c r="J1780" s="866"/>
      <c r="K1780" s="866"/>
      <c r="L1780" s="866"/>
      <c r="M1780" s="851"/>
      <c r="N1780" s="851"/>
      <c r="O1780" s="866"/>
      <c r="P1780" s="866"/>
      <c r="Q1780" s="848"/>
      <c r="R1780" s="851"/>
      <c r="S1780" s="851"/>
      <c r="T1780" s="866"/>
      <c r="U1780" s="866"/>
      <c r="V1780" s="848"/>
      <c r="W1780" s="851"/>
      <c r="X1780" s="851"/>
      <c r="Y1780" s="866"/>
      <c r="Z1780" s="866"/>
      <c r="AA1780" s="866"/>
      <c r="AB1780" s="866"/>
      <c r="AC1780" s="866"/>
      <c r="AD1780" s="851"/>
      <c r="AE1780" s="851"/>
      <c r="AF1780" s="851"/>
      <c r="AG1780" s="851"/>
    </row>
    <row r="1781" spans="2:42">
      <c r="C1781" s="851"/>
      <c r="D1781" s="851"/>
      <c r="E1781" s="866"/>
      <c r="F1781" s="866"/>
      <c r="G1781" s="866"/>
      <c r="H1781" s="851"/>
      <c r="I1781" s="851"/>
      <c r="J1781" s="866"/>
      <c r="K1781" s="866"/>
      <c r="L1781" s="866"/>
      <c r="M1781" s="851"/>
      <c r="N1781" s="851"/>
      <c r="O1781" s="866"/>
      <c r="P1781" s="866"/>
      <c r="Q1781" s="848"/>
      <c r="R1781" s="851"/>
      <c r="S1781" s="851"/>
      <c r="T1781" s="866"/>
      <c r="U1781" s="866"/>
      <c r="V1781" s="848"/>
      <c r="W1781" s="851"/>
      <c r="X1781" s="851"/>
      <c r="Y1781" s="866"/>
      <c r="Z1781" s="866"/>
      <c r="AA1781" s="866"/>
      <c r="AB1781" s="866"/>
      <c r="AC1781" s="866"/>
      <c r="AD1781" s="851"/>
      <c r="AE1781" s="851"/>
      <c r="AF1781" s="851"/>
      <c r="AG1781" s="851"/>
    </row>
    <row r="1782" spans="2:42" ht="25.5">
      <c r="B1782" s="1571"/>
      <c r="C1782" s="1572">
        <v>46069</v>
      </c>
      <c r="D1782" s="1572"/>
      <c r="E1782" s="1572" t="s">
        <v>564</v>
      </c>
      <c r="F1782" s="1572"/>
      <c r="G1782" s="847"/>
      <c r="H1782" s="1572">
        <v>46070</v>
      </c>
      <c r="I1782" s="1572"/>
      <c r="J1782" s="1572" t="s">
        <v>565</v>
      </c>
      <c r="K1782" s="1572"/>
      <c r="L1782" s="847"/>
      <c r="M1782" s="1572">
        <v>46071</v>
      </c>
      <c r="N1782" s="1572"/>
      <c r="O1782" s="1572" t="s">
        <v>566</v>
      </c>
      <c r="P1782" s="1572"/>
      <c r="Q1782" s="847"/>
      <c r="R1782" s="1572">
        <v>46072</v>
      </c>
      <c r="S1782" s="1572"/>
      <c r="T1782" s="1572" t="s">
        <v>567</v>
      </c>
      <c r="U1782" s="1572"/>
      <c r="V1782" s="847"/>
      <c r="W1782" s="1572">
        <v>46073</v>
      </c>
      <c r="X1782" s="1572"/>
      <c r="Y1782" s="1572" t="s">
        <v>568</v>
      </c>
      <c r="Z1782" s="1572"/>
      <c r="AA1782" s="1573" t="s">
        <v>19</v>
      </c>
      <c r="AB1782" s="1573" t="s">
        <v>20</v>
      </c>
      <c r="AC1782" s="848"/>
      <c r="AD1782" s="1572"/>
      <c r="AE1782" s="1572"/>
      <c r="AF1782" s="849" t="s">
        <v>1111</v>
      </c>
      <c r="AG1782" s="1573" t="s">
        <v>21</v>
      </c>
      <c r="AK1782" s="194" t="s">
        <v>84</v>
      </c>
      <c r="AL1782" s="366"/>
      <c r="AM1782" s="366"/>
      <c r="AN1782" s="366"/>
      <c r="AO1782" s="366"/>
      <c r="AP1782" s="366"/>
    </row>
    <row r="1783" spans="2:42">
      <c r="B1783" s="1571"/>
      <c r="C1783" s="854" t="s">
        <v>23</v>
      </c>
      <c r="D1783" s="854" t="s">
        <v>24</v>
      </c>
      <c r="E1783" s="855" t="s">
        <v>25</v>
      </c>
      <c r="F1783" s="856" t="s">
        <v>14</v>
      </c>
      <c r="G1783" s="848"/>
      <c r="H1783" s="854" t="s">
        <v>23</v>
      </c>
      <c r="I1783" s="854" t="s">
        <v>24</v>
      </c>
      <c r="J1783" s="856" t="s">
        <v>25</v>
      </c>
      <c r="K1783" s="856" t="s">
        <v>14</v>
      </c>
      <c r="L1783" s="848"/>
      <c r="M1783" s="854" t="s">
        <v>23</v>
      </c>
      <c r="N1783" s="854" t="s">
        <v>24</v>
      </c>
      <c r="O1783" s="856" t="s">
        <v>25</v>
      </c>
      <c r="P1783" s="856" t="s">
        <v>14</v>
      </c>
      <c r="Q1783" s="848"/>
      <c r="R1783" s="854" t="s">
        <v>23</v>
      </c>
      <c r="S1783" s="854" t="s">
        <v>24</v>
      </c>
      <c r="T1783" s="856" t="s">
        <v>25</v>
      </c>
      <c r="U1783" s="856" t="s">
        <v>14</v>
      </c>
      <c r="V1783" s="848"/>
      <c r="W1783" s="854" t="s">
        <v>23</v>
      </c>
      <c r="X1783" s="854" t="s">
        <v>24</v>
      </c>
      <c r="Y1783" s="856" t="s">
        <v>25</v>
      </c>
      <c r="Z1783" s="856" t="s">
        <v>14</v>
      </c>
      <c r="AA1783" s="1573"/>
      <c r="AB1783" s="1573"/>
      <c r="AC1783" s="848"/>
      <c r="AD1783" s="854" t="s">
        <v>23</v>
      </c>
      <c r="AE1783" s="854" t="s">
        <v>24</v>
      </c>
      <c r="AF1783" s="856" t="s">
        <v>25</v>
      </c>
      <c r="AG1783" s="1573"/>
      <c r="AK1783" s="188" t="s">
        <v>26</v>
      </c>
      <c r="AL1783" s="196">
        <f>AA1828</f>
        <v>88</v>
      </c>
      <c r="AM1783" s="510">
        <v>40.31</v>
      </c>
      <c r="AN1783" s="510">
        <f t="shared" ref="AN1783:AN1788" si="228">AL1783*AM1783</f>
        <v>3547.28</v>
      </c>
    </row>
    <row r="1784" spans="2:42">
      <c r="B1784" s="47" t="s">
        <v>515</v>
      </c>
      <c r="C1784" s="861"/>
      <c r="D1784" s="861"/>
      <c r="E1784" s="862">
        <v>0</v>
      </c>
      <c r="F1784" s="863"/>
      <c r="G1784" s="848"/>
      <c r="H1784" s="861"/>
      <c r="I1784" s="861"/>
      <c r="J1784" s="862">
        <v>0</v>
      </c>
      <c r="K1784" s="863"/>
      <c r="L1784" s="848"/>
      <c r="M1784" s="861"/>
      <c r="N1784" s="861"/>
      <c r="O1784" s="862">
        <v>0</v>
      </c>
      <c r="P1784" s="863"/>
      <c r="Q1784" s="848"/>
      <c r="R1784" s="861"/>
      <c r="S1784" s="861"/>
      <c r="T1784" s="862">
        <v>0</v>
      </c>
      <c r="U1784" s="863"/>
      <c r="V1784" s="848"/>
      <c r="W1784" s="861"/>
      <c r="X1784" s="861"/>
      <c r="Y1784" s="862">
        <v>0</v>
      </c>
      <c r="Z1784" s="863"/>
      <c r="AA1784" s="864">
        <f t="shared" ref="AA1784:AA1827" si="229">(E1784+J1784+O1784+T1784+Y1784)</f>
        <v>0</v>
      </c>
      <c r="AB1784" s="865">
        <f t="shared" ref="AB1784:AB1827" si="230">Z1784+U1784+P1784+K1784+F1784</f>
        <v>0</v>
      </c>
      <c r="AC1784" s="848"/>
      <c r="AD1784" s="851"/>
      <c r="AE1784" s="851"/>
      <c r="AF1784" s="862"/>
      <c r="AG1784" s="864">
        <f t="shared" ref="AG1784:AG1827" si="231">AF1784</f>
        <v>0</v>
      </c>
      <c r="AK1784" s="188" t="s">
        <v>30</v>
      </c>
      <c r="AL1784" s="196">
        <f>AB1828</f>
        <v>0</v>
      </c>
      <c r="AM1784" s="510">
        <v>60.465000000000003</v>
      </c>
      <c r="AN1784" s="510">
        <f t="shared" si="228"/>
        <v>0</v>
      </c>
    </row>
    <row r="1785" spans="2:42">
      <c r="B1785" s="47" t="s">
        <v>1112</v>
      </c>
      <c r="C1785" s="861"/>
      <c r="D1785" s="861"/>
      <c r="E1785" s="862">
        <v>0</v>
      </c>
      <c r="F1785" s="863"/>
      <c r="G1785" s="848"/>
      <c r="H1785" s="861">
        <v>0.375</v>
      </c>
      <c r="I1785" s="861">
        <v>4.1666666666666664E-2</v>
      </c>
      <c r="J1785" s="862">
        <v>4</v>
      </c>
      <c r="K1785" s="863"/>
      <c r="L1785" s="848"/>
      <c r="M1785" s="861">
        <v>0.33333333333333331</v>
      </c>
      <c r="N1785" s="861">
        <v>0.5</v>
      </c>
      <c r="O1785" s="862">
        <v>4</v>
      </c>
      <c r="P1785" s="863"/>
      <c r="Q1785" s="848"/>
      <c r="R1785" s="861">
        <v>0.36458333333333331</v>
      </c>
      <c r="S1785" s="861">
        <v>0.53125</v>
      </c>
      <c r="T1785" s="862">
        <v>4</v>
      </c>
      <c r="U1785" s="863"/>
      <c r="V1785" s="848"/>
      <c r="W1785" s="861"/>
      <c r="X1785" s="861"/>
      <c r="Y1785" s="862">
        <v>0</v>
      </c>
      <c r="Z1785" s="863"/>
      <c r="AA1785" s="864">
        <f t="shared" si="229"/>
        <v>12</v>
      </c>
      <c r="AB1785" s="865">
        <f t="shared" si="230"/>
        <v>0</v>
      </c>
      <c r="AC1785" s="848"/>
      <c r="AD1785" s="861"/>
      <c r="AE1785" s="861"/>
      <c r="AF1785" s="862"/>
      <c r="AG1785" s="864">
        <f t="shared" si="231"/>
        <v>0</v>
      </c>
      <c r="AK1785" s="188" t="s">
        <v>32</v>
      </c>
      <c r="AL1785" s="196">
        <f>AG1828</f>
        <v>0</v>
      </c>
      <c r="AM1785" s="510">
        <v>60.465000000000003</v>
      </c>
      <c r="AN1785" s="510">
        <f t="shared" si="228"/>
        <v>0</v>
      </c>
    </row>
    <row r="1786" spans="2:42">
      <c r="B1786" s="47" t="s">
        <v>1141</v>
      </c>
      <c r="C1786" s="861"/>
      <c r="D1786" s="861"/>
      <c r="E1786" s="862">
        <v>0</v>
      </c>
      <c r="F1786" s="863"/>
      <c r="G1786" s="848"/>
      <c r="H1786" s="861"/>
      <c r="I1786" s="861"/>
      <c r="J1786" s="862">
        <v>0</v>
      </c>
      <c r="K1786" s="863"/>
      <c r="L1786" s="848"/>
      <c r="M1786" s="861"/>
      <c r="N1786" s="861"/>
      <c r="O1786" s="862">
        <v>0</v>
      </c>
      <c r="P1786" s="863"/>
      <c r="Q1786" s="848"/>
      <c r="R1786" s="861"/>
      <c r="S1786" s="861"/>
      <c r="T1786" s="862">
        <v>0</v>
      </c>
      <c r="U1786" s="863"/>
      <c r="V1786" s="848"/>
      <c r="W1786" s="861"/>
      <c r="X1786" s="861"/>
      <c r="Y1786" s="862">
        <v>0</v>
      </c>
      <c r="Z1786" s="863"/>
      <c r="AA1786" s="864">
        <f t="shared" si="229"/>
        <v>0</v>
      </c>
      <c r="AB1786" s="865">
        <f t="shared" si="230"/>
        <v>0</v>
      </c>
      <c r="AC1786" s="848"/>
      <c r="AD1786" s="861"/>
      <c r="AE1786" s="861"/>
      <c r="AF1786" s="862"/>
      <c r="AG1786" s="864">
        <f t="shared" si="231"/>
        <v>0</v>
      </c>
      <c r="AK1786" s="188" t="s">
        <v>213</v>
      </c>
      <c r="AL1786" s="196">
        <f>AA1831</f>
        <v>20</v>
      </c>
      <c r="AM1786" s="510">
        <v>53.05</v>
      </c>
      <c r="AN1786" s="510">
        <f t="shared" si="228"/>
        <v>1061</v>
      </c>
    </row>
    <row r="1787" spans="2:42">
      <c r="B1787" s="47" t="s">
        <v>72</v>
      </c>
      <c r="C1787" s="861"/>
      <c r="D1787" s="861"/>
      <c r="E1787" s="862">
        <v>0</v>
      </c>
      <c r="F1787" s="863"/>
      <c r="G1787" s="848"/>
      <c r="H1787" s="861"/>
      <c r="I1787" s="861"/>
      <c r="J1787" s="862">
        <v>0</v>
      </c>
      <c r="K1787" s="863"/>
      <c r="L1787" s="848"/>
      <c r="M1787" s="861"/>
      <c r="N1787" s="861"/>
      <c r="O1787" s="862">
        <v>0</v>
      </c>
      <c r="P1787" s="863"/>
      <c r="Q1787" s="848"/>
      <c r="R1787" s="861"/>
      <c r="S1787" s="861"/>
      <c r="T1787" s="862">
        <v>0</v>
      </c>
      <c r="U1787" s="863"/>
      <c r="V1787" s="848"/>
      <c r="W1787" s="861"/>
      <c r="X1787" s="861"/>
      <c r="Y1787" s="862">
        <v>0</v>
      </c>
      <c r="Z1787" s="863"/>
      <c r="AA1787" s="864">
        <f t="shared" si="229"/>
        <v>0</v>
      </c>
      <c r="AB1787" s="865">
        <f t="shared" si="230"/>
        <v>0</v>
      </c>
      <c r="AC1787" s="848"/>
      <c r="AD1787" s="861"/>
      <c r="AE1787" s="861"/>
      <c r="AF1787" s="862"/>
      <c r="AG1787" s="864">
        <f t="shared" si="231"/>
        <v>0</v>
      </c>
      <c r="AK1787" s="188" t="s">
        <v>36</v>
      </c>
      <c r="AL1787" s="196">
        <f>AB1831</f>
        <v>0</v>
      </c>
      <c r="AM1787" s="510">
        <v>79.574999999999989</v>
      </c>
      <c r="AN1787" s="510">
        <f t="shared" si="228"/>
        <v>0</v>
      </c>
    </row>
    <row r="1788" spans="2:42">
      <c r="B1788" s="374" t="s">
        <v>998</v>
      </c>
      <c r="C1788" s="861"/>
      <c r="D1788" s="861"/>
      <c r="E1788" s="862">
        <v>0</v>
      </c>
      <c r="F1788" s="863"/>
      <c r="G1788" s="848"/>
      <c r="H1788" s="861"/>
      <c r="I1788" s="861"/>
      <c r="J1788" s="862">
        <v>0</v>
      </c>
      <c r="K1788" s="863"/>
      <c r="L1788" s="848"/>
      <c r="M1788" s="861"/>
      <c r="N1788" s="861"/>
      <c r="O1788" s="862">
        <v>0</v>
      </c>
      <c r="P1788" s="863"/>
      <c r="Q1788" s="848"/>
      <c r="R1788" s="861">
        <v>0.41666666666666669</v>
      </c>
      <c r="S1788" s="861">
        <v>0.29166666666666669</v>
      </c>
      <c r="T1788" s="862">
        <v>8</v>
      </c>
      <c r="U1788" s="863"/>
      <c r="V1788" s="848"/>
      <c r="W1788" s="861"/>
      <c r="X1788" s="861"/>
      <c r="Y1788" s="862">
        <v>0</v>
      </c>
      <c r="Z1788" s="863"/>
      <c r="AA1788" s="864">
        <f t="shared" si="229"/>
        <v>8</v>
      </c>
      <c r="AB1788" s="865">
        <f t="shared" si="230"/>
        <v>0</v>
      </c>
      <c r="AC1788" s="848"/>
      <c r="AD1788" s="861"/>
      <c r="AE1788" s="861"/>
      <c r="AF1788" s="862"/>
      <c r="AG1788" s="864">
        <f t="shared" si="231"/>
        <v>0</v>
      </c>
      <c r="AK1788" s="188" t="s">
        <v>38</v>
      </c>
      <c r="AL1788" s="196">
        <f>AG1831</f>
        <v>0</v>
      </c>
      <c r="AM1788" s="510">
        <v>79.574999999999989</v>
      </c>
      <c r="AN1788" s="510">
        <f t="shared" si="228"/>
        <v>0</v>
      </c>
    </row>
    <row r="1789" spans="2:42">
      <c r="B1789" s="47" t="s">
        <v>53</v>
      </c>
      <c r="C1789" s="861"/>
      <c r="D1789" s="861"/>
      <c r="E1789" s="862">
        <v>0</v>
      </c>
      <c r="F1789" s="863"/>
      <c r="G1789" s="848"/>
      <c r="H1789" s="861"/>
      <c r="I1789" s="861"/>
      <c r="J1789" s="862">
        <v>0</v>
      </c>
      <c r="K1789" s="863"/>
      <c r="L1789" s="848"/>
      <c r="M1789" s="861"/>
      <c r="N1789" s="861"/>
      <c r="O1789" s="862">
        <v>0</v>
      </c>
      <c r="P1789" s="863"/>
      <c r="Q1789" s="848"/>
      <c r="R1789" s="861"/>
      <c r="S1789" s="861"/>
      <c r="T1789" s="862">
        <v>0</v>
      </c>
      <c r="U1789" s="863"/>
      <c r="V1789" s="848"/>
      <c r="W1789" s="861"/>
      <c r="X1789" s="861"/>
      <c r="Y1789" s="862">
        <v>0</v>
      </c>
      <c r="Z1789" s="863"/>
      <c r="AA1789" s="864">
        <f t="shared" si="229"/>
        <v>0</v>
      </c>
      <c r="AB1789" s="865">
        <f t="shared" si="230"/>
        <v>0</v>
      </c>
      <c r="AC1789" s="848"/>
      <c r="AD1789" s="861"/>
      <c r="AE1789" s="861"/>
      <c r="AF1789" s="862"/>
      <c r="AG1789" s="864">
        <f t="shared" si="231"/>
        <v>0</v>
      </c>
      <c r="AN1789" s="510">
        <f>SUM(AN1783:AN1788)</f>
        <v>4608.2800000000007</v>
      </c>
    </row>
    <row r="1790" spans="2:42">
      <c r="B1790" s="47" t="s">
        <v>241</v>
      </c>
      <c r="C1790" s="861"/>
      <c r="D1790" s="861"/>
      <c r="E1790" s="862">
        <v>0</v>
      </c>
      <c r="F1790" s="863"/>
      <c r="G1790" s="848"/>
      <c r="H1790" s="861"/>
      <c r="I1790" s="861"/>
      <c r="J1790" s="862">
        <v>0</v>
      </c>
      <c r="K1790" s="863"/>
      <c r="L1790" s="848"/>
      <c r="M1790" s="861"/>
      <c r="N1790" s="861"/>
      <c r="O1790" s="862">
        <v>0</v>
      </c>
      <c r="P1790" s="863"/>
      <c r="Q1790" s="848"/>
      <c r="R1790" s="861"/>
      <c r="S1790" s="861"/>
      <c r="T1790" s="862">
        <v>0</v>
      </c>
      <c r="U1790" s="863"/>
      <c r="V1790" s="848"/>
      <c r="W1790" s="861"/>
      <c r="X1790" s="861"/>
      <c r="Y1790" s="862">
        <v>0</v>
      </c>
      <c r="Z1790" s="863"/>
      <c r="AA1790" s="864">
        <f t="shared" si="229"/>
        <v>0</v>
      </c>
      <c r="AB1790" s="865">
        <f t="shared" si="230"/>
        <v>0</v>
      </c>
      <c r="AC1790" s="848"/>
      <c r="AD1790" s="861"/>
      <c r="AE1790" s="861"/>
      <c r="AF1790" s="862"/>
      <c r="AG1790" s="864">
        <f t="shared" si="231"/>
        <v>0</v>
      </c>
    </row>
    <row r="1791" spans="2:42">
      <c r="B1791" s="47" t="s">
        <v>1142</v>
      </c>
      <c r="C1791" s="861"/>
      <c r="D1791" s="867"/>
      <c r="E1791" s="862">
        <v>0</v>
      </c>
      <c r="F1791" s="863"/>
      <c r="G1791" s="848"/>
      <c r="H1791" s="861"/>
      <c r="I1791" s="861"/>
      <c r="J1791" s="862">
        <v>0</v>
      </c>
      <c r="K1791" s="863"/>
      <c r="L1791" s="848"/>
      <c r="M1791" s="861"/>
      <c r="N1791" s="861"/>
      <c r="O1791" s="862">
        <v>0</v>
      </c>
      <c r="P1791" s="863"/>
      <c r="Q1791" s="848"/>
      <c r="R1791" s="861"/>
      <c r="S1791" s="861"/>
      <c r="T1791" s="862">
        <v>0</v>
      </c>
      <c r="U1791" s="863"/>
      <c r="V1791" s="848"/>
      <c r="W1791" s="861">
        <v>0.45833333333333331</v>
      </c>
      <c r="X1791" s="861">
        <v>0.125</v>
      </c>
      <c r="Y1791" s="862">
        <v>4</v>
      </c>
      <c r="Z1791" s="863"/>
      <c r="AA1791" s="864">
        <f t="shared" si="229"/>
        <v>4</v>
      </c>
      <c r="AB1791" s="865">
        <f t="shared" si="230"/>
        <v>0</v>
      </c>
      <c r="AC1791" s="848"/>
      <c r="AD1791" s="861"/>
      <c r="AE1791" s="861"/>
      <c r="AF1791" s="862"/>
      <c r="AG1791" s="864">
        <f t="shared" si="231"/>
        <v>0</v>
      </c>
      <c r="AK1791" s="192" t="s">
        <v>1115</v>
      </c>
      <c r="AL1791" s="189">
        <f>C1832</f>
        <v>11</v>
      </c>
      <c r="AM1791" s="510">
        <v>45</v>
      </c>
      <c r="AN1791" s="510">
        <f>AM1791*AL1791</f>
        <v>495</v>
      </c>
    </row>
    <row r="1792" spans="2:42">
      <c r="B1792" s="47" t="s">
        <v>1143</v>
      </c>
      <c r="C1792" s="861"/>
      <c r="D1792" s="867"/>
      <c r="E1792" s="862">
        <v>0</v>
      </c>
      <c r="F1792" s="863"/>
      <c r="G1792" s="848"/>
      <c r="H1792" s="861"/>
      <c r="I1792" s="861"/>
      <c r="J1792" s="862">
        <v>0</v>
      </c>
      <c r="K1792" s="863"/>
      <c r="L1792" s="848"/>
      <c r="M1792" s="861"/>
      <c r="N1792" s="861"/>
      <c r="O1792" s="862">
        <v>0</v>
      </c>
      <c r="P1792" s="863"/>
      <c r="Q1792" s="848"/>
      <c r="R1792" s="861"/>
      <c r="S1792" s="861"/>
      <c r="T1792" s="862">
        <v>0</v>
      </c>
      <c r="U1792" s="863"/>
      <c r="V1792" s="848"/>
      <c r="W1792" s="861"/>
      <c r="X1792" s="861"/>
      <c r="Y1792" s="862">
        <v>0</v>
      </c>
      <c r="Z1792" s="863"/>
      <c r="AA1792" s="864">
        <f t="shared" si="229"/>
        <v>0</v>
      </c>
      <c r="AB1792" s="865">
        <f t="shared" si="230"/>
        <v>0</v>
      </c>
      <c r="AC1792" s="848"/>
      <c r="AD1792" s="861"/>
      <c r="AE1792" s="861"/>
      <c r="AF1792" s="862"/>
      <c r="AG1792" s="864">
        <f t="shared" si="231"/>
        <v>0</v>
      </c>
      <c r="AK1792" s="192"/>
      <c r="AL1792" s="189"/>
      <c r="AM1792" s="510"/>
      <c r="AN1792" s="510"/>
    </row>
    <row r="1793" spans="2:40">
      <c r="B1793" s="47" t="s">
        <v>1144</v>
      </c>
      <c r="C1793" s="861"/>
      <c r="D1793" s="867"/>
      <c r="E1793" s="862">
        <v>0</v>
      </c>
      <c r="F1793" s="863"/>
      <c r="G1793" s="848"/>
      <c r="H1793" s="861"/>
      <c r="I1793" s="861"/>
      <c r="J1793" s="862">
        <v>0</v>
      </c>
      <c r="K1793" s="863"/>
      <c r="L1793" s="848"/>
      <c r="M1793" s="861"/>
      <c r="N1793" s="861"/>
      <c r="O1793" s="862">
        <v>0</v>
      </c>
      <c r="P1793" s="863"/>
      <c r="Q1793" s="848"/>
      <c r="R1793" s="861"/>
      <c r="S1793" s="861"/>
      <c r="T1793" s="862">
        <v>0</v>
      </c>
      <c r="U1793" s="863"/>
      <c r="V1793" s="848"/>
      <c r="W1793" s="861"/>
      <c r="X1793" s="861"/>
      <c r="Y1793" s="862">
        <v>0</v>
      </c>
      <c r="Z1793" s="863"/>
      <c r="AA1793" s="864">
        <f t="shared" si="229"/>
        <v>0</v>
      </c>
      <c r="AB1793" s="865">
        <f t="shared" si="230"/>
        <v>0</v>
      </c>
      <c r="AC1793" s="848"/>
      <c r="AD1793" s="861"/>
      <c r="AE1793" s="861"/>
      <c r="AF1793" s="862"/>
      <c r="AG1793" s="864">
        <f t="shared" si="231"/>
        <v>0</v>
      </c>
      <c r="AK1793" s="192"/>
      <c r="AL1793" s="189"/>
      <c r="AM1793" s="510"/>
      <c r="AN1793" s="510"/>
    </row>
    <row r="1794" spans="2:40">
      <c r="B1794" s="47" t="s">
        <v>1113</v>
      </c>
      <c r="C1794" s="861"/>
      <c r="D1794" s="861"/>
      <c r="E1794" s="862">
        <v>0</v>
      </c>
      <c r="F1794" s="863"/>
      <c r="G1794" s="848"/>
      <c r="H1794" s="861"/>
      <c r="I1794" s="861"/>
      <c r="J1794" s="862">
        <v>0</v>
      </c>
      <c r="K1794" s="863"/>
      <c r="L1794" s="848"/>
      <c r="M1794" s="861"/>
      <c r="N1794" s="861"/>
      <c r="O1794" s="862">
        <v>0</v>
      </c>
      <c r="P1794" s="863"/>
      <c r="Q1794" s="848"/>
      <c r="R1794" s="861"/>
      <c r="S1794" s="861"/>
      <c r="T1794" s="862">
        <v>0</v>
      </c>
      <c r="U1794" s="863"/>
      <c r="V1794" s="848"/>
      <c r="W1794" s="861"/>
      <c r="X1794" s="861"/>
      <c r="Y1794" s="862">
        <v>0</v>
      </c>
      <c r="Z1794" s="863"/>
      <c r="AA1794" s="864">
        <f t="shared" si="229"/>
        <v>0</v>
      </c>
      <c r="AB1794" s="865">
        <f t="shared" si="230"/>
        <v>0</v>
      </c>
      <c r="AC1794" s="848"/>
      <c r="AD1794" s="861"/>
      <c r="AE1794" s="861"/>
      <c r="AF1794" s="862"/>
      <c r="AG1794" s="864">
        <f t="shared" si="231"/>
        <v>0</v>
      </c>
    </row>
    <row r="1795" spans="2:40">
      <c r="B1795" s="1306" t="s">
        <v>1145</v>
      </c>
      <c r="C1795" s="861"/>
      <c r="D1795" s="861"/>
      <c r="E1795" s="862">
        <v>0</v>
      </c>
      <c r="F1795" s="863"/>
      <c r="G1795" s="848"/>
      <c r="H1795" s="861"/>
      <c r="I1795" s="861"/>
      <c r="J1795" s="862">
        <v>0</v>
      </c>
      <c r="K1795" s="863"/>
      <c r="L1795" s="848"/>
      <c r="M1795" s="861"/>
      <c r="N1795" s="861"/>
      <c r="O1795" s="862">
        <v>0</v>
      </c>
      <c r="P1795" s="863"/>
      <c r="Q1795" s="848"/>
      <c r="R1795" s="861"/>
      <c r="S1795" s="861"/>
      <c r="T1795" s="862">
        <v>0</v>
      </c>
      <c r="U1795" s="863"/>
      <c r="V1795" s="848"/>
      <c r="W1795" s="861"/>
      <c r="X1795" s="861"/>
      <c r="Y1795" s="862">
        <v>0</v>
      </c>
      <c r="Z1795" s="863"/>
      <c r="AA1795" s="864">
        <f t="shared" si="229"/>
        <v>0</v>
      </c>
      <c r="AB1795" s="865">
        <f t="shared" si="230"/>
        <v>0</v>
      </c>
      <c r="AC1795" s="848"/>
      <c r="AD1795" s="861"/>
      <c r="AE1795" s="861"/>
      <c r="AF1795" s="862"/>
      <c r="AG1795" s="864">
        <f t="shared" si="231"/>
        <v>0</v>
      </c>
    </row>
    <row r="1796" spans="2:40">
      <c r="B1796" s="1306" t="s">
        <v>1146</v>
      </c>
      <c r="C1796" s="861"/>
      <c r="D1796" s="861"/>
      <c r="E1796" s="862">
        <v>0</v>
      </c>
      <c r="F1796" s="863"/>
      <c r="G1796" s="848"/>
      <c r="H1796" s="861"/>
      <c r="I1796" s="861"/>
      <c r="J1796" s="862">
        <v>0</v>
      </c>
      <c r="K1796" s="863"/>
      <c r="L1796" s="848"/>
      <c r="M1796" s="861"/>
      <c r="N1796" s="861"/>
      <c r="O1796" s="862">
        <v>0</v>
      </c>
      <c r="P1796" s="863"/>
      <c r="Q1796" s="848"/>
      <c r="R1796" s="861"/>
      <c r="S1796" s="861"/>
      <c r="T1796" s="862">
        <v>0</v>
      </c>
      <c r="U1796" s="863"/>
      <c r="V1796" s="848"/>
      <c r="W1796" s="861"/>
      <c r="X1796" s="861"/>
      <c r="Y1796" s="862">
        <v>0</v>
      </c>
      <c r="Z1796" s="863"/>
      <c r="AA1796" s="864">
        <f t="shared" si="229"/>
        <v>0</v>
      </c>
      <c r="AB1796" s="865">
        <f t="shared" si="230"/>
        <v>0</v>
      </c>
      <c r="AC1796" s="848"/>
      <c r="AD1796" s="861"/>
      <c r="AE1796" s="861"/>
      <c r="AF1796" s="862"/>
      <c r="AG1796" s="864">
        <f t="shared" si="231"/>
        <v>0</v>
      </c>
    </row>
    <row r="1797" spans="2:40">
      <c r="B1797" s="1306" t="s">
        <v>1147</v>
      </c>
      <c r="C1797" s="861"/>
      <c r="D1797" s="861"/>
      <c r="E1797" s="862">
        <v>0</v>
      </c>
      <c r="F1797" s="863"/>
      <c r="G1797" s="848"/>
      <c r="H1797" s="861"/>
      <c r="I1797" s="861"/>
      <c r="J1797" s="862">
        <v>0</v>
      </c>
      <c r="K1797" s="863"/>
      <c r="L1797" s="848"/>
      <c r="M1797" s="861"/>
      <c r="N1797" s="861"/>
      <c r="O1797" s="862">
        <v>0</v>
      </c>
      <c r="P1797" s="863"/>
      <c r="Q1797" s="848"/>
      <c r="R1797" s="861"/>
      <c r="S1797" s="861"/>
      <c r="T1797" s="862">
        <v>0</v>
      </c>
      <c r="U1797" s="863"/>
      <c r="V1797" s="848"/>
      <c r="W1797" s="861"/>
      <c r="X1797" s="861"/>
      <c r="Y1797" s="862">
        <v>0</v>
      </c>
      <c r="Z1797" s="863"/>
      <c r="AA1797" s="864">
        <f t="shared" si="229"/>
        <v>0</v>
      </c>
      <c r="AB1797" s="865">
        <f t="shared" si="230"/>
        <v>0</v>
      </c>
      <c r="AC1797" s="848"/>
      <c r="AD1797" s="861"/>
      <c r="AE1797" s="861"/>
      <c r="AF1797" s="862"/>
      <c r="AG1797" s="864">
        <f t="shared" si="231"/>
        <v>0</v>
      </c>
    </row>
    <row r="1798" spans="2:40">
      <c r="B1798" s="1306" t="s">
        <v>1148</v>
      </c>
      <c r="C1798" s="861"/>
      <c r="D1798" s="861"/>
      <c r="E1798" s="862">
        <v>0</v>
      </c>
      <c r="F1798" s="863"/>
      <c r="G1798" s="848"/>
      <c r="H1798" s="861"/>
      <c r="I1798" s="861"/>
      <c r="J1798" s="862">
        <v>0</v>
      </c>
      <c r="K1798" s="863"/>
      <c r="L1798" s="848"/>
      <c r="M1798" s="861"/>
      <c r="N1798" s="861"/>
      <c r="O1798" s="862">
        <v>0</v>
      </c>
      <c r="P1798" s="863"/>
      <c r="Q1798" s="848"/>
      <c r="R1798" s="861"/>
      <c r="S1798" s="861"/>
      <c r="T1798" s="862">
        <v>0</v>
      </c>
      <c r="U1798" s="863"/>
      <c r="V1798" s="848"/>
      <c r="W1798" s="861"/>
      <c r="X1798" s="861"/>
      <c r="Y1798" s="862">
        <v>0</v>
      </c>
      <c r="Z1798" s="863"/>
      <c r="AA1798" s="864">
        <f t="shared" si="229"/>
        <v>0</v>
      </c>
      <c r="AB1798" s="865">
        <f t="shared" si="230"/>
        <v>0</v>
      </c>
      <c r="AC1798" s="848"/>
      <c r="AD1798" s="861"/>
      <c r="AE1798" s="861"/>
      <c r="AF1798" s="862"/>
      <c r="AG1798" s="864">
        <f t="shared" si="231"/>
        <v>0</v>
      </c>
    </row>
    <row r="1799" spans="2:40">
      <c r="B1799" s="1306" t="s">
        <v>1149</v>
      </c>
      <c r="C1799" s="861"/>
      <c r="D1799" s="861"/>
      <c r="E1799" s="862">
        <v>0</v>
      </c>
      <c r="F1799" s="863"/>
      <c r="G1799" s="848"/>
      <c r="H1799" s="861"/>
      <c r="I1799" s="861"/>
      <c r="J1799" s="862">
        <v>0</v>
      </c>
      <c r="K1799" s="863"/>
      <c r="L1799" s="848"/>
      <c r="M1799" s="861"/>
      <c r="N1799" s="861"/>
      <c r="O1799" s="862">
        <v>0</v>
      </c>
      <c r="P1799" s="863"/>
      <c r="Q1799" s="848"/>
      <c r="R1799" s="861"/>
      <c r="S1799" s="861"/>
      <c r="T1799" s="862">
        <v>0</v>
      </c>
      <c r="U1799" s="863"/>
      <c r="V1799" s="848"/>
      <c r="W1799" s="861"/>
      <c r="X1799" s="861"/>
      <c r="Y1799" s="862">
        <v>0</v>
      </c>
      <c r="Z1799" s="863"/>
      <c r="AA1799" s="864">
        <f t="shared" si="229"/>
        <v>0</v>
      </c>
      <c r="AB1799" s="865">
        <f t="shared" si="230"/>
        <v>0</v>
      </c>
      <c r="AC1799" s="848"/>
      <c r="AD1799" s="861"/>
      <c r="AE1799" s="861"/>
      <c r="AF1799" s="862"/>
      <c r="AG1799" s="864">
        <f t="shared" si="231"/>
        <v>0</v>
      </c>
    </row>
    <row r="1800" spans="2:40">
      <c r="B1800" s="1306" t="s">
        <v>1150</v>
      </c>
      <c r="C1800" s="861"/>
      <c r="D1800" s="861"/>
      <c r="E1800" s="862">
        <v>0</v>
      </c>
      <c r="F1800" s="863"/>
      <c r="G1800" s="848"/>
      <c r="H1800" s="861"/>
      <c r="I1800" s="861"/>
      <c r="J1800" s="862">
        <v>0</v>
      </c>
      <c r="K1800" s="863"/>
      <c r="L1800" s="848"/>
      <c r="M1800" s="861"/>
      <c r="N1800" s="861"/>
      <c r="O1800" s="862">
        <v>0</v>
      </c>
      <c r="P1800" s="863"/>
      <c r="Q1800" s="848"/>
      <c r="R1800" s="861"/>
      <c r="S1800" s="861"/>
      <c r="T1800" s="862">
        <v>0</v>
      </c>
      <c r="U1800" s="863"/>
      <c r="V1800" s="848"/>
      <c r="W1800" s="861"/>
      <c r="X1800" s="861"/>
      <c r="Y1800" s="862">
        <v>0</v>
      </c>
      <c r="Z1800" s="863"/>
      <c r="AA1800" s="864">
        <f t="shared" si="229"/>
        <v>0</v>
      </c>
      <c r="AB1800" s="865">
        <f t="shared" si="230"/>
        <v>0</v>
      </c>
      <c r="AC1800" s="848"/>
      <c r="AD1800" s="861"/>
      <c r="AE1800" s="861"/>
      <c r="AF1800" s="862"/>
      <c r="AG1800" s="864">
        <f t="shared" si="231"/>
        <v>0</v>
      </c>
    </row>
    <row r="1801" spans="2:40">
      <c r="B1801" s="1306" t="s">
        <v>1151</v>
      </c>
      <c r="C1801" s="861"/>
      <c r="D1801" s="861"/>
      <c r="E1801" s="862">
        <v>0</v>
      </c>
      <c r="F1801" s="863"/>
      <c r="G1801" s="848"/>
      <c r="H1801" s="861"/>
      <c r="I1801" s="861"/>
      <c r="J1801" s="862">
        <v>0</v>
      </c>
      <c r="K1801" s="863"/>
      <c r="L1801" s="848"/>
      <c r="M1801" s="861">
        <v>0.35416666666666669</v>
      </c>
      <c r="N1801" s="861">
        <v>0.33333333333333331</v>
      </c>
      <c r="O1801" s="862">
        <v>9.5</v>
      </c>
      <c r="P1801" s="863"/>
      <c r="Q1801" s="848"/>
      <c r="R1801" s="861">
        <v>0.36458333333333331</v>
      </c>
      <c r="S1801" s="861">
        <v>0.26041666666666669</v>
      </c>
      <c r="T1801" s="862">
        <v>8</v>
      </c>
      <c r="U1801" s="863"/>
      <c r="V1801" s="848"/>
      <c r="W1801" s="861">
        <v>0.375</v>
      </c>
      <c r="X1801" s="861">
        <v>0.25</v>
      </c>
      <c r="Y1801" s="862">
        <v>8</v>
      </c>
      <c r="Z1801" s="863"/>
      <c r="AA1801" s="864">
        <f t="shared" si="229"/>
        <v>25.5</v>
      </c>
      <c r="AB1801" s="865">
        <f t="shared" si="230"/>
        <v>0</v>
      </c>
      <c r="AC1801" s="848"/>
      <c r="AD1801" s="861"/>
      <c r="AE1801" s="861"/>
      <c r="AF1801" s="862"/>
      <c r="AG1801" s="864">
        <f t="shared" si="231"/>
        <v>0</v>
      </c>
    </row>
    <row r="1802" spans="2:40">
      <c r="B1802" s="1306" t="s">
        <v>1152</v>
      </c>
      <c r="C1802" s="861"/>
      <c r="D1802" s="861"/>
      <c r="E1802" s="862">
        <v>0</v>
      </c>
      <c r="F1802" s="863"/>
      <c r="G1802" s="848"/>
      <c r="H1802" s="861"/>
      <c r="I1802" s="861"/>
      <c r="J1802" s="862">
        <v>0</v>
      </c>
      <c r="K1802" s="863"/>
      <c r="L1802" s="848"/>
      <c r="M1802" s="861"/>
      <c r="N1802" s="861"/>
      <c r="O1802" s="862">
        <v>0</v>
      </c>
      <c r="P1802" s="863"/>
      <c r="Q1802" s="848"/>
      <c r="R1802" s="861"/>
      <c r="S1802" s="861"/>
      <c r="T1802" s="862">
        <v>0</v>
      </c>
      <c r="U1802" s="863"/>
      <c r="V1802" s="848"/>
      <c r="W1802" s="861"/>
      <c r="X1802" s="861"/>
      <c r="Y1802" s="862">
        <v>0</v>
      </c>
      <c r="Z1802" s="863"/>
      <c r="AA1802" s="864">
        <f t="shared" si="229"/>
        <v>0</v>
      </c>
      <c r="AB1802" s="865">
        <f t="shared" si="230"/>
        <v>0</v>
      </c>
      <c r="AC1802" s="848"/>
      <c r="AD1802" s="861"/>
      <c r="AE1802" s="861"/>
      <c r="AF1802" s="862"/>
      <c r="AG1802" s="864">
        <f t="shared" si="231"/>
        <v>0</v>
      </c>
    </row>
    <row r="1803" spans="2:40">
      <c r="B1803" s="1306" t="s">
        <v>1153</v>
      </c>
      <c r="C1803" s="861"/>
      <c r="D1803" s="861"/>
      <c r="E1803" s="862">
        <v>0</v>
      </c>
      <c r="F1803" s="863"/>
      <c r="G1803" s="848"/>
      <c r="H1803" s="861"/>
      <c r="I1803" s="861"/>
      <c r="J1803" s="862">
        <v>0</v>
      </c>
      <c r="K1803" s="863"/>
      <c r="L1803" s="848"/>
      <c r="M1803" s="861"/>
      <c r="N1803" s="861"/>
      <c r="O1803" s="862">
        <v>0</v>
      </c>
      <c r="P1803" s="863"/>
      <c r="Q1803" s="848"/>
      <c r="R1803" s="861"/>
      <c r="S1803" s="861"/>
      <c r="T1803" s="862">
        <v>0</v>
      </c>
      <c r="U1803" s="863"/>
      <c r="V1803" s="848"/>
      <c r="W1803" s="861"/>
      <c r="X1803" s="861"/>
      <c r="Y1803" s="862">
        <v>0</v>
      </c>
      <c r="Z1803" s="863"/>
      <c r="AA1803" s="864">
        <f t="shared" si="229"/>
        <v>0</v>
      </c>
      <c r="AB1803" s="865">
        <f t="shared" si="230"/>
        <v>0</v>
      </c>
      <c r="AC1803" s="848"/>
      <c r="AD1803" s="861"/>
      <c r="AE1803" s="861"/>
      <c r="AF1803" s="862"/>
      <c r="AG1803" s="864">
        <f t="shared" si="231"/>
        <v>0</v>
      </c>
    </row>
    <row r="1804" spans="2:40">
      <c r="B1804" s="1306" t="s">
        <v>1154</v>
      </c>
      <c r="C1804" s="861"/>
      <c r="D1804" s="861"/>
      <c r="E1804" s="862">
        <v>0</v>
      </c>
      <c r="F1804" s="863"/>
      <c r="G1804" s="848"/>
      <c r="H1804" s="861"/>
      <c r="I1804" s="861"/>
      <c r="J1804" s="862">
        <v>0</v>
      </c>
      <c r="K1804" s="863"/>
      <c r="L1804" s="848"/>
      <c r="M1804" s="861"/>
      <c r="N1804" s="861"/>
      <c r="O1804" s="862">
        <v>0</v>
      </c>
      <c r="P1804" s="863"/>
      <c r="Q1804" s="848"/>
      <c r="R1804" s="861"/>
      <c r="S1804" s="861"/>
      <c r="T1804" s="862">
        <v>0</v>
      </c>
      <c r="U1804" s="863"/>
      <c r="V1804" s="848"/>
      <c r="W1804" s="861"/>
      <c r="X1804" s="861"/>
      <c r="Y1804" s="862">
        <v>0</v>
      </c>
      <c r="Z1804" s="863"/>
      <c r="AA1804" s="864">
        <f t="shared" si="229"/>
        <v>0</v>
      </c>
      <c r="AB1804" s="865">
        <f t="shared" si="230"/>
        <v>0</v>
      </c>
      <c r="AC1804" s="848"/>
      <c r="AD1804" s="861"/>
      <c r="AE1804" s="861"/>
      <c r="AF1804" s="862"/>
      <c r="AG1804" s="864">
        <f t="shared" si="231"/>
        <v>0</v>
      </c>
    </row>
    <row r="1805" spans="2:40">
      <c r="B1805" s="1306" t="s">
        <v>1155</v>
      </c>
      <c r="C1805" s="861"/>
      <c r="D1805" s="861"/>
      <c r="E1805" s="862">
        <v>0</v>
      </c>
      <c r="F1805" s="863"/>
      <c r="G1805" s="848"/>
      <c r="H1805" s="861">
        <v>0.5</v>
      </c>
      <c r="I1805" s="861">
        <v>0.29166666666666669</v>
      </c>
      <c r="J1805" s="862">
        <v>7</v>
      </c>
      <c r="K1805" s="863"/>
      <c r="L1805" s="848"/>
      <c r="M1805" s="861">
        <v>0.39583333333333331</v>
      </c>
      <c r="N1805" s="861">
        <v>0.33333333333333331</v>
      </c>
      <c r="O1805" s="862">
        <v>10</v>
      </c>
      <c r="P1805" s="863"/>
      <c r="Q1805" s="848"/>
      <c r="R1805" s="861"/>
      <c r="S1805" s="861"/>
      <c r="T1805" s="862">
        <v>0</v>
      </c>
      <c r="U1805" s="863"/>
      <c r="V1805" s="848"/>
      <c r="W1805" s="861">
        <v>0.375</v>
      </c>
      <c r="X1805" s="861">
        <v>0.375</v>
      </c>
      <c r="Y1805" s="862">
        <v>11</v>
      </c>
      <c r="Z1805" s="863"/>
      <c r="AA1805" s="864">
        <f t="shared" si="229"/>
        <v>28</v>
      </c>
      <c r="AB1805" s="865">
        <f t="shared" si="230"/>
        <v>0</v>
      </c>
      <c r="AC1805" s="848"/>
      <c r="AD1805" s="861"/>
      <c r="AE1805" s="861"/>
      <c r="AF1805" s="862"/>
      <c r="AG1805" s="864">
        <f t="shared" si="231"/>
        <v>0</v>
      </c>
    </row>
    <row r="1806" spans="2:40">
      <c r="B1806" s="1306" t="s">
        <v>1156</v>
      </c>
      <c r="C1806" s="861"/>
      <c r="D1806" s="861"/>
      <c r="E1806" s="862">
        <v>0</v>
      </c>
      <c r="F1806" s="863"/>
      <c r="G1806" s="848"/>
      <c r="H1806" s="861"/>
      <c r="I1806" s="861"/>
      <c r="J1806" s="862">
        <v>0</v>
      </c>
      <c r="K1806" s="863"/>
      <c r="L1806" s="848"/>
      <c r="M1806" s="861"/>
      <c r="N1806" s="861"/>
      <c r="O1806" s="862">
        <v>0</v>
      </c>
      <c r="P1806" s="863"/>
      <c r="Q1806" s="848"/>
      <c r="R1806" s="861"/>
      <c r="S1806" s="861"/>
      <c r="T1806" s="862">
        <v>0</v>
      </c>
      <c r="U1806" s="863"/>
      <c r="V1806" s="848"/>
      <c r="W1806" s="861"/>
      <c r="X1806" s="861"/>
      <c r="Y1806" s="862">
        <v>0</v>
      </c>
      <c r="Z1806" s="863"/>
      <c r="AA1806" s="864">
        <f t="shared" si="229"/>
        <v>0</v>
      </c>
      <c r="AB1806" s="865">
        <f t="shared" si="230"/>
        <v>0</v>
      </c>
      <c r="AC1806" s="848"/>
      <c r="AD1806" s="861"/>
      <c r="AE1806" s="861"/>
      <c r="AF1806" s="862"/>
      <c r="AG1806" s="864">
        <f t="shared" si="231"/>
        <v>0</v>
      </c>
    </row>
    <row r="1807" spans="2:40">
      <c r="B1807" s="1306" t="s">
        <v>1157</v>
      </c>
      <c r="C1807" s="861"/>
      <c r="D1807" s="861"/>
      <c r="E1807" s="862">
        <v>0</v>
      </c>
      <c r="F1807" s="863"/>
      <c r="G1807" s="848"/>
      <c r="H1807" s="861"/>
      <c r="I1807" s="861"/>
      <c r="J1807" s="862">
        <v>0</v>
      </c>
      <c r="K1807" s="863"/>
      <c r="L1807" s="848"/>
      <c r="M1807" s="861"/>
      <c r="N1807" s="861"/>
      <c r="O1807" s="862">
        <v>0</v>
      </c>
      <c r="P1807" s="863"/>
      <c r="Q1807" s="848"/>
      <c r="R1807" s="861"/>
      <c r="S1807" s="861"/>
      <c r="T1807" s="862">
        <v>0</v>
      </c>
      <c r="U1807" s="863"/>
      <c r="V1807" s="848"/>
      <c r="W1807" s="861"/>
      <c r="X1807" s="861"/>
      <c r="Y1807" s="862">
        <v>0</v>
      </c>
      <c r="Z1807" s="863"/>
      <c r="AA1807" s="864">
        <f t="shared" si="229"/>
        <v>0</v>
      </c>
      <c r="AB1807" s="865">
        <f t="shared" si="230"/>
        <v>0</v>
      </c>
      <c r="AC1807" s="848"/>
      <c r="AD1807" s="861"/>
      <c r="AE1807" s="861"/>
      <c r="AF1807" s="862"/>
      <c r="AG1807" s="864">
        <f t="shared" si="231"/>
        <v>0</v>
      </c>
    </row>
    <row r="1808" spans="2:40">
      <c r="B1808" s="1306" t="s">
        <v>1158</v>
      </c>
      <c r="C1808" s="861"/>
      <c r="D1808" s="861"/>
      <c r="E1808" s="862">
        <v>0</v>
      </c>
      <c r="F1808" s="863"/>
      <c r="G1808" s="848"/>
      <c r="H1808" s="861"/>
      <c r="I1808" s="861"/>
      <c r="J1808" s="862">
        <v>0</v>
      </c>
      <c r="K1808" s="863"/>
      <c r="L1808" s="848"/>
      <c r="M1808" s="861"/>
      <c r="N1808" s="861"/>
      <c r="O1808" s="862">
        <v>0</v>
      </c>
      <c r="P1808" s="863"/>
      <c r="Q1808" s="848"/>
      <c r="R1808" s="861"/>
      <c r="S1808" s="861"/>
      <c r="T1808" s="862">
        <v>0</v>
      </c>
      <c r="U1808" s="863"/>
      <c r="V1808" s="848"/>
      <c r="W1808" s="861"/>
      <c r="X1808" s="861"/>
      <c r="Y1808" s="862">
        <v>0</v>
      </c>
      <c r="Z1808" s="863"/>
      <c r="AA1808" s="864">
        <f t="shared" si="229"/>
        <v>0</v>
      </c>
      <c r="AB1808" s="865">
        <f t="shared" si="230"/>
        <v>0</v>
      </c>
      <c r="AC1808" s="848"/>
      <c r="AD1808" s="861"/>
      <c r="AE1808" s="861"/>
      <c r="AF1808" s="862"/>
      <c r="AG1808" s="864">
        <f t="shared" si="231"/>
        <v>0</v>
      </c>
    </row>
    <row r="1809" spans="2:33">
      <c r="B1809" s="1306" t="s">
        <v>1159</v>
      </c>
      <c r="C1809" s="861"/>
      <c r="D1809" s="861"/>
      <c r="E1809" s="862">
        <v>0</v>
      </c>
      <c r="F1809" s="863"/>
      <c r="G1809" s="848"/>
      <c r="H1809" s="861"/>
      <c r="I1809" s="861"/>
      <c r="J1809" s="862">
        <v>0</v>
      </c>
      <c r="K1809" s="863"/>
      <c r="L1809" s="848"/>
      <c r="M1809" s="861"/>
      <c r="N1809" s="861"/>
      <c r="O1809" s="862">
        <v>0</v>
      </c>
      <c r="P1809" s="863"/>
      <c r="Q1809" s="848"/>
      <c r="R1809" s="861"/>
      <c r="S1809" s="861"/>
      <c r="T1809" s="862">
        <v>0</v>
      </c>
      <c r="U1809" s="863"/>
      <c r="V1809" s="848"/>
      <c r="W1809" s="861"/>
      <c r="X1809" s="861"/>
      <c r="Y1809" s="862">
        <v>0</v>
      </c>
      <c r="Z1809" s="863"/>
      <c r="AA1809" s="864">
        <f t="shared" si="229"/>
        <v>0</v>
      </c>
      <c r="AB1809" s="865">
        <f t="shared" si="230"/>
        <v>0</v>
      </c>
      <c r="AC1809" s="848"/>
      <c r="AD1809" s="861"/>
      <c r="AE1809" s="861"/>
      <c r="AF1809" s="862"/>
      <c r="AG1809" s="864">
        <f t="shared" si="231"/>
        <v>0</v>
      </c>
    </row>
    <row r="1810" spans="2:33">
      <c r="B1810" s="1306" t="s">
        <v>1160</v>
      </c>
      <c r="C1810" s="861"/>
      <c r="D1810" s="861"/>
      <c r="E1810" s="862">
        <v>0</v>
      </c>
      <c r="F1810" s="863"/>
      <c r="G1810" s="848"/>
      <c r="H1810" s="861"/>
      <c r="I1810" s="861"/>
      <c r="J1810" s="862">
        <v>0</v>
      </c>
      <c r="K1810" s="863"/>
      <c r="L1810" s="848"/>
      <c r="M1810" s="861"/>
      <c r="N1810" s="861"/>
      <c r="O1810" s="862">
        <v>0</v>
      </c>
      <c r="P1810" s="863"/>
      <c r="Q1810" s="848"/>
      <c r="R1810" s="861"/>
      <c r="S1810" s="861"/>
      <c r="T1810" s="862">
        <v>0</v>
      </c>
      <c r="U1810" s="863"/>
      <c r="V1810" s="848"/>
      <c r="W1810" s="861"/>
      <c r="X1810" s="861"/>
      <c r="Y1810" s="862">
        <v>0</v>
      </c>
      <c r="Z1810" s="863"/>
      <c r="AA1810" s="864">
        <f t="shared" si="229"/>
        <v>0</v>
      </c>
      <c r="AB1810" s="865">
        <f t="shared" si="230"/>
        <v>0</v>
      </c>
      <c r="AC1810" s="848"/>
      <c r="AD1810" s="861"/>
      <c r="AE1810" s="861"/>
      <c r="AF1810" s="862"/>
      <c r="AG1810" s="864">
        <f t="shared" si="231"/>
        <v>0</v>
      </c>
    </row>
    <row r="1811" spans="2:33">
      <c r="B1811" s="1306" t="s">
        <v>1161</v>
      </c>
      <c r="C1811" s="861"/>
      <c r="D1811" s="861"/>
      <c r="E1811" s="862">
        <v>0</v>
      </c>
      <c r="F1811" s="863"/>
      <c r="G1811" s="848"/>
      <c r="H1811" s="861"/>
      <c r="I1811" s="861"/>
      <c r="J1811" s="862">
        <v>0</v>
      </c>
      <c r="K1811" s="863"/>
      <c r="L1811" s="848"/>
      <c r="M1811" s="861"/>
      <c r="N1811" s="861"/>
      <c r="O1811" s="862">
        <v>0</v>
      </c>
      <c r="P1811" s="863"/>
      <c r="Q1811" s="848"/>
      <c r="R1811" s="861"/>
      <c r="S1811" s="861"/>
      <c r="T1811" s="862">
        <v>0</v>
      </c>
      <c r="U1811" s="863"/>
      <c r="V1811" s="848"/>
      <c r="W1811" s="861"/>
      <c r="X1811" s="861"/>
      <c r="Y1811" s="862">
        <v>0</v>
      </c>
      <c r="Z1811" s="863"/>
      <c r="AA1811" s="864">
        <f t="shared" si="229"/>
        <v>0</v>
      </c>
      <c r="AB1811" s="865">
        <f t="shared" si="230"/>
        <v>0</v>
      </c>
      <c r="AC1811" s="848"/>
      <c r="AD1811" s="861"/>
      <c r="AE1811" s="861"/>
      <c r="AF1811" s="862"/>
      <c r="AG1811" s="864">
        <f t="shared" si="231"/>
        <v>0</v>
      </c>
    </row>
    <row r="1812" spans="2:33">
      <c r="B1812" s="1306" t="s">
        <v>1162</v>
      </c>
      <c r="C1812" s="861"/>
      <c r="D1812" s="861"/>
      <c r="E1812" s="862">
        <v>0</v>
      </c>
      <c r="F1812" s="863"/>
      <c r="G1812" s="848"/>
      <c r="H1812" s="861"/>
      <c r="I1812" s="861"/>
      <c r="J1812" s="862">
        <v>0</v>
      </c>
      <c r="K1812" s="863"/>
      <c r="L1812" s="848"/>
      <c r="M1812" s="861"/>
      <c r="N1812" s="861"/>
      <c r="O1812" s="862">
        <v>0</v>
      </c>
      <c r="P1812" s="863"/>
      <c r="Q1812" s="848"/>
      <c r="R1812" s="861"/>
      <c r="S1812" s="861"/>
      <c r="T1812" s="862">
        <v>0</v>
      </c>
      <c r="U1812" s="863"/>
      <c r="V1812" s="848"/>
      <c r="W1812" s="861"/>
      <c r="X1812" s="861"/>
      <c r="Y1812" s="862">
        <v>0</v>
      </c>
      <c r="Z1812" s="863"/>
      <c r="AA1812" s="864">
        <f t="shared" si="229"/>
        <v>0</v>
      </c>
      <c r="AB1812" s="865">
        <f t="shared" si="230"/>
        <v>0</v>
      </c>
      <c r="AC1812" s="848"/>
      <c r="AD1812" s="861"/>
      <c r="AE1812" s="861"/>
      <c r="AF1812" s="862"/>
      <c r="AG1812" s="864">
        <f t="shared" si="231"/>
        <v>0</v>
      </c>
    </row>
    <row r="1813" spans="2:33">
      <c r="B1813" s="1306" t="s">
        <v>1163</v>
      </c>
      <c r="C1813" s="861"/>
      <c r="D1813" s="861"/>
      <c r="E1813" s="862">
        <v>0</v>
      </c>
      <c r="F1813" s="863"/>
      <c r="G1813" s="848"/>
      <c r="H1813" s="861"/>
      <c r="I1813" s="861"/>
      <c r="J1813" s="862">
        <v>0</v>
      </c>
      <c r="K1813" s="863"/>
      <c r="L1813" s="848"/>
      <c r="M1813" s="861"/>
      <c r="N1813" s="861"/>
      <c r="O1813" s="862">
        <v>0</v>
      </c>
      <c r="P1813" s="863"/>
      <c r="Q1813" s="848"/>
      <c r="R1813" s="861"/>
      <c r="S1813" s="861"/>
      <c r="T1813" s="862">
        <v>0</v>
      </c>
      <c r="U1813" s="863"/>
      <c r="V1813" s="848"/>
      <c r="W1813" s="861"/>
      <c r="X1813" s="861"/>
      <c r="Y1813" s="862">
        <v>0</v>
      </c>
      <c r="Z1813" s="863"/>
      <c r="AA1813" s="864">
        <f t="shared" si="229"/>
        <v>0</v>
      </c>
      <c r="AB1813" s="865">
        <f t="shared" si="230"/>
        <v>0</v>
      </c>
      <c r="AC1813" s="848"/>
      <c r="AD1813" s="861"/>
      <c r="AE1813" s="861"/>
      <c r="AF1813" s="862"/>
      <c r="AG1813" s="864">
        <f t="shared" si="231"/>
        <v>0</v>
      </c>
    </row>
    <row r="1814" spans="2:33">
      <c r="B1814" s="1306" t="s">
        <v>1164</v>
      </c>
      <c r="C1814" s="861"/>
      <c r="D1814" s="861"/>
      <c r="E1814" s="862">
        <v>0</v>
      </c>
      <c r="F1814" s="863"/>
      <c r="G1814" s="848"/>
      <c r="H1814" s="861"/>
      <c r="I1814" s="861"/>
      <c r="J1814" s="862">
        <v>0</v>
      </c>
      <c r="K1814" s="863"/>
      <c r="L1814" s="848"/>
      <c r="M1814" s="861"/>
      <c r="N1814" s="861"/>
      <c r="O1814" s="862">
        <v>0</v>
      </c>
      <c r="P1814" s="863"/>
      <c r="Q1814" s="848"/>
      <c r="R1814" s="861"/>
      <c r="S1814" s="861"/>
      <c r="T1814" s="862">
        <v>0</v>
      </c>
      <c r="U1814" s="863"/>
      <c r="V1814" s="848"/>
      <c r="W1814" s="861"/>
      <c r="X1814" s="861"/>
      <c r="Y1814" s="862">
        <v>0</v>
      </c>
      <c r="Z1814" s="863"/>
      <c r="AA1814" s="864">
        <f t="shared" si="229"/>
        <v>0</v>
      </c>
      <c r="AB1814" s="865">
        <f t="shared" si="230"/>
        <v>0</v>
      </c>
      <c r="AC1814" s="848"/>
      <c r="AD1814" s="861"/>
      <c r="AE1814" s="861"/>
      <c r="AF1814" s="862"/>
      <c r="AG1814" s="864">
        <f t="shared" si="231"/>
        <v>0</v>
      </c>
    </row>
    <row r="1815" spans="2:33">
      <c r="B1815" s="1306" t="s">
        <v>1165</v>
      </c>
      <c r="C1815" s="861"/>
      <c r="D1815" s="861"/>
      <c r="E1815" s="862">
        <v>0</v>
      </c>
      <c r="F1815" s="863"/>
      <c r="G1815" s="848"/>
      <c r="H1815" s="861"/>
      <c r="I1815" s="861"/>
      <c r="J1815" s="862">
        <v>0</v>
      </c>
      <c r="K1815" s="863"/>
      <c r="L1815" s="848"/>
      <c r="M1815" s="861"/>
      <c r="N1815" s="861"/>
      <c r="O1815" s="862">
        <v>0</v>
      </c>
      <c r="P1815" s="863"/>
      <c r="Q1815" s="848"/>
      <c r="R1815" s="861"/>
      <c r="S1815" s="861"/>
      <c r="T1815" s="862">
        <v>0</v>
      </c>
      <c r="U1815" s="863"/>
      <c r="V1815" s="848"/>
      <c r="W1815" s="861"/>
      <c r="X1815" s="861"/>
      <c r="Y1815" s="862">
        <v>0</v>
      </c>
      <c r="Z1815" s="863"/>
      <c r="AA1815" s="864">
        <f t="shared" si="229"/>
        <v>0</v>
      </c>
      <c r="AB1815" s="865">
        <f t="shared" si="230"/>
        <v>0</v>
      </c>
      <c r="AC1815" s="848"/>
      <c r="AD1815" s="861"/>
      <c r="AE1815" s="861"/>
      <c r="AF1815" s="862"/>
      <c r="AG1815" s="864">
        <f t="shared" si="231"/>
        <v>0</v>
      </c>
    </row>
    <row r="1816" spans="2:33">
      <c r="B1816" s="502" t="s">
        <v>483</v>
      </c>
      <c r="C1816" s="861"/>
      <c r="D1816" s="861"/>
      <c r="E1816" s="862">
        <v>0</v>
      </c>
      <c r="F1816" s="863"/>
      <c r="G1816" s="848"/>
      <c r="H1816" s="861"/>
      <c r="I1816" s="861"/>
      <c r="J1816" s="862">
        <v>0</v>
      </c>
      <c r="K1816" s="863"/>
      <c r="L1816" s="848"/>
      <c r="M1816" s="861"/>
      <c r="N1816" s="861"/>
      <c r="O1816" s="862">
        <v>0</v>
      </c>
      <c r="P1816" s="863"/>
      <c r="Q1816" s="848"/>
      <c r="R1816" s="861"/>
      <c r="S1816" s="861"/>
      <c r="T1816" s="862">
        <v>0</v>
      </c>
      <c r="U1816" s="863"/>
      <c r="V1816" s="848"/>
      <c r="W1816" s="861"/>
      <c r="X1816" s="861"/>
      <c r="Y1816" s="862">
        <v>0</v>
      </c>
      <c r="Z1816" s="863"/>
      <c r="AA1816" s="864">
        <f t="shared" si="229"/>
        <v>0</v>
      </c>
      <c r="AB1816" s="865">
        <f t="shared" si="230"/>
        <v>0</v>
      </c>
      <c r="AC1816" s="848"/>
      <c r="AD1816" s="861"/>
      <c r="AE1816" s="861"/>
      <c r="AF1816" s="862"/>
      <c r="AG1816" s="864">
        <f t="shared" si="231"/>
        <v>0</v>
      </c>
    </row>
    <row r="1817" spans="2:33">
      <c r="B1817" s="502" t="s">
        <v>483</v>
      </c>
      <c r="C1817" s="861"/>
      <c r="D1817" s="861"/>
      <c r="E1817" s="862">
        <v>0</v>
      </c>
      <c r="F1817" s="863"/>
      <c r="G1817" s="848"/>
      <c r="H1817" s="861"/>
      <c r="I1817" s="861"/>
      <c r="J1817" s="862">
        <v>0</v>
      </c>
      <c r="K1817" s="863"/>
      <c r="L1817" s="848"/>
      <c r="M1817" s="861"/>
      <c r="N1817" s="861"/>
      <c r="O1817" s="862">
        <v>0</v>
      </c>
      <c r="P1817" s="863"/>
      <c r="Q1817" s="848"/>
      <c r="R1817" s="861"/>
      <c r="S1817" s="861"/>
      <c r="T1817" s="862">
        <v>0</v>
      </c>
      <c r="U1817" s="863"/>
      <c r="V1817" s="848"/>
      <c r="W1817" s="861"/>
      <c r="X1817" s="861"/>
      <c r="Y1817" s="862">
        <v>4</v>
      </c>
      <c r="Z1817" s="863"/>
      <c r="AA1817" s="864">
        <f t="shared" si="229"/>
        <v>4</v>
      </c>
      <c r="AB1817" s="865">
        <f t="shared" si="230"/>
        <v>0</v>
      </c>
      <c r="AC1817" s="848"/>
      <c r="AD1817" s="861"/>
      <c r="AE1817" s="861"/>
      <c r="AF1817" s="862"/>
      <c r="AG1817" s="864">
        <f t="shared" si="231"/>
        <v>0</v>
      </c>
    </row>
    <row r="1818" spans="2:33">
      <c r="B1818" s="502" t="s">
        <v>484</v>
      </c>
      <c r="C1818" s="861"/>
      <c r="D1818" s="861"/>
      <c r="E1818" s="862">
        <v>0</v>
      </c>
      <c r="F1818" s="863"/>
      <c r="G1818" s="848"/>
      <c r="H1818" s="861"/>
      <c r="I1818" s="861"/>
      <c r="J1818" s="862">
        <v>0</v>
      </c>
      <c r="K1818" s="863"/>
      <c r="L1818" s="848"/>
      <c r="M1818" s="861"/>
      <c r="N1818" s="861"/>
      <c r="O1818" s="862">
        <v>0</v>
      </c>
      <c r="P1818" s="863"/>
      <c r="Q1818" s="848"/>
      <c r="R1818" s="861"/>
      <c r="S1818" s="861"/>
      <c r="T1818" s="862">
        <v>0</v>
      </c>
      <c r="U1818" s="863"/>
      <c r="V1818" s="848"/>
      <c r="W1818" s="861"/>
      <c r="X1818" s="861"/>
      <c r="Y1818" s="862">
        <v>4</v>
      </c>
      <c r="Z1818" s="863"/>
      <c r="AA1818" s="864">
        <f t="shared" si="229"/>
        <v>4</v>
      </c>
      <c r="AB1818" s="865">
        <f t="shared" si="230"/>
        <v>0</v>
      </c>
      <c r="AC1818" s="848"/>
      <c r="AD1818" s="861"/>
      <c r="AE1818" s="861"/>
      <c r="AF1818" s="862"/>
      <c r="AG1818" s="864">
        <f t="shared" si="231"/>
        <v>0</v>
      </c>
    </row>
    <row r="1819" spans="2:33">
      <c r="B1819" s="502" t="s">
        <v>485</v>
      </c>
      <c r="C1819" s="861"/>
      <c r="D1819" s="861"/>
      <c r="E1819" s="862">
        <v>0</v>
      </c>
      <c r="F1819" s="863"/>
      <c r="G1819" s="848"/>
      <c r="H1819" s="861"/>
      <c r="I1819" s="861"/>
      <c r="J1819" s="862">
        <v>0</v>
      </c>
      <c r="K1819" s="863"/>
      <c r="L1819" s="848"/>
      <c r="M1819" s="861"/>
      <c r="N1819" s="861"/>
      <c r="O1819" s="862">
        <v>0</v>
      </c>
      <c r="P1819" s="863"/>
      <c r="Q1819" s="848"/>
      <c r="R1819" s="861"/>
      <c r="S1819" s="861"/>
      <c r="T1819" s="862">
        <v>0</v>
      </c>
      <c r="U1819" s="863"/>
      <c r="V1819" s="848"/>
      <c r="W1819" s="861"/>
      <c r="X1819" s="861"/>
      <c r="Y1819" s="862">
        <v>0</v>
      </c>
      <c r="Z1819" s="863"/>
      <c r="AA1819" s="864">
        <f t="shared" si="229"/>
        <v>0</v>
      </c>
      <c r="AB1819" s="865">
        <f t="shared" si="230"/>
        <v>0</v>
      </c>
      <c r="AC1819" s="848"/>
      <c r="AD1819" s="861"/>
      <c r="AE1819" s="861"/>
      <c r="AF1819" s="862"/>
      <c r="AG1819" s="864">
        <f t="shared" si="231"/>
        <v>0</v>
      </c>
    </row>
    <row r="1820" spans="2:33">
      <c r="B1820" s="502" t="s">
        <v>1129</v>
      </c>
      <c r="C1820" s="861"/>
      <c r="D1820" s="861"/>
      <c r="E1820" s="862">
        <v>0</v>
      </c>
      <c r="F1820" s="863"/>
      <c r="G1820" s="848"/>
      <c r="H1820" s="861"/>
      <c r="I1820" s="861"/>
      <c r="J1820" s="862">
        <v>0</v>
      </c>
      <c r="K1820" s="863"/>
      <c r="L1820" s="848"/>
      <c r="M1820" s="861"/>
      <c r="N1820" s="861"/>
      <c r="O1820" s="862">
        <v>0</v>
      </c>
      <c r="P1820" s="863"/>
      <c r="Q1820" s="848"/>
      <c r="R1820" s="861"/>
      <c r="S1820" s="861"/>
      <c r="T1820" s="862">
        <v>0</v>
      </c>
      <c r="U1820" s="863"/>
      <c r="V1820" s="848"/>
      <c r="W1820" s="861"/>
      <c r="X1820" s="861"/>
      <c r="Y1820" s="862">
        <v>0</v>
      </c>
      <c r="Z1820" s="863"/>
      <c r="AA1820" s="864">
        <f t="shared" si="229"/>
        <v>0</v>
      </c>
      <c r="AB1820" s="865">
        <f t="shared" si="230"/>
        <v>0</v>
      </c>
      <c r="AC1820" s="848"/>
      <c r="AD1820" s="861"/>
      <c r="AE1820" s="861"/>
      <c r="AF1820" s="862"/>
      <c r="AG1820" s="864">
        <f t="shared" si="231"/>
        <v>0</v>
      </c>
    </row>
    <row r="1821" spans="2:33">
      <c r="B1821" s="267" t="s">
        <v>358</v>
      </c>
      <c r="C1821" s="861"/>
      <c r="D1821" s="861"/>
      <c r="E1821" s="862">
        <v>0</v>
      </c>
      <c r="F1821" s="863"/>
      <c r="G1821" s="848"/>
      <c r="H1821" s="861"/>
      <c r="I1821" s="861"/>
      <c r="J1821" s="862">
        <v>0</v>
      </c>
      <c r="K1821" s="863"/>
      <c r="L1821" s="872"/>
      <c r="M1821" s="861"/>
      <c r="N1821" s="861"/>
      <c r="O1821" s="862">
        <v>0</v>
      </c>
      <c r="P1821" s="863"/>
      <c r="Q1821" s="872"/>
      <c r="R1821" s="861"/>
      <c r="S1821" s="861"/>
      <c r="T1821" s="862">
        <v>0</v>
      </c>
      <c r="U1821" s="863"/>
      <c r="V1821" s="872"/>
      <c r="W1821" s="861"/>
      <c r="X1821" s="861"/>
      <c r="Y1821" s="862">
        <v>0</v>
      </c>
      <c r="Z1821" s="863"/>
      <c r="AA1821" s="864">
        <f t="shared" si="229"/>
        <v>0</v>
      </c>
      <c r="AB1821" s="865">
        <f t="shared" si="230"/>
        <v>0</v>
      </c>
      <c r="AC1821" s="848"/>
      <c r="AD1821" s="861"/>
      <c r="AE1821" s="861"/>
      <c r="AF1821" s="862"/>
      <c r="AG1821" s="864">
        <f t="shared" si="231"/>
        <v>0</v>
      </c>
    </row>
    <row r="1822" spans="2:33">
      <c r="B1822" s="267" t="s">
        <v>991</v>
      </c>
      <c r="C1822" s="861"/>
      <c r="D1822" s="861"/>
      <c r="E1822" s="862">
        <v>0</v>
      </c>
      <c r="F1822" s="863"/>
      <c r="G1822" s="848"/>
      <c r="H1822" s="861"/>
      <c r="I1822" s="861"/>
      <c r="J1822" s="862">
        <v>0</v>
      </c>
      <c r="K1822" s="863"/>
      <c r="L1822" s="872"/>
      <c r="M1822" s="861"/>
      <c r="N1822" s="861"/>
      <c r="O1822" s="862">
        <v>0</v>
      </c>
      <c r="P1822" s="863"/>
      <c r="Q1822" s="872"/>
      <c r="R1822" s="861"/>
      <c r="S1822" s="861"/>
      <c r="T1822" s="862">
        <v>0</v>
      </c>
      <c r="U1822" s="863"/>
      <c r="V1822" s="872"/>
      <c r="W1822" s="861"/>
      <c r="X1822" s="861"/>
      <c r="Y1822" s="862">
        <v>0</v>
      </c>
      <c r="Z1822" s="863"/>
      <c r="AA1822" s="864">
        <f t="shared" si="229"/>
        <v>0</v>
      </c>
      <c r="AB1822" s="865">
        <f t="shared" si="230"/>
        <v>0</v>
      </c>
      <c r="AC1822" s="848"/>
      <c r="AD1822" s="861"/>
      <c r="AE1822" s="861"/>
      <c r="AF1822" s="862"/>
      <c r="AG1822" s="864">
        <f t="shared" si="231"/>
        <v>0</v>
      </c>
    </row>
    <row r="1823" spans="2:33">
      <c r="B1823" s="267" t="s">
        <v>411</v>
      </c>
      <c r="C1823" s="861"/>
      <c r="D1823" s="861"/>
      <c r="E1823" s="862">
        <v>0</v>
      </c>
      <c r="F1823" s="863"/>
      <c r="G1823" s="848"/>
      <c r="H1823" s="861"/>
      <c r="I1823" s="861"/>
      <c r="J1823" s="862">
        <v>0</v>
      </c>
      <c r="K1823" s="863"/>
      <c r="L1823" s="872"/>
      <c r="M1823" s="861"/>
      <c r="N1823" s="861"/>
      <c r="O1823" s="862">
        <v>0</v>
      </c>
      <c r="P1823" s="863"/>
      <c r="Q1823" s="872"/>
      <c r="R1823" s="861"/>
      <c r="S1823" s="861"/>
      <c r="T1823" s="862">
        <v>0</v>
      </c>
      <c r="U1823" s="863"/>
      <c r="V1823" s="872"/>
      <c r="W1823" s="861"/>
      <c r="X1823" s="861"/>
      <c r="Y1823" s="862">
        <v>0</v>
      </c>
      <c r="Z1823" s="863"/>
      <c r="AA1823" s="864">
        <f t="shared" si="229"/>
        <v>0</v>
      </c>
      <c r="AB1823" s="865">
        <f t="shared" si="230"/>
        <v>0</v>
      </c>
      <c r="AC1823" s="848"/>
      <c r="AD1823" s="861"/>
      <c r="AE1823" s="861"/>
      <c r="AF1823" s="862"/>
      <c r="AG1823" s="864">
        <f t="shared" si="231"/>
        <v>0</v>
      </c>
    </row>
    <row r="1824" spans="2:33">
      <c r="B1824" s="267" t="s">
        <v>361</v>
      </c>
      <c r="C1824" s="861"/>
      <c r="D1824" s="861"/>
      <c r="E1824" s="862">
        <v>0</v>
      </c>
      <c r="F1824" s="863"/>
      <c r="G1824" s="848"/>
      <c r="H1824" s="861"/>
      <c r="I1824" s="861"/>
      <c r="J1824" s="862">
        <v>0</v>
      </c>
      <c r="K1824" s="863"/>
      <c r="L1824" s="872"/>
      <c r="M1824" s="861"/>
      <c r="N1824" s="861"/>
      <c r="O1824" s="862">
        <v>0</v>
      </c>
      <c r="P1824" s="863"/>
      <c r="Q1824" s="872"/>
      <c r="R1824" s="861"/>
      <c r="S1824" s="861"/>
      <c r="T1824" s="862">
        <v>0</v>
      </c>
      <c r="U1824" s="863"/>
      <c r="V1824" s="872"/>
      <c r="W1824" s="861"/>
      <c r="X1824" s="861"/>
      <c r="Y1824" s="862">
        <v>0</v>
      </c>
      <c r="Z1824" s="863"/>
      <c r="AA1824" s="864">
        <f t="shared" si="229"/>
        <v>0</v>
      </c>
      <c r="AB1824" s="865">
        <f t="shared" si="230"/>
        <v>0</v>
      </c>
      <c r="AC1824" s="848"/>
      <c r="AD1824" s="861"/>
      <c r="AE1824" s="861"/>
      <c r="AF1824" s="862"/>
      <c r="AG1824" s="864">
        <f t="shared" si="231"/>
        <v>0</v>
      </c>
    </row>
    <row r="1825" spans="2:42">
      <c r="B1825" s="267" t="s">
        <v>362</v>
      </c>
      <c r="C1825" s="861"/>
      <c r="D1825" s="873"/>
      <c r="E1825" s="862">
        <v>0</v>
      </c>
      <c r="F1825" s="863"/>
      <c r="G1825" s="848"/>
      <c r="H1825" s="861"/>
      <c r="I1825" s="873"/>
      <c r="J1825" s="862">
        <v>0</v>
      </c>
      <c r="K1825" s="863"/>
      <c r="L1825" s="872"/>
      <c r="M1825" s="861"/>
      <c r="N1825" s="873"/>
      <c r="O1825" s="862">
        <v>0</v>
      </c>
      <c r="P1825" s="863"/>
      <c r="Q1825" s="872"/>
      <c r="R1825" s="861"/>
      <c r="S1825" s="873"/>
      <c r="T1825" s="862">
        <v>0</v>
      </c>
      <c r="U1825" s="863"/>
      <c r="V1825" s="872"/>
      <c r="W1825" s="861"/>
      <c r="X1825" s="873"/>
      <c r="Y1825" s="862">
        <v>0</v>
      </c>
      <c r="Z1825" s="863"/>
      <c r="AA1825" s="864">
        <f t="shared" si="229"/>
        <v>0</v>
      </c>
      <c r="AB1825" s="865">
        <f t="shared" si="230"/>
        <v>0</v>
      </c>
      <c r="AC1825" s="848"/>
      <c r="AD1825" s="861"/>
      <c r="AE1825" s="861"/>
      <c r="AF1825" s="862"/>
      <c r="AG1825" s="864">
        <f t="shared" si="231"/>
        <v>0</v>
      </c>
    </row>
    <row r="1826" spans="2:42">
      <c r="B1826" s="437" t="s">
        <v>355</v>
      </c>
      <c r="C1826" s="861"/>
      <c r="D1826" s="861"/>
      <c r="E1826" s="862">
        <v>0</v>
      </c>
      <c r="F1826" s="863"/>
      <c r="G1826" s="848"/>
      <c r="H1826" s="861"/>
      <c r="I1826" s="861"/>
      <c r="J1826" s="862">
        <v>0</v>
      </c>
      <c r="K1826" s="863"/>
      <c r="L1826" s="872"/>
      <c r="M1826" s="861"/>
      <c r="N1826" s="861"/>
      <c r="O1826" s="862">
        <v>0</v>
      </c>
      <c r="P1826" s="863"/>
      <c r="Q1826" s="872"/>
      <c r="R1826" s="861"/>
      <c r="S1826" s="861"/>
      <c r="T1826" s="862">
        <v>0</v>
      </c>
      <c r="U1826" s="863"/>
      <c r="V1826" s="872"/>
      <c r="W1826" s="861"/>
      <c r="X1826" s="861"/>
      <c r="Y1826" s="862">
        <v>2.5</v>
      </c>
      <c r="Z1826" s="863"/>
      <c r="AA1826" s="864">
        <f t="shared" si="229"/>
        <v>2.5</v>
      </c>
      <c r="AB1826" s="865">
        <f t="shared" si="230"/>
        <v>0</v>
      </c>
      <c r="AC1826" s="848"/>
      <c r="AD1826" s="861"/>
      <c r="AE1826" s="861"/>
      <c r="AF1826" s="862"/>
      <c r="AG1826" s="864">
        <f t="shared" si="231"/>
        <v>0</v>
      </c>
    </row>
    <row r="1827" spans="2:42">
      <c r="B1827" s="437" t="s">
        <v>356</v>
      </c>
      <c r="C1827" s="875"/>
      <c r="D1827" s="875"/>
      <c r="E1827" s="862">
        <v>0</v>
      </c>
      <c r="F1827" s="863"/>
      <c r="G1827" s="872"/>
      <c r="H1827" s="873"/>
      <c r="I1827" s="873"/>
      <c r="J1827" s="862">
        <v>0</v>
      </c>
      <c r="K1827" s="863"/>
      <c r="L1827" s="872"/>
      <c r="M1827" s="873"/>
      <c r="N1827" s="873"/>
      <c r="O1827" s="862">
        <v>0</v>
      </c>
      <c r="P1827" s="863"/>
      <c r="Q1827" s="872"/>
      <c r="R1827" s="873"/>
      <c r="S1827" s="873"/>
      <c r="T1827" s="862">
        <v>0</v>
      </c>
      <c r="U1827" s="863"/>
      <c r="V1827" s="872"/>
      <c r="W1827" s="873"/>
      <c r="X1827" s="873"/>
      <c r="Y1827" s="862">
        <v>0</v>
      </c>
      <c r="Z1827" s="863"/>
      <c r="AA1827" s="864">
        <f t="shared" si="229"/>
        <v>0</v>
      </c>
      <c r="AB1827" s="865">
        <f t="shared" si="230"/>
        <v>0</v>
      </c>
      <c r="AC1827" s="848"/>
      <c r="AD1827" s="861"/>
      <c r="AE1827" s="861"/>
      <c r="AF1827" s="862"/>
      <c r="AG1827" s="864">
        <f t="shared" si="231"/>
        <v>0</v>
      </c>
    </row>
    <row r="1828" spans="2:42">
      <c r="B1828" s="31" t="s">
        <v>61</v>
      </c>
      <c r="C1828" s="876"/>
      <c r="D1828" s="876"/>
      <c r="E1828" s="877">
        <f>SUM(E1784:E1827)</f>
        <v>0</v>
      </c>
      <c r="F1828" s="863"/>
      <c r="G1828" s="876"/>
      <c r="H1828" s="876"/>
      <c r="I1828" s="876"/>
      <c r="J1828" s="877">
        <f>SUM(J1784:J1827)</f>
        <v>11</v>
      </c>
      <c r="K1828" s="863"/>
      <c r="L1828" s="876"/>
      <c r="M1828" s="876"/>
      <c r="N1828" s="876"/>
      <c r="O1828" s="877">
        <f>SUM(O1784:O1827)</f>
        <v>23.5</v>
      </c>
      <c r="P1828" s="863"/>
      <c r="Q1828" s="876"/>
      <c r="R1828" s="876"/>
      <c r="S1828" s="876"/>
      <c r="T1828" s="877">
        <f>SUM(T1784:T1827)</f>
        <v>20</v>
      </c>
      <c r="U1828" s="863"/>
      <c r="V1828" s="876"/>
      <c r="W1828" s="876"/>
      <c r="X1828" s="876"/>
      <c r="Y1828" s="877">
        <f>SUM(Y1784:Y1827)</f>
        <v>33.5</v>
      </c>
      <c r="Z1828" s="863"/>
      <c r="AA1828" s="864">
        <f>SUM(AA1784:AA1827)</f>
        <v>88</v>
      </c>
      <c r="AB1828" s="864">
        <f>SUM(AB1784:AB1827)</f>
        <v>0</v>
      </c>
      <c r="AC1828" s="848"/>
      <c r="AD1828" s="876"/>
      <c r="AE1828" s="876"/>
      <c r="AF1828" s="864">
        <f>SUM(AF1784:AF1827)</f>
        <v>0</v>
      </c>
      <c r="AG1828" s="864">
        <f>SUM(AG1784:AG1827)</f>
        <v>0</v>
      </c>
    </row>
    <row r="1829" spans="2:42">
      <c r="B1829" s="267" t="s">
        <v>1116</v>
      </c>
      <c r="C1829" s="861"/>
      <c r="D1829" s="861"/>
      <c r="E1829" s="862">
        <v>4</v>
      </c>
      <c r="F1829" s="863"/>
      <c r="G1829" s="848"/>
      <c r="H1829" s="861"/>
      <c r="I1829" s="861"/>
      <c r="J1829" s="862">
        <v>4</v>
      </c>
      <c r="K1829" s="863"/>
      <c r="L1829" s="848"/>
      <c r="M1829" s="861"/>
      <c r="N1829" s="861"/>
      <c r="O1829" s="862">
        <v>4</v>
      </c>
      <c r="P1829" s="863"/>
      <c r="Q1829" s="848"/>
      <c r="R1829" s="861"/>
      <c r="S1829" s="861"/>
      <c r="T1829" s="862">
        <v>4</v>
      </c>
      <c r="U1829" s="863"/>
      <c r="V1829" s="848"/>
      <c r="W1829" s="861"/>
      <c r="X1829" s="861"/>
      <c r="Y1829" s="862">
        <v>4</v>
      </c>
      <c r="Z1829" s="863"/>
      <c r="AA1829" s="864">
        <f>(E1829+J1829+O1829+T1829+Y1829)</f>
        <v>20</v>
      </c>
      <c r="AB1829" s="865">
        <f>Z1829+U1829+P1829+K1829+F1829</f>
        <v>0</v>
      </c>
      <c r="AC1829" s="848"/>
      <c r="AD1829" s="861"/>
      <c r="AE1829" s="861"/>
      <c r="AF1829" s="862"/>
      <c r="AG1829" s="864">
        <f>AF1829</f>
        <v>0</v>
      </c>
    </row>
    <row r="1830" spans="2:42">
      <c r="B1830" s="267" t="s">
        <v>64</v>
      </c>
      <c r="C1830" s="861"/>
      <c r="D1830" s="861"/>
      <c r="E1830" s="862">
        <v>0</v>
      </c>
      <c r="F1830" s="862"/>
      <c r="G1830" s="878"/>
      <c r="H1830" s="861"/>
      <c r="I1830" s="861"/>
      <c r="J1830" s="862">
        <v>0</v>
      </c>
      <c r="K1830" s="862"/>
      <c r="L1830" s="872"/>
      <c r="M1830" s="861"/>
      <c r="N1830" s="861"/>
      <c r="O1830" s="862">
        <v>0</v>
      </c>
      <c r="P1830" s="862"/>
      <c r="Q1830" s="872"/>
      <c r="R1830" s="861"/>
      <c r="S1830" s="861"/>
      <c r="T1830" s="862">
        <v>0</v>
      </c>
      <c r="U1830" s="862"/>
      <c r="V1830" s="872"/>
      <c r="W1830" s="861"/>
      <c r="X1830" s="861"/>
      <c r="Y1830" s="862">
        <v>0</v>
      </c>
      <c r="Z1830" s="862"/>
      <c r="AA1830" s="864">
        <f>SUM(E1830+J1830+O1830+T1830+Y1830)</f>
        <v>0</v>
      </c>
      <c r="AB1830" s="855">
        <f>Z1830+U1830+P1830+K1830+F1830</f>
        <v>0</v>
      </c>
      <c r="AC1830" s="848"/>
      <c r="AD1830" s="861" t="s">
        <v>29</v>
      </c>
      <c r="AE1830" s="861" t="s">
        <v>29</v>
      </c>
      <c r="AF1830" s="862"/>
      <c r="AG1830" s="864">
        <f>AF1830</f>
        <v>0</v>
      </c>
    </row>
    <row r="1831" spans="2:42">
      <c r="B1831" s="71" t="s">
        <v>66</v>
      </c>
      <c r="C1831" s="879"/>
      <c r="D1831" s="879"/>
      <c r="E1831" s="878"/>
      <c r="F1831" s="878"/>
      <c r="G1831" s="878"/>
      <c r="H1831" s="878"/>
      <c r="I1831" s="878"/>
      <c r="J1831" s="878"/>
      <c r="K1831" s="878"/>
      <c r="L1831" s="878"/>
      <c r="M1831" s="878"/>
      <c r="N1831" s="878"/>
      <c r="O1831" s="878"/>
      <c r="P1831" s="878"/>
      <c r="Q1831" s="878"/>
      <c r="R1831" s="878"/>
      <c r="S1831" s="878"/>
      <c r="T1831" s="878"/>
      <c r="U1831" s="878"/>
      <c r="V1831" s="878"/>
      <c r="W1831" s="878"/>
      <c r="X1831" s="878"/>
      <c r="Y1831" s="878"/>
      <c r="Z1831" s="878"/>
      <c r="AA1831" s="864">
        <f>SUM(AA1829:AA1830)</f>
        <v>20</v>
      </c>
      <c r="AB1831" s="864">
        <f>SUM(AB1830:AB1830)</f>
        <v>0</v>
      </c>
      <c r="AC1831" s="848"/>
      <c r="AD1831" s="851"/>
      <c r="AE1831" s="851"/>
      <c r="AF1831" s="851"/>
      <c r="AG1831" s="864">
        <f>SUM(AG1830:AG1830)</f>
        <v>0</v>
      </c>
      <c r="AK1831" s="407"/>
    </row>
    <row r="1832" spans="2:42">
      <c r="B1832" s="899" t="s">
        <v>67</v>
      </c>
      <c r="C1832" s="882">
        <f>C1833+C1834</f>
        <v>11</v>
      </c>
      <c r="D1832" s="882"/>
      <c r="E1832" s="883"/>
      <c r="F1832" s="883"/>
      <c r="G1832" s="882"/>
      <c r="H1832" s="883"/>
      <c r="I1832" s="883"/>
      <c r="J1832" s="883"/>
      <c r="K1832" s="883"/>
      <c r="L1832" s="882"/>
      <c r="M1832" s="882"/>
      <c r="N1832" s="882"/>
      <c r="O1832" s="882"/>
      <c r="P1832" s="883"/>
      <c r="Q1832" s="882"/>
      <c r="R1832" s="882"/>
      <c r="S1832" s="882"/>
      <c r="T1832" s="882"/>
      <c r="U1832" s="883"/>
      <c r="V1832" s="882"/>
      <c r="W1832" s="882"/>
      <c r="X1832" s="882"/>
      <c r="Y1832" s="884"/>
      <c r="Z1832" s="883"/>
      <c r="AA1832" s="885"/>
      <c r="AB1832" s="883"/>
      <c r="AC1832" s="885"/>
      <c r="AD1832" s="885"/>
      <c r="AE1832" s="885"/>
      <c r="AF1832" s="885"/>
      <c r="AG1832" s="885"/>
      <c r="AK1832" s="407"/>
    </row>
    <row r="1833" spans="2:42">
      <c r="B1833" s="904" t="s">
        <v>68</v>
      </c>
      <c r="C1833" s="882">
        <v>0</v>
      </c>
      <c r="D1833" s="882"/>
      <c r="E1833" s="883"/>
      <c r="F1833" s="883"/>
      <c r="G1833" s="882"/>
      <c r="H1833" s="883"/>
      <c r="I1833" s="883"/>
      <c r="J1833" s="883"/>
      <c r="K1833" s="883"/>
      <c r="L1833" s="882"/>
      <c r="M1833" s="882"/>
      <c r="N1833" s="882"/>
      <c r="O1833" s="882"/>
      <c r="P1833" s="883"/>
      <c r="Q1833" s="882"/>
      <c r="R1833" s="882"/>
      <c r="S1833" s="882"/>
      <c r="T1833" s="882"/>
      <c r="U1833" s="883"/>
      <c r="V1833" s="882"/>
      <c r="W1833" s="882"/>
      <c r="X1833" s="882"/>
      <c r="Y1833" s="884"/>
      <c r="Z1833" s="883"/>
      <c r="AA1833" s="885"/>
      <c r="AB1833" s="883"/>
      <c r="AC1833" s="885"/>
      <c r="AD1833" s="885"/>
      <c r="AE1833" s="885"/>
      <c r="AF1833" s="885"/>
      <c r="AG1833" s="885"/>
      <c r="AK1833" s="407"/>
    </row>
    <row r="1834" spans="2:42">
      <c r="B1834" s="904" t="s">
        <v>69</v>
      </c>
      <c r="C1834" s="882">
        <v>11</v>
      </c>
      <c r="D1834" s="882"/>
      <c r="E1834" s="883"/>
      <c r="F1834" s="883"/>
      <c r="G1834" s="882"/>
      <c r="H1834" s="883"/>
      <c r="I1834" s="883"/>
      <c r="J1834" s="883"/>
      <c r="K1834" s="883"/>
      <c r="L1834" s="882"/>
      <c r="M1834" s="882"/>
      <c r="N1834" s="882"/>
      <c r="O1834" s="882"/>
      <c r="P1834" s="883"/>
      <c r="Q1834" s="882"/>
      <c r="R1834" s="882"/>
      <c r="S1834" s="882"/>
      <c r="T1834" s="882"/>
      <c r="U1834" s="883"/>
      <c r="V1834" s="882"/>
      <c r="W1834" s="882"/>
      <c r="X1834" s="882"/>
      <c r="Y1834" s="884"/>
      <c r="Z1834" s="883"/>
      <c r="AA1834" s="885"/>
      <c r="AB1834" s="883"/>
      <c r="AC1834" s="885"/>
      <c r="AD1834" s="885"/>
      <c r="AE1834" s="885"/>
      <c r="AF1834" s="885"/>
      <c r="AG1834" s="885"/>
    </row>
    <row r="1835" spans="2:42">
      <c r="C1835" s="851"/>
      <c r="D1835" s="851"/>
      <c r="E1835" s="866"/>
      <c r="F1835" s="866"/>
      <c r="G1835" s="866"/>
      <c r="H1835" s="851"/>
      <c r="I1835" s="851"/>
      <c r="J1835" s="866"/>
      <c r="K1835" s="866"/>
      <c r="L1835" s="866"/>
      <c r="M1835" s="851"/>
      <c r="N1835" s="851"/>
      <c r="O1835" s="866"/>
      <c r="P1835" s="866"/>
      <c r="Q1835" s="848"/>
      <c r="R1835" s="851"/>
      <c r="S1835" s="851"/>
      <c r="T1835" s="866"/>
      <c r="U1835" s="866"/>
      <c r="V1835" s="848"/>
      <c r="W1835" s="851"/>
      <c r="X1835" s="851"/>
      <c r="Y1835" s="866"/>
      <c r="Z1835" s="866"/>
      <c r="AA1835" s="866"/>
      <c r="AB1835" s="866"/>
      <c r="AC1835" s="866"/>
      <c r="AD1835" s="851"/>
      <c r="AE1835" s="851"/>
      <c r="AF1835" s="851"/>
      <c r="AG1835" s="851"/>
    </row>
    <row r="1836" spans="2:42">
      <c r="C1836" s="851"/>
      <c r="D1836" s="851"/>
      <c r="E1836" s="866"/>
      <c r="F1836" s="866"/>
      <c r="G1836" s="866"/>
      <c r="H1836" s="851"/>
      <c r="I1836" s="851"/>
      <c r="J1836" s="866"/>
      <c r="K1836" s="866"/>
      <c r="L1836" s="866"/>
      <c r="M1836" s="851"/>
      <c r="N1836" s="851"/>
      <c r="O1836" s="866"/>
      <c r="P1836" s="866"/>
      <c r="Q1836" s="848"/>
      <c r="R1836" s="851"/>
      <c r="S1836" s="851"/>
      <c r="T1836" s="866"/>
      <c r="U1836" s="866"/>
      <c r="V1836" s="848"/>
      <c r="W1836" s="851"/>
      <c r="X1836" s="851"/>
      <c r="Y1836" s="866"/>
      <c r="Z1836" s="866"/>
      <c r="AA1836" s="866"/>
      <c r="AB1836" s="866"/>
      <c r="AC1836" s="866"/>
      <c r="AD1836" s="851"/>
      <c r="AE1836" s="851"/>
      <c r="AF1836" s="851"/>
      <c r="AG1836" s="851"/>
    </row>
    <row r="1837" spans="2:42" ht="25.5">
      <c r="B1837" s="1571"/>
      <c r="C1837" s="1572">
        <v>46076</v>
      </c>
      <c r="D1837" s="1572"/>
      <c r="E1837" s="1572" t="s">
        <v>564</v>
      </c>
      <c r="F1837" s="1572"/>
      <c r="G1837" s="847"/>
      <c r="H1837" s="1572">
        <v>46077</v>
      </c>
      <c r="I1837" s="1572"/>
      <c r="J1837" s="1572" t="s">
        <v>565</v>
      </c>
      <c r="K1837" s="1572"/>
      <c r="L1837" s="847"/>
      <c r="M1837" s="1572">
        <v>46078</v>
      </c>
      <c r="N1837" s="1572"/>
      <c r="O1837" s="1572" t="s">
        <v>566</v>
      </c>
      <c r="P1837" s="1572"/>
      <c r="Q1837" s="847"/>
      <c r="R1837" s="1572">
        <v>46079</v>
      </c>
      <c r="S1837" s="1572"/>
      <c r="T1837" s="1572" t="s">
        <v>567</v>
      </c>
      <c r="U1837" s="1572"/>
      <c r="V1837" s="847"/>
      <c r="W1837" s="1586">
        <v>46080</v>
      </c>
      <c r="X1837" s="1586"/>
      <c r="Y1837" s="1586" t="s">
        <v>568</v>
      </c>
      <c r="Z1837" s="1586"/>
      <c r="AA1837" s="1573" t="s">
        <v>19</v>
      </c>
      <c r="AB1837" s="1573" t="s">
        <v>20</v>
      </c>
      <c r="AC1837" s="848"/>
      <c r="AD1837" s="1572"/>
      <c r="AE1837" s="1572"/>
      <c r="AF1837" s="849" t="s">
        <v>1111</v>
      </c>
      <c r="AG1837" s="1573" t="s">
        <v>21</v>
      </c>
      <c r="AK1837" s="194" t="s">
        <v>84</v>
      </c>
      <c r="AL1837" s="366"/>
      <c r="AM1837" s="366"/>
      <c r="AN1837" s="366"/>
      <c r="AO1837" s="366"/>
      <c r="AP1837" s="366"/>
    </row>
    <row r="1838" spans="2:42">
      <c r="B1838" s="1571"/>
      <c r="C1838" s="854" t="s">
        <v>23</v>
      </c>
      <c r="D1838" s="854" t="s">
        <v>24</v>
      </c>
      <c r="E1838" s="855" t="s">
        <v>25</v>
      </c>
      <c r="F1838" s="856" t="s">
        <v>14</v>
      </c>
      <c r="G1838" s="848"/>
      <c r="H1838" s="854" t="s">
        <v>23</v>
      </c>
      <c r="I1838" s="854" t="s">
        <v>24</v>
      </c>
      <c r="J1838" s="856" t="s">
        <v>25</v>
      </c>
      <c r="K1838" s="856" t="s">
        <v>14</v>
      </c>
      <c r="L1838" s="848"/>
      <c r="M1838" s="854" t="s">
        <v>23</v>
      </c>
      <c r="N1838" s="854" t="s">
        <v>24</v>
      </c>
      <c r="O1838" s="856" t="s">
        <v>25</v>
      </c>
      <c r="P1838" s="856" t="s">
        <v>14</v>
      </c>
      <c r="Q1838" s="848"/>
      <c r="R1838" s="854" t="s">
        <v>23</v>
      </c>
      <c r="S1838" s="854" t="s">
        <v>24</v>
      </c>
      <c r="T1838" s="856" t="s">
        <v>25</v>
      </c>
      <c r="U1838" s="856" t="s">
        <v>14</v>
      </c>
      <c r="V1838" s="848"/>
      <c r="W1838" s="1424" t="s">
        <v>23</v>
      </c>
      <c r="X1838" s="1424" t="s">
        <v>24</v>
      </c>
      <c r="Y1838" s="1425" t="s">
        <v>25</v>
      </c>
      <c r="Z1838" s="1425" t="s">
        <v>14</v>
      </c>
      <c r="AA1838" s="1573"/>
      <c r="AB1838" s="1573"/>
      <c r="AC1838" s="848"/>
      <c r="AD1838" s="854" t="s">
        <v>23</v>
      </c>
      <c r="AE1838" s="854" t="s">
        <v>24</v>
      </c>
      <c r="AF1838" s="856" t="s">
        <v>25</v>
      </c>
      <c r="AG1838" s="1573"/>
      <c r="AK1838" s="188" t="s">
        <v>26</v>
      </c>
      <c r="AL1838" s="196">
        <f>AA1883</f>
        <v>119.75</v>
      </c>
      <c r="AM1838" s="510">
        <v>40.31</v>
      </c>
      <c r="AN1838" s="510">
        <f t="shared" ref="AN1838:AN1843" si="232">AL1838*AM1838</f>
        <v>4827.1225000000004</v>
      </c>
    </row>
    <row r="1839" spans="2:42">
      <c r="B1839" s="47" t="s">
        <v>515</v>
      </c>
      <c r="C1839" s="861"/>
      <c r="D1839" s="861"/>
      <c r="E1839" s="862">
        <v>0</v>
      </c>
      <c r="F1839" s="863"/>
      <c r="G1839" s="848"/>
      <c r="H1839" s="861"/>
      <c r="I1839" s="861"/>
      <c r="J1839" s="862">
        <v>0</v>
      </c>
      <c r="K1839" s="863"/>
      <c r="L1839" s="848"/>
      <c r="M1839" s="861"/>
      <c r="N1839" s="861"/>
      <c r="O1839" s="862">
        <v>0</v>
      </c>
      <c r="P1839" s="863"/>
      <c r="Q1839" s="848"/>
      <c r="R1839" s="861"/>
      <c r="S1839" s="861"/>
      <c r="T1839" s="862">
        <v>0</v>
      </c>
      <c r="U1839" s="863"/>
      <c r="V1839" s="848"/>
      <c r="W1839" s="861"/>
      <c r="X1839" s="861"/>
      <c r="Y1839" s="862">
        <v>0</v>
      </c>
      <c r="Z1839" s="863"/>
      <c r="AA1839" s="864">
        <f t="shared" ref="AA1839:AA1882" si="233">(E1839+J1839+O1839+T1839+Y1839)</f>
        <v>0</v>
      </c>
      <c r="AB1839" s="865">
        <f t="shared" ref="AB1839:AB1882" si="234">Z1839+U1839+P1839+K1839+F1839</f>
        <v>0</v>
      </c>
      <c r="AC1839" s="848"/>
      <c r="AD1839" s="851"/>
      <c r="AE1839" s="851"/>
      <c r="AF1839" s="862"/>
      <c r="AG1839" s="864">
        <f t="shared" ref="AG1839:AG1882" si="235">AF1839</f>
        <v>0</v>
      </c>
      <c r="AK1839" s="188" t="s">
        <v>30</v>
      </c>
      <c r="AL1839" s="196">
        <f>AB1883</f>
        <v>0</v>
      </c>
      <c r="AM1839" s="510">
        <v>60.465000000000003</v>
      </c>
      <c r="AN1839" s="510">
        <f t="shared" si="232"/>
        <v>0</v>
      </c>
    </row>
    <row r="1840" spans="2:42">
      <c r="B1840" s="47" t="s">
        <v>1112</v>
      </c>
      <c r="C1840" s="861"/>
      <c r="D1840" s="861"/>
      <c r="E1840" s="862">
        <v>0</v>
      </c>
      <c r="F1840" s="863"/>
      <c r="G1840" s="848"/>
      <c r="H1840" s="861">
        <v>0.33333333333333331</v>
      </c>
      <c r="I1840" s="861">
        <v>0.5</v>
      </c>
      <c r="J1840" s="862">
        <v>4</v>
      </c>
      <c r="K1840" s="863"/>
      <c r="L1840" s="848"/>
      <c r="M1840" s="861">
        <v>0.33333333333333331</v>
      </c>
      <c r="N1840" s="861">
        <v>0.5</v>
      </c>
      <c r="O1840" s="862">
        <v>4</v>
      </c>
      <c r="P1840" s="863"/>
      <c r="Q1840" s="848"/>
      <c r="R1840" s="861">
        <v>0.33333333333333331</v>
      </c>
      <c r="S1840" s="861">
        <v>0.5</v>
      </c>
      <c r="T1840" s="862">
        <v>4</v>
      </c>
      <c r="U1840" s="863"/>
      <c r="V1840" s="848"/>
      <c r="W1840" s="861">
        <v>0.33333333333333331</v>
      </c>
      <c r="X1840" s="861">
        <v>0.5</v>
      </c>
      <c r="Y1840" s="862">
        <v>4</v>
      </c>
      <c r="Z1840" s="863"/>
      <c r="AA1840" s="864">
        <f t="shared" si="233"/>
        <v>16</v>
      </c>
      <c r="AB1840" s="865">
        <f t="shared" si="234"/>
        <v>0</v>
      </c>
      <c r="AC1840" s="848"/>
      <c r="AD1840" s="861"/>
      <c r="AE1840" s="861"/>
      <c r="AF1840" s="862"/>
      <c r="AG1840" s="864">
        <f t="shared" si="235"/>
        <v>0</v>
      </c>
      <c r="AK1840" s="188" t="s">
        <v>32</v>
      </c>
      <c r="AL1840" s="196">
        <f>AG1883</f>
        <v>0</v>
      </c>
      <c r="AM1840" s="510">
        <v>60.465000000000003</v>
      </c>
      <c r="AN1840" s="510">
        <f t="shared" si="232"/>
        <v>0</v>
      </c>
    </row>
    <row r="1841" spans="2:40">
      <c r="B1841" s="47" t="s">
        <v>1141</v>
      </c>
      <c r="C1841" s="861"/>
      <c r="D1841" s="861"/>
      <c r="E1841" s="862">
        <v>0</v>
      </c>
      <c r="F1841" s="863"/>
      <c r="G1841" s="848"/>
      <c r="H1841" s="861"/>
      <c r="I1841" s="861"/>
      <c r="J1841" s="862">
        <v>0</v>
      </c>
      <c r="K1841" s="863"/>
      <c r="L1841" s="848"/>
      <c r="M1841" s="861"/>
      <c r="N1841" s="861"/>
      <c r="O1841" s="862">
        <v>0</v>
      </c>
      <c r="P1841" s="863"/>
      <c r="Q1841" s="848"/>
      <c r="R1841" s="861"/>
      <c r="S1841" s="861"/>
      <c r="T1841" s="862">
        <v>0</v>
      </c>
      <c r="U1841" s="863"/>
      <c r="V1841" s="848"/>
      <c r="W1841" s="861"/>
      <c r="X1841" s="861"/>
      <c r="Y1841" s="862">
        <v>0</v>
      </c>
      <c r="Z1841" s="863"/>
      <c r="AA1841" s="864">
        <f t="shared" si="233"/>
        <v>0</v>
      </c>
      <c r="AB1841" s="865">
        <f t="shared" si="234"/>
        <v>0</v>
      </c>
      <c r="AC1841" s="848"/>
      <c r="AD1841" s="861"/>
      <c r="AE1841" s="861"/>
      <c r="AF1841" s="862"/>
      <c r="AG1841" s="864">
        <f t="shared" si="235"/>
        <v>0</v>
      </c>
      <c r="AK1841" s="188" t="s">
        <v>213</v>
      </c>
      <c r="AL1841" s="196">
        <f>AA1886</f>
        <v>12</v>
      </c>
      <c r="AM1841" s="510">
        <v>53.05</v>
      </c>
      <c r="AN1841" s="510">
        <f t="shared" si="232"/>
        <v>636.59999999999991</v>
      </c>
    </row>
    <row r="1842" spans="2:40">
      <c r="B1842" s="47" t="s">
        <v>72</v>
      </c>
      <c r="C1842" s="861"/>
      <c r="D1842" s="861"/>
      <c r="E1842" s="862">
        <v>0</v>
      </c>
      <c r="F1842" s="863"/>
      <c r="G1842" s="848"/>
      <c r="H1842" s="861"/>
      <c r="I1842" s="861"/>
      <c r="J1842" s="862">
        <v>0</v>
      </c>
      <c r="K1842" s="863"/>
      <c r="L1842" s="848"/>
      <c r="M1842" s="861"/>
      <c r="N1842" s="861"/>
      <c r="O1842" s="862">
        <v>0</v>
      </c>
      <c r="P1842" s="863"/>
      <c r="Q1842" s="848"/>
      <c r="R1842" s="861"/>
      <c r="S1842" s="861"/>
      <c r="T1842" s="862">
        <v>0</v>
      </c>
      <c r="U1842" s="863"/>
      <c r="V1842" s="848"/>
      <c r="W1842" s="861"/>
      <c r="X1842" s="861"/>
      <c r="Y1842" s="862">
        <v>0</v>
      </c>
      <c r="Z1842" s="863"/>
      <c r="AA1842" s="864">
        <f t="shared" si="233"/>
        <v>0</v>
      </c>
      <c r="AB1842" s="865">
        <f t="shared" si="234"/>
        <v>0</v>
      </c>
      <c r="AC1842" s="848"/>
      <c r="AD1842" s="861"/>
      <c r="AE1842" s="861"/>
      <c r="AF1842" s="862"/>
      <c r="AG1842" s="864">
        <f t="shared" si="235"/>
        <v>0</v>
      </c>
      <c r="AK1842" s="188" t="s">
        <v>36</v>
      </c>
      <c r="AL1842" s="196">
        <f>AB1886</f>
        <v>0</v>
      </c>
      <c r="AM1842" s="510">
        <v>79.574999999999989</v>
      </c>
      <c r="AN1842" s="510">
        <f t="shared" si="232"/>
        <v>0</v>
      </c>
    </row>
    <row r="1843" spans="2:40">
      <c r="B1843" s="374" t="s">
        <v>998</v>
      </c>
      <c r="C1843" s="861"/>
      <c r="D1843" s="861"/>
      <c r="E1843" s="862">
        <v>0</v>
      </c>
      <c r="F1843" s="863"/>
      <c r="G1843" s="848"/>
      <c r="H1843" s="861"/>
      <c r="I1843" s="861"/>
      <c r="J1843" s="862">
        <v>0</v>
      </c>
      <c r="K1843" s="863"/>
      <c r="L1843" s="848"/>
      <c r="M1843" s="861"/>
      <c r="N1843" s="861"/>
      <c r="O1843" s="862">
        <v>0</v>
      </c>
      <c r="P1843" s="863"/>
      <c r="Q1843" s="848"/>
      <c r="R1843" s="861">
        <v>0.375</v>
      </c>
      <c r="S1843" s="861">
        <v>0.25</v>
      </c>
      <c r="T1843" s="862">
        <v>8</v>
      </c>
      <c r="U1843" s="863"/>
      <c r="V1843" s="848"/>
      <c r="W1843" s="861">
        <v>0.375</v>
      </c>
      <c r="X1843" s="861">
        <v>0.25</v>
      </c>
      <c r="Y1843" s="862">
        <v>8</v>
      </c>
      <c r="Z1843" s="863"/>
      <c r="AA1843" s="864">
        <f t="shared" si="233"/>
        <v>16</v>
      </c>
      <c r="AB1843" s="865">
        <f t="shared" si="234"/>
        <v>0</v>
      </c>
      <c r="AC1843" s="848"/>
      <c r="AD1843" s="861"/>
      <c r="AE1843" s="861"/>
      <c r="AF1843" s="862"/>
      <c r="AG1843" s="864">
        <f t="shared" si="235"/>
        <v>0</v>
      </c>
      <c r="AK1843" s="188" t="s">
        <v>38</v>
      </c>
      <c r="AL1843" s="196">
        <f>AG1886</f>
        <v>0</v>
      </c>
      <c r="AM1843" s="510">
        <v>79.574999999999989</v>
      </c>
      <c r="AN1843" s="510">
        <f t="shared" si="232"/>
        <v>0</v>
      </c>
    </row>
    <row r="1844" spans="2:40">
      <c r="B1844" s="47" t="s">
        <v>53</v>
      </c>
      <c r="C1844" s="861"/>
      <c r="D1844" s="861"/>
      <c r="E1844" s="862">
        <v>0</v>
      </c>
      <c r="F1844" s="863"/>
      <c r="G1844" s="848"/>
      <c r="H1844" s="861"/>
      <c r="I1844" s="861"/>
      <c r="J1844" s="862">
        <v>0</v>
      </c>
      <c r="K1844" s="863"/>
      <c r="L1844" s="848"/>
      <c r="M1844" s="861"/>
      <c r="N1844" s="861"/>
      <c r="O1844" s="862">
        <v>0</v>
      </c>
      <c r="P1844" s="863"/>
      <c r="Q1844" s="848"/>
      <c r="R1844" s="861"/>
      <c r="S1844" s="861"/>
      <c r="T1844" s="862">
        <v>0</v>
      </c>
      <c r="U1844" s="863"/>
      <c r="V1844" s="848"/>
      <c r="W1844" s="861"/>
      <c r="X1844" s="861"/>
      <c r="Y1844" s="862">
        <v>0</v>
      </c>
      <c r="Z1844" s="863"/>
      <c r="AA1844" s="864">
        <f t="shared" si="233"/>
        <v>0</v>
      </c>
      <c r="AB1844" s="865">
        <f t="shared" si="234"/>
        <v>0</v>
      </c>
      <c r="AC1844" s="848"/>
      <c r="AD1844" s="861"/>
      <c r="AE1844" s="861"/>
      <c r="AF1844" s="862"/>
      <c r="AG1844" s="864">
        <f t="shared" si="235"/>
        <v>0</v>
      </c>
      <c r="AN1844" s="510">
        <f>SUM(AN1838:AN1843)</f>
        <v>5463.7224999999999</v>
      </c>
    </row>
    <row r="1845" spans="2:40">
      <c r="B1845" s="47" t="s">
        <v>241</v>
      </c>
      <c r="C1845" s="861"/>
      <c r="D1845" s="861"/>
      <c r="E1845" s="862">
        <v>0</v>
      </c>
      <c r="F1845" s="863"/>
      <c r="G1845" s="848"/>
      <c r="H1845" s="861"/>
      <c r="I1845" s="861"/>
      <c r="J1845" s="862">
        <v>0</v>
      </c>
      <c r="K1845" s="863"/>
      <c r="L1845" s="848"/>
      <c r="M1845" s="861"/>
      <c r="N1845" s="861"/>
      <c r="O1845" s="862">
        <v>0</v>
      </c>
      <c r="P1845" s="863"/>
      <c r="Q1845" s="848"/>
      <c r="R1845" s="861"/>
      <c r="S1845" s="861"/>
      <c r="T1845" s="862">
        <v>0</v>
      </c>
      <c r="U1845" s="863"/>
      <c r="V1845" s="848"/>
      <c r="W1845" s="861"/>
      <c r="X1845" s="861"/>
      <c r="Y1845" s="862">
        <v>0</v>
      </c>
      <c r="Z1845" s="863"/>
      <c r="AA1845" s="864">
        <f t="shared" si="233"/>
        <v>0</v>
      </c>
      <c r="AB1845" s="865">
        <f t="shared" si="234"/>
        <v>0</v>
      </c>
      <c r="AC1845" s="848"/>
      <c r="AD1845" s="861"/>
      <c r="AE1845" s="861"/>
      <c r="AF1845" s="862"/>
      <c r="AG1845" s="864">
        <f t="shared" si="235"/>
        <v>0</v>
      </c>
    </row>
    <row r="1846" spans="2:40">
      <c r="B1846" s="47" t="s">
        <v>1142</v>
      </c>
      <c r="C1846" s="861"/>
      <c r="D1846" s="867"/>
      <c r="E1846" s="862">
        <v>0</v>
      </c>
      <c r="F1846" s="863"/>
      <c r="G1846" s="848"/>
      <c r="H1846" s="861"/>
      <c r="I1846" s="861"/>
      <c r="J1846" s="862">
        <v>0</v>
      </c>
      <c r="K1846" s="863"/>
      <c r="L1846" s="848"/>
      <c r="M1846" s="861"/>
      <c r="N1846" s="861"/>
      <c r="O1846" s="862">
        <v>0</v>
      </c>
      <c r="P1846" s="863"/>
      <c r="Q1846" s="848"/>
      <c r="R1846" s="861"/>
      <c r="S1846" s="861"/>
      <c r="T1846" s="862">
        <v>0</v>
      </c>
      <c r="U1846" s="863"/>
      <c r="V1846" s="848"/>
      <c r="W1846" s="861"/>
      <c r="X1846" s="861"/>
      <c r="Y1846" s="862">
        <v>0</v>
      </c>
      <c r="Z1846" s="863"/>
      <c r="AA1846" s="864">
        <f t="shared" si="233"/>
        <v>0</v>
      </c>
      <c r="AB1846" s="865">
        <f t="shared" si="234"/>
        <v>0</v>
      </c>
      <c r="AC1846" s="848"/>
      <c r="AD1846" s="861"/>
      <c r="AE1846" s="861"/>
      <c r="AF1846" s="862"/>
      <c r="AG1846" s="864">
        <f t="shared" si="235"/>
        <v>0</v>
      </c>
      <c r="AK1846" s="192" t="s">
        <v>1115</v>
      </c>
      <c r="AL1846" s="189">
        <f>C1887</f>
        <v>13</v>
      </c>
      <c r="AM1846" s="510">
        <v>45</v>
      </c>
      <c r="AN1846" s="510">
        <f>AM1846*AL1846</f>
        <v>585</v>
      </c>
    </row>
    <row r="1847" spans="2:40">
      <c r="B1847" s="47" t="s">
        <v>1143</v>
      </c>
      <c r="C1847" s="861"/>
      <c r="D1847" s="867"/>
      <c r="E1847" s="862">
        <v>0</v>
      </c>
      <c r="F1847" s="863"/>
      <c r="G1847" s="848"/>
      <c r="H1847" s="861"/>
      <c r="I1847" s="861"/>
      <c r="J1847" s="862">
        <v>0</v>
      </c>
      <c r="K1847" s="863"/>
      <c r="L1847" s="848"/>
      <c r="M1847" s="861"/>
      <c r="N1847" s="861"/>
      <c r="O1847" s="862">
        <v>0</v>
      </c>
      <c r="P1847" s="863"/>
      <c r="Q1847" s="848"/>
      <c r="R1847" s="861"/>
      <c r="S1847" s="861"/>
      <c r="T1847" s="862">
        <v>0</v>
      </c>
      <c r="U1847" s="863"/>
      <c r="V1847" s="848"/>
      <c r="W1847" s="861"/>
      <c r="X1847" s="861"/>
      <c r="Y1847" s="862">
        <v>0</v>
      </c>
      <c r="Z1847" s="863"/>
      <c r="AA1847" s="864">
        <f t="shared" si="233"/>
        <v>0</v>
      </c>
      <c r="AB1847" s="865">
        <f t="shared" si="234"/>
        <v>0</v>
      </c>
      <c r="AC1847" s="848"/>
      <c r="AD1847" s="861"/>
      <c r="AE1847" s="861"/>
      <c r="AF1847" s="862"/>
      <c r="AG1847" s="864">
        <f t="shared" si="235"/>
        <v>0</v>
      </c>
      <c r="AK1847" s="192"/>
      <c r="AL1847" s="189"/>
      <c r="AM1847" s="510"/>
      <c r="AN1847" s="510"/>
    </row>
    <row r="1848" spans="2:40">
      <c r="B1848" s="47" t="s">
        <v>1144</v>
      </c>
      <c r="C1848" s="861"/>
      <c r="D1848" s="867"/>
      <c r="E1848" s="862">
        <v>0</v>
      </c>
      <c r="F1848" s="863"/>
      <c r="G1848" s="848"/>
      <c r="H1848" s="861"/>
      <c r="I1848" s="861"/>
      <c r="J1848" s="862">
        <v>0</v>
      </c>
      <c r="K1848" s="863"/>
      <c r="L1848" s="848"/>
      <c r="M1848" s="861"/>
      <c r="N1848" s="861"/>
      <c r="O1848" s="862">
        <v>0</v>
      </c>
      <c r="P1848" s="863"/>
      <c r="Q1848" s="848"/>
      <c r="R1848" s="861"/>
      <c r="S1848" s="861"/>
      <c r="T1848" s="862">
        <v>0</v>
      </c>
      <c r="U1848" s="863"/>
      <c r="V1848" s="848"/>
      <c r="W1848" s="861"/>
      <c r="X1848" s="861"/>
      <c r="Y1848" s="862">
        <v>0</v>
      </c>
      <c r="Z1848" s="863"/>
      <c r="AA1848" s="864">
        <f t="shared" si="233"/>
        <v>0</v>
      </c>
      <c r="AB1848" s="865">
        <f t="shared" si="234"/>
        <v>0</v>
      </c>
      <c r="AC1848" s="848"/>
      <c r="AD1848" s="861"/>
      <c r="AE1848" s="861"/>
      <c r="AF1848" s="862"/>
      <c r="AG1848" s="864">
        <f t="shared" si="235"/>
        <v>0</v>
      </c>
      <c r="AK1848" s="192"/>
      <c r="AL1848" s="189"/>
      <c r="AM1848" s="510"/>
      <c r="AN1848" s="510"/>
    </row>
    <row r="1849" spans="2:40">
      <c r="B1849" s="47" t="s">
        <v>1113</v>
      </c>
      <c r="C1849" s="861"/>
      <c r="D1849" s="861"/>
      <c r="E1849" s="862">
        <v>0</v>
      </c>
      <c r="F1849" s="863"/>
      <c r="G1849" s="848"/>
      <c r="H1849" s="861"/>
      <c r="I1849" s="861"/>
      <c r="J1849" s="862">
        <v>0</v>
      </c>
      <c r="K1849" s="863"/>
      <c r="L1849" s="848"/>
      <c r="M1849" s="861"/>
      <c r="N1849" s="861"/>
      <c r="O1849" s="862">
        <v>0</v>
      </c>
      <c r="P1849" s="863"/>
      <c r="Q1849" s="848"/>
      <c r="R1849" s="861"/>
      <c r="S1849" s="861"/>
      <c r="T1849" s="862">
        <v>0</v>
      </c>
      <c r="U1849" s="863"/>
      <c r="V1849" s="848"/>
      <c r="W1849" s="861"/>
      <c r="X1849" s="861"/>
      <c r="Y1849" s="862">
        <v>0</v>
      </c>
      <c r="Z1849" s="863"/>
      <c r="AA1849" s="864">
        <f t="shared" si="233"/>
        <v>0</v>
      </c>
      <c r="AB1849" s="865">
        <f t="shared" si="234"/>
        <v>0</v>
      </c>
      <c r="AC1849" s="848"/>
      <c r="AD1849" s="861"/>
      <c r="AE1849" s="861"/>
      <c r="AF1849" s="862"/>
      <c r="AG1849" s="864">
        <f t="shared" si="235"/>
        <v>0</v>
      </c>
    </row>
    <row r="1850" spans="2:40">
      <c r="B1850" s="1306" t="s">
        <v>1145</v>
      </c>
      <c r="C1850" s="861"/>
      <c r="D1850" s="861"/>
      <c r="E1850" s="862">
        <v>0</v>
      </c>
      <c r="F1850" s="863"/>
      <c r="G1850" s="848"/>
      <c r="H1850" s="861"/>
      <c r="I1850" s="861"/>
      <c r="J1850" s="862">
        <v>0</v>
      </c>
      <c r="K1850" s="863"/>
      <c r="L1850" s="848"/>
      <c r="M1850" s="861"/>
      <c r="N1850" s="861"/>
      <c r="O1850" s="862">
        <v>0</v>
      </c>
      <c r="P1850" s="863"/>
      <c r="Q1850" s="848"/>
      <c r="R1850" s="861"/>
      <c r="S1850" s="861"/>
      <c r="T1850" s="862">
        <v>0</v>
      </c>
      <c r="U1850" s="863"/>
      <c r="V1850" s="848"/>
      <c r="W1850" s="861"/>
      <c r="X1850" s="861"/>
      <c r="Y1850" s="862">
        <v>0</v>
      </c>
      <c r="Z1850" s="863"/>
      <c r="AA1850" s="864">
        <f t="shared" si="233"/>
        <v>0</v>
      </c>
      <c r="AB1850" s="865">
        <f t="shared" si="234"/>
        <v>0</v>
      </c>
      <c r="AC1850" s="848"/>
      <c r="AD1850" s="861"/>
      <c r="AE1850" s="861"/>
      <c r="AF1850" s="862"/>
      <c r="AG1850" s="864">
        <f t="shared" si="235"/>
        <v>0</v>
      </c>
    </row>
    <row r="1851" spans="2:40">
      <c r="B1851" s="1306" t="s">
        <v>1146</v>
      </c>
      <c r="C1851" s="861"/>
      <c r="D1851" s="861"/>
      <c r="E1851" s="862">
        <v>0</v>
      </c>
      <c r="F1851" s="863"/>
      <c r="G1851" s="848"/>
      <c r="H1851" s="861"/>
      <c r="I1851" s="861"/>
      <c r="J1851" s="862">
        <v>0</v>
      </c>
      <c r="K1851" s="863"/>
      <c r="L1851" s="848"/>
      <c r="M1851" s="861"/>
      <c r="N1851" s="861"/>
      <c r="O1851" s="862">
        <v>0</v>
      </c>
      <c r="P1851" s="863"/>
      <c r="Q1851" s="848"/>
      <c r="R1851" s="861"/>
      <c r="S1851" s="861"/>
      <c r="T1851" s="862">
        <v>0</v>
      </c>
      <c r="U1851" s="863"/>
      <c r="V1851" s="848"/>
      <c r="W1851" s="861"/>
      <c r="X1851" s="861"/>
      <c r="Y1851" s="862">
        <v>0</v>
      </c>
      <c r="Z1851" s="863"/>
      <c r="AA1851" s="864">
        <f t="shared" si="233"/>
        <v>0</v>
      </c>
      <c r="AB1851" s="865">
        <f t="shared" si="234"/>
        <v>0</v>
      </c>
      <c r="AC1851" s="848"/>
      <c r="AD1851" s="861"/>
      <c r="AE1851" s="861"/>
      <c r="AF1851" s="862"/>
      <c r="AG1851" s="864">
        <f t="shared" si="235"/>
        <v>0</v>
      </c>
    </row>
    <row r="1852" spans="2:40">
      <c r="B1852" s="1306" t="s">
        <v>1147</v>
      </c>
      <c r="C1852" s="861"/>
      <c r="D1852" s="861"/>
      <c r="E1852" s="862">
        <v>0</v>
      </c>
      <c r="F1852" s="863"/>
      <c r="G1852" s="848"/>
      <c r="H1852" s="861"/>
      <c r="I1852" s="861"/>
      <c r="J1852" s="862">
        <v>0</v>
      </c>
      <c r="K1852" s="863"/>
      <c r="L1852" s="848"/>
      <c r="M1852" s="861"/>
      <c r="N1852" s="861"/>
      <c r="O1852" s="862">
        <v>0</v>
      </c>
      <c r="P1852" s="863"/>
      <c r="Q1852" s="848"/>
      <c r="R1852" s="861"/>
      <c r="S1852" s="861"/>
      <c r="T1852" s="862">
        <v>0</v>
      </c>
      <c r="U1852" s="863"/>
      <c r="V1852" s="848"/>
      <c r="W1852" s="861"/>
      <c r="X1852" s="861"/>
      <c r="Y1852" s="862">
        <v>0</v>
      </c>
      <c r="Z1852" s="863"/>
      <c r="AA1852" s="864">
        <f t="shared" si="233"/>
        <v>0</v>
      </c>
      <c r="AB1852" s="865">
        <f t="shared" si="234"/>
        <v>0</v>
      </c>
      <c r="AC1852" s="848"/>
      <c r="AD1852" s="861"/>
      <c r="AE1852" s="861"/>
      <c r="AF1852" s="862"/>
      <c r="AG1852" s="864">
        <f t="shared" si="235"/>
        <v>0</v>
      </c>
    </row>
    <row r="1853" spans="2:40">
      <c r="B1853" s="1306" t="s">
        <v>1148</v>
      </c>
      <c r="C1853" s="861"/>
      <c r="D1853" s="861"/>
      <c r="E1853" s="862">
        <v>0</v>
      </c>
      <c r="F1853" s="863"/>
      <c r="G1853" s="848"/>
      <c r="H1853" s="861"/>
      <c r="I1853" s="861"/>
      <c r="J1853" s="862">
        <v>0</v>
      </c>
      <c r="K1853" s="863"/>
      <c r="L1853" s="848"/>
      <c r="M1853" s="861"/>
      <c r="N1853" s="861"/>
      <c r="O1853" s="862">
        <v>0</v>
      </c>
      <c r="P1853" s="863"/>
      <c r="Q1853" s="848"/>
      <c r="R1853" s="861"/>
      <c r="S1853" s="861"/>
      <c r="T1853" s="862">
        <v>0</v>
      </c>
      <c r="U1853" s="863"/>
      <c r="V1853" s="848"/>
      <c r="W1853" s="861"/>
      <c r="X1853" s="861"/>
      <c r="Y1853" s="862">
        <v>0</v>
      </c>
      <c r="Z1853" s="863"/>
      <c r="AA1853" s="864">
        <f t="shared" si="233"/>
        <v>0</v>
      </c>
      <c r="AB1853" s="865">
        <f t="shared" si="234"/>
        <v>0</v>
      </c>
      <c r="AC1853" s="848"/>
      <c r="AD1853" s="861"/>
      <c r="AE1853" s="861"/>
      <c r="AF1853" s="862"/>
      <c r="AG1853" s="864">
        <f t="shared" si="235"/>
        <v>0</v>
      </c>
    </row>
    <row r="1854" spans="2:40">
      <c r="B1854" s="1306" t="s">
        <v>1149</v>
      </c>
      <c r="C1854" s="861"/>
      <c r="D1854" s="861"/>
      <c r="E1854" s="862">
        <v>0</v>
      </c>
      <c r="F1854" s="863"/>
      <c r="G1854" s="848"/>
      <c r="H1854" s="861"/>
      <c r="I1854" s="861"/>
      <c r="J1854" s="862">
        <v>0</v>
      </c>
      <c r="K1854" s="863"/>
      <c r="L1854" s="848"/>
      <c r="M1854" s="861"/>
      <c r="N1854" s="861"/>
      <c r="O1854" s="862">
        <v>0</v>
      </c>
      <c r="P1854" s="863"/>
      <c r="Q1854" s="848"/>
      <c r="R1854" s="861"/>
      <c r="S1854" s="861"/>
      <c r="T1854" s="862">
        <v>0</v>
      </c>
      <c r="U1854" s="863"/>
      <c r="V1854" s="848"/>
      <c r="W1854" s="861"/>
      <c r="X1854" s="861"/>
      <c r="Y1854" s="862">
        <v>0</v>
      </c>
      <c r="Z1854" s="863"/>
      <c r="AA1854" s="864">
        <f t="shared" si="233"/>
        <v>0</v>
      </c>
      <c r="AB1854" s="865">
        <f t="shared" si="234"/>
        <v>0</v>
      </c>
      <c r="AC1854" s="848"/>
      <c r="AD1854" s="861"/>
      <c r="AE1854" s="861"/>
      <c r="AF1854" s="862"/>
      <c r="AG1854" s="864">
        <f t="shared" si="235"/>
        <v>0</v>
      </c>
    </row>
    <row r="1855" spans="2:40">
      <c r="B1855" s="1306" t="s">
        <v>1150</v>
      </c>
      <c r="C1855" s="861"/>
      <c r="D1855" s="861"/>
      <c r="E1855" s="862">
        <v>0</v>
      </c>
      <c r="F1855" s="863"/>
      <c r="G1855" s="848"/>
      <c r="H1855" s="861"/>
      <c r="I1855" s="861"/>
      <c r="J1855" s="862">
        <v>0</v>
      </c>
      <c r="K1855" s="863"/>
      <c r="L1855" s="848"/>
      <c r="M1855" s="861"/>
      <c r="N1855" s="861"/>
      <c r="O1855" s="862">
        <v>0</v>
      </c>
      <c r="P1855" s="863"/>
      <c r="Q1855" s="848"/>
      <c r="R1855" s="861"/>
      <c r="S1855" s="861"/>
      <c r="T1855" s="862">
        <v>0</v>
      </c>
      <c r="U1855" s="863"/>
      <c r="V1855" s="848"/>
      <c r="W1855" s="861"/>
      <c r="X1855" s="861"/>
      <c r="Y1855" s="862">
        <v>0</v>
      </c>
      <c r="Z1855" s="863"/>
      <c r="AA1855" s="864">
        <f t="shared" si="233"/>
        <v>0</v>
      </c>
      <c r="AB1855" s="865">
        <f t="shared" si="234"/>
        <v>0</v>
      </c>
      <c r="AC1855" s="848"/>
      <c r="AD1855" s="861"/>
      <c r="AE1855" s="861"/>
      <c r="AF1855" s="862"/>
      <c r="AG1855" s="864">
        <f t="shared" si="235"/>
        <v>0</v>
      </c>
    </row>
    <row r="1856" spans="2:40">
      <c r="B1856" s="1306" t="s">
        <v>1151</v>
      </c>
      <c r="C1856" s="861"/>
      <c r="D1856" s="861"/>
      <c r="E1856" s="862">
        <v>0</v>
      </c>
      <c r="F1856" s="863"/>
      <c r="G1856" s="848"/>
      <c r="H1856" s="861"/>
      <c r="I1856" s="861"/>
      <c r="J1856" s="862">
        <v>0</v>
      </c>
      <c r="K1856" s="863"/>
      <c r="L1856" s="848"/>
      <c r="M1856" s="861"/>
      <c r="N1856" s="861"/>
      <c r="O1856" s="862">
        <v>0</v>
      </c>
      <c r="P1856" s="863"/>
      <c r="Q1856" s="848"/>
      <c r="R1856" s="861">
        <v>0.33333333333333331</v>
      </c>
      <c r="S1856" s="861">
        <v>0.25</v>
      </c>
      <c r="T1856" s="862">
        <v>9</v>
      </c>
      <c r="U1856" s="863"/>
      <c r="V1856" s="848"/>
      <c r="W1856" s="861">
        <v>0.375</v>
      </c>
      <c r="X1856" s="861">
        <v>0.25</v>
      </c>
      <c r="Y1856" s="862">
        <v>8</v>
      </c>
      <c r="Z1856" s="863"/>
      <c r="AA1856" s="864">
        <f t="shared" si="233"/>
        <v>17</v>
      </c>
      <c r="AB1856" s="865">
        <f t="shared" si="234"/>
        <v>0</v>
      </c>
      <c r="AC1856" s="848"/>
      <c r="AD1856" s="861"/>
      <c r="AE1856" s="861"/>
      <c r="AF1856" s="862"/>
      <c r="AG1856" s="864">
        <f t="shared" si="235"/>
        <v>0</v>
      </c>
    </row>
    <row r="1857" spans="2:33">
      <c r="B1857" s="1306" t="s">
        <v>1152</v>
      </c>
      <c r="C1857" s="861"/>
      <c r="D1857" s="861"/>
      <c r="E1857" s="862">
        <v>0</v>
      </c>
      <c r="F1857" s="863"/>
      <c r="G1857" s="848"/>
      <c r="H1857" s="861"/>
      <c r="I1857" s="861"/>
      <c r="J1857" s="862">
        <v>0</v>
      </c>
      <c r="K1857" s="863"/>
      <c r="L1857" s="848"/>
      <c r="M1857" s="861"/>
      <c r="N1857" s="861"/>
      <c r="O1857" s="862">
        <v>0</v>
      </c>
      <c r="P1857" s="863"/>
      <c r="Q1857" s="848"/>
      <c r="R1857" s="861"/>
      <c r="S1857" s="861"/>
      <c r="T1857" s="862">
        <v>0</v>
      </c>
      <c r="U1857" s="863"/>
      <c r="V1857" s="848"/>
      <c r="W1857" s="861"/>
      <c r="X1857" s="861"/>
      <c r="Y1857" s="862">
        <v>0</v>
      </c>
      <c r="Z1857" s="863"/>
      <c r="AA1857" s="864">
        <f t="shared" si="233"/>
        <v>0</v>
      </c>
      <c r="AB1857" s="865">
        <f t="shared" si="234"/>
        <v>0</v>
      </c>
      <c r="AC1857" s="848"/>
      <c r="AD1857" s="861"/>
      <c r="AE1857" s="861"/>
      <c r="AF1857" s="862"/>
      <c r="AG1857" s="864">
        <f t="shared" si="235"/>
        <v>0</v>
      </c>
    </row>
    <row r="1858" spans="2:33">
      <c r="B1858" s="1336" t="s">
        <v>1153</v>
      </c>
      <c r="C1858" s="861"/>
      <c r="D1858" s="861"/>
      <c r="E1858" s="862">
        <v>0</v>
      </c>
      <c r="F1858" s="863"/>
      <c r="G1858" s="848"/>
      <c r="H1858" s="861"/>
      <c r="I1858" s="861"/>
      <c r="J1858" s="862">
        <v>0</v>
      </c>
      <c r="K1858" s="863"/>
      <c r="L1858" s="848"/>
      <c r="M1858" s="861"/>
      <c r="N1858" s="861"/>
      <c r="O1858" s="862">
        <v>0</v>
      </c>
      <c r="P1858" s="863"/>
      <c r="Q1858" s="848"/>
      <c r="R1858" s="861"/>
      <c r="S1858" s="861"/>
      <c r="T1858" s="862">
        <v>0</v>
      </c>
      <c r="U1858" s="863"/>
      <c r="V1858" s="848"/>
      <c r="W1858" s="861"/>
      <c r="X1858" s="861"/>
      <c r="Y1858" s="862">
        <v>0</v>
      </c>
      <c r="Z1858" s="863"/>
      <c r="AA1858" s="864">
        <f t="shared" si="233"/>
        <v>0</v>
      </c>
      <c r="AB1858" s="865">
        <f t="shared" si="234"/>
        <v>0</v>
      </c>
      <c r="AC1858" s="848"/>
      <c r="AD1858" s="861"/>
      <c r="AE1858" s="861"/>
      <c r="AF1858" s="862"/>
      <c r="AG1858" s="864">
        <f t="shared" si="235"/>
        <v>0</v>
      </c>
    </row>
    <row r="1859" spans="2:33">
      <c r="B1859" s="1306" t="s">
        <v>1154</v>
      </c>
      <c r="C1859" s="861"/>
      <c r="D1859" s="861"/>
      <c r="E1859" s="862">
        <v>0</v>
      </c>
      <c r="F1859" s="863"/>
      <c r="G1859" s="848"/>
      <c r="H1859" s="861"/>
      <c r="I1859" s="861"/>
      <c r="J1859" s="862">
        <v>0</v>
      </c>
      <c r="K1859" s="863"/>
      <c r="L1859" s="848"/>
      <c r="M1859" s="861"/>
      <c r="N1859" s="861"/>
      <c r="O1859" s="862">
        <v>0</v>
      </c>
      <c r="P1859" s="863"/>
      <c r="Q1859" s="848"/>
      <c r="R1859" s="861"/>
      <c r="S1859" s="861"/>
      <c r="T1859" s="862">
        <v>0</v>
      </c>
      <c r="U1859" s="863"/>
      <c r="V1859" s="848"/>
      <c r="W1859" s="861"/>
      <c r="X1859" s="861"/>
      <c r="Y1859" s="862">
        <v>0</v>
      </c>
      <c r="Z1859" s="863"/>
      <c r="AA1859" s="864">
        <f t="shared" si="233"/>
        <v>0</v>
      </c>
      <c r="AB1859" s="865">
        <f t="shared" si="234"/>
        <v>0</v>
      </c>
      <c r="AC1859" s="848"/>
      <c r="AD1859" s="861"/>
      <c r="AE1859" s="861"/>
      <c r="AF1859" s="862"/>
      <c r="AG1859" s="864">
        <f t="shared" si="235"/>
        <v>0</v>
      </c>
    </row>
    <row r="1860" spans="2:33">
      <c r="B1860" s="1306" t="s">
        <v>1155</v>
      </c>
      <c r="C1860" s="861"/>
      <c r="D1860" s="861"/>
      <c r="E1860" s="862">
        <v>0</v>
      </c>
      <c r="F1860" s="863"/>
      <c r="G1860" s="848"/>
      <c r="H1860" s="861"/>
      <c r="I1860" s="861"/>
      <c r="J1860" s="862">
        <v>0</v>
      </c>
      <c r="K1860" s="863"/>
      <c r="L1860" s="848"/>
      <c r="M1860" s="861"/>
      <c r="N1860" s="861"/>
      <c r="O1860" s="862">
        <v>0</v>
      </c>
      <c r="P1860" s="863"/>
      <c r="Q1860" s="848"/>
      <c r="R1860" s="861">
        <v>0.33333333333333331</v>
      </c>
      <c r="S1860" s="861">
        <v>0.25</v>
      </c>
      <c r="T1860" s="862">
        <v>9</v>
      </c>
      <c r="U1860" s="863"/>
      <c r="V1860" s="848"/>
      <c r="W1860" s="861">
        <v>0.375</v>
      </c>
      <c r="X1860" s="861">
        <v>0.25</v>
      </c>
      <c r="Y1860" s="862">
        <v>8</v>
      </c>
      <c r="Z1860" s="863"/>
      <c r="AA1860" s="864">
        <f t="shared" si="233"/>
        <v>17</v>
      </c>
      <c r="AB1860" s="865">
        <f t="shared" si="234"/>
        <v>0</v>
      </c>
      <c r="AC1860" s="848"/>
      <c r="AD1860" s="861"/>
      <c r="AE1860" s="861"/>
      <c r="AF1860" s="862"/>
      <c r="AG1860" s="864">
        <f t="shared" si="235"/>
        <v>0</v>
      </c>
    </row>
    <row r="1861" spans="2:33">
      <c r="B1861" s="1306" t="s">
        <v>1156</v>
      </c>
      <c r="C1861" s="861"/>
      <c r="D1861" s="861"/>
      <c r="E1861" s="862">
        <v>0</v>
      </c>
      <c r="F1861" s="863"/>
      <c r="G1861" s="848"/>
      <c r="H1861" s="861"/>
      <c r="I1861" s="861"/>
      <c r="J1861" s="862">
        <v>0</v>
      </c>
      <c r="K1861" s="863"/>
      <c r="L1861" s="848"/>
      <c r="M1861" s="861"/>
      <c r="N1861" s="861"/>
      <c r="O1861" s="862">
        <v>0</v>
      </c>
      <c r="P1861" s="863"/>
      <c r="Q1861" s="848"/>
      <c r="R1861" s="861"/>
      <c r="S1861" s="861"/>
      <c r="T1861" s="862">
        <v>0</v>
      </c>
      <c r="U1861" s="863"/>
      <c r="V1861" s="848"/>
      <c r="W1861" s="861"/>
      <c r="X1861" s="861"/>
      <c r="Y1861" s="862">
        <v>0</v>
      </c>
      <c r="Z1861" s="863"/>
      <c r="AA1861" s="864">
        <f t="shared" si="233"/>
        <v>0</v>
      </c>
      <c r="AB1861" s="865">
        <f t="shared" si="234"/>
        <v>0</v>
      </c>
      <c r="AC1861" s="848"/>
      <c r="AD1861" s="861"/>
      <c r="AE1861" s="861"/>
      <c r="AF1861" s="862"/>
      <c r="AG1861" s="864">
        <f t="shared" si="235"/>
        <v>0</v>
      </c>
    </row>
    <row r="1862" spans="2:33">
      <c r="B1862" s="1306" t="s">
        <v>1157</v>
      </c>
      <c r="C1862" s="861"/>
      <c r="D1862" s="861"/>
      <c r="E1862" s="862">
        <v>0</v>
      </c>
      <c r="F1862" s="863"/>
      <c r="G1862" s="848"/>
      <c r="H1862" s="861"/>
      <c r="I1862" s="861"/>
      <c r="J1862" s="862">
        <v>0</v>
      </c>
      <c r="K1862" s="863"/>
      <c r="L1862" s="848"/>
      <c r="M1862" s="861"/>
      <c r="N1862" s="861"/>
      <c r="O1862" s="862">
        <v>0</v>
      </c>
      <c r="P1862" s="863"/>
      <c r="Q1862" s="848"/>
      <c r="R1862" s="861"/>
      <c r="S1862" s="861"/>
      <c r="T1862" s="862">
        <v>0</v>
      </c>
      <c r="U1862" s="863"/>
      <c r="V1862" s="848"/>
      <c r="W1862" s="861"/>
      <c r="X1862" s="861"/>
      <c r="Y1862" s="862">
        <v>0</v>
      </c>
      <c r="Z1862" s="863"/>
      <c r="AA1862" s="864">
        <f t="shared" si="233"/>
        <v>0</v>
      </c>
      <c r="AB1862" s="865">
        <f t="shared" si="234"/>
        <v>0</v>
      </c>
      <c r="AC1862" s="848"/>
      <c r="AD1862" s="861"/>
      <c r="AE1862" s="861"/>
      <c r="AF1862" s="862"/>
      <c r="AG1862" s="864">
        <f t="shared" si="235"/>
        <v>0</v>
      </c>
    </row>
    <row r="1863" spans="2:33">
      <c r="B1863" s="1306" t="s">
        <v>1158</v>
      </c>
      <c r="C1863" s="861"/>
      <c r="D1863" s="861"/>
      <c r="E1863" s="862">
        <v>0</v>
      </c>
      <c r="F1863" s="863"/>
      <c r="G1863" s="848"/>
      <c r="H1863" s="861"/>
      <c r="I1863" s="861"/>
      <c r="J1863" s="862">
        <v>0</v>
      </c>
      <c r="K1863" s="863"/>
      <c r="L1863" s="848"/>
      <c r="M1863" s="861"/>
      <c r="N1863" s="861"/>
      <c r="O1863" s="862">
        <v>0</v>
      </c>
      <c r="P1863" s="863"/>
      <c r="Q1863" s="848"/>
      <c r="R1863" s="861"/>
      <c r="S1863" s="861"/>
      <c r="T1863" s="862">
        <v>0</v>
      </c>
      <c r="U1863" s="863"/>
      <c r="V1863" s="848"/>
      <c r="W1863" s="861"/>
      <c r="X1863" s="861"/>
      <c r="Y1863" s="862">
        <v>0</v>
      </c>
      <c r="Z1863" s="863"/>
      <c r="AA1863" s="864">
        <f t="shared" si="233"/>
        <v>0</v>
      </c>
      <c r="AB1863" s="865">
        <f t="shared" si="234"/>
        <v>0</v>
      </c>
      <c r="AC1863" s="848"/>
      <c r="AD1863" s="861"/>
      <c r="AE1863" s="861"/>
      <c r="AF1863" s="862"/>
      <c r="AG1863" s="864">
        <f t="shared" si="235"/>
        <v>0</v>
      </c>
    </row>
    <row r="1864" spans="2:33">
      <c r="B1864" s="1306" t="s">
        <v>1159</v>
      </c>
      <c r="C1864" s="861"/>
      <c r="D1864" s="861"/>
      <c r="E1864" s="862">
        <v>0</v>
      </c>
      <c r="F1864" s="863"/>
      <c r="G1864" s="848"/>
      <c r="H1864" s="861"/>
      <c r="I1864" s="861"/>
      <c r="J1864" s="862">
        <v>0</v>
      </c>
      <c r="K1864" s="863"/>
      <c r="L1864" s="848"/>
      <c r="M1864" s="861"/>
      <c r="N1864" s="861"/>
      <c r="O1864" s="862">
        <v>0</v>
      </c>
      <c r="P1864" s="863"/>
      <c r="Q1864" s="848"/>
      <c r="R1864" s="861"/>
      <c r="S1864" s="861"/>
      <c r="T1864" s="862">
        <v>0</v>
      </c>
      <c r="U1864" s="863"/>
      <c r="V1864" s="848"/>
      <c r="W1864" s="861"/>
      <c r="X1864" s="861"/>
      <c r="Y1864" s="862">
        <v>0</v>
      </c>
      <c r="Z1864" s="863"/>
      <c r="AA1864" s="864">
        <f t="shared" si="233"/>
        <v>0</v>
      </c>
      <c r="AB1864" s="865">
        <f t="shared" si="234"/>
        <v>0</v>
      </c>
      <c r="AC1864" s="848"/>
      <c r="AD1864" s="861"/>
      <c r="AE1864" s="861"/>
      <c r="AF1864" s="862"/>
      <c r="AG1864" s="864">
        <f t="shared" si="235"/>
        <v>0</v>
      </c>
    </row>
    <row r="1865" spans="2:33">
      <c r="B1865" s="1306" t="s">
        <v>1160</v>
      </c>
      <c r="C1865" s="861"/>
      <c r="D1865" s="861"/>
      <c r="E1865" s="862">
        <v>0</v>
      </c>
      <c r="F1865" s="863"/>
      <c r="G1865" s="848"/>
      <c r="H1865" s="861"/>
      <c r="I1865" s="861"/>
      <c r="J1865" s="862">
        <v>0</v>
      </c>
      <c r="K1865" s="863"/>
      <c r="L1865" s="848"/>
      <c r="M1865" s="861"/>
      <c r="N1865" s="861"/>
      <c r="O1865" s="862">
        <v>0</v>
      </c>
      <c r="P1865" s="863"/>
      <c r="Q1865" s="848"/>
      <c r="R1865" s="861">
        <v>0.33333333333333331</v>
      </c>
      <c r="S1865" s="861">
        <v>0.25</v>
      </c>
      <c r="T1865" s="862">
        <v>9</v>
      </c>
      <c r="U1865" s="863"/>
      <c r="V1865" s="848"/>
      <c r="W1865" s="861"/>
      <c r="X1865" s="861"/>
      <c r="Y1865" s="862">
        <v>0</v>
      </c>
      <c r="Z1865" s="863"/>
      <c r="AA1865" s="864">
        <f t="shared" si="233"/>
        <v>9</v>
      </c>
      <c r="AB1865" s="865">
        <f t="shared" si="234"/>
        <v>0</v>
      </c>
      <c r="AC1865" s="848"/>
      <c r="AD1865" s="861"/>
      <c r="AE1865" s="861"/>
      <c r="AF1865" s="862"/>
      <c r="AG1865" s="864">
        <f t="shared" si="235"/>
        <v>0</v>
      </c>
    </row>
    <row r="1866" spans="2:33">
      <c r="B1866" s="1306" t="s">
        <v>1161</v>
      </c>
      <c r="C1866" s="861"/>
      <c r="D1866" s="861"/>
      <c r="E1866" s="862">
        <v>0</v>
      </c>
      <c r="F1866" s="863"/>
      <c r="G1866" s="848"/>
      <c r="H1866" s="861"/>
      <c r="I1866" s="861"/>
      <c r="J1866" s="862">
        <v>0</v>
      </c>
      <c r="K1866" s="863"/>
      <c r="L1866" s="848"/>
      <c r="M1866" s="861"/>
      <c r="N1866" s="861"/>
      <c r="O1866" s="862">
        <v>0</v>
      </c>
      <c r="P1866" s="863"/>
      <c r="Q1866" s="848"/>
      <c r="R1866" s="861"/>
      <c r="S1866" s="861"/>
      <c r="T1866" s="862">
        <v>0</v>
      </c>
      <c r="U1866" s="863"/>
      <c r="V1866" s="848"/>
      <c r="W1866" s="861"/>
      <c r="X1866" s="861"/>
      <c r="Y1866" s="862">
        <v>0</v>
      </c>
      <c r="Z1866" s="863"/>
      <c r="AA1866" s="864">
        <f t="shared" si="233"/>
        <v>0</v>
      </c>
      <c r="AB1866" s="865">
        <f t="shared" si="234"/>
        <v>0</v>
      </c>
      <c r="AC1866" s="848"/>
      <c r="AD1866" s="861"/>
      <c r="AE1866" s="861"/>
      <c r="AF1866" s="862"/>
      <c r="AG1866" s="864">
        <f t="shared" si="235"/>
        <v>0</v>
      </c>
    </row>
    <row r="1867" spans="2:33">
      <c r="B1867" s="1306" t="s">
        <v>1162</v>
      </c>
      <c r="C1867" s="861"/>
      <c r="D1867" s="861"/>
      <c r="E1867" s="862">
        <v>0</v>
      </c>
      <c r="F1867" s="863"/>
      <c r="G1867" s="848"/>
      <c r="H1867" s="861"/>
      <c r="I1867" s="861"/>
      <c r="J1867" s="862">
        <v>0</v>
      </c>
      <c r="K1867" s="863"/>
      <c r="L1867" s="848"/>
      <c r="M1867" s="861"/>
      <c r="N1867" s="861"/>
      <c r="O1867" s="862">
        <v>0</v>
      </c>
      <c r="P1867" s="863"/>
      <c r="Q1867" s="848"/>
      <c r="R1867" s="861"/>
      <c r="S1867" s="861"/>
      <c r="T1867" s="862">
        <v>0</v>
      </c>
      <c r="U1867" s="863"/>
      <c r="V1867" s="848"/>
      <c r="W1867" s="861"/>
      <c r="X1867" s="861"/>
      <c r="Y1867" s="862">
        <v>0</v>
      </c>
      <c r="Z1867" s="863"/>
      <c r="AA1867" s="864">
        <f t="shared" si="233"/>
        <v>0</v>
      </c>
      <c r="AB1867" s="865">
        <f t="shared" si="234"/>
        <v>0</v>
      </c>
      <c r="AC1867" s="848"/>
      <c r="AD1867" s="861"/>
      <c r="AE1867" s="861"/>
      <c r="AF1867" s="862"/>
      <c r="AG1867" s="864">
        <f t="shared" si="235"/>
        <v>0</v>
      </c>
    </row>
    <row r="1868" spans="2:33">
      <c r="B1868" s="1306" t="s">
        <v>1163</v>
      </c>
      <c r="C1868" s="861"/>
      <c r="D1868" s="861"/>
      <c r="E1868" s="862">
        <v>0</v>
      </c>
      <c r="F1868" s="863"/>
      <c r="G1868" s="848"/>
      <c r="H1868" s="861"/>
      <c r="I1868" s="861"/>
      <c r="J1868" s="862">
        <v>0</v>
      </c>
      <c r="K1868" s="863"/>
      <c r="L1868" s="848"/>
      <c r="M1868" s="861"/>
      <c r="N1868" s="861"/>
      <c r="O1868" s="862">
        <v>0</v>
      </c>
      <c r="P1868" s="863"/>
      <c r="Q1868" s="848"/>
      <c r="R1868" s="861"/>
      <c r="S1868" s="861"/>
      <c r="T1868" s="862">
        <v>0</v>
      </c>
      <c r="U1868" s="863"/>
      <c r="V1868" s="848"/>
      <c r="W1868" s="861"/>
      <c r="X1868" s="861"/>
      <c r="Y1868" s="862">
        <v>0</v>
      </c>
      <c r="Z1868" s="863"/>
      <c r="AA1868" s="864">
        <f t="shared" si="233"/>
        <v>0</v>
      </c>
      <c r="AB1868" s="865">
        <f t="shared" si="234"/>
        <v>0</v>
      </c>
      <c r="AC1868" s="848"/>
      <c r="AD1868" s="861"/>
      <c r="AE1868" s="861"/>
      <c r="AF1868" s="862"/>
      <c r="AG1868" s="864">
        <f t="shared" si="235"/>
        <v>0</v>
      </c>
    </row>
    <row r="1869" spans="2:33">
      <c r="B1869" s="1306" t="s">
        <v>1164</v>
      </c>
      <c r="C1869" s="861"/>
      <c r="D1869" s="861"/>
      <c r="E1869" s="862">
        <v>0</v>
      </c>
      <c r="F1869" s="863"/>
      <c r="G1869" s="848"/>
      <c r="H1869" s="861"/>
      <c r="I1869" s="861"/>
      <c r="J1869" s="862">
        <v>0</v>
      </c>
      <c r="K1869" s="863"/>
      <c r="L1869" s="848"/>
      <c r="M1869" s="861"/>
      <c r="N1869" s="861"/>
      <c r="O1869" s="862">
        <v>0</v>
      </c>
      <c r="P1869" s="863"/>
      <c r="Q1869" s="848"/>
      <c r="R1869" s="861">
        <v>0.33333333333333331</v>
      </c>
      <c r="S1869" s="861">
        <v>0.25</v>
      </c>
      <c r="T1869" s="862">
        <v>9</v>
      </c>
      <c r="U1869" s="863"/>
      <c r="V1869" s="848"/>
      <c r="W1869" s="861">
        <v>0.375</v>
      </c>
      <c r="X1869" s="861">
        <v>0.25</v>
      </c>
      <c r="Y1869" s="862">
        <v>8</v>
      </c>
      <c r="Z1869" s="863"/>
      <c r="AA1869" s="864">
        <f t="shared" si="233"/>
        <v>17</v>
      </c>
      <c r="AB1869" s="865">
        <f t="shared" si="234"/>
        <v>0</v>
      </c>
      <c r="AC1869" s="848"/>
      <c r="AD1869" s="861"/>
      <c r="AE1869" s="861"/>
      <c r="AF1869" s="862"/>
      <c r="AG1869" s="864">
        <f t="shared" si="235"/>
        <v>0</v>
      </c>
    </row>
    <row r="1870" spans="2:33">
      <c r="B1870" s="1306" t="s">
        <v>1165</v>
      </c>
      <c r="C1870" s="861"/>
      <c r="D1870" s="861"/>
      <c r="E1870" s="862">
        <v>0</v>
      </c>
      <c r="F1870" s="863"/>
      <c r="G1870" s="848"/>
      <c r="H1870" s="861"/>
      <c r="I1870" s="861"/>
      <c r="J1870" s="862">
        <v>0</v>
      </c>
      <c r="K1870" s="863"/>
      <c r="L1870" s="848"/>
      <c r="M1870" s="861"/>
      <c r="N1870" s="861"/>
      <c r="O1870" s="862">
        <v>0</v>
      </c>
      <c r="P1870" s="863"/>
      <c r="Q1870" s="848"/>
      <c r="R1870" s="861"/>
      <c r="S1870" s="861"/>
      <c r="T1870" s="862">
        <v>0</v>
      </c>
      <c r="U1870" s="863"/>
      <c r="V1870" s="848"/>
      <c r="W1870" s="861"/>
      <c r="X1870" s="861"/>
      <c r="Y1870" s="862">
        <v>0</v>
      </c>
      <c r="Z1870" s="863"/>
      <c r="AA1870" s="864">
        <f t="shared" si="233"/>
        <v>0</v>
      </c>
      <c r="AB1870" s="865">
        <f t="shared" si="234"/>
        <v>0</v>
      </c>
      <c r="AC1870" s="848"/>
      <c r="AD1870" s="861"/>
      <c r="AE1870" s="861"/>
      <c r="AF1870" s="862"/>
      <c r="AG1870" s="864">
        <f t="shared" si="235"/>
        <v>0</v>
      </c>
    </row>
    <row r="1871" spans="2:33">
      <c r="B1871" s="502" t="s">
        <v>483</v>
      </c>
      <c r="C1871" s="861"/>
      <c r="D1871" s="861"/>
      <c r="E1871" s="862">
        <v>0</v>
      </c>
      <c r="F1871" s="863"/>
      <c r="G1871" s="848"/>
      <c r="H1871" s="861"/>
      <c r="I1871" s="861"/>
      <c r="J1871" s="862">
        <v>0</v>
      </c>
      <c r="K1871" s="863"/>
      <c r="L1871" s="848"/>
      <c r="M1871" s="861"/>
      <c r="N1871" s="861"/>
      <c r="O1871" s="862">
        <v>0</v>
      </c>
      <c r="P1871" s="863"/>
      <c r="Q1871" s="848"/>
      <c r="R1871" s="861"/>
      <c r="S1871" s="861"/>
      <c r="T1871" s="862">
        <v>0</v>
      </c>
      <c r="U1871" s="863"/>
      <c r="V1871" s="848"/>
      <c r="W1871" s="861"/>
      <c r="X1871" s="861"/>
      <c r="Y1871" s="862">
        <v>0</v>
      </c>
      <c r="Z1871" s="863"/>
      <c r="AA1871" s="864">
        <f t="shared" si="233"/>
        <v>0</v>
      </c>
      <c r="AB1871" s="865">
        <f t="shared" si="234"/>
        <v>0</v>
      </c>
      <c r="AC1871" s="848"/>
      <c r="AD1871" s="861"/>
      <c r="AE1871" s="861"/>
      <c r="AF1871" s="862"/>
      <c r="AG1871" s="864">
        <f t="shared" si="235"/>
        <v>0</v>
      </c>
    </row>
    <row r="1872" spans="2:33">
      <c r="B1872" s="502" t="s">
        <v>483</v>
      </c>
      <c r="C1872" s="861"/>
      <c r="D1872" s="861"/>
      <c r="E1872" s="862">
        <v>0</v>
      </c>
      <c r="F1872" s="863"/>
      <c r="G1872" s="848"/>
      <c r="H1872" s="861"/>
      <c r="I1872" s="861"/>
      <c r="J1872" s="862">
        <v>0</v>
      </c>
      <c r="K1872" s="863"/>
      <c r="L1872" s="848"/>
      <c r="M1872" s="861"/>
      <c r="N1872" s="861"/>
      <c r="O1872" s="862">
        <v>0</v>
      </c>
      <c r="P1872" s="863"/>
      <c r="Q1872" s="848"/>
      <c r="R1872" s="861"/>
      <c r="S1872" s="861"/>
      <c r="T1872" s="862">
        <v>4</v>
      </c>
      <c r="U1872" s="863"/>
      <c r="V1872" s="848"/>
      <c r="W1872" s="861"/>
      <c r="X1872" s="861"/>
      <c r="Y1872" s="862">
        <v>2</v>
      </c>
      <c r="Z1872" s="863"/>
      <c r="AA1872" s="864">
        <f t="shared" si="233"/>
        <v>6</v>
      </c>
      <c r="AB1872" s="865">
        <f t="shared" si="234"/>
        <v>0</v>
      </c>
      <c r="AC1872" s="848"/>
      <c r="AD1872" s="861"/>
      <c r="AE1872" s="861"/>
      <c r="AF1872" s="862"/>
      <c r="AG1872" s="864">
        <f t="shared" si="235"/>
        <v>0</v>
      </c>
    </row>
    <row r="1873" spans="2:37">
      <c r="B1873" s="502" t="s">
        <v>484</v>
      </c>
      <c r="C1873" s="861"/>
      <c r="D1873" s="861"/>
      <c r="E1873" s="862">
        <v>0</v>
      </c>
      <c r="F1873" s="863"/>
      <c r="G1873" s="848"/>
      <c r="H1873" s="861"/>
      <c r="I1873" s="861"/>
      <c r="J1873" s="862">
        <v>0</v>
      </c>
      <c r="K1873" s="863"/>
      <c r="L1873" s="848"/>
      <c r="M1873" s="861"/>
      <c r="N1873" s="861"/>
      <c r="O1873" s="862">
        <v>0</v>
      </c>
      <c r="P1873" s="863"/>
      <c r="Q1873" s="848"/>
      <c r="R1873" s="861"/>
      <c r="S1873" s="861"/>
      <c r="T1873" s="862">
        <v>4</v>
      </c>
      <c r="U1873" s="863"/>
      <c r="V1873" s="848"/>
      <c r="W1873" s="861"/>
      <c r="X1873" s="861"/>
      <c r="Y1873" s="862">
        <v>2</v>
      </c>
      <c r="Z1873" s="863"/>
      <c r="AA1873" s="864">
        <f t="shared" si="233"/>
        <v>6</v>
      </c>
      <c r="AB1873" s="865">
        <f t="shared" si="234"/>
        <v>0</v>
      </c>
      <c r="AC1873" s="848"/>
      <c r="AD1873" s="861"/>
      <c r="AE1873" s="861"/>
      <c r="AF1873" s="862"/>
      <c r="AG1873" s="864">
        <f t="shared" si="235"/>
        <v>0</v>
      </c>
    </row>
    <row r="1874" spans="2:37">
      <c r="B1874" s="502" t="s">
        <v>485</v>
      </c>
      <c r="C1874" s="861"/>
      <c r="D1874" s="861"/>
      <c r="E1874" s="862">
        <v>0</v>
      </c>
      <c r="F1874" s="863"/>
      <c r="G1874" s="848"/>
      <c r="H1874" s="861"/>
      <c r="I1874" s="861"/>
      <c r="J1874" s="862">
        <v>0</v>
      </c>
      <c r="K1874" s="863"/>
      <c r="L1874" s="848"/>
      <c r="M1874" s="861"/>
      <c r="N1874" s="861"/>
      <c r="O1874" s="862">
        <v>0</v>
      </c>
      <c r="P1874" s="863"/>
      <c r="Q1874" s="848"/>
      <c r="R1874" s="861"/>
      <c r="S1874" s="861"/>
      <c r="T1874" s="862">
        <v>4</v>
      </c>
      <c r="U1874" s="863"/>
      <c r="V1874" s="848"/>
      <c r="W1874" s="861"/>
      <c r="X1874" s="861"/>
      <c r="Y1874" s="862">
        <v>2</v>
      </c>
      <c r="Z1874" s="863"/>
      <c r="AA1874" s="864">
        <f t="shared" si="233"/>
        <v>6</v>
      </c>
      <c r="AB1874" s="865">
        <f t="shared" si="234"/>
        <v>0</v>
      </c>
      <c r="AC1874" s="848"/>
      <c r="AD1874" s="861"/>
      <c r="AE1874" s="861"/>
      <c r="AF1874" s="862"/>
      <c r="AG1874" s="864">
        <f t="shared" si="235"/>
        <v>0</v>
      </c>
    </row>
    <row r="1875" spans="2:37">
      <c r="B1875" s="502" t="s">
        <v>1129</v>
      </c>
      <c r="C1875" s="861"/>
      <c r="D1875" s="861"/>
      <c r="E1875" s="862">
        <v>0</v>
      </c>
      <c r="F1875" s="863"/>
      <c r="G1875" s="848"/>
      <c r="H1875" s="861"/>
      <c r="I1875" s="861"/>
      <c r="J1875" s="862">
        <v>0</v>
      </c>
      <c r="K1875" s="863"/>
      <c r="L1875" s="848"/>
      <c r="M1875" s="861"/>
      <c r="N1875" s="861"/>
      <c r="O1875" s="862">
        <v>0</v>
      </c>
      <c r="P1875" s="863"/>
      <c r="Q1875" s="848"/>
      <c r="R1875" s="861"/>
      <c r="S1875" s="861"/>
      <c r="T1875" s="862">
        <v>0</v>
      </c>
      <c r="U1875" s="863"/>
      <c r="V1875" s="848"/>
      <c r="W1875" s="861"/>
      <c r="X1875" s="861"/>
      <c r="Y1875" s="862">
        <v>0</v>
      </c>
      <c r="Z1875" s="863"/>
      <c r="AA1875" s="864">
        <f t="shared" si="233"/>
        <v>0</v>
      </c>
      <c r="AB1875" s="865">
        <f t="shared" si="234"/>
        <v>0</v>
      </c>
      <c r="AC1875" s="848"/>
      <c r="AD1875" s="861"/>
      <c r="AE1875" s="861"/>
      <c r="AF1875" s="862"/>
      <c r="AG1875" s="864">
        <f t="shared" si="235"/>
        <v>0</v>
      </c>
    </row>
    <row r="1876" spans="2:37">
      <c r="B1876" s="267" t="s">
        <v>358</v>
      </c>
      <c r="C1876" s="861"/>
      <c r="D1876" s="861"/>
      <c r="E1876" s="862">
        <v>0</v>
      </c>
      <c r="F1876" s="863"/>
      <c r="G1876" s="848"/>
      <c r="H1876" s="861"/>
      <c r="I1876" s="861"/>
      <c r="J1876" s="862">
        <v>0</v>
      </c>
      <c r="K1876" s="863"/>
      <c r="L1876" s="872"/>
      <c r="M1876" s="861"/>
      <c r="N1876" s="861"/>
      <c r="O1876" s="862">
        <v>0</v>
      </c>
      <c r="P1876" s="863"/>
      <c r="Q1876" s="872"/>
      <c r="R1876" s="861"/>
      <c r="S1876" s="861"/>
      <c r="T1876" s="862">
        <v>2</v>
      </c>
      <c r="U1876" s="863"/>
      <c r="V1876" s="872"/>
      <c r="W1876" s="861"/>
      <c r="X1876" s="861"/>
      <c r="Y1876" s="862">
        <v>0</v>
      </c>
      <c r="Z1876" s="863"/>
      <c r="AA1876" s="864">
        <f t="shared" si="233"/>
        <v>2</v>
      </c>
      <c r="AB1876" s="865">
        <f t="shared" si="234"/>
        <v>0</v>
      </c>
      <c r="AC1876" s="848"/>
      <c r="AD1876" s="861"/>
      <c r="AE1876" s="861"/>
      <c r="AF1876" s="862"/>
      <c r="AG1876" s="864">
        <f t="shared" si="235"/>
        <v>0</v>
      </c>
    </row>
    <row r="1877" spans="2:37">
      <c r="B1877" s="267" t="s">
        <v>991</v>
      </c>
      <c r="C1877" s="861"/>
      <c r="D1877" s="861"/>
      <c r="E1877" s="862">
        <v>0</v>
      </c>
      <c r="F1877" s="863"/>
      <c r="G1877" s="848"/>
      <c r="H1877" s="861"/>
      <c r="I1877" s="861"/>
      <c r="J1877" s="862">
        <v>0</v>
      </c>
      <c r="K1877" s="863"/>
      <c r="L1877" s="872"/>
      <c r="M1877" s="861"/>
      <c r="N1877" s="861"/>
      <c r="O1877" s="862">
        <v>0</v>
      </c>
      <c r="P1877" s="863"/>
      <c r="Q1877" s="872"/>
      <c r="R1877" s="861"/>
      <c r="S1877" s="861"/>
      <c r="T1877" s="862">
        <v>0</v>
      </c>
      <c r="U1877" s="863"/>
      <c r="V1877" s="872"/>
      <c r="W1877" s="861"/>
      <c r="X1877" s="861"/>
      <c r="Y1877" s="862">
        <v>0</v>
      </c>
      <c r="Z1877" s="863"/>
      <c r="AA1877" s="864">
        <f t="shared" si="233"/>
        <v>0</v>
      </c>
      <c r="AB1877" s="865">
        <f t="shared" si="234"/>
        <v>0</v>
      </c>
      <c r="AC1877" s="848"/>
      <c r="AD1877" s="861"/>
      <c r="AE1877" s="861"/>
      <c r="AF1877" s="862"/>
      <c r="AG1877" s="864">
        <f t="shared" si="235"/>
        <v>0</v>
      </c>
    </row>
    <row r="1878" spans="2:37">
      <c r="B1878" s="267" t="s">
        <v>411</v>
      </c>
      <c r="C1878" s="861"/>
      <c r="D1878" s="861"/>
      <c r="E1878" s="862">
        <v>0</v>
      </c>
      <c r="F1878" s="863"/>
      <c r="G1878" s="848"/>
      <c r="H1878" s="861"/>
      <c r="I1878" s="861"/>
      <c r="J1878" s="862">
        <v>0</v>
      </c>
      <c r="K1878" s="863"/>
      <c r="L1878" s="872"/>
      <c r="M1878" s="861"/>
      <c r="N1878" s="861"/>
      <c r="O1878" s="862">
        <v>0</v>
      </c>
      <c r="P1878" s="863"/>
      <c r="Q1878" s="872"/>
      <c r="R1878" s="861"/>
      <c r="S1878" s="861"/>
      <c r="T1878" s="862">
        <v>0</v>
      </c>
      <c r="U1878" s="863"/>
      <c r="V1878" s="872"/>
      <c r="W1878" s="861"/>
      <c r="X1878" s="861"/>
      <c r="Y1878" s="862">
        <v>0</v>
      </c>
      <c r="Z1878" s="863"/>
      <c r="AA1878" s="864">
        <f t="shared" si="233"/>
        <v>0</v>
      </c>
      <c r="AB1878" s="865">
        <f t="shared" si="234"/>
        <v>0</v>
      </c>
      <c r="AC1878" s="848"/>
      <c r="AD1878" s="861"/>
      <c r="AE1878" s="861"/>
      <c r="AF1878" s="862"/>
      <c r="AG1878" s="864">
        <f t="shared" si="235"/>
        <v>0</v>
      </c>
    </row>
    <row r="1879" spans="2:37">
      <c r="B1879" s="267" t="s">
        <v>361</v>
      </c>
      <c r="C1879" s="861"/>
      <c r="D1879" s="861"/>
      <c r="E1879" s="862">
        <v>0</v>
      </c>
      <c r="F1879" s="863"/>
      <c r="G1879" s="848"/>
      <c r="H1879" s="861"/>
      <c r="I1879" s="861"/>
      <c r="J1879" s="862">
        <v>0</v>
      </c>
      <c r="K1879" s="863"/>
      <c r="L1879" s="872"/>
      <c r="M1879" s="861"/>
      <c r="N1879" s="861"/>
      <c r="O1879" s="862">
        <v>0</v>
      </c>
      <c r="P1879" s="863"/>
      <c r="Q1879" s="872"/>
      <c r="R1879" s="861"/>
      <c r="S1879" s="861"/>
      <c r="T1879" s="862">
        <v>0</v>
      </c>
      <c r="U1879" s="863"/>
      <c r="V1879" s="872"/>
      <c r="W1879" s="861"/>
      <c r="X1879" s="861"/>
      <c r="Y1879" s="862">
        <v>0</v>
      </c>
      <c r="Z1879" s="863"/>
      <c r="AA1879" s="864">
        <f t="shared" si="233"/>
        <v>0</v>
      </c>
      <c r="AB1879" s="865">
        <f t="shared" si="234"/>
        <v>0</v>
      </c>
      <c r="AC1879" s="848"/>
      <c r="AD1879" s="861"/>
      <c r="AE1879" s="861"/>
      <c r="AF1879" s="862"/>
      <c r="AG1879" s="864">
        <f t="shared" si="235"/>
        <v>0</v>
      </c>
    </row>
    <row r="1880" spans="2:37">
      <c r="B1880" s="267" t="s">
        <v>362</v>
      </c>
      <c r="C1880" s="861"/>
      <c r="D1880" s="873"/>
      <c r="E1880" s="862">
        <v>0</v>
      </c>
      <c r="F1880" s="863"/>
      <c r="G1880" s="848"/>
      <c r="H1880" s="861"/>
      <c r="I1880" s="873"/>
      <c r="J1880" s="862">
        <v>0</v>
      </c>
      <c r="K1880" s="863"/>
      <c r="L1880" s="872"/>
      <c r="M1880" s="861"/>
      <c r="N1880" s="873"/>
      <c r="O1880" s="862">
        <v>0</v>
      </c>
      <c r="P1880" s="863"/>
      <c r="Q1880" s="872"/>
      <c r="R1880" s="861"/>
      <c r="S1880" s="873"/>
      <c r="T1880" s="862">
        <v>0</v>
      </c>
      <c r="U1880" s="863"/>
      <c r="V1880" s="872"/>
      <c r="W1880" s="861"/>
      <c r="X1880" s="873"/>
      <c r="Y1880" s="862">
        <v>0</v>
      </c>
      <c r="Z1880" s="863"/>
      <c r="AA1880" s="864">
        <f t="shared" si="233"/>
        <v>0</v>
      </c>
      <c r="AB1880" s="865">
        <f t="shared" si="234"/>
        <v>0</v>
      </c>
      <c r="AC1880" s="848"/>
      <c r="AD1880" s="861"/>
      <c r="AE1880" s="861"/>
      <c r="AF1880" s="862"/>
      <c r="AG1880" s="864">
        <f t="shared" si="235"/>
        <v>0</v>
      </c>
    </row>
    <row r="1881" spans="2:37">
      <c r="B1881" s="437" t="s">
        <v>355</v>
      </c>
      <c r="C1881" s="861"/>
      <c r="D1881" s="861"/>
      <c r="E1881" s="862">
        <v>0</v>
      </c>
      <c r="F1881" s="863"/>
      <c r="G1881" s="848"/>
      <c r="H1881" s="861"/>
      <c r="I1881" s="861"/>
      <c r="J1881" s="862">
        <v>0</v>
      </c>
      <c r="K1881" s="863"/>
      <c r="L1881" s="872"/>
      <c r="M1881" s="861"/>
      <c r="N1881" s="861"/>
      <c r="O1881" s="862">
        <v>0</v>
      </c>
      <c r="P1881" s="863"/>
      <c r="Q1881" s="872"/>
      <c r="R1881" s="861"/>
      <c r="S1881" s="861"/>
      <c r="T1881" s="862">
        <v>7.75</v>
      </c>
      <c r="U1881" s="863"/>
      <c r="V1881" s="872"/>
      <c r="W1881" s="861"/>
      <c r="X1881" s="861"/>
      <c r="Y1881" s="862">
        <v>0</v>
      </c>
      <c r="Z1881" s="863"/>
      <c r="AA1881" s="864">
        <f t="shared" si="233"/>
        <v>7.75</v>
      </c>
      <c r="AB1881" s="865">
        <f t="shared" si="234"/>
        <v>0</v>
      </c>
      <c r="AC1881" s="848"/>
      <c r="AD1881" s="861"/>
      <c r="AE1881" s="861"/>
      <c r="AF1881" s="862"/>
      <c r="AG1881" s="864">
        <f t="shared" si="235"/>
        <v>0</v>
      </c>
    </row>
    <row r="1882" spans="2:37">
      <c r="B1882" s="437" t="s">
        <v>356</v>
      </c>
      <c r="C1882" s="875"/>
      <c r="D1882" s="875"/>
      <c r="E1882" s="862">
        <v>0</v>
      </c>
      <c r="F1882" s="863"/>
      <c r="G1882" s="872"/>
      <c r="H1882" s="873"/>
      <c r="I1882" s="873"/>
      <c r="J1882" s="862">
        <v>0</v>
      </c>
      <c r="K1882" s="863"/>
      <c r="L1882" s="872"/>
      <c r="M1882" s="873"/>
      <c r="N1882" s="873"/>
      <c r="O1882" s="862">
        <v>0</v>
      </c>
      <c r="P1882" s="863"/>
      <c r="Q1882" s="872"/>
      <c r="R1882" s="873"/>
      <c r="S1882" s="873"/>
      <c r="T1882" s="862">
        <v>0</v>
      </c>
      <c r="U1882" s="863"/>
      <c r="V1882" s="872"/>
      <c r="W1882" s="873"/>
      <c r="X1882" s="873"/>
      <c r="Y1882" s="862">
        <v>0</v>
      </c>
      <c r="Z1882" s="863"/>
      <c r="AA1882" s="864">
        <f t="shared" si="233"/>
        <v>0</v>
      </c>
      <c r="AB1882" s="865">
        <f t="shared" si="234"/>
        <v>0</v>
      </c>
      <c r="AC1882" s="848"/>
      <c r="AD1882" s="861"/>
      <c r="AE1882" s="861"/>
      <c r="AF1882" s="862"/>
      <c r="AG1882" s="864">
        <f t="shared" si="235"/>
        <v>0</v>
      </c>
    </row>
    <row r="1883" spans="2:37">
      <c r="B1883" s="31" t="s">
        <v>61</v>
      </c>
      <c r="C1883" s="876"/>
      <c r="D1883" s="876"/>
      <c r="E1883" s="877">
        <f>SUM(E1839:E1882)</f>
        <v>0</v>
      </c>
      <c r="F1883" s="863"/>
      <c r="G1883" s="876"/>
      <c r="H1883" s="876"/>
      <c r="I1883" s="876"/>
      <c r="J1883" s="877">
        <f>SUM(J1839:J1882)</f>
        <v>4</v>
      </c>
      <c r="K1883" s="863"/>
      <c r="L1883" s="876"/>
      <c r="M1883" s="876"/>
      <c r="N1883" s="876"/>
      <c r="O1883" s="877">
        <f>SUM(O1839:O1882)</f>
        <v>4</v>
      </c>
      <c r="P1883" s="863"/>
      <c r="Q1883" s="876"/>
      <c r="R1883" s="876"/>
      <c r="S1883" s="876"/>
      <c r="T1883" s="877">
        <f>SUM(T1839:T1882)</f>
        <v>69.75</v>
      </c>
      <c r="U1883" s="863"/>
      <c r="V1883" s="876"/>
      <c r="W1883" s="876"/>
      <c r="X1883" s="876"/>
      <c r="Y1883" s="877">
        <f>SUM(Y1839:Y1882)</f>
        <v>42</v>
      </c>
      <c r="Z1883" s="863"/>
      <c r="AA1883" s="864">
        <f>SUM(AA1839:AA1882)</f>
        <v>119.75</v>
      </c>
      <c r="AB1883" s="864">
        <f>SUM(AB1839:AB1882)</f>
        <v>0</v>
      </c>
      <c r="AC1883" s="848"/>
      <c r="AD1883" s="876"/>
      <c r="AE1883" s="876"/>
      <c r="AF1883" s="864">
        <f>SUM(AF1839:AF1882)</f>
        <v>0</v>
      </c>
      <c r="AG1883" s="864">
        <f>SUM(AG1839:AG1882)</f>
        <v>0</v>
      </c>
    </row>
    <row r="1884" spans="2:37">
      <c r="B1884" s="267" t="s">
        <v>1116</v>
      </c>
      <c r="C1884" s="861"/>
      <c r="D1884" s="861"/>
      <c r="E1884" s="862">
        <v>0</v>
      </c>
      <c r="F1884" s="863"/>
      <c r="G1884" s="848"/>
      <c r="H1884" s="861"/>
      <c r="I1884" s="861"/>
      <c r="J1884" s="862">
        <v>0</v>
      </c>
      <c r="K1884" s="863"/>
      <c r="L1884" s="848"/>
      <c r="M1884" s="861"/>
      <c r="N1884" s="861"/>
      <c r="O1884" s="862">
        <v>4</v>
      </c>
      <c r="P1884" s="863"/>
      <c r="Q1884" s="848"/>
      <c r="R1884" s="861"/>
      <c r="S1884" s="861"/>
      <c r="T1884" s="862">
        <v>4</v>
      </c>
      <c r="U1884" s="863"/>
      <c r="V1884" s="848"/>
      <c r="W1884" s="861"/>
      <c r="X1884" s="861"/>
      <c r="Y1884" s="862">
        <v>4</v>
      </c>
      <c r="Z1884" s="863"/>
      <c r="AA1884" s="864">
        <f>(E1884+J1884+O1884+T1884+Y1884)</f>
        <v>12</v>
      </c>
      <c r="AB1884" s="865">
        <f>Z1884+U1884+P1884+K1884+F1884</f>
        <v>0</v>
      </c>
      <c r="AC1884" s="848"/>
      <c r="AD1884" s="861"/>
      <c r="AE1884" s="861"/>
      <c r="AF1884" s="862"/>
      <c r="AG1884" s="864">
        <f>AF1884</f>
        <v>0</v>
      </c>
    </row>
    <row r="1885" spans="2:37">
      <c r="B1885" s="267" t="s">
        <v>64</v>
      </c>
      <c r="C1885" s="861"/>
      <c r="D1885" s="861"/>
      <c r="E1885" s="862">
        <v>0</v>
      </c>
      <c r="F1885" s="862"/>
      <c r="G1885" s="878"/>
      <c r="H1885" s="861"/>
      <c r="I1885" s="861"/>
      <c r="J1885" s="862">
        <v>0</v>
      </c>
      <c r="K1885" s="862"/>
      <c r="L1885" s="872"/>
      <c r="M1885" s="861"/>
      <c r="N1885" s="861"/>
      <c r="O1885" s="862">
        <v>0</v>
      </c>
      <c r="P1885" s="862"/>
      <c r="Q1885" s="872"/>
      <c r="R1885" s="861"/>
      <c r="S1885" s="861"/>
      <c r="T1885" s="862">
        <v>0</v>
      </c>
      <c r="U1885" s="862"/>
      <c r="V1885" s="872"/>
      <c r="W1885" s="861"/>
      <c r="X1885" s="861"/>
      <c r="Y1885" s="862">
        <v>0</v>
      </c>
      <c r="Z1885" s="862"/>
      <c r="AA1885" s="864">
        <f>SUM(E1885+J1885+O1885+T1885+Y1885)</f>
        <v>0</v>
      </c>
      <c r="AB1885" s="855">
        <f>Z1885+U1885+P1885+K1885+F1885</f>
        <v>0</v>
      </c>
      <c r="AC1885" s="848"/>
      <c r="AD1885" s="861" t="s">
        <v>29</v>
      </c>
      <c r="AE1885" s="861" t="s">
        <v>29</v>
      </c>
      <c r="AF1885" s="862"/>
      <c r="AG1885" s="864">
        <f>AF1885</f>
        <v>0</v>
      </c>
    </row>
    <row r="1886" spans="2:37">
      <c r="B1886" s="71" t="s">
        <v>66</v>
      </c>
      <c r="C1886" s="879"/>
      <c r="D1886" s="879"/>
      <c r="E1886" s="878"/>
      <c r="F1886" s="878"/>
      <c r="G1886" s="878"/>
      <c r="H1886" s="878"/>
      <c r="I1886" s="878"/>
      <c r="J1886" s="878"/>
      <c r="K1886" s="878"/>
      <c r="L1886" s="878"/>
      <c r="M1886" s="878"/>
      <c r="N1886" s="878"/>
      <c r="O1886" s="878"/>
      <c r="P1886" s="878"/>
      <c r="Q1886" s="878"/>
      <c r="R1886" s="878"/>
      <c r="S1886" s="878"/>
      <c r="T1886" s="878"/>
      <c r="U1886" s="878"/>
      <c r="V1886" s="878"/>
      <c r="W1886" s="878"/>
      <c r="X1886" s="878"/>
      <c r="Y1886" s="878"/>
      <c r="Z1886" s="878"/>
      <c r="AA1886" s="864">
        <f>SUM(AA1884:AA1885)</f>
        <v>12</v>
      </c>
      <c r="AB1886" s="864">
        <f>SUM(AB1885:AB1885)</f>
        <v>0</v>
      </c>
      <c r="AC1886" s="848"/>
      <c r="AD1886" s="851"/>
      <c r="AE1886" s="851"/>
      <c r="AF1886" s="851"/>
      <c r="AG1886" s="864">
        <f>SUM(AG1885:AG1885)</f>
        <v>0</v>
      </c>
      <c r="AK1886" s="407"/>
    </row>
    <row r="1887" spans="2:37">
      <c r="B1887" s="899" t="s">
        <v>67</v>
      </c>
      <c r="C1887" s="900">
        <f>C1888+C1889</f>
        <v>13</v>
      </c>
      <c r="D1887" s="900"/>
      <c r="E1887" s="901"/>
      <c r="F1887" s="901"/>
      <c r="G1887" s="900"/>
      <c r="H1887" s="901"/>
      <c r="I1887" s="901"/>
      <c r="J1887" s="901"/>
      <c r="K1887" s="901"/>
      <c r="L1887" s="900"/>
      <c r="M1887" s="900"/>
      <c r="N1887" s="900"/>
      <c r="O1887" s="900"/>
      <c r="P1887" s="901"/>
      <c r="Q1887" s="900"/>
      <c r="R1887" s="900"/>
      <c r="S1887" s="900"/>
      <c r="T1887" s="900"/>
      <c r="U1887" s="901"/>
      <c r="V1887" s="900"/>
      <c r="W1887" s="900"/>
      <c r="X1887" s="900"/>
      <c r="Y1887" s="902"/>
      <c r="Z1887" s="901"/>
      <c r="AA1887" s="903"/>
      <c r="AB1887" s="901"/>
      <c r="AC1887" s="903"/>
      <c r="AD1887" s="903"/>
      <c r="AE1887" s="903"/>
      <c r="AF1887" s="903"/>
      <c r="AG1887" s="903"/>
      <c r="AK1887" s="407"/>
    </row>
    <row r="1888" spans="2:37">
      <c r="B1888" s="904" t="s">
        <v>68</v>
      </c>
      <c r="C1888" s="900">
        <v>0</v>
      </c>
      <c r="D1888" s="900"/>
      <c r="E1888" s="901"/>
      <c r="F1888" s="901"/>
      <c r="G1888" s="900"/>
      <c r="H1888" s="901"/>
      <c r="I1888" s="901"/>
      <c r="J1888" s="901"/>
      <c r="K1888" s="901"/>
      <c r="L1888" s="900"/>
      <c r="M1888" s="900"/>
      <c r="N1888" s="900"/>
      <c r="O1888" s="900"/>
      <c r="P1888" s="901"/>
      <c r="Q1888" s="900"/>
      <c r="R1888" s="900"/>
      <c r="S1888" s="900"/>
      <c r="T1888" s="900"/>
      <c r="U1888" s="901"/>
      <c r="V1888" s="900"/>
      <c r="W1888" s="900"/>
      <c r="X1888" s="900"/>
      <c r="Y1888" s="902"/>
      <c r="Z1888" s="901"/>
      <c r="AA1888" s="903"/>
      <c r="AB1888" s="901"/>
      <c r="AC1888" s="903"/>
      <c r="AD1888" s="903"/>
      <c r="AE1888" s="903"/>
      <c r="AF1888" s="903"/>
      <c r="AG1888" s="903"/>
      <c r="AK1888" s="407"/>
    </row>
    <row r="1889" spans="2:42">
      <c r="B1889" s="904" t="s">
        <v>69</v>
      </c>
      <c r="C1889" s="900">
        <v>13</v>
      </c>
      <c r="D1889" s="900"/>
      <c r="E1889" s="901"/>
      <c r="F1889" s="901"/>
      <c r="G1889" s="900"/>
      <c r="H1889" s="901"/>
      <c r="I1889" s="901"/>
      <c r="J1889" s="901"/>
      <c r="K1889" s="901"/>
      <c r="L1889" s="900"/>
      <c r="M1889" s="900"/>
      <c r="N1889" s="900"/>
      <c r="O1889" s="900"/>
      <c r="P1889" s="901"/>
      <c r="Q1889" s="900"/>
      <c r="R1889" s="900"/>
      <c r="S1889" s="900"/>
      <c r="T1889" s="900"/>
      <c r="U1889" s="901"/>
      <c r="V1889" s="900"/>
      <c r="W1889" s="900"/>
      <c r="X1889" s="900"/>
      <c r="Y1889" s="902"/>
      <c r="Z1889" s="901"/>
      <c r="AA1889" s="903"/>
      <c r="AB1889" s="901"/>
      <c r="AC1889" s="903"/>
      <c r="AD1889" s="903"/>
      <c r="AE1889" s="903"/>
      <c r="AF1889" s="903"/>
      <c r="AG1889" s="903"/>
    </row>
    <row r="1892" spans="2:42" ht="25.5">
      <c r="B1892" s="1571"/>
      <c r="C1892" s="1570">
        <v>46083</v>
      </c>
      <c r="D1892" s="1570"/>
      <c r="E1892" s="1570" t="s">
        <v>564</v>
      </c>
      <c r="F1892" s="1570"/>
      <c r="G1892" s="894"/>
      <c r="H1892" s="1570">
        <v>46084</v>
      </c>
      <c r="I1892" s="1570"/>
      <c r="J1892" s="1570" t="s">
        <v>565</v>
      </c>
      <c r="K1892" s="1570"/>
      <c r="L1892" s="894"/>
      <c r="M1892" s="1570">
        <v>46085</v>
      </c>
      <c r="N1892" s="1570"/>
      <c r="O1892" s="1570" t="s">
        <v>566</v>
      </c>
      <c r="P1892" s="1570"/>
      <c r="Q1892" s="894"/>
      <c r="R1892" s="1570">
        <v>46086</v>
      </c>
      <c r="S1892" s="1570"/>
      <c r="T1892" s="1570" t="s">
        <v>567</v>
      </c>
      <c r="U1892" s="1570"/>
      <c r="V1892" s="894"/>
      <c r="W1892" s="1570">
        <v>46087</v>
      </c>
      <c r="X1892" s="1570"/>
      <c r="Y1892" s="1570" t="s">
        <v>568</v>
      </c>
      <c r="Z1892" s="1570"/>
      <c r="AA1892" s="1569" t="s">
        <v>19</v>
      </c>
      <c r="AB1892" s="1569" t="s">
        <v>20</v>
      </c>
      <c r="AC1892" s="4"/>
      <c r="AD1892" s="1570"/>
      <c r="AE1892" s="1570"/>
      <c r="AF1892" s="895" t="s">
        <v>1111</v>
      </c>
      <c r="AG1892" s="1569" t="s">
        <v>21</v>
      </c>
      <c r="AK1892" s="194" t="s">
        <v>84</v>
      </c>
      <c r="AL1892" s="366"/>
      <c r="AM1892" s="366"/>
      <c r="AN1892" s="366"/>
      <c r="AO1892" s="366"/>
      <c r="AP1892" s="366"/>
    </row>
    <row r="1893" spans="2:42">
      <c r="B1893" s="1571"/>
      <c r="C1893" s="896" t="s">
        <v>23</v>
      </c>
      <c r="D1893" s="896" t="s">
        <v>24</v>
      </c>
      <c r="E1893" s="897" t="s">
        <v>25</v>
      </c>
      <c r="F1893" s="898" t="s">
        <v>14</v>
      </c>
      <c r="G1893" s="4"/>
      <c r="H1893" s="896" t="s">
        <v>23</v>
      </c>
      <c r="I1893" s="896" t="s">
        <v>24</v>
      </c>
      <c r="J1893" s="898" t="s">
        <v>25</v>
      </c>
      <c r="K1893" s="898" t="s">
        <v>14</v>
      </c>
      <c r="L1893" s="4"/>
      <c r="M1893" s="896" t="s">
        <v>23</v>
      </c>
      <c r="N1893" s="896" t="s">
        <v>24</v>
      </c>
      <c r="O1893" s="898" t="s">
        <v>25</v>
      </c>
      <c r="P1893" s="898" t="s">
        <v>14</v>
      </c>
      <c r="R1893" s="896" t="s">
        <v>23</v>
      </c>
      <c r="S1893" s="896" t="s">
        <v>24</v>
      </c>
      <c r="T1893" s="898" t="s">
        <v>25</v>
      </c>
      <c r="U1893" s="898" t="s">
        <v>14</v>
      </c>
      <c r="W1893" s="896" t="s">
        <v>23</v>
      </c>
      <c r="X1893" s="896" t="s">
        <v>24</v>
      </c>
      <c r="Y1893" s="898" t="s">
        <v>25</v>
      </c>
      <c r="Z1893" s="898" t="s">
        <v>14</v>
      </c>
      <c r="AA1893" s="1569"/>
      <c r="AB1893" s="1569"/>
      <c r="AC1893" s="4"/>
      <c r="AD1893" s="896" t="s">
        <v>23</v>
      </c>
      <c r="AE1893" s="896" t="s">
        <v>24</v>
      </c>
      <c r="AF1893" s="898" t="s">
        <v>25</v>
      </c>
      <c r="AG1893" s="1569"/>
      <c r="AK1893" s="188" t="s">
        <v>26</v>
      </c>
      <c r="AL1893" s="196">
        <f>AA1937</f>
        <v>296</v>
      </c>
      <c r="AM1893" s="510">
        <v>40.31</v>
      </c>
      <c r="AN1893" s="510">
        <f t="shared" ref="AN1893:AN1898" si="236">AL1893*AM1893</f>
        <v>11931.76</v>
      </c>
    </row>
    <row r="1894" spans="2:42">
      <c r="B1894" s="47" t="s">
        <v>515</v>
      </c>
      <c r="C1894" s="47"/>
      <c r="D1894" s="47"/>
      <c r="E1894" s="319">
        <v>0</v>
      </c>
      <c r="F1894" s="320"/>
      <c r="G1894" s="4"/>
      <c r="H1894" s="47"/>
      <c r="I1894" s="47"/>
      <c r="J1894" s="319">
        <v>0</v>
      </c>
      <c r="K1894" s="320"/>
      <c r="L1894" s="4"/>
      <c r="M1894" s="47"/>
      <c r="N1894" s="47"/>
      <c r="O1894" s="319">
        <v>0</v>
      </c>
      <c r="P1894" s="320"/>
      <c r="R1894" s="47"/>
      <c r="S1894" s="47"/>
      <c r="T1894" s="319">
        <v>0</v>
      </c>
      <c r="U1894" s="320"/>
      <c r="W1894" s="47"/>
      <c r="X1894" s="47"/>
      <c r="Y1894" s="319">
        <v>0</v>
      </c>
      <c r="Z1894" s="320"/>
      <c r="AA1894" s="328">
        <f>(E1894+J1894+O1894+T1894+Y1894)</f>
        <v>0</v>
      </c>
      <c r="AB1894" s="400">
        <f>Z1894+U1894+P1894+K1894+F1894</f>
        <v>0</v>
      </c>
      <c r="AC1894" s="4"/>
      <c r="AF1894" s="319"/>
      <c r="AG1894" s="328">
        <f>AF1894</f>
        <v>0</v>
      </c>
      <c r="AK1894" s="188" t="s">
        <v>30</v>
      </c>
      <c r="AL1894" s="196">
        <f>AB1937</f>
        <v>1</v>
      </c>
      <c r="AM1894" s="510">
        <v>60.465000000000003</v>
      </c>
      <c r="AN1894" s="510">
        <f t="shared" si="236"/>
        <v>60.465000000000003</v>
      </c>
    </row>
    <row r="1895" spans="2:42">
      <c r="B1895" s="47" t="s">
        <v>1112</v>
      </c>
      <c r="C1895" s="47"/>
      <c r="D1895" s="47"/>
      <c r="E1895" s="319">
        <v>0</v>
      </c>
      <c r="F1895" s="320"/>
      <c r="G1895" s="4"/>
      <c r="H1895" s="47"/>
      <c r="I1895" s="47"/>
      <c r="J1895" s="319">
        <v>0</v>
      </c>
      <c r="K1895" s="320"/>
      <c r="L1895" s="4"/>
      <c r="M1895" s="47"/>
      <c r="N1895" s="47"/>
      <c r="O1895" s="319">
        <v>0</v>
      </c>
      <c r="P1895" s="320"/>
      <c r="R1895" s="47">
        <v>0.35416666666666669</v>
      </c>
      <c r="S1895" s="47">
        <v>0.10416666666666667</v>
      </c>
      <c r="T1895" s="319">
        <v>6</v>
      </c>
      <c r="U1895" s="320"/>
      <c r="W1895" s="47">
        <v>0.33333333333333331</v>
      </c>
      <c r="X1895" s="47">
        <v>8.3333333333333329E-2</v>
      </c>
      <c r="Y1895" s="319">
        <v>6</v>
      </c>
      <c r="Z1895" s="320"/>
      <c r="AA1895" s="328">
        <f t="shared" ref="AA1895:AA1936" si="237">(E1895+J1895+O1895+T1895+Y1895)</f>
        <v>12</v>
      </c>
      <c r="AB1895" s="400">
        <f t="shared" ref="AB1895:AB1936" si="238">Z1895+U1895+P1895+K1895+F1895</f>
        <v>0</v>
      </c>
      <c r="AC1895" s="4"/>
      <c r="AD1895" s="47"/>
      <c r="AE1895" s="47"/>
      <c r="AF1895" s="319"/>
      <c r="AG1895" s="328">
        <f t="shared" ref="AG1895:AG1936" si="239">AF1895</f>
        <v>0</v>
      </c>
      <c r="AK1895" s="188" t="s">
        <v>32</v>
      </c>
      <c r="AL1895" s="196">
        <f>AG1937</f>
        <v>0</v>
      </c>
      <c r="AM1895" s="510">
        <v>60.465000000000003</v>
      </c>
      <c r="AN1895" s="510">
        <f t="shared" si="236"/>
        <v>0</v>
      </c>
    </row>
    <row r="1896" spans="2:42">
      <c r="B1896" s="47" t="s">
        <v>1141</v>
      </c>
      <c r="C1896" s="47"/>
      <c r="D1896" s="47"/>
      <c r="E1896" s="319">
        <v>0</v>
      </c>
      <c r="F1896" s="320"/>
      <c r="G1896" s="4"/>
      <c r="H1896" s="47"/>
      <c r="I1896" s="47"/>
      <c r="J1896" s="319">
        <v>0</v>
      </c>
      <c r="K1896" s="320"/>
      <c r="L1896" s="4"/>
      <c r="M1896" s="47"/>
      <c r="N1896" s="47"/>
      <c r="O1896" s="319">
        <v>0</v>
      </c>
      <c r="P1896" s="320"/>
      <c r="R1896" s="47"/>
      <c r="S1896" s="47"/>
      <c r="T1896" s="319">
        <v>0</v>
      </c>
      <c r="U1896" s="320"/>
      <c r="W1896" s="47"/>
      <c r="X1896" s="47"/>
      <c r="Y1896" s="319">
        <v>0</v>
      </c>
      <c r="Z1896" s="320"/>
      <c r="AA1896" s="328">
        <f t="shared" si="237"/>
        <v>0</v>
      </c>
      <c r="AB1896" s="400">
        <f t="shared" si="238"/>
        <v>0</v>
      </c>
      <c r="AC1896" s="4"/>
      <c r="AD1896" s="47"/>
      <c r="AE1896" s="47"/>
      <c r="AF1896" s="319"/>
      <c r="AG1896" s="328">
        <f t="shared" si="239"/>
        <v>0</v>
      </c>
      <c r="AK1896" s="188" t="s">
        <v>213</v>
      </c>
      <c r="AL1896" s="196">
        <f>AA1940</f>
        <v>40</v>
      </c>
      <c r="AM1896" s="510">
        <v>53.05</v>
      </c>
      <c r="AN1896" s="510">
        <f t="shared" si="236"/>
        <v>2122</v>
      </c>
    </row>
    <row r="1897" spans="2:42">
      <c r="B1897" s="47" t="s">
        <v>72</v>
      </c>
      <c r="C1897" s="47"/>
      <c r="D1897" s="47"/>
      <c r="E1897" s="319">
        <v>0</v>
      </c>
      <c r="F1897" s="320"/>
      <c r="G1897" s="4"/>
      <c r="H1897" s="47"/>
      <c r="I1897" s="47"/>
      <c r="J1897" s="319">
        <v>0</v>
      </c>
      <c r="K1897" s="320"/>
      <c r="L1897" s="4"/>
      <c r="M1897" s="47"/>
      <c r="N1897" s="47"/>
      <c r="O1897" s="319">
        <v>0</v>
      </c>
      <c r="P1897" s="320"/>
      <c r="R1897" s="47"/>
      <c r="S1897" s="47"/>
      <c r="T1897" s="319">
        <v>0</v>
      </c>
      <c r="U1897" s="320"/>
      <c r="W1897" s="47"/>
      <c r="X1897" s="47"/>
      <c r="Y1897" s="319">
        <v>0</v>
      </c>
      <c r="Z1897" s="320"/>
      <c r="AA1897" s="328">
        <f t="shared" si="237"/>
        <v>0</v>
      </c>
      <c r="AB1897" s="400">
        <f t="shared" si="238"/>
        <v>0</v>
      </c>
      <c r="AC1897" s="4"/>
      <c r="AD1897" s="47"/>
      <c r="AE1897" s="47"/>
      <c r="AF1897" s="319"/>
      <c r="AG1897" s="328">
        <f t="shared" si="239"/>
        <v>0</v>
      </c>
      <c r="AK1897" s="188" t="s">
        <v>36</v>
      </c>
      <c r="AL1897" s="196">
        <f>AB1940</f>
        <v>0</v>
      </c>
      <c r="AM1897" s="510">
        <v>79.574999999999989</v>
      </c>
      <c r="AN1897" s="510">
        <f t="shared" si="236"/>
        <v>0</v>
      </c>
    </row>
    <row r="1898" spans="2:42">
      <c r="B1898" s="374" t="s">
        <v>998</v>
      </c>
      <c r="C1898" s="47">
        <v>0.375</v>
      </c>
      <c r="D1898" s="47">
        <v>0.25</v>
      </c>
      <c r="E1898" s="319">
        <v>8</v>
      </c>
      <c r="F1898" s="320"/>
      <c r="G1898" s="4"/>
      <c r="H1898" s="47">
        <v>0.375</v>
      </c>
      <c r="I1898" s="47">
        <v>0.20833333333333334</v>
      </c>
      <c r="J1898" s="319">
        <v>8</v>
      </c>
      <c r="K1898" s="320"/>
      <c r="L1898" s="4"/>
      <c r="M1898" s="47">
        <v>0.375</v>
      </c>
      <c r="N1898" s="47">
        <v>0.25</v>
      </c>
      <c r="O1898" s="319">
        <v>8</v>
      </c>
      <c r="P1898" s="320"/>
      <c r="R1898" s="47">
        <v>0.375</v>
      </c>
      <c r="S1898" s="47">
        <v>0.25</v>
      </c>
      <c r="T1898" s="319">
        <v>8</v>
      </c>
      <c r="U1898" s="320"/>
      <c r="W1898" s="47">
        <v>0.375</v>
      </c>
      <c r="X1898" s="47">
        <v>0.25</v>
      </c>
      <c r="Y1898" s="319">
        <v>8</v>
      </c>
      <c r="Z1898" s="320"/>
      <c r="AA1898" s="328">
        <f>(E1898+J1898+O1898+T1898+Y1898)</f>
        <v>40</v>
      </c>
      <c r="AB1898" s="400">
        <f t="shared" si="238"/>
        <v>0</v>
      </c>
      <c r="AC1898" s="4"/>
      <c r="AD1898" s="47"/>
      <c r="AE1898" s="47"/>
      <c r="AF1898" s="319"/>
      <c r="AG1898" s="328">
        <f t="shared" si="239"/>
        <v>0</v>
      </c>
      <c r="AK1898" s="188" t="s">
        <v>38</v>
      </c>
      <c r="AL1898" s="196">
        <f>AG1940</f>
        <v>0</v>
      </c>
      <c r="AM1898" s="510">
        <v>79.574999999999989</v>
      </c>
      <c r="AN1898" s="510">
        <f t="shared" si="236"/>
        <v>0</v>
      </c>
    </row>
    <row r="1899" spans="2:42">
      <c r="B1899" s="47" t="s">
        <v>53</v>
      </c>
      <c r="C1899" s="47"/>
      <c r="D1899" s="47"/>
      <c r="E1899" s="319">
        <v>0</v>
      </c>
      <c r="F1899" s="320"/>
      <c r="G1899" s="4"/>
      <c r="H1899" s="47"/>
      <c r="I1899" s="47"/>
      <c r="J1899" s="319">
        <v>0</v>
      </c>
      <c r="K1899" s="320"/>
      <c r="L1899" s="4"/>
      <c r="M1899" s="47"/>
      <c r="N1899" s="47"/>
      <c r="O1899" s="319">
        <v>0</v>
      </c>
      <c r="P1899" s="320"/>
      <c r="R1899" s="47"/>
      <c r="S1899" s="47"/>
      <c r="T1899" s="319">
        <v>0</v>
      </c>
      <c r="U1899" s="320"/>
      <c r="W1899" s="47"/>
      <c r="X1899" s="47"/>
      <c r="Y1899" s="319">
        <v>0</v>
      </c>
      <c r="Z1899" s="320"/>
      <c r="AA1899" s="328">
        <f t="shared" si="237"/>
        <v>0</v>
      </c>
      <c r="AB1899" s="400">
        <f t="shared" si="238"/>
        <v>0</v>
      </c>
      <c r="AC1899" s="4"/>
      <c r="AD1899" s="47"/>
      <c r="AE1899" s="47"/>
      <c r="AF1899" s="319"/>
      <c r="AG1899" s="328">
        <f t="shared" si="239"/>
        <v>0</v>
      </c>
      <c r="AN1899" s="510">
        <f>SUM(AN1893:AN1898)</f>
        <v>14114.225</v>
      </c>
    </row>
    <row r="1900" spans="2:42">
      <c r="B1900" s="47" t="s">
        <v>241</v>
      </c>
      <c r="C1900" s="47"/>
      <c r="D1900" s="47"/>
      <c r="E1900" s="319">
        <v>0</v>
      </c>
      <c r="F1900" s="320"/>
      <c r="G1900" s="4"/>
      <c r="H1900" s="47"/>
      <c r="I1900" s="47"/>
      <c r="J1900" s="319">
        <v>0</v>
      </c>
      <c r="K1900" s="320"/>
      <c r="L1900" s="4"/>
      <c r="M1900" s="47"/>
      <c r="N1900" s="47"/>
      <c r="O1900" s="319">
        <v>0</v>
      </c>
      <c r="P1900" s="320"/>
      <c r="R1900" s="47"/>
      <c r="S1900" s="47"/>
      <c r="T1900" s="319">
        <v>0</v>
      </c>
      <c r="U1900" s="320"/>
      <c r="W1900" s="47"/>
      <c r="X1900" s="47"/>
      <c r="Y1900" s="319">
        <v>0</v>
      </c>
      <c r="Z1900" s="320"/>
      <c r="AA1900" s="328">
        <f t="shared" si="237"/>
        <v>0</v>
      </c>
      <c r="AB1900" s="400">
        <f t="shared" si="238"/>
        <v>0</v>
      </c>
      <c r="AC1900" s="4"/>
      <c r="AD1900" s="47"/>
      <c r="AE1900" s="47"/>
      <c r="AF1900" s="319"/>
      <c r="AG1900" s="328">
        <f t="shared" si="239"/>
        <v>0</v>
      </c>
    </row>
    <row r="1901" spans="2:42">
      <c r="B1901" s="47" t="s">
        <v>1142</v>
      </c>
      <c r="C1901" s="47"/>
      <c r="D1901" s="441"/>
      <c r="E1901" s="319">
        <v>0</v>
      </c>
      <c r="F1901" s="320"/>
      <c r="G1901" s="4"/>
      <c r="H1901" s="47"/>
      <c r="I1901" s="47"/>
      <c r="J1901" s="319">
        <v>0</v>
      </c>
      <c r="K1901" s="320"/>
      <c r="L1901" s="4"/>
      <c r="M1901" s="47"/>
      <c r="N1901" s="47"/>
      <c r="O1901" s="319">
        <v>0</v>
      </c>
      <c r="P1901" s="320"/>
      <c r="R1901" s="47"/>
      <c r="S1901" s="47"/>
      <c r="T1901" s="319">
        <v>0</v>
      </c>
      <c r="U1901" s="320"/>
      <c r="W1901" s="47"/>
      <c r="X1901" s="47"/>
      <c r="Y1901" s="319">
        <v>0</v>
      </c>
      <c r="Z1901" s="320"/>
      <c r="AA1901" s="328">
        <f t="shared" si="237"/>
        <v>0</v>
      </c>
      <c r="AB1901" s="400">
        <f t="shared" si="238"/>
        <v>0</v>
      </c>
      <c r="AC1901" s="4"/>
      <c r="AD1901" s="47"/>
      <c r="AE1901" s="47"/>
      <c r="AF1901" s="319"/>
      <c r="AG1901" s="328">
        <f t="shared" si="239"/>
        <v>0</v>
      </c>
      <c r="AK1901" s="192" t="s">
        <v>1115</v>
      </c>
      <c r="AL1901" s="189">
        <f>C1941</f>
        <v>26</v>
      </c>
      <c r="AM1901" s="510">
        <v>47.74</v>
      </c>
      <c r="AN1901" s="510">
        <f>AM1901*AL1901</f>
        <v>1241.24</v>
      </c>
    </row>
    <row r="1902" spans="2:42">
      <c r="B1902" s="47" t="s">
        <v>1143</v>
      </c>
      <c r="C1902" s="47"/>
      <c r="D1902" s="441"/>
      <c r="E1902" s="319">
        <v>0</v>
      </c>
      <c r="F1902" s="320"/>
      <c r="G1902" s="4"/>
      <c r="H1902" s="47"/>
      <c r="I1902" s="47"/>
      <c r="J1902" s="319">
        <v>0</v>
      </c>
      <c r="K1902" s="320"/>
      <c r="L1902" s="4"/>
      <c r="M1902" s="47"/>
      <c r="N1902" s="47"/>
      <c r="O1902" s="319">
        <v>0</v>
      </c>
      <c r="P1902" s="320"/>
      <c r="R1902" s="47"/>
      <c r="S1902" s="47"/>
      <c r="T1902" s="319">
        <v>0</v>
      </c>
      <c r="U1902" s="320"/>
      <c r="W1902" s="47"/>
      <c r="X1902" s="47"/>
      <c r="Y1902" s="319">
        <v>0</v>
      </c>
      <c r="Z1902" s="320"/>
      <c r="AA1902" s="328">
        <f t="shared" si="237"/>
        <v>0</v>
      </c>
      <c r="AB1902" s="400">
        <f t="shared" si="238"/>
        <v>0</v>
      </c>
      <c r="AC1902" s="4"/>
      <c r="AD1902" s="47"/>
      <c r="AE1902" s="47"/>
      <c r="AF1902" s="319"/>
      <c r="AG1902" s="328">
        <f t="shared" si="239"/>
        <v>0</v>
      </c>
      <c r="AK1902" s="192"/>
      <c r="AL1902" s="189"/>
      <c r="AM1902" s="510"/>
      <c r="AN1902" s="510"/>
    </row>
    <row r="1903" spans="2:42">
      <c r="B1903" s="47" t="s">
        <v>1144</v>
      </c>
      <c r="C1903" s="47"/>
      <c r="D1903" s="441"/>
      <c r="E1903" s="319">
        <v>0</v>
      </c>
      <c r="F1903" s="320"/>
      <c r="G1903" s="4"/>
      <c r="H1903" s="47"/>
      <c r="I1903" s="47"/>
      <c r="J1903" s="319">
        <v>0</v>
      </c>
      <c r="K1903" s="320"/>
      <c r="L1903" s="4"/>
      <c r="M1903" s="47"/>
      <c r="N1903" s="47"/>
      <c r="O1903" s="319">
        <v>0</v>
      </c>
      <c r="P1903" s="320"/>
      <c r="R1903" s="47"/>
      <c r="S1903" s="47"/>
      <c r="T1903" s="319">
        <v>0</v>
      </c>
      <c r="U1903" s="320"/>
      <c r="W1903" s="47"/>
      <c r="X1903" s="47"/>
      <c r="Y1903" s="319">
        <v>0</v>
      </c>
      <c r="Z1903" s="320"/>
      <c r="AA1903" s="328">
        <f t="shared" si="237"/>
        <v>0</v>
      </c>
      <c r="AB1903" s="400">
        <f t="shared" si="238"/>
        <v>0</v>
      </c>
      <c r="AC1903" s="4"/>
      <c r="AD1903" s="47"/>
      <c r="AE1903" s="47"/>
      <c r="AF1903" s="319"/>
      <c r="AG1903" s="328">
        <f t="shared" si="239"/>
        <v>0</v>
      </c>
      <c r="AK1903" s="192"/>
      <c r="AL1903" s="189"/>
      <c r="AM1903" s="510"/>
      <c r="AN1903" s="510"/>
    </row>
    <row r="1904" spans="2:42">
      <c r="B1904" s="47" t="s">
        <v>1113</v>
      </c>
      <c r="C1904" s="47"/>
      <c r="D1904" s="47"/>
      <c r="E1904" s="319">
        <v>0</v>
      </c>
      <c r="F1904" s="320"/>
      <c r="G1904" s="4"/>
      <c r="H1904" s="47"/>
      <c r="I1904" s="47"/>
      <c r="J1904" s="319">
        <v>0</v>
      </c>
      <c r="K1904" s="320"/>
      <c r="L1904" s="4"/>
      <c r="M1904" s="47"/>
      <c r="N1904" s="47"/>
      <c r="O1904" s="319">
        <v>0</v>
      </c>
      <c r="P1904" s="320"/>
      <c r="R1904" s="47"/>
      <c r="S1904" s="47"/>
      <c r="T1904" s="319">
        <v>0</v>
      </c>
      <c r="U1904" s="320"/>
      <c r="W1904" s="47"/>
      <c r="X1904" s="47"/>
      <c r="Y1904" s="319">
        <v>0</v>
      </c>
      <c r="Z1904" s="320"/>
      <c r="AA1904" s="328">
        <f t="shared" si="237"/>
        <v>0</v>
      </c>
      <c r="AB1904" s="400">
        <f t="shared" si="238"/>
        <v>0</v>
      </c>
      <c r="AC1904" s="4"/>
      <c r="AD1904" s="47"/>
      <c r="AE1904" s="47"/>
      <c r="AF1904" s="319"/>
      <c r="AG1904" s="328">
        <f t="shared" si="239"/>
        <v>0</v>
      </c>
    </row>
    <row r="1905" spans="2:33">
      <c r="B1905" s="1306" t="s">
        <v>1145</v>
      </c>
      <c r="C1905" s="47"/>
      <c r="D1905" s="47"/>
      <c r="E1905" s="319">
        <v>0</v>
      </c>
      <c r="F1905" s="320"/>
      <c r="G1905" s="4"/>
      <c r="H1905" s="47"/>
      <c r="I1905" s="47"/>
      <c r="J1905" s="319">
        <v>0</v>
      </c>
      <c r="K1905" s="320"/>
      <c r="L1905" s="4"/>
      <c r="M1905" s="47"/>
      <c r="N1905" s="47"/>
      <c r="O1905" s="319">
        <v>0</v>
      </c>
      <c r="P1905" s="320"/>
      <c r="R1905" s="47"/>
      <c r="S1905" s="47"/>
      <c r="T1905" s="319">
        <v>0</v>
      </c>
      <c r="U1905" s="320"/>
      <c r="W1905" s="47"/>
      <c r="X1905" s="47"/>
      <c r="Y1905" s="319">
        <v>0</v>
      </c>
      <c r="Z1905" s="320"/>
      <c r="AA1905" s="328">
        <f t="shared" si="237"/>
        <v>0</v>
      </c>
      <c r="AB1905" s="400">
        <f t="shared" si="238"/>
        <v>0</v>
      </c>
      <c r="AC1905" s="4"/>
      <c r="AD1905" s="47"/>
      <c r="AE1905" s="47"/>
      <c r="AF1905" s="319"/>
      <c r="AG1905" s="328">
        <f t="shared" si="239"/>
        <v>0</v>
      </c>
    </row>
    <row r="1906" spans="2:33">
      <c r="B1906" s="1306" t="s">
        <v>1146</v>
      </c>
      <c r="C1906" s="47"/>
      <c r="D1906" s="47"/>
      <c r="E1906" s="319">
        <v>0</v>
      </c>
      <c r="F1906" s="320"/>
      <c r="G1906" s="4"/>
      <c r="H1906" s="47"/>
      <c r="I1906" s="47"/>
      <c r="J1906" s="319">
        <v>0</v>
      </c>
      <c r="K1906" s="320"/>
      <c r="L1906" s="4"/>
      <c r="M1906" s="47"/>
      <c r="N1906" s="47"/>
      <c r="O1906" s="319">
        <v>0</v>
      </c>
      <c r="P1906" s="320"/>
      <c r="R1906" s="47"/>
      <c r="S1906" s="47"/>
      <c r="T1906" s="319">
        <v>0</v>
      </c>
      <c r="U1906" s="320"/>
      <c r="W1906" s="47"/>
      <c r="X1906" s="47"/>
      <c r="Y1906" s="319">
        <v>0</v>
      </c>
      <c r="Z1906" s="320"/>
      <c r="AA1906" s="328">
        <f t="shared" si="237"/>
        <v>0</v>
      </c>
      <c r="AB1906" s="400">
        <f t="shared" si="238"/>
        <v>0</v>
      </c>
      <c r="AC1906" s="4"/>
      <c r="AD1906" s="47"/>
      <c r="AE1906" s="47"/>
      <c r="AF1906" s="319"/>
      <c r="AG1906" s="328">
        <f t="shared" si="239"/>
        <v>0</v>
      </c>
    </row>
    <row r="1907" spans="2:33">
      <c r="B1907" s="1306" t="s">
        <v>1147</v>
      </c>
      <c r="C1907" s="47"/>
      <c r="D1907" s="47"/>
      <c r="E1907" s="319">
        <v>0</v>
      </c>
      <c r="F1907" s="320"/>
      <c r="G1907" s="4"/>
      <c r="H1907" s="47"/>
      <c r="I1907" s="47"/>
      <c r="J1907" s="319">
        <v>0</v>
      </c>
      <c r="K1907" s="320"/>
      <c r="L1907" s="4"/>
      <c r="M1907" s="47"/>
      <c r="N1907" s="47"/>
      <c r="O1907" s="319">
        <v>0</v>
      </c>
      <c r="P1907" s="320"/>
      <c r="R1907" s="47"/>
      <c r="S1907" s="47"/>
      <c r="T1907" s="319">
        <v>0</v>
      </c>
      <c r="U1907" s="320"/>
      <c r="W1907" s="47"/>
      <c r="X1907" s="47"/>
      <c r="Y1907" s="319">
        <v>0</v>
      </c>
      <c r="Z1907" s="320"/>
      <c r="AA1907" s="328">
        <f t="shared" si="237"/>
        <v>0</v>
      </c>
      <c r="AB1907" s="400">
        <f t="shared" si="238"/>
        <v>0</v>
      </c>
      <c r="AC1907" s="4"/>
      <c r="AD1907" s="47"/>
      <c r="AE1907" s="47"/>
      <c r="AF1907" s="319"/>
      <c r="AG1907" s="328">
        <f t="shared" si="239"/>
        <v>0</v>
      </c>
    </row>
    <row r="1908" spans="2:33">
      <c r="B1908" s="1306" t="s">
        <v>1148</v>
      </c>
      <c r="C1908" s="47"/>
      <c r="D1908" s="47"/>
      <c r="E1908" s="319">
        <v>0</v>
      </c>
      <c r="F1908" s="320"/>
      <c r="G1908" s="4"/>
      <c r="H1908" s="47"/>
      <c r="I1908" s="47"/>
      <c r="J1908" s="319">
        <v>0</v>
      </c>
      <c r="K1908" s="320"/>
      <c r="L1908" s="4"/>
      <c r="M1908" s="47"/>
      <c r="N1908" s="47"/>
      <c r="O1908" s="319">
        <v>0</v>
      </c>
      <c r="P1908" s="320"/>
      <c r="R1908" s="47"/>
      <c r="S1908" s="47"/>
      <c r="T1908" s="319">
        <v>0</v>
      </c>
      <c r="U1908" s="320"/>
      <c r="W1908" s="47"/>
      <c r="X1908" s="47"/>
      <c r="Y1908" s="319">
        <v>0</v>
      </c>
      <c r="Z1908" s="320"/>
      <c r="AA1908" s="328">
        <f t="shared" si="237"/>
        <v>0</v>
      </c>
      <c r="AB1908" s="400">
        <f t="shared" si="238"/>
        <v>0</v>
      </c>
      <c r="AC1908" s="4"/>
      <c r="AD1908" s="47"/>
      <c r="AE1908" s="47"/>
      <c r="AF1908" s="319"/>
      <c r="AG1908" s="328">
        <f t="shared" si="239"/>
        <v>0</v>
      </c>
    </row>
    <row r="1909" spans="2:33">
      <c r="B1909" s="1306" t="s">
        <v>1149</v>
      </c>
      <c r="C1909" s="47"/>
      <c r="D1909" s="47"/>
      <c r="E1909" s="319">
        <v>0</v>
      </c>
      <c r="F1909" s="320"/>
      <c r="G1909" s="4"/>
      <c r="H1909" s="47"/>
      <c r="I1909" s="47"/>
      <c r="J1909" s="319">
        <v>0</v>
      </c>
      <c r="K1909" s="320"/>
      <c r="L1909" s="4"/>
      <c r="M1909" s="47"/>
      <c r="N1909" s="47"/>
      <c r="O1909" s="319">
        <v>0</v>
      </c>
      <c r="P1909" s="320"/>
      <c r="R1909" s="47"/>
      <c r="S1909" s="47"/>
      <c r="T1909" s="319">
        <v>0</v>
      </c>
      <c r="U1909" s="320"/>
      <c r="W1909" s="47"/>
      <c r="X1909" s="47"/>
      <c r="Y1909" s="319">
        <v>0</v>
      </c>
      <c r="Z1909" s="320"/>
      <c r="AA1909" s="328">
        <f t="shared" si="237"/>
        <v>0</v>
      </c>
      <c r="AB1909" s="400">
        <f t="shared" si="238"/>
        <v>0</v>
      </c>
      <c r="AC1909" s="4"/>
      <c r="AD1909" s="47"/>
      <c r="AE1909" s="47"/>
      <c r="AF1909" s="319"/>
      <c r="AG1909" s="328">
        <f t="shared" si="239"/>
        <v>0</v>
      </c>
    </row>
    <row r="1910" spans="2:33">
      <c r="B1910" s="1306" t="s">
        <v>1150</v>
      </c>
      <c r="C1910" s="47"/>
      <c r="D1910" s="47"/>
      <c r="E1910" s="319">
        <v>0</v>
      </c>
      <c r="F1910" s="320"/>
      <c r="G1910" s="4"/>
      <c r="H1910" s="47"/>
      <c r="I1910" s="47"/>
      <c r="J1910" s="319">
        <v>0</v>
      </c>
      <c r="K1910" s="320"/>
      <c r="L1910" s="4"/>
      <c r="M1910" s="47"/>
      <c r="N1910" s="47"/>
      <c r="O1910" s="319">
        <v>0</v>
      </c>
      <c r="P1910" s="320"/>
      <c r="R1910" s="47"/>
      <c r="S1910" s="47"/>
      <c r="T1910" s="319">
        <v>0</v>
      </c>
      <c r="U1910" s="320"/>
      <c r="W1910" s="47"/>
      <c r="X1910" s="47"/>
      <c r="Y1910" s="319">
        <v>0</v>
      </c>
      <c r="Z1910" s="320"/>
      <c r="AA1910" s="328">
        <f t="shared" si="237"/>
        <v>0</v>
      </c>
      <c r="AB1910" s="400">
        <f t="shared" si="238"/>
        <v>0</v>
      </c>
      <c r="AC1910" s="4"/>
      <c r="AD1910" s="47"/>
      <c r="AE1910" s="47"/>
      <c r="AF1910" s="319"/>
      <c r="AG1910" s="328">
        <f t="shared" si="239"/>
        <v>0</v>
      </c>
    </row>
    <row r="1911" spans="2:33">
      <c r="B1911" s="1306" t="s">
        <v>1151</v>
      </c>
      <c r="C1911" s="47">
        <v>0.375</v>
      </c>
      <c r="D1911" s="47">
        <v>0.25</v>
      </c>
      <c r="E1911" s="319">
        <v>8</v>
      </c>
      <c r="F1911" s="320"/>
      <c r="G1911" s="4"/>
      <c r="H1911" s="47">
        <v>0.375</v>
      </c>
      <c r="I1911" s="47">
        <v>0.20833333333333334</v>
      </c>
      <c r="J1911" s="319">
        <v>8</v>
      </c>
      <c r="K1911" s="320"/>
      <c r="L1911" s="4"/>
      <c r="M1911" s="47">
        <v>0.375</v>
      </c>
      <c r="N1911" s="47">
        <v>0.25</v>
      </c>
      <c r="O1911" s="319">
        <v>8</v>
      </c>
      <c r="P1911" s="320"/>
      <c r="R1911" s="47">
        <v>0.375</v>
      </c>
      <c r="S1911" s="47">
        <v>0.25</v>
      </c>
      <c r="T1911" s="319">
        <v>8</v>
      </c>
      <c r="U1911" s="320"/>
      <c r="W1911" s="47"/>
      <c r="X1911" s="47"/>
      <c r="Y1911" s="319">
        <v>0</v>
      </c>
      <c r="Z1911" s="320"/>
      <c r="AA1911" s="328">
        <f t="shared" si="237"/>
        <v>32</v>
      </c>
      <c r="AB1911" s="400">
        <f t="shared" si="238"/>
        <v>0</v>
      </c>
      <c r="AC1911" s="4"/>
      <c r="AD1911" s="47"/>
      <c r="AE1911" s="47"/>
      <c r="AF1911" s="319"/>
      <c r="AG1911" s="328">
        <f t="shared" si="239"/>
        <v>0</v>
      </c>
    </row>
    <row r="1912" spans="2:33">
      <c r="B1912" s="1306" t="s">
        <v>1152</v>
      </c>
      <c r="C1912" s="47"/>
      <c r="D1912" s="47"/>
      <c r="E1912" s="319">
        <v>0</v>
      </c>
      <c r="F1912" s="320"/>
      <c r="G1912" s="4"/>
      <c r="H1912" s="47"/>
      <c r="I1912" s="47"/>
      <c r="J1912" s="319">
        <v>0</v>
      </c>
      <c r="K1912" s="320"/>
      <c r="L1912" s="4"/>
      <c r="M1912" s="47"/>
      <c r="N1912" s="47"/>
      <c r="O1912" s="319">
        <v>0</v>
      </c>
      <c r="P1912" s="320"/>
      <c r="R1912" s="47"/>
      <c r="S1912" s="47"/>
      <c r="T1912" s="319">
        <v>0</v>
      </c>
      <c r="U1912" s="320"/>
      <c r="W1912" s="47"/>
      <c r="X1912" s="47"/>
      <c r="Y1912" s="319">
        <v>0</v>
      </c>
      <c r="Z1912" s="320"/>
      <c r="AA1912" s="328">
        <f t="shared" si="237"/>
        <v>0</v>
      </c>
      <c r="AB1912" s="400">
        <f t="shared" si="238"/>
        <v>0</v>
      </c>
      <c r="AC1912" s="4"/>
      <c r="AD1912" s="47"/>
      <c r="AE1912" s="47"/>
      <c r="AF1912" s="319"/>
      <c r="AG1912" s="328">
        <f t="shared" si="239"/>
        <v>0</v>
      </c>
    </row>
    <row r="1913" spans="2:33">
      <c r="B1913" s="1306" t="s">
        <v>1154</v>
      </c>
      <c r="C1913" s="47"/>
      <c r="D1913" s="47"/>
      <c r="E1913" s="319">
        <v>0</v>
      </c>
      <c r="F1913" s="320"/>
      <c r="G1913" s="4"/>
      <c r="H1913" s="47"/>
      <c r="I1913" s="47"/>
      <c r="J1913" s="319">
        <v>0</v>
      </c>
      <c r="K1913" s="320"/>
      <c r="L1913" s="4"/>
      <c r="M1913" s="47"/>
      <c r="N1913" s="47"/>
      <c r="O1913" s="319">
        <v>0</v>
      </c>
      <c r="P1913" s="320"/>
      <c r="R1913" s="47"/>
      <c r="S1913" s="47"/>
      <c r="T1913" s="319">
        <v>0</v>
      </c>
      <c r="U1913" s="320"/>
      <c r="W1913" s="47"/>
      <c r="X1913" s="47"/>
      <c r="Y1913" s="319">
        <v>0</v>
      </c>
      <c r="Z1913" s="320"/>
      <c r="AA1913" s="328">
        <f t="shared" si="237"/>
        <v>0</v>
      </c>
      <c r="AB1913" s="400">
        <f t="shared" si="238"/>
        <v>0</v>
      </c>
      <c r="AC1913" s="4"/>
      <c r="AD1913" s="47"/>
      <c r="AE1913" s="47"/>
      <c r="AF1913" s="319"/>
      <c r="AG1913" s="328">
        <f t="shared" si="239"/>
        <v>0</v>
      </c>
    </row>
    <row r="1914" spans="2:33">
      <c r="B1914" s="1306" t="s">
        <v>1155</v>
      </c>
      <c r="C1914" s="47">
        <v>0.375</v>
      </c>
      <c r="D1914" s="47">
        <v>0.25</v>
      </c>
      <c r="E1914" s="319">
        <v>8</v>
      </c>
      <c r="F1914" s="320"/>
      <c r="G1914" s="4"/>
      <c r="H1914" s="47">
        <v>0.375</v>
      </c>
      <c r="I1914" s="47">
        <v>0.20833333333333334</v>
      </c>
      <c r="J1914" s="319">
        <v>8</v>
      </c>
      <c r="K1914" s="320"/>
      <c r="L1914" s="4"/>
      <c r="M1914" s="47">
        <v>0.375</v>
      </c>
      <c r="N1914" s="47">
        <v>0.25</v>
      </c>
      <c r="O1914" s="319">
        <v>8</v>
      </c>
      <c r="P1914" s="320"/>
      <c r="R1914" s="47">
        <v>0.375</v>
      </c>
      <c r="S1914" s="47">
        <v>0.25</v>
      </c>
      <c r="T1914" s="319">
        <v>8</v>
      </c>
      <c r="U1914" s="320"/>
      <c r="W1914" s="47">
        <v>0.375</v>
      </c>
      <c r="X1914" s="47">
        <v>0.25</v>
      </c>
      <c r="Y1914" s="319">
        <v>8</v>
      </c>
      <c r="Z1914" s="320"/>
      <c r="AA1914" s="328">
        <f t="shared" si="237"/>
        <v>40</v>
      </c>
      <c r="AB1914" s="400">
        <f t="shared" si="238"/>
        <v>0</v>
      </c>
      <c r="AC1914" s="4"/>
      <c r="AD1914" s="47"/>
      <c r="AE1914" s="47"/>
      <c r="AF1914" s="319"/>
      <c r="AG1914" s="328">
        <f t="shared" si="239"/>
        <v>0</v>
      </c>
    </row>
    <row r="1915" spans="2:33">
      <c r="B1915" s="1306" t="s">
        <v>1156</v>
      </c>
      <c r="C1915" s="47"/>
      <c r="D1915" s="47"/>
      <c r="E1915" s="319">
        <v>0</v>
      </c>
      <c r="F1915" s="320"/>
      <c r="G1915" s="4"/>
      <c r="H1915" s="47"/>
      <c r="I1915" s="47"/>
      <c r="J1915" s="319">
        <v>0</v>
      </c>
      <c r="K1915" s="320"/>
      <c r="L1915" s="4"/>
      <c r="M1915" s="47"/>
      <c r="N1915" s="47"/>
      <c r="O1915" s="319">
        <v>0</v>
      </c>
      <c r="P1915" s="320"/>
      <c r="R1915" s="47"/>
      <c r="S1915" s="47"/>
      <c r="T1915" s="319">
        <v>0</v>
      </c>
      <c r="U1915" s="320"/>
      <c r="W1915" s="47"/>
      <c r="X1915" s="47"/>
      <c r="Y1915" s="319">
        <v>0</v>
      </c>
      <c r="Z1915" s="320"/>
      <c r="AA1915" s="328">
        <f t="shared" si="237"/>
        <v>0</v>
      </c>
      <c r="AB1915" s="400">
        <f t="shared" si="238"/>
        <v>0</v>
      </c>
      <c r="AC1915" s="4"/>
      <c r="AD1915" s="47"/>
      <c r="AE1915" s="47"/>
      <c r="AF1915" s="319"/>
      <c r="AG1915" s="328">
        <f t="shared" si="239"/>
        <v>0</v>
      </c>
    </row>
    <row r="1916" spans="2:33">
      <c r="B1916" s="1306" t="s">
        <v>1157</v>
      </c>
      <c r="C1916" s="47"/>
      <c r="D1916" s="47"/>
      <c r="E1916" s="319">
        <v>0</v>
      </c>
      <c r="F1916" s="320"/>
      <c r="G1916" s="4"/>
      <c r="H1916" s="47"/>
      <c r="I1916" s="47"/>
      <c r="J1916" s="319">
        <v>0</v>
      </c>
      <c r="K1916" s="320"/>
      <c r="L1916" s="4"/>
      <c r="M1916" s="47"/>
      <c r="N1916" s="47"/>
      <c r="O1916" s="319">
        <v>0</v>
      </c>
      <c r="P1916" s="320"/>
      <c r="R1916" s="47"/>
      <c r="S1916" s="47"/>
      <c r="T1916" s="319">
        <v>0</v>
      </c>
      <c r="U1916" s="320"/>
      <c r="W1916" s="47"/>
      <c r="X1916" s="47"/>
      <c r="Y1916" s="319">
        <v>0</v>
      </c>
      <c r="Z1916" s="320"/>
      <c r="AA1916" s="328">
        <f t="shared" si="237"/>
        <v>0</v>
      </c>
      <c r="AB1916" s="400">
        <f t="shared" si="238"/>
        <v>0</v>
      </c>
      <c r="AC1916" s="4"/>
      <c r="AD1916" s="47"/>
      <c r="AE1916" s="47"/>
      <c r="AF1916" s="319"/>
      <c r="AG1916" s="328">
        <f t="shared" si="239"/>
        <v>0</v>
      </c>
    </row>
    <row r="1917" spans="2:33">
      <c r="B1917" s="1306" t="s">
        <v>1158</v>
      </c>
      <c r="C1917" s="47"/>
      <c r="D1917" s="47"/>
      <c r="E1917" s="319">
        <v>0</v>
      </c>
      <c r="F1917" s="320"/>
      <c r="G1917" s="4"/>
      <c r="H1917" s="47"/>
      <c r="I1917" s="47"/>
      <c r="J1917" s="319">
        <v>0</v>
      </c>
      <c r="K1917" s="320"/>
      <c r="L1917" s="4"/>
      <c r="M1917" s="47"/>
      <c r="N1917" s="47"/>
      <c r="O1917" s="319">
        <v>0</v>
      </c>
      <c r="P1917" s="320"/>
      <c r="R1917" s="47"/>
      <c r="S1917" s="47"/>
      <c r="T1917" s="319">
        <v>0</v>
      </c>
      <c r="U1917" s="320"/>
      <c r="W1917" s="47"/>
      <c r="X1917" s="47"/>
      <c r="Y1917" s="319">
        <v>0</v>
      </c>
      <c r="Z1917" s="320"/>
      <c r="AA1917" s="328">
        <f t="shared" si="237"/>
        <v>0</v>
      </c>
      <c r="AB1917" s="400">
        <f t="shared" si="238"/>
        <v>0</v>
      </c>
      <c r="AC1917" s="4"/>
      <c r="AD1917" s="47"/>
      <c r="AE1917" s="47"/>
      <c r="AF1917" s="319"/>
      <c r="AG1917" s="328">
        <f t="shared" si="239"/>
        <v>0</v>
      </c>
    </row>
    <row r="1918" spans="2:33">
      <c r="B1918" s="1306" t="s">
        <v>1159</v>
      </c>
      <c r="C1918" s="47"/>
      <c r="D1918" s="47"/>
      <c r="E1918" s="319">
        <v>0</v>
      </c>
      <c r="F1918" s="320"/>
      <c r="G1918" s="4"/>
      <c r="H1918" s="47"/>
      <c r="I1918" s="47"/>
      <c r="J1918" s="319">
        <v>0</v>
      </c>
      <c r="K1918" s="320"/>
      <c r="L1918" s="4"/>
      <c r="M1918" s="47"/>
      <c r="N1918" s="47"/>
      <c r="O1918" s="319">
        <v>0</v>
      </c>
      <c r="P1918" s="320"/>
      <c r="R1918" s="47"/>
      <c r="S1918" s="47"/>
      <c r="T1918" s="319">
        <v>0</v>
      </c>
      <c r="U1918" s="320"/>
      <c r="W1918" s="47"/>
      <c r="X1918" s="47"/>
      <c r="Y1918" s="319">
        <v>0</v>
      </c>
      <c r="Z1918" s="320"/>
      <c r="AA1918" s="328">
        <f t="shared" si="237"/>
        <v>0</v>
      </c>
      <c r="AB1918" s="400">
        <f t="shared" si="238"/>
        <v>0</v>
      </c>
      <c r="AC1918" s="4"/>
      <c r="AD1918" s="47"/>
      <c r="AE1918" s="47"/>
      <c r="AF1918" s="319"/>
      <c r="AG1918" s="328">
        <f t="shared" si="239"/>
        <v>0</v>
      </c>
    </row>
    <row r="1919" spans="2:33">
      <c r="B1919" s="1306" t="s">
        <v>1160</v>
      </c>
      <c r="C1919" s="47">
        <v>0.375</v>
      </c>
      <c r="D1919" s="47">
        <v>0.25</v>
      </c>
      <c r="E1919" s="319">
        <v>8</v>
      </c>
      <c r="F1919" s="320"/>
      <c r="G1919" s="4"/>
      <c r="H1919" s="47">
        <v>0.375</v>
      </c>
      <c r="I1919" s="47">
        <v>0.20833333333333334</v>
      </c>
      <c r="J1919" s="319">
        <v>8</v>
      </c>
      <c r="K1919" s="320"/>
      <c r="L1919" s="4"/>
      <c r="M1919" s="47">
        <v>0.375</v>
      </c>
      <c r="N1919" s="47">
        <v>0.25</v>
      </c>
      <c r="O1919" s="319">
        <v>8</v>
      </c>
      <c r="P1919" s="320"/>
      <c r="R1919" s="47">
        <v>0.35416666666666669</v>
      </c>
      <c r="S1919" s="47">
        <v>0.25</v>
      </c>
      <c r="T1919" s="319">
        <v>8.5</v>
      </c>
      <c r="U1919" s="320"/>
      <c r="W1919" s="47">
        <v>0.35416666666666669</v>
      </c>
      <c r="X1919" s="47">
        <v>0.25</v>
      </c>
      <c r="Y1919" s="319">
        <v>8.5</v>
      </c>
      <c r="Z1919" s="320"/>
      <c r="AA1919" s="328">
        <v>40</v>
      </c>
      <c r="AB1919" s="400">
        <v>1</v>
      </c>
      <c r="AC1919" s="4"/>
      <c r="AD1919" s="47"/>
      <c r="AE1919" s="47"/>
      <c r="AF1919" s="319"/>
      <c r="AG1919" s="328">
        <f t="shared" si="239"/>
        <v>0</v>
      </c>
    </row>
    <row r="1920" spans="2:33">
      <c r="B1920" s="1306" t="s">
        <v>1161</v>
      </c>
      <c r="C1920" s="47"/>
      <c r="D1920" s="47"/>
      <c r="E1920" s="319">
        <v>0</v>
      </c>
      <c r="F1920" s="320"/>
      <c r="G1920" s="4"/>
      <c r="H1920" s="47"/>
      <c r="I1920" s="47"/>
      <c r="J1920" s="319">
        <v>0</v>
      </c>
      <c r="K1920" s="320"/>
      <c r="L1920" s="4"/>
      <c r="M1920" s="47"/>
      <c r="N1920" s="47"/>
      <c r="O1920" s="319">
        <v>0</v>
      </c>
      <c r="P1920" s="320"/>
      <c r="R1920" s="47"/>
      <c r="S1920" s="47"/>
      <c r="T1920" s="319">
        <v>0</v>
      </c>
      <c r="U1920" s="320"/>
      <c r="W1920" s="47"/>
      <c r="X1920" s="47"/>
      <c r="Y1920" s="319">
        <v>0</v>
      </c>
      <c r="Z1920" s="320"/>
      <c r="AA1920" s="328">
        <f t="shared" si="237"/>
        <v>0</v>
      </c>
      <c r="AB1920" s="400">
        <f t="shared" si="238"/>
        <v>0</v>
      </c>
      <c r="AC1920" s="4"/>
      <c r="AD1920" s="47"/>
      <c r="AE1920" s="47"/>
      <c r="AF1920" s="319"/>
      <c r="AG1920" s="328">
        <f t="shared" si="239"/>
        <v>0</v>
      </c>
    </row>
    <row r="1921" spans="2:33">
      <c r="B1921" s="1306" t="s">
        <v>1162</v>
      </c>
      <c r="C1921" s="47"/>
      <c r="D1921" s="47"/>
      <c r="E1921" s="319">
        <v>0</v>
      </c>
      <c r="F1921" s="320"/>
      <c r="G1921" s="4"/>
      <c r="H1921" s="47"/>
      <c r="I1921" s="47"/>
      <c r="J1921" s="319">
        <v>0</v>
      </c>
      <c r="K1921" s="320"/>
      <c r="L1921" s="4"/>
      <c r="M1921" s="47"/>
      <c r="N1921" s="47"/>
      <c r="O1921" s="319">
        <v>0</v>
      </c>
      <c r="P1921" s="320"/>
      <c r="R1921" s="47"/>
      <c r="S1921" s="47"/>
      <c r="T1921" s="319">
        <v>0</v>
      </c>
      <c r="U1921" s="320"/>
      <c r="W1921" s="47"/>
      <c r="X1921" s="47"/>
      <c r="Y1921" s="319">
        <v>0</v>
      </c>
      <c r="Z1921" s="320"/>
      <c r="AA1921" s="328">
        <f t="shared" si="237"/>
        <v>0</v>
      </c>
      <c r="AB1921" s="400">
        <f t="shared" si="238"/>
        <v>0</v>
      </c>
      <c r="AC1921" s="4"/>
      <c r="AD1921" s="47"/>
      <c r="AE1921" s="47"/>
      <c r="AF1921" s="319"/>
      <c r="AG1921" s="328">
        <f t="shared" si="239"/>
        <v>0</v>
      </c>
    </row>
    <row r="1922" spans="2:33">
      <c r="B1922" s="1306" t="s">
        <v>1163</v>
      </c>
      <c r="C1922" s="47"/>
      <c r="D1922" s="47"/>
      <c r="E1922" s="319">
        <v>0</v>
      </c>
      <c r="F1922" s="320"/>
      <c r="G1922" s="4"/>
      <c r="H1922" s="47"/>
      <c r="I1922" s="47"/>
      <c r="J1922" s="319">
        <v>0</v>
      </c>
      <c r="K1922" s="320"/>
      <c r="L1922" s="4"/>
      <c r="M1922" s="47"/>
      <c r="N1922" s="47"/>
      <c r="O1922" s="319">
        <v>0</v>
      </c>
      <c r="P1922" s="320"/>
      <c r="R1922" s="47"/>
      <c r="S1922" s="47"/>
      <c r="T1922" s="319">
        <v>0</v>
      </c>
      <c r="U1922" s="320"/>
      <c r="W1922" s="47"/>
      <c r="X1922" s="47"/>
      <c r="Y1922" s="319">
        <v>0</v>
      </c>
      <c r="Z1922" s="320"/>
      <c r="AA1922" s="328">
        <f t="shared" si="237"/>
        <v>0</v>
      </c>
      <c r="AB1922" s="400">
        <f t="shared" si="238"/>
        <v>0</v>
      </c>
      <c r="AC1922" s="4"/>
      <c r="AD1922" s="47"/>
      <c r="AE1922" s="47"/>
      <c r="AF1922" s="319"/>
      <c r="AG1922" s="328">
        <f t="shared" si="239"/>
        <v>0</v>
      </c>
    </row>
    <row r="1923" spans="2:33">
      <c r="B1923" s="1306" t="s">
        <v>1164</v>
      </c>
      <c r="C1923" s="47">
        <v>0.375</v>
      </c>
      <c r="D1923" s="47">
        <v>0.125</v>
      </c>
      <c r="E1923" s="319">
        <v>6</v>
      </c>
      <c r="F1923" s="320"/>
      <c r="G1923" s="4"/>
      <c r="H1923" s="47"/>
      <c r="I1923" s="47"/>
      <c r="J1923" s="319">
        <v>0</v>
      </c>
      <c r="K1923" s="320"/>
      <c r="L1923" s="4"/>
      <c r="M1923" s="47">
        <v>0.375</v>
      </c>
      <c r="N1923" s="47">
        <v>0.25</v>
      </c>
      <c r="O1923" s="319">
        <v>8</v>
      </c>
      <c r="P1923" s="320"/>
      <c r="R1923" s="47">
        <v>0.375</v>
      </c>
      <c r="S1923" s="47">
        <v>0.25</v>
      </c>
      <c r="T1923" s="319">
        <v>8</v>
      </c>
      <c r="U1923" s="320"/>
      <c r="W1923" s="47">
        <v>0.375</v>
      </c>
      <c r="X1923" s="47">
        <v>0.25</v>
      </c>
      <c r="Y1923" s="319">
        <v>8</v>
      </c>
      <c r="Z1923" s="320"/>
      <c r="AA1923" s="328">
        <f t="shared" si="237"/>
        <v>30</v>
      </c>
      <c r="AB1923" s="400">
        <f t="shared" si="238"/>
        <v>0</v>
      </c>
      <c r="AC1923" s="4"/>
      <c r="AD1923" s="47"/>
      <c r="AE1923" s="47"/>
      <c r="AF1923" s="319"/>
      <c r="AG1923" s="328">
        <f t="shared" si="239"/>
        <v>0</v>
      </c>
    </row>
    <row r="1924" spans="2:33">
      <c r="B1924" s="1306" t="s">
        <v>1165</v>
      </c>
      <c r="C1924" s="47"/>
      <c r="D1924" s="47"/>
      <c r="E1924" s="319">
        <v>0</v>
      </c>
      <c r="F1924" s="320"/>
      <c r="G1924" s="4"/>
      <c r="H1924" s="47"/>
      <c r="I1924" s="47"/>
      <c r="J1924" s="319">
        <v>0</v>
      </c>
      <c r="K1924" s="320"/>
      <c r="L1924" s="4"/>
      <c r="M1924" s="47"/>
      <c r="N1924" s="47"/>
      <c r="O1924" s="319">
        <v>0</v>
      </c>
      <c r="P1924" s="320"/>
      <c r="R1924" s="47"/>
      <c r="S1924" s="47"/>
      <c r="T1924" s="319">
        <v>0</v>
      </c>
      <c r="U1924" s="320"/>
      <c r="W1924" s="47"/>
      <c r="X1924" s="47"/>
      <c r="Y1924" s="319">
        <v>0</v>
      </c>
      <c r="Z1924" s="320"/>
      <c r="AA1924" s="328">
        <f t="shared" si="237"/>
        <v>0</v>
      </c>
      <c r="AB1924" s="400">
        <f t="shared" si="238"/>
        <v>0</v>
      </c>
      <c r="AC1924" s="4"/>
      <c r="AD1924" s="47"/>
      <c r="AE1924" s="47"/>
      <c r="AF1924" s="319"/>
      <c r="AG1924" s="328">
        <f t="shared" si="239"/>
        <v>0</v>
      </c>
    </row>
    <row r="1925" spans="2:33">
      <c r="B1925" s="502" t="s">
        <v>483</v>
      </c>
      <c r="C1925" s="47"/>
      <c r="D1925" s="47"/>
      <c r="E1925" s="319">
        <v>0</v>
      </c>
      <c r="F1925" s="320"/>
      <c r="G1925" s="4"/>
      <c r="H1925" s="47"/>
      <c r="I1925" s="47"/>
      <c r="J1925" s="319">
        <v>0</v>
      </c>
      <c r="K1925" s="320"/>
      <c r="L1925" s="4"/>
      <c r="M1925" s="47"/>
      <c r="N1925" s="47"/>
      <c r="O1925" s="319">
        <v>0</v>
      </c>
      <c r="P1925" s="320"/>
      <c r="R1925" s="47"/>
      <c r="S1925" s="47"/>
      <c r="T1925" s="319">
        <v>0</v>
      </c>
      <c r="U1925" s="320"/>
      <c r="W1925" s="47"/>
      <c r="X1925" s="47"/>
      <c r="Y1925" s="319">
        <v>0</v>
      </c>
      <c r="Z1925" s="320"/>
      <c r="AA1925" s="328">
        <f t="shared" si="237"/>
        <v>0</v>
      </c>
      <c r="AB1925" s="400">
        <f t="shared" si="238"/>
        <v>0</v>
      </c>
      <c r="AC1925" s="4"/>
      <c r="AD1925" s="47"/>
      <c r="AE1925" s="47"/>
      <c r="AF1925" s="319"/>
      <c r="AG1925" s="328">
        <f t="shared" si="239"/>
        <v>0</v>
      </c>
    </row>
    <row r="1926" spans="2:33">
      <c r="B1926" s="502" t="s">
        <v>483</v>
      </c>
      <c r="C1926" s="47"/>
      <c r="D1926" s="47"/>
      <c r="E1926" s="319">
        <v>3</v>
      </c>
      <c r="F1926" s="320"/>
      <c r="G1926" s="4"/>
      <c r="H1926" s="47"/>
      <c r="I1926" s="47"/>
      <c r="J1926" s="319">
        <v>4</v>
      </c>
      <c r="K1926" s="320"/>
      <c r="L1926" s="4"/>
      <c r="M1926" s="47"/>
      <c r="N1926" s="47"/>
      <c r="O1926" s="319">
        <v>8</v>
      </c>
      <c r="P1926" s="320"/>
      <c r="R1926" s="47"/>
      <c r="S1926" s="47"/>
      <c r="T1926" s="319">
        <v>0</v>
      </c>
      <c r="U1926" s="320"/>
      <c r="W1926" s="47"/>
      <c r="X1926" s="47"/>
      <c r="Y1926" s="319">
        <v>0</v>
      </c>
      <c r="Z1926" s="320"/>
      <c r="AA1926" s="328">
        <f t="shared" si="237"/>
        <v>15</v>
      </c>
      <c r="AB1926" s="400">
        <f t="shared" si="238"/>
        <v>0</v>
      </c>
      <c r="AC1926" s="4"/>
      <c r="AD1926" s="47"/>
      <c r="AE1926" s="47"/>
      <c r="AF1926" s="319"/>
      <c r="AG1926" s="328">
        <f t="shared" si="239"/>
        <v>0</v>
      </c>
    </row>
    <row r="1927" spans="2:33">
      <c r="B1927" s="502" t="s">
        <v>484</v>
      </c>
      <c r="C1927" s="47"/>
      <c r="D1927" s="47"/>
      <c r="E1927" s="319">
        <v>3</v>
      </c>
      <c r="F1927" s="320"/>
      <c r="G1927" s="4"/>
      <c r="H1927" s="47"/>
      <c r="I1927" s="47"/>
      <c r="J1927" s="319">
        <v>4</v>
      </c>
      <c r="K1927" s="320"/>
      <c r="L1927" s="4"/>
      <c r="M1927" s="47"/>
      <c r="N1927" s="47"/>
      <c r="O1927" s="319">
        <v>8</v>
      </c>
      <c r="P1927" s="320"/>
      <c r="R1927" s="47"/>
      <c r="S1927" s="47"/>
      <c r="T1927" s="319">
        <v>0</v>
      </c>
      <c r="U1927" s="320"/>
      <c r="W1927" s="47"/>
      <c r="X1927" s="47"/>
      <c r="Y1927" s="319">
        <v>0</v>
      </c>
      <c r="Z1927" s="320"/>
      <c r="AA1927" s="328">
        <f t="shared" si="237"/>
        <v>15</v>
      </c>
      <c r="AB1927" s="400">
        <f t="shared" si="238"/>
        <v>0</v>
      </c>
      <c r="AC1927" s="4"/>
      <c r="AD1927" s="47"/>
      <c r="AE1927" s="47"/>
      <c r="AF1927" s="319"/>
      <c r="AG1927" s="328">
        <f t="shared" si="239"/>
        <v>0</v>
      </c>
    </row>
    <row r="1928" spans="2:33">
      <c r="B1928" s="502" t="s">
        <v>485</v>
      </c>
      <c r="C1928" s="47"/>
      <c r="D1928" s="47"/>
      <c r="E1928" s="319">
        <v>3</v>
      </c>
      <c r="F1928" s="320"/>
      <c r="G1928" s="4"/>
      <c r="H1928" s="47"/>
      <c r="I1928" s="47"/>
      <c r="J1928" s="319">
        <v>4</v>
      </c>
      <c r="K1928" s="320"/>
      <c r="L1928" s="4"/>
      <c r="M1928" s="47"/>
      <c r="N1928" s="47"/>
      <c r="O1928" s="319">
        <v>8</v>
      </c>
      <c r="P1928" s="320"/>
      <c r="R1928" s="47"/>
      <c r="S1928" s="47"/>
      <c r="T1928" s="319">
        <v>0</v>
      </c>
      <c r="U1928" s="320"/>
      <c r="W1928" s="47"/>
      <c r="X1928" s="47"/>
      <c r="Y1928" s="319">
        <v>0</v>
      </c>
      <c r="Z1928" s="320"/>
      <c r="AA1928" s="328">
        <f t="shared" si="237"/>
        <v>15</v>
      </c>
      <c r="AB1928" s="400">
        <f t="shared" si="238"/>
        <v>0</v>
      </c>
      <c r="AC1928" s="4"/>
      <c r="AD1928" s="47"/>
      <c r="AE1928" s="47"/>
      <c r="AF1928" s="319"/>
      <c r="AG1928" s="328">
        <f t="shared" si="239"/>
        <v>0</v>
      </c>
    </row>
    <row r="1929" spans="2:33">
      <c r="B1929" s="502" t="s">
        <v>1129</v>
      </c>
      <c r="C1929" s="47"/>
      <c r="D1929" s="47"/>
      <c r="E1929" s="319">
        <v>0</v>
      </c>
      <c r="F1929" s="320"/>
      <c r="G1929" s="4"/>
      <c r="H1929" s="47"/>
      <c r="I1929" s="47"/>
      <c r="J1929" s="319">
        <v>0</v>
      </c>
      <c r="K1929" s="320"/>
      <c r="L1929" s="4"/>
      <c r="M1929" s="47"/>
      <c r="N1929" s="47"/>
      <c r="O1929" s="319">
        <v>0</v>
      </c>
      <c r="P1929" s="320"/>
      <c r="R1929" s="47"/>
      <c r="S1929" s="47"/>
      <c r="T1929" s="319">
        <v>0</v>
      </c>
      <c r="U1929" s="320"/>
      <c r="W1929" s="47"/>
      <c r="X1929" s="47"/>
      <c r="Y1929" s="319">
        <v>0</v>
      </c>
      <c r="Z1929" s="320"/>
      <c r="AA1929" s="328">
        <f t="shared" si="237"/>
        <v>0</v>
      </c>
      <c r="AB1929" s="400">
        <f t="shared" si="238"/>
        <v>0</v>
      </c>
      <c r="AC1929" s="4"/>
      <c r="AD1929" s="47"/>
      <c r="AE1929" s="47"/>
      <c r="AF1929" s="319"/>
      <c r="AG1929" s="328">
        <f t="shared" si="239"/>
        <v>0</v>
      </c>
    </row>
    <row r="1930" spans="2:33">
      <c r="B1930" s="267" t="s">
        <v>358</v>
      </c>
      <c r="C1930" s="47"/>
      <c r="D1930" s="47"/>
      <c r="E1930" s="319">
        <v>1</v>
      </c>
      <c r="F1930" s="320"/>
      <c r="G1930" s="4"/>
      <c r="H1930" s="47"/>
      <c r="I1930" s="47"/>
      <c r="J1930" s="319">
        <v>1</v>
      </c>
      <c r="K1930" s="320"/>
      <c r="L1930" s="438"/>
      <c r="M1930" s="47"/>
      <c r="N1930" s="47"/>
      <c r="O1930" s="319">
        <v>2</v>
      </c>
      <c r="P1930" s="320"/>
      <c r="Q1930" s="438"/>
      <c r="R1930" s="47"/>
      <c r="S1930" s="47"/>
      <c r="T1930" s="319">
        <v>0</v>
      </c>
      <c r="U1930" s="320"/>
      <c r="V1930" s="438"/>
      <c r="W1930" s="47"/>
      <c r="X1930" s="47"/>
      <c r="Y1930" s="319">
        <v>0</v>
      </c>
      <c r="Z1930" s="320"/>
      <c r="AA1930" s="328">
        <f t="shared" si="237"/>
        <v>4</v>
      </c>
      <c r="AB1930" s="400">
        <f t="shared" si="238"/>
        <v>0</v>
      </c>
      <c r="AC1930" s="4"/>
      <c r="AD1930" s="47"/>
      <c r="AE1930" s="47"/>
      <c r="AF1930" s="319"/>
      <c r="AG1930" s="328">
        <f t="shared" si="239"/>
        <v>0</v>
      </c>
    </row>
    <row r="1931" spans="2:33">
      <c r="B1931" s="267" t="s">
        <v>991</v>
      </c>
      <c r="C1931" s="47"/>
      <c r="D1931" s="47"/>
      <c r="E1931" s="319">
        <v>0</v>
      </c>
      <c r="F1931" s="320"/>
      <c r="G1931" s="4"/>
      <c r="H1931" s="47"/>
      <c r="I1931" s="47"/>
      <c r="J1931" s="319">
        <v>0</v>
      </c>
      <c r="K1931" s="320"/>
      <c r="L1931" s="438"/>
      <c r="M1931" s="47"/>
      <c r="N1931" s="47"/>
      <c r="O1931" s="319">
        <v>0</v>
      </c>
      <c r="P1931" s="320"/>
      <c r="Q1931" s="438"/>
      <c r="R1931" s="47"/>
      <c r="S1931" s="47"/>
      <c r="T1931" s="319">
        <v>0</v>
      </c>
      <c r="U1931" s="320"/>
      <c r="V1931" s="438"/>
      <c r="W1931" s="47"/>
      <c r="X1931" s="47"/>
      <c r="Y1931" s="319">
        <v>0</v>
      </c>
      <c r="Z1931" s="320"/>
      <c r="AA1931" s="328">
        <f t="shared" si="237"/>
        <v>0</v>
      </c>
      <c r="AB1931" s="400">
        <f t="shared" si="238"/>
        <v>0</v>
      </c>
      <c r="AC1931" s="4"/>
      <c r="AD1931" s="47"/>
      <c r="AE1931" s="47"/>
      <c r="AF1931" s="319"/>
      <c r="AG1931" s="328">
        <f t="shared" si="239"/>
        <v>0</v>
      </c>
    </row>
    <row r="1932" spans="2:33">
      <c r="B1932" s="267" t="s">
        <v>411</v>
      </c>
      <c r="C1932" s="47"/>
      <c r="D1932" s="47"/>
      <c r="E1932" s="319">
        <v>0</v>
      </c>
      <c r="F1932" s="320"/>
      <c r="G1932" s="4"/>
      <c r="H1932" s="47"/>
      <c r="I1932" s="47"/>
      <c r="J1932" s="319">
        <v>0</v>
      </c>
      <c r="K1932" s="320"/>
      <c r="L1932" s="438"/>
      <c r="M1932" s="47"/>
      <c r="N1932" s="47"/>
      <c r="O1932" s="319">
        <v>0</v>
      </c>
      <c r="P1932" s="320"/>
      <c r="Q1932" s="438"/>
      <c r="R1932" s="47"/>
      <c r="S1932" s="47"/>
      <c r="T1932" s="319">
        <v>0</v>
      </c>
      <c r="U1932" s="320"/>
      <c r="V1932" s="438"/>
      <c r="W1932" s="47"/>
      <c r="X1932" s="47"/>
      <c r="Y1932" s="319">
        <v>0</v>
      </c>
      <c r="Z1932" s="320"/>
      <c r="AA1932" s="328">
        <f t="shared" si="237"/>
        <v>0</v>
      </c>
      <c r="AB1932" s="400">
        <f t="shared" si="238"/>
        <v>0</v>
      </c>
      <c r="AC1932" s="4"/>
      <c r="AD1932" s="47"/>
      <c r="AE1932" s="47"/>
      <c r="AF1932" s="319"/>
      <c r="AG1932" s="328">
        <f t="shared" si="239"/>
        <v>0</v>
      </c>
    </row>
    <row r="1933" spans="2:33">
      <c r="B1933" s="267" t="s">
        <v>361</v>
      </c>
      <c r="C1933" s="47"/>
      <c r="D1933" s="47"/>
      <c r="E1933" s="319">
        <v>0</v>
      </c>
      <c r="F1933" s="320"/>
      <c r="G1933" s="4"/>
      <c r="H1933" s="47"/>
      <c r="I1933" s="47"/>
      <c r="J1933" s="319">
        <v>0</v>
      </c>
      <c r="K1933" s="320"/>
      <c r="L1933" s="438"/>
      <c r="M1933" s="47"/>
      <c r="N1933" s="47"/>
      <c r="O1933" s="319">
        <v>0</v>
      </c>
      <c r="P1933" s="320"/>
      <c r="Q1933" s="438"/>
      <c r="R1933" s="47"/>
      <c r="S1933" s="47"/>
      <c r="T1933" s="319">
        <v>0</v>
      </c>
      <c r="U1933" s="320"/>
      <c r="V1933" s="438"/>
      <c r="W1933" s="47"/>
      <c r="X1933" s="47"/>
      <c r="Y1933" s="319">
        <v>0</v>
      </c>
      <c r="Z1933" s="320"/>
      <c r="AA1933" s="328">
        <f t="shared" si="237"/>
        <v>0</v>
      </c>
      <c r="AB1933" s="400">
        <f t="shared" si="238"/>
        <v>0</v>
      </c>
      <c r="AC1933" s="4"/>
      <c r="AD1933" s="47"/>
      <c r="AE1933" s="47"/>
      <c r="AF1933" s="319"/>
      <c r="AG1933" s="328">
        <f t="shared" si="239"/>
        <v>0</v>
      </c>
    </row>
    <row r="1934" spans="2:33">
      <c r="B1934" s="267" t="s">
        <v>362</v>
      </c>
      <c r="C1934" s="47"/>
      <c r="D1934" s="5"/>
      <c r="E1934" s="319">
        <v>0</v>
      </c>
      <c r="F1934" s="320"/>
      <c r="G1934" s="4"/>
      <c r="H1934" s="47"/>
      <c r="I1934" s="5"/>
      <c r="J1934" s="319">
        <v>0</v>
      </c>
      <c r="K1934" s="320"/>
      <c r="L1934" s="438"/>
      <c r="M1934" s="47"/>
      <c r="N1934" s="5"/>
      <c r="O1934" s="319">
        <v>0</v>
      </c>
      <c r="P1934" s="320"/>
      <c r="Q1934" s="438"/>
      <c r="R1934" s="47"/>
      <c r="S1934" s="5"/>
      <c r="T1934" s="319">
        <v>0</v>
      </c>
      <c r="U1934" s="320"/>
      <c r="V1934" s="438"/>
      <c r="W1934" s="47"/>
      <c r="X1934" s="5"/>
      <c r="Y1934" s="319">
        <v>0</v>
      </c>
      <c r="Z1934" s="320"/>
      <c r="AA1934" s="328">
        <f t="shared" si="237"/>
        <v>0</v>
      </c>
      <c r="AB1934" s="400">
        <f t="shared" si="238"/>
        <v>0</v>
      </c>
      <c r="AC1934" s="4"/>
      <c r="AD1934" s="47"/>
      <c r="AE1934" s="47"/>
      <c r="AF1934" s="319"/>
      <c r="AG1934" s="328">
        <f t="shared" si="239"/>
        <v>0</v>
      </c>
    </row>
    <row r="1935" spans="2:33">
      <c r="B1935" s="437" t="s">
        <v>355</v>
      </c>
      <c r="C1935" s="47"/>
      <c r="D1935" s="47"/>
      <c r="E1935" s="319">
        <v>7.75</v>
      </c>
      <c r="F1935" s="320"/>
      <c r="G1935" s="4"/>
      <c r="H1935" s="47"/>
      <c r="I1935" s="47"/>
      <c r="J1935" s="319">
        <v>7.75</v>
      </c>
      <c r="K1935" s="320"/>
      <c r="L1935" s="438"/>
      <c r="M1935" s="47"/>
      <c r="N1935" s="47"/>
      <c r="O1935" s="319">
        <v>7.75</v>
      </c>
      <c r="P1935" s="320"/>
      <c r="Q1935" s="438"/>
      <c r="R1935" s="47"/>
      <c r="S1935" s="47"/>
      <c r="T1935" s="319">
        <v>0</v>
      </c>
      <c r="U1935" s="320"/>
      <c r="V1935" s="438"/>
      <c r="W1935" s="47"/>
      <c r="X1935" s="47"/>
      <c r="Y1935" s="319">
        <v>0</v>
      </c>
      <c r="Z1935" s="320"/>
      <c r="AA1935" s="328">
        <f t="shared" si="237"/>
        <v>23.25</v>
      </c>
      <c r="AB1935" s="400">
        <f t="shared" si="238"/>
        <v>0</v>
      </c>
      <c r="AC1935" s="4"/>
      <c r="AD1935" s="47"/>
      <c r="AE1935" s="47"/>
      <c r="AF1935" s="319"/>
      <c r="AG1935" s="328">
        <f t="shared" si="239"/>
        <v>0</v>
      </c>
    </row>
    <row r="1936" spans="2:33">
      <c r="B1936" s="437" t="s">
        <v>356</v>
      </c>
      <c r="C1936" s="713"/>
      <c r="D1936" s="713"/>
      <c r="E1936" s="319">
        <v>0</v>
      </c>
      <c r="F1936" s="320"/>
      <c r="G1936" s="438"/>
      <c r="H1936" s="5"/>
      <c r="I1936" s="5"/>
      <c r="J1936" s="319">
        <v>14</v>
      </c>
      <c r="K1936" s="320"/>
      <c r="L1936" s="438"/>
      <c r="M1936" s="5"/>
      <c r="N1936" s="5"/>
      <c r="O1936" s="319">
        <v>15.75</v>
      </c>
      <c r="P1936" s="320"/>
      <c r="Q1936" s="438"/>
      <c r="R1936" s="5"/>
      <c r="S1936" s="5"/>
      <c r="T1936" s="319">
        <v>0</v>
      </c>
      <c r="U1936" s="320"/>
      <c r="V1936" s="438"/>
      <c r="W1936" s="5"/>
      <c r="X1936" s="5"/>
      <c r="Y1936" s="319">
        <v>0</v>
      </c>
      <c r="Z1936" s="320"/>
      <c r="AA1936" s="328">
        <f t="shared" si="237"/>
        <v>29.75</v>
      </c>
      <c r="AB1936" s="400">
        <f t="shared" si="238"/>
        <v>0</v>
      </c>
      <c r="AC1936" s="4"/>
      <c r="AD1936" s="47"/>
      <c r="AE1936" s="47"/>
      <c r="AF1936" s="319"/>
      <c r="AG1936" s="328">
        <f t="shared" si="239"/>
        <v>0</v>
      </c>
    </row>
    <row r="1937" spans="2:42">
      <c r="B1937" s="31" t="s">
        <v>61</v>
      </c>
      <c r="C1937" s="31"/>
      <c r="D1937" s="31"/>
      <c r="E1937" s="439">
        <f>SUM(E1894:E1936)</f>
        <v>55.75</v>
      </c>
      <c r="F1937" s="320"/>
      <c r="G1937" s="31"/>
      <c r="H1937" s="31"/>
      <c r="I1937" s="31"/>
      <c r="J1937" s="439">
        <f>SUM(J1894:J1936)</f>
        <v>66.75</v>
      </c>
      <c r="K1937" s="320"/>
      <c r="L1937" s="31"/>
      <c r="M1937" s="31"/>
      <c r="N1937" s="31"/>
      <c r="O1937" s="439">
        <f>SUM(O1894:O1936)</f>
        <v>89.5</v>
      </c>
      <c r="P1937" s="320"/>
      <c r="Q1937" s="31"/>
      <c r="R1937" s="31"/>
      <c r="S1937" s="31"/>
      <c r="T1937" s="439">
        <f>SUM(T1894:T1936)</f>
        <v>46.5</v>
      </c>
      <c r="U1937" s="320"/>
      <c r="V1937" s="31"/>
      <c r="W1937" s="31"/>
      <c r="X1937" s="31"/>
      <c r="Y1937" s="439">
        <f>SUM(Y1894:Y1936)</f>
        <v>38.5</v>
      </c>
      <c r="Z1937" s="320"/>
      <c r="AA1937" s="328">
        <f>SUM(AA1894:AA1936)</f>
        <v>296</v>
      </c>
      <c r="AB1937" s="328">
        <f>SUM(AB1894:AB1936)</f>
        <v>1</v>
      </c>
      <c r="AC1937" s="4"/>
      <c r="AD1937" s="31"/>
      <c r="AE1937" s="31"/>
      <c r="AF1937" s="328">
        <f>SUM(AF1894:AF1936)</f>
        <v>0</v>
      </c>
      <c r="AG1937" s="328">
        <f>SUM(AG1894:AG1936)</f>
        <v>0</v>
      </c>
    </row>
    <row r="1938" spans="2:42">
      <c r="B1938" s="267" t="s">
        <v>1116</v>
      </c>
      <c r="C1938" s="47"/>
      <c r="D1938" s="47"/>
      <c r="E1938" s="319">
        <v>8</v>
      </c>
      <c r="F1938" s="320"/>
      <c r="G1938" s="4"/>
      <c r="H1938" s="47"/>
      <c r="I1938" s="47"/>
      <c r="J1938" s="319">
        <v>8</v>
      </c>
      <c r="K1938" s="320"/>
      <c r="L1938" s="4"/>
      <c r="M1938" s="47"/>
      <c r="N1938" s="47"/>
      <c r="O1938" s="319">
        <v>8</v>
      </c>
      <c r="P1938" s="320"/>
      <c r="R1938" s="47"/>
      <c r="S1938" s="47"/>
      <c r="T1938" s="319">
        <v>8</v>
      </c>
      <c r="U1938" s="320"/>
      <c r="W1938" s="47"/>
      <c r="X1938" s="47"/>
      <c r="Y1938" s="319">
        <v>8</v>
      </c>
      <c r="Z1938" s="320"/>
      <c r="AA1938" s="328">
        <f>(E1938+J1938+O1938+T1938+Y1938)</f>
        <v>40</v>
      </c>
      <c r="AB1938" s="400">
        <f>Z1938+U1938+P1938+K1938+F1938</f>
        <v>0</v>
      </c>
      <c r="AC1938" s="4"/>
      <c r="AD1938" s="47"/>
      <c r="AE1938" s="47"/>
      <c r="AF1938" s="319"/>
      <c r="AG1938" s="328">
        <f>AF1938</f>
        <v>0</v>
      </c>
    </row>
    <row r="1939" spans="2:42">
      <c r="B1939" s="267" t="s">
        <v>64</v>
      </c>
      <c r="C1939" s="47"/>
      <c r="D1939" s="47"/>
      <c r="E1939" s="319">
        <v>0</v>
      </c>
      <c r="F1939" s="319"/>
      <c r="G1939" s="71"/>
      <c r="H1939" s="47"/>
      <c r="I1939" s="47"/>
      <c r="J1939" s="319">
        <v>0</v>
      </c>
      <c r="K1939" s="319"/>
      <c r="L1939" s="438"/>
      <c r="M1939" s="47"/>
      <c r="N1939" s="47"/>
      <c r="O1939" s="319">
        <v>0</v>
      </c>
      <c r="P1939" s="319"/>
      <c r="Q1939" s="438"/>
      <c r="R1939" s="47"/>
      <c r="S1939" s="47"/>
      <c r="T1939" s="319">
        <v>0</v>
      </c>
      <c r="U1939" s="319"/>
      <c r="V1939" s="438"/>
      <c r="W1939" s="47"/>
      <c r="X1939" s="47"/>
      <c r="Y1939" s="319">
        <v>0</v>
      </c>
      <c r="Z1939" s="319"/>
      <c r="AA1939" s="328">
        <f>SUM(E1939+J1939+O1939+T1939+Y1939)</f>
        <v>0</v>
      </c>
      <c r="AB1939" s="897">
        <f>Z1939+U1939+P1939+K1939+F1939</f>
        <v>0</v>
      </c>
      <c r="AC1939" s="4"/>
      <c r="AD1939" s="47" t="s">
        <v>29</v>
      </c>
      <c r="AE1939" s="47" t="s">
        <v>29</v>
      </c>
      <c r="AF1939" s="319"/>
      <c r="AG1939" s="328">
        <f>AF1939</f>
        <v>0</v>
      </c>
    </row>
    <row r="1940" spans="2:42">
      <c r="B1940" s="71" t="s">
        <v>66</v>
      </c>
      <c r="C1940" s="1210"/>
      <c r="D1940" s="1210"/>
      <c r="E1940" s="1208"/>
      <c r="F1940" s="71"/>
      <c r="G1940" s="71"/>
      <c r="H1940" s="71"/>
      <c r="I1940" s="71"/>
      <c r="J1940" s="71"/>
      <c r="K1940" s="71"/>
      <c r="L1940" s="71"/>
      <c r="M1940" s="71"/>
      <c r="N1940" s="71"/>
      <c r="O1940" s="71"/>
      <c r="P1940" s="71"/>
      <c r="Q1940" s="71"/>
      <c r="R1940" s="71"/>
      <c r="S1940" s="71"/>
      <c r="T1940" s="71"/>
      <c r="U1940" s="71"/>
      <c r="V1940" s="71"/>
      <c r="W1940" s="71"/>
      <c r="X1940" s="71"/>
      <c r="Y1940" s="71"/>
      <c r="Z1940" s="71"/>
      <c r="AA1940" s="328">
        <f>SUM(AA1938:AA1939)</f>
        <v>40</v>
      </c>
      <c r="AB1940" s="328">
        <f>SUM(AB1939:AB1939)</f>
        <v>0</v>
      </c>
      <c r="AC1940" s="4"/>
      <c r="AG1940" s="328">
        <f>SUM(AG1939:AG1939)</f>
        <v>0</v>
      </c>
      <c r="AK1940" s="407"/>
    </row>
    <row r="1941" spans="2:42" s="1387" customFormat="1">
      <c r="B1941" s="1382" t="s">
        <v>67</v>
      </c>
      <c r="C1941" s="1383">
        <f>C1942+C1943</f>
        <v>26</v>
      </c>
      <c r="D1941" s="1383"/>
      <c r="E1941" s="534"/>
      <c r="F1941" s="534"/>
      <c r="G1941" s="1383"/>
      <c r="H1941" s="534"/>
      <c r="I1941" s="534"/>
      <c r="J1941" s="534"/>
      <c r="K1941" s="534"/>
      <c r="L1941" s="1383"/>
      <c r="M1941" s="1383"/>
      <c r="N1941" s="1383"/>
      <c r="O1941" s="1383"/>
      <c r="P1941" s="534"/>
      <c r="Q1941" s="1383"/>
      <c r="R1941" s="1383"/>
      <c r="S1941" s="1383"/>
      <c r="T1941" s="1383"/>
      <c r="U1941" s="534"/>
      <c r="V1941" s="1383"/>
      <c r="W1941" s="1383"/>
      <c r="X1941" s="1383"/>
      <c r="Y1941" s="1384"/>
      <c r="Z1941" s="534"/>
      <c r="AA1941" s="1385"/>
      <c r="AB1941" s="534"/>
      <c r="AC1941" s="1385"/>
      <c r="AD1941" s="1385"/>
      <c r="AE1941" s="1385"/>
      <c r="AF1941" s="1385"/>
      <c r="AG1941" s="1385"/>
      <c r="AH1941" s="1386"/>
      <c r="AK1941" s="1388"/>
    </row>
    <row r="1942" spans="2:42" s="1387" customFormat="1">
      <c r="B1942" s="1389" t="s">
        <v>68</v>
      </c>
      <c r="C1942" s="1383">
        <v>0</v>
      </c>
      <c r="D1942" s="1383"/>
      <c r="E1942" s="534"/>
      <c r="F1942" s="534"/>
      <c r="G1942" s="1383"/>
      <c r="H1942" s="534"/>
      <c r="I1942" s="534"/>
      <c r="J1942" s="534"/>
      <c r="K1942" s="534"/>
      <c r="L1942" s="1383"/>
      <c r="M1942" s="1383"/>
      <c r="N1942" s="1383"/>
      <c r="O1942" s="1383"/>
      <c r="P1942" s="534"/>
      <c r="Q1942" s="1383"/>
      <c r="R1942" s="1383"/>
      <c r="S1942" s="1383"/>
      <c r="T1942" s="1383"/>
      <c r="U1942" s="534"/>
      <c r="V1942" s="1383"/>
      <c r="W1942" s="1383"/>
      <c r="X1942" s="1383"/>
      <c r="Y1942" s="1384"/>
      <c r="Z1942" s="534"/>
      <c r="AA1942" s="1385"/>
      <c r="AB1942" s="534"/>
      <c r="AC1942" s="1385"/>
      <c r="AD1942" s="1385"/>
      <c r="AE1942" s="1385"/>
      <c r="AF1942" s="1385"/>
      <c r="AG1942" s="1385"/>
      <c r="AH1942" s="1386"/>
      <c r="AK1942" s="1388"/>
    </row>
    <row r="1943" spans="2:42" s="1387" customFormat="1">
      <c r="B1943" s="1389" t="s">
        <v>69</v>
      </c>
      <c r="C1943" s="1383">
        <v>26</v>
      </c>
      <c r="D1943" s="1383"/>
      <c r="E1943" s="534"/>
      <c r="F1943" s="534"/>
      <c r="G1943" s="1383"/>
      <c r="H1943" s="534"/>
      <c r="I1943" s="534"/>
      <c r="J1943" s="534"/>
      <c r="K1943" s="534"/>
      <c r="L1943" s="1383"/>
      <c r="M1943" s="1383"/>
      <c r="N1943" s="1383"/>
      <c r="O1943" s="1383"/>
      <c r="P1943" s="534"/>
      <c r="Q1943" s="1383"/>
      <c r="R1943" s="1383"/>
      <c r="S1943" s="1383"/>
      <c r="T1943" s="1383"/>
      <c r="U1943" s="534"/>
      <c r="V1943" s="1383"/>
      <c r="W1943" s="1383"/>
      <c r="X1943" s="1383"/>
      <c r="Y1943" s="1384"/>
      <c r="Z1943" s="534"/>
      <c r="AA1943" s="1385"/>
      <c r="AB1943" s="534"/>
      <c r="AC1943" s="1385"/>
      <c r="AD1943" s="1385"/>
      <c r="AE1943" s="1385"/>
      <c r="AF1943" s="1385"/>
      <c r="AG1943" s="1385"/>
      <c r="AH1943" s="1386"/>
    </row>
    <row r="1946" spans="2:42" ht="25.5">
      <c r="B1946" s="1571"/>
      <c r="C1946" s="1570">
        <v>46090</v>
      </c>
      <c r="D1946" s="1570"/>
      <c r="E1946" s="1570" t="s">
        <v>564</v>
      </c>
      <c r="F1946" s="1570"/>
      <c r="G1946" s="894"/>
      <c r="H1946" s="1570">
        <v>46091</v>
      </c>
      <c r="I1946" s="1570"/>
      <c r="J1946" s="1570" t="s">
        <v>565</v>
      </c>
      <c r="K1946" s="1570"/>
      <c r="L1946" s="894"/>
      <c r="M1946" s="1570">
        <v>46092</v>
      </c>
      <c r="N1946" s="1570"/>
      <c r="O1946" s="1570" t="s">
        <v>566</v>
      </c>
      <c r="P1946" s="1570"/>
      <c r="Q1946" s="894"/>
      <c r="R1946" s="1570">
        <v>46093</v>
      </c>
      <c r="S1946" s="1570"/>
      <c r="T1946" s="1570" t="s">
        <v>567</v>
      </c>
      <c r="U1946" s="1570"/>
      <c r="V1946" s="894"/>
      <c r="W1946" s="1570">
        <v>46094</v>
      </c>
      <c r="X1946" s="1570"/>
      <c r="Y1946" s="1570" t="s">
        <v>568</v>
      </c>
      <c r="Z1946" s="1570"/>
      <c r="AA1946" s="1569" t="s">
        <v>19</v>
      </c>
      <c r="AB1946" s="1569" t="s">
        <v>20</v>
      </c>
      <c r="AC1946" s="4"/>
      <c r="AD1946" s="1570"/>
      <c r="AE1946" s="1570"/>
      <c r="AF1946" s="895" t="s">
        <v>1111</v>
      </c>
      <c r="AG1946" s="1569" t="s">
        <v>21</v>
      </c>
      <c r="AK1946" s="194" t="s">
        <v>84</v>
      </c>
      <c r="AL1946" s="366"/>
      <c r="AM1946" s="366"/>
      <c r="AN1946" s="366"/>
      <c r="AO1946" s="366"/>
      <c r="AP1946" s="366"/>
    </row>
    <row r="1947" spans="2:42">
      <c r="B1947" s="1571"/>
      <c r="C1947" s="896" t="s">
        <v>23</v>
      </c>
      <c r="D1947" s="896" t="s">
        <v>24</v>
      </c>
      <c r="E1947" s="897" t="s">
        <v>25</v>
      </c>
      <c r="F1947" s="898" t="s">
        <v>14</v>
      </c>
      <c r="G1947" s="4"/>
      <c r="H1947" s="896" t="s">
        <v>23</v>
      </c>
      <c r="I1947" s="896" t="s">
        <v>24</v>
      </c>
      <c r="J1947" s="898" t="s">
        <v>25</v>
      </c>
      <c r="K1947" s="898" t="s">
        <v>14</v>
      </c>
      <c r="L1947" s="4"/>
      <c r="M1947" s="896" t="s">
        <v>23</v>
      </c>
      <c r="N1947" s="896" t="s">
        <v>24</v>
      </c>
      <c r="O1947" s="898" t="s">
        <v>25</v>
      </c>
      <c r="P1947" s="898" t="s">
        <v>14</v>
      </c>
      <c r="R1947" s="896" t="s">
        <v>23</v>
      </c>
      <c r="S1947" s="896" t="s">
        <v>24</v>
      </c>
      <c r="T1947" s="898" t="s">
        <v>25</v>
      </c>
      <c r="U1947" s="898" t="s">
        <v>14</v>
      </c>
      <c r="W1947" s="896" t="s">
        <v>23</v>
      </c>
      <c r="X1947" s="896" t="s">
        <v>24</v>
      </c>
      <c r="Y1947" s="898" t="s">
        <v>25</v>
      </c>
      <c r="Z1947" s="898" t="s">
        <v>14</v>
      </c>
      <c r="AA1947" s="1569"/>
      <c r="AB1947" s="1569"/>
      <c r="AC1947" s="4"/>
      <c r="AD1947" s="896" t="s">
        <v>23</v>
      </c>
      <c r="AE1947" s="896" t="s">
        <v>24</v>
      </c>
      <c r="AF1947" s="898" t="s">
        <v>25</v>
      </c>
      <c r="AG1947" s="1569"/>
      <c r="AK1947" s="188" t="s">
        <v>26</v>
      </c>
      <c r="AL1947" s="196">
        <f>AA1978</f>
        <v>193.25</v>
      </c>
      <c r="AM1947" s="510">
        <v>40.31</v>
      </c>
      <c r="AN1947" s="510">
        <f t="shared" ref="AN1947:AN1952" si="240">AL1947*AM1947</f>
        <v>7789.9075000000003</v>
      </c>
    </row>
    <row r="1948" spans="2:42">
      <c r="B1948" s="47" t="s">
        <v>1166</v>
      </c>
      <c r="C1948" s="47"/>
      <c r="D1948" s="47"/>
      <c r="E1948" s="319">
        <v>0</v>
      </c>
      <c r="F1948" s="320"/>
      <c r="G1948" s="4"/>
      <c r="H1948" s="47"/>
      <c r="I1948" s="47"/>
      <c r="J1948" s="319">
        <v>0</v>
      </c>
      <c r="K1948" s="320"/>
      <c r="L1948" s="4"/>
      <c r="M1948" s="47"/>
      <c r="N1948" s="47"/>
      <c r="O1948" s="319">
        <v>0</v>
      </c>
      <c r="P1948" s="320"/>
      <c r="R1948" s="47"/>
      <c r="S1948" s="47"/>
      <c r="T1948" s="319">
        <v>0</v>
      </c>
      <c r="U1948" s="320"/>
      <c r="W1948" s="47"/>
      <c r="X1948" s="47"/>
      <c r="Y1948" s="319">
        <v>0</v>
      </c>
      <c r="Z1948" s="320"/>
      <c r="AA1948" s="328">
        <f>(E1948+J1948+O1948+T1948+Y1948)</f>
        <v>0</v>
      </c>
      <c r="AB1948" s="400">
        <f>Z1948+U1948+P1948+K1948+F1948</f>
        <v>0</v>
      </c>
      <c r="AC1948" s="4"/>
      <c r="AF1948" s="319"/>
      <c r="AG1948" s="328">
        <f>AF1948</f>
        <v>0</v>
      </c>
      <c r="AK1948" s="188" t="s">
        <v>30</v>
      </c>
      <c r="AL1948" s="196">
        <f>AB1978</f>
        <v>0</v>
      </c>
      <c r="AM1948" s="510">
        <v>60.465000000000003</v>
      </c>
      <c r="AN1948" s="510">
        <f>AL1948*AM1948</f>
        <v>0</v>
      </c>
    </row>
    <row r="1949" spans="2:42">
      <c r="B1949" s="47" t="s">
        <v>1112</v>
      </c>
      <c r="C1949" s="47"/>
      <c r="D1949" s="47"/>
      <c r="E1949" s="319">
        <v>0</v>
      </c>
      <c r="F1949" s="320"/>
      <c r="G1949" s="4"/>
      <c r="H1949" s="47">
        <v>0.33333333333333331</v>
      </c>
      <c r="I1949" s="47">
        <v>0.5</v>
      </c>
      <c r="J1949" s="319">
        <v>4</v>
      </c>
      <c r="K1949" s="320"/>
      <c r="L1949" s="4"/>
      <c r="M1949" s="47">
        <v>0.33333333333333331</v>
      </c>
      <c r="N1949" s="47">
        <v>0.5</v>
      </c>
      <c r="O1949" s="319">
        <v>4</v>
      </c>
      <c r="P1949" s="320"/>
      <c r="R1949" s="47"/>
      <c r="S1949" s="47"/>
      <c r="T1949" s="319">
        <v>0</v>
      </c>
      <c r="U1949" s="320"/>
      <c r="W1949" s="47"/>
      <c r="X1949" s="47"/>
      <c r="Y1949" s="319">
        <v>0</v>
      </c>
      <c r="Z1949" s="320"/>
      <c r="AA1949" s="328">
        <f t="shared" ref="AA1949:AA1977" si="241">(E1949+J1949+O1949+T1949+Y1949)</f>
        <v>8</v>
      </c>
      <c r="AB1949" s="400">
        <f t="shared" ref="AB1949:AB1977" si="242">Z1949+U1949+P1949+K1949+F1949</f>
        <v>0</v>
      </c>
      <c r="AC1949" s="4"/>
      <c r="AD1949" s="47"/>
      <c r="AE1949" s="47"/>
      <c r="AF1949" s="319"/>
      <c r="AG1949" s="328">
        <f t="shared" ref="AG1949:AG1977" si="243">AF1949</f>
        <v>0</v>
      </c>
      <c r="AK1949" s="188" t="s">
        <v>32</v>
      </c>
      <c r="AL1949" s="196">
        <f>AG1978</f>
        <v>0</v>
      </c>
      <c r="AM1949" s="510">
        <v>60.465000000000003</v>
      </c>
      <c r="AN1949" s="510">
        <f t="shared" si="240"/>
        <v>0</v>
      </c>
    </row>
    <row r="1950" spans="2:42">
      <c r="B1950" s="47" t="s">
        <v>1141</v>
      </c>
      <c r="C1950" s="47"/>
      <c r="D1950" s="47"/>
      <c r="E1950" s="319">
        <v>0</v>
      </c>
      <c r="F1950" s="320"/>
      <c r="G1950" s="4"/>
      <c r="H1950" s="47"/>
      <c r="I1950" s="47"/>
      <c r="J1950" s="319">
        <v>0</v>
      </c>
      <c r="K1950" s="320"/>
      <c r="L1950" s="4"/>
      <c r="M1950" s="47"/>
      <c r="N1950" s="47"/>
      <c r="O1950" s="319">
        <v>0</v>
      </c>
      <c r="P1950" s="320"/>
      <c r="R1950" s="47"/>
      <c r="S1950" s="47"/>
      <c r="T1950" s="319">
        <v>0</v>
      </c>
      <c r="U1950" s="320"/>
      <c r="W1950" s="47"/>
      <c r="X1950" s="47"/>
      <c r="Y1950" s="319">
        <v>0</v>
      </c>
      <c r="Z1950" s="320"/>
      <c r="AA1950" s="328">
        <f t="shared" si="241"/>
        <v>0</v>
      </c>
      <c r="AB1950" s="400">
        <f t="shared" si="242"/>
        <v>0</v>
      </c>
      <c r="AC1950" s="4"/>
      <c r="AD1950" s="47"/>
      <c r="AE1950" s="47"/>
      <c r="AF1950" s="319"/>
      <c r="AG1950" s="328">
        <f t="shared" si="243"/>
        <v>0</v>
      </c>
      <c r="AK1950" s="188" t="s">
        <v>213</v>
      </c>
      <c r="AL1950" s="196">
        <f>AA1981</f>
        <v>40</v>
      </c>
      <c r="AM1950" s="510">
        <v>53.05</v>
      </c>
      <c r="AN1950" s="510">
        <f t="shared" si="240"/>
        <v>2122</v>
      </c>
    </row>
    <row r="1951" spans="2:42">
      <c r="B1951" s="47" t="s">
        <v>72</v>
      </c>
      <c r="C1951" s="47"/>
      <c r="D1951" s="47"/>
      <c r="E1951" s="319">
        <v>0</v>
      </c>
      <c r="F1951" s="320"/>
      <c r="G1951" s="4"/>
      <c r="H1951" s="47"/>
      <c r="I1951" s="47"/>
      <c r="J1951" s="319">
        <v>0</v>
      </c>
      <c r="K1951" s="320"/>
      <c r="L1951" s="4"/>
      <c r="M1951" s="47"/>
      <c r="N1951" s="47"/>
      <c r="O1951" s="319">
        <v>0</v>
      </c>
      <c r="P1951" s="320"/>
      <c r="R1951" s="47"/>
      <c r="S1951" s="47"/>
      <c r="T1951" s="319">
        <v>0</v>
      </c>
      <c r="U1951" s="320"/>
      <c r="W1951" s="47"/>
      <c r="X1951" s="47"/>
      <c r="Y1951" s="319">
        <v>0</v>
      </c>
      <c r="Z1951" s="320"/>
      <c r="AA1951" s="328">
        <f t="shared" si="241"/>
        <v>0</v>
      </c>
      <c r="AB1951" s="400">
        <f t="shared" si="242"/>
        <v>0</v>
      </c>
      <c r="AC1951" s="4"/>
      <c r="AD1951" s="47"/>
      <c r="AE1951" s="47"/>
      <c r="AF1951" s="319"/>
      <c r="AG1951" s="328">
        <f t="shared" si="243"/>
        <v>0</v>
      </c>
      <c r="AK1951" s="188" t="s">
        <v>36</v>
      </c>
      <c r="AL1951" s="196">
        <f>AB1981</f>
        <v>0</v>
      </c>
      <c r="AM1951" s="510">
        <v>79.574999999999989</v>
      </c>
      <c r="AN1951" s="510">
        <f t="shared" si="240"/>
        <v>0</v>
      </c>
    </row>
    <row r="1952" spans="2:42">
      <c r="B1952" s="374" t="s">
        <v>998</v>
      </c>
      <c r="C1952" s="47">
        <v>0.41666666666666669</v>
      </c>
      <c r="D1952" s="47">
        <v>0.25</v>
      </c>
      <c r="E1952" s="319">
        <v>8</v>
      </c>
      <c r="F1952" s="320"/>
      <c r="G1952" s="4"/>
      <c r="H1952" s="47">
        <v>0.41666666666666669</v>
      </c>
      <c r="I1952" s="47">
        <v>0.25</v>
      </c>
      <c r="J1952" s="319">
        <v>8</v>
      </c>
      <c r="K1952" s="320"/>
      <c r="L1952" s="4"/>
      <c r="M1952" s="47">
        <v>0.41666666666666669</v>
      </c>
      <c r="N1952" s="47">
        <v>0.25</v>
      </c>
      <c r="O1952" s="319">
        <v>8</v>
      </c>
      <c r="P1952" s="320"/>
      <c r="R1952" s="47">
        <v>0.375</v>
      </c>
      <c r="S1952" s="47">
        <v>0.25</v>
      </c>
      <c r="T1952" s="319">
        <v>8</v>
      </c>
      <c r="U1952" s="320"/>
      <c r="W1952" s="47">
        <v>0.41666666666666669</v>
      </c>
      <c r="X1952" s="47">
        <v>0.25</v>
      </c>
      <c r="Y1952" s="319">
        <v>7</v>
      </c>
      <c r="Z1952" s="320"/>
      <c r="AA1952" s="328">
        <f t="shared" si="241"/>
        <v>39</v>
      </c>
      <c r="AB1952" s="400">
        <f t="shared" si="242"/>
        <v>0</v>
      </c>
      <c r="AC1952" s="4"/>
      <c r="AD1952" s="47"/>
      <c r="AE1952" s="47"/>
      <c r="AF1952" s="319"/>
      <c r="AG1952" s="328">
        <f t="shared" si="243"/>
        <v>0</v>
      </c>
      <c r="AK1952" s="188" t="s">
        <v>38</v>
      </c>
      <c r="AL1952" s="196">
        <f>AG1981</f>
        <v>0</v>
      </c>
      <c r="AM1952" s="510">
        <v>79.574999999999989</v>
      </c>
      <c r="AN1952" s="510">
        <f t="shared" si="240"/>
        <v>0</v>
      </c>
    </row>
    <row r="1953" spans="2:40">
      <c r="B1953" s="47" t="s">
        <v>53</v>
      </c>
      <c r="C1953" s="47"/>
      <c r="D1953" s="47"/>
      <c r="E1953" s="319">
        <v>0</v>
      </c>
      <c r="F1953" s="320"/>
      <c r="G1953" s="4"/>
      <c r="H1953" s="47"/>
      <c r="I1953" s="47"/>
      <c r="J1953" s="319">
        <v>0</v>
      </c>
      <c r="K1953" s="320"/>
      <c r="L1953" s="4"/>
      <c r="M1953" s="47"/>
      <c r="N1953" s="47"/>
      <c r="O1953" s="319">
        <v>0</v>
      </c>
      <c r="P1953" s="320"/>
      <c r="R1953" s="47"/>
      <c r="S1953" s="47"/>
      <c r="T1953" s="319">
        <v>0</v>
      </c>
      <c r="U1953" s="320"/>
      <c r="W1953" s="47"/>
      <c r="X1953" s="47"/>
      <c r="Y1953" s="319">
        <v>0</v>
      </c>
      <c r="Z1953" s="320"/>
      <c r="AA1953" s="328">
        <f t="shared" si="241"/>
        <v>0</v>
      </c>
      <c r="AB1953" s="400">
        <f t="shared" si="242"/>
        <v>0</v>
      </c>
      <c r="AC1953" s="4"/>
      <c r="AD1953" s="47"/>
      <c r="AE1953" s="47"/>
      <c r="AF1953" s="319"/>
      <c r="AG1953" s="328">
        <f t="shared" si="243"/>
        <v>0</v>
      </c>
      <c r="AN1953" s="510">
        <f>SUM(AN1947:AN1952)</f>
        <v>9911.9075000000012</v>
      </c>
    </row>
    <row r="1954" spans="2:40">
      <c r="B1954" s="47" t="s">
        <v>241</v>
      </c>
      <c r="C1954" s="47"/>
      <c r="D1954" s="47"/>
      <c r="E1954" s="319">
        <v>0</v>
      </c>
      <c r="F1954" s="320"/>
      <c r="G1954" s="4"/>
      <c r="H1954" s="47"/>
      <c r="I1954" s="47"/>
      <c r="J1954" s="319">
        <v>0</v>
      </c>
      <c r="K1954" s="320"/>
      <c r="L1954" s="4"/>
      <c r="M1954" s="47"/>
      <c r="N1954" s="47"/>
      <c r="O1954" s="319">
        <v>0</v>
      </c>
      <c r="P1954" s="320"/>
      <c r="R1954" s="47"/>
      <c r="S1954" s="47"/>
      <c r="T1954" s="319">
        <v>0</v>
      </c>
      <c r="U1954" s="320"/>
      <c r="W1954" s="47"/>
      <c r="X1954" s="47"/>
      <c r="Y1954" s="319">
        <v>0</v>
      </c>
      <c r="Z1954" s="320"/>
      <c r="AA1954" s="328">
        <f t="shared" si="241"/>
        <v>0</v>
      </c>
      <c r="AB1954" s="400">
        <f t="shared" si="242"/>
        <v>0</v>
      </c>
      <c r="AC1954" s="4"/>
      <c r="AD1954" s="47"/>
      <c r="AE1954" s="47"/>
      <c r="AF1954" s="319"/>
      <c r="AG1954" s="328">
        <f t="shared" si="243"/>
        <v>0</v>
      </c>
    </row>
    <row r="1955" spans="2:40">
      <c r="B1955" s="47" t="s">
        <v>1142</v>
      </c>
      <c r="C1955" s="47"/>
      <c r="D1955" s="441"/>
      <c r="E1955" s="319">
        <v>0</v>
      </c>
      <c r="F1955" s="320"/>
      <c r="G1955" s="4"/>
      <c r="H1955" s="47"/>
      <c r="I1955" s="47"/>
      <c r="J1955" s="319">
        <v>0</v>
      </c>
      <c r="K1955" s="320"/>
      <c r="L1955" s="4"/>
      <c r="M1955" s="47"/>
      <c r="N1955" s="47"/>
      <c r="O1955" s="319">
        <v>0</v>
      </c>
      <c r="P1955" s="320"/>
      <c r="R1955" s="47"/>
      <c r="S1955" s="47"/>
      <c r="T1955" s="319">
        <v>0</v>
      </c>
      <c r="U1955" s="320"/>
      <c r="W1955" s="47"/>
      <c r="X1955" s="47"/>
      <c r="Y1955" s="319">
        <v>0</v>
      </c>
      <c r="Z1955" s="320"/>
      <c r="AA1955" s="328">
        <f t="shared" si="241"/>
        <v>0</v>
      </c>
      <c r="AB1955" s="400">
        <f t="shared" si="242"/>
        <v>0</v>
      </c>
      <c r="AC1955" s="4"/>
      <c r="AD1955" s="47"/>
      <c r="AE1955" s="47"/>
      <c r="AF1955" s="319"/>
      <c r="AG1955" s="328">
        <f t="shared" si="243"/>
        <v>0</v>
      </c>
      <c r="AK1955" s="192" t="s">
        <v>1115</v>
      </c>
      <c r="AL1955" s="189">
        <f>C1982</f>
        <v>21</v>
      </c>
      <c r="AM1955" s="510">
        <v>47.74</v>
      </c>
      <c r="AN1955" s="510">
        <f>AM1955*AL1955</f>
        <v>1002.5400000000001</v>
      </c>
    </row>
    <row r="1956" spans="2:40">
      <c r="B1956" s="47" t="s">
        <v>1143</v>
      </c>
      <c r="C1956" s="47"/>
      <c r="D1956" s="441"/>
      <c r="E1956" s="319">
        <v>0</v>
      </c>
      <c r="F1956" s="320"/>
      <c r="G1956" s="4"/>
      <c r="H1956" s="47"/>
      <c r="I1956" s="47"/>
      <c r="J1956" s="319">
        <v>0</v>
      </c>
      <c r="K1956" s="320"/>
      <c r="L1956" s="4"/>
      <c r="M1956" s="47"/>
      <c r="N1956" s="47"/>
      <c r="O1956" s="319">
        <v>0</v>
      </c>
      <c r="P1956" s="320"/>
      <c r="R1956" s="47"/>
      <c r="S1956" s="47"/>
      <c r="T1956" s="319">
        <v>0</v>
      </c>
      <c r="U1956" s="320"/>
      <c r="W1956" s="47"/>
      <c r="X1956" s="47"/>
      <c r="Y1956" s="319">
        <v>0</v>
      </c>
      <c r="Z1956" s="320"/>
      <c r="AA1956" s="328">
        <f t="shared" si="241"/>
        <v>0</v>
      </c>
      <c r="AB1956" s="400">
        <f t="shared" si="242"/>
        <v>0</v>
      </c>
      <c r="AC1956" s="4"/>
      <c r="AD1956" s="47"/>
      <c r="AE1956" s="47"/>
      <c r="AF1956" s="319"/>
      <c r="AG1956" s="328">
        <f t="shared" si="243"/>
        <v>0</v>
      </c>
      <c r="AK1956" s="192"/>
      <c r="AL1956" s="189"/>
      <c r="AM1956" s="510"/>
      <c r="AN1956" s="510"/>
    </row>
    <row r="1957" spans="2:40">
      <c r="B1957" s="47" t="s">
        <v>1144</v>
      </c>
      <c r="C1957" s="47"/>
      <c r="D1957" s="441"/>
      <c r="E1957" s="319">
        <v>0</v>
      </c>
      <c r="F1957" s="320"/>
      <c r="G1957" s="4"/>
      <c r="H1957" s="47"/>
      <c r="I1957" s="47"/>
      <c r="J1957" s="319">
        <v>0</v>
      </c>
      <c r="K1957" s="320"/>
      <c r="L1957" s="4"/>
      <c r="M1957" s="47"/>
      <c r="N1957" s="47"/>
      <c r="O1957" s="319">
        <v>0</v>
      </c>
      <c r="P1957" s="320"/>
      <c r="R1957" s="47"/>
      <c r="S1957" s="47"/>
      <c r="T1957" s="319">
        <v>0</v>
      </c>
      <c r="U1957" s="320"/>
      <c r="W1957" s="47"/>
      <c r="X1957" s="47"/>
      <c r="Y1957" s="319">
        <v>0</v>
      </c>
      <c r="Z1957" s="320"/>
      <c r="AA1957" s="328">
        <f t="shared" si="241"/>
        <v>0</v>
      </c>
      <c r="AB1957" s="400">
        <f t="shared" si="242"/>
        <v>0</v>
      </c>
      <c r="AC1957" s="4"/>
      <c r="AD1957" s="47"/>
      <c r="AE1957" s="47"/>
      <c r="AF1957" s="319"/>
      <c r="AG1957" s="328">
        <f t="shared" si="243"/>
        <v>0</v>
      </c>
      <c r="AK1957" s="192"/>
      <c r="AL1957" s="189"/>
      <c r="AM1957" s="510"/>
      <c r="AN1957" s="510"/>
    </row>
    <row r="1958" spans="2:40">
      <c r="B1958" s="47" t="s">
        <v>1113</v>
      </c>
      <c r="C1958" s="47"/>
      <c r="D1958" s="47"/>
      <c r="E1958" s="319">
        <v>0</v>
      </c>
      <c r="F1958" s="320"/>
      <c r="G1958" s="4"/>
      <c r="H1958" s="47"/>
      <c r="I1958" s="47"/>
      <c r="J1958" s="319">
        <v>0</v>
      </c>
      <c r="K1958" s="320"/>
      <c r="L1958" s="4"/>
      <c r="M1958" s="47"/>
      <c r="N1958" s="47"/>
      <c r="O1958" s="319">
        <v>0</v>
      </c>
      <c r="P1958" s="320"/>
      <c r="R1958" s="47"/>
      <c r="S1958" s="47"/>
      <c r="T1958" s="319">
        <v>0</v>
      </c>
      <c r="U1958" s="320"/>
      <c r="W1958" s="47"/>
      <c r="X1958" s="47"/>
      <c r="Y1958" s="319">
        <v>0</v>
      </c>
      <c r="Z1958" s="320"/>
      <c r="AA1958" s="328">
        <f t="shared" si="241"/>
        <v>0</v>
      </c>
      <c r="AB1958" s="400">
        <f t="shared" si="242"/>
        <v>0</v>
      </c>
      <c r="AC1958" s="4"/>
      <c r="AD1958" s="47"/>
      <c r="AE1958" s="47"/>
      <c r="AF1958" s="319"/>
      <c r="AG1958" s="328">
        <f t="shared" si="243"/>
        <v>0</v>
      </c>
    </row>
    <row r="1959" spans="2:40">
      <c r="B1959" s="1306" t="s">
        <v>1145</v>
      </c>
      <c r="C1959" s="47"/>
      <c r="D1959" s="47"/>
      <c r="E1959" s="319">
        <v>0</v>
      </c>
      <c r="F1959" s="320"/>
      <c r="G1959" s="4"/>
      <c r="H1959" s="47"/>
      <c r="I1959" s="47"/>
      <c r="J1959" s="319">
        <v>0</v>
      </c>
      <c r="K1959" s="320"/>
      <c r="L1959" s="4"/>
      <c r="M1959" s="47"/>
      <c r="N1959" s="47"/>
      <c r="O1959" s="319">
        <v>0</v>
      </c>
      <c r="P1959" s="320"/>
      <c r="R1959" s="47"/>
      <c r="S1959" s="47"/>
      <c r="T1959" s="319">
        <v>0</v>
      </c>
      <c r="U1959" s="320"/>
      <c r="W1959" s="47"/>
      <c r="X1959" s="47"/>
      <c r="Y1959" s="319">
        <v>0</v>
      </c>
      <c r="Z1959" s="320"/>
      <c r="AA1959" s="328">
        <f t="shared" si="241"/>
        <v>0</v>
      </c>
      <c r="AB1959" s="400">
        <f t="shared" si="242"/>
        <v>0</v>
      </c>
      <c r="AC1959" s="4"/>
      <c r="AD1959" s="47"/>
      <c r="AE1959" s="47"/>
      <c r="AF1959" s="319"/>
      <c r="AG1959" s="328">
        <f t="shared" si="243"/>
        <v>0</v>
      </c>
    </row>
    <row r="1960" spans="2:40">
      <c r="B1960" s="1306" t="s">
        <v>1149</v>
      </c>
      <c r="C1960" s="47"/>
      <c r="D1960" s="47"/>
      <c r="E1960" s="319">
        <v>0</v>
      </c>
      <c r="F1960" s="320"/>
      <c r="G1960" s="4"/>
      <c r="H1960" s="47"/>
      <c r="I1960" s="47"/>
      <c r="J1960" s="319">
        <v>0</v>
      </c>
      <c r="K1960" s="320"/>
      <c r="L1960" s="4"/>
      <c r="M1960" s="47"/>
      <c r="N1960" s="47"/>
      <c r="O1960" s="319">
        <v>0</v>
      </c>
      <c r="P1960" s="320"/>
      <c r="R1960" s="47"/>
      <c r="S1960" s="47"/>
      <c r="T1960" s="319">
        <v>0</v>
      </c>
      <c r="U1960" s="320"/>
      <c r="W1960" s="47"/>
      <c r="X1960" s="47"/>
      <c r="Y1960" s="319">
        <v>0</v>
      </c>
      <c r="Z1960" s="320"/>
      <c r="AA1960" s="328">
        <f t="shared" si="241"/>
        <v>0</v>
      </c>
      <c r="AB1960" s="400">
        <f t="shared" si="242"/>
        <v>0</v>
      </c>
      <c r="AC1960" s="4"/>
      <c r="AD1960" s="47"/>
      <c r="AE1960" s="47"/>
      <c r="AF1960" s="319"/>
      <c r="AG1960" s="328">
        <f t="shared" si="243"/>
        <v>0</v>
      </c>
    </row>
    <row r="1961" spans="2:40">
      <c r="B1961" s="1306" t="s">
        <v>1151</v>
      </c>
      <c r="C1961" s="47"/>
      <c r="D1961" s="47"/>
      <c r="E1961" s="319">
        <v>0</v>
      </c>
      <c r="F1961" s="320"/>
      <c r="G1961" s="4"/>
      <c r="H1961" s="47">
        <v>0.375</v>
      </c>
      <c r="I1961" s="47">
        <v>0.25</v>
      </c>
      <c r="J1961" s="319">
        <v>8</v>
      </c>
      <c r="K1961" s="320"/>
      <c r="L1961" s="4"/>
      <c r="M1961" s="47"/>
      <c r="N1961" s="47"/>
      <c r="O1961" s="319">
        <v>0</v>
      </c>
      <c r="P1961" s="320"/>
      <c r="R1961" s="47"/>
      <c r="S1961" s="47"/>
      <c r="T1961" s="319">
        <v>0</v>
      </c>
      <c r="U1961" s="320"/>
      <c r="W1961" s="47"/>
      <c r="X1961" s="47"/>
      <c r="Y1961" s="319">
        <v>0</v>
      </c>
      <c r="Z1961" s="320"/>
      <c r="AA1961" s="328">
        <f t="shared" si="241"/>
        <v>8</v>
      </c>
      <c r="AB1961" s="400">
        <f t="shared" si="242"/>
        <v>0</v>
      </c>
      <c r="AC1961" s="4"/>
      <c r="AD1961" s="47"/>
      <c r="AE1961" s="47"/>
      <c r="AF1961" s="319"/>
      <c r="AG1961" s="328">
        <f t="shared" si="243"/>
        <v>0</v>
      </c>
    </row>
    <row r="1962" spans="2:40">
      <c r="B1962" s="1306" t="s">
        <v>1155</v>
      </c>
      <c r="C1962" s="47">
        <v>0.375</v>
      </c>
      <c r="D1962" s="47">
        <v>0.25</v>
      </c>
      <c r="E1962" s="319">
        <v>8</v>
      </c>
      <c r="F1962" s="320"/>
      <c r="G1962" s="4"/>
      <c r="H1962" s="47">
        <v>0.375</v>
      </c>
      <c r="I1962" s="47">
        <v>0.25</v>
      </c>
      <c r="J1962" s="319">
        <v>8</v>
      </c>
      <c r="K1962" s="320"/>
      <c r="L1962" s="4"/>
      <c r="M1962" s="47">
        <v>0.375</v>
      </c>
      <c r="N1962" s="47">
        <v>0.25</v>
      </c>
      <c r="O1962" s="319">
        <v>8</v>
      </c>
      <c r="P1962" s="320"/>
      <c r="R1962" s="47">
        <v>0.375</v>
      </c>
      <c r="S1962" s="47">
        <v>0.25</v>
      </c>
      <c r="T1962" s="319">
        <v>8</v>
      </c>
      <c r="U1962" s="320"/>
      <c r="W1962" s="47">
        <v>0.41666666666666669</v>
      </c>
      <c r="X1962" s="47">
        <v>0.25</v>
      </c>
      <c r="Y1962" s="319">
        <v>7</v>
      </c>
      <c r="Z1962" s="320"/>
      <c r="AA1962" s="328">
        <f t="shared" si="241"/>
        <v>39</v>
      </c>
      <c r="AB1962" s="400">
        <f t="shared" si="242"/>
        <v>0</v>
      </c>
      <c r="AC1962" s="4"/>
      <c r="AD1962" s="47"/>
      <c r="AE1962" s="47"/>
      <c r="AF1962" s="319"/>
      <c r="AG1962" s="328">
        <f t="shared" si="243"/>
        <v>0</v>
      </c>
    </row>
    <row r="1963" spans="2:40">
      <c r="B1963" s="1306" t="s">
        <v>1158</v>
      </c>
      <c r="C1963" s="47"/>
      <c r="D1963" s="47"/>
      <c r="E1963" s="319">
        <v>0</v>
      </c>
      <c r="F1963" s="320"/>
      <c r="G1963" s="4"/>
      <c r="H1963" s="47"/>
      <c r="I1963" s="47"/>
      <c r="J1963" s="319">
        <v>0</v>
      </c>
      <c r="K1963" s="320"/>
      <c r="L1963" s="4"/>
      <c r="M1963" s="47"/>
      <c r="N1963" s="47"/>
      <c r="O1963" s="319">
        <v>0</v>
      </c>
      <c r="P1963" s="320"/>
      <c r="R1963" s="47"/>
      <c r="S1963" s="47"/>
      <c r="T1963" s="319">
        <v>0</v>
      </c>
      <c r="U1963" s="320"/>
      <c r="W1963" s="47"/>
      <c r="X1963" s="47"/>
      <c r="Y1963" s="319">
        <v>0</v>
      </c>
      <c r="Z1963" s="320"/>
      <c r="AA1963" s="328">
        <f t="shared" si="241"/>
        <v>0</v>
      </c>
      <c r="AB1963" s="400">
        <f t="shared" si="242"/>
        <v>0</v>
      </c>
      <c r="AC1963" s="4"/>
      <c r="AD1963" s="47"/>
      <c r="AE1963" s="47"/>
      <c r="AF1963" s="319"/>
      <c r="AG1963" s="328">
        <f t="shared" si="243"/>
        <v>0</v>
      </c>
    </row>
    <row r="1964" spans="2:40">
      <c r="B1964" s="1306" t="s">
        <v>1160</v>
      </c>
      <c r="C1964" s="47">
        <v>0.375</v>
      </c>
      <c r="D1964" s="47">
        <v>0.25</v>
      </c>
      <c r="E1964" s="319">
        <v>8</v>
      </c>
      <c r="F1964" s="320"/>
      <c r="G1964" s="4"/>
      <c r="H1964" s="47">
        <v>0.375</v>
      </c>
      <c r="I1964" s="47">
        <v>0.25</v>
      </c>
      <c r="J1964" s="319">
        <v>8</v>
      </c>
      <c r="K1964" s="320"/>
      <c r="L1964" s="4"/>
      <c r="M1964" s="47">
        <v>0.375</v>
      </c>
      <c r="N1964" s="47">
        <v>0.25</v>
      </c>
      <c r="O1964" s="319">
        <v>8</v>
      </c>
      <c r="P1964" s="320"/>
      <c r="R1964" s="47">
        <v>0.375</v>
      </c>
      <c r="S1964" s="47">
        <v>0.25</v>
      </c>
      <c r="T1964" s="319">
        <v>8</v>
      </c>
      <c r="U1964" s="320"/>
      <c r="W1964" s="47">
        <v>0.375</v>
      </c>
      <c r="X1964" s="47">
        <v>0.25</v>
      </c>
      <c r="Y1964" s="319">
        <v>8</v>
      </c>
      <c r="Z1964" s="320"/>
      <c r="AA1964" s="328">
        <f t="shared" si="241"/>
        <v>40</v>
      </c>
      <c r="AB1964" s="400">
        <f t="shared" si="242"/>
        <v>0</v>
      </c>
      <c r="AC1964" s="4"/>
      <c r="AD1964" s="47"/>
      <c r="AE1964" s="47"/>
      <c r="AF1964" s="319"/>
      <c r="AG1964" s="328">
        <f t="shared" si="243"/>
        <v>0</v>
      </c>
    </row>
    <row r="1965" spans="2:40">
      <c r="B1965" s="1306" t="s">
        <v>1164</v>
      </c>
      <c r="C1965" s="47">
        <v>0.375</v>
      </c>
      <c r="D1965" s="47">
        <v>0.25</v>
      </c>
      <c r="E1965" s="319">
        <v>8</v>
      </c>
      <c r="F1965" s="320"/>
      <c r="G1965" s="4"/>
      <c r="H1965" s="47">
        <v>0.375</v>
      </c>
      <c r="I1965" s="47">
        <v>0.25</v>
      </c>
      <c r="J1965" s="319">
        <v>8</v>
      </c>
      <c r="K1965" s="320"/>
      <c r="L1965" s="4"/>
      <c r="M1965" s="47">
        <v>0.375</v>
      </c>
      <c r="N1965" s="47">
        <v>0.25</v>
      </c>
      <c r="O1965" s="319">
        <v>8</v>
      </c>
      <c r="P1965" s="320"/>
      <c r="R1965" s="47"/>
      <c r="S1965" s="47"/>
      <c r="T1965" s="319">
        <v>0</v>
      </c>
      <c r="U1965" s="320"/>
      <c r="W1965" s="47"/>
      <c r="X1965" s="47"/>
      <c r="Y1965" s="319">
        <v>0</v>
      </c>
      <c r="Z1965" s="320"/>
      <c r="AA1965" s="328">
        <f t="shared" si="241"/>
        <v>24</v>
      </c>
      <c r="AB1965" s="400">
        <f t="shared" si="242"/>
        <v>0</v>
      </c>
      <c r="AC1965" s="4"/>
      <c r="AD1965" s="47"/>
      <c r="AE1965" s="47"/>
      <c r="AF1965" s="319"/>
      <c r="AG1965" s="328">
        <f t="shared" si="243"/>
        <v>0</v>
      </c>
    </row>
    <row r="1966" spans="2:40">
      <c r="B1966" s="502" t="s">
        <v>483</v>
      </c>
      <c r="C1966" s="47"/>
      <c r="D1966" s="47"/>
      <c r="E1966" s="319">
        <v>0</v>
      </c>
      <c r="F1966" s="320"/>
      <c r="G1966" s="4"/>
      <c r="H1966" s="47"/>
      <c r="I1966" s="47"/>
      <c r="J1966" s="319">
        <v>0</v>
      </c>
      <c r="K1966" s="320"/>
      <c r="L1966" s="4"/>
      <c r="M1966" s="47"/>
      <c r="N1966" s="47"/>
      <c r="O1966" s="319">
        <v>0</v>
      </c>
      <c r="P1966" s="320"/>
      <c r="R1966" s="47"/>
      <c r="S1966" s="47"/>
      <c r="T1966" s="319">
        <v>0</v>
      </c>
      <c r="U1966" s="320"/>
      <c r="W1966" s="47"/>
      <c r="X1966" s="47"/>
      <c r="Y1966" s="319">
        <v>0</v>
      </c>
      <c r="Z1966" s="320"/>
      <c r="AA1966" s="328">
        <f t="shared" si="241"/>
        <v>0</v>
      </c>
      <c r="AB1966" s="400">
        <f t="shared" si="242"/>
        <v>0</v>
      </c>
      <c r="AC1966" s="4"/>
      <c r="AD1966" s="47"/>
      <c r="AE1966" s="47"/>
      <c r="AF1966" s="319"/>
      <c r="AG1966" s="328">
        <f t="shared" si="243"/>
        <v>0</v>
      </c>
    </row>
    <row r="1967" spans="2:40">
      <c r="B1967" s="502" t="s">
        <v>483</v>
      </c>
      <c r="C1967" s="47"/>
      <c r="D1967" s="47"/>
      <c r="E1967" s="319">
        <v>0</v>
      </c>
      <c r="F1967" s="320"/>
      <c r="G1967" s="4"/>
      <c r="H1967" s="47"/>
      <c r="I1967" s="47"/>
      <c r="J1967" s="319">
        <v>0</v>
      </c>
      <c r="K1967" s="320"/>
      <c r="L1967" s="4"/>
      <c r="M1967" s="47"/>
      <c r="N1967" s="47"/>
      <c r="O1967" s="319">
        <v>1</v>
      </c>
      <c r="P1967" s="320"/>
      <c r="R1967" s="47"/>
      <c r="S1967" s="47"/>
      <c r="T1967" s="319">
        <v>0</v>
      </c>
      <c r="U1967" s="320"/>
      <c r="W1967" s="47"/>
      <c r="X1967" s="47"/>
      <c r="Y1967" s="319">
        <v>4</v>
      </c>
      <c r="Z1967" s="320"/>
      <c r="AA1967" s="328">
        <f>(E1967+J1967+O1967+T1967+Y1967)</f>
        <v>5</v>
      </c>
      <c r="AB1967" s="400">
        <f t="shared" si="242"/>
        <v>0</v>
      </c>
      <c r="AC1967" s="4"/>
      <c r="AD1967" s="47"/>
      <c r="AE1967" s="47"/>
      <c r="AF1967" s="319"/>
      <c r="AG1967" s="328">
        <f t="shared" si="243"/>
        <v>0</v>
      </c>
    </row>
    <row r="1968" spans="2:40">
      <c r="B1968" s="502" t="s">
        <v>484</v>
      </c>
      <c r="C1968" s="47"/>
      <c r="D1968" s="47"/>
      <c r="E1968" s="319">
        <v>0</v>
      </c>
      <c r="F1968" s="320"/>
      <c r="G1968" s="4"/>
      <c r="H1968" s="47"/>
      <c r="I1968" s="47"/>
      <c r="J1968" s="319">
        <v>0</v>
      </c>
      <c r="K1968" s="320"/>
      <c r="L1968" s="4"/>
      <c r="M1968" s="47"/>
      <c r="N1968" s="47"/>
      <c r="O1968" s="319">
        <v>1</v>
      </c>
      <c r="P1968" s="320"/>
      <c r="R1968" s="47"/>
      <c r="S1968" s="47"/>
      <c r="T1968" s="319">
        <v>0</v>
      </c>
      <c r="U1968" s="320"/>
      <c r="W1968" s="47"/>
      <c r="X1968" s="47"/>
      <c r="Y1968" s="319">
        <v>4</v>
      </c>
      <c r="Z1968" s="320"/>
      <c r="AA1968" s="328">
        <f t="shared" si="241"/>
        <v>5</v>
      </c>
      <c r="AB1968" s="400">
        <f t="shared" si="242"/>
        <v>0</v>
      </c>
      <c r="AC1968" s="4"/>
      <c r="AD1968" s="47"/>
      <c r="AE1968" s="47"/>
      <c r="AF1968" s="319"/>
      <c r="AG1968" s="328">
        <f t="shared" si="243"/>
        <v>0</v>
      </c>
    </row>
    <row r="1969" spans="2:37">
      <c r="B1969" s="502" t="s">
        <v>485</v>
      </c>
      <c r="C1969" s="47"/>
      <c r="D1969" s="47"/>
      <c r="E1969" s="319">
        <v>0</v>
      </c>
      <c r="F1969" s="320"/>
      <c r="G1969" s="4"/>
      <c r="H1969" s="47"/>
      <c r="I1969" s="47"/>
      <c r="J1969" s="319">
        <v>0</v>
      </c>
      <c r="K1969" s="320"/>
      <c r="L1969" s="4"/>
      <c r="M1969" s="47"/>
      <c r="N1969" s="47"/>
      <c r="O1969" s="319">
        <v>1</v>
      </c>
      <c r="P1969" s="320"/>
      <c r="R1969" s="47"/>
      <c r="S1969" s="47"/>
      <c r="T1969" s="319">
        <v>0</v>
      </c>
      <c r="U1969" s="320"/>
      <c r="W1969" s="47"/>
      <c r="X1969" s="47"/>
      <c r="Y1969" s="319">
        <v>4</v>
      </c>
      <c r="Z1969" s="320"/>
      <c r="AA1969" s="328">
        <f t="shared" si="241"/>
        <v>5</v>
      </c>
      <c r="AB1969" s="400">
        <f t="shared" si="242"/>
        <v>0</v>
      </c>
      <c r="AC1969" s="4"/>
      <c r="AD1969" s="47"/>
      <c r="AE1969" s="47"/>
      <c r="AF1969" s="319"/>
      <c r="AG1969" s="328">
        <f t="shared" si="243"/>
        <v>0</v>
      </c>
    </row>
    <row r="1970" spans="2:37">
      <c r="B1970" s="502" t="s">
        <v>1129</v>
      </c>
      <c r="C1970" s="47"/>
      <c r="D1970" s="47"/>
      <c r="E1970" s="319">
        <v>0</v>
      </c>
      <c r="F1970" s="320"/>
      <c r="G1970" s="4"/>
      <c r="H1970" s="47"/>
      <c r="I1970" s="47"/>
      <c r="J1970" s="319">
        <v>0</v>
      </c>
      <c r="K1970" s="320"/>
      <c r="L1970" s="4"/>
      <c r="M1970" s="47"/>
      <c r="N1970" s="47"/>
      <c r="O1970" s="319">
        <v>0</v>
      </c>
      <c r="P1970" s="320"/>
      <c r="R1970" s="47"/>
      <c r="S1970" s="47"/>
      <c r="T1970" s="319">
        <v>0</v>
      </c>
      <c r="U1970" s="320"/>
      <c r="W1970" s="47"/>
      <c r="X1970" s="47"/>
      <c r="Y1970" s="319">
        <v>0</v>
      </c>
      <c r="Z1970" s="320"/>
      <c r="AA1970" s="328">
        <f t="shared" si="241"/>
        <v>0</v>
      </c>
      <c r="AB1970" s="400">
        <f t="shared" si="242"/>
        <v>0</v>
      </c>
      <c r="AC1970" s="4"/>
      <c r="AD1970" s="47"/>
      <c r="AE1970" s="47"/>
      <c r="AF1970" s="319"/>
      <c r="AG1970" s="328">
        <f t="shared" si="243"/>
        <v>0</v>
      </c>
    </row>
    <row r="1971" spans="2:37">
      <c r="B1971" s="267" t="s">
        <v>358</v>
      </c>
      <c r="C1971" s="47"/>
      <c r="D1971" s="47"/>
      <c r="E1971" s="319">
        <v>0</v>
      </c>
      <c r="F1971" s="320"/>
      <c r="G1971" s="4"/>
      <c r="H1971" s="47"/>
      <c r="I1971" s="47"/>
      <c r="J1971" s="319">
        <v>0</v>
      </c>
      <c r="K1971" s="320"/>
      <c r="L1971" s="438"/>
      <c r="M1971" s="47"/>
      <c r="N1971" s="47"/>
      <c r="O1971" s="319">
        <v>2</v>
      </c>
      <c r="P1971" s="320"/>
      <c r="Q1971" s="438"/>
      <c r="R1971" s="47"/>
      <c r="S1971" s="47"/>
      <c r="T1971" s="319">
        <v>1</v>
      </c>
      <c r="U1971" s="320"/>
      <c r="V1971" s="438"/>
      <c r="W1971" s="47"/>
      <c r="X1971" s="47"/>
      <c r="Y1971" s="319">
        <v>1</v>
      </c>
      <c r="Z1971" s="320"/>
      <c r="AA1971" s="328">
        <f t="shared" si="241"/>
        <v>4</v>
      </c>
      <c r="AB1971" s="400">
        <f t="shared" si="242"/>
        <v>0</v>
      </c>
      <c r="AC1971" s="4"/>
      <c r="AD1971" s="47"/>
      <c r="AE1971" s="47"/>
      <c r="AF1971" s="319"/>
      <c r="AG1971" s="328">
        <f t="shared" si="243"/>
        <v>0</v>
      </c>
    </row>
    <row r="1972" spans="2:37">
      <c r="B1972" s="267" t="s">
        <v>991</v>
      </c>
      <c r="C1972" s="47"/>
      <c r="D1972" s="47"/>
      <c r="E1972" s="319">
        <v>0</v>
      </c>
      <c r="F1972" s="320"/>
      <c r="G1972" s="4"/>
      <c r="H1972" s="47"/>
      <c r="I1972" s="47"/>
      <c r="J1972" s="319">
        <v>0</v>
      </c>
      <c r="K1972" s="320"/>
      <c r="L1972" s="438"/>
      <c r="M1972" s="47"/>
      <c r="N1972" s="47"/>
      <c r="O1972" s="319">
        <v>0</v>
      </c>
      <c r="P1972" s="320"/>
      <c r="Q1972" s="438"/>
      <c r="R1972" s="47"/>
      <c r="S1972" s="47"/>
      <c r="T1972" s="319">
        <v>0</v>
      </c>
      <c r="U1972" s="320"/>
      <c r="V1972" s="438"/>
      <c r="W1972" s="47"/>
      <c r="X1972" s="47"/>
      <c r="Y1972" s="319">
        <v>0</v>
      </c>
      <c r="Z1972" s="320"/>
      <c r="AA1972" s="328">
        <f t="shared" si="241"/>
        <v>0</v>
      </c>
      <c r="AB1972" s="400">
        <f t="shared" si="242"/>
        <v>0</v>
      </c>
      <c r="AC1972" s="4"/>
      <c r="AD1972" s="47"/>
      <c r="AE1972" s="47"/>
      <c r="AF1972" s="319"/>
      <c r="AG1972" s="328">
        <f t="shared" si="243"/>
        <v>0</v>
      </c>
    </row>
    <row r="1973" spans="2:37">
      <c r="B1973" s="267" t="s">
        <v>411</v>
      </c>
      <c r="C1973" s="47"/>
      <c r="D1973" s="47"/>
      <c r="E1973" s="319">
        <v>0</v>
      </c>
      <c r="F1973" s="320"/>
      <c r="G1973" s="4"/>
      <c r="H1973" s="47"/>
      <c r="I1973" s="47"/>
      <c r="J1973" s="319">
        <v>0</v>
      </c>
      <c r="K1973" s="320"/>
      <c r="L1973" s="438"/>
      <c r="M1973" s="47"/>
      <c r="N1973" s="47"/>
      <c r="O1973" s="319">
        <v>0</v>
      </c>
      <c r="P1973" s="320"/>
      <c r="Q1973" s="438"/>
      <c r="R1973" s="47"/>
      <c r="S1973" s="47"/>
      <c r="T1973" s="319">
        <v>0</v>
      </c>
      <c r="U1973" s="320"/>
      <c r="V1973" s="438"/>
      <c r="W1973" s="47"/>
      <c r="X1973" s="47"/>
      <c r="Y1973" s="319">
        <v>0</v>
      </c>
      <c r="Z1973" s="320"/>
      <c r="AA1973" s="328">
        <f t="shared" si="241"/>
        <v>0</v>
      </c>
      <c r="AB1973" s="400">
        <f t="shared" si="242"/>
        <v>0</v>
      </c>
      <c r="AC1973" s="4"/>
      <c r="AD1973" s="47"/>
      <c r="AE1973" s="47"/>
      <c r="AF1973" s="319"/>
      <c r="AG1973" s="328">
        <f t="shared" si="243"/>
        <v>0</v>
      </c>
    </row>
    <row r="1974" spans="2:37">
      <c r="B1974" s="267" t="s">
        <v>361</v>
      </c>
      <c r="C1974" s="47"/>
      <c r="D1974" s="47"/>
      <c r="E1974" s="319">
        <v>0</v>
      </c>
      <c r="F1974" s="320"/>
      <c r="G1974" s="4"/>
      <c r="H1974" s="47"/>
      <c r="I1974" s="47"/>
      <c r="J1974" s="319">
        <v>0</v>
      </c>
      <c r="K1974" s="320"/>
      <c r="L1974" s="438"/>
      <c r="M1974" s="47"/>
      <c r="N1974" s="47"/>
      <c r="O1974" s="319">
        <v>0</v>
      </c>
      <c r="P1974" s="320"/>
      <c r="Q1974" s="438"/>
      <c r="R1974" s="47"/>
      <c r="S1974" s="47"/>
      <c r="T1974" s="319">
        <v>0</v>
      </c>
      <c r="U1974" s="320"/>
      <c r="V1974" s="438"/>
      <c r="W1974" s="47"/>
      <c r="X1974" s="47"/>
      <c r="Y1974" s="319">
        <v>0</v>
      </c>
      <c r="Z1974" s="320"/>
      <c r="AA1974" s="328">
        <f t="shared" si="241"/>
        <v>0</v>
      </c>
      <c r="AB1974" s="400">
        <f t="shared" si="242"/>
        <v>0</v>
      </c>
      <c r="AC1974" s="4"/>
      <c r="AD1974" s="47"/>
      <c r="AE1974" s="47"/>
      <c r="AF1974" s="319"/>
      <c r="AG1974" s="328">
        <f t="shared" si="243"/>
        <v>0</v>
      </c>
    </row>
    <row r="1975" spans="2:37">
      <c r="B1975" s="267" t="s">
        <v>362</v>
      </c>
      <c r="C1975" s="47"/>
      <c r="D1975" s="5"/>
      <c r="E1975" s="319">
        <v>0</v>
      </c>
      <c r="F1975" s="320"/>
      <c r="G1975" s="4"/>
      <c r="H1975" s="47"/>
      <c r="I1975" s="5"/>
      <c r="J1975" s="319">
        <v>0</v>
      </c>
      <c r="K1975" s="320"/>
      <c r="L1975" s="438"/>
      <c r="M1975" s="47"/>
      <c r="N1975" s="5"/>
      <c r="O1975" s="319">
        <v>0</v>
      </c>
      <c r="P1975" s="320"/>
      <c r="Q1975" s="438"/>
      <c r="R1975" s="47"/>
      <c r="S1975" s="5"/>
      <c r="T1975" s="319">
        <v>0</v>
      </c>
      <c r="U1975" s="320"/>
      <c r="V1975" s="438"/>
      <c r="W1975" s="47"/>
      <c r="X1975" s="5"/>
      <c r="Y1975" s="319">
        <v>0</v>
      </c>
      <c r="Z1975" s="320"/>
      <c r="AA1975" s="328">
        <f t="shared" si="241"/>
        <v>0</v>
      </c>
      <c r="AB1975" s="400">
        <f t="shared" si="242"/>
        <v>0</v>
      </c>
      <c r="AC1975" s="4"/>
      <c r="AD1975" s="47"/>
      <c r="AE1975" s="47"/>
      <c r="AF1975" s="319"/>
      <c r="AG1975" s="328">
        <f t="shared" si="243"/>
        <v>0</v>
      </c>
    </row>
    <row r="1976" spans="2:37">
      <c r="B1976" s="437" t="s">
        <v>355</v>
      </c>
      <c r="C1976" s="47"/>
      <c r="D1976" s="47"/>
      <c r="E1976" s="319">
        <v>0</v>
      </c>
      <c r="F1976" s="320"/>
      <c r="G1976" s="4"/>
      <c r="H1976" s="47"/>
      <c r="I1976" s="47"/>
      <c r="J1976" s="319">
        <v>0</v>
      </c>
      <c r="K1976" s="320"/>
      <c r="L1976" s="438"/>
      <c r="M1976" s="47"/>
      <c r="N1976" s="47"/>
      <c r="O1976" s="319">
        <v>8.5</v>
      </c>
      <c r="P1976" s="320"/>
      <c r="Q1976" s="438"/>
      <c r="R1976" s="47"/>
      <c r="S1976" s="47"/>
      <c r="T1976" s="319">
        <v>0</v>
      </c>
      <c r="U1976" s="320"/>
      <c r="V1976" s="438"/>
      <c r="W1976" s="47"/>
      <c r="X1976" s="47"/>
      <c r="Y1976" s="319">
        <v>7.75</v>
      </c>
      <c r="Z1976" s="320"/>
      <c r="AA1976" s="328">
        <f t="shared" si="241"/>
        <v>16.25</v>
      </c>
      <c r="AB1976" s="400">
        <f t="shared" si="242"/>
        <v>0</v>
      </c>
      <c r="AC1976" s="4"/>
      <c r="AD1976" s="47"/>
      <c r="AE1976" s="47"/>
      <c r="AF1976" s="319"/>
      <c r="AG1976" s="328">
        <f t="shared" si="243"/>
        <v>0</v>
      </c>
    </row>
    <row r="1977" spans="2:37">
      <c r="B1977" s="437" t="s">
        <v>356</v>
      </c>
      <c r="C1977" s="713"/>
      <c r="D1977" s="713"/>
      <c r="E1977" s="319">
        <v>0</v>
      </c>
      <c r="F1977" s="320"/>
      <c r="G1977" s="438"/>
      <c r="H1977" s="5"/>
      <c r="I1977" s="5"/>
      <c r="J1977" s="319">
        <v>0</v>
      </c>
      <c r="K1977" s="320"/>
      <c r="L1977" s="438"/>
      <c r="M1977" s="5"/>
      <c r="N1977" s="5"/>
      <c r="O1977" s="319">
        <v>0</v>
      </c>
      <c r="P1977" s="320"/>
      <c r="Q1977" s="438"/>
      <c r="R1977" s="5"/>
      <c r="S1977" s="5"/>
      <c r="T1977" s="319">
        <v>0</v>
      </c>
      <c r="U1977" s="320"/>
      <c r="V1977" s="438"/>
      <c r="W1977" s="5"/>
      <c r="X1977" s="5"/>
      <c r="Y1977" s="319">
        <v>0</v>
      </c>
      <c r="Z1977" s="320"/>
      <c r="AA1977" s="328">
        <f t="shared" si="241"/>
        <v>0</v>
      </c>
      <c r="AB1977" s="400">
        <f t="shared" si="242"/>
        <v>0</v>
      </c>
      <c r="AC1977" s="4"/>
      <c r="AD1977" s="47"/>
      <c r="AE1977" s="47"/>
      <c r="AF1977" s="319"/>
      <c r="AG1977" s="328">
        <f t="shared" si="243"/>
        <v>0</v>
      </c>
    </row>
    <row r="1978" spans="2:37">
      <c r="B1978" s="31" t="s">
        <v>61</v>
      </c>
      <c r="C1978" s="31"/>
      <c r="D1978" s="31"/>
      <c r="E1978" s="439">
        <f>SUM(E1948:E1977)</f>
        <v>32</v>
      </c>
      <c r="F1978" s="320"/>
      <c r="G1978" s="31"/>
      <c r="H1978" s="31"/>
      <c r="I1978" s="31"/>
      <c r="J1978" s="439">
        <f>SUM(J1948:J1977)</f>
        <v>44</v>
      </c>
      <c r="K1978" s="320"/>
      <c r="L1978" s="31"/>
      <c r="M1978" s="31"/>
      <c r="N1978" s="31"/>
      <c r="O1978" s="439">
        <f>SUM(O1948:O1977)</f>
        <v>49.5</v>
      </c>
      <c r="P1978" s="320"/>
      <c r="Q1978" s="31"/>
      <c r="R1978" s="31"/>
      <c r="S1978" s="31"/>
      <c r="T1978" s="439">
        <f>SUM(T1948:T1977)</f>
        <v>25</v>
      </c>
      <c r="U1978" s="320"/>
      <c r="V1978" s="31"/>
      <c r="W1978" s="31"/>
      <c r="X1978" s="31"/>
      <c r="Y1978" s="439">
        <f>SUM(Y1948:Y1977)</f>
        <v>42.75</v>
      </c>
      <c r="Z1978" s="320"/>
      <c r="AA1978" s="328">
        <f>SUM(AA1948:AA1977)</f>
        <v>193.25</v>
      </c>
      <c r="AB1978" s="328">
        <f>SUM(AB1948:AB1977)</f>
        <v>0</v>
      </c>
      <c r="AC1978" s="4"/>
      <c r="AD1978" s="31"/>
      <c r="AE1978" s="31"/>
      <c r="AF1978" s="328">
        <f>SUM(AF1948:AF1977)</f>
        <v>0</v>
      </c>
      <c r="AG1978" s="328">
        <f>SUM(AG1948:AG1977)</f>
        <v>0</v>
      </c>
    </row>
    <row r="1979" spans="2:37">
      <c r="B1979" s="267" t="s">
        <v>1116</v>
      </c>
      <c r="C1979" s="47"/>
      <c r="D1979" s="47"/>
      <c r="E1979" s="319">
        <v>8</v>
      </c>
      <c r="F1979" s="320"/>
      <c r="G1979" s="4"/>
      <c r="H1979" s="47"/>
      <c r="I1979" s="47"/>
      <c r="J1979" s="319">
        <v>8</v>
      </c>
      <c r="K1979" s="320"/>
      <c r="L1979" s="4"/>
      <c r="M1979" s="47"/>
      <c r="N1979" s="47"/>
      <c r="O1979" s="319">
        <v>8</v>
      </c>
      <c r="P1979" s="320"/>
      <c r="R1979" s="47"/>
      <c r="S1979" s="47"/>
      <c r="T1979" s="319">
        <v>8</v>
      </c>
      <c r="U1979" s="320"/>
      <c r="W1979" s="47"/>
      <c r="X1979" s="47"/>
      <c r="Y1979" s="319">
        <v>8</v>
      </c>
      <c r="Z1979" s="320"/>
      <c r="AA1979" s="328">
        <f>(E1979+J1979+O1979+T1979+Y1979)</f>
        <v>40</v>
      </c>
      <c r="AB1979" s="400">
        <f>Z1979+U1979+P1979+K1979+F1979</f>
        <v>0</v>
      </c>
      <c r="AC1979" s="4"/>
      <c r="AD1979" s="47"/>
      <c r="AE1979" s="47"/>
      <c r="AF1979" s="319"/>
      <c r="AG1979" s="328">
        <f>AF1979</f>
        <v>0</v>
      </c>
    </row>
    <row r="1980" spans="2:37">
      <c r="B1980" s="267" t="s">
        <v>64</v>
      </c>
      <c r="C1980" s="47"/>
      <c r="D1980" s="47"/>
      <c r="E1980" s="319">
        <v>0</v>
      </c>
      <c r="F1980" s="319"/>
      <c r="G1980" s="71"/>
      <c r="H1980" s="47"/>
      <c r="I1980" s="47"/>
      <c r="J1980" s="319">
        <v>0</v>
      </c>
      <c r="K1980" s="319"/>
      <c r="L1980" s="438"/>
      <c r="M1980" s="47"/>
      <c r="N1980" s="47"/>
      <c r="O1980" s="319">
        <v>0</v>
      </c>
      <c r="P1980" s="319"/>
      <c r="Q1980" s="438"/>
      <c r="R1980" s="47"/>
      <c r="S1980" s="47"/>
      <c r="T1980" s="319">
        <v>0</v>
      </c>
      <c r="U1980" s="319"/>
      <c r="V1980" s="438"/>
      <c r="W1980" s="47"/>
      <c r="X1980" s="47"/>
      <c r="Y1980" s="319">
        <v>0</v>
      </c>
      <c r="Z1980" s="319"/>
      <c r="AA1980" s="328">
        <f>SUM(E1980+J1980+O1980+T1980+Y1980)</f>
        <v>0</v>
      </c>
      <c r="AB1980" s="897">
        <f>Z1980+U1980+P1980+K1980+F1980</f>
        <v>0</v>
      </c>
      <c r="AC1980" s="4"/>
      <c r="AD1980" s="47" t="s">
        <v>29</v>
      </c>
      <c r="AE1980" s="47" t="s">
        <v>29</v>
      </c>
      <c r="AF1980" s="319"/>
      <c r="AG1980" s="328">
        <f>AF1980</f>
        <v>0</v>
      </c>
    </row>
    <row r="1981" spans="2:37">
      <c r="B1981" s="71" t="s">
        <v>66</v>
      </c>
      <c r="C1981" s="1210"/>
      <c r="D1981" s="1210"/>
      <c r="E1981" s="1208"/>
      <c r="F1981" s="71"/>
      <c r="G1981" s="71"/>
      <c r="H1981" s="71"/>
      <c r="I1981" s="71"/>
      <c r="J1981" s="71"/>
      <c r="K1981" s="71"/>
      <c r="L1981" s="71"/>
      <c r="M1981" s="71"/>
      <c r="N1981" s="71"/>
      <c r="O1981" s="71"/>
      <c r="P1981" s="71"/>
      <c r="Q1981" s="71"/>
      <c r="R1981" s="71"/>
      <c r="S1981" s="71"/>
      <c r="T1981" s="71"/>
      <c r="U1981" s="71"/>
      <c r="V1981" s="71"/>
      <c r="W1981" s="71"/>
      <c r="X1981" s="71"/>
      <c r="Y1981" s="71"/>
      <c r="Z1981" s="71"/>
      <c r="AA1981" s="328">
        <f>SUM(AA1979:AA1980)</f>
        <v>40</v>
      </c>
      <c r="AB1981" s="328">
        <f>SUM(AB1980:AB1980)</f>
        <v>0</v>
      </c>
      <c r="AC1981" s="4"/>
      <c r="AG1981" s="328">
        <f>SUM(AG1980:AG1980)</f>
        <v>0</v>
      </c>
      <c r="AK1981" s="407"/>
    </row>
    <row r="1982" spans="2:37" s="1387" customFormat="1">
      <c r="B1982" s="1382" t="s">
        <v>67</v>
      </c>
      <c r="C1982" s="1383">
        <f>C1983+C1984</f>
        <v>21</v>
      </c>
      <c r="D1982" s="1383"/>
      <c r="E1982" s="534"/>
      <c r="F1982" s="534"/>
      <c r="G1982" s="1383"/>
      <c r="H1982" s="534"/>
      <c r="I1982" s="534"/>
      <c r="J1982" s="534"/>
      <c r="K1982" s="534"/>
      <c r="L1982" s="1383"/>
      <c r="M1982" s="1383"/>
      <c r="N1982" s="1383"/>
      <c r="O1982" s="1383"/>
      <c r="P1982" s="534"/>
      <c r="Q1982" s="1383"/>
      <c r="R1982" s="1383"/>
      <c r="S1982" s="1383"/>
      <c r="T1982" s="1383"/>
      <c r="U1982" s="534"/>
      <c r="V1982" s="1383"/>
      <c r="W1982" s="1383"/>
      <c r="X1982" s="1383"/>
      <c r="Y1982" s="1384"/>
      <c r="Z1982" s="534"/>
      <c r="AA1982" s="1385"/>
      <c r="AB1982" s="534"/>
      <c r="AC1982" s="1385"/>
      <c r="AD1982" s="1385"/>
      <c r="AE1982" s="1385"/>
      <c r="AF1982" s="1385"/>
      <c r="AG1982" s="1385"/>
      <c r="AH1982" s="1386"/>
      <c r="AK1982" s="1388"/>
    </row>
    <row r="1983" spans="2:37" s="1387" customFormat="1">
      <c r="B1983" s="1389" t="s">
        <v>68</v>
      </c>
      <c r="C1983" s="1383">
        <v>0</v>
      </c>
      <c r="D1983" s="1383"/>
      <c r="E1983" s="534"/>
      <c r="F1983" s="534"/>
      <c r="G1983" s="1383"/>
      <c r="H1983" s="534"/>
      <c r="I1983" s="534"/>
      <c r="J1983" s="534"/>
      <c r="K1983" s="534"/>
      <c r="L1983" s="1383"/>
      <c r="M1983" s="1383"/>
      <c r="N1983" s="1383"/>
      <c r="O1983" s="1383"/>
      <c r="P1983" s="534"/>
      <c r="Q1983" s="1383"/>
      <c r="R1983" s="1383"/>
      <c r="S1983" s="1383"/>
      <c r="T1983" s="1383"/>
      <c r="U1983" s="534"/>
      <c r="V1983" s="1383"/>
      <c r="W1983" s="1383"/>
      <c r="X1983" s="1383"/>
      <c r="Y1983" s="1384"/>
      <c r="Z1983" s="534"/>
      <c r="AA1983" s="1385"/>
      <c r="AB1983" s="534"/>
      <c r="AC1983" s="1385"/>
      <c r="AD1983" s="1385"/>
      <c r="AE1983" s="1385"/>
      <c r="AF1983" s="1385"/>
      <c r="AG1983" s="1385"/>
      <c r="AH1983" s="1386"/>
      <c r="AK1983" s="1388"/>
    </row>
    <row r="1984" spans="2:37" s="1387" customFormat="1">
      <c r="B1984" s="1389" t="s">
        <v>69</v>
      </c>
      <c r="C1984" s="1383">
        <v>21</v>
      </c>
      <c r="D1984" s="1383"/>
      <c r="E1984" s="534"/>
      <c r="F1984" s="534"/>
      <c r="G1984" s="1383"/>
      <c r="H1984" s="534"/>
      <c r="I1984" s="534"/>
      <c r="J1984" s="534"/>
      <c r="K1984" s="534"/>
      <c r="L1984" s="1383"/>
      <c r="M1984" s="1383"/>
      <c r="N1984" s="1383"/>
      <c r="O1984" s="1383"/>
      <c r="P1984" s="534"/>
      <c r="Q1984" s="1383"/>
      <c r="R1984" s="1383"/>
      <c r="S1984" s="1383"/>
      <c r="T1984" s="1383"/>
      <c r="U1984" s="534"/>
      <c r="V1984" s="1383"/>
      <c r="W1984" s="1383"/>
      <c r="X1984" s="1383"/>
      <c r="Y1984" s="1384"/>
      <c r="Z1984" s="534"/>
      <c r="AA1984" s="1385"/>
      <c r="AB1984" s="534"/>
      <c r="AC1984" s="1385"/>
      <c r="AD1984" s="1385"/>
      <c r="AE1984" s="1385"/>
      <c r="AF1984" s="1385"/>
      <c r="AG1984" s="1385"/>
      <c r="AH1984" s="1386"/>
    </row>
    <row r="1987" spans="2:42" ht="25.5">
      <c r="B1987" s="1571"/>
      <c r="C1987" s="1570">
        <v>46097</v>
      </c>
      <c r="D1987" s="1570"/>
      <c r="E1987" s="1570" t="s">
        <v>564</v>
      </c>
      <c r="F1987" s="1570"/>
      <c r="G1987" s="894"/>
      <c r="H1987" s="1570">
        <v>46098</v>
      </c>
      <c r="I1987" s="1570"/>
      <c r="J1987" s="1570" t="s">
        <v>565</v>
      </c>
      <c r="K1987" s="1570"/>
      <c r="L1987" s="894"/>
      <c r="M1987" s="1570">
        <v>46099</v>
      </c>
      <c r="N1987" s="1570"/>
      <c r="O1987" s="1570" t="s">
        <v>566</v>
      </c>
      <c r="P1987" s="1570"/>
      <c r="Q1987" s="894"/>
      <c r="R1987" s="1570">
        <v>46100</v>
      </c>
      <c r="S1987" s="1570"/>
      <c r="T1987" s="1570" t="s">
        <v>567</v>
      </c>
      <c r="U1987" s="1570"/>
      <c r="V1987" s="894"/>
      <c r="W1987" s="1570">
        <v>46101</v>
      </c>
      <c r="X1987" s="1570"/>
      <c r="Y1987" s="1570" t="s">
        <v>568</v>
      </c>
      <c r="Z1987" s="1570"/>
      <c r="AA1987" s="1569" t="s">
        <v>19</v>
      </c>
      <c r="AB1987" s="1569" t="s">
        <v>20</v>
      </c>
      <c r="AC1987" s="4"/>
      <c r="AD1987" s="1570"/>
      <c r="AE1987" s="1570"/>
      <c r="AF1987" s="895" t="s">
        <v>1111</v>
      </c>
      <c r="AG1987" s="1569" t="s">
        <v>21</v>
      </c>
      <c r="AK1987" s="194" t="s">
        <v>84</v>
      </c>
      <c r="AL1987" s="366"/>
      <c r="AM1987" s="366"/>
      <c r="AN1987" s="366"/>
      <c r="AO1987" s="366"/>
      <c r="AP1987" s="366"/>
    </row>
    <row r="1988" spans="2:42">
      <c r="B1988" s="1571"/>
      <c r="C1988" s="896" t="s">
        <v>23</v>
      </c>
      <c r="D1988" s="896" t="s">
        <v>24</v>
      </c>
      <c r="E1988" s="897" t="s">
        <v>25</v>
      </c>
      <c r="F1988" s="898" t="s">
        <v>14</v>
      </c>
      <c r="G1988" s="4"/>
      <c r="H1988" s="896" t="s">
        <v>23</v>
      </c>
      <c r="I1988" s="896" t="s">
        <v>24</v>
      </c>
      <c r="J1988" s="898" t="s">
        <v>25</v>
      </c>
      <c r="K1988" s="898" t="s">
        <v>14</v>
      </c>
      <c r="L1988" s="4"/>
      <c r="M1988" s="896" t="s">
        <v>23</v>
      </c>
      <c r="N1988" s="896" t="s">
        <v>24</v>
      </c>
      <c r="O1988" s="898" t="s">
        <v>25</v>
      </c>
      <c r="P1988" s="898" t="s">
        <v>14</v>
      </c>
      <c r="R1988" s="896" t="s">
        <v>23</v>
      </c>
      <c r="S1988" s="896" t="s">
        <v>24</v>
      </c>
      <c r="T1988" s="898" t="s">
        <v>25</v>
      </c>
      <c r="U1988" s="898" t="s">
        <v>14</v>
      </c>
      <c r="W1988" s="896" t="s">
        <v>23</v>
      </c>
      <c r="X1988" s="896" t="s">
        <v>24</v>
      </c>
      <c r="Y1988" s="898" t="s">
        <v>25</v>
      </c>
      <c r="Z1988" s="898" t="s">
        <v>14</v>
      </c>
      <c r="AA1988" s="1569"/>
      <c r="AB1988" s="1569"/>
      <c r="AC1988" s="4"/>
      <c r="AD1988" s="896" t="s">
        <v>23</v>
      </c>
      <c r="AE1988" s="896" t="s">
        <v>24</v>
      </c>
      <c r="AF1988" s="898" t="s">
        <v>25</v>
      </c>
      <c r="AG1988" s="1569"/>
      <c r="AK1988" s="188" t="s">
        <v>26</v>
      </c>
      <c r="AL1988" s="196">
        <f>AA2019</f>
        <v>230</v>
      </c>
      <c r="AM1988" s="510">
        <v>40.31</v>
      </c>
      <c r="AN1988" s="510">
        <f t="shared" ref="AN1988:AN1993" si="244">AL1988*AM1988</f>
        <v>9271.3000000000011</v>
      </c>
    </row>
    <row r="1989" spans="2:42">
      <c r="B1989" s="47" t="s">
        <v>1166</v>
      </c>
      <c r="C1989" s="47">
        <v>0.33333333333333331</v>
      </c>
      <c r="D1989" s="47">
        <v>0.25</v>
      </c>
      <c r="E1989" s="319">
        <v>9</v>
      </c>
      <c r="F1989" s="320"/>
      <c r="G1989" s="4"/>
      <c r="H1989" s="47">
        <v>0.33333333333333331</v>
      </c>
      <c r="I1989" s="47">
        <v>0.25</v>
      </c>
      <c r="J1989" s="319">
        <v>9</v>
      </c>
      <c r="K1989" s="320"/>
      <c r="L1989" s="4"/>
      <c r="M1989" s="47">
        <v>0.375</v>
      </c>
      <c r="N1989" s="47">
        <v>0.29166666666666669</v>
      </c>
      <c r="O1989" s="319">
        <v>9</v>
      </c>
      <c r="P1989" s="320"/>
      <c r="R1989" s="47">
        <v>0.33333333333333331</v>
      </c>
      <c r="S1989" s="47">
        <v>0.25</v>
      </c>
      <c r="T1989" s="319">
        <v>9</v>
      </c>
      <c r="U1989" s="320"/>
      <c r="W1989" s="47">
        <v>0.375</v>
      </c>
      <c r="X1989" s="47">
        <v>0.25</v>
      </c>
      <c r="Y1989" s="319">
        <v>8</v>
      </c>
      <c r="Z1989" s="320"/>
      <c r="AA1989" s="1390">
        <v>40</v>
      </c>
      <c r="AB1989" s="1422">
        <v>4</v>
      </c>
      <c r="AC1989" s="4"/>
      <c r="AF1989" s="319"/>
      <c r="AG1989" s="328">
        <f t="shared" ref="AG1989:AG2018" si="245">AF1989</f>
        <v>0</v>
      </c>
      <c r="AK1989" s="188" t="s">
        <v>30</v>
      </c>
      <c r="AL1989" s="196">
        <f>AB2019</f>
        <v>10.5</v>
      </c>
      <c r="AM1989" s="510">
        <v>60.465000000000003</v>
      </c>
      <c r="AN1989" s="510">
        <f t="shared" si="244"/>
        <v>634.88250000000005</v>
      </c>
    </row>
    <row r="1990" spans="2:42">
      <c r="B1990" s="47" t="s">
        <v>1112</v>
      </c>
      <c r="C1990" s="47">
        <v>0.33333333333333331</v>
      </c>
      <c r="D1990" s="47">
        <v>0.5</v>
      </c>
      <c r="E1990" s="319">
        <v>4</v>
      </c>
      <c r="F1990" s="320"/>
      <c r="G1990" s="4"/>
      <c r="H1990" s="47">
        <v>0.33333333333333331</v>
      </c>
      <c r="I1990" s="47">
        <v>0.5</v>
      </c>
      <c r="J1990" s="319">
        <v>4</v>
      </c>
      <c r="K1990" s="320"/>
      <c r="L1990" s="4"/>
      <c r="M1990" s="47">
        <v>0.33333333333333331</v>
      </c>
      <c r="N1990" s="47">
        <v>0.5</v>
      </c>
      <c r="O1990" s="319">
        <v>4</v>
      </c>
      <c r="P1990" s="320"/>
      <c r="R1990" s="47"/>
      <c r="S1990" s="47"/>
      <c r="T1990" s="319">
        <v>0</v>
      </c>
      <c r="U1990" s="320"/>
      <c r="W1990" s="47"/>
      <c r="X1990" s="47"/>
      <c r="Y1990" s="319">
        <v>0</v>
      </c>
      <c r="Z1990" s="320"/>
      <c r="AA1990" s="328">
        <f t="shared" ref="AA1990:AA2018" si="246">(E1990+J1990+O1990+T1990+Y1990)</f>
        <v>12</v>
      </c>
      <c r="AB1990" s="400">
        <f t="shared" ref="AB1990:AB2018" si="247">Z1990+U1990+P1990+K1990+F1990</f>
        <v>0</v>
      </c>
      <c r="AC1990" s="4"/>
      <c r="AD1990" s="47"/>
      <c r="AE1990" s="47"/>
      <c r="AF1990" s="319"/>
      <c r="AG1990" s="328">
        <f t="shared" si="245"/>
        <v>0</v>
      </c>
      <c r="AK1990" s="188" t="s">
        <v>32</v>
      </c>
      <c r="AL1990" s="196">
        <f>AG2019</f>
        <v>0</v>
      </c>
      <c r="AM1990" s="510">
        <v>60.465000000000003</v>
      </c>
      <c r="AN1990" s="510">
        <f t="shared" si="244"/>
        <v>0</v>
      </c>
    </row>
    <row r="1991" spans="2:42">
      <c r="B1991" s="47" t="s">
        <v>1141</v>
      </c>
      <c r="C1991" s="47"/>
      <c r="D1991" s="47"/>
      <c r="E1991" s="319">
        <v>0</v>
      </c>
      <c r="F1991" s="320"/>
      <c r="G1991" s="4"/>
      <c r="H1991" s="47"/>
      <c r="I1991" s="47"/>
      <c r="J1991" s="319">
        <v>0</v>
      </c>
      <c r="K1991" s="320"/>
      <c r="L1991" s="4"/>
      <c r="M1991" s="47"/>
      <c r="N1991" s="47"/>
      <c r="O1991" s="319">
        <v>0</v>
      </c>
      <c r="P1991" s="320"/>
      <c r="R1991" s="47"/>
      <c r="S1991" s="47"/>
      <c r="T1991" s="319">
        <v>0</v>
      </c>
      <c r="U1991" s="320"/>
      <c r="W1991" s="47"/>
      <c r="X1991" s="47"/>
      <c r="Y1991" s="319">
        <v>0</v>
      </c>
      <c r="Z1991" s="320"/>
      <c r="AA1991" s="328">
        <f t="shared" si="246"/>
        <v>0</v>
      </c>
      <c r="AB1991" s="400">
        <f t="shared" si="247"/>
        <v>0</v>
      </c>
      <c r="AC1991" s="4"/>
      <c r="AD1991" s="47"/>
      <c r="AE1991" s="47"/>
      <c r="AF1991" s="319"/>
      <c r="AG1991" s="328">
        <f t="shared" si="245"/>
        <v>0</v>
      </c>
      <c r="AK1991" s="188" t="s">
        <v>213</v>
      </c>
      <c r="AL1991" s="196">
        <f>AA2022</f>
        <v>40</v>
      </c>
      <c r="AM1991" s="510">
        <v>53.05</v>
      </c>
      <c r="AN1991" s="510">
        <f t="shared" si="244"/>
        <v>2122</v>
      </c>
    </row>
    <row r="1992" spans="2:42">
      <c r="B1992" s="47" t="s">
        <v>72</v>
      </c>
      <c r="C1992" s="47"/>
      <c r="D1992" s="47"/>
      <c r="E1992" s="319">
        <v>0</v>
      </c>
      <c r="F1992" s="320"/>
      <c r="G1992" s="4"/>
      <c r="H1992" s="47"/>
      <c r="I1992" s="47"/>
      <c r="J1992" s="319">
        <v>0</v>
      </c>
      <c r="K1992" s="320"/>
      <c r="L1992" s="4"/>
      <c r="M1992" s="47"/>
      <c r="N1992" s="47"/>
      <c r="O1992" s="319">
        <v>0</v>
      </c>
      <c r="P1992" s="320"/>
      <c r="R1992" s="47"/>
      <c r="S1992" s="47"/>
      <c r="T1992" s="319">
        <v>0</v>
      </c>
      <c r="U1992" s="320"/>
      <c r="W1992" s="47"/>
      <c r="X1992" s="47"/>
      <c r="Y1992" s="319">
        <v>0</v>
      </c>
      <c r="Z1992" s="320"/>
      <c r="AA1992" s="328">
        <f t="shared" si="246"/>
        <v>0</v>
      </c>
      <c r="AB1992" s="400">
        <f t="shared" si="247"/>
        <v>0</v>
      </c>
      <c r="AC1992" s="4"/>
      <c r="AD1992" s="47"/>
      <c r="AE1992" s="47"/>
      <c r="AF1992" s="319"/>
      <c r="AG1992" s="328">
        <f t="shared" si="245"/>
        <v>0</v>
      </c>
      <c r="AK1992" s="188" t="s">
        <v>36</v>
      </c>
      <c r="AL1992" s="196">
        <f>AB2022</f>
        <v>0</v>
      </c>
      <c r="AM1992" s="510">
        <v>79.574999999999989</v>
      </c>
      <c r="AN1992" s="510">
        <f t="shared" si="244"/>
        <v>0</v>
      </c>
    </row>
    <row r="1993" spans="2:42">
      <c r="B1993" s="374" t="s">
        <v>998</v>
      </c>
      <c r="C1993" s="47">
        <v>0.375</v>
      </c>
      <c r="D1993" s="47">
        <v>0.25</v>
      </c>
      <c r="E1993" s="319">
        <v>8</v>
      </c>
      <c r="F1993" s="320"/>
      <c r="G1993" s="4"/>
      <c r="H1993" s="47">
        <v>0.375</v>
      </c>
      <c r="I1993" s="47">
        <v>0.27083333333333331</v>
      </c>
      <c r="J1993" s="319">
        <v>8</v>
      </c>
      <c r="K1993" s="320">
        <v>0.5</v>
      </c>
      <c r="L1993" s="4"/>
      <c r="M1993" s="47">
        <v>0.375</v>
      </c>
      <c r="N1993" s="47">
        <v>0.29166666666666669</v>
      </c>
      <c r="O1993" s="319">
        <v>8</v>
      </c>
      <c r="P1993" s="320">
        <v>1</v>
      </c>
      <c r="R1993" s="47">
        <v>0.375</v>
      </c>
      <c r="S1993" s="47">
        <v>0.29166666666666669</v>
      </c>
      <c r="T1993" s="319">
        <v>8</v>
      </c>
      <c r="U1993" s="320">
        <v>1</v>
      </c>
      <c r="W1993" s="47"/>
      <c r="X1993" s="47"/>
      <c r="Y1993" s="319">
        <v>0</v>
      </c>
      <c r="Z1993" s="320"/>
      <c r="AA1993" s="1421">
        <f>(E1993+J1993+O1993+T1993+Y1993)</f>
        <v>32</v>
      </c>
      <c r="AB1993" s="1422">
        <f>Z1993+U1993+P1993+K1993+F1993</f>
        <v>2.5</v>
      </c>
      <c r="AC1993" s="4"/>
      <c r="AD1993" s="47"/>
      <c r="AE1993" s="47"/>
      <c r="AF1993" s="319"/>
      <c r="AG1993" s="328">
        <f t="shared" si="245"/>
        <v>0</v>
      </c>
      <c r="AK1993" s="188" t="s">
        <v>38</v>
      </c>
      <c r="AL1993" s="196">
        <f>AG2022</f>
        <v>0</v>
      </c>
      <c r="AM1993" s="510">
        <v>79.574999999999989</v>
      </c>
      <c r="AN1993" s="510">
        <f t="shared" si="244"/>
        <v>0</v>
      </c>
    </row>
    <row r="1994" spans="2:42">
      <c r="B1994" s="47" t="s">
        <v>53</v>
      </c>
      <c r="C1994" s="47"/>
      <c r="D1994" s="47"/>
      <c r="E1994" s="319">
        <v>0</v>
      </c>
      <c r="F1994" s="320"/>
      <c r="G1994" s="4"/>
      <c r="H1994" s="47"/>
      <c r="I1994" s="47"/>
      <c r="J1994" s="319">
        <v>0</v>
      </c>
      <c r="K1994" s="320"/>
      <c r="L1994" s="4"/>
      <c r="M1994" s="47"/>
      <c r="N1994" s="47"/>
      <c r="O1994" s="319">
        <v>0</v>
      </c>
      <c r="P1994" s="320"/>
      <c r="R1994" s="47"/>
      <c r="S1994" s="47"/>
      <c r="T1994" s="319">
        <v>0</v>
      </c>
      <c r="U1994" s="320"/>
      <c r="W1994" s="47"/>
      <c r="X1994" s="47"/>
      <c r="Y1994" s="319">
        <v>0</v>
      </c>
      <c r="Z1994" s="320"/>
      <c r="AA1994" s="328">
        <f t="shared" si="246"/>
        <v>0</v>
      </c>
      <c r="AB1994" s="400">
        <f t="shared" si="247"/>
        <v>0</v>
      </c>
      <c r="AC1994" s="4"/>
      <c r="AD1994" s="47"/>
      <c r="AE1994" s="47"/>
      <c r="AF1994" s="319"/>
      <c r="AG1994" s="328">
        <f t="shared" si="245"/>
        <v>0</v>
      </c>
      <c r="AN1994" s="510">
        <f>SUM(AN1988:AN1993)</f>
        <v>12028.182500000001</v>
      </c>
    </row>
    <row r="1995" spans="2:42">
      <c r="B1995" s="47" t="s">
        <v>241</v>
      </c>
      <c r="C1995" s="47"/>
      <c r="D1995" s="47"/>
      <c r="E1995" s="319">
        <v>0</v>
      </c>
      <c r="F1995" s="320"/>
      <c r="G1995" s="4"/>
      <c r="H1995" s="47"/>
      <c r="I1995" s="47"/>
      <c r="J1995" s="319">
        <v>0</v>
      </c>
      <c r="K1995" s="320"/>
      <c r="L1995" s="4"/>
      <c r="M1995" s="47"/>
      <c r="N1995" s="47"/>
      <c r="O1995" s="319">
        <v>0</v>
      </c>
      <c r="P1995" s="320"/>
      <c r="R1995" s="47"/>
      <c r="S1995" s="47"/>
      <c r="T1995" s="319">
        <v>0</v>
      </c>
      <c r="U1995" s="320"/>
      <c r="W1995" s="47"/>
      <c r="X1995" s="47"/>
      <c r="Y1995" s="319">
        <v>0</v>
      </c>
      <c r="Z1995" s="320"/>
      <c r="AA1995" s="328">
        <f t="shared" si="246"/>
        <v>0</v>
      </c>
      <c r="AB1995" s="400">
        <f t="shared" si="247"/>
        <v>0</v>
      </c>
      <c r="AC1995" s="4"/>
      <c r="AD1995" s="47"/>
      <c r="AE1995" s="47"/>
      <c r="AF1995" s="319"/>
      <c r="AG1995" s="328">
        <f t="shared" si="245"/>
        <v>0</v>
      </c>
    </row>
    <row r="1996" spans="2:42">
      <c r="B1996" s="47" t="s">
        <v>1142</v>
      </c>
      <c r="C1996" s="47"/>
      <c r="D1996" s="441"/>
      <c r="E1996" s="319">
        <v>0</v>
      </c>
      <c r="F1996" s="320"/>
      <c r="G1996" s="4"/>
      <c r="H1996" s="47"/>
      <c r="I1996" s="47"/>
      <c r="J1996" s="319">
        <v>0</v>
      </c>
      <c r="K1996" s="320"/>
      <c r="L1996" s="4"/>
      <c r="M1996" s="47"/>
      <c r="N1996" s="47"/>
      <c r="O1996" s="319">
        <v>0</v>
      </c>
      <c r="P1996" s="320"/>
      <c r="R1996" s="47"/>
      <c r="S1996" s="47"/>
      <c r="T1996" s="319">
        <v>0</v>
      </c>
      <c r="U1996" s="320"/>
      <c r="W1996" s="47"/>
      <c r="X1996" s="47"/>
      <c r="Y1996" s="319">
        <v>0</v>
      </c>
      <c r="Z1996" s="320"/>
      <c r="AA1996" s="328">
        <f t="shared" si="246"/>
        <v>0</v>
      </c>
      <c r="AB1996" s="400">
        <f t="shared" si="247"/>
        <v>0</v>
      </c>
      <c r="AC1996" s="4"/>
      <c r="AD1996" s="47"/>
      <c r="AE1996" s="47"/>
      <c r="AF1996" s="319"/>
      <c r="AG1996" s="328">
        <f t="shared" si="245"/>
        <v>0</v>
      </c>
      <c r="AK1996" s="192" t="s">
        <v>1115</v>
      </c>
      <c r="AL1996" s="189">
        <f>C2023</f>
        <v>22</v>
      </c>
      <c r="AM1996" s="510">
        <v>47.74</v>
      </c>
      <c r="AN1996" s="510">
        <f>AM1996*AL1996</f>
        <v>1050.28</v>
      </c>
    </row>
    <row r="1997" spans="2:42">
      <c r="B1997" s="47" t="s">
        <v>1143</v>
      </c>
      <c r="C1997" s="47"/>
      <c r="D1997" s="441"/>
      <c r="E1997" s="319">
        <v>0</v>
      </c>
      <c r="F1997" s="320"/>
      <c r="G1997" s="4"/>
      <c r="H1997" s="47"/>
      <c r="I1997" s="47"/>
      <c r="J1997" s="319">
        <v>0</v>
      </c>
      <c r="K1997" s="320"/>
      <c r="L1997" s="4"/>
      <c r="M1997" s="47"/>
      <c r="N1997" s="47"/>
      <c r="O1997" s="319">
        <v>0</v>
      </c>
      <c r="P1997" s="320"/>
      <c r="R1997" s="47"/>
      <c r="S1997" s="47"/>
      <c r="T1997" s="319">
        <v>0</v>
      </c>
      <c r="U1997" s="320"/>
      <c r="W1997" s="47"/>
      <c r="X1997" s="47"/>
      <c r="Y1997" s="319">
        <v>0</v>
      </c>
      <c r="Z1997" s="320"/>
      <c r="AA1997" s="328">
        <f t="shared" si="246"/>
        <v>0</v>
      </c>
      <c r="AB1997" s="400">
        <f t="shared" si="247"/>
        <v>0</v>
      </c>
      <c r="AC1997" s="4"/>
      <c r="AD1997" s="47"/>
      <c r="AE1997" s="47"/>
      <c r="AF1997" s="319"/>
      <c r="AG1997" s="328">
        <f t="shared" si="245"/>
        <v>0</v>
      </c>
      <c r="AK1997" s="192"/>
      <c r="AL1997" s="189"/>
      <c r="AM1997" s="510"/>
      <c r="AN1997" s="510"/>
    </row>
    <row r="1998" spans="2:42">
      <c r="B1998" s="47" t="s">
        <v>1144</v>
      </c>
      <c r="C1998" s="47"/>
      <c r="D1998" s="441"/>
      <c r="E1998" s="319">
        <v>0</v>
      </c>
      <c r="F1998" s="320"/>
      <c r="G1998" s="4"/>
      <c r="H1998" s="47"/>
      <c r="I1998" s="47"/>
      <c r="J1998" s="319">
        <v>0</v>
      </c>
      <c r="K1998" s="320"/>
      <c r="L1998" s="4"/>
      <c r="M1998" s="47"/>
      <c r="N1998" s="47"/>
      <c r="O1998" s="319">
        <v>0</v>
      </c>
      <c r="P1998" s="320"/>
      <c r="R1998" s="47"/>
      <c r="S1998" s="47"/>
      <c r="T1998" s="319">
        <v>0</v>
      </c>
      <c r="U1998" s="320"/>
      <c r="W1998" s="47"/>
      <c r="X1998" s="47"/>
      <c r="Y1998" s="319">
        <v>0</v>
      </c>
      <c r="Z1998" s="320"/>
      <c r="AA1998" s="328">
        <f t="shared" si="246"/>
        <v>0</v>
      </c>
      <c r="AB1998" s="400">
        <f t="shared" si="247"/>
        <v>0</v>
      </c>
      <c r="AC1998" s="4"/>
      <c r="AD1998" s="47"/>
      <c r="AE1998" s="47"/>
      <c r="AF1998" s="319"/>
      <c r="AG1998" s="328">
        <f t="shared" si="245"/>
        <v>0</v>
      </c>
      <c r="AK1998" s="192"/>
      <c r="AL1998" s="189"/>
      <c r="AM1998" s="510"/>
      <c r="AN1998" s="510"/>
    </row>
    <row r="1999" spans="2:42">
      <c r="B1999" s="47" t="s">
        <v>1113</v>
      </c>
      <c r="C1999" s="47"/>
      <c r="D1999" s="47"/>
      <c r="E1999" s="319">
        <v>0</v>
      </c>
      <c r="F1999" s="320"/>
      <c r="G1999" s="4"/>
      <c r="H1999" s="47"/>
      <c r="I1999" s="47"/>
      <c r="J1999" s="319">
        <v>0</v>
      </c>
      <c r="K1999" s="320"/>
      <c r="L1999" s="4"/>
      <c r="M1999" s="47"/>
      <c r="N1999" s="47"/>
      <c r="O1999" s="319">
        <v>0</v>
      </c>
      <c r="P1999" s="320"/>
      <c r="R1999" s="47"/>
      <c r="S1999" s="47"/>
      <c r="T1999" s="319">
        <v>0</v>
      </c>
      <c r="U1999" s="320"/>
      <c r="W1999" s="47"/>
      <c r="X1999" s="47"/>
      <c r="Y1999" s="319">
        <v>0</v>
      </c>
      <c r="Z1999" s="320"/>
      <c r="AA1999" s="328">
        <f t="shared" si="246"/>
        <v>0</v>
      </c>
      <c r="AB1999" s="400">
        <f t="shared" si="247"/>
        <v>0</v>
      </c>
      <c r="AC1999" s="4"/>
      <c r="AD1999" s="47"/>
      <c r="AE1999" s="47"/>
      <c r="AF1999" s="319"/>
      <c r="AG1999" s="328">
        <f t="shared" si="245"/>
        <v>0</v>
      </c>
    </row>
    <row r="2000" spans="2:42">
      <c r="B2000" s="1306" t="s">
        <v>1145</v>
      </c>
      <c r="C2000" s="47"/>
      <c r="D2000" s="47"/>
      <c r="E2000" s="319">
        <v>0</v>
      </c>
      <c r="F2000" s="320"/>
      <c r="G2000" s="4"/>
      <c r="H2000" s="47"/>
      <c r="I2000" s="47"/>
      <c r="J2000" s="319">
        <v>0</v>
      </c>
      <c r="K2000" s="320"/>
      <c r="L2000" s="4"/>
      <c r="M2000" s="47"/>
      <c r="N2000" s="47"/>
      <c r="O2000" s="319">
        <v>0</v>
      </c>
      <c r="P2000" s="320"/>
      <c r="R2000" s="47"/>
      <c r="S2000" s="47"/>
      <c r="T2000" s="319">
        <v>0</v>
      </c>
      <c r="U2000" s="320"/>
      <c r="W2000" s="47"/>
      <c r="X2000" s="47"/>
      <c r="Y2000" s="319">
        <v>0</v>
      </c>
      <c r="Z2000" s="320"/>
      <c r="AA2000" s="328">
        <f t="shared" si="246"/>
        <v>0</v>
      </c>
      <c r="AB2000" s="400">
        <f t="shared" si="247"/>
        <v>0</v>
      </c>
      <c r="AC2000" s="4"/>
      <c r="AD2000" s="47"/>
      <c r="AE2000" s="47"/>
      <c r="AF2000" s="319"/>
      <c r="AG2000" s="328">
        <f t="shared" si="245"/>
        <v>0</v>
      </c>
    </row>
    <row r="2001" spans="2:33">
      <c r="B2001" s="1306" t="s">
        <v>1149</v>
      </c>
      <c r="C2001" s="47"/>
      <c r="D2001" s="47"/>
      <c r="E2001" s="319">
        <v>0</v>
      </c>
      <c r="F2001" s="320"/>
      <c r="G2001" s="4"/>
      <c r="H2001" s="47"/>
      <c r="I2001" s="47"/>
      <c r="J2001" s="319">
        <v>0</v>
      </c>
      <c r="K2001" s="320"/>
      <c r="L2001" s="4"/>
      <c r="M2001" s="47"/>
      <c r="N2001" s="47"/>
      <c r="O2001" s="319">
        <v>0</v>
      </c>
      <c r="P2001" s="320"/>
      <c r="R2001" s="47"/>
      <c r="S2001" s="47"/>
      <c r="T2001" s="319">
        <v>0</v>
      </c>
      <c r="U2001" s="320"/>
      <c r="W2001" s="47"/>
      <c r="X2001" s="47"/>
      <c r="Y2001" s="319">
        <v>0</v>
      </c>
      <c r="Z2001" s="320"/>
      <c r="AA2001" s="328">
        <f t="shared" si="246"/>
        <v>0</v>
      </c>
      <c r="AB2001" s="400">
        <f t="shared" si="247"/>
        <v>0</v>
      </c>
      <c r="AC2001" s="4"/>
      <c r="AD2001" s="47"/>
      <c r="AE2001" s="47"/>
      <c r="AF2001" s="319"/>
      <c r="AG2001" s="328">
        <f t="shared" si="245"/>
        <v>0</v>
      </c>
    </row>
    <row r="2002" spans="2:33">
      <c r="B2002" s="1306" t="s">
        <v>1151</v>
      </c>
      <c r="C2002" s="47"/>
      <c r="D2002" s="47"/>
      <c r="E2002" s="319">
        <v>0</v>
      </c>
      <c r="F2002" s="320"/>
      <c r="G2002" s="4"/>
      <c r="H2002" s="47"/>
      <c r="I2002" s="47"/>
      <c r="J2002" s="319">
        <v>0</v>
      </c>
      <c r="K2002" s="320"/>
      <c r="L2002" s="4"/>
      <c r="M2002" s="47"/>
      <c r="N2002" s="47"/>
      <c r="O2002" s="319">
        <v>0</v>
      </c>
      <c r="P2002" s="320"/>
      <c r="R2002" s="47"/>
      <c r="S2002" s="47"/>
      <c r="T2002" s="319">
        <v>0</v>
      </c>
      <c r="U2002" s="320"/>
      <c r="W2002" s="47"/>
      <c r="X2002" s="47"/>
      <c r="Y2002" s="319">
        <v>0</v>
      </c>
      <c r="Z2002" s="320"/>
      <c r="AA2002" s="328">
        <f t="shared" si="246"/>
        <v>0</v>
      </c>
      <c r="AB2002" s="400">
        <f t="shared" si="247"/>
        <v>0</v>
      </c>
      <c r="AC2002" s="4"/>
      <c r="AD2002" s="47"/>
      <c r="AE2002" s="47"/>
      <c r="AF2002" s="319"/>
      <c r="AG2002" s="328">
        <f t="shared" si="245"/>
        <v>0</v>
      </c>
    </row>
    <row r="2003" spans="2:33">
      <c r="B2003" s="1306" t="s">
        <v>1155</v>
      </c>
      <c r="C2003" s="47">
        <v>0.375</v>
      </c>
      <c r="D2003" s="47">
        <v>0.25</v>
      </c>
      <c r="E2003" s="319">
        <v>8</v>
      </c>
      <c r="F2003" s="320"/>
      <c r="G2003" s="4"/>
      <c r="H2003" s="47">
        <v>0.375</v>
      </c>
      <c r="I2003" s="47">
        <v>0.25</v>
      </c>
      <c r="J2003" s="319">
        <v>8</v>
      </c>
      <c r="K2003" s="320"/>
      <c r="L2003" s="4"/>
      <c r="M2003" s="47">
        <v>0.41666666666666669</v>
      </c>
      <c r="N2003" s="47">
        <v>0.29166666666666669</v>
      </c>
      <c r="O2003" s="319">
        <v>8</v>
      </c>
      <c r="P2003" s="320"/>
      <c r="R2003" s="47">
        <v>0.375</v>
      </c>
      <c r="S2003" s="47">
        <v>0.25</v>
      </c>
      <c r="T2003" s="319">
        <v>8</v>
      </c>
      <c r="U2003" s="320"/>
      <c r="W2003" s="47">
        <v>0.375</v>
      </c>
      <c r="X2003" s="47">
        <v>0.25</v>
      </c>
      <c r="Y2003" s="319">
        <v>8</v>
      </c>
      <c r="Z2003" s="320"/>
      <c r="AA2003" s="328">
        <f t="shared" si="246"/>
        <v>40</v>
      </c>
      <c r="AB2003" s="400">
        <f t="shared" si="247"/>
        <v>0</v>
      </c>
      <c r="AC2003" s="4"/>
      <c r="AD2003" s="47"/>
      <c r="AE2003" s="47"/>
      <c r="AF2003" s="319"/>
      <c r="AG2003" s="328">
        <f t="shared" si="245"/>
        <v>0</v>
      </c>
    </row>
    <row r="2004" spans="2:33">
      <c r="B2004" s="1306" t="s">
        <v>1158</v>
      </c>
      <c r="C2004" s="47"/>
      <c r="D2004" s="47"/>
      <c r="E2004" s="319">
        <v>0</v>
      </c>
      <c r="F2004" s="320"/>
      <c r="G2004" s="4"/>
      <c r="H2004" s="47"/>
      <c r="I2004" s="47"/>
      <c r="J2004" s="319">
        <v>0</v>
      </c>
      <c r="K2004" s="320"/>
      <c r="L2004" s="4"/>
      <c r="M2004" s="47"/>
      <c r="N2004" s="47"/>
      <c r="O2004" s="319">
        <v>0</v>
      </c>
      <c r="P2004" s="320"/>
      <c r="R2004" s="47"/>
      <c r="S2004" s="47"/>
      <c r="T2004" s="319">
        <v>0</v>
      </c>
      <c r="U2004" s="320"/>
      <c r="W2004" s="47"/>
      <c r="X2004" s="47"/>
      <c r="Y2004" s="319">
        <v>0</v>
      </c>
      <c r="Z2004" s="320"/>
      <c r="AA2004" s="328">
        <f t="shared" si="246"/>
        <v>0</v>
      </c>
      <c r="AB2004" s="400">
        <f t="shared" si="247"/>
        <v>0</v>
      </c>
      <c r="AC2004" s="4"/>
      <c r="AD2004" s="47"/>
      <c r="AE2004" s="47"/>
      <c r="AF2004" s="319"/>
      <c r="AG2004" s="328">
        <f t="shared" si="245"/>
        <v>0</v>
      </c>
    </row>
    <row r="2005" spans="2:33">
      <c r="B2005" s="1306" t="s">
        <v>1160</v>
      </c>
      <c r="C2005" s="47">
        <v>0.33333333333333331</v>
      </c>
      <c r="D2005" s="47">
        <v>0.25</v>
      </c>
      <c r="E2005" s="319">
        <v>8</v>
      </c>
      <c r="F2005" s="320"/>
      <c r="G2005" s="4"/>
      <c r="H2005" s="47">
        <v>0.375</v>
      </c>
      <c r="I2005" s="47">
        <v>0.27083333333333331</v>
      </c>
      <c r="J2005" s="319">
        <v>8.5</v>
      </c>
      <c r="K2005" s="320"/>
      <c r="L2005" s="4"/>
      <c r="M2005" s="47">
        <v>0.33333333333333331</v>
      </c>
      <c r="N2005" s="47">
        <v>0.35416666666666669</v>
      </c>
      <c r="O2005" s="319">
        <v>11.5</v>
      </c>
      <c r="P2005" s="320"/>
      <c r="R2005" s="47">
        <v>0.375</v>
      </c>
      <c r="S2005" s="47">
        <v>0.25</v>
      </c>
      <c r="T2005" s="319">
        <v>8</v>
      </c>
      <c r="U2005" s="320"/>
      <c r="W2005" s="47">
        <v>0.375</v>
      </c>
      <c r="X2005" s="47">
        <v>0.25</v>
      </c>
      <c r="Y2005" s="319">
        <v>8</v>
      </c>
      <c r="Z2005" s="320"/>
      <c r="AA2005" s="1390">
        <v>40</v>
      </c>
      <c r="AB2005" s="1422">
        <v>4</v>
      </c>
      <c r="AC2005" s="4"/>
      <c r="AD2005" s="47"/>
      <c r="AE2005" s="47"/>
      <c r="AF2005" s="319"/>
      <c r="AG2005" s="328">
        <f t="shared" si="245"/>
        <v>0</v>
      </c>
    </row>
    <row r="2006" spans="2:33">
      <c r="B2006" s="1306" t="s">
        <v>1164</v>
      </c>
      <c r="C2006" s="47"/>
      <c r="D2006" s="47"/>
      <c r="E2006" s="319">
        <v>0</v>
      </c>
      <c r="F2006" s="320"/>
      <c r="G2006" s="4"/>
      <c r="H2006" s="47"/>
      <c r="I2006" s="47"/>
      <c r="J2006" s="319">
        <v>0</v>
      </c>
      <c r="K2006" s="320"/>
      <c r="L2006" s="4"/>
      <c r="M2006" s="47"/>
      <c r="N2006" s="47"/>
      <c r="O2006" s="319">
        <v>0</v>
      </c>
      <c r="P2006" s="320"/>
      <c r="R2006" s="47"/>
      <c r="S2006" s="47"/>
      <c r="T2006" s="319">
        <v>0</v>
      </c>
      <c r="U2006" s="320"/>
      <c r="W2006" s="47"/>
      <c r="X2006" s="47"/>
      <c r="Y2006" s="319">
        <v>0</v>
      </c>
      <c r="Z2006" s="320"/>
      <c r="AA2006" s="328">
        <f t="shared" si="246"/>
        <v>0</v>
      </c>
      <c r="AB2006" s="400">
        <f t="shared" si="247"/>
        <v>0</v>
      </c>
      <c r="AC2006" s="4"/>
      <c r="AD2006" s="47"/>
      <c r="AE2006" s="47"/>
      <c r="AF2006" s="319"/>
      <c r="AG2006" s="328">
        <f t="shared" si="245"/>
        <v>0</v>
      </c>
    </row>
    <row r="2007" spans="2:33">
      <c r="B2007" s="502" t="s">
        <v>483</v>
      </c>
      <c r="C2007" s="47"/>
      <c r="D2007" s="47"/>
      <c r="E2007" s="319">
        <v>0</v>
      </c>
      <c r="F2007" s="320"/>
      <c r="G2007" s="4"/>
      <c r="H2007" s="47"/>
      <c r="I2007" s="47"/>
      <c r="J2007" s="319">
        <v>0</v>
      </c>
      <c r="K2007" s="320"/>
      <c r="L2007" s="4"/>
      <c r="M2007" s="47"/>
      <c r="N2007" s="47"/>
      <c r="O2007" s="319">
        <v>0</v>
      </c>
      <c r="P2007" s="320"/>
      <c r="R2007" s="47"/>
      <c r="S2007" s="47"/>
      <c r="T2007" s="319">
        <v>0</v>
      </c>
      <c r="U2007" s="320"/>
      <c r="W2007" s="47"/>
      <c r="X2007" s="47"/>
      <c r="Y2007" s="319">
        <v>0</v>
      </c>
      <c r="Z2007" s="320"/>
      <c r="AA2007" s="328">
        <f t="shared" si="246"/>
        <v>0</v>
      </c>
      <c r="AB2007" s="400">
        <f t="shared" si="247"/>
        <v>0</v>
      </c>
      <c r="AC2007" s="4"/>
      <c r="AD2007" s="47"/>
      <c r="AE2007" s="47"/>
      <c r="AF2007" s="319"/>
      <c r="AG2007" s="328">
        <f t="shared" si="245"/>
        <v>0</v>
      </c>
    </row>
    <row r="2008" spans="2:33">
      <c r="B2008" s="502" t="s">
        <v>483</v>
      </c>
      <c r="C2008" s="47"/>
      <c r="D2008" s="47"/>
      <c r="E2008" s="319">
        <v>3</v>
      </c>
      <c r="F2008" s="320"/>
      <c r="G2008" s="4"/>
      <c r="H2008" s="47"/>
      <c r="I2008" s="47"/>
      <c r="J2008" s="319">
        <v>6</v>
      </c>
      <c r="K2008" s="320"/>
      <c r="L2008" s="4"/>
      <c r="M2008" s="47"/>
      <c r="N2008" s="47"/>
      <c r="O2008" s="319">
        <v>6</v>
      </c>
      <c r="P2008" s="320"/>
      <c r="R2008" s="47"/>
      <c r="S2008" s="47"/>
      <c r="T2008" s="319">
        <v>0</v>
      </c>
      <c r="U2008" s="320"/>
      <c r="W2008" s="47"/>
      <c r="X2008" s="47"/>
      <c r="Y2008" s="319">
        <v>0</v>
      </c>
      <c r="Z2008" s="320"/>
      <c r="AA2008" s="328">
        <f>(E2008+J2008+O2008+T2008+Y2008)</f>
        <v>15</v>
      </c>
      <c r="AB2008" s="400">
        <f t="shared" si="247"/>
        <v>0</v>
      </c>
      <c r="AC2008" s="4"/>
      <c r="AD2008" s="47"/>
      <c r="AE2008" s="47"/>
      <c r="AF2008" s="319"/>
      <c r="AG2008" s="328">
        <f t="shared" si="245"/>
        <v>0</v>
      </c>
    </row>
    <row r="2009" spans="2:33">
      <c r="B2009" s="502" t="s">
        <v>484</v>
      </c>
      <c r="C2009" s="47"/>
      <c r="D2009" s="47"/>
      <c r="E2009" s="319">
        <v>3</v>
      </c>
      <c r="F2009" s="320"/>
      <c r="G2009" s="4"/>
      <c r="H2009" s="47"/>
      <c r="I2009" s="47"/>
      <c r="J2009" s="319">
        <v>6</v>
      </c>
      <c r="K2009" s="320"/>
      <c r="L2009" s="4"/>
      <c r="M2009" s="47"/>
      <c r="N2009" s="47"/>
      <c r="O2009" s="319">
        <v>6</v>
      </c>
      <c r="P2009" s="320"/>
      <c r="R2009" s="47"/>
      <c r="S2009" s="47"/>
      <c r="T2009" s="319">
        <v>0</v>
      </c>
      <c r="U2009" s="320"/>
      <c r="W2009" s="47"/>
      <c r="X2009" s="47"/>
      <c r="Y2009" s="319">
        <v>0</v>
      </c>
      <c r="Z2009" s="320"/>
      <c r="AA2009" s="328">
        <f t="shared" si="246"/>
        <v>15</v>
      </c>
      <c r="AB2009" s="400">
        <f t="shared" si="247"/>
        <v>0</v>
      </c>
      <c r="AC2009" s="4"/>
      <c r="AD2009" s="47"/>
      <c r="AE2009" s="47"/>
      <c r="AF2009" s="319"/>
      <c r="AG2009" s="328">
        <f t="shared" si="245"/>
        <v>0</v>
      </c>
    </row>
    <row r="2010" spans="2:33">
      <c r="B2010" s="502" t="s">
        <v>485</v>
      </c>
      <c r="C2010" s="47"/>
      <c r="D2010" s="47"/>
      <c r="E2010" s="319">
        <v>3</v>
      </c>
      <c r="F2010" s="320"/>
      <c r="G2010" s="4"/>
      <c r="H2010" s="47"/>
      <c r="I2010" s="47"/>
      <c r="J2010" s="319">
        <v>6</v>
      </c>
      <c r="K2010" s="320"/>
      <c r="L2010" s="4"/>
      <c r="M2010" s="47"/>
      <c r="N2010" s="47"/>
      <c r="O2010" s="319">
        <v>6</v>
      </c>
      <c r="P2010" s="320"/>
      <c r="R2010" s="47"/>
      <c r="S2010" s="47"/>
      <c r="T2010" s="319">
        <v>0</v>
      </c>
      <c r="U2010" s="320"/>
      <c r="W2010" s="47"/>
      <c r="X2010" s="47"/>
      <c r="Y2010" s="319">
        <v>0</v>
      </c>
      <c r="Z2010" s="320"/>
      <c r="AA2010" s="328">
        <f t="shared" si="246"/>
        <v>15</v>
      </c>
      <c r="AB2010" s="400">
        <f t="shared" si="247"/>
        <v>0</v>
      </c>
      <c r="AC2010" s="4"/>
      <c r="AD2010" s="47"/>
      <c r="AE2010" s="47"/>
      <c r="AF2010" s="319"/>
      <c r="AG2010" s="328">
        <f t="shared" si="245"/>
        <v>0</v>
      </c>
    </row>
    <row r="2011" spans="2:33">
      <c r="B2011" s="502" t="s">
        <v>1129</v>
      </c>
      <c r="C2011" s="47"/>
      <c r="D2011" s="47"/>
      <c r="E2011" s="319">
        <v>0</v>
      </c>
      <c r="F2011" s="320"/>
      <c r="G2011" s="4"/>
      <c r="H2011" s="47"/>
      <c r="I2011" s="47"/>
      <c r="J2011" s="319">
        <v>0</v>
      </c>
      <c r="K2011" s="320"/>
      <c r="L2011" s="4"/>
      <c r="M2011" s="47"/>
      <c r="N2011" s="47"/>
      <c r="O2011" s="319">
        <v>0</v>
      </c>
      <c r="P2011" s="320"/>
      <c r="R2011" s="47"/>
      <c r="S2011" s="47"/>
      <c r="T2011" s="319">
        <v>0</v>
      </c>
      <c r="U2011" s="320"/>
      <c r="W2011" s="47"/>
      <c r="X2011" s="47"/>
      <c r="Y2011" s="319">
        <v>0</v>
      </c>
      <c r="Z2011" s="320"/>
      <c r="AA2011" s="328">
        <f t="shared" si="246"/>
        <v>0</v>
      </c>
      <c r="AB2011" s="400">
        <f t="shared" si="247"/>
        <v>0</v>
      </c>
      <c r="AC2011" s="4"/>
      <c r="AD2011" s="47"/>
      <c r="AE2011" s="47"/>
      <c r="AF2011" s="319"/>
      <c r="AG2011" s="328">
        <f t="shared" si="245"/>
        <v>0</v>
      </c>
    </row>
    <row r="2012" spans="2:33">
      <c r="B2012" s="267" t="s">
        <v>358</v>
      </c>
      <c r="C2012" s="47"/>
      <c r="D2012" s="47"/>
      <c r="E2012" s="319">
        <v>1</v>
      </c>
      <c r="F2012" s="320"/>
      <c r="G2012" s="4"/>
      <c r="H2012" s="47"/>
      <c r="I2012" s="47"/>
      <c r="J2012" s="319">
        <v>1</v>
      </c>
      <c r="K2012" s="320"/>
      <c r="L2012" s="438"/>
      <c r="M2012" s="47"/>
      <c r="N2012" s="47"/>
      <c r="O2012" s="319">
        <v>1</v>
      </c>
      <c r="P2012" s="320"/>
      <c r="Q2012" s="438"/>
      <c r="R2012" s="47"/>
      <c r="S2012" s="47"/>
      <c r="T2012" s="319">
        <v>0</v>
      </c>
      <c r="U2012" s="320"/>
      <c r="V2012" s="438"/>
      <c r="W2012" s="47"/>
      <c r="X2012" s="47"/>
      <c r="Y2012" s="319">
        <v>0</v>
      </c>
      <c r="Z2012" s="320"/>
      <c r="AA2012" s="328">
        <f t="shared" si="246"/>
        <v>3</v>
      </c>
      <c r="AB2012" s="400">
        <f t="shared" si="247"/>
        <v>0</v>
      </c>
      <c r="AC2012" s="4"/>
      <c r="AD2012" s="47"/>
      <c r="AE2012" s="47"/>
      <c r="AF2012" s="319"/>
      <c r="AG2012" s="328">
        <f t="shared" si="245"/>
        <v>0</v>
      </c>
    </row>
    <row r="2013" spans="2:33">
      <c r="B2013" s="267" t="s">
        <v>991</v>
      </c>
      <c r="C2013" s="47"/>
      <c r="D2013" s="47"/>
      <c r="E2013" s="319">
        <v>0</v>
      </c>
      <c r="F2013" s="320"/>
      <c r="G2013" s="4"/>
      <c r="H2013" s="47"/>
      <c r="I2013" s="47"/>
      <c r="J2013" s="319">
        <v>0</v>
      </c>
      <c r="K2013" s="320"/>
      <c r="L2013" s="438"/>
      <c r="M2013" s="47"/>
      <c r="N2013" s="47"/>
      <c r="O2013" s="319">
        <v>0</v>
      </c>
      <c r="P2013" s="320"/>
      <c r="Q2013" s="438"/>
      <c r="R2013" s="47"/>
      <c r="S2013" s="47"/>
      <c r="T2013" s="319">
        <v>0</v>
      </c>
      <c r="U2013" s="320"/>
      <c r="V2013" s="438"/>
      <c r="W2013" s="47"/>
      <c r="X2013" s="47"/>
      <c r="Y2013" s="319">
        <v>0</v>
      </c>
      <c r="Z2013" s="320"/>
      <c r="AA2013" s="328">
        <f t="shared" si="246"/>
        <v>0</v>
      </c>
      <c r="AB2013" s="400">
        <f t="shared" si="247"/>
        <v>0</v>
      </c>
      <c r="AC2013" s="4"/>
      <c r="AD2013" s="47"/>
      <c r="AE2013" s="47"/>
      <c r="AF2013" s="319"/>
      <c r="AG2013" s="328">
        <f t="shared" si="245"/>
        <v>0</v>
      </c>
    </row>
    <row r="2014" spans="2:33">
      <c r="B2014" s="267" t="s">
        <v>411</v>
      </c>
      <c r="C2014" s="47"/>
      <c r="D2014" s="47"/>
      <c r="E2014" s="319">
        <v>0</v>
      </c>
      <c r="F2014" s="320"/>
      <c r="G2014" s="4"/>
      <c r="H2014" s="47"/>
      <c r="I2014" s="47"/>
      <c r="J2014" s="319">
        <v>0</v>
      </c>
      <c r="K2014" s="320"/>
      <c r="L2014" s="438"/>
      <c r="M2014" s="47"/>
      <c r="N2014" s="47"/>
      <c r="O2014" s="319">
        <v>0</v>
      </c>
      <c r="P2014" s="320"/>
      <c r="Q2014" s="438"/>
      <c r="R2014" s="47"/>
      <c r="S2014" s="47"/>
      <c r="T2014" s="319">
        <v>0</v>
      </c>
      <c r="U2014" s="320"/>
      <c r="V2014" s="438"/>
      <c r="W2014" s="47"/>
      <c r="X2014" s="47"/>
      <c r="Y2014" s="319">
        <v>0</v>
      </c>
      <c r="Z2014" s="320"/>
      <c r="AA2014" s="328">
        <f t="shared" si="246"/>
        <v>0</v>
      </c>
      <c r="AB2014" s="400">
        <f t="shared" si="247"/>
        <v>0</v>
      </c>
      <c r="AC2014" s="4"/>
      <c r="AD2014" s="47"/>
      <c r="AE2014" s="47"/>
      <c r="AF2014" s="319"/>
      <c r="AG2014" s="328">
        <f t="shared" si="245"/>
        <v>0</v>
      </c>
    </row>
    <row r="2015" spans="2:33">
      <c r="B2015" s="267" t="s">
        <v>361</v>
      </c>
      <c r="C2015" s="47"/>
      <c r="D2015" s="47"/>
      <c r="E2015" s="319">
        <v>0</v>
      </c>
      <c r="F2015" s="320"/>
      <c r="G2015" s="4"/>
      <c r="H2015" s="47"/>
      <c r="I2015" s="47"/>
      <c r="J2015" s="319">
        <v>0</v>
      </c>
      <c r="K2015" s="320"/>
      <c r="L2015" s="438"/>
      <c r="M2015" s="47"/>
      <c r="N2015" s="47"/>
      <c r="O2015" s="319">
        <v>0</v>
      </c>
      <c r="P2015" s="320"/>
      <c r="Q2015" s="438"/>
      <c r="R2015" s="47"/>
      <c r="S2015" s="47"/>
      <c r="T2015" s="319">
        <v>0</v>
      </c>
      <c r="U2015" s="320"/>
      <c r="V2015" s="438"/>
      <c r="W2015" s="47"/>
      <c r="X2015" s="47"/>
      <c r="Y2015" s="319">
        <v>0</v>
      </c>
      <c r="Z2015" s="320"/>
      <c r="AA2015" s="328">
        <f t="shared" si="246"/>
        <v>0</v>
      </c>
      <c r="AB2015" s="400">
        <f t="shared" si="247"/>
        <v>0</v>
      </c>
      <c r="AC2015" s="4"/>
      <c r="AD2015" s="47"/>
      <c r="AE2015" s="47"/>
      <c r="AF2015" s="319"/>
      <c r="AG2015" s="328">
        <f t="shared" si="245"/>
        <v>0</v>
      </c>
    </row>
    <row r="2016" spans="2:33">
      <c r="B2016" s="267" t="s">
        <v>362</v>
      </c>
      <c r="C2016" s="47"/>
      <c r="D2016" s="5"/>
      <c r="E2016" s="319">
        <v>0</v>
      </c>
      <c r="F2016" s="320"/>
      <c r="G2016" s="4"/>
      <c r="H2016" s="47"/>
      <c r="I2016" s="5"/>
      <c r="J2016" s="319">
        <v>0</v>
      </c>
      <c r="K2016" s="320"/>
      <c r="L2016" s="438"/>
      <c r="M2016" s="47"/>
      <c r="N2016" s="5"/>
      <c r="O2016" s="319">
        <v>0</v>
      </c>
      <c r="P2016" s="320"/>
      <c r="Q2016" s="438"/>
      <c r="R2016" s="47"/>
      <c r="S2016" s="5"/>
      <c r="T2016" s="319">
        <v>0</v>
      </c>
      <c r="U2016" s="320"/>
      <c r="V2016" s="438"/>
      <c r="W2016" s="47"/>
      <c r="X2016" s="5"/>
      <c r="Y2016" s="319">
        <v>0</v>
      </c>
      <c r="Z2016" s="320"/>
      <c r="AA2016" s="328">
        <f t="shared" si="246"/>
        <v>0</v>
      </c>
      <c r="AB2016" s="400">
        <f t="shared" si="247"/>
        <v>0</v>
      </c>
      <c r="AC2016" s="4"/>
      <c r="AD2016" s="47"/>
      <c r="AE2016" s="47"/>
      <c r="AF2016" s="319"/>
      <c r="AG2016" s="328">
        <f t="shared" si="245"/>
        <v>0</v>
      </c>
    </row>
    <row r="2017" spans="2:42">
      <c r="B2017" s="437" t="s">
        <v>355</v>
      </c>
      <c r="C2017" s="47"/>
      <c r="D2017" s="47"/>
      <c r="E2017" s="319">
        <v>7.75</v>
      </c>
      <c r="F2017" s="320"/>
      <c r="G2017" s="4"/>
      <c r="H2017" s="47"/>
      <c r="I2017" s="47"/>
      <c r="J2017" s="319">
        <v>2.5</v>
      </c>
      <c r="K2017" s="320"/>
      <c r="L2017" s="438"/>
      <c r="M2017" s="47"/>
      <c r="N2017" s="47"/>
      <c r="O2017" s="319">
        <v>7.75</v>
      </c>
      <c r="P2017" s="320"/>
      <c r="Q2017" s="438"/>
      <c r="R2017" s="47"/>
      <c r="S2017" s="47"/>
      <c r="T2017" s="319">
        <v>0</v>
      </c>
      <c r="U2017" s="320"/>
      <c r="V2017" s="438"/>
      <c r="W2017" s="47"/>
      <c r="X2017" s="47"/>
      <c r="Y2017" s="319">
        <v>0</v>
      </c>
      <c r="Z2017" s="320"/>
      <c r="AA2017" s="328">
        <f t="shared" si="246"/>
        <v>18</v>
      </c>
      <c r="AB2017" s="400">
        <f t="shared" si="247"/>
        <v>0</v>
      </c>
      <c r="AC2017" s="4"/>
      <c r="AD2017" s="47"/>
      <c r="AE2017" s="47"/>
      <c r="AF2017" s="319"/>
      <c r="AG2017" s="328">
        <f t="shared" si="245"/>
        <v>0</v>
      </c>
    </row>
    <row r="2018" spans="2:42">
      <c r="B2018" s="437" t="s">
        <v>356</v>
      </c>
      <c r="C2018" s="713"/>
      <c r="D2018" s="713"/>
      <c r="E2018" s="319">
        <v>0</v>
      </c>
      <c r="F2018" s="320"/>
      <c r="G2018" s="438"/>
      <c r="H2018" s="5"/>
      <c r="I2018" s="5"/>
      <c r="J2018" s="319">
        <v>0</v>
      </c>
      <c r="K2018" s="320"/>
      <c r="L2018" s="438"/>
      <c r="M2018" s="5"/>
      <c r="N2018" s="5"/>
      <c r="O2018" s="319">
        <v>0</v>
      </c>
      <c r="P2018" s="320"/>
      <c r="Q2018" s="438"/>
      <c r="R2018" s="5"/>
      <c r="S2018" s="5"/>
      <c r="T2018" s="319">
        <v>0</v>
      </c>
      <c r="U2018" s="320"/>
      <c r="V2018" s="438"/>
      <c r="W2018" s="5"/>
      <c r="X2018" s="5"/>
      <c r="Y2018" s="319">
        <v>0</v>
      </c>
      <c r="Z2018" s="320"/>
      <c r="AA2018" s="328">
        <f t="shared" si="246"/>
        <v>0</v>
      </c>
      <c r="AB2018" s="400">
        <f t="shared" si="247"/>
        <v>0</v>
      </c>
      <c r="AC2018" s="4"/>
      <c r="AD2018" s="47"/>
      <c r="AE2018" s="47"/>
      <c r="AF2018" s="319"/>
      <c r="AG2018" s="328">
        <f t="shared" si="245"/>
        <v>0</v>
      </c>
    </row>
    <row r="2019" spans="2:42">
      <c r="B2019" s="31" t="s">
        <v>61</v>
      </c>
      <c r="C2019" s="31"/>
      <c r="D2019" s="31"/>
      <c r="E2019" s="439">
        <f>SUM(E1989:E2018)</f>
        <v>54.75</v>
      </c>
      <c r="F2019" s="439">
        <f>SUM(F1989:F2018)</f>
        <v>0</v>
      </c>
      <c r="G2019" s="31"/>
      <c r="H2019" s="31"/>
      <c r="I2019" s="31"/>
      <c r="J2019" s="439">
        <f>SUM(J1989:J2018)</f>
        <v>59</v>
      </c>
      <c r="K2019" s="439">
        <f>SUM(K1989:K2018)</f>
        <v>0.5</v>
      </c>
      <c r="L2019" s="31"/>
      <c r="M2019" s="31"/>
      <c r="N2019" s="31"/>
      <c r="O2019" s="439">
        <f>SUM(O1989:O2018)</f>
        <v>67.25</v>
      </c>
      <c r="P2019" s="439">
        <f>SUM(P1989:P2018)</f>
        <v>1</v>
      </c>
      <c r="Q2019" s="31"/>
      <c r="R2019" s="31"/>
      <c r="S2019" s="31"/>
      <c r="T2019" s="439">
        <f>SUM(T1989:T2018)</f>
        <v>33</v>
      </c>
      <c r="U2019" s="439">
        <f>SUM(U1989:U2018)</f>
        <v>1</v>
      </c>
      <c r="V2019" s="31"/>
      <c r="W2019" s="31"/>
      <c r="X2019" s="31"/>
      <c r="Y2019" s="439">
        <f>SUM(Y1989:Y2018)</f>
        <v>24</v>
      </c>
      <c r="Z2019" s="320"/>
      <c r="AA2019" s="328">
        <f>SUM(AA1989:AA2018)</f>
        <v>230</v>
      </c>
      <c r="AB2019" s="328">
        <f>SUM(AB1989:AB2018)</f>
        <v>10.5</v>
      </c>
      <c r="AC2019" s="4"/>
      <c r="AD2019" s="31"/>
      <c r="AE2019" s="31"/>
      <c r="AF2019" s="328">
        <f>SUM(AF1989:AF2018)</f>
        <v>0</v>
      </c>
      <c r="AG2019" s="328">
        <f>SUM(AG1989:AG2018)</f>
        <v>0</v>
      </c>
    </row>
    <row r="2020" spans="2:42">
      <c r="B2020" s="267" t="s">
        <v>1116</v>
      </c>
      <c r="C2020" s="47"/>
      <c r="D2020" s="47"/>
      <c r="E2020" s="319">
        <v>8</v>
      </c>
      <c r="F2020" s="320"/>
      <c r="G2020" s="4"/>
      <c r="H2020" s="47"/>
      <c r="I2020" s="47"/>
      <c r="J2020" s="319">
        <v>8</v>
      </c>
      <c r="K2020" s="320"/>
      <c r="L2020" s="4"/>
      <c r="M2020" s="47"/>
      <c r="N2020" s="47"/>
      <c r="O2020" s="319">
        <v>8</v>
      </c>
      <c r="P2020" s="320"/>
      <c r="R2020" s="47"/>
      <c r="S2020" s="47"/>
      <c r="T2020" s="319">
        <v>8</v>
      </c>
      <c r="U2020" s="320"/>
      <c r="W2020" s="47"/>
      <c r="X2020" s="47"/>
      <c r="Y2020" s="319">
        <v>8</v>
      </c>
      <c r="Z2020" s="320"/>
      <c r="AA2020" s="328">
        <f>(E2020+J2020+O2020+T2020+Y2020)</f>
        <v>40</v>
      </c>
      <c r="AB2020" s="400">
        <f>Z2020+U2020+P2020+K2020+F2020</f>
        <v>0</v>
      </c>
      <c r="AC2020" s="4"/>
      <c r="AD2020" s="47"/>
      <c r="AE2020" s="47"/>
      <c r="AF2020" s="319"/>
      <c r="AG2020" s="328">
        <f>AF2020</f>
        <v>0</v>
      </c>
    </row>
    <row r="2021" spans="2:42">
      <c r="B2021" s="267" t="s">
        <v>64</v>
      </c>
      <c r="C2021" s="47"/>
      <c r="D2021" s="47"/>
      <c r="E2021" s="319">
        <v>0</v>
      </c>
      <c r="F2021" s="319"/>
      <c r="G2021" s="71"/>
      <c r="H2021" s="47"/>
      <c r="I2021" s="47"/>
      <c r="J2021" s="319">
        <v>0</v>
      </c>
      <c r="K2021" s="319"/>
      <c r="L2021" s="438"/>
      <c r="M2021" s="47"/>
      <c r="N2021" s="47"/>
      <c r="O2021" s="319">
        <v>0</v>
      </c>
      <c r="P2021" s="319"/>
      <c r="Q2021" s="438"/>
      <c r="R2021" s="47"/>
      <c r="S2021" s="47"/>
      <c r="T2021" s="319">
        <v>0</v>
      </c>
      <c r="U2021" s="319"/>
      <c r="V2021" s="438"/>
      <c r="W2021" s="47"/>
      <c r="X2021" s="47"/>
      <c r="Y2021" s="319">
        <v>0</v>
      </c>
      <c r="Z2021" s="319"/>
      <c r="AA2021" s="328">
        <f>SUM(E2021+J2021+O2021+T2021+Y2021)</f>
        <v>0</v>
      </c>
      <c r="AB2021" s="897">
        <f>Z2021+U2021+P2021+K2021+F2021</f>
        <v>0</v>
      </c>
      <c r="AC2021" s="4"/>
      <c r="AD2021" s="47" t="s">
        <v>29</v>
      </c>
      <c r="AE2021" s="47" t="s">
        <v>29</v>
      </c>
      <c r="AF2021" s="319"/>
      <c r="AG2021" s="328">
        <f>AF2021</f>
        <v>0</v>
      </c>
    </row>
    <row r="2022" spans="2:42">
      <c r="B2022" s="71" t="s">
        <v>66</v>
      </c>
      <c r="C2022" s="1210"/>
      <c r="D2022" s="1210"/>
      <c r="E2022" s="1208"/>
      <c r="F2022" s="71"/>
      <c r="G2022" s="71"/>
      <c r="H2022" s="71"/>
      <c r="I2022" s="71"/>
      <c r="J2022" s="71"/>
      <c r="K2022" s="71"/>
      <c r="L2022" s="71"/>
      <c r="M2022" s="71"/>
      <c r="N2022" s="71"/>
      <c r="O2022" s="71"/>
      <c r="P2022" s="71"/>
      <c r="Q2022" s="71"/>
      <c r="R2022" s="71"/>
      <c r="S2022" s="71"/>
      <c r="T2022" s="71"/>
      <c r="U2022" s="71"/>
      <c r="V2022" s="71"/>
      <c r="W2022" s="71"/>
      <c r="X2022" s="71"/>
      <c r="Y2022" s="71"/>
      <c r="Z2022" s="71"/>
      <c r="AA2022" s="328">
        <f>SUM(AA2020:AA2021)</f>
        <v>40</v>
      </c>
      <c r="AB2022" s="328">
        <f>SUM(AB2021:AB2021)</f>
        <v>0</v>
      </c>
      <c r="AC2022" s="4"/>
      <c r="AG2022" s="328">
        <f>SUM(AG2021:AG2021)</f>
        <v>0</v>
      </c>
      <c r="AK2022" s="407"/>
    </row>
    <row r="2023" spans="2:42" s="1387" customFormat="1">
      <c r="B2023" s="1382" t="s">
        <v>67</v>
      </c>
      <c r="C2023" s="1383">
        <f>C2024+C2025</f>
        <v>22</v>
      </c>
      <c r="D2023" s="1383"/>
      <c r="E2023" s="534"/>
      <c r="F2023" s="534"/>
      <c r="G2023" s="1383"/>
      <c r="H2023" s="534"/>
      <c r="I2023" s="534"/>
      <c r="J2023" s="534"/>
      <c r="K2023" s="534"/>
      <c r="L2023" s="1383"/>
      <c r="M2023" s="1383"/>
      <c r="N2023" s="1383"/>
      <c r="O2023" s="1383"/>
      <c r="P2023" s="534"/>
      <c r="Q2023" s="1383"/>
      <c r="R2023" s="1383"/>
      <c r="S2023" s="1383"/>
      <c r="T2023" s="1383"/>
      <c r="U2023" s="534"/>
      <c r="V2023" s="1383"/>
      <c r="W2023" s="1383"/>
      <c r="X2023" s="1383"/>
      <c r="Y2023" s="1384"/>
      <c r="Z2023" s="534"/>
      <c r="AA2023" s="1385"/>
      <c r="AB2023" s="534"/>
      <c r="AC2023" s="1385"/>
      <c r="AD2023" s="1385"/>
      <c r="AE2023" s="1385"/>
      <c r="AF2023" s="1385"/>
      <c r="AG2023" s="1385"/>
      <c r="AH2023" s="1386"/>
      <c r="AK2023" s="1388"/>
    </row>
    <row r="2024" spans="2:42" s="1387" customFormat="1">
      <c r="B2024" s="1389" t="s">
        <v>68</v>
      </c>
      <c r="C2024" s="1383">
        <v>0</v>
      </c>
      <c r="D2024" s="1383"/>
      <c r="E2024" s="534"/>
      <c r="F2024" s="534"/>
      <c r="G2024" s="1383"/>
      <c r="H2024" s="534"/>
      <c r="I2024" s="534"/>
      <c r="J2024" s="534"/>
      <c r="K2024" s="534"/>
      <c r="L2024" s="1383"/>
      <c r="M2024" s="1383"/>
      <c r="N2024" s="1383"/>
      <c r="O2024" s="1383"/>
      <c r="P2024" s="534"/>
      <c r="Q2024" s="1383"/>
      <c r="R2024" s="1383"/>
      <c r="S2024" s="1383"/>
      <c r="T2024" s="1383"/>
      <c r="U2024" s="534"/>
      <c r="V2024" s="1383"/>
      <c r="W2024" s="1383"/>
      <c r="X2024" s="1383"/>
      <c r="Y2024" s="1384"/>
      <c r="Z2024" s="534"/>
      <c r="AA2024" s="1385"/>
      <c r="AB2024" s="534"/>
      <c r="AC2024" s="1385"/>
      <c r="AD2024" s="1385"/>
      <c r="AE2024" s="1385"/>
      <c r="AF2024" s="1385"/>
      <c r="AG2024" s="1385"/>
      <c r="AH2024" s="1386"/>
      <c r="AK2024" s="1388"/>
    </row>
    <row r="2025" spans="2:42" s="1387" customFormat="1">
      <c r="B2025" s="1389" t="s">
        <v>69</v>
      </c>
      <c r="C2025" s="1383">
        <v>22</v>
      </c>
      <c r="D2025" s="1383"/>
      <c r="E2025" s="534"/>
      <c r="F2025" s="534"/>
      <c r="G2025" s="1383"/>
      <c r="H2025" s="534"/>
      <c r="I2025" s="534"/>
      <c r="J2025" s="534"/>
      <c r="K2025" s="534"/>
      <c r="L2025" s="1383"/>
      <c r="M2025" s="1383"/>
      <c r="N2025" s="1383"/>
      <c r="O2025" s="1383"/>
      <c r="P2025" s="534"/>
      <c r="Q2025" s="1383"/>
      <c r="R2025" s="1383"/>
      <c r="S2025" s="1383"/>
      <c r="T2025" s="1383"/>
      <c r="U2025" s="534"/>
      <c r="V2025" s="1383"/>
      <c r="W2025" s="1383"/>
      <c r="X2025" s="1383"/>
      <c r="Y2025" s="1384"/>
      <c r="Z2025" s="534"/>
      <c r="AA2025" s="1385"/>
      <c r="AB2025" s="534"/>
      <c r="AC2025" s="1385"/>
      <c r="AD2025" s="1385"/>
      <c r="AE2025" s="1385"/>
      <c r="AF2025" s="1385"/>
      <c r="AG2025" s="1385"/>
      <c r="AH2025" s="1386"/>
    </row>
    <row r="2028" spans="2:42" ht="25.5">
      <c r="B2028" s="1571"/>
      <c r="C2028" s="1570">
        <v>46104</v>
      </c>
      <c r="D2028" s="1570"/>
      <c r="E2028" s="1570" t="s">
        <v>564</v>
      </c>
      <c r="F2028" s="1570"/>
      <c r="G2028" s="894"/>
      <c r="H2028" s="1570">
        <v>46105</v>
      </c>
      <c r="I2028" s="1570"/>
      <c r="J2028" s="1570" t="s">
        <v>565</v>
      </c>
      <c r="K2028" s="1570"/>
      <c r="L2028" s="894"/>
      <c r="M2028" s="1570">
        <v>46106</v>
      </c>
      <c r="N2028" s="1570"/>
      <c r="O2028" s="1570" t="s">
        <v>566</v>
      </c>
      <c r="P2028" s="1570"/>
      <c r="Q2028" s="894"/>
      <c r="R2028" s="1570">
        <v>46107</v>
      </c>
      <c r="S2028" s="1570"/>
      <c r="T2028" s="1570" t="s">
        <v>567</v>
      </c>
      <c r="U2028" s="1570"/>
      <c r="V2028" s="894"/>
      <c r="W2028" s="1570">
        <v>46108</v>
      </c>
      <c r="X2028" s="1570"/>
      <c r="Y2028" s="1570" t="s">
        <v>568</v>
      </c>
      <c r="Z2028" s="1570"/>
      <c r="AA2028" s="1569" t="s">
        <v>19</v>
      </c>
      <c r="AB2028" s="1569" t="s">
        <v>20</v>
      </c>
      <c r="AC2028" s="4"/>
      <c r="AD2028" s="1570"/>
      <c r="AE2028" s="1570"/>
      <c r="AF2028" s="895" t="s">
        <v>1111</v>
      </c>
      <c r="AG2028" s="1569" t="s">
        <v>21</v>
      </c>
      <c r="AK2028" s="194" t="s">
        <v>84</v>
      </c>
      <c r="AL2028" s="366"/>
      <c r="AM2028" s="366"/>
      <c r="AN2028" s="366"/>
      <c r="AO2028" s="366"/>
      <c r="AP2028" s="366"/>
    </row>
    <row r="2029" spans="2:42">
      <c r="B2029" s="1571"/>
      <c r="C2029" s="896" t="s">
        <v>23</v>
      </c>
      <c r="D2029" s="896" t="s">
        <v>24</v>
      </c>
      <c r="E2029" s="897" t="s">
        <v>25</v>
      </c>
      <c r="F2029" s="898" t="s">
        <v>14</v>
      </c>
      <c r="G2029" s="4"/>
      <c r="H2029" s="896" t="s">
        <v>23</v>
      </c>
      <c r="I2029" s="896" t="s">
        <v>24</v>
      </c>
      <c r="J2029" s="898" t="s">
        <v>25</v>
      </c>
      <c r="K2029" s="898" t="s">
        <v>14</v>
      </c>
      <c r="L2029" s="4"/>
      <c r="M2029" s="896" t="s">
        <v>23</v>
      </c>
      <c r="N2029" s="896" t="s">
        <v>24</v>
      </c>
      <c r="O2029" s="898" t="s">
        <v>25</v>
      </c>
      <c r="P2029" s="898" t="s">
        <v>14</v>
      </c>
      <c r="R2029" s="896" t="s">
        <v>23</v>
      </c>
      <c r="S2029" s="896" t="s">
        <v>24</v>
      </c>
      <c r="T2029" s="898" t="s">
        <v>25</v>
      </c>
      <c r="U2029" s="898" t="s">
        <v>14</v>
      </c>
      <c r="W2029" s="896" t="s">
        <v>23</v>
      </c>
      <c r="X2029" s="896" t="s">
        <v>24</v>
      </c>
      <c r="Y2029" s="898" t="s">
        <v>25</v>
      </c>
      <c r="Z2029" s="898" t="s">
        <v>14</v>
      </c>
      <c r="AA2029" s="1569"/>
      <c r="AB2029" s="1569"/>
      <c r="AC2029" s="4"/>
      <c r="AD2029" s="896" t="s">
        <v>23</v>
      </c>
      <c r="AE2029" s="896" t="s">
        <v>24</v>
      </c>
      <c r="AF2029" s="898" t="s">
        <v>25</v>
      </c>
      <c r="AG2029" s="1569"/>
      <c r="AK2029" s="188" t="s">
        <v>26</v>
      </c>
      <c r="AL2029" s="196">
        <f>AA2056</f>
        <v>270.25</v>
      </c>
      <c r="AM2029" s="510">
        <v>40.31</v>
      </c>
      <c r="AN2029" s="510">
        <f t="shared" ref="AN2029:AN2034" si="248">AL2029*AM2029</f>
        <v>10893.7775</v>
      </c>
    </row>
    <row r="2030" spans="2:42">
      <c r="B2030" s="47" t="s">
        <v>1166</v>
      </c>
      <c r="C2030" s="47">
        <v>0.33333333333333331</v>
      </c>
      <c r="D2030" s="47">
        <v>0.20833333333333334</v>
      </c>
      <c r="E2030" s="319">
        <v>8</v>
      </c>
      <c r="F2030" s="320"/>
      <c r="G2030" s="4"/>
      <c r="H2030" s="47">
        <v>0.33333333333333331</v>
      </c>
      <c r="I2030" s="47">
        <v>0.20833333333333334</v>
      </c>
      <c r="J2030" s="319">
        <v>8</v>
      </c>
      <c r="K2030" s="320"/>
      <c r="L2030" s="4"/>
      <c r="M2030" s="47">
        <v>0.375</v>
      </c>
      <c r="N2030" s="47">
        <v>0.25</v>
      </c>
      <c r="O2030" s="319">
        <v>8</v>
      </c>
      <c r="P2030" s="320"/>
      <c r="R2030" s="47">
        <v>0.33333333333333331</v>
      </c>
      <c r="S2030" s="47">
        <v>0.20833333333333334</v>
      </c>
      <c r="T2030" s="319">
        <v>8</v>
      </c>
      <c r="U2030" s="320"/>
      <c r="W2030" s="47">
        <v>0.33333333333333331</v>
      </c>
      <c r="X2030" s="47">
        <v>0.20833333333333334</v>
      </c>
      <c r="Y2030" s="319">
        <v>8</v>
      </c>
      <c r="Z2030" s="320"/>
      <c r="AA2030" s="328">
        <f t="shared" ref="AA2030:AA2055" si="249">(E2030+J2030+O2030+T2030+Y2030)</f>
        <v>40</v>
      </c>
      <c r="AB2030" s="400">
        <f t="shared" ref="AB2030:AB2055" si="250">Z2030+U2030+P2030+K2030+F2030</f>
        <v>0</v>
      </c>
      <c r="AC2030" s="4"/>
      <c r="AF2030" s="319"/>
      <c r="AG2030" s="328">
        <f t="shared" ref="AG2030:AG2055" si="251">AF2030</f>
        <v>0</v>
      </c>
      <c r="AK2030" s="188" t="s">
        <v>30</v>
      </c>
      <c r="AL2030" s="196">
        <f>AB2056</f>
        <v>0</v>
      </c>
      <c r="AM2030" s="510">
        <v>60.465000000000003</v>
      </c>
      <c r="AN2030" s="510">
        <f t="shared" si="248"/>
        <v>0</v>
      </c>
    </row>
    <row r="2031" spans="2:42">
      <c r="B2031" s="47" t="s">
        <v>1112</v>
      </c>
      <c r="C2031" s="47">
        <v>0.33333333333333331</v>
      </c>
      <c r="D2031" s="47">
        <v>4.1666666666666664E-2</v>
      </c>
      <c r="E2031" s="319">
        <v>5</v>
      </c>
      <c r="F2031" s="320"/>
      <c r="G2031" s="4"/>
      <c r="H2031" s="47">
        <v>0.33333333333333331</v>
      </c>
      <c r="I2031" s="47">
        <v>4.1666666666666664E-2</v>
      </c>
      <c r="J2031" s="319">
        <v>5</v>
      </c>
      <c r="K2031" s="320"/>
      <c r="L2031" s="4"/>
      <c r="M2031" s="47">
        <v>0.33333333333333331</v>
      </c>
      <c r="N2031" s="47">
        <v>0.5</v>
      </c>
      <c r="O2031" s="319">
        <v>4</v>
      </c>
      <c r="P2031" s="320"/>
      <c r="R2031" s="47"/>
      <c r="S2031" s="47"/>
      <c r="T2031" s="319">
        <v>0</v>
      </c>
      <c r="U2031" s="320"/>
      <c r="W2031" s="47"/>
      <c r="X2031" s="47"/>
      <c r="Y2031" s="319">
        <v>0</v>
      </c>
      <c r="Z2031" s="320"/>
      <c r="AA2031" s="328">
        <f t="shared" si="249"/>
        <v>14</v>
      </c>
      <c r="AB2031" s="400">
        <f t="shared" si="250"/>
        <v>0</v>
      </c>
      <c r="AC2031" s="4"/>
      <c r="AD2031" s="47"/>
      <c r="AE2031" s="47"/>
      <c r="AF2031" s="319"/>
      <c r="AG2031" s="328">
        <f t="shared" si="251"/>
        <v>0</v>
      </c>
      <c r="AK2031" s="188" t="s">
        <v>32</v>
      </c>
      <c r="AL2031" s="196">
        <f>AG2056</f>
        <v>0</v>
      </c>
      <c r="AM2031" s="510">
        <v>60.465000000000003</v>
      </c>
      <c r="AN2031" s="510">
        <f t="shared" si="248"/>
        <v>0</v>
      </c>
    </row>
    <row r="2032" spans="2:42">
      <c r="B2032" s="47" t="s">
        <v>1141</v>
      </c>
      <c r="C2032" s="47"/>
      <c r="D2032" s="47"/>
      <c r="E2032" s="319">
        <v>0</v>
      </c>
      <c r="F2032" s="320"/>
      <c r="G2032" s="4"/>
      <c r="H2032" s="47"/>
      <c r="I2032" s="47"/>
      <c r="J2032" s="319">
        <v>0</v>
      </c>
      <c r="K2032" s="320"/>
      <c r="L2032" s="4"/>
      <c r="M2032" s="47"/>
      <c r="N2032" s="47"/>
      <c r="O2032" s="319">
        <v>0</v>
      </c>
      <c r="P2032" s="320"/>
      <c r="R2032" s="47"/>
      <c r="S2032" s="47"/>
      <c r="T2032" s="319">
        <v>0</v>
      </c>
      <c r="U2032" s="320"/>
      <c r="W2032" s="47"/>
      <c r="X2032" s="47"/>
      <c r="Y2032" s="319">
        <v>0</v>
      </c>
      <c r="Z2032" s="320"/>
      <c r="AA2032" s="328">
        <f t="shared" si="249"/>
        <v>0</v>
      </c>
      <c r="AB2032" s="400">
        <f t="shared" si="250"/>
        <v>0</v>
      </c>
      <c r="AC2032" s="4"/>
      <c r="AD2032" s="47"/>
      <c r="AE2032" s="47"/>
      <c r="AF2032" s="319"/>
      <c r="AG2032" s="328">
        <f t="shared" si="251"/>
        <v>0</v>
      </c>
      <c r="AK2032" s="188" t="s">
        <v>213</v>
      </c>
      <c r="AL2032" s="196">
        <f>AA2059</f>
        <v>40</v>
      </c>
      <c r="AM2032" s="510">
        <v>53.05</v>
      </c>
      <c r="AN2032" s="510">
        <f t="shared" si="248"/>
        <v>2122</v>
      </c>
    </row>
    <row r="2033" spans="2:40">
      <c r="B2033" s="47" t="s">
        <v>72</v>
      </c>
      <c r="C2033" s="47"/>
      <c r="D2033" s="47"/>
      <c r="E2033" s="319">
        <v>0</v>
      </c>
      <c r="F2033" s="320"/>
      <c r="G2033" s="4"/>
      <c r="H2033" s="47"/>
      <c r="I2033" s="47"/>
      <c r="J2033" s="319">
        <v>0</v>
      </c>
      <c r="K2033" s="320"/>
      <c r="L2033" s="4"/>
      <c r="M2033" s="47"/>
      <c r="N2033" s="47"/>
      <c r="O2033" s="319">
        <v>0</v>
      </c>
      <c r="P2033" s="320"/>
      <c r="R2033" s="47"/>
      <c r="S2033" s="47"/>
      <c r="T2033" s="319">
        <v>0</v>
      </c>
      <c r="U2033" s="320"/>
      <c r="W2033" s="47"/>
      <c r="X2033" s="47"/>
      <c r="Y2033" s="319">
        <v>0</v>
      </c>
      <c r="Z2033" s="320"/>
      <c r="AA2033" s="328">
        <f t="shared" si="249"/>
        <v>0</v>
      </c>
      <c r="AB2033" s="400">
        <f t="shared" si="250"/>
        <v>0</v>
      </c>
      <c r="AC2033" s="4"/>
      <c r="AD2033" s="47"/>
      <c r="AE2033" s="47"/>
      <c r="AF2033" s="319"/>
      <c r="AG2033" s="328">
        <f t="shared" si="251"/>
        <v>0</v>
      </c>
      <c r="AK2033" s="188" t="s">
        <v>36</v>
      </c>
      <c r="AL2033" s="196">
        <f>AB2059</f>
        <v>0</v>
      </c>
      <c r="AM2033" s="510">
        <v>79.574999999999989</v>
      </c>
      <c r="AN2033" s="510">
        <f t="shared" si="248"/>
        <v>0</v>
      </c>
    </row>
    <row r="2034" spans="2:40">
      <c r="B2034" s="374" t="s">
        <v>998</v>
      </c>
      <c r="C2034" s="47">
        <v>0.33333333333333331</v>
      </c>
      <c r="D2034" s="47">
        <v>0.20833333333333334</v>
      </c>
      <c r="E2034" s="319">
        <v>8</v>
      </c>
      <c r="F2034" s="320"/>
      <c r="G2034" s="4"/>
      <c r="H2034" s="47">
        <v>0.33333333333333331</v>
      </c>
      <c r="I2034" s="47">
        <v>0.20833333333333334</v>
      </c>
      <c r="J2034" s="319">
        <v>8</v>
      </c>
      <c r="K2034" s="320"/>
      <c r="L2034" s="4"/>
      <c r="M2034" s="47">
        <v>0.375</v>
      </c>
      <c r="N2034" s="47">
        <v>0.25</v>
      </c>
      <c r="O2034" s="319">
        <v>8</v>
      </c>
      <c r="P2034" s="320"/>
      <c r="R2034" s="47">
        <v>0.375</v>
      </c>
      <c r="S2034" s="47">
        <v>0.25</v>
      </c>
      <c r="T2034" s="319">
        <v>8</v>
      </c>
      <c r="U2034" s="320"/>
      <c r="W2034" s="47">
        <v>0.33333333333333331</v>
      </c>
      <c r="X2034" s="47">
        <v>0.20833333333333334</v>
      </c>
      <c r="Y2034" s="319">
        <v>8</v>
      </c>
      <c r="Z2034" s="320"/>
      <c r="AA2034" s="328">
        <f t="shared" si="249"/>
        <v>40</v>
      </c>
      <c r="AB2034" s="400">
        <f t="shared" si="250"/>
        <v>0</v>
      </c>
      <c r="AC2034" s="4"/>
      <c r="AD2034" s="47"/>
      <c r="AE2034" s="47"/>
      <c r="AF2034" s="319"/>
      <c r="AG2034" s="328">
        <f t="shared" si="251"/>
        <v>0</v>
      </c>
      <c r="AK2034" s="188" t="s">
        <v>38</v>
      </c>
      <c r="AL2034" s="196">
        <f>AG2059</f>
        <v>0</v>
      </c>
      <c r="AM2034" s="510">
        <v>79.574999999999989</v>
      </c>
      <c r="AN2034" s="510">
        <f t="shared" si="248"/>
        <v>0</v>
      </c>
    </row>
    <row r="2035" spans="2:40">
      <c r="B2035" s="47" t="s">
        <v>53</v>
      </c>
      <c r="C2035" s="47"/>
      <c r="D2035" s="47"/>
      <c r="E2035" s="319">
        <v>0</v>
      </c>
      <c r="F2035" s="320"/>
      <c r="G2035" s="4"/>
      <c r="H2035" s="47"/>
      <c r="I2035" s="47"/>
      <c r="J2035" s="319">
        <v>0</v>
      </c>
      <c r="K2035" s="320"/>
      <c r="L2035" s="4"/>
      <c r="M2035" s="47"/>
      <c r="N2035" s="47"/>
      <c r="O2035" s="319">
        <v>0</v>
      </c>
      <c r="P2035" s="320"/>
      <c r="R2035" s="47"/>
      <c r="S2035" s="47"/>
      <c r="T2035" s="319">
        <v>0</v>
      </c>
      <c r="U2035" s="320"/>
      <c r="W2035" s="47"/>
      <c r="X2035" s="47"/>
      <c r="Y2035" s="319">
        <v>0</v>
      </c>
      <c r="Z2035" s="320"/>
      <c r="AA2035" s="328">
        <f t="shared" si="249"/>
        <v>0</v>
      </c>
      <c r="AB2035" s="400">
        <f t="shared" si="250"/>
        <v>0</v>
      </c>
      <c r="AC2035" s="4"/>
      <c r="AD2035" s="47"/>
      <c r="AE2035" s="47"/>
      <c r="AF2035" s="319"/>
      <c r="AG2035" s="328">
        <f t="shared" si="251"/>
        <v>0</v>
      </c>
      <c r="AN2035" s="510">
        <f>SUM(AN2029:AN2034)</f>
        <v>13015.7775</v>
      </c>
    </row>
    <row r="2036" spans="2:40">
      <c r="B2036" s="47" t="s">
        <v>241</v>
      </c>
      <c r="C2036" s="47"/>
      <c r="D2036" s="47"/>
      <c r="E2036" s="319">
        <v>0</v>
      </c>
      <c r="F2036" s="320"/>
      <c r="G2036" s="4"/>
      <c r="H2036" s="47"/>
      <c r="I2036" s="47"/>
      <c r="J2036" s="319">
        <v>0</v>
      </c>
      <c r="K2036" s="320"/>
      <c r="L2036" s="4"/>
      <c r="M2036" s="47"/>
      <c r="N2036" s="47"/>
      <c r="O2036" s="319">
        <v>0</v>
      </c>
      <c r="P2036" s="320"/>
      <c r="R2036" s="47"/>
      <c r="S2036" s="47"/>
      <c r="T2036" s="319">
        <v>0</v>
      </c>
      <c r="U2036" s="320"/>
      <c r="W2036" s="47"/>
      <c r="X2036" s="47"/>
      <c r="Y2036" s="319">
        <v>0</v>
      </c>
      <c r="Z2036" s="320"/>
      <c r="AA2036" s="328">
        <f t="shared" si="249"/>
        <v>0</v>
      </c>
      <c r="AB2036" s="400">
        <f t="shared" si="250"/>
        <v>0</v>
      </c>
      <c r="AC2036" s="4"/>
      <c r="AD2036" s="47"/>
      <c r="AE2036" s="47"/>
      <c r="AF2036" s="319"/>
      <c r="AG2036" s="328">
        <f t="shared" si="251"/>
        <v>0</v>
      </c>
    </row>
    <row r="2037" spans="2:40">
      <c r="B2037" s="47" t="s">
        <v>1142</v>
      </c>
      <c r="C2037" s="47"/>
      <c r="D2037" s="441"/>
      <c r="E2037" s="319">
        <v>0</v>
      </c>
      <c r="F2037" s="320"/>
      <c r="G2037" s="4"/>
      <c r="H2037" s="47"/>
      <c r="I2037" s="47"/>
      <c r="J2037" s="319">
        <v>0</v>
      </c>
      <c r="K2037" s="320"/>
      <c r="L2037" s="4"/>
      <c r="M2037" s="47"/>
      <c r="N2037" s="47"/>
      <c r="O2037" s="319">
        <v>0</v>
      </c>
      <c r="P2037" s="320"/>
      <c r="R2037" s="47"/>
      <c r="S2037" s="47"/>
      <c r="T2037" s="319">
        <v>0</v>
      </c>
      <c r="U2037" s="320"/>
      <c r="W2037" s="47"/>
      <c r="X2037" s="47"/>
      <c r="Y2037" s="319">
        <v>0</v>
      </c>
      <c r="Z2037" s="320"/>
      <c r="AA2037" s="328">
        <f t="shared" si="249"/>
        <v>0</v>
      </c>
      <c r="AB2037" s="400">
        <f t="shared" si="250"/>
        <v>0</v>
      </c>
      <c r="AC2037" s="4"/>
      <c r="AD2037" s="47"/>
      <c r="AE2037" s="47"/>
      <c r="AF2037" s="319"/>
      <c r="AG2037" s="328">
        <f t="shared" si="251"/>
        <v>0</v>
      </c>
      <c r="AK2037" s="192" t="s">
        <v>1115</v>
      </c>
      <c r="AL2037" s="1395">
        <v>25</v>
      </c>
      <c r="AM2037" s="510">
        <v>47.74</v>
      </c>
      <c r="AN2037" s="510">
        <f>AM2037*AL2037</f>
        <v>1193.5</v>
      </c>
    </row>
    <row r="2038" spans="2:40">
      <c r="B2038" s="47" t="s">
        <v>1143</v>
      </c>
      <c r="C2038" s="47"/>
      <c r="D2038" s="441"/>
      <c r="E2038" s="319">
        <v>0</v>
      </c>
      <c r="F2038" s="320"/>
      <c r="G2038" s="4"/>
      <c r="H2038" s="47"/>
      <c r="I2038" s="47"/>
      <c r="J2038" s="319">
        <v>0</v>
      </c>
      <c r="K2038" s="320"/>
      <c r="L2038" s="4"/>
      <c r="M2038" s="47"/>
      <c r="N2038" s="47"/>
      <c r="O2038" s="319">
        <v>0</v>
      </c>
      <c r="P2038" s="320"/>
      <c r="R2038" s="47"/>
      <c r="S2038" s="47"/>
      <c r="T2038" s="319">
        <v>0</v>
      </c>
      <c r="U2038" s="320"/>
      <c r="W2038" s="47"/>
      <c r="X2038" s="47"/>
      <c r="Y2038" s="319">
        <v>0</v>
      </c>
      <c r="Z2038" s="320"/>
      <c r="AA2038" s="328">
        <f t="shared" si="249"/>
        <v>0</v>
      </c>
      <c r="AB2038" s="400">
        <f t="shared" si="250"/>
        <v>0</v>
      </c>
      <c r="AC2038" s="4"/>
      <c r="AD2038" s="47"/>
      <c r="AE2038" s="47"/>
      <c r="AF2038" s="319"/>
      <c r="AG2038" s="328">
        <f t="shared" si="251"/>
        <v>0</v>
      </c>
      <c r="AK2038" s="192"/>
      <c r="AL2038" s="189"/>
      <c r="AM2038" s="510"/>
      <c r="AN2038" s="510"/>
    </row>
    <row r="2039" spans="2:40">
      <c r="B2039" s="47" t="s">
        <v>1144</v>
      </c>
      <c r="C2039" s="47"/>
      <c r="D2039" s="441"/>
      <c r="E2039" s="319">
        <v>0</v>
      </c>
      <c r="F2039" s="320"/>
      <c r="G2039" s="4"/>
      <c r="H2039" s="47"/>
      <c r="I2039" s="47"/>
      <c r="J2039" s="319">
        <v>0</v>
      </c>
      <c r="K2039" s="320"/>
      <c r="L2039" s="4"/>
      <c r="M2039" s="47"/>
      <c r="N2039" s="47"/>
      <c r="O2039" s="319">
        <v>0</v>
      </c>
      <c r="P2039" s="320"/>
      <c r="R2039" s="47"/>
      <c r="S2039" s="47"/>
      <c r="T2039" s="319">
        <v>0</v>
      </c>
      <c r="U2039" s="320"/>
      <c r="W2039" s="47"/>
      <c r="X2039" s="47"/>
      <c r="Y2039" s="319">
        <v>0</v>
      </c>
      <c r="Z2039" s="320"/>
      <c r="AA2039" s="328">
        <f t="shared" si="249"/>
        <v>0</v>
      </c>
      <c r="AB2039" s="400">
        <f t="shared" si="250"/>
        <v>0</v>
      </c>
      <c r="AC2039" s="4"/>
      <c r="AD2039" s="47"/>
      <c r="AE2039" s="47"/>
      <c r="AF2039" s="319"/>
      <c r="AG2039" s="328">
        <f t="shared" si="251"/>
        <v>0</v>
      </c>
      <c r="AK2039" s="192"/>
      <c r="AL2039" s="189"/>
      <c r="AM2039" s="510"/>
      <c r="AN2039" s="510"/>
    </row>
    <row r="2040" spans="2:40">
      <c r="B2040" s="47" t="s">
        <v>1113</v>
      </c>
      <c r="C2040" s="47"/>
      <c r="D2040" s="47"/>
      <c r="E2040" s="319">
        <v>0</v>
      </c>
      <c r="F2040" s="320"/>
      <c r="G2040" s="4"/>
      <c r="H2040" s="47"/>
      <c r="I2040" s="47"/>
      <c r="J2040" s="319">
        <v>0</v>
      </c>
      <c r="K2040" s="320"/>
      <c r="L2040" s="4"/>
      <c r="M2040" s="47"/>
      <c r="N2040" s="47"/>
      <c r="O2040" s="319">
        <v>0</v>
      </c>
      <c r="P2040" s="320"/>
      <c r="R2040" s="47"/>
      <c r="S2040" s="47"/>
      <c r="T2040" s="319">
        <v>0</v>
      </c>
      <c r="U2040" s="320"/>
      <c r="W2040" s="47"/>
      <c r="X2040" s="47"/>
      <c r="Y2040" s="319">
        <v>0</v>
      </c>
      <c r="Z2040" s="320"/>
      <c r="AA2040" s="328">
        <f t="shared" si="249"/>
        <v>0</v>
      </c>
      <c r="AB2040" s="400">
        <f t="shared" si="250"/>
        <v>0</v>
      </c>
      <c r="AC2040" s="4"/>
      <c r="AD2040" s="47"/>
      <c r="AE2040" s="47"/>
      <c r="AF2040" s="319"/>
      <c r="AG2040" s="328">
        <f t="shared" si="251"/>
        <v>0</v>
      </c>
    </row>
    <row r="2041" spans="2:40">
      <c r="B2041" s="1306" t="s">
        <v>1155</v>
      </c>
      <c r="C2041" s="47">
        <v>0.375</v>
      </c>
      <c r="D2041" s="47">
        <v>0.25</v>
      </c>
      <c r="E2041" s="319">
        <v>8</v>
      </c>
      <c r="F2041" s="320"/>
      <c r="G2041" s="4"/>
      <c r="H2041" s="47">
        <v>0.33333333333333331</v>
      </c>
      <c r="I2041" s="47">
        <v>0.20833333333333334</v>
      </c>
      <c r="J2041" s="319">
        <v>8</v>
      </c>
      <c r="K2041" s="320"/>
      <c r="L2041" s="4"/>
      <c r="M2041" s="47">
        <v>0.375</v>
      </c>
      <c r="N2041" s="47">
        <v>0.25</v>
      </c>
      <c r="O2041" s="319">
        <v>8</v>
      </c>
      <c r="P2041" s="320"/>
      <c r="R2041" s="47">
        <v>0.375</v>
      </c>
      <c r="S2041" s="47">
        <v>0.25</v>
      </c>
      <c r="T2041" s="319">
        <v>8</v>
      </c>
      <c r="U2041" s="320"/>
      <c r="W2041" s="47">
        <v>0.33333333333333331</v>
      </c>
      <c r="X2041" s="47">
        <v>0.20833333333333334</v>
      </c>
      <c r="Y2041" s="319">
        <v>8</v>
      </c>
      <c r="Z2041" s="320"/>
      <c r="AA2041" s="328">
        <f t="shared" si="249"/>
        <v>40</v>
      </c>
      <c r="AB2041" s="400">
        <f t="shared" si="250"/>
        <v>0</v>
      </c>
      <c r="AC2041" s="4"/>
      <c r="AD2041" s="47"/>
      <c r="AE2041" s="47"/>
      <c r="AF2041" s="319"/>
      <c r="AG2041" s="328">
        <f t="shared" si="251"/>
        <v>0</v>
      </c>
    </row>
    <row r="2042" spans="2:40">
      <c r="B2042" s="1306" t="s">
        <v>1160</v>
      </c>
      <c r="C2042" s="47">
        <v>0.33333333333333331</v>
      </c>
      <c r="D2042" s="47">
        <v>0.20833333333333334</v>
      </c>
      <c r="E2042" s="319">
        <v>8</v>
      </c>
      <c r="F2042" s="320"/>
      <c r="G2042" s="4"/>
      <c r="H2042" s="47">
        <v>0.33333333333333331</v>
      </c>
      <c r="I2042" s="47">
        <v>0.20833333333333334</v>
      </c>
      <c r="J2042" s="319">
        <v>8</v>
      </c>
      <c r="K2042" s="320"/>
      <c r="L2042" s="4"/>
      <c r="M2042" s="47">
        <v>0.375</v>
      </c>
      <c r="N2042" s="47">
        <v>0.25</v>
      </c>
      <c r="O2042" s="319">
        <v>8</v>
      </c>
      <c r="P2042" s="320"/>
      <c r="R2042" s="47">
        <v>0.375</v>
      </c>
      <c r="S2042" s="47">
        <v>0.25</v>
      </c>
      <c r="T2042" s="319">
        <v>8</v>
      </c>
      <c r="U2042" s="320"/>
      <c r="W2042" s="47">
        <v>0.33333333333333331</v>
      </c>
      <c r="X2042" s="47">
        <v>0.20833333333333334</v>
      </c>
      <c r="Y2042" s="319">
        <v>8</v>
      </c>
      <c r="Z2042" s="320"/>
      <c r="AA2042" s="328">
        <f t="shared" si="249"/>
        <v>40</v>
      </c>
      <c r="AB2042" s="400">
        <f t="shared" si="250"/>
        <v>0</v>
      </c>
      <c r="AC2042" s="4"/>
      <c r="AD2042" s="47"/>
      <c r="AE2042" s="47"/>
      <c r="AF2042" s="319"/>
      <c r="AG2042" s="328">
        <f t="shared" si="251"/>
        <v>0</v>
      </c>
    </row>
    <row r="2043" spans="2:40">
      <c r="B2043" s="1306" t="s">
        <v>1164</v>
      </c>
      <c r="C2043" s="47">
        <v>0.375</v>
      </c>
      <c r="D2043" s="47">
        <v>0.25</v>
      </c>
      <c r="E2043" s="319">
        <v>8</v>
      </c>
      <c r="F2043" s="320"/>
      <c r="G2043" s="4"/>
      <c r="H2043" s="47">
        <v>0.375</v>
      </c>
      <c r="I2043" s="47">
        <v>0.25</v>
      </c>
      <c r="J2043" s="319">
        <v>8</v>
      </c>
      <c r="K2043" s="320"/>
      <c r="L2043" s="4"/>
      <c r="M2043" s="47"/>
      <c r="N2043" s="47"/>
      <c r="O2043" s="319">
        <v>0</v>
      </c>
      <c r="P2043" s="320"/>
      <c r="R2043" s="47"/>
      <c r="S2043" s="47"/>
      <c r="T2043" s="319">
        <v>0</v>
      </c>
      <c r="U2043" s="320"/>
      <c r="W2043" s="47"/>
      <c r="X2043" s="47"/>
      <c r="Y2043" s="319">
        <v>0</v>
      </c>
      <c r="Z2043" s="320"/>
      <c r="AA2043" s="328">
        <f t="shared" si="249"/>
        <v>16</v>
      </c>
      <c r="AB2043" s="400">
        <f t="shared" si="250"/>
        <v>0</v>
      </c>
      <c r="AC2043" s="4"/>
      <c r="AD2043" s="47"/>
      <c r="AE2043" s="47"/>
      <c r="AF2043" s="319"/>
      <c r="AG2043" s="328">
        <f t="shared" si="251"/>
        <v>0</v>
      </c>
    </row>
    <row r="2044" spans="2:40">
      <c r="B2044" s="502" t="s">
        <v>483</v>
      </c>
      <c r="C2044" s="47"/>
      <c r="D2044" s="47"/>
      <c r="E2044" s="319">
        <v>0</v>
      </c>
      <c r="F2044" s="320"/>
      <c r="G2044" s="4"/>
      <c r="H2044" s="47"/>
      <c r="I2044" s="47"/>
      <c r="J2044" s="319">
        <v>0</v>
      </c>
      <c r="K2044" s="320"/>
      <c r="L2044" s="4"/>
      <c r="M2044" s="47"/>
      <c r="N2044" s="47"/>
      <c r="O2044" s="319">
        <v>0</v>
      </c>
      <c r="P2044" s="320"/>
      <c r="R2044" s="47"/>
      <c r="S2044" s="47"/>
      <c r="T2044" s="319">
        <v>0</v>
      </c>
      <c r="U2044" s="320"/>
      <c r="W2044" s="47"/>
      <c r="X2044" s="47"/>
      <c r="Y2044" s="319">
        <v>0</v>
      </c>
      <c r="Z2044" s="320"/>
      <c r="AA2044" s="328">
        <f t="shared" si="249"/>
        <v>0</v>
      </c>
      <c r="AB2044" s="400">
        <f t="shared" si="250"/>
        <v>0</v>
      </c>
      <c r="AC2044" s="4"/>
      <c r="AD2044" s="47"/>
      <c r="AE2044" s="47"/>
      <c r="AF2044" s="319"/>
      <c r="AG2044" s="328">
        <f t="shared" si="251"/>
        <v>0</v>
      </c>
    </row>
    <row r="2045" spans="2:40">
      <c r="B2045" s="502" t="s">
        <v>483</v>
      </c>
      <c r="C2045" s="47"/>
      <c r="D2045" s="47"/>
      <c r="E2045" s="319">
        <v>2</v>
      </c>
      <c r="F2045" s="320"/>
      <c r="G2045" s="4"/>
      <c r="H2045" s="47"/>
      <c r="I2045" s="47"/>
      <c r="J2045" s="319">
        <v>7</v>
      </c>
      <c r="K2045" s="320"/>
      <c r="L2045" s="4"/>
      <c r="M2045" s="47"/>
      <c r="N2045" s="47"/>
      <c r="O2045" s="319">
        <v>0</v>
      </c>
      <c r="P2045" s="320"/>
      <c r="R2045" s="47"/>
      <c r="S2045" s="47"/>
      <c r="T2045" s="319">
        <v>4.5</v>
      </c>
      <c r="U2045" s="320"/>
      <c r="W2045" s="47"/>
      <c r="X2045" s="47"/>
      <c r="Y2045" s="319">
        <v>3.5</v>
      </c>
      <c r="Z2045" s="320"/>
      <c r="AA2045" s="328">
        <f t="shared" si="249"/>
        <v>17</v>
      </c>
      <c r="AB2045" s="400">
        <f t="shared" si="250"/>
        <v>0</v>
      </c>
      <c r="AC2045" s="4"/>
      <c r="AD2045" s="47"/>
      <c r="AE2045" s="47"/>
      <c r="AF2045" s="319"/>
      <c r="AG2045" s="328">
        <f t="shared" si="251"/>
        <v>0</v>
      </c>
    </row>
    <row r="2046" spans="2:40">
      <c r="B2046" s="502" t="s">
        <v>484</v>
      </c>
      <c r="C2046" s="47"/>
      <c r="D2046" s="47"/>
      <c r="E2046" s="319">
        <v>3</v>
      </c>
      <c r="F2046" s="320"/>
      <c r="G2046" s="4"/>
      <c r="H2046" s="47"/>
      <c r="I2046" s="47"/>
      <c r="J2046" s="319">
        <v>7</v>
      </c>
      <c r="K2046" s="320"/>
      <c r="L2046" s="4"/>
      <c r="M2046" s="47"/>
      <c r="N2046" s="47"/>
      <c r="O2046" s="319">
        <v>0</v>
      </c>
      <c r="P2046" s="320"/>
      <c r="R2046" s="47"/>
      <c r="S2046" s="47"/>
      <c r="T2046" s="319">
        <v>4.5</v>
      </c>
      <c r="U2046" s="320"/>
      <c r="W2046" s="47"/>
      <c r="X2046" s="47"/>
      <c r="Y2046" s="319">
        <v>3.5</v>
      </c>
      <c r="Z2046" s="320"/>
      <c r="AA2046" s="328">
        <f t="shared" si="249"/>
        <v>18</v>
      </c>
      <c r="AB2046" s="400">
        <f t="shared" si="250"/>
        <v>0</v>
      </c>
      <c r="AC2046" s="4"/>
      <c r="AD2046" s="47"/>
      <c r="AE2046" s="47"/>
      <c r="AF2046" s="319"/>
      <c r="AG2046" s="328">
        <f t="shared" si="251"/>
        <v>0</v>
      </c>
    </row>
    <row r="2047" spans="2:40">
      <c r="B2047" s="502" t="s">
        <v>485</v>
      </c>
      <c r="C2047" s="47"/>
      <c r="D2047" s="47"/>
      <c r="E2047" s="319">
        <v>2</v>
      </c>
      <c r="F2047" s="320"/>
      <c r="G2047" s="4"/>
      <c r="H2047" s="47"/>
      <c r="I2047" s="47"/>
      <c r="J2047" s="319">
        <v>7</v>
      </c>
      <c r="K2047" s="320"/>
      <c r="L2047" s="4"/>
      <c r="M2047" s="47"/>
      <c r="N2047" s="47"/>
      <c r="O2047" s="319">
        <v>0</v>
      </c>
      <c r="P2047" s="320"/>
      <c r="R2047" s="47"/>
      <c r="S2047" s="47"/>
      <c r="T2047" s="319">
        <v>4.5</v>
      </c>
      <c r="U2047" s="320"/>
      <c r="W2047" s="47"/>
      <c r="X2047" s="47"/>
      <c r="Y2047" s="319">
        <v>3.5</v>
      </c>
      <c r="Z2047" s="320"/>
      <c r="AA2047" s="328">
        <f t="shared" si="249"/>
        <v>17</v>
      </c>
      <c r="AB2047" s="400">
        <f t="shared" si="250"/>
        <v>0</v>
      </c>
      <c r="AC2047" s="4"/>
      <c r="AD2047" s="47"/>
      <c r="AE2047" s="47"/>
      <c r="AF2047" s="319"/>
      <c r="AG2047" s="328">
        <f t="shared" si="251"/>
        <v>0</v>
      </c>
    </row>
    <row r="2048" spans="2:40">
      <c r="B2048" s="502" t="s">
        <v>1129</v>
      </c>
      <c r="C2048" s="47"/>
      <c r="D2048" s="47"/>
      <c r="E2048" s="319">
        <v>0</v>
      </c>
      <c r="F2048" s="320"/>
      <c r="G2048" s="4"/>
      <c r="H2048" s="47"/>
      <c r="I2048" s="47"/>
      <c r="J2048" s="319">
        <v>0</v>
      </c>
      <c r="K2048" s="320"/>
      <c r="L2048" s="4"/>
      <c r="M2048" s="47"/>
      <c r="N2048" s="47"/>
      <c r="O2048" s="319">
        <v>0</v>
      </c>
      <c r="P2048" s="320"/>
      <c r="R2048" s="47"/>
      <c r="S2048" s="47"/>
      <c r="T2048" s="319">
        <v>0</v>
      </c>
      <c r="U2048" s="320"/>
      <c r="W2048" s="47"/>
      <c r="X2048" s="47"/>
      <c r="Y2048" s="319">
        <v>0</v>
      </c>
      <c r="Z2048" s="320"/>
      <c r="AA2048" s="328">
        <f t="shared" si="249"/>
        <v>0</v>
      </c>
      <c r="AB2048" s="400">
        <f t="shared" si="250"/>
        <v>0</v>
      </c>
      <c r="AC2048" s="4"/>
      <c r="AD2048" s="47"/>
      <c r="AE2048" s="47"/>
      <c r="AF2048" s="319"/>
      <c r="AG2048" s="328">
        <f t="shared" si="251"/>
        <v>0</v>
      </c>
    </row>
    <row r="2049" spans="2:37">
      <c r="B2049" s="267" t="s">
        <v>358</v>
      </c>
      <c r="C2049" s="47"/>
      <c r="D2049" s="47"/>
      <c r="E2049" s="319">
        <v>1</v>
      </c>
      <c r="F2049" s="320"/>
      <c r="G2049" s="4"/>
      <c r="H2049" s="47"/>
      <c r="I2049" s="47"/>
      <c r="J2049" s="319">
        <v>1</v>
      </c>
      <c r="K2049" s="320"/>
      <c r="L2049" s="438"/>
      <c r="M2049" s="47"/>
      <c r="N2049" s="47"/>
      <c r="O2049" s="319">
        <v>1</v>
      </c>
      <c r="P2049" s="320"/>
      <c r="Q2049" s="438"/>
      <c r="R2049" s="47"/>
      <c r="S2049" s="47"/>
      <c r="T2049" s="319">
        <v>1</v>
      </c>
      <c r="U2049" s="320"/>
      <c r="V2049" s="438"/>
      <c r="W2049" s="47"/>
      <c r="X2049" s="47"/>
      <c r="Y2049" s="319">
        <v>1</v>
      </c>
      <c r="Z2049" s="320"/>
      <c r="AA2049" s="328">
        <f t="shared" si="249"/>
        <v>5</v>
      </c>
      <c r="AB2049" s="400">
        <f t="shared" si="250"/>
        <v>0</v>
      </c>
      <c r="AC2049" s="4"/>
      <c r="AD2049" s="47"/>
      <c r="AE2049" s="47"/>
      <c r="AF2049" s="319"/>
      <c r="AG2049" s="328">
        <f t="shared" si="251"/>
        <v>0</v>
      </c>
    </row>
    <row r="2050" spans="2:37">
      <c r="B2050" s="267" t="s">
        <v>991</v>
      </c>
      <c r="C2050" s="47"/>
      <c r="D2050" s="47"/>
      <c r="E2050" s="319">
        <v>0</v>
      </c>
      <c r="F2050" s="320"/>
      <c r="G2050" s="4"/>
      <c r="H2050" s="47"/>
      <c r="I2050" s="47"/>
      <c r="J2050" s="319">
        <v>0</v>
      </c>
      <c r="K2050" s="320"/>
      <c r="L2050" s="438"/>
      <c r="M2050" s="47"/>
      <c r="N2050" s="47"/>
      <c r="O2050" s="319">
        <v>0</v>
      </c>
      <c r="P2050" s="320"/>
      <c r="Q2050" s="438"/>
      <c r="R2050" s="47"/>
      <c r="S2050" s="47"/>
      <c r="T2050" s="319">
        <v>0</v>
      </c>
      <c r="U2050" s="320"/>
      <c r="V2050" s="438"/>
      <c r="W2050" s="47"/>
      <c r="X2050" s="47"/>
      <c r="Y2050" s="319">
        <v>0</v>
      </c>
      <c r="Z2050" s="320"/>
      <c r="AA2050" s="328">
        <f t="shared" si="249"/>
        <v>0</v>
      </c>
      <c r="AB2050" s="400">
        <f t="shared" si="250"/>
        <v>0</v>
      </c>
      <c r="AC2050" s="4"/>
      <c r="AD2050" s="47"/>
      <c r="AE2050" s="47"/>
      <c r="AF2050" s="319"/>
      <c r="AG2050" s="328">
        <f t="shared" si="251"/>
        <v>0</v>
      </c>
    </row>
    <row r="2051" spans="2:37">
      <c r="B2051" s="267" t="s">
        <v>411</v>
      </c>
      <c r="C2051" s="47"/>
      <c r="D2051" s="47"/>
      <c r="E2051" s="319">
        <v>0</v>
      </c>
      <c r="F2051" s="320"/>
      <c r="G2051" s="4"/>
      <c r="H2051" s="47"/>
      <c r="I2051" s="47"/>
      <c r="J2051" s="319">
        <v>0</v>
      </c>
      <c r="K2051" s="320"/>
      <c r="L2051" s="438"/>
      <c r="M2051" s="47"/>
      <c r="N2051" s="47"/>
      <c r="O2051" s="319">
        <v>0</v>
      </c>
      <c r="P2051" s="320"/>
      <c r="Q2051" s="438"/>
      <c r="R2051" s="47"/>
      <c r="S2051" s="47"/>
      <c r="T2051" s="319">
        <v>0</v>
      </c>
      <c r="U2051" s="320"/>
      <c r="V2051" s="438"/>
      <c r="W2051" s="47"/>
      <c r="X2051" s="47"/>
      <c r="Y2051" s="319">
        <v>0</v>
      </c>
      <c r="Z2051" s="320"/>
      <c r="AA2051" s="328">
        <f t="shared" si="249"/>
        <v>0</v>
      </c>
      <c r="AB2051" s="400">
        <f t="shared" si="250"/>
        <v>0</v>
      </c>
      <c r="AC2051" s="4"/>
      <c r="AD2051" s="47"/>
      <c r="AE2051" s="47"/>
      <c r="AF2051" s="319"/>
      <c r="AG2051" s="328">
        <f t="shared" si="251"/>
        <v>0</v>
      </c>
    </row>
    <row r="2052" spans="2:37">
      <c r="B2052" s="267" t="s">
        <v>361</v>
      </c>
      <c r="C2052" s="47"/>
      <c r="D2052" s="47"/>
      <c r="E2052" s="319">
        <v>0</v>
      </c>
      <c r="F2052" s="320"/>
      <c r="G2052" s="4"/>
      <c r="H2052" s="47"/>
      <c r="I2052" s="47"/>
      <c r="J2052" s="319">
        <v>0</v>
      </c>
      <c r="K2052" s="320"/>
      <c r="L2052" s="438"/>
      <c r="M2052" s="47"/>
      <c r="N2052" s="47"/>
      <c r="O2052" s="319">
        <v>0</v>
      </c>
      <c r="P2052" s="320"/>
      <c r="Q2052" s="438"/>
      <c r="R2052" s="47"/>
      <c r="S2052" s="47"/>
      <c r="T2052" s="319">
        <v>0</v>
      </c>
      <c r="U2052" s="320"/>
      <c r="V2052" s="438"/>
      <c r="W2052" s="47"/>
      <c r="X2052" s="47"/>
      <c r="Y2052" s="319">
        <v>0</v>
      </c>
      <c r="Z2052" s="320"/>
      <c r="AA2052" s="328">
        <f t="shared" si="249"/>
        <v>0</v>
      </c>
      <c r="AB2052" s="400">
        <f t="shared" si="250"/>
        <v>0</v>
      </c>
      <c r="AC2052" s="4"/>
      <c r="AD2052" s="47"/>
      <c r="AE2052" s="47"/>
      <c r="AF2052" s="319"/>
      <c r="AG2052" s="328">
        <f t="shared" si="251"/>
        <v>0</v>
      </c>
    </row>
    <row r="2053" spans="2:37">
      <c r="B2053" s="267" t="s">
        <v>362</v>
      </c>
      <c r="C2053" s="47"/>
      <c r="D2053" s="5"/>
      <c r="E2053" s="319">
        <v>0</v>
      </c>
      <c r="F2053" s="320"/>
      <c r="G2053" s="4"/>
      <c r="H2053" s="47"/>
      <c r="I2053" s="5"/>
      <c r="J2053" s="319">
        <v>0</v>
      </c>
      <c r="K2053" s="320"/>
      <c r="L2053" s="438"/>
      <c r="M2053" s="47"/>
      <c r="N2053" s="5"/>
      <c r="O2053" s="319">
        <v>0</v>
      </c>
      <c r="P2053" s="320"/>
      <c r="Q2053" s="438"/>
      <c r="R2053" s="47"/>
      <c r="S2053" s="5"/>
      <c r="T2053" s="319">
        <v>0</v>
      </c>
      <c r="U2053" s="320"/>
      <c r="V2053" s="438"/>
      <c r="W2053" s="47"/>
      <c r="X2053" s="5"/>
      <c r="Y2053" s="319">
        <v>0</v>
      </c>
      <c r="Z2053" s="320"/>
      <c r="AA2053" s="328">
        <f t="shared" si="249"/>
        <v>0</v>
      </c>
      <c r="AB2053" s="400">
        <f t="shared" si="250"/>
        <v>0</v>
      </c>
      <c r="AC2053" s="4"/>
      <c r="AD2053" s="47"/>
      <c r="AE2053" s="47"/>
      <c r="AF2053" s="319"/>
      <c r="AG2053" s="328">
        <f t="shared" si="251"/>
        <v>0</v>
      </c>
    </row>
    <row r="2054" spans="2:37">
      <c r="B2054" s="437" t="s">
        <v>355</v>
      </c>
      <c r="C2054" s="47"/>
      <c r="D2054" s="47"/>
      <c r="E2054" s="319">
        <v>0</v>
      </c>
      <c r="F2054" s="320"/>
      <c r="G2054" s="4"/>
      <c r="H2054" s="47"/>
      <c r="I2054" s="47"/>
      <c r="J2054" s="319">
        <v>7.75</v>
      </c>
      <c r="K2054" s="320"/>
      <c r="L2054" s="438"/>
      <c r="M2054" s="47"/>
      <c r="N2054" s="47"/>
      <c r="O2054" s="319">
        <v>0</v>
      </c>
      <c r="P2054" s="320"/>
      <c r="Q2054" s="438"/>
      <c r="R2054" s="47"/>
      <c r="S2054" s="47"/>
      <c r="T2054" s="319">
        <v>7.75</v>
      </c>
      <c r="U2054" s="320"/>
      <c r="V2054" s="438"/>
      <c r="W2054" s="47"/>
      <c r="X2054" s="47"/>
      <c r="Y2054" s="319">
        <v>7.75</v>
      </c>
      <c r="Z2054" s="320"/>
      <c r="AA2054" s="328">
        <f t="shared" si="249"/>
        <v>23.25</v>
      </c>
      <c r="AB2054" s="400">
        <f t="shared" si="250"/>
        <v>0</v>
      </c>
      <c r="AC2054" s="4"/>
      <c r="AD2054" s="47"/>
      <c r="AE2054" s="47"/>
      <c r="AF2054" s="319"/>
      <c r="AG2054" s="328">
        <f t="shared" si="251"/>
        <v>0</v>
      </c>
    </row>
    <row r="2055" spans="2:37">
      <c r="B2055" s="437" t="s">
        <v>356</v>
      </c>
      <c r="C2055" s="713"/>
      <c r="D2055" s="713"/>
      <c r="E2055" s="319">
        <v>0</v>
      </c>
      <c r="F2055" s="320"/>
      <c r="G2055" s="438"/>
      <c r="H2055" s="5"/>
      <c r="I2055" s="5"/>
      <c r="J2055" s="319">
        <v>0</v>
      </c>
      <c r="K2055" s="320"/>
      <c r="L2055" s="438"/>
      <c r="M2055" s="5"/>
      <c r="N2055" s="5"/>
      <c r="O2055" s="319">
        <v>0</v>
      </c>
      <c r="P2055" s="320"/>
      <c r="Q2055" s="438"/>
      <c r="R2055" s="5"/>
      <c r="S2055" s="5"/>
      <c r="T2055" s="319">
        <v>0</v>
      </c>
      <c r="U2055" s="320"/>
      <c r="V2055" s="438"/>
      <c r="W2055" s="5"/>
      <c r="X2055" s="5"/>
      <c r="Y2055" s="319">
        <v>0</v>
      </c>
      <c r="Z2055" s="320"/>
      <c r="AA2055" s="328">
        <f t="shared" si="249"/>
        <v>0</v>
      </c>
      <c r="AB2055" s="400">
        <f t="shared" si="250"/>
        <v>0</v>
      </c>
      <c r="AC2055" s="4"/>
      <c r="AD2055" s="47"/>
      <c r="AE2055" s="47"/>
      <c r="AF2055" s="319"/>
      <c r="AG2055" s="328">
        <f t="shared" si="251"/>
        <v>0</v>
      </c>
    </row>
    <row r="2056" spans="2:37">
      <c r="B2056" s="31" t="s">
        <v>61</v>
      </c>
      <c r="C2056" s="31"/>
      <c r="D2056" s="31"/>
      <c r="E2056" s="439">
        <f>SUM(E2030:E2055)</f>
        <v>53</v>
      </c>
      <c r="F2056" s="320"/>
      <c r="G2056" s="31"/>
      <c r="H2056" s="31"/>
      <c r="I2056" s="31"/>
      <c r="J2056" s="439">
        <f>SUM(J2030:J2055)</f>
        <v>74.75</v>
      </c>
      <c r="K2056" s="320"/>
      <c r="L2056" s="31"/>
      <c r="M2056" s="31"/>
      <c r="N2056" s="31"/>
      <c r="O2056" s="439">
        <f>SUM(O2030:O2055)</f>
        <v>37</v>
      </c>
      <c r="P2056" s="320"/>
      <c r="Q2056" s="31"/>
      <c r="R2056" s="31"/>
      <c r="S2056" s="31"/>
      <c r="T2056" s="439">
        <f>SUM(T2030:T2055)</f>
        <v>54.25</v>
      </c>
      <c r="U2056" s="320"/>
      <c r="V2056" s="31"/>
      <c r="W2056" s="31"/>
      <c r="X2056" s="31"/>
      <c r="Y2056" s="439">
        <f>SUM(Y2030:Y2055)</f>
        <v>51.25</v>
      </c>
      <c r="Z2056" s="320"/>
      <c r="AA2056" s="328">
        <f>SUM(AA2030:AA2055)</f>
        <v>270.25</v>
      </c>
      <c r="AB2056" s="328">
        <f>SUM(AB2030:AB2055)</f>
        <v>0</v>
      </c>
      <c r="AC2056" s="4"/>
      <c r="AD2056" s="31"/>
      <c r="AE2056" s="31"/>
      <c r="AF2056" s="328">
        <f>SUM(AF2030:AF2055)</f>
        <v>0</v>
      </c>
      <c r="AG2056" s="328">
        <f>SUM(AG2030:AG2055)</f>
        <v>0</v>
      </c>
    </row>
    <row r="2057" spans="2:37">
      <c r="B2057" s="267" t="s">
        <v>1116</v>
      </c>
      <c r="C2057" s="47"/>
      <c r="D2057" s="47"/>
      <c r="E2057" s="319">
        <v>8</v>
      </c>
      <c r="F2057" s="320"/>
      <c r="G2057" s="4"/>
      <c r="H2057" s="47"/>
      <c r="I2057" s="47"/>
      <c r="J2057" s="319">
        <v>8</v>
      </c>
      <c r="K2057" s="320"/>
      <c r="L2057" s="4"/>
      <c r="M2057" s="47"/>
      <c r="N2057" s="47"/>
      <c r="O2057" s="319">
        <v>8</v>
      </c>
      <c r="P2057" s="320"/>
      <c r="R2057" s="47"/>
      <c r="S2057" s="47"/>
      <c r="T2057" s="319">
        <v>8</v>
      </c>
      <c r="U2057" s="320"/>
      <c r="W2057" s="47"/>
      <c r="X2057" s="47"/>
      <c r="Y2057" s="319">
        <v>8</v>
      </c>
      <c r="Z2057" s="320"/>
      <c r="AA2057" s="328">
        <f>(E2057+J2057+O2057+T2057+Y2057)</f>
        <v>40</v>
      </c>
      <c r="AB2057" s="400">
        <f>Z2057+U2057+P2057+K2057+F2057</f>
        <v>0</v>
      </c>
      <c r="AC2057" s="4"/>
      <c r="AD2057" s="47"/>
      <c r="AE2057" s="47"/>
      <c r="AF2057" s="319"/>
      <c r="AG2057" s="328">
        <f>AF2057</f>
        <v>0</v>
      </c>
    </row>
    <row r="2058" spans="2:37">
      <c r="B2058" s="267" t="s">
        <v>64</v>
      </c>
      <c r="C2058" s="47"/>
      <c r="D2058" s="47"/>
      <c r="E2058" s="319">
        <v>0</v>
      </c>
      <c r="F2058" s="319"/>
      <c r="G2058" s="71"/>
      <c r="H2058" s="47"/>
      <c r="I2058" s="47"/>
      <c r="J2058" s="319">
        <v>0</v>
      </c>
      <c r="K2058" s="319"/>
      <c r="L2058" s="438"/>
      <c r="M2058" s="47"/>
      <c r="N2058" s="47"/>
      <c r="O2058" s="319">
        <v>0</v>
      </c>
      <c r="P2058" s="319"/>
      <c r="Q2058" s="438"/>
      <c r="R2058" s="47"/>
      <c r="S2058" s="47"/>
      <c r="T2058" s="319">
        <v>0</v>
      </c>
      <c r="U2058" s="319"/>
      <c r="V2058" s="438"/>
      <c r="W2058" s="47"/>
      <c r="X2058" s="47"/>
      <c r="Y2058" s="319">
        <v>0</v>
      </c>
      <c r="Z2058" s="319"/>
      <c r="AA2058" s="328">
        <f>SUM(E2058+J2058+O2058+T2058+Y2058)</f>
        <v>0</v>
      </c>
      <c r="AB2058" s="897">
        <f>Z2058+U2058+P2058+K2058+F2058</f>
        <v>0</v>
      </c>
      <c r="AC2058" s="4"/>
      <c r="AD2058" s="47" t="s">
        <v>29</v>
      </c>
      <c r="AE2058" s="47" t="s">
        <v>29</v>
      </c>
      <c r="AF2058" s="319"/>
      <c r="AG2058" s="328">
        <f>AF2058</f>
        <v>0</v>
      </c>
    </row>
    <row r="2059" spans="2:37">
      <c r="B2059" s="71" t="s">
        <v>66</v>
      </c>
      <c r="C2059" s="1210"/>
      <c r="D2059" s="1210"/>
      <c r="E2059" s="1208"/>
      <c r="F2059" s="71"/>
      <c r="G2059" s="71"/>
      <c r="H2059" s="71"/>
      <c r="I2059" s="71"/>
      <c r="J2059" s="71"/>
      <c r="K2059" s="71"/>
      <c r="L2059" s="71"/>
      <c r="M2059" s="71"/>
      <c r="N2059" s="71"/>
      <c r="O2059" s="71"/>
      <c r="P2059" s="71"/>
      <c r="Q2059" s="71"/>
      <c r="R2059" s="71"/>
      <c r="S2059" s="71"/>
      <c r="T2059" s="71"/>
      <c r="U2059" s="71"/>
      <c r="V2059" s="71"/>
      <c r="W2059" s="71"/>
      <c r="X2059" s="71"/>
      <c r="Y2059" s="71"/>
      <c r="Z2059" s="71"/>
      <c r="AA2059" s="328">
        <f>SUM(AA2057:AA2058)</f>
        <v>40</v>
      </c>
      <c r="AB2059" s="328">
        <f>SUM(AB2058:AB2058)</f>
        <v>0</v>
      </c>
      <c r="AC2059" s="4"/>
      <c r="AG2059" s="328">
        <f>SUM(AG2058:AG2058)</f>
        <v>0</v>
      </c>
      <c r="AK2059" s="407"/>
    </row>
    <row r="2060" spans="2:37" s="1387" customFormat="1">
      <c r="B2060" s="1382" t="s">
        <v>67</v>
      </c>
      <c r="C2060" s="1393">
        <f>C2061+C2062</f>
        <v>25</v>
      </c>
      <c r="D2060" s="1383"/>
      <c r="E2060" s="534"/>
      <c r="F2060" s="534"/>
      <c r="G2060" s="1383"/>
      <c r="H2060" s="534"/>
      <c r="I2060" s="534"/>
      <c r="J2060" s="534"/>
      <c r="K2060" s="534"/>
      <c r="L2060" s="1383"/>
      <c r="M2060" s="1383"/>
      <c r="N2060" s="1383"/>
      <c r="O2060" s="1383"/>
      <c r="P2060" s="534"/>
      <c r="Q2060" s="1383"/>
      <c r="R2060" s="1383"/>
      <c r="S2060" s="1383"/>
      <c r="T2060" s="1383"/>
      <c r="U2060" s="534"/>
      <c r="V2060" s="1383"/>
      <c r="W2060" s="1383"/>
      <c r="X2060" s="1383"/>
      <c r="Y2060" s="1384"/>
      <c r="Z2060" s="534"/>
      <c r="AA2060" s="1385"/>
      <c r="AB2060" s="534"/>
      <c r="AC2060" s="1385"/>
      <c r="AD2060" s="1385"/>
      <c r="AE2060" s="1385"/>
      <c r="AF2060" s="1385"/>
      <c r="AG2060" s="1385"/>
      <c r="AH2060" s="1386"/>
      <c r="AK2060" s="1388"/>
    </row>
    <row r="2061" spans="2:37" s="1387" customFormat="1">
      <c r="B2061" s="1389" t="s">
        <v>68</v>
      </c>
      <c r="C2061" s="1383">
        <v>0</v>
      </c>
      <c r="D2061" s="1383"/>
      <c r="E2061" s="534"/>
      <c r="F2061" s="534"/>
      <c r="G2061" s="1383"/>
      <c r="H2061" s="534"/>
      <c r="I2061" s="534"/>
      <c r="J2061" s="534"/>
      <c r="K2061" s="534"/>
      <c r="L2061" s="1383"/>
      <c r="M2061" s="1383"/>
      <c r="N2061" s="1383"/>
      <c r="O2061" s="1383"/>
      <c r="P2061" s="534"/>
      <c r="Q2061" s="1383"/>
      <c r="R2061" s="1383"/>
      <c r="S2061" s="1383"/>
      <c r="T2061" s="1383"/>
      <c r="U2061" s="534"/>
      <c r="V2061" s="1383"/>
      <c r="W2061" s="1383"/>
      <c r="X2061" s="1383"/>
      <c r="Y2061" s="1384"/>
      <c r="Z2061" s="534"/>
      <c r="AA2061" s="1385"/>
      <c r="AB2061" s="534"/>
      <c r="AC2061" s="1385"/>
      <c r="AD2061" s="1385"/>
      <c r="AE2061" s="1385"/>
      <c r="AF2061" s="1385"/>
      <c r="AG2061" s="1385"/>
      <c r="AH2061" s="1386"/>
      <c r="AK2061" s="1388"/>
    </row>
    <row r="2062" spans="2:37" s="1387" customFormat="1">
      <c r="B2062" s="1389" t="s">
        <v>69</v>
      </c>
      <c r="C2062" s="1383">
        <v>25</v>
      </c>
      <c r="D2062" s="1383"/>
      <c r="E2062" s="534"/>
      <c r="F2062" s="534"/>
      <c r="G2062" s="1383"/>
      <c r="H2062" s="534"/>
      <c r="I2062" s="534"/>
      <c r="J2062" s="534"/>
      <c r="K2062" s="534"/>
      <c r="L2062" s="1383"/>
      <c r="M2062" s="1383"/>
      <c r="N2062" s="1383"/>
      <c r="O2062" s="1383"/>
      <c r="P2062" s="534"/>
      <c r="Q2062" s="1383"/>
      <c r="R2062" s="1383"/>
      <c r="S2062" s="1383"/>
      <c r="T2062" s="1383"/>
      <c r="U2062" s="534"/>
      <c r="V2062" s="1383"/>
      <c r="W2062" s="1383"/>
      <c r="X2062" s="1383"/>
      <c r="Y2062" s="1384"/>
      <c r="Z2062" s="534"/>
      <c r="AA2062" s="1385"/>
      <c r="AB2062" s="534"/>
      <c r="AC2062" s="1385"/>
      <c r="AD2062" s="1385"/>
      <c r="AE2062" s="1385"/>
      <c r="AF2062" s="1385"/>
      <c r="AG2062" s="1385"/>
      <c r="AH2062" s="1386"/>
    </row>
    <row r="2063" spans="2:37" s="1387" customFormat="1">
      <c r="E2063" s="1386"/>
      <c r="F2063" s="1391"/>
      <c r="G2063" s="1386"/>
      <c r="J2063" s="1386"/>
      <c r="K2063" s="1391"/>
      <c r="L2063" s="1386"/>
      <c r="O2063" s="1386"/>
      <c r="P2063" s="1391"/>
      <c r="Q2063" s="1386"/>
      <c r="T2063" s="1386"/>
      <c r="U2063" s="1391"/>
      <c r="V2063" s="1386"/>
      <c r="Y2063" s="1386"/>
      <c r="Z2063" s="1391"/>
      <c r="AA2063" s="1386"/>
      <c r="AB2063" s="1386"/>
      <c r="AC2063" s="1386"/>
      <c r="AH2063" s="1386"/>
    </row>
    <row r="2065" spans="2:42" ht="25.5">
      <c r="B2065" s="1571"/>
      <c r="C2065" s="1570">
        <v>46111</v>
      </c>
      <c r="D2065" s="1570"/>
      <c r="E2065" s="1570" t="s">
        <v>564</v>
      </c>
      <c r="F2065" s="1570"/>
      <c r="G2065" s="894"/>
      <c r="H2065" s="1570">
        <v>46112</v>
      </c>
      <c r="I2065" s="1570"/>
      <c r="J2065" s="1570" t="s">
        <v>565</v>
      </c>
      <c r="K2065" s="1570"/>
      <c r="L2065" s="894"/>
      <c r="M2065" s="1570">
        <v>46113</v>
      </c>
      <c r="N2065" s="1570"/>
      <c r="O2065" s="1570" t="s">
        <v>566</v>
      </c>
      <c r="P2065" s="1570"/>
      <c r="Q2065" s="894"/>
      <c r="R2065" s="1570">
        <v>46114</v>
      </c>
      <c r="S2065" s="1570"/>
      <c r="T2065" s="1570" t="s">
        <v>567</v>
      </c>
      <c r="U2065" s="1570"/>
      <c r="V2065" s="894"/>
      <c r="W2065" s="1570">
        <v>46115</v>
      </c>
      <c r="X2065" s="1570"/>
      <c r="Y2065" s="1570" t="s">
        <v>568</v>
      </c>
      <c r="Z2065" s="1570"/>
      <c r="AA2065" s="1569" t="s">
        <v>19</v>
      </c>
      <c r="AB2065" s="1569" t="s">
        <v>20</v>
      </c>
      <c r="AC2065" s="4"/>
      <c r="AD2065" s="1570"/>
      <c r="AE2065" s="1570"/>
      <c r="AF2065" s="895" t="s">
        <v>1111</v>
      </c>
      <c r="AG2065" s="1569" t="s">
        <v>21</v>
      </c>
      <c r="AK2065" s="194" t="s">
        <v>84</v>
      </c>
      <c r="AL2065" s="366"/>
      <c r="AM2065" s="366"/>
      <c r="AN2065" s="366"/>
      <c r="AO2065" s="366"/>
      <c r="AP2065" s="366"/>
    </row>
    <row r="2066" spans="2:42">
      <c r="B2066" s="1571"/>
      <c r="C2066" s="896" t="s">
        <v>23</v>
      </c>
      <c r="D2066" s="896" t="s">
        <v>24</v>
      </c>
      <c r="E2066" s="897" t="s">
        <v>25</v>
      </c>
      <c r="F2066" s="898" t="s">
        <v>14</v>
      </c>
      <c r="G2066" s="4"/>
      <c r="H2066" s="896" t="s">
        <v>23</v>
      </c>
      <c r="I2066" s="896" t="s">
        <v>24</v>
      </c>
      <c r="J2066" s="898" t="s">
        <v>25</v>
      </c>
      <c r="K2066" s="898" t="s">
        <v>14</v>
      </c>
      <c r="L2066" s="4"/>
      <c r="M2066" s="896" t="s">
        <v>23</v>
      </c>
      <c r="N2066" s="896" t="s">
        <v>24</v>
      </c>
      <c r="O2066" s="898" t="s">
        <v>25</v>
      </c>
      <c r="P2066" s="898" t="s">
        <v>14</v>
      </c>
      <c r="R2066" s="896" t="s">
        <v>23</v>
      </c>
      <c r="S2066" s="896" t="s">
        <v>24</v>
      </c>
      <c r="T2066" s="898" t="s">
        <v>25</v>
      </c>
      <c r="U2066" s="898" t="s">
        <v>14</v>
      </c>
      <c r="W2066" s="896" t="s">
        <v>23</v>
      </c>
      <c r="X2066" s="896" t="s">
        <v>24</v>
      </c>
      <c r="Y2066" s="898" t="s">
        <v>25</v>
      </c>
      <c r="Z2066" s="898" t="s">
        <v>14</v>
      </c>
      <c r="AA2066" s="1569"/>
      <c r="AB2066" s="1569"/>
      <c r="AC2066" s="4"/>
      <c r="AD2066" s="896" t="s">
        <v>23</v>
      </c>
      <c r="AE2066" s="896" t="s">
        <v>24</v>
      </c>
      <c r="AF2066" s="898" t="s">
        <v>25</v>
      </c>
      <c r="AG2066" s="1569"/>
      <c r="AK2066" s="188" t="s">
        <v>26</v>
      </c>
      <c r="AL2066" s="196">
        <f>AA2093</f>
        <v>248.25</v>
      </c>
      <c r="AM2066" s="510">
        <v>40.31</v>
      </c>
      <c r="AN2066" s="510">
        <f t="shared" ref="AN2066:AN2071" si="252">AL2066*AM2066</f>
        <v>10006.9575</v>
      </c>
    </row>
    <row r="2067" spans="2:42">
      <c r="B2067" s="47" t="s">
        <v>1166</v>
      </c>
      <c r="C2067" s="47">
        <v>0.33333333333333331</v>
      </c>
      <c r="D2067" s="47">
        <v>0.20833333333333334</v>
      </c>
      <c r="E2067" s="319">
        <v>8</v>
      </c>
      <c r="F2067" s="320"/>
      <c r="G2067" s="4"/>
      <c r="H2067" s="47">
        <v>0.33333333333333331</v>
      </c>
      <c r="I2067" s="47">
        <v>0.20833333333333334</v>
      </c>
      <c r="J2067" s="319">
        <v>8</v>
      </c>
      <c r="K2067" s="320"/>
      <c r="L2067" s="4"/>
      <c r="M2067" s="47">
        <v>0.33333333333333331</v>
      </c>
      <c r="N2067" s="47">
        <v>0.20833333333333334</v>
      </c>
      <c r="O2067" s="319">
        <v>8</v>
      </c>
      <c r="P2067" s="320"/>
      <c r="R2067" s="47">
        <v>0.33333333333333331</v>
      </c>
      <c r="S2067" s="47">
        <v>0.20833333333333334</v>
      </c>
      <c r="T2067" s="319">
        <v>8</v>
      </c>
      <c r="U2067" s="320"/>
      <c r="W2067" s="47">
        <v>0.20833333333333334</v>
      </c>
      <c r="X2067" s="47">
        <v>8.3333333333333329E-2</v>
      </c>
      <c r="Y2067" s="319">
        <v>8</v>
      </c>
      <c r="Z2067" s="320"/>
      <c r="AA2067" s="328">
        <f t="shared" ref="AA2067:AA2092" si="253">(E2067+J2067+O2067+T2067+Y2067)</f>
        <v>40</v>
      </c>
      <c r="AB2067" s="400">
        <f t="shared" ref="AB2067:AB2092" si="254">Z2067+U2067+P2067+K2067+F2067</f>
        <v>0</v>
      </c>
      <c r="AC2067" s="4"/>
      <c r="AF2067" s="319"/>
      <c r="AG2067" s="328">
        <f t="shared" ref="AG2067:AG2092" si="255">AF2067</f>
        <v>0</v>
      </c>
      <c r="AK2067" s="188" t="s">
        <v>30</v>
      </c>
      <c r="AL2067" s="196">
        <f>AB2093</f>
        <v>0</v>
      </c>
      <c r="AM2067" s="510">
        <v>60.465000000000003</v>
      </c>
      <c r="AN2067" s="510">
        <f t="shared" si="252"/>
        <v>0</v>
      </c>
    </row>
    <row r="2068" spans="2:42">
      <c r="B2068" s="47" t="s">
        <v>1112</v>
      </c>
      <c r="C2068" s="47"/>
      <c r="D2068" s="47"/>
      <c r="E2068" s="319">
        <v>0</v>
      </c>
      <c r="F2068" s="320"/>
      <c r="G2068" s="4"/>
      <c r="H2068" s="47"/>
      <c r="I2068" s="47"/>
      <c r="J2068" s="319">
        <v>0</v>
      </c>
      <c r="K2068" s="320"/>
      <c r="L2068" s="4"/>
      <c r="M2068" s="47"/>
      <c r="N2068" s="47"/>
      <c r="O2068" s="319">
        <v>0</v>
      </c>
      <c r="P2068" s="320"/>
      <c r="R2068" s="47"/>
      <c r="S2068" s="47"/>
      <c r="T2068" s="319">
        <v>0</v>
      </c>
      <c r="U2068" s="320"/>
      <c r="W2068" s="47"/>
      <c r="X2068" s="47"/>
      <c r="Y2068" s="319">
        <v>0</v>
      </c>
      <c r="Z2068" s="320"/>
      <c r="AA2068" s="328">
        <f t="shared" si="253"/>
        <v>0</v>
      </c>
      <c r="AB2068" s="400">
        <f t="shared" si="254"/>
        <v>0</v>
      </c>
      <c r="AC2068" s="4"/>
      <c r="AD2068" s="47"/>
      <c r="AE2068" s="47"/>
      <c r="AF2068" s="319"/>
      <c r="AG2068" s="328">
        <f t="shared" si="255"/>
        <v>0</v>
      </c>
      <c r="AK2068" s="188" t="s">
        <v>32</v>
      </c>
      <c r="AL2068" s="196">
        <f>AG2093</f>
        <v>0</v>
      </c>
      <c r="AM2068" s="510">
        <v>60.465000000000003</v>
      </c>
      <c r="AN2068" s="510">
        <f t="shared" si="252"/>
        <v>0</v>
      </c>
    </row>
    <row r="2069" spans="2:42">
      <c r="B2069" s="47" t="s">
        <v>1141</v>
      </c>
      <c r="C2069" s="47"/>
      <c r="D2069" s="47"/>
      <c r="E2069" s="319">
        <v>0</v>
      </c>
      <c r="F2069" s="320"/>
      <c r="G2069" s="4"/>
      <c r="H2069" s="47"/>
      <c r="I2069" s="47"/>
      <c r="J2069" s="319">
        <v>0</v>
      </c>
      <c r="K2069" s="320"/>
      <c r="L2069" s="4"/>
      <c r="M2069" s="47"/>
      <c r="N2069" s="47"/>
      <c r="O2069" s="319">
        <v>0</v>
      </c>
      <c r="P2069" s="320"/>
      <c r="R2069" s="47"/>
      <c r="S2069" s="47"/>
      <c r="T2069" s="319">
        <v>0</v>
      </c>
      <c r="U2069" s="320"/>
      <c r="W2069" s="47"/>
      <c r="X2069" s="47"/>
      <c r="Y2069" s="319">
        <v>0</v>
      </c>
      <c r="Z2069" s="320"/>
      <c r="AA2069" s="328">
        <f t="shared" si="253"/>
        <v>0</v>
      </c>
      <c r="AB2069" s="400">
        <f t="shared" si="254"/>
        <v>0</v>
      </c>
      <c r="AC2069" s="4"/>
      <c r="AD2069" s="47"/>
      <c r="AE2069" s="47"/>
      <c r="AF2069" s="319"/>
      <c r="AG2069" s="328">
        <f t="shared" si="255"/>
        <v>0</v>
      </c>
      <c r="AK2069" s="188" t="s">
        <v>213</v>
      </c>
      <c r="AL2069" s="196">
        <f>AA2096</f>
        <v>40</v>
      </c>
      <c r="AM2069" s="510">
        <v>53.05</v>
      </c>
      <c r="AN2069" s="510">
        <f t="shared" si="252"/>
        <v>2122</v>
      </c>
    </row>
    <row r="2070" spans="2:42">
      <c r="B2070" s="47" t="s">
        <v>72</v>
      </c>
      <c r="C2070" s="47"/>
      <c r="D2070" s="47"/>
      <c r="E2070" s="319">
        <v>0</v>
      </c>
      <c r="F2070" s="320"/>
      <c r="G2070" s="4"/>
      <c r="H2070" s="47"/>
      <c r="I2070" s="47"/>
      <c r="J2070" s="319">
        <v>0</v>
      </c>
      <c r="K2070" s="320"/>
      <c r="L2070" s="4"/>
      <c r="M2070" s="47"/>
      <c r="N2070" s="47"/>
      <c r="O2070" s="319">
        <v>0</v>
      </c>
      <c r="P2070" s="320"/>
      <c r="R2070" s="47"/>
      <c r="S2070" s="47"/>
      <c r="T2070" s="319">
        <v>0</v>
      </c>
      <c r="U2070" s="320"/>
      <c r="W2070" s="47"/>
      <c r="X2070" s="47"/>
      <c r="Y2070" s="319">
        <v>0</v>
      </c>
      <c r="Z2070" s="320"/>
      <c r="AA2070" s="328">
        <f t="shared" si="253"/>
        <v>0</v>
      </c>
      <c r="AB2070" s="400">
        <f t="shared" si="254"/>
        <v>0</v>
      </c>
      <c r="AC2070" s="4"/>
      <c r="AD2070" s="47"/>
      <c r="AE2070" s="47"/>
      <c r="AF2070" s="319"/>
      <c r="AG2070" s="328">
        <f t="shared" si="255"/>
        <v>0</v>
      </c>
      <c r="AK2070" s="188" t="s">
        <v>36</v>
      </c>
      <c r="AL2070" s="196">
        <f>AB2096</f>
        <v>0</v>
      </c>
      <c r="AM2070" s="510">
        <v>79.574999999999989</v>
      </c>
      <c r="AN2070" s="510">
        <f t="shared" si="252"/>
        <v>0</v>
      </c>
    </row>
    <row r="2071" spans="2:42">
      <c r="B2071" s="374" t="s">
        <v>998</v>
      </c>
      <c r="C2071" s="47"/>
      <c r="D2071" s="47"/>
      <c r="E2071" s="319">
        <v>0</v>
      </c>
      <c r="F2071" s="320"/>
      <c r="G2071" s="4"/>
      <c r="H2071" s="47"/>
      <c r="I2071" s="47"/>
      <c r="J2071" s="319">
        <v>0</v>
      </c>
      <c r="K2071" s="320"/>
      <c r="L2071" s="4"/>
      <c r="M2071" s="47">
        <v>0.33333333333333331</v>
      </c>
      <c r="N2071" s="47">
        <v>0.20833333333333334</v>
      </c>
      <c r="O2071" s="319">
        <v>8</v>
      </c>
      <c r="P2071" s="320"/>
      <c r="R2071" s="47">
        <v>0.375</v>
      </c>
      <c r="S2071" s="47">
        <v>0.25</v>
      </c>
      <c r="T2071" s="319">
        <v>8</v>
      </c>
      <c r="U2071" s="320"/>
      <c r="W2071" s="47">
        <v>0.375</v>
      </c>
      <c r="X2071" s="47">
        <v>0.25</v>
      </c>
      <c r="Y2071" s="319">
        <v>8</v>
      </c>
      <c r="Z2071" s="320"/>
      <c r="AA2071" s="328">
        <f t="shared" si="253"/>
        <v>24</v>
      </c>
      <c r="AB2071" s="400">
        <f t="shared" si="254"/>
        <v>0</v>
      </c>
      <c r="AC2071" s="4"/>
      <c r="AD2071" s="47"/>
      <c r="AE2071" s="47"/>
      <c r="AF2071" s="319"/>
      <c r="AG2071" s="328">
        <f t="shared" si="255"/>
        <v>0</v>
      </c>
      <c r="AK2071" s="188" t="s">
        <v>38</v>
      </c>
      <c r="AL2071" s="196">
        <f>AG2096</f>
        <v>0</v>
      </c>
      <c r="AM2071" s="510">
        <v>79.574999999999989</v>
      </c>
      <c r="AN2071" s="510">
        <f t="shared" si="252"/>
        <v>0</v>
      </c>
    </row>
    <row r="2072" spans="2:42">
      <c r="B2072" s="47" t="s">
        <v>53</v>
      </c>
      <c r="C2072" s="47"/>
      <c r="D2072" s="47"/>
      <c r="E2072" s="319">
        <v>0</v>
      </c>
      <c r="F2072" s="320"/>
      <c r="G2072" s="4"/>
      <c r="H2072" s="47"/>
      <c r="I2072" s="47"/>
      <c r="J2072" s="319">
        <v>0</v>
      </c>
      <c r="K2072" s="320"/>
      <c r="L2072" s="4"/>
      <c r="M2072" s="47"/>
      <c r="N2072" s="47"/>
      <c r="O2072" s="319">
        <v>0</v>
      </c>
      <c r="P2072" s="320"/>
      <c r="R2072" s="47"/>
      <c r="S2072" s="47"/>
      <c r="T2072" s="319">
        <v>0</v>
      </c>
      <c r="U2072" s="320"/>
      <c r="W2072" s="47"/>
      <c r="X2072" s="47"/>
      <c r="Y2072" s="319">
        <v>0</v>
      </c>
      <c r="Z2072" s="320"/>
      <c r="AA2072" s="328">
        <f t="shared" si="253"/>
        <v>0</v>
      </c>
      <c r="AB2072" s="400">
        <f t="shared" si="254"/>
        <v>0</v>
      </c>
      <c r="AC2072" s="4"/>
      <c r="AD2072" s="47"/>
      <c r="AE2072" s="47"/>
      <c r="AF2072" s="319"/>
      <c r="AG2072" s="328">
        <f t="shared" si="255"/>
        <v>0</v>
      </c>
      <c r="AN2072" s="510">
        <f>SUM(AN2066:AN2071)</f>
        <v>12128.9575</v>
      </c>
    </row>
    <row r="2073" spans="2:42">
      <c r="B2073" s="47" t="s">
        <v>241</v>
      </c>
      <c r="C2073" s="47"/>
      <c r="D2073" s="47"/>
      <c r="E2073" s="319">
        <v>0</v>
      </c>
      <c r="F2073" s="320"/>
      <c r="G2073" s="4"/>
      <c r="H2073" s="47"/>
      <c r="I2073" s="47"/>
      <c r="J2073" s="319">
        <v>0</v>
      </c>
      <c r="K2073" s="320"/>
      <c r="L2073" s="4"/>
      <c r="M2073" s="47"/>
      <c r="N2073" s="47"/>
      <c r="O2073" s="319">
        <v>0</v>
      </c>
      <c r="P2073" s="320"/>
      <c r="R2073" s="47"/>
      <c r="S2073" s="47"/>
      <c r="T2073" s="319">
        <v>0</v>
      </c>
      <c r="U2073" s="320"/>
      <c r="W2073" s="47"/>
      <c r="X2073" s="47"/>
      <c r="Y2073" s="319">
        <v>0</v>
      </c>
      <c r="Z2073" s="320"/>
      <c r="AA2073" s="328">
        <f t="shared" si="253"/>
        <v>0</v>
      </c>
      <c r="AB2073" s="400">
        <f t="shared" si="254"/>
        <v>0</v>
      </c>
      <c r="AC2073" s="4"/>
      <c r="AD2073" s="47"/>
      <c r="AE2073" s="47"/>
      <c r="AF2073" s="319"/>
      <c r="AG2073" s="328">
        <f t="shared" si="255"/>
        <v>0</v>
      </c>
    </row>
    <row r="2074" spans="2:42">
      <c r="B2074" s="47" t="s">
        <v>1142</v>
      </c>
      <c r="C2074" s="47"/>
      <c r="D2074" s="441"/>
      <c r="E2074" s="319">
        <v>0</v>
      </c>
      <c r="F2074" s="320"/>
      <c r="G2074" s="4"/>
      <c r="H2074" s="47"/>
      <c r="I2074" s="47"/>
      <c r="J2074" s="319">
        <v>0</v>
      </c>
      <c r="K2074" s="320"/>
      <c r="L2074" s="4"/>
      <c r="M2074" s="47"/>
      <c r="N2074" s="47"/>
      <c r="O2074" s="319">
        <v>0</v>
      </c>
      <c r="P2074" s="320"/>
      <c r="R2074" s="47"/>
      <c r="S2074" s="47"/>
      <c r="T2074" s="319">
        <v>0</v>
      </c>
      <c r="U2074" s="320"/>
      <c r="W2074" s="47"/>
      <c r="X2074" s="47"/>
      <c r="Y2074" s="319">
        <v>0</v>
      </c>
      <c r="Z2074" s="320"/>
      <c r="AA2074" s="328">
        <f t="shared" si="253"/>
        <v>0</v>
      </c>
      <c r="AB2074" s="400">
        <f t="shared" si="254"/>
        <v>0</v>
      </c>
      <c r="AC2074" s="4"/>
      <c r="AD2074" s="47"/>
      <c r="AE2074" s="47"/>
      <c r="AF2074" s="319"/>
      <c r="AG2074" s="328">
        <f t="shared" si="255"/>
        <v>0</v>
      </c>
      <c r="AK2074" s="192" t="s">
        <v>1115</v>
      </c>
      <c r="AL2074" s="1394">
        <v>25</v>
      </c>
      <c r="AM2074" s="510">
        <v>47.74</v>
      </c>
      <c r="AN2074" s="510">
        <f>AM2074*AL2074</f>
        <v>1193.5</v>
      </c>
    </row>
    <row r="2075" spans="2:42">
      <c r="B2075" s="47" t="s">
        <v>1143</v>
      </c>
      <c r="C2075" s="47"/>
      <c r="D2075" s="441"/>
      <c r="E2075" s="319">
        <v>0</v>
      </c>
      <c r="F2075" s="320"/>
      <c r="G2075" s="4"/>
      <c r="H2075" s="47"/>
      <c r="I2075" s="47"/>
      <c r="J2075" s="319">
        <v>0</v>
      </c>
      <c r="K2075" s="320"/>
      <c r="L2075" s="4"/>
      <c r="M2075" s="47"/>
      <c r="N2075" s="47"/>
      <c r="O2075" s="319">
        <v>0</v>
      </c>
      <c r="P2075" s="320"/>
      <c r="R2075" s="47"/>
      <c r="S2075" s="47"/>
      <c r="T2075" s="319">
        <v>0</v>
      </c>
      <c r="U2075" s="320"/>
      <c r="W2075" s="47"/>
      <c r="X2075" s="47"/>
      <c r="Y2075" s="319">
        <v>0</v>
      </c>
      <c r="Z2075" s="320"/>
      <c r="AA2075" s="328">
        <f t="shared" si="253"/>
        <v>0</v>
      </c>
      <c r="AB2075" s="400">
        <f t="shared" si="254"/>
        <v>0</v>
      </c>
      <c r="AC2075" s="4"/>
      <c r="AD2075" s="47"/>
      <c r="AE2075" s="47"/>
      <c r="AF2075" s="319"/>
      <c r="AG2075" s="328">
        <f t="shared" si="255"/>
        <v>0</v>
      </c>
      <c r="AK2075" s="192"/>
      <c r="AL2075" s="189"/>
      <c r="AM2075" s="510"/>
      <c r="AN2075" s="510"/>
    </row>
    <row r="2076" spans="2:42">
      <c r="B2076" s="47" t="s">
        <v>1144</v>
      </c>
      <c r="C2076" s="47"/>
      <c r="D2076" s="441"/>
      <c r="E2076" s="319">
        <v>0</v>
      </c>
      <c r="F2076" s="320"/>
      <c r="G2076" s="4"/>
      <c r="H2076" s="47"/>
      <c r="I2076" s="47"/>
      <c r="J2076" s="319">
        <v>0</v>
      </c>
      <c r="K2076" s="320"/>
      <c r="L2076" s="4"/>
      <c r="M2076" s="47"/>
      <c r="N2076" s="47"/>
      <c r="O2076" s="319">
        <v>0</v>
      </c>
      <c r="P2076" s="320"/>
      <c r="R2076" s="47"/>
      <c r="S2076" s="47"/>
      <c r="T2076" s="319">
        <v>0</v>
      </c>
      <c r="U2076" s="320"/>
      <c r="W2076" s="47"/>
      <c r="X2076" s="47"/>
      <c r="Y2076" s="319">
        <v>0</v>
      </c>
      <c r="Z2076" s="320"/>
      <c r="AA2076" s="328">
        <f t="shared" si="253"/>
        <v>0</v>
      </c>
      <c r="AB2076" s="400">
        <f t="shared" si="254"/>
        <v>0</v>
      </c>
      <c r="AC2076" s="4"/>
      <c r="AD2076" s="47"/>
      <c r="AE2076" s="47"/>
      <c r="AF2076" s="319"/>
      <c r="AG2076" s="328">
        <f t="shared" si="255"/>
        <v>0</v>
      </c>
      <c r="AK2076" s="192"/>
      <c r="AL2076" s="189"/>
      <c r="AM2076" s="510"/>
      <c r="AN2076" s="510"/>
    </row>
    <row r="2077" spans="2:42">
      <c r="B2077" s="47" t="s">
        <v>1113</v>
      </c>
      <c r="C2077" s="47"/>
      <c r="D2077" s="47"/>
      <c r="E2077" s="319">
        <v>0</v>
      </c>
      <c r="F2077" s="320"/>
      <c r="G2077" s="4"/>
      <c r="H2077" s="47"/>
      <c r="I2077" s="47"/>
      <c r="J2077" s="319">
        <v>0</v>
      </c>
      <c r="K2077" s="320"/>
      <c r="L2077" s="4"/>
      <c r="M2077" s="47"/>
      <c r="N2077" s="47"/>
      <c r="O2077" s="319">
        <v>0</v>
      </c>
      <c r="P2077" s="320"/>
      <c r="R2077" s="47"/>
      <c r="S2077" s="47"/>
      <c r="T2077" s="319">
        <v>0</v>
      </c>
      <c r="U2077" s="320"/>
      <c r="W2077" s="47"/>
      <c r="X2077" s="47"/>
      <c r="Y2077" s="319">
        <v>0</v>
      </c>
      <c r="Z2077" s="320"/>
      <c r="AA2077" s="328">
        <f t="shared" si="253"/>
        <v>0</v>
      </c>
      <c r="AB2077" s="400">
        <f t="shared" si="254"/>
        <v>0</v>
      </c>
      <c r="AC2077" s="4"/>
      <c r="AD2077" s="47"/>
      <c r="AE2077" s="47"/>
      <c r="AF2077" s="319"/>
      <c r="AG2077" s="328">
        <f t="shared" si="255"/>
        <v>0</v>
      </c>
    </row>
    <row r="2078" spans="2:42">
      <c r="B2078" s="1306" t="s">
        <v>1155</v>
      </c>
      <c r="C2078" s="47">
        <v>0.375</v>
      </c>
      <c r="D2078" s="47">
        <v>0.25</v>
      </c>
      <c r="E2078" s="319">
        <v>8</v>
      </c>
      <c r="F2078" s="320"/>
      <c r="G2078" s="4"/>
      <c r="H2078" s="47">
        <v>0.39583333333333331</v>
      </c>
      <c r="I2078" s="47">
        <v>0.27083333333333331</v>
      </c>
      <c r="J2078" s="319">
        <v>8</v>
      </c>
      <c r="K2078" s="320"/>
      <c r="L2078" s="4"/>
      <c r="M2078" s="47">
        <v>0.375</v>
      </c>
      <c r="N2078" s="47">
        <v>0.25</v>
      </c>
      <c r="O2078" s="319">
        <v>8</v>
      </c>
      <c r="P2078" s="320"/>
      <c r="R2078" s="47">
        <v>0.375</v>
      </c>
      <c r="S2078" s="47">
        <v>0.25</v>
      </c>
      <c r="T2078" s="319">
        <v>8</v>
      </c>
      <c r="U2078" s="320"/>
      <c r="W2078" s="47">
        <v>0.375</v>
      </c>
      <c r="X2078" s="47">
        <v>0.25</v>
      </c>
      <c r="Y2078" s="319">
        <v>8</v>
      </c>
      <c r="Z2078" s="320"/>
      <c r="AA2078" s="328">
        <f t="shared" si="253"/>
        <v>40</v>
      </c>
      <c r="AB2078" s="400">
        <f t="shared" si="254"/>
        <v>0</v>
      </c>
      <c r="AC2078" s="4"/>
      <c r="AD2078" s="47"/>
      <c r="AE2078" s="47"/>
      <c r="AF2078" s="319"/>
      <c r="AG2078" s="328">
        <f t="shared" si="255"/>
        <v>0</v>
      </c>
    </row>
    <row r="2079" spans="2:42">
      <c r="B2079" s="1306" t="s">
        <v>1160</v>
      </c>
      <c r="C2079" s="47">
        <v>0.35416666666666669</v>
      </c>
      <c r="D2079" s="47">
        <v>0.22916666666666666</v>
      </c>
      <c r="E2079" s="319">
        <v>8</v>
      </c>
      <c r="F2079" s="320"/>
      <c r="G2079" s="4"/>
      <c r="H2079" s="47">
        <v>0.33333333333333331</v>
      </c>
      <c r="I2079" s="47">
        <v>0.20833333333333334</v>
      </c>
      <c r="J2079" s="319">
        <v>8</v>
      </c>
      <c r="K2079" s="320"/>
      <c r="L2079" s="4"/>
      <c r="M2079" s="47">
        <v>0.33333333333333331</v>
      </c>
      <c r="N2079" s="47">
        <v>0.20833333333333334</v>
      </c>
      <c r="O2079" s="319">
        <v>8</v>
      </c>
      <c r="P2079" s="320"/>
      <c r="R2079" s="47">
        <v>0.33333333333333331</v>
      </c>
      <c r="S2079" s="47">
        <v>0.20833333333333334</v>
      </c>
      <c r="T2079" s="319">
        <v>8</v>
      </c>
      <c r="U2079" s="320"/>
      <c r="W2079" s="47">
        <v>0.375</v>
      </c>
      <c r="X2079" s="47">
        <v>0.25</v>
      </c>
      <c r="Y2079" s="319">
        <v>8</v>
      </c>
      <c r="Z2079" s="320"/>
      <c r="AA2079" s="328">
        <f t="shared" si="253"/>
        <v>40</v>
      </c>
      <c r="AB2079" s="400">
        <f t="shared" si="254"/>
        <v>0</v>
      </c>
      <c r="AC2079" s="4"/>
      <c r="AD2079" s="47"/>
      <c r="AE2079" s="47"/>
      <c r="AF2079" s="319"/>
      <c r="AG2079" s="328">
        <f t="shared" si="255"/>
        <v>0</v>
      </c>
    </row>
    <row r="2080" spans="2:42">
      <c r="B2080" s="1306" t="s">
        <v>1164</v>
      </c>
      <c r="C2080" s="47">
        <v>0.375</v>
      </c>
      <c r="D2080" s="47">
        <v>0.25</v>
      </c>
      <c r="E2080" s="319">
        <v>8</v>
      </c>
      <c r="F2080" s="320"/>
      <c r="G2080" s="4"/>
      <c r="H2080" s="47">
        <v>0.39583333333333331</v>
      </c>
      <c r="I2080" s="47">
        <v>0.27083333333333331</v>
      </c>
      <c r="J2080" s="319">
        <v>8</v>
      </c>
      <c r="K2080" s="320"/>
      <c r="L2080" s="4"/>
      <c r="M2080" s="47">
        <v>0.375</v>
      </c>
      <c r="N2080" s="47">
        <v>0.25</v>
      </c>
      <c r="O2080" s="319">
        <v>8</v>
      </c>
      <c r="P2080" s="320"/>
      <c r="R2080" s="47">
        <v>0.375</v>
      </c>
      <c r="S2080" s="47">
        <v>0.25</v>
      </c>
      <c r="T2080" s="319">
        <v>8</v>
      </c>
      <c r="U2080" s="320"/>
      <c r="W2080" s="47"/>
      <c r="X2080" s="47"/>
      <c r="Y2080" s="319">
        <v>0</v>
      </c>
      <c r="Z2080" s="320"/>
      <c r="AA2080" s="328">
        <f t="shared" si="253"/>
        <v>32</v>
      </c>
      <c r="AB2080" s="400">
        <f t="shared" si="254"/>
        <v>0</v>
      </c>
      <c r="AC2080" s="4"/>
      <c r="AD2080" s="47"/>
      <c r="AE2080" s="47"/>
      <c r="AF2080" s="319"/>
      <c r="AG2080" s="328">
        <f t="shared" si="255"/>
        <v>0</v>
      </c>
    </row>
    <row r="2081" spans="2:37">
      <c r="B2081" s="502" t="s">
        <v>483</v>
      </c>
      <c r="C2081" s="47"/>
      <c r="D2081" s="47"/>
      <c r="E2081" s="319">
        <v>0</v>
      </c>
      <c r="F2081" s="320"/>
      <c r="G2081" s="4"/>
      <c r="H2081" s="47"/>
      <c r="I2081" s="47"/>
      <c r="J2081" s="319">
        <v>0</v>
      </c>
      <c r="K2081" s="320"/>
      <c r="L2081" s="4"/>
      <c r="M2081" s="47"/>
      <c r="N2081" s="47"/>
      <c r="O2081" s="319">
        <v>0</v>
      </c>
      <c r="P2081" s="320"/>
      <c r="R2081" s="47"/>
      <c r="S2081" s="47"/>
      <c r="T2081" s="319">
        <v>0</v>
      </c>
      <c r="U2081" s="320"/>
      <c r="W2081" s="47"/>
      <c r="X2081" s="47"/>
      <c r="Y2081" s="319">
        <v>0</v>
      </c>
      <c r="Z2081" s="320"/>
      <c r="AA2081" s="328">
        <f t="shared" si="253"/>
        <v>0</v>
      </c>
      <c r="AB2081" s="400">
        <f t="shared" si="254"/>
        <v>0</v>
      </c>
      <c r="AC2081" s="4"/>
      <c r="AD2081" s="47"/>
      <c r="AE2081" s="47"/>
      <c r="AF2081" s="319"/>
      <c r="AG2081" s="328">
        <f t="shared" si="255"/>
        <v>0</v>
      </c>
    </row>
    <row r="2082" spans="2:37">
      <c r="B2082" s="502" t="s">
        <v>483</v>
      </c>
      <c r="C2082" s="47"/>
      <c r="D2082" s="47"/>
      <c r="E2082" s="319">
        <v>5</v>
      </c>
      <c r="F2082" s="320"/>
      <c r="G2082" s="4"/>
      <c r="H2082" s="47"/>
      <c r="I2082" s="47"/>
      <c r="J2082" s="319">
        <v>3</v>
      </c>
      <c r="K2082" s="320"/>
      <c r="L2082" s="4"/>
      <c r="M2082" s="47"/>
      <c r="N2082" s="47"/>
      <c r="O2082" s="319">
        <v>3</v>
      </c>
      <c r="P2082" s="320"/>
      <c r="R2082" s="47"/>
      <c r="S2082" s="47"/>
      <c r="T2082" s="319">
        <v>0</v>
      </c>
      <c r="U2082" s="320"/>
      <c r="W2082" s="47"/>
      <c r="X2082" s="47"/>
      <c r="Y2082" s="319">
        <v>1</v>
      </c>
      <c r="Z2082" s="320"/>
      <c r="AA2082" s="328">
        <f t="shared" si="253"/>
        <v>12</v>
      </c>
      <c r="AB2082" s="400">
        <f t="shared" si="254"/>
        <v>0</v>
      </c>
      <c r="AC2082" s="4"/>
      <c r="AD2082" s="47"/>
      <c r="AE2082" s="47"/>
      <c r="AF2082" s="319"/>
      <c r="AG2082" s="328">
        <f t="shared" si="255"/>
        <v>0</v>
      </c>
    </row>
    <row r="2083" spans="2:37">
      <c r="B2083" s="502" t="s">
        <v>484</v>
      </c>
      <c r="C2083" s="47"/>
      <c r="D2083" s="47"/>
      <c r="E2083" s="319">
        <v>5</v>
      </c>
      <c r="F2083" s="320"/>
      <c r="G2083" s="4"/>
      <c r="H2083" s="47"/>
      <c r="I2083" s="47"/>
      <c r="J2083" s="319">
        <v>3</v>
      </c>
      <c r="K2083" s="320"/>
      <c r="L2083" s="4"/>
      <c r="M2083" s="47"/>
      <c r="N2083" s="47"/>
      <c r="O2083" s="319">
        <v>3</v>
      </c>
      <c r="P2083" s="320"/>
      <c r="R2083" s="47"/>
      <c r="S2083" s="47"/>
      <c r="T2083" s="319">
        <v>0</v>
      </c>
      <c r="U2083" s="320"/>
      <c r="W2083" s="47"/>
      <c r="X2083" s="47"/>
      <c r="Y2083" s="319">
        <v>1</v>
      </c>
      <c r="Z2083" s="320"/>
      <c r="AA2083" s="328">
        <f t="shared" si="253"/>
        <v>12</v>
      </c>
      <c r="AB2083" s="400">
        <f t="shared" si="254"/>
        <v>0</v>
      </c>
      <c r="AC2083" s="4"/>
      <c r="AD2083" s="47"/>
      <c r="AE2083" s="47"/>
      <c r="AF2083" s="319"/>
      <c r="AG2083" s="328">
        <f t="shared" si="255"/>
        <v>0</v>
      </c>
    </row>
    <row r="2084" spans="2:37">
      <c r="B2084" s="502" t="s">
        <v>485</v>
      </c>
      <c r="C2084" s="47"/>
      <c r="D2084" s="47"/>
      <c r="E2084" s="319">
        <v>5</v>
      </c>
      <c r="F2084" s="320"/>
      <c r="G2084" s="4"/>
      <c r="H2084" s="47"/>
      <c r="I2084" s="47"/>
      <c r="J2084" s="319">
        <v>3</v>
      </c>
      <c r="K2084" s="320"/>
      <c r="L2084" s="4"/>
      <c r="M2084" s="47"/>
      <c r="N2084" s="47"/>
      <c r="O2084" s="319">
        <v>3</v>
      </c>
      <c r="P2084" s="320"/>
      <c r="R2084" s="47"/>
      <c r="S2084" s="47"/>
      <c r="T2084" s="319">
        <v>0</v>
      </c>
      <c r="U2084" s="320"/>
      <c r="W2084" s="47"/>
      <c r="X2084" s="47"/>
      <c r="Y2084" s="319">
        <v>1</v>
      </c>
      <c r="Z2084" s="320"/>
      <c r="AA2084" s="328">
        <f t="shared" si="253"/>
        <v>12</v>
      </c>
      <c r="AB2084" s="400">
        <f t="shared" si="254"/>
        <v>0</v>
      </c>
      <c r="AC2084" s="4"/>
      <c r="AD2084" s="47"/>
      <c r="AE2084" s="47"/>
      <c r="AF2084" s="319"/>
      <c r="AG2084" s="328">
        <f t="shared" si="255"/>
        <v>0</v>
      </c>
      <c r="AK2084" s="193" t="s">
        <v>1167</v>
      </c>
    </row>
    <row r="2085" spans="2:37">
      <c r="B2085" s="502" t="s">
        <v>1129</v>
      </c>
      <c r="C2085" s="47"/>
      <c r="D2085" s="47"/>
      <c r="E2085" s="319">
        <v>0</v>
      </c>
      <c r="F2085" s="320"/>
      <c r="G2085" s="4"/>
      <c r="H2085" s="47"/>
      <c r="I2085" s="47"/>
      <c r="J2085" s="319">
        <v>0</v>
      </c>
      <c r="K2085" s="320"/>
      <c r="L2085" s="4"/>
      <c r="M2085" s="47"/>
      <c r="N2085" s="47"/>
      <c r="O2085" s="319">
        <v>0</v>
      </c>
      <c r="P2085" s="320"/>
      <c r="R2085" s="47"/>
      <c r="S2085" s="47"/>
      <c r="T2085" s="319">
        <v>0</v>
      </c>
      <c r="U2085" s="320"/>
      <c r="W2085" s="47"/>
      <c r="X2085" s="47"/>
      <c r="Y2085" s="319">
        <v>0</v>
      </c>
      <c r="Z2085" s="320"/>
      <c r="AA2085" s="328">
        <f t="shared" si="253"/>
        <v>0</v>
      </c>
      <c r="AB2085" s="400">
        <f t="shared" si="254"/>
        <v>0</v>
      </c>
      <c r="AC2085" s="4"/>
      <c r="AD2085" s="47"/>
      <c r="AE2085" s="47"/>
      <c r="AF2085" s="319"/>
      <c r="AG2085" s="328">
        <f t="shared" si="255"/>
        <v>0</v>
      </c>
      <c r="AK2085" s="193">
        <f>O2093+T2093+Y2093</f>
        <v>150.5</v>
      </c>
    </row>
    <row r="2086" spans="2:37">
      <c r="B2086" s="267" t="s">
        <v>358</v>
      </c>
      <c r="C2086" s="47"/>
      <c r="D2086" s="47"/>
      <c r="E2086" s="319">
        <v>1</v>
      </c>
      <c r="F2086" s="320"/>
      <c r="G2086" s="4"/>
      <c r="H2086" s="47"/>
      <c r="I2086" s="47"/>
      <c r="J2086" s="319">
        <v>1</v>
      </c>
      <c r="K2086" s="320"/>
      <c r="L2086" s="438"/>
      <c r="M2086" s="47"/>
      <c r="N2086" s="47"/>
      <c r="O2086" s="319">
        <v>1</v>
      </c>
      <c r="P2086" s="320"/>
      <c r="Q2086" s="438"/>
      <c r="R2086" s="47"/>
      <c r="S2086" s="47"/>
      <c r="T2086" s="319">
        <v>1</v>
      </c>
      <c r="U2086" s="320"/>
      <c r="V2086" s="438"/>
      <c r="W2086" s="47"/>
      <c r="X2086" s="47"/>
      <c r="Y2086" s="319">
        <v>1</v>
      </c>
      <c r="Z2086" s="320"/>
      <c r="AA2086" s="328">
        <f t="shared" si="253"/>
        <v>5</v>
      </c>
      <c r="AB2086" s="400">
        <f t="shared" si="254"/>
        <v>0</v>
      </c>
      <c r="AC2086" s="4"/>
      <c r="AD2086" s="47"/>
      <c r="AE2086" s="47"/>
      <c r="AF2086" s="319"/>
      <c r="AG2086" s="328">
        <f t="shared" si="255"/>
        <v>0</v>
      </c>
      <c r="AK2086" s="193">
        <f>O2094+T2094+Y2094</f>
        <v>24</v>
      </c>
    </row>
    <row r="2087" spans="2:37">
      <c r="B2087" s="267" t="s">
        <v>991</v>
      </c>
      <c r="C2087" s="47"/>
      <c r="D2087" s="47"/>
      <c r="E2087" s="319">
        <v>0</v>
      </c>
      <c r="F2087" s="320"/>
      <c r="G2087" s="4"/>
      <c r="H2087" s="47"/>
      <c r="I2087" s="47"/>
      <c r="J2087" s="319">
        <v>0</v>
      </c>
      <c r="K2087" s="320"/>
      <c r="L2087" s="438"/>
      <c r="M2087" s="47"/>
      <c r="N2087" s="47"/>
      <c r="O2087" s="319">
        <v>0</v>
      </c>
      <c r="P2087" s="320"/>
      <c r="Q2087" s="438"/>
      <c r="R2087" s="47"/>
      <c r="S2087" s="47"/>
      <c r="T2087" s="319">
        <v>0</v>
      </c>
      <c r="U2087" s="320"/>
      <c r="V2087" s="438"/>
      <c r="W2087" s="47"/>
      <c r="X2087" s="47"/>
      <c r="Y2087" s="319">
        <v>0</v>
      </c>
      <c r="Z2087" s="320"/>
      <c r="AA2087" s="328">
        <f t="shared" si="253"/>
        <v>0</v>
      </c>
      <c r="AB2087" s="400">
        <f t="shared" si="254"/>
        <v>0</v>
      </c>
      <c r="AC2087" s="4"/>
      <c r="AD2087" s="47"/>
      <c r="AE2087" s="47"/>
      <c r="AF2087" s="319"/>
      <c r="AG2087" s="328">
        <f t="shared" si="255"/>
        <v>0</v>
      </c>
    </row>
    <row r="2088" spans="2:37">
      <c r="B2088" s="267" t="s">
        <v>411</v>
      </c>
      <c r="C2088" s="47"/>
      <c r="D2088" s="47"/>
      <c r="E2088" s="319">
        <v>0</v>
      </c>
      <c r="F2088" s="320"/>
      <c r="G2088" s="4"/>
      <c r="H2088" s="47"/>
      <c r="I2088" s="47"/>
      <c r="J2088" s="319">
        <v>0</v>
      </c>
      <c r="K2088" s="320"/>
      <c r="L2088" s="438"/>
      <c r="M2088" s="47"/>
      <c r="N2088" s="47"/>
      <c r="O2088" s="319">
        <v>0</v>
      </c>
      <c r="P2088" s="320"/>
      <c r="Q2088" s="438"/>
      <c r="R2088" s="47"/>
      <c r="S2088" s="47"/>
      <c r="T2088" s="319">
        <v>0</v>
      </c>
      <c r="U2088" s="320"/>
      <c r="V2088" s="438"/>
      <c r="W2088" s="47"/>
      <c r="X2088" s="47"/>
      <c r="Y2088" s="319">
        <v>0</v>
      </c>
      <c r="Z2088" s="320"/>
      <c r="AA2088" s="328">
        <f t="shared" si="253"/>
        <v>0</v>
      </c>
      <c r="AB2088" s="400">
        <f t="shared" si="254"/>
        <v>0</v>
      </c>
      <c r="AC2088" s="4"/>
      <c r="AD2088" s="47"/>
      <c r="AE2088" s="47"/>
      <c r="AF2088" s="319"/>
      <c r="AG2088" s="328">
        <f t="shared" si="255"/>
        <v>0</v>
      </c>
    </row>
    <row r="2089" spans="2:37">
      <c r="B2089" s="267" t="s">
        <v>361</v>
      </c>
      <c r="C2089" s="47"/>
      <c r="D2089" s="47"/>
      <c r="E2089" s="319">
        <v>0</v>
      </c>
      <c r="F2089" s="320"/>
      <c r="G2089" s="4"/>
      <c r="H2089" s="47"/>
      <c r="I2089" s="47"/>
      <c r="J2089" s="319">
        <v>0</v>
      </c>
      <c r="K2089" s="320"/>
      <c r="L2089" s="438"/>
      <c r="M2089" s="47"/>
      <c r="N2089" s="47"/>
      <c r="O2089" s="319">
        <v>0</v>
      </c>
      <c r="P2089" s="320"/>
      <c r="Q2089" s="438"/>
      <c r="R2089" s="47"/>
      <c r="S2089" s="47"/>
      <c r="T2089" s="319">
        <v>0</v>
      </c>
      <c r="U2089" s="320"/>
      <c r="V2089" s="438"/>
      <c r="W2089" s="47"/>
      <c r="X2089" s="47"/>
      <c r="Y2089" s="319">
        <v>0</v>
      </c>
      <c r="Z2089" s="320"/>
      <c r="AA2089" s="328">
        <f t="shared" si="253"/>
        <v>0</v>
      </c>
      <c r="AB2089" s="400">
        <f t="shared" si="254"/>
        <v>0</v>
      </c>
      <c r="AC2089" s="4"/>
      <c r="AD2089" s="47"/>
      <c r="AE2089" s="47"/>
      <c r="AF2089" s="319"/>
      <c r="AG2089" s="328">
        <f t="shared" si="255"/>
        <v>0</v>
      </c>
    </row>
    <row r="2090" spans="2:37">
      <c r="B2090" s="267" t="s">
        <v>362</v>
      </c>
      <c r="C2090" s="47"/>
      <c r="D2090" s="5"/>
      <c r="E2090" s="319">
        <v>0</v>
      </c>
      <c r="F2090" s="320"/>
      <c r="G2090" s="4"/>
      <c r="H2090" s="47"/>
      <c r="I2090" s="5"/>
      <c r="J2090" s="319">
        <v>0</v>
      </c>
      <c r="K2090" s="320"/>
      <c r="L2090" s="438"/>
      <c r="M2090" s="47"/>
      <c r="N2090" s="5"/>
      <c r="O2090" s="319">
        <v>0</v>
      </c>
      <c r="P2090" s="320"/>
      <c r="Q2090" s="438"/>
      <c r="R2090" s="47"/>
      <c r="S2090" s="5"/>
      <c r="T2090" s="319">
        <v>0.5</v>
      </c>
      <c r="U2090" s="320"/>
      <c r="V2090" s="438"/>
      <c r="W2090" s="47"/>
      <c r="X2090" s="5"/>
      <c r="Y2090" s="319">
        <v>0</v>
      </c>
      <c r="Z2090" s="320"/>
      <c r="AA2090" s="328">
        <f t="shared" si="253"/>
        <v>0.5</v>
      </c>
      <c r="AB2090" s="400">
        <f t="shared" si="254"/>
        <v>0</v>
      </c>
      <c r="AC2090" s="4"/>
      <c r="AD2090" s="47"/>
      <c r="AE2090" s="47"/>
      <c r="AF2090" s="319"/>
      <c r="AG2090" s="328">
        <f t="shared" si="255"/>
        <v>0</v>
      </c>
    </row>
    <row r="2091" spans="2:37">
      <c r="B2091" s="437" t="s">
        <v>355</v>
      </c>
      <c r="C2091" s="47"/>
      <c r="D2091" s="47"/>
      <c r="E2091" s="319">
        <v>7.75</v>
      </c>
      <c r="F2091" s="320"/>
      <c r="G2091" s="4"/>
      <c r="H2091" s="47"/>
      <c r="I2091" s="47"/>
      <c r="J2091" s="319">
        <v>0</v>
      </c>
      <c r="K2091" s="320"/>
      <c r="L2091" s="438"/>
      <c r="M2091" s="47"/>
      <c r="N2091" s="47"/>
      <c r="O2091" s="319">
        <v>7.75</v>
      </c>
      <c r="P2091" s="320"/>
      <c r="Q2091" s="438"/>
      <c r="R2091" s="47"/>
      <c r="S2091" s="47"/>
      <c r="T2091" s="319">
        <v>0</v>
      </c>
      <c r="U2091" s="320"/>
      <c r="V2091" s="438"/>
      <c r="W2091" s="47"/>
      <c r="X2091" s="47"/>
      <c r="Y2091" s="319">
        <v>15.25</v>
      </c>
      <c r="Z2091" s="320"/>
      <c r="AA2091" s="328">
        <f t="shared" si="253"/>
        <v>30.75</v>
      </c>
      <c r="AB2091" s="400">
        <f t="shared" si="254"/>
        <v>0</v>
      </c>
      <c r="AC2091" s="4"/>
      <c r="AD2091" s="47"/>
      <c r="AE2091" s="47"/>
      <c r="AF2091" s="319"/>
      <c r="AG2091" s="328">
        <f t="shared" si="255"/>
        <v>0</v>
      </c>
    </row>
    <row r="2092" spans="2:37">
      <c r="B2092" s="437" t="s">
        <v>356</v>
      </c>
      <c r="C2092" s="713"/>
      <c r="D2092" s="713"/>
      <c r="E2092" s="319">
        <v>0</v>
      </c>
      <c r="F2092" s="320"/>
      <c r="G2092" s="438"/>
      <c r="H2092" s="5"/>
      <c r="I2092" s="5"/>
      <c r="J2092" s="319">
        <v>0</v>
      </c>
      <c r="K2092" s="320"/>
      <c r="L2092" s="438"/>
      <c r="M2092" s="5"/>
      <c r="N2092" s="5"/>
      <c r="O2092" s="319">
        <v>0</v>
      </c>
      <c r="P2092" s="320"/>
      <c r="Q2092" s="438"/>
      <c r="R2092" s="5"/>
      <c r="S2092" s="5"/>
      <c r="T2092" s="319">
        <v>0</v>
      </c>
      <c r="U2092" s="320"/>
      <c r="V2092" s="438"/>
      <c r="W2092" s="5"/>
      <c r="X2092" s="5"/>
      <c r="Y2092" s="319">
        <v>0</v>
      </c>
      <c r="Z2092" s="320"/>
      <c r="AA2092" s="328">
        <f t="shared" si="253"/>
        <v>0</v>
      </c>
      <c r="AB2092" s="400">
        <f t="shared" si="254"/>
        <v>0</v>
      </c>
      <c r="AC2092" s="4"/>
      <c r="AD2092" s="47"/>
      <c r="AE2092" s="47"/>
      <c r="AF2092" s="319"/>
      <c r="AG2092" s="328">
        <f t="shared" si="255"/>
        <v>0</v>
      </c>
    </row>
    <row r="2093" spans="2:37">
      <c r="B2093" s="31" t="s">
        <v>61</v>
      </c>
      <c r="C2093" s="31"/>
      <c r="D2093" s="31"/>
      <c r="E2093" s="439">
        <f>SUM(E2067:E2092)</f>
        <v>55.75</v>
      </c>
      <c r="F2093" s="320"/>
      <c r="G2093" s="31"/>
      <c r="H2093" s="31"/>
      <c r="I2093" s="31"/>
      <c r="J2093" s="439">
        <f>SUM(J2067:J2092)</f>
        <v>42</v>
      </c>
      <c r="K2093" s="320"/>
      <c r="L2093" s="31"/>
      <c r="M2093" s="31"/>
      <c r="N2093" s="31"/>
      <c r="O2093" s="439">
        <f>SUM(O2067:O2092)</f>
        <v>57.75</v>
      </c>
      <c r="P2093" s="320"/>
      <c r="Q2093" s="31"/>
      <c r="R2093" s="31"/>
      <c r="S2093" s="31"/>
      <c r="T2093" s="439">
        <f>SUM(T2067:T2092)</f>
        <v>41.5</v>
      </c>
      <c r="U2093" s="320"/>
      <c r="V2093" s="31"/>
      <c r="W2093" s="31"/>
      <c r="X2093" s="31"/>
      <c r="Y2093" s="439">
        <f>SUM(Y2067:Y2092)</f>
        <v>51.25</v>
      </c>
      <c r="Z2093" s="320"/>
      <c r="AA2093" s="328">
        <f>SUM(AA2067:AA2092)</f>
        <v>248.25</v>
      </c>
      <c r="AB2093" s="328">
        <f>SUM(AB2067:AB2092)</f>
        <v>0</v>
      </c>
      <c r="AC2093" s="4"/>
      <c r="AD2093" s="31"/>
      <c r="AE2093" s="31"/>
      <c r="AF2093" s="328">
        <f>SUM(AF2067:AF2092)</f>
        <v>0</v>
      </c>
      <c r="AG2093" s="328">
        <f>SUM(AG2067:AG2092)</f>
        <v>0</v>
      </c>
    </row>
    <row r="2094" spans="2:37">
      <c r="B2094" s="267" t="s">
        <v>1116</v>
      </c>
      <c r="C2094" s="47"/>
      <c r="D2094" s="47"/>
      <c r="E2094" s="346">
        <v>8</v>
      </c>
      <c r="F2094" s="320"/>
      <c r="G2094" s="4"/>
      <c r="H2094" s="47"/>
      <c r="I2094" s="47"/>
      <c r="J2094" s="319">
        <v>8</v>
      </c>
      <c r="K2094" s="320"/>
      <c r="L2094" s="4"/>
      <c r="M2094" s="47"/>
      <c r="N2094" s="47"/>
      <c r="O2094" s="319">
        <v>8</v>
      </c>
      <c r="P2094" s="320"/>
      <c r="R2094" s="47"/>
      <c r="S2094" s="47"/>
      <c r="T2094" s="319">
        <v>8</v>
      </c>
      <c r="U2094" s="320"/>
      <c r="W2094" s="47"/>
      <c r="X2094" s="47"/>
      <c r="Y2094" s="319">
        <v>8</v>
      </c>
      <c r="Z2094" s="320"/>
      <c r="AA2094" s="328">
        <f>(E2094+J2094+O2094+T2094+Y2094)</f>
        <v>40</v>
      </c>
      <c r="AB2094" s="400">
        <f>Z2094+U2094+P2094+K2094+F2094</f>
        <v>0</v>
      </c>
      <c r="AC2094" s="4"/>
      <c r="AD2094" s="47"/>
      <c r="AE2094" s="47"/>
      <c r="AF2094" s="319"/>
      <c r="AG2094" s="328">
        <f>AF2094</f>
        <v>0</v>
      </c>
    </row>
    <row r="2095" spans="2:37">
      <c r="B2095" s="267" t="s">
        <v>64</v>
      </c>
      <c r="C2095" s="47"/>
      <c r="D2095" s="47"/>
      <c r="E2095" s="319">
        <v>0</v>
      </c>
      <c r="F2095" s="319"/>
      <c r="G2095" s="71"/>
      <c r="H2095" s="47"/>
      <c r="I2095" s="47"/>
      <c r="J2095" s="319">
        <v>0</v>
      </c>
      <c r="K2095" s="319"/>
      <c r="L2095" s="438"/>
      <c r="M2095" s="47"/>
      <c r="N2095" s="47"/>
      <c r="O2095" s="319">
        <v>0</v>
      </c>
      <c r="P2095" s="319"/>
      <c r="Q2095" s="438"/>
      <c r="R2095" s="47"/>
      <c r="S2095" s="47"/>
      <c r="T2095" s="319">
        <v>0</v>
      </c>
      <c r="U2095" s="319"/>
      <c r="V2095" s="438"/>
      <c r="W2095" s="47"/>
      <c r="X2095" s="47"/>
      <c r="Y2095" s="319">
        <v>0</v>
      </c>
      <c r="Z2095" s="319"/>
      <c r="AA2095" s="328">
        <f>SUM(E2095+J2095+O2095+T2095+Y2095)</f>
        <v>0</v>
      </c>
      <c r="AB2095" s="897">
        <f>Z2095+U2095+P2095+K2095+F2095</f>
        <v>0</v>
      </c>
      <c r="AC2095" s="4"/>
      <c r="AD2095" s="47" t="s">
        <v>29</v>
      </c>
      <c r="AE2095" s="47" t="s">
        <v>29</v>
      </c>
      <c r="AF2095" s="319"/>
      <c r="AG2095" s="328">
        <f>AF2095</f>
        <v>0</v>
      </c>
    </row>
    <row r="2096" spans="2:37">
      <c r="B2096" s="71" t="s">
        <v>66</v>
      </c>
      <c r="C2096" s="1210"/>
      <c r="D2096" s="1210"/>
      <c r="E2096" s="1208"/>
      <c r="F2096" s="71"/>
      <c r="G2096" s="71"/>
      <c r="H2096" s="71"/>
      <c r="I2096" s="71"/>
      <c r="J2096" s="71"/>
      <c r="K2096" s="71"/>
      <c r="L2096" s="71"/>
      <c r="M2096" s="71"/>
      <c r="N2096" s="71"/>
      <c r="O2096" s="71"/>
      <c r="P2096" s="71"/>
      <c r="Q2096" s="71"/>
      <c r="R2096" s="71"/>
      <c r="S2096" s="71"/>
      <c r="T2096" s="71"/>
      <c r="U2096" s="71"/>
      <c r="V2096" s="71"/>
      <c r="W2096" s="71"/>
      <c r="X2096" s="71"/>
      <c r="Y2096" s="71"/>
      <c r="Z2096" s="71"/>
      <c r="AA2096" s="328">
        <f>SUM(AA2094:AA2095)</f>
        <v>40</v>
      </c>
      <c r="AB2096" s="328">
        <f>SUM(AB2095:AB2095)</f>
        <v>0</v>
      </c>
      <c r="AC2096" s="4"/>
      <c r="AG2096" s="328">
        <f>SUM(AG2095:AG2095)</f>
        <v>0</v>
      </c>
      <c r="AK2096" s="407"/>
    </row>
    <row r="2097" spans="2:42">
      <c r="B2097" s="899" t="s">
        <v>67</v>
      </c>
      <c r="C2097" s="1383">
        <v>0</v>
      </c>
      <c r="D2097" s="900"/>
      <c r="E2097" s="901"/>
      <c r="F2097" s="901"/>
      <c r="G2097" s="900"/>
      <c r="H2097" s="901"/>
      <c r="I2097" s="901"/>
      <c r="J2097" s="901"/>
      <c r="K2097" s="901"/>
      <c r="L2097" s="900"/>
      <c r="M2097" s="900"/>
      <c r="N2097" s="900"/>
      <c r="O2097" s="900"/>
      <c r="P2097" s="901"/>
      <c r="Q2097" s="900"/>
      <c r="R2097" s="900"/>
      <c r="S2097" s="900"/>
      <c r="T2097" s="900"/>
      <c r="U2097" s="901"/>
      <c r="V2097" s="900"/>
      <c r="W2097" s="900"/>
      <c r="X2097" s="900"/>
      <c r="Y2097" s="902"/>
      <c r="Z2097" s="901"/>
      <c r="AA2097" s="903"/>
      <c r="AB2097" s="901"/>
      <c r="AC2097" s="903"/>
      <c r="AD2097" s="903"/>
      <c r="AE2097" s="903"/>
      <c r="AF2097" s="903"/>
      <c r="AG2097" s="903"/>
      <c r="AK2097" s="407"/>
    </row>
    <row r="2098" spans="2:42">
      <c r="B2098" s="904" t="s">
        <v>68</v>
      </c>
      <c r="C2098" s="1383">
        <v>0</v>
      </c>
      <c r="D2098" s="900"/>
      <c r="E2098" s="901"/>
      <c r="F2098" s="901"/>
      <c r="G2098" s="900"/>
      <c r="H2098" s="901"/>
      <c r="I2098" s="901"/>
      <c r="J2098" s="901"/>
      <c r="K2098" s="901"/>
      <c r="L2098" s="900"/>
      <c r="M2098" s="900"/>
      <c r="N2098" s="900"/>
      <c r="O2098" s="900"/>
      <c r="P2098" s="901"/>
      <c r="Q2098" s="900"/>
      <c r="R2098" s="900"/>
      <c r="S2098" s="900"/>
      <c r="T2098" s="900"/>
      <c r="U2098" s="901"/>
      <c r="V2098" s="900"/>
      <c r="W2098" s="900"/>
      <c r="X2098" s="900"/>
      <c r="Y2098" s="902"/>
      <c r="Z2098" s="901"/>
      <c r="AA2098" s="903"/>
      <c r="AB2098" s="901"/>
      <c r="AC2098" s="903"/>
      <c r="AD2098" s="903"/>
      <c r="AE2098" s="903"/>
      <c r="AF2098" s="903"/>
      <c r="AG2098" s="903"/>
      <c r="AK2098" s="407"/>
    </row>
    <row r="2099" spans="2:42">
      <c r="B2099" s="904" t="s">
        <v>69</v>
      </c>
      <c r="C2099" s="1392">
        <v>25</v>
      </c>
      <c r="D2099" s="900"/>
      <c r="E2099" s="901"/>
      <c r="F2099" s="901"/>
      <c r="G2099" s="900"/>
      <c r="H2099" s="901"/>
      <c r="I2099" s="901"/>
      <c r="J2099" s="901"/>
      <c r="K2099" s="901"/>
      <c r="L2099" s="900"/>
      <c r="M2099" s="900"/>
      <c r="N2099" s="900"/>
      <c r="O2099" s="900"/>
      <c r="P2099" s="901"/>
      <c r="Q2099" s="900"/>
      <c r="R2099" s="900"/>
      <c r="S2099" s="900"/>
      <c r="T2099" s="900"/>
      <c r="U2099" s="901"/>
      <c r="V2099" s="900"/>
      <c r="W2099" s="900"/>
      <c r="X2099" s="900"/>
      <c r="Y2099" s="902"/>
      <c r="Z2099" s="901"/>
      <c r="AA2099" s="903"/>
      <c r="AB2099" s="901"/>
      <c r="AC2099" s="903"/>
      <c r="AD2099" s="903"/>
      <c r="AE2099" s="903"/>
      <c r="AF2099" s="903"/>
      <c r="AG2099" s="903"/>
    </row>
    <row r="2102" spans="2:42" ht="25.5">
      <c r="B2102" s="1571"/>
      <c r="C2102" s="1570">
        <v>46118</v>
      </c>
      <c r="D2102" s="1570"/>
      <c r="E2102" s="1570" t="s">
        <v>564</v>
      </c>
      <c r="F2102" s="1570"/>
      <c r="G2102" s="894"/>
      <c r="H2102" s="1570">
        <v>46119</v>
      </c>
      <c r="I2102" s="1570"/>
      <c r="J2102" s="1570" t="s">
        <v>565</v>
      </c>
      <c r="K2102" s="1570"/>
      <c r="L2102" s="894"/>
      <c r="M2102" s="1570">
        <v>46120</v>
      </c>
      <c r="N2102" s="1570"/>
      <c r="O2102" s="1570" t="s">
        <v>566</v>
      </c>
      <c r="P2102" s="1570"/>
      <c r="Q2102" s="894"/>
      <c r="R2102" s="1570">
        <v>46121</v>
      </c>
      <c r="S2102" s="1570"/>
      <c r="T2102" s="1570" t="s">
        <v>567</v>
      </c>
      <c r="U2102" s="1570"/>
      <c r="V2102" s="894"/>
      <c r="W2102" s="1570">
        <v>46122</v>
      </c>
      <c r="X2102" s="1570"/>
      <c r="Y2102" s="1570" t="s">
        <v>568</v>
      </c>
      <c r="Z2102" s="1570"/>
      <c r="AA2102" s="1569" t="s">
        <v>19</v>
      </c>
      <c r="AB2102" s="1569" t="s">
        <v>20</v>
      </c>
      <c r="AC2102" s="4"/>
      <c r="AD2102" s="1570"/>
      <c r="AE2102" s="1570"/>
      <c r="AF2102" s="895" t="s">
        <v>1111</v>
      </c>
      <c r="AG2102" s="1569" t="s">
        <v>21</v>
      </c>
      <c r="AK2102" s="194" t="s">
        <v>84</v>
      </c>
      <c r="AL2102" s="366"/>
      <c r="AM2102" s="366"/>
      <c r="AN2102" s="366"/>
      <c r="AO2102" s="366"/>
      <c r="AP2102" s="366"/>
    </row>
    <row r="2103" spans="2:42">
      <c r="B2103" s="1571"/>
      <c r="C2103" s="896" t="s">
        <v>23</v>
      </c>
      <c r="D2103" s="896" t="s">
        <v>24</v>
      </c>
      <c r="E2103" s="897" t="s">
        <v>25</v>
      </c>
      <c r="F2103" s="898" t="s">
        <v>14</v>
      </c>
      <c r="G2103" s="4"/>
      <c r="H2103" s="896" t="s">
        <v>23</v>
      </c>
      <c r="I2103" s="896" t="s">
        <v>24</v>
      </c>
      <c r="J2103" s="898" t="s">
        <v>25</v>
      </c>
      <c r="K2103" s="898" t="s">
        <v>14</v>
      </c>
      <c r="L2103" s="4"/>
      <c r="M2103" s="896" t="s">
        <v>23</v>
      </c>
      <c r="N2103" s="896" t="s">
        <v>24</v>
      </c>
      <c r="O2103" s="898" t="s">
        <v>25</v>
      </c>
      <c r="P2103" s="898" t="s">
        <v>14</v>
      </c>
      <c r="R2103" s="896" t="s">
        <v>23</v>
      </c>
      <c r="S2103" s="896" t="s">
        <v>24</v>
      </c>
      <c r="T2103" s="898" t="s">
        <v>25</v>
      </c>
      <c r="U2103" s="898" t="s">
        <v>14</v>
      </c>
      <c r="W2103" s="896" t="s">
        <v>23</v>
      </c>
      <c r="X2103" s="896" t="s">
        <v>24</v>
      </c>
      <c r="Y2103" s="898" t="s">
        <v>25</v>
      </c>
      <c r="Z2103" s="898" t="s">
        <v>14</v>
      </c>
      <c r="AA2103" s="1569"/>
      <c r="AB2103" s="1569"/>
      <c r="AC2103" s="4"/>
      <c r="AD2103" s="896" t="s">
        <v>23</v>
      </c>
      <c r="AE2103" s="896" t="s">
        <v>24</v>
      </c>
      <c r="AF2103" s="898" t="s">
        <v>25</v>
      </c>
      <c r="AG2103" s="1569"/>
      <c r="AK2103" s="188" t="s">
        <v>26</v>
      </c>
      <c r="AL2103" s="196">
        <f>AA2130</f>
        <v>152.5</v>
      </c>
      <c r="AM2103" s="510">
        <v>40.31</v>
      </c>
      <c r="AN2103" s="510">
        <f t="shared" ref="AN2103:AN2108" si="256">AL2103*AM2103</f>
        <v>6147.2750000000005</v>
      </c>
    </row>
    <row r="2104" spans="2:42">
      <c r="B2104" s="47" t="s">
        <v>1166</v>
      </c>
      <c r="C2104" s="47">
        <v>0.33333333333333331</v>
      </c>
      <c r="D2104" s="47">
        <v>0.20833333333333334</v>
      </c>
      <c r="E2104" s="319">
        <v>8</v>
      </c>
      <c r="F2104" s="320"/>
      <c r="G2104" s="4"/>
      <c r="H2104" s="47"/>
      <c r="I2104" s="47"/>
      <c r="J2104" s="319">
        <v>0</v>
      </c>
      <c r="K2104" s="320"/>
      <c r="L2104" s="4"/>
      <c r="M2104" s="47">
        <v>0.33333333333333331</v>
      </c>
      <c r="N2104" s="47">
        <v>0.20833333333333334</v>
      </c>
      <c r="O2104" s="319">
        <v>8</v>
      </c>
      <c r="P2104" s="320"/>
      <c r="R2104" s="47">
        <v>0.33333333333333331</v>
      </c>
      <c r="S2104" s="47">
        <v>0.25</v>
      </c>
      <c r="T2104" s="319">
        <v>8</v>
      </c>
      <c r="U2104" s="320">
        <v>1</v>
      </c>
      <c r="W2104" s="47">
        <v>0.33333333333333331</v>
      </c>
      <c r="X2104" s="47">
        <v>0.20833333333333334</v>
      </c>
      <c r="Y2104" s="319">
        <v>8</v>
      </c>
      <c r="Z2104" s="320"/>
      <c r="AA2104" s="328">
        <f t="shared" ref="AA2104:AA2129" si="257">(E2104+J2104+O2104+T2104+Y2104)</f>
        <v>32</v>
      </c>
      <c r="AB2104" s="400">
        <f t="shared" ref="AB2104:AB2129" si="258">Z2104+U2104+P2104+K2104+F2104</f>
        <v>1</v>
      </c>
      <c r="AC2104" s="4"/>
      <c r="AF2104" s="319"/>
      <c r="AG2104" s="328">
        <f t="shared" ref="AG2104:AG2129" si="259">AF2104</f>
        <v>0</v>
      </c>
      <c r="AK2104" s="188" t="s">
        <v>30</v>
      </c>
      <c r="AL2104" s="196">
        <f>AB2130</f>
        <v>1</v>
      </c>
      <c r="AM2104" s="510">
        <v>60.465000000000003</v>
      </c>
      <c r="AN2104" s="510">
        <f t="shared" si="256"/>
        <v>60.465000000000003</v>
      </c>
    </row>
    <row r="2105" spans="2:42">
      <c r="B2105" s="47" t="s">
        <v>1112</v>
      </c>
      <c r="C2105" s="47"/>
      <c r="D2105" s="47"/>
      <c r="E2105" s="319">
        <v>0</v>
      </c>
      <c r="F2105" s="320"/>
      <c r="G2105" s="4"/>
      <c r="H2105" s="47"/>
      <c r="I2105" s="47"/>
      <c r="J2105" s="319">
        <v>0</v>
      </c>
      <c r="K2105" s="320"/>
      <c r="L2105" s="4"/>
      <c r="M2105" s="47"/>
      <c r="N2105" s="47"/>
      <c r="O2105" s="319">
        <v>0</v>
      </c>
      <c r="P2105" s="320"/>
      <c r="R2105" s="47"/>
      <c r="S2105" s="47"/>
      <c r="T2105" s="319">
        <v>0</v>
      </c>
      <c r="U2105" s="320"/>
      <c r="W2105" s="47"/>
      <c r="X2105" s="47"/>
      <c r="Y2105" s="319">
        <v>0</v>
      </c>
      <c r="Z2105" s="320"/>
      <c r="AA2105" s="328">
        <f t="shared" si="257"/>
        <v>0</v>
      </c>
      <c r="AB2105" s="400">
        <f t="shared" si="258"/>
        <v>0</v>
      </c>
      <c r="AC2105" s="4"/>
      <c r="AD2105" s="47"/>
      <c r="AE2105" s="47"/>
      <c r="AF2105" s="319"/>
      <c r="AG2105" s="328">
        <f t="shared" si="259"/>
        <v>0</v>
      </c>
      <c r="AK2105" s="188" t="s">
        <v>32</v>
      </c>
      <c r="AL2105" s="196">
        <f>AG2130</f>
        <v>0</v>
      </c>
      <c r="AM2105" s="510">
        <v>60.465000000000003</v>
      </c>
      <c r="AN2105" s="510">
        <f t="shared" si="256"/>
        <v>0</v>
      </c>
    </row>
    <row r="2106" spans="2:42">
      <c r="B2106" s="47" t="s">
        <v>1141</v>
      </c>
      <c r="C2106" s="47"/>
      <c r="D2106" s="47"/>
      <c r="E2106" s="319">
        <v>0</v>
      </c>
      <c r="F2106" s="320"/>
      <c r="G2106" s="4"/>
      <c r="H2106" s="47"/>
      <c r="I2106" s="47"/>
      <c r="J2106" s="319">
        <v>0</v>
      </c>
      <c r="K2106" s="320"/>
      <c r="L2106" s="4"/>
      <c r="M2106" s="47"/>
      <c r="N2106" s="47"/>
      <c r="O2106" s="319">
        <v>0</v>
      </c>
      <c r="P2106" s="320"/>
      <c r="R2106" s="47"/>
      <c r="S2106" s="47"/>
      <c r="T2106" s="319">
        <v>0</v>
      </c>
      <c r="U2106" s="320"/>
      <c r="W2106" s="47"/>
      <c r="X2106" s="47"/>
      <c r="Y2106" s="319">
        <v>0</v>
      </c>
      <c r="Z2106" s="320"/>
      <c r="AA2106" s="328">
        <f t="shared" si="257"/>
        <v>0</v>
      </c>
      <c r="AB2106" s="400">
        <f t="shared" si="258"/>
        <v>0</v>
      </c>
      <c r="AC2106" s="4"/>
      <c r="AD2106" s="47"/>
      <c r="AE2106" s="47"/>
      <c r="AF2106" s="319"/>
      <c r="AG2106" s="328">
        <f t="shared" si="259"/>
        <v>0</v>
      </c>
      <c r="AK2106" s="188" t="s">
        <v>213</v>
      </c>
      <c r="AL2106" s="196">
        <f>AA2133</f>
        <v>32</v>
      </c>
      <c r="AM2106" s="510">
        <v>53.05</v>
      </c>
      <c r="AN2106" s="510">
        <f t="shared" si="256"/>
        <v>1697.6</v>
      </c>
    </row>
    <row r="2107" spans="2:42">
      <c r="B2107" s="47" t="s">
        <v>72</v>
      </c>
      <c r="C2107" s="47"/>
      <c r="D2107" s="47"/>
      <c r="E2107" s="319">
        <v>0</v>
      </c>
      <c r="F2107" s="320"/>
      <c r="G2107" s="4"/>
      <c r="H2107" s="47"/>
      <c r="I2107" s="47"/>
      <c r="J2107" s="319">
        <v>0</v>
      </c>
      <c r="K2107" s="320"/>
      <c r="L2107" s="4"/>
      <c r="M2107" s="47"/>
      <c r="N2107" s="47"/>
      <c r="O2107" s="319">
        <v>0</v>
      </c>
      <c r="P2107" s="320"/>
      <c r="R2107" s="47"/>
      <c r="S2107" s="47"/>
      <c r="T2107" s="319">
        <v>0</v>
      </c>
      <c r="U2107" s="320"/>
      <c r="W2107" s="47"/>
      <c r="X2107" s="47"/>
      <c r="Y2107" s="319">
        <v>0</v>
      </c>
      <c r="Z2107" s="320"/>
      <c r="AA2107" s="328">
        <f t="shared" si="257"/>
        <v>0</v>
      </c>
      <c r="AB2107" s="400">
        <f t="shared" si="258"/>
        <v>0</v>
      </c>
      <c r="AC2107" s="4"/>
      <c r="AD2107" s="47"/>
      <c r="AE2107" s="47"/>
      <c r="AF2107" s="319"/>
      <c r="AG2107" s="328">
        <f t="shared" si="259"/>
        <v>0</v>
      </c>
      <c r="AK2107" s="188" t="s">
        <v>36</v>
      </c>
      <c r="AL2107" s="196">
        <f>AB2133</f>
        <v>0</v>
      </c>
      <c r="AM2107" s="510">
        <v>79.574999999999989</v>
      </c>
      <c r="AN2107" s="510">
        <f t="shared" si="256"/>
        <v>0</v>
      </c>
    </row>
    <row r="2108" spans="2:42">
      <c r="B2108" s="374" t="s">
        <v>998</v>
      </c>
      <c r="C2108" s="47">
        <v>0.375</v>
      </c>
      <c r="D2108" s="47">
        <v>0.25</v>
      </c>
      <c r="E2108" s="319">
        <v>8</v>
      </c>
      <c r="F2108" s="320"/>
      <c r="G2108" s="4"/>
      <c r="H2108" s="47"/>
      <c r="I2108" s="47"/>
      <c r="J2108" s="319">
        <v>0</v>
      </c>
      <c r="K2108" s="320"/>
      <c r="L2108" s="4"/>
      <c r="M2108" s="47">
        <v>0.375</v>
      </c>
      <c r="N2108" s="47">
        <v>0.25</v>
      </c>
      <c r="O2108" s="319">
        <v>8</v>
      </c>
      <c r="P2108" s="320"/>
      <c r="R2108" s="47">
        <v>0.375</v>
      </c>
      <c r="S2108" s="47">
        <v>0.25</v>
      </c>
      <c r="T2108" s="319">
        <v>8</v>
      </c>
      <c r="U2108" s="320"/>
      <c r="W2108" s="47">
        <v>0.375</v>
      </c>
      <c r="X2108" s="47">
        <v>0.25</v>
      </c>
      <c r="Y2108" s="319">
        <v>8</v>
      </c>
      <c r="Z2108" s="320"/>
      <c r="AA2108" s="328">
        <f t="shared" si="257"/>
        <v>32</v>
      </c>
      <c r="AB2108" s="400">
        <f t="shared" si="258"/>
        <v>0</v>
      </c>
      <c r="AC2108" s="4"/>
      <c r="AD2108" s="47"/>
      <c r="AE2108" s="47"/>
      <c r="AF2108" s="319"/>
      <c r="AG2108" s="328">
        <f t="shared" si="259"/>
        <v>0</v>
      </c>
      <c r="AK2108" s="188" t="s">
        <v>38</v>
      </c>
      <c r="AL2108" s="196">
        <f>AG2133</f>
        <v>0</v>
      </c>
      <c r="AM2108" s="510">
        <v>79.574999999999989</v>
      </c>
      <c r="AN2108" s="510">
        <f t="shared" si="256"/>
        <v>0</v>
      </c>
    </row>
    <row r="2109" spans="2:42">
      <c r="B2109" s="47" t="s">
        <v>53</v>
      </c>
      <c r="C2109" s="47"/>
      <c r="D2109" s="47"/>
      <c r="E2109" s="319">
        <v>0</v>
      </c>
      <c r="F2109" s="320"/>
      <c r="G2109" s="4"/>
      <c r="H2109" s="47"/>
      <c r="I2109" s="47"/>
      <c r="J2109" s="319">
        <v>0</v>
      </c>
      <c r="K2109" s="320"/>
      <c r="L2109" s="4"/>
      <c r="M2109" s="47"/>
      <c r="N2109" s="47"/>
      <c r="O2109" s="319">
        <v>0</v>
      </c>
      <c r="P2109" s="320"/>
      <c r="R2109" s="47"/>
      <c r="S2109" s="47"/>
      <c r="T2109" s="319">
        <v>0</v>
      </c>
      <c r="U2109" s="320"/>
      <c r="W2109" s="47"/>
      <c r="X2109" s="47"/>
      <c r="Y2109" s="319">
        <v>0</v>
      </c>
      <c r="Z2109" s="320"/>
      <c r="AA2109" s="328">
        <f t="shared" si="257"/>
        <v>0</v>
      </c>
      <c r="AB2109" s="400">
        <f t="shared" si="258"/>
        <v>0</v>
      </c>
      <c r="AC2109" s="4"/>
      <c r="AD2109" s="47"/>
      <c r="AE2109" s="47"/>
      <c r="AF2109" s="319"/>
      <c r="AG2109" s="328">
        <f t="shared" si="259"/>
        <v>0</v>
      </c>
      <c r="AN2109" s="510">
        <f>SUM(AN2103:AN2108)</f>
        <v>7905.34</v>
      </c>
    </row>
    <row r="2110" spans="2:42">
      <c r="B2110" s="47" t="s">
        <v>241</v>
      </c>
      <c r="C2110" s="47"/>
      <c r="D2110" s="47"/>
      <c r="E2110" s="319">
        <v>0</v>
      </c>
      <c r="F2110" s="320"/>
      <c r="G2110" s="4"/>
      <c r="H2110" s="47"/>
      <c r="I2110" s="47"/>
      <c r="J2110" s="319">
        <v>0</v>
      </c>
      <c r="K2110" s="320"/>
      <c r="L2110" s="4"/>
      <c r="M2110" s="47"/>
      <c r="N2110" s="47"/>
      <c r="O2110" s="319">
        <v>0</v>
      </c>
      <c r="P2110" s="320"/>
      <c r="R2110" s="47"/>
      <c r="S2110" s="47"/>
      <c r="T2110" s="319">
        <v>0</v>
      </c>
      <c r="U2110" s="320"/>
      <c r="W2110" s="47"/>
      <c r="X2110" s="47"/>
      <c r="Y2110" s="319">
        <v>0</v>
      </c>
      <c r="Z2110" s="320"/>
      <c r="AA2110" s="328">
        <f t="shared" si="257"/>
        <v>0</v>
      </c>
      <c r="AB2110" s="400">
        <f t="shared" si="258"/>
        <v>0</v>
      </c>
      <c r="AC2110" s="4"/>
      <c r="AD2110" s="47"/>
      <c r="AE2110" s="47"/>
      <c r="AF2110" s="319"/>
      <c r="AG2110" s="328">
        <f t="shared" si="259"/>
        <v>0</v>
      </c>
    </row>
    <row r="2111" spans="2:42">
      <c r="B2111" s="47" t="s">
        <v>1142</v>
      </c>
      <c r="C2111" s="47"/>
      <c r="D2111" s="441"/>
      <c r="E2111" s="319">
        <v>0</v>
      </c>
      <c r="F2111" s="320"/>
      <c r="G2111" s="4"/>
      <c r="H2111" s="47"/>
      <c r="I2111" s="47"/>
      <c r="J2111" s="319">
        <v>0</v>
      </c>
      <c r="K2111" s="320"/>
      <c r="L2111" s="4"/>
      <c r="M2111" s="47"/>
      <c r="N2111" s="47"/>
      <c r="O2111" s="319">
        <v>0</v>
      </c>
      <c r="P2111" s="320"/>
      <c r="R2111" s="47"/>
      <c r="S2111" s="47"/>
      <c r="T2111" s="319">
        <v>0</v>
      </c>
      <c r="U2111" s="320"/>
      <c r="W2111" s="47"/>
      <c r="X2111" s="47"/>
      <c r="Y2111" s="319">
        <v>0</v>
      </c>
      <c r="Z2111" s="320"/>
      <c r="AA2111" s="328">
        <f t="shared" si="257"/>
        <v>0</v>
      </c>
      <c r="AB2111" s="400">
        <f t="shared" si="258"/>
        <v>0</v>
      </c>
      <c r="AC2111" s="4"/>
      <c r="AD2111" s="47"/>
      <c r="AE2111" s="47"/>
      <c r="AF2111" s="319"/>
      <c r="AG2111" s="328">
        <f t="shared" si="259"/>
        <v>0</v>
      </c>
      <c r="AK2111" s="192" t="s">
        <v>1115</v>
      </c>
      <c r="AL2111" s="189">
        <f>C2134</f>
        <v>17</v>
      </c>
      <c r="AM2111" s="510">
        <v>47.74</v>
      </c>
      <c r="AN2111" s="510">
        <f>AM2111*AL2111</f>
        <v>811.58</v>
      </c>
    </row>
    <row r="2112" spans="2:42">
      <c r="B2112" s="47" t="s">
        <v>1143</v>
      </c>
      <c r="C2112" s="47"/>
      <c r="D2112" s="441"/>
      <c r="E2112" s="319">
        <v>0</v>
      </c>
      <c r="F2112" s="320"/>
      <c r="G2112" s="4"/>
      <c r="H2112" s="47"/>
      <c r="I2112" s="47"/>
      <c r="J2112" s="319">
        <v>0</v>
      </c>
      <c r="K2112" s="320"/>
      <c r="L2112" s="4"/>
      <c r="M2112" s="47"/>
      <c r="N2112" s="47"/>
      <c r="O2112" s="319">
        <v>0</v>
      </c>
      <c r="P2112" s="320"/>
      <c r="R2112" s="47"/>
      <c r="S2112" s="47"/>
      <c r="T2112" s="319">
        <v>0</v>
      </c>
      <c r="U2112" s="320"/>
      <c r="W2112" s="47"/>
      <c r="X2112" s="47"/>
      <c r="Y2112" s="319">
        <v>0</v>
      </c>
      <c r="Z2112" s="320"/>
      <c r="AA2112" s="328">
        <f t="shared" si="257"/>
        <v>0</v>
      </c>
      <c r="AB2112" s="400">
        <f t="shared" si="258"/>
        <v>0</v>
      </c>
      <c r="AC2112" s="4"/>
      <c r="AD2112" s="47"/>
      <c r="AE2112" s="47"/>
      <c r="AF2112" s="319"/>
      <c r="AG2112" s="328">
        <f t="shared" si="259"/>
        <v>0</v>
      </c>
      <c r="AK2112" s="192"/>
      <c r="AL2112" s="189"/>
      <c r="AM2112" s="510"/>
      <c r="AN2112" s="510"/>
    </row>
    <row r="2113" spans="2:40">
      <c r="B2113" s="47" t="s">
        <v>1144</v>
      </c>
      <c r="C2113" s="47"/>
      <c r="D2113" s="441"/>
      <c r="E2113" s="319">
        <v>0</v>
      </c>
      <c r="F2113" s="320"/>
      <c r="G2113" s="4"/>
      <c r="H2113" s="47"/>
      <c r="I2113" s="47"/>
      <c r="J2113" s="319">
        <v>0</v>
      </c>
      <c r="K2113" s="320"/>
      <c r="L2113" s="4"/>
      <c r="M2113" s="47"/>
      <c r="N2113" s="47"/>
      <c r="O2113" s="319">
        <v>0</v>
      </c>
      <c r="P2113" s="320"/>
      <c r="R2113" s="47"/>
      <c r="S2113" s="47"/>
      <c r="T2113" s="319">
        <v>0</v>
      </c>
      <c r="U2113" s="320"/>
      <c r="W2113" s="47"/>
      <c r="X2113" s="47"/>
      <c r="Y2113" s="319">
        <v>0</v>
      </c>
      <c r="Z2113" s="320"/>
      <c r="AA2113" s="328">
        <f t="shared" si="257"/>
        <v>0</v>
      </c>
      <c r="AB2113" s="400">
        <f t="shared" si="258"/>
        <v>0</v>
      </c>
      <c r="AC2113" s="4"/>
      <c r="AD2113" s="47"/>
      <c r="AE2113" s="47"/>
      <c r="AF2113" s="319"/>
      <c r="AG2113" s="328">
        <f t="shared" si="259"/>
        <v>0</v>
      </c>
      <c r="AK2113" s="192"/>
      <c r="AL2113" s="189"/>
      <c r="AM2113" s="510"/>
      <c r="AN2113" s="510"/>
    </row>
    <row r="2114" spans="2:40">
      <c r="B2114" s="47" t="s">
        <v>1113</v>
      </c>
      <c r="C2114" s="47"/>
      <c r="D2114" s="47"/>
      <c r="E2114" s="319">
        <v>0</v>
      </c>
      <c r="F2114" s="320"/>
      <c r="G2114" s="4"/>
      <c r="H2114" s="47"/>
      <c r="I2114" s="47"/>
      <c r="J2114" s="319">
        <v>0</v>
      </c>
      <c r="K2114" s="320"/>
      <c r="L2114" s="4"/>
      <c r="M2114" s="47"/>
      <c r="N2114" s="47"/>
      <c r="O2114" s="319">
        <v>0</v>
      </c>
      <c r="P2114" s="320"/>
      <c r="R2114" s="47"/>
      <c r="S2114" s="47"/>
      <c r="T2114" s="319">
        <v>0</v>
      </c>
      <c r="U2114" s="320"/>
      <c r="W2114" s="47"/>
      <c r="X2114" s="47"/>
      <c r="Y2114" s="319">
        <v>0</v>
      </c>
      <c r="Z2114" s="320"/>
      <c r="AA2114" s="328">
        <f t="shared" si="257"/>
        <v>0</v>
      </c>
      <c r="AB2114" s="400">
        <f t="shared" si="258"/>
        <v>0</v>
      </c>
      <c r="AC2114" s="4"/>
      <c r="AD2114" s="47"/>
      <c r="AE2114" s="47"/>
      <c r="AF2114" s="319"/>
      <c r="AG2114" s="328">
        <f t="shared" si="259"/>
        <v>0</v>
      </c>
    </row>
    <row r="2115" spans="2:40">
      <c r="B2115" s="1306" t="s">
        <v>1155</v>
      </c>
      <c r="C2115" s="47">
        <v>0.375</v>
      </c>
      <c r="D2115" s="47">
        <v>0.25</v>
      </c>
      <c r="E2115" s="319">
        <v>8</v>
      </c>
      <c r="F2115" s="320"/>
      <c r="G2115" s="4"/>
      <c r="H2115" s="47"/>
      <c r="I2115" s="47"/>
      <c r="J2115" s="319">
        <v>0</v>
      </c>
      <c r="K2115" s="320"/>
      <c r="L2115" s="4"/>
      <c r="M2115" s="47">
        <v>0.375</v>
      </c>
      <c r="N2115" s="47">
        <v>0.25</v>
      </c>
      <c r="O2115" s="319">
        <v>8</v>
      </c>
      <c r="P2115" s="320"/>
      <c r="R2115" s="47"/>
      <c r="S2115" s="47"/>
      <c r="T2115" s="319">
        <v>0</v>
      </c>
      <c r="U2115" s="320"/>
      <c r="W2115" s="47"/>
      <c r="X2115" s="47"/>
      <c r="Y2115" s="319">
        <v>0</v>
      </c>
      <c r="Z2115" s="320"/>
      <c r="AA2115" s="328">
        <f t="shared" si="257"/>
        <v>16</v>
      </c>
      <c r="AB2115" s="400">
        <f t="shared" si="258"/>
        <v>0</v>
      </c>
      <c r="AC2115" s="4"/>
      <c r="AD2115" s="47"/>
      <c r="AE2115" s="47"/>
      <c r="AF2115" s="319"/>
      <c r="AG2115" s="328">
        <f t="shared" si="259"/>
        <v>0</v>
      </c>
    </row>
    <row r="2116" spans="2:40">
      <c r="B2116" s="1306" t="s">
        <v>1160</v>
      </c>
      <c r="C2116" s="47">
        <v>0.375</v>
      </c>
      <c r="D2116" s="47">
        <v>0.25</v>
      </c>
      <c r="E2116" s="319">
        <v>8</v>
      </c>
      <c r="F2116" s="320"/>
      <c r="G2116" s="4"/>
      <c r="H2116" s="47"/>
      <c r="I2116" s="47"/>
      <c r="J2116" s="319">
        <v>0</v>
      </c>
      <c r="K2116" s="320"/>
      <c r="L2116" s="4"/>
      <c r="M2116" s="47">
        <v>0.375</v>
      </c>
      <c r="N2116" s="47">
        <v>0.25</v>
      </c>
      <c r="O2116" s="319">
        <v>8</v>
      </c>
      <c r="P2116" s="320"/>
      <c r="R2116" s="47">
        <v>0.375</v>
      </c>
      <c r="S2116" s="47">
        <v>0.25</v>
      </c>
      <c r="T2116" s="319">
        <v>8</v>
      </c>
      <c r="U2116" s="320"/>
      <c r="W2116" s="47">
        <v>0.35416666666666669</v>
      </c>
      <c r="X2116" s="47">
        <v>0.22916666666666666</v>
      </c>
      <c r="Y2116" s="319">
        <v>8</v>
      </c>
      <c r="Z2116" s="320"/>
      <c r="AA2116" s="328">
        <f t="shared" si="257"/>
        <v>32</v>
      </c>
      <c r="AB2116" s="400">
        <f t="shared" si="258"/>
        <v>0</v>
      </c>
      <c r="AC2116" s="4"/>
      <c r="AD2116" s="47"/>
      <c r="AE2116" s="47"/>
      <c r="AF2116" s="319"/>
      <c r="AG2116" s="328">
        <f t="shared" si="259"/>
        <v>0</v>
      </c>
    </row>
    <row r="2117" spans="2:40">
      <c r="B2117" s="1306" t="s">
        <v>1164</v>
      </c>
      <c r="C2117" s="47"/>
      <c r="D2117" s="47"/>
      <c r="E2117" s="319">
        <v>0</v>
      </c>
      <c r="F2117" s="320"/>
      <c r="G2117" s="4"/>
      <c r="H2117" s="47"/>
      <c r="I2117" s="47"/>
      <c r="J2117" s="319">
        <v>0</v>
      </c>
      <c r="K2117" s="320"/>
      <c r="L2117" s="4"/>
      <c r="M2117" s="47">
        <v>0.375</v>
      </c>
      <c r="N2117" s="47">
        <v>0.25</v>
      </c>
      <c r="O2117" s="319">
        <v>8</v>
      </c>
      <c r="P2117" s="320"/>
      <c r="R2117" s="47"/>
      <c r="S2117" s="47"/>
      <c r="T2117" s="319">
        <v>0</v>
      </c>
      <c r="U2117" s="320"/>
      <c r="W2117" s="47"/>
      <c r="X2117" s="47"/>
      <c r="Y2117" s="319">
        <v>0</v>
      </c>
      <c r="Z2117" s="320"/>
      <c r="AA2117" s="328">
        <f t="shared" si="257"/>
        <v>8</v>
      </c>
      <c r="AB2117" s="400">
        <f t="shared" si="258"/>
        <v>0</v>
      </c>
      <c r="AC2117" s="4"/>
      <c r="AD2117" s="47"/>
      <c r="AE2117" s="47"/>
      <c r="AF2117" s="319"/>
      <c r="AG2117" s="328">
        <f t="shared" si="259"/>
        <v>0</v>
      </c>
    </row>
    <row r="2118" spans="2:40">
      <c r="B2118" s="502" t="s">
        <v>483</v>
      </c>
      <c r="C2118" s="47"/>
      <c r="D2118" s="47"/>
      <c r="E2118" s="319">
        <v>0</v>
      </c>
      <c r="F2118" s="320"/>
      <c r="G2118" s="4"/>
      <c r="H2118" s="47"/>
      <c r="I2118" s="47"/>
      <c r="J2118" s="319">
        <v>0</v>
      </c>
      <c r="K2118" s="320"/>
      <c r="L2118" s="4"/>
      <c r="M2118" s="47"/>
      <c r="N2118" s="47"/>
      <c r="O2118" s="319">
        <v>0</v>
      </c>
      <c r="P2118" s="320"/>
      <c r="R2118" s="47"/>
      <c r="S2118" s="47"/>
      <c r="T2118" s="319">
        <v>0</v>
      </c>
      <c r="U2118" s="320"/>
      <c r="W2118" s="47"/>
      <c r="X2118" s="47"/>
      <c r="Y2118" s="319">
        <v>0</v>
      </c>
      <c r="Z2118" s="320"/>
      <c r="AA2118" s="328">
        <f t="shared" si="257"/>
        <v>0</v>
      </c>
      <c r="AB2118" s="400">
        <f t="shared" si="258"/>
        <v>0</v>
      </c>
      <c r="AC2118" s="4"/>
      <c r="AD2118" s="47"/>
      <c r="AE2118" s="47"/>
      <c r="AF2118" s="319"/>
      <c r="AG2118" s="328">
        <f t="shared" si="259"/>
        <v>0</v>
      </c>
    </row>
    <row r="2119" spans="2:40">
      <c r="B2119" s="502" t="s">
        <v>483</v>
      </c>
      <c r="C2119" s="47"/>
      <c r="D2119" s="47"/>
      <c r="E2119" s="319">
        <v>0</v>
      </c>
      <c r="F2119" s="320"/>
      <c r="G2119" s="4"/>
      <c r="H2119" s="47"/>
      <c r="I2119" s="47"/>
      <c r="J2119" s="319">
        <v>0</v>
      </c>
      <c r="K2119" s="320"/>
      <c r="L2119" s="4"/>
      <c r="M2119" s="47"/>
      <c r="N2119" s="47"/>
      <c r="O2119" s="319">
        <v>0</v>
      </c>
      <c r="P2119" s="320"/>
      <c r="R2119" s="47"/>
      <c r="S2119" s="47"/>
      <c r="T2119" s="319">
        <v>3</v>
      </c>
      <c r="U2119" s="320"/>
      <c r="W2119" s="47"/>
      <c r="X2119" s="47"/>
      <c r="Y2119" s="319">
        <v>0</v>
      </c>
      <c r="Z2119" s="320"/>
      <c r="AA2119" s="328">
        <f t="shared" si="257"/>
        <v>3</v>
      </c>
      <c r="AB2119" s="400">
        <f t="shared" si="258"/>
        <v>0</v>
      </c>
      <c r="AC2119" s="4"/>
      <c r="AD2119" s="47"/>
      <c r="AE2119" s="47"/>
      <c r="AF2119" s="319"/>
      <c r="AG2119" s="328">
        <f t="shared" si="259"/>
        <v>0</v>
      </c>
    </row>
    <row r="2120" spans="2:40">
      <c r="B2120" s="502" t="s">
        <v>484</v>
      </c>
      <c r="C2120" s="47"/>
      <c r="D2120" s="47"/>
      <c r="E2120" s="319">
        <v>0</v>
      </c>
      <c r="F2120" s="320"/>
      <c r="G2120" s="4"/>
      <c r="H2120" s="47"/>
      <c r="I2120" s="47"/>
      <c r="J2120" s="319">
        <v>0</v>
      </c>
      <c r="K2120" s="320"/>
      <c r="L2120" s="4"/>
      <c r="M2120" s="47"/>
      <c r="N2120" s="47"/>
      <c r="O2120" s="319">
        <v>0</v>
      </c>
      <c r="P2120" s="320"/>
      <c r="R2120" s="47"/>
      <c r="S2120" s="47"/>
      <c r="T2120" s="319">
        <v>3</v>
      </c>
      <c r="U2120" s="320"/>
      <c r="W2120" s="47"/>
      <c r="X2120" s="47"/>
      <c r="Y2120" s="319">
        <v>0</v>
      </c>
      <c r="Z2120" s="320"/>
      <c r="AA2120" s="328">
        <f t="shared" si="257"/>
        <v>3</v>
      </c>
      <c r="AB2120" s="400">
        <f t="shared" si="258"/>
        <v>0</v>
      </c>
      <c r="AC2120" s="4"/>
      <c r="AD2120" s="47"/>
      <c r="AE2120" s="47"/>
      <c r="AF2120" s="319"/>
      <c r="AG2120" s="328">
        <f t="shared" si="259"/>
        <v>0</v>
      </c>
    </row>
    <row r="2121" spans="2:40">
      <c r="B2121" s="502" t="s">
        <v>485</v>
      </c>
      <c r="C2121" s="47"/>
      <c r="D2121" s="47"/>
      <c r="E2121" s="319">
        <v>0</v>
      </c>
      <c r="F2121" s="320"/>
      <c r="G2121" s="4"/>
      <c r="H2121" s="47"/>
      <c r="I2121" s="47"/>
      <c r="J2121" s="319">
        <v>0</v>
      </c>
      <c r="K2121" s="320"/>
      <c r="L2121" s="4"/>
      <c r="M2121" s="47"/>
      <c r="N2121" s="47"/>
      <c r="O2121" s="319">
        <v>0</v>
      </c>
      <c r="P2121" s="320"/>
      <c r="R2121" s="47"/>
      <c r="S2121" s="47"/>
      <c r="T2121" s="319">
        <v>3</v>
      </c>
      <c r="U2121" s="320"/>
      <c r="W2121" s="47"/>
      <c r="X2121" s="47"/>
      <c r="Y2121" s="319">
        <v>0</v>
      </c>
      <c r="Z2121" s="320"/>
      <c r="AA2121" s="328">
        <f t="shared" si="257"/>
        <v>3</v>
      </c>
      <c r="AB2121" s="400">
        <f t="shared" si="258"/>
        <v>0</v>
      </c>
      <c r="AC2121" s="4"/>
      <c r="AD2121" s="47"/>
      <c r="AE2121" s="47"/>
      <c r="AF2121" s="319"/>
      <c r="AG2121" s="328">
        <f t="shared" si="259"/>
        <v>0</v>
      </c>
    </row>
    <row r="2122" spans="2:40">
      <c r="B2122" s="502" t="s">
        <v>1129</v>
      </c>
      <c r="C2122" s="47"/>
      <c r="D2122" s="47"/>
      <c r="E2122" s="319">
        <v>0</v>
      </c>
      <c r="F2122" s="320"/>
      <c r="G2122" s="4"/>
      <c r="H2122" s="47"/>
      <c r="I2122" s="47"/>
      <c r="J2122" s="319">
        <v>0</v>
      </c>
      <c r="K2122" s="320"/>
      <c r="L2122" s="4"/>
      <c r="M2122" s="47"/>
      <c r="N2122" s="47"/>
      <c r="O2122" s="319">
        <v>0</v>
      </c>
      <c r="P2122" s="320"/>
      <c r="R2122" s="47"/>
      <c r="S2122" s="47"/>
      <c r="T2122" s="319">
        <v>0</v>
      </c>
      <c r="U2122" s="320"/>
      <c r="W2122" s="47"/>
      <c r="X2122" s="47"/>
      <c r="Y2122" s="319">
        <v>0</v>
      </c>
      <c r="Z2122" s="320"/>
      <c r="AA2122" s="328">
        <f t="shared" si="257"/>
        <v>0</v>
      </c>
      <c r="AB2122" s="400">
        <f t="shared" si="258"/>
        <v>0</v>
      </c>
      <c r="AC2122" s="4"/>
      <c r="AD2122" s="47"/>
      <c r="AE2122" s="47"/>
      <c r="AF2122" s="319"/>
      <c r="AG2122" s="328">
        <f t="shared" si="259"/>
        <v>0</v>
      </c>
    </row>
    <row r="2123" spans="2:40">
      <c r="B2123" s="267" t="s">
        <v>358</v>
      </c>
      <c r="C2123" s="47"/>
      <c r="D2123" s="47"/>
      <c r="E2123" s="319">
        <v>0</v>
      </c>
      <c r="F2123" s="320"/>
      <c r="G2123" s="4"/>
      <c r="H2123" s="47"/>
      <c r="I2123" s="47"/>
      <c r="J2123" s="319">
        <v>0</v>
      </c>
      <c r="K2123" s="320"/>
      <c r="L2123" s="438"/>
      <c r="M2123" s="47"/>
      <c r="N2123" s="47"/>
      <c r="O2123" s="319">
        <v>0</v>
      </c>
      <c r="P2123" s="320"/>
      <c r="Q2123" s="438"/>
      <c r="R2123" s="47"/>
      <c r="S2123" s="47"/>
      <c r="T2123" s="319">
        <v>1</v>
      </c>
      <c r="U2123" s="320"/>
      <c r="V2123" s="438"/>
      <c r="W2123" s="47"/>
      <c r="X2123" s="47"/>
      <c r="Y2123" s="319">
        <v>0</v>
      </c>
      <c r="Z2123" s="320"/>
      <c r="AA2123" s="328">
        <f t="shared" si="257"/>
        <v>1</v>
      </c>
      <c r="AB2123" s="400">
        <f t="shared" si="258"/>
        <v>0</v>
      </c>
      <c r="AC2123" s="4"/>
      <c r="AD2123" s="47"/>
      <c r="AE2123" s="47"/>
      <c r="AF2123" s="319"/>
      <c r="AG2123" s="328">
        <f t="shared" si="259"/>
        <v>0</v>
      </c>
    </row>
    <row r="2124" spans="2:40">
      <c r="B2124" s="267" t="s">
        <v>991</v>
      </c>
      <c r="C2124" s="47"/>
      <c r="D2124" s="47"/>
      <c r="E2124" s="319">
        <v>0</v>
      </c>
      <c r="F2124" s="320"/>
      <c r="G2124" s="4"/>
      <c r="H2124" s="47"/>
      <c r="I2124" s="47"/>
      <c r="J2124" s="319">
        <v>0</v>
      </c>
      <c r="K2124" s="320"/>
      <c r="L2124" s="438"/>
      <c r="M2124" s="47"/>
      <c r="N2124" s="47"/>
      <c r="O2124" s="319">
        <v>0</v>
      </c>
      <c r="P2124" s="320"/>
      <c r="Q2124" s="438"/>
      <c r="R2124" s="47"/>
      <c r="S2124" s="47"/>
      <c r="T2124" s="319">
        <v>0</v>
      </c>
      <c r="U2124" s="320"/>
      <c r="V2124" s="438"/>
      <c r="W2124" s="47"/>
      <c r="X2124" s="47"/>
      <c r="Y2124" s="319">
        <v>0</v>
      </c>
      <c r="Z2124" s="320"/>
      <c r="AA2124" s="328">
        <f t="shared" si="257"/>
        <v>0</v>
      </c>
      <c r="AB2124" s="400">
        <f t="shared" si="258"/>
        <v>0</v>
      </c>
      <c r="AC2124" s="4"/>
      <c r="AD2124" s="47"/>
      <c r="AE2124" s="47"/>
      <c r="AF2124" s="319"/>
      <c r="AG2124" s="328">
        <f t="shared" si="259"/>
        <v>0</v>
      </c>
    </row>
    <row r="2125" spans="2:40">
      <c r="B2125" s="267" t="s">
        <v>411</v>
      </c>
      <c r="C2125" s="47"/>
      <c r="D2125" s="47"/>
      <c r="E2125" s="319">
        <v>0</v>
      </c>
      <c r="F2125" s="320"/>
      <c r="G2125" s="4"/>
      <c r="H2125" s="47"/>
      <c r="I2125" s="47"/>
      <c r="J2125" s="319">
        <v>0</v>
      </c>
      <c r="K2125" s="320"/>
      <c r="L2125" s="438"/>
      <c r="M2125" s="47"/>
      <c r="N2125" s="47"/>
      <c r="O2125" s="319">
        <v>0</v>
      </c>
      <c r="P2125" s="320"/>
      <c r="Q2125" s="438"/>
      <c r="R2125" s="47"/>
      <c r="S2125" s="47"/>
      <c r="T2125" s="319">
        <v>0</v>
      </c>
      <c r="U2125" s="320"/>
      <c r="V2125" s="438"/>
      <c r="W2125" s="47"/>
      <c r="X2125" s="47"/>
      <c r="Y2125" s="319">
        <v>0</v>
      </c>
      <c r="Z2125" s="320"/>
      <c r="AA2125" s="328">
        <f t="shared" si="257"/>
        <v>0</v>
      </c>
      <c r="AB2125" s="400">
        <f t="shared" si="258"/>
        <v>0</v>
      </c>
      <c r="AC2125" s="4"/>
      <c r="AD2125" s="47"/>
      <c r="AE2125" s="47"/>
      <c r="AF2125" s="319"/>
      <c r="AG2125" s="328">
        <f t="shared" si="259"/>
        <v>0</v>
      </c>
    </row>
    <row r="2126" spans="2:40">
      <c r="B2126" s="267" t="s">
        <v>361</v>
      </c>
      <c r="C2126" s="47"/>
      <c r="D2126" s="47"/>
      <c r="E2126" s="319">
        <v>0</v>
      </c>
      <c r="F2126" s="320"/>
      <c r="G2126" s="4"/>
      <c r="H2126" s="47"/>
      <c r="I2126" s="47"/>
      <c r="J2126" s="319">
        <v>0</v>
      </c>
      <c r="K2126" s="320"/>
      <c r="L2126" s="438"/>
      <c r="M2126" s="47"/>
      <c r="N2126" s="47"/>
      <c r="O2126" s="319">
        <v>0</v>
      </c>
      <c r="P2126" s="320"/>
      <c r="Q2126" s="438"/>
      <c r="R2126" s="47"/>
      <c r="S2126" s="47"/>
      <c r="T2126" s="319">
        <v>0</v>
      </c>
      <c r="U2126" s="320"/>
      <c r="V2126" s="438"/>
      <c r="W2126" s="47"/>
      <c r="X2126" s="47"/>
      <c r="Y2126" s="319">
        <v>0</v>
      </c>
      <c r="Z2126" s="320"/>
      <c r="AA2126" s="328">
        <f t="shared" si="257"/>
        <v>0</v>
      </c>
      <c r="AB2126" s="400">
        <f t="shared" si="258"/>
        <v>0</v>
      </c>
      <c r="AC2126" s="4"/>
      <c r="AD2126" s="47"/>
      <c r="AE2126" s="47"/>
      <c r="AF2126" s="319"/>
      <c r="AG2126" s="328">
        <f t="shared" si="259"/>
        <v>0</v>
      </c>
    </row>
    <row r="2127" spans="2:40">
      <c r="B2127" s="267" t="s">
        <v>362</v>
      </c>
      <c r="C2127" s="47"/>
      <c r="D2127" s="5"/>
      <c r="E2127" s="319">
        <v>0</v>
      </c>
      <c r="F2127" s="320"/>
      <c r="G2127" s="4"/>
      <c r="H2127" s="47"/>
      <c r="I2127" s="5"/>
      <c r="J2127" s="319">
        <v>0</v>
      </c>
      <c r="K2127" s="320"/>
      <c r="L2127" s="438"/>
      <c r="M2127" s="47"/>
      <c r="N2127" s="5"/>
      <c r="O2127" s="319">
        <v>0</v>
      </c>
      <c r="P2127" s="320"/>
      <c r="Q2127" s="438"/>
      <c r="R2127" s="47"/>
      <c r="S2127" s="5"/>
      <c r="T2127" s="319">
        <v>0</v>
      </c>
      <c r="U2127" s="320"/>
      <c r="V2127" s="438"/>
      <c r="W2127" s="47"/>
      <c r="X2127" s="5"/>
      <c r="Y2127" s="319">
        <v>0</v>
      </c>
      <c r="Z2127" s="320"/>
      <c r="AA2127" s="328">
        <f t="shared" si="257"/>
        <v>0</v>
      </c>
      <c r="AB2127" s="400">
        <f t="shared" si="258"/>
        <v>0</v>
      </c>
      <c r="AC2127" s="4"/>
      <c r="AD2127" s="47"/>
      <c r="AE2127" s="47"/>
      <c r="AF2127" s="319"/>
      <c r="AG2127" s="328">
        <f t="shared" si="259"/>
        <v>0</v>
      </c>
    </row>
    <row r="2128" spans="2:40">
      <c r="B2128" s="437" t="s">
        <v>355</v>
      </c>
      <c r="C2128" s="47"/>
      <c r="D2128" s="47"/>
      <c r="E2128" s="319">
        <v>7.5</v>
      </c>
      <c r="F2128" s="320"/>
      <c r="G2128" s="4"/>
      <c r="H2128" s="47"/>
      <c r="I2128" s="47"/>
      <c r="J2128" s="319">
        <v>7.5</v>
      </c>
      <c r="K2128" s="320"/>
      <c r="L2128" s="438"/>
      <c r="M2128" s="47"/>
      <c r="N2128" s="47"/>
      <c r="O2128" s="319">
        <v>0</v>
      </c>
      <c r="P2128" s="320"/>
      <c r="Q2128" s="438"/>
      <c r="R2128" s="47"/>
      <c r="S2128" s="47"/>
      <c r="T2128" s="319">
        <v>7.5</v>
      </c>
      <c r="U2128" s="320"/>
      <c r="V2128" s="438"/>
      <c r="W2128" s="47"/>
      <c r="X2128" s="47"/>
      <c r="Y2128" s="319">
        <v>0</v>
      </c>
      <c r="Z2128" s="320"/>
      <c r="AA2128" s="328">
        <f t="shared" si="257"/>
        <v>22.5</v>
      </c>
      <c r="AB2128" s="400">
        <f t="shared" si="258"/>
        <v>0</v>
      </c>
      <c r="AC2128" s="4"/>
      <c r="AD2128" s="47"/>
      <c r="AE2128" s="47"/>
      <c r="AF2128" s="319"/>
      <c r="AG2128" s="328">
        <f t="shared" si="259"/>
        <v>0</v>
      </c>
    </row>
    <row r="2129" spans="2:42">
      <c r="B2129" s="437" t="s">
        <v>356</v>
      </c>
      <c r="C2129" s="713"/>
      <c r="D2129" s="713"/>
      <c r="E2129" s="319">
        <v>0</v>
      </c>
      <c r="F2129" s="320"/>
      <c r="G2129" s="438"/>
      <c r="H2129" s="5"/>
      <c r="I2129" s="5"/>
      <c r="J2129" s="319">
        <v>0</v>
      </c>
      <c r="K2129" s="320"/>
      <c r="L2129" s="438"/>
      <c r="M2129" s="5"/>
      <c r="N2129" s="5"/>
      <c r="O2129" s="319">
        <v>0</v>
      </c>
      <c r="P2129" s="320"/>
      <c r="Q2129" s="438"/>
      <c r="R2129" s="5"/>
      <c r="S2129" s="5"/>
      <c r="T2129" s="319">
        <v>0</v>
      </c>
      <c r="U2129" s="320"/>
      <c r="V2129" s="438"/>
      <c r="W2129" s="5"/>
      <c r="X2129" s="5"/>
      <c r="Y2129" s="319">
        <v>0</v>
      </c>
      <c r="Z2129" s="320"/>
      <c r="AA2129" s="328">
        <f t="shared" si="257"/>
        <v>0</v>
      </c>
      <c r="AB2129" s="400">
        <f t="shared" si="258"/>
        <v>0</v>
      </c>
      <c r="AC2129" s="4"/>
      <c r="AD2129" s="47"/>
      <c r="AE2129" s="47"/>
      <c r="AF2129" s="319"/>
      <c r="AG2129" s="328">
        <f t="shared" si="259"/>
        <v>0</v>
      </c>
    </row>
    <row r="2130" spans="2:42">
      <c r="B2130" s="31" t="s">
        <v>61</v>
      </c>
      <c r="C2130" s="31"/>
      <c r="D2130" s="31"/>
      <c r="E2130" s="439">
        <f>SUM(E2104:E2129)</f>
        <v>39.5</v>
      </c>
      <c r="F2130" s="320"/>
      <c r="G2130" s="31"/>
      <c r="H2130" s="31"/>
      <c r="I2130" s="31"/>
      <c r="J2130" s="439">
        <f>SUM(J2104:J2129)</f>
        <v>7.5</v>
      </c>
      <c r="K2130" s="320"/>
      <c r="L2130" s="31"/>
      <c r="M2130" s="31"/>
      <c r="N2130" s="31"/>
      <c r="O2130" s="439">
        <f>SUM(O2104:O2129)</f>
        <v>40</v>
      </c>
      <c r="P2130" s="320"/>
      <c r="Q2130" s="31"/>
      <c r="R2130" s="31"/>
      <c r="S2130" s="31"/>
      <c r="T2130" s="439">
        <f>SUM(T2104:T2129)</f>
        <v>41.5</v>
      </c>
      <c r="U2130" s="320"/>
      <c r="V2130" s="31"/>
      <c r="W2130" s="31"/>
      <c r="X2130" s="31"/>
      <c r="Y2130" s="439">
        <f>SUM(Y2104:Y2129)</f>
        <v>24</v>
      </c>
      <c r="Z2130" s="320"/>
      <c r="AA2130" s="328">
        <f>SUM(AA2104:AA2129)</f>
        <v>152.5</v>
      </c>
      <c r="AB2130" s="328">
        <f>SUM(AB2104:AB2129)</f>
        <v>1</v>
      </c>
      <c r="AC2130" s="4"/>
      <c r="AD2130" s="31"/>
      <c r="AE2130" s="31"/>
      <c r="AF2130" s="328">
        <f>SUM(AF2104:AF2129)</f>
        <v>0</v>
      </c>
      <c r="AG2130" s="328">
        <f>SUM(AG2104:AG2129)</f>
        <v>0</v>
      </c>
    </row>
    <row r="2131" spans="2:42">
      <c r="B2131" s="267" t="s">
        <v>1116</v>
      </c>
      <c r="C2131" s="47"/>
      <c r="D2131" s="47"/>
      <c r="E2131" s="319">
        <v>8</v>
      </c>
      <c r="F2131" s="320"/>
      <c r="G2131" s="4"/>
      <c r="H2131" s="47"/>
      <c r="I2131" s="47"/>
      <c r="J2131" s="319">
        <v>0</v>
      </c>
      <c r="K2131" s="320"/>
      <c r="L2131" s="4"/>
      <c r="M2131" s="47"/>
      <c r="N2131" s="47"/>
      <c r="O2131" s="319">
        <v>8</v>
      </c>
      <c r="P2131" s="320"/>
      <c r="R2131" s="47"/>
      <c r="S2131" s="47"/>
      <c r="T2131" s="319">
        <v>8</v>
      </c>
      <c r="U2131" s="320"/>
      <c r="W2131" s="47"/>
      <c r="X2131" s="47"/>
      <c r="Y2131" s="319">
        <v>8</v>
      </c>
      <c r="Z2131" s="320"/>
      <c r="AA2131" s="328">
        <f>(E2131+J2131+O2131+T2131+Y2131)</f>
        <v>32</v>
      </c>
      <c r="AB2131" s="400">
        <f>Z2131+U2131+P2131+K2131+F2131</f>
        <v>0</v>
      </c>
      <c r="AC2131" s="4"/>
      <c r="AD2131" s="47"/>
      <c r="AE2131" s="47"/>
      <c r="AF2131" s="319"/>
      <c r="AG2131" s="328">
        <f>AF2131</f>
        <v>0</v>
      </c>
    </row>
    <row r="2132" spans="2:42">
      <c r="B2132" s="267" t="s">
        <v>64</v>
      </c>
      <c r="C2132" s="47"/>
      <c r="D2132" s="47"/>
      <c r="E2132" s="319">
        <v>0</v>
      </c>
      <c r="F2132" s="319"/>
      <c r="G2132" s="71"/>
      <c r="H2132" s="47"/>
      <c r="I2132" s="47"/>
      <c r="J2132" s="319">
        <v>0</v>
      </c>
      <c r="K2132" s="319"/>
      <c r="L2132" s="438"/>
      <c r="M2132" s="47"/>
      <c r="N2132" s="47"/>
      <c r="O2132" s="319">
        <v>0</v>
      </c>
      <c r="P2132" s="319"/>
      <c r="Q2132" s="438"/>
      <c r="R2132" s="47"/>
      <c r="S2132" s="47"/>
      <c r="T2132" s="319">
        <v>0</v>
      </c>
      <c r="U2132" s="319"/>
      <c r="V2132" s="438"/>
      <c r="W2132" s="47"/>
      <c r="X2132" s="47"/>
      <c r="Y2132" s="319">
        <v>0</v>
      </c>
      <c r="Z2132" s="319"/>
      <c r="AA2132" s="328">
        <f>SUM(E2132+J2132+O2132+T2132+Y2132)</f>
        <v>0</v>
      </c>
      <c r="AB2132" s="897">
        <f>Z2132+U2132+P2132+K2132+F2132</f>
        <v>0</v>
      </c>
      <c r="AC2132" s="4"/>
      <c r="AD2132" s="47" t="s">
        <v>29</v>
      </c>
      <c r="AE2132" s="47" t="s">
        <v>29</v>
      </c>
      <c r="AF2132" s="319"/>
      <c r="AG2132" s="328">
        <f>AF2132</f>
        <v>0</v>
      </c>
    </row>
    <row r="2133" spans="2:42">
      <c r="B2133" s="71" t="s">
        <v>66</v>
      </c>
      <c r="C2133" s="1210"/>
      <c r="D2133" s="1210"/>
      <c r="E2133" s="1208"/>
      <c r="F2133" s="71"/>
      <c r="G2133" s="71"/>
      <c r="H2133" s="71"/>
      <c r="I2133" s="71"/>
      <c r="J2133" s="71"/>
      <c r="K2133" s="71"/>
      <c r="L2133" s="71"/>
      <c r="M2133" s="71"/>
      <c r="N2133" s="71"/>
      <c r="O2133" s="71"/>
      <c r="P2133" s="71"/>
      <c r="Q2133" s="71"/>
      <c r="R2133" s="71"/>
      <c r="S2133" s="71"/>
      <c r="T2133" s="71"/>
      <c r="U2133" s="71"/>
      <c r="V2133" s="71"/>
      <c r="W2133" s="71"/>
      <c r="X2133" s="71"/>
      <c r="Y2133" s="71"/>
      <c r="Z2133" s="71"/>
      <c r="AA2133" s="328">
        <f>SUM(AA2131:AA2132)</f>
        <v>32</v>
      </c>
      <c r="AB2133" s="328">
        <f>SUM(AB2132:AB2132)</f>
        <v>0</v>
      </c>
      <c r="AC2133" s="4"/>
      <c r="AG2133" s="328">
        <f>SUM(AG2132:AG2132)</f>
        <v>0</v>
      </c>
      <c r="AK2133" s="407"/>
    </row>
    <row r="2134" spans="2:42">
      <c r="B2134" s="1382" t="s">
        <v>67</v>
      </c>
      <c r="C2134" s="1383">
        <f>C2135+C2136</f>
        <v>17</v>
      </c>
      <c r="D2134" s="1383"/>
      <c r="E2134" s="534"/>
      <c r="F2134" s="534"/>
      <c r="G2134" s="1383"/>
      <c r="H2134" s="534"/>
      <c r="I2134" s="534"/>
      <c r="J2134" s="534"/>
      <c r="K2134" s="534"/>
      <c r="L2134" s="1383"/>
      <c r="M2134" s="1383"/>
      <c r="N2134" s="1383"/>
      <c r="O2134" s="1383"/>
      <c r="P2134" s="534"/>
      <c r="Q2134" s="1383"/>
      <c r="R2134" s="1383"/>
      <c r="S2134" s="1383"/>
      <c r="T2134" s="1383"/>
      <c r="U2134" s="534"/>
      <c r="V2134" s="1383"/>
      <c r="W2134" s="1383"/>
      <c r="X2134" s="1383"/>
      <c r="Y2134" s="1384"/>
      <c r="Z2134" s="534"/>
      <c r="AA2134" s="1385"/>
      <c r="AB2134" s="534"/>
      <c r="AC2134" s="1385"/>
      <c r="AD2134" s="1385"/>
      <c r="AE2134" s="1385"/>
      <c r="AF2134" s="1385"/>
      <c r="AG2134" s="1385"/>
      <c r="AH2134" s="1386"/>
      <c r="AI2134" s="1387"/>
      <c r="AJ2134" s="1387"/>
      <c r="AK2134" s="1388"/>
      <c r="AL2134" s="1387"/>
      <c r="AM2134" s="1387"/>
      <c r="AN2134" s="1387"/>
      <c r="AO2134" s="1387"/>
      <c r="AP2134" s="1387"/>
    </row>
    <row r="2135" spans="2:42">
      <c r="B2135" s="1389" t="s">
        <v>68</v>
      </c>
      <c r="C2135" s="1383">
        <v>0</v>
      </c>
      <c r="D2135" s="1383"/>
      <c r="E2135" s="534"/>
      <c r="F2135" s="534"/>
      <c r="G2135" s="1383"/>
      <c r="H2135" s="534"/>
      <c r="I2135" s="534"/>
      <c r="J2135" s="534"/>
      <c r="K2135" s="534"/>
      <c r="L2135" s="1383"/>
      <c r="M2135" s="1383"/>
      <c r="N2135" s="1383"/>
      <c r="O2135" s="1383"/>
      <c r="P2135" s="534"/>
      <c r="Q2135" s="1383"/>
      <c r="R2135" s="1383"/>
      <c r="S2135" s="1383"/>
      <c r="T2135" s="1383"/>
      <c r="U2135" s="534"/>
      <c r="V2135" s="1383"/>
      <c r="W2135" s="1383"/>
      <c r="X2135" s="1383"/>
      <c r="Y2135" s="1384"/>
      <c r="Z2135" s="534"/>
      <c r="AA2135" s="1385"/>
      <c r="AB2135" s="534"/>
      <c r="AC2135" s="1385"/>
      <c r="AD2135" s="1385"/>
      <c r="AE2135" s="1385"/>
      <c r="AF2135" s="1385"/>
      <c r="AG2135" s="1385"/>
      <c r="AH2135" s="1386"/>
      <c r="AI2135" s="1387"/>
      <c r="AJ2135" s="1387"/>
      <c r="AK2135" s="1388"/>
      <c r="AL2135" s="1387"/>
      <c r="AM2135" s="1387"/>
      <c r="AN2135" s="1387"/>
      <c r="AO2135" s="1387"/>
      <c r="AP2135" s="1387"/>
    </row>
    <row r="2136" spans="2:42">
      <c r="B2136" s="1389" t="s">
        <v>69</v>
      </c>
      <c r="C2136" s="1383">
        <v>17</v>
      </c>
      <c r="D2136" s="1383"/>
      <c r="E2136" s="534"/>
      <c r="F2136" s="534"/>
      <c r="G2136" s="1383"/>
      <c r="H2136" s="534"/>
      <c r="I2136" s="534"/>
      <c r="J2136" s="534"/>
      <c r="K2136" s="534"/>
      <c r="L2136" s="1383"/>
      <c r="M2136" s="1383"/>
      <c r="N2136" s="1383"/>
      <c r="O2136" s="1383"/>
      <c r="P2136" s="534"/>
      <c r="Q2136" s="1383"/>
      <c r="R2136" s="1383"/>
      <c r="S2136" s="1383"/>
      <c r="T2136" s="1383"/>
      <c r="U2136" s="534"/>
      <c r="V2136" s="1383"/>
      <c r="W2136" s="1383"/>
      <c r="X2136" s="1383"/>
      <c r="Y2136" s="1384"/>
      <c r="Z2136" s="534"/>
      <c r="AA2136" s="1385"/>
      <c r="AB2136" s="534"/>
      <c r="AC2136" s="1385"/>
      <c r="AD2136" s="1385"/>
      <c r="AE2136" s="1385"/>
      <c r="AF2136" s="1385"/>
      <c r="AG2136" s="1385"/>
      <c r="AH2136" s="1386"/>
      <c r="AI2136" s="1387"/>
      <c r="AJ2136" s="1387"/>
      <c r="AK2136" s="1387"/>
      <c r="AL2136" s="1387"/>
      <c r="AM2136" s="1387"/>
      <c r="AN2136" s="1387"/>
      <c r="AO2136" s="1387"/>
      <c r="AP2136" s="1387"/>
    </row>
    <row r="2139" spans="2:42" ht="25.5">
      <c r="B2139" s="1571"/>
      <c r="C2139" s="1570">
        <v>46125</v>
      </c>
      <c r="D2139" s="1570"/>
      <c r="E2139" s="1570" t="s">
        <v>564</v>
      </c>
      <c r="F2139" s="1570"/>
      <c r="G2139" s="894"/>
      <c r="H2139" s="1570">
        <v>46126</v>
      </c>
      <c r="I2139" s="1570"/>
      <c r="J2139" s="1570" t="s">
        <v>565</v>
      </c>
      <c r="K2139" s="1570"/>
      <c r="L2139" s="894"/>
      <c r="M2139" s="1570">
        <v>46127</v>
      </c>
      <c r="N2139" s="1570"/>
      <c r="O2139" s="1570" t="s">
        <v>566</v>
      </c>
      <c r="P2139" s="1570"/>
      <c r="Q2139" s="894"/>
      <c r="R2139" s="1570">
        <v>46128</v>
      </c>
      <c r="S2139" s="1570"/>
      <c r="T2139" s="1570" t="s">
        <v>567</v>
      </c>
      <c r="U2139" s="1570"/>
      <c r="V2139" s="894"/>
      <c r="W2139" s="1570">
        <v>46129</v>
      </c>
      <c r="X2139" s="1570"/>
      <c r="Y2139" s="1570" t="s">
        <v>568</v>
      </c>
      <c r="Z2139" s="1570"/>
      <c r="AA2139" s="1569" t="s">
        <v>19</v>
      </c>
      <c r="AB2139" s="1569" t="s">
        <v>20</v>
      </c>
      <c r="AC2139" s="4"/>
      <c r="AD2139" s="1570"/>
      <c r="AE2139" s="1570"/>
      <c r="AF2139" s="895" t="s">
        <v>1111</v>
      </c>
      <c r="AG2139" s="1569" t="s">
        <v>21</v>
      </c>
      <c r="AK2139" s="194" t="s">
        <v>84</v>
      </c>
      <c r="AL2139" s="366"/>
      <c r="AM2139" s="366"/>
      <c r="AN2139" s="366"/>
      <c r="AO2139" s="366"/>
      <c r="AP2139" s="366"/>
    </row>
    <row r="2140" spans="2:42">
      <c r="B2140" s="1571"/>
      <c r="C2140" s="896" t="s">
        <v>23</v>
      </c>
      <c r="D2140" s="896" t="s">
        <v>24</v>
      </c>
      <c r="E2140" s="897" t="s">
        <v>25</v>
      </c>
      <c r="F2140" s="898" t="s">
        <v>14</v>
      </c>
      <c r="G2140" s="4"/>
      <c r="H2140" s="896" t="s">
        <v>23</v>
      </c>
      <c r="I2140" s="896" t="s">
        <v>24</v>
      </c>
      <c r="J2140" s="898" t="s">
        <v>25</v>
      </c>
      <c r="K2140" s="898" t="s">
        <v>14</v>
      </c>
      <c r="L2140" s="4"/>
      <c r="M2140" s="896" t="s">
        <v>23</v>
      </c>
      <c r="N2140" s="896" t="s">
        <v>24</v>
      </c>
      <c r="O2140" s="898" t="s">
        <v>25</v>
      </c>
      <c r="P2140" s="898" t="s">
        <v>14</v>
      </c>
      <c r="R2140" s="896" t="s">
        <v>23</v>
      </c>
      <c r="S2140" s="896" t="s">
        <v>24</v>
      </c>
      <c r="T2140" s="898" t="s">
        <v>25</v>
      </c>
      <c r="U2140" s="898" t="s">
        <v>14</v>
      </c>
      <c r="W2140" s="896" t="s">
        <v>23</v>
      </c>
      <c r="X2140" s="896" t="s">
        <v>24</v>
      </c>
      <c r="Y2140" s="898" t="s">
        <v>25</v>
      </c>
      <c r="Z2140" s="898" t="s">
        <v>14</v>
      </c>
      <c r="AA2140" s="1569"/>
      <c r="AB2140" s="1569"/>
      <c r="AC2140" s="4"/>
      <c r="AD2140" s="896" t="s">
        <v>23</v>
      </c>
      <c r="AE2140" s="896" t="s">
        <v>24</v>
      </c>
      <c r="AF2140" s="898" t="s">
        <v>25</v>
      </c>
      <c r="AG2140" s="1569"/>
      <c r="AK2140" s="188" t="s">
        <v>26</v>
      </c>
      <c r="AL2140" s="196">
        <f>AA2167</f>
        <v>33.5</v>
      </c>
      <c r="AM2140" s="510">
        <v>40.31</v>
      </c>
      <c r="AN2140" s="510">
        <f t="shared" ref="AN2140:AN2145" si="260">AL2140*AM2140</f>
        <v>1350.385</v>
      </c>
    </row>
    <row r="2141" spans="2:42">
      <c r="B2141" s="47" t="s">
        <v>1166</v>
      </c>
      <c r="C2141" s="47"/>
      <c r="D2141" s="47"/>
      <c r="E2141" s="319">
        <v>0</v>
      </c>
      <c r="F2141" s="320"/>
      <c r="G2141" s="4"/>
      <c r="H2141" s="47"/>
      <c r="I2141" s="47"/>
      <c r="J2141" s="319">
        <v>0</v>
      </c>
      <c r="K2141" s="320"/>
      <c r="L2141" s="4"/>
      <c r="M2141" s="47"/>
      <c r="N2141" s="47"/>
      <c r="O2141" s="319">
        <v>0</v>
      </c>
      <c r="P2141" s="320"/>
      <c r="R2141" s="47"/>
      <c r="S2141" s="47"/>
      <c r="T2141" s="319">
        <v>0</v>
      </c>
      <c r="U2141" s="320"/>
      <c r="W2141" s="47"/>
      <c r="X2141" s="47"/>
      <c r="Y2141" s="319">
        <v>0</v>
      </c>
      <c r="Z2141" s="320"/>
      <c r="AA2141" s="328">
        <f t="shared" ref="AA2141:AA2166" si="261">(E2141+J2141+O2141+T2141+Y2141)</f>
        <v>0</v>
      </c>
      <c r="AB2141" s="400">
        <f t="shared" ref="AB2141:AB2166" si="262">Z2141+U2141+P2141+K2141+F2141</f>
        <v>0</v>
      </c>
      <c r="AC2141" s="4"/>
      <c r="AF2141" s="319"/>
      <c r="AG2141" s="328">
        <f t="shared" ref="AG2141:AG2166" si="263">AF2141</f>
        <v>0</v>
      </c>
      <c r="AK2141" s="188" t="s">
        <v>30</v>
      </c>
      <c r="AL2141" s="196">
        <f>AB2167</f>
        <v>0</v>
      </c>
      <c r="AM2141" s="510">
        <v>60.465000000000003</v>
      </c>
      <c r="AN2141" s="510">
        <f t="shared" si="260"/>
        <v>0</v>
      </c>
    </row>
    <row r="2142" spans="2:42">
      <c r="B2142" s="47" t="s">
        <v>1112</v>
      </c>
      <c r="C2142" s="47"/>
      <c r="D2142" s="47"/>
      <c r="E2142" s="319">
        <v>0</v>
      </c>
      <c r="F2142" s="320"/>
      <c r="G2142" s="4"/>
      <c r="H2142" s="47"/>
      <c r="I2142" s="47"/>
      <c r="J2142" s="319">
        <v>0</v>
      </c>
      <c r="K2142" s="320"/>
      <c r="L2142" s="4"/>
      <c r="M2142" s="47"/>
      <c r="N2142" s="47"/>
      <c r="O2142" s="319">
        <v>0</v>
      </c>
      <c r="P2142" s="320"/>
      <c r="R2142" s="47"/>
      <c r="S2142" s="47"/>
      <c r="T2142" s="319">
        <v>0</v>
      </c>
      <c r="U2142" s="320"/>
      <c r="W2142" s="47"/>
      <c r="X2142" s="47"/>
      <c r="Y2142" s="319">
        <v>0</v>
      </c>
      <c r="Z2142" s="320"/>
      <c r="AA2142" s="328">
        <f t="shared" si="261"/>
        <v>0</v>
      </c>
      <c r="AB2142" s="400">
        <f t="shared" si="262"/>
        <v>0</v>
      </c>
      <c r="AC2142" s="4"/>
      <c r="AD2142" s="47"/>
      <c r="AE2142" s="47"/>
      <c r="AF2142" s="319"/>
      <c r="AG2142" s="328">
        <f t="shared" si="263"/>
        <v>0</v>
      </c>
      <c r="AK2142" s="188" t="s">
        <v>32</v>
      </c>
      <c r="AL2142" s="196">
        <f>AG2167</f>
        <v>0</v>
      </c>
      <c r="AM2142" s="510">
        <v>60.465000000000003</v>
      </c>
      <c r="AN2142" s="510">
        <f t="shared" si="260"/>
        <v>0</v>
      </c>
    </row>
    <row r="2143" spans="2:42">
      <c r="B2143" s="47" t="s">
        <v>1141</v>
      </c>
      <c r="C2143" s="47"/>
      <c r="D2143" s="47"/>
      <c r="E2143" s="319">
        <v>0</v>
      </c>
      <c r="F2143" s="320"/>
      <c r="G2143" s="4"/>
      <c r="H2143" s="47"/>
      <c r="I2143" s="47"/>
      <c r="J2143" s="319">
        <v>0</v>
      </c>
      <c r="K2143" s="320"/>
      <c r="L2143" s="4"/>
      <c r="M2143" s="47"/>
      <c r="N2143" s="47"/>
      <c r="O2143" s="319">
        <v>0</v>
      </c>
      <c r="P2143" s="320"/>
      <c r="R2143" s="47"/>
      <c r="S2143" s="47"/>
      <c r="T2143" s="319">
        <v>0</v>
      </c>
      <c r="U2143" s="320"/>
      <c r="W2143" s="47"/>
      <c r="X2143" s="47"/>
      <c r="Y2143" s="319">
        <v>0</v>
      </c>
      <c r="Z2143" s="320"/>
      <c r="AA2143" s="328">
        <f t="shared" si="261"/>
        <v>0</v>
      </c>
      <c r="AB2143" s="400">
        <f t="shared" si="262"/>
        <v>0</v>
      </c>
      <c r="AC2143" s="4"/>
      <c r="AD2143" s="47"/>
      <c r="AE2143" s="47"/>
      <c r="AF2143" s="319"/>
      <c r="AG2143" s="328">
        <f t="shared" si="263"/>
        <v>0</v>
      </c>
      <c r="AK2143" s="188" t="s">
        <v>213</v>
      </c>
      <c r="AL2143" s="196">
        <f>AA2170</f>
        <v>8</v>
      </c>
      <c r="AM2143" s="510">
        <v>53.05</v>
      </c>
      <c r="AN2143" s="510">
        <f t="shared" si="260"/>
        <v>424.4</v>
      </c>
    </row>
    <row r="2144" spans="2:42">
      <c r="B2144" s="47" t="s">
        <v>72</v>
      </c>
      <c r="C2144" s="47"/>
      <c r="D2144" s="47"/>
      <c r="E2144" s="319">
        <v>0</v>
      </c>
      <c r="F2144" s="320"/>
      <c r="G2144" s="4"/>
      <c r="H2144" s="47"/>
      <c r="I2144" s="47"/>
      <c r="J2144" s="319">
        <v>0</v>
      </c>
      <c r="K2144" s="320"/>
      <c r="L2144" s="4"/>
      <c r="M2144" s="47"/>
      <c r="N2144" s="47"/>
      <c r="O2144" s="319">
        <v>0</v>
      </c>
      <c r="P2144" s="320"/>
      <c r="R2144" s="47"/>
      <c r="S2144" s="47"/>
      <c r="T2144" s="319">
        <v>0</v>
      </c>
      <c r="U2144" s="320"/>
      <c r="W2144" s="47"/>
      <c r="X2144" s="47"/>
      <c r="Y2144" s="319">
        <v>0</v>
      </c>
      <c r="Z2144" s="320"/>
      <c r="AA2144" s="328">
        <f t="shared" si="261"/>
        <v>0</v>
      </c>
      <c r="AB2144" s="400">
        <f t="shared" si="262"/>
        <v>0</v>
      </c>
      <c r="AC2144" s="4"/>
      <c r="AD2144" s="47"/>
      <c r="AE2144" s="47"/>
      <c r="AF2144" s="319"/>
      <c r="AG2144" s="328">
        <f t="shared" si="263"/>
        <v>0</v>
      </c>
      <c r="AK2144" s="188" t="s">
        <v>36</v>
      </c>
      <c r="AL2144" s="196">
        <f>AB2170</f>
        <v>0</v>
      </c>
      <c r="AM2144" s="510">
        <v>79.574999999999989</v>
      </c>
      <c r="AN2144" s="510">
        <f t="shared" si="260"/>
        <v>0</v>
      </c>
    </row>
    <row r="2145" spans="2:40">
      <c r="B2145" s="374" t="s">
        <v>998</v>
      </c>
      <c r="C2145" s="47"/>
      <c r="D2145" s="47"/>
      <c r="E2145" s="319">
        <v>0</v>
      </c>
      <c r="F2145" s="320"/>
      <c r="G2145" s="4"/>
      <c r="H2145" s="47"/>
      <c r="I2145" s="47"/>
      <c r="J2145" s="319">
        <v>0</v>
      </c>
      <c r="K2145" s="320"/>
      <c r="L2145" s="4"/>
      <c r="M2145" s="47"/>
      <c r="N2145" s="47"/>
      <c r="O2145" s="319">
        <v>0</v>
      </c>
      <c r="P2145" s="320"/>
      <c r="R2145" s="47"/>
      <c r="S2145" s="47"/>
      <c r="T2145" s="319">
        <v>0</v>
      </c>
      <c r="U2145" s="320"/>
      <c r="W2145" s="47"/>
      <c r="X2145" s="47"/>
      <c r="Y2145" s="319">
        <v>0</v>
      </c>
      <c r="Z2145" s="320"/>
      <c r="AA2145" s="328">
        <f t="shared" si="261"/>
        <v>0</v>
      </c>
      <c r="AB2145" s="400">
        <f t="shared" si="262"/>
        <v>0</v>
      </c>
      <c r="AC2145" s="4"/>
      <c r="AD2145" s="47"/>
      <c r="AE2145" s="47"/>
      <c r="AF2145" s="319"/>
      <c r="AG2145" s="328">
        <f t="shared" si="263"/>
        <v>0</v>
      </c>
      <c r="AK2145" s="188" t="s">
        <v>38</v>
      </c>
      <c r="AL2145" s="196">
        <f>AG2170</f>
        <v>0</v>
      </c>
      <c r="AM2145" s="510">
        <v>79.574999999999989</v>
      </c>
      <c r="AN2145" s="510">
        <f t="shared" si="260"/>
        <v>0</v>
      </c>
    </row>
    <row r="2146" spans="2:40">
      <c r="B2146" s="47" t="s">
        <v>53</v>
      </c>
      <c r="C2146" s="47"/>
      <c r="D2146" s="47"/>
      <c r="E2146" s="319">
        <v>0</v>
      </c>
      <c r="F2146" s="320"/>
      <c r="G2146" s="4"/>
      <c r="H2146" s="47"/>
      <c r="I2146" s="47"/>
      <c r="J2146" s="319">
        <v>0</v>
      </c>
      <c r="K2146" s="320"/>
      <c r="L2146" s="4"/>
      <c r="M2146" s="47"/>
      <c r="N2146" s="47"/>
      <c r="O2146" s="319">
        <v>0</v>
      </c>
      <c r="P2146" s="320"/>
      <c r="R2146" s="47"/>
      <c r="S2146" s="47"/>
      <c r="T2146" s="319">
        <v>0</v>
      </c>
      <c r="U2146" s="320"/>
      <c r="W2146" s="47"/>
      <c r="X2146" s="47"/>
      <c r="Y2146" s="319">
        <v>0</v>
      </c>
      <c r="Z2146" s="320"/>
      <c r="AA2146" s="328">
        <f t="shared" si="261"/>
        <v>0</v>
      </c>
      <c r="AB2146" s="400">
        <f t="shared" si="262"/>
        <v>0</v>
      </c>
      <c r="AC2146" s="4"/>
      <c r="AD2146" s="47"/>
      <c r="AE2146" s="47"/>
      <c r="AF2146" s="319"/>
      <c r="AG2146" s="328">
        <f t="shared" si="263"/>
        <v>0</v>
      </c>
      <c r="AN2146" s="510">
        <f>SUM(AN2140:AN2145)</f>
        <v>1774.7849999999999</v>
      </c>
    </row>
    <row r="2147" spans="2:40">
      <c r="B2147" s="47" t="s">
        <v>241</v>
      </c>
      <c r="C2147" s="47"/>
      <c r="D2147" s="47"/>
      <c r="E2147" s="319">
        <v>0</v>
      </c>
      <c r="F2147" s="320"/>
      <c r="G2147" s="4"/>
      <c r="H2147" s="47"/>
      <c r="I2147" s="47"/>
      <c r="J2147" s="319">
        <v>0</v>
      </c>
      <c r="K2147" s="320"/>
      <c r="L2147" s="4"/>
      <c r="M2147" s="47"/>
      <c r="N2147" s="47"/>
      <c r="O2147" s="319">
        <v>0</v>
      </c>
      <c r="P2147" s="320"/>
      <c r="R2147" s="47"/>
      <c r="S2147" s="47"/>
      <c r="T2147" s="319">
        <v>0</v>
      </c>
      <c r="U2147" s="320"/>
      <c r="W2147" s="47"/>
      <c r="X2147" s="47"/>
      <c r="Y2147" s="319">
        <v>0</v>
      </c>
      <c r="Z2147" s="320"/>
      <c r="AA2147" s="328">
        <f t="shared" si="261"/>
        <v>0</v>
      </c>
      <c r="AB2147" s="400">
        <f t="shared" si="262"/>
        <v>0</v>
      </c>
      <c r="AC2147" s="4"/>
      <c r="AD2147" s="47"/>
      <c r="AE2147" s="47"/>
      <c r="AF2147" s="319"/>
      <c r="AG2147" s="328">
        <f t="shared" si="263"/>
        <v>0</v>
      </c>
    </row>
    <row r="2148" spans="2:40">
      <c r="B2148" s="47" t="s">
        <v>1142</v>
      </c>
      <c r="C2148" s="47"/>
      <c r="D2148" s="441"/>
      <c r="E2148" s="319">
        <v>0</v>
      </c>
      <c r="F2148" s="320"/>
      <c r="G2148" s="4"/>
      <c r="H2148" s="47"/>
      <c r="I2148" s="47"/>
      <c r="J2148" s="319">
        <v>0</v>
      </c>
      <c r="K2148" s="320"/>
      <c r="L2148" s="4"/>
      <c r="M2148" s="47"/>
      <c r="N2148" s="47"/>
      <c r="O2148" s="319">
        <v>0</v>
      </c>
      <c r="P2148" s="320"/>
      <c r="R2148" s="47"/>
      <c r="S2148" s="47"/>
      <c r="T2148" s="319">
        <v>0</v>
      </c>
      <c r="U2148" s="320"/>
      <c r="W2148" s="47"/>
      <c r="X2148" s="47"/>
      <c r="Y2148" s="319">
        <v>0</v>
      </c>
      <c r="Z2148" s="320"/>
      <c r="AA2148" s="328">
        <f t="shared" si="261"/>
        <v>0</v>
      </c>
      <c r="AB2148" s="400">
        <f t="shared" si="262"/>
        <v>0</v>
      </c>
      <c r="AC2148" s="4"/>
      <c r="AD2148" s="47"/>
      <c r="AE2148" s="47"/>
      <c r="AF2148" s="319"/>
      <c r="AG2148" s="328">
        <f t="shared" si="263"/>
        <v>0</v>
      </c>
      <c r="AK2148" s="192" t="s">
        <v>1115</v>
      </c>
      <c r="AL2148" s="189">
        <f>C2171</f>
        <v>0</v>
      </c>
      <c r="AM2148" s="510">
        <v>47.74</v>
      </c>
      <c r="AN2148" s="510">
        <f>AM2148*AL2148</f>
        <v>0</v>
      </c>
    </row>
    <row r="2149" spans="2:40">
      <c r="B2149" s="47" t="s">
        <v>1143</v>
      </c>
      <c r="C2149" s="47"/>
      <c r="D2149" s="441"/>
      <c r="E2149" s="319">
        <v>0</v>
      </c>
      <c r="F2149" s="320"/>
      <c r="G2149" s="4"/>
      <c r="H2149" s="47"/>
      <c r="I2149" s="47"/>
      <c r="J2149" s="319">
        <v>0</v>
      </c>
      <c r="K2149" s="320"/>
      <c r="L2149" s="4"/>
      <c r="M2149" s="47"/>
      <c r="N2149" s="47"/>
      <c r="O2149" s="319">
        <v>0</v>
      </c>
      <c r="P2149" s="320"/>
      <c r="R2149" s="47"/>
      <c r="S2149" s="47"/>
      <c r="T2149" s="319">
        <v>0</v>
      </c>
      <c r="U2149" s="320"/>
      <c r="W2149" s="47"/>
      <c r="X2149" s="47"/>
      <c r="Y2149" s="319">
        <v>0</v>
      </c>
      <c r="Z2149" s="320"/>
      <c r="AA2149" s="328">
        <f t="shared" si="261"/>
        <v>0</v>
      </c>
      <c r="AB2149" s="400">
        <f t="shared" si="262"/>
        <v>0</v>
      </c>
      <c r="AC2149" s="4"/>
      <c r="AD2149" s="47"/>
      <c r="AE2149" s="47"/>
      <c r="AF2149" s="319"/>
      <c r="AG2149" s="328">
        <f t="shared" si="263"/>
        <v>0</v>
      </c>
      <c r="AK2149" s="192"/>
      <c r="AL2149" s="189"/>
      <c r="AM2149" s="510"/>
      <c r="AN2149" s="510"/>
    </row>
    <row r="2150" spans="2:40">
      <c r="B2150" s="47" t="s">
        <v>1144</v>
      </c>
      <c r="C2150" s="47"/>
      <c r="D2150" s="441"/>
      <c r="E2150" s="319">
        <v>0</v>
      </c>
      <c r="F2150" s="320"/>
      <c r="G2150" s="4"/>
      <c r="H2150" s="47"/>
      <c r="I2150" s="47"/>
      <c r="J2150" s="319">
        <v>0</v>
      </c>
      <c r="K2150" s="320"/>
      <c r="L2150" s="4"/>
      <c r="M2150" s="47"/>
      <c r="N2150" s="47"/>
      <c r="O2150" s="319">
        <v>0</v>
      </c>
      <c r="P2150" s="320"/>
      <c r="R2150" s="47"/>
      <c r="S2150" s="47"/>
      <c r="T2150" s="319">
        <v>0</v>
      </c>
      <c r="U2150" s="320"/>
      <c r="W2150" s="47"/>
      <c r="X2150" s="47"/>
      <c r="Y2150" s="319">
        <v>0</v>
      </c>
      <c r="Z2150" s="320"/>
      <c r="AA2150" s="328">
        <f t="shared" si="261"/>
        <v>0</v>
      </c>
      <c r="AB2150" s="400">
        <f t="shared" si="262"/>
        <v>0</v>
      </c>
      <c r="AC2150" s="4"/>
      <c r="AD2150" s="47"/>
      <c r="AE2150" s="47"/>
      <c r="AF2150" s="319"/>
      <c r="AG2150" s="328">
        <f t="shared" si="263"/>
        <v>0</v>
      </c>
      <c r="AK2150" s="192"/>
      <c r="AL2150" s="189"/>
      <c r="AM2150" s="510"/>
      <c r="AN2150" s="510"/>
    </row>
    <row r="2151" spans="2:40">
      <c r="B2151" s="47" t="s">
        <v>1113</v>
      </c>
      <c r="C2151" s="47"/>
      <c r="D2151" s="47"/>
      <c r="E2151" s="319">
        <v>0</v>
      </c>
      <c r="F2151" s="320"/>
      <c r="G2151" s="4"/>
      <c r="H2151" s="47"/>
      <c r="I2151" s="47"/>
      <c r="J2151" s="319">
        <v>0</v>
      </c>
      <c r="K2151" s="320"/>
      <c r="L2151" s="4"/>
      <c r="M2151" s="47"/>
      <c r="N2151" s="47"/>
      <c r="O2151" s="319">
        <v>0</v>
      </c>
      <c r="P2151" s="320"/>
      <c r="R2151" s="47"/>
      <c r="S2151" s="47"/>
      <c r="T2151" s="319">
        <v>0</v>
      </c>
      <c r="U2151" s="320"/>
      <c r="W2151" s="47"/>
      <c r="X2151" s="47"/>
      <c r="Y2151" s="319">
        <v>0</v>
      </c>
      <c r="Z2151" s="320"/>
      <c r="AA2151" s="328">
        <f t="shared" si="261"/>
        <v>0</v>
      </c>
      <c r="AB2151" s="400">
        <f t="shared" si="262"/>
        <v>0</v>
      </c>
      <c r="AC2151" s="4"/>
      <c r="AD2151" s="47"/>
      <c r="AE2151" s="47"/>
      <c r="AF2151" s="319"/>
      <c r="AG2151" s="328">
        <f t="shared" si="263"/>
        <v>0</v>
      </c>
    </row>
    <row r="2152" spans="2:40">
      <c r="B2152" s="1306" t="s">
        <v>1155</v>
      </c>
      <c r="C2152" s="47"/>
      <c r="D2152" s="47"/>
      <c r="E2152" s="319">
        <v>0</v>
      </c>
      <c r="F2152" s="320"/>
      <c r="G2152" s="4"/>
      <c r="H2152" s="47"/>
      <c r="I2152" s="47"/>
      <c r="J2152" s="319">
        <v>0</v>
      </c>
      <c r="K2152" s="320"/>
      <c r="L2152" s="4"/>
      <c r="M2152" s="47"/>
      <c r="N2152" s="47"/>
      <c r="O2152" s="319">
        <v>0</v>
      </c>
      <c r="P2152" s="320"/>
      <c r="R2152" s="47"/>
      <c r="S2152" s="47"/>
      <c r="T2152" s="319">
        <v>0</v>
      </c>
      <c r="U2152" s="320"/>
      <c r="W2152" s="47"/>
      <c r="X2152" s="47"/>
      <c r="Y2152" s="319">
        <v>0</v>
      </c>
      <c r="Z2152" s="320"/>
      <c r="AA2152" s="328">
        <f t="shared" si="261"/>
        <v>0</v>
      </c>
      <c r="AB2152" s="400">
        <f t="shared" si="262"/>
        <v>0</v>
      </c>
      <c r="AC2152" s="4"/>
      <c r="AD2152" s="47"/>
      <c r="AE2152" s="47"/>
      <c r="AF2152" s="319"/>
      <c r="AG2152" s="328">
        <f t="shared" si="263"/>
        <v>0</v>
      </c>
    </row>
    <row r="2153" spans="2:40">
      <c r="B2153" s="1306" t="s">
        <v>1160</v>
      </c>
      <c r="C2153" s="47"/>
      <c r="D2153" s="47"/>
      <c r="E2153" s="319">
        <v>0</v>
      </c>
      <c r="F2153" s="320"/>
      <c r="G2153" s="4"/>
      <c r="H2153" s="47">
        <v>0.45833333333333331</v>
      </c>
      <c r="I2153" s="47">
        <v>0.20833333333333334</v>
      </c>
      <c r="J2153" s="319">
        <v>6</v>
      </c>
      <c r="K2153" s="320"/>
      <c r="L2153" s="4"/>
      <c r="M2153" s="47"/>
      <c r="N2153" s="47"/>
      <c r="O2153" s="319">
        <v>0</v>
      </c>
      <c r="P2153" s="320"/>
      <c r="R2153" s="47">
        <v>0.45833333333333331</v>
      </c>
      <c r="S2153" s="47">
        <v>0.70833333333333337</v>
      </c>
      <c r="T2153" s="319">
        <v>6</v>
      </c>
      <c r="U2153" s="320"/>
      <c r="W2153" s="47"/>
      <c r="X2153" s="47"/>
      <c r="Y2153" s="319">
        <v>0</v>
      </c>
      <c r="Z2153" s="320"/>
      <c r="AA2153" s="328">
        <f t="shared" si="261"/>
        <v>12</v>
      </c>
      <c r="AB2153" s="400">
        <f t="shared" si="262"/>
        <v>0</v>
      </c>
      <c r="AC2153" s="4"/>
      <c r="AD2153" s="47"/>
      <c r="AE2153" s="47"/>
      <c r="AF2153" s="319"/>
      <c r="AG2153" s="328">
        <f t="shared" si="263"/>
        <v>0</v>
      </c>
    </row>
    <row r="2154" spans="2:40">
      <c r="B2154" s="1306" t="s">
        <v>1164</v>
      </c>
      <c r="C2154" s="47"/>
      <c r="D2154" s="47"/>
      <c r="E2154" s="319">
        <v>0</v>
      </c>
      <c r="F2154" s="320"/>
      <c r="G2154" s="4"/>
      <c r="H2154" s="47"/>
      <c r="I2154" s="47"/>
      <c r="J2154" s="319">
        <v>0</v>
      </c>
      <c r="K2154" s="320"/>
      <c r="L2154" s="4"/>
      <c r="M2154" s="47"/>
      <c r="N2154" s="47"/>
      <c r="O2154" s="319">
        <v>0</v>
      </c>
      <c r="P2154" s="320"/>
      <c r="R2154" s="47"/>
      <c r="S2154" s="47"/>
      <c r="T2154" s="319">
        <v>0</v>
      </c>
      <c r="U2154" s="320"/>
      <c r="W2154" s="47"/>
      <c r="X2154" s="47"/>
      <c r="Y2154" s="319">
        <v>0</v>
      </c>
      <c r="Z2154" s="320"/>
      <c r="AA2154" s="328">
        <f t="shared" si="261"/>
        <v>0</v>
      </c>
      <c r="AB2154" s="400">
        <f t="shared" si="262"/>
        <v>0</v>
      </c>
      <c r="AC2154" s="4"/>
      <c r="AD2154" s="47"/>
      <c r="AE2154" s="47"/>
      <c r="AF2154" s="319"/>
      <c r="AG2154" s="328">
        <f t="shared" si="263"/>
        <v>0</v>
      </c>
    </row>
    <row r="2155" spans="2:40">
      <c r="B2155" s="502" t="s">
        <v>483</v>
      </c>
      <c r="C2155" s="47"/>
      <c r="D2155" s="47"/>
      <c r="E2155" s="319">
        <v>0</v>
      </c>
      <c r="F2155" s="320"/>
      <c r="G2155" s="4"/>
      <c r="H2155" s="47"/>
      <c r="I2155" s="47"/>
      <c r="J2155" s="319">
        <v>0</v>
      </c>
      <c r="K2155" s="320"/>
      <c r="L2155" s="4"/>
      <c r="M2155" s="47"/>
      <c r="N2155" s="47"/>
      <c r="O2155" s="319">
        <v>0</v>
      </c>
      <c r="P2155" s="320"/>
      <c r="R2155" s="47"/>
      <c r="S2155" s="47"/>
      <c r="T2155" s="319">
        <v>0</v>
      </c>
      <c r="U2155" s="320"/>
      <c r="W2155" s="47"/>
      <c r="X2155" s="47"/>
      <c r="Y2155" s="319">
        <v>0</v>
      </c>
      <c r="Z2155" s="320"/>
      <c r="AA2155" s="328">
        <f t="shared" si="261"/>
        <v>0</v>
      </c>
      <c r="AB2155" s="400">
        <f t="shared" si="262"/>
        <v>0</v>
      </c>
      <c r="AC2155" s="4"/>
      <c r="AD2155" s="47"/>
      <c r="AE2155" s="47"/>
      <c r="AF2155" s="319"/>
      <c r="AG2155" s="328">
        <f t="shared" si="263"/>
        <v>0</v>
      </c>
    </row>
    <row r="2156" spans="2:40">
      <c r="B2156" s="502" t="s">
        <v>483</v>
      </c>
      <c r="C2156" s="47"/>
      <c r="D2156" s="47"/>
      <c r="E2156" s="319">
        <v>3</v>
      </c>
      <c r="F2156" s="320"/>
      <c r="G2156" s="4"/>
      <c r="H2156" s="47"/>
      <c r="I2156" s="47"/>
      <c r="J2156" s="319">
        <v>0</v>
      </c>
      <c r="K2156" s="320"/>
      <c r="L2156" s="4"/>
      <c r="M2156" s="47"/>
      <c r="N2156" s="47"/>
      <c r="O2156" s="319">
        <v>0</v>
      </c>
      <c r="P2156" s="320"/>
      <c r="R2156" s="47"/>
      <c r="S2156" s="47"/>
      <c r="T2156" s="319">
        <v>0</v>
      </c>
      <c r="U2156" s="320"/>
      <c r="W2156" s="47"/>
      <c r="X2156" s="47"/>
      <c r="Y2156" s="319">
        <v>0</v>
      </c>
      <c r="Z2156" s="320"/>
      <c r="AA2156" s="328">
        <f t="shared" si="261"/>
        <v>3</v>
      </c>
      <c r="AB2156" s="400">
        <f t="shared" si="262"/>
        <v>0</v>
      </c>
      <c r="AC2156" s="4"/>
      <c r="AD2156" s="47"/>
      <c r="AE2156" s="47"/>
      <c r="AF2156" s="319"/>
      <c r="AG2156" s="328">
        <f t="shared" si="263"/>
        <v>0</v>
      </c>
    </row>
    <row r="2157" spans="2:40">
      <c r="B2157" s="502" t="s">
        <v>484</v>
      </c>
      <c r="C2157" s="47"/>
      <c r="D2157" s="47"/>
      <c r="E2157" s="319">
        <v>3</v>
      </c>
      <c r="F2157" s="320"/>
      <c r="G2157" s="4"/>
      <c r="H2157" s="47"/>
      <c r="I2157" s="47"/>
      <c r="J2157" s="319">
        <v>0</v>
      </c>
      <c r="K2157" s="320"/>
      <c r="L2157" s="4"/>
      <c r="M2157" s="47"/>
      <c r="N2157" s="47"/>
      <c r="O2157" s="319">
        <v>3</v>
      </c>
      <c r="P2157" s="320"/>
      <c r="R2157" s="47"/>
      <c r="S2157" s="47"/>
      <c r="T2157" s="319">
        <v>0</v>
      </c>
      <c r="U2157" s="320"/>
      <c r="W2157" s="47"/>
      <c r="X2157" s="47"/>
      <c r="Y2157" s="319">
        <v>0</v>
      </c>
      <c r="Z2157" s="320"/>
      <c r="AA2157" s="328">
        <f t="shared" si="261"/>
        <v>6</v>
      </c>
      <c r="AB2157" s="400">
        <f t="shared" si="262"/>
        <v>0</v>
      </c>
      <c r="AC2157" s="4"/>
      <c r="AD2157" s="47"/>
      <c r="AE2157" s="47"/>
      <c r="AF2157" s="319"/>
      <c r="AG2157" s="328">
        <f t="shared" si="263"/>
        <v>0</v>
      </c>
    </row>
    <row r="2158" spans="2:40">
      <c r="B2158" s="502" t="s">
        <v>485</v>
      </c>
      <c r="C2158" s="47"/>
      <c r="D2158" s="47"/>
      <c r="E2158" s="319">
        <v>3</v>
      </c>
      <c r="F2158" s="320"/>
      <c r="G2158" s="4"/>
      <c r="H2158" s="47"/>
      <c r="I2158" s="47"/>
      <c r="J2158" s="319">
        <v>0</v>
      </c>
      <c r="K2158" s="320"/>
      <c r="L2158" s="4"/>
      <c r="M2158" s="47"/>
      <c r="N2158" s="47"/>
      <c r="O2158" s="319">
        <v>0</v>
      </c>
      <c r="P2158" s="320"/>
      <c r="R2158" s="47"/>
      <c r="S2158" s="47"/>
      <c r="T2158" s="319">
        <v>0</v>
      </c>
      <c r="U2158" s="320"/>
      <c r="W2158" s="47"/>
      <c r="X2158" s="47"/>
      <c r="Y2158" s="319">
        <v>0</v>
      </c>
      <c r="Z2158" s="320"/>
      <c r="AA2158" s="328">
        <f t="shared" si="261"/>
        <v>3</v>
      </c>
      <c r="AB2158" s="400">
        <f t="shared" si="262"/>
        <v>0</v>
      </c>
      <c r="AC2158" s="4"/>
      <c r="AD2158" s="47"/>
      <c r="AE2158" s="47"/>
      <c r="AF2158" s="319"/>
      <c r="AG2158" s="328">
        <f t="shared" si="263"/>
        <v>0</v>
      </c>
    </row>
    <row r="2159" spans="2:40">
      <c r="B2159" s="502" t="s">
        <v>1129</v>
      </c>
      <c r="C2159" s="47"/>
      <c r="D2159" s="47"/>
      <c r="E2159" s="319">
        <v>0</v>
      </c>
      <c r="F2159" s="320"/>
      <c r="G2159" s="4"/>
      <c r="H2159" s="47"/>
      <c r="I2159" s="47"/>
      <c r="J2159" s="319">
        <v>0</v>
      </c>
      <c r="K2159" s="320"/>
      <c r="L2159" s="4"/>
      <c r="M2159" s="47"/>
      <c r="N2159" s="47"/>
      <c r="O2159" s="319">
        <v>0</v>
      </c>
      <c r="P2159" s="320"/>
      <c r="R2159" s="47"/>
      <c r="S2159" s="47"/>
      <c r="T2159" s="319">
        <v>0</v>
      </c>
      <c r="U2159" s="320"/>
      <c r="W2159" s="47"/>
      <c r="X2159" s="47"/>
      <c r="Y2159" s="319">
        <v>0</v>
      </c>
      <c r="Z2159" s="320"/>
      <c r="AA2159" s="328">
        <f t="shared" si="261"/>
        <v>0</v>
      </c>
      <c r="AB2159" s="400">
        <f t="shared" si="262"/>
        <v>0</v>
      </c>
      <c r="AC2159" s="4"/>
      <c r="AD2159" s="47"/>
      <c r="AE2159" s="47"/>
      <c r="AF2159" s="319"/>
      <c r="AG2159" s="328">
        <f t="shared" si="263"/>
        <v>0</v>
      </c>
    </row>
    <row r="2160" spans="2:40">
      <c r="B2160" s="267" t="s">
        <v>358</v>
      </c>
      <c r="C2160" s="47"/>
      <c r="D2160" s="47"/>
      <c r="E2160" s="319">
        <v>1</v>
      </c>
      <c r="F2160" s="320"/>
      <c r="G2160" s="4"/>
      <c r="H2160" s="47"/>
      <c r="I2160" s="47"/>
      <c r="J2160" s="319">
        <v>0</v>
      </c>
      <c r="K2160" s="320"/>
      <c r="L2160" s="438"/>
      <c r="M2160" s="47"/>
      <c r="N2160" s="47"/>
      <c r="O2160" s="319">
        <v>1</v>
      </c>
      <c r="P2160" s="320"/>
      <c r="Q2160" s="438"/>
      <c r="R2160" s="47"/>
      <c r="S2160" s="47"/>
      <c r="T2160" s="319">
        <v>0</v>
      </c>
      <c r="U2160" s="320"/>
      <c r="V2160" s="438"/>
      <c r="W2160" s="47"/>
      <c r="X2160" s="47"/>
      <c r="Y2160" s="319">
        <v>0</v>
      </c>
      <c r="Z2160" s="320"/>
      <c r="AA2160" s="328">
        <f t="shared" si="261"/>
        <v>2</v>
      </c>
      <c r="AB2160" s="400">
        <f t="shared" si="262"/>
        <v>0</v>
      </c>
      <c r="AC2160" s="4"/>
      <c r="AD2160" s="47"/>
      <c r="AE2160" s="47"/>
      <c r="AF2160" s="319"/>
      <c r="AG2160" s="328">
        <f t="shared" si="263"/>
        <v>0</v>
      </c>
    </row>
    <row r="2161" spans="2:42">
      <c r="B2161" s="267" t="s">
        <v>991</v>
      </c>
      <c r="C2161" s="47"/>
      <c r="D2161" s="47"/>
      <c r="E2161" s="319">
        <v>0</v>
      </c>
      <c r="F2161" s="320"/>
      <c r="G2161" s="4"/>
      <c r="H2161" s="47"/>
      <c r="I2161" s="47"/>
      <c r="J2161" s="319">
        <v>0</v>
      </c>
      <c r="K2161" s="320"/>
      <c r="L2161" s="438"/>
      <c r="M2161" s="47"/>
      <c r="N2161" s="47"/>
      <c r="O2161" s="319">
        <v>0</v>
      </c>
      <c r="P2161" s="320"/>
      <c r="Q2161" s="438"/>
      <c r="R2161" s="47"/>
      <c r="S2161" s="47"/>
      <c r="T2161" s="319">
        <v>0</v>
      </c>
      <c r="U2161" s="320"/>
      <c r="V2161" s="438"/>
      <c r="W2161" s="47"/>
      <c r="X2161" s="47"/>
      <c r="Y2161" s="319">
        <v>0</v>
      </c>
      <c r="Z2161" s="320"/>
      <c r="AA2161" s="328">
        <f t="shared" si="261"/>
        <v>0</v>
      </c>
      <c r="AB2161" s="400">
        <f t="shared" si="262"/>
        <v>0</v>
      </c>
      <c r="AC2161" s="4"/>
      <c r="AD2161" s="47"/>
      <c r="AE2161" s="47"/>
      <c r="AF2161" s="319"/>
      <c r="AG2161" s="328">
        <f t="shared" si="263"/>
        <v>0</v>
      </c>
    </row>
    <row r="2162" spans="2:42">
      <c r="B2162" s="267" t="s">
        <v>411</v>
      </c>
      <c r="C2162" s="47"/>
      <c r="D2162" s="47"/>
      <c r="E2162" s="319">
        <v>0</v>
      </c>
      <c r="F2162" s="320"/>
      <c r="G2162" s="4"/>
      <c r="H2162" s="47"/>
      <c r="I2162" s="47"/>
      <c r="J2162" s="319">
        <v>0</v>
      </c>
      <c r="K2162" s="320"/>
      <c r="L2162" s="438"/>
      <c r="M2162" s="47"/>
      <c r="N2162" s="47"/>
      <c r="O2162" s="319">
        <v>0</v>
      </c>
      <c r="P2162" s="320"/>
      <c r="Q2162" s="438"/>
      <c r="R2162" s="47"/>
      <c r="S2162" s="47"/>
      <c r="T2162" s="319">
        <v>0</v>
      </c>
      <c r="U2162" s="320"/>
      <c r="V2162" s="438"/>
      <c r="W2162" s="47"/>
      <c r="X2162" s="47"/>
      <c r="Y2162" s="319">
        <v>0</v>
      </c>
      <c r="Z2162" s="320"/>
      <c r="AA2162" s="328">
        <f t="shared" si="261"/>
        <v>0</v>
      </c>
      <c r="AB2162" s="400">
        <f t="shared" si="262"/>
        <v>0</v>
      </c>
      <c r="AC2162" s="4"/>
      <c r="AD2162" s="47"/>
      <c r="AE2162" s="47"/>
      <c r="AF2162" s="319"/>
      <c r="AG2162" s="328">
        <f t="shared" si="263"/>
        <v>0</v>
      </c>
    </row>
    <row r="2163" spans="2:42">
      <c r="B2163" s="267" t="s">
        <v>361</v>
      </c>
      <c r="C2163" s="47"/>
      <c r="D2163" s="47"/>
      <c r="E2163" s="319">
        <v>0</v>
      </c>
      <c r="F2163" s="320"/>
      <c r="G2163" s="4"/>
      <c r="H2163" s="47"/>
      <c r="I2163" s="47"/>
      <c r="J2163" s="319">
        <v>0</v>
      </c>
      <c r="K2163" s="320"/>
      <c r="L2163" s="438"/>
      <c r="M2163" s="47"/>
      <c r="N2163" s="47"/>
      <c r="O2163" s="319">
        <v>0</v>
      </c>
      <c r="P2163" s="320"/>
      <c r="Q2163" s="438"/>
      <c r="R2163" s="47"/>
      <c r="S2163" s="47"/>
      <c r="T2163" s="319">
        <v>0</v>
      </c>
      <c r="U2163" s="320"/>
      <c r="V2163" s="438"/>
      <c r="W2163" s="47"/>
      <c r="X2163" s="47"/>
      <c r="Y2163" s="319">
        <v>0</v>
      </c>
      <c r="Z2163" s="320"/>
      <c r="AA2163" s="328">
        <f t="shared" si="261"/>
        <v>0</v>
      </c>
      <c r="AB2163" s="400">
        <f t="shared" si="262"/>
        <v>0</v>
      </c>
      <c r="AC2163" s="4"/>
      <c r="AD2163" s="47"/>
      <c r="AE2163" s="47"/>
      <c r="AF2163" s="319"/>
      <c r="AG2163" s="328">
        <f t="shared" si="263"/>
        <v>0</v>
      </c>
    </row>
    <row r="2164" spans="2:42">
      <c r="B2164" s="267" t="s">
        <v>362</v>
      </c>
      <c r="C2164" s="47"/>
      <c r="D2164" s="5"/>
      <c r="E2164" s="319">
        <v>7.5</v>
      </c>
      <c r="F2164" s="320"/>
      <c r="G2164" s="4"/>
      <c r="H2164" s="47"/>
      <c r="I2164" s="5"/>
      <c r="J2164" s="319">
        <v>0</v>
      </c>
      <c r="K2164" s="320"/>
      <c r="L2164" s="438"/>
      <c r="M2164" s="47"/>
      <c r="N2164" s="5"/>
      <c r="O2164" s="319">
        <v>0</v>
      </c>
      <c r="P2164" s="320"/>
      <c r="Q2164" s="438"/>
      <c r="R2164" s="47"/>
      <c r="S2164" s="5"/>
      <c r="T2164" s="319">
        <v>0</v>
      </c>
      <c r="U2164" s="320"/>
      <c r="V2164" s="438"/>
      <c r="W2164" s="47"/>
      <c r="X2164" s="5"/>
      <c r="Y2164" s="319">
        <v>0</v>
      </c>
      <c r="Z2164" s="320"/>
      <c r="AA2164" s="328">
        <f t="shared" si="261"/>
        <v>7.5</v>
      </c>
      <c r="AB2164" s="400">
        <f t="shared" si="262"/>
        <v>0</v>
      </c>
      <c r="AC2164" s="4"/>
      <c r="AD2164" s="47"/>
      <c r="AE2164" s="47"/>
      <c r="AF2164" s="319"/>
      <c r="AG2164" s="328">
        <f t="shared" si="263"/>
        <v>0</v>
      </c>
    </row>
    <row r="2165" spans="2:42">
      <c r="B2165" s="437" t="s">
        <v>355</v>
      </c>
      <c r="C2165" s="47"/>
      <c r="D2165" s="47"/>
      <c r="E2165" s="319">
        <v>0</v>
      </c>
      <c r="F2165" s="320"/>
      <c r="G2165" s="4"/>
      <c r="H2165" s="47"/>
      <c r="I2165" s="47"/>
      <c r="J2165" s="319">
        <v>0</v>
      </c>
      <c r="K2165" s="320"/>
      <c r="L2165" s="438"/>
      <c r="M2165" s="47"/>
      <c r="N2165" s="47"/>
      <c r="O2165" s="319">
        <v>0</v>
      </c>
      <c r="P2165" s="320"/>
      <c r="Q2165" s="438"/>
      <c r="R2165" s="47"/>
      <c r="S2165" s="47"/>
      <c r="T2165" s="319">
        <v>0</v>
      </c>
      <c r="U2165" s="320"/>
      <c r="V2165" s="438"/>
      <c r="W2165" s="47"/>
      <c r="X2165" s="47"/>
      <c r="Y2165" s="319">
        <v>0</v>
      </c>
      <c r="Z2165" s="320"/>
      <c r="AA2165" s="328">
        <f t="shared" si="261"/>
        <v>0</v>
      </c>
      <c r="AB2165" s="400">
        <f t="shared" si="262"/>
        <v>0</v>
      </c>
      <c r="AC2165" s="4"/>
      <c r="AD2165" s="47"/>
      <c r="AE2165" s="47"/>
      <c r="AF2165" s="319"/>
      <c r="AG2165" s="328">
        <f t="shared" si="263"/>
        <v>0</v>
      </c>
    </row>
    <row r="2166" spans="2:42">
      <c r="B2166" s="437" t="s">
        <v>356</v>
      </c>
      <c r="C2166" s="713"/>
      <c r="D2166" s="713"/>
      <c r="E2166" s="319">
        <v>0</v>
      </c>
      <c r="F2166" s="320"/>
      <c r="G2166" s="438"/>
      <c r="H2166" s="5"/>
      <c r="I2166" s="5"/>
      <c r="J2166" s="319">
        <v>0</v>
      </c>
      <c r="K2166" s="320"/>
      <c r="L2166" s="438"/>
      <c r="M2166" s="5"/>
      <c r="N2166" s="5"/>
      <c r="O2166" s="319">
        <v>0</v>
      </c>
      <c r="P2166" s="320"/>
      <c r="Q2166" s="438"/>
      <c r="R2166" s="5"/>
      <c r="S2166" s="5"/>
      <c r="T2166" s="319">
        <v>0</v>
      </c>
      <c r="U2166" s="320"/>
      <c r="V2166" s="438"/>
      <c r="W2166" s="5"/>
      <c r="X2166" s="5"/>
      <c r="Y2166" s="319">
        <v>0</v>
      </c>
      <c r="Z2166" s="320"/>
      <c r="AA2166" s="328">
        <f t="shared" si="261"/>
        <v>0</v>
      </c>
      <c r="AB2166" s="400">
        <f t="shared" si="262"/>
        <v>0</v>
      </c>
      <c r="AC2166" s="4"/>
      <c r="AD2166" s="47"/>
      <c r="AE2166" s="47"/>
      <c r="AF2166" s="319"/>
      <c r="AG2166" s="328">
        <f t="shared" si="263"/>
        <v>0</v>
      </c>
    </row>
    <row r="2167" spans="2:42">
      <c r="B2167" s="31" t="s">
        <v>61</v>
      </c>
      <c r="C2167" s="31"/>
      <c r="D2167" s="31"/>
      <c r="E2167" s="439">
        <f>SUM(E2141:E2166)</f>
        <v>17.5</v>
      </c>
      <c r="F2167" s="320"/>
      <c r="G2167" s="31"/>
      <c r="H2167" s="31"/>
      <c r="I2167" s="31"/>
      <c r="J2167" s="439">
        <f>SUM(J2141:J2166)</f>
        <v>6</v>
      </c>
      <c r="K2167" s="320"/>
      <c r="L2167" s="31"/>
      <c r="M2167" s="31"/>
      <c r="N2167" s="31"/>
      <c r="O2167" s="439">
        <f>SUM(O2141:O2166)</f>
        <v>4</v>
      </c>
      <c r="P2167" s="320"/>
      <c r="Q2167" s="31"/>
      <c r="R2167" s="31"/>
      <c r="S2167" s="31"/>
      <c r="T2167" s="439">
        <f>SUM(T2141:T2166)</f>
        <v>6</v>
      </c>
      <c r="U2167" s="320"/>
      <c r="V2167" s="31"/>
      <c r="W2167" s="31"/>
      <c r="X2167" s="31"/>
      <c r="Y2167" s="439">
        <f>SUM(Y2141:Y2166)</f>
        <v>0</v>
      </c>
      <c r="Z2167" s="320"/>
      <c r="AA2167" s="328">
        <f>SUM(AA2141:AA2166)</f>
        <v>33.5</v>
      </c>
      <c r="AB2167" s="328">
        <f>SUM(AB2141:AB2166)</f>
        <v>0</v>
      </c>
      <c r="AC2167" s="4"/>
      <c r="AD2167" s="31"/>
      <c r="AE2167" s="31"/>
      <c r="AF2167" s="328">
        <f>SUM(AF2141:AF2166)</f>
        <v>0</v>
      </c>
      <c r="AG2167" s="328">
        <f>SUM(AG2141:AG2166)</f>
        <v>0</v>
      </c>
    </row>
    <row r="2168" spans="2:42">
      <c r="B2168" s="267" t="s">
        <v>1116</v>
      </c>
      <c r="C2168" s="47"/>
      <c r="D2168" s="47"/>
      <c r="E2168" s="319">
        <v>4</v>
      </c>
      <c r="F2168" s="320"/>
      <c r="G2168" s="4"/>
      <c r="H2168" s="47"/>
      <c r="I2168" s="47"/>
      <c r="J2168" s="319">
        <v>4</v>
      </c>
      <c r="K2168" s="320"/>
      <c r="L2168" s="4"/>
      <c r="M2168" s="47"/>
      <c r="N2168" s="47"/>
      <c r="O2168" s="319">
        <v>0</v>
      </c>
      <c r="P2168" s="320"/>
      <c r="R2168" s="47"/>
      <c r="S2168" s="47"/>
      <c r="T2168" s="319">
        <v>0</v>
      </c>
      <c r="U2168" s="320"/>
      <c r="W2168" s="47"/>
      <c r="X2168" s="47"/>
      <c r="Y2168" s="319">
        <v>0</v>
      </c>
      <c r="Z2168" s="320"/>
      <c r="AA2168" s="328">
        <f>(E2168+J2168+O2168+T2168+Y2168)</f>
        <v>8</v>
      </c>
      <c r="AB2168" s="400">
        <f>Z2168+U2168+P2168+K2168+F2168</f>
        <v>0</v>
      </c>
      <c r="AC2168" s="4"/>
      <c r="AD2168" s="47"/>
      <c r="AE2168" s="47"/>
      <c r="AF2168" s="319"/>
      <c r="AG2168" s="328">
        <f>AF2168</f>
        <v>0</v>
      </c>
    </row>
    <row r="2169" spans="2:42">
      <c r="B2169" s="267" t="s">
        <v>64</v>
      </c>
      <c r="C2169" s="47"/>
      <c r="D2169" s="47"/>
      <c r="E2169" s="319">
        <v>0</v>
      </c>
      <c r="F2169" s="319"/>
      <c r="G2169" s="71"/>
      <c r="H2169" s="47"/>
      <c r="I2169" s="47"/>
      <c r="J2169" s="319">
        <v>0</v>
      </c>
      <c r="K2169" s="319"/>
      <c r="L2169" s="438"/>
      <c r="M2169" s="47"/>
      <c r="N2169" s="47"/>
      <c r="O2169" s="319">
        <v>0</v>
      </c>
      <c r="P2169" s="319"/>
      <c r="Q2169" s="438"/>
      <c r="R2169" s="47"/>
      <c r="S2169" s="47"/>
      <c r="T2169" s="319">
        <v>0</v>
      </c>
      <c r="U2169" s="319"/>
      <c r="V2169" s="438"/>
      <c r="W2169" s="47"/>
      <c r="X2169" s="47"/>
      <c r="Y2169" s="319">
        <v>0</v>
      </c>
      <c r="Z2169" s="319"/>
      <c r="AA2169" s="328">
        <f>SUM(E2169+J2169+O2169+T2169+Y2169)</f>
        <v>0</v>
      </c>
      <c r="AB2169" s="897">
        <f>Z2169+U2169+P2169+K2169+F2169</f>
        <v>0</v>
      </c>
      <c r="AC2169" s="4"/>
      <c r="AD2169" s="47" t="s">
        <v>29</v>
      </c>
      <c r="AE2169" s="47" t="s">
        <v>29</v>
      </c>
      <c r="AF2169" s="319"/>
      <c r="AG2169" s="328">
        <f>AF2169</f>
        <v>0</v>
      </c>
    </row>
    <row r="2170" spans="2:42">
      <c r="B2170" s="71" t="s">
        <v>66</v>
      </c>
      <c r="C2170" s="1210"/>
      <c r="D2170" s="1210"/>
      <c r="E2170" s="1208"/>
      <c r="F2170" s="71"/>
      <c r="G2170" s="71"/>
      <c r="H2170" s="71"/>
      <c r="I2170" s="71"/>
      <c r="J2170" s="71"/>
      <c r="K2170" s="71"/>
      <c r="L2170" s="71"/>
      <c r="M2170" s="71"/>
      <c r="N2170" s="71"/>
      <c r="O2170" s="71"/>
      <c r="P2170" s="71"/>
      <c r="Q2170" s="71"/>
      <c r="R2170" s="71"/>
      <c r="S2170" s="71"/>
      <c r="T2170" s="71"/>
      <c r="U2170" s="71"/>
      <c r="V2170" s="71"/>
      <c r="W2170" s="71"/>
      <c r="X2170" s="71"/>
      <c r="Y2170" s="71"/>
      <c r="Z2170" s="71"/>
      <c r="AA2170" s="328">
        <f>SUM(AA2168:AA2169)</f>
        <v>8</v>
      </c>
      <c r="AB2170" s="328">
        <f>SUM(AB2169:AB2169)</f>
        <v>0</v>
      </c>
      <c r="AC2170" s="4"/>
      <c r="AG2170" s="328">
        <f>SUM(AG2169:AG2169)</f>
        <v>0</v>
      </c>
      <c r="AK2170" s="407"/>
    </row>
    <row r="2171" spans="2:42">
      <c r="B2171" s="1382" t="s">
        <v>67</v>
      </c>
      <c r="C2171" s="1383">
        <f>C2172+C2173</f>
        <v>0</v>
      </c>
      <c r="D2171" s="1383"/>
      <c r="E2171" s="534"/>
      <c r="F2171" s="534"/>
      <c r="G2171" s="1383"/>
      <c r="H2171" s="534"/>
      <c r="I2171" s="534"/>
      <c r="J2171" s="534"/>
      <c r="K2171" s="534"/>
      <c r="L2171" s="1383"/>
      <c r="M2171" s="1383"/>
      <c r="N2171" s="1383"/>
      <c r="O2171" s="1383"/>
      <c r="P2171" s="534"/>
      <c r="Q2171" s="1383"/>
      <c r="R2171" s="1383"/>
      <c r="S2171" s="1383"/>
      <c r="T2171" s="1383"/>
      <c r="U2171" s="534"/>
      <c r="V2171" s="1383"/>
      <c r="W2171" s="1383"/>
      <c r="X2171" s="1383"/>
      <c r="Y2171" s="1384"/>
      <c r="Z2171" s="534"/>
      <c r="AA2171" s="1385"/>
      <c r="AB2171" s="534"/>
      <c r="AC2171" s="1385"/>
      <c r="AD2171" s="1385"/>
      <c r="AE2171" s="1385"/>
      <c r="AF2171" s="1385"/>
      <c r="AG2171" s="1385"/>
      <c r="AH2171" s="1386"/>
      <c r="AI2171" s="1387"/>
      <c r="AJ2171" s="1387"/>
      <c r="AK2171" s="1388"/>
      <c r="AL2171" s="1387"/>
      <c r="AM2171" s="1387"/>
      <c r="AN2171" s="1387"/>
      <c r="AO2171" s="1387"/>
      <c r="AP2171" s="1387"/>
    </row>
    <row r="2172" spans="2:42">
      <c r="B2172" s="1389" t="s">
        <v>68</v>
      </c>
      <c r="C2172" s="1383">
        <v>0</v>
      </c>
      <c r="D2172" s="1383"/>
      <c r="E2172" s="534"/>
      <c r="F2172" s="534"/>
      <c r="G2172" s="1383"/>
      <c r="H2172" s="534"/>
      <c r="I2172" s="534"/>
      <c r="J2172" s="534"/>
      <c r="K2172" s="534"/>
      <c r="L2172" s="1383"/>
      <c r="M2172" s="1383"/>
      <c r="N2172" s="1383"/>
      <c r="O2172" s="1383"/>
      <c r="P2172" s="534"/>
      <c r="Q2172" s="1383"/>
      <c r="R2172" s="1383"/>
      <c r="S2172" s="1383"/>
      <c r="T2172" s="1383"/>
      <c r="U2172" s="534"/>
      <c r="V2172" s="1383"/>
      <c r="W2172" s="1383"/>
      <c r="X2172" s="1383"/>
      <c r="Y2172" s="1384"/>
      <c r="Z2172" s="534"/>
      <c r="AA2172" s="1385"/>
      <c r="AB2172" s="534"/>
      <c r="AC2172" s="1385"/>
      <c r="AD2172" s="1385"/>
      <c r="AE2172" s="1385"/>
      <c r="AF2172" s="1385"/>
      <c r="AG2172" s="1385"/>
      <c r="AH2172" s="1386"/>
      <c r="AI2172" s="1387"/>
      <c r="AJ2172" s="1387"/>
      <c r="AK2172" s="1388"/>
      <c r="AL2172" s="1387"/>
      <c r="AM2172" s="1387"/>
      <c r="AN2172" s="1387"/>
      <c r="AO2172" s="1387"/>
      <c r="AP2172" s="1387"/>
    </row>
    <row r="2173" spans="2:42">
      <c r="B2173" s="1389" t="s">
        <v>69</v>
      </c>
      <c r="C2173" s="1383">
        <v>0</v>
      </c>
      <c r="D2173" s="1383"/>
      <c r="E2173" s="534"/>
      <c r="F2173" s="534"/>
      <c r="G2173" s="1383"/>
      <c r="H2173" s="534"/>
      <c r="I2173" s="534"/>
      <c r="J2173" s="534"/>
      <c r="K2173" s="534"/>
      <c r="L2173" s="1383"/>
      <c r="M2173" s="1383"/>
      <c r="N2173" s="1383"/>
      <c r="O2173" s="1383"/>
      <c r="P2173" s="534"/>
      <c r="Q2173" s="1383"/>
      <c r="R2173" s="1383"/>
      <c r="S2173" s="1383"/>
      <c r="T2173" s="1383"/>
      <c r="U2173" s="534"/>
      <c r="V2173" s="1383"/>
      <c r="W2173" s="1383"/>
      <c r="X2173" s="1383"/>
      <c r="Y2173" s="1384"/>
      <c r="Z2173" s="534"/>
      <c r="AA2173" s="1385"/>
      <c r="AB2173" s="534"/>
      <c r="AC2173" s="1385"/>
      <c r="AD2173" s="1385"/>
      <c r="AE2173" s="1385"/>
      <c r="AF2173" s="1385"/>
      <c r="AG2173" s="1385"/>
      <c r="AH2173" s="1386"/>
      <c r="AI2173" s="1387"/>
      <c r="AJ2173" s="1387"/>
      <c r="AK2173" s="1387"/>
      <c r="AL2173" s="1387"/>
      <c r="AM2173" s="1387"/>
      <c r="AN2173" s="1387"/>
      <c r="AO2173" s="1387"/>
      <c r="AP2173" s="1387"/>
    </row>
    <row r="2175" spans="2:42" ht="25.5">
      <c r="B2175" s="1571"/>
      <c r="C2175" s="1568">
        <v>46132</v>
      </c>
      <c r="D2175" s="1568"/>
      <c r="E2175" s="1568" t="s">
        <v>564</v>
      </c>
      <c r="F2175" s="1568"/>
      <c r="G2175" s="1258"/>
      <c r="H2175" s="1568">
        <v>46133</v>
      </c>
      <c r="I2175" s="1568"/>
      <c r="J2175" s="1568" t="s">
        <v>565</v>
      </c>
      <c r="K2175" s="1568"/>
      <c r="L2175" s="1258"/>
      <c r="M2175" s="1568">
        <v>46134</v>
      </c>
      <c r="N2175" s="1568"/>
      <c r="O2175" s="1568" t="s">
        <v>566</v>
      </c>
      <c r="P2175" s="1568"/>
      <c r="Q2175" s="1258"/>
      <c r="R2175" s="1568">
        <v>46135</v>
      </c>
      <c r="S2175" s="1568"/>
      <c r="T2175" s="1568" t="s">
        <v>567</v>
      </c>
      <c r="U2175" s="1568"/>
      <c r="V2175" s="1258"/>
      <c r="W2175" s="1568">
        <v>46136</v>
      </c>
      <c r="X2175" s="1568"/>
      <c r="Y2175" s="1568" t="s">
        <v>568</v>
      </c>
      <c r="Z2175" s="1568"/>
      <c r="AA2175" s="1569" t="s">
        <v>19</v>
      </c>
      <c r="AB2175" s="1569" t="s">
        <v>20</v>
      </c>
      <c r="AC2175" s="4"/>
      <c r="AD2175" s="1570"/>
      <c r="AE2175" s="1570"/>
      <c r="AF2175" s="895" t="s">
        <v>1111</v>
      </c>
      <c r="AG2175" s="1569" t="s">
        <v>21</v>
      </c>
      <c r="AK2175" s="194" t="s">
        <v>84</v>
      </c>
      <c r="AL2175" s="366"/>
      <c r="AM2175" s="366"/>
      <c r="AN2175" s="366"/>
      <c r="AO2175" s="366"/>
      <c r="AP2175" s="366"/>
    </row>
    <row r="2176" spans="2:42">
      <c r="B2176" s="1571"/>
      <c r="C2176" s="896" t="s">
        <v>23</v>
      </c>
      <c r="D2176" s="896" t="s">
        <v>24</v>
      </c>
      <c r="E2176" s="897" t="s">
        <v>25</v>
      </c>
      <c r="F2176" s="898" t="s">
        <v>14</v>
      </c>
      <c r="G2176" s="4"/>
      <c r="H2176" s="896" t="s">
        <v>23</v>
      </c>
      <c r="I2176" s="896" t="s">
        <v>24</v>
      </c>
      <c r="J2176" s="898" t="s">
        <v>25</v>
      </c>
      <c r="K2176" s="898" t="s">
        <v>14</v>
      </c>
      <c r="L2176" s="4"/>
      <c r="M2176" s="896" t="s">
        <v>23</v>
      </c>
      <c r="N2176" s="896" t="s">
        <v>24</v>
      </c>
      <c r="O2176" s="898" t="s">
        <v>25</v>
      </c>
      <c r="P2176" s="898" t="s">
        <v>14</v>
      </c>
      <c r="R2176" s="896" t="s">
        <v>23</v>
      </c>
      <c r="S2176" s="896" t="s">
        <v>24</v>
      </c>
      <c r="T2176" s="898" t="s">
        <v>25</v>
      </c>
      <c r="U2176" s="898" t="s">
        <v>14</v>
      </c>
      <c r="W2176" s="896" t="s">
        <v>23</v>
      </c>
      <c r="X2176" s="896" t="s">
        <v>24</v>
      </c>
      <c r="Y2176" s="898" t="s">
        <v>25</v>
      </c>
      <c r="Z2176" s="898" t="s">
        <v>14</v>
      </c>
      <c r="AA2176" s="1569"/>
      <c r="AB2176" s="1569"/>
      <c r="AC2176" s="4"/>
      <c r="AD2176" s="896" t="s">
        <v>23</v>
      </c>
      <c r="AE2176" s="896" t="s">
        <v>24</v>
      </c>
      <c r="AF2176" s="898" t="s">
        <v>25</v>
      </c>
      <c r="AG2176" s="1569"/>
      <c r="AK2176" s="188" t="s">
        <v>26</v>
      </c>
      <c r="AL2176" s="196">
        <f>AA2203</f>
        <v>17</v>
      </c>
      <c r="AM2176" s="510">
        <v>40.31</v>
      </c>
      <c r="AN2176" s="510">
        <f t="shared" ref="AN2176:AN2181" si="264">AL2176*AM2176</f>
        <v>685.27</v>
      </c>
    </row>
    <row r="2177" spans="2:40">
      <c r="B2177" s="47" t="s">
        <v>1166</v>
      </c>
      <c r="C2177" s="47"/>
      <c r="D2177" s="47"/>
      <c r="E2177" s="319">
        <v>0</v>
      </c>
      <c r="F2177" s="320"/>
      <c r="G2177" s="4"/>
      <c r="H2177" s="47"/>
      <c r="I2177" s="47"/>
      <c r="J2177" s="319">
        <v>0</v>
      </c>
      <c r="K2177" s="320"/>
      <c r="L2177" s="4"/>
      <c r="M2177" s="47"/>
      <c r="N2177" s="47"/>
      <c r="O2177" s="319">
        <v>0</v>
      </c>
      <c r="P2177" s="320"/>
      <c r="R2177" s="47"/>
      <c r="S2177" s="47"/>
      <c r="T2177" s="319">
        <v>0</v>
      </c>
      <c r="U2177" s="320"/>
      <c r="W2177" s="47"/>
      <c r="X2177" s="47"/>
      <c r="Y2177" s="319">
        <v>0</v>
      </c>
      <c r="Z2177" s="320"/>
      <c r="AA2177" s="328">
        <f t="shared" ref="AA2177:AA2202" si="265">(E2177+J2177+O2177+T2177+Y2177)</f>
        <v>0</v>
      </c>
      <c r="AB2177" s="400">
        <f t="shared" ref="AB2177:AB2202" si="266">Z2177+U2177+P2177+K2177+F2177</f>
        <v>0</v>
      </c>
      <c r="AC2177" s="4"/>
      <c r="AF2177" s="319"/>
      <c r="AG2177" s="328">
        <f t="shared" ref="AG2177:AG2202" si="267">AF2177</f>
        <v>0</v>
      </c>
      <c r="AK2177" s="188" t="s">
        <v>30</v>
      </c>
      <c r="AL2177" s="196">
        <f>AB2203</f>
        <v>0</v>
      </c>
      <c r="AM2177" s="510">
        <v>60.465000000000003</v>
      </c>
      <c r="AN2177" s="510">
        <f t="shared" si="264"/>
        <v>0</v>
      </c>
    </row>
    <row r="2178" spans="2:40">
      <c r="B2178" s="47" t="s">
        <v>1112</v>
      </c>
      <c r="C2178" s="47"/>
      <c r="D2178" s="47"/>
      <c r="E2178" s="319">
        <v>0</v>
      </c>
      <c r="F2178" s="320"/>
      <c r="G2178" s="4"/>
      <c r="H2178" s="47"/>
      <c r="I2178" s="47"/>
      <c r="J2178" s="319">
        <v>0</v>
      </c>
      <c r="K2178" s="320"/>
      <c r="L2178" s="4"/>
      <c r="M2178" s="47"/>
      <c r="N2178" s="47"/>
      <c r="O2178" s="319">
        <v>0</v>
      </c>
      <c r="P2178" s="320"/>
      <c r="R2178" s="47"/>
      <c r="S2178" s="47"/>
      <c r="T2178" s="319">
        <v>0</v>
      </c>
      <c r="U2178" s="320"/>
      <c r="W2178" s="47"/>
      <c r="X2178" s="47"/>
      <c r="Y2178" s="319">
        <v>0</v>
      </c>
      <c r="Z2178" s="320"/>
      <c r="AA2178" s="328">
        <f t="shared" si="265"/>
        <v>0</v>
      </c>
      <c r="AB2178" s="400">
        <f t="shared" si="266"/>
        <v>0</v>
      </c>
      <c r="AC2178" s="4"/>
      <c r="AD2178" s="47"/>
      <c r="AE2178" s="47"/>
      <c r="AF2178" s="319"/>
      <c r="AG2178" s="328">
        <f t="shared" si="267"/>
        <v>0</v>
      </c>
      <c r="AK2178" s="188" t="s">
        <v>32</v>
      </c>
      <c r="AL2178" s="196">
        <f>AG2203</f>
        <v>0</v>
      </c>
      <c r="AM2178" s="510">
        <v>60.465000000000003</v>
      </c>
      <c r="AN2178" s="510">
        <f t="shared" si="264"/>
        <v>0</v>
      </c>
    </row>
    <row r="2179" spans="2:40">
      <c r="B2179" s="47" t="s">
        <v>1141</v>
      </c>
      <c r="C2179" s="47"/>
      <c r="D2179" s="47"/>
      <c r="E2179" s="319">
        <v>0</v>
      </c>
      <c r="F2179" s="320"/>
      <c r="G2179" s="4"/>
      <c r="H2179" s="47"/>
      <c r="I2179" s="47"/>
      <c r="J2179" s="319">
        <v>0</v>
      </c>
      <c r="K2179" s="320"/>
      <c r="L2179" s="4"/>
      <c r="M2179" s="47"/>
      <c r="N2179" s="47"/>
      <c r="O2179" s="319">
        <v>0</v>
      </c>
      <c r="P2179" s="320"/>
      <c r="R2179" s="47"/>
      <c r="S2179" s="47"/>
      <c r="T2179" s="319">
        <v>0</v>
      </c>
      <c r="U2179" s="320"/>
      <c r="W2179" s="47"/>
      <c r="X2179" s="47"/>
      <c r="Y2179" s="319">
        <v>0</v>
      </c>
      <c r="Z2179" s="320"/>
      <c r="AA2179" s="328">
        <f t="shared" si="265"/>
        <v>0</v>
      </c>
      <c r="AB2179" s="400">
        <f t="shared" si="266"/>
        <v>0</v>
      </c>
      <c r="AC2179" s="4"/>
      <c r="AD2179" s="47"/>
      <c r="AE2179" s="47"/>
      <c r="AF2179" s="319"/>
      <c r="AG2179" s="328">
        <f t="shared" si="267"/>
        <v>0</v>
      </c>
      <c r="AK2179" s="188" t="s">
        <v>213</v>
      </c>
      <c r="AL2179" s="196">
        <f>AA2206</f>
        <v>3</v>
      </c>
      <c r="AM2179" s="510">
        <v>53.05</v>
      </c>
      <c r="AN2179" s="510">
        <f t="shared" si="264"/>
        <v>159.14999999999998</v>
      </c>
    </row>
    <row r="2180" spans="2:40">
      <c r="B2180" s="47" t="s">
        <v>72</v>
      </c>
      <c r="C2180" s="47"/>
      <c r="D2180" s="47"/>
      <c r="E2180" s="319">
        <v>0</v>
      </c>
      <c r="F2180" s="320"/>
      <c r="G2180" s="4"/>
      <c r="H2180" s="47"/>
      <c r="I2180" s="47"/>
      <c r="J2180" s="319">
        <v>0</v>
      </c>
      <c r="K2180" s="320"/>
      <c r="L2180" s="4"/>
      <c r="M2180" s="47"/>
      <c r="N2180" s="47"/>
      <c r="O2180" s="319">
        <v>0</v>
      </c>
      <c r="P2180" s="320"/>
      <c r="R2180" s="47"/>
      <c r="S2180" s="47"/>
      <c r="T2180" s="319">
        <v>0</v>
      </c>
      <c r="U2180" s="320"/>
      <c r="W2180" s="47"/>
      <c r="X2180" s="47"/>
      <c r="Y2180" s="319">
        <v>0</v>
      </c>
      <c r="Z2180" s="320"/>
      <c r="AA2180" s="328">
        <f t="shared" si="265"/>
        <v>0</v>
      </c>
      <c r="AB2180" s="400">
        <f t="shared" si="266"/>
        <v>0</v>
      </c>
      <c r="AC2180" s="4"/>
      <c r="AD2180" s="47"/>
      <c r="AE2180" s="47"/>
      <c r="AF2180" s="319"/>
      <c r="AG2180" s="328">
        <f t="shared" si="267"/>
        <v>0</v>
      </c>
      <c r="AK2180" s="188" t="s">
        <v>36</v>
      </c>
      <c r="AL2180" s="196">
        <f>AB2206</f>
        <v>0</v>
      </c>
      <c r="AM2180" s="510">
        <v>79.574999999999989</v>
      </c>
      <c r="AN2180" s="510">
        <f t="shared" si="264"/>
        <v>0</v>
      </c>
    </row>
    <row r="2181" spans="2:40">
      <c r="B2181" s="374" t="s">
        <v>998</v>
      </c>
      <c r="C2181" s="47"/>
      <c r="D2181" s="47"/>
      <c r="E2181" s="319">
        <v>0</v>
      </c>
      <c r="F2181" s="320"/>
      <c r="G2181" s="4"/>
      <c r="H2181" s="47"/>
      <c r="I2181" s="47"/>
      <c r="J2181" s="319">
        <v>0</v>
      </c>
      <c r="K2181" s="320"/>
      <c r="L2181" s="4"/>
      <c r="M2181" s="47"/>
      <c r="N2181" s="47"/>
      <c r="O2181" s="319">
        <v>0</v>
      </c>
      <c r="P2181" s="320"/>
      <c r="R2181" s="47"/>
      <c r="S2181" s="47"/>
      <c r="T2181" s="319">
        <v>0</v>
      </c>
      <c r="U2181" s="320"/>
      <c r="W2181" s="47">
        <v>0.375</v>
      </c>
      <c r="X2181" s="47"/>
      <c r="Y2181" s="319">
        <v>8</v>
      </c>
      <c r="Z2181" s="320"/>
      <c r="AA2181" s="328">
        <f t="shared" si="265"/>
        <v>8</v>
      </c>
      <c r="AB2181" s="400">
        <f t="shared" si="266"/>
        <v>0</v>
      </c>
      <c r="AC2181" s="4"/>
      <c r="AD2181" s="47"/>
      <c r="AE2181" s="47"/>
      <c r="AF2181" s="319"/>
      <c r="AG2181" s="328">
        <f t="shared" si="267"/>
        <v>0</v>
      </c>
      <c r="AK2181" s="188" t="s">
        <v>38</v>
      </c>
      <c r="AL2181" s="196">
        <f>AG2206</f>
        <v>0</v>
      </c>
      <c r="AM2181" s="510">
        <v>79.574999999999989</v>
      </c>
      <c r="AN2181" s="510">
        <f t="shared" si="264"/>
        <v>0</v>
      </c>
    </row>
    <row r="2182" spans="2:40">
      <c r="B2182" s="47" t="s">
        <v>53</v>
      </c>
      <c r="C2182" s="47"/>
      <c r="D2182" s="47"/>
      <c r="E2182" s="319">
        <v>0</v>
      </c>
      <c r="F2182" s="320"/>
      <c r="G2182" s="4"/>
      <c r="H2182" s="47"/>
      <c r="I2182" s="47"/>
      <c r="J2182" s="319">
        <v>0</v>
      </c>
      <c r="K2182" s="320"/>
      <c r="L2182" s="4"/>
      <c r="M2182" s="47"/>
      <c r="N2182" s="47"/>
      <c r="O2182" s="319">
        <v>0</v>
      </c>
      <c r="P2182" s="320"/>
      <c r="R2182" s="47"/>
      <c r="S2182" s="47"/>
      <c r="T2182" s="319">
        <v>0</v>
      </c>
      <c r="U2182" s="320"/>
      <c r="W2182" s="47"/>
      <c r="X2182" s="47"/>
      <c r="Y2182" s="319">
        <v>0</v>
      </c>
      <c r="Z2182" s="320"/>
      <c r="AA2182" s="328">
        <f t="shared" si="265"/>
        <v>0</v>
      </c>
      <c r="AB2182" s="400">
        <f t="shared" si="266"/>
        <v>0</v>
      </c>
      <c r="AC2182" s="4"/>
      <c r="AD2182" s="47"/>
      <c r="AE2182" s="47"/>
      <c r="AF2182" s="319"/>
      <c r="AG2182" s="328">
        <f t="shared" si="267"/>
        <v>0</v>
      </c>
      <c r="AN2182" s="510">
        <f>SUM(AN2176:AN2181)</f>
        <v>844.42</v>
      </c>
    </row>
    <row r="2183" spans="2:40">
      <c r="B2183" s="47" t="s">
        <v>241</v>
      </c>
      <c r="C2183" s="47"/>
      <c r="D2183" s="47"/>
      <c r="E2183" s="319">
        <v>0</v>
      </c>
      <c r="F2183" s="320"/>
      <c r="G2183" s="4"/>
      <c r="H2183" s="47"/>
      <c r="I2183" s="47"/>
      <c r="J2183" s="319">
        <v>0</v>
      </c>
      <c r="K2183" s="320"/>
      <c r="L2183" s="4"/>
      <c r="M2183" s="47"/>
      <c r="N2183" s="47"/>
      <c r="O2183" s="319">
        <v>0</v>
      </c>
      <c r="P2183" s="320"/>
      <c r="R2183" s="47"/>
      <c r="S2183" s="47"/>
      <c r="T2183" s="319">
        <v>0</v>
      </c>
      <c r="U2183" s="320"/>
      <c r="W2183" s="47"/>
      <c r="X2183" s="47"/>
      <c r="Y2183" s="319">
        <v>0</v>
      </c>
      <c r="Z2183" s="320"/>
      <c r="AA2183" s="328">
        <f t="shared" si="265"/>
        <v>0</v>
      </c>
      <c r="AB2183" s="400">
        <f t="shared" si="266"/>
        <v>0</v>
      </c>
      <c r="AC2183" s="4"/>
      <c r="AD2183" s="47"/>
      <c r="AE2183" s="47"/>
      <c r="AF2183" s="319"/>
      <c r="AG2183" s="328">
        <f t="shared" si="267"/>
        <v>0</v>
      </c>
    </row>
    <row r="2184" spans="2:40">
      <c r="B2184" s="47" t="s">
        <v>1142</v>
      </c>
      <c r="C2184" s="47"/>
      <c r="D2184" s="441"/>
      <c r="E2184" s="319">
        <v>0</v>
      </c>
      <c r="F2184" s="320"/>
      <c r="G2184" s="4"/>
      <c r="H2184" s="47"/>
      <c r="I2184" s="47"/>
      <c r="J2184" s="319">
        <v>0</v>
      </c>
      <c r="K2184" s="320"/>
      <c r="L2184" s="4"/>
      <c r="M2184" s="47"/>
      <c r="N2184" s="47"/>
      <c r="O2184" s="319">
        <v>0</v>
      </c>
      <c r="P2184" s="320"/>
      <c r="R2184" s="47"/>
      <c r="S2184" s="47"/>
      <c r="T2184" s="319">
        <v>0</v>
      </c>
      <c r="U2184" s="320"/>
      <c r="W2184" s="47"/>
      <c r="X2184" s="47"/>
      <c r="Y2184" s="319">
        <v>0</v>
      </c>
      <c r="Z2184" s="320"/>
      <c r="AA2184" s="328">
        <f t="shared" si="265"/>
        <v>0</v>
      </c>
      <c r="AB2184" s="400">
        <f t="shared" si="266"/>
        <v>0</v>
      </c>
      <c r="AC2184" s="4"/>
      <c r="AD2184" s="47"/>
      <c r="AE2184" s="47"/>
      <c r="AF2184" s="319"/>
      <c r="AG2184" s="328">
        <f t="shared" si="267"/>
        <v>0</v>
      </c>
      <c r="AK2184" s="192" t="s">
        <v>1115</v>
      </c>
      <c r="AL2184" s="189">
        <f>C2207</f>
        <v>0</v>
      </c>
      <c r="AM2184" s="510">
        <v>47.74</v>
      </c>
      <c r="AN2184" s="510">
        <f>AM2184*AL2184</f>
        <v>0</v>
      </c>
    </row>
    <row r="2185" spans="2:40">
      <c r="B2185" s="47" t="s">
        <v>1143</v>
      </c>
      <c r="C2185" s="47"/>
      <c r="D2185" s="441"/>
      <c r="E2185" s="319">
        <v>0</v>
      </c>
      <c r="F2185" s="320"/>
      <c r="G2185" s="4"/>
      <c r="H2185" s="47"/>
      <c r="I2185" s="47"/>
      <c r="J2185" s="319">
        <v>0</v>
      </c>
      <c r="K2185" s="320"/>
      <c r="L2185" s="4"/>
      <c r="M2185" s="47"/>
      <c r="N2185" s="47"/>
      <c r="O2185" s="319">
        <v>0</v>
      </c>
      <c r="P2185" s="320"/>
      <c r="R2185" s="47"/>
      <c r="S2185" s="47"/>
      <c r="T2185" s="319">
        <v>0</v>
      </c>
      <c r="U2185" s="320"/>
      <c r="W2185" s="47"/>
      <c r="X2185" s="47"/>
      <c r="Y2185" s="319">
        <v>0</v>
      </c>
      <c r="Z2185" s="320"/>
      <c r="AA2185" s="328">
        <f t="shared" si="265"/>
        <v>0</v>
      </c>
      <c r="AB2185" s="400">
        <f t="shared" si="266"/>
        <v>0</v>
      </c>
      <c r="AC2185" s="4"/>
      <c r="AD2185" s="47"/>
      <c r="AE2185" s="47"/>
      <c r="AF2185" s="319"/>
      <c r="AG2185" s="328">
        <f t="shared" si="267"/>
        <v>0</v>
      </c>
      <c r="AK2185" s="192"/>
      <c r="AL2185" s="189"/>
      <c r="AM2185" s="510"/>
      <c r="AN2185" s="510"/>
    </row>
    <row r="2186" spans="2:40">
      <c r="B2186" s="47" t="s">
        <v>1144</v>
      </c>
      <c r="C2186" s="47"/>
      <c r="D2186" s="441"/>
      <c r="E2186" s="319">
        <v>0</v>
      </c>
      <c r="F2186" s="320"/>
      <c r="G2186" s="4"/>
      <c r="H2186" s="47"/>
      <c r="I2186" s="47"/>
      <c r="J2186" s="319">
        <v>0</v>
      </c>
      <c r="K2186" s="320"/>
      <c r="L2186" s="4"/>
      <c r="M2186" s="47"/>
      <c r="N2186" s="47"/>
      <c r="O2186" s="319">
        <v>0</v>
      </c>
      <c r="P2186" s="320"/>
      <c r="R2186" s="47"/>
      <c r="S2186" s="47"/>
      <c r="T2186" s="319">
        <v>0</v>
      </c>
      <c r="U2186" s="320"/>
      <c r="W2186" s="47"/>
      <c r="X2186" s="47"/>
      <c r="Y2186" s="319">
        <v>0</v>
      </c>
      <c r="Z2186" s="320"/>
      <c r="AA2186" s="328">
        <f t="shared" si="265"/>
        <v>0</v>
      </c>
      <c r="AB2186" s="400">
        <f t="shared" si="266"/>
        <v>0</v>
      </c>
      <c r="AC2186" s="4"/>
      <c r="AD2186" s="47"/>
      <c r="AE2186" s="47"/>
      <c r="AF2186" s="319"/>
      <c r="AG2186" s="328">
        <f t="shared" si="267"/>
        <v>0</v>
      </c>
      <c r="AK2186" s="192"/>
      <c r="AL2186" s="189"/>
      <c r="AM2186" s="510"/>
      <c r="AN2186" s="510"/>
    </row>
    <row r="2187" spans="2:40">
      <c r="B2187" s="47" t="s">
        <v>1113</v>
      </c>
      <c r="C2187" s="47"/>
      <c r="D2187" s="47"/>
      <c r="E2187" s="319">
        <v>0</v>
      </c>
      <c r="F2187" s="320"/>
      <c r="G2187" s="4"/>
      <c r="H2187" s="47"/>
      <c r="I2187" s="47"/>
      <c r="J2187" s="319">
        <v>0</v>
      </c>
      <c r="K2187" s="320"/>
      <c r="L2187" s="4"/>
      <c r="M2187" s="47"/>
      <c r="N2187" s="47"/>
      <c r="O2187" s="319">
        <v>0</v>
      </c>
      <c r="P2187" s="320"/>
      <c r="R2187" s="47"/>
      <c r="S2187" s="47"/>
      <c r="T2187" s="319">
        <v>0</v>
      </c>
      <c r="U2187" s="320"/>
      <c r="W2187" s="47"/>
      <c r="X2187" s="47"/>
      <c r="Y2187" s="319">
        <v>0</v>
      </c>
      <c r="Z2187" s="320"/>
      <c r="AA2187" s="328">
        <f t="shared" si="265"/>
        <v>0</v>
      </c>
      <c r="AB2187" s="400">
        <f t="shared" si="266"/>
        <v>0</v>
      </c>
      <c r="AC2187" s="4"/>
      <c r="AD2187" s="47"/>
      <c r="AE2187" s="47"/>
      <c r="AF2187" s="319"/>
      <c r="AG2187" s="328">
        <f t="shared" si="267"/>
        <v>0</v>
      </c>
    </row>
    <row r="2188" spans="2:40">
      <c r="B2188" s="1306" t="s">
        <v>1155</v>
      </c>
      <c r="C2188" s="47"/>
      <c r="D2188" s="47"/>
      <c r="E2188" s="319">
        <v>0</v>
      </c>
      <c r="F2188" s="320"/>
      <c r="G2188" s="4"/>
      <c r="H2188" s="47"/>
      <c r="I2188" s="47"/>
      <c r="J2188" s="319">
        <v>0</v>
      </c>
      <c r="K2188" s="320"/>
      <c r="L2188" s="4"/>
      <c r="M2188" s="47"/>
      <c r="N2188" s="47"/>
      <c r="O2188" s="319">
        <v>0</v>
      </c>
      <c r="P2188" s="320"/>
      <c r="R2188" s="47"/>
      <c r="S2188" s="47"/>
      <c r="T2188" s="319">
        <v>0</v>
      </c>
      <c r="U2188" s="320"/>
      <c r="W2188" s="47"/>
      <c r="X2188" s="47"/>
      <c r="Y2188" s="319">
        <v>0</v>
      </c>
      <c r="Z2188" s="320"/>
      <c r="AA2188" s="328">
        <f t="shared" si="265"/>
        <v>0</v>
      </c>
      <c r="AB2188" s="400">
        <f t="shared" si="266"/>
        <v>0</v>
      </c>
      <c r="AC2188" s="4"/>
      <c r="AD2188" s="47"/>
      <c r="AE2188" s="47"/>
      <c r="AF2188" s="319"/>
      <c r="AG2188" s="328">
        <f t="shared" si="267"/>
        <v>0</v>
      </c>
    </row>
    <row r="2189" spans="2:40">
      <c r="B2189" s="1306" t="s">
        <v>1160</v>
      </c>
      <c r="C2189" s="1508"/>
      <c r="D2189" s="1508"/>
      <c r="E2189" s="1509">
        <v>0</v>
      </c>
      <c r="F2189" s="1509"/>
      <c r="G2189" s="1510"/>
      <c r="H2189" s="1508"/>
      <c r="I2189" s="1508"/>
      <c r="J2189" s="1509">
        <v>0</v>
      </c>
      <c r="K2189" s="1509"/>
      <c r="L2189" s="1510"/>
      <c r="M2189" s="1508"/>
      <c r="N2189" s="1508"/>
      <c r="O2189" s="1509">
        <v>0</v>
      </c>
      <c r="P2189" s="1509"/>
      <c r="Q2189" s="1510"/>
      <c r="R2189" s="1508"/>
      <c r="S2189" s="1508"/>
      <c r="T2189" s="1509">
        <v>0</v>
      </c>
      <c r="U2189" s="1509"/>
      <c r="V2189" s="1510"/>
      <c r="W2189" s="1508">
        <v>0.375</v>
      </c>
      <c r="X2189" s="1508">
        <v>0.20833333333333334</v>
      </c>
      <c r="Y2189" s="1509">
        <v>8</v>
      </c>
      <c r="Z2189" s="1509"/>
      <c r="AA2189" s="1511">
        <f t="shared" si="265"/>
        <v>8</v>
      </c>
      <c r="AB2189" s="400">
        <f t="shared" si="266"/>
        <v>0</v>
      </c>
      <c r="AC2189" s="4"/>
      <c r="AD2189" s="47"/>
      <c r="AE2189" s="47"/>
      <c r="AF2189" s="319"/>
      <c r="AG2189" s="328">
        <f t="shared" si="267"/>
        <v>0</v>
      </c>
    </row>
    <row r="2190" spans="2:40">
      <c r="B2190" s="1306" t="s">
        <v>1164</v>
      </c>
      <c r="C2190" s="47"/>
      <c r="D2190" s="47"/>
      <c r="E2190" s="319">
        <v>0</v>
      </c>
      <c r="F2190" s="320"/>
      <c r="G2190" s="4"/>
      <c r="H2190" s="47"/>
      <c r="I2190" s="47"/>
      <c r="J2190" s="319">
        <v>0</v>
      </c>
      <c r="K2190" s="320"/>
      <c r="L2190" s="4"/>
      <c r="M2190" s="47"/>
      <c r="N2190" s="47"/>
      <c r="O2190" s="319">
        <v>0</v>
      </c>
      <c r="P2190" s="320"/>
      <c r="R2190" s="47"/>
      <c r="S2190" s="47"/>
      <c r="T2190" s="319">
        <v>0</v>
      </c>
      <c r="U2190" s="320"/>
      <c r="W2190" s="47"/>
      <c r="X2190" s="47"/>
      <c r="Y2190" s="319">
        <v>0</v>
      </c>
      <c r="Z2190" s="320"/>
      <c r="AA2190" s="328">
        <f t="shared" si="265"/>
        <v>0</v>
      </c>
      <c r="AB2190" s="400">
        <f t="shared" si="266"/>
        <v>0</v>
      </c>
      <c r="AC2190" s="4"/>
      <c r="AD2190" s="47"/>
      <c r="AE2190" s="47"/>
      <c r="AF2190" s="319"/>
      <c r="AG2190" s="328">
        <f t="shared" si="267"/>
        <v>0</v>
      </c>
    </row>
    <row r="2191" spans="2:40">
      <c r="B2191" s="502" t="s">
        <v>483</v>
      </c>
      <c r="C2191" s="47"/>
      <c r="D2191" s="47"/>
      <c r="E2191" s="319">
        <v>0</v>
      </c>
      <c r="F2191" s="320"/>
      <c r="G2191" s="4"/>
      <c r="H2191" s="47"/>
      <c r="I2191" s="47"/>
      <c r="J2191" s="319">
        <v>0</v>
      </c>
      <c r="K2191" s="320"/>
      <c r="L2191" s="4"/>
      <c r="M2191" s="47"/>
      <c r="N2191" s="47"/>
      <c r="O2191" s="319">
        <v>0</v>
      </c>
      <c r="P2191" s="320"/>
      <c r="R2191" s="47"/>
      <c r="S2191" s="47"/>
      <c r="T2191" s="319">
        <v>0</v>
      </c>
      <c r="U2191" s="320"/>
      <c r="W2191" s="47"/>
      <c r="X2191" s="47"/>
      <c r="Y2191" s="319">
        <v>0</v>
      </c>
      <c r="Z2191" s="320"/>
      <c r="AA2191" s="328">
        <f t="shared" si="265"/>
        <v>0</v>
      </c>
      <c r="AB2191" s="400">
        <f t="shared" si="266"/>
        <v>0</v>
      </c>
      <c r="AC2191" s="4"/>
      <c r="AD2191" s="47"/>
      <c r="AE2191" s="47"/>
      <c r="AF2191" s="319"/>
      <c r="AG2191" s="328">
        <f t="shared" si="267"/>
        <v>0</v>
      </c>
    </row>
    <row r="2192" spans="2:40">
      <c r="B2192" s="502" t="s">
        <v>483</v>
      </c>
      <c r="C2192" s="47"/>
      <c r="D2192" s="47"/>
      <c r="E2192" s="319">
        <v>0</v>
      </c>
      <c r="F2192" s="320"/>
      <c r="G2192" s="4"/>
      <c r="H2192" s="47"/>
      <c r="I2192" s="47"/>
      <c r="J2192" s="319">
        <v>0</v>
      </c>
      <c r="K2192" s="320"/>
      <c r="L2192" s="4"/>
      <c r="M2192" s="47"/>
      <c r="N2192" s="47"/>
      <c r="O2192" s="319">
        <v>0</v>
      </c>
      <c r="P2192" s="320"/>
      <c r="R2192" s="47"/>
      <c r="S2192" s="47"/>
      <c r="T2192" s="319">
        <v>0</v>
      </c>
      <c r="U2192" s="320"/>
      <c r="W2192" s="47"/>
      <c r="X2192" s="47"/>
      <c r="Y2192" s="319">
        <v>0</v>
      </c>
      <c r="Z2192" s="320"/>
      <c r="AA2192" s="328">
        <f t="shared" si="265"/>
        <v>0</v>
      </c>
      <c r="AB2192" s="400">
        <f t="shared" si="266"/>
        <v>0</v>
      </c>
      <c r="AC2192" s="4"/>
      <c r="AD2192" s="47"/>
      <c r="AE2192" s="47"/>
      <c r="AF2192" s="319"/>
      <c r="AG2192" s="328">
        <f t="shared" si="267"/>
        <v>0</v>
      </c>
    </row>
    <row r="2193" spans="2:42">
      <c r="B2193" s="502" t="s">
        <v>484</v>
      </c>
      <c r="C2193" s="47"/>
      <c r="D2193" s="47"/>
      <c r="E2193" s="319">
        <v>0</v>
      </c>
      <c r="F2193" s="320"/>
      <c r="G2193" s="4"/>
      <c r="H2193" s="47"/>
      <c r="I2193" s="47"/>
      <c r="J2193" s="319">
        <v>0</v>
      </c>
      <c r="K2193" s="320"/>
      <c r="L2193" s="4"/>
      <c r="M2193" s="47"/>
      <c r="N2193" s="47"/>
      <c r="O2193" s="319">
        <v>0</v>
      </c>
      <c r="P2193" s="320"/>
      <c r="R2193" s="47"/>
      <c r="S2193" s="47"/>
      <c r="T2193" s="319">
        <v>0</v>
      </c>
      <c r="U2193" s="320"/>
      <c r="W2193" s="47"/>
      <c r="X2193" s="47"/>
      <c r="Y2193" s="319">
        <v>0</v>
      </c>
      <c r="Z2193" s="320"/>
      <c r="AA2193" s="328">
        <f t="shared" si="265"/>
        <v>0</v>
      </c>
      <c r="AB2193" s="400">
        <f t="shared" si="266"/>
        <v>0</v>
      </c>
      <c r="AC2193" s="4"/>
      <c r="AD2193" s="47"/>
      <c r="AE2193" s="47"/>
      <c r="AF2193" s="319"/>
      <c r="AG2193" s="328">
        <f t="shared" si="267"/>
        <v>0</v>
      </c>
    </row>
    <row r="2194" spans="2:42">
      <c r="B2194" s="502" t="s">
        <v>485</v>
      </c>
      <c r="C2194" s="47"/>
      <c r="D2194" s="47"/>
      <c r="E2194" s="319">
        <v>0</v>
      </c>
      <c r="F2194" s="320"/>
      <c r="G2194" s="4"/>
      <c r="H2194" s="47"/>
      <c r="I2194" s="47"/>
      <c r="J2194" s="319">
        <v>0</v>
      </c>
      <c r="K2194" s="320"/>
      <c r="L2194" s="4"/>
      <c r="M2194" s="47"/>
      <c r="N2194" s="47"/>
      <c r="O2194" s="319">
        <v>0</v>
      </c>
      <c r="P2194" s="320"/>
      <c r="R2194" s="47"/>
      <c r="S2194" s="47"/>
      <c r="T2194" s="319">
        <v>0</v>
      </c>
      <c r="U2194" s="320"/>
      <c r="W2194" s="47"/>
      <c r="X2194" s="47"/>
      <c r="Y2194" s="319">
        <v>0</v>
      </c>
      <c r="Z2194" s="320"/>
      <c r="AA2194" s="328">
        <f t="shared" si="265"/>
        <v>0</v>
      </c>
      <c r="AB2194" s="400">
        <f t="shared" si="266"/>
        <v>0</v>
      </c>
      <c r="AC2194" s="4"/>
      <c r="AD2194" s="47"/>
      <c r="AE2194" s="47"/>
      <c r="AF2194" s="319"/>
      <c r="AG2194" s="328">
        <f t="shared" si="267"/>
        <v>0</v>
      </c>
    </row>
    <row r="2195" spans="2:42">
      <c r="B2195" s="502" t="s">
        <v>1129</v>
      </c>
      <c r="C2195" s="47"/>
      <c r="D2195" s="47"/>
      <c r="E2195" s="319">
        <v>0</v>
      </c>
      <c r="F2195" s="320"/>
      <c r="G2195" s="4"/>
      <c r="H2195" s="47"/>
      <c r="I2195" s="47"/>
      <c r="J2195" s="319">
        <v>0</v>
      </c>
      <c r="K2195" s="320"/>
      <c r="L2195" s="4"/>
      <c r="M2195" s="47"/>
      <c r="N2195" s="47"/>
      <c r="O2195" s="319">
        <v>0</v>
      </c>
      <c r="P2195" s="320"/>
      <c r="R2195" s="47"/>
      <c r="S2195" s="47"/>
      <c r="T2195" s="319">
        <v>0</v>
      </c>
      <c r="U2195" s="320"/>
      <c r="W2195" s="47"/>
      <c r="X2195" s="47"/>
      <c r="Y2195" s="319">
        <v>0</v>
      </c>
      <c r="Z2195" s="320"/>
      <c r="AA2195" s="328">
        <f t="shared" si="265"/>
        <v>0</v>
      </c>
      <c r="AB2195" s="400">
        <f t="shared" si="266"/>
        <v>0</v>
      </c>
      <c r="AC2195" s="4"/>
      <c r="AD2195" s="47"/>
      <c r="AE2195" s="47"/>
      <c r="AF2195" s="319"/>
      <c r="AG2195" s="328">
        <f t="shared" si="267"/>
        <v>0</v>
      </c>
    </row>
    <row r="2196" spans="2:42">
      <c r="B2196" s="267" t="s">
        <v>358</v>
      </c>
      <c r="C2196" s="47"/>
      <c r="D2196" s="47"/>
      <c r="E2196" s="319">
        <v>0</v>
      </c>
      <c r="F2196" s="320"/>
      <c r="G2196" s="4"/>
      <c r="H2196" s="47"/>
      <c r="I2196" s="47"/>
      <c r="J2196" s="319">
        <v>0</v>
      </c>
      <c r="K2196" s="320"/>
      <c r="L2196" s="438"/>
      <c r="M2196" s="47"/>
      <c r="N2196" s="47"/>
      <c r="O2196" s="319">
        <v>0</v>
      </c>
      <c r="P2196" s="320"/>
      <c r="Q2196" s="438"/>
      <c r="R2196" s="47"/>
      <c r="S2196" s="47"/>
      <c r="T2196" s="319">
        <v>0</v>
      </c>
      <c r="U2196" s="320"/>
      <c r="V2196" s="438"/>
      <c r="W2196" s="47"/>
      <c r="X2196" s="47"/>
      <c r="Y2196" s="319">
        <v>0</v>
      </c>
      <c r="Z2196" s="320"/>
      <c r="AA2196" s="328">
        <f t="shared" si="265"/>
        <v>0</v>
      </c>
      <c r="AB2196" s="400">
        <f t="shared" si="266"/>
        <v>0</v>
      </c>
      <c r="AC2196" s="4"/>
      <c r="AD2196" s="47"/>
      <c r="AE2196" s="47"/>
      <c r="AF2196" s="319"/>
      <c r="AG2196" s="328">
        <f t="shared" si="267"/>
        <v>0</v>
      </c>
    </row>
    <row r="2197" spans="2:42">
      <c r="B2197" s="267" t="s">
        <v>991</v>
      </c>
      <c r="C2197" s="47"/>
      <c r="D2197" s="47"/>
      <c r="E2197" s="319">
        <v>0</v>
      </c>
      <c r="F2197" s="320"/>
      <c r="G2197" s="4"/>
      <c r="H2197" s="47"/>
      <c r="I2197" s="47"/>
      <c r="J2197" s="319">
        <v>0</v>
      </c>
      <c r="K2197" s="320"/>
      <c r="L2197" s="438"/>
      <c r="M2197" s="47"/>
      <c r="N2197" s="47"/>
      <c r="O2197" s="319">
        <v>0</v>
      </c>
      <c r="P2197" s="320"/>
      <c r="Q2197" s="438"/>
      <c r="R2197" s="47"/>
      <c r="S2197" s="47"/>
      <c r="T2197" s="319">
        <v>0</v>
      </c>
      <c r="U2197" s="320"/>
      <c r="V2197" s="438"/>
      <c r="W2197" s="47"/>
      <c r="X2197" s="47"/>
      <c r="Y2197" s="319">
        <v>0</v>
      </c>
      <c r="Z2197" s="320"/>
      <c r="AA2197" s="328">
        <f t="shared" si="265"/>
        <v>0</v>
      </c>
      <c r="AB2197" s="400">
        <f t="shared" si="266"/>
        <v>0</v>
      </c>
      <c r="AC2197" s="4"/>
      <c r="AD2197" s="47"/>
      <c r="AE2197" s="47"/>
      <c r="AF2197" s="319"/>
      <c r="AG2197" s="328">
        <f t="shared" si="267"/>
        <v>0</v>
      </c>
    </row>
    <row r="2198" spans="2:42">
      <c r="B2198" s="267" t="s">
        <v>411</v>
      </c>
      <c r="C2198" s="47"/>
      <c r="D2198" s="47"/>
      <c r="E2198" s="319">
        <v>0</v>
      </c>
      <c r="F2198" s="320"/>
      <c r="G2198" s="4"/>
      <c r="H2198" s="47"/>
      <c r="I2198" s="47"/>
      <c r="J2198" s="319">
        <v>0</v>
      </c>
      <c r="K2198" s="320"/>
      <c r="L2198" s="438"/>
      <c r="M2198" s="47"/>
      <c r="N2198" s="47"/>
      <c r="O2198" s="319">
        <v>0</v>
      </c>
      <c r="P2198" s="320"/>
      <c r="Q2198" s="438"/>
      <c r="R2198" s="47"/>
      <c r="S2198" s="47"/>
      <c r="T2198" s="319">
        <v>0</v>
      </c>
      <c r="U2198" s="320"/>
      <c r="V2198" s="438"/>
      <c r="W2198" s="47"/>
      <c r="X2198" s="47"/>
      <c r="Y2198" s="319">
        <v>0</v>
      </c>
      <c r="Z2198" s="320"/>
      <c r="AA2198" s="328">
        <f t="shared" si="265"/>
        <v>0</v>
      </c>
      <c r="AB2198" s="400">
        <f t="shared" si="266"/>
        <v>0</v>
      </c>
      <c r="AC2198" s="4"/>
      <c r="AD2198" s="47"/>
      <c r="AE2198" s="47"/>
      <c r="AF2198" s="319"/>
      <c r="AG2198" s="328">
        <f t="shared" si="267"/>
        <v>0</v>
      </c>
    </row>
    <row r="2199" spans="2:42">
      <c r="B2199" s="267" t="s">
        <v>361</v>
      </c>
      <c r="C2199" s="47"/>
      <c r="D2199" s="47"/>
      <c r="E2199" s="319">
        <v>0</v>
      </c>
      <c r="F2199" s="320"/>
      <c r="G2199" s="4"/>
      <c r="H2199" s="47"/>
      <c r="I2199" s="47"/>
      <c r="J2199" s="319">
        <v>0</v>
      </c>
      <c r="K2199" s="320"/>
      <c r="L2199" s="438"/>
      <c r="M2199" s="47"/>
      <c r="N2199" s="47"/>
      <c r="O2199" s="319">
        <v>0</v>
      </c>
      <c r="P2199" s="320"/>
      <c r="Q2199" s="438"/>
      <c r="R2199" s="47"/>
      <c r="S2199" s="47"/>
      <c r="T2199" s="319">
        <v>0</v>
      </c>
      <c r="U2199" s="320"/>
      <c r="V2199" s="438"/>
      <c r="W2199" s="47"/>
      <c r="X2199" s="47"/>
      <c r="Y2199" s="319">
        <v>0</v>
      </c>
      <c r="Z2199" s="320"/>
      <c r="AA2199" s="328">
        <f t="shared" si="265"/>
        <v>0</v>
      </c>
      <c r="AB2199" s="400">
        <f t="shared" si="266"/>
        <v>0</v>
      </c>
      <c r="AC2199" s="4"/>
      <c r="AD2199" s="47"/>
      <c r="AE2199" s="47"/>
      <c r="AF2199" s="319"/>
      <c r="AG2199" s="328">
        <f t="shared" si="267"/>
        <v>0</v>
      </c>
    </row>
    <row r="2200" spans="2:42">
      <c r="B2200" s="267" t="s">
        <v>362</v>
      </c>
      <c r="C2200" s="47"/>
      <c r="D2200" s="5"/>
      <c r="E2200" s="319">
        <v>0</v>
      </c>
      <c r="F2200" s="320"/>
      <c r="G2200" s="4"/>
      <c r="H2200" s="47"/>
      <c r="I2200" s="5"/>
      <c r="J2200" s="319">
        <v>0</v>
      </c>
      <c r="K2200" s="320"/>
      <c r="L2200" s="438"/>
      <c r="M2200" s="47"/>
      <c r="N2200" s="5"/>
      <c r="O2200" s="319">
        <v>0</v>
      </c>
      <c r="P2200" s="320"/>
      <c r="Q2200" s="438"/>
      <c r="R2200" s="47"/>
      <c r="S2200" s="5"/>
      <c r="T2200" s="319">
        <v>0</v>
      </c>
      <c r="U2200" s="320"/>
      <c r="V2200" s="438"/>
      <c r="W2200" s="47"/>
      <c r="X2200" s="5"/>
      <c r="Y2200" s="319">
        <v>1</v>
      </c>
      <c r="Z2200" s="320"/>
      <c r="AA2200" s="328">
        <f t="shared" si="265"/>
        <v>1</v>
      </c>
      <c r="AB2200" s="400">
        <f t="shared" si="266"/>
        <v>0</v>
      </c>
      <c r="AC2200" s="4"/>
      <c r="AD2200" s="47"/>
      <c r="AE2200" s="47"/>
      <c r="AF2200" s="319"/>
      <c r="AG2200" s="328">
        <f t="shared" si="267"/>
        <v>0</v>
      </c>
    </row>
    <row r="2201" spans="2:42">
      <c r="B2201" s="437" t="s">
        <v>355</v>
      </c>
      <c r="C2201" s="47"/>
      <c r="D2201" s="47"/>
      <c r="E2201" s="319">
        <v>0</v>
      </c>
      <c r="F2201" s="320"/>
      <c r="G2201" s="4"/>
      <c r="H2201" s="47"/>
      <c r="I2201" s="47"/>
      <c r="J2201" s="319">
        <v>0</v>
      </c>
      <c r="K2201" s="320"/>
      <c r="L2201" s="438"/>
      <c r="M2201" s="47"/>
      <c r="N2201" s="47"/>
      <c r="O2201" s="319">
        <v>0</v>
      </c>
      <c r="P2201" s="320"/>
      <c r="Q2201" s="438"/>
      <c r="R2201" s="47"/>
      <c r="S2201" s="47"/>
      <c r="T2201" s="319">
        <v>0</v>
      </c>
      <c r="U2201" s="320"/>
      <c r="V2201" s="438"/>
      <c r="W2201" s="47"/>
      <c r="X2201" s="47"/>
      <c r="Y2201" s="319">
        <v>0</v>
      </c>
      <c r="Z2201" s="320"/>
      <c r="AA2201" s="328">
        <f t="shared" si="265"/>
        <v>0</v>
      </c>
      <c r="AB2201" s="400">
        <f t="shared" si="266"/>
        <v>0</v>
      </c>
      <c r="AC2201" s="4"/>
      <c r="AD2201" s="47"/>
      <c r="AE2201" s="47"/>
      <c r="AF2201" s="319"/>
      <c r="AG2201" s="328">
        <f t="shared" si="267"/>
        <v>0</v>
      </c>
    </row>
    <row r="2202" spans="2:42">
      <c r="B2202" s="437" t="s">
        <v>356</v>
      </c>
      <c r="C2202" s="713"/>
      <c r="D2202" s="713"/>
      <c r="E2202" s="319">
        <v>0</v>
      </c>
      <c r="F2202" s="320"/>
      <c r="G2202" s="438"/>
      <c r="H2202" s="5"/>
      <c r="I2202" s="5"/>
      <c r="J2202" s="319">
        <v>0</v>
      </c>
      <c r="K2202" s="320"/>
      <c r="L2202" s="438"/>
      <c r="M2202" s="5"/>
      <c r="N2202" s="5"/>
      <c r="O2202" s="319">
        <v>0</v>
      </c>
      <c r="P2202" s="320"/>
      <c r="Q2202" s="438"/>
      <c r="R2202" s="5"/>
      <c r="S2202" s="5"/>
      <c r="T2202" s="319">
        <v>0</v>
      </c>
      <c r="U2202" s="320"/>
      <c r="V2202" s="438"/>
      <c r="W2202" s="5"/>
      <c r="X2202" s="5"/>
      <c r="Y2202" s="319">
        <v>0</v>
      </c>
      <c r="Z2202" s="320"/>
      <c r="AA2202" s="328">
        <f t="shared" si="265"/>
        <v>0</v>
      </c>
      <c r="AB2202" s="400">
        <f t="shared" si="266"/>
        <v>0</v>
      </c>
      <c r="AC2202" s="4"/>
      <c r="AD2202" s="47"/>
      <c r="AE2202" s="47"/>
      <c r="AF2202" s="319"/>
      <c r="AG2202" s="328">
        <f t="shared" si="267"/>
        <v>0</v>
      </c>
    </row>
    <row r="2203" spans="2:42">
      <c r="B2203" s="31" t="s">
        <v>61</v>
      </c>
      <c r="C2203" s="31"/>
      <c r="D2203" s="31"/>
      <c r="E2203" s="439">
        <f>SUM(E2177:E2202)</f>
        <v>0</v>
      </c>
      <c r="F2203" s="320"/>
      <c r="G2203" s="31"/>
      <c r="H2203" s="31"/>
      <c r="I2203" s="31"/>
      <c r="J2203" s="439">
        <f>SUM(J2177:J2202)</f>
        <v>0</v>
      </c>
      <c r="K2203" s="320"/>
      <c r="L2203" s="31"/>
      <c r="M2203" s="31"/>
      <c r="N2203" s="31"/>
      <c r="O2203" s="439">
        <f>SUM(O2177:O2202)</f>
        <v>0</v>
      </c>
      <c r="P2203" s="320"/>
      <c r="Q2203" s="31"/>
      <c r="R2203" s="31"/>
      <c r="S2203" s="31"/>
      <c r="T2203" s="439">
        <f>SUM(T2177:T2202)</f>
        <v>0</v>
      </c>
      <c r="U2203" s="320"/>
      <c r="V2203" s="31"/>
      <c r="W2203" s="31"/>
      <c r="X2203" s="31"/>
      <c r="Y2203" s="439">
        <f>SUM(Y2177:Y2202)</f>
        <v>17</v>
      </c>
      <c r="Z2203" s="320"/>
      <c r="AA2203" s="328">
        <f>SUM(AA2177:AA2202)</f>
        <v>17</v>
      </c>
      <c r="AB2203" s="328">
        <f>SUM(AB2177:AB2202)</f>
        <v>0</v>
      </c>
      <c r="AC2203" s="4"/>
      <c r="AD2203" s="31"/>
      <c r="AE2203" s="31"/>
      <c r="AF2203" s="328">
        <f>SUM(AF2177:AF2202)</f>
        <v>0</v>
      </c>
      <c r="AG2203" s="328">
        <f>SUM(AG2177:AG2202)</f>
        <v>0</v>
      </c>
    </row>
    <row r="2204" spans="2:42">
      <c r="B2204" s="267" t="s">
        <v>1116</v>
      </c>
      <c r="C2204" s="47"/>
      <c r="D2204" s="47"/>
      <c r="E2204" s="319">
        <v>0</v>
      </c>
      <c r="F2204" s="320"/>
      <c r="G2204" s="4"/>
      <c r="H2204" s="47"/>
      <c r="I2204" s="47"/>
      <c r="J2204" s="319">
        <v>0</v>
      </c>
      <c r="K2204" s="320"/>
      <c r="L2204" s="4"/>
      <c r="M2204" s="47"/>
      <c r="N2204" s="47"/>
      <c r="O2204" s="319">
        <v>0</v>
      </c>
      <c r="P2204" s="320"/>
      <c r="R2204" s="47"/>
      <c r="S2204" s="47"/>
      <c r="T2204" s="319">
        <v>0</v>
      </c>
      <c r="U2204" s="320"/>
      <c r="W2204" s="47"/>
      <c r="X2204" s="47"/>
      <c r="Y2204" s="319">
        <v>0</v>
      </c>
      <c r="Z2204" s="320"/>
      <c r="AA2204" s="328">
        <f>(E2204+J2204+O2204+T2204+Y2204)</f>
        <v>0</v>
      </c>
      <c r="AB2204" s="400">
        <f>Z2204+U2204+P2204+K2204+F2204</f>
        <v>0</v>
      </c>
      <c r="AC2204" s="4"/>
      <c r="AD2204" s="47"/>
      <c r="AE2204" s="47"/>
      <c r="AF2204" s="319"/>
      <c r="AG2204" s="328">
        <f>AF2204</f>
        <v>0</v>
      </c>
    </row>
    <row r="2205" spans="2:42">
      <c r="B2205" s="267" t="s">
        <v>64</v>
      </c>
      <c r="C2205" s="47"/>
      <c r="D2205" s="47"/>
      <c r="E2205" s="319">
        <v>1</v>
      </c>
      <c r="F2205" s="319"/>
      <c r="G2205" s="71"/>
      <c r="H2205" s="47"/>
      <c r="I2205" s="47"/>
      <c r="J2205" s="319">
        <v>0</v>
      </c>
      <c r="K2205" s="319"/>
      <c r="L2205" s="438"/>
      <c r="M2205" s="47"/>
      <c r="N2205" s="47"/>
      <c r="O2205" s="319">
        <v>0</v>
      </c>
      <c r="P2205" s="319"/>
      <c r="Q2205" s="438"/>
      <c r="R2205" s="47"/>
      <c r="S2205" s="47"/>
      <c r="T2205" s="319">
        <v>1</v>
      </c>
      <c r="U2205" s="319"/>
      <c r="V2205" s="438"/>
      <c r="W2205" s="47"/>
      <c r="X2205" s="47"/>
      <c r="Y2205" s="319">
        <v>1</v>
      </c>
      <c r="Z2205" s="319"/>
      <c r="AA2205" s="328">
        <f>SUM(E2205+J2205+O2205+T2205+Y2205)</f>
        <v>3</v>
      </c>
      <c r="AB2205" s="897">
        <f>Z2205+U2205+P2205+K2205+F2205</f>
        <v>0</v>
      </c>
      <c r="AC2205" s="4"/>
      <c r="AD2205" s="47" t="s">
        <v>29</v>
      </c>
      <c r="AE2205" s="47" t="s">
        <v>29</v>
      </c>
      <c r="AF2205" s="319"/>
      <c r="AG2205" s="328">
        <f>AF2205</f>
        <v>0</v>
      </c>
    </row>
    <row r="2206" spans="2:42">
      <c r="B2206" s="71" t="s">
        <v>66</v>
      </c>
      <c r="C2206" s="1210"/>
      <c r="D2206" s="1210"/>
      <c r="E2206" s="1208"/>
      <c r="F2206" s="71"/>
      <c r="G2206" s="71"/>
      <c r="H2206" s="71"/>
      <c r="I2206" s="71"/>
      <c r="J2206" s="71"/>
      <c r="K2206" s="71"/>
      <c r="L2206" s="71"/>
      <c r="M2206" s="71"/>
      <c r="N2206" s="71"/>
      <c r="O2206" s="71"/>
      <c r="P2206" s="71"/>
      <c r="Q2206" s="71"/>
      <c r="R2206" s="71"/>
      <c r="S2206" s="71"/>
      <c r="T2206" s="71"/>
      <c r="U2206" s="71"/>
      <c r="V2206" s="71"/>
      <c r="W2206" s="71"/>
      <c r="X2206" s="71"/>
      <c r="Y2206" s="71"/>
      <c r="Z2206" s="71"/>
      <c r="AA2206" s="328">
        <f>SUM(AA2204:AA2205)</f>
        <v>3</v>
      </c>
      <c r="AB2206" s="328">
        <f>SUM(AB2205:AB2205)</f>
        <v>0</v>
      </c>
      <c r="AC2206" s="4"/>
      <c r="AG2206" s="328">
        <f>SUM(AG2205:AG2205)</f>
        <v>0</v>
      </c>
      <c r="AK2206" s="407"/>
    </row>
    <row r="2207" spans="2:42">
      <c r="B2207" s="1382" t="s">
        <v>67</v>
      </c>
      <c r="C2207" s="1383">
        <f>C2208+C2209</f>
        <v>0</v>
      </c>
      <c r="D2207" s="1383"/>
      <c r="E2207" s="534"/>
      <c r="F2207" s="534"/>
      <c r="G2207" s="1383"/>
      <c r="H2207" s="534"/>
      <c r="I2207" s="534"/>
      <c r="J2207" s="534"/>
      <c r="K2207" s="534"/>
      <c r="L2207" s="1383"/>
      <c r="M2207" s="1383"/>
      <c r="N2207" s="1383"/>
      <c r="O2207" s="1383"/>
      <c r="P2207" s="534"/>
      <c r="Q2207" s="1383"/>
      <c r="R2207" s="1383"/>
      <c r="S2207" s="1383"/>
      <c r="T2207" s="1383"/>
      <c r="U2207" s="534"/>
      <c r="V2207" s="1383"/>
      <c r="W2207" s="1383"/>
      <c r="X2207" s="1383"/>
      <c r="Y2207" s="1384"/>
      <c r="Z2207" s="534"/>
      <c r="AA2207" s="1385"/>
      <c r="AB2207" s="534"/>
      <c r="AC2207" s="1385"/>
      <c r="AD2207" s="1385"/>
      <c r="AE2207" s="1385"/>
      <c r="AF2207" s="1385"/>
      <c r="AG2207" s="1385"/>
      <c r="AH2207" s="1386"/>
      <c r="AI2207" s="1387"/>
      <c r="AJ2207" s="1387"/>
      <c r="AK2207" s="1388"/>
      <c r="AL2207" s="1387"/>
      <c r="AM2207" s="1387"/>
      <c r="AN2207" s="1387"/>
      <c r="AO2207" s="1387"/>
      <c r="AP2207" s="1387"/>
    </row>
    <row r="2208" spans="2:42">
      <c r="B2208" s="1389" t="s">
        <v>68</v>
      </c>
      <c r="C2208" s="1383">
        <v>0</v>
      </c>
      <c r="D2208" s="1383"/>
      <c r="E2208" s="534"/>
      <c r="F2208" s="534"/>
      <c r="G2208" s="1383"/>
      <c r="H2208" s="534"/>
      <c r="I2208" s="534"/>
      <c r="J2208" s="534"/>
      <c r="K2208" s="534"/>
      <c r="L2208" s="1383"/>
      <c r="M2208" s="1383"/>
      <c r="N2208" s="1383"/>
      <c r="O2208" s="1383"/>
      <c r="P2208" s="534"/>
      <c r="Q2208" s="1383"/>
      <c r="R2208" s="1383"/>
      <c r="S2208" s="1383"/>
      <c r="T2208" s="1383"/>
      <c r="U2208" s="534"/>
      <c r="V2208" s="1383"/>
      <c r="W2208" s="1383"/>
      <c r="X2208" s="1383"/>
      <c r="Y2208" s="1384"/>
      <c r="Z2208" s="534"/>
      <c r="AA2208" s="1385"/>
      <c r="AB2208" s="534"/>
      <c r="AC2208" s="1385"/>
      <c r="AD2208" s="1385"/>
      <c r="AE2208" s="1385"/>
      <c r="AF2208" s="1385"/>
      <c r="AG2208" s="1385"/>
      <c r="AH2208" s="1386"/>
      <c r="AI2208" s="1387"/>
      <c r="AJ2208" s="1387"/>
      <c r="AK2208" s="1388"/>
      <c r="AL2208" s="1387"/>
      <c r="AM2208" s="1387"/>
      <c r="AN2208" s="1387"/>
      <c r="AO2208" s="1387"/>
      <c r="AP2208" s="1387"/>
    </row>
    <row r="2209" spans="2:42">
      <c r="B2209" s="1389" t="s">
        <v>69</v>
      </c>
      <c r="C2209" s="1383">
        <v>0</v>
      </c>
      <c r="D2209" s="1383"/>
      <c r="E2209" s="534"/>
      <c r="F2209" s="534"/>
      <c r="G2209" s="1383"/>
      <c r="H2209" s="534"/>
      <c r="I2209" s="534"/>
      <c r="J2209" s="534"/>
      <c r="K2209" s="534"/>
      <c r="L2209" s="1383"/>
      <c r="M2209" s="1383"/>
      <c r="N2209" s="1383"/>
      <c r="O2209" s="1383"/>
      <c r="P2209" s="534"/>
      <c r="Q2209" s="1383"/>
      <c r="R2209" s="1383"/>
      <c r="S2209" s="1383"/>
      <c r="T2209" s="1383"/>
      <c r="U2209" s="534"/>
      <c r="V2209" s="1383"/>
      <c r="W2209" s="1383"/>
      <c r="X2209" s="1383"/>
      <c r="Y2209" s="1384"/>
      <c r="Z2209" s="534"/>
      <c r="AA2209" s="1385"/>
      <c r="AB2209" s="534"/>
      <c r="AC2209" s="1385"/>
      <c r="AD2209" s="1385"/>
      <c r="AE2209" s="1385"/>
      <c r="AF2209" s="1385"/>
      <c r="AG2209" s="1385"/>
      <c r="AH2209" s="1386"/>
      <c r="AI2209" s="1387"/>
      <c r="AJ2209" s="1387"/>
      <c r="AK2209" s="1387"/>
      <c r="AL2209" s="1387"/>
      <c r="AM2209" s="1387"/>
      <c r="AN2209" s="1387"/>
      <c r="AO2209" s="1387"/>
      <c r="AP2209" s="1387"/>
    </row>
    <row r="2210" spans="2:42">
      <c r="B2210" s="180"/>
      <c r="E2210" s="4"/>
      <c r="F2210" s="644"/>
      <c r="G2210" s="4"/>
      <c r="J2210" s="4"/>
      <c r="K2210" s="644"/>
      <c r="L2210" s="4"/>
      <c r="O2210" s="4"/>
      <c r="P2210" s="644"/>
      <c r="T2210" s="4"/>
      <c r="U2210" s="644"/>
      <c r="Y2210" s="4"/>
      <c r="Z2210" s="644"/>
      <c r="AA2210" s="4"/>
      <c r="AB2210" s="4"/>
      <c r="AC2210" s="4"/>
    </row>
    <row r="2211" spans="2:42" ht="25.5">
      <c r="B2211" s="1571"/>
      <c r="C2211" s="1568">
        <v>46139</v>
      </c>
      <c r="D2211" s="1568"/>
      <c r="E2211" s="1568" t="s">
        <v>564</v>
      </c>
      <c r="F2211" s="1568"/>
      <c r="G2211" s="1258"/>
      <c r="H2211" s="1568">
        <v>46140</v>
      </c>
      <c r="I2211" s="1568"/>
      <c r="J2211" s="1568" t="s">
        <v>565</v>
      </c>
      <c r="K2211" s="1568"/>
      <c r="L2211" s="1258"/>
      <c r="M2211" s="1568">
        <v>46141</v>
      </c>
      <c r="N2211" s="1568"/>
      <c r="O2211" s="1568" t="s">
        <v>566</v>
      </c>
      <c r="P2211" s="1568"/>
      <c r="Q2211" s="1258"/>
      <c r="R2211" s="1568">
        <v>46142</v>
      </c>
      <c r="S2211" s="1568"/>
      <c r="T2211" s="1568" t="s">
        <v>567</v>
      </c>
      <c r="U2211" s="1568"/>
      <c r="V2211" s="1258"/>
      <c r="W2211" s="1568">
        <v>46143</v>
      </c>
      <c r="X2211" s="1568"/>
      <c r="Y2211" s="1568" t="s">
        <v>568</v>
      </c>
      <c r="Z2211" s="1568"/>
      <c r="AA2211" s="1569" t="s">
        <v>19</v>
      </c>
      <c r="AB2211" s="1569" t="s">
        <v>20</v>
      </c>
      <c r="AC2211" s="4"/>
      <c r="AD2211" s="1570"/>
      <c r="AE2211" s="1570"/>
      <c r="AF2211" s="895" t="s">
        <v>1111</v>
      </c>
      <c r="AG2211" s="1569" t="s">
        <v>21</v>
      </c>
      <c r="AK2211" s="194" t="s">
        <v>84</v>
      </c>
      <c r="AL2211" s="366"/>
      <c r="AM2211" s="366"/>
      <c r="AN2211" s="366"/>
      <c r="AO2211" s="366"/>
      <c r="AP2211" s="366"/>
    </row>
    <row r="2212" spans="2:42">
      <c r="B2212" s="1571"/>
      <c r="C2212" s="896" t="s">
        <v>23</v>
      </c>
      <c r="D2212" s="896" t="s">
        <v>24</v>
      </c>
      <c r="E2212" s="897" t="s">
        <v>25</v>
      </c>
      <c r="F2212" s="898" t="s">
        <v>14</v>
      </c>
      <c r="G2212" s="4"/>
      <c r="H2212" s="896" t="s">
        <v>23</v>
      </c>
      <c r="I2212" s="896" t="s">
        <v>24</v>
      </c>
      <c r="J2212" s="898" t="s">
        <v>25</v>
      </c>
      <c r="K2212" s="898" t="s">
        <v>14</v>
      </c>
      <c r="L2212" s="4"/>
      <c r="M2212" s="896" t="s">
        <v>23</v>
      </c>
      <c r="N2212" s="896" t="s">
        <v>24</v>
      </c>
      <c r="O2212" s="898" t="s">
        <v>25</v>
      </c>
      <c r="P2212" s="898" t="s">
        <v>14</v>
      </c>
      <c r="R2212" s="896" t="s">
        <v>23</v>
      </c>
      <c r="S2212" s="896" t="s">
        <v>24</v>
      </c>
      <c r="T2212" s="898" t="s">
        <v>25</v>
      </c>
      <c r="U2212" s="898" t="s">
        <v>14</v>
      </c>
      <c r="W2212" s="896" t="s">
        <v>23</v>
      </c>
      <c r="X2212" s="896" t="s">
        <v>24</v>
      </c>
      <c r="Y2212" s="898" t="s">
        <v>25</v>
      </c>
      <c r="Z2212" s="898" t="s">
        <v>14</v>
      </c>
      <c r="AA2212" s="1569"/>
      <c r="AB2212" s="1569"/>
      <c r="AC2212" s="4"/>
      <c r="AD2212" s="896" t="s">
        <v>23</v>
      </c>
      <c r="AE2212" s="896" t="s">
        <v>24</v>
      </c>
      <c r="AF2212" s="898" t="s">
        <v>25</v>
      </c>
      <c r="AG2212" s="1569"/>
      <c r="AK2212" s="188" t="s">
        <v>26</v>
      </c>
      <c r="AL2212" s="196">
        <f>AA2239</f>
        <v>8</v>
      </c>
      <c r="AM2212" s="510">
        <v>40.31</v>
      </c>
      <c r="AN2212" s="510">
        <f t="shared" ref="AN2212:AN2217" si="268">AL2212*AM2212</f>
        <v>322.48</v>
      </c>
    </row>
    <row r="2213" spans="2:42">
      <c r="B2213" s="47" t="s">
        <v>1166</v>
      </c>
      <c r="C2213" s="47"/>
      <c r="D2213" s="47"/>
      <c r="E2213" s="319">
        <v>0</v>
      </c>
      <c r="F2213" s="320"/>
      <c r="G2213" s="4"/>
      <c r="H2213" s="47"/>
      <c r="I2213" s="47"/>
      <c r="J2213" s="319">
        <v>0</v>
      </c>
      <c r="K2213" s="320"/>
      <c r="L2213" s="4"/>
      <c r="M2213" s="47"/>
      <c r="N2213" s="47"/>
      <c r="O2213" s="319">
        <v>0</v>
      </c>
      <c r="P2213" s="320"/>
      <c r="R2213" s="47"/>
      <c r="S2213" s="47"/>
      <c r="T2213" s="319">
        <v>0</v>
      </c>
      <c r="U2213" s="320"/>
      <c r="W2213" s="47"/>
      <c r="X2213" s="47"/>
      <c r="Y2213" s="319">
        <v>0</v>
      </c>
      <c r="Z2213" s="320"/>
      <c r="AA2213" s="328">
        <f t="shared" ref="AA2213:AA2238" si="269">(E2213+J2213+O2213+T2213+Y2213)</f>
        <v>0</v>
      </c>
      <c r="AB2213" s="400">
        <f t="shared" ref="AB2213:AB2238" si="270">Z2213+U2213+P2213+K2213+F2213</f>
        <v>0</v>
      </c>
      <c r="AC2213" s="4"/>
      <c r="AF2213" s="319"/>
      <c r="AG2213" s="328">
        <f t="shared" ref="AG2213:AG2238" si="271">AF2213</f>
        <v>0</v>
      </c>
      <c r="AK2213" s="188" t="s">
        <v>30</v>
      </c>
      <c r="AL2213" s="196">
        <f>AB2239</f>
        <v>0</v>
      </c>
      <c r="AM2213" s="510">
        <v>60.465000000000003</v>
      </c>
      <c r="AN2213" s="510">
        <f t="shared" si="268"/>
        <v>0</v>
      </c>
    </row>
    <row r="2214" spans="2:42">
      <c r="B2214" s="47" t="s">
        <v>1112</v>
      </c>
      <c r="C2214" s="1508"/>
      <c r="D2214" s="1508"/>
      <c r="E2214" s="1509">
        <v>0</v>
      </c>
      <c r="F2214" s="1509"/>
      <c r="G2214" s="1510"/>
      <c r="H2214" s="1508"/>
      <c r="I2214" s="1508"/>
      <c r="J2214" s="1509">
        <v>0</v>
      </c>
      <c r="K2214" s="1509"/>
      <c r="L2214" s="1510"/>
      <c r="M2214" s="1508"/>
      <c r="N2214" s="1508"/>
      <c r="O2214" s="1509">
        <v>0</v>
      </c>
      <c r="P2214" s="1509"/>
      <c r="Q2214" s="1510"/>
      <c r="R2214" s="1508">
        <v>0.39583333333333331</v>
      </c>
      <c r="S2214" s="1508">
        <v>0.20833333333333334</v>
      </c>
      <c r="T2214" s="1509">
        <v>7</v>
      </c>
      <c r="U2214" s="1509"/>
      <c r="W2214" s="47">
        <v>0.34375</v>
      </c>
      <c r="X2214" s="47"/>
      <c r="Y2214" s="319">
        <v>0</v>
      </c>
      <c r="Z2214" s="320"/>
      <c r="AA2214" s="328">
        <f t="shared" si="269"/>
        <v>7</v>
      </c>
      <c r="AB2214" s="400">
        <f t="shared" si="270"/>
        <v>0</v>
      </c>
      <c r="AC2214" s="4"/>
      <c r="AD2214" s="47"/>
      <c r="AE2214" s="47"/>
      <c r="AF2214" s="319"/>
      <c r="AG2214" s="328">
        <f t="shared" si="271"/>
        <v>0</v>
      </c>
      <c r="AK2214" s="188" t="s">
        <v>32</v>
      </c>
      <c r="AL2214" s="196">
        <f>AG2239</f>
        <v>0</v>
      </c>
      <c r="AM2214" s="510">
        <v>60.465000000000003</v>
      </c>
      <c r="AN2214" s="510">
        <f t="shared" si="268"/>
        <v>0</v>
      </c>
    </row>
    <row r="2215" spans="2:42">
      <c r="B2215" s="47" t="s">
        <v>1141</v>
      </c>
      <c r="C2215" s="47"/>
      <c r="D2215" s="47"/>
      <c r="E2215" s="319">
        <v>0</v>
      </c>
      <c r="F2215" s="320"/>
      <c r="G2215" s="4"/>
      <c r="H2215" s="47"/>
      <c r="I2215" s="47"/>
      <c r="J2215" s="319">
        <v>0</v>
      </c>
      <c r="K2215" s="320"/>
      <c r="L2215" s="4"/>
      <c r="M2215" s="47"/>
      <c r="N2215" s="47"/>
      <c r="O2215" s="319">
        <v>0</v>
      </c>
      <c r="P2215" s="320"/>
      <c r="R2215" s="47"/>
      <c r="S2215" s="47"/>
      <c r="T2215" s="319">
        <v>0</v>
      </c>
      <c r="U2215" s="320"/>
      <c r="W2215" s="47"/>
      <c r="X2215" s="47"/>
      <c r="Y2215" s="319">
        <v>0</v>
      </c>
      <c r="Z2215" s="320"/>
      <c r="AA2215" s="328">
        <f t="shared" si="269"/>
        <v>0</v>
      </c>
      <c r="AB2215" s="400">
        <f t="shared" si="270"/>
        <v>0</v>
      </c>
      <c r="AC2215" s="4"/>
      <c r="AD2215" s="47"/>
      <c r="AE2215" s="47"/>
      <c r="AF2215" s="319"/>
      <c r="AG2215" s="328">
        <f t="shared" si="271"/>
        <v>0</v>
      </c>
      <c r="AK2215" s="188" t="s">
        <v>213</v>
      </c>
      <c r="AL2215" s="196">
        <f>AA2242</f>
        <v>3</v>
      </c>
      <c r="AM2215" s="510">
        <v>53.05</v>
      </c>
      <c r="AN2215" s="510">
        <f t="shared" si="268"/>
        <v>159.14999999999998</v>
      </c>
    </row>
    <row r="2216" spans="2:42">
      <c r="B2216" s="47" t="s">
        <v>72</v>
      </c>
      <c r="C2216" s="47"/>
      <c r="D2216" s="47"/>
      <c r="E2216" s="319">
        <v>0</v>
      </c>
      <c r="F2216" s="320"/>
      <c r="G2216" s="4"/>
      <c r="H2216" s="47"/>
      <c r="I2216" s="47"/>
      <c r="J2216" s="319">
        <v>0</v>
      </c>
      <c r="K2216" s="320"/>
      <c r="L2216" s="4"/>
      <c r="M2216" s="47"/>
      <c r="N2216" s="47"/>
      <c r="O2216" s="319">
        <v>0</v>
      </c>
      <c r="P2216" s="320"/>
      <c r="R2216" s="47"/>
      <c r="S2216" s="47"/>
      <c r="T2216" s="319">
        <v>0</v>
      </c>
      <c r="U2216" s="320"/>
      <c r="W2216" s="47"/>
      <c r="X2216" s="47"/>
      <c r="Y2216" s="319">
        <v>0</v>
      </c>
      <c r="Z2216" s="320"/>
      <c r="AA2216" s="328">
        <f t="shared" si="269"/>
        <v>0</v>
      </c>
      <c r="AB2216" s="400">
        <f t="shared" si="270"/>
        <v>0</v>
      </c>
      <c r="AC2216" s="4"/>
      <c r="AD2216" s="47"/>
      <c r="AE2216" s="47"/>
      <c r="AF2216" s="319"/>
      <c r="AG2216" s="328">
        <f t="shared" si="271"/>
        <v>0</v>
      </c>
      <c r="AK2216" s="188" t="s">
        <v>36</v>
      </c>
      <c r="AL2216" s="196">
        <f>AB2242</f>
        <v>0</v>
      </c>
      <c r="AM2216" s="510">
        <v>79.574999999999989</v>
      </c>
      <c r="AN2216" s="510">
        <f t="shared" si="268"/>
        <v>0</v>
      </c>
    </row>
    <row r="2217" spans="2:42">
      <c r="B2217" s="374" t="s">
        <v>998</v>
      </c>
      <c r="C2217" s="47"/>
      <c r="D2217" s="47"/>
      <c r="E2217" s="319">
        <v>0</v>
      </c>
      <c r="F2217" s="320"/>
      <c r="G2217" s="4"/>
      <c r="H2217" s="47"/>
      <c r="I2217" s="47"/>
      <c r="J2217" s="319">
        <v>0</v>
      </c>
      <c r="K2217" s="320"/>
      <c r="L2217" s="4"/>
      <c r="M2217" s="47"/>
      <c r="N2217" s="47"/>
      <c r="O2217" s="319">
        <v>0</v>
      </c>
      <c r="P2217" s="320"/>
      <c r="R2217" s="47"/>
      <c r="S2217" s="47"/>
      <c r="T2217" s="319">
        <v>0</v>
      </c>
      <c r="U2217" s="320"/>
      <c r="W2217" s="47"/>
      <c r="X2217" s="47"/>
      <c r="Y2217" s="319">
        <v>0</v>
      </c>
      <c r="Z2217" s="320"/>
      <c r="AA2217" s="328">
        <f t="shared" si="269"/>
        <v>0</v>
      </c>
      <c r="AB2217" s="400">
        <f t="shared" si="270"/>
        <v>0</v>
      </c>
      <c r="AC2217" s="4"/>
      <c r="AD2217" s="47"/>
      <c r="AE2217" s="47"/>
      <c r="AF2217" s="319"/>
      <c r="AG2217" s="328">
        <f t="shared" si="271"/>
        <v>0</v>
      </c>
      <c r="AK2217" s="188" t="s">
        <v>38</v>
      </c>
      <c r="AL2217" s="196">
        <f>AG2242</f>
        <v>0</v>
      </c>
      <c r="AM2217" s="510">
        <v>79.574999999999989</v>
      </c>
      <c r="AN2217" s="510">
        <f t="shared" si="268"/>
        <v>0</v>
      </c>
    </row>
    <row r="2218" spans="2:42">
      <c r="B2218" s="47" t="s">
        <v>53</v>
      </c>
      <c r="C2218" s="47"/>
      <c r="D2218" s="47"/>
      <c r="E2218" s="319">
        <v>0</v>
      </c>
      <c r="F2218" s="320"/>
      <c r="G2218" s="4"/>
      <c r="H2218" s="47"/>
      <c r="I2218" s="47"/>
      <c r="J2218" s="319">
        <v>0</v>
      </c>
      <c r="K2218" s="320"/>
      <c r="L2218" s="4"/>
      <c r="M2218" s="47"/>
      <c r="N2218" s="47"/>
      <c r="O2218" s="319">
        <v>0</v>
      </c>
      <c r="P2218" s="320"/>
      <c r="R2218" s="47"/>
      <c r="S2218" s="47"/>
      <c r="T2218" s="319">
        <v>0</v>
      </c>
      <c r="U2218" s="320"/>
      <c r="W2218" s="47"/>
      <c r="X2218" s="47"/>
      <c r="Y2218" s="319">
        <v>0</v>
      </c>
      <c r="Z2218" s="320"/>
      <c r="AA2218" s="328">
        <f t="shared" si="269"/>
        <v>0</v>
      </c>
      <c r="AB2218" s="400">
        <f t="shared" si="270"/>
        <v>0</v>
      </c>
      <c r="AC2218" s="4"/>
      <c r="AD2218" s="47"/>
      <c r="AE2218" s="47"/>
      <c r="AF2218" s="319"/>
      <c r="AG2218" s="328">
        <f t="shared" si="271"/>
        <v>0</v>
      </c>
      <c r="AN2218" s="510">
        <f>SUM(AN2212:AN2217)</f>
        <v>481.63</v>
      </c>
    </row>
    <row r="2219" spans="2:42">
      <c r="B2219" s="47" t="s">
        <v>241</v>
      </c>
      <c r="C2219" s="47"/>
      <c r="D2219" s="47"/>
      <c r="E2219" s="319">
        <v>0</v>
      </c>
      <c r="F2219" s="320"/>
      <c r="G2219" s="4"/>
      <c r="H2219" s="47"/>
      <c r="I2219" s="47"/>
      <c r="J2219" s="319">
        <v>0</v>
      </c>
      <c r="K2219" s="320"/>
      <c r="L2219" s="4"/>
      <c r="M2219" s="47"/>
      <c r="N2219" s="47"/>
      <c r="O2219" s="319">
        <v>0</v>
      </c>
      <c r="P2219" s="320"/>
      <c r="R2219" s="47"/>
      <c r="S2219" s="47"/>
      <c r="T2219" s="319">
        <v>0</v>
      </c>
      <c r="U2219" s="320"/>
      <c r="W2219" s="47"/>
      <c r="X2219" s="47"/>
      <c r="Y2219" s="319">
        <v>0</v>
      </c>
      <c r="Z2219" s="320"/>
      <c r="AA2219" s="328">
        <f t="shared" si="269"/>
        <v>0</v>
      </c>
      <c r="AB2219" s="400">
        <f t="shared" si="270"/>
        <v>0</v>
      </c>
      <c r="AC2219" s="4"/>
      <c r="AD2219" s="47"/>
      <c r="AE2219" s="47"/>
      <c r="AF2219" s="319"/>
      <c r="AG2219" s="328">
        <f t="shared" si="271"/>
        <v>0</v>
      </c>
    </row>
    <row r="2220" spans="2:42">
      <c r="B2220" s="47" t="s">
        <v>1142</v>
      </c>
      <c r="C2220" s="47"/>
      <c r="D2220" s="441"/>
      <c r="E2220" s="319">
        <v>0</v>
      </c>
      <c r="F2220" s="320"/>
      <c r="G2220" s="4"/>
      <c r="H2220" s="47"/>
      <c r="I2220" s="47"/>
      <c r="J2220" s="319">
        <v>0</v>
      </c>
      <c r="K2220" s="320"/>
      <c r="L2220" s="4"/>
      <c r="M2220" s="47"/>
      <c r="N2220" s="47"/>
      <c r="O2220" s="319">
        <v>0</v>
      </c>
      <c r="P2220" s="320"/>
      <c r="R2220" s="47"/>
      <c r="S2220" s="47"/>
      <c r="T2220" s="319">
        <v>0</v>
      </c>
      <c r="U2220" s="320"/>
      <c r="W2220" s="47"/>
      <c r="X2220" s="47"/>
      <c r="Y2220" s="319">
        <v>0</v>
      </c>
      <c r="Z2220" s="320"/>
      <c r="AA2220" s="328">
        <f t="shared" si="269"/>
        <v>0</v>
      </c>
      <c r="AB2220" s="400">
        <f t="shared" si="270"/>
        <v>0</v>
      </c>
      <c r="AC2220" s="4"/>
      <c r="AD2220" s="47"/>
      <c r="AE2220" s="47"/>
      <c r="AF2220" s="319"/>
      <c r="AG2220" s="328">
        <f t="shared" si="271"/>
        <v>0</v>
      </c>
      <c r="AK2220" s="192" t="s">
        <v>1115</v>
      </c>
      <c r="AL2220" s="189">
        <f>C2243</f>
        <v>0</v>
      </c>
      <c r="AM2220" s="510">
        <v>47.74</v>
      </c>
      <c r="AN2220" s="510">
        <f>AM2220*AL2220</f>
        <v>0</v>
      </c>
    </row>
    <row r="2221" spans="2:42">
      <c r="B2221" s="47" t="s">
        <v>1143</v>
      </c>
      <c r="C2221" s="47"/>
      <c r="D2221" s="441"/>
      <c r="E2221" s="319">
        <v>0</v>
      </c>
      <c r="F2221" s="320"/>
      <c r="G2221" s="4"/>
      <c r="H2221" s="47"/>
      <c r="I2221" s="47"/>
      <c r="J2221" s="319">
        <v>0</v>
      </c>
      <c r="K2221" s="320"/>
      <c r="L2221" s="4"/>
      <c r="M2221" s="47"/>
      <c r="N2221" s="47"/>
      <c r="O2221" s="319">
        <v>0</v>
      </c>
      <c r="P2221" s="320"/>
      <c r="R2221" s="47"/>
      <c r="S2221" s="47"/>
      <c r="T2221" s="319">
        <v>0</v>
      </c>
      <c r="U2221" s="320"/>
      <c r="W2221" s="47"/>
      <c r="X2221" s="47"/>
      <c r="Y2221" s="319">
        <v>0</v>
      </c>
      <c r="Z2221" s="320"/>
      <c r="AA2221" s="328">
        <f t="shared" si="269"/>
        <v>0</v>
      </c>
      <c r="AB2221" s="400">
        <f t="shared" si="270"/>
        <v>0</v>
      </c>
      <c r="AC2221" s="4"/>
      <c r="AD2221" s="47"/>
      <c r="AE2221" s="47"/>
      <c r="AF2221" s="319"/>
      <c r="AG2221" s="328">
        <f t="shared" si="271"/>
        <v>0</v>
      </c>
      <c r="AK2221" s="192"/>
      <c r="AL2221" s="189"/>
      <c r="AM2221" s="510"/>
      <c r="AN2221" s="510"/>
    </row>
    <row r="2222" spans="2:42">
      <c r="B2222" s="47" t="s">
        <v>1144</v>
      </c>
      <c r="C2222" s="47"/>
      <c r="D2222" s="441"/>
      <c r="E2222" s="319">
        <v>0</v>
      </c>
      <c r="F2222" s="320"/>
      <c r="G2222" s="4"/>
      <c r="H2222" s="47"/>
      <c r="I2222" s="47"/>
      <c r="J2222" s="319">
        <v>0</v>
      </c>
      <c r="K2222" s="320"/>
      <c r="L2222" s="4"/>
      <c r="M2222" s="47"/>
      <c r="N2222" s="47"/>
      <c r="O2222" s="319">
        <v>0</v>
      </c>
      <c r="P2222" s="320"/>
      <c r="R2222" s="47"/>
      <c r="S2222" s="47"/>
      <c r="T2222" s="319">
        <v>0</v>
      </c>
      <c r="U2222" s="320"/>
      <c r="W2222" s="47"/>
      <c r="X2222" s="47"/>
      <c r="Y2222" s="319">
        <v>0</v>
      </c>
      <c r="Z2222" s="320"/>
      <c r="AA2222" s="328">
        <f t="shared" si="269"/>
        <v>0</v>
      </c>
      <c r="AB2222" s="400">
        <f t="shared" si="270"/>
        <v>0</v>
      </c>
      <c r="AC2222" s="4"/>
      <c r="AD2222" s="47"/>
      <c r="AE2222" s="47"/>
      <c r="AF2222" s="319"/>
      <c r="AG2222" s="328">
        <f t="shared" si="271"/>
        <v>0</v>
      </c>
      <c r="AK2222" s="192"/>
      <c r="AL2222" s="189"/>
      <c r="AM2222" s="510"/>
      <c r="AN2222" s="510"/>
    </row>
    <row r="2223" spans="2:42">
      <c r="B2223" s="47" t="s">
        <v>1113</v>
      </c>
      <c r="C2223" s="47"/>
      <c r="D2223" s="47"/>
      <c r="E2223" s="319">
        <v>0</v>
      </c>
      <c r="F2223" s="320"/>
      <c r="G2223" s="4"/>
      <c r="H2223" s="47"/>
      <c r="I2223" s="47"/>
      <c r="J2223" s="319">
        <v>0</v>
      </c>
      <c r="K2223" s="320"/>
      <c r="L2223" s="4"/>
      <c r="M2223" s="47"/>
      <c r="N2223" s="47"/>
      <c r="O2223" s="319">
        <v>0</v>
      </c>
      <c r="P2223" s="320"/>
      <c r="R2223" s="47"/>
      <c r="S2223" s="47"/>
      <c r="T2223" s="319">
        <v>0</v>
      </c>
      <c r="U2223" s="320"/>
      <c r="W2223" s="47"/>
      <c r="X2223" s="47"/>
      <c r="Y2223" s="319">
        <v>0</v>
      </c>
      <c r="Z2223" s="320"/>
      <c r="AA2223" s="328">
        <f t="shared" si="269"/>
        <v>0</v>
      </c>
      <c r="AB2223" s="400">
        <f t="shared" si="270"/>
        <v>0</v>
      </c>
      <c r="AC2223" s="4"/>
      <c r="AD2223" s="47"/>
      <c r="AE2223" s="47"/>
      <c r="AF2223" s="319"/>
      <c r="AG2223" s="328">
        <f t="shared" si="271"/>
        <v>0</v>
      </c>
    </row>
    <row r="2224" spans="2:42">
      <c r="B2224" s="1306" t="s">
        <v>1155</v>
      </c>
      <c r="C2224" s="47"/>
      <c r="D2224" s="47"/>
      <c r="E2224" s="319">
        <v>0</v>
      </c>
      <c r="F2224" s="320"/>
      <c r="G2224" s="4"/>
      <c r="H2224" s="47"/>
      <c r="I2224" s="47"/>
      <c r="J2224" s="319">
        <v>0</v>
      </c>
      <c r="K2224" s="320"/>
      <c r="L2224" s="4"/>
      <c r="M2224" s="47"/>
      <c r="N2224" s="47"/>
      <c r="O2224" s="319">
        <v>0</v>
      </c>
      <c r="P2224" s="320"/>
      <c r="R2224" s="47"/>
      <c r="S2224" s="47"/>
      <c r="T2224" s="319">
        <v>0</v>
      </c>
      <c r="U2224" s="320"/>
      <c r="W2224" s="47"/>
      <c r="X2224" s="47"/>
      <c r="Y2224" s="319">
        <v>0</v>
      </c>
      <c r="Z2224" s="320"/>
      <c r="AA2224" s="328">
        <f t="shared" si="269"/>
        <v>0</v>
      </c>
      <c r="AB2224" s="400">
        <f t="shared" si="270"/>
        <v>0</v>
      </c>
      <c r="AC2224" s="4"/>
      <c r="AD2224" s="47"/>
      <c r="AE2224" s="47"/>
      <c r="AF2224" s="319"/>
      <c r="AG2224" s="328">
        <f t="shared" si="271"/>
        <v>0</v>
      </c>
    </row>
    <row r="2225" spans="2:33">
      <c r="B2225" s="1306" t="s">
        <v>1160</v>
      </c>
      <c r="C2225" s="47"/>
      <c r="D2225" s="47"/>
      <c r="E2225" s="319">
        <v>0</v>
      </c>
      <c r="F2225" s="320"/>
      <c r="G2225" s="4"/>
      <c r="H2225" s="47"/>
      <c r="I2225" s="47"/>
      <c r="J2225" s="319">
        <v>0</v>
      </c>
      <c r="K2225" s="320"/>
      <c r="L2225" s="4"/>
      <c r="M2225" s="47"/>
      <c r="N2225" s="47"/>
      <c r="O2225" s="319">
        <v>0</v>
      </c>
      <c r="P2225" s="320"/>
      <c r="R2225" s="47"/>
      <c r="S2225" s="47"/>
      <c r="T2225" s="319">
        <v>0</v>
      </c>
      <c r="U2225" s="320"/>
      <c r="W2225" s="47"/>
      <c r="X2225" s="47"/>
      <c r="Y2225" s="319">
        <v>0</v>
      </c>
      <c r="Z2225" s="320"/>
      <c r="AA2225" s="328">
        <f t="shared" si="269"/>
        <v>0</v>
      </c>
      <c r="AB2225" s="400">
        <f t="shared" si="270"/>
        <v>0</v>
      </c>
      <c r="AC2225" s="4"/>
      <c r="AD2225" s="47"/>
      <c r="AE2225" s="47"/>
      <c r="AF2225" s="319"/>
      <c r="AG2225" s="328">
        <f t="shared" si="271"/>
        <v>0</v>
      </c>
    </row>
    <row r="2226" spans="2:33">
      <c r="B2226" s="1306" t="s">
        <v>1164</v>
      </c>
      <c r="C2226" s="47"/>
      <c r="D2226" s="47"/>
      <c r="E2226" s="319">
        <v>0</v>
      </c>
      <c r="F2226" s="320"/>
      <c r="G2226" s="4"/>
      <c r="H2226" s="47"/>
      <c r="I2226" s="47"/>
      <c r="J2226" s="319">
        <v>0</v>
      </c>
      <c r="K2226" s="320"/>
      <c r="L2226" s="4"/>
      <c r="M2226" s="47"/>
      <c r="N2226" s="47"/>
      <c r="O2226" s="319">
        <v>0</v>
      </c>
      <c r="P2226" s="320"/>
      <c r="R2226" s="47"/>
      <c r="S2226" s="47"/>
      <c r="T2226" s="319">
        <v>0</v>
      </c>
      <c r="U2226" s="320"/>
      <c r="W2226" s="47"/>
      <c r="X2226" s="47"/>
      <c r="Y2226" s="319">
        <v>0</v>
      </c>
      <c r="Z2226" s="320"/>
      <c r="AA2226" s="328">
        <f t="shared" si="269"/>
        <v>0</v>
      </c>
      <c r="AB2226" s="400">
        <f t="shared" si="270"/>
        <v>0</v>
      </c>
      <c r="AC2226" s="4"/>
      <c r="AD2226" s="47"/>
      <c r="AE2226" s="47"/>
      <c r="AF2226" s="319"/>
      <c r="AG2226" s="328">
        <f t="shared" si="271"/>
        <v>0</v>
      </c>
    </row>
    <row r="2227" spans="2:33">
      <c r="B2227" s="502" t="s">
        <v>483</v>
      </c>
      <c r="C2227" s="47"/>
      <c r="D2227" s="47"/>
      <c r="E2227" s="319">
        <v>0</v>
      </c>
      <c r="F2227" s="320"/>
      <c r="G2227" s="4"/>
      <c r="H2227" s="47"/>
      <c r="I2227" s="47"/>
      <c r="J2227" s="319">
        <v>0</v>
      </c>
      <c r="K2227" s="320"/>
      <c r="L2227" s="4"/>
      <c r="M2227" s="47"/>
      <c r="N2227" s="47"/>
      <c r="O2227" s="319">
        <v>0</v>
      </c>
      <c r="P2227" s="320"/>
      <c r="R2227" s="47"/>
      <c r="S2227" s="47"/>
      <c r="T2227" s="319">
        <v>0</v>
      </c>
      <c r="U2227" s="320"/>
      <c r="W2227" s="47"/>
      <c r="X2227" s="47"/>
      <c r="Y2227" s="319">
        <v>0</v>
      </c>
      <c r="Z2227" s="320"/>
      <c r="AA2227" s="328">
        <f t="shared" si="269"/>
        <v>0</v>
      </c>
      <c r="AB2227" s="400">
        <f t="shared" si="270"/>
        <v>0</v>
      </c>
      <c r="AC2227" s="4"/>
      <c r="AD2227" s="47"/>
      <c r="AE2227" s="47"/>
      <c r="AF2227" s="319"/>
      <c r="AG2227" s="328">
        <f t="shared" si="271"/>
        <v>0</v>
      </c>
    </row>
    <row r="2228" spans="2:33">
      <c r="B2228" s="502" t="s">
        <v>483</v>
      </c>
      <c r="C2228" s="47"/>
      <c r="D2228" s="47"/>
      <c r="E2228" s="319">
        <v>0</v>
      </c>
      <c r="F2228" s="320"/>
      <c r="G2228" s="4"/>
      <c r="H2228" s="47"/>
      <c r="I2228" s="47"/>
      <c r="J2228" s="319">
        <v>0</v>
      </c>
      <c r="K2228" s="320"/>
      <c r="L2228" s="4"/>
      <c r="M2228" s="47"/>
      <c r="N2228" s="47"/>
      <c r="O2228" s="319">
        <v>0</v>
      </c>
      <c r="P2228" s="320"/>
      <c r="R2228" s="47"/>
      <c r="S2228" s="47"/>
      <c r="T2228" s="319">
        <v>0</v>
      </c>
      <c r="U2228" s="320"/>
      <c r="W2228" s="47"/>
      <c r="X2228" s="47"/>
      <c r="Y2228" s="319">
        <v>0</v>
      </c>
      <c r="Z2228" s="320"/>
      <c r="AA2228" s="328">
        <f t="shared" si="269"/>
        <v>0</v>
      </c>
      <c r="AB2228" s="400">
        <f t="shared" si="270"/>
        <v>0</v>
      </c>
      <c r="AC2228" s="4"/>
      <c r="AD2228" s="47"/>
      <c r="AE2228" s="47"/>
      <c r="AF2228" s="319"/>
      <c r="AG2228" s="328">
        <f t="shared" si="271"/>
        <v>0</v>
      </c>
    </row>
    <row r="2229" spans="2:33">
      <c r="B2229" s="502" t="s">
        <v>484</v>
      </c>
      <c r="C2229" s="47"/>
      <c r="D2229" s="47"/>
      <c r="E2229" s="319">
        <v>0</v>
      </c>
      <c r="F2229" s="320"/>
      <c r="G2229" s="4"/>
      <c r="H2229" s="47"/>
      <c r="I2229" s="47"/>
      <c r="J2229" s="319">
        <v>0</v>
      </c>
      <c r="K2229" s="320"/>
      <c r="L2229" s="4"/>
      <c r="M2229" s="47"/>
      <c r="N2229" s="47"/>
      <c r="O2229" s="319">
        <v>0</v>
      </c>
      <c r="P2229" s="320"/>
      <c r="R2229" s="47"/>
      <c r="S2229" s="47"/>
      <c r="T2229" s="319">
        <v>0</v>
      </c>
      <c r="U2229" s="320"/>
      <c r="W2229" s="47"/>
      <c r="X2229" s="47"/>
      <c r="Y2229" s="319">
        <v>0</v>
      </c>
      <c r="Z2229" s="320"/>
      <c r="AA2229" s="328">
        <f t="shared" si="269"/>
        <v>0</v>
      </c>
      <c r="AB2229" s="400">
        <f t="shared" si="270"/>
        <v>0</v>
      </c>
      <c r="AC2229" s="4"/>
      <c r="AD2229" s="47"/>
      <c r="AE2229" s="47"/>
      <c r="AF2229" s="319"/>
      <c r="AG2229" s="328">
        <f t="shared" si="271"/>
        <v>0</v>
      </c>
    </row>
    <row r="2230" spans="2:33">
      <c r="B2230" s="502" t="s">
        <v>485</v>
      </c>
      <c r="C2230" s="47"/>
      <c r="D2230" s="47"/>
      <c r="E2230" s="319">
        <v>0</v>
      </c>
      <c r="F2230" s="320"/>
      <c r="G2230" s="4"/>
      <c r="H2230" s="47"/>
      <c r="I2230" s="47"/>
      <c r="J2230" s="319">
        <v>0</v>
      </c>
      <c r="K2230" s="320"/>
      <c r="L2230" s="4"/>
      <c r="M2230" s="47"/>
      <c r="N2230" s="47"/>
      <c r="O2230" s="319">
        <v>0</v>
      </c>
      <c r="P2230" s="320"/>
      <c r="R2230" s="47"/>
      <c r="S2230" s="47"/>
      <c r="T2230" s="319">
        <v>0</v>
      </c>
      <c r="U2230" s="320"/>
      <c r="W2230" s="47"/>
      <c r="X2230" s="47"/>
      <c r="Y2230" s="319">
        <v>0</v>
      </c>
      <c r="Z2230" s="320"/>
      <c r="AA2230" s="328">
        <f t="shared" si="269"/>
        <v>0</v>
      </c>
      <c r="AB2230" s="400">
        <f t="shared" si="270"/>
        <v>0</v>
      </c>
      <c r="AC2230" s="4"/>
      <c r="AD2230" s="47"/>
      <c r="AE2230" s="47"/>
      <c r="AF2230" s="319"/>
      <c r="AG2230" s="328">
        <f t="shared" si="271"/>
        <v>0</v>
      </c>
    </row>
    <row r="2231" spans="2:33">
      <c r="B2231" s="502" t="s">
        <v>1129</v>
      </c>
      <c r="C2231" s="47"/>
      <c r="D2231" s="47"/>
      <c r="E2231" s="319">
        <v>0</v>
      </c>
      <c r="F2231" s="320"/>
      <c r="G2231" s="4"/>
      <c r="H2231" s="47"/>
      <c r="I2231" s="47"/>
      <c r="J2231" s="319">
        <v>0</v>
      </c>
      <c r="K2231" s="320"/>
      <c r="L2231" s="4"/>
      <c r="M2231" s="47"/>
      <c r="N2231" s="47"/>
      <c r="O2231" s="319">
        <v>0</v>
      </c>
      <c r="P2231" s="320"/>
      <c r="R2231" s="47"/>
      <c r="S2231" s="47"/>
      <c r="T2231" s="319">
        <v>0</v>
      </c>
      <c r="U2231" s="320"/>
      <c r="W2231" s="47"/>
      <c r="X2231" s="47"/>
      <c r="Y2231" s="319">
        <v>0</v>
      </c>
      <c r="Z2231" s="320"/>
      <c r="AA2231" s="328">
        <f t="shared" si="269"/>
        <v>0</v>
      </c>
      <c r="AB2231" s="400">
        <f t="shared" si="270"/>
        <v>0</v>
      </c>
      <c r="AC2231" s="4"/>
      <c r="AD2231" s="47"/>
      <c r="AE2231" s="47"/>
      <c r="AF2231" s="319"/>
      <c r="AG2231" s="328">
        <f t="shared" si="271"/>
        <v>0</v>
      </c>
    </row>
    <row r="2232" spans="2:33">
      <c r="B2232" s="267" t="s">
        <v>358</v>
      </c>
      <c r="C2232" s="47"/>
      <c r="D2232" s="47"/>
      <c r="E2232" s="319">
        <v>0</v>
      </c>
      <c r="F2232" s="320"/>
      <c r="G2232" s="4"/>
      <c r="H2232" s="47"/>
      <c r="I2232" s="47"/>
      <c r="J2232" s="319">
        <v>0</v>
      </c>
      <c r="K2232" s="320"/>
      <c r="L2232" s="438"/>
      <c r="M2232" s="47"/>
      <c r="N2232" s="47"/>
      <c r="O2232" s="319">
        <v>0</v>
      </c>
      <c r="P2232" s="320"/>
      <c r="Q2232" s="438"/>
      <c r="R2232" s="47"/>
      <c r="S2232" s="47"/>
      <c r="T2232" s="319">
        <v>0</v>
      </c>
      <c r="U2232" s="320"/>
      <c r="V2232" s="438"/>
      <c r="W2232" s="47"/>
      <c r="X2232" s="47"/>
      <c r="Y2232" s="319">
        <v>0</v>
      </c>
      <c r="Z2232" s="320"/>
      <c r="AA2232" s="328">
        <f t="shared" si="269"/>
        <v>0</v>
      </c>
      <c r="AB2232" s="400">
        <f t="shared" si="270"/>
        <v>0</v>
      </c>
      <c r="AC2232" s="4"/>
      <c r="AD2232" s="47"/>
      <c r="AE2232" s="47"/>
      <c r="AF2232" s="319"/>
      <c r="AG2232" s="328">
        <f t="shared" si="271"/>
        <v>0</v>
      </c>
    </row>
    <row r="2233" spans="2:33">
      <c r="B2233" s="267" t="s">
        <v>991</v>
      </c>
      <c r="C2233" s="47"/>
      <c r="D2233" s="47"/>
      <c r="E2233" s="319">
        <v>0</v>
      </c>
      <c r="F2233" s="320"/>
      <c r="G2233" s="4"/>
      <c r="H2233" s="47"/>
      <c r="I2233" s="47"/>
      <c r="J2233" s="319">
        <v>0</v>
      </c>
      <c r="K2233" s="320"/>
      <c r="L2233" s="438"/>
      <c r="M2233" s="47"/>
      <c r="N2233" s="47"/>
      <c r="O2233" s="319">
        <v>0</v>
      </c>
      <c r="P2233" s="320"/>
      <c r="Q2233" s="438"/>
      <c r="R2233" s="47"/>
      <c r="S2233" s="47"/>
      <c r="T2233" s="319">
        <v>0</v>
      </c>
      <c r="U2233" s="320"/>
      <c r="V2233" s="438"/>
      <c r="W2233" s="47"/>
      <c r="X2233" s="47"/>
      <c r="Y2233" s="319">
        <v>0</v>
      </c>
      <c r="Z2233" s="320"/>
      <c r="AA2233" s="328">
        <f t="shared" si="269"/>
        <v>0</v>
      </c>
      <c r="AB2233" s="400">
        <f t="shared" si="270"/>
        <v>0</v>
      </c>
      <c r="AC2233" s="4"/>
      <c r="AD2233" s="47"/>
      <c r="AE2233" s="47"/>
      <c r="AF2233" s="319"/>
      <c r="AG2233" s="328">
        <f t="shared" si="271"/>
        <v>0</v>
      </c>
    </row>
    <row r="2234" spans="2:33">
      <c r="B2234" s="267" t="s">
        <v>411</v>
      </c>
      <c r="C2234" s="47"/>
      <c r="D2234" s="47"/>
      <c r="E2234" s="319">
        <v>0</v>
      </c>
      <c r="F2234" s="320"/>
      <c r="G2234" s="4"/>
      <c r="H2234" s="47"/>
      <c r="I2234" s="47"/>
      <c r="J2234" s="319">
        <v>0</v>
      </c>
      <c r="K2234" s="320"/>
      <c r="L2234" s="438"/>
      <c r="M2234" s="47"/>
      <c r="N2234" s="47"/>
      <c r="O2234" s="319">
        <v>0</v>
      </c>
      <c r="P2234" s="320"/>
      <c r="Q2234" s="438"/>
      <c r="R2234" s="47"/>
      <c r="S2234" s="47"/>
      <c r="T2234" s="319">
        <v>0</v>
      </c>
      <c r="U2234" s="320"/>
      <c r="V2234" s="438"/>
      <c r="W2234" s="47"/>
      <c r="X2234" s="47"/>
      <c r="Y2234" s="319">
        <v>0</v>
      </c>
      <c r="Z2234" s="320"/>
      <c r="AA2234" s="328">
        <f t="shared" si="269"/>
        <v>0</v>
      </c>
      <c r="AB2234" s="400">
        <f t="shared" si="270"/>
        <v>0</v>
      </c>
      <c r="AC2234" s="4"/>
      <c r="AD2234" s="47"/>
      <c r="AE2234" s="47"/>
      <c r="AF2234" s="319"/>
      <c r="AG2234" s="328">
        <f t="shared" si="271"/>
        <v>0</v>
      </c>
    </row>
    <row r="2235" spans="2:33">
      <c r="B2235" s="267" t="s">
        <v>361</v>
      </c>
      <c r="C2235" s="47"/>
      <c r="D2235" s="47"/>
      <c r="E2235" s="319">
        <v>0</v>
      </c>
      <c r="F2235" s="320"/>
      <c r="G2235" s="4"/>
      <c r="H2235" s="47"/>
      <c r="I2235" s="47"/>
      <c r="J2235" s="319">
        <v>0</v>
      </c>
      <c r="K2235" s="320"/>
      <c r="L2235" s="438"/>
      <c r="M2235" s="47"/>
      <c r="N2235" s="47"/>
      <c r="O2235" s="319">
        <v>0</v>
      </c>
      <c r="P2235" s="320"/>
      <c r="Q2235" s="438"/>
      <c r="R2235" s="47"/>
      <c r="S2235" s="47"/>
      <c r="T2235" s="319">
        <v>0</v>
      </c>
      <c r="U2235" s="320"/>
      <c r="V2235" s="438"/>
      <c r="W2235" s="47"/>
      <c r="X2235" s="47"/>
      <c r="Y2235" s="319">
        <v>0</v>
      </c>
      <c r="Z2235" s="320"/>
      <c r="AA2235" s="328">
        <f t="shared" si="269"/>
        <v>0</v>
      </c>
      <c r="AB2235" s="400">
        <f t="shared" si="270"/>
        <v>0</v>
      </c>
      <c r="AC2235" s="4"/>
      <c r="AD2235" s="47"/>
      <c r="AE2235" s="47"/>
      <c r="AF2235" s="319"/>
      <c r="AG2235" s="328">
        <f t="shared" si="271"/>
        <v>0</v>
      </c>
    </row>
    <row r="2236" spans="2:33">
      <c r="B2236" s="267" t="s">
        <v>362</v>
      </c>
      <c r="C2236" s="47"/>
      <c r="D2236" s="5"/>
      <c r="E2236" s="319">
        <v>0</v>
      </c>
      <c r="F2236" s="320"/>
      <c r="G2236" s="4"/>
      <c r="H2236" s="47"/>
      <c r="I2236" s="5"/>
      <c r="J2236" s="319">
        <v>0</v>
      </c>
      <c r="K2236" s="320"/>
      <c r="L2236" s="438"/>
      <c r="M2236" s="47"/>
      <c r="N2236" s="5"/>
      <c r="O2236" s="319">
        <v>0</v>
      </c>
      <c r="P2236" s="320"/>
      <c r="Q2236" s="438"/>
      <c r="R2236" s="47"/>
      <c r="S2236" s="5"/>
      <c r="T2236" s="319">
        <v>0</v>
      </c>
      <c r="U2236" s="320"/>
      <c r="V2236" s="438"/>
      <c r="W2236" s="47"/>
      <c r="X2236" s="5"/>
      <c r="Y2236" s="319">
        <v>1</v>
      </c>
      <c r="Z2236" s="320"/>
      <c r="AA2236" s="328">
        <f t="shared" si="269"/>
        <v>1</v>
      </c>
      <c r="AB2236" s="400">
        <f t="shared" si="270"/>
        <v>0</v>
      </c>
      <c r="AC2236" s="4"/>
      <c r="AD2236" s="47"/>
      <c r="AE2236" s="47"/>
      <c r="AF2236" s="319"/>
      <c r="AG2236" s="328">
        <f t="shared" si="271"/>
        <v>0</v>
      </c>
    </row>
    <row r="2237" spans="2:33">
      <c r="B2237" s="437" t="s">
        <v>355</v>
      </c>
      <c r="C2237" s="47"/>
      <c r="D2237" s="47"/>
      <c r="E2237" s="319">
        <v>0</v>
      </c>
      <c r="F2237" s="320"/>
      <c r="G2237" s="4"/>
      <c r="H2237" s="47"/>
      <c r="I2237" s="47"/>
      <c r="J2237" s="319">
        <v>0</v>
      </c>
      <c r="K2237" s="320"/>
      <c r="L2237" s="438"/>
      <c r="M2237" s="47"/>
      <c r="N2237" s="47"/>
      <c r="O2237" s="319">
        <v>0</v>
      </c>
      <c r="P2237" s="320"/>
      <c r="Q2237" s="438"/>
      <c r="R2237" s="47"/>
      <c r="S2237" s="47"/>
      <c r="T2237" s="319">
        <v>0</v>
      </c>
      <c r="U2237" s="320"/>
      <c r="V2237" s="438"/>
      <c r="W2237" s="47"/>
      <c r="X2237" s="47"/>
      <c r="Y2237" s="319">
        <v>0</v>
      </c>
      <c r="Z2237" s="320"/>
      <c r="AA2237" s="328">
        <f t="shared" si="269"/>
        <v>0</v>
      </c>
      <c r="AB2237" s="400">
        <f t="shared" si="270"/>
        <v>0</v>
      </c>
      <c r="AC2237" s="4"/>
      <c r="AD2237" s="47"/>
      <c r="AE2237" s="47"/>
      <c r="AF2237" s="319"/>
      <c r="AG2237" s="328">
        <f t="shared" si="271"/>
        <v>0</v>
      </c>
    </row>
    <row r="2238" spans="2:33">
      <c r="B2238" s="437" t="s">
        <v>356</v>
      </c>
      <c r="C2238" s="713"/>
      <c r="D2238" s="713"/>
      <c r="E2238" s="319">
        <v>0</v>
      </c>
      <c r="F2238" s="320"/>
      <c r="G2238" s="438"/>
      <c r="H2238" s="5"/>
      <c r="I2238" s="5"/>
      <c r="J2238" s="319">
        <v>0</v>
      </c>
      <c r="K2238" s="320"/>
      <c r="L2238" s="438"/>
      <c r="M2238" s="5"/>
      <c r="N2238" s="5"/>
      <c r="O2238" s="319">
        <v>0</v>
      </c>
      <c r="P2238" s="320"/>
      <c r="Q2238" s="438"/>
      <c r="R2238" s="5"/>
      <c r="S2238" s="5"/>
      <c r="T2238" s="319">
        <v>0</v>
      </c>
      <c r="U2238" s="320"/>
      <c r="V2238" s="438"/>
      <c r="W2238" s="5"/>
      <c r="X2238" s="5"/>
      <c r="Y2238" s="319">
        <v>0</v>
      </c>
      <c r="Z2238" s="320"/>
      <c r="AA2238" s="328">
        <f t="shared" si="269"/>
        <v>0</v>
      </c>
      <c r="AB2238" s="400">
        <f t="shared" si="270"/>
        <v>0</v>
      </c>
      <c r="AC2238" s="4"/>
      <c r="AD2238" s="47"/>
      <c r="AE2238" s="47"/>
      <c r="AF2238" s="319"/>
      <c r="AG2238" s="328">
        <f t="shared" si="271"/>
        <v>0</v>
      </c>
    </row>
    <row r="2239" spans="2:33">
      <c r="B2239" s="31" t="s">
        <v>61</v>
      </c>
      <c r="C2239" s="31"/>
      <c r="D2239" s="31"/>
      <c r="E2239" s="439">
        <f>SUM(E2213:E2238)</f>
        <v>0</v>
      </c>
      <c r="F2239" s="320"/>
      <c r="G2239" s="31"/>
      <c r="H2239" s="31"/>
      <c r="I2239" s="31"/>
      <c r="J2239" s="439">
        <f>SUM(J2213:J2238)</f>
        <v>0</v>
      </c>
      <c r="K2239" s="320"/>
      <c r="L2239" s="31"/>
      <c r="M2239" s="31"/>
      <c r="N2239" s="31"/>
      <c r="O2239" s="439">
        <f>SUM(O2213:O2238)</f>
        <v>0</v>
      </c>
      <c r="P2239" s="320"/>
      <c r="Q2239" s="31"/>
      <c r="R2239" s="31"/>
      <c r="S2239" s="31"/>
      <c r="T2239" s="439">
        <f>SUM(T2213:T2238)</f>
        <v>7</v>
      </c>
      <c r="U2239" s="320"/>
      <c r="V2239" s="31"/>
      <c r="W2239" s="31"/>
      <c r="X2239" s="31"/>
      <c r="Y2239" s="439">
        <f>SUM(Y2213:Y2238)</f>
        <v>1</v>
      </c>
      <c r="Z2239" s="320"/>
      <c r="AA2239" s="328">
        <f>SUM(AA2213:AA2238)</f>
        <v>8</v>
      </c>
      <c r="AB2239" s="328">
        <f>SUM(AB2213:AB2238)</f>
        <v>0</v>
      </c>
      <c r="AC2239" s="4"/>
      <c r="AD2239" s="31"/>
      <c r="AE2239" s="31"/>
      <c r="AF2239" s="328">
        <f>SUM(AF2213:AF2238)</f>
        <v>0</v>
      </c>
      <c r="AG2239" s="328">
        <f>SUM(AG2213:AG2238)</f>
        <v>0</v>
      </c>
    </row>
    <row r="2240" spans="2:33">
      <c r="B2240" s="267" t="s">
        <v>1116</v>
      </c>
      <c r="C2240" s="47"/>
      <c r="D2240" s="47"/>
      <c r="E2240" s="319">
        <v>0</v>
      </c>
      <c r="F2240" s="320"/>
      <c r="G2240" s="4"/>
      <c r="H2240" s="47"/>
      <c r="I2240" s="47"/>
      <c r="J2240" s="319">
        <v>0</v>
      </c>
      <c r="K2240" s="320"/>
      <c r="L2240" s="4"/>
      <c r="M2240" s="47"/>
      <c r="N2240" s="47"/>
      <c r="O2240" s="319">
        <v>0</v>
      </c>
      <c r="P2240" s="320"/>
      <c r="R2240" s="47"/>
      <c r="S2240" s="47"/>
      <c r="T2240" s="319">
        <v>0</v>
      </c>
      <c r="U2240" s="320"/>
      <c r="W2240" s="47"/>
      <c r="X2240" s="47"/>
      <c r="Y2240" s="319">
        <v>0</v>
      </c>
      <c r="Z2240" s="320"/>
      <c r="AA2240" s="328">
        <f>(E2240+J2240+O2240+T2240+Y2240)</f>
        <v>0</v>
      </c>
      <c r="AB2240" s="400">
        <f>Z2240+U2240+P2240+K2240+F2240</f>
        <v>0</v>
      </c>
      <c r="AC2240" s="4"/>
      <c r="AD2240" s="47"/>
      <c r="AE2240" s="47"/>
      <c r="AF2240" s="319"/>
      <c r="AG2240" s="328">
        <f>AF2240</f>
        <v>0</v>
      </c>
    </row>
    <row r="2241" spans="2:42">
      <c r="B2241" s="267" t="s">
        <v>64</v>
      </c>
      <c r="C2241" s="47"/>
      <c r="D2241" s="47"/>
      <c r="E2241" s="319">
        <v>0</v>
      </c>
      <c r="F2241" s="319"/>
      <c r="G2241" s="71"/>
      <c r="H2241" s="47"/>
      <c r="I2241" s="47"/>
      <c r="J2241" s="319">
        <v>1</v>
      </c>
      <c r="K2241" s="319"/>
      <c r="L2241" s="438"/>
      <c r="M2241" s="47"/>
      <c r="N2241" s="47"/>
      <c r="O2241" s="319">
        <v>0</v>
      </c>
      <c r="P2241" s="319"/>
      <c r="Q2241" s="438"/>
      <c r="R2241" s="47"/>
      <c r="S2241" s="47"/>
      <c r="T2241" s="319">
        <v>1</v>
      </c>
      <c r="U2241" s="319"/>
      <c r="V2241" s="438"/>
      <c r="W2241" s="47"/>
      <c r="X2241" s="47"/>
      <c r="Y2241" s="319">
        <v>1</v>
      </c>
      <c r="Z2241" s="319"/>
      <c r="AA2241" s="328">
        <f>SUM(E2241+J2241+O2241+T2241+Y2241)</f>
        <v>3</v>
      </c>
      <c r="AB2241" s="897">
        <f>Z2241+U2241+P2241+K2241+F2241</f>
        <v>0</v>
      </c>
      <c r="AC2241" s="4"/>
      <c r="AD2241" s="47" t="s">
        <v>29</v>
      </c>
      <c r="AE2241" s="47" t="s">
        <v>29</v>
      </c>
      <c r="AF2241" s="319"/>
      <c r="AG2241" s="328">
        <f>AF2241</f>
        <v>0</v>
      </c>
    </row>
    <row r="2242" spans="2:42">
      <c r="B2242" s="71" t="s">
        <v>66</v>
      </c>
      <c r="C2242" s="1210"/>
      <c r="D2242" s="1210"/>
      <c r="E2242" s="1208"/>
      <c r="F2242" s="71"/>
      <c r="G2242" s="71"/>
      <c r="H2242" s="71"/>
      <c r="I2242" s="71"/>
      <c r="J2242" s="71"/>
      <c r="K2242" s="71"/>
      <c r="L2242" s="71"/>
      <c r="M2242" s="71"/>
      <c r="N2242" s="71"/>
      <c r="O2242" s="71"/>
      <c r="P2242" s="71"/>
      <c r="Q2242" s="71"/>
      <c r="R2242" s="71"/>
      <c r="S2242" s="71"/>
      <c r="T2242" s="71"/>
      <c r="U2242" s="71"/>
      <c r="V2242" s="71"/>
      <c r="W2242" s="71"/>
      <c r="X2242" s="71"/>
      <c r="Y2242" s="71"/>
      <c r="Z2242" s="71"/>
      <c r="AA2242" s="328">
        <f>SUM(AA2240:AA2241)</f>
        <v>3</v>
      </c>
      <c r="AB2242" s="328">
        <f>SUM(AB2241:AB2241)</f>
        <v>0</v>
      </c>
      <c r="AC2242" s="4"/>
      <c r="AG2242" s="328">
        <f>SUM(AG2241:AG2241)</f>
        <v>0</v>
      </c>
      <c r="AK2242" s="407"/>
    </row>
    <row r="2243" spans="2:42">
      <c r="B2243" s="1382" t="s">
        <v>67</v>
      </c>
      <c r="C2243" s="1383">
        <f>C2244+C2245</f>
        <v>0</v>
      </c>
      <c r="D2243" s="1383"/>
      <c r="E2243" s="534"/>
      <c r="F2243" s="534"/>
      <c r="G2243" s="1383"/>
      <c r="H2243" s="534"/>
      <c r="I2243" s="534"/>
      <c r="J2243" s="534"/>
      <c r="K2243" s="534"/>
      <c r="L2243" s="1383"/>
      <c r="M2243" s="1383"/>
      <c r="N2243" s="1383"/>
      <c r="O2243" s="1383"/>
      <c r="P2243" s="534"/>
      <c r="Q2243" s="1383"/>
      <c r="R2243" s="1383"/>
      <c r="S2243" s="1383"/>
      <c r="T2243" s="1383"/>
      <c r="U2243" s="534"/>
      <c r="V2243" s="1383"/>
      <c r="W2243" s="1383"/>
      <c r="X2243" s="1383"/>
      <c r="Y2243" s="1384"/>
      <c r="Z2243" s="534"/>
      <c r="AA2243" s="1385"/>
      <c r="AB2243" s="534"/>
      <c r="AC2243" s="1385"/>
      <c r="AD2243" s="1385"/>
      <c r="AE2243" s="1385"/>
      <c r="AF2243" s="1385"/>
      <c r="AG2243" s="1385"/>
      <c r="AH2243" s="1386"/>
      <c r="AI2243" s="1387"/>
      <c r="AJ2243" s="1387"/>
      <c r="AK2243" s="1388"/>
      <c r="AL2243" s="1387"/>
      <c r="AM2243" s="1387"/>
      <c r="AN2243" s="1387"/>
      <c r="AO2243" s="1387"/>
      <c r="AP2243" s="1387"/>
    </row>
    <row r="2244" spans="2:42">
      <c r="B2244" s="1389" t="s">
        <v>68</v>
      </c>
      <c r="C2244" s="1383">
        <v>0</v>
      </c>
      <c r="D2244" s="1383"/>
      <c r="E2244" s="534"/>
      <c r="F2244" s="534"/>
      <c r="G2244" s="1383"/>
      <c r="H2244" s="534"/>
      <c r="I2244" s="534"/>
      <c r="J2244" s="534"/>
      <c r="K2244" s="534"/>
      <c r="L2244" s="1383"/>
      <c r="M2244" s="1383"/>
      <c r="N2244" s="1383"/>
      <c r="O2244" s="1383"/>
      <c r="P2244" s="534"/>
      <c r="Q2244" s="1383"/>
      <c r="R2244" s="1383"/>
      <c r="S2244" s="1383"/>
      <c r="T2244" s="1383"/>
      <c r="U2244" s="534"/>
      <c r="V2244" s="1383"/>
      <c r="W2244" s="1383"/>
      <c r="X2244" s="1383"/>
      <c r="Y2244" s="1384"/>
      <c r="Z2244" s="534"/>
      <c r="AA2244" s="1385"/>
      <c r="AB2244" s="534"/>
      <c r="AC2244" s="1385"/>
      <c r="AD2244" s="1385"/>
      <c r="AE2244" s="1385"/>
      <c r="AF2244" s="1385"/>
      <c r="AG2244" s="1385"/>
      <c r="AH2244" s="1386"/>
      <c r="AI2244" s="1387"/>
      <c r="AJ2244" s="1387"/>
      <c r="AK2244" s="1388"/>
      <c r="AL2244" s="1387"/>
      <c r="AM2244" s="1387"/>
      <c r="AN2244" s="1387"/>
      <c r="AO2244" s="1387"/>
      <c r="AP2244" s="1387"/>
    </row>
    <row r="2245" spans="2:42">
      <c r="B2245" s="1389" t="s">
        <v>69</v>
      </c>
      <c r="C2245" s="1383">
        <v>0</v>
      </c>
      <c r="D2245" s="1383"/>
      <c r="E2245" s="534"/>
      <c r="F2245" s="534"/>
      <c r="G2245" s="1383"/>
      <c r="H2245" s="534"/>
      <c r="I2245" s="534"/>
      <c r="J2245" s="534"/>
      <c r="K2245" s="534"/>
      <c r="L2245" s="1383"/>
      <c r="M2245" s="1383"/>
      <c r="N2245" s="1383"/>
      <c r="O2245" s="1383"/>
      <c r="P2245" s="534"/>
      <c r="Q2245" s="1383"/>
      <c r="R2245" s="1383"/>
      <c r="S2245" s="1383"/>
      <c r="T2245" s="1383"/>
      <c r="U2245" s="534"/>
      <c r="V2245" s="1383"/>
      <c r="W2245" s="1383"/>
      <c r="X2245" s="1383"/>
      <c r="Y2245" s="1384"/>
      <c r="Z2245" s="534"/>
      <c r="AA2245" s="1385"/>
      <c r="AB2245" s="534"/>
      <c r="AC2245" s="1385"/>
      <c r="AD2245" s="1385"/>
      <c r="AE2245" s="1385"/>
      <c r="AF2245" s="1385"/>
      <c r="AG2245" s="1385"/>
      <c r="AH2245" s="1386"/>
      <c r="AI2245" s="1387"/>
      <c r="AJ2245" s="1387"/>
      <c r="AK2245" s="1387"/>
      <c r="AL2245" s="1387"/>
      <c r="AM2245" s="1387"/>
      <c r="AN2245" s="1387"/>
      <c r="AO2245" s="1387"/>
      <c r="AP2245" s="1387"/>
    </row>
  </sheetData>
  <mergeCells count="943">
    <mergeCell ref="W2175:X2175"/>
    <mergeCell ref="Y2175:Z2175"/>
    <mergeCell ref="AA2175:AA2176"/>
    <mergeCell ref="AB2175:AB2176"/>
    <mergeCell ref="AD2175:AE2175"/>
    <mergeCell ref="AG2175:AG2176"/>
    <mergeCell ref="B2175:B2176"/>
    <mergeCell ref="C2175:D2175"/>
    <mergeCell ref="E2175:F2175"/>
    <mergeCell ref="H2175:I2175"/>
    <mergeCell ref="J2175:K2175"/>
    <mergeCell ref="M2175:N2175"/>
    <mergeCell ref="O2175:P2175"/>
    <mergeCell ref="R2175:S2175"/>
    <mergeCell ref="T2175:U2175"/>
    <mergeCell ref="W2139:X2139"/>
    <mergeCell ref="Y2139:Z2139"/>
    <mergeCell ref="AA2139:AA2140"/>
    <mergeCell ref="AB2139:AB2140"/>
    <mergeCell ref="AD2139:AE2139"/>
    <mergeCell ref="AG2139:AG2140"/>
    <mergeCell ref="B2139:B2140"/>
    <mergeCell ref="C2139:D2139"/>
    <mergeCell ref="E2139:F2139"/>
    <mergeCell ref="H2139:I2139"/>
    <mergeCell ref="J2139:K2139"/>
    <mergeCell ref="M2139:N2139"/>
    <mergeCell ref="O2139:P2139"/>
    <mergeCell ref="R2139:S2139"/>
    <mergeCell ref="T2139:U2139"/>
    <mergeCell ref="W2065:X2065"/>
    <mergeCell ref="Y2065:Z2065"/>
    <mergeCell ref="AA2065:AA2066"/>
    <mergeCell ref="AB2065:AB2066"/>
    <mergeCell ref="AD2065:AE2065"/>
    <mergeCell ref="AG2065:AG2066"/>
    <mergeCell ref="B2065:B2066"/>
    <mergeCell ref="C2065:D2065"/>
    <mergeCell ref="E2065:F2065"/>
    <mergeCell ref="H2065:I2065"/>
    <mergeCell ref="J2065:K2065"/>
    <mergeCell ref="M2065:N2065"/>
    <mergeCell ref="O2065:P2065"/>
    <mergeCell ref="R2065:S2065"/>
    <mergeCell ref="T2065:U2065"/>
    <mergeCell ref="W2028:X2028"/>
    <mergeCell ref="Y2028:Z2028"/>
    <mergeCell ref="AA2028:AA2029"/>
    <mergeCell ref="AB2028:AB2029"/>
    <mergeCell ref="AD2028:AE2028"/>
    <mergeCell ref="AG2028:AG2029"/>
    <mergeCell ref="B2028:B2029"/>
    <mergeCell ref="C2028:D2028"/>
    <mergeCell ref="E2028:F2028"/>
    <mergeCell ref="H2028:I2028"/>
    <mergeCell ref="J2028:K2028"/>
    <mergeCell ref="M2028:N2028"/>
    <mergeCell ref="O2028:P2028"/>
    <mergeCell ref="R2028:S2028"/>
    <mergeCell ref="T2028:U2028"/>
    <mergeCell ref="W1946:X1946"/>
    <mergeCell ref="Y1946:Z1946"/>
    <mergeCell ref="AA1946:AA1947"/>
    <mergeCell ref="AB1946:AB1947"/>
    <mergeCell ref="AD1946:AE1946"/>
    <mergeCell ref="AG1946:AG1947"/>
    <mergeCell ref="B1946:B1947"/>
    <mergeCell ref="C1946:D1946"/>
    <mergeCell ref="E1946:F1946"/>
    <mergeCell ref="H1946:I1946"/>
    <mergeCell ref="J1946:K1946"/>
    <mergeCell ref="M1946:N1946"/>
    <mergeCell ref="O1946:P1946"/>
    <mergeCell ref="R1946:S1946"/>
    <mergeCell ref="T1946:U1946"/>
    <mergeCell ref="W1892:X1892"/>
    <mergeCell ref="Y1892:Z1892"/>
    <mergeCell ref="AA1892:AA1893"/>
    <mergeCell ref="AB1892:AB1893"/>
    <mergeCell ref="AD1892:AE1892"/>
    <mergeCell ref="AG1892:AG1893"/>
    <mergeCell ref="B1892:B1893"/>
    <mergeCell ref="C1892:D1892"/>
    <mergeCell ref="E1892:F1892"/>
    <mergeCell ref="H1892:I1892"/>
    <mergeCell ref="J1892:K1892"/>
    <mergeCell ref="M1892:N1892"/>
    <mergeCell ref="O1892:P1892"/>
    <mergeCell ref="R1892:S1892"/>
    <mergeCell ref="T1892:U1892"/>
    <mergeCell ref="W1837:X1837"/>
    <mergeCell ref="Y1837:Z1837"/>
    <mergeCell ref="AA1837:AA1838"/>
    <mergeCell ref="AB1837:AB1838"/>
    <mergeCell ref="AD1837:AE1837"/>
    <mergeCell ref="AG1837:AG1838"/>
    <mergeCell ref="B1837:B1838"/>
    <mergeCell ref="C1837:D1837"/>
    <mergeCell ref="E1837:F1837"/>
    <mergeCell ref="H1837:I1837"/>
    <mergeCell ref="J1837:K1837"/>
    <mergeCell ref="M1837:N1837"/>
    <mergeCell ref="O1837:P1837"/>
    <mergeCell ref="R1837:S1837"/>
    <mergeCell ref="T1837:U1837"/>
    <mergeCell ref="W1672:X1672"/>
    <mergeCell ref="Y1672:Z1672"/>
    <mergeCell ref="AA1672:AA1673"/>
    <mergeCell ref="AB1672:AB1673"/>
    <mergeCell ref="AD1672:AE1672"/>
    <mergeCell ref="AG1672:AG1673"/>
    <mergeCell ref="B1672:B1673"/>
    <mergeCell ref="C1672:D1672"/>
    <mergeCell ref="E1672:F1672"/>
    <mergeCell ref="H1672:I1672"/>
    <mergeCell ref="J1672:K1672"/>
    <mergeCell ref="M1672:N1672"/>
    <mergeCell ref="O1672:P1672"/>
    <mergeCell ref="R1672:S1672"/>
    <mergeCell ref="T1672:U1672"/>
    <mergeCell ref="W1549:X1549"/>
    <mergeCell ref="Y1549:Z1549"/>
    <mergeCell ref="AA1549:AA1550"/>
    <mergeCell ref="AB1549:AB1550"/>
    <mergeCell ref="AD1549:AE1549"/>
    <mergeCell ref="AG1549:AG1550"/>
    <mergeCell ref="B1549:B1550"/>
    <mergeCell ref="C1549:D1549"/>
    <mergeCell ref="E1549:F1549"/>
    <mergeCell ref="H1549:I1549"/>
    <mergeCell ref="J1549:K1549"/>
    <mergeCell ref="M1549:N1549"/>
    <mergeCell ref="O1549:P1549"/>
    <mergeCell ref="R1549:S1549"/>
    <mergeCell ref="T1549:U1549"/>
    <mergeCell ref="W1389:X1389"/>
    <mergeCell ref="Y1389:Z1389"/>
    <mergeCell ref="AA1389:AA1390"/>
    <mergeCell ref="AB1389:AB1390"/>
    <mergeCell ref="AD1389:AE1389"/>
    <mergeCell ref="AG1389:AG1390"/>
    <mergeCell ref="B1389:B1390"/>
    <mergeCell ref="C1389:D1389"/>
    <mergeCell ref="E1389:F1389"/>
    <mergeCell ref="H1389:I1389"/>
    <mergeCell ref="J1389:K1389"/>
    <mergeCell ref="M1389:N1389"/>
    <mergeCell ref="O1389:P1389"/>
    <mergeCell ref="R1389:S1389"/>
    <mergeCell ref="T1389:U1389"/>
    <mergeCell ref="AB1357:AB1358"/>
    <mergeCell ref="AD1357:AE1357"/>
    <mergeCell ref="AG1357:AG1358"/>
    <mergeCell ref="B1325:B1326"/>
    <mergeCell ref="C1325:D1325"/>
    <mergeCell ref="E1325:F1325"/>
    <mergeCell ref="H1325:I1325"/>
    <mergeCell ref="J1325:K1325"/>
    <mergeCell ref="M1325:N1325"/>
    <mergeCell ref="B1357:B1358"/>
    <mergeCell ref="C1357:D1357"/>
    <mergeCell ref="E1357:F1357"/>
    <mergeCell ref="H1357:I1357"/>
    <mergeCell ref="J1357:K1357"/>
    <mergeCell ref="M1357:N1357"/>
    <mergeCell ref="O1357:P1357"/>
    <mergeCell ref="R1357:S1357"/>
    <mergeCell ref="T1357:U1357"/>
    <mergeCell ref="AB1261:AB1262"/>
    <mergeCell ref="AD1261:AE1261"/>
    <mergeCell ref="AG1261:AG1262"/>
    <mergeCell ref="B1261:B1262"/>
    <mergeCell ref="C1261:D1261"/>
    <mergeCell ref="E1261:F1261"/>
    <mergeCell ref="H1261:I1261"/>
    <mergeCell ref="J1261:K1261"/>
    <mergeCell ref="M1261:N1261"/>
    <mergeCell ref="O1261:P1261"/>
    <mergeCell ref="R1261:S1261"/>
    <mergeCell ref="T1261:U1261"/>
    <mergeCell ref="W1261:X1261"/>
    <mergeCell ref="Y1261:Z1261"/>
    <mergeCell ref="AA1261:AA1262"/>
    <mergeCell ref="W1229:X1229"/>
    <mergeCell ref="Y1229:Z1229"/>
    <mergeCell ref="AA1229:AA1230"/>
    <mergeCell ref="AB1229:AB1230"/>
    <mergeCell ref="AD1229:AE1229"/>
    <mergeCell ref="AG1229:AG1230"/>
    <mergeCell ref="B1229:B1230"/>
    <mergeCell ref="C1229:D1229"/>
    <mergeCell ref="E1229:F1229"/>
    <mergeCell ref="H1229:I1229"/>
    <mergeCell ref="J1229:K1229"/>
    <mergeCell ref="M1229:N1229"/>
    <mergeCell ref="O1229:P1229"/>
    <mergeCell ref="R1229:S1229"/>
    <mergeCell ref="T1229:U1229"/>
    <mergeCell ref="W1197:X1197"/>
    <mergeCell ref="Y1197:Z1197"/>
    <mergeCell ref="AA1197:AA1198"/>
    <mergeCell ref="AB1197:AB1198"/>
    <mergeCell ref="AD1197:AE1197"/>
    <mergeCell ref="AG1197:AG1198"/>
    <mergeCell ref="B1197:B1198"/>
    <mergeCell ref="C1197:D1197"/>
    <mergeCell ref="E1197:F1197"/>
    <mergeCell ref="H1197:I1197"/>
    <mergeCell ref="J1197:K1197"/>
    <mergeCell ref="M1197:N1197"/>
    <mergeCell ref="O1197:P1197"/>
    <mergeCell ref="R1197:S1197"/>
    <mergeCell ref="T1197:U1197"/>
    <mergeCell ref="W1133:X1133"/>
    <mergeCell ref="Y1133:Z1133"/>
    <mergeCell ref="AA1133:AA1134"/>
    <mergeCell ref="AB1133:AB1134"/>
    <mergeCell ref="AD1133:AE1133"/>
    <mergeCell ref="AG1133:AG1134"/>
    <mergeCell ref="B1133:B1134"/>
    <mergeCell ref="C1133:D1133"/>
    <mergeCell ref="E1133:F1133"/>
    <mergeCell ref="H1133:I1133"/>
    <mergeCell ref="J1133:K1133"/>
    <mergeCell ref="M1133:N1133"/>
    <mergeCell ref="O1133:P1133"/>
    <mergeCell ref="R1133:S1133"/>
    <mergeCell ref="T1133:U1133"/>
    <mergeCell ref="W1069:X1069"/>
    <mergeCell ref="Y1069:Z1069"/>
    <mergeCell ref="AA1069:AA1070"/>
    <mergeCell ref="AB1069:AB1070"/>
    <mergeCell ref="AD1069:AE1069"/>
    <mergeCell ref="AG1069:AG1070"/>
    <mergeCell ref="B1069:B1070"/>
    <mergeCell ref="C1069:D1069"/>
    <mergeCell ref="E1069:F1069"/>
    <mergeCell ref="H1069:I1069"/>
    <mergeCell ref="J1069:K1069"/>
    <mergeCell ref="M1069:N1069"/>
    <mergeCell ref="O1069:P1069"/>
    <mergeCell ref="R1069:S1069"/>
    <mergeCell ref="T1069:U1069"/>
    <mergeCell ref="W973:X973"/>
    <mergeCell ref="Y973:Z973"/>
    <mergeCell ref="AA973:AA974"/>
    <mergeCell ref="AB973:AB974"/>
    <mergeCell ref="AD973:AE973"/>
    <mergeCell ref="AG973:AG974"/>
    <mergeCell ref="B973:B974"/>
    <mergeCell ref="C973:D973"/>
    <mergeCell ref="E973:F973"/>
    <mergeCell ref="H973:I973"/>
    <mergeCell ref="J973:K973"/>
    <mergeCell ref="M973:N973"/>
    <mergeCell ref="O973:P973"/>
    <mergeCell ref="R973:S973"/>
    <mergeCell ref="T973:U973"/>
    <mergeCell ref="W941:X941"/>
    <mergeCell ref="Y941:Z941"/>
    <mergeCell ref="AA941:AA942"/>
    <mergeCell ref="AB941:AB942"/>
    <mergeCell ref="AD941:AE941"/>
    <mergeCell ref="AG941:AG942"/>
    <mergeCell ref="B941:B942"/>
    <mergeCell ref="C941:D941"/>
    <mergeCell ref="E941:F941"/>
    <mergeCell ref="H941:I941"/>
    <mergeCell ref="J941:K941"/>
    <mergeCell ref="M941:N941"/>
    <mergeCell ref="O941:P941"/>
    <mergeCell ref="R941:S941"/>
    <mergeCell ref="T941:U941"/>
    <mergeCell ref="W909:X909"/>
    <mergeCell ref="Y909:Z909"/>
    <mergeCell ref="AA909:AA910"/>
    <mergeCell ref="AB909:AB910"/>
    <mergeCell ref="AD909:AE909"/>
    <mergeCell ref="AG909:AG910"/>
    <mergeCell ref="B909:B910"/>
    <mergeCell ref="C909:D909"/>
    <mergeCell ref="E909:F909"/>
    <mergeCell ref="H909:I909"/>
    <mergeCell ref="J909:K909"/>
    <mergeCell ref="M909:N909"/>
    <mergeCell ref="O909:P909"/>
    <mergeCell ref="R909:S909"/>
    <mergeCell ref="T909:U909"/>
    <mergeCell ref="W845:X845"/>
    <mergeCell ref="Y845:Z845"/>
    <mergeCell ref="AA845:AA846"/>
    <mergeCell ref="AB845:AB846"/>
    <mergeCell ref="AD845:AE845"/>
    <mergeCell ref="AG845:AG846"/>
    <mergeCell ref="B845:B846"/>
    <mergeCell ref="C845:D845"/>
    <mergeCell ref="E845:F845"/>
    <mergeCell ref="H845:I845"/>
    <mergeCell ref="J845:K845"/>
    <mergeCell ref="M845:N845"/>
    <mergeCell ref="O845:P845"/>
    <mergeCell ref="R845:S845"/>
    <mergeCell ref="T845:U845"/>
    <mergeCell ref="W782:X782"/>
    <mergeCell ref="Y782:Z782"/>
    <mergeCell ref="AA782:AA783"/>
    <mergeCell ref="AB782:AB783"/>
    <mergeCell ref="AD782:AE782"/>
    <mergeCell ref="AG782:AG783"/>
    <mergeCell ref="B782:B783"/>
    <mergeCell ref="C782:D782"/>
    <mergeCell ref="E782:F782"/>
    <mergeCell ref="H782:I782"/>
    <mergeCell ref="J782:K782"/>
    <mergeCell ref="M782:N782"/>
    <mergeCell ref="O782:P782"/>
    <mergeCell ref="R782:S782"/>
    <mergeCell ref="T782:U782"/>
    <mergeCell ref="W717:X717"/>
    <mergeCell ref="Y717:Z717"/>
    <mergeCell ref="AA717:AA718"/>
    <mergeCell ref="AB717:AB718"/>
    <mergeCell ref="AD717:AE717"/>
    <mergeCell ref="AG717:AG718"/>
    <mergeCell ref="B717:B718"/>
    <mergeCell ref="C717:D717"/>
    <mergeCell ref="E717:F717"/>
    <mergeCell ref="H717:I717"/>
    <mergeCell ref="J717:K717"/>
    <mergeCell ref="M717:N717"/>
    <mergeCell ref="O717:P717"/>
    <mergeCell ref="R717:S717"/>
    <mergeCell ref="T717:U717"/>
    <mergeCell ref="W685:X685"/>
    <mergeCell ref="Y685:Z685"/>
    <mergeCell ref="AA685:AA686"/>
    <mergeCell ref="AB685:AB686"/>
    <mergeCell ref="AD685:AE685"/>
    <mergeCell ref="AG685:AG686"/>
    <mergeCell ref="B685:B686"/>
    <mergeCell ref="C685:D685"/>
    <mergeCell ref="E685:F685"/>
    <mergeCell ref="H685:I685"/>
    <mergeCell ref="J685:K685"/>
    <mergeCell ref="M685:N685"/>
    <mergeCell ref="O685:P685"/>
    <mergeCell ref="R685:S685"/>
    <mergeCell ref="T685:U685"/>
    <mergeCell ref="AA475:AA476"/>
    <mergeCell ref="AB475:AB476"/>
    <mergeCell ref="AD475:AE475"/>
    <mergeCell ref="AG475:AG476"/>
    <mergeCell ref="B475:B476"/>
    <mergeCell ref="C475:D475"/>
    <mergeCell ref="E475:F475"/>
    <mergeCell ref="H475:I475"/>
    <mergeCell ref="J475:K475"/>
    <mergeCell ref="M475:N475"/>
    <mergeCell ref="O475:P475"/>
    <mergeCell ref="R475:S475"/>
    <mergeCell ref="T475:U475"/>
    <mergeCell ref="E440:F440"/>
    <mergeCell ref="H440:I440"/>
    <mergeCell ref="J440:K440"/>
    <mergeCell ref="M440:N440"/>
    <mergeCell ref="O440:P440"/>
    <mergeCell ref="R440:S440"/>
    <mergeCell ref="T440:U440"/>
    <mergeCell ref="W475:X475"/>
    <mergeCell ref="Y475:Z475"/>
    <mergeCell ref="W370:X370"/>
    <mergeCell ref="Y370:Z370"/>
    <mergeCell ref="AA370:AA371"/>
    <mergeCell ref="AB370:AB371"/>
    <mergeCell ref="AD370:AE370"/>
    <mergeCell ref="AG370:AG371"/>
    <mergeCell ref="B370:B371"/>
    <mergeCell ref="C370:D370"/>
    <mergeCell ref="E370:F370"/>
    <mergeCell ref="H370:I370"/>
    <mergeCell ref="J370:K370"/>
    <mergeCell ref="M370:N370"/>
    <mergeCell ref="O370:P370"/>
    <mergeCell ref="R370:S370"/>
    <mergeCell ref="T370:U370"/>
    <mergeCell ref="W335:X335"/>
    <mergeCell ref="Y335:Z335"/>
    <mergeCell ref="AA335:AA336"/>
    <mergeCell ref="AB335:AB336"/>
    <mergeCell ref="AD335:AE335"/>
    <mergeCell ref="AG335:AG336"/>
    <mergeCell ref="B335:B336"/>
    <mergeCell ref="C335:D335"/>
    <mergeCell ref="E335:F335"/>
    <mergeCell ref="H335:I335"/>
    <mergeCell ref="J335:K335"/>
    <mergeCell ref="M335:N335"/>
    <mergeCell ref="O335:P335"/>
    <mergeCell ref="R335:S335"/>
    <mergeCell ref="T335:U335"/>
    <mergeCell ref="AG265:AG266"/>
    <mergeCell ref="AB265:AB266"/>
    <mergeCell ref="AA265:AA266"/>
    <mergeCell ref="B265:B266"/>
    <mergeCell ref="AD265:AE265"/>
    <mergeCell ref="Y265:Z265"/>
    <mergeCell ref="W265:X265"/>
    <mergeCell ref="T265:U265"/>
    <mergeCell ref="R265:S265"/>
    <mergeCell ref="O265:P265"/>
    <mergeCell ref="M265:N265"/>
    <mergeCell ref="J265:K265"/>
    <mergeCell ref="H265:I265"/>
    <mergeCell ref="E265:F265"/>
    <mergeCell ref="C265:D265"/>
    <mergeCell ref="W230:X230"/>
    <mergeCell ref="Y230:Z230"/>
    <mergeCell ref="AA230:AA231"/>
    <mergeCell ref="AB230:AB231"/>
    <mergeCell ref="AD230:AE230"/>
    <mergeCell ref="AG230:AG231"/>
    <mergeCell ref="B230:B231"/>
    <mergeCell ref="C230:D230"/>
    <mergeCell ref="E230:F230"/>
    <mergeCell ref="H230:I230"/>
    <mergeCell ref="J230:K230"/>
    <mergeCell ref="M230:N230"/>
    <mergeCell ref="O230:P230"/>
    <mergeCell ref="R230:S230"/>
    <mergeCell ref="T230:U230"/>
    <mergeCell ref="W160:X160"/>
    <mergeCell ref="Y160:Z160"/>
    <mergeCell ref="AA160:AA161"/>
    <mergeCell ref="AB160:AB161"/>
    <mergeCell ref="AD160:AE160"/>
    <mergeCell ref="AG160:AG161"/>
    <mergeCell ref="B160:B161"/>
    <mergeCell ref="C160:D160"/>
    <mergeCell ref="E160:F160"/>
    <mergeCell ref="H160:I160"/>
    <mergeCell ref="J160:K160"/>
    <mergeCell ref="M160:N160"/>
    <mergeCell ref="O160:P160"/>
    <mergeCell ref="R160:S160"/>
    <mergeCell ref="T160:U160"/>
    <mergeCell ref="W124:X124"/>
    <mergeCell ref="Y124:Z124"/>
    <mergeCell ref="AA124:AA125"/>
    <mergeCell ref="AB124:AB125"/>
    <mergeCell ref="AD124:AE124"/>
    <mergeCell ref="AG124:AG125"/>
    <mergeCell ref="J88:K88"/>
    <mergeCell ref="M88:N88"/>
    <mergeCell ref="O88:P88"/>
    <mergeCell ref="R88:S88"/>
    <mergeCell ref="T88:U88"/>
    <mergeCell ref="W88:X88"/>
    <mergeCell ref="Y88:Z88"/>
    <mergeCell ref="AA88:AA89"/>
    <mergeCell ref="AB88:AB89"/>
    <mergeCell ref="AD88:AE88"/>
    <mergeCell ref="AG88:AG89"/>
    <mergeCell ref="B124:B125"/>
    <mergeCell ref="C124:D124"/>
    <mergeCell ref="E124:F124"/>
    <mergeCell ref="H124:I124"/>
    <mergeCell ref="J124:K124"/>
    <mergeCell ref="M124:N124"/>
    <mergeCell ref="O124:P124"/>
    <mergeCell ref="R124:S124"/>
    <mergeCell ref="T124:U124"/>
    <mergeCell ref="AK1:AP1"/>
    <mergeCell ref="AE2:AF2"/>
    <mergeCell ref="AK2:AP2"/>
    <mergeCell ref="AE3:AF3"/>
    <mergeCell ref="R17:S17"/>
    <mergeCell ref="AG17:AG18"/>
    <mergeCell ref="AE4:AF4"/>
    <mergeCell ref="Z2:AA2"/>
    <mergeCell ref="Z3:AA3"/>
    <mergeCell ref="Z4:AA4"/>
    <mergeCell ref="S1:AG1"/>
    <mergeCell ref="B17:B18"/>
    <mergeCell ref="C17:D17"/>
    <mergeCell ref="E17:F17"/>
    <mergeCell ref="H17:I17"/>
    <mergeCell ref="M17:N17"/>
    <mergeCell ref="J17:K17"/>
    <mergeCell ref="O17:P17"/>
    <mergeCell ref="T17:U17"/>
    <mergeCell ref="AE5:AF5"/>
    <mergeCell ref="AE6:AF6"/>
    <mergeCell ref="AA17:AA18"/>
    <mergeCell ref="AB17:AB18"/>
    <mergeCell ref="W17:X17"/>
    <mergeCell ref="AD17:AE17"/>
    <mergeCell ref="Y17:Z17"/>
    <mergeCell ref="B195:B196"/>
    <mergeCell ref="C195:D195"/>
    <mergeCell ref="E195:F195"/>
    <mergeCell ref="H195:I195"/>
    <mergeCell ref="J195:K195"/>
    <mergeCell ref="AA52:AA53"/>
    <mergeCell ref="AB52:AB53"/>
    <mergeCell ref="AG52:AG53"/>
    <mergeCell ref="AD52:AE52"/>
    <mergeCell ref="W52:X52"/>
    <mergeCell ref="Y52:Z52"/>
    <mergeCell ref="B52:B53"/>
    <mergeCell ref="R52:S52"/>
    <mergeCell ref="T52:U52"/>
    <mergeCell ref="M52:N52"/>
    <mergeCell ref="H52:I52"/>
    <mergeCell ref="C52:D52"/>
    <mergeCell ref="E52:F52"/>
    <mergeCell ref="J52:K52"/>
    <mergeCell ref="O52:P52"/>
    <mergeCell ref="B88:B89"/>
    <mergeCell ref="C88:D88"/>
    <mergeCell ref="E88:F88"/>
    <mergeCell ref="H88:I88"/>
    <mergeCell ref="Y195:Z195"/>
    <mergeCell ref="AA195:AA196"/>
    <mergeCell ref="AB195:AB196"/>
    <mergeCell ref="AD195:AE195"/>
    <mergeCell ref="AG195:AG196"/>
    <mergeCell ref="M195:N195"/>
    <mergeCell ref="O195:P195"/>
    <mergeCell ref="R195:S195"/>
    <mergeCell ref="T195:U195"/>
    <mergeCell ref="W195:X195"/>
    <mergeCell ref="W300:X300"/>
    <mergeCell ref="Y300:Z300"/>
    <mergeCell ref="AA300:AA301"/>
    <mergeCell ref="AB300:AB301"/>
    <mergeCell ref="AD300:AE300"/>
    <mergeCell ref="AG300:AG301"/>
    <mergeCell ref="B300:B301"/>
    <mergeCell ref="C300:D300"/>
    <mergeCell ref="E300:F300"/>
    <mergeCell ref="H300:I300"/>
    <mergeCell ref="J300:K300"/>
    <mergeCell ref="M300:N300"/>
    <mergeCell ref="O300:P300"/>
    <mergeCell ref="R300:S300"/>
    <mergeCell ref="T300:U300"/>
    <mergeCell ref="C477:F500"/>
    <mergeCell ref="W405:X405"/>
    <mergeCell ref="Y405:Z405"/>
    <mergeCell ref="AA405:AA406"/>
    <mergeCell ref="AB405:AB406"/>
    <mergeCell ref="AD405:AE405"/>
    <mergeCell ref="AG405:AG406"/>
    <mergeCell ref="B405:B406"/>
    <mergeCell ref="C405:D405"/>
    <mergeCell ref="E405:F405"/>
    <mergeCell ref="H405:I405"/>
    <mergeCell ref="J405:K405"/>
    <mergeCell ref="M405:N405"/>
    <mergeCell ref="O405:P405"/>
    <mergeCell ref="R405:S405"/>
    <mergeCell ref="T405:U405"/>
    <mergeCell ref="W440:X440"/>
    <mergeCell ref="Y440:Z440"/>
    <mergeCell ref="AA440:AA441"/>
    <mergeCell ref="AB440:AB441"/>
    <mergeCell ref="AD440:AE440"/>
    <mergeCell ref="AG440:AG441"/>
    <mergeCell ref="B440:B441"/>
    <mergeCell ref="C440:D440"/>
    <mergeCell ref="W510:X510"/>
    <mergeCell ref="Y510:Z510"/>
    <mergeCell ref="AA510:AA511"/>
    <mergeCell ref="AB510:AB511"/>
    <mergeCell ref="AD510:AE510"/>
    <mergeCell ref="AG510:AG511"/>
    <mergeCell ref="B510:B511"/>
    <mergeCell ref="C510:D510"/>
    <mergeCell ref="E510:F510"/>
    <mergeCell ref="H510:I510"/>
    <mergeCell ref="J510:K510"/>
    <mergeCell ref="M510:N510"/>
    <mergeCell ref="O510:P510"/>
    <mergeCell ref="R510:S510"/>
    <mergeCell ref="T510:U510"/>
    <mergeCell ref="W545:X545"/>
    <mergeCell ref="Y545:Z545"/>
    <mergeCell ref="AA545:AA546"/>
    <mergeCell ref="AB545:AB546"/>
    <mergeCell ref="AD545:AE545"/>
    <mergeCell ref="AG545:AG546"/>
    <mergeCell ref="B545:B546"/>
    <mergeCell ref="C545:D545"/>
    <mergeCell ref="E545:F545"/>
    <mergeCell ref="H545:I545"/>
    <mergeCell ref="J545:K545"/>
    <mergeCell ref="M545:N545"/>
    <mergeCell ref="O545:P545"/>
    <mergeCell ref="R545:S545"/>
    <mergeCell ref="T545:U545"/>
    <mergeCell ref="W580:X580"/>
    <mergeCell ref="Y580:Z580"/>
    <mergeCell ref="AA580:AA581"/>
    <mergeCell ref="AB580:AB581"/>
    <mergeCell ref="AD580:AE580"/>
    <mergeCell ref="AG580:AG581"/>
    <mergeCell ref="B580:B581"/>
    <mergeCell ref="C580:D580"/>
    <mergeCell ref="E580:F580"/>
    <mergeCell ref="H580:I580"/>
    <mergeCell ref="J580:K580"/>
    <mergeCell ref="M580:N580"/>
    <mergeCell ref="O580:P580"/>
    <mergeCell ref="R580:S580"/>
    <mergeCell ref="T580:U580"/>
    <mergeCell ref="W615:X615"/>
    <mergeCell ref="Y615:Z615"/>
    <mergeCell ref="AA615:AA616"/>
    <mergeCell ref="AB615:AB616"/>
    <mergeCell ref="AD615:AE615"/>
    <mergeCell ref="AG615:AG616"/>
    <mergeCell ref="B615:B616"/>
    <mergeCell ref="C615:D615"/>
    <mergeCell ref="E615:F615"/>
    <mergeCell ref="H615:I615"/>
    <mergeCell ref="J615:K615"/>
    <mergeCell ref="M615:N615"/>
    <mergeCell ref="O615:P615"/>
    <mergeCell ref="R615:S615"/>
    <mergeCell ref="T615:U615"/>
    <mergeCell ref="W650:X650"/>
    <mergeCell ref="Y650:Z650"/>
    <mergeCell ref="AA650:AA651"/>
    <mergeCell ref="AB650:AB651"/>
    <mergeCell ref="AD650:AE650"/>
    <mergeCell ref="AG650:AG651"/>
    <mergeCell ref="W652:Z676"/>
    <mergeCell ref="B650:B651"/>
    <mergeCell ref="C650:D650"/>
    <mergeCell ref="E650:F650"/>
    <mergeCell ref="H650:I650"/>
    <mergeCell ref="J650:K650"/>
    <mergeCell ref="M650:N650"/>
    <mergeCell ref="O650:P650"/>
    <mergeCell ref="R650:S650"/>
    <mergeCell ref="T650:U650"/>
    <mergeCell ref="M749:N749"/>
    <mergeCell ref="J749:K749"/>
    <mergeCell ref="H749:I749"/>
    <mergeCell ref="E749:F749"/>
    <mergeCell ref="C749:D749"/>
    <mergeCell ref="B749:B750"/>
    <mergeCell ref="AG749:AG750"/>
    <mergeCell ref="AD749:AE749"/>
    <mergeCell ref="AB749:AB750"/>
    <mergeCell ref="AA749:AA750"/>
    <mergeCell ref="Y749:Z749"/>
    <mergeCell ref="W749:X749"/>
    <mergeCell ref="T749:U749"/>
    <mergeCell ref="R749:S749"/>
    <mergeCell ref="O749:P749"/>
    <mergeCell ref="W813:X813"/>
    <mergeCell ref="Y813:Z813"/>
    <mergeCell ref="AA813:AA814"/>
    <mergeCell ref="AB813:AB814"/>
    <mergeCell ref="AD813:AE813"/>
    <mergeCell ref="AG813:AG814"/>
    <mergeCell ref="B813:B814"/>
    <mergeCell ref="C813:D813"/>
    <mergeCell ref="E813:F813"/>
    <mergeCell ref="H813:I813"/>
    <mergeCell ref="J813:K813"/>
    <mergeCell ref="M813:N813"/>
    <mergeCell ref="O813:P813"/>
    <mergeCell ref="R813:S813"/>
    <mergeCell ref="T813:U813"/>
    <mergeCell ref="W877:X877"/>
    <mergeCell ref="Y877:Z877"/>
    <mergeCell ref="AA877:AA878"/>
    <mergeCell ref="AB877:AB878"/>
    <mergeCell ref="AD877:AE877"/>
    <mergeCell ref="AG877:AG878"/>
    <mergeCell ref="B877:B878"/>
    <mergeCell ref="C877:D877"/>
    <mergeCell ref="E877:F877"/>
    <mergeCell ref="H877:I877"/>
    <mergeCell ref="J877:K877"/>
    <mergeCell ref="M877:N877"/>
    <mergeCell ref="O877:P877"/>
    <mergeCell ref="R877:S877"/>
    <mergeCell ref="T877:U877"/>
    <mergeCell ref="W1005:X1005"/>
    <mergeCell ref="Y1005:Z1005"/>
    <mergeCell ref="AA1005:AA1006"/>
    <mergeCell ref="AB1005:AB1006"/>
    <mergeCell ref="AD1005:AE1005"/>
    <mergeCell ref="AG1005:AG1006"/>
    <mergeCell ref="B1005:B1006"/>
    <mergeCell ref="C1005:D1005"/>
    <mergeCell ref="E1005:F1005"/>
    <mergeCell ref="H1005:I1005"/>
    <mergeCell ref="J1005:K1005"/>
    <mergeCell ref="M1005:N1005"/>
    <mergeCell ref="O1005:P1005"/>
    <mergeCell ref="R1005:S1005"/>
    <mergeCell ref="T1005:U1005"/>
    <mergeCell ref="W1037:X1037"/>
    <mergeCell ref="Y1037:Z1037"/>
    <mergeCell ref="AA1037:AA1038"/>
    <mergeCell ref="AB1037:AB1038"/>
    <mergeCell ref="AD1037:AE1037"/>
    <mergeCell ref="AG1037:AG1038"/>
    <mergeCell ref="B1037:B1038"/>
    <mergeCell ref="C1037:D1037"/>
    <mergeCell ref="E1037:F1037"/>
    <mergeCell ref="H1037:I1037"/>
    <mergeCell ref="J1037:K1037"/>
    <mergeCell ref="M1037:N1037"/>
    <mergeCell ref="O1037:P1037"/>
    <mergeCell ref="R1037:S1037"/>
    <mergeCell ref="T1037:U1037"/>
    <mergeCell ref="W1101:X1101"/>
    <mergeCell ref="Y1101:Z1101"/>
    <mergeCell ref="AA1101:AA1102"/>
    <mergeCell ref="AB1101:AB1102"/>
    <mergeCell ref="AD1101:AE1101"/>
    <mergeCell ref="AG1101:AG1102"/>
    <mergeCell ref="B1101:B1102"/>
    <mergeCell ref="C1101:D1101"/>
    <mergeCell ref="E1101:F1101"/>
    <mergeCell ref="H1101:I1101"/>
    <mergeCell ref="J1101:K1101"/>
    <mergeCell ref="M1101:N1101"/>
    <mergeCell ref="O1101:P1101"/>
    <mergeCell ref="R1101:S1101"/>
    <mergeCell ref="T1101:U1101"/>
    <mergeCell ref="W1165:X1165"/>
    <mergeCell ref="Y1165:Z1165"/>
    <mergeCell ref="AA1165:AA1166"/>
    <mergeCell ref="AB1165:AB1166"/>
    <mergeCell ref="AD1165:AE1165"/>
    <mergeCell ref="AG1165:AG1166"/>
    <mergeCell ref="B1165:B1166"/>
    <mergeCell ref="C1165:D1165"/>
    <mergeCell ref="E1165:F1165"/>
    <mergeCell ref="H1165:I1165"/>
    <mergeCell ref="J1165:K1165"/>
    <mergeCell ref="M1165:N1165"/>
    <mergeCell ref="O1165:P1165"/>
    <mergeCell ref="R1165:S1165"/>
    <mergeCell ref="T1165:U1165"/>
    <mergeCell ref="B1293:B1294"/>
    <mergeCell ref="C1293:D1293"/>
    <mergeCell ref="E1293:F1293"/>
    <mergeCell ref="H1293:I1293"/>
    <mergeCell ref="J1293:K1293"/>
    <mergeCell ref="M1293:N1293"/>
    <mergeCell ref="O1293:P1293"/>
    <mergeCell ref="R1293:S1293"/>
    <mergeCell ref="T1293:U1293"/>
    <mergeCell ref="H1421:I1421"/>
    <mergeCell ref="J1421:K1421"/>
    <mergeCell ref="M1421:N1421"/>
    <mergeCell ref="O1421:P1421"/>
    <mergeCell ref="R1421:S1421"/>
    <mergeCell ref="T1421:U1421"/>
    <mergeCell ref="AB1293:AB1294"/>
    <mergeCell ref="AD1293:AE1293"/>
    <mergeCell ref="AG1293:AG1294"/>
    <mergeCell ref="O1325:P1325"/>
    <mergeCell ref="R1325:S1325"/>
    <mergeCell ref="T1325:U1325"/>
    <mergeCell ref="W1293:X1293"/>
    <mergeCell ref="Y1293:Z1293"/>
    <mergeCell ref="AA1293:AA1294"/>
    <mergeCell ref="W1325:X1325"/>
    <mergeCell ref="Y1325:Z1325"/>
    <mergeCell ref="AA1325:AA1326"/>
    <mergeCell ref="AB1325:AB1326"/>
    <mergeCell ref="AD1325:AE1325"/>
    <mergeCell ref="AG1325:AG1326"/>
    <mergeCell ref="W1357:X1357"/>
    <mergeCell ref="Y1357:Z1357"/>
    <mergeCell ref="AA1357:AA1358"/>
    <mergeCell ref="W1421:X1421"/>
    <mergeCell ref="Y1421:Z1421"/>
    <mergeCell ref="AA1421:AA1422"/>
    <mergeCell ref="AB1421:AB1422"/>
    <mergeCell ref="AD1421:AE1421"/>
    <mergeCell ref="AG1421:AG1422"/>
    <mergeCell ref="B1453:B1454"/>
    <mergeCell ref="C1453:D1453"/>
    <mergeCell ref="E1453:F1453"/>
    <mergeCell ref="H1453:I1453"/>
    <mergeCell ref="J1453:K1453"/>
    <mergeCell ref="M1453:N1453"/>
    <mergeCell ref="O1453:P1453"/>
    <mergeCell ref="R1453:S1453"/>
    <mergeCell ref="T1453:U1453"/>
    <mergeCell ref="W1453:X1453"/>
    <mergeCell ref="Y1453:Z1453"/>
    <mergeCell ref="AA1453:AA1454"/>
    <mergeCell ref="AB1453:AB1454"/>
    <mergeCell ref="AD1453:AE1453"/>
    <mergeCell ref="AG1453:AG1454"/>
    <mergeCell ref="B1421:B1422"/>
    <mergeCell ref="C1421:D1421"/>
    <mergeCell ref="E1421:F1421"/>
    <mergeCell ref="W1485:X1485"/>
    <mergeCell ref="Y1485:Z1485"/>
    <mergeCell ref="AA1485:AA1486"/>
    <mergeCell ref="AB1485:AB1486"/>
    <mergeCell ref="AD1485:AE1485"/>
    <mergeCell ref="AG1485:AG1486"/>
    <mergeCell ref="B1485:B1486"/>
    <mergeCell ref="C1485:D1485"/>
    <mergeCell ref="E1485:F1485"/>
    <mergeCell ref="H1485:I1485"/>
    <mergeCell ref="J1485:K1485"/>
    <mergeCell ref="M1485:N1485"/>
    <mergeCell ref="O1485:P1485"/>
    <mergeCell ref="R1485:S1485"/>
    <mergeCell ref="T1485:U1485"/>
    <mergeCell ref="W1517:X1517"/>
    <mergeCell ref="Y1517:Z1517"/>
    <mergeCell ref="AA1517:AA1518"/>
    <mergeCell ref="AB1517:AB1518"/>
    <mergeCell ref="AD1517:AE1517"/>
    <mergeCell ref="AG1517:AG1518"/>
    <mergeCell ref="B1517:B1518"/>
    <mergeCell ref="C1517:D1517"/>
    <mergeCell ref="E1517:F1517"/>
    <mergeCell ref="H1517:I1517"/>
    <mergeCell ref="J1517:K1517"/>
    <mergeCell ref="M1517:N1517"/>
    <mergeCell ref="O1517:P1517"/>
    <mergeCell ref="R1517:S1517"/>
    <mergeCell ref="T1517:U1517"/>
    <mergeCell ref="W1580:X1580"/>
    <mergeCell ref="Y1580:Z1580"/>
    <mergeCell ref="AA1580:AA1581"/>
    <mergeCell ref="AB1580:AB1581"/>
    <mergeCell ref="AD1580:AE1580"/>
    <mergeCell ref="AG1580:AG1581"/>
    <mergeCell ref="B1580:B1581"/>
    <mergeCell ref="C1580:D1580"/>
    <mergeCell ref="E1580:F1580"/>
    <mergeCell ref="H1580:I1580"/>
    <mergeCell ref="J1580:K1580"/>
    <mergeCell ref="M1580:N1580"/>
    <mergeCell ref="O1580:P1580"/>
    <mergeCell ref="R1580:S1580"/>
    <mergeCell ref="T1580:U1580"/>
    <mergeCell ref="W1617:X1617"/>
    <mergeCell ref="Y1617:Z1617"/>
    <mergeCell ref="AA1617:AA1618"/>
    <mergeCell ref="AB1617:AB1618"/>
    <mergeCell ref="AD1617:AE1617"/>
    <mergeCell ref="AG1617:AG1618"/>
    <mergeCell ref="B1617:B1618"/>
    <mergeCell ref="C1617:D1617"/>
    <mergeCell ref="E1617:F1617"/>
    <mergeCell ref="H1617:I1617"/>
    <mergeCell ref="J1617:K1617"/>
    <mergeCell ref="M1617:N1617"/>
    <mergeCell ref="O1617:P1617"/>
    <mergeCell ref="R1617:S1617"/>
    <mergeCell ref="T1617:U1617"/>
    <mergeCell ref="W1727:X1727"/>
    <mergeCell ref="Y1727:Z1727"/>
    <mergeCell ref="AA1727:AA1728"/>
    <mergeCell ref="AB1727:AB1728"/>
    <mergeCell ref="AD1727:AE1727"/>
    <mergeCell ref="AG1727:AG1728"/>
    <mergeCell ref="B1727:B1728"/>
    <mergeCell ref="C1727:D1727"/>
    <mergeCell ref="E1727:F1727"/>
    <mergeCell ref="H1727:I1727"/>
    <mergeCell ref="J1727:K1727"/>
    <mergeCell ref="M1727:N1727"/>
    <mergeCell ref="O1727:P1727"/>
    <mergeCell ref="R1727:S1727"/>
    <mergeCell ref="T1727:U1727"/>
    <mergeCell ref="W1782:X1782"/>
    <mergeCell ref="Y1782:Z1782"/>
    <mergeCell ref="AA1782:AA1783"/>
    <mergeCell ref="AB1782:AB1783"/>
    <mergeCell ref="AD1782:AE1782"/>
    <mergeCell ref="AG1782:AG1783"/>
    <mergeCell ref="B1782:B1783"/>
    <mergeCell ref="C1782:D1782"/>
    <mergeCell ref="E1782:F1782"/>
    <mergeCell ref="H1782:I1782"/>
    <mergeCell ref="J1782:K1782"/>
    <mergeCell ref="M1782:N1782"/>
    <mergeCell ref="O1782:P1782"/>
    <mergeCell ref="R1782:S1782"/>
    <mergeCell ref="T1782:U1782"/>
    <mergeCell ref="W1987:X1987"/>
    <mergeCell ref="Y1987:Z1987"/>
    <mergeCell ref="AA1987:AA1988"/>
    <mergeCell ref="AB1987:AB1988"/>
    <mergeCell ref="AD1987:AE1987"/>
    <mergeCell ref="AG1987:AG1988"/>
    <mergeCell ref="B1987:B1988"/>
    <mergeCell ref="C1987:D1987"/>
    <mergeCell ref="E1987:F1987"/>
    <mergeCell ref="H1987:I1987"/>
    <mergeCell ref="J1987:K1987"/>
    <mergeCell ref="M1987:N1987"/>
    <mergeCell ref="O1987:P1987"/>
    <mergeCell ref="R1987:S1987"/>
    <mergeCell ref="T1987:U1987"/>
    <mergeCell ref="W2102:X2102"/>
    <mergeCell ref="Y2102:Z2102"/>
    <mergeCell ref="AA2102:AA2103"/>
    <mergeCell ref="AB2102:AB2103"/>
    <mergeCell ref="AD2102:AE2102"/>
    <mergeCell ref="AG2102:AG2103"/>
    <mergeCell ref="B2102:B2103"/>
    <mergeCell ref="C2102:D2102"/>
    <mergeCell ref="E2102:F2102"/>
    <mergeCell ref="H2102:I2102"/>
    <mergeCell ref="J2102:K2102"/>
    <mergeCell ref="M2102:N2102"/>
    <mergeCell ref="O2102:P2102"/>
    <mergeCell ref="R2102:S2102"/>
    <mergeCell ref="T2102:U2102"/>
    <mergeCell ref="W2211:X2211"/>
    <mergeCell ref="Y2211:Z2211"/>
    <mergeCell ref="AA2211:AA2212"/>
    <mergeCell ref="AB2211:AB2212"/>
    <mergeCell ref="AD2211:AE2211"/>
    <mergeCell ref="AG2211:AG2212"/>
    <mergeCell ref="B2211:B2212"/>
    <mergeCell ref="C2211:D2211"/>
    <mergeCell ref="E2211:F2211"/>
    <mergeCell ref="H2211:I2211"/>
    <mergeCell ref="J2211:K2211"/>
    <mergeCell ref="M2211:N2211"/>
    <mergeCell ref="O2211:P2211"/>
    <mergeCell ref="R2211:S2211"/>
    <mergeCell ref="T2211:U2211"/>
  </mergeCells>
  <conditionalFormatting sqref="AE2:AE3">
    <cfRule type="cellIs" dxfId="11" priority="1" operator="lessThan">
      <formula>0</formula>
    </cfRule>
  </conditionalFormatting>
  <pageMargins left="0.7" right="0.7" top="0.75" bottom="0.75" header="0.3" footer="0.3"/>
  <pageSetup orientation="portrait"/>
  <drawing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7"/>
  <dimension ref="A1:J844"/>
  <sheetViews>
    <sheetView topLeftCell="D607" workbookViewId="0">
      <selection activeCell="G616" sqref="G616"/>
    </sheetView>
  </sheetViews>
  <sheetFormatPr defaultRowHeight="13.5"/>
  <cols>
    <col min="1" max="1" width="16.42578125" customWidth="1"/>
    <col min="2" max="2" width="15.85546875" customWidth="1"/>
    <col min="3" max="3" width="16.42578125" customWidth="1"/>
    <col min="4" max="4" width="18.85546875" customWidth="1"/>
    <col min="5" max="5" width="17" style="343" customWidth="1"/>
    <col min="6" max="6" width="24" customWidth="1"/>
    <col min="7" max="7" width="89.28515625" customWidth="1"/>
    <col min="8" max="8" width="16" bestFit="1" customWidth="1"/>
  </cols>
  <sheetData>
    <row r="1" spans="1:8" ht="15.75">
      <c r="D1" s="489" t="s">
        <v>1168</v>
      </c>
      <c r="E1" s="490">
        <f>SUM(E3:E613)</f>
        <v>201975.45999999953</v>
      </c>
      <c r="F1" s="491">
        <f>E1/39.14</f>
        <v>5160.33367399079</v>
      </c>
    </row>
    <row r="2" spans="1:8">
      <c r="A2" s="487" t="s">
        <v>1169</v>
      </c>
      <c r="B2" s="487" t="s">
        <v>1170</v>
      </c>
      <c r="C2" s="487" t="s">
        <v>1171</v>
      </c>
      <c r="D2" s="487" t="s">
        <v>1172</v>
      </c>
      <c r="E2" s="488" t="s">
        <v>1173</v>
      </c>
      <c r="F2" s="487" t="s">
        <v>1174</v>
      </c>
      <c r="H2">
        <f>53</f>
        <v>53</v>
      </c>
    </row>
    <row r="3" spans="1:8">
      <c r="A3" s="485">
        <v>45384</v>
      </c>
      <c r="C3" s="485" t="s">
        <v>114</v>
      </c>
      <c r="D3" t="s">
        <v>429</v>
      </c>
      <c r="E3" s="343">
        <v>447</v>
      </c>
      <c r="F3" s="492">
        <f t="shared" ref="F3:F34" si="0">E3/39.14</f>
        <v>11.420541645375575</v>
      </c>
      <c r="H3" s="492" t="s">
        <v>1175</v>
      </c>
    </row>
    <row r="4" spans="1:8">
      <c r="A4" s="485">
        <v>45384</v>
      </c>
      <c r="C4" s="485" t="s">
        <v>114</v>
      </c>
      <c r="D4" t="s">
        <v>429</v>
      </c>
      <c r="E4" s="343">
        <v>505.48</v>
      </c>
      <c r="F4" s="492">
        <f t="shared" si="0"/>
        <v>12.914665304036792</v>
      </c>
    </row>
    <row r="5" spans="1:8">
      <c r="A5" s="485">
        <v>45384</v>
      </c>
      <c r="C5" t="s">
        <v>429</v>
      </c>
      <c r="D5" t="s">
        <v>1176</v>
      </c>
      <c r="E5" s="343">
        <v>340.48</v>
      </c>
      <c r="F5" s="492">
        <f t="shared" si="0"/>
        <v>8.6990291262135919</v>
      </c>
    </row>
    <row r="6" spans="1:8">
      <c r="A6" s="485">
        <v>45385</v>
      </c>
      <c r="C6" t="s">
        <v>429</v>
      </c>
      <c r="D6" t="s">
        <v>1177</v>
      </c>
      <c r="E6" s="343">
        <v>447.4</v>
      </c>
      <c r="F6" s="492">
        <f t="shared" si="0"/>
        <v>11.430761369443024</v>
      </c>
    </row>
    <row r="7" spans="1:8">
      <c r="A7" s="485">
        <v>45385</v>
      </c>
      <c r="C7" t="s">
        <v>429</v>
      </c>
      <c r="D7" t="s">
        <v>1176</v>
      </c>
      <c r="E7" s="343">
        <v>475.48</v>
      </c>
      <c r="F7" s="492">
        <f t="shared" si="0"/>
        <v>12.148185998978027</v>
      </c>
    </row>
    <row r="8" spans="1:8">
      <c r="A8" s="485">
        <v>45385</v>
      </c>
      <c r="C8" t="s">
        <v>114</v>
      </c>
      <c r="D8" t="s">
        <v>1178</v>
      </c>
      <c r="E8" s="343">
        <v>400.48</v>
      </c>
      <c r="F8" s="492">
        <f t="shared" si="0"/>
        <v>10.231987736331119</v>
      </c>
    </row>
    <row r="9" spans="1:8">
      <c r="A9" s="485">
        <v>45386</v>
      </c>
      <c r="C9" t="s">
        <v>429</v>
      </c>
      <c r="D9" t="s">
        <v>114</v>
      </c>
      <c r="E9" s="343">
        <v>890.48</v>
      </c>
      <c r="F9" s="492">
        <f t="shared" si="0"/>
        <v>22.751149718957588</v>
      </c>
      <c r="G9">
        <f>Table2[[#This Row],[Fee as Engineer Hours]]/2</f>
        <v>11.375574859478794</v>
      </c>
    </row>
    <row r="10" spans="1:8">
      <c r="A10" s="485">
        <v>45385</v>
      </c>
      <c r="C10" t="s">
        <v>429</v>
      </c>
      <c r="D10" t="s">
        <v>1177</v>
      </c>
      <c r="E10" s="343">
        <v>447.4</v>
      </c>
      <c r="F10" s="492">
        <f t="shared" si="0"/>
        <v>11.430761369443024</v>
      </c>
    </row>
    <row r="11" spans="1:8">
      <c r="A11" s="485">
        <v>45397</v>
      </c>
      <c r="C11" t="s">
        <v>114</v>
      </c>
      <c r="D11" t="s">
        <v>471</v>
      </c>
      <c r="E11" s="343">
        <v>538.48</v>
      </c>
      <c r="F11" s="492">
        <f t="shared" si="0"/>
        <v>13.75779253960143</v>
      </c>
    </row>
    <row r="12" spans="1:8">
      <c r="A12" s="485">
        <v>45397</v>
      </c>
      <c r="C12" t="s">
        <v>431</v>
      </c>
      <c r="D12" t="s">
        <v>1176</v>
      </c>
      <c r="E12" s="343">
        <v>415.48</v>
      </c>
      <c r="F12" s="492">
        <f t="shared" si="0"/>
        <v>10.6152273888605</v>
      </c>
    </row>
    <row r="13" spans="1:8">
      <c r="A13" s="485">
        <v>45397</v>
      </c>
      <c r="C13" t="s">
        <v>431</v>
      </c>
      <c r="D13" t="s">
        <v>114</v>
      </c>
      <c r="E13" s="343">
        <v>265.48</v>
      </c>
      <c r="F13" s="492">
        <f t="shared" si="0"/>
        <v>6.7828308635666836</v>
      </c>
    </row>
    <row r="14" spans="1:8">
      <c r="A14" s="485">
        <v>45397</v>
      </c>
      <c r="C14" t="s">
        <v>431</v>
      </c>
      <c r="D14" t="s">
        <v>1177</v>
      </c>
      <c r="E14" s="343">
        <v>447.4</v>
      </c>
      <c r="F14" s="492">
        <f t="shared" si="0"/>
        <v>11.430761369443024</v>
      </c>
      <c r="G14" s="486">
        <f>(SUM(F11:F14))+F20</f>
        <v>55.075370464997441</v>
      </c>
    </row>
    <row r="15" spans="1:8">
      <c r="A15" s="485">
        <v>45400</v>
      </c>
      <c r="C15" t="s">
        <v>114</v>
      </c>
      <c r="D15" t="s">
        <v>437</v>
      </c>
      <c r="E15" s="343">
        <v>518.48</v>
      </c>
      <c r="F15" s="492">
        <f t="shared" si="0"/>
        <v>13.246806336228921</v>
      </c>
    </row>
    <row r="16" spans="1:8">
      <c r="A16" s="485">
        <v>45400</v>
      </c>
      <c r="C16" t="s">
        <v>471</v>
      </c>
      <c r="D16" t="s">
        <v>114</v>
      </c>
      <c r="E16" s="343">
        <v>278.48</v>
      </c>
      <c r="F16" s="492">
        <f t="shared" si="0"/>
        <v>7.1149718957588153</v>
      </c>
    </row>
    <row r="17" spans="1:7">
      <c r="A17" s="485">
        <v>45400</v>
      </c>
      <c r="C17" t="s">
        <v>471</v>
      </c>
      <c r="D17" t="s">
        <v>1177</v>
      </c>
      <c r="E17" s="343">
        <v>278.48</v>
      </c>
      <c r="F17" s="492">
        <f t="shared" si="0"/>
        <v>7.1149718957588153</v>
      </c>
    </row>
    <row r="18" spans="1:7">
      <c r="A18" s="485">
        <v>45400</v>
      </c>
      <c r="C18" t="s">
        <v>471</v>
      </c>
      <c r="D18" t="s">
        <v>1176</v>
      </c>
      <c r="E18" s="343">
        <v>365.48</v>
      </c>
      <c r="F18" s="492">
        <f t="shared" si="0"/>
        <v>9.3377618804292286</v>
      </c>
      <c r="G18" s="486">
        <f>SUM(F15:F18)</f>
        <v>36.814512008175775</v>
      </c>
    </row>
    <row r="19" spans="1:7">
      <c r="A19" s="485">
        <v>45401</v>
      </c>
      <c r="C19" t="s">
        <v>114</v>
      </c>
      <c r="D19" t="s">
        <v>437</v>
      </c>
      <c r="E19" s="343">
        <v>518.48</v>
      </c>
      <c r="F19" s="492">
        <f t="shared" si="0"/>
        <v>13.246806336228921</v>
      </c>
    </row>
    <row r="20" spans="1:7">
      <c r="A20" s="485">
        <v>45397</v>
      </c>
      <c r="C20" t="s">
        <v>431</v>
      </c>
      <c r="D20" t="s">
        <v>471</v>
      </c>
      <c r="E20" s="343">
        <v>488.81</v>
      </c>
      <c r="F20" s="492">
        <f t="shared" si="0"/>
        <v>12.488758303525804</v>
      </c>
    </row>
    <row r="21" spans="1:7">
      <c r="A21" s="485">
        <v>45400</v>
      </c>
      <c r="C21" t="s">
        <v>114</v>
      </c>
      <c r="D21" t="s">
        <v>471</v>
      </c>
      <c r="E21" s="343">
        <v>488.81</v>
      </c>
      <c r="F21" s="492">
        <f t="shared" si="0"/>
        <v>12.488758303525804</v>
      </c>
    </row>
    <row r="22" spans="1:7">
      <c r="A22" s="485">
        <v>45407</v>
      </c>
      <c r="C22" t="s">
        <v>437</v>
      </c>
      <c r="D22" t="s">
        <v>1177</v>
      </c>
      <c r="E22" s="343">
        <v>485.4</v>
      </c>
      <c r="F22" s="492">
        <f t="shared" si="0"/>
        <v>12.401635155850791</v>
      </c>
    </row>
    <row r="23" spans="1:7">
      <c r="A23" s="485">
        <v>45407</v>
      </c>
      <c r="C23" t="s">
        <v>437</v>
      </c>
      <c r="D23" t="s">
        <v>1176</v>
      </c>
      <c r="E23" s="343">
        <v>428.48</v>
      </c>
      <c r="F23" s="492">
        <f t="shared" si="0"/>
        <v>10.947368421052632</v>
      </c>
    </row>
    <row r="24" spans="1:7">
      <c r="A24" s="485">
        <v>45407</v>
      </c>
      <c r="C24" t="s">
        <v>437</v>
      </c>
      <c r="D24" t="s">
        <v>114</v>
      </c>
      <c r="E24" s="343">
        <v>348.48</v>
      </c>
      <c r="F24" s="492">
        <f t="shared" si="0"/>
        <v>8.9034236075625959</v>
      </c>
      <c r="G24" s="486">
        <f>SUM(F22:F24)</f>
        <v>32.252427184466015</v>
      </c>
    </row>
    <row r="25" spans="1:7">
      <c r="A25" s="485">
        <v>45408</v>
      </c>
      <c r="C25" t="s">
        <v>114</v>
      </c>
      <c r="D25" t="s">
        <v>446</v>
      </c>
      <c r="E25" s="343">
        <v>609.44000000000005</v>
      </c>
      <c r="F25" s="492">
        <f t="shared" si="0"/>
        <v>15.570771589167094</v>
      </c>
    </row>
    <row r="26" spans="1:7">
      <c r="A26" s="485">
        <v>45414</v>
      </c>
      <c r="C26" t="s">
        <v>114</v>
      </c>
      <c r="D26" t="s">
        <v>1179</v>
      </c>
      <c r="E26" s="343">
        <v>625.44000000000005</v>
      </c>
      <c r="F26" s="492">
        <f t="shared" si="0"/>
        <v>15.9795605518651</v>
      </c>
    </row>
    <row r="27" spans="1:7">
      <c r="A27" s="485">
        <v>45425</v>
      </c>
      <c r="B27" t="s">
        <v>1180</v>
      </c>
      <c r="C27" t="s">
        <v>433</v>
      </c>
      <c r="D27" t="s">
        <v>114</v>
      </c>
      <c r="E27" s="343">
        <v>125</v>
      </c>
      <c r="F27" s="492">
        <f t="shared" si="0"/>
        <v>3.1936637710781808</v>
      </c>
      <c r="G27" t="s">
        <v>1181</v>
      </c>
    </row>
    <row r="28" spans="1:7">
      <c r="A28" s="485">
        <v>45421</v>
      </c>
      <c r="B28">
        <v>2934379</v>
      </c>
      <c r="C28" t="s">
        <v>114</v>
      </c>
      <c r="D28" t="s">
        <v>1179</v>
      </c>
      <c r="E28" s="343">
        <v>575.44000000000005</v>
      </c>
      <c r="F28" s="492">
        <f t="shared" si="0"/>
        <v>14.702095043433829</v>
      </c>
    </row>
    <row r="29" spans="1:7">
      <c r="A29" s="485">
        <v>45421</v>
      </c>
      <c r="B29">
        <v>2934379.01</v>
      </c>
      <c r="C29" t="s">
        <v>1179</v>
      </c>
      <c r="D29" t="s">
        <v>1177</v>
      </c>
      <c r="E29" s="343">
        <v>150</v>
      </c>
      <c r="F29" s="492">
        <f t="shared" si="0"/>
        <v>3.832396525293817</v>
      </c>
    </row>
    <row r="30" spans="1:7">
      <c r="A30" s="485">
        <v>45421</v>
      </c>
      <c r="B30">
        <v>2934381</v>
      </c>
      <c r="C30" t="s">
        <v>1179</v>
      </c>
      <c r="D30" t="s">
        <v>114</v>
      </c>
      <c r="E30" s="343">
        <v>555.44000000000005</v>
      </c>
      <c r="F30" s="492">
        <f t="shared" si="0"/>
        <v>14.19110884006132</v>
      </c>
    </row>
    <row r="31" spans="1:7">
      <c r="A31" s="485">
        <v>45422</v>
      </c>
      <c r="B31">
        <v>2934574</v>
      </c>
      <c r="C31" t="s">
        <v>114</v>
      </c>
      <c r="D31" t="s">
        <v>433</v>
      </c>
      <c r="E31" s="343">
        <v>690.44</v>
      </c>
      <c r="F31" s="492">
        <f t="shared" si="0"/>
        <v>17.640265712825755</v>
      </c>
    </row>
    <row r="32" spans="1:7">
      <c r="A32" s="485">
        <v>45421</v>
      </c>
      <c r="B32">
        <v>2934322</v>
      </c>
      <c r="C32" t="s">
        <v>114</v>
      </c>
      <c r="D32" t="s">
        <v>1182</v>
      </c>
      <c r="E32" s="343">
        <v>348.48</v>
      </c>
      <c r="F32" s="492">
        <f t="shared" si="0"/>
        <v>8.9034236075625959</v>
      </c>
    </row>
    <row r="33" spans="1:7">
      <c r="A33" s="485">
        <v>45421</v>
      </c>
      <c r="B33">
        <v>2934332</v>
      </c>
      <c r="C33" t="s">
        <v>114</v>
      </c>
      <c r="D33" t="s">
        <v>1183</v>
      </c>
      <c r="E33" s="343">
        <v>348.48</v>
      </c>
      <c r="F33" s="492">
        <f t="shared" si="0"/>
        <v>8.9034236075625959</v>
      </c>
    </row>
    <row r="34" spans="1:7">
      <c r="A34" s="485">
        <v>45421</v>
      </c>
      <c r="B34">
        <v>293433</v>
      </c>
      <c r="C34" t="s">
        <v>114</v>
      </c>
      <c r="D34" t="s">
        <v>1184</v>
      </c>
      <c r="E34" s="343">
        <v>310.48</v>
      </c>
      <c r="F34" s="492">
        <f t="shared" si="0"/>
        <v>7.9325498211548293</v>
      </c>
    </row>
    <row r="35" spans="1:7">
      <c r="A35" s="485">
        <v>45426</v>
      </c>
      <c r="B35" t="s">
        <v>1180</v>
      </c>
      <c r="C35" t="s">
        <v>114</v>
      </c>
      <c r="D35" t="s">
        <v>1185</v>
      </c>
      <c r="E35" s="343">
        <v>125</v>
      </c>
      <c r="F35" s="492">
        <f t="shared" ref="F35:F57" si="1">E35/39.14</f>
        <v>3.1936637710781808</v>
      </c>
    </row>
    <row r="36" spans="1:7">
      <c r="A36" s="485">
        <v>45428</v>
      </c>
      <c r="B36" t="s">
        <v>1180</v>
      </c>
      <c r="C36" t="s">
        <v>114</v>
      </c>
      <c r="D36" t="s">
        <v>433</v>
      </c>
      <c r="E36" s="343">
        <v>125</v>
      </c>
      <c r="F36" s="492">
        <f t="shared" si="1"/>
        <v>3.1936637710781808</v>
      </c>
      <c r="G36" t="s">
        <v>1186</v>
      </c>
    </row>
    <row r="37" spans="1:7">
      <c r="A37" s="485">
        <v>45429</v>
      </c>
      <c r="B37" t="s">
        <v>1180</v>
      </c>
      <c r="C37" t="s">
        <v>114</v>
      </c>
      <c r="D37" t="s">
        <v>1187</v>
      </c>
      <c r="E37" s="343">
        <v>125</v>
      </c>
      <c r="F37" s="492">
        <f t="shared" si="1"/>
        <v>3.1936637710781808</v>
      </c>
    </row>
    <row r="38" spans="1:7">
      <c r="A38" s="485">
        <v>45427</v>
      </c>
      <c r="B38">
        <v>2935331</v>
      </c>
      <c r="C38" t="s">
        <v>433</v>
      </c>
      <c r="D38" t="s">
        <v>114</v>
      </c>
      <c r="E38" s="343">
        <v>150</v>
      </c>
      <c r="F38" s="492">
        <f t="shared" si="1"/>
        <v>3.832396525293817</v>
      </c>
      <c r="G38" t="s">
        <v>1188</v>
      </c>
    </row>
    <row r="39" spans="1:7">
      <c r="A39" s="485">
        <v>45427</v>
      </c>
      <c r="B39">
        <v>2935332</v>
      </c>
      <c r="C39" t="s">
        <v>433</v>
      </c>
      <c r="D39" t="s">
        <v>114</v>
      </c>
      <c r="E39" s="343">
        <v>575.44000000000005</v>
      </c>
      <c r="F39" s="492">
        <f t="shared" si="1"/>
        <v>14.702095043433829</v>
      </c>
    </row>
    <row r="40" spans="1:7">
      <c r="A40" s="485">
        <v>45427</v>
      </c>
      <c r="B40">
        <v>2935333</v>
      </c>
      <c r="C40" t="s">
        <v>433</v>
      </c>
      <c r="D40" t="s">
        <v>1176</v>
      </c>
      <c r="E40" s="343">
        <v>519.44000000000005</v>
      </c>
      <c r="F40" s="492">
        <f t="shared" si="1"/>
        <v>13.271333673990803</v>
      </c>
      <c r="G40" t="s">
        <v>1189</v>
      </c>
    </row>
    <row r="41" spans="1:7">
      <c r="A41" s="485">
        <v>45428</v>
      </c>
      <c r="B41">
        <v>2935581</v>
      </c>
      <c r="C41" t="s">
        <v>114</v>
      </c>
      <c r="D41" t="s">
        <v>1190</v>
      </c>
      <c r="E41" s="343">
        <v>356.48</v>
      </c>
      <c r="F41" s="492">
        <f t="shared" si="1"/>
        <v>9.1078180889115998</v>
      </c>
    </row>
    <row r="42" spans="1:7">
      <c r="A42" s="485">
        <v>45428</v>
      </c>
      <c r="B42">
        <v>2935600</v>
      </c>
      <c r="C42" t="s">
        <v>114</v>
      </c>
      <c r="D42" t="s">
        <v>1191</v>
      </c>
      <c r="E42" s="343">
        <v>310.48</v>
      </c>
      <c r="F42" s="492">
        <f t="shared" si="1"/>
        <v>7.9325498211548293</v>
      </c>
    </row>
    <row r="43" spans="1:7">
      <c r="A43" s="485">
        <v>45428</v>
      </c>
      <c r="B43">
        <v>2935601</v>
      </c>
      <c r="C43" t="s">
        <v>114</v>
      </c>
      <c r="D43" t="s">
        <v>1192</v>
      </c>
      <c r="E43" s="343">
        <v>310.48</v>
      </c>
      <c r="F43" s="492">
        <f t="shared" si="1"/>
        <v>7.9325498211548293</v>
      </c>
    </row>
    <row r="44" spans="1:7">
      <c r="A44" s="485">
        <v>45428</v>
      </c>
      <c r="B44">
        <v>2935602</v>
      </c>
      <c r="C44" t="s">
        <v>114</v>
      </c>
      <c r="D44" t="s">
        <v>1193</v>
      </c>
      <c r="E44" s="343">
        <v>501.48</v>
      </c>
      <c r="F44" s="492">
        <f t="shared" si="1"/>
        <v>12.812468063362289</v>
      </c>
    </row>
    <row r="45" spans="1:7">
      <c r="A45" s="485">
        <v>45429</v>
      </c>
      <c r="B45">
        <v>2935815</v>
      </c>
      <c r="C45" t="s">
        <v>114</v>
      </c>
      <c r="D45" t="s">
        <v>1194</v>
      </c>
      <c r="E45" s="343">
        <v>278.48</v>
      </c>
      <c r="F45" s="492">
        <f t="shared" si="1"/>
        <v>7.1149718957588153</v>
      </c>
    </row>
    <row r="46" spans="1:7">
      <c r="A46" s="485">
        <v>45429</v>
      </c>
      <c r="B46">
        <v>2935819</v>
      </c>
      <c r="C46" t="s">
        <v>114</v>
      </c>
      <c r="D46" t="s">
        <v>1195</v>
      </c>
      <c r="E46" s="343">
        <v>578</v>
      </c>
      <c r="F46" s="492">
        <f t="shared" si="1"/>
        <v>14.767501277465508</v>
      </c>
    </row>
    <row r="47" spans="1:7">
      <c r="A47" s="485">
        <v>45432</v>
      </c>
      <c r="B47">
        <v>2935941</v>
      </c>
      <c r="C47" t="s">
        <v>114</v>
      </c>
      <c r="D47" t="s">
        <v>1196</v>
      </c>
      <c r="E47" s="343">
        <v>565.48</v>
      </c>
      <c r="F47" s="492">
        <f t="shared" si="1"/>
        <v>14.447623914154319</v>
      </c>
    </row>
    <row r="48" spans="1:7">
      <c r="A48" s="485">
        <v>45432</v>
      </c>
      <c r="B48">
        <v>2935946</v>
      </c>
      <c r="C48" t="s">
        <v>114</v>
      </c>
      <c r="D48" t="s">
        <v>1197</v>
      </c>
      <c r="E48" s="343">
        <v>419.44</v>
      </c>
      <c r="F48" s="492">
        <f t="shared" si="1"/>
        <v>10.716402657128258</v>
      </c>
      <c r="G48" t="s">
        <v>1198</v>
      </c>
    </row>
    <row r="49" spans="1:8">
      <c r="A49" s="485">
        <v>45432</v>
      </c>
      <c r="B49">
        <v>2935947</v>
      </c>
      <c r="C49" t="s">
        <v>114</v>
      </c>
      <c r="D49" t="s">
        <v>1199</v>
      </c>
      <c r="E49" s="343">
        <v>465.44</v>
      </c>
      <c r="F49" s="492">
        <f t="shared" si="1"/>
        <v>11.891670924885029</v>
      </c>
    </row>
    <row r="50" spans="1:8">
      <c r="A50" s="485">
        <v>45433</v>
      </c>
      <c r="B50">
        <v>2936294</v>
      </c>
      <c r="C50" t="s">
        <v>114</v>
      </c>
      <c r="D50" t="s">
        <v>1200</v>
      </c>
      <c r="E50" s="343">
        <v>310.48</v>
      </c>
      <c r="F50" s="492">
        <f t="shared" si="1"/>
        <v>7.9325498211548293</v>
      </c>
    </row>
    <row r="51" spans="1:8">
      <c r="A51" s="485">
        <v>45435</v>
      </c>
      <c r="B51">
        <v>2936698</v>
      </c>
      <c r="C51" t="s">
        <v>114</v>
      </c>
      <c r="D51" t="s">
        <v>1201</v>
      </c>
      <c r="E51" s="343">
        <v>380.48</v>
      </c>
      <c r="F51" s="492">
        <f t="shared" si="1"/>
        <v>9.7210015329586099</v>
      </c>
    </row>
    <row r="52" spans="1:8">
      <c r="A52" s="485">
        <v>45435</v>
      </c>
      <c r="B52">
        <v>2936701</v>
      </c>
      <c r="C52" t="s">
        <v>114</v>
      </c>
      <c r="D52" t="s">
        <v>1202</v>
      </c>
      <c r="E52" s="343">
        <v>380.48</v>
      </c>
      <c r="F52" s="492">
        <f t="shared" si="1"/>
        <v>9.7210015329586099</v>
      </c>
    </row>
    <row r="53" spans="1:8">
      <c r="A53" s="485">
        <v>45397</v>
      </c>
      <c r="B53" t="s">
        <v>1203</v>
      </c>
      <c r="C53" t="s">
        <v>431</v>
      </c>
      <c r="D53" t="s">
        <v>471</v>
      </c>
      <c r="E53" s="343">
        <v>488.81</v>
      </c>
      <c r="F53" s="492">
        <f t="shared" si="1"/>
        <v>12.488758303525804</v>
      </c>
      <c r="G53" t="s">
        <v>1204</v>
      </c>
    </row>
    <row r="54" spans="1:8">
      <c r="A54" s="485">
        <v>45400</v>
      </c>
      <c r="B54" t="s">
        <v>1203</v>
      </c>
      <c r="C54" t="s">
        <v>1176</v>
      </c>
      <c r="D54" t="s">
        <v>471</v>
      </c>
      <c r="E54" s="343">
        <v>488.81</v>
      </c>
      <c r="F54" s="492">
        <f t="shared" si="1"/>
        <v>12.488758303525804</v>
      </c>
      <c r="G54" t="s">
        <v>1204</v>
      </c>
    </row>
    <row r="55" spans="1:8">
      <c r="A55" s="485">
        <v>45448</v>
      </c>
      <c r="B55">
        <v>2938660</v>
      </c>
      <c r="C55" t="s">
        <v>1205</v>
      </c>
      <c r="D55" t="s">
        <v>114</v>
      </c>
      <c r="E55" s="343">
        <v>481.48</v>
      </c>
      <c r="F55" s="492">
        <f t="shared" si="1"/>
        <v>12.30148185998978</v>
      </c>
    </row>
    <row r="56" spans="1:8">
      <c r="A56" s="485">
        <v>45448</v>
      </c>
      <c r="B56">
        <v>2938661</v>
      </c>
      <c r="C56" t="s">
        <v>1206</v>
      </c>
      <c r="D56" t="s">
        <v>114</v>
      </c>
      <c r="E56" s="343">
        <v>373.48</v>
      </c>
      <c r="F56" s="492">
        <f t="shared" si="1"/>
        <v>9.5421563617782326</v>
      </c>
    </row>
    <row r="57" spans="1:8">
      <c r="A57" s="485">
        <v>45449</v>
      </c>
      <c r="B57">
        <v>2938937</v>
      </c>
      <c r="C57" t="s">
        <v>1207</v>
      </c>
      <c r="D57" t="s">
        <v>114</v>
      </c>
      <c r="E57" s="343">
        <v>240.48</v>
      </c>
      <c r="F57" s="492">
        <f t="shared" si="1"/>
        <v>6.1440981093510469</v>
      </c>
    </row>
    <row r="58" spans="1:8">
      <c r="A58" s="485">
        <v>45449</v>
      </c>
      <c r="B58">
        <v>2938938</v>
      </c>
      <c r="C58" t="s">
        <v>1201</v>
      </c>
      <c r="D58" t="s">
        <v>114</v>
      </c>
      <c r="E58" s="343">
        <v>445.48</v>
      </c>
      <c r="F58" s="492">
        <f t="shared" ref="F58:F65" si="2">E58/39.14</f>
        <v>11.381706693919265</v>
      </c>
    </row>
    <row r="59" spans="1:8">
      <c r="A59" s="485">
        <v>45449</v>
      </c>
      <c r="B59">
        <v>2938940</v>
      </c>
      <c r="C59" t="s">
        <v>1208</v>
      </c>
      <c r="D59" t="s">
        <v>114</v>
      </c>
      <c r="E59" s="343">
        <v>445.48</v>
      </c>
      <c r="F59" s="492">
        <f t="shared" si="2"/>
        <v>11.381706693919265</v>
      </c>
    </row>
    <row r="60" spans="1:8">
      <c r="A60" s="485">
        <v>45450</v>
      </c>
      <c r="B60">
        <v>2939074</v>
      </c>
      <c r="C60" t="s">
        <v>114</v>
      </c>
      <c r="D60" t="s">
        <v>433</v>
      </c>
      <c r="E60" s="343">
        <v>735.44</v>
      </c>
      <c r="F60" s="492">
        <f t="shared" si="2"/>
        <v>18.789984670413901</v>
      </c>
    </row>
    <row r="61" spans="1:8">
      <c r="A61" s="485">
        <v>45446</v>
      </c>
      <c r="B61" t="s">
        <v>1180</v>
      </c>
      <c r="C61" t="s">
        <v>114</v>
      </c>
      <c r="D61" t="s">
        <v>1187</v>
      </c>
      <c r="E61" s="343">
        <v>300</v>
      </c>
      <c r="F61" s="492">
        <f t="shared" si="2"/>
        <v>7.664793050587634</v>
      </c>
      <c r="G61" t="s">
        <v>1209</v>
      </c>
      <c r="H61" t="s">
        <v>1210</v>
      </c>
    </row>
    <row r="62" spans="1:8">
      <c r="A62" s="485">
        <v>45447</v>
      </c>
      <c r="B62" t="s">
        <v>1180</v>
      </c>
      <c r="C62" t="s">
        <v>114</v>
      </c>
      <c r="D62" t="s">
        <v>1187</v>
      </c>
      <c r="E62" s="343">
        <v>300</v>
      </c>
      <c r="F62" s="492">
        <f t="shared" si="2"/>
        <v>7.664793050587634</v>
      </c>
      <c r="G62" t="s">
        <v>1209</v>
      </c>
      <c r="H62" t="s">
        <v>1210</v>
      </c>
    </row>
    <row r="63" spans="1:8">
      <c r="A63" s="485">
        <v>45448</v>
      </c>
      <c r="B63" t="s">
        <v>1180</v>
      </c>
      <c r="C63" t="s">
        <v>114</v>
      </c>
      <c r="D63" t="s">
        <v>1187</v>
      </c>
      <c r="E63" s="343">
        <v>300</v>
      </c>
      <c r="F63" s="492">
        <f t="shared" si="2"/>
        <v>7.664793050587634</v>
      </c>
      <c r="G63" t="s">
        <v>1209</v>
      </c>
      <c r="H63" t="s">
        <v>1210</v>
      </c>
    </row>
    <row r="64" spans="1:8">
      <c r="A64" s="485">
        <v>45449</v>
      </c>
      <c r="B64" t="s">
        <v>1180</v>
      </c>
      <c r="C64" t="s">
        <v>114</v>
      </c>
      <c r="D64" t="s">
        <v>1211</v>
      </c>
      <c r="E64" s="343">
        <v>300</v>
      </c>
      <c r="F64" s="492">
        <f t="shared" si="2"/>
        <v>7.664793050587634</v>
      </c>
      <c r="G64" t="s">
        <v>1209</v>
      </c>
      <c r="H64" t="s">
        <v>1210</v>
      </c>
    </row>
    <row r="65" spans="1:8">
      <c r="A65" s="485">
        <v>45450</v>
      </c>
      <c r="B65" t="s">
        <v>1180</v>
      </c>
      <c r="C65" t="s">
        <v>114</v>
      </c>
      <c r="D65" t="s">
        <v>446</v>
      </c>
      <c r="E65" s="343">
        <v>300</v>
      </c>
      <c r="F65" s="492">
        <f t="shared" si="2"/>
        <v>7.664793050587634</v>
      </c>
      <c r="G65" t="s">
        <v>1212</v>
      </c>
      <c r="H65" t="s">
        <v>1210</v>
      </c>
    </row>
    <row r="66" spans="1:8">
      <c r="A66" s="485">
        <v>45453</v>
      </c>
      <c r="B66" t="s">
        <v>1180</v>
      </c>
      <c r="C66" t="s">
        <v>114</v>
      </c>
      <c r="D66" t="s">
        <v>1213</v>
      </c>
      <c r="E66" s="343">
        <v>300</v>
      </c>
      <c r="F66" s="492">
        <f t="shared" ref="F66:F79" si="3">E66/39.14</f>
        <v>7.664793050587634</v>
      </c>
      <c r="G66" t="s">
        <v>1209</v>
      </c>
      <c r="H66" t="s">
        <v>1210</v>
      </c>
    </row>
    <row r="67" spans="1:8">
      <c r="A67" s="485">
        <v>45454</v>
      </c>
      <c r="B67" t="s">
        <v>1180</v>
      </c>
      <c r="C67" t="s">
        <v>114</v>
      </c>
      <c r="D67" t="s">
        <v>1187</v>
      </c>
      <c r="E67" s="343">
        <v>300</v>
      </c>
      <c r="F67" s="492">
        <f t="shared" si="3"/>
        <v>7.664793050587634</v>
      </c>
      <c r="G67" t="s">
        <v>1209</v>
      </c>
      <c r="H67" t="s">
        <v>1210</v>
      </c>
    </row>
    <row r="68" spans="1:8">
      <c r="A68" s="485">
        <v>45455</v>
      </c>
      <c r="B68" t="s">
        <v>1180</v>
      </c>
      <c r="C68" t="s">
        <v>114</v>
      </c>
      <c r="D68" t="s">
        <v>1213</v>
      </c>
      <c r="E68" s="343">
        <v>300</v>
      </c>
      <c r="F68" s="492">
        <f t="shared" si="3"/>
        <v>7.664793050587634</v>
      </c>
      <c r="G68" t="s">
        <v>1212</v>
      </c>
      <c r="H68" t="s">
        <v>1210</v>
      </c>
    </row>
    <row r="69" spans="1:8">
      <c r="A69" s="485">
        <v>45456</v>
      </c>
      <c r="B69" t="s">
        <v>1180</v>
      </c>
      <c r="C69" t="s">
        <v>114</v>
      </c>
      <c r="D69" t="s">
        <v>1213</v>
      </c>
      <c r="E69" s="343">
        <v>300</v>
      </c>
      <c r="F69" s="492">
        <f t="shared" si="3"/>
        <v>7.664793050587634</v>
      </c>
      <c r="G69" t="s">
        <v>1212</v>
      </c>
      <c r="H69" t="s">
        <v>1210</v>
      </c>
    </row>
    <row r="70" spans="1:8">
      <c r="A70" s="485">
        <v>45457</v>
      </c>
      <c r="B70" t="s">
        <v>1180</v>
      </c>
      <c r="C70" t="s">
        <v>114</v>
      </c>
      <c r="D70" t="s">
        <v>446</v>
      </c>
      <c r="E70" s="343">
        <v>300</v>
      </c>
      <c r="F70" s="492">
        <f t="shared" si="3"/>
        <v>7.664793050587634</v>
      </c>
      <c r="G70" t="s">
        <v>1212</v>
      </c>
      <c r="H70" t="s">
        <v>1210</v>
      </c>
    </row>
    <row r="71" spans="1:8">
      <c r="A71" s="485">
        <v>45460</v>
      </c>
      <c r="B71" t="s">
        <v>1180</v>
      </c>
      <c r="C71" t="s">
        <v>114</v>
      </c>
      <c r="D71" t="s">
        <v>1213</v>
      </c>
      <c r="E71" s="343">
        <v>300</v>
      </c>
      <c r="F71" s="492">
        <f t="shared" si="3"/>
        <v>7.664793050587634</v>
      </c>
      <c r="G71" t="s">
        <v>1209</v>
      </c>
    </row>
    <row r="72" spans="1:8">
      <c r="A72" s="485">
        <v>45461</v>
      </c>
      <c r="B72" t="s">
        <v>1180</v>
      </c>
      <c r="C72" t="s">
        <v>114</v>
      </c>
      <c r="D72" t="s">
        <v>471</v>
      </c>
      <c r="E72" s="343">
        <v>300</v>
      </c>
      <c r="F72" s="492">
        <f t="shared" si="3"/>
        <v>7.664793050587634</v>
      </c>
      <c r="G72" t="s">
        <v>1209</v>
      </c>
      <c r="H72" t="s">
        <v>1214</v>
      </c>
    </row>
    <row r="73" spans="1:8">
      <c r="A73" s="485">
        <v>45463</v>
      </c>
      <c r="B73" t="s">
        <v>1180</v>
      </c>
      <c r="C73" t="s">
        <v>114</v>
      </c>
      <c r="D73" t="s">
        <v>1213</v>
      </c>
      <c r="E73" s="343">
        <v>300</v>
      </c>
      <c r="F73" s="492">
        <f t="shared" si="3"/>
        <v>7.664793050587634</v>
      </c>
      <c r="G73" t="s">
        <v>1212</v>
      </c>
    </row>
    <row r="74" spans="1:8">
      <c r="A74" s="485">
        <v>45464</v>
      </c>
      <c r="B74" t="s">
        <v>1180</v>
      </c>
      <c r="C74" t="s">
        <v>114</v>
      </c>
      <c r="D74" t="s">
        <v>1215</v>
      </c>
      <c r="E74" s="343">
        <v>300</v>
      </c>
      <c r="F74" s="492">
        <f t="shared" si="3"/>
        <v>7.664793050587634</v>
      </c>
      <c r="G74" t="s">
        <v>1209</v>
      </c>
    </row>
    <row r="75" spans="1:8">
      <c r="A75" s="485">
        <v>45467</v>
      </c>
      <c r="B75" t="s">
        <v>1180</v>
      </c>
      <c r="C75" t="s">
        <v>114</v>
      </c>
      <c r="D75" t="s">
        <v>1216</v>
      </c>
      <c r="E75" s="343">
        <v>300</v>
      </c>
      <c r="F75" s="492">
        <f t="shared" si="3"/>
        <v>7.664793050587634</v>
      </c>
      <c r="G75" t="s">
        <v>1209</v>
      </c>
    </row>
    <row r="76" spans="1:8">
      <c r="A76" s="485">
        <v>45468</v>
      </c>
      <c r="B76" t="s">
        <v>1180</v>
      </c>
      <c r="C76" t="s">
        <v>114</v>
      </c>
      <c r="D76" t="s">
        <v>1213</v>
      </c>
      <c r="E76" s="343">
        <v>300</v>
      </c>
      <c r="F76" s="492">
        <f t="shared" si="3"/>
        <v>7.664793050587634</v>
      </c>
      <c r="G76" t="s">
        <v>1209</v>
      </c>
    </row>
    <row r="77" spans="1:8">
      <c r="A77" s="485">
        <v>45469</v>
      </c>
      <c r="B77" t="s">
        <v>1180</v>
      </c>
      <c r="C77" t="s">
        <v>114</v>
      </c>
      <c r="D77" t="s">
        <v>1213</v>
      </c>
      <c r="E77" s="343">
        <v>300</v>
      </c>
      <c r="F77" s="492">
        <f t="shared" si="3"/>
        <v>7.664793050587634</v>
      </c>
      <c r="G77" t="s">
        <v>1212</v>
      </c>
    </row>
    <row r="78" spans="1:8">
      <c r="A78" s="485">
        <v>45470</v>
      </c>
      <c r="B78" t="s">
        <v>1180</v>
      </c>
      <c r="C78" t="s">
        <v>114</v>
      </c>
      <c r="D78" t="s">
        <v>1213</v>
      </c>
      <c r="E78" s="343">
        <v>300</v>
      </c>
      <c r="F78" s="492">
        <f t="shared" si="3"/>
        <v>7.664793050587634</v>
      </c>
      <c r="G78" t="s">
        <v>1212</v>
      </c>
    </row>
    <row r="79" spans="1:8">
      <c r="A79" s="485">
        <v>45471</v>
      </c>
      <c r="B79" t="s">
        <v>1180</v>
      </c>
      <c r="C79" t="s">
        <v>114</v>
      </c>
      <c r="D79" t="s">
        <v>1213</v>
      </c>
      <c r="E79" s="343">
        <v>300</v>
      </c>
      <c r="F79" s="492">
        <f t="shared" si="3"/>
        <v>7.664793050587634</v>
      </c>
      <c r="G79" t="s">
        <v>1212</v>
      </c>
      <c r="H79" t="s">
        <v>1217</v>
      </c>
    </row>
    <row r="80" spans="1:8">
      <c r="A80" s="485">
        <v>45460</v>
      </c>
      <c r="B80">
        <v>2940522</v>
      </c>
      <c r="C80" t="s">
        <v>433</v>
      </c>
      <c r="D80" t="s">
        <v>114</v>
      </c>
      <c r="E80" s="343">
        <v>675.44</v>
      </c>
      <c r="F80" s="492">
        <f t="shared" ref="F80:F107" si="4">E80/39.14</f>
        <v>17.257026060296372</v>
      </c>
      <c r="G80" t="s">
        <v>1209</v>
      </c>
    </row>
    <row r="81" spans="1:8">
      <c r="A81" s="485">
        <v>45460</v>
      </c>
      <c r="B81">
        <v>2940524</v>
      </c>
      <c r="C81" t="s">
        <v>114</v>
      </c>
      <c r="D81" t="s">
        <v>433</v>
      </c>
      <c r="E81" s="343">
        <v>465.44</v>
      </c>
      <c r="F81" s="492">
        <f t="shared" si="4"/>
        <v>11.891670924885029</v>
      </c>
      <c r="G81" t="s">
        <v>1218</v>
      </c>
    </row>
    <row r="82" spans="1:8">
      <c r="A82" s="485">
        <v>45453</v>
      </c>
      <c r="B82">
        <v>2939163</v>
      </c>
      <c r="C82" t="s">
        <v>114</v>
      </c>
      <c r="D82" t="s">
        <v>429</v>
      </c>
      <c r="E82" s="343">
        <v>480.96</v>
      </c>
      <c r="F82" s="492">
        <f t="shared" si="4"/>
        <v>12.288196218702094</v>
      </c>
      <c r="G82" t="s">
        <v>1212</v>
      </c>
    </row>
    <row r="83" spans="1:8">
      <c r="A83" s="485">
        <v>45454</v>
      </c>
      <c r="B83">
        <v>2939641</v>
      </c>
      <c r="C83" t="s">
        <v>114</v>
      </c>
      <c r="D83" t="s">
        <v>471</v>
      </c>
      <c r="E83" s="343">
        <v>240.48</v>
      </c>
      <c r="F83" s="492">
        <f t="shared" si="4"/>
        <v>6.1440981093510469</v>
      </c>
    </row>
    <row r="84" spans="1:8">
      <c r="A84" s="485">
        <v>45454</v>
      </c>
      <c r="B84">
        <v>2939645</v>
      </c>
      <c r="C84" t="s">
        <v>114</v>
      </c>
      <c r="D84" t="s">
        <v>437</v>
      </c>
      <c r="E84" s="343">
        <v>290.48</v>
      </c>
      <c r="F84" s="492">
        <f t="shared" si="4"/>
        <v>7.4215636177823203</v>
      </c>
    </row>
    <row r="85" spans="1:8">
      <c r="A85" s="485">
        <v>45457</v>
      </c>
      <c r="B85">
        <v>2940401</v>
      </c>
      <c r="C85" t="s">
        <v>114</v>
      </c>
      <c r="D85" t="s">
        <v>433</v>
      </c>
      <c r="E85" s="343">
        <v>150</v>
      </c>
      <c r="F85" s="492">
        <f t="shared" si="4"/>
        <v>3.832396525293817</v>
      </c>
      <c r="G85" t="s">
        <v>1219</v>
      </c>
    </row>
    <row r="86" spans="1:8">
      <c r="A86" s="485">
        <v>45468</v>
      </c>
      <c r="B86">
        <v>2941815</v>
      </c>
      <c r="C86" t="s">
        <v>114</v>
      </c>
      <c r="D86" t="s">
        <v>1205</v>
      </c>
      <c r="E86" s="343">
        <v>448.48</v>
      </c>
      <c r="F86" s="492">
        <f t="shared" si="4"/>
        <v>11.458354624425141</v>
      </c>
      <c r="G86" t="s">
        <v>1212</v>
      </c>
    </row>
    <row r="87" spans="1:8">
      <c r="A87" s="485">
        <v>45468</v>
      </c>
      <c r="B87">
        <v>2941816</v>
      </c>
      <c r="C87" t="s">
        <v>114</v>
      </c>
      <c r="D87" t="s">
        <v>1220</v>
      </c>
      <c r="E87" s="343">
        <v>310.48</v>
      </c>
      <c r="F87" s="492">
        <f t="shared" si="4"/>
        <v>7.9325498211548293</v>
      </c>
      <c r="G87" t="s">
        <v>1212</v>
      </c>
    </row>
    <row r="88" spans="1:8">
      <c r="A88" s="485">
        <v>45476</v>
      </c>
      <c r="B88" t="s">
        <v>1180</v>
      </c>
      <c r="C88" t="s">
        <v>114</v>
      </c>
      <c r="D88" t="s">
        <v>1213</v>
      </c>
      <c r="E88" s="343">
        <v>300</v>
      </c>
      <c r="F88" s="492">
        <f t="shared" si="4"/>
        <v>7.664793050587634</v>
      </c>
      <c r="G88" t="s">
        <v>1209</v>
      </c>
    </row>
    <row r="89" spans="1:8">
      <c r="A89" s="485">
        <v>45478</v>
      </c>
      <c r="B89" t="s">
        <v>1180</v>
      </c>
      <c r="C89" t="s">
        <v>114</v>
      </c>
      <c r="D89" t="s">
        <v>1221</v>
      </c>
      <c r="E89" s="343">
        <v>300</v>
      </c>
      <c r="F89" s="492">
        <f t="shared" si="4"/>
        <v>7.664793050587634</v>
      </c>
      <c r="G89" t="s">
        <v>1212</v>
      </c>
    </row>
    <row r="90" spans="1:8">
      <c r="A90" s="485">
        <v>45481</v>
      </c>
      <c r="B90" t="s">
        <v>1180</v>
      </c>
      <c r="C90" t="s">
        <v>114</v>
      </c>
      <c r="D90" t="s">
        <v>1222</v>
      </c>
      <c r="E90" s="343">
        <v>300</v>
      </c>
      <c r="F90" s="492">
        <f t="shared" si="4"/>
        <v>7.664793050587634</v>
      </c>
      <c r="G90" t="s">
        <v>1212</v>
      </c>
    </row>
    <row r="91" spans="1:8">
      <c r="A91" s="485">
        <v>45474</v>
      </c>
      <c r="B91">
        <v>2942717</v>
      </c>
      <c r="C91" t="s">
        <v>114</v>
      </c>
      <c r="D91" t="s">
        <v>1205</v>
      </c>
      <c r="E91" s="343">
        <v>278.48</v>
      </c>
      <c r="F91" s="492">
        <f t="shared" si="4"/>
        <v>7.1149718957588153</v>
      </c>
      <c r="G91" t="s">
        <v>1212</v>
      </c>
      <c r="H91" t="s">
        <v>1223</v>
      </c>
    </row>
    <row r="92" spans="1:8">
      <c r="A92" s="485">
        <v>45475</v>
      </c>
      <c r="B92">
        <v>2942721</v>
      </c>
      <c r="C92" t="s">
        <v>1205</v>
      </c>
      <c r="D92" t="s">
        <v>114</v>
      </c>
      <c r="E92" s="343">
        <v>533.48</v>
      </c>
      <c r="F92" s="492">
        <f t="shared" si="4"/>
        <v>13.630045988758305</v>
      </c>
      <c r="G92" t="s">
        <v>1209</v>
      </c>
    </row>
    <row r="93" spans="1:8">
      <c r="A93" s="485">
        <v>45475</v>
      </c>
      <c r="B93">
        <v>2942723</v>
      </c>
      <c r="C93" t="s">
        <v>1224</v>
      </c>
      <c r="D93" t="s">
        <v>114</v>
      </c>
      <c r="E93" s="343">
        <v>310.48</v>
      </c>
      <c r="F93" s="492">
        <f t="shared" si="4"/>
        <v>7.9325498211548293</v>
      </c>
      <c r="G93" t="s">
        <v>1209</v>
      </c>
    </row>
    <row r="94" spans="1:8">
      <c r="A94" s="485">
        <v>45476</v>
      </c>
      <c r="B94">
        <v>2942725</v>
      </c>
      <c r="C94" t="s">
        <v>114</v>
      </c>
      <c r="D94" t="s">
        <v>1225</v>
      </c>
      <c r="E94" s="343">
        <v>460.48</v>
      </c>
      <c r="F94" s="492">
        <f t="shared" si="4"/>
        <v>11.764946346448646</v>
      </c>
      <c r="G94" t="s">
        <v>1212</v>
      </c>
    </row>
    <row r="95" spans="1:8">
      <c r="A95" s="485">
        <v>45483</v>
      </c>
      <c r="B95">
        <v>2943695</v>
      </c>
      <c r="C95" t="s">
        <v>114</v>
      </c>
      <c r="D95" t="s">
        <v>1179</v>
      </c>
      <c r="E95" s="343">
        <v>465.44</v>
      </c>
      <c r="F95" s="492">
        <f t="shared" si="4"/>
        <v>11.891670924885029</v>
      </c>
      <c r="G95" t="s">
        <v>1212</v>
      </c>
    </row>
    <row r="96" spans="1:8">
      <c r="A96" s="485">
        <v>45485</v>
      </c>
      <c r="B96">
        <v>2944162</v>
      </c>
      <c r="C96" t="s">
        <v>114</v>
      </c>
      <c r="D96" t="s">
        <v>1226</v>
      </c>
      <c r="E96" s="343">
        <v>240.48</v>
      </c>
      <c r="F96" s="492">
        <f t="shared" si="4"/>
        <v>6.1440981093510469</v>
      </c>
      <c r="G96" t="s">
        <v>1209</v>
      </c>
    </row>
    <row r="97" spans="1:7">
      <c r="A97" s="485">
        <v>45485</v>
      </c>
      <c r="B97">
        <v>2944164</v>
      </c>
      <c r="C97" t="s">
        <v>1227</v>
      </c>
      <c r="D97" t="s">
        <v>114</v>
      </c>
      <c r="E97" s="343">
        <v>240.48</v>
      </c>
      <c r="F97" s="492">
        <f t="shared" si="4"/>
        <v>6.1440981093510469</v>
      </c>
      <c r="G97" t="s">
        <v>1209</v>
      </c>
    </row>
    <row r="98" spans="1:7">
      <c r="A98" s="485">
        <v>45453</v>
      </c>
      <c r="B98" t="s">
        <v>1228</v>
      </c>
      <c r="C98" t="s">
        <v>114</v>
      </c>
      <c r="D98" t="s">
        <v>431</v>
      </c>
      <c r="E98" s="343">
        <v>488.84</v>
      </c>
      <c r="F98" s="492">
        <f t="shared" si="4"/>
        <v>12.489524782830863</v>
      </c>
      <c r="G98" t="s">
        <v>1212</v>
      </c>
    </row>
    <row r="99" spans="1:7">
      <c r="A99" s="485">
        <v>45476</v>
      </c>
      <c r="B99" t="s">
        <v>1229</v>
      </c>
      <c r="C99" t="s">
        <v>114</v>
      </c>
      <c r="D99" t="s">
        <v>433</v>
      </c>
      <c r="E99" s="343">
        <v>488.81</v>
      </c>
      <c r="F99" s="492">
        <f t="shared" si="4"/>
        <v>12.488758303525804</v>
      </c>
      <c r="G99" t="s">
        <v>1212</v>
      </c>
    </row>
    <row r="100" spans="1:7">
      <c r="A100" s="485">
        <v>45489</v>
      </c>
      <c r="B100">
        <v>2944500</v>
      </c>
      <c r="C100" t="s">
        <v>114</v>
      </c>
      <c r="D100" t="s">
        <v>446</v>
      </c>
      <c r="E100" s="343">
        <v>413.44</v>
      </c>
      <c r="F100" s="492">
        <f t="shared" si="4"/>
        <v>10.563106796116505</v>
      </c>
      <c r="G100" t="s">
        <v>1212</v>
      </c>
    </row>
    <row r="101" spans="1:7">
      <c r="A101" s="485">
        <v>45489</v>
      </c>
      <c r="B101">
        <v>2944501</v>
      </c>
      <c r="C101" t="s">
        <v>114</v>
      </c>
      <c r="D101" t="s">
        <v>1176</v>
      </c>
      <c r="E101" s="343">
        <v>365.48</v>
      </c>
      <c r="F101" s="492">
        <f t="shared" si="4"/>
        <v>9.3377618804292286</v>
      </c>
      <c r="G101" t="s">
        <v>1230</v>
      </c>
    </row>
    <row r="102" spans="1:7">
      <c r="A102" s="485">
        <v>45490</v>
      </c>
      <c r="B102">
        <v>2944686</v>
      </c>
      <c r="C102" t="s">
        <v>114</v>
      </c>
      <c r="D102" t="s">
        <v>433</v>
      </c>
      <c r="E102" s="343">
        <v>515.44000000000005</v>
      </c>
      <c r="F102" s="492">
        <f t="shared" si="4"/>
        <v>13.169136433316302</v>
      </c>
      <c r="G102" t="s">
        <v>1212</v>
      </c>
    </row>
    <row r="103" spans="1:7">
      <c r="A103" s="485">
        <v>45490</v>
      </c>
      <c r="B103">
        <v>2944690</v>
      </c>
      <c r="C103" t="s">
        <v>433</v>
      </c>
      <c r="D103" t="s">
        <v>114</v>
      </c>
      <c r="E103" s="343">
        <v>554.44000000000005</v>
      </c>
      <c r="F103" s="492">
        <f t="shared" si="4"/>
        <v>14.165559529892693</v>
      </c>
      <c r="G103" t="s">
        <v>1209</v>
      </c>
    </row>
    <row r="104" spans="1:7">
      <c r="A104" s="485">
        <v>45491</v>
      </c>
      <c r="B104">
        <v>2944904</v>
      </c>
      <c r="C104" t="s">
        <v>114</v>
      </c>
      <c r="D104" t="s">
        <v>437</v>
      </c>
      <c r="E104" s="343">
        <v>278.48</v>
      </c>
      <c r="F104" s="492">
        <f t="shared" si="4"/>
        <v>7.1149718957588153</v>
      </c>
      <c r="G104" t="s">
        <v>1212</v>
      </c>
    </row>
    <row r="105" spans="1:7">
      <c r="A105" s="485">
        <v>45492</v>
      </c>
      <c r="B105">
        <v>2945103</v>
      </c>
      <c r="C105" t="s">
        <v>114</v>
      </c>
      <c r="D105" t="s">
        <v>433</v>
      </c>
      <c r="E105" s="343">
        <v>465.44</v>
      </c>
      <c r="F105" s="492">
        <f t="shared" si="4"/>
        <v>11.891670924885029</v>
      </c>
      <c r="G105" t="s">
        <v>1212</v>
      </c>
    </row>
    <row r="106" spans="1:7">
      <c r="A106" s="485">
        <v>45490</v>
      </c>
      <c r="B106" t="s">
        <v>1231</v>
      </c>
      <c r="C106" t="s">
        <v>1232</v>
      </c>
      <c r="D106" t="s">
        <v>114</v>
      </c>
      <c r="E106" s="343">
        <v>200</v>
      </c>
      <c r="F106" s="492">
        <f t="shared" si="4"/>
        <v>5.1098620337250891</v>
      </c>
      <c r="G106" t="s">
        <v>1209</v>
      </c>
    </row>
    <row r="107" spans="1:7">
      <c r="A107" s="485">
        <v>45483</v>
      </c>
      <c r="B107" t="s">
        <v>1180</v>
      </c>
      <c r="E107" s="343">
        <v>300</v>
      </c>
      <c r="F107" s="492">
        <f t="shared" si="4"/>
        <v>7.664793050587634</v>
      </c>
    </row>
    <row r="108" spans="1:7">
      <c r="A108" s="485">
        <v>45484</v>
      </c>
      <c r="B108" t="s">
        <v>1180</v>
      </c>
      <c r="E108" s="343">
        <v>300</v>
      </c>
      <c r="F108" s="492">
        <f t="shared" ref="F108:F153" si="5">E108/39.14</f>
        <v>7.664793050587634</v>
      </c>
    </row>
    <row r="109" spans="1:7">
      <c r="A109" s="485">
        <v>45485</v>
      </c>
      <c r="B109" t="s">
        <v>1180</v>
      </c>
      <c r="E109" s="343">
        <v>300</v>
      </c>
      <c r="F109" s="492">
        <f t="shared" si="5"/>
        <v>7.664793050587634</v>
      </c>
    </row>
    <row r="110" spans="1:7">
      <c r="A110" s="485">
        <v>45488</v>
      </c>
      <c r="B110" t="s">
        <v>1180</v>
      </c>
      <c r="E110" s="343">
        <v>300</v>
      </c>
      <c r="F110" s="492">
        <f t="shared" si="5"/>
        <v>7.664793050587634</v>
      </c>
    </row>
    <row r="111" spans="1:7">
      <c r="A111" s="485">
        <v>45489</v>
      </c>
      <c r="B111" t="s">
        <v>1180</v>
      </c>
      <c r="E111" s="343">
        <v>300</v>
      </c>
      <c r="F111" s="492">
        <f t="shared" si="5"/>
        <v>7.664793050587634</v>
      </c>
    </row>
    <row r="112" spans="1:7">
      <c r="A112" s="485">
        <v>45490</v>
      </c>
      <c r="B112" t="s">
        <v>1180</v>
      </c>
      <c r="E112" s="343">
        <v>300</v>
      </c>
      <c r="F112" s="492">
        <f t="shared" si="5"/>
        <v>7.664793050587634</v>
      </c>
    </row>
    <row r="113" spans="1:6">
      <c r="A113" s="485">
        <v>45491</v>
      </c>
      <c r="B113" t="s">
        <v>1180</v>
      </c>
      <c r="E113" s="343">
        <v>300</v>
      </c>
      <c r="F113" s="492">
        <f t="shared" si="5"/>
        <v>7.664793050587634</v>
      </c>
    </row>
    <row r="114" spans="1:6">
      <c r="A114" s="485">
        <v>45492</v>
      </c>
      <c r="B114" t="s">
        <v>1180</v>
      </c>
      <c r="E114" s="343">
        <v>300</v>
      </c>
      <c r="F114" s="492">
        <f t="shared" si="5"/>
        <v>7.664793050587634</v>
      </c>
    </row>
    <row r="115" spans="1:6">
      <c r="A115" s="485">
        <v>45498</v>
      </c>
      <c r="B115" t="s">
        <v>1180</v>
      </c>
      <c r="E115" s="343">
        <v>300</v>
      </c>
      <c r="F115" s="492">
        <f t="shared" si="5"/>
        <v>7.664793050587634</v>
      </c>
    </row>
    <row r="116" spans="1:6">
      <c r="A116" s="485">
        <v>45499</v>
      </c>
      <c r="B116" t="s">
        <v>1180</v>
      </c>
      <c r="E116" s="343">
        <v>300</v>
      </c>
      <c r="F116" s="492">
        <f t="shared" si="5"/>
        <v>7.664793050587634</v>
      </c>
    </row>
    <row r="117" spans="1:6">
      <c r="A117" s="485">
        <v>45502</v>
      </c>
      <c r="B117" t="s">
        <v>1180</v>
      </c>
      <c r="E117" s="343">
        <v>300</v>
      </c>
      <c r="F117" s="492">
        <f t="shared" si="5"/>
        <v>7.664793050587634</v>
      </c>
    </row>
    <row r="118" spans="1:6">
      <c r="A118" s="485">
        <v>45503</v>
      </c>
      <c r="B118" t="s">
        <v>1180</v>
      </c>
      <c r="E118" s="343">
        <v>300</v>
      </c>
      <c r="F118" s="492">
        <f t="shared" si="5"/>
        <v>7.664793050587634</v>
      </c>
    </row>
    <row r="119" spans="1:6">
      <c r="A119" s="485">
        <v>45504</v>
      </c>
      <c r="B119" t="s">
        <v>1180</v>
      </c>
      <c r="E119" s="343">
        <v>300</v>
      </c>
      <c r="F119" s="492">
        <f t="shared" si="5"/>
        <v>7.664793050587634</v>
      </c>
    </row>
    <row r="120" spans="1:6">
      <c r="A120" s="485">
        <v>45505</v>
      </c>
      <c r="B120" t="s">
        <v>1180</v>
      </c>
      <c r="E120" s="343">
        <v>300</v>
      </c>
      <c r="F120" s="492">
        <f t="shared" si="5"/>
        <v>7.664793050587634</v>
      </c>
    </row>
    <row r="121" spans="1:6">
      <c r="A121" s="485">
        <v>45506</v>
      </c>
      <c r="B121" t="s">
        <v>1180</v>
      </c>
      <c r="E121" s="343">
        <v>300</v>
      </c>
      <c r="F121" s="492">
        <f t="shared" si="5"/>
        <v>7.664793050587634</v>
      </c>
    </row>
    <row r="122" spans="1:6">
      <c r="A122" s="485">
        <v>45497</v>
      </c>
      <c r="B122">
        <v>2945630</v>
      </c>
      <c r="E122" s="343">
        <v>408.48</v>
      </c>
      <c r="F122" s="492">
        <f>E122/39.14</f>
        <v>10.436382217680123</v>
      </c>
    </row>
    <row r="123" spans="1:6">
      <c r="A123" s="485">
        <v>45497</v>
      </c>
      <c r="B123">
        <v>2945632</v>
      </c>
      <c r="E123" s="343">
        <v>443.48</v>
      </c>
      <c r="F123" s="492">
        <f>E123/39.14</f>
        <v>11.330608073582013</v>
      </c>
    </row>
    <row r="124" spans="1:6">
      <c r="A124" s="485">
        <v>45497</v>
      </c>
      <c r="B124">
        <v>2945633</v>
      </c>
      <c r="E124" s="343">
        <v>385.48</v>
      </c>
      <c r="F124" s="492">
        <f t="shared" si="5"/>
        <v>9.8487480838017376</v>
      </c>
    </row>
    <row r="125" spans="1:6">
      <c r="A125" s="485">
        <v>45497</v>
      </c>
      <c r="B125">
        <v>2945638</v>
      </c>
      <c r="E125" s="343">
        <v>240.48</v>
      </c>
      <c r="F125" s="492">
        <f t="shared" si="5"/>
        <v>6.1440981093510469</v>
      </c>
    </row>
    <row r="126" spans="1:6">
      <c r="A126" s="485">
        <v>45497</v>
      </c>
      <c r="B126">
        <v>2945639</v>
      </c>
      <c r="E126" s="343">
        <v>370.48</v>
      </c>
      <c r="F126" s="492">
        <f t="shared" si="5"/>
        <v>9.4655084312723563</v>
      </c>
    </row>
    <row r="127" spans="1:6">
      <c r="A127" s="485">
        <v>45497</v>
      </c>
      <c r="B127">
        <v>2945640</v>
      </c>
      <c r="E127" s="343">
        <v>435.48</v>
      </c>
      <c r="F127" s="492">
        <f t="shared" si="5"/>
        <v>11.126213592233009</v>
      </c>
    </row>
    <row r="128" spans="1:6">
      <c r="A128" s="485">
        <v>45497</v>
      </c>
      <c r="B128">
        <v>2945641</v>
      </c>
      <c r="E128" s="343">
        <v>240.48</v>
      </c>
      <c r="F128" s="492">
        <f t="shared" si="5"/>
        <v>6.1440981093510469</v>
      </c>
    </row>
    <row r="129" spans="1:6">
      <c r="A129" s="485">
        <v>45497</v>
      </c>
      <c r="B129">
        <v>2945642</v>
      </c>
      <c r="E129" s="343">
        <v>139.81</v>
      </c>
      <c r="F129" s="492">
        <f t="shared" si="5"/>
        <v>3.5720490546755239</v>
      </c>
    </row>
    <row r="130" spans="1:6">
      <c r="A130" s="485">
        <v>45497</v>
      </c>
      <c r="B130">
        <v>2945839</v>
      </c>
      <c r="E130" s="343">
        <v>278.48</v>
      </c>
      <c r="F130" s="492">
        <f t="shared" si="5"/>
        <v>7.1149718957588153</v>
      </c>
    </row>
    <row r="131" spans="1:6">
      <c r="A131" s="485">
        <v>45498</v>
      </c>
      <c r="B131">
        <v>2945858</v>
      </c>
      <c r="E131" s="343">
        <v>335.48</v>
      </c>
      <c r="F131" s="492">
        <f t="shared" si="5"/>
        <v>8.571282575370466</v>
      </c>
    </row>
    <row r="132" spans="1:6">
      <c r="A132" s="485">
        <v>45502</v>
      </c>
      <c r="B132">
        <v>2946114</v>
      </c>
      <c r="E132" s="343">
        <v>240.48</v>
      </c>
      <c r="F132" s="492">
        <f t="shared" si="5"/>
        <v>6.1440981093510469</v>
      </c>
    </row>
    <row r="133" spans="1:6">
      <c r="A133" s="485">
        <v>45502</v>
      </c>
      <c r="B133">
        <v>2946114.01</v>
      </c>
      <c r="E133" s="343">
        <v>240.48</v>
      </c>
      <c r="F133" s="492">
        <f t="shared" si="5"/>
        <v>6.1440981093510469</v>
      </c>
    </row>
    <row r="134" spans="1:6">
      <c r="A134" s="485">
        <v>45502</v>
      </c>
      <c r="B134">
        <v>2946137</v>
      </c>
      <c r="E134" s="343">
        <v>240.48</v>
      </c>
      <c r="F134" s="492">
        <f t="shared" si="5"/>
        <v>6.1440981093510469</v>
      </c>
    </row>
    <row r="135" spans="1:6">
      <c r="A135" s="485">
        <v>45502</v>
      </c>
      <c r="B135">
        <v>2946138</v>
      </c>
      <c r="E135" s="343">
        <v>240.48</v>
      </c>
      <c r="F135" s="492">
        <f t="shared" si="5"/>
        <v>6.1440981093510469</v>
      </c>
    </row>
    <row r="136" spans="1:6">
      <c r="A136" s="485">
        <v>45503</v>
      </c>
      <c r="B136">
        <v>2946333</v>
      </c>
      <c r="E136" s="343">
        <v>240.48</v>
      </c>
      <c r="F136" s="492">
        <f t="shared" si="5"/>
        <v>6.1440981093510469</v>
      </c>
    </row>
    <row r="137" spans="1:6">
      <c r="A137" s="485">
        <v>45504</v>
      </c>
      <c r="B137">
        <v>2946522</v>
      </c>
      <c r="E137" s="343">
        <v>435.48</v>
      </c>
      <c r="F137" s="492">
        <f t="shared" si="5"/>
        <v>11.126213592233009</v>
      </c>
    </row>
    <row r="138" spans="1:6">
      <c r="A138" s="485">
        <v>45504</v>
      </c>
      <c r="B138">
        <v>2946523</v>
      </c>
      <c r="E138" s="343">
        <v>426.48</v>
      </c>
      <c r="F138" s="492">
        <f t="shared" si="5"/>
        <v>10.89626980071538</v>
      </c>
    </row>
    <row r="139" spans="1:6">
      <c r="A139" s="485">
        <v>45505</v>
      </c>
      <c r="B139">
        <v>2946646</v>
      </c>
      <c r="E139" s="343">
        <v>535.44000000000005</v>
      </c>
      <c r="F139" s="492">
        <f t="shared" si="5"/>
        <v>13.680122636688811</v>
      </c>
    </row>
    <row r="140" spans="1:6">
      <c r="A140" s="485">
        <v>45505</v>
      </c>
      <c r="B140">
        <v>2946647</v>
      </c>
      <c r="E140" s="343">
        <v>580.44000000000005</v>
      </c>
      <c r="F140" s="492">
        <f t="shared" si="5"/>
        <v>14.829841594276957</v>
      </c>
    </row>
    <row r="141" spans="1:6">
      <c r="A141" s="485">
        <v>45506</v>
      </c>
      <c r="B141">
        <v>2946842</v>
      </c>
      <c r="E141" s="343">
        <v>240.48</v>
      </c>
      <c r="F141" s="492">
        <f t="shared" si="5"/>
        <v>6.1440981093510469</v>
      </c>
    </row>
    <row r="142" spans="1:6">
      <c r="A142" s="485">
        <v>45506</v>
      </c>
      <c r="B142">
        <v>2946843</v>
      </c>
      <c r="E142" s="343">
        <v>240.48</v>
      </c>
      <c r="F142" s="492">
        <f t="shared" si="5"/>
        <v>6.1440981093510469</v>
      </c>
    </row>
    <row r="143" spans="1:6">
      <c r="A143" s="485">
        <v>45506</v>
      </c>
      <c r="B143">
        <v>2946844</v>
      </c>
      <c r="E143" s="343">
        <v>240.48</v>
      </c>
      <c r="F143" s="492">
        <f t="shared" si="5"/>
        <v>6.1440981093510469</v>
      </c>
    </row>
    <row r="144" spans="1:6">
      <c r="A144" s="485">
        <v>45503</v>
      </c>
      <c r="B144">
        <v>2946333</v>
      </c>
      <c r="E144" s="343">
        <v>310.48</v>
      </c>
      <c r="F144" s="492">
        <f t="shared" si="5"/>
        <v>7.9325498211548293</v>
      </c>
    </row>
    <row r="145" spans="1:6">
      <c r="A145" s="485">
        <v>45509</v>
      </c>
      <c r="B145" t="s">
        <v>1180</v>
      </c>
      <c r="E145" s="343">
        <v>300</v>
      </c>
      <c r="F145" s="492">
        <f t="shared" si="5"/>
        <v>7.664793050587634</v>
      </c>
    </row>
    <row r="146" spans="1:6">
      <c r="A146" s="485">
        <v>45510</v>
      </c>
      <c r="B146" t="s">
        <v>1180</v>
      </c>
      <c r="E146" s="343">
        <v>300</v>
      </c>
      <c r="F146" s="492">
        <f t="shared" si="5"/>
        <v>7.664793050587634</v>
      </c>
    </row>
    <row r="147" spans="1:6">
      <c r="A147" s="485">
        <v>45511</v>
      </c>
      <c r="B147" t="s">
        <v>1180</v>
      </c>
      <c r="E147" s="343">
        <v>300</v>
      </c>
      <c r="F147" s="492">
        <f t="shared" si="5"/>
        <v>7.664793050587634</v>
      </c>
    </row>
    <row r="148" spans="1:6">
      <c r="A148" s="485">
        <v>45513</v>
      </c>
      <c r="B148" t="s">
        <v>1180</v>
      </c>
      <c r="E148" s="343">
        <v>300</v>
      </c>
      <c r="F148" s="492">
        <f t="shared" si="5"/>
        <v>7.664793050587634</v>
      </c>
    </row>
    <row r="149" spans="1:6">
      <c r="A149" s="485">
        <v>45516</v>
      </c>
      <c r="B149" t="s">
        <v>1180</v>
      </c>
      <c r="E149" s="343">
        <v>300</v>
      </c>
      <c r="F149" s="492">
        <f t="shared" si="5"/>
        <v>7.664793050587634</v>
      </c>
    </row>
    <row r="150" spans="1:6">
      <c r="A150" s="485">
        <v>45517</v>
      </c>
      <c r="B150" t="s">
        <v>1180</v>
      </c>
      <c r="E150" s="343">
        <v>300</v>
      </c>
      <c r="F150" s="492">
        <f t="shared" si="5"/>
        <v>7.664793050587634</v>
      </c>
    </row>
    <row r="151" spans="1:6">
      <c r="A151" s="485">
        <v>45512</v>
      </c>
      <c r="B151" t="s">
        <v>1231</v>
      </c>
      <c r="E151" s="343">
        <v>200</v>
      </c>
      <c r="F151" s="492">
        <f t="shared" si="5"/>
        <v>5.1098620337250891</v>
      </c>
    </row>
    <row r="152" spans="1:6">
      <c r="A152" s="485">
        <v>45513</v>
      </c>
      <c r="B152" t="s">
        <v>1231</v>
      </c>
      <c r="E152" s="343">
        <v>200</v>
      </c>
      <c r="F152" s="492">
        <f t="shared" si="5"/>
        <v>5.1098620337250891</v>
      </c>
    </row>
    <row r="153" spans="1:6">
      <c r="A153" s="485">
        <v>45516</v>
      </c>
      <c r="B153" t="s">
        <v>1231</v>
      </c>
      <c r="E153" s="343">
        <v>200</v>
      </c>
      <c r="F153" s="492">
        <f t="shared" si="5"/>
        <v>5.1098620337250891</v>
      </c>
    </row>
    <row r="154" spans="1:6">
      <c r="A154" s="485">
        <v>45518</v>
      </c>
      <c r="B154" t="s">
        <v>1180</v>
      </c>
      <c r="E154" s="343">
        <v>300</v>
      </c>
      <c r="F154" s="492">
        <f>E154/39.14</f>
        <v>7.664793050587634</v>
      </c>
    </row>
    <row r="155" spans="1:6">
      <c r="A155" s="485">
        <v>45519</v>
      </c>
      <c r="B155" t="s">
        <v>1180</v>
      </c>
      <c r="E155" s="343">
        <v>300</v>
      </c>
      <c r="F155" s="492">
        <f t="shared" ref="F155:F181" si="6">E155/39.14</f>
        <v>7.664793050587634</v>
      </c>
    </row>
    <row r="156" spans="1:6">
      <c r="A156" s="485">
        <v>45520</v>
      </c>
      <c r="B156" t="s">
        <v>1180</v>
      </c>
      <c r="E156" s="343">
        <v>300</v>
      </c>
      <c r="F156" s="492">
        <f t="shared" si="6"/>
        <v>7.664793050587634</v>
      </c>
    </row>
    <row r="157" spans="1:6">
      <c r="A157" s="485">
        <v>45509</v>
      </c>
      <c r="B157">
        <v>2946966</v>
      </c>
      <c r="E157" s="343">
        <v>310.48</v>
      </c>
      <c r="F157" s="492">
        <f t="shared" si="6"/>
        <v>7.9325498211548293</v>
      </c>
    </row>
    <row r="158" spans="1:6">
      <c r="A158" s="485">
        <v>45509</v>
      </c>
      <c r="B158">
        <v>2946968</v>
      </c>
      <c r="E158" s="343">
        <v>240.48</v>
      </c>
      <c r="F158" s="492">
        <f t="shared" si="6"/>
        <v>6.1440981093510469</v>
      </c>
    </row>
    <row r="159" spans="1:6">
      <c r="A159" s="485">
        <v>45511</v>
      </c>
      <c r="B159">
        <v>2947353</v>
      </c>
      <c r="E159" s="343">
        <v>480.48</v>
      </c>
      <c r="F159" s="492">
        <f t="shared" si="6"/>
        <v>12.275932549821155</v>
      </c>
    </row>
    <row r="160" spans="1:6">
      <c r="A160" s="485">
        <v>45511</v>
      </c>
      <c r="B160">
        <v>2947354</v>
      </c>
      <c r="E160" s="343">
        <v>240.48</v>
      </c>
      <c r="F160" s="492">
        <f t="shared" si="6"/>
        <v>6.1440981093510469</v>
      </c>
    </row>
    <row r="161" spans="1:9">
      <c r="A161" s="485">
        <v>45512</v>
      </c>
      <c r="B161">
        <v>2947486</v>
      </c>
      <c r="E161" s="343">
        <v>346.48</v>
      </c>
      <c r="F161" s="492">
        <f>E161/39.14</f>
        <v>8.8523249872253444</v>
      </c>
    </row>
    <row r="162" spans="1:9">
      <c r="A162" s="485">
        <v>45512</v>
      </c>
      <c r="B162">
        <v>2947520</v>
      </c>
      <c r="E162" s="343">
        <v>559.44000000000005</v>
      </c>
      <c r="F162" s="492">
        <f>E162/39.14</f>
        <v>14.293306080735821</v>
      </c>
    </row>
    <row r="163" spans="1:9">
      <c r="A163" s="485">
        <v>45512</v>
      </c>
      <c r="B163">
        <v>2947520.01</v>
      </c>
      <c r="E163" s="343">
        <v>347.74</v>
      </c>
      <c r="F163" s="492">
        <f t="shared" si="6"/>
        <v>8.8845171180378131</v>
      </c>
    </row>
    <row r="164" spans="1:9">
      <c r="A164" s="485">
        <v>45512</v>
      </c>
      <c r="B164">
        <v>2947522</v>
      </c>
      <c r="E164" s="343">
        <v>282.74</v>
      </c>
      <c r="F164" s="492">
        <f t="shared" si="6"/>
        <v>7.2238119570771593</v>
      </c>
    </row>
    <row r="165" spans="1:9">
      <c r="A165" s="485">
        <v>45512</v>
      </c>
      <c r="B165">
        <v>2947523</v>
      </c>
      <c r="E165" s="343">
        <v>365.74</v>
      </c>
      <c r="F165" s="492">
        <f t="shared" si="6"/>
        <v>9.3444047010730706</v>
      </c>
    </row>
    <row r="166" spans="1:9">
      <c r="A166" s="485">
        <v>45512</v>
      </c>
      <c r="B166">
        <v>2947524</v>
      </c>
      <c r="E166" s="343">
        <v>315.74</v>
      </c>
      <c r="F166" s="492">
        <f t="shared" si="6"/>
        <v>8.066939192641799</v>
      </c>
    </row>
    <row r="167" spans="1:9">
      <c r="A167" s="485">
        <v>45512</v>
      </c>
      <c r="B167">
        <v>2947526</v>
      </c>
      <c r="E167" s="343">
        <v>195.74</v>
      </c>
      <c r="F167" s="492">
        <f t="shared" si="6"/>
        <v>5.0010219724067451</v>
      </c>
    </row>
    <row r="168" spans="1:9">
      <c r="A168" s="485">
        <v>45512</v>
      </c>
      <c r="B168">
        <v>2947527</v>
      </c>
      <c r="E168" s="343">
        <v>195.74</v>
      </c>
      <c r="F168" s="492">
        <f t="shared" si="6"/>
        <v>5.0010219724067451</v>
      </c>
    </row>
    <row r="169" spans="1:9">
      <c r="A169" s="485">
        <v>45516</v>
      </c>
      <c r="B169">
        <v>2947870</v>
      </c>
      <c r="E169" s="343">
        <v>240.48</v>
      </c>
      <c r="F169" s="492">
        <f t="shared" si="6"/>
        <v>6.1440981093510469</v>
      </c>
    </row>
    <row r="170" spans="1:9">
      <c r="A170" s="485">
        <v>45516</v>
      </c>
      <c r="B170">
        <v>2947871</v>
      </c>
      <c r="E170" s="343">
        <v>240.48</v>
      </c>
      <c r="F170" s="492">
        <f t="shared" si="6"/>
        <v>6.1440981093510469</v>
      </c>
    </row>
    <row r="171" spans="1:9">
      <c r="A171" s="485">
        <v>45526</v>
      </c>
      <c r="B171">
        <v>2949323</v>
      </c>
      <c r="E171" s="343">
        <v>458.48</v>
      </c>
      <c r="F171" s="492">
        <f t="shared" si="6"/>
        <v>11.713847726111394</v>
      </c>
    </row>
    <row r="172" spans="1:9">
      <c r="A172" s="485">
        <v>45526</v>
      </c>
      <c r="B172">
        <v>2949324</v>
      </c>
      <c r="E172" s="343">
        <v>310.48</v>
      </c>
      <c r="F172" s="492">
        <f t="shared" si="6"/>
        <v>7.9325498211548293</v>
      </c>
    </row>
    <row r="173" spans="1:9">
      <c r="A173" s="485">
        <v>45544</v>
      </c>
      <c r="B173" t="s">
        <v>1180</v>
      </c>
      <c r="E173" s="343">
        <v>300</v>
      </c>
      <c r="F173" s="492">
        <f t="shared" si="6"/>
        <v>7.664793050587634</v>
      </c>
      <c r="G173" t="s">
        <v>1233</v>
      </c>
    </row>
    <row r="174" spans="1:9">
      <c r="A174" s="485">
        <v>45544</v>
      </c>
      <c r="B174">
        <v>2951341</v>
      </c>
      <c r="E174" s="343">
        <v>725.48</v>
      </c>
      <c r="F174" s="492">
        <f t="shared" si="6"/>
        <v>18.535513541134389</v>
      </c>
      <c r="G174" t="s">
        <v>1225</v>
      </c>
    </row>
    <row r="175" spans="1:9">
      <c r="A175" s="485">
        <v>45547</v>
      </c>
      <c r="B175">
        <v>2952182</v>
      </c>
      <c r="E175" s="343">
        <v>116.89</v>
      </c>
      <c r="F175" s="492">
        <f t="shared" si="6"/>
        <v>2.9864588656106283</v>
      </c>
      <c r="G175" t="s">
        <v>1234</v>
      </c>
      <c r="I175" t="s">
        <v>1235</v>
      </c>
    </row>
    <row r="176" spans="1:9">
      <c r="A176" s="485">
        <v>45551</v>
      </c>
      <c r="B176">
        <v>2952685</v>
      </c>
      <c r="E176" s="343">
        <v>335.48</v>
      </c>
      <c r="F176" s="492">
        <f t="shared" si="6"/>
        <v>8.571282575370466</v>
      </c>
      <c r="G176" t="s">
        <v>1236</v>
      </c>
    </row>
    <row r="177" spans="1:7">
      <c r="A177" s="485">
        <v>45551</v>
      </c>
      <c r="B177">
        <v>2952688</v>
      </c>
      <c r="E177" s="343">
        <v>440.48</v>
      </c>
      <c r="F177" s="492">
        <f t="shared" si="6"/>
        <v>11.253960143076137</v>
      </c>
      <c r="G177" t="s">
        <v>1237</v>
      </c>
    </row>
    <row r="178" spans="1:7">
      <c r="A178" s="485">
        <v>45554</v>
      </c>
      <c r="B178">
        <v>2953336</v>
      </c>
      <c r="E178" s="343">
        <v>410.48</v>
      </c>
      <c r="F178" s="492">
        <f t="shared" si="6"/>
        <v>10.487480838017374</v>
      </c>
      <c r="G178" t="s">
        <v>1238</v>
      </c>
    </row>
    <row r="179" spans="1:7">
      <c r="A179" s="485">
        <v>45554</v>
      </c>
      <c r="B179">
        <v>2953339</v>
      </c>
      <c r="E179" s="343">
        <v>435.48</v>
      </c>
      <c r="F179" s="492">
        <f t="shared" si="6"/>
        <v>11.126213592233009</v>
      </c>
      <c r="G179" t="s">
        <v>1239</v>
      </c>
    </row>
    <row r="180" spans="1:7">
      <c r="A180" s="485">
        <v>45565</v>
      </c>
      <c r="B180">
        <v>2954642</v>
      </c>
      <c r="E180" s="343">
        <v>410.48</v>
      </c>
      <c r="F180" s="492">
        <f t="shared" si="6"/>
        <v>10.487480838017374</v>
      </c>
      <c r="G180" t="s">
        <v>1240</v>
      </c>
    </row>
    <row r="181" spans="1:7">
      <c r="A181" s="485">
        <v>45566</v>
      </c>
      <c r="B181">
        <v>2954645</v>
      </c>
      <c r="E181" s="343">
        <v>410.48</v>
      </c>
      <c r="F181" s="492">
        <f t="shared" si="6"/>
        <v>10.487480838017374</v>
      </c>
      <c r="G181" t="s">
        <v>1240</v>
      </c>
    </row>
    <row r="182" spans="1:7">
      <c r="A182" s="485">
        <v>45566</v>
      </c>
      <c r="B182">
        <v>2954646</v>
      </c>
      <c r="E182" s="343">
        <v>435.48</v>
      </c>
      <c r="F182" s="492">
        <f t="shared" ref="F182:F245" si="7">E182/39.14</f>
        <v>11.126213592233009</v>
      </c>
      <c r="G182" t="s">
        <v>1241</v>
      </c>
    </row>
    <row r="183" spans="1:7">
      <c r="A183" s="485">
        <v>45568</v>
      </c>
      <c r="B183">
        <v>2954643</v>
      </c>
      <c r="E183" s="343">
        <v>240.48</v>
      </c>
      <c r="F183" s="492">
        <f t="shared" si="7"/>
        <v>6.1440981093510469</v>
      </c>
      <c r="G183" t="s">
        <v>1240</v>
      </c>
    </row>
    <row r="184" spans="1:7">
      <c r="A184" s="485">
        <v>45568</v>
      </c>
      <c r="B184">
        <v>2954647</v>
      </c>
      <c r="E184" s="343">
        <v>645.48</v>
      </c>
      <c r="F184" s="492">
        <f t="shared" si="7"/>
        <v>16.491568727644353</v>
      </c>
      <c r="G184" t="s">
        <v>1241</v>
      </c>
    </row>
    <row r="185" spans="1:7">
      <c r="A185" s="485">
        <v>45569</v>
      </c>
      <c r="B185">
        <v>2955121</v>
      </c>
      <c r="E185" s="343">
        <v>410.48</v>
      </c>
      <c r="F185" s="492">
        <f t="shared" si="7"/>
        <v>10.487480838017374</v>
      </c>
      <c r="G185" t="s">
        <v>1242</v>
      </c>
    </row>
    <row r="186" spans="1:7">
      <c r="A186" s="485">
        <v>45567</v>
      </c>
      <c r="B186" t="s">
        <v>1243</v>
      </c>
      <c r="E186" s="343">
        <v>200</v>
      </c>
      <c r="F186" s="492">
        <f t="shared" si="7"/>
        <v>5.1098620337250891</v>
      </c>
      <c r="G186" t="s">
        <v>1244</v>
      </c>
    </row>
    <row r="187" spans="1:7">
      <c r="A187" s="485">
        <v>45572</v>
      </c>
      <c r="B187" t="s">
        <v>1243</v>
      </c>
      <c r="E187" s="343">
        <v>200</v>
      </c>
      <c r="F187" s="492">
        <f t="shared" si="7"/>
        <v>5.1098620337250891</v>
      </c>
      <c r="G187" t="s">
        <v>1244</v>
      </c>
    </row>
    <row r="188" spans="1:7">
      <c r="A188" s="485">
        <v>45574</v>
      </c>
      <c r="B188" t="s">
        <v>1243</v>
      </c>
      <c r="E188" s="343">
        <v>200</v>
      </c>
      <c r="F188" s="492">
        <f t="shared" si="7"/>
        <v>5.1098620337250891</v>
      </c>
      <c r="G188" t="s">
        <v>1244</v>
      </c>
    </row>
    <row r="189" spans="1:7">
      <c r="A189" s="485">
        <v>45576</v>
      </c>
      <c r="B189" t="s">
        <v>1243</v>
      </c>
      <c r="E189" s="343">
        <v>200</v>
      </c>
      <c r="F189" s="492">
        <f t="shared" si="7"/>
        <v>5.1098620337250891</v>
      </c>
      <c r="G189" t="s">
        <v>1245</v>
      </c>
    </row>
    <row r="190" spans="1:7">
      <c r="A190" s="485">
        <v>45580</v>
      </c>
      <c r="B190" t="s">
        <v>1243</v>
      </c>
      <c r="E190" s="343">
        <v>200</v>
      </c>
      <c r="F190" s="492">
        <f t="shared" si="7"/>
        <v>5.1098620337250891</v>
      </c>
    </row>
    <row r="191" spans="1:7">
      <c r="A191" s="485">
        <v>45581</v>
      </c>
      <c r="B191" t="s">
        <v>1243</v>
      </c>
      <c r="E191" s="343">
        <v>200</v>
      </c>
      <c r="F191" s="492">
        <f t="shared" si="7"/>
        <v>5.1098620337250891</v>
      </c>
    </row>
    <row r="192" spans="1:7">
      <c r="A192" s="485">
        <v>45582</v>
      </c>
      <c r="B192" t="s">
        <v>1243</v>
      </c>
      <c r="E192" s="343">
        <v>200</v>
      </c>
      <c r="F192" s="492">
        <f t="shared" si="7"/>
        <v>5.1098620337250891</v>
      </c>
    </row>
    <row r="193" spans="1:6">
      <c r="A193" s="485">
        <v>45583</v>
      </c>
      <c r="B193" t="s">
        <v>1243</v>
      </c>
      <c r="E193" s="343">
        <v>200</v>
      </c>
      <c r="F193" s="492">
        <f t="shared" si="7"/>
        <v>5.1098620337250891</v>
      </c>
    </row>
    <row r="194" spans="1:6">
      <c r="A194" s="485">
        <v>45573</v>
      </c>
      <c r="B194">
        <v>2955861</v>
      </c>
      <c r="E194" s="343">
        <v>535.48</v>
      </c>
      <c r="F194" s="492">
        <f t="shared" si="7"/>
        <v>13.681144609095554</v>
      </c>
    </row>
    <row r="195" spans="1:6">
      <c r="A195" s="485">
        <v>45573</v>
      </c>
      <c r="B195">
        <v>2955862</v>
      </c>
      <c r="E195" s="343">
        <v>240.48</v>
      </c>
      <c r="F195" s="492">
        <f t="shared" si="7"/>
        <v>6.1440981093510469</v>
      </c>
    </row>
    <row r="196" spans="1:6">
      <c r="A196" s="485">
        <v>45573</v>
      </c>
      <c r="B196">
        <v>2955879</v>
      </c>
      <c r="E196" s="343">
        <v>470.48</v>
      </c>
      <c r="F196" s="492">
        <f t="shared" si="7"/>
        <v>12.020439448134901</v>
      </c>
    </row>
    <row r="197" spans="1:6">
      <c r="A197" s="485">
        <v>45576</v>
      </c>
      <c r="B197">
        <v>2956340</v>
      </c>
      <c r="E197" s="343">
        <v>240.48</v>
      </c>
      <c r="F197" s="492">
        <f t="shared" si="7"/>
        <v>6.1440981093510469</v>
      </c>
    </row>
    <row r="198" spans="1:6">
      <c r="A198" s="485">
        <v>45576</v>
      </c>
      <c r="B198">
        <v>2956341</v>
      </c>
      <c r="E198" s="343">
        <v>555.48</v>
      </c>
      <c r="F198" s="492">
        <f t="shared" si="7"/>
        <v>14.192130812468063</v>
      </c>
    </row>
    <row r="199" spans="1:6">
      <c r="A199" s="485">
        <v>45576</v>
      </c>
      <c r="B199">
        <v>2956343</v>
      </c>
      <c r="E199" s="343">
        <v>405.48</v>
      </c>
      <c r="F199" s="492">
        <f t="shared" si="7"/>
        <v>10.359734287174247</v>
      </c>
    </row>
    <row r="200" spans="1:6">
      <c r="A200" s="485">
        <v>45581</v>
      </c>
      <c r="B200">
        <v>2957068</v>
      </c>
      <c r="E200" s="343">
        <v>455.48</v>
      </c>
      <c r="F200" s="492">
        <f t="shared" si="7"/>
        <v>11.637199795605518</v>
      </c>
    </row>
    <row r="201" spans="1:6">
      <c r="A201" s="485">
        <v>45581</v>
      </c>
      <c r="B201">
        <v>2957071</v>
      </c>
      <c r="E201" s="343">
        <v>395.48</v>
      </c>
      <c r="F201" s="492">
        <f t="shared" si="7"/>
        <v>10.104241185487993</v>
      </c>
    </row>
    <row r="202" spans="1:6">
      <c r="A202" s="485">
        <v>45581</v>
      </c>
      <c r="B202">
        <v>2957072</v>
      </c>
      <c r="E202" s="343">
        <v>380.48</v>
      </c>
      <c r="F202" s="492">
        <f t="shared" si="7"/>
        <v>9.7210015329586099</v>
      </c>
    </row>
    <row r="203" spans="1:6">
      <c r="A203" s="485">
        <v>45581</v>
      </c>
      <c r="B203">
        <v>2957073</v>
      </c>
      <c r="E203" s="343">
        <v>310.48</v>
      </c>
      <c r="F203" s="492">
        <f t="shared" si="7"/>
        <v>7.9325498211548293</v>
      </c>
    </row>
    <row r="204" spans="1:6">
      <c r="A204" s="485">
        <v>45581</v>
      </c>
      <c r="B204">
        <v>2957075</v>
      </c>
      <c r="E204" s="343">
        <v>310.48</v>
      </c>
      <c r="F204" s="492">
        <f t="shared" si="7"/>
        <v>7.9325498211548293</v>
      </c>
    </row>
    <row r="205" spans="1:6">
      <c r="A205" s="485">
        <v>45582</v>
      </c>
      <c r="B205">
        <v>2957374</v>
      </c>
      <c r="E205" s="343">
        <v>400.48</v>
      </c>
      <c r="F205" s="492">
        <f t="shared" si="7"/>
        <v>10.231987736331119</v>
      </c>
    </row>
    <row r="206" spans="1:6">
      <c r="A206" s="485">
        <v>45582</v>
      </c>
      <c r="B206">
        <v>2957376</v>
      </c>
      <c r="E206" s="343">
        <v>310.48</v>
      </c>
      <c r="F206" s="492">
        <f t="shared" si="7"/>
        <v>7.9325498211548293</v>
      </c>
    </row>
    <row r="207" spans="1:6">
      <c r="A207" s="485">
        <v>45582</v>
      </c>
      <c r="B207">
        <v>2957377</v>
      </c>
      <c r="E207" s="343">
        <v>370.48</v>
      </c>
      <c r="F207" s="492">
        <f t="shared" si="7"/>
        <v>9.4655084312723563</v>
      </c>
    </row>
    <row r="208" spans="1:6">
      <c r="A208" s="485">
        <v>45582</v>
      </c>
      <c r="B208">
        <v>2957378</v>
      </c>
      <c r="E208" s="343">
        <v>395.48</v>
      </c>
      <c r="F208" s="492">
        <f t="shared" si="7"/>
        <v>10.104241185487993</v>
      </c>
    </row>
    <row r="209" spans="1:7">
      <c r="A209" s="485">
        <v>45583</v>
      </c>
      <c r="B209">
        <v>2957629</v>
      </c>
      <c r="E209" s="343">
        <v>356.48</v>
      </c>
      <c r="F209" s="492">
        <f t="shared" si="7"/>
        <v>9.1078180889115998</v>
      </c>
    </row>
    <row r="210" spans="1:7">
      <c r="A210" s="485">
        <v>45583</v>
      </c>
      <c r="B210">
        <v>2957630</v>
      </c>
      <c r="E210" s="343">
        <v>240.48</v>
      </c>
      <c r="F210" s="492">
        <f t="shared" si="7"/>
        <v>6.1440981093510469</v>
      </c>
    </row>
    <row r="211" spans="1:7">
      <c r="A211" s="485">
        <v>45583</v>
      </c>
      <c r="B211">
        <v>2957631</v>
      </c>
      <c r="E211" s="343">
        <v>391.48</v>
      </c>
      <c r="F211" s="492">
        <f t="shared" si="7"/>
        <v>10.00204394481349</v>
      </c>
    </row>
    <row r="212" spans="1:7">
      <c r="A212" s="485">
        <v>45583</v>
      </c>
      <c r="B212">
        <v>2957633</v>
      </c>
      <c r="E212" s="343">
        <v>240.48</v>
      </c>
      <c r="F212" s="492">
        <f t="shared" si="7"/>
        <v>6.1440981093510469</v>
      </c>
    </row>
    <row r="213" spans="1:7">
      <c r="A213" s="485">
        <v>45583</v>
      </c>
      <c r="B213">
        <v>2957634</v>
      </c>
      <c r="E213" s="343">
        <v>310.48</v>
      </c>
      <c r="F213" s="492">
        <f t="shared" si="7"/>
        <v>7.9325498211548293</v>
      </c>
    </row>
    <row r="214" spans="1:7">
      <c r="A214" s="485">
        <v>45586</v>
      </c>
      <c r="B214" t="s">
        <v>1243</v>
      </c>
      <c r="E214" s="343">
        <v>200</v>
      </c>
      <c r="F214" s="492">
        <f t="shared" si="7"/>
        <v>5.1098620337250891</v>
      </c>
      <c r="G214" t="s">
        <v>1246</v>
      </c>
    </row>
    <row r="215" spans="1:7">
      <c r="A215" s="485">
        <v>45587</v>
      </c>
      <c r="B215" t="s">
        <v>1243</v>
      </c>
      <c r="E215" s="343">
        <v>200</v>
      </c>
      <c r="F215" s="492">
        <f t="shared" si="7"/>
        <v>5.1098620337250891</v>
      </c>
      <c r="G215" t="s">
        <v>1247</v>
      </c>
    </row>
    <row r="216" spans="1:7">
      <c r="A216" s="485">
        <v>45586</v>
      </c>
      <c r="B216">
        <v>2957790</v>
      </c>
      <c r="E216" s="343">
        <v>310.48</v>
      </c>
      <c r="F216" s="492">
        <f t="shared" si="7"/>
        <v>7.9325498211548293</v>
      </c>
    </row>
    <row r="217" spans="1:7">
      <c r="A217" s="485">
        <v>45586</v>
      </c>
      <c r="B217">
        <v>2957791</v>
      </c>
      <c r="E217" s="343">
        <v>310.48</v>
      </c>
      <c r="F217" s="492">
        <f t="shared" si="7"/>
        <v>7.9325498211548293</v>
      </c>
    </row>
    <row r="218" spans="1:7">
      <c r="A218" s="485">
        <v>45586</v>
      </c>
      <c r="B218">
        <v>2957792</v>
      </c>
      <c r="E218" s="343">
        <v>310.48</v>
      </c>
      <c r="F218" s="492">
        <f t="shared" si="7"/>
        <v>7.9325498211548293</v>
      </c>
    </row>
    <row r="219" spans="1:7">
      <c r="A219" s="485">
        <v>45586</v>
      </c>
      <c r="B219">
        <v>2957793</v>
      </c>
      <c r="E219" s="343">
        <v>310.48</v>
      </c>
      <c r="F219" s="492">
        <f t="shared" si="7"/>
        <v>7.9325498211548293</v>
      </c>
    </row>
    <row r="220" spans="1:7">
      <c r="A220" s="485">
        <v>45587</v>
      </c>
      <c r="B220">
        <v>2958087</v>
      </c>
      <c r="E220" s="343">
        <v>310.48</v>
      </c>
      <c r="F220" s="492">
        <f t="shared" si="7"/>
        <v>7.9325498211548293</v>
      </c>
    </row>
    <row r="221" spans="1:7">
      <c r="A221" s="485">
        <v>45587</v>
      </c>
      <c r="B221">
        <v>2958091</v>
      </c>
      <c r="E221" s="343">
        <v>310.48</v>
      </c>
      <c r="F221" s="492">
        <f t="shared" si="7"/>
        <v>7.9325498211548293</v>
      </c>
    </row>
    <row r="222" spans="1:7">
      <c r="A222" s="485">
        <v>45588</v>
      </c>
      <c r="B222">
        <v>2958105</v>
      </c>
      <c r="E222" s="343">
        <v>310.48</v>
      </c>
      <c r="F222" s="492">
        <f t="shared" si="7"/>
        <v>7.9325498211548293</v>
      </c>
    </row>
    <row r="223" spans="1:7">
      <c r="A223" s="485">
        <v>45588</v>
      </c>
      <c r="B223">
        <v>2958107</v>
      </c>
      <c r="E223" s="343">
        <v>310.48</v>
      </c>
      <c r="F223" s="492">
        <f t="shared" si="7"/>
        <v>7.9325498211548293</v>
      </c>
    </row>
    <row r="224" spans="1:7">
      <c r="A224" s="485">
        <v>45588</v>
      </c>
      <c r="B224">
        <v>2958108</v>
      </c>
      <c r="E224" s="343">
        <v>310.48</v>
      </c>
      <c r="F224" s="492">
        <f t="shared" si="7"/>
        <v>7.9325498211548293</v>
      </c>
    </row>
    <row r="225" spans="1:7">
      <c r="A225" s="485">
        <v>45588</v>
      </c>
      <c r="B225">
        <v>2958109</v>
      </c>
      <c r="E225" s="343">
        <v>310.48</v>
      </c>
      <c r="F225" s="492">
        <f t="shared" si="7"/>
        <v>7.9325498211548293</v>
      </c>
    </row>
    <row r="226" spans="1:7">
      <c r="A226" s="485">
        <v>45588</v>
      </c>
      <c r="B226">
        <v>2958110</v>
      </c>
      <c r="E226" s="343">
        <v>310.48</v>
      </c>
      <c r="F226" s="492">
        <f t="shared" si="7"/>
        <v>7.9325498211548293</v>
      </c>
    </row>
    <row r="227" spans="1:7">
      <c r="A227" s="485">
        <v>45588</v>
      </c>
      <c r="B227">
        <v>2958112</v>
      </c>
      <c r="E227" s="343">
        <v>310.48</v>
      </c>
      <c r="F227" s="492">
        <f t="shared" si="7"/>
        <v>7.9325498211548293</v>
      </c>
    </row>
    <row r="228" spans="1:7">
      <c r="A228" s="485">
        <v>45588</v>
      </c>
      <c r="B228">
        <v>2958114</v>
      </c>
      <c r="E228" s="343">
        <v>310.48</v>
      </c>
      <c r="F228" s="492">
        <f t="shared" si="7"/>
        <v>7.9325498211548293</v>
      </c>
    </row>
    <row r="229" spans="1:7">
      <c r="A229" s="485">
        <v>45588</v>
      </c>
      <c r="B229">
        <v>2958115</v>
      </c>
      <c r="E229" s="343">
        <v>310.48</v>
      </c>
      <c r="F229" s="492">
        <f t="shared" si="7"/>
        <v>7.9325498211548293</v>
      </c>
    </row>
    <row r="230" spans="1:7">
      <c r="A230" s="485">
        <v>45588</v>
      </c>
      <c r="B230">
        <v>2958116</v>
      </c>
      <c r="E230" s="343">
        <v>310.48</v>
      </c>
      <c r="F230" s="492">
        <f t="shared" si="7"/>
        <v>7.9325498211548293</v>
      </c>
    </row>
    <row r="231" spans="1:7">
      <c r="A231" s="485">
        <v>45589</v>
      </c>
      <c r="B231">
        <v>2958447</v>
      </c>
      <c r="E231" s="343">
        <v>275.48</v>
      </c>
      <c r="F231" s="492">
        <f t="shared" si="7"/>
        <v>7.0383239652529381</v>
      </c>
    </row>
    <row r="232" spans="1:7">
      <c r="A232" s="485">
        <v>45589</v>
      </c>
      <c r="B232">
        <v>2958449</v>
      </c>
      <c r="E232" s="343">
        <v>310.48</v>
      </c>
      <c r="F232" s="492">
        <f t="shared" si="7"/>
        <v>7.9325498211548293</v>
      </c>
    </row>
    <row r="233" spans="1:7">
      <c r="A233" s="485">
        <v>45589</v>
      </c>
      <c r="B233">
        <v>2958453</v>
      </c>
      <c r="E233" s="343">
        <v>370.48</v>
      </c>
      <c r="F233" s="492">
        <f t="shared" si="7"/>
        <v>9.4655084312723563</v>
      </c>
    </row>
    <row r="234" spans="1:7">
      <c r="A234" s="485">
        <v>45589</v>
      </c>
      <c r="B234">
        <v>2958455</v>
      </c>
      <c r="E234" s="343">
        <v>400.48</v>
      </c>
      <c r="F234" s="492">
        <f t="shared" si="7"/>
        <v>10.231987736331119</v>
      </c>
    </row>
    <row r="235" spans="1:7">
      <c r="A235" s="485">
        <v>45589</v>
      </c>
      <c r="B235">
        <v>2958457</v>
      </c>
      <c r="E235" s="343">
        <v>335.48</v>
      </c>
      <c r="F235" s="492">
        <f t="shared" si="7"/>
        <v>8.571282575370466</v>
      </c>
    </row>
    <row r="236" spans="1:7">
      <c r="A236" s="485">
        <v>45589</v>
      </c>
      <c r="B236">
        <v>2958459</v>
      </c>
      <c r="E236" s="343">
        <v>240.48</v>
      </c>
      <c r="F236" s="492">
        <f t="shared" si="7"/>
        <v>6.1440981093510469</v>
      </c>
    </row>
    <row r="237" spans="1:7">
      <c r="A237" s="485">
        <v>45589</v>
      </c>
      <c r="E237" s="343">
        <v>310.48</v>
      </c>
      <c r="F237" s="492">
        <f t="shared" si="7"/>
        <v>7.9325498211548293</v>
      </c>
      <c r="G237" t="s">
        <v>1248</v>
      </c>
    </row>
    <row r="238" spans="1:7">
      <c r="A238" s="485">
        <v>45594</v>
      </c>
      <c r="B238">
        <v>2959206</v>
      </c>
      <c r="E238" s="343">
        <v>240.48</v>
      </c>
      <c r="F238" s="492">
        <f t="shared" si="7"/>
        <v>6.1440981093510469</v>
      </c>
    </row>
    <row r="239" spans="1:7">
      <c r="A239" s="485">
        <v>45594</v>
      </c>
      <c r="B239">
        <v>2959225</v>
      </c>
      <c r="E239" s="343">
        <v>335.48</v>
      </c>
      <c r="F239" s="492">
        <f t="shared" si="7"/>
        <v>8.571282575370466</v>
      </c>
    </row>
    <row r="240" spans="1:7">
      <c r="A240" s="485">
        <v>45594</v>
      </c>
      <c r="B240">
        <v>2959227</v>
      </c>
      <c r="E240" s="343">
        <v>275.48</v>
      </c>
      <c r="F240" s="492">
        <f t="shared" si="7"/>
        <v>7.0383239652529381</v>
      </c>
    </row>
    <row r="241" spans="1:7">
      <c r="A241" s="485">
        <v>45594</v>
      </c>
      <c r="B241">
        <v>2959228</v>
      </c>
      <c r="E241" s="343">
        <v>240.48</v>
      </c>
      <c r="F241" s="492">
        <f t="shared" si="7"/>
        <v>6.1440981093510469</v>
      </c>
    </row>
    <row r="242" spans="1:7">
      <c r="A242" s="485">
        <v>45594</v>
      </c>
      <c r="B242">
        <v>2959229</v>
      </c>
      <c r="E242" s="343">
        <v>275.48</v>
      </c>
      <c r="F242" s="492">
        <f t="shared" si="7"/>
        <v>7.0383239652529381</v>
      </c>
    </row>
    <row r="243" spans="1:7">
      <c r="A243" s="485">
        <v>45594</v>
      </c>
      <c r="B243">
        <v>2959230</v>
      </c>
      <c r="E243" s="343">
        <v>335.48</v>
      </c>
      <c r="F243" s="492">
        <f t="shared" si="7"/>
        <v>8.571282575370466</v>
      </c>
    </row>
    <row r="244" spans="1:7">
      <c r="A244" s="485">
        <v>45594</v>
      </c>
      <c r="B244">
        <v>2959232</v>
      </c>
      <c r="E244" s="343">
        <v>265.48</v>
      </c>
      <c r="F244" s="492">
        <f t="shared" si="7"/>
        <v>6.7828308635666836</v>
      </c>
    </row>
    <row r="245" spans="1:7">
      <c r="A245" s="485">
        <v>45594</v>
      </c>
      <c r="B245">
        <v>2959233</v>
      </c>
      <c r="E245" s="343">
        <v>275.48</v>
      </c>
      <c r="F245" s="492">
        <f t="shared" si="7"/>
        <v>7.0383239652529381</v>
      </c>
    </row>
    <row r="246" spans="1:7">
      <c r="A246" s="485">
        <v>45594</v>
      </c>
      <c r="B246">
        <v>2959235</v>
      </c>
      <c r="E246" s="343">
        <v>310.48</v>
      </c>
      <c r="F246" s="492">
        <f t="shared" ref="F246:F309" si="8">E246/39.14</f>
        <v>7.9325498211548293</v>
      </c>
    </row>
    <row r="247" spans="1:7">
      <c r="A247" s="485">
        <v>45597</v>
      </c>
      <c r="B247">
        <v>2959832</v>
      </c>
      <c r="E247" s="343">
        <v>240.48</v>
      </c>
      <c r="F247" s="492">
        <f t="shared" si="8"/>
        <v>6.1440981093510469</v>
      </c>
    </row>
    <row r="248" spans="1:7">
      <c r="A248" s="485">
        <v>45590</v>
      </c>
      <c r="B248" t="s">
        <v>1180</v>
      </c>
      <c r="E248" s="343">
        <v>300</v>
      </c>
      <c r="F248" s="492">
        <f t="shared" si="8"/>
        <v>7.664793050587634</v>
      </c>
    </row>
    <row r="249" spans="1:7">
      <c r="A249" s="485">
        <v>45593</v>
      </c>
      <c r="B249" t="s">
        <v>1180</v>
      </c>
      <c r="E249" s="343">
        <v>300</v>
      </c>
      <c r="F249" s="492">
        <f t="shared" si="8"/>
        <v>7.664793050587634</v>
      </c>
      <c r="G249" t="s">
        <v>1249</v>
      </c>
    </row>
    <row r="250" spans="1:7">
      <c r="A250" s="485">
        <v>45594</v>
      </c>
      <c r="B250" t="s">
        <v>1180</v>
      </c>
      <c r="E250" s="343">
        <v>300</v>
      </c>
      <c r="F250" s="492">
        <f t="shared" si="8"/>
        <v>7.664793050587634</v>
      </c>
    </row>
    <row r="251" spans="1:7">
      <c r="A251" s="485">
        <v>45595</v>
      </c>
      <c r="B251" t="s">
        <v>1243</v>
      </c>
      <c r="E251" s="343">
        <v>200</v>
      </c>
      <c r="F251" s="492">
        <f t="shared" si="8"/>
        <v>5.1098620337250891</v>
      </c>
    </row>
    <row r="252" spans="1:7">
      <c r="A252" s="485">
        <v>45596</v>
      </c>
      <c r="B252" t="s">
        <v>1243</v>
      </c>
      <c r="E252" s="343">
        <v>200</v>
      </c>
      <c r="F252" s="492">
        <f t="shared" si="8"/>
        <v>5.1098620337250891</v>
      </c>
    </row>
    <row r="253" spans="1:7">
      <c r="A253" s="485">
        <v>45596</v>
      </c>
      <c r="B253" t="s">
        <v>1180</v>
      </c>
      <c r="E253" s="343">
        <v>300</v>
      </c>
      <c r="F253" s="492">
        <f t="shared" si="8"/>
        <v>7.664793050587634</v>
      </c>
    </row>
    <row r="254" spans="1:7">
      <c r="A254" s="485">
        <v>45597</v>
      </c>
      <c r="B254" t="s">
        <v>1180</v>
      </c>
      <c r="E254" s="343">
        <v>300</v>
      </c>
      <c r="F254" s="492">
        <f t="shared" si="8"/>
        <v>7.664793050587634</v>
      </c>
    </row>
    <row r="255" spans="1:7">
      <c r="A255" s="485">
        <v>45600</v>
      </c>
      <c r="B255" t="s">
        <v>1180</v>
      </c>
      <c r="E255" s="343">
        <v>300</v>
      </c>
      <c r="F255" s="492">
        <f t="shared" si="8"/>
        <v>7.664793050587634</v>
      </c>
      <c r="G255" t="s">
        <v>1250</v>
      </c>
    </row>
    <row r="256" spans="1:7">
      <c r="A256" s="485">
        <v>45601</v>
      </c>
      <c r="B256" t="s">
        <v>1180</v>
      </c>
      <c r="E256" s="343">
        <v>300</v>
      </c>
      <c r="F256" s="492">
        <f t="shared" si="8"/>
        <v>7.664793050587634</v>
      </c>
      <c r="G256" t="s">
        <v>1251</v>
      </c>
    </row>
    <row r="257" spans="1:7">
      <c r="A257" s="485">
        <v>45602</v>
      </c>
      <c r="B257" t="s">
        <v>1180</v>
      </c>
      <c r="E257" s="343">
        <v>300</v>
      </c>
      <c r="F257" s="492">
        <f t="shared" si="8"/>
        <v>7.664793050587634</v>
      </c>
      <c r="G257" t="s">
        <v>1251</v>
      </c>
    </row>
    <row r="258" spans="1:7">
      <c r="A258" s="485">
        <v>45603</v>
      </c>
      <c r="B258" t="s">
        <v>1180</v>
      </c>
      <c r="E258" s="343">
        <v>300</v>
      </c>
      <c r="F258" s="492">
        <f t="shared" si="8"/>
        <v>7.664793050587634</v>
      </c>
      <c r="G258" t="s">
        <v>1252</v>
      </c>
    </row>
    <row r="259" spans="1:7">
      <c r="A259" s="485">
        <v>45607</v>
      </c>
      <c r="B259" t="s">
        <v>1180</v>
      </c>
      <c r="E259" s="343">
        <v>300</v>
      </c>
      <c r="F259" s="492">
        <f t="shared" ref="F259:F276" si="9">E259/39.14</f>
        <v>7.664793050587634</v>
      </c>
      <c r="G259" t="s">
        <v>1253</v>
      </c>
    </row>
    <row r="260" spans="1:7">
      <c r="A260" s="485">
        <v>45608</v>
      </c>
      <c r="B260" t="s">
        <v>1180</v>
      </c>
      <c r="E260" s="343">
        <v>300</v>
      </c>
      <c r="F260" s="492">
        <f t="shared" si="9"/>
        <v>7.664793050587634</v>
      </c>
      <c r="G260" t="s">
        <v>1254</v>
      </c>
    </row>
    <row r="261" spans="1:7">
      <c r="A261" s="485">
        <v>45609</v>
      </c>
      <c r="B261" t="s">
        <v>1180</v>
      </c>
      <c r="E261" s="343">
        <v>300</v>
      </c>
      <c r="F261" s="492">
        <f t="shared" si="9"/>
        <v>7.664793050587634</v>
      </c>
    </row>
    <row r="262" spans="1:7">
      <c r="A262" s="485">
        <v>45610</v>
      </c>
      <c r="B262" t="s">
        <v>1180</v>
      </c>
      <c r="E262" s="343">
        <v>300</v>
      </c>
      <c r="F262" s="492">
        <f t="shared" si="9"/>
        <v>7.664793050587634</v>
      </c>
    </row>
    <row r="263" spans="1:7">
      <c r="A263" s="485">
        <v>45606</v>
      </c>
      <c r="B263" t="s">
        <v>1180</v>
      </c>
      <c r="E263" s="343">
        <v>300</v>
      </c>
      <c r="F263" s="492">
        <f t="shared" si="9"/>
        <v>7.664793050587634</v>
      </c>
    </row>
    <row r="264" spans="1:7">
      <c r="A264" s="485">
        <v>45600</v>
      </c>
      <c r="B264">
        <v>2960160</v>
      </c>
      <c r="E264" s="343">
        <v>584.11</v>
      </c>
      <c r="F264" s="492">
        <f t="shared" si="9"/>
        <v>14.92360756259581</v>
      </c>
      <c r="G264" t="s">
        <v>1255</v>
      </c>
    </row>
    <row r="265" spans="1:7">
      <c r="A265" s="485">
        <v>45600</v>
      </c>
      <c r="B265">
        <v>2960161</v>
      </c>
      <c r="E265" s="343">
        <v>240.48</v>
      </c>
      <c r="F265" s="492">
        <f t="shared" si="9"/>
        <v>6.1440981093510469</v>
      </c>
      <c r="G265" t="s">
        <v>1256</v>
      </c>
    </row>
    <row r="266" spans="1:7">
      <c r="A266" s="485">
        <v>45600</v>
      </c>
      <c r="B266">
        <v>2960206</v>
      </c>
      <c r="E266" s="343">
        <v>348.48</v>
      </c>
      <c r="F266" s="492">
        <f t="shared" si="9"/>
        <v>8.9034236075625959</v>
      </c>
      <c r="G266" t="s">
        <v>1257</v>
      </c>
    </row>
    <row r="267" spans="1:7">
      <c r="A267" s="485">
        <v>45600</v>
      </c>
      <c r="B267">
        <v>2960209</v>
      </c>
      <c r="E267" s="343">
        <v>278.48</v>
      </c>
      <c r="F267" s="492">
        <f t="shared" si="9"/>
        <v>7.1149718957588153</v>
      </c>
      <c r="G267" t="s">
        <v>1258</v>
      </c>
    </row>
    <row r="268" spans="1:7">
      <c r="A268" s="485">
        <v>45603</v>
      </c>
      <c r="B268">
        <v>2960842</v>
      </c>
      <c r="E268" s="343">
        <v>455.48</v>
      </c>
      <c r="F268" s="492">
        <f t="shared" si="9"/>
        <v>11.637199795605518</v>
      </c>
      <c r="G268" t="s">
        <v>1255</v>
      </c>
    </row>
    <row r="269" spans="1:7">
      <c r="A269" s="485">
        <v>45603</v>
      </c>
      <c r="B269">
        <v>2960978</v>
      </c>
      <c r="E269" s="343">
        <v>240.48</v>
      </c>
      <c r="F269" s="492">
        <f t="shared" si="9"/>
        <v>6.1440981093510469</v>
      </c>
      <c r="G269" t="s">
        <v>1256</v>
      </c>
    </row>
    <row r="270" spans="1:7">
      <c r="A270" s="485">
        <v>45607</v>
      </c>
      <c r="B270">
        <v>2961267</v>
      </c>
      <c r="E270" s="343">
        <v>356.48</v>
      </c>
      <c r="F270" s="492">
        <f t="shared" si="9"/>
        <v>9.1078180889115998</v>
      </c>
      <c r="G270" t="s">
        <v>1259</v>
      </c>
    </row>
    <row r="271" spans="1:7">
      <c r="A271" s="485">
        <v>45607</v>
      </c>
      <c r="B271">
        <v>2961269</v>
      </c>
      <c r="E271" s="343">
        <v>348.48</v>
      </c>
      <c r="F271" s="492">
        <f t="shared" si="9"/>
        <v>8.9034236075625959</v>
      </c>
      <c r="G271" t="s">
        <v>1260</v>
      </c>
    </row>
    <row r="272" spans="1:7">
      <c r="A272" s="485">
        <v>45608</v>
      </c>
      <c r="B272">
        <v>2961435</v>
      </c>
      <c r="E272" s="343">
        <v>455.48</v>
      </c>
      <c r="F272" s="492">
        <f t="shared" si="9"/>
        <v>11.637199795605518</v>
      </c>
      <c r="G272" t="s">
        <v>1252</v>
      </c>
    </row>
    <row r="273" spans="1:7">
      <c r="A273" s="485">
        <v>45608</v>
      </c>
      <c r="B273">
        <v>2961436</v>
      </c>
      <c r="E273" s="343">
        <v>240.48</v>
      </c>
      <c r="F273" s="492">
        <f t="shared" si="9"/>
        <v>6.1440981093510469</v>
      </c>
      <c r="G273" t="s">
        <v>1261</v>
      </c>
    </row>
    <row r="274" spans="1:7">
      <c r="A274" s="485">
        <v>45608</v>
      </c>
      <c r="B274">
        <v>2961438</v>
      </c>
      <c r="E274" s="343">
        <v>240.48</v>
      </c>
      <c r="F274" s="492">
        <f t="shared" si="9"/>
        <v>6.1440981093510469</v>
      </c>
      <c r="G274" t="s">
        <v>1262</v>
      </c>
    </row>
    <row r="275" spans="1:7">
      <c r="A275" s="485">
        <v>45608</v>
      </c>
      <c r="B275">
        <v>2961547</v>
      </c>
      <c r="E275" s="343">
        <v>240.48</v>
      </c>
      <c r="F275" s="492">
        <f t="shared" si="9"/>
        <v>6.1440981093510469</v>
      </c>
      <c r="G275" t="s">
        <v>1263</v>
      </c>
    </row>
    <row r="276" spans="1:7">
      <c r="A276" s="485">
        <v>45614</v>
      </c>
      <c r="B276">
        <v>2962096</v>
      </c>
      <c r="E276" s="343">
        <v>555.48</v>
      </c>
      <c r="F276" s="492">
        <f t="shared" si="9"/>
        <v>14.192130812468063</v>
      </c>
      <c r="G276" t="s">
        <v>1264</v>
      </c>
    </row>
    <row r="277" spans="1:7">
      <c r="A277" s="485">
        <v>45614</v>
      </c>
      <c r="B277">
        <v>2962294</v>
      </c>
      <c r="E277" s="343">
        <v>356.48</v>
      </c>
      <c r="F277" s="492">
        <f t="shared" si="8"/>
        <v>9.1078180889115998</v>
      </c>
      <c r="G277" t="s">
        <v>1265</v>
      </c>
    </row>
    <row r="278" spans="1:7">
      <c r="A278" s="485">
        <v>45614</v>
      </c>
      <c r="B278">
        <v>2962295</v>
      </c>
      <c r="E278" s="343">
        <v>310.48</v>
      </c>
      <c r="F278" s="492">
        <f t="shared" si="8"/>
        <v>7.9325498211548293</v>
      </c>
      <c r="G278" t="s">
        <v>1266</v>
      </c>
    </row>
    <row r="279" spans="1:7">
      <c r="A279" s="485">
        <v>45614</v>
      </c>
      <c r="B279">
        <v>2962296</v>
      </c>
      <c r="E279" s="343">
        <v>310.48</v>
      </c>
      <c r="F279" s="492">
        <f t="shared" si="8"/>
        <v>7.9325498211548293</v>
      </c>
      <c r="G279" t="s">
        <v>1259</v>
      </c>
    </row>
    <row r="280" spans="1:7">
      <c r="A280" s="485">
        <v>45617</v>
      </c>
      <c r="B280">
        <v>2962917</v>
      </c>
      <c r="E280" s="343">
        <v>624.11</v>
      </c>
      <c r="F280" s="492">
        <f t="shared" si="8"/>
        <v>15.945579969340828</v>
      </c>
      <c r="G280" t="s">
        <v>1264</v>
      </c>
    </row>
    <row r="281" spans="1:7">
      <c r="A281" s="485">
        <v>45617</v>
      </c>
      <c r="B281">
        <v>2963035</v>
      </c>
      <c r="E281" s="343">
        <v>310.48</v>
      </c>
      <c r="F281" s="492">
        <f t="shared" si="8"/>
        <v>7.9325498211548293</v>
      </c>
      <c r="G281" t="s">
        <v>1267</v>
      </c>
    </row>
    <row r="282" spans="1:7">
      <c r="A282" s="485">
        <v>45617</v>
      </c>
      <c r="B282">
        <v>2963036</v>
      </c>
      <c r="E282" s="343">
        <v>430.48</v>
      </c>
      <c r="F282" s="492">
        <f t="shared" si="8"/>
        <v>10.998467041389883</v>
      </c>
      <c r="G282" t="s">
        <v>1268</v>
      </c>
    </row>
    <row r="283" spans="1:7">
      <c r="A283" s="485">
        <v>45617</v>
      </c>
      <c r="B283">
        <v>2963040</v>
      </c>
      <c r="E283" s="343">
        <v>310.48</v>
      </c>
      <c r="F283" s="492">
        <f t="shared" si="8"/>
        <v>7.9325498211548293</v>
      </c>
      <c r="G283" t="s">
        <v>1269</v>
      </c>
    </row>
    <row r="284" spans="1:7">
      <c r="A284" s="485">
        <v>45618</v>
      </c>
      <c r="B284">
        <v>2963268</v>
      </c>
      <c r="E284" s="343">
        <v>356.48</v>
      </c>
      <c r="F284" s="492">
        <f t="shared" si="8"/>
        <v>9.1078180889115998</v>
      </c>
      <c r="G284" t="s">
        <v>1270</v>
      </c>
    </row>
    <row r="285" spans="1:7">
      <c r="A285" s="485">
        <v>45618</v>
      </c>
      <c r="B285">
        <v>2963272</v>
      </c>
      <c r="E285" s="343">
        <v>310.48</v>
      </c>
      <c r="F285" s="492">
        <f t="shared" si="8"/>
        <v>7.9325498211548293</v>
      </c>
      <c r="G285" t="s">
        <v>1271</v>
      </c>
    </row>
    <row r="286" spans="1:7">
      <c r="A286" s="485">
        <v>45618</v>
      </c>
      <c r="B286">
        <v>2963273</v>
      </c>
      <c r="E286" s="343">
        <v>310.48</v>
      </c>
      <c r="F286" s="492">
        <f t="shared" si="8"/>
        <v>7.9325498211548293</v>
      </c>
      <c r="G286" t="s">
        <v>1272</v>
      </c>
    </row>
    <row r="287" spans="1:7">
      <c r="A287" s="485">
        <v>45621</v>
      </c>
      <c r="B287">
        <v>2963396</v>
      </c>
      <c r="E287" s="343">
        <v>265.48</v>
      </c>
      <c r="F287" s="492">
        <f t="shared" si="8"/>
        <v>6.7828308635666836</v>
      </c>
      <c r="G287" t="s">
        <v>1273</v>
      </c>
    </row>
    <row r="288" spans="1:7">
      <c r="A288" s="485">
        <v>45621</v>
      </c>
      <c r="B288">
        <v>2963402</v>
      </c>
      <c r="E288" s="343">
        <v>335.48</v>
      </c>
      <c r="F288" s="492">
        <f t="shared" si="8"/>
        <v>8.571282575370466</v>
      </c>
      <c r="G288" t="s">
        <v>1274</v>
      </c>
    </row>
    <row r="289" spans="1:7">
      <c r="A289" s="485">
        <v>45622</v>
      </c>
      <c r="B289">
        <v>2963707</v>
      </c>
      <c r="E289" s="343">
        <v>240.48</v>
      </c>
      <c r="F289" s="492">
        <f t="shared" si="8"/>
        <v>6.1440981093510469</v>
      </c>
      <c r="G289" t="s">
        <v>1267</v>
      </c>
    </row>
    <row r="290" spans="1:7">
      <c r="A290" s="485">
        <v>45622</v>
      </c>
      <c r="B290">
        <v>2963709</v>
      </c>
      <c r="E290" s="343">
        <v>310.48</v>
      </c>
      <c r="F290" s="492">
        <f t="shared" si="8"/>
        <v>7.9325498211548293</v>
      </c>
      <c r="G290" t="s">
        <v>1275</v>
      </c>
    </row>
    <row r="291" spans="1:7">
      <c r="A291" s="485">
        <v>45622</v>
      </c>
      <c r="B291">
        <v>2963710</v>
      </c>
      <c r="E291" s="343">
        <v>310.48</v>
      </c>
      <c r="F291" s="492">
        <f t="shared" si="8"/>
        <v>7.9325498211548293</v>
      </c>
      <c r="G291" t="s">
        <v>1276</v>
      </c>
    </row>
    <row r="292" spans="1:7">
      <c r="A292" s="485">
        <v>45622</v>
      </c>
      <c r="B292">
        <v>2963711</v>
      </c>
      <c r="E292" s="343">
        <v>310.48</v>
      </c>
      <c r="F292" s="492">
        <f t="shared" si="8"/>
        <v>7.9325498211548293</v>
      </c>
      <c r="G292" t="s">
        <v>1277</v>
      </c>
    </row>
    <row r="293" spans="1:7">
      <c r="A293" s="485">
        <v>45623</v>
      </c>
      <c r="B293">
        <v>2963851</v>
      </c>
      <c r="E293" s="343">
        <v>240.48</v>
      </c>
      <c r="F293" s="492">
        <f t="shared" si="8"/>
        <v>6.1440981093510469</v>
      </c>
      <c r="G293" t="s">
        <v>1270</v>
      </c>
    </row>
    <row r="294" spans="1:7">
      <c r="A294" s="485">
        <v>45623</v>
      </c>
      <c r="B294">
        <v>2963852</v>
      </c>
      <c r="E294" s="343">
        <v>310.48</v>
      </c>
      <c r="F294" s="492">
        <f t="shared" si="8"/>
        <v>7.9325498211548293</v>
      </c>
      <c r="G294" t="s">
        <v>1278</v>
      </c>
    </row>
    <row r="295" spans="1:7">
      <c r="A295" s="485">
        <v>45623</v>
      </c>
      <c r="B295">
        <v>2963853</v>
      </c>
      <c r="E295" s="343">
        <v>373.48</v>
      </c>
      <c r="F295" s="492">
        <f t="shared" si="8"/>
        <v>9.5421563617782326</v>
      </c>
      <c r="G295" t="s">
        <v>1279</v>
      </c>
    </row>
    <row r="296" spans="1:7">
      <c r="A296" s="485">
        <v>45614</v>
      </c>
      <c r="B296" t="s">
        <v>1180</v>
      </c>
      <c r="E296" s="343">
        <v>300</v>
      </c>
      <c r="F296" s="492">
        <f t="shared" si="8"/>
        <v>7.664793050587634</v>
      </c>
    </row>
    <row r="297" spans="1:7">
      <c r="A297" s="485">
        <v>45615</v>
      </c>
      <c r="B297" t="s">
        <v>1180</v>
      </c>
      <c r="E297" s="343">
        <v>300</v>
      </c>
      <c r="F297" s="492">
        <f t="shared" si="8"/>
        <v>7.664793050587634</v>
      </c>
    </row>
    <row r="298" spans="1:7">
      <c r="A298" s="485">
        <v>45616</v>
      </c>
      <c r="B298" t="s">
        <v>1180</v>
      </c>
      <c r="E298" s="343">
        <v>300</v>
      </c>
      <c r="F298" s="492">
        <f t="shared" si="8"/>
        <v>7.664793050587634</v>
      </c>
    </row>
    <row r="299" spans="1:7">
      <c r="A299" s="485">
        <v>45617</v>
      </c>
      <c r="B299" t="s">
        <v>1180</v>
      </c>
      <c r="E299" s="343">
        <v>300</v>
      </c>
      <c r="F299" s="492">
        <f t="shared" si="8"/>
        <v>7.664793050587634</v>
      </c>
    </row>
    <row r="300" spans="1:7">
      <c r="A300" s="485">
        <v>45618</v>
      </c>
      <c r="B300" t="s">
        <v>1180</v>
      </c>
      <c r="E300" s="343">
        <v>300</v>
      </c>
      <c r="F300" s="492">
        <f t="shared" si="8"/>
        <v>7.664793050587634</v>
      </c>
    </row>
    <row r="301" spans="1:7">
      <c r="A301" s="485">
        <v>45621</v>
      </c>
      <c r="B301" t="s">
        <v>1180</v>
      </c>
      <c r="E301" s="343">
        <v>300</v>
      </c>
      <c r="F301" s="492">
        <f t="shared" si="8"/>
        <v>7.664793050587634</v>
      </c>
    </row>
    <row r="302" spans="1:7">
      <c r="A302" s="485">
        <v>45622</v>
      </c>
      <c r="B302" t="s">
        <v>1180</v>
      </c>
      <c r="E302" s="343">
        <v>300</v>
      </c>
      <c r="F302" s="492">
        <f t="shared" si="8"/>
        <v>7.664793050587634</v>
      </c>
    </row>
    <row r="303" spans="1:7">
      <c r="A303" s="485">
        <v>45623</v>
      </c>
      <c r="B303" t="s">
        <v>1180</v>
      </c>
      <c r="E303" s="343">
        <v>300</v>
      </c>
      <c r="F303" s="492">
        <f t="shared" si="8"/>
        <v>7.664793050587634</v>
      </c>
    </row>
    <row r="304" spans="1:7">
      <c r="A304" s="485">
        <v>45625</v>
      </c>
      <c r="B304" t="s">
        <v>1180</v>
      </c>
      <c r="E304" s="343">
        <v>300</v>
      </c>
      <c r="F304" s="492">
        <f t="shared" si="8"/>
        <v>7.664793050587634</v>
      </c>
    </row>
    <row r="305" spans="1:7">
      <c r="A305" s="485">
        <v>45628</v>
      </c>
      <c r="B305" t="s">
        <v>1180</v>
      </c>
      <c r="E305" s="343">
        <v>300</v>
      </c>
      <c r="F305" s="492">
        <f t="shared" si="8"/>
        <v>7.664793050587634</v>
      </c>
    </row>
    <row r="306" spans="1:7">
      <c r="A306" s="485">
        <v>45629</v>
      </c>
      <c r="B306" t="s">
        <v>1180</v>
      </c>
      <c r="E306" s="343">
        <v>300</v>
      </c>
      <c r="F306" s="492">
        <f t="shared" si="8"/>
        <v>7.664793050587634</v>
      </c>
    </row>
    <row r="307" spans="1:7">
      <c r="A307" s="485">
        <v>45630</v>
      </c>
      <c r="B307" t="s">
        <v>1180</v>
      </c>
      <c r="E307" s="343">
        <v>300</v>
      </c>
      <c r="F307" s="492">
        <f t="shared" si="8"/>
        <v>7.664793050587634</v>
      </c>
    </row>
    <row r="308" spans="1:7">
      <c r="A308" s="485">
        <v>45631</v>
      </c>
      <c r="B308" t="s">
        <v>1180</v>
      </c>
      <c r="E308" s="343">
        <v>300</v>
      </c>
      <c r="F308" s="492">
        <f t="shared" si="8"/>
        <v>7.664793050587634</v>
      </c>
    </row>
    <row r="309" spans="1:7">
      <c r="A309" s="485">
        <v>45632</v>
      </c>
      <c r="B309" t="s">
        <v>1180</v>
      </c>
      <c r="E309" s="343">
        <v>300</v>
      </c>
      <c r="F309" s="492">
        <f t="shared" si="8"/>
        <v>7.664793050587634</v>
      </c>
    </row>
    <row r="310" spans="1:7">
      <c r="A310" s="485">
        <v>45628</v>
      </c>
      <c r="B310" t="s">
        <v>1243</v>
      </c>
      <c r="E310" s="343">
        <v>100</v>
      </c>
      <c r="F310" s="492">
        <f t="shared" ref="F310:F373" si="10">E310/39.14</f>
        <v>2.5549310168625445</v>
      </c>
      <c r="G310" t="s">
        <v>1280</v>
      </c>
    </row>
    <row r="311" spans="1:7">
      <c r="A311" s="485">
        <v>45629</v>
      </c>
      <c r="B311" t="s">
        <v>1243</v>
      </c>
      <c r="E311" s="343">
        <v>100</v>
      </c>
      <c r="F311" s="492">
        <f t="shared" si="10"/>
        <v>2.5549310168625445</v>
      </c>
      <c r="G311" t="s">
        <v>1280</v>
      </c>
    </row>
    <row r="312" spans="1:7">
      <c r="A312" s="485">
        <v>45630</v>
      </c>
      <c r="B312" t="s">
        <v>1243</v>
      </c>
      <c r="E312" s="343">
        <v>100</v>
      </c>
      <c r="F312" s="492">
        <f t="shared" si="10"/>
        <v>2.5549310168625445</v>
      </c>
      <c r="G312" t="s">
        <v>1280</v>
      </c>
    </row>
    <row r="313" spans="1:7">
      <c r="A313" s="485">
        <v>45631</v>
      </c>
      <c r="B313" t="s">
        <v>1243</v>
      </c>
      <c r="E313" s="343">
        <v>100</v>
      </c>
      <c r="F313" s="492">
        <f t="shared" si="10"/>
        <v>2.5549310168625445</v>
      </c>
      <c r="G313" t="s">
        <v>1280</v>
      </c>
    </row>
    <row r="314" spans="1:7">
      <c r="A314" s="485">
        <v>45632</v>
      </c>
      <c r="B314" t="s">
        <v>1243</v>
      </c>
      <c r="E314" s="343">
        <v>100</v>
      </c>
      <c r="F314" s="492">
        <f t="shared" si="10"/>
        <v>2.5549310168625445</v>
      </c>
      <c r="G314" t="s">
        <v>1280</v>
      </c>
    </row>
    <row r="315" spans="1:7">
      <c r="A315" s="485">
        <v>45628</v>
      </c>
      <c r="B315">
        <v>2963944</v>
      </c>
      <c r="E315" s="343">
        <v>265.48</v>
      </c>
      <c r="F315" s="492">
        <f t="shared" si="10"/>
        <v>6.7828308635666836</v>
      </c>
    </row>
    <row r="316" spans="1:7">
      <c r="A316" s="485">
        <v>45628</v>
      </c>
      <c r="B316">
        <v>2964104</v>
      </c>
      <c r="E316" s="343">
        <v>240.48</v>
      </c>
      <c r="F316" s="492">
        <f t="shared" si="10"/>
        <v>6.1440981093510469</v>
      </c>
      <c r="G316">
        <v>10.199999999999999</v>
      </c>
    </row>
    <row r="317" spans="1:7">
      <c r="A317" s="485">
        <v>45629</v>
      </c>
      <c r="B317">
        <v>2964300</v>
      </c>
      <c r="E317" s="343">
        <v>278.48</v>
      </c>
      <c r="F317" s="492">
        <f>E317/39.14</f>
        <v>7.1149718957588153</v>
      </c>
      <c r="G317" t="s">
        <v>1271</v>
      </c>
    </row>
    <row r="318" spans="1:7">
      <c r="A318" s="485">
        <v>45629</v>
      </c>
      <c r="B318">
        <v>2964301</v>
      </c>
      <c r="E318" s="343">
        <v>445.48</v>
      </c>
      <c r="F318" s="492">
        <f t="shared" si="10"/>
        <v>11.381706693919265</v>
      </c>
      <c r="G318" t="s">
        <v>1281</v>
      </c>
    </row>
    <row r="319" spans="1:7">
      <c r="A319" s="485">
        <v>45629</v>
      </c>
      <c r="B319">
        <v>2964302</v>
      </c>
      <c r="E319" s="343">
        <v>310.48</v>
      </c>
      <c r="F319" s="492">
        <f t="shared" si="10"/>
        <v>7.9325498211548293</v>
      </c>
      <c r="G319" t="s">
        <v>1282</v>
      </c>
    </row>
    <row r="320" spans="1:7">
      <c r="A320" s="485">
        <v>45629</v>
      </c>
      <c r="B320">
        <v>2964303</v>
      </c>
      <c r="E320" s="343">
        <v>310.48</v>
      </c>
      <c r="F320" s="492">
        <f t="shared" si="10"/>
        <v>7.9325498211548293</v>
      </c>
      <c r="G320" t="s">
        <v>1283</v>
      </c>
    </row>
    <row r="321" spans="1:9">
      <c r="A321" s="485">
        <v>45629</v>
      </c>
      <c r="B321">
        <v>2964304</v>
      </c>
      <c r="E321" s="343">
        <v>310.48</v>
      </c>
      <c r="F321" s="492">
        <f t="shared" si="10"/>
        <v>7.9325498211548293</v>
      </c>
      <c r="G321" t="s">
        <v>1284</v>
      </c>
    </row>
    <row r="322" spans="1:9">
      <c r="A322" s="485">
        <v>45629</v>
      </c>
      <c r="B322">
        <v>2964378</v>
      </c>
      <c r="E322" s="343">
        <v>348.48</v>
      </c>
      <c r="F322" s="492">
        <f t="shared" si="10"/>
        <v>8.9034236075625959</v>
      </c>
      <c r="G322" t="s">
        <v>1259</v>
      </c>
    </row>
    <row r="323" spans="1:9">
      <c r="A323" s="485">
        <v>45637</v>
      </c>
      <c r="B323">
        <v>2965770</v>
      </c>
      <c r="E323" s="343">
        <v>286.48</v>
      </c>
      <c r="F323" s="492">
        <f t="shared" si="10"/>
        <v>7.3193663771078183</v>
      </c>
      <c r="G323" t="s">
        <v>1285</v>
      </c>
    </row>
    <row r="324" spans="1:9">
      <c r="A324" s="485">
        <v>45637</v>
      </c>
      <c r="B324">
        <v>2965772</v>
      </c>
      <c r="E324" s="343">
        <v>380.48</v>
      </c>
      <c r="F324" s="492">
        <f t="shared" si="10"/>
        <v>9.7210015329586099</v>
      </c>
      <c r="G324" t="s">
        <v>1285</v>
      </c>
    </row>
    <row r="325" spans="1:9">
      <c r="A325" s="485">
        <v>45637</v>
      </c>
      <c r="B325">
        <v>2965773</v>
      </c>
      <c r="E325" s="343">
        <v>310.48</v>
      </c>
      <c r="F325" s="492">
        <f t="shared" si="10"/>
        <v>7.9325498211548293</v>
      </c>
      <c r="G325" t="s">
        <v>1286</v>
      </c>
    </row>
    <row r="326" spans="1:9">
      <c r="A326" s="485">
        <v>45638</v>
      </c>
      <c r="B326">
        <v>2965972</v>
      </c>
      <c r="E326" s="343">
        <v>240.48</v>
      </c>
      <c r="F326" s="492">
        <f t="shared" si="10"/>
        <v>6.1440981093510469</v>
      </c>
      <c r="G326" t="s">
        <v>1287</v>
      </c>
    </row>
    <row r="327" spans="1:9">
      <c r="A327" s="485">
        <v>45638</v>
      </c>
      <c r="B327">
        <v>2965975</v>
      </c>
      <c r="E327" s="343">
        <v>240.48</v>
      </c>
      <c r="F327" s="492">
        <f t="shared" si="10"/>
        <v>6.1440981093510469</v>
      </c>
      <c r="G327" t="s">
        <v>1287</v>
      </c>
    </row>
    <row r="328" spans="1:9">
      <c r="A328" s="485">
        <v>45639</v>
      </c>
      <c r="B328">
        <v>2966230</v>
      </c>
      <c r="E328" s="343">
        <v>240.48</v>
      </c>
      <c r="F328" s="492">
        <f t="shared" si="10"/>
        <v>6.1440981093510469</v>
      </c>
      <c r="G328" t="s">
        <v>1288</v>
      </c>
    </row>
    <row r="329" spans="1:9">
      <c r="A329" s="485">
        <v>45639</v>
      </c>
      <c r="B329">
        <v>2966232</v>
      </c>
      <c r="E329" s="343">
        <v>345.48</v>
      </c>
      <c r="F329" s="492">
        <f t="shared" si="10"/>
        <v>8.8267756770567196</v>
      </c>
      <c r="G329" t="s">
        <v>1288</v>
      </c>
    </row>
    <row r="330" spans="1:9">
      <c r="A330" s="485">
        <v>45643</v>
      </c>
      <c r="B330">
        <v>2966685</v>
      </c>
      <c r="E330" s="343">
        <v>240.48</v>
      </c>
      <c r="F330" s="492">
        <f t="shared" si="10"/>
        <v>6.1440981093510469</v>
      </c>
      <c r="G330" t="s">
        <v>1264</v>
      </c>
    </row>
    <row r="331" spans="1:9">
      <c r="A331" s="485">
        <v>45643</v>
      </c>
      <c r="B331">
        <v>2966686</v>
      </c>
      <c r="E331" s="343">
        <v>310.48</v>
      </c>
      <c r="F331" s="492">
        <f t="shared" si="10"/>
        <v>7.9325498211548293</v>
      </c>
      <c r="G331" t="s">
        <v>1289</v>
      </c>
    </row>
    <row r="332" spans="1:9">
      <c r="A332" s="485">
        <v>45643</v>
      </c>
      <c r="B332">
        <v>2966687</v>
      </c>
      <c r="E332" s="343">
        <v>565.48</v>
      </c>
      <c r="F332" s="492">
        <f t="shared" si="10"/>
        <v>14.447623914154319</v>
      </c>
      <c r="G332" t="s">
        <v>1264</v>
      </c>
    </row>
    <row r="333" spans="1:9">
      <c r="A333" s="485">
        <v>45643</v>
      </c>
      <c r="B333">
        <v>2966688</v>
      </c>
      <c r="E333" s="343">
        <v>455.48</v>
      </c>
      <c r="F333" s="492">
        <f t="shared" si="10"/>
        <v>11.637199795605518</v>
      </c>
      <c r="G333" t="s">
        <v>1290</v>
      </c>
    </row>
    <row r="334" spans="1:9">
      <c r="A334" s="485">
        <v>45644</v>
      </c>
      <c r="B334">
        <v>2966716</v>
      </c>
      <c r="E334" s="343">
        <v>310.48</v>
      </c>
      <c r="F334" s="492">
        <f>E334/39.14</f>
        <v>7.9325498211548293</v>
      </c>
      <c r="G334" t="s">
        <v>1291</v>
      </c>
      <c r="I334" t="s">
        <v>1292</v>
      </c>
    </row>
    <row r="335" spans="1:9">
      <c r="A335" s="485">
        <v>45643</v>
      </c>
      <c r="B335">
        <v>2966717</v>
      </c>
      <c r="E335" s="343">
        <v>310.48</v>
      </c>
      <c r="F335" s="492">
        <f t="shared" si="10"/>
        <v>7.9325498211548293</v>
      </c>
      <c r="G335" t="s">
        <v>1293</v>
      </c>
    </row>
    <row r="336" spans="1:9">
      <c r="A336" s="485">
        <v>45643</v>
      </c>
      <c r="B336">
        <v>2966801</v>
      </c>
      <c r="E336" s="343">
        <v>335.48</v>
      </c>
      <c r="F336" s="492">
        <f t="shared" si="10"/>
        <v>8.571282575370466</v>
      </c>
      <c r="G336" t="s">
        <v>1293</v>
      </c>
    </row>
    <row r="337" spans="1:7">
      <c r="A337" s="485">
        <v>45643</v>
      </c>
      <c r="B337">
        <v>2967000</v>
      </c>
      <c r="E337" s="343">
        <v>360.48</v>
      </c>
      <c r="F337" s="492">
        <f t="shared" si="10"/>
        <v>9.2100153295861009</v>
      </c>
      <c r="G337" t="s">
        <v>1290</v>
      </c>
    </row>
    <row r="338" spans="1:7">
      <c r="A338" s="485">
        <v>45644</v>
      </c>
      <c r="B338">
        <v>2967308</v>
      </c>
      <c r="E338" s="343">
        <v>240.48</v>
      </c>
      <c r="F338" s="492">
        <f t="shared" si="10"/>
        <v>6.1440981093510469</v>
      </c>
      <c r="G338" t="s">
        <v>1291</v>
      </c>
    </row>
    <row r="339" spans="1:7">
      <c r="A339" s="485">
        <v>45635</v>
      </c>
      <c r="B339" t="s">
        <v>1180</v>
      </c>
      <c r="E339" s="343">
        <v>300</v>
      </c>
      <c r="F339" s="492">
        <f t="shared" si="10"/>
        <v>7.664793050587634</v>
      </c>
      <c r="G339" t="s">
        <v>1294</v>
      </c>
    </row>
    <row r="340" spans="1:7">
      <c r="A340" s="485">
        <v>45636</v>
      </c>
      <c r="B340" t="s">
        <v>1180</v>
      </c>
      <c r="E340" s="343">
        <v>300</v>
      </c>
      <c r="F340" s="492">
        <f t="shared" si="10"/>
        <v>7.664793050587634</v>
      </c>
      <c r="G340" t="s">
        <v>1295</v>
      </c>
    </row>
    <row r="341" spans="1:7">
      <c r="A341" s="485">
        <v>45637</v>
      </c>
      <c r="B341" t="s">
        <v>1180</v>
      </c>
      <c r="E341" s="343">
        <v>300</v>
      </c>
      <c r="F341" s="492">
        <f t="shared" si="10"/>
        <v>7.664793050587634</v>
      </c>
    </row>
    <row r="342" spans="1:7">
      <c r="A342" s="485">
        <v>45638</v>
      </c>
      <c r="B342" t="s">
        <v>1180</v>
      </c>
      <c r="E342" s="343">
        <v>300</v>
      </c>
      <c r="F342" s="492">
        <f t="shared" si="10"/>
        <v>7.664793050587634</v>
      </c>
      <c r="G342" t="s">
        <v>1296</v>
      </c>
    </row>
    <row r="343" spans="1:7">
      <c r="A343" s="485">
        <v>45639</v>
      </c>
      <c r="B343" t="s">
        <v>1180</v>
      </c>
      <c r="E343" s="343">
        <v>300</v>
      </c>
      <c r="F343" s="492">
        <f t="shared" si="10"/>
        <v>7.664793050587634</v>
      </c>
      <c r="G343" t="s">
        <v>1297</v>
      </c>
    </row>
    <row r="344" spans="1:7">
      <c r="A344" s="485">
        <v>45642</v>
      </c>
      <c r="B344" t="s">
        <v>1180</v>
      </c>
      <c r="E344" s="343">
        <v>300</v>
      </c>
      <c r="F344" s="492">
        <f t="shared" si="10"/>
        <v>7.664793050587634</v>
      </c>
      <c r="G344" t="s">
        <v>1298</v>
      </c>
    </row>
    <row r="345" spans="1:7">
      <c r="A345" s="485">
        <v>45644</v>
      </c>
      <c r="B345" t="s">
        <v>1180</v>
      </c>
      <c r="E345" s="343">
        <v>300</v>
      </c>
      <c r="F345" s="492">
        <f t="shared" si="10"/>
        <v>7.664793050587634</v>
      </c>
      <c r="G345" t="s">
        <v>1299</v>
      </c>
    </row>
    <row r="346" spans="1:7">
      <c r="A346" s="485">
        <v>45645</v>
      </c>
      <c r="B346" t="s">
        <v>1180</v>
      </c>
      <c r="E346" s="343">
        <v>300</v>
      </c>
      <c r="F346" s="492">
        <f t="shared" si="10"/>
        <v>7.664793050587634</v>
      </c>
      <c r="G346" t="s">
        <v>1300</v>
      </c>
    </row>
    <row r="347" spans="1:7">
      <c r="A347" s="485">
        <v>45646</v>
      </c>
      <c r="B347" t="s">
        <v>1180</v>
      </c>
      <c r="E347" s="343">
        <v>300</v>
      </c>
      <c r="F347" s="492">
        <f t="shared" si="10"/>
        <v>7.664793050587634</v>
      </c>
      <c r="G347" t="s">
        <v>1289</v>
      </c>
    </row>
    <row r="348" spans="1:7">
      <c r="A348" s="485">
        <v>45649</v>
      </c>
      <c r="B348" t="s">
        <v>1180</v>
      </c>
      <c r="E348" s="343">
        <v>300</v>
      </c>
      <c r="F348" s="492">
        <f t="shared" si="10"/>
        <v>7.664793050587634</v>
      </c>
      <c r="G348" t="s">
        <v>1301</v>
      </c>
    </row>
    <row r="349" spans="1:7">
      <c r="A349" s="485">
        <v>45642</v>
      </c>
      <c r="B349" t="s">
        <v>1243</v>
      </c>
      <c r="E349" s="343">
        <v>200</v>
      </c>
      <c r="F349" s="492">
        <f t="shared" si="10"/>
        <v>5.1098620337250891</v>
      </c>
      <c r="G349" t="s">
        <v>1302</v>
      </c>
    </row>
    <row r="350" spans="1:7">
      <c r="A350" s="485">
        <v>45635</v>
      </c>
      <c r="B350" t="s">
        <v>1243</v>
      </c>
      <c r="E350" s="343">
        <v>100</v>
      </c>
      <c r="F350" s="492">
        <f t="shared" si="10"/>
        <v>2.5549310168625445</v>
      </c>
      <c r="G350" t="s">
        <v>1303</v>
      </c>
    </row>
    <row r="351" spans="1:7">
      <c r="A351" s="485">
        <v>45636</v>
      </c>
      <c r="B351" t="s">
        <v>1243</v>
      </c>
      <c r="E351" s="343">
        <v>100</v>
      </c>
      <c r="F351" s="492">
        <f t="shared" si="10"/>
        <v>2.5549310168625445</v>
      </c>
      <c r="G351" t="s">
        <v>1303</v>
      </c>
    </row>
    <row r="352" spans="1:7">
      <c r="A352" s="485">
        <v>45637</v>
      </c>
      <c r="B352" t="s">
        <v>1243</v>
      </c>
      <c r="E352" s="343">
        <v>100</v>
      </c>
      <c r="F352" s="492">
        <f t="shared" si="10"/>
        <v>2.5549310168625445</v>
      </c>
      <c r="G352" t="s">
        <v>1303</v>
      </c>
    </row>
    <row r="353" spans="1:7">
      <c r="A353" s="485">
        <v>45638</v>
      </c>
      <c r="B353" t="s">
        <v>1243</v>
      </c>
      <c r="E353" s="343">
        <v>100</v>
      </c>
      <c r="F353" s="492">
        <f t="shared" si="10"/>
        <v>2.5549310168625445</v>
      </c>
      <c r="G353" t="s">
        <v>1303</v>
      </c>
    </row>
    <row r="354" spans="1:7">
      <c r="A354" s="485">
        <v>45639</v>
      </c>
      <c r="B354" t="s">
        <v>1243</v>
      </c>
      <c r="E354" s="343">
        <v>100</v>
      </c>
      <c r="F354" s="492">
        <f t="shared" si="10"/>
        <v>2.5549310168625445</v>
      </c>
      <c r="G354" t="s">
        <v>1303</v>
      </c>
    </row>
    <row r="355" spans="1:7">
      <c r="A355" s="485">
        <v>45642</v>
      </c>
      <c r="B355" t="s">
        <v>1243</v>
      </c>
      <c r="E355" s="343">
        <v>100</v>
      </c>
      <c r="F355" s="492">
        <f t="shared" si="10"/>
        <v>2.5549310168625445</v>
      </c>
      <c r="G355" t="s">
        <v>1303</v>
      </c>
    </row>
    <row r="356" spans="1:7">
      <c r="A356" s="485">
        <v>45643</v>
      </c>
      <c r="B356" t="s">
        <v>1243</v>
      </c>
      <c r="E356" s="343">
        <v>100</v>
      </c>
      <c r="F356" s="492">
        <f t="shared" si="10"/>
        <v>2.5549310168625445</v>
      </c>
      <c r="G356" t="s">
        <v>1303</v>
      </c>
    </row>
    <row r="357" spans="1:7">
      <c r="A357" s="485">
        <v>45644</v>
      </c>
      <c r="B357" t="s">
        <v>1243</v>
      </c>
      <c r="E357" s="343">
        <v>100</v>
      </c>
      <c r="F357" s="492">
        <f t="shared" si="10"/>
        <v>2.5549310168625445</v>
      </c>
      <c r="G357" t="s">
        <v>1303</v>
      </c>
    </row>
    <row r="358" spans="1:7">
      <c r="A358" s="485">
        <v>45645</v>
      </c>
      <c r="B358" t="s">
        <v>1243</v>
      </c>
      <c r="E358" s="343">
        <v>100</v>
      </c>
      <c r="F358" s="492">
        <f t="shared" si="10"/>
        <v>2.5549310168625445</v>
      </c>
      <c r="G358" t="s">
        <v>1303</v>
      </c>
    </row>
    <row r="359" spans="1:7">
      <c r="A359" s="485">
        <v>45646</v>
      </c>
      <c r="B359" t="s">
        <v>1243</v>
      </c>
      <c r="E359" s="343">
        <v>100</v>
      </c>
      <c r="F359" s="492">
        <f t="shared" si="10"/>
        <v>2.5549310168625445</v>
      </c>
      <c r="G359" t="s">
        <v>1303</v>
      </c>
    </row>
    <row r="360" spans="1:7">
      <c r="A360" s="485">
        <v>45649</v>
      </c>
      <c r="B360" t="s">
        <v>1243</v>
      </c>
      <c r="E360" s="343">
        <v>100</v>
      </c>
      <c r="F360" s="492">
        <f t="shared" si="10"/>
        <v>2.5549310168625445</v>
      </c>
      <c r="G360" t="s">
        <v>1303</v>
      </c>
    </row>
    <row r="361" spans="1:7">
      <c r="A361" s="485">
        <v>45652</v>
      </c>
      <c r="B361" t="s">
        <v>1180</v>
      </c>
      <c r="E361" s="343">
        <v>300</v>
      </c>
      <c r="F361" s="492">
        <f t="shared" si="10"/>
        <v>7.664793050587634</v>
      </c>
      <c r="G361" t="s">
        <v>1304</v>
      </c>
    </row>
    <row r="362" spans="1:7">
      <c r="A362" s="485">
        <v>45653</v>
      </c>
      <c r="B362" t="s">
        <v>1180</v>
      </c>
      <c r="E362" s="343">
        <v>300</v>
      </c>
      <c r="F362" s="492">
        <f t="shared" si="10"/>
        <v>7.664793050587634</v>
      </c>
      <c r="G362" t="s">
        <v>1304</v>
      </c>
    </row>
    <row r="363" spans="1:7">
      <c r="A363" s="485">
        <v>45656</v>
      </c>
      <c r="B363" t="s">
        <v>1180</v>
      </c>
      <c r="E363" s="343">
        <v>300</v>
      </c>
      <c r="F363" s="492">
        <f t="shared" si="10"/>
        <v>7.664793050587634</v>
      </c>
      <c r="G363" t="s">
        <v>1304</v>
      </c>
    </row>
    <row r="364" spans="1:7">
      <c r="A364" s="485">
        <v>45657</v>
      </c>
      <c r="B364" t="s">
        <v>1180</v>
      </c>
      <c r="E364" s="343">
        <v>300</v>
      </c>
      <c r="F364" s="492">
        <f t="shared" si="10"/>
        <v>7.664793050587634</v>
      </c>
      <c r="G364" t="s">
        <v>1304</v>
      </c>
    </row>
    <row r="365" spans="1:7">
      <c r="A365" s="485">
        <v>45664</v>
      </c>
      <c r="B365">
        <v>2968765</v>
      </c>
      <c r="E365" s="343">
        <v>740.86</v>
      </c>
      <c r="F365" s="492">
        <f t="shared" si="10"/>
        <v>18.928461931527849</v>
      </c>
      <c r="G365" t="s">
        <v>1305</v>
      </c>
    </row>
    <row r="366" spans="1:7">
      <c r="A366" s="485">
        <v>45665</v>
      </c>
      <c r="B366">
        <v>2968859</v>
      </c>
      <c r="E366" s="343">
        <v>240.48</v>
      </c>
      <c r="F366" s="492">
        <f t="shared" si="10"/>
        <v>6.1440981093510469</v>
      </c>
      <c r="G366" t="s">
        <v>1291</v>
      </c>
    </row>
    <row r="367" spans="1:7">
      <c r="A367" s="485">
        <v>45665</v>
      </c>
      <c r="B367">
        <v>2968863</v>
      </c>
      <c r="E367" s="343">
        <v>305.86</v>
      </c>
      <c r="F367" s="492">
        <f t="shared" si="10"/>
        <v>7.8145120081757797</v>
      </c>
      <c r="G367" t="s">
        <v>1291</v>
      </c>
    </row>
    <row r="368" spans="1:7">
      <c r="A368" s="485">
        <v>45664</v>
      </c>
      <c r="B368" t="s">
        <v>1180</v>
      </c>
      <c r="E368" s="343">
        <v>300</v>
      </c>
      <c r="F368" s="492">
        <f t="shared" si="10"/>
        <v>7.664793050587634</v>
      </c>
      <c r="G368" t="s">
        <v>1306</v>
      </c>
    </row>
    <row r="369" spans="1:10">
      <c r="A369" s="485">
        <v>45665</v>
      </c>
      <c r="B369" t="s">
        <v>1180</v>
      </c>
      <c r="E369" s="343">
        <v>300</v>
      </c>
      <c r="F369" s="492">
        <f t="shared" si="10"/>
        <v>7.664793050587634</v>
      </c>
      <c r="G369" t="s">
        <v>1307</v>
      </c>
    </row>
    <row r="370" spans="1:10">
      <c r="A370" s="485">
        <v>45666</v>
      </c>
      <c r="B370" t="s">
        <v>1180</v>
      </c>
      <c r="E370" s="343">
        <v>300</v>
      </c>
      <c r="F370" s="492">
        <f t="shared" si="10"/>
        <v>7.664793050587634</v>
      </c>
      <c r="G370" t="s">
        <v>1308</v>
      </c>
    </row>
    <row r="371" spans="1:10">
      <c r="A371" s="485">
        <v>45667</v>
      </c>
      <c r="B371" t="s">
        <v>1180</v>
      </c>
      <c r="E371" s="343">
        <v>300</v>
      </c>
      <c r="F371" s="492">
        <f t="shared" si="10"/>
        <v>7.664793050587634</v>
      </c>
      <c r="G371" t="s">
        <v>1309</v>
      </c>
    </row>
    <row r="372" spans="1:10">
      <c r="A372" s="485">
        <v>45670</v>
      </c>
      <c r="B372" t="s">
        <v>1180</v>
      </c>
      <c r="E372" s="343">
        <v>300</v>
      </c>
      <c r="F372" s="492">
        <f t="shared" si="10"/>
        <v>7.664793050587634</v>
      </c>
      <c r="G372" t="s">
        <v>1310</v>
      </c>
    </row>
    <row r="373" spans="1:10">
      <c r="A373" s="485">
        <v>45671</v>
      </c>
      <c r="B373" t="s">
        <v>1180</v>
      </c>
      <c r="E373" s="343">
        <v>300</v>
      </c>
      <c r="F373" s="492">
        <f t="shared" si="10"/>
        <v>7.664793050587634</v>
      </c>
      <c r="G373" t="s">
        <v>1311</v>
      </c>
    </row>
    <row r="374" spans="1:10">
      <c r="A374" s="485">
        <v>45672</v>
      </c>
      <c r="B374" t="s">
        <v>1180</v>
      </c>
      <c r="E374" s="343">
        <v>300</v>
      </c>
      <c r="F374" s="492">
        <f t="shared" ref="F374:F437" si="11">E374/39.14</f>
        <v>7.664793050587634</v>
      </c>
      <c r="G374" t="s">
        <v>1311</v>
      </c>
    </row>
    <row r="375" spans="1:10">
      <c r="A375" s="485">
        <v>45673</v>
      </c>
      <c r="B375" t="s">
        <v>1180</v>
      </c>
      <c r="E375" s="343">
        <v>300</v>
      </c>
      <c r="F375" s="492">
        <f t="shared" si="11"/>
        <v>7.664793050587634</v>
      </c>
      <c r="G375" t="s">
        <v>1312</v>
      </c>
    </row>
    <row r="376" spans="1:10">
      <c r="A376" s="485">
        <v>45681</v>
      </c>
      <c r="B376">
        <v>2971192</v>
      </c>
      <c r="E376" s="343">
        <v>400.86</v>
      </c>
      <c r="F376" s="492">
        <f t="shared" si="11"/>
        <v>10.241696474195196</v>
      </c>
      <c r="G376" t="s">
        <v>1313</v>
      </c>
    </row>
    <row r="377" spans="1:10">
      <c r="A377" s="485">
        <v>45681</v>
      </c>
      <c r="B377">
        <v>2971193</v>
      </c>
      <c r="E377" s="343">
        <v>330.86</v>
      </c>
      <c r="F377" s="492">
        <f t="shared" si="11"/>
        <v>8.4532447623914155</v>
      </c>
      <c r="G377" t="s">
        <v>1314</v>
      </c>
    </row>
    <row r="378" spans="1:10">
      <c r="A378" s="485">
        <v>45674</v>
      </c>
      <c r="B378" t="s">
        <v>1180</v>
      </c>
      <c r="E378" s="343">
        <v>300</v>
      </c>
      <c r="F378" s="492">
        <f t="shared" si="11"/>
        <v>7.664793050587634</v>
      </c>
      <c r="G378" t="s">
        <v>1247</v>
      </c>
    </row>
    <row r="379" spans="1:10">
      <c r="A379" s="485">
        <v>45678</v>
      </c>
      <c r="B379" t="s">
        <v>1180</v>
      </c>
      <c r="E379" s="343">
        <v>300</v>
      </c>
      <c r="F379" s="492">
        <f t="shared" si="11"/>
        <v>7.664793050587634</v>
      </c>
      <c r="G379" t="s">
        <v>1247</v>
      </c>
      <c r="J379" t="s">
        <v>1315</v>
      </c>
    </row>
    <row r="380" spans="1:10">
      <c r="A380" s="485">
        <v>45679</v>
      </c>
      <c r="B380" t="s">
        <v>1180</v>
      </c>
      <c r="E380" s="343">
        <v>300</v>
      </c>
      <c r="F380" s="492">
        <f t="shared" si="11"/>
        <v>7.664793050587634</v>
      </c>
      <c r="G380" t="s">
        <v>1316</v>
      </c>
    </row>
    <row r="381" spans="1:10">
      <c r="A381" s="485">
        <v>45680</v>
      </c>
      <c r="B381" t="s">
        <v>1180</v>
      </c>
      <c r="E381" s="343">
        <v>300</v>
      </c>
      <c r="F381" s="492">
        <f t="shared" si="11"/>
        <v>7.664793050587634</v>
      </c>
      <c r="G381" t="s">
        <v>1246</v>
      </c>
    </row>
    <row r="382" spans="1:10">
      <c r="A382" s="485">
        <v>45681</v>
      </c>
      <c r="B382" t="s">
        <v>1180</v>
      </c>
      <c r="E382" s="343">
        <v>300</v>
      </c>
      <c r="F382" s="492">
        <f t="shared" si="11"/>
        <v>7.664793050587634</v>
      </c>
      <c r="G382" t="s">
        <v>1317</v>
      </c>
    </row>
    <row r="383" spans="1:10">
      <c r="A383" s="485">
        <v>45684</v>
      </c>
      <c r="B383" t="s">
        <v>1180</v>
      </c>
      <c r="E383" s="343">
        <v>300</v>
      </c>
      <c r="F383" s="492">
        <f t="shared" si="11"/>
        <v>7.664793050587634</v>
      </c>
      <c r="G383" t="s">
        <v>1318</v>
      </c>
    </row>
    <row r="384" spans="1:10">
      <c r="A384" s="485">
        <v>45685</v>
      </c>
      <c r="B384" t="s">
        <v>1180</v>
      </c>
      <c r="E384" s="343">
        <v>300</v>
      </c>
      <c r="F384" s="492">
        <f t="shared" si="11"/>
        <v>7.664793050587634</v>
      </c>
      <c r="G384" t="s">
        <v>1319</v>
      </c>
    </row>
    <row r="385" spans="1:7">
      <c r="A385" s="485">
        <v>45686</v>
      </c>
      <c r="B385" t="s">
        <v>1180</v>
      </c>
      <c r="E385" s="343">
        <v>300</v>
      </c>
      <c r="F385" s="492">
        <f t="shared" si="11"/>
        <v>7.664793050587634</v>
      </c>
      <c r="G385" t="s">
        <v>1319</v>
      </c>
    </row>
    <row r="386" spans="1:7">
      <c r="A386" s="485">
        <v>45687</v>
      </c>
      <c r="B386" t="s">
        <v>1180</v>
      </c>
      <c r="E386" s="343">
        <v>300</v>
      </c>
      <c r="F386" s="492">
        <f t="shared" si="11"/>
        <v>7.664793050587634</v>
      </c>
      <c r="G386" t="s">
        <v>1246</v>
      </c>
    </row>
    <row r="387" spans="1:7">
      <c r="A387" s="485">
        <v>45688</v>
      </c>
      <c r="B387" t="s">
        <v>1180</v>
      </c>
      <c r="E387" s="343">
        <v>300</v>
      </c>
      <c r="F387" s="492">
        <f t="shared" si="11"/>
        <v>7.664793050587634</v>
      </c>
      <c r="G387" t="s">
        <v>1319</v>
      </c>
    </row>
    <row r="388" spans="1:7">
      <c r="A388" s="485">
        <v>45691</v>
      </c>
      <c r="B388" t="s">
        <v>1180</v>
      </c>
      <c r="E388" s="343">
        <v>300</v>
      </c>
      <c r="F388" s="492">
        <f t="shared" si="11"/>
        <v>7.664793050587634</v>
      </c>
      <c r="G388" t="s">
        <v>1319</v>
      </c>
    </row>
    <row r="389" spans="1:7">
      <c r="A389" s="485">
        <v>45692</v>
      </c>
      <c r="B389" t="s">
        <v>1180</v>
      </c>
      <c r="E389" s="343">
        <v>300</v>
      </c>
      <c r="F389" s="492">
        <f t="shared" si="11"/>
        <v>7.664793050587634</v>
      </c>
      <c r="G389" t="s">
        <v>1320</v>
      </c>
    </row>
    <row r="390" spans="1:7">
      <c r="A390" s="485">
        <v>45691</v>
      </c>
      <c r="B390">
        <v>2972427</v>
      </c>
      <c r="E390" s="343">
        <v>345.26</v>
      </c>
      <c r="F390" s="492">
        <f t="shared" si="11"/>
        <v>8.8211548288196209</v>
      </c>
      <c r="G390" t="s">
        <v>1321</v>
      </c>
    </row>
    <row r="391" spans="1:7">
      <c r="A391" s="485">
        <v>45691</v>
      </c>
      <c r="B391">
        <v>2972430</v>
      </c>
      <c r="E391" s="343">
        <v>273.86</v>
      </c>
      <c r="F391" s="492">
        <f t="shared" si="11"/>
        <v>6.9969340827797648</v>
      </c>
      <c r="G391" t="s">
        <v>1322</v>
      </c>
    </row>
    <row r="392" spans="1:7">
      <c r="A392" s="485">
        <v>45695</v>
      </c>
      <c r="B392">
        <v>2973274</v>
      </c>
      <c r="E392" s="343">
        <v>250.26</v>
      </c>
      <c r="F392" s="492">
        <f t="shared" si="11"/>
        <v>6.3939703628002045</v>
      </c>
      <c r="G392" t="s">
        <v>1323</v>
      </c>
    </row>
    <row r="393" spans="1:7">
      <c r="A393" s="485">
        <v>45695</v>
      </c>
      <c r="B393">
        <v>2973275</v>
      </c>
      <c r="E393" s="343">
        <v>305.86</v>
      </c>
      <c r="F393" s="492">
        <f t="shared" si="11"/>
        <v>7.8145120081757797</v>
      </c>
      <c r="G393" t="s">
        <v>1324</v>
      </c>
    </row>
    <row r="394" spans="1:7">
      <c r="A394" s="485">
        <v>45695</v>
      </c>
      <c r="B394">
        <v>2973277</v>
      </c>
      <c r="E394" s="343">
        <v>343.86</v>
      </c>
      <c r="F394" s="492">
        <f t="shared" si="11"/>
        <v>8.7853857945835472</v>
      </c>
      <c r="G394" t="s">
        <v>1325</v>
      </c>
    </row>
    <row r="395" spans="1:7">
      <c r="A395" s="485">
        <v>45700</v>
      </c>
      <c r="B395">
        <v>2973990</v>
      </c>
      <c r="E395" s="343">
        <v>235.86</v>
      </c>
      <c r="F395" s="492">
        <f t="shared" si="11"/>
        <v>6.0260602963719982</v>
      </c>
      <c r="G395" t="s">
        <v>1326</v>
      </c>
    </row>
    <row r="396" spans="1:7">
      <c r="A396" s="485">
        <v>45700</v>
      </c>
      <c r="B396">
        <v>2973991</v>
      </c>
      <c r="E396" s="343">
        <v>475.86</v>
      </c>
      <c r="F396" s="492">
        <f t="shared" si="11"/>
        <v>12.157894736842106</v>
      </c>
      <c r="G396" t="s">
        <v>1326</v>
      </c>
    </row>
    <row r="397" spans="1:7">
      <c r="A397" s="485">
        <v>45700</v>
      </c>
      <c r="B397">
        <v>2973992</v>
      </c>
      <c r="E397" s="343">
        <v>415.86</v>
      </c>
      <c r="F397" s="492">
        <f t="shared" si="11"/>
        <v>10.624936126724579</v>
      </c>
      <c r="G397" t="s">
        <v>1326</v>
      </c>
    </row>
    <row r="398" spans="1:7">
      <c r="A398" s="485">
        <v>45700</v>
      </c>
      <c r="B398">
        <v>2974022</v>
      </c>
      <c r="E398" s="343">
        <v>500.86</v>
      </c>
      <c r="F398" s="492">
        <f t="shared" si="11"/>
        <v>12.796627491057741</v>
      </c>
      <c r="G398" t="s">
        <v>1326</v>
      </c>
    </row>
    <row r="399" spans="1:7">
      <c r="A399" s="485">
        <v>45707</v>
      </c>
      <c r="B399">
        <v>2974839</v>
      </c>
      <c r="E399" s="343">
        <v>451.53</v>
      </c>
      <c r="F399" s="492">
        <f t="shared" si="11"/>
        <v>11.536280020439447</v>
      </c>
      <c r="G399" t="s">
        <v>1327</v>
      </c>
    </row>
    <row r="400" spans="1:7">
      <c r="A400" s="485">
        <v>45693</v>
      </c>
      <c r="B400" t="s">
        <v>1180</v>
      </c>
      <c r="E400" s="343">
        <v>300</v>
      </c>
      <c r="F400" s="492">
        <f t="shared" si="11"/>
        <v>7.664793050587634</v>
      </c>
    </row>
    <row r="401" spans="1:6">
      <c r="A401" s="485">
        <v>45694</v>
      </c>
      <c r="B401" t="s">
        <v>1180</v>
      </c>
      <c r="E401" s="343">
        <v>300</v>
      </c>
      <c r="F401" s="492">
        <f t="shared" si="11"/>
        <v>7.664793050587634</v>
      </c>
    </row>
    <row r="402" spans="1:6">
      <c r="A402" s="485">
        <v>45695</v>
      </c>
      <c r="B402" t="s">
        <v>1180</v>
      </c>
      <c r="E402" s="343">
        <v>300</v>
      </c>
      <c r="F402" s="492">
        <f t="shared" si="11"/>
        <v>7.664793050587634</v>
      </c>
    </row>
    <row r="403" spans="1:6">
      <c r="A403" s="485">
        <v>45698</v>
      </c>
      <c r="B403" t="s">
        <v>1180</v>
      </c>
      <c r="E403" s="343">
        <v>300</v>
      </c>
      <c r="F403" s="492">
        <f t="shared" si="11"/>
        <v>7.664793050587634</v>
      </c>
    </row>
    <row r="404" spans="1:6">
      <c r="A404" s="485">
        <v>45699</v>
      </c>
      <c r="B404" t="s">
        <v>1180</v>
      </c>
      <c r="E404" s="343">
        <v>300</v>
      </c>
      <c r="F404" s="492">
        <f t="shared" si="11"/>
        <v>7.664793050587634</v>
      </c>
    </row>
    <row r="405" spans="1:6">
      <c r="A405" s="485">
        <v>45700</v>
      </c>
      <c r="B405" t="s">
        <v>1180</v>
      </c>
      <c r="E405" s="343">
        <v>300</v>
      </c>
      <c r="F405" s="492">
        <f t="shared" si="11"/>
        <v>7.664793050587634</v>
      </c>
    </row>
    <row r="406" spans="1:6">
      <c r="A406" s="485">
        <v>45701</v>
      </c>
      <c r="B406" t="s">
        <v>1180</v>
      </c>
      <c r="E406" s="343">
        <v>300</v>
      </c>
      <c r="F406" s="492">
        <f t="shared" si="11"/>
        <v>7.664793050587634</v>
      </c>
    </row>
    <row r="407" spans="1:6">
      <c r="A407" s="485">
        <v>45702</v>
      </c>
      <c r="B407" t="s">
        <v>1180</v>
      </c>
      <c r="E407" s="343">
        <v>300</v>
      </c>
      <c r="F407" s="492">
        <f t="shared" si="11"/>
        <v>7.664793050587634</v>
      </c>
    </row>
    <row r="408" spans="1:6">
      <c r="A408" s="485">
        <v>45705</v>
      </c>
      <c r="B408" t="s">
        <v>1180</v>
      </c>
      <c r="E408" s="343">
        <v>300</v>
      </c>
      <c r="F408" s="492">
        <f t="shared" si="11"/>
        <v>7.664793050587634</v>
      </c>
    </row>
    <row r="409" spans="1:6">
      <c r="A409" s="485">
        <v>45706</v>
      </c>
      <c r="B409" t="s">
        <v>1180</v>
      </c>
      <c r="E409" s="343">
        <v>300</v>
      </c>
      <c r="F409" s="492">
        <f t="shared" si="11"/>
        <v>7.664793050587634</v>
      </c>
    </row>
    <row r="410" spans="1:6">
      <c r="A410" s="485">
        <v>45707</v>
      </c>
      <c r="B410" t="s">
        <v>1180</v>
      </c>
      <c r="E410" s="343">
        <v>300</v>
      </c>
      <c r="F410" s="492">
        <f t="shared" si="11"/>
        <v>7.664793050587634</v>
      </c>
    </row>
    <row r="411" spans="1:6">
      <c r="A411" s="485">
        <v>45708</v>
      </c>
      <c r="B411" t="s">
        <v>1180</v>
      </c>
      <c r="E411" s="343">
        <v>300</v>
      </c>
      <c r="F411" s="492">
        <f t="shared" si="11"/>
        <v>7.664793050587634</v>
      </c>
    </row>
    <row r="412" spans="1:6">
      <c r="A412" s="485">
        <v>45709</v>
      </c>
      <c r="B412" t="s">
        <v>1180</v>
      </c>
      <c r="E412" s="343">
        <v>300</v>
      </c>
      <c r="F412" s="492">
        <f t="shared" si="11"/>
        <v>7.664793050587634</v>
      </c>
    </row>
    <row r="413" spans="1:6">
      <c r="A413" s="485">
        <v>45712</v>
      </c>
      <c r="B413" t="s">
        <v>1180</v>
      </c>
      <c r="E413" s="343">
        <v>300</v>
      </c>
      <c r="F413" s="492">
        <f t="shared" si="11"/>
        <v>7.664793050587634</v>
      </c>
    </row>
    <row r="414" spans="1:6">
      <c r="A414" s="485">
        <v>45713</v>
      </c>
      <c r="B414" t="s">
        <v>1180</v>
      </c>
      <c r="E414" s="343">
        <v>300</v>
      </c>
      <c r="F414" s="492">
        <f t="shared" si="11"/>
        <v>7.664793050587634</v>
      </c>
    </row>
    <row r="415" spans="1:6">
      <c r="A415" s="485">
        <v>45714</v>
      </c>
      <c r="B415" t="s">
        <v>1180</v>
      </c>
      <c r="E415" s="343">
        <v>300</v>
      </c>
      <c r="F415" s="492">
        <f t="shared" si="11"/>
        <v>7.664793050587634</v>
      </c>
    </row>
    <row r="416" spans="1:6">
      <c r="A416" s="485">
        <v>45715</v>
      </c>
      <c r="B416" t="s">
        <v>1180</v>
      </c>
      <c r="E416" s="343">
        <v>300</v>
      </c>
      <c r="F416" s="492">
        <f t="shared" si="11"/>
        <v>7.664793050587634</v>
      </c>
    </row>
    <row r="417" spans="1:7">
      <c r="A417" s="485">
        <v>45716</v>
      </c>
      <c r="B417" t="s">
        <v>1180</v>
      </c>
      <c r="E417" s="343">
        <v>300</v>
      </c>
      <c r="F417" s="492">
        <f t="shared" si="11"/>
        <v>7.664793050587634</v>
      </c>
    </row>
    <row r="418" spans="1:7">
      <c r="A418" s="485">
        <v>45712</v>
      </c>
      <c r="B418">
        <v>2975474</v>
      </c>
      <c r="E418" s="343">
        <v>400.86</v>
      </c>
      <c r="F418" s="492">
        <f t="shared" si="11"/>
        <v>10.241696474195196</v>
      </c>
      <c r="G418" t="s">
        <v>1328</v>
      </c>
    </row>
    <row r="419" spans="1:7">
      <c r="A419" s="485">
        <v>45714</v>
      </c>
      <c r="B419">
        <v>2975966</v>
      </c>
      <c r="E419" s="343">
        <v>235.86</v>
      </c>
      <c r="F419" s="492">
        <f t="shared" si="11"/>
        <v>6.0260602963719982</v>
      </c>
      <c r="G419" t="s">
        <v>1329</v>
      </c>
    </row>
    <row r="420" spans="1:7">
      <c r="A420" s="485">
        <v>45714</v>
      </c>
      <c r="B420">
        <v>2975967</v>
      </c>
      <c r="E420" s="343">
        <v>390.86</v>
      </c>
      <c r="F420" s="492">
        <f t="shared" si="11"/>
        <v>9.9862033725089425</v>
      </c>
      <c r="G420" t="s">
        <v>1330</v>
      </c>
    </row>
    <row r="421" spans="1:7">
      <c r="A421" s="485">
        <v>45714</v>
      </c>
      <c r="B421">
        <v>2975968</v>
      </c>
      <c r="E421" s="343">
        <v>451.53</v>
      </c>
      <c r="F421" s="492">
        <f t="shared" si="11"/>
        <v>11.536280020439447</v>
      </c>
      <c r="G421" t="s">
        <v>1331</v>
      </c>
    </row>
    <row r="422" spans="1:7">
      <c r="A422" s="485">
        <v>45733</v>
      </c>
      <c r="B422">
        <v>2978802</v>
      </c>
      <c r="E422" s="343">
        <v>525.86</v>
      </c>
      <c r="F422" s="492">
        <f t="shared" si="11"/>
        <v>13.435360245273378</v>
      </c>
      <c r="G422" t="s">
        <v>1332</v>
      </c>
    </row>
    <row r="423" spans="1:7">
      <c r="A423" s="485">
        <v>45735</v>
      </c>
      <c r="B423">
        <v>2979106</v>
      </c>
      <c r="E423" s="343">
        <v>595.86</v>
      </c>
      <c r="F423" s="492">
        <f t="shared" si="11"/>
        <v>15.223811957077158</v>
      </c>
      <c r="G423" t="s">
        <v>1333</v>
      </c>
    </row>
    <row r="424" spans="1:7">
      <c r="A424" s="485">
        <v>45735</v>
      </c>
      <c r="B424">
        <v>2979107</v>
      </c>
      <c r="E424" s="343">
        <v>475.86</v>
      </c>
      <c r="F424" s="492">
        <f t="shared" si="11"/>
        <v>12.157894736842106</v>
      </c>
      <c r="G424" t="s">
        <v>1334</v>
      </c>
    </row>
    <row r="425" spans="1:7">
      <c r="A425" s="485">
        <v>45737</v>
      </c>
      <c r="B425">
        <v>2979272</v>
      </c>
      <c r="E425" s="343">
        <v>595.86</v>
      </c>
      <c r="F425" s="492">
        <f t="shared" si="11"/>
        <v>15.223811957077158</v>
      </c>
      <c r="G425" t="s">
        <v>1333</v>
      </c>
    </row>
    <row r="426" spans="1:7">
      <c r="A426" s="485">
        <v>45737</v>
      </c>
      <c r="B426">
        <v>2979273</v>
      </c>
      <c r="E426" s="343">
        <v>570.86</v>
      </c>
      <c r="F426" s="492">
        <f t="shared" si="11"/>
        <v>14.585079202861523</v>
      </c>
      <c r="G426" t="s">
        <v>1334</v>
      </c>
    </row>
    <row r="427" spans="1:7">
      <c r="A427" s="485">
        <v>45719</v>
      </c>
      <c r="B427" t="s">
        <v>1180</v>
      </c>
      <c r="E427" s="343">
        <v>300</v>
      </c>
      <c r="F427" s="492">
        <f t="shared" si="11"/>
        <v>7.664793050587634</v>
      </c>
      <c r="G427" t="s">
        <v>1335</v>
      </c>
    </row>
    <row r="428" spans="1:7">
      <c r="A428" s="485">
        <v>45720</v>
      </c>
      <c r="B428" t="s">
        <v>1180</v>
      </c>
      <c r="E428" s="343">
        <v>300</v>
      </c>
      <c r="F428" s="492">
        <f t="shared" si="11"/>
        <v>7.664793050587634</v>
      </c>
      <c r="G428" t="s">
        <v>1336</v>
      </c>
    </row>
    <row r="429" spans="1:7">
      <c r="A429" s="485">
        <v>45721</v>
      </c>
      <c r="B429" t="s">
        <v>1180</v>
      </c>
      <c r="E429" s="343">
        <v>300</v>
      </c>
      <c r="F429" s="492">
        <f t="shared" si="11"/>
        <v>7.664793050587634</v>
      </c>
      <c r="G429" t="s">
        <v>1335</v>
      </c>
    </row>
    <row r="430" spans="1:7">
      <c r="A430" s="485">
        <v>45722</v>
      </c>
      <c r="B430" t="s">
        <v>1180</v>
      </c>
      <c r="E430" s="343">
        <v>300</v>
      </c>
      <c r="F430" s="492">
        <f t="shared" si="11"/>
        <v>7.664793050587634</v>
      </c>
      <c r="G430" t="s">
        <v>1335</v>
      </c>
    </row>
    <row r="431" spans="1:7">
      <c r="A431" s="485">
        <v>45723</v>
      </c>
      <c r="B431" t="s">
        <v>1180</v>
      </c>
      <c r="E431" s="343">
        <v>300</v>
      </c>
      <c r="F431" s="492">
        <f t="shared" si="11"/>
        <v>7.664793050587634</v>
      </c>
      <c r="G431" t="s">
        <v>1337</v>
      </c>
    </row>
    <row r="432" spans="1:7">
      <c r="A432" s="485">
        <v>45726</v>
      </c>
      <c r="B432" t="s">
        <v>1180</v>
      </c>
      <c r="E432" s="343">
        <v>300</v>
      </c>
      <c r="F432" s="492">
        <f t="shared" si="11"/>
        <v>7.664793050587634</v>
      </c>
      <c r="G432" t="s">
        <v>1338</v>
      </c>
    </row>
    <row r="433" spans="1:7">
      <c r="A433" s="485">
        <v>45727</v>
      </c>
      <c r="B433" t="s">
        <v>1180</v>
      </c>
      <c r="E433" s="343">
        <v>300</v>
      </c>
      <c r="F433" s="492">
        <f t="shared" si="11"/>
        <v>7.664793050587634</v>
      </c>
      <c r="G433" t="s">
        <v>1338</v>
      </c>
    </row>
    <row r="434" spans="1:7">
      <c r="A434" s="485">
        <v>45728</v>
      </c>
      <c r="B434" t="s">
        <v>1180</v>
      </c>
      <c r="E434" s="343">
        <v>300</v>
      </c>
      <c r="F434" s="492">
        <f t="shared" si="11"/>
        <v>7.664793050587634</v>
      </c>
      <c r="G434" t="s">
        <v>1338</v>
      </c>
    </row>
    <row r="435" spans="1:7">
      <c r="A435" s="485">
        <v>45729</v>
      </c>
      <c r="B435" t="s">
        <v>1180</v>
      </c>
      <c r="E435" s="343">
        <v>300</v>
      </c>
      <c r="F435" s="492">
        <f t="shared" si="11"/>
        <v>7.664793050587634</v>
      </c>
      <c r="G435" t="s">
        <v>1339</v>
      </c>
    </row>
    <row r="436" spans="1:7">
      <c r="A436" s="485">
        <v>45733</v>
      </c>
      <c r="B436" t="s">
        <v>1180</v>
      </c>
      <c r="E436" s="343">
        <v>300</v>
      </c>
      <c r="F436" s="492">
        <f t="shared" si="11"/>
        <v>7.664793050587634</v>
      </c>
      <c r="G436" t="s">
        <v>1338</v>
      </c>
    </row>
    <row r="437" spans="1:7">
      <c r="A437" s="485">
        <v>45734</v>
      </c>
      <c r="B437" t="s">
        <v>1180</v>
      </c>
      <c r="E437" s="343">
        <v>300</v>
      </c>
      <c r="F437" s="492">
        <f t="shared" si="11"/>
        <v>7.664793050587634</v>
      </c>
      <c r="G437" t="s">
        <v>1340</v>
      </c>
    </row>
    <row r="438" spans="1:7">
      <c r="A438" s="485">
        <v>45735</v>
      </c>
      <c r="B438" t="s">
        <v>1180</v>
      </c>
      <c r="E438" s="343">
        <v>300</v>
      </c>
      <c r="F438" s="492">
        <f t="shared" ref="F438:F501" si="12">E438/39.14</f>
        <v>7.664793050587634</v>
      </c>
      <c r="G438" t="s">
        <v>1341</v>
      </c>
    </row>
    <row r="439" spans="1:7">
      <c r="A439" s="485">
        <v>45736</v>
      </c>
      <c r="B439" t="s">
        <v>1180</v>
      </c>
      <c r="E439" s="343">
        <v>300</v>
      </c>
      <c r="F439" s="492">
        <f t="shared" si="12"/>
        <v>7.664793050587634</v>
      </c>
      <c r="G439" t="s">
        <v>1341</v>
      </c>
    </row>
    <row r="440" spans="1:7">
      <c r="A440" s="485">
        <v>45737</v>
      </c>
      <c r="B440" t="s">
        <v>1180</v>
      </c>
      <c r="E440" s="343">
        <v>300</v>
      </c>
      <c r="F440" s="492">
        <f t="shared" si="12"/>
        <v>7.664793050587634</v>
      </c>
      <c r="G440" t="s">
        <v>1341</v>
      </c>
    </row>
    <row r="441" spans="1:7">
      <c r="A441" s="485">
        <v>45740</v>
      </c>
      <c r="B441" t="s">
        <v>1180</v>
      </c>
      <c r="E441" s="343">
        <v>300</v>
      </c>
      <c r="F441" s="492">
        <f t="shared" si="12"/>
        <v>7.664793050587634</v>
      </c>
      <c r="G441" t="s">
        <v>1342</v>
      </c>
    </row>
    <row r="442" spans="1:7">
      <c r="A442" s="485">
        <v>45741</v>
      </c>
      <c r="B442" t="s">
        <v>1180</v>
      </c>
      <c r="E442" s="343">
        <v>300</v>
      </c>
      <c r="F442" s="492">
        <f t="shared" si="12"/>
        <v>7.664793050587634</v>
      </c>
      <c r="G442" t="s">
        <v>1341</v>
      </c>
    </row>
    <row r="443" spans="1:7">
      <c r="A443" s="485">
        <v>45747</v>
      </c>
      <c r="B443" t="s">
        <v>1180</v>
      </c>
      <c r="E443" s="343">
        <v>300</v>
      </c>
      <c r="F443" s="492">
        <f t="shared" si="12"/>
        <v>7.664793050587634</v>
      </c>
      <c r="G443" t="s">
        <v>1343</v>
      </c>
    </row>
    <row r="444" spans="1:7">
      <c r="A444" s="485">
        <v>45743</v>
      </c>
      <c r="B444" t="s">
        <v>1180</v>
      </c>
      <c r="E444" s="343">
        <v>300</v>
      </c>
      <c r="F444" s="492">
        <f t="shared" si="12"/>
        <v>7.664793050587634</v>
      </c>
      <c r="G444" t="s">
        <v>1341</v>
      </c>
    </row>
    <row r="445" spans="1:7">
      <c r="A445" s="485">
        <v>45744</v>
      </c>
      <c r="B445" t="s">
        <v>1180</v>
      </c>
      <c r="E445" s="343">
        <v>300</v>
      </c>
      <c r="F445" s="492">
        <f t="shared" si="12"/>
        <v>7.664793050587634</v>
      </c>
      <c r="G445" t="s">
        <v>1341</v>
      </c>
    </row>
    <row r="446" spans="1:7">
      <c r="A446" s="485">
        <v>45744</v>
      </c>
      <c r="B446">
        <v>2980618</v>
      </c>
      <c r="E446" s="343">
        <v>310.86</v>
      </c>
      <c r="F446" s="492">
        <f>E446/39.14</f>
        <v>7.9422585590189065</v>
      </c>
      <c r="G446" t="s">
        <v>1344</v>
      </c>
    </row>
    <row r="447" spans="1:7">
      <c r="A447" s="485">
        <v>45747</v>
      </c>
      <c r="B447">
        <v>2980627</v>
      </c>
      <c r="E447" s="343">
        <v>626.38</v>
      </c>
      <c r="F447" s="492">
        <f>E447/39.14</f>
        <v>16.003576903423607</v>
      </c>
      <c r="G447" t="s">
        <v>1345</v>
      </c>
    </row>
    <row r="448" spans="1:7">
      <c r="A448" s="485">
        <v>45747</v>
      </c>
      <c r="B448">
        <v>2981016</v>
      </c>
      <c r="E448" s="343">
        <v>305.86</v>
      </c>
      <c r="F448" s="492">
        <f>E448/39.14</f>
        <v>7.8145120081757797</v>
      </c>
      <c r="G448" t="s">
        <v>1346</v>
      </c>
    </row>
    <row r="449" spans="1:7">
      <c r="A449" s="485">
        <v>45748</v>
      </c>
      <c r="B449" t="s">
        <v>1180</v>
      </c>
      <c r="E449" s="343">
        <v>300</v>
      </c>
      <c r="F449" s="492">
        <f t="shared" si="12"/>
        <v>7.664793050587634</v>
      </c>
      <c r="G449" t="s">
        <v>1343</v>
      </c>
    </row>
    <row r="450" spans="1:7">
      <c r="A450" s="485">
        <v>45749</v>
      </c>
      <c r="B450" t="s">
        <v>1180</v>
      </c>
      <c r="E450" s="343">
        <v>300</v>
      </c>
      <c r="F450" s="492">
        <f t="shared" si="12"/>
        <v>7.664793050587634</v>
      </c>
      <c r="G450" t="s">
        <v>1342</v>
      </c>
    </row>
    <row r="451" spans="1:7">
      <c r="A451" s="485">
        <v>45750</v>
      </c>
      <c r="B451" t="s">
        <v>1180</v>
      </c>
      <c r="E451" s="343">
        <v>300</v>
      </c>
      <c r="F451" s="492">
        <f t="shared" si="12"/>
        <v>7.664793050587634</v>
      </c>
      <c r="G451" t="s">
        <v>1343</v>
      </c>
    </row>
    <row r="452" spans="1:7">
      <c r="A452" s="485">
        <v>45751</v>
      </c>
      <c r="B452" t="s">
        <v>1180</v>
      </c>
      <c r="E452" s="343">
        <v>300</v>
      </c>
      <c r="F452" s="492">
        <f t="shared" si="12"/>
        <v>7.664793050587634</v>
      </c>
      <c r="G452" t="s">
        <v>1342</v>
      </c>
    </row>
    <row r="453" spans="1:7">
      <c r="A453" s="485">
        <v>45754</v>
      </c>
      <c r="B453" t="s">
        <v>1180</v>
      </c>
      <c r="E453" s="343">
        <v>300</v>
      </c>
      <c r="F453" s="492">
        <f t="shared" si="12"/>
        <v>7.664793050587634</v>
      </c>
      <c r="G453" t="s">
        <v>1342</v>
      </c>
    </row>
    <row r="454" spans="1:7">
      <c r="A454" s="485">
        <v>45755</v>
      </c>
      <c r="B454" t="s">
        <v>1180</v>
      </c>
      <c r="E454" s="343">
        <v>300</v>
      </c>
      <c r="F454" s="492">
        <f t="shared" si="12"/>
        <v>7.664793050587634</v>
      </c>
      <c r="G454" t="s">
        <v>1342</v>
      </c>
    </row>
    <row r="455" spans="1:7">
      <c r="A455" s="485">
        <v>45756</v>
      </c>
      <c r="B455" t="s">
        <v>1180</v>
      </c>
      <c r="E455" s="343">
        <v>300</v>
      </c>
      <c r="F455" s="492">
        <f t="shared" si="12"/>
        <v>7.664793050587634</v>
      </c>
      <c r="G455" t="s">
        <v>1342</v>
      </c>
    </row>
    <row r="456" spans="1:7">
      <c r="A456" s="485">
        <v>45758</v>
      </c>
      <c r="B456" t="s">
        <v>1180</v>
      </c>
      <c r="E456" s="343">
        <v>300</v>
      </c>
      <c r="F456" s="492">
        <f t="shared" si="12"/>
        <v>7.664793050587634</v>
      </c>
      <c r="G456" t="s">
        <v>1342</v>
      </c>
    </row>
    <row r="457" spans="1:7">
      <c r="A457" s="485">
        <v>45761</v>
      </c>
      <c r="B457" t="s">
        <v>1180</v>
      </c>
      <c r="E457" s="343">
        <v>300</v>
      </c>
      <c r="F457" s="492">
        <f t="shared" si="12"/>
        <v>7.664793050587634</v>
      </c>
      <c r="G457" t="s">
        <v>1342</v>
      </c>
    </row>
    <row r="458" spans="1:7">
      <c r="A458" s="485">
        <v>45762</v>
      </c>
      <c r="B458" t="s">
        <v>1180</v>
      </c>
      <c r="E458" s="343">
        <v>300</v>
      </c>
      <c r="F458" s="492">
        <f t="shared" si="12"/>
        <v>7.664793050587634</v>
      </c>
      <c r="G458" t="s">
        <v>1342</v>
      </c>
    </row>
    <row r="459" spans="1:7">
      <c r="A459" s="485">
        <v>45763</v>
      </c>
      <c r="B459" t="s">
        <v>1180</v>
      </c>
      <c r="E459" s="343">
        <v>300</v>
      </c>
      <c r="F459" s="492">
        <f t="shared" si="12"/>
        <v>7.664793050587634</v>
      </c>
      <c r="G459" t="s">
        <v>1342</v>
      </c>
    </row>
    <row r="460" spans="1:7">
      <c r="A460" s="485">
        <v>45764</v>
      </c>
      <c r="B460" t="s">
        <v>1180</v>
      </c>
      <c r="E460" s="343">
        <v>300</v>
      </c>
      <c r="F460" s="492">
        <f t="shared" si="12"/>
        <v>7.664793050587634</v>
      </c>
      <c r="G460" t="s">
        <v>1342</v>
      </c>
    </row>
    <row r="461" spans="1:7">
      <c r="A461" s="485">
        <v>45765</v>
      </c>
      <c r="B461" t="s">
        <v>1180</v>
      </c>
      <c r="E461" s="343">
        <v>300</v>
      </c>
      <c r="F461" s="492">
        <f t="shared" si="12"/>
        <v>7.664793050587634</v>
      </c>
      <c r="G461" t="s">
        <v>1342</v>
      </c>
    </row>
    <row r="462" spans="1:7">
      <c r="A462" s="485">
        <v>45769</v>
      </c>
      <c r="B462" t="s">
        <v>1180</v>
      </c>
      <c r="E462" s="343">
        <v>300</v>
      </c>
      <c r="F462" s="492">
        <f t="shared" si="12"/>
        <v>7.664793050587634</v>
      </c>
      <c r="G462" t="s">
        <v>1342</v>
      </c>
    </row>
    <row r="463" spans="1:7">
      <c r="A463" s="485">
        <v>45770</v>
      </c>
      <c r="B463" t="s">
        <v>1180</v>
      </c>
      <c r="E463" s="343">
        <v>300</v>
      </c>
      <c r="F463" s="492">
        <f t="shared" si="12"/>
        <v>7.664793050587634</v>
      </c>
      <c r="G463" t="s">
        <v>1342</v>
      </c>
    </row>
    <row r="464" spans="1:7">
      <c r="A464" s="485">
        <v>45771</v>
      </c>
      <c r="B464" t="s">
        <v>1180</v>
      </c>
      <c r="E464" s="343">
        <v>300</v>
      </c>
      <c r="F464" s="492">
        <f t="shared" si="12"/>
        <v>7.664793050587634</v>
      </c>
      <c r="G464" t="s">
        <v>1342</v>
      </c>
    </row>
    <row r="465" spans="1:7">
      <c r="A465" s="485">
        <v>45772</v>
      </c>
      <c r="B465" t="s">
        <v>1180</v>
      </c>
      <c r="E465" s="343">
        <v>300</v>
      </c>
      <c r="F465" s="492">
        <f t="shared" si="12"/>
        <v>7.664793050587634</v>
      </c>
      <c r="G465" t="s">
        <v>1342</v>
      </c>
    </row>
    <row r="466" spans="1:7">
      <c r="A466" s="485">
        <v>45775</v>
      </c>
      <c r="B466" t="s">
        <v>1180</v>
      </c>
      <c r="E466" s="343">
        <v>300</v>
      </c>
      <c r="F466" s="492">
        <f t="shared" si="12"/>
        <v>7.664793050587634</v>
      </c>
      <c r="G466" t="s">
        <v>1342</v>
      </c>
    </row>
    <row r="467" spans="1:7">
      <c r="A467" s="485">
        <v>45777</v>
      </c>
      <c r="B467" t="s">
        <v>1180</v>
      </c>
      <c r="E467" s="343">
        <v>300</v>
      </c>
      <c r="F467" s="492">
        <f t="shared" si="12"/>
        <v>7.664793050587634</v>
      </c>
      <c r="G467" t="s">
        <v>1342</v>
      </c>
    </row>
    <row r="468" spans="1:7">
      <c r="A468" s="485">
        <v>45757</v>
      </c>
      <c r="B468" t="s">
        <v>1180</v>
      </c>
      <c r="E468" s="343">
        <v>300</v>
      </c>
      <c r="F468" s="492">
        <f t="shared" si="12"/>
        <v>7.664793050587634</v>
      </c>
      <c r="G468" t="s">
        <v>1342</v>
      </c>
    </row>
    <row r="469" spans="1:7">
      <c r="A469" s="485">
        <v>45768</v>
      </c>
      <c r="B469" t="s">
        <v>1180</v>
      </c>
      <c r="E469" s="343">
        <v>300</v>
      </c>
      <c r="F469" s="492">
        <f t="shared" si="12"/>
        <v>7.664793050587634</v>
      </c>
      <c r="G469" t="s">
        <v>1342</v>
      </c>
    </row>
    <row r="470" spans="1:7">
      <c r="A470" s="485">
        <v>45754</v>
      </c>
      <c r="B470">
        <v>2980901</v>
      </c>
      <c r="E470" s="343">
        <v>305.86</v>
      </c>
      <c r="F470" s="492">
        <f t="shared" si="12"/>
        <v>7.8145120081757797</v>
      </c>
      <c r="G470" t="s">
        <v>1347</v>
      </c>
    </row>
    <row r="471" spans="1:7">
      <c r="A471" s="485">
        <v>45754</v>
      </c>
      <c r="B471">
        <v>2980903</v>
      </c>
      <c r="E471" s="343">
        <v>330.86</v>
      </c>
      <c r="F471" s="492">
        <f t="shared" si="12"/>
        <v>8.4532447623914155</v>
      </c>
      <c r="G471" t="s">
        <v>1240</v>
      </c>
    </row>
    <row r="472" spans="1:7">
      <c r="A472" s="485">
        <v>45758</v>
      </c>
      <c r="B472">
        <v>2983066</v>
      </c>
      <c r="E472" s="343">
        <v>235.86</v>
      </c>
      <c r="F472" s="492">
        <f t="shared" si="12"/>
        <v>6.0260602963719982</v>
      </c>
      <c r="G472" t="s">
        <v>1348</v>
      </c>
    </row>
    <row r="473" spans="1:7">
      <c r="A473" s="485">
        <v>45761</v>
      </c>
      <c r="B473">
        <v>2983066.01</v>
      </c>
      <c r="E473" s="343">
        <v>224.89</v>
      </c>
      <c r="F473" s="492">
        <f t="shared" si="12"/>
        <v>5.7457843638221764</v>
      </c>
      <c r="G473" t="s">
        <v>1349</v>
      </c>
    </row>
    <row r="474" spans="1:7">
      <c r="A474" s="485">
        <v>45761</v>
      </c>
      <c r="B474">
        <v>2983283</v>
      </c>
      <c r="E474" s="343">
        <v>225.75</v>
      </c>
      <c r="F474" s="492">
        <f t="shared" si="12"/>
        <v>5.7677567705671944</v>
      </c>
      <c r="G474" t="s">
        <v>1350</v>
      </c>
    </row>
    <row r="475" spans="1:7">
      <c r="A475" s="485">
        <v>45762</v>
      </c>
      <c r="B475">
        <v>2983283.01</v>
      </c>
      <c r="E475" s="343">
        <v>262.89</v>
      </c>
      <c r="F475" s="492">
        <f t="shared" si="12"/>
        <v>6.7166581502299429</v>
      </c>
      <c r="G475" t="s">
        <v>1259</v>
      </c>
    </row>
    <row r="476" spans="1:7">
      <c r="A476" s="485">
        <v>45776</v>
      </c>
      <c r="B476" t="s">
        <v>1180</v>
      </c>
      <c r="E476" s="343">
        <v>300</v>
      </c>
      <c r="F476" s="492">
        <f t="shared" si="12"/>
        <v>7.664793050587634</v>
      </c>
      <c r="G476" t="s">
        <v>1342</v>
      </c>
    </row>
    <row r="477" spans="1:7">
      <c r="A477" s="485">
        <v>45778</v>
      </c>
      <c r="B477" t="s">
        <v>1180</v>
      </c>
      <c r="E477" s="343">
        <v>300</v>
      </c>
      <c r="F477" s="492">
        <f t="shared" si="12"/>
        <v>7.664793050587634</v>
      </c>
      <c r="G477" t="s">
        <v>1342</v>
      </c>
    </row>
    <row r="478" spans="1:7">
      <c r="A478" s="485">
        <v>45779</v>
      </c>
      <c r="B478" t="s">
        <v>1180</v>
      </c>
      <c r="E478" s="343">
        <v>300</v>
      </c>
      <c r="F478" s="492">
        <f t="shared" si="12"/>
        <v>7.664793050587634</v>
      </c>
      <c r="G478" t="s">
        <v>1342</v>
      </c>
    </row>
    <row r="479" spans="1:7">
      <c r="A479" s="485">
        <v>45782</v>
      </c>
      <c r="B479" t="s">
        <v>1180</v>
      </c>
      <c r="E479" s="343">
        <v>300</v>
      </c>
      <c r="F479" s="492">
        <f t="shared" si="12"/>
        <v>7.664793050587634</v>
      </c>
      <c r="G479" t="s">
        <v>1342</v>
      </c>
    </row>
    <row r="480" spans="1:7">
      <c r="A480" s="485">
        <v>45783</v>
      </c>
      <c r="B480" t="s">
        <v>1180</v>
      </c>
      <c r="E480" s="343">
        <v>300</v>
      </c>
      <c r="F480" s="492">
        <f t="shared" si="12"/>
        <v>7.664793050587634</v>
      </c>
      <c r="G480" t="s">
        <v>1342</v>
      </c>
    </row>
    <row r="481" spans="1:7">
      <c r="A481" s="485">
        <v>45784</v>
      </c>
      <c r="B481" t="s">
        <v>1180</v>
      </c>
      <c r="E481" s="343">
        <v>300</v>
      </c>
      <c r="F481" s="492">
        <f t="shared" si="12"/>
        <v>7.664793050587634</v>
      </c>
      <c r="G481" t="s">
        <v>1342</v>
      </c>
    </row>
    <row r="482" spans="1:7">
      <c r="A482" s="485">
        <v>45785</v>
      </c>
      <c r="B482" t="s">
        <v>1180</v>
      </c>
      <c r="E482" s="343">
        <v>300</v>
      </c>
      <c r="F482" s="492">
        <f t="shared" si="12"/>
        <v>7.664793050587634</v>
      </c>
      <c r="G482" t="s">
        <v>1342</v>
      </c>
    </row>
    <row r="483" spans="1:7">
      <c r="A483" s="485">
        <v>45786</v>
      </c>
      <c r="B483" t="s">
        <v>1180</v>
      </c>
      <c r="E483" s="343">
        <v>300</v>
      </c>
      <c r="F483" s="492">
        <f t="shared" si="12"/>
        <v>7.664793050587634</v>
      </c>
      <c r="G483" t="s">
        <v>1342</v>
      </c>
    </row>
    <row r="484" spans="1:7">
      <c r="A484" s="485">
        <v>45786</v>
      </c>
      <c r="B484">
        <v>2987296</v>
      </c>
      <c r="E484" s="343">
        <v>294.89</v>
      </c>
      <c r="F484" s="492">
        <f t="shared" si="12"/>
        <v>7.5342360756259579</v>
      </c>
      <c r="G484" t="s">
        <v>1351</v>
      </c>
    </row>
    <row r="485" spans="1:7">
      <c r="A485" s="485">
        <v>45786</v>
      </c>
      <c r="B485">
        <v>2987298</v>
      </c>
      <c r="E485" s="343">
        <v>379.89</v>
      </c>
      <c r="F485" s="492">
        <f t="shared" si="12"/>
        <v>9.7059274399591207</v>
      </c>
      <c r="G485" t="s">
        <v>1351</v>
      </c>
    </row>
    <row r="486" spans="1:7">
      <c r="A486" s="485">
        <v>45789</v>
      </c>
      <c r="B486" t="s">
        <v>1180</v>
      </c>
      <c r="E486" s="343">
        <v>300</v>
      </c>
      <c r="F486" s="492">
        <f t="shared" si="12"/>
        <v>7.664793050587634</v>
      </c>
      <c r="G486" t="s">
        <v>1342</v>
      </c>
    </row>
    <row r="487" spans="1:7">
      <c r="A487" s="485">
        <v>45790</v>
      </c>
      <c r="B487" t="s">
        <v>1180</v>
      </c>
      <c r="E487" s="343">
        <v>300</v>
      </c>
      <c r="F487" s="492">
        <f t="shared" si="12"/>
        <v>7.664793050587634</v>
      </c>
      <c r="G487" t="s">
        <v>1342</v>
      </c>
    </row>
    <row r="488" spans="1:7">
      <c r="A488" s="485">
        <v>45791</v>
      </c>
      <c r="B488" t="s">
        <v>1180</v>
      </c>
      <c r="E488" s="343">
        <v>300</v>
      </c>
      <c r="F488" s="492">
        <f t="shared" si="12"/>
        <v>7.664793050587634</v>
      </c>
      <c r="G488" t="s">
        <v>1342</v>
      </c>
    </row>
    <row r="489" spans="1:7">
      <c r="A489" s="485">
        <v>45792</v>
      </c>
      <c r="B489" t="s">
        <v>1180</v>
      </c>
      <c r="E489" s="343">
        <v>300</v>
      </c>
      <c r="F489" s="492">
        <f t="shared" si="12"/>
        <v>7.664793050587634</v>
      </c>
      <c r="G489" t="s">
        <v>1342</v>
      </c>
    </row>
    <row r="490" spans="1:7">
      <c r="A490" s="485">
        <v>45792</v>
      </c>
      <c r="B490" t="s">
        <v>1243</v>
      </c>
      <c r="E490" s="343">
        <v>100</v>
      </c>
      <c r="F490" s="492">
        <f t="shared" si="12"/>
        <v>2.5549310168625445</v>
      </c>
      <c r="G490" t="s">
        <v>1352</v>
      </c>
    </row>
    <row r="491" spans="1:7">
      <c r="A491" s="485">
        <v>45793</v>
      </c>
      <c r="B491" t="s">
        <v>1180</v>
      </c>
      <c r="E491" s="343">
        <v>300</v>
      </c>
      <c r="F491" s="492">
        <f t="shared" si="12"/>
        <v>7.664793050587634</v>
      </c>
      <c r="G491" t="s">
        <v>1342</v>
      </c>
    </row>
    <row r="492" spans="1:7">
      <c r="A492" s="485">
        <v>45796</v>
      </c>
      <c r="B492" t="s">
        <v>1180</v>
      </c>
      <c r="D492" t="s">
        <v>1353</v>
      </c>
      <c r="E492" s="343">
        <v>300</v>
      </c>
      <c r="F492" s="492">
        <f t="shared" si="12"/>
        <v>7.664793050587634</v>
      </c>
      <c r="G492" t="s">
        <v>1342</v>
      </c>
    </row>
    <row r="493" spans="1:7">
      <c r="A493" s="485">
        <v>45797</v>
      </c>
      <c r="B493" t="s">
        <v>1180</v>
      </c>
      <c r="E493" s="343">
        <v>300</v>
      </c>
      <c r="F493" s="492">
        <f t="shared" si="12"/>
        <v>7.664793050587634</v>
      </c>
      <c r="G493" t="s">
        <v>1342</v>
      </c>
    </row>
    <row r="494" spans="1:7">
      <c r="A494" s="485">
        <v>45798</v>
      </c>
      <c r="B494" t="s">
        <v>1180</v>
      </c>
      <c r="E494" s="343">
        <v>300</v>
      </c>
      <c r="F494" s="492">
        <f t="shared" si="12"/>
        <v>7.664793050587634</v>
      </c>
      <c r="G494" t="s">
        <v>1342</v>
      </c>
    </row>
    <row r="495" spans="1:7">
      <c r="A495" s="485">
        <v>45799</v>
      </c>
      <c r="B495" t="s">
        <v>1180</v>
      </c>
      <c r="E495" s="343">
        <v>300</v>
      </c>
      <c r="F495" s="492">
        <f t="shared" si="12"/>
        <v>7.664793050587634</v>
      </c>
      <c r="G495" t="s">
        <v>1342</v>
      </c>
    </row>
    <row r="496" spans="1:7">
      <c r="A496" s="485">
        <v>45800</v>
      </c>
      <c r="B496" t="s">
        <v>1180</v>
      </c>
      <c r="E496" s="343">
        <v>300</v>
      </c>
      <c r="F496" s="492">
        <f t="shared" si="12"/>
        <v>7.664793050587634</v>
      </c>
      <c r="G496" t="s">
        <v>1342</v>
      </c>
    </row>
    <row r="497" spans="1:7">
      <c r="A497" s="485">
        <v>45804</v>
      </c>
      <c r="B497" t="s">
        <v>1180</v>
      </c>
      <c r="E497" s="343">
        <v>300</v>
      </c>
      <c r="F497" s="492">
        <f t="shared" si="12"/>
        <v>7.664793050587634</v>
      </c>
      <c r="G497" t="s">
        <v>1342</v>
      </c>
    </row>
    <row r="498" spans="1:7">
      <c r="A498" s="485">
        <v>45805</v>
      </c>
      <c r="B498" t="s">
        <v>1180</v>
      </c>
      <c r="E498" s="343">
        <v>300</v>
      </c>
      <c r="F498" s="492">
        <f t="shared" si="12"/>
        <v>7.664793050587634</v>
      </c>
      <c r="G498" t="s">
        <v>1342</v>
      </c>
    </row>
    <row r="499" spans="1:7">
      <c r="A499" s="485">
        <v>45807</v>
      </c>
      <c r="B499" t="s">
        <v>1180</v>
      </c>
      <c r="E499" s="343">
        <v>300</v>
      </c>
      <c r="F499" s="492">
        <f t="shared" si="12"/>
        <v>7.664793050587634</v>
      </c>
      <c r="G499" t="s">
        <v>1342</v>
      </c>
    </row>
    <row r="500" spans="1:7">
      <c r="A500" s="485">
        <v>45811</v>
      </c>
      <c r="B500" t="s">
        <v>1180</v>
      </c>
      <c r="E500" s="343">
        <v>300</v>
      </c>
      <c r="F500" s="492">
        <f t="shared" si="12"/>
        <v>7.664793050587634</v>
      </c>
      <c r="G500" t="s">
        <v>1342</v>
      </c>
    </row>
    <row r="501" spans="1:7">
      <c r="A501" s="485">
        <v>45807</v>
      </c>
      <c r="B501" t="s">
        <v>1354</v>
      </c>
      <c r="D501" t="s">
        <v>1355</v>
      </c>
      <c r="E501" s="343">
        <v>2861.5</v>
      </c>
      <c r="F501" s="492">
        <f t="shared" si="12"/>
        <v>73.109351047521713</v>
      </c>
      <c r="G501" t="s">
        <v>1356</v>
      </c>
    </row>
    <row r="502" spans="1:7">
      <c r="A502" s="485">
        <v>45807</v>
      </c>
      <c r="B502" t="s">
        <v>1357</v>
      </c>
      <c r="D502" t="s">
        <v>1358</v>
      </c>
      <c r="E502" s="343">
        <v>3769.5</v>
      </c>
      <c r="F502" s="492">
        <f t="shared" ref="F502:F539" si="13">E502/39.14</f>
        <v>96.308124680633625</v>
      </c>
      <c r="G502" t="s">
        <v>1356</v>
      </c>
    </row>
    <row r="503" spans="1:7">
      <c r="A503" s="485">
        <v>45807</v>
      </c>
      <c r="B503" t="s">
        <v>1359</v>
      </c>
      <c r="D503" t="s">
        <v>1360</v>
      </c>
      <c r="E503" s="343">
        <v>4043</v>
      </c>
      <c r="F503" s="492">
        <f t="shared" si="13"/>
        <v>103.29586101175268</v>
      </c>
      <c r="G503" t="s">
        <v>1356</v>
      </c>
    </row>
    <row r="504" spans="1:7">
      <c r="A504" s="485">
        <v>45807</v>
      </c>
      <c r="B504" t="s">
        <v>1361</v>
      </c>
      <c r="D504" t="s">
        <v>1362</v>
      </c>
      <c r="E504" s="343">
        <v>3655.5</v>
      </c>
      <c r="F504" s="492">
        <f t="shared" si="13"/>
        <v>93.395503321410317</v>
      </c>
      <c r="G504" t="s">
        <v>1356</v>
      </c>
    </row>
    <row r="505" spans="1:7">
      <c r="A505" s="485">
        <v>45812</v>
      </c>
      <c r="B505" t="s">
        <v>1180</v>
      </c>
      <c r="E505" s="343">
        <v>300</v>
      </c>
      <c r="F505" s="492">
        <f t="shared" si="13"/>
        <v>7.664793050587634</v>
      </c>
      <c r="G505" t="s">
        <v>1342</v>
      </c>
    </row>
    <row r="506" spans="1:7">
      <c r="A506" s="485">
        <v>45813</v>
      </c>
      <c r="B506" t="s">
        <v>1180</v>
      </c>
      <c r="E506" s="343">
        <v>300</v>
      </c>
      <c r="F506" s="492">
        <f t="shared" si="13"/>
        <v>7.664793050587634</v>
      </c>
      <c r="G506" t="s">
        <v>1342</v>
      </c>
    </row>
    <row r="507" spans="1:7">
      <c r="A507" s="485">
        <v>45814</v>
      </c>
      <c r="B507" t="s">
        <v>1180</v>
      </c>
      <c r="E507" s="343">
        <v>300</v>
      </c>
      <c r="F507" s="492">
        <f t="shared" si="13"/>
        <v>7.664793050587634</v>
      </c>
      <c r="G507" t="s">
        <v>1342</v>
      </c>
    </row>
    <row r="508" spans="1:7">
      <c r="A508" s="485">
        <v>45817</v>
      </c>
      <c r="B508" t="s">
        <v>1180</v>
      </c>
      <c r="E508" s="343">
        <v>300</v>
      </c>
      <c r="F508" s="492">
        <f t="shared" si="13"/>
        <v>7.664793050587634</v>
      </c>
      <c r="G508" t="s">
        <v>1342</v>
      </c>
    </row>
    <row r="509" spans="1:7">
      <c r="A509" s="485">
        <v>45819</v>
      </c>
      <c r="B509" t="s">
        <v>1180</v>
      </c>
      <c r="E509" s="343">
        <v>300</v>
      </c>
      <c r="F509" s="492">
        <f t="shared" si="13"/>
        <v>7.664793050587634</v>
      </c>
      <c r="G509" t="s">
        <v>1342</v>
      </c>
    </row>
    <row r="510" spans="1:7">
      <c r="A510" s="485">
        <v>45820</v>
      </c>
      <c r="B510" t="s">
        <v>1180</v>
      </c>
      <c r="E510" s="343">
        <v>300</v>
      </c>
      <c r="F510" s="492">
        <f t="shared" si="13"/>
        <v>7.664793050587634</v>
      </c>
      <c r="G510" t="s">
        <v>1342</v>
      </c>
    </row>
    <row r="511" spans="1:7">
      <c r="A511" s="485">
        <v>45821</v>
      </c>
      <c r="B511" t="s">
        <v>1243</v>
      </c>
      <c r="E511" s="343">
        <v>100</v>
      </c>
      <c r="F511" s="492">
        <f t="shared" si="13"/>
        <v>2.5549310168625445</v>
      </c>
      <c r="G511" t="s">
        <v>1342</v>
      </c>
    </row>
    <row r="512" spans="1:7">
      <c r="A512" s="485">
        <v>45824</v>
      </c>
      <c r="B512" t="s">
        <v>1180</v>
      </c>
      <c r="E512" s="343">
        <v>300</v>
      </c>
      <c r="F512" s="492">
        <f t="shared" si="13"/>
        <v>7.664793050587634</v>
      </c>
      <c r="G512" t="s">
        <v>1342</v>
      </c>
    </row>
    <row r="513" spans="1:7">
      <c r="A513" s="485">
        <v>45825</v>
      </c>
      <c r="B513" t="s">
        <v>1180</v>
      </c>
      <c r="E513" s="343">
        <v>300</v>
      </c>
      <c r="F513" s="492">
        <f t="shared" si="13"/>
        <v>7.664793050587634</v>
      </c>
      <c r="G513" t="s">
        <v>1342</v>
      </c>
    </row>
    <row r="514" spans="1:7">
      <c r="A514" s="485">
        <v>45828</v>
      </c>
      <c r="B514" t="s">
        <v>1180</v>
      </c>
      <c r="E514" s="343">
        <v>300</v>
      </c>
      <c r="F514" s="492">
        <f t="shared" si="13"/>
        <v>7.664793050587634</v>
      </c>
      <c r="G514" t="s">
        <v>1342</v>
      </c>
    </row>
    <row r="515" spans="1:7">
      <c r="A515" s="485">
        <v>45831</v>
      </c>
      <c r="B515" t="s">
        <v>1180</v>
      </c>
      <c r="E515" s="343">
        <v>300</v>
      </c>
      <c r="F515" s="492">
        <f t="shared" si="13"/>
        <v>7.664793050587634</v>
      </c>
      <c r="G515" t="s">
        <v>1342</v>
      </c>
    </row>
    <row r="516" spans="1:7">
      <c r="A516" s="485">
        <v>45832</v>
      </c>
      <c r="B516" t="s">
        <v>1180</v>
      </c>
      <c r="E516" s="343">
        <v>300</v>
      </c>
      <c r="F516" s="492">
        <f t="shared" si="13"/>
        <v>7.664793050587634</v>
      </c>
      <c r="G516" t="s">
        <v>1342</v>
      </c>
    </row>
    <row r="517" spans="1:7">
      <c r="A517" s="727">
        <v>45832</v>
      </c>
      <c r="B517" s="728" t="s">
        <v>1243</v>
      </c>
      <c r="C517" s="728"/>
      <c r="D517" s="728"/>
      <c r="E517" s="729">
        <v>0</v>
      </c>
      <c r="F517" s="730">
        <f t="shared" si="13"/>
        <v>0</v>
      </c>
      <c r="G517" s="728" t="s">
        <v>1363</v>
      </c>
    </row>
    <row r="518" spans="1:7">
      <c r="A518" s="485">
        <v>45835</v>
      </c>
      <c r="B518" t="s">
        <v>1243</v>
      </c>
      <c r="E518" s="343">
        <v>100</v>
      </c>
      <c r="F518" s="492">
        <f>E518/39.14</f>
        <v>2.5549310168625445</v>
      </c>
      <c r="G518" t="s">
        <v>1342</v>
      </c>
    </row>
    <row r="519" spans="1:7">
      <c r="A519" s="485">
        <v>45838</v>
      </c>
      <c r="B519" t="s">
        <v>1180</v>
      </c>
      <c r="E519" s="343">
        <v>300</v>
      </c>
      <c r="F519" s="492">
        <f>E519/39.14</f>
        <v>7.664793050587634</v>
      </c>
      <c r="G519" t="s">
        <v>1342</v>
      </c>
    </row>
    <row r="520" spans="1:7">
      <c r="A520" s="485">
        <v>45839</v>
      </c>
      <c r="B520" t="s">
        <v>1180</v>
      </c>
      <c r="D520" t="s">
        <v>433</v>
      </c>
      <c r="E520" s="343">
        <v>300</v>
      </c>
      <c r="F520" s="492">
        <f t="shared" si="13"/>
        <v>7.664793050587634</v>
      </c>
      <c r="G520" t="s">
        <v>1364</v>
      </c>
    </row>
    <row r="521" spans="1:7">
      <c r="A521" s="485">
        <v>45840</v>
      </c>
      <c r="B521" t="s">
        <v>1180</v>
      </c>
      <c r="D521" t="s">
        <v>429</v>
      </c>
      <c r="E521" s="343">
        <v>300</v>
      </c>
      <c r="F521" s="492">
        <f t="shared" si="13"/>
        <v>7.664793050587634</v>
      </c>
      <c r="G521" t="s">
        <v>1365</v>
      </c>
    </row>
    <row r="522" spans="1:7">
      <c r="A522" s="485">
        <v>45839</v>
      </c>
      <c r="B522">
        <v>2995033</v>
      </c>
      <c r="D522" t="s">
        <v>433</v>
      </c>
      <c r="E522" s="343">
        <v>446.88</v>
      </c>
      <c r="F522" s="492">
        <f t="shared" si="13"/>
        <v>11.41747572815534</v>
      </c>
      <c r="G522" t="s">
        <v>1366</v>
      </c>
    </row>
    <row r="523" spans="1:7">
      <c r="A523" s="485">
        <v>45845</v>
      </c>
      <c r="B523" t="s">
        <v>1243</v>
      </c>
      <c r="D523" t="s">
        <v>471</v>
      </c>
      <c r="E523" s="343">
        <v>100</v>
      </c>
      <c r="F523" s="492">
        <f t="shared" si="13"/>
        <v>2.5549310168625445</v>
      </c>
      <c r="G523" t="s">
        <v>1367</v>
      </c>
    </row>
    <row r="524" spans="1:7">
      <c r="A524" s="485">
        <v>45846</v>
      </c>
      <c r="B524" t="s">
        <v>1180</v>
      </c>
      <c r="E524" s="343">
        <v>300</v>
      </c>
      <c r="F524" s="492">
        <f t="shared" si="13"/>
        <v>7.664793050587634</v>
      </c>
      <c r="G524" t="s">
        <v>1367</v>
      </c>
    </row>
    <row r="525" spans="1:7">
      <c r="A525" s="485">
        <v>45847</v>
      </c>
      <c r="B525" t="s">
        <v>1243</v>
      </c>
      <c r="E525" s="343">
        <v>100</v>
      </c>
      <c r="F525" s="492">
        <f t="shared" si="13"/>
        <v>2.5549310168625445</v>
      </c>
      <c r="G525" t="s">
        <v>1367</v>
      </c>
    </row>
    <row r="526" spans="1:7">
      <c r="A526" s="485">
        <v>45869</v>
      </c>
      <c r="B526" t="s">
        <v>1243</v>
      </c>
      <c r="E526" s="343">
        <v>100</v>
      </c>
      <c r="F526" s="492">
        <f t="shared" si="13"/>
        <v>2.5549310168625445</v>
      </c>
      <c r="G526" t="s">
        <v>1368</v>
      </c>
    </row>
    <row r="527" spans="1:7">
      <c r="A527" s="485">
        <v>45870</v>
      </c>
      <c r="B527" t="s">
        <v>1243</v>
      </c>
      <c r="E527" s="343">
        <v>100</v>
      </c>
      <c r="F527" s="492">
        <v>2.5549310168625445</v>
      </c>
      <c r="G527" t="s">
        <v>1368</v>
      </c>
    </row>
    <row r="528" spans="1:7">
      <c r="A528" s="485">
        <v>45876</v>
      </c>
      <c r="B528" t="s">
        <v>1243</v>
      </c>
      <c r="D528" t="s">
        <v>471</v>
      </c>
      <c r="E528" s="343">
        <v>100</v>
      </c>
      <c r="F528" s="492">
        <f t="shared" ref="F528" si="14">E528/39.14</f>
        <v>2.5549310168625445</v>
      </c>
      <c r="G528" t="s">
        <v>471</v>
      </c>
    </row>
    <row r="529" spans="1:7">
      <c r="A529" s="485">
        <v>45877</v>
      </c>
      <c r="B529" t="s">
        <v>1243</v>
      </c>
      <c r="D529" t="s">
        <v>471</v>
      </c>
      <c r="E529" s="343">
        <v>100</v>
      </c>
      <c r="F529" s="492">
        <v>2.5549310168625445</v>
      </c>
      <c r="G529" t="s">
        <v>471</v>
      </c>
    </row>
    <row r="530" spans="1:7">
      <c r="A530" s="485">
        <v>45882</v>
      </c>
      <c r="B530" t="s">
        <v>1243</v>
      </c>
      <c r="D530" t="s">
        <v>1369</v>
      </c>
      <c r="E530" s="343">
        <v>100</v>
      </c>
      <c r="F530" s="492">
        <f t="shared" si="13"/>
        <v>2.5549310168625445</v>
      </c>
      <c r="G530" t="s">
        <v>1368</v>
      </c>
    </row>
    <row r="531" spans="1:7">
      <c r="A531" s="485">
        <v>45884</v>
      </c>
      <c r="B531" t="s">
        <v>1180</v>
      </c>
      <c r="D531" t="s">
        <v>1369</v>
      </c>
      <c r="E531" s="343">
        <v>300</v>
      </c>
      <c r="F531" s="492">
        <f t="shared" si="13"/>
        <v>7.664793050587634</v>
      </c>
      <c r="G531" t="s">
        <v>1368</v>
      </c>
    </row>
    <row r="532" spans="1:7">
      <c r="A532" s="485">
        <v>45902</v>
      </c>
      <c r="B532" t="s">
        <v>1243</v>
      </c>
      <c r="D532" t="s">
        <v>1370</v>
      </c>
      <c r="E532" s="343">
        <v>100</v>
      </c>
      <c r="F532" s="492">
        <f t="shared" si="13"/>
        <v>2.5549310168625445</v>
      </c>
      <c r="G532" t="s">
        <v>1371</v>
      </c>
    </row>
    <row r="533" spans="1:7">
      <c r="A533" s="485">
        <v>45904</v>
      </c>
      <c r="B533" t="s">
        <v>1243</v>
      </c>
      <c r="D533" t="s">
        <v>1372</v>
      </c>
      <c r="E533" s="343">
        <v>100</v>
      </c>
      <c r="F533" s="492">
        <f t="shared" si="13"/>
        <v>2.5549310168625445</v>
      </c>
      <c r="G533" t="s">
        <v>1373</v>
      </c>
    </row>
    <row r="534" spans="1:7">
      <c r="A534" s="485">
        <v>45905</v>
      </c>
      <c r="B534" t="s">
        <v>1243</v>
      </c>
      <c r="D534" t="s">
        <v>1372</v>
      </c>
      <c r="E534" s="343">
        <v>100</v>
      </c>
      <c r="F534" s="492">
        <f t="shared" si="13"/>
        <v>2.5549310168625445</v>
      </c>
      <c r="G534" t="s">
        <v>1373</v>
      </c>
    </row>
    <row r="535" spans="1:7">
      <c r="A535" s="485">
        <v>45908</v>
      </c>
      <c r="B535" t="s">
        <v>1180</v>
      </c>
      <c r="D535" t="s">
        <v>1374</v>
      </c>
      <c r="E535" s="343">
        <v>300</v>
      </c>
      <c r="F535" s="492">
        <f t="shared" si="13"/>
        <v>7.664793050587634</v>
      </c>
      <c r="G535" t="s">
        <v>1368</v>
      </c>
    </row>
    <row r="536" spans="1:7">
      <c r="A536" s="485">
        <v>45909</v>
      </c>
      <c r="B536" t="s">
        <v>1180</v>
      </c>
      <c r="D536" t="s">
        <v>1374</v>
      </c>
      <c r="E536" s="343">
        <v>300</v>
      </c>
      <c r="F536" s="492">
        <f t="shared" si="13"/>
        <v>7.664793050587634</v>
      </c>
      <c r="G536" t="s">
        <v>1368</v>
      </c>
    </row>
    <row r="537" spans="1:7">
      <c r="A537" s="485">
        <v>45917</v>
      </c>
      <c r="B537" t="s">
        <v>1180</v>
      </c>
      <c r="D537" t="s">
        <v>1375</v>
      </c>
      <c r="E537" s="343">
        <v>300</v>
      </c>
      <c r="F537" s="492">
        <f t="shared" si="13"/>
        <v>7.664793050587634</v>
      </c>
      <c r="G537" t="s">
        <v>1376</v>
      </c>
    </row>
    <row r="538" spans="1:7">
      <c r="A538" s="485">
        <v>45918</v>
      </c>
      <c r="B538" t="s">
        <v>1180</v>
      </c>
      <c r="E538" s="343">
        <v>300</v>
      </c>
      <c r="F538" s="492">
        <f t="shared" si="13"/>
        <v>7.664793050587634</v>
      </c>
      <c r="G538" t="s">
        <v>1368</v>
      </c>
    </row>
    <row r="539" spans="1:7">
      <c r="A539" s="485">
        <v>45925</v>
      </c>
      <c r="B539" t="s">
        <v>1180</v>
      </c>
      <c r="D539" t="s">
        <v>1372</v>
      </c>
      <c r="E539" s="343">
        <v>300</v>
      </c>
      <c r="F539" s="492">
        <f t="shared" si="13"/>
        <v>7.664793050587634</v>
      </c>
      <c r="G539" t="s">
        <v>1373</v>
      </c>
    </row>
    <row r="540" spans="1:7">
      <c r="A540" s="485">
        <v>45926</v>
      </c>
      <c r="B540" t="s">
        <v>1180</v>
      </c>
      <c r="D540" t="s">
        <v>1372</v>
      </c>
      <c r="E540" s="343">
        <v>300</v>
      </c>
      <c r="F540" s="492">
        <f t="shared" ref="F540:F572" si="15">E540/39.14</f>
        <v>7.664793050587634</v>
      </c>
      <c r="G540" t="s">
        <v>1373</v>
      </c>
    </row>
    <row r="541" spans="1:7">
      <c r="A541" s="485">
        <v>45938</v>
      </c>
      <c r="B541" t="s">
        <v>1180</v>
      </c>
      <c r="D541" t="s">
        <v>1377</v>
      </c>
      <c r="E541" s="343">
        <v>300</v>
      </c>
      <c r="F541" s="492">
        <f t="shared" si="15"/>
        <v>7.664793050587634</v>
      </c>
      <c r="G541" t="s">
        <v>1368</v>
      </c>
    </row>
    <row r="542" spans="1:7">
      <c r="A542" s="485">
        <v>45943</v>
      </c>
      <c r="B542" t="s">
        <v>1180</v>
      </c>
      <c r="D542" t="s">
        <v>1179</v>
      </c>
      <c r="E542" s="343">
        <v>300</v>
      </c>
      <c r="F542" s="492">
        <f t="shared" si="15"/>
        <v>7.664793050587634</v>
      </c>
    </row>
    <row r="543" spans="1:7">
      <c r="A543" s="485">
        <v>45944</v>
      </c>
      <c r="B543" t="s">
        <v>1180</v>
      </c>
      <c r="D543" t="s">
        <v>1179</v>
      </c>
      <c r="E543" s="343">
        <v>300</v>
      </c>
      <c r="F543" s="492">
        <f t="shared" si="15"/>
        <v>7.664793050587634</v>
      </c>
    </row>
    <row r="544" spans="1:7" ht="12.75" customHeight="1">
      <c r="A544" s="485">
        <v>45946</v>
      </c>
      <c r="B544" t="s">
        <v>1243</v>
      </c>
      <c r="D544" t="s">
        <v>1378</v>
      </c>
      <c r="E544" s="343">
        <v>100</v>
      </c>
      <c r="F544" s="492">
        <f t="shared" si="15"/>
        <v>2.5549310168625445</v>
      </c>
    </row>
    <row r="545" spans="1:7">
      <c r="A545" s="485">
        <v>45947</v>
      </c>
      <c r="B545" t="s">
        <v>1180</v>
      </c>
      <c r="D545" t="s">
        <v>1179</v>
      </c>
      <c r="E545" s="343">
        <v>300</v>
      </c>
      <c r="F545" s="492">
        <f t="shared" si="15"/>
        <v>7.664793050587634</v>
      </c>
    </row>
    <row r="546" spans="1:7">
      <c r="A546" s="485">
        <v>45952</v>
      </c>
      <c r="B546" t="s">
        <v>1180</v>
      </c>
      <c r="D546" t="s">
        <v>1379</v>
      </c>
      <c r="E546" s="343">
        <v>300</v>
      </c>
      <c r="F546" s="492">
        <f t="shared" si="15"/>
        <v>7.664793050587634</v>
      </c>
    </row>
    <row r="547" spans="1:7">
      <c r="A547" s="485">
        <v>45953</v>
      </c>
      <c r="B547" t="s">
        <v>1180</v>
      </c>
      <c r="D547" t="s">
        <v>1380</v>
      </c>
      <c r="E547" s="343">
        <v>300</v>
      </c>
      <c r="F547" s="492">
        <f t="shared" si="15"/>
        <v>7.664793050587634</v>
      </c>
    </row>
    <row r="548" spans="1:7">
      <c r="A548" s="485">
        <v>45954</v>
      </c>
      <c r="B548" t="s">
        <v>1180</v>
      </c>
      <c r="D548" t="s">
        <v>429</v>
      </c>
      <c r="E548" s="343">
        <v>300</v>
      </c>
      <c r="F548" s="492">
        <f t="shared" si="15"/>
        <v>7.664793050587634</v>
      </c>
    </row>
    <row r="549" spans="1:7">
      <c r="A549" s="485">
        <v>45947</v>
      </c>
      <c r="B549" t="s">
        <v>1381</v>
      </c>
      <c r="D549" t="s">
        <v>433</v>
      </c>
      <c r="E549" s="343">
        <v>622.25</v>
      </c>
      <c r="F549" s="492">
        <f t="shared" si="15"/>
        <v>15.898058252427184</v>
      </c>
    </row>
    <row r="550" spans="1:7">
      <c r="A550" s="485">
        <v>45950</v>
      </c>
      <c r="B550" t="s">
        <v>1381</v>
      </c>
      <c r="D550" t="s">
        <v>1382</v>
      </c>
      <c r="E550" s="343">
        <v>277.44</v>
      </c>
      <c r="F550" s="492">
        <f t="shared" si="15"/>
        <v>7.0884006131834436</v>
      </c>
    </row>
    <row r="551" spans="1:7">
      <c r="A551" s="485">
        <v>45954</v>
      </c>
      <c r="B551" t="s">
        <v>1381</v>
      </c>
      <c r="D551" t="s">
        <v>1383</v>
      </c>
      <c r="E551" s="343">
        <v>401.25</v>
      </c>
      <c r="F551" s="492">
        <f t="shared" si="15"/>
        <v>10.25166070516096</v>
      </c>
    </row>
    <row r="552" spans="1:7">
      <c r="A552" s="485">
        <v>45954</v>
      </c>
      <c r="B552" t="s">
        <v>1381</v>
      </c>
      <c r="D552" t="s">
        <v>1384</v>
      </c>
      <c r="E552" s="343">
        <v>497.25</v>
      </c>
      <c r="F552" s="492">
        <f t="shared" si="15"/>
        <v>12.704394481349004</v>
      </c>
    </row>
    <row r="553" spans="1:7">
      <c r="A553" s="485">
        <v>45960</v>
      </c>
      <c r="B553" t="s">
        <v>1385</v>
      </c>
      <c r="D553" t="s">
        <v>437</v>
      </c>
      <c r="E553" s="343">
        <v>100</v>
      </c>
      <c r="F553" s="492">
        <f t="shared" si="15"/>
        <v>2.5549310168625445</v>
      </c>
      <c r="G553" t="s">
        <v>1386</v>
      </c>
    </row>
    <row r="554" spans="1:7">
      <c r="A554" s="485">
        <v>45958</v>
      </c>
      <c r="B554" t="s">
        <v>1180</v>
      </c>
      <c r="D554" t="s">
        <v>1387</v>
      </c>
      <c r="E554" s="343">
        <v>300</v>
      </c>
      <c r="F554" s="492">
        <f t="shared" si="15"/>
        <v>7.664793050587634</v>
      </c>
    </row>
    <row r="555" spans="1:7">
      <c r="A555" s="485">
        <v>45959</v>
      </c>
      <c r="B555">
        <v>526803</v>
      </c>
      <c r="D555" t="s">
        <v>1388</v>
      </c>
      <c r="E555" s="343">
        <v>264.32</v>
      </c>
      <c r="F555" s="492">
        <f t="shared" si="15"/>
        <v>6.7531936637710777</v>
      </c>
      <c r="G555" t="s">
        <v>1381</v>
      </c>
    </row>
    <row r="556" spans="1:7">
      <c r="A556" s="485">
        <v>45959</v>
      </c>
      <c r="B556">
        <v>376884</v>
      </c>
      <c r="D556" t="s">
        <v>1389</v>
      </c>
      <c r="E556" s="343">
        <v>230.05</v>
      </c>
      <c r="F556" s="492">
        <f t="shared" si="15"/>
        <v>5.8776188042922843</v>
      </c>
      <c r="G556" t="s">
        <v>1381</v>
      </c>
    </row>
    <row r="557" spans="1:7">
      <c r="A557" s="485">
        <v>45959</v>
      </c>
      <c r="B557">
        <v>4883130</v>
      </c>
      <c r="D557" t="s">
        <v>1372</v>
      </c>
      <c r="E557" s="343">
        <v>101.65</v>
      </c>
      <c r="F557" s="492">
        <f t="shared" si="15"/>
        <v>2.5970873786407767</v>
      </c>
      <c r="G557" t="s">
        <v>1390</v>
      </c>
    </row>
    <row r="558" spans="1:7">
      <c r="A558" s="485">
        <v>45959</v>
      </c>
      <c r="B558">
        <v>789779</v>
      </c>
      <c r="D558" t="s">
        <v>1391</v>
      </c>
      <c r="E558" s="343">
        <v>101.65</v>
      </c>
      <c r="F558" s="492">
        <f t="shared" si="15"/>
        <v>2.5970873786407767</v>
      </c>
      <c r="G558" t="s">
        <v>1390</v>
      </c>
    </row>
    <row r="559" spans="1:7">
      <c r="A559" s="485">
        <v>45961</v>
      </c>
      <c r="B559">
        <v>595214</v>
      </c>
      <c r="D559" t="s">
        <v>1388</v>
      </c>
      <c r="E559" s="343">
        <v>230.05</v>
      </c>
      <c r="F559" s="492">
        <f t="shared" si="15"/>
        <v>5.8776188042922843</v>
      </c>
      <c r="G559" t="s">
        <v>1381</v>
      </c>
    </row>
    <row r="560" spans="1:7">
      <c r="A560" s="485">
        <v>45961</v>
      </c>
      <c r="B560">
        <v>8441056</v>
      </c>
      <c r="D560" t="s">
        <v>1389</v>
      </c>
      <c r="E560" s="343">
        <v>264.32</v>
      </c>
      <c r="F560" s="492">
        <f t="shared" si="15"/>
        <v>6.7531936637710777</v>
      </c>
      <c r="G560" t="s">
        <v>1381</v>
      </c>
    </row>
    <row r="561" spans="1:7">
      <c r="A561" s="485">
        <v>45961</v>
      </c>
      <c r="B561">
        <v>682279</v>
      </c>
      <c r="D561" t="s">
        <v>1392</v>
      </c>
      <c r="E561" s="343">
        <v>230.05</v>
      </c>
      <c r="F561" s="492">
        <f t="shared" si="15"/>
        <v>5.8776188042922843</v>
      </c>
      <c r="G561" t="s">
        <v>1381</v>
      </c>
    </row>
    <row r="562" spans="1:7">
      <c r="A562" s="485">
        <v>45966</v>
      </c>
      <c r="D562" t="s">
        <v>1179</v>
      </c>
      <c r="F562" s="492">
        <f t="shared" si="15"/>
        <v>0</v>
      </c>
      <c r="G562" t="s">
        <v>1393</v>
      </c>
    </row>
    <row r="563" spans="1:7">
      <c r="A563" s="485">
        <v>45966</v>
      </c>
      <c r="B563" t="s">
        <v>1243</v>
      </c>
      <c r="D563" t="s">
        <v>437</v>
      </c>
      <c r="E563" s="343">
        <v>100</v>
      </c>
      <c r="F563" s="492">
        <f t="shared" si="15"/>
        <v>2.5549310168625445</v>
      </c>
      <c r="G563" t="s">
        <v>1386</v>
      </c>
    </row>
    <row r="564" spans="1:7">
      <c r="A564" s="485">
        <v>45966</v>
      </c>
      <c r="B564">
        <v>475129</v>
      </c>
      <c r="D564" t="s">
        <v>1179</v>
      </c>
      <c r="E564" s="343">
        <v>230.05</v>
      </c>
      <c r="F564" s="492">
        <f t="shared" si="15"/>
        <v>5.8776188042922843</v>
      </c>
      <c r="G564" t="s">
        <v>1394</v>
      </c>
    </row>
    <row r="565" spans="1:7">
      <c r="A565" s="485">
        <v>45966</v>
      </c>
      <c r="B565">
        <v>829763</v>
      </c>
      <c r="D565" t="s">
        <v>1179</v>
      </c>
      <c r="E565" s="343">
        <v>230.05</v>
      </c>
      <c r="F565" s="492">
        <f t="shared" si="15"/>
        <v>5.8776188042922843</v>
      </c>
      <c r="G565" t="s">
        <v>1395</v>
      </c>
    </row>
    <row r="566" spans="1:7">
      <c r="A566" s="1502"/>
      <c r="B566" s="1503"/>
      <c r="C566" s="1503">
        <v>2026</v>
      </c>
      <c r="D566" s="1503"/>
      <c r="E566" s="1504"/>
      <c r="F566" s="1501"/>
    </row>
    <row r="567" spans="1:7" ht="27">
      <c r="A567" s="485">
        <v>46036</v>
      </c>
      <c r="B567" t="s">
        <v>1243</v>
      </c>
      <c r="D567" s="422" t="s">
        <v>1396</v>
      </c>
      <c r="E567" s="343">
        <v>100</v>
      </c>
      <c r="F567" s="492">
        <f t="shared" si="15"/>
        <v>2.5549310168625445</v>
      </c>
    </row>
    <row r="568" spans="1:7">
      <c r="A568" s="485">
        <v>46036</v>
      </c>
      <c r="B568" t="s">
        <v>1243</v>
      </c>
      <c r="D568" t="s">
        <v>1396</v>
      </c>
      <c r="E568" s="343">
        <v>100</v>
      </c>
      <c r="F568" s="492">
        <f t="shared" si="15"/>
        <v>2.5549310168625445</v>
      </c>
    </row>
    <row r="569" spans="1:7">
      <c r="A569" s="485">
        <v>46048</v>
      </c>
      <c r="B569" t="s">
        <v>1243</v>
      </c>
      <c r="D569" t="s">
        <v>1397</v>
      </c>
      <c r="E569" s="343">
        <v>100</v>
      </c>
      <c r="F569" s="492">
        <f t="shared" si="15"/>
        <v>2.5549310168625445</v>
      </c>
    </row>
    <row r="570" spans="1:7">
      <c r="A570" s="485">
        <v>46050</v>
      </c>
      <c r="B570" t="s">
        <v>1243</v>
      </c>
      <c r="D570" t="s">
        <v>1397</v>
      </c>
      <c r="E570" s="343">
        <v>100</v>
      </c>
      <c r="F570" s="492">
        <f t="shared" si="15"/>
        <v>2.5549310168625445</v>
      </c>
    </row>
    <row r="571" spans="1:7">
      <c r="A571" s="485">
        <v>46042</v>
      </c>
      <c r="B571" t="s">
        <v>1180</v>
      </c>
      <c r="D571" t="s">
        <v>1377</v>
      </c>
      <c r="E571" s="343">
        <v>300</v>
      </c>
      <c r="F571" s="492">
        <f t="shared" si="15"/>
        <v>7.664793050587634</v>
      </c>
    </row>
    <row r="572" spans="1:7">
      <c r="A572" s="485">
        <v>46043</v>
      </c>
      <c r="B572" t="s">
        <v>1180</v>
      </c>
      <c r="D572" t="s">
        <v>1377</v>
      </c>
      <c r="E572" s="343">
        <v>300</v>
      </c>
      <c r="F572" s="492">
        <f t="shared" si="15"/>
        <v>7.664793050587634</v>
      </c>
    </row>
    <row r="573" spans="1:7">
      <c r="A573" s="485">
        <v>46051</v>
      </c>
      <c r="B573" t="s">
        <v>1180</v>
      </c>
      <c r="D573" t="s">
        <v>1036</v>
      </c>
      <c r="E573" s="343">
        <v>300</v>
      </c>
      <c r="F573" s="492">
        <f t="shared" ref="F573:F602" si="16">E573/39.14</f>
        <v>7.664793050587634</v>
      </c>
    </row>
    <row r="574" spans="1:7">
      <c r="A574" s="485">
        <v>46052</v>
      </c>
      <c r="B574" t="s">
        <v>1381</v>
      </c>
      <c r="D574" t="s">
        <v>1036</v>
      </c>
      <c r="E574" s="343">
        <v>500</v>
      </c>
      <c r="F574" s="492">
        <f t="shared" si="16"/>
        <v>12.774655084312723</v>
      </c>
    </row>
    <row r="575" spans="1:7">
      <c r="A575" s="485">
        <v>46052</v>
      </c>
      <c r="B575" t="s">
        <v>1381</v>
      </c>
      <c r="D575" t="s">
        <v>1398</v>
      </c>
      <c r="E575" s="343">
        <v>500</v>
      </c>
      <c r="F575" s="492">
        <f t="shared" si="16"/>
        <v>12.774655084312723</v>
      </c>
    </row>
    <row r="576" spans="1:7">
      <c r="A576" s="485">
        <v>46050</v>
      </c>
      <c r="B576" t="s">
        <v>1180</v>
      </c>
      <c r="D576" t="s">
        <v>1399</v>
      </c>
      <c r="E576" s="343">
        <v>300</v>
      </c>
      <c r="F576" s="492">
        <f t="shared" si="16"/>
        <v>7.664793050587634</v>
      </c>
    </row>
    <row r="577" spans="1:7">
      <c r="A577" s="485">
        <v>46051</v>
      </c>
      <c r="B577" t="s">
        <v>1180</v>
      </c>
      <c r="D577" t="s">
        <v>1398</v>
      </c>
      <c r="E577" s="343">
        <v>300</v>
      </c>
      <c r="F577" s="492">
        <f t="shared" si="16"/>
        <v>7.664793050587634</v>
      </c>
    </row>
    <row r="578" spans="1:7">
      <c r="A578" s="485">
        <v>46049</v>
      </c>
      <c r="B578" t="s">
        <v>1243</v>
      </c>
      <c r="D578" t="s">
        <v>1399</v>
      </c>
      <c r="E578" s="343">
        <v>100</v>
      </c>
      <c r="F578" s="492">
        <f t="shared" si="16"/>
        <v>2.5549310168625445</v>
      </c>
    </row>
    <row r="579" spans="1:7">
      <c r="A579" s="485">
        <v>46049</v>
      </c>
      <c r="B579" t="s">
        <v>1243</v>
      </c>
      <c r="D579" t="s">
        <v>1399</v>
      </c>
      <c r="E579" s="343">
        <v>100</v>
      </c>
      <c r="F579" s="492">
        <f t="shared" si="16"/>
        <v>2.5549310168625445</v>
      </c>
    </row>
    <row r="580" spans="1:7">
      <c r="A580" s="485">
        <v>46050</v>
      </c>
      <c r="B580" t="s">
        <v>1243</v>
      </c>
      <c r="D580" t="s">
        <v>1399</v>
      </c>
      <c r="E580" s="343">
        <v>100</v>
      </c>
      <c r="F580" s="492">
        <f t="shared" si="16"/>
        <v>2.5549310168625445</v>
      </c>
    </row>
    <row r="581" spans="1:7">
      <c r="A581" s="485">
        <v>46050</v>
      </c>
      <c r="B581" t="s">
        <v>1243</v>
      </c>
      <c r="D581" t="s">
        <v>1399</v>
      </c>
      <c r="E581" s="343">
        <v>100</v>
      </c>
      <c r="F581" s="492">
        <f t="shared" si="16"/>
        <v>2.5549310168625445</v>
      </c>
    </row>
    <row r="582" spans="1:7">
      <c r="A582" s="485">
        <v>46045</v>
      </c>
      <c r="B582" t="s">
        <v>1243</v>
      </c>
      <c r="D582" t="s">
        <v>1400</v>
      </c>
      <c r="E582" s="343">
        <v>100</v>
      </c>
      <c r="F582" s="492">
        <f t="shared" si="16"/>
        <v>2.5549310168625445</v>
      </c>
    </row>
    <row r="583" spans="1:7">
      <c r="A583" s="485">
        <v>46045</v>
      </c>
      <c r="B583" t="s">
        <v>1243</v>
      </c>
      <c r="D583" t="s">
        <v>1400</v>
      </c>
      <c r="E583" s="343">
        <v>100</v>
      </c>
      <c r="F583" s="492">
        <f t="shared" si="16"/>
        <v>2.5549310168625445</v>
      </c>
    </row>
    <row r="584" spans="1:7">
      <c r="A584" s="485">
        <v>46044</v>
      </c>
      <c r="B584" t="s">
        <v>1243</v>
      </c>
      <c r="D584" t="s">
        <v>1377</v>
      </c>
      <c r="E584" s="343">
        <v>100</v>
      </c>
      <c r="F584" s="492">
        <f t="shared" si="16"/>
        <v>2.5549310168625445</v>
      </c>
    </row>
    <row r="585" spans="1:7">
      <c r="A585" s="485">
        <v>46044</v>
      </c>
      <c r="B585" t="s">
        <v>1243</v>
      </c>
      <c r="D585" t="s">
        <v>1377</v>
      </c>
      <c r="E585" s="343">
        <v>100</v>
      </c>
      <c r="F585" s="492">
        <f t="shared" si="16"/>
        <v>2.5549310168625445</v>
      </c>
    </row>
    <row r="586" spans="1:7">
      <c r="A586" s="485">
        <v>46043</v>
      </c>
      <c r="B586" t="s">
        <v>1180</v>
      </c>
      <c r="D586" t="s">
        <v>1401</v>
      </c>
      <c r="E586" s="343">
        <v>300</v>
      </c>
      <c r="F586" s="492">
        <f t="shared" si="16"/>
        <v>7.664793050587634</v>
      </c>
    </row>
    <row r="587" spans="1:7">
      <c r="A587" s="485">
        <v>46043</v>
      </c>
      <c r="B587" t="s">
        <v>1180</v>
      </c>
      <c r="D587" t="s">
        <v>1401</v>
      </c>
      <c r="E587" s="343">
        <v>300</v>
      </c>
      <c r="F587" s="492">
        <f t="shared" si="16"/>
        <v>7.664793050587634</v>
      </c>
    </row>
    <row r="588" spans="1:7">
      <c r="A588" s="485">
        <v>46073</v>
      </c>
      <c r="B588" t="s">
        <v>1243</v>
      </c>
      <c r="D588" t="s">
        <v>1399</v>
      </c>
      <c r="E588" s="343">
        <v>100</v>
      </c>
      <c r="F588" s="492">
        <f t="shared" si="16"/>
        <v>2.5549310168625445</v>
      </c>
    </row>
    <row r="589" spans="1:7">
      <c r="A589" s="485">
        <v>46079</v>
      </c>
      <c r="B589" t="s">
        <v>1180</v>
      </c>
      <c r="D589" t="s">
        <v>1305</v>
      </c>
      <c r="E589" s="343">
        <v>300</v>
      </c>
      <c r="F589" s="492">
        <f t="shared" si="16"/>
        <v>7.664793050587634</v>
      </c>
    </row>
    <row r="590" spans="1:7">
      <c r="A590" s="485">
        <v>46082</v>
      </c>
      <c r="B590" t="s">
        <v>1180</v>
      </c>
      <c r="D590" t="s">
        <v>1305</v>
      </c>
      <c r="E590" s="343">
        <v>300</v>
      </c>
      <c r="F590" s="492">
        <f>E590/40.31</f>
        <v>7.4423220044653924</v>
      </c>
    </row>
    <row r="591" spans="1:7">
      <c r="A591" s="485">
        <v>46084</v>
      </c>
      <c r="B591" t="s">
        <v>1180</v>
      </c>
      <c r="D591" t="s">
        <v>1305</v>
      </c>
      <c r="E591" s="343">
        <v>300</v>
      </c>
      <c r="F591" s="492">
        <f t="shared" ref="F591:F597" si="17">E591/40.31</f>
        <v>7.4423220044653924</v>
      </c>
    </row>
    <row r="592" spans="1:7">
      <c r="A592" s="485">
        <v>46085</v>
      </c>
      <c r="B592" t="s">
        <v>1180</v>
      </c>
      <c r="D592" t="s">
        <v>1176</v>
      </c>
      <c r="E592" s="343">
        <v>300</v>
      </c>
      <c r="F592" s="492">
        <f t="shared" si="17"/>
        <v>7.4423220044653924</v>
      </c>
      <c r="G592" t="s">
        <v>1402</v>
      </c>
    </row>
    <row r="593" spans="1:8">
      <c r="A593" s="485">
        <v>46092</v>
      </c>
      <c r="B593" t="s">
        <v>1381</v>
      </c>
      <c r="D593" t="s">
        <v>1397</v>
      </c>
      <c r="E593" s="343">
        <v>327.5</v>
      </c>
      <c r="F593" s="492">
        <f t="shared" si="17"/>
        <v>8.1245348548747209</v>
      </c>
      <c r="G593" t="s">
        <v>1403</v>
      </c>
      <c r="H593">
        <v>16.25</v>
      </c>
    </row>
    <row r="594" spans="1:8">
      <c r="A594" s="485">
        <v>46084</v>
      </c>
      <c r="B594" t="s">
        <v>1404</v>
      </c>
      <c r="D594" t="s">
        <v>1405</v>
      </c>
      <c r="E594" s="343">
        <v>550</v>
      </c>
      <c r="F594" s="492">
        <f>E594/40.31</f>
        <v>13.644257008186553</v>
      </c>
      <c r="G594" t="s">
        <v>1406</v>
      </c>
    </row>
    <row r="595" spans="1:8">
      <c r="A595" s="485">
        <v>46097</v>
      </c>
      <c r="B595" t="s">
        <v>1180</v>
      </c>
      <c r="D595" t="s">
        <v>1397</v>
      </c>
      <c r="E595" s="343">
        <v>300</v>
      </c>
      <c r="F595" s="492">
        <f t="shared" si="17"/>
        <v>7.4423220044653924</v>
      </c>
      <c r="H595">
        <v>18</v>
      </c>
    </row>
    <row r="596" spans="1:8">
      <c r="A596" s="485">
        <v>46098</v>
      </c>
      <c r="B596" t="s">
        <v>1385</v>
      </c>
      <c r="D596" t="s">
        <v>1397</v>
      </c>
      <c r="E596" s="343">
        <v>100</v>
      </c>
      <c r="F596" s="492">
        <f t="shared" si="17"/>
        <v>2.4807740014884643</v>
      </c>
    </row>
    <row r="597" spans="1:8">
      <c r="A597" s="485">
        <v>46099</v>
      </c>
      <c r="B597" t="s">
        <v>1180</v>
      </c>
      <c r="D597" t="s">
        <v>1397</v>
      </c>
      <c r="E597" s="343">
        <v>300</v>
      </c>
      <c r="F597" s="492">
        <f t="shared" si="17"/>
        <v>7.4423220044653924</v>
      </c>
      <c r="G597" t="s">
        <v>1407</v>
      </c>
    </row>
    <row r="598" spans="1:8">
      <c r="A598" s="485">
        <v>46085</v>
      </c>
      <c r="B598" t="s">
        <v>1404</v>
      </c>
      <c r="D598" t="s">
        <v>1405</v>
      </c>
      <c r="E598" s="343">
        <v>616</v>
      </c>
      <c r="F598" s="492">
        <f>E598/40.31</f>
        <v>15.28156784916894</v>
      </c>
      <c r="G598" t="s">
        <v>1408</v>
      </c>
    </row>
    <row r="599" spans="1:8">
      <c r="A599" s="485">
        <v>46105</v>
      </c>
      <c r="B599" t="s">
        <v>1180</v>
      </c>
      <c r="D599" t="s">
        <v>1409</v>
      </c>
      <c r="E599" s="343">
        <v>300</v>
      </c>
      <c r="F599" s="492">
        <f t="shared" si="16"/>
        <v>7.664793050587634</v>
      </c>
      <c r="H599">
        <v>23.25</v>
      </c>
    </row>
    <row r="600" spans="1:8">
      <c r="A600" s="485">
        <v>46107</v>
      </c>
      <c r="B600" t="s">
        <v>1180</v>
      </c>
      <c r="D600" t="s">
        <v>1409</v>
      </c>
      <c r="E600" s="343">
        <v>300</v>
      </c>
      <c r="F600" s="492">
        <f t="shared" si="16"/>
        <v>7.664793050587634</v>
      </c>
    </row>
    <row r="601" spans="1:8">
      <c r="A601" s="485">
        <v>46108</v>
      </c>
      <c r="B601" t="s">
        <v>1180</v>
      </c>
      <c r="D601" t="s">
        <v>1176</v>
      </c>
      <c r="E601" s="343">
        <v>300</v>
      </c>
      <c r="F601" s="492">
        <f t="shared" si="16"/>
        <v>7.664793050587634</v>
      </c>
    </row>
    <row r="602" spans="1:8">
      <c r="A602" s="485">
        <v>46111</v>
      </c>
      <c r="B602" t="s">
        <v>1180</v>
      </c>
      <c r="D602" t="s">
        <v>1410</v>
      </c>
      <c r="E602" s="343">
        <v>300</v>
      </c>
      <c r="F602" s="492">
        <f t="shared" si="16"/>
        <v>7.664793050587634</v>
      </c>
    </row>
    <row r="603" spans="1:8">
      <c r="A603" s="485">
        <v>46113</v>
      </c>
      <c r="B603" t="s">
        <v>1180</v>
      </c>
      <c r="D603" t="s">
        <v>1410</v>
      </c>
      <c r="E603" s="343">
        <v>300</v>
      </c>
      <c r="F603" s="492">
        <f t="shared" ref="F603" si="18">E603/39.14</f>
        <v>7.664793050587634</v>
      </c>
    </row>
    <row r="604" spans="1:8" ht="27">
      <c r="A604" s="485">
        <v>46118</v>
      </c>
      <c r="B604" t="s">
        <v>1180</v>
      </c>
      <c r="D604" s="422" t="s">
        <v>1411</v>
      </c>
      <c r="E604" s="343">
        <v>300</v>
      </c>
      <c r="F604" s="492">
        <f>E604/40.31</f>
        <v>7.4423220044653924</v>
      </c>
      <c r="G604" t="s">
        <v>1412</v>
      </c>
    </row>
    <row r="605" spans="1:8" ht="27">
      <c r="A605" s="485">
        <v>46119</v>
      </c>
      <c r="B605" t="s">
        <v>1180</v>
      </c>
      <c r="D605" s="422" t="s">
        <v>1411</v>
      </c>
      <c r="E605" s="343">
        <v>300</v>
      </c>
      <c r="F605" s="492">
        <f t="shared" ref="F605:F668" si="19">E605/40.31</f>
        <v>7.4423220044653924</v>
      </c>
    </row>
    <row r="606" spans="1:8">
      <c r="A606" s="485">
        <v>46120</v>
      </c>
      <c r="B606" t="s">
        <v>1180</v>
      </c>
      <c r="D606" t="s">
        <v>1413</v>
      </c>
      <c r="E606" s="343">
        <v>300</v>
      </c>
      <c r="F606" s="492">
        <f t="shared" si="19"/>
        <v>7.4423220044653924</v>
      </c>
    </row>
    <row r="607" spans="1:8">
      <c r="A607" s="485">
        <v>46125</v>
      </c>
      <c r="B607" t="s">
        <v>1180</v>
      </c>
      <c r="D607" t="s">
        <v>1413</v>
      </c>
      <c r="E607" s="343">
        <v>300</v>
      </c>
      <c r="F607" s="492">
        <f t="shared" si="19"/>
        <v>7.4423220044653924</v>
      </c>
    </row>
    <row r="608" spans="1:8">
      <c r="A608" s="485">
        <v>46115</v>
      </c>
      <c r="B608" t="s">
        <v>1404</v>
      </c>
      <c r="D608" t="s">
        <v>1405</v>
      </c>
      <c r="E608" s="343">
        <v>616</v>
      </c>
      <c r="F608" s="492">
        <f t="shared" si="19"/>
        <v>15.28156784916894</v>
      </c>
      <c r="G608" t="s">
        <v>1414</v>
      </c>
    </row>
    <row r="609" spans="6:6">
      <c r="F609" s="486">
        <f t="shared" si="19"/>
        <v>0</v>
      </c>
    </row>
    <row r="610" spans="6:6">
      <c r="F610" s="486">
        <f t="shared" si="19"/>
        <v>0</v>
      </c>
    </row>
    <row r="611" spans="6:6">
      <c r="F611" s="486">
        <f t="shared" si="19"/>
        <v>0</v>
      </c>
    </row>
    <row r="612" spans="6:6">
      <c r="F612" s="486">
        <f t="shared" si="19"/>
        <v>0</v>
      </c>
    </row>
    <row r="613" spans="6:6">
      <c r="F613" s="486">
        <f t="shared" si="19"/>
        <v>0</v>
      </c>
    </row>
    <row r="614" spans="6:6">
      <c r="F614" s="486">
        <f t="shared" si="19"/>
        <v>0</v>
      </c>
    </row>
    <row r="615" spans="6:6">
      <c r="F615" s="486">
        <f t="shared" si="19"/>
        <v>0</v>
      </c>
    </row>
    <row r="616" spans="6:6">
      <c r="F616" s="486">
        <f t="shared" si="19"/>
        <v>0</v>
      </c>
    </row>
    <row r="617" spans="6:6">
      <c r="F617" s="486">
        <f t="shared" si="19"/>
        <v>0</v>
      </c>
    </row>
    <row r="618" spans="6:6">
      <c r="F618" s="486">
        <f t="shared" si="19"/>
        <v>0</v>
      </c>
    </row>
    <row r="619" spans="6:6">
      <c r="F619" s="486">
        <f t="shared" si="19"/>
        <v>0</v>
      </c>
    </row>
    <row r="620" spans="6:6">
      <c r="F620" s="486">
        <f t="shared" si="19"/>
        <v>0</v>
      </c>
    </row>
    <row r="621" spans="6:6">
      <c r="F621" s="486">
        <f t="shared" si="19"/>
        <v>0</v>
      </c>
    </row>
    <row r="622" spans="6:6">
      <c r="F622" s="486">
        <f t="shared" si="19"/>
        <v>0</v>
      </c>
    </row>
    <row r="623" spans="6:6">
      <c r="F623" s="486">
        <f t="shared" si="19"/>
        <v>0</v>
      </c>
    </row>
    <row r="624" spans="6:6">
      <c r="F624" s="486">
        <f t="shared" si="19"/>
        <v>0</v>
      </c>
    </row>
    <row r="625" spans="6:6">
      <c r="F625" s="486">
        <f t="shared" si="19"/>
        <v>0</v>
      </c>
    </row>
    <row r="626" spans="6:6">
      <c r="F626" s="486">
        <f t="shared" si="19"/>
        <v>0</v>
      </c>
    </row>
    <row r="627" spans="6:6">
      <c r="F627" s="486">
        <f t="shared" si="19"/>
        <v>0</v>
      </c>
    </row>
    <row r="628" spans="6:6">
      <c r="F628" s="486">
        <f t="shared" si="19"/>
        <v>0</v>
      </c>
    </row>
    <row r="629" spans="6:6">
      <c r="F629" s="486">
        <f t="shared" si="19"/>
        <v>0</v>
      </c>
    </row>
    <row r="630" spans="6:6">
      <c r="F630" s="486">
        <f t="shared" si="19"/>
        <v>0</v>
      </c>
    </row>
    <row r="631" spans="6:6">
      <c r="F631" s="486">
        <f t="shared" si="19"/>
        <v>0</v>
      </c>
    </row>
    <row r="632" spans="6:6">
      <c r="F632" s="486">
        <f t="shared" si="19"/>
        <v>0</v>
      </c>
    </row>
    <row r="633" spans="6:6">
      <c r="F633" s="486">
        <f t="shared" si="19"/>
        <v>0</v>
      </c>
    </row>
    <row r="634" spans="6:6">
      <c r="F634" s="486">
        <f t="shared" si="19"/>
        <v>0</v>
      </c>
    </row>
    <row r="635" spans="6:6">
      <c r="F635" s="486">
        <f t="shared" si="19"/>
        <v>0</v>
      </c>
    </row>
    <row r="636" spans="6:6">
      <c r="F636" s="486">
        <f t="shared" si="19"/>
        <v>0</v>
      </c>
    </row>
    <row r="637" spans="6:6">
      <c r="F637" s="486">
        <f t="shared" si="19"/>
        <v>0</v>
      </c>
    </row>
    <row r="638" spans="6:6">
      <c r="F638" s="486">
        <f t="shared" si="19"/>
        <v>0</v>
      </c>
    </row>
    <row r="639" spans="6:6">
      <c r="F639" s="486">
        <f t="shared" si="19"/>
        <v>0</v>
      </c>
    </row>
    <row r="640" spans="6:6">
      <c r="F640" s="486">
        <f t="shared" si="19"/>
        <v>0</v>
      </c>
    </row>
    <row r="641" spans="6:6">
      <c r="F641" s="486">
        <f t="shared" si="19"/>
        <v>0</v>
      </c>
    </row>
    <row r="642" spans="6:6">
      <c r="F642" s="486">
        <f t="shared" si="19"/>
        <v>0</v>
      </c>
    </row>
    <row r="643" spans="6:6">
      <c r="F643" s="486">
        <f t="shared" si="19"/>
        <v>0</v>
      </c>
    </row>
    <row r="644" spans="6:6">
      <c r="F644" s="486">
        <f t="shared" si="19"/>
        <v>0</v>
      </c>
    </row>
    <row r="645" spans="6:6">
      <c r="F645" s="486">
        <f t="shared" si="19"/>
        <v>0</v>
      </c>
    </row>
    <row r="646" spans="6:6">
      <c r="F646" s="486">
        <f t="shared" si="19"/>
        <v>0</v>
      </c>
    </row>
    <row r="647" spans="6:6">
      <c r="F647" s="486">
        <f t="shared" si="19"/>
        <v>0</v>
      </c>
    </row>
    <row r="648" spans="6:6">
      <c r="F648" s="486">
        <f t="shared" si="19"/>
        <v>0</v>
      </c>
    </row>
    <row r="649" spans="6:6">
      <c r="F649" s="486">
        <f t="shared" si="19"/>
        <v>0</v>
      </c>
    </row>
    <row r="650" spans="6:6">
      <c r="F650" s="486">
        <f t="shared" si="19"/>
        <v>0</v>
      </c>
    </row>
    <row r="651" spans="6:6">
      <c r="F651" s="486">
        <f t="shared" si="19"/>
        <v>0</v>
      </c>
    </row>
    <row r="652" spans="6:6">
      <c r="F652" s="486">
        <f t="shared" si="19"/>
        <v>0</v>
      </c>
    </row>
    <row r="653" spans="6:6">
      <c r="F653" s="486">
        <f t="shared" si="19"/>
        <v>0</v>
      </c>
    </row>
    <row r="654" spans="6:6">
      <c r="F654" s="486">
        <f t="shared" si="19"/>
        <v>0</v>
      </c>
    </row>
    <row r="655" spans="6:6">
      <c r="F655" s="486">
        <f t="shared" si="19"/>
        <v>0</v>
      </c>
    </row>
    <row r="656" spans="6:6">
      <c r="F656" s="486">
        <f t="shared" si="19"/>
        <v>0</v>
      </c>
    </row>
    <row r="657" spans="6:6">
      <c r="F657" s="486">
        <f t="shared" si="19"/>
        <v>0</v>
      </c>
    </row>
    <row r="658" spans="6:6">
      <c r="F658" s="486">
        <f t="shared" si="19"/>
        <v>0</v>
      </c>
    </row>
    <row r="659" spans="6:6">
      <c r="F659" s="486">
        <f t="shared" si="19"/>
        <v>0</v>
      </c>
    </row>
    <row r="660" spans="6:6">
      <c r="F660" s="486">
        <f t="shared" si="19"/>
        <v>0</v>
      </c>
    </row>
    <row r="661" spans="6:6">
      <c r="F661" s="486">
        <f t="shared" si="19"/>
        <v>0</v>
      </c>
    </row>
    <row r="662" spans="6:6">
      <c r="F662" s="486">
        <f t="shared" si="19"/>
        <v>0</v>
      </c>
    </row>
    <row r="663" spans="6:6">
      <c r="F663" s="486">
        <f t="shared" si="19"/>
        <v>0</v>
      </c>
    </row>
    <row r="664" spans="6:6">
      <c r="F664" s="486">
        <f t="shared" si="19"/>
        <v>0</v>
      </c>
    </row>
    <row r="665" spans="6:6">
      <c r="F665" s="486">
        <f t="shared" si="19"/>
        <v>0</v>
      </c>
    </row>
    <row r="666" spans="6:6">
      <c r="F666" s="486">
        <f t="shared" si="19"/>
        <v>0</v>
      </c>
    </row>
    <row r="667" spans="6:6">
      <c r="F667" s="486">
        <f t="shared" si="19"/>
        <v>0</v>
      </c>
    </row>
    <row r="668" spans="6:6">
      <c r="F668" s="486">
        <f t="shared" si="19"/>
        <v>0</v>
      </c>
    </row>
    <row r="669" spans="6:6">
      <c r="F669" s="486">
        <f t="shared" ref="F669:F732" si="20">E669/40.31</f>
        <v>0</v>
      </c>
    </row>
    <row r="670" spans="6:6">
      <c r="F670" s="486">
        <f t="shared" si="20"/>
        <v>0</v>
      </c>
    </row>
    <row r="671" spans="6:6">
      <c r="F671" s="486">
        <f t="shared" si="20"/>
        <v>0</v>
      </c>
    </row>
    <row r="672" spans="6:6">
      <c r="F672" s="486">
        <f t="shared" si="20"/>
        <v>0</v>
      </c>
    </row>
    <row r="673" spans="6:6">
      <c r="F673" s="486">
        <f t="shared" si="20"/>
        <v>0</v>
      </c>
    </row>
    <row r="674" spans="6:6">
      <c r="F674" s="486">
        <f t="shared" si="20"/>
        <v>0</v>
      </c>
    </row>
    <row r="675" spans="6:6">
      <c r="F675" s="486">
        <f t="shared" si="20"/>
        <v>0</v>
      </c>
    </row>
    <row r="676" spans="6:6">
      <c r="F676" s="486">
        <f t="shared" si="20"/>
        <v>0</v>
      </c>
    </row>
    <row r="677" spans="6:6">
      <c r="F677" s="486">
        <f t="shared" si="20"/>
        <v>0</v>
      </c>
    </row>
    <row r="678" spans="6:6">
      <c r="F678" s="486">
        <f t="shared" si="20"/>
        <v>0</v>
      </c>
    </row>
    <row r="679" spans="6:6">
      <c r="F679" s="486">
        <f t="shared" si="20"/>
        <v>0</v>
      </c>
    </row>
    <row r="680" spans="6:6">
      <c r="F680" s="486">
        <f t="shared" si="20"/>
        <v>0</v>
      </c>
    </row>
    <row r="681" spans="6:6">
      <c r="F681" s="486">
        <f t="shared" si="20"/>
        <v>0</v>
      </c>
    </row>
    <row r="682" spans="6:6">
      <c r="F682" s="486">
        <f t="shared" si="20"/>
        <v>0</v>
      </c>
    </row>
    <row r="683" spans="6:6">
      <c r="F683" s="486">
        <f t="shared" si="20"/>
        <v>0</v>
      </c>
    </row>
    <row r="684" spans="6:6">
      <c r="F684" s="486">
        <f t="shared" si="20"/>
        <v>0</v>
      </c>
    </row>
    <row r="685" spans="6:6">
      <c r="F685" s="486">
        <f t="shared" si="20"/>
        <v>0</v>
      </c>
    </row>
    <row r="686" spans="6:6">
      <c r="F686" s="486">
        <f t="shared" si="20"/>
        <v>0</v>
      </c>
    </row>
    <row r="687" spans="6:6">
      <c r="F687" s="486">
        <f t="shared" si="20"/>
        <v>0</v>
      </c>
    </row>
    <row r="688" spans="6:6">
      <c r="F688" s="486">
        <f t="shared" si="20"/>
        <v>0</v>
      </c>
    </row>
    <row r="689" spans="6:6">
      <c r="F689" s="486">
        <f t="shared" si="20"/>
        <v>0</v>
      </c>
    </row>
    <row r="690" spans="6:6">
      <c r="F690" s="486">
        <f t="shared" si="20"/>
        <v>0</v>
      </c>
    </row>
    <row r="691" spans="6:6">
      <c r="F691" s="486">
        <f t="shared" si="20"/>
        <v>0</v>
      </c>
    </row>
    <row r="692" spans="6:6">
      <c r="F692" s="486">
        <f t="shared" si="20"/>
        <v>0</v>
      </c>
    </row>
    <row r="693" spans="6:6">
      <c r="F693" s="486">
        <f t="shared" si="20"/>
        <v>0</v>
      </c>
    </row>
    <row r="694" spans="6:6">
      <c r="F694" s="486">
        <f t="shared" si="20"/>
        <v>0</v>
      </c>
    </row>
    <row r="695" spans="6:6">
      <c r="F695" s="486">
        <f t="shared" si="20"/>
        <v>0</v>
      </c>
    </row>
    <row r="696" spans="6:6">
      <c r="F696" s="486">
        <f t="shared" si="20"/>
        <v>0</v>
      </c>
    </row>
    <row r="697" spans="6:6">
      <c r="F697" s="486">
        <f t="shared" si="20"/>
        <v>0</v>
      </c>
    </row>
    <row r="698" spans="6:6">
      <c r="F698" s="486">
        <f t="shared" si="20"/>
        <v>0</v>
      </c>
    </row>
    <row r="699" spans="6:6">
      <c r="F699" s="486">
        <f t="shared" si="20"/>
        <v>0</v>
      </c>
    </row>
    <row r="700" spans="6:6">
      <c r="F700" s="486">
        <f t="shared" si="20"/>
        <v>0</v>
      </c>
    </row>
    <row r="701" spans="6:6">
      <c r="F701" s="486">
        <f t="shared" si="20"/>
        <v>0</v>
      </c>
    </row>
    <row r="702" spans="6:6">
      <c r="F702" s="486">
        <f t="shared" si="20"/>
        <v>0</v>
      </c>
    </row>
    <row r="703" spans="6:6">
      <c r="F703" s="486">
        <f t="shared" si="20"/>
        <v>0</v>
      </c>
    </row>
    <row r="704" spans="6:6">
      <c r="F704" s="486">
        <f t="shared" si="20"/>
        <v>0</v>
      </c>
    </row>
    <row r="705" spans="6:6">
      <c r="F705" s="486">
        <f t="shared" si="20"/>
        <v>0</v>
      </c>
    </row>
    <row r="706" spans="6:6">
      <c r="F706" s="486">
        <f t="shared" si="20"/>
        <v>0</v>
      </c>
    </row>
    <row r="707" spans="6:6">
      <c r="F707" s="486">
        <f t="shared" si="20"/>
        <v>0</v>
      </c>
    </row>
    <row r="708" spans="6:6">
      <c r="F708" s="486">
        <f t="shared" si="20"/>
        <v>0</v>
      </c>
    </row>
    <row r="709" spans="6:6">
      <c r="F709" s="486">
        <f t="shared" si="20"/>
        <v>0</v>
      </c>
    </row>
    <row r="710" spans="6:6">
      <c r="F710" s="486">
        <f t="shared" si="20"/>
        <v>0</v>
      </c>
    </row>
    <row r="711" spans="6:6">
      <c r="F711" s="486">
        <f t="shared" si="20"/>
        <v>0</v>
      </c>
    </row>
    <row r="712" spans="6:6">
      <c r="F712" s="486">
        <f t="shared" si="20"/>
        <v>0</v>
      </c>
    </row>
    <row r="713" spans="6:6">
      <c r="F713" s="486">
        <f t="shared" si="20"/>
        <v>0</v>
      </c>
    </row>
    <row r="714" spans="6:6">
      <c r="F714" s="486">
        <f t="shared" si="20"/>
        <v>0</v>
      </c>
    </row>
    <row r="715" spans="6:6">
      <c r="F715" s="486">
        <f t="shared" si="20"/>
        <v>0</v>
      </c>
    </row>
    <row r="716" spans="6:6">
      <c r="F716" s="486">
        <f t="shared" si="20"/>
        <v>0</v>
      </c>
    </row>
    <row r="717" spans="6:6">
      <c r="F717" s="486">
        <f t="shared" si="20"/>
        <v>0</v>
      </c>
    </row>
    <row r="718" spans="6:6">
      <c r="F718" s="486">
        <f t="shared" si="20"/>
        <v>0</v>
      </c>
    </row>
    <row r="719" spans="6:6">
      <c r="F719" s="486">
        <f t="shared" si="20"/>
        <v>0</v>
      </c>
    </row>
    <row r="720" spans="6:6">
      <c r="F720" s="486">
        <f t="shared" si="20"/>
        <v>0</v>
      </c>
    </row>
    <row r="721" spans="6:6">
      <c r="F721" s="486">
        <f t="shared" si="20"/>
        <v>0</v>
      </c>
    </row>
    <row r="722" spans="6:6">
      <c r="F722" s="486">
        <f t="shared" si="20"/>
        <v>0</v>
      </c>
    </row>
    <row r="723" spans="6:6">
      <c r="F723" s="486">
        <f t="shared" si="20"/>
        <v>0</v>
      </c>
    </row>
    <row r="724" spans="6:6">
      <c r="F724" s="486">
        <f t="shared" si="20"/>
        <v>0</v>
      </c>
    </row>
    <row r="725" spans="6:6">
      <c r="F725" s="486">
        <f t="shared" si="20"/>
        <v>0</v>
      </c>
    </row>
    <row r="726" spans="6:6">
      <c r="F726" s="486">
        <f t="shared" si="20"/>
        <v>0</v>
      </c>
    </row>
    <row r="727" spans="6:6">
      <c r="F727" s="486">
        <f t="shared" si="20"/>
        <v>0</v>
      </c>
    </row>
    <row r="728" spans="6:6">
      <c r="F728" s="486">
        <f t="shared" si="20"/>
        <v>0</v>
      </c>
    </row>
    <row r="729" spans="6:6">
      <c r="F729" s="486">
        <f t="shared" si="20"/>
        <v>0</v>
      </c>
    </row>
    <row r="730" spans="6:6">
      <c r="F730" s="486">
        <f t="shared" si="20"/>
        <v>0</v>
      </c>
    </row>
    <row r="731" spans="6:6">
      <c r="F731" s="486">
        <f t="shared" si="20"/>
        <v>0</v>
      </c>
    </row>
    <row r="732" spans="6:6">
      <c r="F732" s="486">
        <f t="shared" si="20"/>
        <v>0</v>
      </c>
    </row>
    <row r="733" spans="6:6">
      <c r="F733" s="486">
        <f t="shared" ref="F733:F796" si="21">E733/40.31</f>
        <v>0</v>
      </c>
    </row>
    <row r="734" spans="6:6">
      <c r="F734" s="486">
        <f t="shared" si="21"/>
        <v>0</v>
      </c>
    </row>
    <row r="735" spans="6:6">
      <c r="F735" s="486">
        <f t="shared" si="21"/>
        <v>0</v>
      </c>
    </row>
    <row r="736" spans="6:6">
      <c r="F736" s="486">
        <f t="shared" si="21"/>
        <v>0</v>
      </c>
    </row>
    <row r="737" spans="6:6">
      <c r="F737" s="486">
        <f t="shared" si="21"/>
        <v>0</v>
      </c>
    </row>
    <row r="738" spans="6:6">
      <c r="F738" s="486">
        <f t="shared" si="21"/>
        <v>0</v>
      </c>
    </row>
    <row r="739" spans="6:6">
      <c r="F739" s="486">
        <f t="shared" si="21"/>
        <v>0</v>
      </c>
    </row>
    <row r="740" spans="6:6">
      <c r="F740" s="486">
        <f t="shared" si="21"/>
        <v>0</v>
      </c>
    </row>
    <row r="741" spans="6:6">
      <c r="F741" s="486">
        <f t="shared" si="21"/>
        <v>0</v>
      </c>
    </row>
    <row r="742" spans="6:6">
      <c r="F742" s="486">
        <f t="shared" si="21"/>
        <v>0</v>
      </c>
    </row>
    <row r="743" spans="6:6">
      <c r="F743" s="486">
        <f t="shared" si="21"/>
        <v>0</v>
      </c>
    </row>
    <row r="744" spans="6:6">
      <c r="F744" s="486">
        <f t="shared" si="21"/>
        <v>0</v>
      </c>
    </row>
    <row r="745" spans="6:6">
      <c r="F745" s="486">
        <f t="shared" si="21"/>
        <v>0</v>
      </c>
    </row>
    <row r="746" spans="6:6">
      <c r="F746" s="486">
        <f t="shared" si="21"/>
        <v>0</v>
      </c>
    </row>
    <row r="747" spans="6:6">
      <c r="F747" s="486">
        <f t="shared" si="21"/>
        <v>0</v>
      </c>
    </row>
    <row r="748" spans="6:6">
      <c r="F748" s="486">
        <f t="shared" si="21"/>
        <v>0</v>
      </c>
    </row>
    <row r="749" spans="6:6">
      <c r="F749" s="486">
        <f t="shared" si="21"/>
        <v>0</v>
      </c>
    </row>
    <row r="750" spans="6:6">
      <c r="F750" s="486">
        <f t="shared" si="21"/>
        <v>0</v>
      </c>
    </row>
    <row r="751" spans="6:6">
      <c r="F751" s="486">
        <f t="shared" si="21"/>
        <v>0</v>
      </c>
    </row>
    <row r="752" spans="6:6">
      <c r="F752" s="486">
        <f t="shared" si="21"/>
        <v>0</v>
      </c>
    </row>
    <row r="753" spans="6:6">
      <c r="F753" s="486">
        <f t="shared" si="21"/>
        <v>0</v>
      </c>
    </row>
    <row r="754" spans="6:6">
      <c r="F754" s="486">
        <f t="shared" si="21"/>
        <v>0</v>
      </c>
    </row>
    <row r="755" spans="6:6">
      <c r="F755" s="486">
        <f t="shared" si="21"/>
        <v>0</v>
      </c>
    </row>
    <row r="756" spans="6:6">
      <c r="F756" s="486">
        <f t="shared" si="21"/>
        <v>0</v>
      </c>
    </row>
    <row r="757" spans="6:6">
      <c r="F757" s="486">
        <f t="shared" si="21"/>
        <v>0</v>
      </c>
    </row>
    <row r="758" spans="6:6">
      <c r="F758" s="486">
        <f t="shared" si="21"/>
        <v>0</v>
      </c>
    </row>
    <row r="759" spans="6:6">
      <c r="F759" s="486">
        <f t="shared" si="21"/>
        <v>0</v>
      </c>
    </row>
    <row r="760" spans="6:6">
      <c r="F760" s="486">
        <f t="shared" si="21"/>
        <v>0</v>
      </c>
    </row>
    <row r="761" spans="6:6">
      <c r="F761" s="486">
        <f t="shared" si="21"/>
        <v>0</v>
      </c>
    </row>
    <row r="762" spans="6:6">
      <c r="F762" s="486">
        <f t="shared" si="21"/>
        <v>0</v>
      </c>
    </row>
    <row r="763" spans="6:6">
      <c r="F763" s="486">
        <f t="shared" si="21"/>
        <v>0</v>
      </c>
    </row>
    <row r="764" spans="6:6">
      <c r="F764" s="486">
        <f t="shared" si="21"/>
        <v>0</v>
      </c>
    </row>
    <row r="765" spans="6:6">
      <c r="F765" s="486">
        <f t="shared" si="21"/>
        <v>0</v>
      </c>
    </row>
    <row r="766" spans="6:6">
      <c r="F766" s="486">
        <f t="shared" si="21"/>
        <v>0</v>
      </c>
    </row>
    <row r="767" spans="6:6">
      <c r="F767" s="486">
        <f t="shared" si="21"/>
        <v>0</v>
      </c>
    </row>
    <row r="768" spans="6:6">
      <c r="F768" s="486">
        <f t="shared" si="21"/>
        <v>0</v>
      </c>
    </row>
    <row r="769" spans="6:6">
      <c r="F769" s="486">
        <f t="shared" si="21"/>
        <v>0</v>
      </c>
    </row>
    <row r="770" spans="6:6">
      <c r="F770" s="486">
        <f t="shared" si="21"/>
        <v>0</v>
      </c>
    </row>
    <row r="771" spans="6:6">
      <c r="F771" s="486">
        <f t="shared" si="21"/>
        <v>0</v>
      </c>
    </row>
    <row r="772" spans="6:6">
      <c r="F772" s="486">
        <f t="shared" si="21"/>
        <v>0</v>
      </c>
    </row>
    <row r="773" spans="6:6">
      <c r="F773" s="486">
        <f t="shared" si="21"/>
        <v>0</v>
      </c>
    </row>
    <row r="774" spans="6:6">
      <c r="F774" s="486">
        <f t="shared" si="21"/>
        <v>0</v>
      </c>
    </row>
    <row r="775" spans="6:6">
      <c r="F775" s="486">
        <f t="shared" si="21"/>
        <v>0</v>
      </c>
    </row>
    <row r="776" spans="6:6">
      <c r="F776" s="486">
        <f t="shared" si="21"/>
        <v>0</v>
      </c>
    </row>
    <row r="777" spans="6:6">
      <c r="F777" s="486">
        <f t="shared" si="21"/>
        <v>0</v>
      </c>
    </row>
    <row r="778" spans="6:6">
      <c r="F778" s="486">
        <f t="shared" si="21"/>
        <v>0</v>
      </c>
    </row>
    <row r="779" spans="6:6">
      <c r="F779" s="486">
        <f t="shared" si="21"/>
        <v>0</v>
      </c>
    </row>
    <row r="780" spans="6:6">
      <c r="F780" s="486">
        <f t="shared" si="21"/>
        <v>0</v>
      </c>
    </row>
    <row r="781" spans="6:6">
      <c r="F781" s="486">
        <f t="shared" si="21"/>
        <v>0</v>
      </c>
    </row>
    <row r="782" spans="6:6">
      <c r="F782" s="486">
        <f t="shared" si="21"/>
        <v>0</v>
      </c>
    </row>
    <row r="783" spans="6:6">
      <c r="F783" s="486">
        <f t="shared" si="21"/>
        <v>0</v>
      </c>
    </row>
    <row r="784" spans="6:6">
      <c r="F784" s="486">
        <f t="shared" si="21"/>
        <v>0</v>
      </c>
    </row>
    <row r="785" spans="6:6">
      <c r="F785" s="486">
        <f t="shared" si="21"/>
        <v>0</v>
      </c>
    </row>
    <row r="786" spans="6:6">
      <c r="F786" s="486">
        <f t="shared" si="21"/>
        <v>0</v>
      </c>
    </row>
    <row r="787" spans="6:6">
      <c r="F787" s="486">
        <f t="shared" si="21"/>
        <v>0</v>
      </c>
    </row>
    <row r="788" spans="6:6">
      <c r="F788" s="486">
        <f t="shared" si="21"/>
        <v>0</v>
      </c>
    </row>
    <row r="789" spans="6:6">
      <c r="F789" s="486">
        <f t="shared" si="21"/>
        <v>0</v>
      </c>
    </row>
    <row r="790" spans="6:6">
      <c r="F790" s="486">
        <f t="shared" si="21"/>
        <v>0</v>
      </c>
    </row>
    <row r="791" spans="6:6">
      <c r="F791" s="486">
        <f t="shared" si="21"/>
        <v>0</v>
      </c>
    </row>
    <row r="792" spans="6:6">
      <c r="F792" s="486">
        <f t="shared" si="21"/>
        <v>0</v>
      </c>
    </row>
    <row r="793" spans="6:6">
      <c r="F793" s="486">
        <f t="shared" si="21"/>
        <v>0</v>
      </c>
    </row>
    <row r="794" spans="6:6">
      <c r="F794" s="486">
        <f t="shared" si="21"/>
        <v>0</v>
      </c>
    </row>
    <row r="795" spans="6:6">
      <c r="F795" s="486">
        <f t="shared" si="21"/>
        <v>0</v>
      </c>
    </row>
    <row r="796" spans="6:6">
      <c r="F796" s="486">
        <f t="shared" si="21"/>
        <v>0</v>
      </c>
    </row>
    <row r="797" spans="6:6">
      <c r="F797" s="486">
        <f t="shared" ref="F797:F844" si="22">E797/40.31</f>
        <v>0</v>
      </c>
    </row>
    <row r="798" spans="6:6">
      <c r="F798" s="486">
        <f t="shared" si="22"/>
        <v>0</v>
      </c>
    </row>
    <row r="799" spans="6:6">
      <c r="F799" s="486">
        <f t="shared" si="22"/>
        <v>0</v>
      </c>
    </row>
    <row r="800" spans="6:6">
      <c r="F800" s="486">
        <f t="shared" si="22"/>
        <v>0</v>
      </c>
    </row>
    <row r="801" spans="6:6">
      <c r="F801" s="486">
        <f t="shared" si="22"/>
        <v>0</v>
      </c>
    </row>
    <row r="802" spans="6:6">
      <c r="F802" s="486">
        <f t="shared" si="22"/>
        <v>0</v>
      </c>
    </row>
    <row r="803" spans="6:6">
      <c r="F803" s="486">
        <f t="shared" si="22"/>
        <v>0</v>
      </c>
    </row>
    <row r="804" spans="6:6">
      <c r="F804" s="486">
        <f t="shared" si="22"/>
        <v>0</v>
      </c>
    </row>
    <row r="805" spans="6:6">
      <c r="F805" s="486">
        <f t="shared" si="22"/>
        <v>0</v>
      </c>
    </row>
    <row r="806" spans="6:6">
      <c r="F806" s="486">
        <f t="shared" si="22"/>
        <v>0</v>
      </c>
    </row>
    <row r="807" spans="6:6">
      <c r="F807" s="486">
        <f t="shared" si="22"/>
        <v>0</v>
      </c>
    </row>
    <row r="808" spans="6:6">
      <c r="F808" s="486">
        <f t="shared" si="22"/>
        <v>0</v>
      </c>
    </row>
    <row r="809" spans="6:6">
      <c r="F809" s="486">
        <f t="shared" si="22"/>
        <v>0</v>
      </c>
    </row>
    <row r="810" spans="6:6">
      <c r="F810" s="486">
        <f t="shared" si="22"/>
        <v>0</v>
      </c>
    </row>
    <row r="811" spans="6:6">
      <c r="F811" s="486">
        <f t="shared" si="22"/>
        <v>0</v>
      </c>
    </row>
    <row r="812" spans="6:6">
      <c r="F812" s="486">
        <f t="shared" si="22"/>
        <v>0</v>
      </c>
    </row>
    <row r="813" spans="6:6">
      <c r="F813" s="486">
        <f t="shared" si="22"/>
        <v>0</v>
      </c>
    </row>
    <row r="814" spans="6:6">
      <c r="F814" s="486">
        <f t="shared" si="22"/>
        <v>0</v>
      </c>
    </row>
    <row r="815" spans="6:6">
      <c r="F815" s="486">
        <f t="shared" si="22"/>
        <v>0</v>
      </c>
    </row>
    <row r="816" spans="6:6">
      <c r="F816" s="486">
        <f t="shared" si="22"/>
        <v>0</v>
      </c>
    </row>
    <row r="817" spans="6:6">
      <c r="F817" s="486">
        <f t="shared" si="22"/>
        <v>0</v>
      </c>
    </row>
    <row r="818" spans="6:6">
      <c r="F818" s="486">
        <f t="shared" si="22"/>
        <v>0</v>
      </c>
    </row>
    <row r="819" spans="6:6">
      <c r="F819" s="486">
        <f t="shared" si="22"/>
        <v>0</v>
      </c>
    </row>
    <row r="820" spans="6:6">
      <c r="F820" s="486">
        <f t="shared" si="22"/>
        <v>0</v>
      </c>
    </row>
    <row r="821" spans="6:6">
      <c r="F821" s="486">
        <f t="shared" si="22"/>
        <v>0</v>
      </c>
    </row>
    <row r="822" spans="6:6">
      <c r="F822" s="486">
        <f t="shared" si="22"/>
        <v>0</v>
      </c>
    </row>
    <row r="823" spans="6:6">
      <c r="F823" s="486">
        <f t="shared" si="22"/>
        <v>0</v>
      </c>
    </row>
    <row r="824" spans="6:6">
      <c r="F824" s="486">
        <f t="shared" si="22"/>
        <v>0</v>
      </c>
    </row>
    <row r="825" spans="6:6">
      <c r="F825" s="486">
        <f t="shared" si="22"/>
        <v>0</v>
      </c>
    </row>
    <row r="826" spans="6:6">
      <c r="F826" s="486">
        <f t="shared" si="22"/>
        <v>0</v>
      </c>
    </row>
    <row r="827" spans="6:6">
      <c r="F827" s="486">
        <f t="shared" si="22"/>
        <v>0</v>
      </c>
    </row>
    <row r="828" spans="6:6">
      <c r="F828" s="486">
        <f t="shared" si="22"/>
        <v>0</v>
      </c>
    </row>
    <row r="829" spans="6:6">
      <c r="F829" s="486">
        <f t="shared" si="22"/>
        <v>0</v>
      </c>
    </row>
    <row r="830" spans="6:6">
      <c r="F830" s="486">
        <f t="shared" si="22"/>
        <v>0</v>
      </c>
    </row>
    <row r="831" spans="6:6">
      <c r="F831" s="486">
        <f t="shared" si="22"/>
        <v>0</v>
      </c>
    </row>
    <row r="832" spans="6:6">
      <c r="F832" s="486">
        <f t="shared" si="22"/>
        <v>0</v>
      </c>
    </row>
    <row r="833" spans="6:6">
      <c r="F833" s="486">
        <f t="shared" si="22"/>
        <v>0</v>
      </c>
    </row>
    <row r="834" spans="6:6">
      <c r="F834" s="486">
        <f t="shared" si="22"/>
        <v>0</v>
      </c>
    </row>
    <row r="835" spans="6:6">
      <c r="F835" s="486">
        <f t="shared" si="22"/>
        <v>0</v>
      </c>
    </row>
    <row r="836" spans="6:6">
      <c r="F836" s="486">
        <f t="shared" si="22"/>
        <v>0</v>
      </c>
    </row>
    <row r="837" spans="6:6">
      <c r="F837" s="486">
        <f t="shared" si="22"/>
        <v>0</v>
      </c>
    </row>
    <row r="838" spans="6:6">
      <c r="F838" s="486">
        <f t="shared" si="22"/>
        <v>0</v>
      </c>
    </row>
    <row r="839" spans="6:6">
      <c r="F839" s="486">
        <f t="shared" si="22"/>
        <v>0</v>
      </c>
    </row>
    <row r="840" spans="6:6">
      <c r="F840" s="486">
        <f t="shared" si="22"/>
        <v>0</v>
      </c>
    </row>
    <row r="841" spans="6:6">
      <c r="F841" s="486">
        <f t="shared" si="22"/>
        <v>0</v>
      </c>
    </row>
    <row r="842" spans="6:6">
      <c r="F842" s="486">
        <f t="shared" si="22"/>
        <v>0</v>
      </c>
    </row>
    <row r="843" spans="6:6">
      <c r="F843" s="486">
        <f t="shared" si="22"/>
        <v>0</v>
      </c>
    </row>
    <row r="844" spans="6:6">
      <c r="F844" s="486">
        <f t="shared" si="22"/>
        <v>0</v>
      </c>
    </row>
  </sheetData>
  <conditionalFormatting sqref="D1:D1048576">
    <cfRule type="cellIs" dxfId="10" priority="1" operator="equal">
      <formula>"NYMin Storage"</formula>
    </cfRule>
  </conditionalFormatting>
  <pageMargins left="0.7" right="0.7" top="0.75" bottom="0.75" header="0.3" footer="0.3"/>
  <legacyDrawing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DFEDC-B210-441E-9A5D-AE257F299E21}">
  <dimension ref="A1:AS638"/>
  <sheetViews>
    <sheetView topLeftCell="G281" workbookViewId="0">
      <selection activeCell="AQ459" sqref="AQ459"/>
    </sheetView>
  </sheetViews>
  <sheetFormatPr defaultColWidth="9.140625" defaultRowHeight="15"/>
  <cols>
    <col min="1" max="1" width="21.85546875" style="944" bestFit="1" customWidth="1"/>
    <col min="2" max="5" width="7.7109375" style="944" customWidth="1"/>
    <col min="6" max="6" width="1" style="944" customWidth="1"/>
    <col min="7" max="10" width="7.7109375" style="944" customWidth="1"/>
    <col min="11" max="11" width="1" style="944" customWidth="1"/>
    <col min="12" max="15" width="7.7109375" style="944" customWidth="1"/>
    <col min="16" max="16" width="1" style="944" customWidth="1"/>
    <col min="17" max="20" width="7.7109375" style="944" customWidth="1"/>
    <col min="21" max="21" width="1" style="944" customWidth="1"/>
    <col min="22" max="27" width="7.7109375" style="944" customWidth="1"/>
    <col min="28" max="28" width="1" style="944" customWidth="1"/>
    <col min="29" max="31" width="7.7109375" style="944" customWidth="1"/>
    <col min="32" max="32" width="1" style="944" customWidth="1"/>
    <col min="33" max="36" width="7.7109375" style="944" customWidth="1"/>
    <col min="37" max="37" width="1" style="944" customWidth="1"/>
    <col min="38" max="38" width="9.140625" style="944"/>
    <col min="39" max="39" width="1" style="944" customWidth="1"/>
    <col min="40" max="40" width="22.5703125" style="944" customWidth="1"/>
    <col min="41" max="42" width="9.28515625" style="944" bestFit="1" customWidth="1"/>
    <col min="43" max="43" width="9.85546875" style="944" bestFit="1" customWidth="1"/>
    <col min="44" max="16384" width="9.140625" style="944"/>
  </cols>
  <sheetData>
    <row r="1" spans="1:45" ht="16.5" thickBot="1">
      <c r="A1" s="940"/>
      <c r="B1" s="940"/>
      <c r="C1" s="940"/>
      <c r="D1" s="941"/>
      <c r="E1" s="942"/>
      <c r="F1" s="941"/>
      <c r="G1" s="940"/>
      <c r="H1" s="940"/>
      <c r="I1" s="941"/>
      <c r="J1" s="942"/>
      <c r="K1" s="941"/>
      <c r="L1" s="940"/>
      <c r="M1" s="940"/>
      <c r="N1" s="941"/>
      <c r="O1" s="942"/>
      <c r="P1" s="941"/>
      <c r="Q1" s="940"/>
      <c r="R1" s="1605" t="s">
        <v>1415</v>
      </c>
      <c r="S1" s="1605"/>
      <c r="T1" s="1605"/>
      <c r="U1" s="1605"/>
      <c r="V1" s="1605"/>
      <c r="W1" s="1605"/>
      <c r="X1" s="1605"/>
      <c r="Y1" s="1605"/>
      <c r="Z1" s="1605"/>
      <c r="AA1" s="1605"/>
      <c r="AB1" s="1605"/>
      <c r="AC1" s="1605"/>
      <c r="AD1" s="1605"/>
      <c r="AE1" s="1605"/>
      <c r="AF1" s="1605"/>
      <c r="AG1" s="1605"/>
      <c r="AH1" s="1605"/>
      <c r="AI1" s="1605"/>
      <c r="AJ1" s="1605"/>
      <c r="AK1" s="941"/>
      <c r="AL1" s="943"/>
      <c r="AM1" s="940"/>
      <c r="AN1" s="1589" t="s">
        <v>1109</v>
      </c>
      <c r="AO1" s="1589"/>
      <c r="AP1" s="1589"/>
      <c r="AQ1" s="1589"/>
      <c r="AR1" s="1589"/>
      <c r="AS1" s="1589"/>
    </row>
    <row r="2" spans="1:45" ht="16.5" thickBot="1">
      <c r="A2" s="940"/>
      <c r="B2" s="940"/>
      <c r="C2" s="940"/>
      <c r="D2" s="941"/>
      <c r="E2" s="942"/>
      <c r="F2" s="941"/>
      <c r="G2" s="940"/>
      <c r="H2" s="940"/>
      <c r="I2" s="941"/>
      <c r="J2" s="942"/>
      <c r="K2" s="941"/>
      <c r="L2" s="940"/>
      <c r="M2" s="940"/>
      <c r="N2" s="941"/>
      <c r="O2" s="941"/>
      <c r="P2" s="941"/>
      <c r="Q2" s="940"/>
      <c r="R2" s="945"/>
      <c r="S2" s="945"/>
      <c r="T2" s="942"/>
      <c r="U2" s="945"/>
      <c r="V2" s="945"/>
      <c r="W2" s="946"/>
      <c r="X2" s="946" t="s">
        <v>2</v>
      </c>
      <c r="Y2" s="1598">
        <v>14375</v>
      </c>
      <c r="Z2" s="1598"/>
      <c r="AA2" s="1599" t="s">
        <v>942</v>
      </c>
      <c r="AB2" s="1600"/>
      <c r="AC2" s="1600"/>
      <c r="AD2" s="1600"/>
      <c r="AE2" s="1600"/>
      <c r="AF2" s="1603">
        <v>2101.125</v>
      </c>
      <c r="AG2" s="1603"/>
      <c r="AH2" s="1603">
        <v>6166.32</v>
      </c>
      <c r="AI2" s="1604"/>
      <c r="AJ2" s="940"/>
      <c r="AK2" s="941"/>
      <c r="AL2" s="943"/>
      <c r="AM2" s="940"/>
      <c r="AN2" s="1606" t="s">
        <v>1110</v>
      </c>
      <c r="AO2" s="1606"/>
      <c r="AP2" s="1606"/>
      <c r="AQ2" s="1606"/>
      <c r="AR2" s="1606"/>
      <c r="AS2" s="1606"/>
    </row>
    <row r="3" spans="1:45" ht="16.5" thickBot="1">
      <c r="A3" s="940"/>
      <c r="B3" s="940"/>
      <c r="C3" s="940"/>
      <c r="D3" s="941"/>
      <c r="E3" s="942"/>
      <c r="F3" s="941"/>
      <c r="G3" s="940"/>
      <c r="H3" s="940"/>
      <c r="I3" s="941"/>
      <c r="J3" s="942"/>
      <c r="K3" s="941"/>
      <c r="L3" s="940"/>
      <c r="M3" s="940"/>
      <c r="N3" s="941"/>
      <c r="O3" s="941"/>
      <c r="P3" s="941"/>
      <c r="Q3" s="940"/>
      <c r="R3" s="945"/>
      <c r="S3" s="945"/>
      <c r="T3" s="942"/>
      <c r="U3" s="945"/>
      <c r="V3" s="945"/>
      <c r="W3" s="946"/>
      <c r="X3" s="946" t="s">
        <v>1416</v>
      </c>
      <c r="Y3" s="947"/>
      <c r="Z3" s="947">
        <v>725</v>
      </c>
      <c r="AA3" s="1596" t="s">
        <v>1417</v>
      </c>
      <c r="AB3" s="1597"/>
      <c r="AC3" s="1597"/>
      <c r="AD3" s="1597"/>
      <c r="AE3" s="1597"/>
      <c r="AF3" s="948"/>
      <c r="AG3" s="951">
        <v>81</v>
      </c>
      <c r="AH3" s="948"/>
      <c r="AI3" s="949">
        <v>0</v>
      </c>
      <c r="AJ3" s="940"/>
      <c r="AK3" s="941"/>
      <c r="AL3" s="943"/>
      <c r="AM3" s="940"/>
      <c r="AN3" s="950"/>
      <c r="AO3" s="950"/>
      <c r="AP3" s="950"/>
      <c r="AQ3" s="950"/>
      <c r="AR3" s="950"/>
      <c r="AS3" s="950"/>
    </row>
    <row r="4" spans="1:45" ht="16.5" thickBot="1">
      <c r="A4" s="940"/>
      <c r="B4" s="940"/>
      <c r="C4" s="940"/>
      <c r="D4" s="941"/>
      <c r="E4" s="942"/>
      <c r="F4" s="941"/>
      <c r="G4" s="940"/>
      <c r="H4" s="940"/>
      <c r="I4" s="941"/>
      <c r="J4" s="942"/>
      <c r="K4" s="941"/>
      <c r="L4" s="940"/>
      <c r="M4" s="940"/>
      <c r="N4" s="941"/>
      <c r="O4" s="941"/>
      <c r="P4" s="941"/>
      <c r="Q4" s="952"/>
      <c r="R4" s="945"/>
      <c r="S4" s="945"/>
      <c r="T4" s="942"/>
      <c r="U4" s="945"/>
      <c r="V4" s="945"/>
      <c r="W4" s="946"/>
      <c r="X4" s="946" t="s">
        <v>5</v>
      </c>
      <c r="Y4" s="1598">
        <v>630</v>
      </c>
      <c r="Z4" s="1598"/>
      <c r="AA4" s="1599" t="s">
        <v>944</v>
      </c>
      <c r="AB4" s="1600"/>
      <c r="AC4" s="1600"/>
      <c r="AD4" s="1600"/>
      <c r="AE4" s="1600"/>
      <c r="AF4" s="1601">
        <v>10</v>
      </c>
      <c r="AG4" s="1601"/>
      <c r="AH4" s="1601">
        <v>0</v>
      </c>
      <c r="AI4" s="1602"/>
      <c r="AJ4" s="940"/>
      <c r="AK4" s="941"/>
      <c r="AL4" s="943"/>
      <c r="AM4" s="940"/>
      <c r="AN4" s="953" t="s">
        <v>6</v>
      </c>
      <c r="AO4" s="954"/>
      <c r="AP4" s="954"/>
      <c r="AQ4" s="954"/>
      <c r="AR4" s="954"/>
      <c r="AS4" s="954"/>
    </row>
    <row r="5" spans="1:45" ht="16.5" thickBot="1">
      <c r="A5" s="940"/>
      <c r="B5" s="940"/>
      <c r="C5" s="940"/>
      <c r="D5" s="941"/>
      <c r="E5" s="942"/>
      <c r="F5" s="941"/>
      <c r="G5" s="940"/>
      <c r="H5" s="940"/>
      <c r="I5" s="941"/>
      <c r="J5" s="942"/>
      <c r="K5" s="941"/>
      <c r="L5" s="940"/>
      <c r="M5" s="940"/>
      <c r="N5" s="940"/>
      <c r="O5" s="941"/>
      <c r="P5" s="941"/>
      <c r="Q5" s="940"/>
      <c r="R5" s="945"/>
      <c r="S5" s="945"/>
      <c r="T5" s="942"/>
      <c r="U5" s="945"/>
      <c r="V5" s="945"/>
      <c r="W5" s="946"/>
      <c r="X5" s="946" t="s">
        <v>7</v>
      </c>
      <c r="Y5" s="1598">
        <v>1856</v>
      </c>
      <c r="Z5" s="1598"/>
      <c r="AA5" s="1599" t="s">
        <v>945</v>
      </c>
      <c r="AB5" s="1600"/>
      <c r="AC5" s="1600"/>
      <c r="AD5" s="1600"/>
      <c r="AE5" s="1600"/>
      <c r="AF5" s="1603">
        <v>652</v>
      </c>
      <c r="AG5" s="1603"/>
      <c r="AH5" s="1603" t="s">
        <v>1418</v>
      </c>
      <c r="AI5" s="1604"/>
      <c r="AJ5" s="940"/>
      <c r="AK5" s="941"/>
      <c r="AL5" s="943"/>
      <c r="AM5" s="940"/>
      <c r="AN5" s="954" t="s">
        <v>8</v>
      </c>
      <c r="AO5" s="954"/>
      <c r="AP5" s="954"/>
      <c r="AQ5" s="954"/>
      <c r="AR5" s="954"/>
      <c r="AS5" s="954"/>
    </row>
    <row r="6" spans="1:45" ht="15.75">
      <c r="A6" s="940"/>
      <c r="B6" s="940"/>
      <c r="C6" s="940"/>
      <c r="D6" s="941"/>
      <c r="E6" s="942"/>
      <c r="F6" s="941"/>
      <c r="G6" s="940"/>
      <c r="H6" s="940"/>
      <c r="I6" s="941"/>
      <c r="J6" s="942"/>
      <c r="K6" s="941"/>
      <c r="L6" s="940"/>
      <c r="M6" s="940"/>
      <c r="N6" s="941"/>
      <c r="O6" s="955"/>
      <c r="P6" s="941"/>
      <c r="Q6" s="940"/>
      <c r="R6" s="945"/>
      <c r="S6" s="945"/>
      <c r="T6" s="942"/>
      <c r="U6" s="945"/>
      <c r="V6" s="945"/>
      <c r="W6" s="956"/>
      <c r="X6" s="946" t="s">
        <v>9</v>
      </c>
      <c r="Y6" s="957" t="e">
        <v>#REF!</v>
      </c>
      <c r="Z6" s="947">
        <v>12273.875</v>
      </c>
      <c r="AA6" s="1594"/>
      <c r="AB6" s="1594"/>
      <c r="AC6" s="1594"/>
      <c r="AD6" s="1594"/>
      <c r="AE6" s="1594"/>
      <c r="AF6" s="1595"/>
      <c r="AG6" s="1595"/>
      <c r="AH6" s="1595"/>
      <c r="AI6" s="1595"/>
      <c r="AJ6" s="940"/>
      <c r="AK6" s="941"/>
      <c r="AL6" s="943"/>
      <c r="AM6" s="940"/>
      <c r="AN6" s="954" t="s">
        <v>11</v>
      </c>
      <c r="AO6" s="954"/>
      <c r="AP6" s="954"/>
      <c r="AQ6" s="954"/>
      <c r="AR6" s="954"/>
      <c r="AS6" s="954"/>
    </row>
    <row r="7" spans="1:45" ht="15.75">
      <c r="A7" s="940"/>
      <c r="B7" s="940"/>
      <c r="C7" s="940"/>
      <c r="D7" s="941"/>
      <c r="E7" s="942"/>
      <c r="F7" s="941"/>
      <c r="G7" s="940"/>
      <c r="H7" s="940"/>
      <c r="I7" s="941"/>
      <c r="J7" s="942"/>
      <c r="K7" s="941"/>
      <c r="L7" s="940"/>
      <c r="M7" s="940"/>
      <c r="N7" s="941"/>
      <c r="O7" s="942"/>
      <c r="P7" s="941"/>
      <c r="Q7" s="940"/>
      <c r="R7" s="945"/>
      <c r="S7" s="940"/>
      <c r="T7" s="958"/>
      <c r="U7" s="959"/>
      <c r="V7" s="959"/>
      <c r="W7" s="960"/>
      <c r="X7" s="961" t="s">
        <v>1419</v>
      </c>
      <c r="Y7" s="962"/>
      <c r="Z7" s="963">
        <v>644</v>
      </c>
      <c r="AA7" s="1594"/>
      <c r="AB7" s="1594"/>
      <c r="AC7" s="1594"/>
      <c r="AD7" s="1594"/>
      <c r="AE7" s="1594"/>
      <c r="AF7" s="940"/>
      <c r="AG7" s="964"/>
      <c r="AH7" s="940"/>
      <c r="AI7" s="965"/>
      <c r="AJ7" s="965"/>
      <c r="AK7" s="941"/>
      <c r="AL7" s="943"/>
      <c r="AM7" s="940"/>
      <c r="AN7" s="966" t="s">
        <v>14</v>
      </c>
      <c r="AO7" s="967" t="s">
        <v>325</v>
      </c>
      <c r="AP7" s="954"/>
      <c r="AQ7" s="954"/>
      <c r="AR7" s="954"/>
      <c r="AS7" s="954"/>
    </row>
    <row r="8" spans="1:45" ht="15.75">
      <c r="A8" s="940"/>
      <c r="B8" s="940"/>
      <c r="C8" s="940"/>
      <c r="D8" s="941"/>
      <c r="E8" s="942"/>
      <c r="F8" s="941"/>
      <c r="G8" s="940"/>
      <c r="H8" s="940"/>
      <c r="I8" s="941"/>
      <c r="J8" s="942"/>
      <c r="K8" s="941"/>
      <c r="L8" s="940"/>
      <c r="M8" s="940"/>
      <c r="N8" s="941"/>
      <c r="O8" s="942"/>
      <c r="P8" s="941"/>
      <c r="Q8" s="940"/>
      <c r="R8" s="945"/>
      <c r="S8" s="940"/>
      <c r="T8" s="942"/>
      <c r="U8" s="945"/>
      <c r="V8" s="940"/>
      <c r="W8" s="956"/>
      <c r="X8" s="946" t="s">
        <v>12</v>
      </c>
      <c r="Y8" s="968"/>
      <c r="Z8" s="947">
        <v>620</v>
      </c>
      <c r="AA8" s="1594"/>
      <c r="AB8" s="1594"/>
      <c r="AC8" s="1594"/>
      <c r="AD8" s="1594"/>
      <c r="AE8" s="1594"/>
      <c r="AF8" s="1595"/>
      <c r="AG8" s="1595"/>
      <c r="AH8" s="1595"/>
      <c r="AI8" s="1595"/>
      <c r="AJ8" s="940"/>
      <c r="AK8" s="941"/>
      <c r="AL8" s="943"/>
      <c r="AM8" s="940"/>
      <c r="AN8" s="969" t="s">
        <v>16</v>
      </c>
      <c r="AO8" s="954"/>
      <c r="AP8" s="954"/>
      <c r="AQ8" s="954"/>
      <c r="AR8" s="954"/>
      <c r="AS8" s="954"/>
    </row>
    <row r="9" spans="1:45" ht="15.75">
      <c r="A9" s="940"/>
      <c r="B9" s="940"/>
      <c r="C9" s="940"/>
      <c r="D9" s="941"/>
      <c r="E9" s="942"/>
      <c r="F9" s="941"/>
      <c r="G9" s="940"/>
      <c r="H9" s="940"/>
      <c r="I9" s="941"/>
      <c r="J9" s="942"/>
      <c r="K9" s="941"/>
      <c r="L9" s="940"/>
      <c r="M9" s="940"/>
      <c r="N9" s="941"/>
      <c r="O9" s="942"/>
      <c r="P9" s="941"/>
      <c r="Q9" s="940"/>
      <c r="R9" s="945"/>
      <c r="S9" s="940"/>
      <c r="T9" s="942"/>
      <c r="U9" s="945"/>
      <c r="V9" s="940"/>
      <c r="W9" s="956"/>
      <c r="X9" s="946" t="s">
        <v>15</v>
      </c>
      <c r="Y9" s="968"/>
      <c r="Z9" s="947">
        <v>1204</v>
      </c>
      <c r="AA9" s="970"/>
      <c r="AB9" s="956"/>
      <c r="AC9" s="956"/>
      <c r="AD9" s="956"/>
      <c r="AE9" s="956"/>
      <c r="AF9" s="956"/>
      <c r="AG9" s="956"/>
      <c r="AH9" s="956"/>
      <c r="AI9" s="956"/>
      <c r="AJ9" s="940"/>
      <c r="AK9" s="941"/>
      <c r="AL9" s="943"/>
      <c r="AM9" s="940"/>
      <c r="AN9" s="962" t="s">
        <v>17</v>
      </c>
      <c r="AO9" s="954"/>
      <c r="AP9" s="954"/>
      <c r="AQ9" s="954"/>
      <c r="AR9" s="954"/>
      <c r="AS9" s="954"/>
    </row>
    <row r="10" spans="1:45" ht="15.75">
      <c r="A10" s="940"/>
      <c r="B10" s="940"/>
      <c r="C10" s="940"/>
      <c r="D10" s="941"/>
      <c r="E10" s="942"/>
      <c r="F10" s="941"/>
      <c r="G10" s="940"/>
      <c r="H10" s="940"/>
      <c r="I10" s="941"/>
      <c r="J10" s="942"/>
      <c r="K10" s="941"/>
      <c r="L10" s="940"/>
      <c r="M10" s="940"/>
      <c r="N10" s="941"/>
      <c r="O10" s="942"/>
      <c r="P10" s="941"/>
      <c r="Q10" s="940"/>
      <c r="R10" s="945"/>
      <c r="S10" s="945"/>
      <c r="T10" s="942"/>
      <c r="U10" s="945"/>
      <c r="V10" s="940"/>
      <c r="W10" s="945"/>
      <c r="X10" s="945"/>
      <c r="Y10" s="942"/>
      <c r="Z10" s="971"/>
      <c r="AA10" s="941"/>
      <c r="AB10" s="945"/>
      <c r="AC10" s="972"/>
      <c r="AD10" s="940"/>
      <c r="AE10" s="940"/>
      <c r="AF10" s="945"/>
      <c r="AG10" s="972"/>
      <c r="AH10" s="940"/>
      <c r="AI10" s="940"/>
      <c r="AJ10" s="973"/>
      <c r="AK10" s="941"/>
      <c r="AL10" s="943"/>
      <c r="AM10" s="940"/>
      <c r="AN10" s="954"/>
      <c r="AO10" s="954"/>
      <c r="AP10" s="954"/>
      <c r="AQ10" s="954"/>
      <c r="AR10" s="954"/>
      <c r="AS10" s="954"/>
    </row>
    <row r="11" spans="1:45" ht="15.75">
      <c r="A11" s="940"/>
      <c r="B11" s="940"/>
      <c r="C11" s="940"/>
      <c r="D11" s="941"/>
      <c r="E11" s="942"/>
      <c r="F11" s="941"/>
      <c r="G11" s="940"/>
      <c r="H11" s="940"/>
      <c r="I11" s="941"/>
      <c r="J11" s="942"/>
      <c r="K11" s="941"/>
      <c r="L11" s="940"/>
      <c r="M11" s="940"/>
      <c r="N11" s="941"/>
      <c r="O11" s="942"/>
      <c r="P11" s="941"/>
      <c r="Q11" s="940"/>
      <c r="R11" s="940"/>
      <c r="S11" s="941"/>
      <c r="T11" s="942"/>
      <c r="U11" s="941"/>
      <c r="V11" s="940"/>
      <c r="W11" s="940"/>
      <c r="X11" s="941"/>
      <c r="Y11" s="942"/>
      <c r="Z11" s="941"/>
      <c r="AA11" s="941"/>
      <c r="AB11" s="941"/>
      <c r="AC11" s="940"/>
      <c r="AD11" s="940"/>
      <c r="AE11" s="940"/>
      <c r="AF11" s="941"/>
      <c r="AG11" s="940"/>
      <c r="AH11" s="940"/>
      <c r="AI11" s="940"/>
      <c r="AJ11" s="940"/>
      <c r="AK11" s="941"/>
      <c r="AL11" s="943"/>
      <c r="AM11" s="940"/>
      <c r="AN11" s="940"/>
      <c r="AO11" s="940"/>
      <c r="AP11" s="940"/>
      <c r="AQ11" s="940"/>
      <c r="AR11" s="940"/>
      <c r="AS11" s="940"/>
    </row>
    <row r="12" spans="1:45" ht="15.75">
      <c r="A12" s="974"/>
      <c r="B12" s="975"/>
      <c r="C12" s="975"/>
      <c r="D12" s="976"/>
      <c r="E12" s="976"/>
      <c r="F12" s="975"/>
      <c r="G12" s="976"/>
      <c r="H12" s="976"/>
      <c r="I12" s="976"/>
      <c r="J12" s="976"/>
      <c r="K12" s="975"/>
      <c r="L12" s="975"/>
      <c r="M12" s="975"/>
      <c r="N12" s="975"/>
      <c r="O12" s="976"/>
      <c r="P12" s="975"/>
      <c r="Q12" s="975"/>
      <c r="R12" s="975"/>
      <c r="S12" s="975"/>
      <c r="T12" s="976"/>
      <c r="U12" s="975"/>
      <c r="V12" s="975"/>
      <c r="W12" s="975"/>
      <c r="X12" s="977"/>
      <c r="Y12" s="976"/>
      <c r="Z12" s="978"/>
      <c r="AA12" s="976"/>
      <c r="AB12" s="979"/>
      <c r="AC12" s="980"/>
      <c r="AD12" s="943"/>
      <c r="AE12" s="943"/>
      <c r="AF12" s="979"/>
      <c r="AG12" s="980"/>
      <c r="AH12" s="943"/>
      <c r="AI12" s="943"/>
      <c r="AJ12" s="943"/>
      <c r="AK12" s="979"/>
      <c r="AL12" s="943"/>
      <c r="AM12" s="943"/>
      <c r="AN12" s="943"/>
      <c r="AO12" s="943"/>
      <c r="AP12" s="943"/>
      <c r="AQ12" s="943"/>
      <c r="AR12" s="943"/>
      <c r="AS12" s="943"/>
    </row>
    <row r="13" spans="1:45" ht="15.75">
      <c r="A13" s="940"/>
      <c r="B13" s="940"/>
      <c r="C13" s="940"/>
      <c r="D13" s="941"/>
      <c r="E13" s="942"/>
      <c r="F13" s="941"/>
      <c r="G13" s="940"/>
      <c r="H13" s="940"/>
      <c r="I13" s="941"/>
      <c r="J13" s="942"/>
      <c r="K13" s="941"/>
      <c r="L13" s="940"/>
      <c r="M13" s="940"/>
      <c r="N13" s="941"/>
      <c r="O13" s="942"/>
      <c r="P13" s="941"/>
      <c r="Q13" s="940"/>
      <c r="R13" s="940"/>
      <c r="S13" s="941"/>
      <c r="T13" s="942"/>
      <c r="U13" s="941"/>
      <c r="V13" s="940"/>
      <c r="W13" s="940"/>
      <c r="X13" s="941"/>
      <c r="Y13" s="942"/>
      <c r="Z13" s="941"/>
      <c r="AA13" s="941"/>
      <c r="AB13" s="941"/>
      <c r="AC13" s="940"/>
      <c r="AD13" s="940"/>
      <c r="AE13" s="940"/>
      <c r="AF13" s="941"/>
      <c r="AG13" s="940"/>
      <c r="AH13" s="940"/>
      <c r="AI13" s="940"/>
      <c r="AJ13" s="940"/>
      <c r="AK13" s="941"/>
      <c r="AL13" s="943"/>
      <c r="AM13" s="940"/>
      <c r="AN13" s="954"/>
      <c r="AO13" s="954"/>
      <c r="AP13" s="954"/>
      <c r="AQ13" s="954"/>
      <c r="AR13" s="954"/>
      <c r="AS13" s="954"/>
    </row>
    <row r="14" spans="1:45" ht="13.5" customHeight="1">
      <c r="A14" s="1592" t="s">
        <v>18</v>
      </c>
      <c r="B14" s="1588">
        <v>45838</v>
      </c>
      <c r="C14" s="1588"/>
      <c r="D14" s="1588" t="s">
        <v>564</v>
      </c>
      <c r="E14" s="1588"/>
      <c r="F14" s="981"/>
      <c r="G14" s="1588">
        <v>45839</v>
      </c>
      <c r="H14" s="1588"/>
      <c r="I14" s="1588" t="s">
        <v>565</v>
      </c>
      <c r="J14" s="1588"/>
      <c r="K14" s="981"/>
      <c r="L14" s="1588">
        <v>45840</v>
      </c>
      <c r="M14" s="1588"/>
      <c r="N14" s="1588" t="s">
        <v>566</v>
      </c>
      <c r="O14" s="1588"/>
      <c r="P14" s="981"/>
      <c r="Q14" s="1588">
        <v>45841</v>
      </c>
      <c r="R14" s="1588"/>
      <c r="S14" s="1588" t="s">
        <v>567</v>
      </c>
      <c r="T14" s="1588"/>
      <c r="U14" s="981"/>
      <c r="V14" s="1588">
        <v>45842</v>
      </c>
      <c r="W14" s="1588"/>
      <c r="X14" s="1588" t="s">
        <v>568</v>
      </c>
      <c r="Y14" s="1588"/>
      <c r="Z14" s="1589" t="s">
        <v>19</v>
      </c>
      <c r="AA14" s="1589" t="s">
        <v>20</v>
      </c>
      <c r="AB14" s="941"/>
      <c r="AC14" s="1588">
        <v>45843</v>
      </c>
      <c r="AD14" s="1588"/>
      <c r="AE14" s="982" t="s">
        <v>569</v>
      </c>
      <c r="AF14" s="941"/>
      <c r="AG14" s="1588">
        <v>45844</v>
      </c>
      <c r="AH14" s="1588"/>
      <c r="AI14" s="983" t="s">
        <v>570</v>
      </c>
      <c r="AJ14" s="1589" t="s">
        <v>1420</v>
      </c>
      <c r="AK14" s="941"/>
      <c r="AL14" s="984"/>
      <c r="AM14" s="940"/>
      <c r="AN14" s="985" t="s">
        <v>84</v>
      </c>
      <c r="AO14" s="986"/>
      <c r="AP14" s="986"/>
      <c r="AQ14" s="986"/>
      <c r="AR14" s="986"/>
      <c r="AS14" s="986"/>
    </row>
    <row r="15" spans="1:45" ht="13.5" customHeight="1">
      <c r="A15" s="1592"/>
      <c r="B15" s="987" t="s">
        <v>23</v>
      </c>
      <c r="C15" s="987" t="s">
        <v>24</v>
      </c>
      <c r="D15" s="988" t="s">
        <v>25</v>
      </c>
      <c r="E15" s="989" t="s">
        <v>14</v>
      </c>
      <c r="F15" s="941"/>
      <c r="G15" s="987"/>
      <c r="H15" s="987" t="s">
        <v>24</v>
      </c>
      <c r="I15" s="990" t="s">
        <v>25</v>
      </c>
      <c r="J15" s="989" t="s">
        <v>14</v>
      </c>
      <c r="K15" s="941"/>
      <c r="L15" s="987" t="s">
        <v>23</v>
      </c>
      <c r="M15" s="987" t="s">
        <v>24</v>
      </c>
      <c r="N15" s="990" t="s">
        <v>25</v>
      </c>
      <c r="O15" s="989" t="s">
        <v>14</v>
      </c>
      <c r="P15" s="941"/>
      <c r="Q15" s="987" t="s">
        <v>23</v>
      </c>
      <c r="R15" s="987" t="s">
        <v>24</v>
      </c>
      <c r="S15" s="990" t="s">
        <v>25</v>
      </c>
      <c r="T15" s="989" t="s">
        <v>14</v>
      </c>
      <c r="U15" s="941"/>
      <c r="V15" s="987" t="s">
        <v>23</v>
      </c>
      <c r="W15" s="987" t="s">
        <v>24</v>
      </c>
      <c r="X15" s="990" t="s">
        <v>25</v>
      </c>
      <c r="Y15" s="989" t="s">
        <v>14</v>
      </c>
      <c r="Z15" s="1589"/>
      <c r="AA15" s="1589"/>
      <c r="AB15" s="941"/>
      <c r="AC15" s="987" t="s">
        <v>23</v>
      </c>
      <c r="AD15" s="987" t="s">
        <v>24</v>
      </c>
      <c r="AE15" s="990" t="s">
        <v>25</v>
      </c>
      <c r="AF15" s="941"/>
      <c r="AG15" s="987" t="s">
        <v>23</v>
      </c>
      <c r="AH15" s="987" t="s">
        <v>24</v>
      </c>
      <c r="AI15" s="990" t="s">
        <v>25</v>
      </c>
      <c r="AJ15" s="1589"/>
      <c r="AK15" s="941"/>
      <c r="AL15" s="984"/>
      <c r="AM15" s="991"/>
      <c r="AN15" s="992" t="s">
        <v>26</v>
      </c>
      <c r="AO15" s="993">
        <v>63</v>
      </c>
      <c r="AP15" s="994">
        <v>40.31</v>
      </c>
      <c r="AQ15" s="994">
        <v>2539.5300000000002</v>
      </c>
      <c r="AR15" s="954"/>
      <c r="AS15" s="954"/>
    </row>
    <row r="16" spans="1:45" ht="13.5" customHeight="1">
      <c r="A16" s="941" t="s">
        <v>327</v>
      </c>
      <c r="B16" s="995">
        <v>0.375</v>
      </c>
      <c r="C16" s="995">
        <v>6.25E-2</v>
      </c>
      <c r="D16" s="996">
        <v>4.5</v>
      </c>
      <c r="E16" s="997"/>
      <c r="F16" s="941"/>
      <c r="G16" s="998"/>
      <c r="H16" s="998"/>
      <c r="I16" s="999">
        <v>0</v>
      </c>
      <c r="J16" s="1000"/>
      <c r="K16" s="1001"/>
      <c r="L16" s="998"/>
      <c r="M16" s="998"/>
      <c r="N16" s="999">
        <v>0</v>
      </c>
      <c r="O16" s="1000"/>
      <c r="P16" s="1001"/>
      <c r="Q16" s="998"/>
      <c r="R16" s="998"/>
      <c r="S16" s="999">
        <v>0</v>
      </c>
      <c r="T16" s="1000"/>
      <c r="U16" s="1001"/>
      <c r="V16" s="1593" t="s">
        <v>1130</v>
      </c>
      <c r="W16" s="1593"/>
      <c r="X16" s="1593"/>
      <c r="Y16" s="1593"/>
      <c r="Z16" s="1002">
        <v>4.5</v>
      </c>
      <c r="AA16" s="1003">
        <v>0</v>
      </c>
      <c r="AB16" s="1001"/>
      <c r="AC16" s="1004"/>
      <c r="AD16" s="1004"/>
      <c r="AE16" s="999"/>
      <c r="AF16" s="1001"/>
      <c r="AG16" s="1004"/>
      <c r="AH16" s="1004"/>
      <c r="AI16" s="999"/>
      <c r="AJ16" s="1002">
        <v>0</v>
      </c>
      <c r="AK16" s="941"/>
      <c r="AL16" s="984"/>
      <c r="AM16" s="991"/>
      <c r="AN16" s="992" t="s">
        <v>1421</v>
      </c>
      <c r="AO16" s="1005"/>
      <c r="AP16" s="994"/>
      <c r="AQ16" s="994">
        <v>0</v>
      </c>
      <c r="AR16" s="954"/>
      <c r="AS16" s="954"/>
    </row>
    <row r="17" spans="1:45" ht="13.5" customHeight="1">
      <c r="A17" s="1006" t="s">
        <v>72</v>
      </c>
      <c r="B17" s="995">
        <v>0.375</v>
      </c>
      <c r="C17" s="995">
        <v>6.25E-2</v>
      </c>
      <c r="D17" s="996">
        <v>4.5</v>
      </c>
      <c r="E17" s="997"/>
      <c r="F17" s="941"/>
      <c r="G17" s="998"/>
      <c r="H17" s="998"/>
      <c r="I17" s="999">
        <v>0</v>
      </c>
      <c r="J17" s="1000"/>
      <c r="K17" s="1001"/>
      <c r="L17" s="998"/>
      <c r="M17" s="998"/>
      <c r="N17" s="999">
        <v>0</v>
      </c>
      <c r="O17" s="1000"/>
      <c r="P17" s="1001"/>
      <c r="Q17" s="998"/>
      <c r="R17" s="998"/>
      <c r="S17" s="999">
        <v>0</v>
      </c>
      <c r="T17" s="1000"/>
      <c r="U17" s="1001"/>
      <c r="V17" s="1593"/>
      <c r="W17" s="1593"/>
      <c r="X17" s="1593"/>
      <c r="Y17" s="1593"/>
      <c r="Z17" s="1002">
        <v>4.5</v>
      </c>
      <c r="AA17" s="1003">
        <v>0</v>
      </c>
      <c r="AB17" s="1001"/>
      <c r="AC17" s="998"/>
      <c r="AD17" s="998"/>
      <c r="AE17" s="999"/>
      <c r="AF17" s="1001"/>
      <c r="AG17" s="998"/>
      <c r="AH17" s="998"/>
      <c r="AI17" s="999"/>
      <c r="AJ17" s="1002">
        <v>0</v>
      </c>
      <c r="AK17" s="941"/>
      <c r="AL17" s="943"/>
      <c r="AM17" s="940"/>
      <c r="AN17" s="992" t="s">
        <v>30</v>
      </c>
      <c r="AO17" s="1005">
        <v>0</v>
      </c>
      <c r="AP17" s="1007">
        <v>60.465000000000003</v>
      </c>
      <c r="AQ17" s="994">
        <v>0</v>
      </c>
      <c r="AR17" s="954"/>
      <c r="AS17" s="954"/>
    </row>
    <row r="18" spans="1:45" ht="13.5" customHeight="1">
      <c r="A18" s="1006" t="s">
        <v>1144</v>
      </c>
      <c r="B18" s="995">
        <v>0.375</v>
      </c>
      <c r="C18" s="995">
        <v>6.25E-2</v>
      </c>
      <c r="D18" s="996">
        <v>4.5</v>
      </c>
      <c r="E18" s="997"/>
      <c r="F18" s="941"/>
      <c r="G18" s="998"/>
      <c r="H18" s="998"/>
      <c r="I18" s="999">
        <v>0</v>
      </c>
      <c r="J18" s="1000"/>
      <c r="K18" s="1001"/>
      <c r="L18" s="998"/>
      <c r="M18" s="998"/>
      <c r="N18" s="999">
        <v>0</v>
      </c>
      <c r="O18" s="1000"/>
      <c r="P18" s="1001"/>
      <c r="Q18" s="998"/>
      <c r="R18" s="998"/>
      <c r="S18" s="999">
        <v>0</v>
      </c>
      <c r="T18" s="1000"/>
      <c r="U18" s="1001"/>
      <c r="V18" s="1593"/>
      <c r="W18" s="1593"/>
      <c r="X18" s="1593"/>
      <c r="Y18" s="1593"/>
      <c r="Z18" s="1002">
        <v>4.5</v>
      </c>
      <c r="AA18" s="1003">
        <v>0</v>
      </c>
      <c r="AB18" s="1001"/>
      <c r="AC18" s="998"/>
      <c r="AD18" s="998"/>
      <c r="AE18" s="999"/>
      <c r="AF18" s="1001"/>
      <c r="AG18" s="998"/>
      <c r="AH18" s="998"/>
      <c r="AI18" s="999"/>
      <c r="AJ18" s="1002">
        <v>0</v>
      </c>
      <c r="AK18" s="941"/>
      <c r="AL18" s="943"/>
      <c r="AM18" s="940"/>
      <c r="AN18" s="992" t="s">
        <v>1422</v>
      </c>
      <c r="AO18" s="954"/>
      <c r="AP18" s="954"/>
      <c r="AQ18" s="954"/>
      <c r="AR18" s="954"/>
      <c r="AS18" s="1008"/>
    </row>
    <row r="19" spans="1:45" ht="13.5" customHeight="1">
      <c r="A19" s="1009" t="s">
        <v>1166</v>
      </c>
      <c r="B19" s="995">
        <v>0.375</v>
      </c>
      <c r="C19" s="995">
        <v>6.25E-2</v>
      </c>
      <c r="D19" s="996">
        <v>4.5</v>
      </c>
      <c r="E19" s="997"/>
      <c r="F19" s="941"/>
      <c r="G19" s="998"/>
      <c r="H19" s="998"/>
      <c r="I19" s="999">
        <v>0</v>
      </c>
      <c r="J19" s="1000"/>
      <c r="K19" s="1001"/>
      <c r="L19" s="998"/>
      <c r="M19" s="998"/>
      <c r="N19" s="999">
        <v>0</v>
      </c>
      <c r="O19" s="1000"/>
      <c r="P19" s="1001"/>
      <c r="Q19" s="998"/>
      <c r="R19" s="998"/>
      <c r="S19" s="999">
        <v>0</v>
      </c>
      <c r="T19" s="1000"/>
      <c r="U19" s="1001"/>
      <c r="V19" s="1593"/>
      <c r="W19" s="1593"/>
      <c r="X19" s="1593"/>
      <c r="Y19" s="1593"/>
      <c r="Z19" s="1002">
        <v>4.5</v>
      </c>
      <c r="AA19" s="1003">
        <v>0</v>
      </c>
      <c r="AB19" s="1001"/>
      <c r="AC19" s="998"/>
      <c r="AD19" s="998"/>
      <c r="AE19" s="999"/>
      <c r="AF19" s="1001"/>
      <c r="AG19" s="998"/>
      <c r="AH19" s="998"/>
      <c r="AI19" s="999"/>
      <c r="AJ19" s="1002">
        <v>0</v>
      </c>
      <c r="AK19" s="941"/>
      <c r="AL19" s="943"/>
      <c r="AM19" s="940"/>
      <c r="AN19" s="992" t="s">
        <v>32</v>
      </c>
      <c r="AO19" s="1005">
        <v>1</v>
      </c>
      <c r="AP19" s="994">
        <v>60.465000000000003</v>
      </c>
      <c r="AQ19" s="994">
        <v>60.465000000000003</v>
      </c>
      <c r="AR19" s="1008"/>
      <c r="AS19" s="954"/>
    </row>
    <row r="20" spans="1:45" ht="13.5" customHeight="1">
      <c r="A20" s="1009" t="s">
        <v>1423</v>
      </c>
      <c r="B20" s="995">
        <v>0.375</v>
      </c>
      <c r="C20" s="995">
        <v>6.25E-2</v>
      </c>
      <c r="D20" s="996">
        <v>4.5</v>
      </c>
      <c r="E20" s="997"/>
      <c r="F20" s="941"/>
      <c r="G20" s="998"/>
      <c r="H20" s="998"/>
      <c r="I20" s="999">
        <v>0</v>
      </c>
      <c r="J20" s="1000"/>
      <c r="K20" s="1001"/>
      <c r="L20" s="998"/>
      <c r="M20" s="998"/>
      <c r="N20" s="999">
        <v>0</v>
      </c>
      <c r="O20" s="1000"/>
      <c r="P20" s="1001"/>
      <c r="Q20" s="998"/>
      <c r="R20" s="998"/>
      <c r="S20" s="999">
        <v>0</v>
      </c>
      <c r="T20" s="1000"/>
      <c r="U20" s="1001"/>
      <c r="V20" s="1593"/>
      <c r="W20" s="1593"/>
      <c r="X20" s="1593"/>
      <c r="Y20" s="1593"/>
      <c r="Z20" s="1002">
        <v>4.5</v>
      </c>
      <c r="AA20" s="1003">
        <v>0</v>
      </c>
      <c r="AB20" s="1001"/>
      <c r="AC20" s="998"/>
      <c r="AD20" s="998"/>
      <c r="AE20" s="999"/>
      <c r="AF20" s="1001"/>
      <c r="AG20" s="998"/>
      <c r="AH20" s="998"/>
      <c r="AI20" s="999"/>
      <c r="AJ20" s="1002">
        <v>0</v>
      </c>
      <c r="AK20" s="941"/>
      <c r="AL20" s="943"/>
      <c r="AM20" s="940"/>
      <c r="AN20" s="992" t="s">
        <v>1424</v>
      </c>
      <c r="AO20" s="954"/>
      <c r="AP20" s="954"/>
      <c r="AQ20" s="954"/>
      <c r="AR20" s="954"/>
      <c r="AS20" s="954"/>
    </row>
    <row r="21" spans="1:45" ht="13.5" customHeight="1">
      <c r="A21" s="1009" t="s">
        <v>1425</v>
      </c>
      <c r="B21" s="995">
        <v>0.375</v>
      </c>
      <c r="C21" s="995">
        <v>6.25E-2</v>
      </c>
      <c r="D21" s="996">
        <v>4.5</v>
      </c>
      <c r="E21" s="997"/>
      <c r="F21" s="941"/>
      <c r="G21" s="998"/>
      <c r="H21" s="998"/>
      <c r="I21" s="999">
        <v>0</v>
      </c>
      <c r="J21" s="1000"/>
      <c r="K21" s="1001"/>
      <c r="L21" s="998"/>
      <c r="M21" s="998"/>
      <c r="N21" s="999">
        <v>0</v>
      </c>
      <c r="O21" s="1000"/>
      <c r="P21" s="1001"/>
      <c r="Q21" s="998"/>
      <c r="R21" s="998"/>
      <c r="S21" s="999">
        <v>0</v>
      </c>
      <c r="T21" s="1000"/>
      <c r="U21" s="1001"/>
      <c r="V21" s="1593"/>
      <c r="W21" s="1593"/>
      <c r="X21" s="1593"/>
      <c r="Y21" s="1593"/>
      <c r="Z21" s="1002">
        <v>4.5</v>
      </c>
      <c r="AA21" s="1003">
        <v>0</v>
      </c>
      <c r="AB21" s="1001"/>
      <c r="AC21" s="998"/>
      <c r="AD21" s="998"/>
      <c r="AE21" s="999"/>
      <c r="AF21" s="1001"/>
      <c r="AG21" s="998"/>
      <c r="AH21" s="998"/>
      <c r="AI21" s="999"/>
      <c r="AJ21" s="1002">
        <v>0</v>
      </c>
      <c r="AK21" s="941"/>
      <c r="AL21" s="943"/>
      <c r="AM21" s="940"/>
      <c r="AN21" s="1010" t="s">
        <v>213</v>
      </c>
      <c r="AO21" s="993">
        <v>23</v>
      </c>
      <c r="AP21" s="994">
        <v>53.05</v>
      </c>
      <c r="AQ21" s="994">
        <v>1220.1499999999999</v>
      </c>
      <c r="AR21" s="954"/>
      <c r="AS21" s="954"/>
    </row>
    <row r="22" spans="1:45" ht="13.5" customHeight="1">
      <c r="A22" s="1009" t="s">
        <v>1426</v>
      </c>
      <c r="B22" s="995">
        <v>0.375</v>
      </c>
      <c r="C22" s="995">
        <v>6.25E-2</v>
      </c>
      <c r="D22" s="996">
        <v>4.5</v>
      </c>
      <c r="E22" s="997"/>
      <c r="F22" s="941"/>
      <c r="G22" s="998"/>
      <c r="H22" s="998"/>
      <c r="I22" s="999">
        <v>0</v>
      </c>
      <c r="J22" s="1000"/>
      <c r="K22" s="1001"/>
      <c r="L22" s="998"/>
      <c r="M22" s="998"/>
      <c r="N22" s="999">
        <v>0</v>
      </c>
      <c r="O22" s="1000"/>
      <c r="P22" s="1001"/>
      <c r="Q22" s="998"/>
      <c r="R22" s="998"/>
      <c r="S22" s="999">
        <v>0</v>
      </c>
      <c r="T22" s="1000"/>
      <c r="U22" s="1001"/>
      <c r="V22" s="1593"/>
      <c r="W22" s="1593"/>
      <c r="X22" s="1593"/>
      <c r="Y22" s="1593"/>
      <c r="Z22" s="1002">
        <v>4.5</v>
      </c>
      <c r="AA22" s="1003">
        <v>0</v>
      </c>
      <c r="AB22" s="1001"/>
      <c r="AC22" s="998"/>
      <c r="AD22" s="998"/>
      <c r="AE22" s="999"/>
      <c r="AF22" s="1001"/>
      <c r="AG22" s="998"/>
      <c r="AH22" s="998"/>
      <c r="AI22" s="999"/>
      <c r="AJ22" s="1002">
        <v>0</v>
      </c>
      <c r="AK22" s="941"/>
      <c r="AL22" s="943"/>
      <c r="AM22" s="940"/>
      <c r="AN22" s="992" t="s">
        <v>36</v>
      </c>
      <c r="AO22" s="1005">
        <v>2.5</v>
      </c>
      <c r="AP22" s="994">
        <v>79.574999999999989</v>
      </c>
      <c r="AQ22" s="994">
        <v>198.93749999999997</v>
      </c>
      <c r="AR22" s="954"/>
      <c r="AS22" s="954"/>
    </row>
    <row r="23" spans="1:45" ht="13.5" customHeight="1">
      <c r="A23" s="1009" t="s">
        <v>1066</v>
      </c>
      <c r="B23" s="995">
        <v>0.375</v>
      </c>
      <c r="C23" s="995">
        <v>6.25E-2</v>
      </c>
      <c r="D23" s="996">
        <v>4.5</v>
      </c>
      <c r="E23" s="997"/>
      <c r="F23" s="941"/>
      <c r="G23" s="998"/>
      <c r="H23" s="998"/>
      <c r="I23" s="999">
        <v>0</v>
      </c>
      <c r="J23" s="1000"/>
      <c r="K23" s="1001"/>
      <c r="L23" s="998"/>
      <c r="M23" s="998"/>
      <c r="N23" s="999">
        <v>0</v>
      </c>
      <c r="O23" s="1000"/>
      <c r="P23" s="1001"/>
      <c r="Q23" s="998"/>
      <c r="R23" s="998"/>
      <c r="S23" s="999">
        <v>0</v>
      </c>
      <c r="T23" s="1000"/>
      <c r="U23" s="1001"/>
      <c r="V23" s="1593"/>
      <c r="W23" s="1593"/>
      <c r="X23" s="1593"/>
      <c r="Y23" s="1593"/>
      <c r="Z23" s="1002">
        <v>4.5</v>
      </c>
      <c r="AA23" s="1003">
        <v>0</v>
      </c>
      <c r="AB23" s="1001"/>
      <c r="AC23" s="998"/>
      <c r="AD23" s="998"/>
      <c r="AE23" s="999"/>
      <c r="AF23" s="1001"/>
      <c r="AG23" s="998"/>
      <c r="AH23" s="998"/>
      <c r="AI23" s="999"/>
      <c r="AJ23" s="1002">
        <v>0</v>
      </c>
      <c r="AK23" s="941"/>
      <c r="AL23" s="943"/>
      <c r="AM23" s="940"/>
      <c r="AN23" s="992" t="s">
        <v>38</v>
      </c>
      <c r="AO23" s="1005">
        <v>5.5</v>
      </c>
      <c r="AP23" s="994">
        <v>79.574999999999989</v>
      </c>
      <c r="AQ23" s="994">
        <v>437.66249999999991</v>
      </c>
      <c r="AR23" s="954"/>
      <c r="AS23" s="954"/>
    </row>
    <row r="24" spans="1:45" ht="13.5" customHeight="1">
      <c r="A24" s="1011" t="s">
        <v>1060</v>
      </c>
      <c r="B24" s="995">
        <v>0.375</v>
      </c>
      <c r="C24" s="995">
        <v>6.25E-2</v>
      </c>
      <c r="D24" s="996">
        <v>4.5</v>
      </c>
      <c r="E24" s="997"/>
      <c r="F24" s="941"/>
      <c r="G24" s="998"/>
      <c r="H24" s="998"/>
      <c r="I24" s="999">
        <v>0</v>
      </c>
      <c r="J24" s="1000"/>
      <c r="K24" s="1001"/>
      <c r="L24" s="998"/>
      <c r="M24" s="998"/>
      <c r="N24" s="999">
        <v>0</v>
      </c>
      <c r="O24" s="1000"/>
      <c r="P24" s="1001"/>
      <c r="Q24" s="998"/>
      <c r="R24" s="998"/>
      <c r="S24" s="999">
        <v>0</v>
      </c>
      <c r="T24" s="1000"/>
      <c r="U24" s="1001"/>
      <c r="V24" s="1593"/>
      <c r="W24" s="1593"/>
      <c r="X24" s="1593"/>
      <c r="Y24" s="1593"/>
      <c r="Z24" s="1002">
        <v>4.5</v>
      </c>
      <c r="AA24" s="1003">
        <v>0</v>
      </c>
      <c r="AB24" s="1001"/>
      <c r="AC24" s="998"/>
      <c r="AD24" s="998"/>
      <c r="AE24" s="999"/>
      <c r="AF24" s="1001"/>
      <c r="AG24" s="998"/>
      <c r="AH24" s="998"/>
      <c r="AI24" s="999"/>
      <c r="AJ24" s="1002">
        <v>0</v>
      </c>
      <c r="AK24" s="941"/>
      <c r="AL24" s="943"/>
      <c r="AM24" s="940"/>
      <c r="AN24" s="954"/>
      <c r="AO24" s="1005"/>
      <c r="AP24" s="954"/>
      <c r="AQ24" s="994">
        <v>4456.7450000000008</v>
      </c>
      <c r="AR24" s="954"/>
      <c r="AS24" s="954"/>
    </row>
    <row r="25" spans="1:45" ht="13.5" customHeight="1">
      <c r="A25" s="1009" t="s">
        <v>1427</v>
      </c>
      <c r="B25" s="995">
        <v>0.375</v>
      </c>
      <c r="C25" s="995">
        <v>6.25E-2</v>
      </c>
      <c r="D25" s="996">
        <v>4.5</v>
      </c>
      <c r="E25" s="997"/>
      <c r="F25" s="941"/>
      <c r="G25" s="998"/>
      <c r="H25" s="998"/>
      <c r="I25" s="999">
        <v>0</v>
      </c>
      <c r="J25" s="1000"/>
      <c r="K25" s="1012"/>
      <c r="L25" s="998"/>
      <c r="M25" s="998"/>
      <c r="N25" s="999">
        <v>0</v>
      </c>
      <c r="O25" s="1000"/>
      <c r="P25" s="1012"/>
      <c r="Q25" s="998"/>
      <c r="R25" s="998"/>
      <c r="S25" s="999">
        <v>0</v>
      </c>
      <c r="T25" s="1000"/>
      <c r="U25" s="1012"/>
      <c r="V25" s="1593"/>
      <c r="W25" s="1593"/>
      <c r="X25" s="1593"/>
      <c r="Y25" s="1593"/>
      <c r="Z25" s="1002">
        <v>4.5</v>
      </c>
      <c r="AA25" s="1003">
        <v>0</v>
      </c>
      <c r="AB25" s="1001"/>
      <c r="AC25" s="998"/>
      <c r="AD25" s="998"/>
      <c r="AE25" s="999"/>
      <c r="AF25" s="1001"/>
      <c r="AG25" s="998"/>
      <c r="AH25" s="998"/>
      <c r="AI25" s="999"/>
      <c r="AJ25" s="1002">
        <v>0</v>
      </c>
      <c r="AK25" s="941"/>
      <c r="AL25" s="943"/>
      <c r="AM25" s="940"/>
      <c r="AN25" s="954"/>
      <c r="AO25" s="1005"/>
      <c r="AP25" s="954"/>
      <c r="AQ25" s="954"/>
      <c r="AR25" s="954"/>
      <c r="AS25" s="954"/>
    </row>
    <row r="26" spans="1:45" ht="13.5" customHeight="1">
      <c r="A26" s="1009" t="s">
        <v>1428</v>
      </c>
      <c r="B26" s="995">
        <v>0.375</v>
      </c>
      <c r="C26" s="995">
        <v>6.25E-2</v>
      </c>
      <c r="D26" s="996">
        <v>4.5</v>
      </c>
      <c r="E26" s="997"/>
      <c r="F26" s="941"/>
      <c r="G26" s="998"/>
      <c r="H26" s="998"/>
      <c r="I26" s="999">
        <v>0</v>
      </c>
      <c r="J26" s="1000"/>
      <c r="K26" s="1012"/>
      <c r="L26" s="998"/>
      <c r="M26" s="998"/>
      <c r="N26" s="999">
        <v>0</v>
      </c>
      <c r="O26" s="1000"/>
      <c r="P26" s="1012"/>
      <c r="Q26" s="998"/>
      <c r="R26" s="998"/>
      <c r="S26" s="999">
        <v>0</v>
      </c>
      <c r="T26" s="1000"/>
      <c r="U26" s="1012"/>
      <c r="V26" s="1593"/>
      <c r="W26" s="1593"/>
      <c r="X26" s="1593"/>
      <c r="Y26" s="1593"/>
      <c r="Z26" s="1002">
        <v>4.5</v>
      </c>
      <c r="AA26" s="1003">
        <v>0</v>
      </c>
      <c r="AB26" s="1001"/>
      <c r="AC26" s="998"/>
      <c r="AD26" s="998"/>
      <c r="AE26" s="999"/>
      <c r="AF26" s="1001"/>
      <c r="AG26" s="998"/>
      <c r="AH26" s="998"/>
      <c r="AI26" s="999"/>
      <c r="AJ26" s="1002">
        <v>0</v>
      </c>
      <c r="AK26" s="941"/>
      <c r="AL26" s="943"/>
      <c r="AM26" s="940"/>
      <c r="AN26" s="953" t="s">
        <v>1115</v>
      </c>
      <c r="AO26" s="1005">
        <v>14</v>
      </c>
      <c r="AP26" s="954"/>
      <c r="AQ26" s="954"/>
      <c r="AR26" s="954"/>
      <c r="AS26" s="954"/>
    </row>
    <row r="27" spans="1:45" ht="13.5" customHeight="1">
      <c r="A27" s="1009" t="s">
        <v>1142</v>
      </c>
      <c r="B27" s="995">
        <v>0.375</v>
      </c>
      <c r="C27" s="995">
        <v>6.25E-2</v>
      </c>
      <c r="D27" s="996">
        <v>4.5</v>
      </c>
      <c r="E27" s="997"/>
      <c r="F27" s="941"/>
      <c r="G27" s="998"/>
      <c r="H27" s="998"/>
      <c r="I27" s="999">
        <v>0</v>
      </c>
      <c r="J27" s="1000"/>
      <c r="K27" s="1012"/>
      <c r="L27" s="998"/>
      <c r="M27" s="998"/>
      <c r="N27" s="999">
        <v>0</v>
      </c>
      <c r="O27" s="1000"/>
      <c r="P27" s="1012"/>
      <c r="Q27" s="998"/>
      <c r="R27" s="998"/>
      <c r="S27" s="999">
        <v>0</v>
      </c>
      <c r="T27" s="1000"/>
      <c r="U27" s="1012"/>
      <c r="V27" s="1593"/>
      <c r="W27" s="1593"/>
      <c r="X27" s="1593"/>
      <c r="Y27" s="1593"/>
      <c r="Z27" s="1002">
        <v>4.5</v>
      </c>
      <c r="AA27" s="1003">
        <v>0</v>
      </c>
      <c r="AB27" s="1001"/>
      <c r="AC27" s="998"/>
      <c r="AD27" s="998"/>
      <c r="AE27" s="999"/>
      <c r="AF27" s="1001"/>
      <c r="AG27" s="998"/>
      <c r="AH27" s="998"/>
      <c r="AI27" s="999"/>
      <c r="AJ27" s="1002">
        <v>0</v>
      </c>
      <c r="AK27" s="941"/>
      <c r="AL27" s="943"/>
      <c r="AM27" s="940"/>
      <c r="AN27" s="954"/>
      <c r="AO27" s="954"/>
      <c r="AP27" s="954"/>
      <c r="AQ27" s="954"/>
      <c r="AR27" s="954"/>
      <c r="AS27" s="954"/>
    </row>
    <row r="28" spans="1:45" ht="13.5" customHeight="1">
      <c r="A28" s="1009" t="s">
        <v>1429</v>
      </c>
      <c r="B28" s="995">
        <v>0.375</v>
      </c>
      <c r="C28" s="995">
        <v>6.25E-2</v>
      </c>
      <c r="D28" s="996">
        <v>4.5</v>
      </c>
      <c r="E28" s="997"/>
      <c r="F28" s="1013"/>
      <c r="G28" s="1014"/>
      <c r="H28" s="1014"/>
      <c r="I28" s="999">
        <v>0</v>
      </c>
      <c r="J28" s="1000"/>
      <c r="K28" s="1012"/>
      <c r="L28" s="1014"/>
      <c r="M28" s="1014"/>
      <c r="N28" s="999">
        <v>0</v>
      </c>
      <c r="O28" s="1000"/>
      <c r="P28" s="1012"/>
      <c r="Q28" s="1014"/>
      <c r="R28" s="1014"/>
      <c r="S28" s="999">
        <v>0</v>
      </c>
      <c r="T28" s="1000"/>
      <c r="U28" s="1012"/>
      <c r="V28" s="1593"/>
      <c r="W28" s="1593"/>
      <c r="X28" s="1593"/>
      <c r="Y28" s="1593"/>
      <c r="Z28" s="1002">
        <v>4.5</v>
      </c>
      <c r="AA28" s="1003">
        <v>0</v>
      </c>
      <c r="AB28" s="1001"/>
      <c r="AC28" s="998"/>
      <c r="AD28" s="998"/>
      <c r="AE28" s="999"/>
      <c r="AF28" s="1001"/>
      <c r="AG28" s="998"/>
      <c r="AH28" s="998"/>
      <c r="AI28" s="999"/>
      <c r="AJ28" s="1002">
        <v>0</v>
      </c>
      <c r="AK28" s="941"/>
      <c r="AL28" s="943"/>
      <c r="AM28" s="940"/>
      <c r="AN28" s="954"/>
      <c r="AO28" s="954"/>
      <c r="AP28" s="954"/>
      <c r="AQ28" s="954"/>
      <c r="AR28" s="954"/>
      <c r="AS28" s="954"/>
    </row>
    <row r="29" spans="1:45" ht="13.5" customHeight="1">
      <c r="A29" s="1009" t="s">
        <v>1141</v>
      </c>
      <c r="B29" s="995">
        <v>0.375</v>
      </c>
      <c r="C29" s="995">
        <v>6.25E-2</v>
      </c>
      <c r="D29" s="996">
        <v>4.5</v>
      </c>
      <c r="E29" s="997"/>
      <c r="F29" s="1013"/>
      <c r="G29" s="1014"/>
      <c r="H29" s="1014"/>
      <c r="I29" s="999">
        <v>0</v>
      </c>
      <c r="J29" s="1000"/>
      <c r="K29" s="1012"/>
      <c r="L29" s="1014"/>
      <c r="M29" s="1014"/>
      <c r="N29" s="999">
        <v>0</v>
      </c>
      <c r="O29" s="1000"/>
      <c r="P29" s="1012"/>
      <c r="Q29" s="1014"/>
      <c r="R29" s="1014"/>
      <c r="S29" s="999">
        <v>0</v>
      </c>
      <c r="T29" s="1000"/>
      <c r="U29" s="1012"/>
      <c r="V29" s="1593"/>
      <c r="W29" s="1593"/>
      <c r="X29" s="1593"/>
      <c r="Y29" s="1593"/>
      <c r="Z29" s="1002">
        <v>4.5</v>
      </c>
      <c r="AA29" s="1003">
        <v>0</v>
      </c>
      <c r="AB29" s="1001"/>
      <c r="AC29" s="998"/>
      <c r="AD29" s="998"/>
      <c r="AE29" s="999"/>
      <c r="AF29" s="1001"/>
      <c r="AG29" s="998"/>
      <c r="AH29" s="998"/>
      <c r="AI29" s="999"/>
      <c r="AJ29" s="1002">
        <v>0</v>
      </c>
      <c r="AK29" s="941"/>
      <c r="AL29" s="943"/>
      <c r="AM29" s="940"/>
      <c r="AN29" s="954"/>
      <c r="AO29" s="954"/>
      <c r="AP29" s="954"/>
      <c r="AQ29" s="954"/>
      <c r="AR29" s="954"/>
      <c r="AS29" s="954"/>
    </row>
    <row r="30" spans="1:45" ht="13.5" customHeight="1">
      <c r="A30" s="1009" t="s">
        <v>1430</v>
      </c>
      <c r="B30" s="1015" t="s">
        <v>154</v>
      </c>
      <c r="C30" s="1015" t="s">
        <v>154</v>
      </c>
      <c r="D30" s="996">
        <v>0</v>
      </c>
      <c r="E30" s="997"/>
      <c r="F30" s="1013"/>
      <c r="G30" s="1014"/>
      <c r="H30" s="1014"/>
      <c r="I30" s="999">
        <v>0</v>
      </c>
      <c r="J30" s="1000"/>
      <c r="K30" s="1012"/>
      <c r="L30" s="1014"/>
      <c r="M30" s="1014"/>
      <c r="N30" s="999">
        <v>0</v>
      </c>
      <c r="O30" s="1000"/>
      <c r="P30" s="1012"/>
      <c r="Q30" s="1014"/>
      <c r="R30" s="1014"/>
      <c r="S30" s="999">
        <v>0</v>
      </c>
      <c r="T30" s="1000"/>
      <c r="U30" s="1012"/>
      <c r="V30" s="1593"/>
      <c r="W30" s="1593"/>
      <c r="X30" s="1593"/>
      <c r="Y30" s="1593"/>
      <c r="Z30" s="1002">
        <v>0</v>
      </c>
      <c r="AA30" s="1003">
        <v>0</v>
      </c>
      <c r="AB30" s="1001"/>
      <c r="AC30" s="998"/>
      <c r="AD30" s="998"/>
      <c r="AE30" s="999"/>
      <c r="AF30" s="1001"/>
      <c r="AG30" s="998"/>
      <c r="AH30" s="998"/>
      <c r="AI30" s="999">
        <v>1</v>
      </c>
      <c r="AJ30" s="1002">
        <v>1</v>
      </c>
      <c r="AK30" s="941"/>
      <c r="AL30" s="943"/>
      <c r="AM30" s="940"/>
      <c r="AN30" s="954"/>
      <c r="AO30" s="954"/>
      <c r="AP30" s="954"/>
      <c r="AQ30" s="954"/>
      <c r="AR30" s="954"/>
      <c r="AS30" s="954"/>
    </row>
    <row r="31" spans="1:45" ht="13.5" customHeight="1">
      <c r="A31" s="1009" t="s">
        <v>241</v>
      </c>
      <c r="B31" s="1015" t="s">
        <v>154</v>
      </c>
      <c r="C31" s="1015" t="s">
        <v>154</v>
      </c>
      <c r="D31" s="996">
        <v>0</v>
      </c>
      <c r="E31" s="997"/>
      <c r="F31" s="1013"/>
      <c r="G31" s="1014"/>
      <c r="H31" s="1014"/>
      <c r="I31" s="999">
        <v>0</v>
      </c>
      <c r="J31" s="1000"/>
      <c r="K31" s="1012"/>
      <c r="L31" s="1014"/>
      <c r="M31" s="1014"/>
      <c r="N31" s="999">
        <v>0</v>
      </c>
      <c r="O31" s="1000"/>
      <c r="P31" s="1012"/>
      <c r="Q31" s="1014"/>
      <c r="R31" s="1014"/>
      <c r="S31" s="999">
        <v>0</v>
      </c>
      <c r="T31" s="1000"/>
      <c r="U31" s="1012"/>
      <c r="V31" s="1593"/>
      <c r="W31" s="1593"/>
      <c r="X31" s="1593"/>
      <c r="Y31" s="1593"/>
      <c r="Z31" s="1002">
        <v>0</v>
      </c>
      <c r="AA31" s="1003">
        <v>0</v>
      </c>
      <c r="AB31" s="1001"/>
      <c r="AC31" s="998"/>
      <c r="AD31" s="998"/>
      <c r="AE31" s="999"/>
      <c r="AF31" s="1001"/>
      <c r="AG31" s="998"/>
      <c r="AH31" s="998"/>
      <c r="AI31" s="999"/>
      <c r="AJ31" s="1002">
        <v>0</v>
      </c>
      <c r="AK31" s="941"/>
      <c r="AL31" s="943"/>
      <c r="AM31" s="940"/>
      <c r="AN31" s="954"/>
      <c r="AO31" s="954"/>
      <c r="AP31" s="954"/>
      <c r="AQ31" s="954"/>
      <c r="AR31" s="954"/>
      <c r="AS31" s="954"/>
    </row>
    <row r="32" spans="1:45" ht="13.5" customHeight="1">
      <c r="A32" s="1016" t="s">
        <v>61</v>
      </c>
      <c r="B32" s="1017"/>
      <c r="C32" s="1017"/>
      <c r="D32" s="1017">
        <v>63</v>
      </c>
      <c r="E32" s="997"/>
      <c r="F32" s="1018"/>
      <c r="G32" s="1019"/>
      <c r="H32" s="1019"/>
      <c r="I32" s="1020"/>
      <c r="J32" s="1000"/>
      <c r="K32" s="1019"/>
      <c r="L32" s="1019"/>
      <c r="M32" s="1019"/>
      <c r="N32" s="1020"/>
      <c r="O32" s="1000"/>
      <c r="P32" s="1019"/>
      <c r="Q32" s="1019"/>
      <c r="R32" s="1019"/>
      <c r="S32" s="1020"/>
      <c r="T32" s="1000"/>
      <c r="U32" s="1019"/>
      <c r="V32" s="1593"/>
      <c r="W32" s="1593"/>
      <c r="X32" s="1593"/>
      <c r="Y32" s="1593"/>
      <c r="Z32" s="1002">
        <v>63</v>
      </c>
      <c r="AA32" s="1002">
        <v>0</v>
      </c>
      <c r="AB32" s="1001"/>
      <c r="AC32" s="1019"/>
      <c r="AD32" s="1019"/>
      <c r="AE32" s="1002">
        <v>0</v>
      </c>
      <c r="AF32" s="1001"/>
      <c r="AG32" s="1019"/>
      <c r="AH32" s="1019"/>
      <c r="AI32" s="1002">
        <v>1</v>
      </c>
      <c r="AJ32" s="1002">
        <v>1</v>
      </c>
      <c r="AK32" s="941"/>
      <c r="AL32" s="943"/>
      <c r="AM32" s="940"/>
      <c r="AN32" s="1021"/>
      <c r="AO32" s="954"/>
      <c r="AP32" s="954"/>
      <c r="AQ32" s="954"/>
      <c r="AR32" s="954"/>
      <c r="AS32" s="954"/>
    </row>
    <row r="33" spans="1:45" ht="13.5" customHeight="1">
      <c r="A33" s="1022" t="s">
        <v>64</v>
      </c>
      <c r="B33" s="995"/>
      <c r="C33" s="995"/>
      <c r="D33" s="996">
        <v>7</v>
      </c>
      <c r="E33" s="1023"/>
      <c r="F33" s="1024"/>
      <c r="G33" s="998"/>
      <c r="H33" s="998"/>
      <c r="I33" s="999">
        <v>6.25</v>
      </c>
      <c r="J33" s="999"/>
      <c r="K33" s="1012"/>
      <c r="L33" s="998"/>
      <c r="M33" s="998"/>
      <c r="N33" s="999">
        <v>5.75</v>
      </c>
      <c r="O33" s="999">
        <v>0.5</v>
      </c>
      <c r="P33" s="1012"/>
      <c r="Q33" s="998"/>
      <c r="R33" s="998"/>
      <c r="S33" s="999">
        <v>4</v>
      </c>
      <c r="T33" s="999">
        <v>2</v>
      </c>
      <c r="U33" s="1012"/>
      <c r="V33" s="998"/>
      <c r="W33" s="998"/>
      <c r="X33" s="999"/>
      <c r="Y33" s="999"/>
      <c r="Z33" s="1002">
        <v>23</v>
      </c>
      <c r="AA33" s="1025">
        <v>2.5</v>
      </c>
      <c r="AB33" s="1001"/>
      <c r="AC33" s="998" t="s">
        <v>29</v>
      </c>
      <c r="AD33" s="998" t="s">
        <v>29</v>
      </c>
      <c r="AE33" s="999">
        <v>2.25</v>
      </c>
      <c r="AF33" s="1001"/>
      <c r="AG33" s="998" t="s">
        <v>29</v>
      </c>
      <c r="AH33" s="998" t="s">
        <v>29</v>
      </c>
      <c r="AI33" s="999">
        <v>3.25</v>
      </c>
      <c r="AJ33" s="1002">
        <v>5.5</v>
      </c>
      <c r="AK33" s="941"/>
      <c r="AL33" s="943"/>
      <c r="AM33" s="940"/>
      <c r="AN33" s="1021"/>
      <c r="AO33" s="954"/>
      <c r="AP33" s="954"/>
      <c r="AQ33" s="954"/>
      <c r="AR33" s="954"/>
      <c r="AS33" s="954"/>
    </row>
    <row r="34" spans="1:45" ht="13.5" customHeight="1">
      <c r="A34" s="1026" t="s">
        <v>66</v>
      </c>
      <c r="B34" s="1027"/>
      <c r="C34" s="1027"/>
      <c r="D34" s="1026"/>
      <c r="E34" s="1024"/>
      <c r="F34" s="1026"/>
      <c r="G34" s="1026"/>
      <c r="H34" s="1026"/>
      <c r="I34" s="1026"/>
      <c r="J34" s="1024"/>
      <c r="K34" s="1026"/>
      <c r="L34" s="1026"/>
      <c r="M34" s="1026"/>
      <c r="N34" s="1026"/>
      <c r="O34" s="1024"/>
      <c r="P34" s="1026"/>
      <c r="Q34" s="1026"/>
      <c r="R34" s="1026"/>
      <c r="S34" s="1026"/>
      <c r="T34" s="1024"/>
      <c r="U34" s="1026"/>
      <c r="V34" s="1026"/>
      <c r="W34" s="1026"/>
      <c r="X34" s="1026"/>
      <c r="Y34" s="1024"/>
      <c r="Z34" s="1028">
        <v>23</v>
      </c>
      <c r="AA34" s="1028">
        <v>2.5</v>
      </c>
      <c r="AB34" s="941"/>
      <c r="AC34" s="940"/>
      <c r="AD34" s="940"/>
      <c r="AE34" s="940"/>
      <c r="AF34" s="941"/>
      <c r="AG34" s="940"/>
      <c r="AH34" s="940"/>
      <c r="AI34" s="940"/>
      <c r="AJ34" s="1028">
        <v>5.5</v>
      </c>
      <c r="AK34" s="941"/>
      <c r="AL34" s="943"/>
      <c r="AM34" s="940"/>
      <c r="AN34" s="1021"/>
      <c r="AO34" s="954"/>
      <c r="AP34" s="954"/>
      <c r="AQ34" s="954"/>
      <c r="AR34" s="954"/>
      <c r="AS34" s="954"/>
    </row>
    <row r="35" spans="1:45" ht="13.5" customHeight="1">
      <c r="A35" s="1029" t="s">
        <v>67</v>
      </c>
      <c r="B35" s="1030">
        <v>14</v>
      </c>
      <c r="C35" s="1030"/>
      <c r="D35" s="1031"/>
      <c r="E35" s="1031"/>
      <c r="F35" s="1030"/>
      <c r="G35" s="1031"/>
      <c r="H35" s="1031"/>
      <c r="I35" s="1031"/>
      <c r="J35" s="1031"/>
      <c r="K35" s="1030"/>
      <c r="L35" s="1030"/>
      <c r="M35" s="1030"/>
      <c r="N35" s="1030"/>
      <c r="O35" s="1031"/>
      <c r="P35" s="1030"/>
      <c r="Q35" s="1030"/>
      <c r="R35" s="1030"/>
      <c r="S35" s="1030"/>
      <c r="T35" s="1031"/>
      <c r="U35" s="1030"/>
      <c r="V35" s="1030"/>
      <c r="W35" s="1030"/>
      <c r="X35" s="1032"/>
      <c r="Y35" s="1031"/>
      <c r="Z35" s="1033"/>
      <c r="AA35" s="1031"/>
      <c r="AB35" s="1033"/>
      <c r="AC35" s="1033"/>
      <c r="AD35" s="1033"/>
      <c r="AE35" s="1033"/>
      <c r="AF35" s="1033"/>
      <c r="AG35" s="1033"/>
      <c r="AH35" s="1033"/>
      <c r="AI35" s="1033"/>
      <c r="AJ35" s="1033"/>
      <c r="AK35" s="941"/>
      <c r="AL35" s="943"/>
      <c r="AM35" s="940"/>
      <c r="AN35" s="954"/>
      <c r="AO35" s="954"/>
      <c r="AP35" s="954"/>
      <c r="AQ35" s="954"/>
      <c r="AR35" s="954"/>
      <c r="AS35" s="954"/>
    </row>
    <row r="36" spans="1:45" ht="13.5" customHeight="1">
      <c r="A36" s="940"/>
      <c r="B36" s="940"/>
      <c r="C36" s="940"/>
      <c r="D36" s="941"/>
      <c r="E36" s="942"/>
      <c r="F36" s="941"/>
      <c r="G36" s="940"/>
      <c r="H36" s="940"/>
      <c r="I36" s="941"/>
      <c r="J36" s="942"/>
      <c r="K36" s="941"/>
      <c r="L36" s="940"/>
      <c r="M36" s="940"/>
      <c r="N36" s="941"/>
      <c r="O36" s="942"/>
      <c r="P36" s="941"/>
      <c r="Q36" s="940"/>
      <c r="R36" s="940"/>
      <c r="S36" s="941"/>
      <c r="T36" s="942"/>
      <c r="U36" s="941"/>
      <c r="V36" s="940"/>
      <c r="W36" s="940"/>
      <c r="X36" s="941"/>
      <c r="Y36" s="942"/>
      <c r="Z36" s="941"/>
      <c r="AA36" s="941"/>
      <c r="AB36" s="941"/>
      <c r="AC36" s="940"/>
      <c r="AD36" s="940"/>
      <c r="AE36" s="940"/>
      <c r="AF36" s="941"/>
      <c r="AG36" s="940"/>
      <c r="AH36" s="940"/>
      <c r="AI36" s="940"/>
      <c r="AJ36" s="940"/>
      <c r="AK36" s="941"/>
      <c r="AL36" s="943"/>
      <c r="AM36" s="940"/>
      <c r="AN36" s="954"/>
      <c r="AO36" s="954"/>
      <c r="AP36" s="954"/>
      <c r="AQ36" s="954"/>
      <c r="AR36" s="954"/>
      <c r="AS36" s="954"/>
    </row>
    <row r="37" spans="1:45" ht="13.5" customHeight="1">
      <c r="A37" s="974"/>
      <c r="B37" s="975"/>
      <c r="C37" s="975"/>
      <c r="D37" s="976"/>
      <c r="E37" s="976"/>
      <c r="F37" s="975"/>
      <c r="G37" s="976"/>
      <c r="H37" s="976"/>
      <c r="I37" s="976"/>
      <c r="J37" s="976"/>
      <c r="K37" s="975"/>
      <c r="L37" s="975"/>
      <c r="M37" s="975"/>
      <c r="N37" s="975"/>
      <c r="O37" s="976"/>
      <c r="P37" s="975"/>
      <c r="Q37" s="975"/>
      <c r="R37" s="975"/>
      <c r="S37" s="975"/>
      <c r="T37" s="976"/>
      <c r="U37" s="975"/>
      <c r="V37" s="975"/>
      <c r="W37" s="975"/>
      <c r="X37" s="977"/>
      <c r="Y37" s="976"/>
      <c r="Z37" s="978"/>
      <c r="AA37" s="976"/>
      <c r="AB37" s="979"/>
      <c r="AC37" s="980"/>
      <c r="AD37" s="943"/>
      <c r="AE37" s="943"/>
      <c r="AF37" s="979"/>
      <c r="AG37" s="980"/>
      <c r="AH37" s="943"/>
      <c r="AI37" s="943"/>
      <c r="AJ37" s="943"/>
      <c r="AK37" s="943"/>
      <c r="AL37" s="943"/>
      <c r="AM37" s="943"/>
      <c r="AN37" s="943"/>
      <c r="AO37" s="943"/>
      <c r="AP37" s="943"/>
      <c r="AQ37" s="943"/>
      <c r="AR37" s="943"/>
      <c r="AS37" s="943"/>
    </row>
    <row r="38" spans="1:45" ht="13.5" customHeight="1">
      <c r="A38" s="940"/>
      <c r="B38" s="940"/>
      <c r="C38" s="940"/>
      <c r="D38" s="941"/>
      <c r="E38" s="942"/>
      <c r="F38" s="941"/>
      <c r="G38" s="940"/>
      <c r="H38" s="940"/>
      <c r="I38" s="941"/>
      <c r="J38" s="942"/>
      <c r="K38" s="941"/>
      <c r="L38" s="940"/>
      <c r="M38" s="940"/>
      <c r="N38" s="941"/>
      <c r="O38" s="942"/>
      <c r="P38" s="941"/>
      <c r="Q38" s="940"/>
      <c r="R38" s="940"/>
      <c r="S38" s="941"/>
      <c r="T38" s="942"/>
      <c r="U38" s="941"/>
      <c r="V38" s="940"/>
      <c r="W38" s="940"/>
      <c r="X38" s="941"/>
      <c r="Y38" s="942"/>
      <c r="Z38" s="941"/>
      <c r="AA38" s="941"/>
      <c r="AB38" s="941"/>
      <c r="AC38" s="940"/>
      <c r="AD38" s="940"/>
      <c r="AE38" s="940"/>
      <c r="AF38" s="941"/>
      <c r="AG38" s="940"/>
      <c r="AH38" s="940"/>
      <c r="AI38" s="940"/>
      <c r="AJ38" s="940"/>
      <c r="AK38" s="941"/>
      <c r="AL38" s="943"/>
      <c r="AM38" s="940"/>
      <c r="AN38" s="954"/>
      <c r="AO38" s="954"/>
      <c r="AP38" s="954"/>
      <c r="AQ38" s="954"/>
      <c r="AR38" s="954"/>
      <c r="AS38" s="954"/>
    </row>
    <row r="39" spans="1:45" ht="13.5" customHeight="1">
      <c r="A39" s="1592" t="s">
        <v>18</v>
      </c>
      <c r="B39" s="1588">
        <v>45845</v>
      </c>
      <c r="C39" s="1588"/>
      <c r="D39" s="1588" t="s">
        <v>564</v>
      </c>
      <c r="E39" s="1588"/>
      <c r="F39" s="981"/>
      <c r="G39" s="1588">
        <v>45846</v>
      </c>
      <c r="H39" s="1588"/>
      <c r="I39" s="1588" t="s">
        <v>565</v>
      </c>
      <c r="J39" s="1588"/>
      <c r="K39" s="981"/>
      <c r="L39" s="1588">
        <v>45847</v>
      </c>
      <c r="M39" s="1588"/>
      <c r="N39" s="1588" t="s">
        <v>566</v>
      </c>
      <c r="O39" s="1588"/>
      <c r="P39" s="981"/>
      <c r="Q39" s="1588">
        <v>45848</v>
      </c>
      <c r="R39" s="1588"/>
      <c r="S39" s="1588" t="s">
        <v>567</v>
      </c>
      <c r="T39" s="1588"/>
      <c r="U39" s="981"/>
      <c r="V39" s="1588">
        <v>45849</v>
      </c>
      <c r="W39" s="1588"/>
      <c r="X39" s="1588" t="s">
        <v>568</v>
      </c>
      <c r="Y39" s="1588"/>
      <c r="Z39" s="1589" t="s">
        <v>19</v>
      </c>
      <c r="AA39" s="1589" t="s">
        <v>20</v>
      </c>
      <c r="AB39" s="941"/>
      <c r="AC39" s="1588">
        <v>45850</v>
      </c>
      <c r="AD39" s="1588"/>
      <c r="AE39" s="982" t="s">
        <v>569</v>
      </c>
      <c r="AF39" s="941"/>
      <c r="AG39" s="1588">
        <v>45851</v>
      </c>
      <c r="AH39" s="1588"/>
      <c r="AI39" s="983" t="s">
        <v>570</v>
      </c>
      <c r="AJ39" s="1589" t="s">
        <v>1420</v>
      </c>
      <c r="AK39" s="941"/>
      <c r="AL39" s="984"/>
      <c r="AM39" s="940"/>
      <c r="AN39" s="985" t="s">
        <v>84</v>
      </c>
      <c r="AO39" s="986"/>
      <c r="AP39" s="986"/>
      <c r="AQ39" s="986"/>
      <c r="AR39" s="986"/>
      <c r="AS39" s="986"/>
    </row>
    <row r="40" spans="1:45" ht="13.5" customHeight="1">
      <c r="A40" s="1592"/>
      <c r="B40" s="987" t="s">
        <v>23</v>
      </c>
      <c r="C40" s="987" t="s">
        <v>24</v>
      </c>
      <c r="D40" s="988" t="s">
        <v>25</v>
      </c>
      <c r="E40" s="989" t="s">
        <v>14</v>
      </c>
      <c r="F40" s="941"/>
      <c r="G40" s="987"/>
      <c r="H40" s="987" t="s">
        <v>24</v>
      </c>
      <c r="I40" s="990" t="s">
        <v>25</v>
      </c>
      <c r="J40" s="989" t="s">
        <v>14</v>
      </c>
      <c r="K40" s="941"/>
      <c r="L40" s="987" t="s">
        <v>23</v>
      </c>
      <c r="M40" s="987" t="s">
        <v>24</v>
      </c>
      <c r="N40" s="990" t="s">
        <v>25</v>
      </c>
      <c r="O40" s="989" t="s">
        <v>14</v>
      </c>
      <c r="P40" s="941"/>
      <c r="Q40" s="987" t="s">
        <v>23</v>
      </c>
      <c r="R40" s="987" t="s">
        <v>24</v>
      </c>
      <c r="S40" s="990" t="s">
        <v>25</v>
      </c>
      <c r="T40" s="989" t="s">
        <v>14</v>
      </c>
      <c r="U40" s="941"/>
      <c r="V40" s="987" t="s">
        <v>23</v>
      </c>
      <c r="W40" s="987" t="s">
        <v>24</v>
      </c>
      <c r="X40" s="990" t="s">
        <v>25</v>
      </c>
      <c r="Y40" s="989" t="s">
        <v>14</v>
      </c>
      <c r="Z40" s="1589"/>
      <c r="AA40" s="1589"/>
      <c r="AB40" s="941"/>
      <c r="AC40" s="987" t="s">
        <v>23</v>
      </c>
      <c r="AD40" s="987" t="s">
        <v>24</v>
      </c>
      <c r="AE40" s="990" t="s">
        <v>25</v>
      </c>
      <c r="AF40" s="941"/>
      <c r="AG40" s="987" t="s">
        <v>23</v>
      </c>
      <c r="AH40" s="987" t="s">
        <v>24</v>
      </c>
      <c r="AI40" s="990" t="s">
        <v>25</v>
      </c>
      <c r="AJ40" s="1589"/>
      <c r="AK40" s="941"/>
      <c r="AL40" s="984"/>
      <c r="AM40" s="991"/>
      <c r="AN40" s="992" t="s">
        <v>26</v>
      </c>
      <c r="AO40" s="993">
        <f>Z61</f>
        <v>545</v>
      </c>
      <c r="AP40" s="994">
        <v>40.31</v>
      </c>
      <c r="AQ40" s="994">
        <f>AP40*AO40</f>
        <v>21968.95</v>
      </c>
      <c r="AR40" s="954"/>
      <c r="AS40" s="954"/>
    </row>
    <row r="41" spans="1:45" ht="13.5" customHeight="1">
      <c r="A41" s="1006" t="s">
        <v>72</v>
      </c>
      <c r="B41" s="1034">
        <v>0.25</v>
      </c>
      <c r="C41" s="1034">
        <v>0.125</v>
      </c>
      <c r="D41" s="1035">
        <v>8</v>
      </c>
      <c r="E41" s="1036">
        <v>1</v>
      </c>
      <c r="F41" s="1037"/>
      <c r="G41" s="1034">
        <v>0.25</v>
      </c>
      <c r="H41" s="1034">
        <v>0.13541666666666666</v>
      </c>
      <c r="I41" s="1035">
        <v>8</v>
      </c>
      <c r="J41" s="1036">
        <v>1.25</v>
      </c>
      <c r="K41" s="1037"/>
      <c r="L41" s="1034">
        <v>0.25</v>
      </c>
      <c r="M41" s="1034">
        <v>0.13541666666666666</v>
      </c>
      <c r="N41" s="1035">
        <v>8</v>
      </c>
      <c r="O41" s="1036">
        <v>1.25</v>
      </c>
      <c r="P41" s="1037"/>
      <c r="Q41" s="1034">
        <v>0.25</v>
      </c>
      <c r="R41" s="1034">
        <v>0.125</v>
      </c>
      <c r="S41" s="1035">
        <v>8</v>
      </c>
      <c r="T41" s="1036">
        <v>1</v>
      </c>
      <c r="U41" s="1037"/>
      <c r="V41" s="1034">
        <v>0.25</v>
      </c>
      <c r="W41" s="1034">
        <v>0.13541666666666666</v>
      </c>
      <c r="X41" s="1035">
        <v>8</v>
      </c>
      <c r="Y41" s="1036">
        <v>1.25</v>
      </c>
      <c r="Z41" s="1038">
        <v>40</v>
      </c>
      <c r="AA41" s="1039">
        <v>5.75</v>
      </c>
      <c r="AB41" s="1037"/>
      <c r="AC41" s="1040"/>
      <c r="AD41" s="1040"/>
      <c r="AE41" s="1035"/>
      <c r="AF41" s="1037"/>
      <c r="AG41" s="1040"/>
      <c r="AH41" s="1040"/>
      <c r="AI41" s="1035"/>
      <c r="AJ41" s="1041">
        <v>0</v>
      </c>
      <c r="AK41" s="941"/>
      <c r="AL41" s="984"/>
      <c r="AM41" s="991"/>
      <c r="AN41" s="992" t="s">
        <v>1421</v>
      </c>
      <c r="AO41" s="1005">
        <f>Z62</f>
        <v>40</v>
      </c>
      <c r="AP41" s="1007">
        <v>60.47</v>
      </c>
      <c r="AQ41" s="994">
        <f t="shared" ref="AQ41:AQ42" si="0">AP41*AO41</f>
        <v>2418.8000000000002</v>
      </c>
      <c r="AR41" s="954"/>
      <c r="AS41" s="954"/>
    </row>
    <row r="42" spans="1:45" ht="13.5" customHeight="1">
      <c r="A42" s="1009" t="s">
        <v>1430</v>
      </c>
      <c r="B42" s="1034">
        <v>0.25</v>
      </c>
      <c r="C42" s="1034">
        <v>0.14583333333333334</v>
      </c>
      <c r="D42" s="1035">
        <v>8</v>
      </c>
      <c r="E42" s="1036">
        <v>1.5</v>
      </c>
      <c r="F42" s="1037"/>
      <c r="G42" s="1034">
        <v>0.29166666666666669</v>
      </c>
      <c r="H42" s="1034">
        <v>0.19791666666666666</v>
      </c>
      <c r="I42" s="1035">
        <v>8</v>
      </c>
      <c r="J42" s="1036">
        <v>1.75</v>
      </c>
      <c r="K42" s="1037"/>
      <c r="L42" s="1034">
        <v>0.25</v>
      </c>
      <c r="M42" s="1034">
        <v>0.13541666666666666</v>
      </c>
      <c r="N42" s="1035">
        <v>8</v>
      </c>
      <c r="O42" s="1036">
        <v>1.25</v>
      </c>
      <c r="P42" s="1037"/>
      <c r="Q42" s="1034">
        <v>0.25</v>
      </c>
      <c r="R42" s="1034">
        <v>0.125</v>
      </c>
      <c r="S42" s="1035">
        <v>8</v>
      </c>
      <c r="T42" s="1036">
        <v>1</v>
      </c>
      <c r="U42" s="1037"/>
      <c r="V42" s="1034">
        <v>0.25</v>
      </c>
      <c r="W42" s="1034">
        <v>0.13541666666666666</v>
      </c>
      <c r="X42" s="1035">
        <v>8</v>
      </c>
      <c r="Y42" s="1036">
        <v>1.25</v>
      </c>
      <c r="Z42" s="1038">
        <v>40</v>
      </c>
      <c r="AA42" s="1039">
        <v>6.75</v>
      </c>
      <c r="AB42" s="1037"/>
      <c r="AC42" s="1034"/>
      <c r="AD42" s="1034"/>
      <c r="AE42" s="1035"/>
      <c r="AF42" s="1037"/>
      <c r="AG42" s="1034"/>
      <c r="AH42" s="1034"/>
      <c r="AI42" s="1035"/>
      <c r="AJ42" s="1041">
        <v>0</v>
      </c>
      <c r="AK42" s="941"/>
      <c r="AL42" s="943"/>
      <c r="AM42" s="940"/>
      <c r="AN42" s="992" t="s">
        <v>30</v>
      </c>
      <c r="AO42" s="1005">
        <f>AA61+AA62</f>
        <v>77.25</v>
      </c>
      <c r="AP42" s="1007">
        <v>60.465000000000003</v>
      </c>
      <c r="AQ42" s="994">
        <f t="shared" si="0"/>
        <v>4670.9212500000003</v>
      </c>
      <c r="AR42" s="954"/>
      <c r="AS42" s="954"/>
    </row>
    <row r="43" spans="1:45" ht="13.5" customHeight="1">
      <c r="A43" s="1009" t="s">
        <v>1166</v>
      </c>
      <c r="B43" s="1034">
        <v>0.25</v>
      </c>
      <c r="C43" s="1034">
        <v>0.125</v>
      </c>
      <c r="D43" s="1035">
        <v>8</v>
      </c>
      <c r="E43" s="1036">
        <v>1</v>
      </c>
      <c r="F43" s="1037"/>
      <c r="G43" s="1034">
        <v>0.25</v>
      </c>
      <c r="H43" s="1034">
        <v>0.14583333333333334</v>
      </c>
      <c r="I43" s="1035">
        <v>8</v>
      </c>
      <c r="J43" s="1036">
        <v>1.5</v>
      </c>
      <c r="K43" s="1037"/>
      <c r="L43" s="1034">
        <v>0.25</v>
      </c>
      <c r="M43" s="1034">
        <v>0.14583333333333334</v>
      </c>
      <c r="N43" s="1035">
        <v>8</v>
      </c>
      <c r="O43" s="1036">
        <v>1.5</v>
      </c>
      <c r="P43" s="1037"/>
      <c r="Q43" s="1034">
        <v>0.25</v>
      </c>
      <c r="R43" s="1034">
        <v>0.14583333333333334</v>
      </c>
      <c r="S43" s="1035">
        <v>8</v>
      </c>
      <c r="T43" s="1036">
        <v>1.5</v>
      </c>
      <c r="U43" s="1037"/>
      <c r="V43" s="1034">
        <v>0.25</v>
      </c>
      <c r="W43" s="1034">
        <v>0.125</v>
      </c>
      <c r="X43" s="1035">
        <v>8</v>
      </c>
      <c r="Y43" s="1036">
        <v>1</v>
      </c>
      <c r="Z43" s="1038">
        <v>40</v>
      </c>
      <c r="AA43" s="1039">
        <v>6.5</v>
      </c>
      <c r="AB43" s="1037"/>
      <c r="AC43" s="1034"/>
      <c r="AD43" s="1034"/>
      <c r="AE43" s="1035"/>
      <c r="AF43" s="1037"/>
      <c r="AG43" s="1034"/>
      <c r="AH43" s="1034"/>
      <c r="AI43" s="1035"/>
      <c r="AJ43" s="1041">
        <v>0</v>
      </c>
      <c r="AK43" s="941"/>
      <c r="AL43" s="943"/>
      <c r="AM43" s="940"/>
      <c r="AN43" s="992" t="s">
        <v>32</v>
      </c>
      <c r="AO43" s="1005">
        <f>AJ61</f>
        <v>60</v>
      </c>
      <c r="AP43" s="994">
        <v>60.465000000000003</v>
      </c>
      <c r="AQ43" s="994">
        <f>AP43*AO43</f>
        <v>3627.9</v>
      </c>
      <c r="AR43" s="954"/>
      <c r="AS43" s="1008"/>
    </row>
    <row r="44" spans="1:45" ht="13.5" customHeight="1">
      <c r="A44" s="1009" t="s">
        <v>1425</v>
      </c>
      <c r="B44" s="1034">
        <v>0.25</v>
      </c>
      <c r="C44" s="1034">
        <v>0.125</v>
      </c>
      <c r="D44" s="1035">
        <v>8</v>
      </c>
      <c r="E44" s="1036">
        <v>1</v>
      </c>
      <c r="F44" s="1037"/>
      <c r="G44" s="1034">
        <v>0.26041666666666669</v>
      </c>
      <c r="H44" s="1034">
        <v>0.125</v>
      </c>
      <c r="I44" s="1035">
        <v>8</v>
      </c>
      <c r="J44" s="1036">
        <v>0.75</v>
      </c>
      <c r="K44" s="1037"/>
      <c r="L44" s="1034">
        <v>0.27083333333333331</v>
      </c>
      <c r="M44" s="1034">
        <v>0.125</v>
      </c>
      <c r="N44" s="1035">
        <v>8</v>
      </c>
      <c r="O44" s="1036">
        <v>0.5</v>
      </c>
      <c r="P44" s="1037"/>
      <c r="Q44" s="1034">
        <v>0.26041666666666669</v>
      </c>
      <c r="R44" s="1034">
        <v>0.125</v>
      </c>
      <c r="S44" s="1035">
        <v>8</v>
      </c>
      <c r="T44" s="1036">
        <v>0.75</v>
      </c>
      <c r="U44" s="1037"/>
      <c r="V44" s="1034">
        <v>0.26041666666666669</v>
      </c>
      <c r="W44" s="1034">
        <v>0.125</v>
      </c>
      <c r="X44" s="1035">
        <v>8</v>
      </c>
      <c r="Y44" s="1036">
        <v>0.75</v>
      </c>
      <c r="Z44" s="1038">
        <v>40</v>
      </c>
      <c r="AA44" s="1039">
        <v>3.75</v>
      </c>
      <c r="AB44" s="1037"/>
      <c r="AC44" s="1034"/>
      <c r="AD44" s="1034"/>
      <c r="AE44" s="1035"/>
      <c r="AF44" s="1037"/>
      <c r="AG44" s="1034"/>
      <c r="AH44" s="1034"/>
      <c r="AI44" s="1035"/>
      <c r="AJ44" s="1041">
        <v>0</v>
      </c>
      <c r="AK44" s="941"/>
      <c r="AL44" s="943"/>
      <c r="AM44" s="940"/>
      <c r="AN44" s="1010" t="s">
        <v>213</v>
      </c>
      <c r="AO44" s="993">
        <f>Z64</f>
        <v>29</v>
      </c>
      <c r="AP44" s="994">
        <v>53.05</v>
      </c>
      <c r="AQ44" s="994">
        <f>AP44*AO44</f>
        <v>1538.4499999999998</v>
      </c>
      <c r="AR44" s="1008"/>
      <c r="AS44" s="954"/>
    </row>
    <row r="45" spans="1:45" ht="13.5" customHeight="1">
      <c r="A45" s="1009" t="s">
        <v>1426</v>
      </c>
      <c r="B45" s="1034">
        <v>0.25</v>
      </c>
      <c r="C45" s="1034">
        <v>0.13541666666666666</v>
      </c>
      <c r="D45" s="1035">
        <v>8</v>
      </c>
      <c r="E45" s="1036">
        <v>1.25</v>
      </c>
      <c r="F45" s="1037"/>
      <c r="G45" s="1034">
        <v>0.25</v>
      </c>
      <c r="H45" s="1034">
        <v>0.125</v>
      </c>
      <c r="I45" s="1035">
        <v>8</v>
      </c>
      <c r="J45" s="1036">
        <v>1</v>
      </c>
      <c r="K45" s="1037"/>
      <c r="L45" s="1034">
        <v>0.25</v>
      </c>
      <c r="M45" s="1034">
        <v>0.125</v>
      </c>
      <c r="N45" s="1035">
        <v>8</v>
      </c>
      <c r="O45" s="1036">
        <v>1</v>
      </c>
      <c r="P45" s="1037"/>
      <c r="Q45" s="1034">
        <v>0.25</v>
      </c>
      <c r="R45" s="1034">
        <v>0.125</v>
      </c>
      <c r="S45" s="1035">
        <v>8</v>
      </c>
      <c r="T45" s="1036">
        <v>1</v>
      </c>
      <c r="U45" s="1037"/>
      <c r="V45" s="1034">
        <v>0.25</v>
      </c>
      <c r="W45" s="1034">
        <v>0.125</v>
      </c>
      <c r="X45" s="1035">
        <v>8</v>
      </c>
      <c r="Y45" s="1036">
        <v>1</v>
      </c>
      <c r="Z45" s="1038">
        <v>40</v>
      </c>
      <c r="AA45" s="1039">
        <v>5.25</v>
      </c>
      <c r="AB45" s="1037"/>
      <c r="AC45" s="1034"/>
      <c r="AD45" s="1034"/>
      <c r="AE45" s="1035"/>
      <c r="AF45" s="1037"/>
      <c r="AG45" s="1034"/>
      <c r="AH45" s="1034"/>
      <c r="AI45" s="1035"/>
      <c r="AJ45" s="1041">
        <v>0</v>
      </c>
      <c r="AK45" s="941"/>
      <c r="AL45" s="943"/>
      <c r="AM45" s="940"/>
      <c r="AN45" s="992" t="s">
        <v>36</v>
      </c>
      <c r="AO45" s="1005">
        <f>AA64</f>
        <v>16.25</v>
      </c>
      <c r="AP45" s="994">
        <v>79.574999999999989</v>
      </c>
      <c r="AQ45" s="994">
        <f>AP45*AO45</f>
        <v>1293.0937499999998</v>
      </c>
      <c r="AR45" s="954"/>
      <c r="AS45" s="954"/>
    </row>
    <row r="46" spans="1:45" ht="13.5" customHeight="1">
      <c r="A46" s="1009" t="s">
        <v>1066</v>
      </c>
      <c r="B46" s="1034">
        <v>0.25</v>
      </c>
      <c r="C46" s="1034">
        <v>0.125</v>
      </c>
      <c r="D46" s="1035">
        <v>8</v>
      </c>
      <c r="E46" s="1036">
        <v>1</v>
      </c>
      <c r="F46" s="1037"/>
      <c r="G46" s="1034">
        <v>0.29166666666666669</v>
      </c>
      <c r="H46" s="1034">
        <v>0.14583333333333334</v>
      </c>
      <c r="I46" s="1035">
        <v>8</v>
      </c>
      <c r="J46" s="1036">
        <v>0.5</v>
      </c>
      <c r="K46" s="1037"/>
      <c r="L46" s="1034">
        <v>0.25</v>
      </c>
      <c r="M46" s="1034">
        <v>0.125</v>
      </c>
      <c r="N46" s="1035">
        <v>8</v>
      </c>
      <c r="O46" s="1036">
        <v>1</v>
      </c>
      <c r="P46" s="1037"/>
      <c r="Q46" s="1034">
        <v>0.25</v>
      </c>
      <c r="R46" s="1034">
        <v>0.14583333333333334</v>
      </c>
      <c r="S46" s="1035">
        <v>8</v>
      </c>
      <c r="T46" s="1036">
        <v>1.5</v>
      </c>
      <c r="U46" s="1037"/>
      <c r="V46" s="1034">
        <v>0.26041666666666669</v>
      </c>
      <c r="W46" s="1034">
        <v>0.15625</v>
      </c>
      <c r="X46" s="1035">
        <v>8</v>
      </c>
      <c r="Y46" s="1036">
        <v>1.5</v>
      </c>
      <c r="Z46" s="1038">
        <v>40</v>
      </c>
      <c r="AA46" s="1039">
        <v>5.5</v>
      </c>
      <c r="AB46" s="1037"/>
      <c r="AC46" s="1034"/>
      <c r="AD46" s="1034"/>
      <c r="AE46" s="1035"/>
      <c r="AF46" s="1037"/>
      <c r="AG46" s="1034"/>
      <c r="AH46" s="1034"/>
      <c r="AI46" s="1035"/>
      <c r="AJ46" s="1041">
        <v>0</v>
      </c>
      <c r="AK46" s="941"/>
      <c r="AL46" s="943"/>
      <c r="AM46" s="940"/>
      <c r="AN46" s="992" t="s">
        <v>38</v>
      </c>
      <c r="AO46" s="1005">
        <f>AJ64</f>
        <v>6</v>
      </c>
      <c r="AP46" s="994">
        <v>79.574999999999989</v>
      </c>
      <c r="AQ46" s="994">
        <f>AP46*AO46</f>
        <v>477.44999999999993</v>
      </c>
      <c r="AR46" s="954"/>
      <c r="AS46" s="954"/>
    </row>
    <row r="47" spans="1:45" ht="13.5" customHeight="1">
      <c r="A47" s="1009" t="s">
        <v>1427</v>
      </c>
      <c r="B47" s="1034">
        <v>0.25</v>
      </c>
      <c r="C47" s="1034">
        <v>0.13541666666666666</v>
      </c>
      <c r="D47" s="1035">
        <v>8</v>
      </c>
      <c r="E47" s="1036">
        <v>1.25</v>
      </c>
      <c r="F47" s="1037"/>
      <c r="G47" s="1034">
        <v>0.25</v>
      </c>
      <c r="H47" s="1034">
        <v>0.125</v>
      </c>
      <c r="I47" s="1035">
        <v>8</v>
      </c>
      <c r="J47" s="1036">
        <v>1</v>
      </c>
      <c r="K47" s="1037"/>
      <c r="L47" s="1034">
        <v>0.25</v>
      </c>
      <c r="M47" s="1034">
        <v>0.15625</v>
      </c>
      <c r="N47" s="1035">
        <v>8</v>
      </c>
      <c r="O47" s="1036">
        <v>1.75</v>
      </c>
      <c r="P47" s="1037"/>
      <c r="Q47" s="1034">
        <v>0.25</v>
      </c>
      <c r="R47" s="1034">
        <v>0.13541666666666666</v>
      </c>
      <c r="S47" s="1035">
        <v>8</v>
      </c>
      <c r="T47" s="1036">
        <v>1.25</v>
      </c>
      <c r="U47" s="1037"/>
      <c r="V47" s="1034">
        <v>0.25</v>
      </c>
      <c r="W47" s="1034">
        <v>0.125</v>
      </c>
      <c r="X47" s="1035">
        <v>8</v>
      </c>
      <c r="Y47" s="1036">
        <v>1</v>
      </c>
      <c r="Z47" s="1038">
        <v>40</v>
      </c>
      <c r="AA47" s="1039">
        <v>6.25</v>
      </c>
      <c r="AB47" s="1037"/>
      <c r="AC47" s="1034"/>
      <c r="AD47" s="1034"/>
      <c r="AE47" s="1035"/>
      <c r="AF47" s="1037"/>
      <c r="AG47" s="1034">
        <v>0.33333333333333331</v>
      </c>
      <c r="AH47" s="1034">
        <v>0.52083333333333337</v>
      </c>
      <c r="AI47" s="1035">
        <v>4.5</v>
      </c>
      <c r="AJ47" s="1041">
        <v>4.5</v>
      </c>
      <c r="AK47" s="941"/>
      <c r="AL47" s="943"/>
      <c r="AM47" s="940"/>
      <c r="AN47" s="954"/>
      <c r="AO47" s="1005"/>
      <c r="AP47" s="954"/>
      <c r="AQ47" s="1094">
        <f>SUM(AQ40:AQ46)</f>
        <v>35995.564999999995</v>
      </c>
      <c r="AR47" s="954"/>
      <c r="AS47" s="954"/>
    </row>
    <row r="48" spans="1:45" ht="13.5" customHeight="1">
      <c r="A48" s="1009" t="s">
        <v>1428</v>
      </c>
      <c r="B48" s="1034">
        <v>8.3333333333333329E-2</v>
      </c>
      <c r="C48" s="1034">
        <v>0.47916666666666669</v>
      </c>
      <c r="D48" s="1035">
        <v>8</v>
      </c>
      <c r="E48" s="1036">
        <v>1</v>
      </c>
      <c r="F48" s="1037"/>
      <c r="G48" s="1034">
        <v>8.3333333333333329E-2</v>
      </c>
      <c r="H48" s="1034">
        <v>0.45833333333333331</v>
      </c>
      <c r="I48" s="1035">
        <v>8</v>
      </c>
      <c r="J48" s="1036">
        <v>1</v>
      </c>
      <c r="K48" s="1037"/>
      <c r="L48" s="1034">
        <v>8.3333333333333329E-2</v>
      </c>
      <c r="M48" s="1034">
        <v>0.45833333333333331</v>
      </c>
      <c r="N48" s="1035">
        <v>8</v>
      </c>
      <c r="O48" s="1036">
        <v>1</v>
      </c>
      <c r="P48" s="1037"/>
      <c r="Q48" s="1034">
        <v>8.3333333333333329E-2</v>
      </c>
      <c r="R48" s="1034">
        <v>0.45833333333333331</v>
      </c>
      <c r="S48" s="1035">
        <v>8</v>
      </c>
      <c r="T48" s="1036">
        <v>1</v>
      </c>
      <c r="U48" s="1037"/>
      <c r="V48" s="1034">
        <v>0.11458333333333333</v>
      </c>
      <c r="W48" s="1034">
        <v>0.45833333333333331</v>
      </c>
      <c r="X48" s="1035">
        <v>8</v>
      </c>
      <c r="Y48" s="1036">
        <v>0.25</v>
      </c>
      <c r="Z48" s="1038">
        <v>40</v>
      </c>
      <c r="AA48" s="1039">
        <v>4.25</v>
      </c>
      <c r="AB48" s="1037"/>
      <c r="AC48" s="1034"/>
      <c r="AD48" s="1034"/>
      <c r="AE48" s="1035"/>
      <c r="AF48" s="1037"/>
      <c r="AG48" s="1034"/>
      <c r="AH48" s="1034"/>
      <c r="AI48" s="1035"/>
      <c r="AJ48" s="1041">
        <v>0</v>
      </c>
      <c r="AK48" s="941"/>
      <c r="AL48" s="943"/>
      <c r="AM48" s="940"/>
      <c r="AN48" s="954"/>
      <c r="AO48" s="1005"/>
      <c r="AP48" s="954"/>
      <c r="AQ48" s="954"/>
      <c r="AR48" s="954"/>
      <c r="AS48" s="954"/>
    </row>
    <row r="49" spans="1:45" ht="13.5" customHeight="1">
      <c r="A49" s="1009" t="s">
        <v>1142</v>
      </c>
      <c r="B49" s="1034">
        <v>8.3333333333333329E-2</v>
      </c>
      <c r="C49" s="1034">
        <v>0.45833333333333331</v>
      </c>
      <c r="D49" s="1035">
        <v>8</v>
      </c>
      <c r="E49" s="1036">
        <v>1</v>
      </c>
      <c r="F49" s="1037"/>
      <c r="G49" s="1034">
        <v>0.125</v>
      </c>
      <c r="H49" s="1034">
        <v>0.45833333333333331</v>
      </c>
      <c r="I49" s="1035">
        <v>8</v>
      </c>
      <c r="J49" s="1036"/>
      <c r="K49" s="1042"/>
      <c r="L49" s="1034">
        <v>0.125</v>
      </c>
      <c r="M49" s="1034">
        <v>0.45833333333333331</v>
      </c>
      <c r="N49" s="1035">
        <v>8</v>
      </c>
      <c r="O49" s="1036"/>
      <c r="P49" s="1042"/>
      <c r="Q49" s="1034">
        <v>8.3333333333333329E-2</v>
      </c>
      <c r="R49" s="1034">
        <v>0.45833333333333331</v>
      </c>
      <c r="S49" s="1035">
        <v>8</v>
      </c>
      <c r="T49" s="1036">
        <v>1</v>
      </c>
      <c r="U49" s="1042"/>
      <c r="V49" s="1034">
        <v>0.125</v>
      </c>
      <c r="W49" s="1034">
        <v>0.45833333333333331</v>
      </c>
      <c r="X49" s="1035">
        <v>8</v>
      </c>
      <c r="Y49" s="1036"/>
      <c r="Z49" s="1038">
        <v>40</v>
      </c>
      <c r="AA49" s="1039">
        <v>2</v>
      </c>
      <c r="AB49" s="1037"/>
      <c r="AC49" s="1034"/>
      <c r="AD49" s="1034"/>
      <c r="AE49" s="1035"/>
      <c r="AF49" s="1037"/>
      <c r="AG49" s="1034"/>
      <c r="AH49" s="1034"/>
      <c r="AI49" s="1035"/>
      <c r="AJ49" s="1041">
        <v>0</v>
      </c>
      <c r="AK49" s="941"/>
      <c r="AL49" s="943"/>
      <c r="AM49" s="940"/>
      <c r="AN49" s="953" t="s">
        <v>1115</v>
      </c>
      <c r="AO49" s="1005">
        <f>B65</f>
        <v>75</v>
      </c>
      <c r="AP49" s="994">
        <v>47.74</v>
      </c>
      <c r="AQ49" s="994">
        <f>AP49*AO49</f>
        <v>3580.5</v>
      </c>
      <c r="AR49" s="954"/>
      <c r="AS49" s="954"/>
    </row>
    <row r="50" spans="1:45" ht="13.5" customHeight="1">
      <c r="A50" s="1009" t="s">
        <v>1429</v>
      </c>
      <c r="B50" s="1034">
        <v>8.3333333333333329E-2</v>
      </c>
      <c r="C50" s="1034">
        <v>0.45833333333333331</v>
      </c>
      <c r="D50" s="1035">
        <v>8</v>
      </c>
      <c r="E50" s="1036"/>
      <c r="F50" s="1037"/>
      <c r="G50" s="1034">
        <v>8.3333333333333329E-2</v>
      </c>
      <c r="H50" s="1034">
        <v>0.45833333333333331</v>
      </c>
      <c r="I50" s="1035">
        <v>8</v>
      </c>
      <c r="J50" s="1036">
        <v>1</v>
      </c>
      <c r="K50" s="1042"/>
      <c r="L50" s="1034">
        <v>8.3333333333333329E-2</v>
      </c>
      <c r="M50" s="1034">
        <v>0.41666666666666669</v>
      </c>
      <c r="N50" s="1035">
        <v>8</v>
      </c>
      <c r="O50" s="1036"/>
      <c r="P50" s="1042"/>
      <c r="Q50" s="1034">
        <v>8.3333333333333329E-2</v>
      </c>
      <c r="R50" s="1034">
        <v>0.45833333333333331</v>
      </c>
      <c r="S50" s="1035">
        <v>8</v>
      </c>
      <c r="T50" s="1036">
        <v>1</v>
      </c>
      <c r="U50" s="1042"/>
      <c r="V50" s="1034">
        <v>9.375E-2</v>
      </c>
      <c r="W50" s="1034">
        <v>0.41666666666666669</v>
      </c>
      <c r="X50" s="1035">
        <v>8</v>
      </c>
      <c r="Y50" s="1036"/>
      <c r="Z50" s="1038">
        <v>40</v>
      </c>
      <c r="AA50" s="1039">
        <v>2</v>
      </c>
      <c r="AB50" s="1037"/>
      <c r="AC50" s="1034"/>
      <c r="AD50" s="1034"/>
      <c r="AE50" s="1035"/>
      <c r="AF50" s="1037"/>
      <c r="AG50" s="1034"/>
      <c r="AH50" s="1034"/>
      <c r="AI50" s="1035"/>
      <c r="AJ50" s="1041">
        <v>0</v>
      </c>
      <c r="AK50" s="941"/>
      <c r="AL50" s="943"/>
      <c r="AM50" s="940"/>
      <c r="AN50" s="954"/>
      <c r="AO50" s="954"/>
      <c r="AP50" s="954"/>
      <c r="AQ50" s="954"/>
      <c r="AR50" s="954"/>
      <c r="AS50" s="954"/>
    </row>
    <row r="51" spans="1:45" ht="13.5" customHeight="1">
      <c r="A51" s="1011" t="s">
        <v>1060</v>
      </c>
      <c r="B51" s="1034">
        <v>8.3333333333333329E-2</v>
      </c>
      <c r="C51" s="1034">
        <v>0.47916666666666669</v>
      </c>
      <c r="D51" s="1035">
        <v>8</v>
      </c>
      <c r="E51" s="1036">
        <v>1.5</v>
      </c>
      <c r="F51" s="1037"/>
      <c r="G51" s="1034">
        <v>8.3333333333333329E-2</v>
      </c>
      <c r="H51" s="1034">
        <v>0.45833333333333331</v>
      </c>
      <c r="I51" s="1035">
        <v>8</v>
      </c>
      <c r="J51" s="1036">
        <v>1</v>
      </c>
      <c r="K51" s="1042"/>
      <c r="L51" s="1034">
        <v>8.3333333333333329E-2</v>
      </c>
      <c r="M51" s="1034">
        <v>0.45833333333333331</v>
      </c>
      <c r="N51" s="1035">
        <v>8</v>
      </c>
      <c r="O51" s="1036">
        <v>1</v>
      </c>
      <c r="P51" s="1042"/>
      <c r="Q51" s="1034">
        <v>8.3333333333333329E-2</v>
      </c>
      <c r="R51" s="1034">
        <v>0.45833333333333331</v>
      </c>
      <c r="S51" s="1035">
        <v>8</v>
      </c>
      <c r="T51" s="1036">
        <v>1</v>
      </c>
      <c r="U51" s="1042"/>
      <c r="V51" s="1034">
        <v>8.3333333333333329E-2</v>
      </c>
      <c r="W51" s="1034">
        <v>0.45833333333333331</v>
      </c>
      <c r="X51" s="1035">
        <v>8</v>
      </c>
      <c r="Y51" s="1036">
        <v>1</v>
      </c>
      <c r="Z51" s="1038">
        <v>40</v>
      </c>
      <c r="AA51" s="1039">
        <v>5.5</v>
      </c>
      <c r="AB51" s="1037"/>
      <c r="AC51" s="1034">
        <v>0.33333333333333331</v>
      </c>
      <c r="AD51" s="1034">
        <v>0.22916666666666666</v>
      </c>
      <c r="AE51" s="1035">
        <v>8.5</v>
      </c>
      <c r="AF51" s="1037"/>
      <c r="AG51" s="1034"/>
      <c r="AH51" s="1034"/>
      <c r="AI51" s="1035"/>
      <c r="AJ51" s="1041">
        <v>8.5</v>
      </c>
      <c r="AK51" s="941"/>
      <c r="AL51" s="943"/>
      <c r="AM51" s="940"/>
      <c r="AN51" s="954"/>
      <c r="AO51" s="954"/>
      <c r="AP51" s="954"/>
      <c r="AQ51" s="954"/>
      <c r="AR51" s="954"/>
      <c r="AS51" s="954"/>
    </row>
    <row r="52" spans="1:45" ht="13.5" customHeight="1">
      <c r="A52" s="941" t="s">
        <v>327</v>
      </c>
      <c r="B52" s="1034">
        <v>8.3333333333333329E-2</v>
      </c>
      <c r="C52" s="1034">
        <v>0.45833333333333331</v>
      </c>
      <c r="D52" s="1035">
        <v>8</v>
      </c>
      <c r="E52" s="1036"/>
      <c r="F52" s="1042"/>
      <c r="G52" s="1034">
        <v>8.3333333333333329E-2</v>
      </c>
      <c r="H52" s="1034">
        <v>0.45833333333333331</v>
      </c>
      <c r="I52" s="1035">
        <v>8</v>
      </c>
      <c r="J52" s="1036">
        <v>1</v>
      </c>
      <c r="K52" s="1042"/>
      <c r="L52" s="1034">
        <v>8.3333333333333329E-2</v>
      </c>
      <c r="M52" s="1034">
        <v>0.45833333333333331</v>
      </c>
      <c r="N52" s="1035">
        <v>8</v>
      </c>
      <c r="O52" s="1036">
        <v>1</v>
      </c>
      <c r="P52" s="1042"/>
      <c r="Q52" s="1034">
        <v>8.3333333333333329E-2</v>
      </c>
      <c r="R52" s="1034">
        <v>0.45833333333333331</v>
      </c>
      <c r="S52" s="1035">
        <v>8</v>
      </c>
      <c r="T52" s="1036">
        <v>1</v>
      </c>
      <c r="U52" s="1042"/>
      <c r="V52" s="1034">
        <v>8.3333333333333329E-2</v>
      </c>
      <c r="W52" s="1034">
        <v>0.45833333333333331</v>
      </c>
      <c r="X52" s="1035">
        <v>8</v>
      </c>
      <c r="Y52" s="1036">
        <v>1</v>
      </c>
      <c r="Z52" s="1038">
        <v>40</v>
      </c>
      <c r="AA52" s="1039">
        <v>4</v>
      </c>
      <c r="AB52" s="1037"/>
      <c r="AC52" s="1034"/>
      <c r="AD52" s="1034"/>
      <c r="AE52" s="1035"/>
      <c r="AF52" s="1037"/>
      <c r="AG52" s="1034"/>
      <c r="AH52" s="1034"/>
      <c r="AI52" s="1035"/>
      <c r="AJ52" s="1041">
        <v>0</v>
      </c>
      <c r="AK52" s="941"/>
      <c r="AL52" s="943"/>
      <c r="AM52" s="940"/>
      <c r="AN52" s="954"/>
      <c r="AO52" s="954"/>
      <c r="AP52" s="954"/>
      <c r="AQ52" s="954"/>
      <c r="AR52" s="954"/>
      <c r="AS52" s="954"/>
    </row>
    <row r="53" spans="1:45" ht="13.5" customHeight="1">
      <c r="A53" s="1006" t="s">
        <v>1144</v>
      </c>
      <c r="B53" s="1034">
        <v>8.3333333333333329E-2</v>
      </c>
      <c r="C53" s="1034">
        <v>0.16666666666666666</v>
      </c>
      <c r="D53" s="1035">
        <v>8</v>
      </c>
      <c r="E53" s="1036">
        <v>6</v>
      </c>
      <c r="F53" s="1042"/>
      <c r="G53" s="1034">
        <v>8.3333333333333329E-2</v>
      </c>
      <c r="H53" s="1034">
        <v>0.45833333333333331</v>
      </c>
      <c r="I53" s="1035">
        <v>8</v>
      </c>
      <c r="J53" s="1036">
        <v>1</v>
      </c>
      <c r="K53" s="1042"/>
      <c r="L53" s="1034">
        <v>8.3333333333333329E-2</v>
      </c>
      <c r="M53" s="1034">
        <v>0.45833333333333331</v>
      </c>
      <c r="N53" s="1035">
        <v>8</v>
      </c>
      <c r="O53" s="1036">
        <v>1</v>
      </c>
      <c r="P53" s="1042"/>
      <c r="Q53" s="1034">
        <v>8.3333333333333329E-2</v>
      </c>
      <c r="R53" s="1034">
        <v>0.45833333333333331</v>
      </c>
      <c r="S53" s="1035">
        <v>8</v>
      </c>
      <c r="T53" s="1036">
        <v>1</v>
      </c>
      <c r="U53" s="1042"/>
      <c r="V53" s="1034">
        <v>8.3333333333333329E-2</v>
      </c>
      <c r="W53" s="1034">
        <v>0.45833333333333331</v>
      </c>
      <c r="X53" s="1035">
        <v>8</v>
      </c>
      <c r="Y53" s="1036">
        <v>1</v>
      </c>
      <c r="Z53" s="1038">
        <v>40</v>
      </c>
      <c r="AA53" s="1039">
        <v>10</v>
      </c>
      <c r="AB53" s="1037"/>
      <c r="AC53" s="1034"/>
      <c r="AD53" s="1034"/>
      <c r="AE53" s="1035"/>
      <c r="AF53" s="1037"/>
      <c r="AG53" s="1034"/>
      <c r="AH53" s="1034"/>
      <c r="AI53" s="1035"/>
      <c r="AJ53" s="1041">
        <v>0</v>
      </c>
      <c r="AK53" s="941"/>
      <c r="AL53" s="943"/>
      <c r="AM53" s="940"/>
      <c r="AN53" s="954"/>
      <c r="AO53" s="954"/>
      <c r="AP53" s="954"/>
      <c r="AQ53" s="954"/>
      <c r="AR53" s="954"/>
      <c r="AS53" s="954"/>
    </row>
    <row r="54" spans="1:45" ht="13.5" customHeight="1">
      <c r="A54" s="1009" t="s">
        <v>241</v>
      </c>
      <c r="B54" s="1034">
        <v>0</v>
      </c>
      <c r="C54" s="1034">
        <v>0</v>
      </c>
      <c r="D54" s="1035">
        <v>0</v>
      </c>
      <c r="E54" s="1036"/>
      <c r="F54" s="1042"/>
      <c r="G54" s="1034">
        <v>0</v>
      </c>
      <c r="H54" s="1034">
        <v>0</v>
      </c>
      <c r="I54" s="1035">
        <v>0</v>
      </c>
      <c r="J54" s="1036"/>
      <c r="K54" s="1042"/>
      <c r="L54" s="1034">
        <v>0</v>
      </c>
      <c r="M54" s="1034">
        <v>0</v>
      </c>
      <c r="N54" s="1035">
        <v>0</v>
      </c>
      <c r="O54" s="1036"/>
      <c r="P54" s="1042"/>
      <c r="Q54" s="1034">
        <v>0</v>
      </c>
      <c r="R54" s="1034">
        <v>0</v>
      </c>
      <c r="S54" s="1035">
        <v>0</v>
      </c>
      <c r="T54" s="1036"/>
      <c r="U54" s="1042"/>
      <c r="V54" s="1034">
        <v>0</v>
      </c>
      <c r="W54" s="1034">
        <v>0</v>
      </c>
      <c r="X54" s="1035">
        <v>0</v>
      </c>
      <c r="Y54" s="1036"/>
      <c r="Z54" s="1038">
        <v>0</v>
      </c>
      <c r="AA54" s="1039">
        <v>0</v>
      </c>
      <c r="AB54" s="1037"/>
      <c r="AC54" s="1034">
        <v>0.33333333333333331</v>
      </c>
      <c r="AD54" s="1034">
        <v>0.25</v>
      </c>
      <c r="AE54" s="1035">
        <v>10</v>
      </c>
      <c r="AF54" s="1037"/>
      <c r="AG54" s="1034"/>
      <c r="AH54" s="1034"/>
      <c r="AI54" s="1035"/>
      <c r="AJ54" s="1041">
        <v>10</v>
      </c>
      <c r="AK54" s="941"/>
      <c r="AL54" s="943"/>
      <c r="AM54" s="940"/>
      <c r="AN54" s="954"/>
      <c r="AO54" s="954"/>
      <c r="AP54" s="954"/>
      <c r="AQ54" s="954"/>
      <c r="AR54" s="954"/>
      <c r="AS54" s="954"/>
    </row>
    <row r="55" spans="1:45" ht="13.5" customHeight="1">
      <c r="A55" s="1009" t="s">
        <v>1140</v>
      </c>
      <c r="B55" s="1034">
        <v>0</v>
      </c>
      <c r="C55" s="1034">
        <v>0</v>
      </c>
      <c r="D55" s="1035">
        <v>0</v>
      </c>
      <c r="E55" s="1036"/>
      <c r="F55" s="1042"/>
      <c r="G55" s="1034">
        <v>0</v>
      </c>
      <c r="H55" s="1034">
        <v>0</v>
      </c>
      <c r="I55" s="1035">
        <v>0</v>
      </c>
      <c r="J55" s="1036"/>
      <c r="K55" s="1042"/>
      <c r="L55" s="1034">
        <v>0</v>
      </c>
      <c r="M55" s="1034">
        <v>0</v>
      </c>
      <c r="N55" s="1035">
        <v>0</v>
      </c>
      <c r="O55" s="1036"/>
      <c r="P55" s="1042"/>
      <c r="Q55" s="1034">
        <v>0</v>
      </c>
      <c r="R55" s="1034">
        <v>0</v>
      </c>
      <c r="S55" s="1035">
        <v>0</v>
      </c>
      <c r="T55" s="1036"/>
      <c r="U55" s="1042"/>
      <c r="V55" s="1034">
        <v>0</v>
      </c>
      <c r="W55" s="1034">
        <v>0</v>
      </c>
      <c r="X55" s="1035">
        <v>0</v>
      </c>
      <c r="Y55" s="1036"/>
      <c r="Z55" s="1038">
        <v>0</v>
      </c>
      <c r="AA55" s="1039">
        <v>0</v>
      </c>
      <c r="AB55" s="1037"/>
      <c r="AC55" s="1034">
        <v>0.33333333333333331</v>
      </c>
      <c r="AD55" s="1034">
        <v>0.27083333333333331</v>
      </c>
      <c r="AE55" s="1035">
        <v>10.5</v>
      </c>
      <c r="AF55" s="1037"/>
      <c r="AG55" s="1034">
        <v>0.33333333333333331</v>
      </c>
      <c r="AH55" s="1034">
        <v>0.27083333333333331</v>
      </c>
      <c r="AI55" s="1035">
        <v>10.5</v>
      </c>
      <c r="AJ55" s="1041">
        <v>21</v>
      </c>
      <c r="AK55" s="941"/>
      <c r="AL55" s="943"/>
      <c r="AM55" s="940"/>
      <c r="AN55" s="954"/>
      <c r="AO55" s="954"/>
      <c r="AP55" s="954"/>
      <c r="AQ55" s="954"/>
      <c r="AR55" s="954"/>
      <c r="AS55" s="954"/>
    </row>
    <row r="56" spans="1:45" ht="13.5" customHeight="1">
      <c r="A56" s="1009" t="s">
        <v>1431</v>
      </c>
      <c r="B56" s="1034"/>
      <c r="C56" s="1034"/>
      <c r="D56" s="1035">
        <v>1</v>
      </c>
      <c r="E56" s="1036"/>
      <c r="F56" s="1042"/>
      <c r="G56" s="1034"/>
      <c r="H56" s="1034"/>
      <c r="I56" s="1035">
        <v>1</v>
      </c>
      <c r="J56" s="1036"/>
      <c r="K56" s="1042"/>
      <c r="L56" s="1034"/>
      <c r="M56" s="1034"/>
      <c r="N56" s="1035">
        <v>1</v>
      </c>
      <c r="O56" s="1036"/>
      <c r="P56" s="1042"/>
      <c r="Q56" s="1034"/>
      <c r="R56" s="1034"/>
      <c r="S56" s="1035">
        <v>1</v>
      </c>
      <c r="T56" s="1036"/>
      <c r="U56" s="1042"/>
      <c r="V56" s="1034"/>
      <c r="W56" s="1034"/>
      <c r="X56" s="1035">
        <v>1</v>
      </c>
      <c r="Y56" s="1036"/>
      <c r="Z56" s="1038">
        <v>5</v>
      </c>
      <c r="AA56" s="1039">
        <v>0</v>
      </c>
      <c r="AB56" s="1037"/>
      <c r="AC56" s="1034"/>
      <c r="AD56" s="1034"/>
      <c r="AE56" s="1035"/>
      <c r="AF56" s="1037"/>
      <c r="AG56" s="1034"/>
      <c r="AH56" s="1034"/>
      <c r="AI56" s="1035"/>
      <c r="AJ56" s="1041">
        <v>0</v>
      </c>
      <c r="AK56" s="941"/>
      <c r="AL56" s="943"/>
      <c r="AM56" s="940"/>
      <c r="AN56" s="954"/>
      <c r="AO56" s="954"/>
      <c r="AP56" s="954"/>
      <c r="AQ56" s="954"/>
      <c r="AR56" s="954"/>
      <c r="AS56" s="954"/>
    </row>
    <row r="57" spans="1:45" ht="13.5" customHeight="1">
      <c r="A57" s="1009" t="s">
        <v>813</v>
      </c>
      <c r="B57" s="1034"/>
      <c r="C57" s="1034"/>
      <c r="D57" s="1035">
        <v>2</v>
      </c>
      <c r="E57" s="1036"/>
      <c r="F57" s="1042"/>
      <c r="G57" s="1034"/>
      <c r="H57" s="1034"/>
      <c r="I57" s="1035">
        <v>2</v>
      </c>
      <c r="J57" s="1036"/>
      <c r="K57" s="1042"/>
      <c r="L57" s="1034"/>
      <c r="M57" s="1034"/>
      <c r="N57" s="1035">
        <v>2</v>
      </c>
      <c r="O57" s="1036"/>
      <c r="P57" s="1042"/>
      <c r="Q57" s="1034"/>
      <c r="R57" s="1034"/>
      <c r="S57" s="1035">
        <v>2</v>
      </c>
      <c r="T57" s="1036"/>
      <c r="U57" s="1042"/>
      <c r="V57" s="1034"/>
      <c r="W57" s="1034"/>
      <c r="X57" s="1035">
        <v>2</v>
      </c>
      <c r="Y57" s="1036"/>
      <c r="Z57" s="1038">
        <v>10</v>
      </c>
      <c r="AA57" s="1039">
        <v>0</v>
      </c>
      <c r="AB57" s="1037"/>
      <c r="AC57" s="1034"/>
      <c r="AD57" s="1034"/>
      <c r="AE57" s="1035"/>
      <c r="AF57" s="1037"/>
      <c r="AG57" s="1034"/>
      <c r="AH57" s="1034"/>
      <c r="AI57" s="1035"/>
      <c r="AJ57" s="1041">
        <v>0</v>
      </c>
      <c r="AK57" s="941"/>
      <c r="AL57" s="943"/>
      <c r="AM57" s="940"/>
      <c r="AN57" s="954"/>
      <c r="AO57" s="954"/>
      <c r="AP57" s="954"/>
      <c r="AQ57" s="954"/>
      <c r="AR57" s="954"/>
      <c r="AS57" s="954"/>
    </row>
    <row r="58" spans="1:45" ht="13.5" customHeight="1">
      <c r="A58" s="1009" t="s">
        <v>1432</v>
      </c>
      <c r="B58" s="1034"/>
      <c r="C58" s="1034"/>
      <c r="D58" s="1035"/>
      <c r="E58" s="1036"/>
      <c r="F58" s="1042"/>
      <c r="G58" s="1034"/>
      <c r="H58" s="1034"/>
      <c r="I58" s="1035"/>
      <c r="J58" s="1036"/>
      <c r="K58" s="1042"/>
      <c r="L58" s="1034"/>
      <c r="M58" s="1034"/>
      <c r="N58" s="1035"/>
      <c r="O58" s="1036"/>
      <c r="P58" s="1042"/>
      <c r="Q58" s="1034"/>
      <c r="R58" s="1034"/>
      <c r="S58" s="1035"/>
      <c r="T58" s="1036"/>
      <c r="U58" s="1042"/>
      <c r="V58" s="1034"/>
      <c r="W58" s="1034"/>
      <c r="X58" s="1035"/>
      <c r="Y58" s="1036"/>
      <c r="Z58" s="1038">
        <v>0</v>
      </c>
      <c r="AA58" s="1039">
        <v>0</v>
      </c>
      <c r="AB58" s="1037"/>
      <c r="AC58" s="1034"/>
      <c r="AD58" s="1034"/>
      <c r="AE58" s="1035">
        <v>8</v>
      </c>
      <c r="AF58" s="1037"/>
      <c r="AG58" s="1034"/>
      <c r="AH58" s="1034"/>
      <c r="AI58" s="1035">
        <v>8</v>
      </c>
      <c r="AJ58" s="1041">
        <v>16</v>
      </c>
      <c r="AK58" s="941"/>
      <c r="AL58" s="943"/>
      <c r="AM58" s="940"/>
      <c r="AN58" s="954"/>
      <c r="AO58" s="954"/>
      <c r="AP58" s="954"/>
      <c r="AQ58" s="954"/>
      <c r="AR58" s="954"/>
      <c r="AS58" s="954"/>
    </row>
    <row r="59" spans="1:45" ht="13.5" customHeight="1">
      <c r="A59" s="1009" t="s">
        <v>88</v>
      </c>
      <c r="B59" s="1034"/>
      <c r="C59" s="1034"/>
      <c r="D59" s="1035">
        <v>2</v>
      </c>
      <c r="E59" s="1036"/>
      <c r="F59" s="1042"/>
      <c r="G59" s="1034"/>
      <c r="H59" s="1034"/>
      <c r="I59" s="1035">
        <v>2</v>
      </c>
      <c r="J59" s="1036"/>
      <c r="K59" s="1042"/>
      <c r="L59" s="1034"/>
      <c r="M59" s="1034"/>
      <c r="N59" s="1035">
        <v>2</v>
      </c>
      <c r="O59" s="1036"/>
      <c r="P59" s="1042"/>
      <c r="Q59" s="1034"/>
      <c r="R59" s="1034"/>
      <c r="S59" s="1035">
        <v>2</v>
      </c>
      <c r="T59" s="1036"/>
      <c r="U59" s="1042"/>
      <c r="V59" s="1034"/>
      <c r="W59" s="1034"/>
      <c r="X59" s="1035">
        <v>2</v>
      </c>
      <c r="Y59" s="1036"/>
      <c r="Z59" s="1038">
        <v>10</v>
      </c>
      <c r="AA59" s="1039">
        <v>0</v>
      </c>
      <c r="AB59" s="1037"/>
      <c r="AC59" s="1034"/>
      <c r="AD59" s="1034"/>
      <c r="AE59" s="1035"/>
      <c r="AF59" s="1037"/>
      <c r="AG59" s="1034"/>
      <c r="AH59" s="1034"/>
      <c r="AI59" s="1035"/>
      <c r="AJ59" s="1041">
        <v>0</v>
      </c>
      <c r="AK59" s="941"/>
      <c r="AL59" s="943"/>
      <c r="AM59" s="940"/>
      <c r="AN59" s="954"/>
      <c r="AO59" s="954"/>
      <c r="AP59" s="954"/>
      <c r="AQ59" s="954"/>
      <c r="AR59" s="954"/>
      <c r="AS59" s="954"/>
    </row>
    <row r="60" spans="1:45" ht="13.5" customHeight="1">
      <c r="A60" s="1043" t="s">
        <v>1433</v>
      </c>
      <c r="B60" s="1034">
        <v>0.41666666666666669</v>
      </c>
      <c r="C60" s="1034">
        <v>0.3125</v>
      </c>
      <c r="D60" s="1035">
        <v>8</v>
      </c>
      <c r="E60" s="1036">
        <v>1.5</v>
      </c>
      <c r="F60" s="1042"/>
      <c r="G60" s="1034">
        <v>0.41666666666666669</v>
      </c>
      <c r="H60" s="1034">
        <v>0.29166666666666669</v>
      </c>
      <c r="I60" s="1035">
        <v>8</v>
      </c>
      <c r="J60" s="1036">
        <v>1</v>
      </c>
      <c r="K60" s="1042"/>
      <c r="L60" s="1034">
        <v>0.41666666666666669</v>
      </c>
      <c r="M60" s="1034">
        <v>0.33333333333333331</v>
      </c>
      <c r="N60" s="1035">
        <v>8</v>
      </c>
      <c r="O60" s="1036">
        <v>2</v>
      </c>
      <c r="P60" s="1042"/>
      <c r="Q60" s="1034">
        <v>0.41666666666666669</v>
      </c>
      <c r="R60" s="1034">
        <v>0.29166666666666669</v>
      </c>
      <c r="S60" s="1035">
        <v>8</v>
      </c>
      <c r="T60" s="1036">
        <v>1</v>
      </c>
      <c r="U60" s="1042"/>
      <c r="V60" s="1034">
        <v>0.41666666666666669</v>
      </c>
      <c r="W60" s="1034">
        <v>0.29166666666666669</v>
      </c>
      <c r="X60" s="1035">
        <v>8</v>
      </c>
      <c r="Y60" s="1036">
        <v>1</v>
      </c>
      <c r="Z60" s="1038">
        <v>40</v>
      </c>
      <c r="AA60" s="1039">
        <v>6.5</v>
      </c>
      <c r="AB60" s="1037"/>
      <c r="AC60" s="1034"/>
      <c r="AD60" s="1034"/>
      <c r="AE60" s="1035"/>
      <c r="AF60" s="1037"/>
      <c r="AG60" s="1034"/>
      <c r="AH60" s="1034"/>
      <c r="AI60" s="1035"/>
      <c r="AJ60" s="1041">
        <v>0</v>
      </c>
      <c r="AK60" s="941"/>
      <c r="AL60" s="943"/>
      <c r="AM60" s="940"/>
      <c r="AN60" s="954"/>
      <c r="AO60" s="954"/>
      <c r="AP60" s="954"/>
      <c r="AQ60" s="954"/>
      <c r="AR60" s="954"/>
      <c r="AS60" s="954"/>
    </row>
    <row r="61" spans="1:45" ht="13.5" customHeight="1">
      <c r="A61" s="1016" t="s">
        <v>61</v>
      </c>
      <c r="B61" s="1044"/>
      <c r="C61" s="1044"/>
      <c r="D61" s="1045">
        <v>109</v>
      </c>
      <c r="E61" s="1036">
        <v>17.5</v>
      </c>
      <c r="F61" s="1044"/>
      <c r="G61" s="1044"/>
      <c r="H61" s="1044"/>
      <c r="I61" s="1045">
        <v>109</v>
      </c>
      <c r="J61" s="1036">
        <v>12.75</v>
      </c>
      <c r="K61" s="1044"/>
      <c r="L61" s="1044"/>
      <c r="M61" s="1044"/>
      <c r="N61" s="1045">
        <v>109</v>
      </c>
      <c r="O61" s="1036">
        <v>12.25</v>
      </c>
      <c r="P61" s="1044"/>
      <c r="Q61" s="1044"/>
      <c r="R61" s="1044"/>
      <c r="S61" s="1045">
        <v>109</v>
      </c>
      <c r="T61" s="1036">
        <v>14</v>
      </c>
      <c r="U61" s="1044"/>
      <c r="V61" s="1044"/>
      <c r="W61" s="1044"/>
      <c r="X61" s="1045">
        <v>109</v>
      </c>
      <c r="Y61" s="1036">
        <v>11</v>
      </c>
      <c r="Z61" s="1038">
        <v>545</v>
      </c>
      <c r="AA61" s="1038">
        <v>67.5</v>
      </c>
      <c r="AB61" s="1037"/>
      <c r="AC61" s="1044"/>
      <c r="AD61" s="1044"/>
      <c r="AE61" s="1038">
        <v>37</v>
      </c>
      <c r="AF61" s="1037"/>
      <c r="AG61" s="1044"/>
      <c r="AH61" s="1044"/>
      <c r="AI61" s="1038">
        <v>23</v>
      </c>
      <c r="AJ61" s="1028">
        <v>60</v>
      </c>
      <c r="AK61" s="941"/>
      <c r="AL61" s="943"/>
      <c r="AM61" s="940"/>
      <c r="AN61" s="954"/>
      <c r="AO61" s="954"/>
      <c r="AP61" s="954"/>
      <c r="AQ61" s="954"/>
      <c r="AR61" s="954"/>
      <c r="AS61" s="954"/>
    </row>
    <row r="62" spans="1:45" ht="13.5" customHeight="1">
      <c r="A62" s="1016" t="s">
        <v>1434</v>
      </c>
      <c r="B62" s="1044"/>
      <c r="C62" s="1044"/>
      <c r="D62" s="1045">
        <v>8</v>
      </c>
      <c r="E62" s="1036">
        <v>1.5</v>
      </c>
      <c r="F62" s="1044"/>
      <c r="G62" s="1044"/>
      <c r="H62" s="1044"/>
      <c r="I62" s="1045">
        <v>8</v>
      </c>
      <c r="J62" s="1036">
        <v>1</v>
      </c>
      <c r="K62" s="1044"/>
      <c r="L62" s="1044"/>
      <c r="M62" s="1044"/>
      <c r="N62" s="1045">
        <v>8</v>
      </c>
      <c r="O62" s="1036">
        <v>2</v>
      </c>
      <c r="P62" s="1044"/>
      <c r="Q62" s="1044"/>
      <c r="R62" s="1044"/>
      <c r="S62" s="1045">
        <v>8</v>
      </c>
      <c r="T62" s="1036">
        <v>1</v>
      </c>
      <c r="U62" s="1044"/>
      <c r="V62" s="1044"/>
      <c r="W62" s="1044"/>
      <c r="X62" s="1045">
        <v>8</v>
      </c>
      <c r="Y62" s="1036">
        <v>1</v>
      </c>
      <c r="Z62" s="1038">
        <v>40</v>
      </c>
      <c r="AA62" s="1038">
        <v>9.75</v>
      </c>
      <c r="AB62" s="1037"/>
      <c r="AC62" s="1044"/>
      <c r="AD62" s="1044"/>
      <c r="AE62" s="1038"/>
      <c r="AF62" s="1037"/>
      <c r="AG62" s="1044"/>
      <c r="AH62" s="1044"/>
      <c r="AI62" s="1038"/>
      <c r="AJ62" s="1028">
        <v>0</v>
      </c>
      <c r="AK62" s="941"/>
      <c r="AL62" s="943"/>
      <c r="AM62" s="940"/>
      <c r="AN62" s="954"/>
      <c r="AO62" s="954"/>
      <c r="AP62" s="954"/>
      <c r="AQ62" s="954"/>
      <c r="AR62" s="954"/>
      <c r="AS62" s="954"/>
    </row>
    <row r="63" spans="1:45" ht="13.5" customHeight="1">
      <c r="A63" s="1022" t="s">
        <v>64</v>
      </c>
      <c r="B63" s="1034"/>
      <c r="C63" s="1034"/>
      <c r="D63" s="1035">
        <v>5</v>
      </c>
      <c r="E63" s="1035">
        <v>4.5</v>
      </c>
      <c r="F63" s="1046"/>
      <c r="G63" s="1034"/>
      <c r="H63" s="1034"/>
      <c r="I63" s="1035">
        <v>6</v>
      </c>
      <c r="J63" s="1035">
        <v>3.5</v>
      </c>
      <c r="K63" s="1042"/>
      <c r="L63" s="1034"/>
      <c r="M63" s="1034"/>
      <c r="N63" s="1035">
        <v>5</v>
      </c>
      <c r="O63" s="1035">
        <v>3.5</v>
      </c>
      <c r="P63" s="1042"/>
      <c r="Q63" s="1034"/>
      <c r="R63" s="1034"/>
      <c r="S63" s="1035">
        <v>6</v>
      </c>
      <c r="T63" s="1035">
        <v>2.25</v>
      </c>
      <c r="U63" s="1042"/>
      <c r="V63" s="1034"/>
      <c r="W63" s="1034"/>
      <c r="X63" s="1035">
        <v>7</v>
      </c>
      <c r="Y63" s="1035">
        <v>2.5</v>
      </c>
      <c r="Z63" s="1038">
        <v>29</v>
      </c>
      <c r="AA63" s="1047">
        <v>16.25</v>
      </c>
      <c r="AB63" s="1037"/>
      <c r="AC63" s="1034" t="s">
        <v>29</v>
      </c>
      <c r="AD63" s="1034" t="s">
        <v>29</v>
      </c>
      <c r="AE63" s="1035">
        <v>2.25</v>
      </c>
      <c r="AF63" s="1037"/>
      <c r="AG63" s="1034" t="s">
        <v>29</v>
      </c>
      <c r="AH63" s="1034" t="s">
        <v>29</v>
      </c>
      <c r="AI63" s="1035">
        <v>3.75</v>
      </c>
      <c r="AJ63" s="1048">
        <v>6</v>
      </c>
      <c r="AK63" s="941"/>
      <c r="AL63" s="943"/>
      <c r="AM63" s="940"/>
      <c r="AN63" s="1021"/>
      <c r="AO63" s="954"/>
      <c r="AP63" s="954"/>
      <c r="AQ63" s="954"/>
      <c r="AR63" s="954"/>
      <c r="AS63" s="954"/>
    </row>
    <row r="64" spans="1:45" ht="13.5" customHeight="1">
      <c r="A64" s="1026" t="s">
        <v>66</v>
      </c>
      <c r="B64" s="1027"/>
      <c r="C64" s="1027"/>
      <c r="D64" s="1026"/>
      <c r="E64" s="1024"/>
      <c r="F64" s="1026"/>
      <c r="G64" s="1026"/>
      <c r="H64" s="1026"/>
      <c r="I64" s="1026"/>
      <c r="J64" s="1024"/>
      <c r="K64" s="1026"/>
      <c r="L64" s="1026"/>
      <c r="M64" s="1026"/>
      <c r="N64" s="1026"/>
      <c r="O64" s="1024"/>
      <c r="P64" s="1026"/>
      <c r="Q64" s="1026"/>
      <c r="R64" s="1026"/>
      <c r="S64" s="1026"/>
      <c r="T64" s="1024"/>
      <c r="U64" s="1026"/>
      <c r="V64" s="1026"/>
      <c r="W64" s="1026"/>
      <c r="X64" s="1026"/>
      <c r="Y64" s="1024"/>
      <c r="Z64" s="1028">
        <v>29</v>
      </c>
      <c r="AA64" s="1028">
        <v>16.25</v>
      </c>
      <c r="AB64" s="941"/>
      <c r="AC64" s="940"/>
      <c r="AD64" s="940"/>
      <c r="AE64" s="940"/>
      <c r="AF64" s="941"/>
      <c r="AG64" s="940"/>
      <c r="AH64" s="940"/>
      <c r="AI64" s="940"/>
      <c r="AJ64" s="1028">
        <v>6</v>
      </c>
      <c r="AK64" s="941"/>
      <c r="AL64" s="943"/>
      <c r="AM64" s="940"/>
      <c r="AN64" s="1021"/>
      <c r="AO64" s="954"/>
      <c r="AP64" s="954"/>
      <c r="AQ64" s="954"/>
      <c r="AR64" s="954"/>
      <c r="AS64" s="954"/>
    </row>
    <row r="65" spans="1:45" ht="13.5" customHeight="1">
      <c r="A65" s="1029" t="s">
        <v>67</v>
      </c>
      <c r="B65" s="1030">
        <v>75</v>
      </c>
      <c r="C65" s="1030"/>
      <c r="D65" s="1031"/>
      <c r="E65" s="1031"/>
      <c r="F65" s="1030"/>
      <c r="G65" s="1031"/>
      <c r="H65" s="1031"/>
      <c r="I65" s="1031"/>
      <c r="J65" s="1031"/>
      <c r="K65" s="1030"/>
      <c r="L65" s="1030"/>
      <c r="M65" s="1030"/>
      <c r="N65" s="1030"/>
      <c r="O65" s="1031"/>
      <c r="P65" s="1030"/>
      <c r="Q65" s="1030"/>
      <c r="R65" s="1030"/>
      <c r="S65" s="1030"/>
      <c r="T65" s="1031"/>
      <c r="U65" s="1030"/>
      <c r="V65" s="1030"/>
      <c r="W65" s="1030"/>
      <c r="X65" s="1032"/>
      <c r="Y65" s="1031"/>
      <c r="Z65" s="1033"/>
      <c r="AA65" s="1031"/>
      <c r="AB65" s="1033"/>
      <c r="AC65" s="1033"/>
      <c r="AD65" s="1033"/>
      <c r="AE65" s="1033"/>
      <c r="AF65" s="1033"/>
      <c r="AG65" s="1033"/>
      <c r="AH65" s="1033"/>
      <c r="AI65" s="1033"/>
      <c r="AJ65" s="1033"/>
      <c r="AK65" s="941"/>
      <c r="AL65" s="943"/>
      <c r="AM65" s="940"/>
      <c r="AN65" s="1021"/>
      <c r="AO65" s="954"/>
      <c r="AP65" s="954"/>
      <c r="AQ65" s="954"/>
      <c r="AR65" s="954"/>
      <c r="AS65" s="954"/>
    </row>
    <row r="66" spans="1:45" ht="13.5" customHeight="1">
      <c r="A66" s="940"/>
      <c r="B66" s="940"/>
      <c r="C66" s="940"/>
      <c r="D66" s="941"/>
      <c r="E66" s="942"/>
      <c r="F66" s="941"/>
      <c r="G66" s="940"/>
      <c r="H66" s="940"/>
      <c r="I66" s="941"/>
      <c r="J66" s="942"/>
      <c r="K66" s="941"/>
      <c r="L66" s="940"/>
      <c r="M66" s="940"/>
      <c r="N66" s="941"/>
      <c r="O66" s="942"/>
      <c r="P66" s="941"/>
      <c r="Q66" s="940"/>
      <c r="R66" s="940"/>
      <c r="S66" s="941"/>
      <c r="T66" s="942"/>
      <c r="U66" s="941"/>
      <c r="V66" s="940"/>
      <c r="W66" s="940"/>
      <c r="X66" s="941"/>
      <c r="Y66" s="942"/>
      <c r="Z66" s="941"/>
      <c r="AA66" s="941"/>
      <c r="AB66" s="941"/>
      <c r="AC66" s="940"/>
      <c r="AD66" s="940"/>
      <c r="AE66" s="940"/>
      <c r="AF66" s="941"/>
      <c r="AG66" s="940"/>
      <c r="AH66" s="940"/>
      <c r="AI66" s="940"/>
      <c r="AJ66" s="940"/>
      <c r="AK66" s="941"/>
      <c r="AL66" s="943"/>
      <c r="AM66" s="940"/>
      <c r="AN66" s="954"/>
      <c r="AO66" s="954"/>
      <c r="AP66" s="954"/>
      <c r="AQ66" s="954"/>
      <c r="AR66" s="954"/>
      <c r="AS66" s="954"/>
    </row>
    <row r="67" spans="1:45" ht="13.5" customHeight="1">
      <c r="A67" s="974"/>
      <c r="B67" s="975"/>
      <c r="C67" s="975"/>
      <c r="D67" s="976"/>
      <c r="E67" s="976"/>
      <c r="F67" s="975"/>
      <c r="G67" s="976"/>
      <c r="H67" s="976"/>
      <c r="I67" s="976"/>
      <c r="J67" s="976"/>
      <c r="K67" s="975"/>
      <c r="L67" s="975"/>
      <c r="M67" s="975"/>
      <c r="N67" s="975"/>
      <c r="O67" s="976"/>
      <c r="P67" s="975"/>
      <c r="Q67" s="975"/>
      <c r="R67" s="975"/>
      <c r="S67" s="975"/>
      <c r="T67" s="976"/>
      <c r="U67" s="975"/>
      <c r="V67" s="975"/>
      <c r="W67" s="975"/>
      <c r="X67" s="977"/>
      <c r="Y67" s="976"/>
      <c r="Z67" s="978"/>
      <c r="AA67" s="976"/>
      <c r="AB67" s="979"/>
      <c r="AC67" s="980"/>
      <c r="AD67" s="943"/>
      <c r="AE67" s="943"/>
      <c r="AF67" s="979"/>
      <c r="AG67" s="980"/>
      <c r="AH67" s="943"/>
      <c r="AI67" s="943"/>
      <c r="AJ67" s="943"/>
      <c r="AK67" s="943"/>
      <c r="AL67" s="943"/>
      <c r="AM67" s="943"/>
      <c r="AN67" s="943"/>
      <c r="AO67" s="943"/>
      <c r="AP67" s="943"/>
      <c r="AQ67" s="943"/>
      <c r="AR67" s="943"/>
      <c r="AS67" s="943"/>
    </row>
    <row r="68" spans="1:45" ht="13.5" customHeight="1">
      <c r="A68" s="940"/>
      <c r="B68" s="940"/>
      <c r="C68" s="940"/>
      <c r="D68" s="941"/>
      <c r="E68" s="942"/>
      <c r="F68" s="941"/>
      <c r="G68" s="940"/>
      <c r="H68" s="940"/>
      <c r="I68" s="941"/>
      <c r="J68" s="942"/>
      <c r="K68" s="941"/>
      <c r="L68" s="940"/>
      <c r="M68" s="940"/>
      <c r="N68" s="941"/>
      <c r="O68" s="942"/>
      <c r="P68" s="941"/>
      <c r="Q68" s="940"/>
      <c r="R68" s="940"/>
      <c r="S68" s="941"/>
      <c r="T68" s="942"/>
      <c r="U68" s="941"/>
      <c r="V68" s="940"/>
      <c r="W68" s="940"/>
      <c r="X68" s="941"/>
      <c r="Y68" s="942"/>
      <c r="Z68" s="941"/>
      <c r="AA68" s="941"/>
      <c r="AB68" s="941"/>
      <c r="AC68" s="940"/>
      <c r="AD68" s="940"/>
      <c r="AE68" s="940"/>
      <c r="AF68" s="941"/>
      <c r="AG68" s="940"/>
      <c r="AH68" s="940"/>
      <c r="AI68" s="940"/>
      <c r="AJ68" s="940"/>
      <c r="AK68" s="941"/>
      <c r="AL68" s="943"/>
      <c r="AM68" s="940"/>
      <c r="AN68" s="954"/>
      <c r="AO68" s="954"/>
      <c r="AP68" s="954"/>
      <c r="AQ68" s="954"/>
      <c r="AR68" s="954"/>
      <c r="AS68" s="954"/>
    </row>
    <row r="69" spans="1:45" ht="13.5" customHeight="1">
      <c r="A69" s="1592" t="s">
        <v>18</v>
      </c>
      <c r="B69" s="1588">
        <v>45852</v>
      </c>
      <c r="C69" s="1588"/>
      <c r="D69" s="1588" t="s">
        <v>564</v>
      </c>
      <c r="E69" s="1588"/>
      <c r="F69" s="981"/>
      <c r="G69" s="1588">
        <v>45853</v>
      </c>
      <c r="H69" s="1588"/>
      <c r="I69" s="1588" t="s">
        <v>565</v>
      </c>
      <c r="J69" s="1588"/>
      <c r="K69" s="981"/>
      <c r="L69" s="1588">
        <v>45854</v>
      </c>
      <c r="M69" s="1588"/>
      <c r="N69" s="1588" t="s">
        <v>566</v>
      </c>
      <c r="O69" s="1588"/>
      <c r="P69" s="981"/>
      <c r="Q69" s="1588">
        <v>45855</v>
      </c>
      <c r="R69" s="1588"/>
      <c r="S69" s="1588" t="s">
        <v>567</v>
      </c>
      <c r="T69" s="1588"/>
      <c r="U69" s="981"/>
      <c r="V69" s="1588">
        <v>45856</v>
      </c>
      <c r="W69" s="1588"/>
      <c r="X69" s="1588" t="s">
        <v>568</v>
      </c>
      <c r="Y69" s="1588"/>
      <c r="Z69" s="1589" t="s">
        <v>19</v>
      </c>
      <c r="AA69" s="1589" t="s">
        <v>20</v>
      </c>
      <c r="AB69" s="941"/>
      <c r="AC69" s="1588">
        <v>45857</v>
      </c>
      <c r="AD69" s="1588"/>
      <c r="AE69" s="982" t="s">
        <v>569</v>
      </c>
      <c r="AF69" s="941"/>
      <c r="AG69" s="1588">
        <v>45858</v>
      </c>
      <c r="AH69" s="1588"/>
      <c r="AI69" s="983" t="s">
        <v>570</v>
      </c>
      <c r="AJ69" s="1589" t="s">
        <v>1420</v>
      </c>
      <c r="AK69" s="941"/>
      <c r="AL69" s="984"/>
      <c r="AM69" s="940"/>
      <c r="AN69" s="985" t="s">
        <v>84</v>
      </c>
      <c r="AO69" s="986"/>
      <c r="AP69" s="986"/>
      <c r="AQ69" s="986"/>
      <c r="AR69" s="986"/>
      <c r="AS69" s="986"/>
    </row>
    <row r="70" spans="1:45" ht="13.5" customHeight="1">
      <c r="A70" s="1592"/>
      <c r="B70" s="987" t="s">
        <v>23</v>
      </c>
      <c r="C70" s="987" t="s">
        <v>24</v>
      </c>
      <c r="D70" s="988" t="s">
        <v>25</v>
      </c>
      <c r="E70" s="989" t="s">
        <v>14</v>
      </c>
      <c r="F70" s="941"/>
      <c r="G70" s="987"/>
      <c r="H70" s="987" t="s">
        <v>24</v>
      </c>
      <c r="I70" s="990" t="s">
        <v>25</v>
      </c>
      <c r="J70" s="989" t="s">
        <v>14</v>
      </c>
      <c r="K70" s="941"/>
      <c r="L70" s="987" t="s">
        <v>23</v>
      </c>
      <c r="M70" s="987" t="s">
        <v>24</v>
      </c>
      <c r="N70" s="990" t="s">
        <v>25</v>
      </c>
      <c r="O70" s="989" t="s">
        <v>14</v>
      </c>
      <c r="P70" s="941"/>
      <c r="Q70" s="987" t="s">
        <v>23</v>
      </c>
      <c r="R70" s="987" t="s">
        <v>24</v>
      </c>
      <c r="S70" s="990" t="s">
        <v>25</v>
      </c>
      <c r="T70" s="989" t="s">
        <v>14</v>
      </c>
      <c r="U70" s="941"/>
      <c r="V70" s="987" t="s">
        <v>23</v>
      </c>
      <c r="W70" s="987" t="s">
        <v>24</v>
      </c>
      <c r="X70" s="990" t="s">
        <v>25</v>
      </c>
      <c r="Y70" s="989" t="s">
        <v>14</v>
      </c>
      <c r="Z70" s="1589"/>
      <c r="AA70" s="1589"/>
      <c r="AB70" s="941"/>
      <c r="AC70" s="987" t="s">
        <v>23</v>
      </c>
      <c r="AD70" s="987" t="s">
        <v>24</v>
      </c>
      <c r="AE70" s="990" t="s">
        <v>25</v>
      </c>
      <c r="AF70" s="941"/>
      <c r="AG70" s="987" t="s">
        <v>23</v>
      </c>
      <c r="AH70" s="987" t="s">
        <v>24</v>
      </c>
      <c r="AI70" s="990" t="s">
        <v>25</v>
      </c>
      <c r="AJ70" s="1589"/>
      <c r="AK70" s="941"/>
      <c r="AL70" s="984"/>
      <c r="AM70" s="991"/>
      <c r="AN70" s="992" t="s">
        <v>26</v>
      </c>
      <c r="AO70" s="993">
        <f>Z92</f>
        <v>542.5</v>
      </c>
      <c r="AP70" s="994">
        <v>40.31</v>
      </c>
      <c r="AQ70" s="994">
        <f>AP70*AO70</f>
        <v>21868.175000000003</v>
      </c>
      <c r="AR70" s="954"/>
      <c r="AS70" s="954"/>
    </row>
    <row r="71" spans="1:45" ht="13.5" customHeight="1">
      <c r="A71" s="1006" t="s">
        <v>72</v>
      </c>
      <c r="B71" s="1034">
        <v>0.29166666666666669</v>
      </c>
      <c r="C71" s="1034">
        <v>0.125</v>
      </c>
      <c r="D71" s="1035">
        <v>8</v>
      </c>
      <c r="E71" s="1036"/>
      <c r="F71" s="1037"/>
      <c r="G71" s="1034">
        <v>0.29166666666666669</v>
      </c>
      <c r="H71" s="1034">
        <v>0.125</v>
      </c>
      <c r="I71" s="1035">
        <v>8</v>
      </c>
      <c r="J71" s="1036"/>
      <c r="K71" s="1037"/>
      <c r="L71" s="1034">
        <v>0.29166666666666669</v>
      </c>
      <c r="M71" s="1034">
        <v>0.125</v>
      </c>
      <c r="N71" s="1035">
        <v>8</v>
      </c>
      <c r="O71" s="1036"/>
      <c r="P71" s="1037"/>
      <c r="Q71" s="1034">
        <v>0.29166666666666669</v>
      </c>
      <c r="R71" s="1034">
        <v>0.125</v>
      </c>
      <c r="S71" s="1035">
        <v>8</v>
      </c>
      <c r="T71" s="1036"/>
      <c r="U71" s="1037"/>
      <c r="V71" s="1034">
        <v>0.29166666666666669</v>
      </c>
      <c r="W71" s="1034">
        <v>0.125</v>
      </c>
      <c r="X71" s="1035">
        <v>8</v>
      </c>
      <c r="Y71" s="1036"/>
      <c r="Z71" s="1038">
        <v>40</v>
      </c>
      <c r="AA71" s="1039">
        <v>0</v>
      </c>
      <c r="AB71" s="1037"/>
      <c r="AC71" s="1040"/>
      <c r="AD71" s="1040"/>
      <c r="AE71" s="1035"/>
      <c r="AF71" s="1037"/>
      <c r="AG71" s="1040"/>
      <c r="AH71" s="1040"/>
      <c r="AI71" s="1035"/>
      <c r="AJ71" s="1038">
        <v>0</v>
      </c>
      <c r="AK71" s="941"/>
      <c r="AL71" s="984"/>
      <c r="AM71" s="991"/>
      <c r="AN71" s="992" t="s">
        <v>1421</v>
      </c>
      <c r="AO71" s="1005">
        <f>Z93</f>
        <v>64</v>
      </c>
      <c r="AP71" s="1007">
        <v>60.47</v>
      </c>
      <c r="AQ71" s="994">
        <f>AP71*AO71</f>
        <v>3870.08</v>
      </c>
      <c r="AR71" s="954"/>
      <c r="AS71" s="954"/>
    </row>
    <row r="72" spans="1:45" ht="13.5" customHeight="1">
      <c r="A72" s="1009" t="s">
        <v>1430</v>
      </c>
      <c r="B72" s="1034">
        <v>0.29166666666666669</v>
      </c>
      <c r="C72" s="1034">
        <v>0.125</v>
      </c>
      <c r="D72" s="1035">
        <v>8</v>
      </c>
      <c r="E72" s="1036"/>
      <c r="F72" s="1037"/>
      <c r="G72" s="1034">
        <v>0.29166666666666669</v>
      </c>
      <c r="H72" s="1034">
        <v>0.125</v>
      </c>
      <c r="I72" s="1035">
        <v>8</v>
      </c>
      <c r="J72" s="1036"/>
      <c r="K72" s="1037"/>
      <c r="L72" s="1034">
        <v>0.29166666666666669</v>
      </c>
      <c r="M72" s="1034">
        <v>0.125</v>
      </c>
      <c r="N72" s="1035">
        <v>8</v>
      </c>
      <c r="O72" s="1036"/>
      <c r="P72" s="1037"/>
      <c r="Q72" s="1034">
        <v>0.29166666666666669</v>
      </c>
      <c r="R72" s="1034">
        <v>0.125</v>
      </c>
      <c r="S72" s="1035">
        <v>8</v>
      </c>
      <c r="T72" s="1036"/>
      <c r="U72" s="1037"/>
      <c r="V72" s="1034">
        <v>0.29166666666666669</v>
      </c>
      <c r="W72" s="1034">
        <v>0.125</v>
      </c>
      <c r="X72" s="1035">
        <v>8</v>
      </c>
      <c r="Y72" s="1036"/>
      <c r="Z72" s="1038">
        <v>40</v>
      </c>
      <c r="AA72" s="1039">
        <v>0</v>
      </c>
      <c r="AB72" s="1037"/>
      <c r="AC72" s="1034"/>
      <c r="AD72" s="1034"/>
      <c r="AE72" s="1035"/>
      <c r="AF72" s="1037"/>
      <c r="AG72" s="1034"/>
      <c r="AH72" s="1034"/>
      <c r="AI72" s="1035"/>
      <c r="AJ72" s="1038">
        <v>0</v>
      </c>
      <c r="AK72" s="941"/>
      <c r="AL72" s="943"/>
      <c r="AM72" s="940"/>
      <c r="AN72" s="992" t="s">
        <v>30</v>
      </c>
      <c r="AO72" s="1005">
        <f>AA92</f>
        <v>10.25</v>
      </c>
      <c r="AP72" s="1007">
        <v>60.465000000000003</v>
      </c>
      <c r="AQ72" s="994">
        <f t="shared" ref="AQ72" si="1">AP72*AO72</f>
        <v>619.76625000000001</v>
      </c>
      <c r="AR72" s="954"/>
      <c r="AS72" s="954"/>
    </row>
    <row r="73" spans="1:45" ht="13.5" customHeight="1">
      <c r="A73" s="1009" t="s">
        <v>1166</v>
      </c>
      <c r="B73" s="1034">
        <v>0.29166666666666669</v>
      </c>
      <c r="C73" s="1034">
        <v>0.125</v>
      </c>
      <c r="D73" s="1035">
        <v>8</v>
      </c>
      <c r="E73" s="1036"/>
      <c r="F73" s="1037"/>
      <c r="G73" s="1034">
        <v>0.29166666666666669</v>
      </c>
      <c r="H73" s="1034">
        <v>0.125</v>
      </c>
      <c r="I73" s="1035">
        <v>8</v>
      </c>
      <c r="J73" s="1036"/>
      <c r="K73" s="1037"/>
      <c r="L73" s="1034">
        <v>0.29166666666666669</v>
      </c>
      <c r="M73" s="1034">
        <v>0.125</v>
      </c>
      <c r="N73" s="1035">
        <v>8</v>
      </c>
      <c r="O73" s="1036"/>
      <c r="P73" s="1037"/>
      <c r="Q73" s="1034">
        <v>0.29166666666666669</v>
      </c>
      <c r="R73" s="1034">
        <v>0.125</v>
      </c>
      <c r="S73" s="1035">
        <v>8</v>
      </c>
      <c r="T73" s="1036"/>
      <c r="U73" s="1037"/>
      <c r="V73" s="1034">
        <v>0.29166666666666669</v>
      </c>
      <c r="W73" s="1034">
        <v>0.14583333333333334</v>
      </c>
      <c r="X73" s="1035">
        <v>8</v>
      </c>
      <c r="Y73" s="1036"/>
      <c r="Z73" s="1038">
        <v>40</v>
      </c>
      <c r="AA73" s="1039">
        <v>0</v>
      </c>
      <c r="AB73" s="1037"/>
      <c r="AC73" s="1034"/>
      <c r="AD73" s="1034"/>
      <c r="AE73" s="1035"/>
      <c r="AF73" s="1037"/>
      <c r="AG73" s="1034"/>
      <c r="AH73" s="1034"/>
      <c r="AI73" s="1035"/>
      <c r="AJ73" s="1038">
        <v>0</v>
      </c>
      <c r="AK73" s="941"/>
      <c r="AL73" s="943"/>
      <c r="AM73" s="940"/>
      <c r="AN73" s="992" t="s">
        <v>32</v>
      </c>
      <c r="AO73" s="1005">
        <f>AJ92</f>
        <v>77</v>
      </c>
      <c r="AP73" s="994">
        <v>60.465000000000003</v>
      </c>
      <c r="AQ73" s="994">
        <f>AP73*AO73</f>
        <v>4655.8050000000003</v>
      </c>
      <c r="AR73" s="1008"/>
      <c r="AS73" s="1008"/>
    </row>
    <row r="74" spans="1:45" ht="13.5" customHeight="1">
      <c r="A74" s="1009" t="s">
        <v>1425</v>
      </c>
      <c r="B74" s="1034">
        <v>0.29166666666666669</v>
      </c>
      <c r="C74" s="1034">
        <v>0.125</v>
      </c>
      <c r="D74" s="1035">
        <v>8</v>
      </c>
      <c r="E74" s="1036"/>
      <c r="F74" s="1037"/>
      <c r="G74" s="1034">
        <v>0.29166666666666669</v>
      </c>
      <c r="H74" s="1034">
        <v>0.125</v>
      </c>
      <c r="I74" s="1035">
        <v>8</v>
      </c>
      <c r="J74" s="1036"/>
      <c r="K74" s="1037"/>
      <c r="L74" s="1034">
        <v>0.29166666666666669</v>
      </c>
      <c r="M74" s="1034">
        <v>0.125</v>
      </c>
      <c r="N74" s="1035">
        <v>8</v>
      </c>
      <c r="O74" s="1036"/>
      <c r="P74" s="1037"/>
      <c r="Q74" s="1034">
        <v>0.29166666666666669</v>
      </c>
      <c r="R74" s="1034">
        <v>0.125</v>
      </c>
      <c r="S74" s="1035">
        <v>8</v>
      </c>
      <c r="T74" s="1036"/>
      <c r="U74" s="1037"/>
      <c r="V74" s="1034">
        <v>0.29166666666666669</v>
      </c>
      <c r="W74" s="1034">
        <v>0.125</v>
      </c>
      <c r="X74" s="1035">
        <v>8</v>
      </c>
      <c r="Y74" s="1036"/>
      <c r="Z74" s="1038">
        <v>40</v>
      </c>
      <c r="AA74" s="1039">
        <v>0</v>
      </c>
      <c r="AB74" s="1037"/>
      <c r="AC74" s="1034"/>
      <c r="AD74" s="1034"/>
      <c r="AE74" s="1035"/>
      <c r="AF74" s="1037"/>
      <c r="AG74" s="1034"/>
      <c r="AH74" s="1034"/>
      <c r="AI74" s="1035"/>
      <c r="AJ74" s="1038">
        <v>0</v>
      </c>
      <c r="AK74" s="941"/>
      <c r="AL74" s="943"/>
      <c r="AM74" s="940"/>
      <c r="AN74" s="1010" t="s">
        <v>213</v>
      </c>
      <c r="AO74" s="993">
        <f>Z95</f>
        <v>16</v>
      </c>
      <c r="AP74" s="994">
        <v>53.05</v>
      </c>
      <c r="AQ74" s="994">
        <f>AP74*AO74</f>
        <v>848.8</v>
      </c>
      <c r="AR74" s="954"/>
      <c r="AS74" s="954"/>
    </row>
    <row r="75" spans="1:45" ht="13.5" customHeight="1">
      <c r="A75" s="1009" t="s">
        <v>1426</v>
      </c>
      <c r="B75" s="1034">
        <v>0.29166666666666669</v>
      </c>
      <c r="C75" s="1034">
        <v>0.125</v>
      </c>
      <c r="D75" s="1035">
        <v>8</v>
      </c>
      <c r="E75" s="1036"/>
      <c r="F75" s="1037"/>
      <c r="G75" s="1034">
        <v>0.29166666666666669</v>
      </c>
      <c r="H75" s="1034">
        <v>0.125</v>
      </c>
      <c r="I75" s="1035">
        <v>8</v>
      </c>
      <c r="J75" s="1036"/>
      <c r="K75" s="1037"/>
      <c r="L75" s="1034">
        <v>0.29166666666666669</v>
      </c>
      <c r="M75" s="1034">
        <v>0.125</v>
      </c>
      <c r="N75" s="1035">
        <v>8</v>
      </c>
      <c r="O75" s="1036"/>
      <c r="P75" s="1037"/>
      <c r="Q75" s="1034">
        <v>0.29166666666666669</v>
      </c>
      <c r="R75" s="1034">
        <v>0.125</v>
      </c>
      <c r="S75" s="1035">
        <v>8</v>
      </c>
      <c r="T75" s="1036"/>
      <c r="U75" s="1037"/>
      <c r="V75" s="1034">
        <v>0.29166666666666669</v>
      </c>
      <c r="W75" s="1034">
        <v>0.125</v>
      </c>
      <c r="X75" s="1035">
        <v>8</v>
      </c>
      <c r="Y75" s="1036"/>
      <c r="Z75" s="1038">
        <v>40</v>
      </c>
      <c r="AA75" s="1039">
        <v>0</v>
      </c>
      <c r="AB75" s="1037"/>
      <c r="AC75" s="1034"/>
      <c r="AD75" s="1034"/>
      <c r="AE75" s="1035"/>
      <c r="AF75" s="1037"/>
      <c r="AG75" s="1034"/>
      <c r="AH75" s="1034"/>
      <c r="AI75" s="1035"/>
      <c r="AJ75" s="1038">
        <v>0</v>
      </c>
      <c r="AK75" s="941"/>
      <c r="AL75" s="943"/>
      <c r="AM75" s="940"/>
      <c r="AN75" s="992" t="s">
        <v>36</v>
      </c>
      <c r="AO75" s="1005">
        <f>AA95</f>
        <v>3</v>
      </c>
      <c r="AP75" s="994">
        <v>79.574999999999989</v>
      </c>
      <c r="AQ75" s="994">
        <f>AP75*AO75</f>
        <v>238.72499999999997</v>
      </c>
      <c r="AR75" s="954"/>
      <c r="AS75" s="954"/>
    </row>
    <row r="76" spans="1:45" ht="13.5" customHeight="1">
      <c r="A76" s="1009" t="s">
        <v>1066</v>
      </c>
      <c r="B76" s="1034">
        <v>0.29166666666666669</v>
      </c>
      <c r="C76" s="1034">
        <v>0.15625</v>
      </c>
      <c r="D76" s="1035">
        <v>8</v>
      </c>
      <c r="E76" s="1036">
        <v>0.75</v>
      </c>
      <c r="F76" s="1037"/>
      <c r="G76" s="1034">
        <v>0.29166666666666669</v>
      </c>
      <c r="H76" s="1034">
        <v>0.125</v>
      </c>
      <c r="I76" s="1035">
        <v>8</v>
      </c>
      <c r="J76" s="1036"/>
      <c r="K76" s="1037"/>
      <c r="L76" s="1034">
        <v>0.29166666666666669</v>
      </c>
      <c r="M76" s="1034">
        <v>0.125</v>
      </c>
      <c r="N76" s="1035">
        <v>8</v>
      </c>
      <c r="O76" s="1036"/>
      <c r="P76" s="1037"/>
      <c r="Q76" s="1034">
        <v>0.29166666666666669</v>
      </c>
      <c r="R76" s="1034">
        <v>0.125</v>
      </c>
      <c r="S76" s="1035">
        <v>8</v>
      </c>
      <c r="T76" s="1036"/>
      <c r="U76" s="1037"/>
      <c r="V76" s="1034">
        <v>0.29166666666666669</v>
      </c>
      <c r="W76" s="1034">
        <v>0.125</v>
      </c>
      <c r="X76" s="1035">
        <v>8</v>
      </c>
      <c r="Y76" s="1036"/>
      <c r="Z76" s="1038">
        <v>40</v>
      </c>
      <c r="AA76" s="1039">
        <v>0.75</v>
      </c>
      <c r="AB76" s="1037"/>
      <c r="AC76" s="1034"/>
      <c r="AD76" s="1034"/>
      <c r="AE76" s="1035"/>
      <c r="AF76" s="1037"/>
      <c r="AG76" s="1034"/>
      <c r="AH76" s="1034"/>
      <c r="AI76" s="1035"/>
      <c r="AJ76" s="1038">
        <v>0</v>
      </c>
      <c r="AK76" s="941"/>
      <c r="AL76" s="943"/>
      <c r="AM76" s="940"/>
      <c r="AN76" s="992" t="s">
        <v>38</v>
      </c>
      <c r="AO76" s="1005">
        <f>AJ95</f>
        <v>7</v>
      </c>
      <c r="AP76" s="994">
        <v>79.574999999999989</v>
      </c>
      <c r="AQ76" s="994">
        <f>AP76*AO76</f>
        <v>557.02499999999986</v>
      </c>
      <c r="AR76" s="954"/>
      <c r="AS76" s="954"/>
    </row>
    <row r="77" spans="1:45" ht="13.5" customHeight="1">
      <c r="A77" s="1009" t="s">
        <v>1427</v>
      </c>
      <c r="B77" s="1034">
        <v>0.29166666666666669</v>
      </c>
      <c r="C77" s="1034">
        <v>0.125</v>
      </c>
      <c r="D77" s="1035">
        <v>8</v>
      </c>
      <c r="E77" s="1036"/>
      <c r="F77" s="1037"/>
      <c r="G77" s="1034">
        <v>0.29166666666666669</v>
      </c>
      <c r="H77" s="1034">
        <v>0.125</v>
      </c>
      <c r="I77" s="1035">
        <v>8</v>
      </c>
      <c r="J77" s="1036"/>
      <c r="K77" s="1037"/>
      <c r="L77" s="1034">
        <v>0.29166666666666669</v>
      </c>
      <c r="M77" s="1034">
        <v>0.125</v>
      </c>
      <c r="N77" s="1035">
        <v>8</v>
      </c>
      <c r="O77" s="1036"/>
      <c r="P77" s="1037"/>
      <c r="Q77" s="1034">
        <v>0.29166666666666669</v>
      </c>
      <c r="R77" s="1034">
        <v>0.125</v>
      </c>
      <c r="S77" s="1035">
        <v>8</v>
      </c>
      <c r="T77" s="1036"/>
      <c r="U77" s="1037"/>
      <c r="V77" s="1034">
        <v>0.29166666666666669</v>
      </c>
      <c r="W77" s="1034">
        <v>0.125</v>
      </c>
      <c r="X77" s="1035">
        <v>8</v>
      </c>
      <c r="Y77" s="1036"/>
      <c r="Z77" s="1038">
        <v>40</v>
      </c>
      <c r="AA77" s="1039">
        <v>0</v>
      </c>
      <c r="AB77" s="1037"/>
      <c r="AC77" s="1034">
        <v>0.33333333333333331</v>
      </c>
      <c r="AD77" s="1034">
        <v>0.25</v>
      </c>
      <c r="AE77" s="1035">
        <v>9</v>
      </c>
      <c r="AF77" s="1037"/>
      <c r="AG77" s="1034">
        <v>0.33333333333333331</v>
      </c>
      <c r="AH77" s="1034">
        <v>0.27083333333333331</v>
      </c>
      <c r="AI77" s="1035">
        <v>9.5</v>
      </c>
      <c r="AJ77" s="1038">
        <v>18.5</v>
      </c>
      <c r="AK77" s="941"/>
      <c r="AL77" s="943"/>
      <c r="AM77" s="940"/>
      <c r="AN77" s="954"/>
      <c r="AO77" s="1005"/>
      <c r="AP77" s="954"/>
      <c r="AQ77" s="1094">
        <v>32658.376250000005</v>
      </c>
      <c r="AR77" s="954"/>
      <c r="AS77" s="954"/>
    </row>
    <row r="78" spans="1:45" ht="13.5" customHeight="1">
      <c r="A78" s="1009" t="s">
        <v>1428</v>
      </c>
      <c r="B78" s="1034">
        <v>0.125</v>
      </c>
      <c r="C78" s="1034">
        <v>0.45833333333333331</v>
      </c>
      <c r="D78" s="1035">
        <v>8</v>
      </c>
      <c r="E78" s="1036"/>
      <c r="F78" s="1037"/>
      <c r="G78" s="1034">
        <v>0.125</v>
      </c>
      <c r="H78" s="1034">
        <v>0.45833333333333331</v>
      </c>
      <c r="I78" s="1035">
        <v>8</v>
      </c>
      <c r="J78" s="1036"/>
      <c r="K78" s="1037"/>
      <c r="L78" s="1034">
        <v>0.125</v>
      </c>
      <c r="M78" s="1034">
        <v>0.45833333333333331</v>
      </c>
      <c r="N78" s="1035">
        <v>8</v>
      </c>
      <c r="O78" s="1036"/>
      <c r="P78" s="1037"/>
      <c r="Q78" s="1034">
        <v>0.125</v>
      </c>
      <c r="R78" s="1034">
        <v>0.45833333333333331</v>
      </c>
      <c r="S78" s="1035">
        <v>8</v>
      </c>
      <c r="T78" s="1036"/>
      <c r="U78" s="1037"/>
      <c r="V78" s="1034">
        <v>0.125</v>
      </c>
      <c r="W78" s="1034">
        <v>0.45833333333333331</v>
      </c>
      <c r="X78" s="1035">
        <v>8</v>
      </c>
      <c r="Y78" s="1036"/>
      <c r="Z78" s="1038">
        <v>40</v>
      </c>
      <c r="AA78" s="1039">
        <v>0</v>
      </c>
      <c r="AB78" s="1037"/>
      <c r="AC78" s="1034"/>
      <c r="AD78" s="1034"/>
      <c r="AE78" s="1035"/>
      <c r="AF78" s="1037"/>
      <c r="AG78" s="1034"/>
      <c r="AH78" s="1034"/>
      <c r="AI78" s="1035"/>
      <c r="AJ78" s="1038">
        <v>0</v>
      </c>
      <c r="AK78" s="941"/>
      <c r="AL78" s="943"/>
      <c r="AM78" s="940"/>
      <c r="AN78" s="954"/>
      <c r="AO78" s="1005"/>
      <c r="AP78" s="954"/>
      <c r="AQ78" s="954"/>
      <c r="AR78" s="954"/>
      <c r="AS78" s="954"/>
    </row>
    <row r="79" spans="1:45" ht="13.5" customHeight="1">
      <c r="A79" s="1009" t="s">
        <v>1142</v>
      </c>
      <c r="B79" s="1034">
        <v>0.125</v>
      </c>
      <c r="C79" s="1034">
        <v>0.45833333333333331</v>
      </c>
      <c r="D79" s="1035">
        <v>8</v>
      </c>
      <c r="E79" s="1036"/>
      <c r="F79" s="1037"/>
      <c r="G79" s="1034">
        <v>0.125</v>
      </c>
      <c r="H79" s="1034">
        <v>0.45833333333333331</v>
      </c>
      <c r="I79" s="1035">
        <v>8</v>
      </c>
      <c r="J79" s="1036"/>
      <c r="K79" s="1042"/>
      <c r="L79" s="1034">
        <v>0.125</v>
      </c>
      <c r="M79" s="1034">
        <v>0.45833333333333331</v>
      </c>
      <c r="N79" s="1035">
        <v>8</v>
      </c>
      <c r="O79" s="1036"/>
      <c r="P79" s="1042"/>
      <c r="Q79" s="1034">
        <v>0.125</v>
      </c>
      <c r="R79" s="1034">
        <v>0.45833333333333331</v>
      </c>
      <c r="S79" s="1035">
        <v>8</v>
      </c>
      <c r="T79" s="1036"/>
      <c r="U79" s="1042"/>
      <c r="V79" s="1034">
        <v>0.125</v>
      </c>
      <c r="W79" s="1034">
        <v>0.46875</v>
      </c>
      <c r="X79" s="1035">
        <v>8</v>
      </c>
      <c r="Y79" s="1036">
        <v>0.25</v>
      </c>
      <c r="Z79" s="1038">
        <v>40</v>
      </c>
      <c r="AA79" s="1039">
        <v>0.25</v>
      </c>
      <c r="AB79" s="1037"/>
      <c r="AC79" s="1034"/>
      <c r="AD79" s="1034"/>
      <c r="AE79" s="1035"/>
      <c r="AF79" s="1037"/>
      <c r="AG79" s="1034"/>
      <c r="AH79" s="1034"/>
      <c r="AI79" s="1035"/>
      <c r="AJ79" s="1038">
        <v>0</v>
      </c>
      <c r="AK79" s="941"/>
      <c r="AL79" s="943"/>
      <c r="AM79" s="940"/>
      <c r="AN79" s="953" t="s">
        <v>1115</v>
      </c>
      <c r="AO79" s="1005">
        <f>B96</f>
        <v>81</v>
      </c>
      <c r="AP79" s="994">
        <v>47.74</v>
      </c>
      <c r="AQ79" s="994">
        <f>AP79*AO79</f>
        <v>3866.94</v>
      </c>
      <c r="AR79" s="954"/>
      <c r="AS79" s="954"/>
    </row>
    <row r="80" spans="1:45" ht="13.5" customHeight="1">
      <c r="A80" s="1009" t="s">
        <v>1429</v>
      </c>
      <c r="B80" s="1034">
        <v>0.125</v>
      </c>
      <c r="C80" s="1034">
        <v>0.4375</v>
      </c>
      <c r="D80" s="1035">
        <v>7.5</v>
      </c>
      <c r="E80" s="1036"/>
      <c r="F80" s="1037"/>
      <c r="G80" s="1034">
        <v>0.125</v>
      </c>
      <c r="H80" s="1034">
        <v>0.4375</v>
      </c>
      <c r="I80" s="1035">
        <v>7.5</v>
      </c>
      <c r="J80" s="1036"/>
      <c r="K80" s="1042"/>
      <c r="L80" s="1034">
        <v>0.125</v>
      </c>
      <c r="M80" s="1034">
        <v>0.4375</v>
      </c>
      <c r="N80" s="1035">
        <v>7.5</v>
      </c>
      <c r="O80" s="1036"/>
      <c r="P80" s="1042"/>
      <c r="Q80" s="1034">
        <v>0.125</v>
      </c>
      <c r="R80" s="1034">
        <v>0.44791666666666669</v>
      </c>
      <c r="S80" s="1035">
        <v>8</v>
      </c>
      <c r="T80" s="1036"/>
      <c r="U80" s="1042"/>
      <c r="V80" s="1034">
        <v>0.125</v>
      </c>
      <c r="W80" s="1034">
        <v>0.44791666666666669</v>
      </c>
      <c r="X80" s="1035">
        <v>7.75</v>
      </c>
      <c r="Y80" s="1036"/>
      <c r="Z80" s="1038">
        <v>38.25</v>
      </c>
      <c r="AA80" s="1039">
        <v>0</v>
      </c>
      <c r="AB80" s="1037"/>
      <c r="AC80" s="1034"/>
      <c r="AD80" s="1034"/>
      <c r="AE80" s="1035"/>
      <c r="AF80" s="1037"/>
      <c r="AG80" s="1034"/>
      <c r="AH80" s="1034"/>
      <c r="AI80" s="1035"/>
      <c r="AJ80" s="1038">
        <v>0</v>
      </c>
      <c r="AK80" s="941"/>
      <c r="AL80" s="943"/>
      <c r="AM80" s="940"/>
      <c r="AN80" s="954"/>
      <c r="AO80" s="954"/>
      <c r="AP80" s="954"/>
      <c r="AQ80" s="954"/>
      <c r="AR80" s="954"/>
      <c r="AS80" s="954"/>
    </row>
    <row r="81" spans="1:45" ht="13.5" customHeight="1">
      <c r="A81" s="1011" t="s">
        <v>1060</v>
      </c>
      <c r="B81" s="1034">
        <v>0.125</v>
      </c>
      <c r="C81" s="1034">
        <v>0.45833333333333331</v>
      </c>
      <c r="D81" s="1035">
        <v>8</v>
      </c>
      <c r="E81" s="1036"/>
      <c r="F81" s="1037"/>
      <c r="G81" s="1034">
        <v>0.125</v>
      </c>
      <c r="H81" s="1034">
        <v>0.29166666666666669</v>
      </c>
      <c r="I81" s="1035">
        <v>8</v>
      </c>
      <c r="J81" s="1036">
        <v>8</v>
      </c>
      <c r="K81" s="1042"/>
      <c r="L81" s="1034">
        <v>0.125</v>
      </c>
      <c r="M81" s="1034">
        <v>0.44791666666666669</v>
      </c>
      <c r="N81" s="1035">
        <v>7.75</v>
      </c>
      <c r="O81" s="1036"/>
      <c r="P81" s="1042"/>
      <c r="Q81" s="1034">
        <v>0.125</v>
      </c>
      <c r="R81" s="1034">
        <v>0.45833333333333331</v>
      </c>
      <c r="S81" s="1035">
        <v>8</v>
      </c>
      <c r="T81" s="1036"/>
      <c r="U81" s="1042"/>
      <c r="V81" s="1034">
        <v>0.125</v>
      </c>
      <c r="W81" s="1034">
        <v>0.45833333333333331</v>
      </c>
      <c r="X81" s="1035">
        <v>8</v>
      </c>
      <c r="Y81" s="1036"/>
      <c r="Z81" s="1038">
        <v>39.75</v>
      </c>
      <c r="AA81" s="1039">
        <v>8</v>
      </c>
      <c r="AB81" s="1037"/>
      <c r="AC81" s="1034">
        <v>0.33333333333333331</v>
      </c>
      <c r="AD81" s="1034">
        <v>0.22916666666666666</v>
      </c>
      <c r="AE81" s="1035">
        <v>8.5</v>
      </c>
      <c r="AF81" s="1037"/>
      <c r="AG81" s="1034">
        <v>0.35416666666666669</v>
      </c>
      <c r="AH81" s="1034">
        <v>0.27083333333333331</v>
      </c>
      <c r="AI81" s="1035">
        <v>9</v>
      </c>
      <c r="AJ81" s="1038">
        <v>17.5</v>
      </c>
      <c r="AK81" s="941"/>
      <c r="AL81" s="943"/>
      <c r="AM81" s="940"/>
      <c r="AN81" s="954"/>
      <c r="AO81" s="954"/>
      <c r="AP81" s="954"/>
      <c r="AQ81" s="954"/>
      <c r="AR81" s="954"/>
      <c r="AS81" s="954"/>
    </row>
    <row r="82" spans="1:45" ht="13.5" customHeight="1">
      <c r="A82" s="941" t="s">
        <v>327</v>
      </c>
      <c r="B82" s="1034">
        <v>0.125</v>
      </c>
      <c r="C82" s="1034">
        <v>0.45833333333333331</v>
      </c>
      <c r="D82" s="1035">
        <v>8</v>
      </c>
      <c r="E82" s="1036"/>
      <c r="F82" s="1042"/>
      <c r="G82" s="1034">
        <v>0.125</v>
      </c>
      <c r="H82" s="1034">
        <v>0.45833333333333331</v>
      </c>
      <c r="I82" s="1035">
        <v>8</v>
      </c>
      <c r="J82" s="1036"/>
      <c r="K82" s="1042"/>
      <c r="L82" s="1034">
        <v>0.125</v>
      </c>
      <c r="M82" s="1034">
        <v>0.45833333333333331</v>
      </c>
      <c r="N82" s="1035">
        <v>8</v>
      </c>
      <c r="O82" s="1036"/>
      <c r="P82" s="1042"/>
      <c r="Q82" s="1034">
        <v>0.125</v>
      </c>
      <c r="R82" s="1034">
        <v>0.45833333333333331</v>
      </c>
      <c r="S82" s="1035">
        <v>8</v>
      </c>
      <c r="T82" s="1036"/>
      <c r="U82" s="1042"/>
      <c r="V82" s="1034">
        <v>0.125</v>
      </c>
      <c r="W82" s="1034">
        <v>0.45833333333333331</v>
      </c>
      <c r="X82" s="1035">
        <v>8</v>
      </c>
      <c r="Y82" s="1036"/>
      <c r="Z82" s="1038">
        <v>39.75</v>
      </c>
      <c r="AA82" s="1039">
        <v>0</v>
      </c>
      <c r="AB82" s="1037"/>
      <c r="AC82" s="1034"/>
      <c r="AD82" s="1034"/>
      <c r="AE82" s="1035"/>
      <c r="AF82" s="1037"/>
      <c r="AG82" s="1034"/>
      <c r="AH82" s="1034"/>
      <c r="AI82" s="1035"/>
      <c r="AJ82" s="1038">
        <v>0</v>
      </c>
      <c r="AK82" s="941"/>
      <c r="AL82" s="943"/>
      <c r="AM82" s="940"/>
      <c r="AN82" s="954"/>
      <c r="AO82" s="954"/>
      <c r="AP82" s="954"/>
      <c r="AQ82" s="954"/>
      <c r="AR82" s="954"/>
      <c r="AS82" s="954"/>
    </row>
    <row r="83" spans="1:45" ht="13.5" customHeight="1">
      <c r="A83" s="1006" t="s">
        <v>1144</v>
      </c>
      <c r="B83" s="1034">
        <v>0.125</v>
      </c>
      <c r="C83" s="1034">
        <v>0.44791666666666669</v>
      </c>
      <c r="D83" s="1035">
        <v>7.75</v>
      </c>
      <c r="E83" s="1036"/>
      <c r="F83" s="1042"/>
      <c r="G83" s="1034">
        <v>0.125</v>
      </c>
      <c r="H83" s="1034">
        <v>0.45833333333333331</v>
      </c>
      <c r="I83" s="1035">
        <v>8</v>
      </c>
      <c r="J83" s="1036"/>
      <c r="K83" s="1042"/>
      <c r="L83" s="1034">
        <v>0.125</v>
      </c>
      <c r="M83" s="1034">
        <v>0.45833333333333331</v>
      </c>
      <c r="N83" s="1035">
        <v>8</v>
      </c>
      <c r="O83" s="1036"/>
      <c r="P83" s="1042"/>
      <c r="Q83" s="1034">
        <v>0.125</v>
      </c>
      <c r="R83" s="1034">
        <v>0.45833333333333331</v>
      </c>
      <c r="S83" s="1035">
        <v>8</v>
      </c>
      <c r="T83" s="1036"/>
      <c r="U83" s="1042"/>
      <c r="V83" s="1034">
        <v>0.125</v>
      </c>
      <c r="W83" s="1034">
        <v>0.51041666666666663</v>
      </c>
      <c r="X83" s="1035">
        <v>8</v>
      </c>
      <c r="Y83" s="1036">
        <v>1.25</v>
      </c>
      <c r="Z83" s="1038">
        <v>39.75</v>
      </c>
      <c r="AA83" s="1039">
        <v>1.25</v>
      </c>
      <c r="AB83" s="1037"/>
      <c r="AC83" s="1034"/>
      <c r="AD83" s="1034"/>
      <c r="AE83" s="1035"/>
      <c r="AF83" s="1037"/>
      <c r="AG83" s="1034"/>
      <c r="AH83" s="1034"/>
      <c r="AI83" s="1035"/>
      <c r="AJ83" s="1038">
        <v>0</v>
      </c>
      <c r="AK83" s="941"/>
      <c r="AL83" s="943"/>
      <c r="AM83" s="940"/>
      <c r="AN83" s="954"/>
      <c r="AO83" s="954"/>
      <c r="AP83" s="954"/>
      <c r="AQ83" s="954"/>
      <c r="AR83" s="954"/>
      <c r="AS83" s="954"/>
    </row>
    <row r="84" spans="1:45" ht="13.5" customHeight="1">
      <c r="A84" s="1009" t="s">
        <v>1140</v>
      </c>
      <c r="B84" s="1034">
        <v>0</v>
      </c>
      <c r="C84" s="1034">
        <v>0</v>
      </c>
      <c r="D84" s="1035">
        <v>0</v>
      </c>
      <c r="E84" s="1036"/>
      <c r="F84" s="1042"/>
      <c r="G84" s="1034">
        <v>0</v>
      </c>
      <c r="H84" s="1034">
        <v>0</v>
      </c>
      <c r="I84" s="1035">
        <v>0</v>
      </c>
      <c r="J84" s="1036"/>
      <c r="K84" s="1042"/>
      <c r="L84" s="1034"/>
      <c r="M84" s="1034"/>
      <c r="N84" s="1035"/>
      <c r="O84" s="1036"/>
      <c r="P84" s="1042"/>
      <c r="Q84" s="1034"/>
      <c r="R84" s="1034"/>
      <c r="S84" s="1035"/>
      <c r="T84" s="1036"/>
      <c r="U84" s="1042"/>
      <c r="V84" s="1034"/>
      <c r="W84" s="1034"/>
      <c r="X84" s="1035"/>
      <c r="Y84" s="1036"/>
      <c r="Z84" s="1038">
        <v>0</v>
      </c>
      <c r="AA84" s="1039">
        <v>0</v>
      </c>
      <c r="AB84" s="1037"/>
      <c r="AC84" s="1034">
        <v>0.33333333333333331</v>
      </c>
      <c r="AD84" s="1034">
        <v>0.20833333333333334</v>
      </c>
      <c r="AE84" s="1035">
        <v>8</v>
      </c>
      <c r="AF84" s="1037"/>
      <c r="AG84" s="1034">
        <v>0.33333333333333331</v>
      </c>
      <c r="AH84" s="1034">
        <v>0.27083333333333331</v>
      </c>
      <c r="AI84" s="1035">
        <v>9.5</v>
      </c>
      <c r="AJ84" s="1038">
        <v>17.5</v>
      </c>
      <c r="AK84" s="941"/>
      <c r="AL84" s="943"/>
      <c r="AM84" s="940"/>
      <c r="AN84" s="954"/>
      <c r="AO84" s="954"/>
      <c r="AP84" s="954"/>
      <c r="AQ84" s="954"/>
      <c r="AR84" s="954"/>
      <c r="AS84" s="954"/>
    </row>
    <row r="85" spans="1:45" ht="13.5" customHeight="1">
      <c r="A85" s="1009" t="s">
        <v>1435</v>
      </c>
      <c r="B85" s="1034"/>
      <c r="C85" s="1034"/>
      <c r="D85" s="1035"/>
      <c r="E85" s="1036"/>
      <c r="F85" s="1042"/>
      <c r="G85" s="1034"/>
      <c r="H85" s="1034"/>
      <c r="I85" s="1035"/>
      <c r="J85" s="1036"/>
      <c r="K85" s="1042"/>
      <c r="L85" s="1034"/>
      <c r="M85" s="1034"/>
      <c r="N85" s="1035"/>
      <c r="O85" s="1036"/>
      <c r="P85" s="1042"/>
      <c r="Q85" s="1034"/>
      <c r="R85" s="1034"/>
      <c r="S85" s="1035"/>
      <c r="T85" s="1036"/>
      <c r="U85" s="1042"/>
      <c r="V85" s="1034"/>
      <c r="W85" s="1034"/>
      <c r="X85" s="1035"/>
      <c r="Y85" s="1036"/>
      <c r="Z85" s="1038">
        <v>0</v>
      </c>
      <c r="AA85" s="1039">
        <v>0</v>
      </c>
      <c r="AB85" s="1037"/>
      <c r="AC85" s="1034">
        <v>0.33333333333333331</v>
      </c>
      <c r="AD85" s="1034">
        <v>6.25E-2</v>
      </c>
      <c r="AE85" s="1035">
        <v>14.5</v>
      </c>
      <c r="AF85" s="1037"/>
      <c r="AG85" s="1034"/>
      <c r="AH85" s="1034"/>
      <c r="AI85" s="1035"/>
      <c r="AJ85" s="1038">
        <v>14.5</v>
      </c>
      <c r="AK85" s="941"/>
      <c r="AL85" s="943"/>
      <c r="AM85" s="940"/>
      <c r="AN85" s="954"/>
      <c r="AO85" s="954"/>
      <c r="AP85" s="954"/>
      <c r="AQ85" s="954"/>
      <c r="AR85" s="954"/>
      <c r="AS85" s="954"/>
    </row>
    <row r="86" spans="1:45" ht="13.5" customHeight="1">
      <c r="A86" s="1009" t="s">
        <v>1431</v>
      </c>
      <c r="B86" s="1034"/>
      <c r="C86" s="1034"/>
      <c r="D86" s="1035">
        <v>1</v>
      </c>
      <c r="E86" s="1036"/>
      <c r="F86" s="1042"/>
      <c r="G86" s="1034"/>
      <c r="H86" s="1034"/>
      <c r="I86" s="1035">
        <v>1</v>
      </c>
      <c r="J86" s="1036"/>
      <c r="K86" s="1042"/>
      <c r="L86" s="1034"/>
      <c r="M86" s="1034"/>
      <c r="N86" s="1035">
        <v>1</v>
      </c>
      <c r="O86" s="1036"/>
      <c r="P86" s="1042"/>
      <c r="Q86" s="1034"/>
      <c r="R86" s="1034"/>
      <c r="S86" s="1035">
        <v>1</v>
      </c>
      <c r="T86" s="1036"/>
      <c r="U86" s="1042"/>
      <c r="V86" s="1034"/>
      <c r="W86" s="1034"/>
      <c r="X86" s="1035">
        <v>1</v>
      </c>
      <c r="Y86" s="1036"/>
      <c r="Z86" s="1038">
        <v>5</v>
      </c>
      <c r="AA86" s="1039">
        <v>0</v>
      </c>
      <c r="AB86" s="1037"/>
      <c r="AC86" s="1034"/>
      <c r="AD86" s="1034"/>
      <c r="AE86" s="1035"/>
      <c r="AF86" s="1037"/>
      <c r="AG86" s="1034"/>
      <c r="AH86" s="1034"/>
      <c r="AI86" s="1035"/>
      <c r="AJ86" s="1038">
        <v>0</v>
      </c>
      <c r="AK86" s="941"/>
      <c r="AL86" s="943"/>
      <c r="AM86" s="940"/>
      <c r="AN86" s="954"/>
      <c r="AO86" s="954"/>
      <c r="AP86" s="954"/>
      <c r="AQ86" s="954"/>
      <c r="AR86" s="954"/>
      <c r="AS86" s="954"/>
    </row>
    <row r="87" spans="1:45" ht="13.5" customHeight="1">
      <c r="A87" s="1009" t="s">
        <v>813</v>
      </c>
      <c r="B87" s="1034"/>
      <c r="C87" s="1034"/>
      <c r="D87" s="1035">
        <v>2</v>
      </c>
      <c r="E87" s="1036"/>
      <c r="F87" s="1042"/>
      <c r="G87" s="1034"/>
      <c r="H87" s="1034"/>
      <c r="I87" s="1035">
        <v>2</v>
      </c>
      <c r="J87" s="1036"/>
      <c r="K87" s="1042"/>
      <c r="L87" s="1034"/>
      <c r="M87" s="1034"/>
      <c r="N87" s="1035">
        <v>2</v>
      </c>
      <c r="O87" s="1036"/>
      <c r="P87" s="1042"/>
      <c r="Q87" s="1034"/>
      <c r="R87" s="1034"/>
      <c r="S87" s="1035">
        <v>2</v>
      </c>
      <c r="T87" s="1036"/>
      <c r="U87" s="1042"/>
      <c r="V87" s="1034"/>
      <c r="W87" s="1034"/>
      <c r="X87" s="1035">
        <v>2</v>
      </c>
      <c r="Y87" s="1036"/>
      <c r="Z87" s="1038">
        <v>10</v>
      </c>
      <c r="AA87" s="1039">
        <v>0</v>
      </c>
      <c r="AB87" s="1037"/>
      <c r="AC87" s="1034"/>
      <c r="AD87" s="1034"/>
      <c r="AE87" s="1035"/>
      <c r="AF87" s="1037"/>
      <c r="AG87" s="1034"/>
      <c r="AH87" s="1034"/>
      <c r="AI87" s="1035"/>
      <c r="AJ87" s="1038">
        <v>0</v>
      </c>
      <c r="AK87" s="941"/>
      <c r="AL87" s="943"/>
      <c r="AM87" s="940"/>
      <c r="AN87" s="954"/>
      <c r="AO87" s="954"/>
      <c r="AP87" s="954"/>
      <c r="AQ87" s="954"/>
      <c r="AR87" s="954"/>
      <c r="AS87" s="954"/>
    </row>
    <row r="88" spans="1:45" ht="13.5" customHeight="1">
      <c r="A88" s="1009" t="s">
        <v>1432</v>
      </c>
      <c r="B88" s="1034"/>
      <c r="C88" s="1034"/>
      <c r="D88" s="1035"/>
      <c r="E88" s="1036"/>
      <c r="F88" s="1042"/>
      <c r="G88" s="1034"/>
      <c r="H88" s="1034"/>
      <c r="I88" s="1035"/>
      <c r="J88" s="1036"/>
      <c r="K88" s="1042"/>
      <c r="L88" s="1034"/>
      <c r="M88" s="1034"/>
      <c r="N88" s="1035"/>
      <c r="O88" s="1036"/>
      <c r="P88" s="1042"/>
      <c r="Q88" s="1034"/>
      <c r="R88" s="1034"/>
      <c r="S88" s="1035"/>
      <c r="T88" s="1036"/>
      <c r="U88" s="1042"/>
      <c r="V88" s="1034"/>
      <c r="W88" s="1034"/>
      <c r="X88" s="1035"/>
      <c r="Y88" s="1036"/>
      <c r="Z88" s="1038">
        <v>0</v>
      </c>
      <c r="AA88" s="1039">
        <v>0</v>
      </c>
      <c r="AB88" s="1037"/>
      <c r="AC88" s="1034"/>
      <c r="AD88" s="1034"/>
      <c r="AE88" s="1035"/>
      <c r="AF88" s="1037"/>
      <c r="AG88" s="1034"/>
      <c r="AH88" s="1034"/>
      <c r="AI88" s="1035"/>
      <c r="AJ88" s="1038">
        <v>0</v>
      </c>
      <c r="AK88" s="941"/>
      <c r="AL88" s="943"/>
      <c r="AM88" s="940"/>
      <c r="AN88" s="954"/>
      <c r="AO88" s="954"/>
      <c r="AP88" s="954"/>
      <c r="AQ88" s="954"/>
      <c r="AR88" s="954"/>
      <c r="AS88" s="954"/>
    </row>
    <row r="89" spans="1:45" ht="13.5" customHeight="1">
      <c r="A89" s="1009" t="s">
        <v>88</v>
      </c>
      <c r="B89" s="1034"/>
      <c r="C89" s="1034"/>
      <c r="D89" s="1035">
        <v>2</v>
      </c>
      <c r="E89" s="1036"/>
      <c r="F89" s="1042"/>
      <c r="G89" s="1034"/>
      <c r="H89" s="1034"/>
      <c r="I89" s="1035">
        <v>2</v>
      </c>
      <c r="J89" s="1036"/>
      <c r="K89" s="1042"/>
      <c r="L89" s="1034"/>
      <c r="M89" s="1034"/>
      <c r="N89" s="1035">
        <v>2</v>
      </c>
      <c r="O89" s="1036"/>
      <c r="P89" s="1042"/>
      <c r="Q89" s="1034"/>
      <c r="R89" s="1034"/>
      <c r="S89" s="1035">
        <v>2</v>
      </c>
      <c r="T89" s="1036"/>
      <c r="U89" s="1042"/>
      <c r="V89" s="1034"/>
      <c r="W89" s="1034"/>
      <c r="X89" s="1035">
        <v>2</v>
      </c>
      <c r="Y89" s="1036"/>
      <c r="Z89" s="1038">
        <v>10</v>
      </c>
      <c r="AA89" s="1039">
        <v>0</v>
      </c>
      <c r="AB89" s="1037"/>
      <c r="AC89" s="1034"/>
      <c r="AD89" s="1034"/>
      <c r="AE89" s="1035"/>
      <c r="AF89" s="1037"/>
      <c r="AG89" s="1034"/>
      <c r="AH89" s="1034"/>
      <c r="AI89" s="1035"/>
      <c r="AJ89" s="1038">
        <v>0</v>
      </c>
      <c r="AK89" s="941"/>
      <c r="AL89" s="943"/>
      <c r="AM89" s="940"/>
      <c r="AN89" s="954"/>
      <c r="AO89" s="954"/>
      <c r="AP89" s="954"/>
      <c r="AQ89" s="954"/>
      <c r="AR89" s="954"/>
      <c r="AS89" s="954"/>
    </row>
    <row r="90" spans="1:45" ht="13.5" customHeight="1">
      <c r="A90" s="1043" t="s">
        <v>1433</v>
      </c>
      <c r="B90" s="1049">
        <v>0.45833333333333331</v>
      </c>
      <c r="C90" s="1049">
        <v>0.29166666666666669</v>
      </c>
      <c r="D90" s="1050">
        <v>8</v>
      </c>
      <c r="E90" s="1050"/>
      <c r="F90" s="1050"/>
      <c r="G90" s="1049">
        <v>0</v>
      </c>
      <c r="H90" s="1049">
        <v>0</v>
      </c>
      <c r="I90" s="1050">
        <v>0</v>
      </c>
      <c r="J90" s="1050"/>
      <c r="K90" s="1050"/>
      <c r="L90" s="1049">
        <v>0.45833333333333331</v>
      </c>
      <c r="M90" s="1049">
        <v>0.29166666666666669</v>
      </c>
      <c r="N90" s="1050">
        <v>8</v>
      </c>
      <c r="O90" s="1050"/>
      <c r="P90" s="1050"/>
      <c r="Q90" s="1049">
        <v>0.45833333333333331</v>
      </c>
      <c r="R90" s="1049">
        <v>0.29166666666666669</v>
      </c>
      <c r="S90" s="1050">
        <v>8</v>
      </c>
      <c r="T90" s="1050"/>
      <c r="U90" s="1050"/>
      <c r="V90" s="1049">
        <v>0.45833333333333331</v>
      </c>
      <c r="W90" s="1049">
        <v>0.29166666666666669</v>
      </c>
      <c r="X90" s="1050">
        <v>8</v>
      </c>
      <c r="Y90" s="1050"/>
      <c r="Z90" s="1051">
        <v>32</v>
      </c>
      <c r="AA90" s="1039">
        <v>0</v>
      </c>
      <c r="AB90" s="1037"/>
      <c r="AC90" s="1034"/>
      <c r="AD90" s="1034"/>
      <c r="AE90" s="1035"/>
      <c r="AF90" s="1037"/>
      <c r="AG90" s="1034"/>
      <c r="AH90" s="1034"/>
      <c r="AI90" s="1035"/>
      <c r="AJ90" s="1038">
        <v>0</v>
      </c>
      <c r="AK90" s="941"/>
      <c r="AL90" s="943"/>
      <c r="AM90" s="940"/>
      <c r="AN90" s="954"/>
      <c r="AO90" s="954"/>
      <c r="AP90" s="954"/>
      <c r="AQ90" s="954"/>
      <c r="AR90" s="954"/>
      <c r="AS90" s="954"/>
    </row>
    <row r="91" spans="1:45" ht="13.5" customHeight="1">
      <c r="A91" s="1043" t="s">
        <v>241</v>
      </c>
      <c r="B91" s="1049">
        <v>0</v>
      </c>
      <c r="C91" s="1049">
        <v>0</v>
      </c>
      <c r="D91" s="1050">
        <v>0</v>
      </c>
      <c r="E91" s="1050"/>
      <c r="F91" s="1050"/>
      <c r="G91" s="1049">
        <v>0.45833333333333331</v>
      </c>
      <c r="H91" s="1049">
        <v>0.29166666666666669</v>
      </c>
      <c r="I91" s="1050">
        <v>8</v>
      </c>
      <c r="J91" s="1050"/>
      <c r="K91" s="1050"/>
      <c r="L91" s="1049">
        <v>0.45833333333333331</v>
      </c>
      <c r="M91" s="1049"/>
      <c r="N91" s="1050">
        <v>8</v>
      </c>
      <c r="O91" s="1050"/>
      <c r="P91" s="1050"/>
      <c r="Q91" s="1049">
        <v>0.45833333333333331</v>
      </c>
      <c r="R91" s="1049">
        <v>0.29166666666666669</v>
      </c>
      <c r="S91" s="1050">
        <v>8</v>
      </c>
      <c r="T91" s="1050"/>
      <c r="U91" s="1050"/>
      <c r="V91" s="1049">
        <v>0.45833333333333331</v>
      </c>
      <c r="W91" s="1049">
        <v>0.29166666666666669</v>
      </c>
      <c r="X91" s="1050">
        <v>8</v>
      </c>
      <c r="Y91" s="1050"/>
      <c r="Z91" s="1051">
        <v>32</v>
      </c>
      <c r="AA91" s="1039">
        <v>0</v>
      </c>
      <c r="AB91" s="1037"/>
      <c r="AC91" s="1034">
        <v>0.33333333333333331</v>
      </c>
      <c r="AD91" s="1034">
        <v>0.25</v>
      </c>
      <c r="AE91" s="1035">
        <v>9</v>
      </c>
      <c r="AF91" s="1037"/>
      <c r="AG91" s="1034"/>
      <c r="AH91" s="1034"/>
      <c r="AI91" s="1035"/>
      <c r="AJ91" s="1038">
        <v>9</v>
      </c>
      <c r="AK91" s="941"/>
      <c r="AL91" s="943"/>
      <c r="AM91" s="940"/>
      <c r="AN91" s="954"/>
      <c r="AO91" s="954"/>
      <c r="AP91" s="954"/>
      <c r="AQ91" s="954"/>
      <c r="AR91" s="954"/>
      <c r="AS91" s="954"/>
    </row>
    <row r="92" spans="1:45" ht="13.5" customHeight="1">
      <c r="A92" s="1016" t="s">
        <v>61</v>
      </c>
      <c r="B92" s="1044"/>
      <c r="C92" s="1044"/>
      <c r="D92" s="1045">
        <v>108.25</v>
      </c>
      <c r="E92" s="1036">
        <v>0.75</v>
      </c>
      <c r="F92" s="1044"/>
      <c r="G92" s="1044"/>
      <c r="H92" s="1044"/>
      <c r="I92" s="1045">
        <v>100.5</v>
      </c>
      <c r="J92" s="1036">
        <v>8</v>
      </c>
      <c r="K92" s="1044"/>
      <c r="L92" s="1044"/>
      <c r="M92" s="1044"/>
      <c r="N92" s="1045">
        <v>108.25</v>
      </c>
      <c r="O92" s="1036">
        <v>0</v>
      </c>
      <c r="P92" s="1044"/>
      <c r="Q92" s="1044"/>
      <c r="R92" s="1044"/>
      <c r="S92" s="1045">
        <v>109</v>
      </c>
      <c r="T92" s="1036">
        <v>0</v>
      </c>
      <c r="U92" s="1044"/>
      <c r="V92" s="1044"/>
      <c r="W92" s="1044"/>
      <c r="X92" s="1045">
        <v>108.75</v>
      </c>
      <c r="Y92" s="1036">
        <v>1.5</v>
      </c>
      <c r="Z92" s="1038">
        <v>542.5</v>
      </c>
      <c r="AA92" s="1038">
        <v>10.25</v>
      </c>
      <c r="AB92" s="1037"/>
      <c r="AC92" s="1044"/>
      <c r="AD92" s="1044"/>
      <c r="AE92" s="1038">
        <v>49</v>
      </c>
      <c r="AF92" s="1037"/>
      <c r="AG92" s="1044"/>
      <c r="AH92" s="1044"/>
      <c r="AI92" s="1038">
        <v>28</v>
      </c>
      <c r="AJ92" s="1038">
        <v>77</v>
      </c>
      <c r="AK92" s="941"/>
      <c r="AL92" s="943"/>
      <c r="AM92" s="940"/>
      <c r="AN92" s="954"/>
      <c r="AO92" s="954"/>
      <c r="AP92" s="954"/>
      <c r="AQ92" s="954"/>
      <c r="AR92" s="954"/>
      <c r="AS92" s="954"/>
    </row>
    <row r="93" spans="1:45" ht="13.5" customHeight="1">
      <c r="A93" s="1016" t="s">
        <v>1434</v>
      </c>
      <c r="B93" s="1044"/>
      <c r="C93" s="1044"/>
      <c r="D93" s="1045">
        <v>0</v>
      </c>
      <c r="E93" s="1036">
        <v>0</v>
      </c>
      <c r="F93" s="1044"/>
      <c r="G93" s="1044"/>
      <c r="H93" s="1044"/>
      <c r="I93" s="1045">
        <v>8</v>
      </c>
      <c r="J93" s="1036">
        <v>0</v>
      </c>
      <c r="K93" s="1044"/>
      <c r="L93" s="1044"/>
      <c r="M93" s="1044"/>
      <c r="N93" s="1045">
        <v>8</v>
      </c>
      <c r="O93" s="1036">
        <v>0</v>
      </c>
      <c r="P93" s="1044"/>
      <c r="Q93" s="1044"/>
      <c r="R93" s="1044"/>
      <c r="S93" s="1045">
        <v>8</v>
      </c>
      <c r="T93" s="1036">
        <v>0</v>
      </c>
      <c r="U93" s="1044"/>
      <c r="V93" s="1044"/>
      <c r="W93" s="1044"/>
      <c r="X93" s="1045">
        <v>8</v>
      </c>
      <c r="Y93" s="1036">
        <v>0</v>
      </c>
      <c r="Z93" s="1038">
        <v>64</v>
      </c>
      <c r="AA93" s="1038">
        <v>0</v>
      </c>
      <c r="AB93" s="1037"/>
      <c r="AC93" s="1044"/>
      <c r="AD93" s="1044"/>
      <c r="AE93" s="1038"/>
      <c r="AF93" s="1037"/>
      <c r="AG93" s="1044"/>
      <c r="AH93" s="1044"/>
      <c r="AI93" s="1038"/>
      <c r="AJ93" s="1038"/>
      <c r="AK93" s="941"/>
      <c r="AL93" s="943"/>
      <c r="AM93" s="940"/>
      <c r="AN93" s="954"/>
      <c r="AO93" s="954"/>
      <c r="AP93" s="954"/>
      <c r="AQ93" s="954"/>
      <c r="AR93" s="954"/>
      <c r="AS93" s="954"/>
    </row>
    <row r="94" spans="1:45" ht="13.5" customHeight="1">
      <c r="A94" s="1022" t="s">
        <v>64</v>
      </c>
      <c r="B94" s="1052"/>
      <c r="C94" s="1052"/>
      <c r="D94" s="1023">
        <v>1</v>
      </c>
      <c r="E94" s="1023">
        <v>1</v>
      </c>
      <c r="F94" s="1053"/>
      <c r="G94" s="1052"/>
      <c r="H94" s="1052"/>
      <c r="I94" s="1023">
        <v>3</v>
      </c>
      <c r="J94" s="1023"/>
      <c r="K94" s="1054"/>
      <c r="L94" s="1052"/>
      <c r="M94" s="1052"/>
      <c r="N94" s="1023">
        <v>4</v>
      </c>
      <c r="O94" s="1023">
        <v>1</v>
      </c>
      <c r="P94" s="1054"/>
      <c r="Q94" s="1052"/>
      <c r="R94" s="1052"/>
      <c r="S94" s="1023">
        <v>4</v>
      </c>
      <c r="T94" s="1023"/>
      <c r="U94" s="1054"/>
      <c r="V94" s="1052"/>
      <c r="W94" s="1052"/>
      <c r="X94" s="1023">
        <v>4</v>
      </c>
      <c r="Y94" s="1023">
        <v>1</v>
      </c>
      <c r="Z94" s="1055">
        <v>16</v>
      </c>
      <c r="AA94" s="1056">
        <v>3</v>
      </c>
      <c r="AB94" s="1057"/>
      <c r="AC94" s="1052" t="s">
        <v>29</v>
      </c>
      <c r="AD94" s="1052" t="s">
        <v>29</v>
      </c>
      <c r="AE94" s="1023">
        <v>4</v>
      </c>
      <c r="AF94" s="1057"/>
      <c r="AG94" s="1052" t="s">
        <v>29</v>
      </c>
      <c r="AH94" s="1052" t="s">
        <v>29</v>
      </c>
      <c r="AI94" s="1023">
        <v>3</v>
      </c>
      <c r="AJ94" s="1055">
        <v>7</v>
      </c>
      <c r="AK94" s="1057"/>
      <c r="AL94" s="1058"/>
      <c r="AM94" s="1059"/>
      <c r="AN94" s="1060"/>
      <c r="AO94" s="1061"/>
      <c r="AP94" s="1061"/>
      <c r="AQ94" s="1061"/>
      <c r="AR94" s="1061"/>
      <c r="AS94" s="1061"/>
    </row>
    <row r="95" spans="1:45" ht="13.5" customHeight="1">
      <c r="A95" s="1026" t="s">
        <v>66</v>
      </c>
      <c r="B95" s="1062"/>
      <c r="C95" s="1062"/>
      <c r="D95" s="1046"/>
      <c r="E95" s="1046"/>
      <c r="F95" s="1046"/>
      <c r="G95" s="1046"/>
      <c r="H95" s="1046"/>
      <c r="I95" s="1046"/>
      <c r="J95" s="1046"/>
      <c r="K95" s="1046"/>
      <c r="L95" s="1046"/>
      <c r="M95" s="1046"/>
      <c r="N95" s="1046"/>
      <c r="O95" s="1046"/>
      <c r="P95" s="1046"/>
      <c r="Q95" s="1046"/>
      <c r="R95" s="1046"/>
      <c r="S95" s="1046"/>
      <c r="T95" s="1046"/>
      <c r="U95" s="1046"/>
      <c r="V95" s="1046"/>
      <c r="W95" s="1046"/>
      <c r="X95" s="1046"/>
      <c r="Y95" s="1046"/>
      <c r="Z95" s="1038">
        <v>16</v>
      </c>
      <c r="AA95" s="1038">
        <v>3</v>
      </c>
      <c r="AB95" s="1037"/>
      <c r="AC95" s="1063"/>
      <c r="AD95" s="1063"/>
      <c r="AE95" s="1063"/>
      <c r="AF95" s="1037"/>
      <c r="AG95" s="1063"/>
      <c r="AH95" s="1063"/>
      <c r="AI95" s="1063"/>
      <c r="AJ95" s="1038">
        <v>7</v>
      </c>
      <c r="AK95" s="941"/>
      <c r="AL95" s="943"/>
      <c r="AM95" s="940"/>
      <c r="AN95" s="1021"/>
      <c r="AO95" s="954"/>
      <c r="AP95" s="954"/>
      <c r="AQ95" s="954"/>
      <c r="AR95" s="954"/>
      <c r="AS95" s="954"/>
    </row>
    <row r="96" spans="1:45" ht="13.5" customHeight="1">
      <c r="A96" s="1029" t="s">
        <v>67</v>
      </c>
      <c r="B96" s="1030">
        <v>81</v>
      </c>
      <c r="C96" s="1030"/>
      <c r="D96" s="1031"/>
      <c r="E96" s="1031"/>
      <c r="F96" s="1030"/>
      <c r="G96" s="1031"/>
      <c r="H96" s="1031"/>
      <c r="I96" s="1031"/>
      <c r="J96" s="1031"/>
      <c r="K96" s="1030"/>
      <c r="L96" s="1030"/>
      <c r="M96" s="1030"/>
      <c r="N96" s="1030"/>
      <c r="O96" s="1031"/>
      <c r="P96" s="1030"/>
      <c r="Q96" s="1030"/>
      <c r="R96" s="1030"/>
      <c r="S96" s="1030"/>
      <c r="T96" s="1031"/>
      <c r="U96" s="1030"/>
      <c r="V96" s="1030"/>
      <c r="W96" s="1030"/>
      <c r="X96" s="1032"/>
      <c r="Y96" s="1031"/>
      <c r="Z96" s="1033"/>
      <c r="AA96" s="1031"/>
      <c r="AB96" s="1033"/>
      <c r="AC96" s="1033"/>
      <c r="AD96" s="1033"/>
      <c r="AE96" s="1033"/>
      <c r="AF96" s="1033"/>
      <c r="AG96" s="1033"/>
      <c r="AH96" s="1033"/>
      <c r="AI96" s="1033"/>
      <c r="AJ96" s="1033"/>
      <c r="AK96" s="941"/>
      <c r="AL96" s="943"/>
      <c r="AM96" s="940"/>
      <c r="AN96" s="1021"/>
      <c r="AO96" s="954"/>
      <c r="AP96" s="954"/>
      <c r="AQ96" s="954"/>
      <c r="AR96" s="954"/>
      <c r="AS96" s="954"/>
    </row>
    <row r="97" spans="1:45" ht="13.5" customHeight="1">
      <c r="A97" s="940"/>
      <c r="B97" s="940"/>
      <c r="C97" s="940"/>
      <c r="D97" s="941"/>
      <c r="E97" s="942"/>
      <c r="F97" s="941"/>
      <c r="G97" s="940"/>
      <c r="H97" s="940"/>
      <c r="I97" s="941"/>
      <c r="J97" s="942"/>
      <c r="K97" s="941"/>
      <c r="L97" s="940"/>
      <c r="M97" s="940"/>
      <c r="N97" s="941"/>
      <c r="O97" s="942"/>
      <c r="P97" s="941"/>
      <c r="Q97" s="940"/>
      <c r="R97" s="940"/>
      <c r="S97" s="941"/>
      <c r="T97" s="942"/>
      <c r="U97" s="941"/>
      <c r="V97" s="940"/>
      <c r="W97" s="940"/>
      <c r="X97" s="941"/>
      <c r="Y97" s="942"/>
      <c r="Z97" s="941"/>
      <c r="AA97" s="941"/>
      <c r="AB97" s="941"/>
      <c r="AC97" s="940"/>
      <c r="AD97" s="940"/>
      <c r="AE97" s="940"/>
      <c r="AF97" s="941"/>
      <c r="AG97" s="940"/>
      <c r="AH97" s="940"/>
      <c r="AI97" s="940"/>
      <c r="AJ97" s="940"/>
      <c r="AK97" s="941"/>
      <c r="AL97" s="943"/>
      <c r="AM97" s="940"/>
      <c r="AN97" s="954"/>
      <c r="AO97" s="954"/>
      <c r="AP97" s="954"/>
      <c r="AQ97" s="954"/>
      <c r="AR97" s="954"/>
      <c r="AS97" s="954"/>
    </row>
    <row r="98" spans="1:45" ht="13.5" customHeight="1">
      <c r="A98" s="974"/>
      <c r="B98" s="975"/>
      <c r="C98" s="975"/>
      <c r="D98" s="976"/>
      <c r="E98" s="976"/>
      <c r="F98" s="975"/>
      <c r="G98" s="976"/>
      <c r="H98" s="976"/>
      <c r="I98" s="976"/>
      <c r="J98" s="976"/>
      <c r="K98" s="975"/>
      <c r="L98" s="975"/>
      <c r="M98" s="975"/>
      <c r="N98" s="975"/>
      <c r="O98" s="976"/>
      <c r="P98" s="975"/>
      <c r="Q98" s="975"/>
      <c r="R98" s="975"/>
      <c r="S98" s="975"/>
      <c r="T98" s="976"/>
      <c r="U98" s="975"/>
      <c r="V98" s="975"/>
      <c r="W98" s="975"/>
      <c r="X98" s="977"/>
      <c r="Y98" s="976"/>
      <c r="Z98" s="978"/>
      <c r="AA98" s="976"/>
      <c r="AB98" s="979"/>
      <c r="AC98" s="980"/>
      <c r="AD98" s="943"/>
      <c r="AE98" s="943"/>
      <c r="AF98" s="979"/>
      <c r="AG98" s="980"/>
      <c r="AH98" s="943"/>
      <c r="AI98" s="943"/>
      <c r="AJ98" s="943"/>
      <c r="AK98" s="943"/>
      <c r="AL98" s="943"/>
      <c r="AM98" s="943"/>
      <c r="AN98" s="943"/>
      <c r="AO98" s="943"/>
      <c r="AP98" s="943"/>
      <c r="AQ98" s="943"/>
      <c r="AR98" s="943"/>
      <c r="AS98" s="943"/>
    </row>
    <row r="99" spans="1:45" ht="13.5" customHeight="1">
      <c r="A99" s="940"/>
      <c r="B99" s="940"/>
      <c r="C99" s="940"/>
      <c r="D99" s="941"/>
      <c r="E99" s="942"/>
      <c r="F99" s="941"/>
      <c r="G99" s="940"/>
      <c r="H99" s="940"/>
      <c r="I99" s="941"/>
      <c r="J99" s="942"/>
      <c r="K99" s="941"/>
      <c r="L99" s="940"/>
      <c r="M99" s="940"/>
      <c r="N99" s="941"/>
      <c r="O99" s="942"/>
      <c r="P99" s="941"/>
      <c r="Q99" s="940"/>
      <c r="R99" s="940"/>
      <c r="S99" s="941"/>
      <c r="T99" s="942"/>
      <c r="U99" s="941"/>
      <c r="V99" s="940"/>
      <c r="W99" s="940"/>
      <c r="X99" s="941"/>
      <c r="Y99" s="942"/>
      <c r="Z99" s="941"/>
      <c r="AA99" s="941"/>
      <c r="AB99" s="941"/>
      <c r="AC99" s="940"/>
      <c r="AD99" s="940"/>
      <c r="AE99" s="940"/>
      <c r="AF99" s="941"/>
      <c r="AG99" s="940"/>
      <c r="AH99" s="940"/>
      <c r="AI99" s="940"/>
      <c r="AJ99" s="940"/>
      <c r="AK99" s="941"/>
      <c r="AL99" s="943"/>
      <c r="AM99" s="940"/>
      <c r="AN99" s="954"/>
      <c r="AO99" s="954"/>
      <c r="AP99" s="954"/>
      <c r="AQ99" s="954"/>
      <c r="AR99" s="954"/>
      <c r="AS99" s="954"/>
    </row>
    <row r="100" spans="1:45" ht="13.5" customHeight="1">
      <c r="A100" s="1592" t="s">
        <v>18</v>
      </c>
      <c r="B100" s="1588">
        <v>45859</v>
      </c>
      <c r="C100" s="1588"/>
      <c r="D100" s="1588" t="s">
        <v>564</v>
      </c>
      <c r="E100" s="1588"/>
      <c r="F100" s="981"/>
      <c r="G100" s="1588">
        <v>45860</v>
      </c>
      <c r="H100" s="1588"/>
      <c r="I100" s="1588" t="s">
        <v>565</v>
      </c>
      <c r="J100" s="1588"/>
      <c r="K100" s="981"/>
      <c r="L100" s="1588">
        <v>45861</v>
      </c>
      <c r="M100" s="1588"/>
      <c r="N100" s="1588" t="s">
        <v>566</v>
      </c>
      <c r="O100" s="1588"/>
      <c r="P100" s="981"/>
      <c r="Q100" s="1588">
        <v>45862</v>
      </c>
      <c r="R100" s="1588"/>
      <c r="S100" s="1588" t="s">
        <v>567</v>
      </c>
      <c r="T100" s="1588"/>
      <c r="U100" s="981"/>
      <c r="V100" s="1588">
        <v>45863</v>
      </c>
      <c r="W100" s="1588"/>
      <c r="X100" s="1588" t="s">
        <v>568</v>
      </c>
      <c r="Y100" s="1588"/>
      <c r="Z100" s="1589" t="s">
        <v>19</v>
      </c>
      <c r="AA100" s="1589" t="s">
        <v>20</v>
      </c>
      <c r="AB100" s="941"/>
      <c r="AC100" s="1588">
        <v>45864</v>
      </c>
      <c r="AD100" s="1588"/>
      <c r="AE100" s="982" t="s">
        <v>569</v>
      </c>
      <c r="AF100" s="941"/>
      <c r="AG100" s="1588">
        <v>45865</v>
      </c>
      <c r="AH100" s="1588"/>
      <c r="AI100" s="983" t="s">
        <v>570</v>
      </c>
      <c r="AJ100" s="1589" t="s">
        <v>1420</v>
      </c>
      <c r="AK100" s="941"/>
      <c r="AL100" s="984"/>
      <c r="AM100" s="940"/>
      <c r="AN100" s="985" t="s">
        <v>84</v>
      </c>
      <c r="AO100" s="986"/>
      <c r="AP100" s="986"/>
      <c r="AQ100" s="986"/>
      <c r="AR100" s="986"/>
      <c r="AS100" s="986"/>
    </row>
    <row r="101" spans="1:45" ht="13.5" customHeight="1">
      <c r="A101" s="1592"/>
      <c r="B101" s="987" t="s">
        <v>23</v>
      </c>
      <c r="C101" s="987" t="s">
        <v>24</v>
      </c>
      <c r="D101" s="988" t="s">
        <v>25</v>
      </c>
      <c r="E101" s="989" t="s">
        <v>14</v>
      </c>
      <c r="F101" s="941"/>
      <c r="G101" s="987" t="s">
        <v>23</v>
      </c>
      <c r="H101" s="987" t="s">
        <v>24</v>
      </c>
      <c r="I101" s="990" t="s">
        <v>25</v>
      </c>
      <c r="J101" s="989" t="s">
        <v>14</v>
      </c>
      <c r="K101" s="941"/>
      <c r="L101" s="987" t="s">
        <v>23</v>
      </c>
      <c r="M101" s="987" t="s">
        <v>24</v>
      </c>
      <c r="N101" s="990" t="s">
        <v>25</v>
      </c>
      <c r="O101" s="989" t="s">
        <v>14</v>
      </c>
      <c r="P101" s="941"/>
      <c r="Q101" s="987" t="s">
        <v>23</v>
      </c>
      <c r="R101" s="987" t="s">
        <v>24</v>
      </c>
      <c r="S101" s="990" t="s">
        <v>25</v>
      </c>
      <c r="T101" s="989" t="s">
        <v>14</v>
      </c>
      <c r="U101" s="941"/>
      <c r="V101" s="987" t="s">
        <v>23</v>
      </c>
      <c r="W101" s="987" t="s">
        <v>24</v>
      </c>
      <c r="X101" s="990" t="s">
        <v>25</v>
      </c>
      <c r="Y101" s="989" t="s">
        <v>14</v>
      </c>
      <c r="Z101" s="1589"/>
      <c r="AA101" s="1589"/>
      <c r="AB101" s="941"/>
      <c r="AC101" s="987" t="s">
        <v>23</v>
      </c>
      <c r="AD101" s="987" t="s">
        <v>24</v>
      </c>
      <c r="AE101" s="990" t="s">
        <v>25</v>
      </c>
      <c r="AF101" s="941"/>
      <c r="AG101" s="987" t="s">
        <v>23</v>
      </c>
      <c r="AH101" s="987" t="s">
        <v>24</v>
      </c>
      <c r="AI101" s="990" t="s">
        <v>25</v>
      </c>
      <c r="AJ101" s="1589"/>
      <c r="AK101" s="941"/>
      <c r="AL101" s="984"/>
      <c r="AM101" s="991"/>
      <c r="AN101" s="992" t="s">
        <v>26</v>
      </c>
      <c r="AO101" s="993">
        <f>Z123</f>
        <v>543.5</v>
      </c>
      <c r="AP101" s="994">
        <v>40.31</v>
      </c>
      <c r="AQ101" s="994">
        <f>AP101*AO101</f>
        <v>21908.485000000001</v>
      </c>
      <c r="AR101" s="954"/>
      <c r="AS101" s="954"/>
    </row>
    <row r="102" spans="1:45" ht="13.5" customHeight="1">
      <c r="A102" s="1006" t="s">
        <v>72</v>
      </c>
      <c r="B102" s="1034">
        <v>0.29166666666666669</v>
      </c>
      <c r="C102" s="1034">
        <v>0.125</v>
      </c>
      <c r="D102" s="1035">
        <v>8</v>
      </c>
      <c r="E102" s="1036"/>
      <c r="F102" s="1037"/>
      <c r="G102" s="1034">
        <v>0.29166666666666669</v>
      </c>
      <c r="H102" s="1034">
        <v>0.125</v>
      </c>
      <c r="I102" s="1035">
        <v>8</v>
      </c>
      <c r="J102" s="1036"/>
      <c r="K102" s="1037"/>
      <c r="L102" s="1034">
        <v>0.29166666666666669</v>
      </c>
      <c r="M102" s="1034">
        <v>0.125</v>
      </c>
      <c r="N102" s="1035">
        <v>8</v>
      </c>
      <c r="O102" s="1036"/>
      <c r="P102" s="1037"/>
      <c r="Q102" s="1034">
        <v>0.29166666666666669</v>
      </c>
      <c r="R102" s="1034">
        <v>0.125</v>
      </c>
      <c r="S102" s="1035">
        <v>8</v>
      </c>
      <c r="T102" s="1036"/>
      <c r="U102" s="1037"/>
      <c r="V102" s="1034">
        <v>0.29166666666666669</v>
      </c>
      <c r="W102" s="1034">
        <v>0.125</v>
      </c>
      <c r="X102" s="1035">
        <v>8</v>
      </c>
      <c r="Y102" s="1036"/>
      <c r="Z102" s="1038">
        <v>40</v>
      </c>
      <c r="AA102" s="1039">
        <v>0</v>
      </c>
      <c r="AB102" s="1037"/>
      <c r="AC102" s="1040"/>
      <c r="AD102" s="1040"/>
      <c r="AE102" s="1035"/>
      <c r="AF102" s="1037"/>
      <c r="AG102" s="1040"/>
      <c r="AH102" s="1040"/>
      <c r="AI102" s="1035"/>
      <c r="AJ102" s="1038">
        <v>0</v>
      </c>
      <c r="AK102" s="941"/>
      <c r="AL102" s="984"/>
      <c r="AM102" s="991"/>
      <c r="AN102" s="992" t="s">
        <v>1421</v>
      </c>
      <c r="AO102" s="1005">
        <f>Z124</f>
        <v>80</v>
      </c>
      <c r="AP102" s="1007">
        <v>60.47</v>
      </c>
      <c r="AQ102" s="994">
        <f>AP102*AO102</f>
        <v>4837.6000000000004</v>
      </c>
      <c r="AR102" s="954"/>
      <c r="AS102" s="954"/>
    </row>
    <row r="103" spans="1:45" ht="13.5" customHeight="1">
      <c r="A103" s="1009" t="s">
        <v>1430</v>
      </c>
      <c r="B103" s="1034">
        <v>0.29166666666666669</v>
      </c>
      <c r="C103" s="1034">
        <v>0.14583333333333334</v>
      </c>
      <c r="D103" s="1035">
        <v>8</v>
      </c>
      <c r="E103" s="1036">
        <v>0.5</v>
      </c>
      <c r="F103" s="1037"/>
      <c r="G103" s="1034">
        <v>0.29166666666666669</v>
      </c>
      <c r="H103" s="1034">
        <v>0.125</v>
      </c>
      <c r="I103" s="1035">
        <v>8</v>
      </c>
      <c r="J103" s="1036"/>
      <c r="K103" s="1037"/>
      <c r="L103" s="1034">
        <v>0.29166666666666669</v>
      </c>
      <c r="M103" s="1034">
        <v>0.125</v>
      </c>
      <c r="N103" s="1035">
        <v>8</v>
      </c>
      <c r="O103" s="1036"/>
      <c r="P103" s="1037"/>
      <c r="Q103" s="1034">
        <v>0.29166666666666669</v>
      </c>
      <c r="R103" s="1034">
        <v>0.125</v>
      </c>
      <c r="S103" s="1035">
        <v>8</v>
      </c>
      <c r="T103" s="1036"/>
      <c r="U103" s="1037"/>
      <c r="V103" s="1034">
        <v>0.29166666666666669</v>
      </c>
      <c r="W103" s="1034">
        <v>0.125</v>
      </c>
      <c r="X103" s="1035">
        <v>8</v>
      </c>
      <c r="Y103" s="1036"/>
      <c r="Z103" s="1038">
        <v>40</v>
      </c>
      <c r="AA103" s="1039">
        <v>0.5</v>
      </c>
      <c r="AB103" s="1037"/>
      <c r="AC103" s="1034"/>
      <c r="AD103" s="1034"/>
      <c r="AE103" s="1035"/>
      <c r="AF103" s="1037"/>
      <c r="AG103" s="1034"/>
      <c r="AH103" s="1034"/>
      <c r="AI103" s="1035"/>
      <c r="AJ103" s="1038">
        <v>0</v>
      </c>
      <c r="AK103" s="941"/>
      <c r="AL103" s="943"/>
      <c r="AM103" s="940"/>
      <c r="AN103" s="992" t="s">
        <v>30</v>
      </c>
      <c r="AO103" s="1005">
        <f>AA123</f>
        <v>1.5</v>
      </c>
      <c r="AP103" s="1007">
        <v>60.465000000000003</v>
      </c>
      <c r="AQ103" s="994">
        <f t="shared" ref="AQ103" si="2">AP103*AO103</f>
        <v>90.697500000000005</v>
      </c>
      <c r="AR103" s="954"/>
      <c r="AS103" s="954"/>
    </row>
    <row r="104" spans="1:45" ht="13.5" customHeight="1">
      <c r="A104" s="1009" t="s">
        <v>1166</v>
      </c>
      <c r="B104" s="1034">
        <v>0.29166666666666669</v>
      </c>
      <c r="C104" s="1034">
        <v>0.14583333333333334</v>
      </c>
      <c r="D104" s="1035">
        <v>8</v>
      </c>
      <c r="E104" s="1036">
        <v>0.5</v>
      </c>
      <c r="F104" s="1037"/>
      <c r="G104" s="1034">
        <v>0.29166666666666669</v>
      </c>
      <c r="H104" s="1034">
        <v>0.125</v>
      </c>
      <c r="I104" s="1035">
        <v>8</v>
      </c>
      <c r="J104" s="1036"/>
      <c r="K104" s="1037"/>
      <c r="L104" s="1034">
        <v>0.29166666666666669</v>
      </c>
      <c r="M104" s="1034">
        <v>0.125</v>
      </c>
      <c r="N104" s="1035">
        <v>8</v>
      </c>
      <c r="O104" s="1036"/>
      <c r="P104" s="1037"/>
      <c r="Q104" s="1034">
        <v>0.29166666666666669</v>
      </c>
      <c r="R104" s="1034"/>
      <c r="S104" s="1035">
        <v>8</v>
      </c>
      <c r="T104" s="1036"/>
      <c r="U104" s="1037"/>
      <c r="V104" s="1034">
        <v>0.29166666666666669</v>
      </c>
      <c r="W104" s="1034">
        <v>0.125</v>
      </c>
      <c r="X104" s="1035">
        <v>8</v>
      </c>
      <c r="Y104" s="1036"/>
      <c r="Z104" s="1038">
        <v>40</v>
      </c>
      <c r="AA104" s="1039">
        <v>0.5</v>
      </c>
      <c r="AB104" s="1037"/>
      <c r="AC104" s="1034"/>
      <c r="AD104" s="1034"/>
      <c r="AE104" s="1035"/>
      <c r="AF104" s="1037"/>
      <c r="AG104" s="1034"/>
      <c r="AH104" s="1034"/>
      <c r="AI104" s="1035"/>
      <c r="AJ104" s="1038">
        <v>0</v>
      </c>
      <c r="AK104" s="941"/>
      <c r="AL104" s="943"/>
      <c r="AM104" s="940"/>
      <c r="AN104" s="992" t="s">
        <v>32</v>
      </c>
      <c r="AO104" s="1005">
        <f>AJ123</f>
        <v>63.75</v>
      </c>
      <c r="AP104" s="994">
        <v>60.465000000000003</v>
      </c>
      <c r="AQ104" s="994">
        <f>AP104*AO104</f>
        <v>3854.6437500000002</v>
      </c>
      <c r="AR104" s="1008"/>
      <c r="AS104" s="1008"/>
    </row>
    <row r="105" spans="1:45" ht="13.5" customHeight="1">
      <c r="A105" s="1009" t="s">
        <v>1425</v>
      </c>
      <c r="B105" s="1034">
        <v>0.29166666666666669</v>
      </c>
      <c r="C105" s="1034">
        <v>0.125</v>
      </c>
      <c r="D105" s="1035">
        <v>8</v>
      </c>
      <c r="E105" s="1036"/>
      <c r="F105" s="1037"/>
      <c r="G105" s="1034">
        <v>0.29166666666666669</v>
      </c>
      <c r="H105" s="1034">
        <v>0.125</v>
      </c>
      <c r="I105" s="1035">
        <v>8</v>
      </c>
      <c r="J105" s="1036"/>
      <c r="K105" s="1037"/>
      <c r="L105" s="1034">
        <v>0.29166666666666669</v>
      </c>
      <c r="M105" s="1034">
        <v>0.125</v>
      </c>
      <c r="N105" s="1035">
        <v>8</v>
      </c>
      <c r="O105" s="1036"/>
      <c r="P105" s="1037"/>
      <c r="Q105" s="1034">
        <v>0.29166666666666669</v>
      </c>
      <c r="R105" s="1034">
        <v>0.125</v>
      </c>
      <c r="S105" s="1035">
        <v>8</v>
      </c>
      <c r="T105" s="1036"/>
      <c r="U105" s="1037"/>
      <c r="V105" s="1034">
        <v>0.29166666666666669</v>
      </c>
      <c r="W105" s="1034">
        <v>0.125</v>
      </c>
      <c r="X105" s="1035">
        <v>8</v>
      </c>
      <c r="Y105" s="1036"/>
      <c r="Z105" s="1038">
        <v>40</v>
      </c>
      <c r="AA105" s="1039">
        <v>0</v>
      </c>
      <c r="AB105" s="1037"/>
      <c r="AC105" s="1034"/>
      <c r="AD105" s="1034"/>
      <c r="AE105" s="1035"/>
      <c r="AF105" s="1037"/>
      <c r="AG105" s="1034"/>
      <c r="AH105" s="1034"/>
      <c r="AI105" s="1035"/>
      <c r="AJ105" s="1038">
        <v>0</v>
      </c>
      <c r="AK105" s="941"/>
      <c r="AL105" s="943"/>
      <c r="AM105" s="940"/>
      <c r="AN105" s="1010" t="s">
        <v>213</v>
      </c>
      <c r="AO105" s="993">
        <f>Z126</f>
        <v>17</v>
      </c>
      <c r="AP105" s="994">
        <v>53.05</v>
      </c>
      <c r="AQ105" s="994">
        <f>AP105*AO105</f>
        <v>901.84999999999991</v>
      </c>
      <c r="AR105" s="954"/>
      <c r="AS105" s="954"/>
    </row>
    <row r="106" spans="1:45" ht="13.5" customHeight="1">
      <c r="A106" s="1009" t="s">
        <v>1426</v>
      </c>
      <c r="B106" s="1034">
        <v>0.29166666666666669</v>
      </c>
      <c r="C106" s="1034">
        <v>0.125</v>
      </c>
      <c r="D106" s="1035">
        <v>8</v>
      </c>
      <c r="E106" s="1036"/>
      <c r="F106" s="1037"/>
      <c r="G106" s="1034">
        <v>0.29166666666666669</v>
      </c>
      <c r="H106" s="1034">
        <v>0.125</v>
      </c>
      <c r="I106" s="1035">
        <v>8</v>
      </c>
      <c r="J106" s="1036"/>
      <c r="K106" s="1037"/>
      <c r="L106" s="1034">
        <v>0.29166666666666669</v>
      </c>
      <c r="M106" s="1034">
        <v>0.125</v>
      </c>
      <c r="N106" s="1035">
        <v>8</v>
      </c>
      <c r="O106" s="1036"/>
      <c r="P106" s="1037"/>
      <c r="Q106" s="1034">
        <v>0.29166666666666669</v>
      </c>
      <c r="R106" s="1034">
        <v>0.125</v>
      </c>
      <c r="S106" s="1035">
        <v>8</v>
      </c>
      <c r="T106" s="1036"/>
      <c r="U106" s="1037"/>
      <c r="V106" s="1034">
        <v>0.29166666666666669</v>
      </c>
      <c r="W106" s="1034">
        <v>0.125</v>
      </c>
      <c r="X106" s="1035">
        <v>8</v>
      </c>
      <c r="Y106" s="1036"/>
      <c r="Z106" s="1038">
        <v>40</v>
      </c>
      <c r="AA106" s="1039">
        <v>0</v>
      </c>
      <c r="AB106" s="1037"/>
      <c r="AC106" s="1034"/>
      <c r="AD106" s="1034"/>
      <c r="AE106" s="1035"/>
      <c r="AF106" s="1037"/>
      <c r="AG106" s="1034"/>
      <c r="AH106" s="1034"/>
      <c r="AI106" s="1035"/>
      <c r="AJ106" s="1038">
        <v>0</v>
      </c>
      <c r="AK106" s="941"/>
      <c r="AL106" s="943"/>
      <c r="AM106" s="940"/>
      <c r="AN106" s="992" t="s">
        <v>36</v>
      </c>
      <c r="AO106" s="1005">
        <f>AA126</f>
        <v>1.25</v>
      </c>
      <c r="AP106" s="994">
        <v>79.574999999999989</v>
      </c>
      <c r="AQ106" s="994">
        <f>AP106*AO106</f>
        <v>99.468749999999986</v>
      </c>
      <c r="AR106" s="954"/>
      <c r="AS106" s="954"/>
    </row>
    <row r="107" spans="1:45" ht="13.5" customHeight="1">
      <c r="A107" s="1009" t="s">
        <v>1066</v>
      </c>
      <c r="B107" s="1034">
        <v>0.29166666666666669</v>
      </c>
      <c r="C107" s="1034">
        <v>0.125</v>
      </c>
      <c r="D107" s="1035">
        <v>8</v>
      </c>
      <c r="E107" s="1036"/>
      <c r="F107" s="1037"/>
      <c r="G107" s="1034">
        <v>0.29166666666666669</v>
      </c>
      <c r="H107" s="1034">
        <v>0.125</v>
      </c>
      <c r="I107" s="1035">
        <v>8</v>
      </c>
      <c r="J107" s="1036"/>
      <c r="K107" s="1037"/>
      <c r="L107" s="1034">
        <v>0.29166666666666669</v>
      </c>
      <c r="M107" s="1034">
        <v>0.125</v>
      </c>
      <c r="N107" s="1035">
        <v>8</v>
      </c>
      <c r="O107" s="1036"/>
      <c r="P107" s="1037"/>
      <c r="Q107" s="1034">
        <v>0.29166666666666669</v>
      </c>
      <c r="R107" s="1034">
        <v>0.125</v>
      </c>
      <c r="S107" s="1035">
        <v>8</v>
      </c>
      <c r="T107" s="1036"/>
      <c r="U107" s="1037"/>
      <c r="V107" s="1034">
        <v>0.29166666666666669</v>
      </c>
      <c r="W107" s="1034">
        <v>0.125</v>
      </c>
      <c r="X107" s="1035">
        <v>8</v>
      </c>
      <c r="Y107" s="1036"/>
      <c r="Z107" s="1038">
        <v>40</v>
      </c>
      <c r="AA107" s="1039">
        <v>0</v>
      </c>
      <c r="AB107" s="1037"/>
      <c r="AC107" s="1034"/>
      <c r="AD107" s="1034"/>
      <c r="AE107" s="1035"/>
      <c r="AF107" s="1037"/>
      <c r="AG107" s="1034"/>
      <c r="AH107" s="1034"/>
      <c r="AI107" s="1035"/>
      <c r="AJ107" s="1038">
        <v>0</v>
      </c>
      <c r="AK107" s="941"/>
      <c r="AL107" s="943"/>
      <c r="AM107" s="940"/>
      <c r="AN107" s="992" t="s">
        <v>38</v>
      </c>
      <c r="AO107" s="1005">
        <f>AJ126</f>
        <v>9.5</v>
      </c>
      <c r="AP107" s="994">
        <v>79.574999999999989</v>
      </c>
      <c r="AQ107" s="994">
        <f>AP107*AO107</f>
        <v>755.96249999999986</v>
      </c>
      <c r="AR107" s="954"/>
      <c r="AS107" s="954"/>
    </row>
    <row r="108" spans="1:45" ht="13.5" customHeight="1">
      <c r="A108" s="1009" t="s">
        <v>1427</v>
      </c>
      <c r="B108" s="1034">
        <v>0.29166666666666669</v>
      </c>
      <c r="C108" s="1034">
        <v>0.13541666666666666</v>
      </c>
      <c r="D108" s="1035">
        <v>8</v>
      </c>
      <c r="E108" s="1036">
        <v>0.25</v>
      </c>
      <c r="F108" s="1037"/>
      <c r="G108" s="1034">
        <v>0.29166666666666669</v>
      </c>
      <c r="H108" s="1034">
        <v>0.125</v>
      </c>
      <c r="I108" s="1035">
        <v>8</v>
      </c>
      <c r="J108" s="1036"/>
      <c r="K108" s="1037"/>
      <c r="L108" s="1034">
        <v>0.29166666666666669</v>
      </c>
      <c r="M108" s="1034">
        <v>8.3333333333333329E-2</v>
      </c>
      <c r="N108" s="1035">
        <v>7</v>
      </c>
      <c r="O108" s="1036"/>
      <c r="P108" s="1037"/>
      <c r="Q108" s="1034">
        <v>0.29166666666666669</v>
      </c>
      <c r="R108" s="1034">
        <v>0.125</v>
      </c>
      <c r="S108" s="1035">
        <v>8</v>
      </c>
      <c r="T108" s="1036"/>
      <c r="U108" s="1037"/>
      <c r="V108" s="1034">
        <v>0.29166666666666669</v>
      </c>
      <c r="W108" s="1034">
        <v>0.125</v>
      </c>
      <c r="X108" s="1035">
        <v>8</v>
      </c>
      <c r="Y108" s="1036"/>
      <c r="Z108" s="1038">
        <v>39</v>
      </c>
      <c r="AA108" s="1039">
        <v>0.25</v>
      </c>
      <c r="AB108" s="1037"/>
      <c r="AC108" s="1034">
        <v>0.5</v>
      </c>
      <c r="AD108" s="1034">
        <v>6.25E-2</v>
      </c>
      <c r="AE108" s="1035">
        <v>12.5</v>
      </c>
      <c r="AF108" s="1037"/>
      <c r="AG108" s="1034"/>
      <c r="AH108" s="1034"/>
      <c r="AI108" s="1035"/>
      <c r="AJ108" s="1038">
        <v>12.5</v>
      </c>
      <c r="AK108" s="941"/>
      <c r="AL108" s="943"/>
      <c r="AM108" s="940"/>
      <c r="AN108" s="954"/>
      <c r="AO108" s="1005"/>
      <c r="AP108" s="954"/>
      <c r="AQ108" s="994">
        <v>32448.707499999997</v>
      </c>
      <c r="AR108" s="954"/>
      <c r="AS108" s="954"/>
    </row>
    <row r="109" spans="1:45" ht="13.5" customHeight="1">
      <c r="A109" s="1009" t="s">
        <v>1428</v>
      </c>
      <c r="B109" s="1034">
        <v>0.125</v>
      </c>
      <c r="C109" s="1034">
        <v>0.45833333333333331</v>
      </c>
      <c r="D109" s="1035">
        <v>8</v>
      </c>
      <c r="E109" s="1036"/>
      <c r="F109" s="1037"/>
      <c r="G109" s="1034">
        <v>0.125</v>
      </c>
      <c r="H109" s="1034"/>
      <c r="I109" s="1035">
        <v>8</v>
      </c>
      <c r="J109" s="1036"/>
      <c r="K109" s="1037"/>
      <c r="L109" s="1034">
        <v>0.125</v>
      </c>
      <c r="M109" s="1034">
        <v>0.45833333333333331</v>
      </c>
      <c r="N109" s="1035">
        <v>8</v>
      </c>
      <c r="O109" s="1036"/>
      <c r="P109" s="1037"/>
      <c r="Q109" s="1034">
        <v>0.125</v>
      </c>
      <c r="R109" s="1034">
        <v>0.45833333333333331</v>
      </c>
      <c r="S109" s="1035">
        <v>8</v>
      </c>
      <c r="T109" s="1036"/>
      <c r="U109" s="1037"/>
      <c r="V109" s="1034">
        <v>0.125</v>
      </c>
      <c r="W109" s="1034">
        <v>0.45833333333333331</v>
      </c>
      <c r="X109" s="1035">
        <v>8</v>
      </c>
      <c r="Y109" s="1036"/>
      <c r="Z109" s="1038">
        <v>40</v>
      </c>
      <c r="AA109" s="1039">
        <v>0</v>
      </c>
      <c r="AB109" s="1037"/>
      <c r="AC109" s="1034"/>
      <c r="AD109" s="1034"/>
      <c r="AE109" s="1035"/>
      <c r="AF109" s="1037"/>
      <c r="AG109" s="1034"/>
      <c r="AH109" s="1034"/>
      <c r="AI109" s="1035"/>
      <c r="AJ109" s="1038">
        <v>0</v>
      </c>
      <c r="AK109" s="941"/>
      <c r="AL109" s="943"/>
      <c r="AM109" s="940"/>
      <c r="AN109" s="954"/>
      <c r="AO109" s="1005"/>
      <c r="AP109" s="954"/>
      <c r="AQ109" s="954"/>
      <c r="AR109" s="954"/>
      <c r="AS109" s="954"/>
    </row>
    <row r="110" spans="1:45" ht="13.5" customHeight="1">
      <c r="A110" s="1009" t="s">
        <v>1142</v>
      </c>
      <c r="B110" s="1034">
        <v>0.125</v>
      </c>
      <c r="C110" s="1034">
        <v>0.45833333333333331</v>
      </c>
      <c r="D110" s="1035">
        <v>8</v>
      </c>
      <c r="E110" s="1036"/>
      <c r="F110" s="1037"/>
      <c r="G110" s="1034">
        <v>0.125</v>
      </c>
      <c r="H110" s="1034">
        <v>0.45833333333333331</v>
      </c>
      <c r="I110" s="1035">
        <v>8</v>
      </c>
      <c r="J110" s="1036"/>
      <c r="K110" s="1042"/>
      <c r="L110" s="1034">
        <v>0.125</v>
      </c>
      <c r="M110" s="1034">
        <v>0.45833333333333331</v>
      </c>
      <c r="N110" s="1035">
        <v>8</v>
      </c>
      <c r="O110" s="1036"/>
      <c r="P110" s="1042"/>
      <c r="Q110" s="1034">
        <v>0.125</v>
      </c>
      <c r="R110" s="1034">
        <v>0.45833333333333331</v>
      </c>
      <c r="S110" s="1035">
        <v>8</v>
      </c>
      <c r="T110" s="1036"/>
      <c r="U110" s="1042"/>
      <c r="V110" s="1034">
        <v>0.125</v>
      </c>
      <c r="W110" s="1034">
        <v>0.45833333333333331</v>
      </c>
      <c r="X110" s="1035">
        <v>8</v>
      </c>
      <c r="Y110" s="1036"/>
      <c r="Z110" s="1038">
        <v>40</v>
      </c>
      <c r="AA110" s="1039">
        <v>0</v>
      </c>
      <c r="AB110" s="1037"/>
      <c r="AC110" s="1034"/>
      <c r="AD110" s="1034"/>
      <c r="AE110" s="1035"/>
      <c r="AF110" s="1037"/>
      <c r="AG110" s="1034"/>
      <c r="AH110" s="1034"/>
      <c r="AI110" s="1035"/>
      <c r="AJ110" s="1038">
        <v>0</v>
      </c>
      <c r="AK110" s="941"/>
      <c r="AL110" s="943"/>
      <c r="AM110" s="940"/>
      <c r="AN110" s="953" t="s">
        <v>1115</v>
      </c>
      <c r="AO110" s="1005">
        <f>B127</f>
        <v>82</v>
      </c>
      <c r="AP110" s="954"/>
      <c r="AQ110" s="954"/>
      <c r="AR110" s="954"/>
      <c r="AS110" s="954"/>
    </row>
    <row r="111" spans="1:45" ht="13.5" customHeight="1">
      <c r="A111" s="1009" t="s">
        <v>1429</v>
      </c>
      <c r="B111" s="1034">
        <v>0.125</v>
      </c>
      <c r="C111" s="1034">
        <v>0.44791666666666669</v>
      </c>
      <c r="D111" s="1035">
        <v>7.75</v>
      </c>
      <c r="E111" s="1036"/>
      <c r="F111" s="1037"/>
      <c r="G111" s="1034">
        <v>0.125</v>
      </c>
      <c r="H111" s="1034">
        <v>0.44791666666666669</v>
      </c>
      <c r="I111" s="1035">
        <v>7.75</v>
      </c>
      <c r="J111" s="1036"/>
      <c r="K111" s="1042"/>
      <c r="L111" s="1034">
        <v>0.125</v>
      </c>
      <c r="M111" s="1034">
        <v>0.45833333333333331</v>
      </c>
      <c r="N111" s="1035">
        <v>8</v>
      </c>
      <c r="O111" s="1036"/>
      <c r="P111" s="1042"/>
      <c r="Q111" s="1034">
        <v>0.125</v>
      </c>
      <c r="R111" s="1034">
        <v>0.45833333333333331</v>
      </c>
      <c r="S111" s="1035">
        <v>8</v>
      </c>
      <c r="T111" s="1036"/>
      <c r="U111" s="1042"/>
      <c r="V111" s="1034">
        <v>0.125</v>
      </c>
      <c r="W111" s="1034">
        <v>0.45833333333333331</v>
      </c>
      <c r="X111" s="1035">
        <v>8</v>
      </c>
      <c r="Y111" s="1036"/>
      <c r="Z111" s="1038">
        <v>39.5</v>
      </c>
      <c r="AA111" s="1039">
        <v>0</v>
      </c>
      <c r="AB111" s="1037"/>
      <c r="AC111" s="1034"/>
      <c r="AD111" s="1034"/>
      <c r="AE111" s="1035"/>
      <c r="AF111" s="1037"/>
      <c r="AG111" s="1034"/>
      <c r="AH111" s="1034"/>
      <c r="AI111" s="1035"/>
      <c r="AJ111" s="1038">
        <v>0</v>
      </c>
      <c r="AK111" s="941"/>
      <c r="AL111" s="943"/>
      <c r="AM111" s="940"/>
      <c r="AN111" s="954"/>
      <c r="AO111" s="954"/>
      <c r="AP111" s="954"/>
      <c r="AQ111" s="954"/>
      <c r="AR111" s="954"/>
      <c r="AS111" s="954"/>
    </row>
    <row r="112" spans="1:45" ht="13.5" customHeight="1">
      <c r="A112" s="1011" t="s">
        <v>1060</v>
      </c>
      <c r="B112" s="1034">
        <v>0.125</v>
      </c>
      <c r="C112" s="1034">
        <v>0.45833333333333331</v>
      </c>
      <c r="D112" s="1035">
        <v>8</v>
      </c>
      <c r="E112" s="1036"/>
      <c r="F112" s="1037"/>
      <c r="G112" s="1034">
        <v>0.125</v>
      </c>
      <c r="H112" s="1034">
        <v>0.45833333333333331</v>
      </c>
      <c r="I112" s="1035">
        <v>8</v>
      </c>
      <c r="J112" s="1036"/>
      <c r="K112" s="1042"/>
      <c r="L112" s="1034">
        <v>0.125</v>
      </c>
      <c r="M112" s="1034">
        <v>0.45833333333333331</v>
      </c>
      <c r="N112" s="1035">
        <v>8</v>
      </c>
      <c r="O112" s="1036"/>
      <c r="P112" s="1042"/>
      <c r="Q112" s="1034">
        <v>0.125</v>
      </c>
      <c r="R112" s="1034">
        <v>0.45833333333333331</v>
      </c>
      <c r="S112" s="1035">
        <v>8</v>
      </c>
      <c r="T112" s="1036"/>
      <c r="U112" s="1042"/>
      <c r="V112" s="1034">
        <v>0.125</v>
      </c>
      <c r="W112" s="1034">
        <v>0.45833333333333331</v>
      </c>
      <c r="X112" s="1035">
        <v>8</v>
      </c>
      <c r="Y112" s="1036"/>
      <c r="Z112" s="1038">
        <v>40</v>
      </c>
      <c r="AA112" s="1039">
        <v>0</v>
      </c>
      <c r="AB112" s="1037"/>
      <c r="AC112" s="1034">
        <v>0.33333333333333331</v>
      </c>
      <c r="AD112" s="1034">
        <v>0.22916666666666666</v>
      </c>
      <c r="AE112" s="1035">
        <v>8.5</v>
      </c>
      <c r="AF112" s="1037"/>
      <c r="AG112" s="1034">
        <v>0.33333333333333331</v>
      </c>
      <c r="AH112" s="1034">
        <v>0.23958333333333334</v>
      </c>
      <c r="AI112" s="1035">
        <v>8.75</v>
      </c>
      <c r="AJ112" s="1038">
        <v>17.25</v>
      </c>
      <c r="AK112" s="941"/>
      <c r="AL112" s="943"/>
      <c r="AM112" s="940"/>
      <c r="AN112" s="954"/>
      <c r="AO112" s="954"/>
      <c r="AP112" s="954"/>
      <c r="AQ112" s="954"/>
      <c r="AR112" s="954"/>
      <c r="AS112" s="954"/>
    </row>
    <row r="113" spans="1:45" ht="13.5" customHeight="1">
      <c r="A113" s="941" t="s">
        <v>327</v>
      </c>
      <c r="B113" s="1034">
        <v>0.125</v>
      </c>
      <c r="C113" s="1034">
        <v>0.45833333333333331</v>
      </c>
      <c r="D113" s="1035">
        <v>8</v>
      </c>
      <c r="E113" s="1036"/>
      <c r="F113" s="1042"/>
      <c r="G113" s="1034">
        <v>0.125</v>
      </c>
      <c r="H113" s="1034">
        <v>0.45833333333333331</v>
      </c>
      <c r="I113" s="1035">
        <v>8</v>
      </c>
      <c r="J113" s="1036"/>
      <c r="K113" s="1042"/>
      <c r="L113" s="1034">
        <v>0.125</v>
      </c>
      <c r="M113" s="1034">
        <v>0.45833333333333331</v>
      </c>
      <c r="N113" s="1035">
        <v>8</v>
      </c>
      <c r="O113" s="1036"/>
      <c r="P113" s="1042"/>
      <c r="Q113" s="1034">
        <v>0.125</v>
      </c>
      <c r="R113" s="1034">
        <v>0.45833333333333331</v>
      </c>
      <c r="S113" s="1035">
        <v>8</v>
      </c>
      <c r="T113" s="1036"/>
      <c r="U113" s="1042"/>
      <c r="V113" s="1034">
        <v>0.125</v>
      </c>
      <c r="W113" s="1034">
        <v>0.45833333333333331</v>
      </c>
      <c r="X113" s="1035">
        <v>8</v>
      </c>
      <c r="Y113" s="1036"/>
      <c r="Z113" s="1038">
        <v>40</v>
      </c>
      <c r="AA113" s="1039">
        <v>0</v>
      </c>
      <c r="AB113" s="1037"/>
      <c r="AC113" s="1034"/>
      <c r="AD113" s="1034"/>
      <c r="AE113" s="1035"/>
      <c r="AF113" s="1037"/>
      <c r="AG113" s="1034"/>
      <c r="AH113" s="1034"/>
      <c r="AI113" s="1035"/>
      <c r="AJ113" s="1038">
        <v>0</v>
      </c>
      <c r="AK113" s="941"/>
      <c r="AL113" s="943"/>
      <c r="AM113" s="940"/>
      <c r="AN113" s="954"/>
      <c r="AO113" s="954"/>
      <c r="AP113" s="954"/>
      <c r="AQ113" s="954"/>
      <c r="AR113" s="954"/>
      <c r="AS113" s="954"/>
    </row>
    <row r="114" spans="1:45" ht="13.5" customHeight="1">
      <c r="A114" s="1006" t="s">
        <v>1144</v>
      </c>
      <c r="B114" s="1034">
        <v>0.125</v>
      </c>
      <c r="C114" s="1034">
        <v>0.45833333333333331</v>
      </c>
      <c r="D114" s="1035">
        <v>8</v>
      </c>
      <c r="E114" s="1036"/>
      <c r="F114" s="1042"/>
      <c r="G114" s="1034">
        <v>0.125</v>
      </c>
      <c r="H114" s="1034">
        <v>0.45833333333333331</v>
      </c>
      <c r="I114" s="1035">
        <v>8</v>
      </c>
      <c r="J114" s="1036"/>
      <c r="K114" s="1042"/>
      <c r="L114" s="1034">
        <v>0.125</v>
      </c>
      <c r="M114" s="1034">
        <v>0.45833333333333331</v>
      </c>
      <c r="N114" s="1035">
        <v>8</v>
      </c>
      <c r="O114" s="1036"/>
      <c r="P114" s="1042"/>
      <c r="Q114" s="1034">
        <v>0.125</v>
      </c>
      <c r="R114" s="1034">
        <v>0.46875</v>
      </c>
      <c r="S114" s="1035">
        <v>8</v>
      </c>
      <c r="T114" s="1036">
        <v>0.25</v>
      </c>
      <c r="U114" s="1042"/>
      <c r="V114" s="1034">
        <v>0.125</v>
      </c>
      <c r="W114" s="1034">
        <v>0.45833333333333331</v>
      </c>
      <c r="X114" s="1035">
        <v>8</v>
      </c>
      <c r="Y114" s="1036"/>
      <c r="Z114" s="1038">
        <v>40</v>
      </c>
      <c r="AA114" s="1039">
        <v>0.25</v>
      </c>
      <c r="AB114" s="1037"/>
      <c r="AC114" s="1034"/>
      <c r="AD114" s="1034"/>
      <c r="AE114" s="1035"/>
      <c r="AF114" s="1037"/>
      <c r="AG114" s="1034"/>
      <c r="AH114" s="1034"/>
      <c r="AI114" s="1035"/>
      <c r="AJ114" s="1038">
        <v>0</v>
      </c>
      <c r="AK114" s="941"/>
      <c r="AL114" s="943"/>
      <c r="AM114" s="940"/>
      <c r="AN114" s="954"/>
      <c r="AO114" s="954"/>
      <c r="AP114" s="954"/>
      <c r="AQ114" s="954"/>
      <c r="AR114" s="954"/>
      <c r="AS114" s="954"/>
    </row>
    <row r="115" spans="1:45" ht="13.5" customHeight="1">
      <c r="A115" s="1009" t="s">
        <v>1140</v>
      </c>
      <c r="B115" s="1034"/>
      <c r="C115" s="1034"/>
      <c r="D115" s="1035"/>
      <c r="E115" s="1036"/>
      <c r="F115" s="1042"/>
      <c r="G115" s="1034"/>
      <c r="H115" s="1034"/>
      <c r="I115" s="1035"/>
      <c r="J115" s="1036"/>
      <c r="K115" s="1042"/>
      <c r="L115" s="1034"/>
      <c r="M115" s="1034"/>
      <c r="N115" s="1035"/>
      <c r="O115" s="1036"/>
      <c r="P115" s="1042"/>
      <c r="Q115" s="1034"/>
      <c r="R115" s="1034"/>
      <c r="S115" s="1035"/>
      <c r="T115" s="1036"/>
      <c r="U115" s="1042"/>
      <c r="V115" s="1034"/>
      <c r="W115" s="1034"/>
      <c r="X115" s="1035"/>
      <c r="Y115" s="1036"/>
      <c r="Z115" s="1038">
        <v>0</v>
      </c>
      <c r="AA115" s="1039">
        <v>0</v>
      </c>
      <c r="AB115" s="1037"/>
      <c r="AC115" s="1034">
        <v>0.33333333333333331</v>
      </c>
      <c r="AD115" s="1034">
        <v>0.20833333333333334</v>
      </c>
      <c r="AE115" s="1035">
        <v>8</v>
      </c>
      <c r="AF115" s="1037"/>
      <c r="AG115" s="1034">
        <v>0.33333333333333331</v>
      </c>
      <c r="AH115" s="1034">
        <v>0.27083333333333331</v>
      </c>
      <c r="AI115" s="1035">
        <v>9.5</v>
      </c>
      <c r="AJ115" s="1038">
        <v>17.5</v>
      </c>
      <c r="AK115" s="941"/>
      <c r="AL115" s="943"/>
      <c r="AM115" s="940"/>
      <c r="AN115" s="954"/>
      <c r="AO115" s="954"/>
      <c r="AP115" s="954"/>
      <c r="AQ115" s="954"/>
      <c r="AR115" s="954"/>
      <c r="AS115" s="954"/>
    </row>
    <row r="116" spans="1:45" ht="13.5" customHeight="1">
      <c r="A116" s="1009" t="s">
        <v>1435</v>
      </c>
      <c r="B116" s="1034"/>
      <c r="C116" s="1034"/>
      <c r="D116" s="1035"/>
      <c r="E116" s="1036"/>
      <c r="F116" s="1042"/>
      <c r="G116" s="1034"/>
      <c r="H116" s="1034"/>
      <c r="I116" s="1035"/>
      <c r="J116" s="1036"/>
      <c r="K116" s="1042"/>
      <c r="L116" s="1034"/>
      <c r="M116" s="1034"/>
      <c r="N116" s="1035"/>
      <c r="O116" s="1036"/>
      <c r="P116" s="1042"/>
      <c r="Q116" s="1034"/>
      <c r="R116" s="1034"/>
      <c r="S116" s="1035"/>
      <c r="T116" s="1036"/>
      <c r="U116" s="1042"/>
      <c r="V116" s="1034"/>
      <c r="W116" s="1034"/>
      <c r="X116" s="1035"/>
      <c r="Y116" s="1036"/>
      <c r="Z116" s="1038">
        <v>0</v>
      </c>
      <c r="AA116" s="1039">
        <v>0</v>
      </c>
      <c r="AB116" s="1037"/>
      <c r="AC116" s="1034">
        <v>0.33333333333333331</v>
      </c>
      <c r="AD116" s="1034">
        <v>0.14583333333333334</v>
      </c>
      <c r="AE116" s="1035">
        <v>7.5</v>
      </c>
      <c r="AF116" s="1037"/>
      <c r="AG116" s="1034"/>
      <c r="AH116" s="1034"/>
      <c r="AI116" s="1035"/>
      <c r="AJ116" s="1038">
        <v>7.5</v>
      </c>
      <c r="AK116" s="941"/>
      <c r="AL116" s="943"/>
      <c r="AM116" s="940"/>
      <c r="AN116" s="954"/>
      <c r="AO116" s="954"/>
      <c r="AP116" s="954"/>
      <c r="AQ116" s="954"/>
      <c r="AR116" s="954"/>
      <c r="AS116" s="954"/>
    </row>
    <row r="117" spans="1:45" ht="13.5" customHeight="1">
      <c r="A117" s="1009" t="s">
        <v>1431</v>
      </c>
      <c r="B117" s="1034"/>
      <c r="C117" s="1034"/>
      <c r="D117" s="1035">
        <v>1</v>
      </c>
      <c r="E117" s="1036"/>
      <c r="F117" s="1042"/>
      <c r="G117" s="1034"/>
      <c r="H117" s="1034"/>
      <c r="I117" s="1035">
        <v>1</v>
      </c>
      <c r="J117" s="1036"/>
      <c r="K117" s="1042"/>
      <c r="L117" s="1034"/>
      <c r="M117" s="1034"/>
      <c r="N117" s="1035">
        <v>1</v>
      </c>
      <c r="O117" s="1036"/>
      <c r="P117" s="1042"/>
      <c r="Q117" s="1034"/>
      <c r="R117" s="1034"/>
      <c r="S117" s="1035">
        <v>1</v>
      </c>
      <c r="T117" s="1036"/>
      <c r="U117" s="1042"/>
      <c r="V117" s="1034"/>
      <c r="W117" s="1034"/>
      <c r="X117" s="1035">
        <v>1</v>
      </c>
      <c r="Y117" s="1036"/>
      <c r="Z117" s="1038">
        <v>5</v>
      </c>
      <c r="AA117" s="1039">
        <v>0</v>
      </c>
      <c r="AB117" s="1037"/>
      <c r="AC117" s="1034"/>
      <c r="AD117" s="1034"/>
      <c r="AE117" s="1035"/>
      <c r="AF117" s="1037"/>
      <c r="AG117" s="1034"/>
      <c r="AH117" s="1034"/>
      <c r="AI117" s="1035"/>
      <c r="AJ117" s="1038">
        <v>0</v>
      </c>
      <c r="AK117" s="941"/>
      <c r="AL117" s="943"/>
      <c r="AM117" s="940"/>
      <c r="AN117" s="954"/>
      <c r="AO117" s="954"/>
      <c r="AP117" s="954"/>
      <c r="AQ117" s="954"/>
      <c r="AR117" s="954"/>
      <c r="AS117" s="954"/>
    </row>
    <row r="118" spans="1:45" ht="13.5" customHeight="1">
      <c r="A118" s="1009" t="s">
        <v>813</v>
      </c>
      <c r="B118" s="1034"/>
      <c r="C118" s="1034"/>
      <c r="D118" s="1035">
        <v>2</v>
      </c>
      <c r="E118" s="1036"/>
      <c r="F118" s="1042"/>
      <c r="G118" s="1034"/>
      <c r="H118" s="1034"/>
      <c r="I118" s="1035">
        <v>2</v>
      </c>
      <c r="J118" s="1036"/>
      <c r="K118" s="1042"/>
      <c r="L118" s="1034"/>
      <c r="M118" s="1034"/>
      <c r="N118" s="1035">
        <v>2</v>
      </c>
      <c r="O118" s="1036"/>
      <c r="P118" s="1042"/>
      <c r="Q118" s="1034"/>
      <c r="R118" s="1034"/>
      <c r="S118" s="1035">
        <v>2</v>
      </c>
      <c r="T118" s="1036"/>
      <c r="U118" s="1042"/>
      <c r="V118" s="1034"/>
      <c r="W118" s="1034"/>
      <c r="X118" s="1035">
        <v>2</v>
      </c>
      <c r="Y118" s="1036"/>
      <c r="Z118" s="1038">
        <v>10</v>
      </c>
      <c r="AA118" s="1039">
        <v>0</v>
      </c>
      <c r="AB118" s="1037"/>
      <c r="AC118" s="1034"/>
      <c r="AD118" s="1034"/>
      <c r="AE118" s="1035"/>
      <c r="AF118" s="1037"/>
      <c r="AG118" s="1034"/>
      <c r="AH118" s="1034"/>
      <c r="AI118" s="1035"/>
      <c r="AJ118" s="1038">
        <v>0</v>
      </c>
      <c r="AK118" s="941"/>
      <c r="AL118" s="943"/>
      <c r="AM118" s="940"/>
      <c r="AN118" s="954"/>
      <c r="AO118" s="954"/>
      <c r="AP118" s="954"/>
      <c r="AQ118" s="954"/>
      <c r="AR118" s="954"/>
      <c r="AS118" s="954"/>
    </row>
    <row r="119" spans="1:45" ht="13.5" customHeight="1">
      <c r="A119" s="1009" t="s">
        <v>1432</v>
      </c>
      <c r="B119" s="1034"/>
      <c r="C119" s="1034"/>
      <c r="D119" s="1035"/>
      <c r="E119" s="1036"/>
      <c r="F119" s="1042"/>
      <c r="G119" s="1034"/>
      <c r="H119" s="1034"/>
      <c r="I119" s="1035"/>
      <c r="J119" s="1036"/>
      <c r="K119" s="1042"/>
      <c r="L119" s="1034"/>
      <c r="M119" s="1034"/>
      <c r="N119" s="1035"/>
      <c r="O119" s="1036"/>
      <c r="P119" s="1042"/>
      <c r="Q119" s="1034"/>
      <c r="R119" s="1034"/>
      <c r="S119" s="1035"/>
      <c r="T119" s="1036"/>
      <c r="U119" s="1042"/>
      <c r="V119" s="1034"/>
      <c r="W119" s="1034"/>
      <c r="X119" s="1035"/>
      <c r="Y119" s="1036"/>
      <c r="Z119" s="1038">
        <v>0</v>
      </c>
      <c r="AA119" s="1039">
        <v>0</v>
      </c>
      <c r="AB119" s="1037"/>
      <c r="AC119" s="1034"/>
      <c r="AD119" s="1034"/>
      <c r="AE119" s="1035"/>
      <c r="AF119" s="1037"/>
      <c r="AG119" s="1034"/>
      <c r="AH119" s="1034"/>
      <c r="AI119" s="1035"/>
      <c r="AJ119" s="1038">
        <v>0</v>
      </c>
      <c r="AK119" s="941"/>
      <c r="AL119" s="943"/>
      <c r="AM119" s="940"/>
      <c r="AN119" s="954"/>
      <c r="AO119" s="954"/>
      <c r="AP119" s="954"/>
      <c r="AQ119" s="954"/>
      <c r="AR119" s="954"/>
      <c r="AS119" s="954"/>
    </row>
    <row r="120" spans="1:45" ht="13.5" customHeight="1">
      <c r="A120" s="1009" t="s">
        <v>88</v>
      </c>
      <c r="B120" s="1034"/>
      <c r="C120" s="1034"/>
      <c r="D120" s="1035">
        <v>2</v>
      </c>
      <c r="E120" s="1036"/>
      <c r="F120" s="1042"/>
      <c r="G120" s="1034"/>
      <c r="H120" s="1034"/>
      <c r="I120" s="1035">
        <v>2</v>
      </c>
      <c r="J120" s="1036"/>
      <c r="K120" s="1042"/>
      <c r="L120" s="1034"/>
      <c r="M120" s="1034"/>
      <c r="N120" s="1035">
        <v>2</v>
      </c>
      <c r="O120" s="1036"/>
      <c r="P120" s="1042"/>
      <c r="Q120" s="1034"/>
      <c r="R120" s="1034"/>
      <c r="S120" s="1035">
        <v>2</v>
      </c>
      <c r="T120" s="1036"/>
      <c r="U120" s="1042"/>
      <c r="V120" s="1034"/>
      <c r="W120" s="1034"/>
      <c r="X120" s="1035">
        <v>2</v>
      </c>
      <c r="Y120" s="1036"/>
      <c r="Z120" s="1038">
        <v>10</v>
      </c>
      <c r="AA120" s="1039">
        <v>0</v>
      </c>
      <c r="AB120" s="1037"/>
      <c r="AC120" s="1034"/>
      <c r="AD120" s="1034"/>
      <c r="AE120" s="1035"/>
      <c r="AF120" s="1037"/>
      <c r="AG120" s="1034"/>
      <c r="AH120" s="1034"/>
      <c r="AI120" s="1035"/>
      <c r="AJ120" s="1038">
        <v>0</v>
      </c>
      <c r="AK120" s="941"/>
      <c r="AL120" s="943"/>
      <c r="AM120" s="940"/>
      <c r="AN120" s="954"/>
      <c r="AO120" s="954"/>
      <c r="AP120" s="954"/>
      <c r="AQ120" s="954"/>
      <c r="AR120" s="954"/>
      <c r="AS120" s="954"/>
    </row>
    <row r="121" spans="1:45" ht="13.5" customHeight="1">
      <c r="A121" s="1043" t="s">
        <v>1433</v>
      </c>
      <c r="B121" s="1049">
        <v>0.45833333333333331</v>
      </c>
      <c r="C121" s="1049">
        <v>0.29166666666666669</v>
      </c>
      <c r="D121" s="1050">
        <v>8</v>
      </c>
      <c r="E121" s="1050"/>
      <c r="F121" s="1050"/>
      <c r="G121" s="1049">
        <v>0.45833333333333331</v>
      </c>
      <c r="H121" s="1049"/>
      <c r="I121" s="1050">
        <v>8</v>
      </c>
      <c r="J121" s="1050"/>
      <c r="K121" s="1050"/>
      <c r="L121" s="1049">
        <v>0.45833333333333331</v>
      </c>
      <c r="M121" s="1049">
        <v>0.29166666666666669</v>
      </c>
      <c r="N121" s="1050">
        <v>8</v>
      </c>
      <c r="O121" s="1050"/>
      <c r="P121" s="1050"/>
      <c r="Q121" s="1049">
        <v>0.45833333333333331</v>
      </c>
      <c r="R121" s="1049">
        <v>0.29166666666666669</v>
      </c>
      <c r="S121" s="1050">
        <v>8</v>
      </c>
      <c r="T121" s="1050"/>
      <c r="U121" s="1050"/>
      <c r="V121" s="1049">
        <v>0.45833333333333331</v>
      </c>
      <c r="W121" s="1049">
        <v>0.29166666666666669</v>
      </c>
      <c r="X121" s="1050">
        <v>8</v>
      </c>
      <c r="Y121" s="1050"/>
      <c r="Z121" s="1051">
        <v>40</v>
      </c>
      <c r="AA121" s="1039">
        <v>0</v>
      </c>
      <c r="AB121" s="1037"/>
      <c r="AC121" s="1034"/>
      <c r="AD121" s="1034"/>
      <c r="AE121" s="1035"/>
      <c r="AF121" s="1037"/>
      <c r="AG121" s="1034"/>
      <c r="AH121" s="1034"/>
      <c r="AI121" s="1035"/>
      <c r="AJ121" s="1038">
        <v>0</v>
      </c>
      <c r="AK121" s="941"/>
      <c r="AL121" s="943"/>
      <c r="AM121" s="940"/>
      <c r="AN121" s="954"/>
      <c r="AO121" s="954"/>
      <c r="AP121" s="954"/>
      <c r="AQ121" s="954"/>
      <c r="AR121" s="954"/>
      <c r="AS121" s="954"/>
    </row>
    <row r="122" spans="1:45" ht="13.5" customHeight="1">
      <c r="A122" s="1043" t="s">
        <v>241</v>
      </c>
      <c r="B122" s="1049">
        <v>0.45833333333333331</v>
      </c>
      <c r="C122" s="1049"/>
      <c r="D122" s="1050">
        <v>8</v>
      </c>
      <c r="E122" s="1050"/>
      <c r="F122" s="1050"/>
      <c r="G122" s="1049">
        <v>0.45833333333333331</v>
      </c>
      <c r="H122" s="1049">
        <v>0.29166666666666669</v>
      </c>
      <c r="I122" s="1050">
        <v>8</v>
      </c>
      <c r="J122" s="1050"/>
      <c r="K122" s="1050"/>
      <c r="L122" s="1049">
        <v>0.45833333333333331</v>
      </c>
      <c r="M122" s="1049">
        <v>0.29166666666666669</v>
      </c>
      <c r="N122" s="1050">
        <v>8</v>
      </c>
      <c r="O122" s="1050"/>
      <c r="P122" s="1050"/>
      <c r="Q122" s="1049">
        <v>0.45833333333333331</v>
      </c>
      <c r="R122" s="1049"/>
      <c r="S122" s="1050">
        <v>8</v>
      </c>
      <c r="T122" s="1050"/>
      <c r="U122" s="1050"/>
      <c r="V122" s="1049">
        <v>0.45833333333333331</v>
      </c>
      <c r="W122" s="1049">
        <v>0.29166666666666669</v>
      </c>
      <c r="X122" s="1050">
        <v>8</v>
      </c>
      <c r="Y122" s="1050"/>
      <c r="Z122" s="1051">
        <v>40</v>
      </c>
      <c r="AA122" s="1039">
        <v>0</v>
      </c>
      <c r="AB122" s="1037"/>
      <c r="AC122" s="1034">
        <v>0.33333333333333331</v>
      </c>
      <c r="AD122" s="1034">
        <v>0.25</v>
      </c>
      <c r="AE122" s="1035">
        <v>9</v>
      </c>
      <c r="AF122" s="1037"/>
      <c r="AG122" s="1034"/>
      <c r="AH122" s="1034"/>
      <c r="AI122" s="1035"/>
      <c r="AJ122" s="1038">
        <v>9</v>
      </c>
      <c r="AK122" s="941"/>
      <c r="AL122" s="943"/>
      <c r="AM122" s="940"/>
      <c r="AN122" s="954"/>
      <c r="AO122" s="954"/>
      <c r="AP122" s="954"/>
      <c r="AQ122" s="954"/>
      <c r="AR122" s="954"/>
      <c r="AS122" s="954"/>
    </row>
    <row r="123" spans="1:45" ht="13.5" customHeight="1">
      <c r="A123" s="1016" t="s">
        <v>61</v>
      </c>
      <c r="B123" s="1044"/>
      <c r="C123" s="1044"/>
      <c r="D123" s="1045">
        <v>108.75</v>
      </c>
      <c r="E123" s="1036">
        <v>1.25</v>
      </c>
      <c r="F123" s="1044"/>
      <c r="G123" s="1044"/>
      <c r="H123" s="1044"/>
      <c r="I123" s="1045">
        <v>108.75</v>
      </c>
      <c r="J123" s="1036">
        <v>0</v>
      </c>
      <c r="K123" s="1044"/>
      <c r="L123" s="1044"/>
      <c r="M123" s="1044"/>
      <c r="N123" s="1045">
        <v>108</v>
      </c>
      <c r="O123" s="1036">
        <v>0</v>
      </c>
      <c r="P123" s="1044"/>
      <c r="Q123" s="1044"/>
      <c r="R123" s="1044"/>
      <c r="S123" s="1045">
        <v>109</v>
      </c>
      <c r="T123" s="1036">
        <v>0.25</v>
      </c>
      <c r="U123" s="1044"/>
      <c r="V123" s="1044"/>
      <c r="W123" s="1044"/>
      <c r="X123" s="1045">
        <v>109</v>
      </c>
      <c r="Y123" s="1036">
        <v>0</v>
      </c>
      <c r="Z123" s="1038">
        <v>543.5</v>
      </c>
      <c r="AA123" s="1038">
        <v>1.5</v>
      </c>
      <c r="AB123" s="1037"/>
      <c r="AC123" s="1044"/>
      <c r="AD123" s="1044"/>
      <c r="AE123" s="1038">
        <v>45.5</v>
      </c>
      <c r="AF123" s="1037"/>
      <c r="AG123" s="1044"/>
      <c r="AH123" s="1044"/>
      <c r="AI123" s="1038">
        <v>18.25</v>
      </c>
      <c r="AJ123" s="1038">
        <v>63.75</v>
      </c>
      <c r="AK123" s="941"/>
      <c r="AL123" s="943"/>
      <c r="AM123" s="940"/>
      <c r="AN123" s="954"/>
      <c r="AO123" s="954"/>
      <c r="AP123" s="954"/>
      <c r="AQ123" s="954"/>
      <c r="AR123" s="954"/>
      <c r="AS123" s="954"/>
    </row>
    <row r="124" spans="1:45" ht="13.5" customHeight="1">
      <c r="A124" s="1016" t="s">
        <v>1434</v>
      </c>
      <c r="B124" s="1044"/>
      <c r="C124" s="1044"/>
      <c r="D124" s="1045">
        <v>8</v>
      </c>
      <c r="E124" s="1036">
        <v>0</v>
      </c>
      <c r="F124" s="1044"/>
      <c r="G124" s="1044"/>
      <c r="H124" s="1044"/>
      <c r="I124" s="1045">
        <v>8</v>
      </c>
      <c r="J124" s="1036">
        <v>0</v>
      </c>
      <c r="K124" s="1044"/>
      <c r="L124" s="1044"/>
      <c r="M124" s="1044"/>
      <c r="N124" s="1045">
        <v>8</v>
      </c>
      <c r="O124" s="1036">
        <v>0</v>
      </c>
      <c r="P124" s="1044"/>
      <c r="Q124" s="1044"/>
      <c r="R124" s="1044"/>
      <c r="S124" s="1045">
        <v>8</v>
      </c>
      <c r="T124" s="1036">
        <v>0</v>
      </c>
      <c r="U124" s="1044"/>
      <c r="V124" s="1044"/>
      <c r="W124" s="1044"/>
      <c r="X124" s="1045">
        <v>8</v>
      </c>
      <c r="Y124" s="1036">
        <v>0</v>
      </c>
      <c r="Z124" s="1038">
        <v>80</v>
      </c>
      <c r="AA124" s="1038">
        <v>0</v>
      </c>
      <c r="AB124" s="1037"/>
      <c r="AC124" s="1044"/>
      <c r="AD124" s="1044"/>
      <c r="AE124" s="1038"/>
      <c r="AF124" s="1037"/>
      <c r="AG124" s="1044"/>
      <c r="AH124" s="1044"/>
      <c r="AI124" s="1038"/>
      <c r="AJ124" s="1038"/>
      <c r="AK124" s="941"/>
      <c r="AL124" s="943"/>
      <c r="AM124" s="940"/>
      <c r="AN124" s="954"/>
      <c r="AO124" s="954"/>
      <c r="AP124" s="954"/>
      <c r="AQ124" s="954"/>
      <c r="AR124" s="954"/>
      <c r="AS124" s="954"/>
    </row>
    <row r="125" spans="1:45" ht="13.5" customHeight="1">
      <c r="A125" s="1022" t="s">
        <v>64</v>
      </c>
      <c r="B125" s="1052"/>
      <c r="C125" s="1052"/>
      <c r="D125" s="1023">
        <v>4</v>
      </c>
      <c r="E125" s="1023"/>
      <c r="F125" s="1053"/>
      <c r="G125" s="1052"/>
      <c r="H125" s="1052"/>
      <c r="I125" s="1023">
        <v>4</v>
      </c>
      <c r="J125" s="1023">
        <v>0.5</v>
      </c>
      <c r="K125" s="1054"/>
      <c r="L125" s="1052"/>
      <c r="M125" s="1052"/>
      <c r="N125" s="1023">
        <v>3</v>
      </c>
      <c r="O125" s="1023"/>
      <c r="P125" s="1054"/>
      <c r="Q125" s="1052"/>
      <c r="R125" s="1052"/>
      <c r="S125" s="1023">
        <v>4</v>
      </c>
      <c r="T125" s="1023">
        <v>0.75</v>
      </c>
      <c r="U125" s="1054"/>
      <c r="V125" s="1052"/>
      <c r="W125" s="1052"/>
      <c r="X125" s="1023">
        <v>2</v>
      </c>
      <c r="Y125" s="1023"/>
      <c r="Z125" s="1055">
        <v>17</v>
      </c>
      <c r="AA125" s="1056">
        <v>1.25</v>
      </c>
      <c r="AB125" s="1057"/>
      <c r="AC125" s="1052" t="s">
        <v>29</v>
      </c>
      <c r="AD125" s="1052" t="s">
        <v>29</v>
      </c>
      <c r="AE125" s="1023">
        <v>5</v>
      </c>
      <c r="AF125" s="1057"/>
      <c r="AG125" s="1052" t="s">
        <v>29</v>
      </c>
      <c r="AH125" s="1052" t="s">
        <v>29</v>
      </c>
      <c r="AI125" s="1023">
        <v>4.5</v>
      </c>
      <c r="AJ125" s="1055">
        <v>9.5</v>
      </c>
      <c r="AK125" s="1057"/>
      <c r="AL125" s="1058"/>
      <c r="AM125" s="1059"/>
      <c r="AN125" s="1060"/>
      <c r="AO125" s="1061"/>
      <c r="AP125" s="1061"/>
      <c r="AQ125" s="1061"/>
      <c r="AR125" s="1061"/>
      <c r="AS125" s="1061"/>
    </row>
    <row r="126" spans="1:45" ht="13.5" customHeight="1">
      <c r="A126" s="1026" t="s">
        <v>66</v>
      </c>
      <c r="B126" s="1062"/>
      <c r="C126" s="1062"/>
      <c r="D126" s="1046"/>
      <c r="E126" s="1046"/>
      <c r="F126" s="1046"/>
      <c r="G126" s="1046"/>
      <c r="H126" s="1046"/>
      <c r="I126" s="1046"/>
      <c r="J126" s="1046"/>
      <c r="K126" s="1046"/>
      <c r="L126" s="1046"/>
      <c r="M126" s="1046"/>
      <c r="N126" s="1046"/>
      <c r="O126" s="1046"/>
      <c r="P126" s="1046"/>
      <c r="Q126" s="1046"/>
      <c r="R126" s="1046"/>
      <c r="S126" s="1046"/>
      <c r="T126" s="1046"/>
      <c r="U126" s="1046"/>
      <c r="V126" s="1046"/>
      <c r="W126" s="1046"/>
      <c r="X126" s="1046"/>
      <c r="Y126" s="1046"/>
      <c r="Z126" s="1038">
        <v>17</v>
      </c>
      <c r="AA126" s="1038">
        <v>1.25</v>
      </c>
      <c r="AB126" s="1037"/>
      <c r="AC126" s="1063"/>
      <c r="AD126" s="1063"/>
      <c r="AE126" s="1063"/>
      <c r="AF126" s="1037"/>
      <c r="AG126" s="1063"/>
      <c r="AH126" s="1063"/>
      <c r="AI126" s="1063"/>
      <c r="AJ126" s="1038">
        <v>9.5</v>
      </c>
      <c r="AK126" s="941"/>
      <c r="AL126" s="943"/>
      <c r="AM126" s="940"/>
      <c r="AN126" s="1021"/>
      <c r="AO126" s="954"/>
      <c r="AP126" s="954"/>
      <c r="AQ126" s="954"/>
      <c r="AR126" s="954"/>
      <c r="AS126" s="954"/>
    </row>
    <row r="127" spans="1:45" ht="13.5" customHeight="1">
      <c r="A127" s="1029" t="s">
        <v>67</v>
      </c>
      <c r="B127" s="1030">
        <v>82</v>
      </c>
      <c r="C127" s="1030"/>
      <c r="D127" s="1031"/>
      <c r="E127" s="1031"/>
      <c r="F127" s="1030"/>
      <c r="G127" s="1031"/>
      <c r="H127" s="1031"/>
      <c r="I127" s="1031"/>
      <c r="J127" s="1031"/>
      <c r="K127" s="1030"/>
      <c r="L127" s="1030"/>
      <c r="M127" s="1030"/>
      <c r="N127" s="1030"/>
      <c r="O127" s="1031"/>
      <c r="P127" s="1030"/>
      <c r="Q127" s="1030"/>
      <c r="R127" s="1030"/>
      <c r="S127" s="1030"/>
      <c r="T127" s="1031"/>
      <c r="U127" s="1030"/>
      <c r="V127" s="1030"/>
      <c r="W127" s="1030"/>
      <c r="X127" s="1032"/>
      <c r="Y127" s="1031"/>
      <c r="Z127" s="1033"/>
      <c r="AA127" s="1031"/>
      <c r="AB127" s="1033"/>
      <c r="AC127" s="1033"/>
      <c r="AD127" s="1033"/>
      <c r="AE127" s="1033"/>
      <c r="AF127" s="1033"/>
      <c r="AG127" s="1033"/>
      <c r="AH127" s="1033"/>
      <c r="AI127" s="1033"/>
      <c r="AJ127" s="1033"/>
      <c r="AK127" s="941"/>
      <c r="AL127" s="943"/>
      <c r="AM127" s="940"/>
      <c r="AN127" s="1021"/>
      <c r="AO127" s="954"/>
      <c r="AP127" s="954"/>
      <c r="AQ127" s="954"/>
      <c r="AR127" s="954"/>
      <c r="AS127" s="954"/>
    </row>
    <row r="128" spans="1:45" ht="13.5" customHeight="1">
      <c r="A128" s="940"/>
      <c r="B128" s="940"/>
      <c r="C128" s="940"/>
      <c r="D128" s="941"/>
      <c r="E128" s="942"/>
      <c r="F128" s="941"/>
      <c r="G128" s="940"/>
      <c r="H128" s="940"/>
      <c r="I128" s="941"/>
      <c r="J128" s="942"/>
      <c r="K128" s="941"/>
      <c r="L128" s="940"/>
      <c r="M128" s="940"/>
      <c r="N128" s="941"/>
      <c r="O128" s="942"/>
      <c r="P128" s="941"/>
      <c r="Q128" s="940"/>
      <c r="R128" s="940"/>
      <c r="S128" s="941"/>
      <c r="T128" s="942"/>
      <c r="U128" s="941"/>
      <c r="V128" s="940"/>
      <c r="W128" s="940"/>
      <c r="X128" s="941"/>
      <c r="Y128" s="942"/>
      <c r="Z128" s="941"/>
      <c r="AA128" s="941"/>
      <c r="AB128" s="941"/>
      <c r="AC128" s="940"/>
      <c r="AD128" s="940"/>
      <c r="AE128" s="940"/>
      <c r="AF128" s="941"/>
      <c r="AG128" s="940"/>
      <c r="AH128" s="940"/>
      <c r="AI128" s="940"/>
      <c r="AJ128" s="940"/>
      <c r="AK128" s="941"/>
      <c r="AL128" s="943"/>
      <c r="AM128" s="940"/>
      <c r="AN128" s="954"/>
      <c r="AO128" s="954"/>
      <c r="AP128" s="954"/>
      <c r="AQ128" s="954"/>
      <c r="AR128" s="954"/>
      <c r="AS128" s="954"/>
    </row>
    <row r="129" spans="1:45" ht="13.5" customHeight="1">
      <c r="A129" s="974"/>
      <c r="B129" s="975"/>
      <c r="C129" s="975"/>
      <c r="D129" s="976"/>
      <c r="E129" s="976"/>
      <c r="F129" s="975"/>
      <c r="G129" s="976"/>
      <c r="H129" s="976"/>
      <c r="I129" s="976"/>
      <c r="J129" s="976"/>
      <c r="K129" s="975"/>
      <c r="L129" s="975"/>
      <c r="M129" s="975"/>
      <c r="N129" s="975"/>
      <c r="O129" s="976"/>
      <c r="P129" s="975"/>
      <c r="Q129" s="975"/>
      <c r="R129" s="975"/>
      <c r="S129" s="975"/>
      <c r="T129" s="976"/>
      <c r="U129" s="975"/>
      <c r="V129" s="975"/>
      <c r="W129" s="975"/>
      <c r="X129" s="977"/>
      <c r="Y129" s="976"/>
      <c r="Z129" s="978"/>
      <c r="AA129" s="976"/>
      <c r="AB129" s="979"/>
      <c r="AC129" s="980"/>
      <c r="AD129" s="943"/>
      <c r="AE129" s="943"/>
      <c r="AF129" s="979"/>
      <c r="AG129" s="980"/>
      <c r="AH129" s="943"/>
      <c r="AI129" s="943"/>
      <c r="AJ129" s="943"/>
      <c r="AK129" s="943"/>
      <c r="AL129" s="943"/>
      <c r="AM129" s="943"/>
      <c r="AN129" s="943"/>
      <c r="AO129" s="943"/>
      <c r="AP129" s="943"/>
      <c r="AQ129" s="943"/>
      <c r="AR129" s="943"/>
      <c r="AS129" s="943"/>
    </row>
    <row r="130" spans="1:45" ht="13.5" customHeight="1">
      <c r="A130" s="940"/>
      <c r="B130" s="940"/>
      <c r="C130" s="940"/>
      <c r="D130" s="941"/>
      <c r="E130" s="942"/>
      <c r="F130" s="941"/>
      <c r="G130" s="940"/>
      <c r="H130" s="940"/>
      <c r="I130" s="941"/>
      <c r="J130" s="942"/>
      <c r="K130" s="941"/>
      <c r="L130" s="940"/>
      <c r="M130" s="940"/>
      <c r="N130" s="941"/>
      <c r="O130" s="942"/>
      <c r="P130" s="941"/>
      <c r="Q130" s="940"/>
      <c r="R130" s="940"/>
      <c r="S130" s="941"/>
      <c r="T130" s="942"/>
      <c r="U130" s="941"/>
      <c r="V130" s="940"/>
      <c r="W130" s="940"/>
      <c r="X130" s="941"/>
      <c r="Y130" s="942"/>
      <c r="Z130" s="941"/>
      <c r="AA130" s="941"/>
      <c r="AB130" s="941"/>
      <c r="AC130" s="940"/>
      <c r="AD130" s="940"/>
      <c r="AE130" s="940"/>
      <c r="AF130" s="941"/>
      <c r="AG130" s="940"/>
      <c r="AH130" s="940"/>
      <c r="AI130" s="940"/>
      <c r="AJ130" s="940"/>
      <c r="AK130" s="941"/>
      <c r="AL130" s="943"/>
      <c r="AM130" s="940"/>
      <c r="AN130" s="954"/>
      <c r="AO130" s="954"/>
      <c r="AP130" s="954"/>
      <c r="AQ130" s="954"/>
      <c r="AR130" s="954"/>
      <c r="AS130" s="954"/>
    </row>
    <row r="131" spans="1:45" ht="13.5" customHeight="1">
      <c r="A131" s="1592" t="s">
        <v>18</v>
      </c>
      <c r="B131" s="1588">
        <v>45866</v>
      </c>
      <c r="C131" s="1588"/>
      <c r="D131" s="1588" t="s">
        <v>564</v>
      </c>
      <c r="E131" s="1588"/>
      <c r="F131" s="981"/>
      <c r="G131" s="1588">
        <v>45867</v>
      </c>
      <c r="H131" s="1588"/>
      <c r="I131" s="1588" t="s">
        <v>565</v>
      </c>
      <c r="J131" s="1588"/>
      <c r="K131" s="981"/>
      <c r="L131" s="1588">
        <v>45868</v>
      </c>
      <c r="M131" s="1588"/>
      <c r="N131" s="1588" t="s">
        <v>566</v>
      </c>
      <c r="O131" s="1588"/>
      <c r="P131" s="981"/>
      <c r="Q131" s="1588">
        <v>45869</v>
      </c>
      <c r="R131" s="1588"/>
      <c r="S131" s="1588" t="s">
        <v>567</v>
      </c>
      <c r="T131" s="1588"/>
      <c r="U131" s="981"/>
      <c r="V131" s="1588">
        <v>45870</v>
      </c>
      <c r="W131" s="1588"/>
      <c r="X131" s="1588" t="s">
        <v>568</v>
      </c>
      <c r="Y131" s="1588"/>
      <c r="Z131" s="1589" t="s">
        <v>19</v>
      </c>
      <c r="AA131" s="1589" t="s">
        <v>20</v>
      </c>
      <c r="AB131" s="941"/>
      <c r="AC131" s="1588">
        <v>45871</v>
      </c>
      <c r="AD131" s="1588"/>
      <c r="AE131" s="982" t="s">
        <v>569</v>
      </c>
      <c r="AF131" s="941"/>
      <c r="AG131" s="1588">
        <v>45872</v>
      </c>
      <c r="AH131" s="1588"/>
      <c r="AI131" s="983" t="s">
        <v>570</v>
      </c>
      <c r="AJ131" s="1589" t="s">
        <v>1420</v>
      </c>
      <c r="AK131" s="941"/>
      <c r="AL131" s="984"/>
      <c r="AM131" s="940"/>
      <c r="AN131" s="985" t="s">
        <v>84</v>
      </c>
      <c r="AO131" s="986"/>
      <c r="AP131" s="986"/>
      <c r="AQ131" s="986"/>
      <c r="AR131" s="986"/>
      <c r="AS131" s="986"/>
    </row>
    <row r="132" spans="1:45" ht="13.5" customHeight="1">
      <c r="A132" s="1592"/>
      <c r="B132" s="987" t="s">
        <v>23</v>
      </c>
      <c r="C132" s="987" t="s">
        <v>24</v>
      </c>
      <c r="D132" s="988" t="s">
        <v>25</v>
      </c>
      <c r="E132" s="989" t="s">
        <v>14</v>
      </c>
      <c r="F132" s="941"/>
      <c r="G132" s="987" t="s">
        <v>23</v>
      </c>
      <c r="H132" s="987" t="s">
        <v>24</v>
      </c>
      <c r="I132" s="990" t="s">
        <v>25</v>
      </c>
      <c r="J132" s="989" t="s">
        <v>14</v>
      </c>
      <c r="K132" s="941"/>
      <c r="L132" s="987" t="s">
        <v>23</v>
      </c>
      <c r="M132" s="987" t="s">
        <v>24</v>
      </c>
      <c r="N132" s="990" t="s">
        <v>25</v>
      </c>
      <c r="O132" s="989" t="s">
        <v>14</v>
      </c>
      <c r="P132" s="941"/>
      <c r="Q132" s="987" t="s">
        <v>23</v>
      </c>
      <c r="R132" s="987" t="s">
        <v>24</v>
      </c>
      <c r="S132" s="990" t="s">
        <v>25</v>
      </c>
      <c r="T132" s="989" t="s">
        <v>14</v>
      </c>
      <c r="U132" s="941"/>
      <c r="V132" s="987" t="s">
        <v>23</v>
      </c>
      <c r="W132" s="987" t="s">
        <v>24</v>
      </c>
      <c r="X132" s="990" t="s">
        <v>25</v>
      </c>
      <c r="Y132" s="989" t="s">
        <v>14</v>
      </c>
      <c r="Z132" s="1589"/>
      <c r="AA132" s="1589"/>
      <c r="AB132" s="941"/>
      <c r="AC132" s="987" t="s">
        <v>23</v>
      </c>
      <c r="AD132" s="987" t="s">
        <v>24</v>
      </c>
      <c r="AE132" s="990" t="s">
        <v>25</v>
      </c>
      <c r="AF132" s="941"/>
      <c r="AG132" s="987" t="s">
        <v>23</v>
      </c>
      <c r="AH132" s="987" t="s">
        <v>24</v>
      </c>
      <c r="AI132" s="990" t="s">
        <v>25</v>
      </c>
      <c r="AJ132" s="1589"/>
      <c r="AK132" s="941"/>
      <c r="AL132" s="984"/>
      <c r="AM132" s="991"/>
      <c r="AN132" s="992" t="s">
        <v>26</v>
      </c>
      <c r="AO132" s="993">
        <f>Z156</f>
        <v>543</v>
      </c>
      <c r="AP132" s="994">
        <v>40.31</v>
      </c>
      <c r="AQ132" s="994">
        <f>AP132*AO132</f>
        <v>21888.33</v>
      </c>
      <c r="AR132" s="954"/>
      <c r="AS132" s="954"/>
    </row>
    <row r="133" spans="1:45" ht="13.5" customHeight="1">
      <c r="A133" s="1006" t="s">
        <v>72</v>
      </c>
      <c r="B133" s="1034">
        <v>0.29166666666666669</v>
      </c>
      <c r="C133" s="1034">
        <v>0.125</v>
      </c>
      <c r="D133" s="1035">
        <v>8</v>
      </c>
      <c r="E133" s="1036"/>
      <c r="F133" s="1037"/>
      <c r="G133" s="1034">
        <v>0.29166666666666669</v>
      </c>
      <c r="H133" s="1034">
        <v>0.125</v>
      </c>
      <c r="I133" s="1035">
        <v>8</v>
      </c>
      <c r="J133" s="1036"/>
      <c r="K133" s="1037"/>
      <c r="L133" s="1034">
        <v>0.29166666666666669</v>
      </c>
      <c r="M133" s="1034">
        <v>0.125</v>
      </c>
      <c r="N133" s="1035">
        <v>8</v>
      </c>
      <c r="O133" s="1036"/>
      <c r="P133" s="1037"/>
      <c r="Q133" s="1034">
        <v>0.29166666666666669</v>
      </c>
      <c r="R133" s="1034">
        <v>0.125</v>
      </c>
      <c r="S133" s="1035">
        <v>8</v>
      </c>
      <c r="T133" s="1036"/>
      <c r="U133" s="941"/>
      <c r="V133" s="1064">
        <v>0.29166666666666669</v>
      </c>
      <c r="W133" s="1064">
        <v>0.125</v>
      </c>
      <c r="X133" s="1065">
        <v>8</v>
      </c>
      <c r="Y133" s="1066"/>
      <c r="Z133" s="1067">
        <v>40</v>
      </c>
      <c r="AA133" s="1068">
        <v>0</v>
      </c>
      <c r="AB133" s="941"/>
      <c r="AC133" s="1069"/>
      <c r="AD133" s="1069"/>
      <c r="AE133" s="1065"/>
      <c r="AF133" s="1070"/>
      <c r="AG133" s="1069"/>
      <c r="AH133" s="1069"/>
      <c r="AI133" s="1065"/>
      <c r="AJ133" s="1041">
        <v>0</v>
      </c>
      <c r="AK133" s="941"/>
      <c r="AL133" s="984"/>
      <c r="AM133" s="991"/>
      <c r="AN133" s="992" t="s">
        <v>1421</v>
      </c>
      <c r="AO133" s="1005">
        <f>Z157</f>
        <v>80</v>
      </c>
      <c r="AP133" s="1007">
        <v>60.47</v>
      </c>
      <c r="AQ133" s="994">
        <f>AP133*AO133</f>
        <v>4837.6000000000004</v>
      </c>
      <c r="AR133" s="954"/>
      <c r="AS133" s="954"/>
    </row>
    <row r="134" spans="1:45" ht="13.5" customHeight="1">
      <c r="A134" s="1009" t="s">
        <v>1430</v>
      </c>
      <c r="B134" s="1034">
        <v>0.29166666666666669</v>
      </c>
      <c r="C134" s="1034">
        <v>0.125</v>
      </c>
      <c r="D134" s="1035">
        <v>8</v>
      </c>
      <c r="E134" s="1036"/>
      <c r="F134" s="1037"/>
      <c r="G134" s="1034">
        <v>0.29166666666666669</v>
      </c>
      <c r="H134" s="1034">
        <v>0.125</v>
      </c>
      <c r="I134" s="1035">
        <v>8</v>
      </c>
      <c r="J134" s="1036"/>
      <c r="K134" s="1037"/>
      <c r="L134" s="1034">
        <v>0.29166666666666669</v>
      </c>
      <c r="M134" s="1034">
        <v>0.125</v>
      </c>
      <c r="N134" s="1035">
        <v>8</v>
      </c>
      <c r="O134" s="1036"/>
      <c r="P134" s="1037"/>
      <c r="Q134" s="1034">
        <v>0.29166666666666669</v>
      </c>
      <c r="R134" s="1034">
        <v>0.125</v>
      </c>
      <c r="S134" s="1035">
        <v>8</v>
      </c>
      <c r="T134" s="1036"/>
      <c r="U134" s="941"/>
      <c r="V134" s="1064">
        <v>0.29166666666666669</v>
      </c>
      <c r="W134" s="1064">
        <v>0.125</v>
      </c>
      <c r="X134" s="1065">
        <v>8</v>
      </c>
      <c r="Y134" s="1066"/>
      <c r="Z134" s="1067">
        <v>40</v>
      </c>
      <c r="AA134" s="1068">
        <v>0</v>
      </c>
      <c r="AB134" s="941"/>
      <c r="AC134" s="1064"/>
      <c r="AD134" s="1064"/>
      <c r="AE134" s="1065"/>
      <c r="AF134" s="1070"/>
      <c r="AG134" s="1064"/>
      <c r="AH134" s="1064"/>
      <c r="AI134" s="1065"/>
      <c r="AJ134" s="1041">
        <v>0</v>
      </c>
      <c r="AK134" s="941"/>
      <c r="AL134" s="943"/>
      <c r="AM134" s="940"/>
      <c r="AN134" s="992" t="s">
        <v>30</v>
      </c>
      <c r="AO134" s="1005">
        <f>AA156</f>
        <v>0.5</v>
      </c>
      <c r="AP134" s="1007">
        <v>60.465000000000003</v>
      </c>
      <c r="AQ134" s="994">
        <f t="shared" ref="AQ134" si="3">AP134*AO134</f>
        <v>30.232500000000002</v>
      </c>
      <c r="AR134" s="954"/>
      <c r="AS134" s="954"/>
    </row>
    <row r="135" spans="1:45" ht="13.5" customHeight="1">
      <c r="A135" s="1009" t="s">
        <v>1166</v>
      </c>
      <c r="B135" s="1034">
        <v>0.29166666666666669</v>
      </c>
      <c r="C135" s="1034">
        <v>0.125</v>
      </c>
      <c r="D135" s="1035">
        <v>8</v>
      </c>
      <c r="E135" s="1036"/>
      <c r="F135" s="1037"/>
      <c r="G135" s="1034">
        <v>0.29166666666666669</v>
      </c>
      <c r="H135" s="1034">
        <v>0.125</v>
      </c>
      <c r="I135" s="1035">
        <v>8</v>
      </c>
      <c r="J135" s="1036"/>
      <c r="K135" s="1037"/>
      <c r="L135" s="1034">
        <v>0.29166666666666669</v>
      </c>
      <c r="M135" s="1034">
        <v>0.125</v>
      </c>
      <c r="N135" s="1035">
        <v>8</v>
      </c>
      <c r="O135" s="1036"/>
      <c r="P135" s="1037"/>
      <c r="Q135" s="1034">
        <v>0.29166666666666669</v>
      </c>
      <c r="R135" s="1034">
        <v>0.125</v>
      </c>
      <c r="S135" s="1035">
        <v>8</v>
      </c>
      <c r="T135" s="1036"/>
      <c r="U135" s="941"/>
      <c r="V135" s="1064">
        <v>0.29166666666666669</v>
      </c>
      <c r="W135" s="1064">
        <v>0.125</v>
      </c>
      <c r="X135" s="1065">
        <v>8</v>
      </c>
      <c r="Y135" s="1066"/>
      <c r="Z135" s="1067">
        <v>40</v>
      </c>
      <c r="AA135" s="1068">
        <v>0</v>
      </c>
      <c r="AB135" s="941"/>
      <c r="AC135" s="1064"/>
      <c r="AD135" s="1064"/>
      <c r="AE135" s="1065"/>
      <c r="AF135" s="1070"/>
      <c r="AG135" s="1064"/>
      <c r="AH135" s="1064"/>
      <c r="AI135" s="1065"/>
      <c r="AJ135" s="1041">
        <v>0</v>
      </c>
      <c r="AK135" s="941"/>
      <c r="AL135" s="943"/>
      <c r="AM135" s="940"/>
      <c r="AN135" s="992" t="s">
        <v>32</v>
      </c>
      <c r="AO135" s="1005">
        <f>AJ156</f>
        <v>38.5</v>
      </c>
      <c r="AP135" s="994">
        <v>60.465000000000003</v>
      </c>
      <c r="AQ135" s="994">
        <f>AP135*AO135</f>
        <v>2327.9025000000001</v>
      </c>
      <c r="AR135" s="954"/>
      <c r="AS135" s="1008"/>
    </row>
    <row r="136" spans="1:45" ht="13.5" customHeight="1">
      <c r="A136" s="1009" t="s">
        <v>1425</v>
      </c>
      <c r="B136" s="1034">
        <v>0.29166666666666669</v>
      </c>
      <c r="C136" s="1034">
        <v>0.125</v>
      </c>
      <c r="D136" s="1035">
        <v>8</v>
      </c>
      <c r="E136" s="1036"/>
      <c r="F136" s="1037"/>
      <c r="G136" s="1034">
        <v>0.29166666666666669</v>
      </c>
      <c r="H136" s="1034">
        <v>0.125</v>
      </c>
      <c r="I136" s="1035">
        <v>8</v>
      </c>
      <c r="J136" s="1036"/>
      <c r="K136" s="1037"/>
      <c r="L136" s="1034">
        <v>0.29166666666666669</v>
      </c>
      <c r="M136" s="1034">
        <v>0.125</v>
      </c>
      <c r="N136" s="1035">
        <v>8</v>
      </c>
      <c r="O136" s="1036"/>
      <c r="P136" s="1037"/>
      <c r="Q136" s="1034">
        <v>0.29166666666666669</v>
      </c>
      <c r="R136" s="1034">
        <v>0.125</v>
      </c>
      <c r="S136" s="1035">
        <v>8</v>
      </c>
      <c r="T136" s="1036"/>
      <c r="U136" s="941"/>
      <c r="V136" s="1064">
        <v>0.29166666666666669</v>
      </c>
      <c r="W136" s="1064">
        <v>0.125</v>
      </c>
      <c r="X136" s="1065">
        <v>8</v>
      </c>
      <c r="Y136" s="1066"/>
      <c r="Z136" s="1067">
        <v>40</v>
      </c>
      <c r="AA136" s="1068">
        <v>0</v>
      </c>
      <c r="AB136" s="941"/>
      <c r="AC136" s="1064"/>
      <c r="AD136" s="1064"/>
      <c r="AE136" s="1065"/>
      <c r="AF136" s="1070"/>
      <c r="AG136" s="1064"/>
      <c r="AH136" s="1064"/>
      <c r="AI136" s="1065"/>
      <c r="AJ136" s="1041">
        <v>0</v>
      </c>
      <c r="AK136" s="941"/>
      <c r="AL136" s="943"/>
      <c r="AM136" s="940"/>
      <c r="AN136" s="1010" t="s">
        <v>213</v>
      </c>
      <c r="AO136" s="993">
        <f>Z159</f>
        <v>19</v>
      </c>
      <c r="AP136" s="994">
        <v>53.05</v>
      </c>
      <c r="AQ136" s="994">
        <f>AP136*AO136</f>
        <v>1007.9499999999999</v>
      </c>
      <c r="AR136" s="954"/>
      <c r="AS136" s="954"/>
    </row>
    <row r="137" spans="1:45" ht="13.5" customHeight="1">
      <c r="A137" s="1009" t="s">
        <v>1426</v>
      </c>
      <c r="B137" s="1034">
        <v>0.29166666666666669</v>
      </c>
      <c r="C137" s="1034">
        <v>0.125</v>
      </c>
      <c r="D137" s="1035">
        <v>8</v>
      </c>
      <c r="E137" s="1036"/>
      <c r="F137" s="1037"/>
      <c r="G137" s="1034">
        <v>0.29166666666666669</v>
      </c>
      <c r="H137" s="1034">
        <v>0.125</v>
      </c>
      <c r="I137" s="1035">
        <v>8</v>
      </c>
      <c r="J137" s="1036"/>
      <c r="K137" s="1037"/>
      <c r="L137" s="1034">
        <v>0.29166666666666669</v>
      </c>
      <c r="M137" s="1034">
        <v>0.125</v>
      </c>
      <c r="N137" s="1035">
        <v>8</v>
      </c>
      <c r="O137" s="1036"/>
      <c r="P137" s="1037"/>
      <c r="Q137" s="1034">
        <v>0.29166666666666669</v>
      </c>
      <c r="R137" s="1034">
        <v>0.125</v>
      </c>
      <c r="S137" s="1035">
        <v>8</v>
      </c>
      <c r="T137" s="1036"/>
      <c r="U137" s="941"/>
      <c r="V137" s="1064">
        <v>0.29166666666666669</v>
      </c>
      <c r="W137" s="1064">
        <v>0.125</v>
      </c>
      <c r="X137" s="1065">
        <v>8</v>
      </c>
      <c r="Y137" s="1066"/>
      <c r="Z137" s="1067">
        <v>40</v>
      </c>
      <c r="AA137" s="1068">
        <v>0</v>
      </c>
      <c r="AB137" s="941"/>
      <c r="AC137" s="1064"/>
      <c r="AD137" s="1064"/>
      <c r="AE137" s="1065"/>
      <c r="AF137" s="1070"/>
      <c r="AG137" s="1064"/>
      <c r="AH137" s="1064"/>
      <c r="AI137" s="1065"/>
      <c r="AJ137" s="1041">
        <v>0</v>
      </c>
      <c r="AK137" s="941"/>
      <c r="AL137" s="943"/>
      <c r="AM137" s="940"/>
      <c r="AN137" s="992" t="s">
        <v>36</v>
      </c>
      <c r="AO137" s="1005">
        <f>AA159</f>
        <v>1.25</v>
      </c>
      <c r="AP137" s="994">
        <v>79.574999999999989</v>
      </c>
      <c r="AQ137" s="994">
        <f>AP137*AO137</f>
        <v>99.468749999999986</v>
      </c>
      <c r="AR137" s="954"/>
      <c r="AS137" s="954"/>
    </row>
    <row r="138" spans="1:45" ht="13.5" customHeight="1">
      <c r="A138" s="1009" t="s">
        <v>1066</v>
      </c>
      <c r="B138" s="1034">
        <v>0.29166666666666669</v>
      </c>
      <c r="C138" s="1034">
        <v>0.125</v>
      </c>
      <c r="D138" s="1035">
        <v>8</v>
      </c>
      <c r="E138" s="1036"/>
      <c r="F138" s="1037"/>
      <c r="G138" s="1034">
        <v>0.29166666666666669</v>
      </c>
      <c r="H138" s="1034">
        <v>0.125</v>
      </c>
      <c r="I138" s="1035">
        <v>8</v>
      </c>
      <c r="J138" s="1036"/>
      <c r="K138" s="1037"/>
      <c r="L138" s="1034">
        <v>0.29166666666666669</v>
      </c>
      <c r="M138" s="1034">
        <v>0.13541666666666666</v>
      </c>
      <c r="N138" s="1035">
        <v>8</v>
      </c>
      <c r="O138" s="1036">
        <v>0.25</v>
      </c>
      <c r="P138" s="1037"/>
      <c r="Q138" s="1034">
        <v>0.29166666666666669</v>
      </c>
      <c r="R138" s="1034">
        <v>0.125</v>
      </c>
      <c r="S138" s="1035">
        <v>8</v>
      </c>
      <c r="T138" s="1036"/>
      <c r="U138" s="941"/>
      <c r="V138" s="1064">
        <v>0.29166666666666669</v>
      </c>
      <c r="W138" s="1064">
        <v>0.125</v>
      </c>
      <c r="X138" s="1065">
        <v>8</v>
      </c>
      <c r="Y138" s="1066"/>
      <c r="Z138" s="1067">
        <v>40</v>
      </c>
      <c r="AA138" s="1068">
        <v>0.25</v>
      </c>
      <c r="AB138" s="941"/>
      <c r="AC138" s="1064"/>
      <c r="AD138" s="1064"/>
      <c r="AE138" s="1065"/>
      <c r="AF138" s="1070"/>
      <c r="AG138" s="1064"/>
      <c r="AH138" s="1064"/>
      <c r="AI138" s="1065"/>
      <c r="AJ138" s="1041">
        <v>0</v>
      </c>
      <c r="AK138" s="941"/>
      <c r="AL138" s="943"/>
      <c r="AM138" s="940"/>
      <c r="AN138" s="992" t="s">
        <v>38</v>
      </c>
      <c r="AO138" s="1005">
        <f>AJ159</f>
        <v>7.75</v>
      </c>
      <c r="AP138" s="994">
        <v>79.574999999999989</v>
      </c>
      <c r="AQ138" s="994">
        <f>AP138*AO138</f>
        <v>616.70624999999995</v>
      </c>
      <c r="AR138" s="954"/>
      <c r="AS138" s="954"/>
    </row>
    <row r="139" spans="1:45" ht="13.5" customHeight="1">
      <c r="A139" s="1009" t="s">
        <v>1427</v>
      </c>
      <c r="B139" s="1034">
        <v>0.29166666666666669</v>
      </c>
      <c r="C139" s="1034">
        <v>0.125</v>
      </c>
      <c r="D139" s="1035">
        <v>8</v>
      </c>
      <c r="E139" s="1036"/>
      <c r="F139" s="1037"/>
      <c r="G139" s="1034">
        <v>0.29166666666666669</v>
      </c>
      <c r="H139" s="1034">
        <v>0.13541666666666666</v>
      </c>
      <c r="I139" s="1035">
        <v>8</v>
      </c>
      <c r="J139" s="1036">
        <v>0.25</v>
      </c>
      <c r="K139" s="1037"/>
      <c r="L139" s="1034">
        <v>0.29166666666666669</v>
      </c>
      <c r="M139" s="1034">
        <v>4.1666666666666664E-2</v>
      </c>
      <c r="N139" s="1035">
        <v>6</v>
      </c>
      <c r="O139" s="1036"/>
      <c r="P139" s="1037"/>
      <c r="Q139" s="1034">
        <v>0.29166666666666669</v>
      </c>
      <c r="R139" s="1034">
        <v>4.1666666666666664E-2</v>
      </c>
      <c r="S139" s="1035">
        <v>8</v>
      </c>
      <c r="T139" s="1036"/>
      <c r="U139" s="941"/>
      <c r="V139" s="1064">
        <v>0.29166666666666669</v>
      </c>
      <c r="W139" s="1064">
        <v>0.125</v>
      </c>
      <c r="X139" s="1065">
        <v>8</v>
      </c>
      <c r="Y139" s="1066"/>
      <c r="Z139" s="1067">
        <v>38</v>
      </c>
      <c r="AA139" s="1068">
        <v>0.25</v>
      </c>
      <c r="AB139" s="941"/>
      <c r="AC139" s="1064">
        <v>0.125</v>
      </c>
      <c r="AD139" s="1064">
        <v>0.29166666666666669</v>
      </c>
      <c r="AE139" s="1065">
        <v>4</v>
      </c>
      <c r="AF139" s="1070"/>
      <c r="AG139" s="1064">
        <v>0.52083333333333337</v>
      </c>
      <c r="AH139" s="1064">
        <v>0.25</v>
      </c>
      <c r="AI139" s="1065">
        <v>5.5</v>
      </c>
      <c r="AJ139" s="1041">
        <v>9.5</v>
      </c>
      <c r="AK139" s="941"/>
      <c r="AL139" s="943"/>
      <c r="AM139" s="940"/>
      <c r="AN139" s="954"/>
      <c r="AO139" s="1005"/>
      <c r="AP139" s="954"/>
      <c r="AQ139" s="994">
        <v>30808.19</v>
      </c>
      <c r="AR139" s="954"/>
      <c r="AS139" s="954"/>
    </row>
    <row r="140" spans="1:45" ht="13.5" customHeight="1">
      <c r="A140" s="1009" t="s">
        <v>1428</v>
      </c>
      <c r="B140" s="1034">
        <v>0.125</v>
      </c>
      <c r="C140" s="1034">
        <v>0.45833333333333331</v>
      </c>
      <c r="D140" s="1035">
        <v>8</v>
      </c>
      <c r="E140" s="1036"/>
      <c r="F140" s="1037"/>
      <c r="G140" s="1034">
        <v>0.125</v>
      </c>
      <c r="H140" s="1034">
        <v>0.45833333333333331</v>
      </c>
      <c r="I140" s="1035">
        <v>8</v>
      </c>
      <c r="J140" s="1036"/>
      <c r="K140" s="1037"/>
      <c r="L140" s="1034">
        <v>0.125</v>
      </c>
      <c r="M140" s="1034">
        <v>0.45833333333333331</v>
      </c>
      <c r="N140" s="1035">
        <v>8</v>
      </c>
      <c r="O140" s="1036"/>
      <c r="P140" s="1037"/>
      <c r="Q140" s="1034">
        <v>0.125</v>
      </c>
      <c r="R140" s="1034">
        <v>0.45833333333333331</v>
      </c>
      <c r="S140" s="1035">
        <v>8</v>
      </c>
      <c r="T140" s="1036"/>
      <c r="U140" s="941"/>
      <c r="V140" s="1064">
        <v>0.125</v>
      </c>
      <c r="W140" s="1064">
        <v>0.45833333333333331</v>
      </c>
      <c r="X140" s="1065">
        <v>8</v>
      </c>
      <c r="Y140" s="1066"/>
      <c r="Z140" s="1067">
        <v>40</v>
      </c>
      <c r="AA140" s="1068">
        <v>0</v>
      </c>
      <c r="AB140" s="941"/>
      <c r="AC140" s="1064"/>
      <c r="AD140" s="1064"/>
      <c r="AE140" s="1065"/>
      <c r="AF140" s="1070"/>
      <c r="AG140" s="1064"/>
      <c r="AH140" s="1064"/>
      <c r="AI140" s="1065"/>
      <c r="AJ140" s="1041">
        <v>0</v>
      </c>
      <c r="AK140" s="941"/>
      <c r="AL140" s="943"/>
      <c r="AM140" s="940"/>
      <c r="AN140" s="954"/>
      <c r="AO140" s="1005"/>
      <c r="AP140" s="954"/>
      <c r="AQ140" s="954"/>
      <c r="AR140" s="954"/>
      <c r="AS140" s="954"/>
    </row>
    <row r="141" spans="1:45" ht="13.5" customHeight="1">
      <c r="A141" s="1009" t="s">
        <v>1142</v>
      </c>
      <c r="B141" s="1034">
        <v>0.125</v>
      </c>
      <c r="C141" s="1034">
        <v>0.45833333333333331</v>
      </c>
      <c r="D141" s="1035">
        <v>8</v>
      </c>
      <c r="E141" s="1036"/>
      <c r="F141" s="1037"/>
      <c r="G141" s="1034">
        <v>0.125</v>
      </c>
      <c r="H141" s="1034">
        <v>0.45833333333333331</v>
      </c>
      <c r="I141" s="1035">
        <v>8</v>
      </c>
      <c r="J141" s="1036"/>
      <c r="K141" s="1042"/>
      <c r="L141" s="1034">
        <v>0.125</v>
      </c>
      <c r="M141" s="1034">
        <v>0.45833333333333331</v>
      </c>
      <c r="N141" s="1035">
        <v>8</v>
      </c>
      <c r="O141" s="1036"/>
      <c r="P141" s="1042"/>
      <c r="Q141" s="1034">
        <v>0.125</v>
      </c>
      <c r="R141" s="1034">
        <v>0.45833333333333331</v>
      </c>
      <c r="S141" s="1035">
        <v>8</v>
      </c>
      <c r="T141" s="1036"/>
      <c r="U141" s="1013"/>
      <c r="V141" s="1064">
        <v>0.125</v>
      </c>
      <c r="W141" s="1064">
        <v>0.45833333333333331</v>
      </c>
      <c r="X141" s="1065">
        <v>8</v>
      </c>
      <c r="Y141" s="1066"/>
      <c r="Z141" s="1067">
        <v>40</v>
      </c>
      <c r="AA141" s="1068">
        <v>0</v>
      </c>
      <c r="AB141" s="941"/>
      <c r="AC141" s="1064"/>
      <c r="AD141" s="1064"/>
      <c r="AE141" s="1065"/>
      <c r="AF141" s="1070"/>
      <c r="AG141" s="1064"/>
      <c r="AH141" s="1064"/>
      <c r="AI141" s="1065"/>
      <c r="AJ141" s="1041">
        <v>0</v>
      </c>
      <c r="AK141" s="941"/>
      <c r="AL141" s="943"/>
      <c r="AM141" s="940"/>
      <c r="AN141" s="953" t="s">
        <v>1115</v>
      </c>
      <c r="AO141" s="1005">
        <f>B160</f>
        <v>82</v>
      </c>
      <c r="AP141" s="954"/>
      <c r="AQ141" s="954"/>
      <c r="AR141" s="954"/>
      <c r="AS141" s="954"/>
    </row>
    <row r="142" spans="1:45" ht="13.5" customHeight="1">
      <c r="A142" s="1009" t="s">
        <v>1429</v>
      </c>
      <c r="B142" s="1034">
        <v>0.125</v>
      </c>
      <c r="C142" s="1034">
        <v>0.45833333333333331</v>
      </c>
      <c r="D142" s="1035">
        <v>8</v>
      </c>
      <c r="E142" s="1036"/>
      <c r="F142" s="1037"/>
      <c r="G142" s="1034">
        <v>0.125</v>
      </c>
      <c r="H142" s="1034">
        <v>0.45833333333333331</v>
      </c>
      <c r="I142" s="1035">
        <v>8</v>
      </c>
      <c r="J142" s="1036"/>
      <c r="K142" s="1042"/>
      <c r="L142" s="1034">
        <v>0.125</v>
      </c>
      <c r="M142" s="1034">
        <v>0.45833333333333331</v>
      </c>
      <c r="N142" s="1035">
        <v>8</v>
      </c>
      <c r="O142" s="1036"/>
      <c r="P142" s="1042"/>
      <c r="Q142" s="1034">
        <v>0.125</v>
      </c>
      <c r="R142" s="1034">
        <v>0.45833333333333331</v>
      </c>
      <c r="S142" s="1035">
        <v>8</v>
      </c>
      <c r="T142" s="1036"/>
      <c r="U142" s="1013"/>
      <c r="V142" s="1064">
        <v>0.125</v>
      </c>
      <c r="W142" s="1064">
        <v>0.45833333333333331</v>
      </c>
      <c r="X142" s="1065">
        <v>8</v>
      </c>
      <c r="Y142" s="1066"/>
      <c r="Z142" s="1067">
        <v>40</v>
      </c>
      <c r="AA142" s="1068">
        <v>0</v>
      </c>
      <c r="AB142" s="941"/>
      <c r="AC142" s="1064"/>
      <c r="AD142" s="1064"/>
      <c r="AE142" s="1065"/>
      <c r="AF142" s="1070"/>
      <c r="AG142" s="1064"/>
      <c r="AH142" s="1064"/>
      <c r="AI142" s="1065"/>
      <c r="AJ142" s="1041">
        <v>0</v>
      </c>
      <c r="AK142" s="941"/>
      <c r="AL142" s="943"/>
      <c r="AM142" s="940"/>
      <c r="AN142" s="954"/>
      <c r="AO142" s="954"/>
      <c r="AP142" s="954"/>
      <c r="AQ142" s="954"/>
      <c r="AR142" s="954"/>
      <c r="AS142" s="954"/>
    </row>
    <row r="143" spans="1:45" ht="13.5" customHeight="1">
      <c r="A143" s="1011" t="s">
        <v>1060</v>
      </c>
      <c r="B143" s="1034">
        <v>0.125</v>
      </c>
      <c r="C143" s="1034">
        <v>0.45833333333333331</v>
      </c>
      <c r="D143" s="1035">
        <v>8</v>
      </c>
      <c r="E143" s="1036"/>
      <c r="F143" s="1037"/>
      <c r="G143" s="1034">
        <v>0.125</v>
      </c>
      <c r="H143" s="1034">
        <v>0.45833333333333331</v>
      </c>
      <c r="I143" s="1035">
        <v>8</v>
      </c>
      <c r="J143" s="1036"/>
      <c r="K143" s="1042"/>
      <c r="L143" s="1034">
        <v>0.125</v>
      </c>
      <c r="M143" s="1034">
        <v>0.45833333333333331</v>
      </c>
      <c r="N143" s="1035">
        <v>8</v>
      </c>
      <c r="O143" s="1036"/>
      <c r="P143" s="1042"/>
      <c r="Q143" s="1034">
        <v>0.125</v>
      </c>
      <c r="R143" s="1034">
        <v>0.45833333333333331</v>
      </c>
      <c r="S143" s="1035">
        <v>8</v>
      </c>
      <c r="T143" s="1036"/>
      <c r="U143" s="1013"/>
      <c r="V143" s="1064">
        <v>0.125</v>
      </c>
      <c r="W143" s="1064">
        <v>0.45833333333333331</v>
      </c>
      <c r="X143" s="1065">
        <v>8</v>
      </c>
      <c r="Y143" s="1066"/>
      <c r="Z143" s="1067">
        <v>40</v>
      </c>
      <c r="AA143" s="1068">
        <v>0</v>
      </c>
      <c r="AB143" s="941"/>
      <c r="AC143" s="1064">
        <v>4.1666666666666664E-2</v>
      </c>
      <c r="AD143" s="1064">
        <v>0.3125</v>
      </c>
      <c r="AE143" s="1065">
        <v>6.5</v>
      </c>
      <c r="AF143" s="1070"/>
      <c r="AG143" s="1064"/>
      <c r="AH143" s="1064"/>
      <c r="AI143" s="1065"/>
      <c r="AJ143" s="1041">
        <v>6.5</v>
      </c>
      <c r="AK143" s="941"/>
      <c r="AL143" s="943"/>
      <c r="AM143" s="940"/>
      <c r="AN143" s="954"/>
      <c r="AO143" s="954"/>
      <c r="AP143" s="954"/>
      <c r="AQ143" s="954"/>
      <c r="AR143" s="954"/>
      <c r="AS143" s="954"/>
    </row>
    <row r="144" spans="1:45" ht="13.5" customHeight="1">
      <c r="A144" s="941" t="s">
        <v>327</v>
      </c>
      <c r="B144" s="1034">
        <v>0.125</v>
      </c>
      <c r="C144" s="1034">
        <v>0.45833333333333331</v>
      </c>
      <c r="D144" s="1035">
        <v>8</v>
      </c>
      <c r="E144" s="1036"/>
      <c r="F144" s="1042"/>
      <c r="G144" s="1034">
        <v>0.125</v>
      </c>
      <c r="H144" s="1034">
        <v>0.45833333333333331</v>
      </c>
      <c r="I144" s="1035">
        <v>8</v>
      </c>
      <c r="J144" s="1036"/>
      <c r="K144" s="1042"/>
      <c r="L144" s="1034">
        <v>0.125</v>
      </c>
      <c r="M144" s="1034">
        <v>0.45833333333333331</v>
      </c>
      <c r="N144" s="1035">
        <v>8</v>
      </c>
      <c r="O144" s="1036"/>
      <c r="P144" s="1042"/>
      <c r="Q144" s="1034"/>
      <c r="R144" s="1034"/>
      <c r="S144" s="1035"/>
      <c r="T144" s="1036"/>
      <c r="U144" s="1013"/>
      <c r="V144" s="1064">
        <v>0.125</v>
      </c>
      <c r="W144" s="1064">
        <v>0.45833333333333331</v>
      </c>
      <c r="X144" s="1065">
        <v>8</v>
      </c>
      <c r="Y144" s="1066"/>
      <c r="Z144" s="1067">
        <v>32</v>
      </c>
      <c r="AA144" s="1068">
        <v>0</v>
      </c>
      <c r="AB144" s="941"/>
      <c r="AC144" s="1064"/>
      <c r="AD144" s="1064"/>
      <c r="AE144" s="1065"/>
      <c r="AF144" s="1070"/>
      <c r="AG144" s="1064"/>
      <c r="AH144" s="1064"/>
      <c r="AI144" s="1065"/>
      <c r="AJ144" s="1041">
        <v>0</v>
      </c>
      <c r="AK144" s="941"/>
      <c r="AL144" s="943"/>
      <c r="AM144" s="940"/>
      <c r="AN144" s="954"/>
      <c r="AO144" s="954"/>
      <c r="AP144" s="954"/>
      <c r="AQ144" s="954"/>
      <c r="AR144" s="954"/>
      <c r="AS144" s="954"/>
    </row>
    <row r="145" spans="1:45" ht="13.5" customHeight="1">
      <c r="A145" s="1006" t="s">
        <v>1144</v>
      </c>
      <c r="B145" s="1034">
        <v>0.125</v>
      </c>
      <c r="C145" s="1034">
        <v>0.45833333333333331</v>
      </c>
      <c r="D145" s="1035">
        <v>8</v>
      </c>
      <c r="E145" s="1036"/>
      <c r="F145" s="1042"/>
      <c r="G145" s="1034">
        <v>0.125</v>
      </c>
      <c r="H145" s="1034">
        <v>0.45833333333333331</v>
      </c>
      <c r="I145" s="1035">
        <v>8</v>
      </c>
      <c r="J145" s="1036"/>
      <c r="K145" s="1042"/>
      <c r="L145" s="1034">
        <v>0.125</v>
      </c>
      <c r="M145" s="1034">
        <v>0.45833333333333331</v>
      </c>
      <c r="N145" s="1035">
        <v>8</v>
      </c>
      <c r="O145" s="1036"/>
      <c r="P145" s="1042"/>
      <c r="Q145" s="1034">
        <v>0.125</v>
      </c>
      <c r="R145" s="1034">
        <v>0.45833333333333331</v>
      </c>
      <c r="S145" s="1035">
        <v>8</v>
      </c>
      <c r="T145" s="1036"/>
      <c r="U145" s="1013"/>
      <c r="V145" s="1064">
        <v>0.125</v>
      </c>
      <c r="W145" s="1064">
        <v>0.45833333333333331</v>
      </c>
      <c r="X145" s="1065">
        <v>8</v>
      </c>
      <c r="Y145" s="1066"/>
      <c r="Z145" s="1067">
        <v>40</v>
      </c>
      <c r="AA145" s="1068">
        <v>0</v>
      </c>
      <c r="AB145" s="941"/>
      <c r="AC145" s="1064"/>
      <c r="AD145" s="1064"/>
      <c r="AE145" s="1065"/>
      <c r="AF145" s="1070"/>
      <c r="AG145" s="1064"/>
      <c r="AH145" s="1064"/>
      <c r="AI145" s="1065"/>
      <c r="AJ145" s="1041">
        <v>0</v>
      </c>
      <c r="AK145" s="941"/>
      <c r="AL145" s="943"/>
      <c r="AM145" s="940"/>
      <c r="AN145" s="954"/>
      <c r="AO145" s="954"/>
      <c r="AP145" s="954"/>
      <c r="AQ145" s="954"/>
      <c r="AR145" s="954"/>
      <c r="AS145" s="954"/>
    </row>
    <row r="146" spans="1:45" ht="13.5" customHeight="1">
      <c r="A146" s="1006" t="s">
        <v>1436</v>
      </c>
      <c r="B146" s="1006"/>
      <c r="C146" s="1006"/>
      <c r="D146" s="1071"/>
      <c r="E146" s="997"/>
      <c r="F146" s="1013"/>
      <c r="G146" s="1006"/>
      <c r="H146" s="1006"/>
      <c r="I146" s="1071"/>
      <c r="J146" s="997"/>
      <c r="K146" s="1013"/>
      <c r="L146" s="1006"/>
      <c r="M146" s="1006"/>
      <c r="N146" s="1071"/>
      <c r="O146" s="997"/>
      <c r="P146" s="1013"/>
      <c r="Q146" s="1006"/>
      <c r="R146" s="1006"/>
      <c r="S146" s="1071"/>
      <c r="T146" s="997"/>
      <c r="U146" s="1013"/>
      <c r="V146" s="1064"/>
      <c r="W146" s="1064"/>
      <c r="X146" s="1065"/>
      <c r="Y146" s="1066"/>
      <c r="Z146" s="1067">
        <v>0</v>
      </c>
      <c r="AA146" s="1068">
        <v>0</v>
      </c>
      <c r="AB146" s="941"/>
      <c r="AC146" s="1064"/>
      <c r="AD146" s="1064"/>
      <c r="AE146" s="1065"/>
      <c r="AF146" s="1070"/>
      <c r="AG146" s="1064"/>
      <c r="AH146" s="1064"/>
      <c r="AI146" s="1065"/>
      <c r="AJ146" s="1041">
        <v>0</v>
      </c>
      <c r="AK146" s="941"/>
      <c r="AL146" s="943"/>
      <c r="AM146" s="940"/>
      <c r="AN146" s="954"/>
      <c r="AO146" s="954"/>
      <c r="AP146" s="954"/>
      <c r="AQ146" s="954"/>
      <c r="AR146" s="954"/>
      <c r="AS146" s="954"/>
    </row>
    <row r="147" spans="1:45" ht="13.5" customHeight="1">
      <c r="A147" s="1009" t="s">
        <v>1140</v>
      </c>
      <c r="B147" s="1034"/>
      <c r="C147" s="1034"/>
      <c r="D147" s="1035"/>
      <c r="E147" s="1036"/>
      <c r="F147" s="1042"/>
      <c r="G147" s="1034"/>
      <c r="H147" s="1034"/>
      <c r="I147" s="1035"/>
      <c r="J147" s="1036"/>
      <c r="K147" s="1042"/>
      <c r="L147" s="1034"/>
      <c r="M147" s="1034"/>
      <c r="N147" s="1035"/>
      <c r="O147" s="1036"/>
      <c r="P147" s="1042"/>
      <c r="Q147" s="1034"/>
      <c r="R147" s="1034"/>
      <c r="S147" s="1035"/>
      <c r="T147" s="1036"/>
      <c r="U147" s="1013"/>
      <c r="V147" s="1064"/>
      <c r="W147" s="1064"/>
      <c r="X147" s="1065"/>
      <c r="Y147" s="1066"/>
      <c r="Z147" s="1067">
        <v>0</v>
      </c>
      <c r="AA147" s="1068">
        <v>0</v>
      </c>
      <c r="AB147" s="941"/>
      <c r="AC147" s="1064"/>
      <c r="AD147" s="1064"/>
      <c r="AE147" s="1065"/>
      <c r="AF147" s="1070"/>
      <c r="AG147" s="1064"/>
      <c r="AH147" s="1064"/>
      <c r="AI147" s="1065"/>
      <c r="AJ147" s="1041">
        <v>0</v>
      </c>
      <c r="AK147" s="941"/>
      <c r="AL147" s="943"/>
      <c r="AM147" s="940"/>
      <c r="AN147" s="954"/>
      <c r="AO147" s="954"/>
      <c r="AP147" s="954"/>
      <c r="AQ147" s="954"/>
      <c r="AR147" s="954"/>
      <c r="AS147" s="954"/>
    </row>
    <row r="148" spans="1:45" ht="13.5" customHeight="1">
      <c r="A148" s="1009" t="s">
        <v>1435</v>
      </c>
      <c r="B148" s="1034"/>
      <c r="C148" s="1034"/>
      <c r="D148" s="1035"/>
      <c r="E148" s="1036"/>
      <c r="F148" s="1042"/>
      <c r="G148" s="1034"/>
      <c r="H148" s="1034"/>
      <c r="I148" s="1035"/>
      <c r="J148" s="1036"/>
      <c r="K148" s="1042"/>
      <c r="L148" s="1034"/>
      <c r="M148" s="1034"/>
      <c r="N148" s="1035"/>
      <c r="O148" s="1036"/>
      <c r="P148" s="1042"/>
      <c r="Q148" s="1034">
        <v>0.125</v>
      </c>
      <c r="R148" s="1034">
        <v>0.45833333333333331</v>
      </c>
      <c r="S148" s="1035">
        <v>8</v>
      </c>
      <c r="T148" s="1036"/>
      <c r="U148" s="1013"/>
      <c r="V148" s="1064"/>
      <c r="W148" s="1064"/>
      <c r="X148" s="1065"/>
      <c r="Y148" s="1066"/>
      <c r="Z148" s="1067">
        <v>8</v>
      </c>
      <c r="AA148" s="1068">
        <v>0</v>
      </c>
      <c r="AB148" s="941"/>
      <c r="AC148" s="1064">
        <v>4.1666666666666664E-2</v>
      </c>
      <c r="AD148" s="1064">
        <v>0.25</v>
      </c>
      <c r="AE148" s="1065">
        <v>5</v>
      </c>
      <c r="AF148" s="1070"/>
      <c r="AG148" s="1064"/>
      <c r="AH148" s="1064"/>
      <c r="AI148" s="1065"/>
      <c r="AJ148" s="1041">
        <v>5</v>
      </c>
      <c r="AK148" s="941"/>
      <c r="AL148" s="943"/>
      <c r="AM148" s="940"/>
      <c r="AN148" s="954"/>
      <c r="AO148" s="954"/>
      <c r="AP148" s="954"/>
      <c r="AQ148" s="954"/>
      <c r="AR148" s="954"/>
      <c r="AS148" s="954"/>
    </row>
    <row r="149" spans="1:45" ht="13.5" customHeight="1">
      <c r="A149" s="1009" t="s">
        <v>1431</v>
      </c>
      <c r="B149" s="1034"/>
      <c r="C149" s="1034"/>
      <c r="D149" s="1035">
        <v>1</v>
      </c>
      <c r="E149" s="1036"/>
      <c r="F149" s="1042"/>
      <c r="G149" s="1034"/>
      <c r="H149" s="1034"/>
      <c r="I149" s="1035">
        <v>1</v>
      </c>
      <c r="J149" s="1036"/>
      <c r="K149" s="1042"/>
      <c r="L149" s="1034"/>
      <c r="M149" s="1034"/>
      <c r="N149" s="1035">
        <v>1</v>
      </c>
      <c r="O149" s="1036"/>
      <c r="P149" s="1042"/>
      <c r="Q149" s="1034"/>
      <c r="R149" s="1034"/>
      <c r="S149" s="1035">
        <v>1</v>
      </c>
      <c r="T149" s="1036"/>
      <c r="U149" s="1013"/>
      <c r="V149" s="1064"/>
      <c r="W149" s="1064"/>
      <c r="X149" s="1065">
        <v>1</v>
      </c>
      <c r="Y149" s="1066"/>
      <c r="Z149" s="1067">
        <v>5</v>
      </c>
      <c r="AA149" s="1068">
        <v>0</v>
      </c>
      <c r="AB149" s="941"/>
      <c r="AC149" s="1064"/>
      <c r="AD149" s="1064"/>
      <c r="AE149" s="1065"/>
      <c r="AF149" s="1070"/>
      <c r="AG149" s="1064"/>
      <c r="AH149" s="1064"/>
      <c r="AI149" s="1065"/>
      <c r="AJ149" s="1041">
        <v>0</v>
      </c>
      <c r="AK149" s="941"/>
      <c r="AL149" s="943"/>
      <c r="AM149" s="940"/>
      <c r="AN149" s="954"/>
      <c r="AO149" s="954"/>
      <c r="AP149" s="954"/>
      <c r="AQ149" s="954"/>
      <c r="AR149" s="954"/>
      <c r="AS149" s="954"/>
    </row>
    <row r="150" spans="1:45" ht="13.5" customHeight="1">
      <c r="A150" s="1009" t="s">
        <v>813</v>
      </c>
      <c r="B150" s="1034"/>
      <c r="C150" s="1034"/>
      <c r="D150" s="1035">
        <v>2</v>
      </c>
      <c r="E150" s="1036"/>
      <c r="F150" s="1042"/>
      <c r="G150" s="1034"/>
      <c r="H150" s="1034"/>
      <c r="I150" s="1035">
        <v>2</v>
      </c>
      <c r="J150" s="1036"/>
      <c r="K150" s="1042"/>
      <c r="L150" s="1034"/>
      <c r="M150" s="1034"/>
      <c r="N150" s="1035">
        <v>2</v>
      </c>
      <c r="O150" s="1036"/>
      <c r="P150" s="1042"/>
      <c r="Q150" s="1034"/>
      <c r="R150" s="1034"/>
      <c r="S150" s="1035">
        <v>2</v>
      </c>
      <c r="T150" s="1036"/>
      <c r="U150" s="1013"/>
      <c r="V150" s="1064"/>
      <c r="W150" s="1064"/>
      <c r="X150" s="1065">
        <v>2</v>
      </c>
      <c r="Y150" s="1066"/>
      <c r="Z150" s="1067">
        <v>10</v>
      </c>
      <c r="AA150" s="1068">
        <v>0</v>
      </c>
      <c r="AB150" s="941"/>
      <c r="AC150" s="1064"/>
      <c r="AD150" s="1064"/>
      <c r="AE150" s="1065"/>
      <c r="AF150" s="1070"/>
      <c r="AG150" s="1064"/>
      <c r="AH150" s="1064"/>
      <c r="AI150" s="1065"/>
      <c r="AJ150" s="1041">
        <v>0</v>
      </c>
      <c r="AK150" s="941"/>
      <c r="AL150" s="943"/>
      <c r="AM150" s="940"/>
      <c r="AN150" s="954"/>
      <c r="AO150" s="954"/>
      <c r="AP150" s="954"/>
      <c r="AQ150" s="954"/>
      <c r="AR150" s="954"/>
      <c r="AS150" s="954"/>
    </row>
    <row r="151" spans="1:45" ht="13.5" customHeight="1">
      <c r="A151" s="1009" t="s">
        <v>1432</v>
      </c>
      <c r="B151" s="1034"/>
      <c r="C151" s="1034"/>
      <c r="D151" s="1035"/>
      <c r="E151" s="1036"/>
      <c r="F151" s="1042"/>
      <c r="G151" s="1034"/>
      <c r="H151" s="1034"/>
      <c r="I151" s="1035"/>
      <c r="J151" s="1036"/>
      <c r="K151" s="1042"/>
      <c r="L151" s="1034"/>
      <c r="M151" s="1034"/>
      <c r="N151" s="1035"/>
      <c r="O151" s="1036"/>
      <c r="P151" s="1042"/>
      <c r="Q151" s="1034"/>
      <c r="R151" s="1034"/>
      <c r="S151" s="1035"/>
      <c r="T151" s="1036"/>
      <c r="U151" s="1013"/>
      <c r="V151" s="1064"/>
      <c r="W151" s="1064"/>
      <c r="X151" s="1065"/>
      <c r="Y151" s="1066"/>
      <c r="Z151" s="1067">
        <v>0</v>
      </c>
      <c r="AA151" s="1068">
        <v>0</v>
      </c>
      <c r="AB151" s="941"/>
      <c r="AC151" s="1064"/>
      <c r="AD151" s="1064"/>
      <c r="AE151" s="1065"/>
      <c r="AF151" s="1070"/>
      <c r="AG151" s="1064">
        <v>4.1666666666666664E-2</v>
      </c>
      <c r="AH151" s="1064">
        <v>0.3125</v>
      </c>
      <c r="AI151" s="1065">
        <v>7.5</v>
      </c>
      <c r="AJ151" s="1041">
        <v>7.5</v>
      </c>
      <c r="AK151" s="941"/>
      <c r="AL151" s="943"/>
      <c r="AM151" s="940"/>
      <c r="AN151" s="954"/>
      <c r="AO151" s="954"/>
      <c r="AP151" s="954"/>
      <c r="AQ151" s="954"/>
      <c r="AR151" s="954"/>
      <c r="AS151" s="954"/>
    </row>
    <row r="152" spans="1:45" ht="13.5" customHeight="1">
      <c r="A152" s="1009" t="s">
        <v>88</v>
      </c>
      <c r="B152" s="1034"/>
      <c r="C152" s="1034"/>
      <c r="D152" s="1035">
        <v>2</v>
      </c>
      <c r="E152" s="1036"/>
      <c r="F152" s="1042"/>
      <c r="G152" s="1034"/>
      <c r="H152" s="1034"/>
      <c r="I152" s="1035">
        <v>2</v>
      </c>
      <c r="J152" s="1036"/>
      <c r="K152" s="1042"/>
      <c r="L152" s="1034"/>
      <c r="M152" s="1034"/>
      <c r="N152" s="1035">
        <v>2</v>
      </c>
      <c r="O152" s="1036"/>
      <c r="P152" s="1042"/>
      <c r="Q152" s="1034"/>
      <c r="R152" s="1034"/>
      <c r="S152" s="1035">
        <v>2</v>
      </c>
      <c r="T152" s="1036"/>
      <c r="U152" s="1013"/>
      <c r="V152" s="1064"/>
      <c r="W152" s="1064"/>
      <c r="X152" s="1065">
        <v>2</v>
      </c>
      <c r="Y152" s="1066"/>
      <c r="Z152" s="1067">
        <v>10</v>
      </c>
      <c r="AA152" s="1068">
        <v>0</v>
      </c>
      <c r="AB152" s="941"/>
      <c r="AC152" s="1064"/>
      <c r="AD152" s="1064"/>
      <c r="AE152" s="1065"/>
      <c r="AF152" s="1070"/>
      <c r="AG152" s="1064"/>
      <c r="AH152" s="1064"/>
      <c r="AI152" s="1065"/>
      <c r="AJ152" s="1041">
        <v>0</v>
      </c>
      <c r="AK152" s="941"/>
      <c r="AL152" s="943"/>
      <c r="AM152" s="940"/>
      <c r="AN152" s="954"/>
      <c r="AO152" s="954"/>
      <c r="AP152" s="954"/>
      <c r="AQ152" s="954"/>
      <c r="AR152" s="954"/>
      <c r="AS152" s="954"/>
    </row>
    <row r="153" spans="1:45" ht="13.5" customHeight="1">
      <c r="A153" s="1043" t="s">
        <v>1433</v>
      </c>
      <c r="B153" s="1049">
        <v>0.45833333333333331</v>
      </c>
      <c r="C153" s="1049">
        <v>0.29166666666666669</v>
      </c>
      <c r="D153" s="1050">
        <v>8</v>
      </c>
      <c r="E153" s="1050"/>
      <c r="F153" s="1050"/>
      <c r="G153" s="1049">
        <v>0.45833333333333331</v>
      </c>
      <c r="H153" s="1049">
        <v>0.29166666666666669</v>
      </c>
      <c r="I153" s="1050">
        <v>8</v>
      </c>
      <c r="J153" s="1050"/>
      <c r="K153" s="1050"/>
      <c r="L153" s="1049">
        <v>0.45833333333333331</v>
      </c>
      <c r="M153" s="1049">
        <v>0.29166666666666669</v>
      </c>
      <c r="N153" s="1050">
        <v>8</v>
      </c>
      <c r="O153" s="1050"/>
      <c r="P153" s="1050"/>
      <c r="Q153" s="1049">
        <v>0.45833333333333331</v>
      </c>
      <c r="R153" s="1049">
        <v>0.29166666666666669</v>
      </c>
      <c r="S153" s="1050">
        <v>8</v>
      </c>
      <c r="T153" s="1050"/>
      <c r="U153" s="1072"/>
      <c r="V153" s="1073">
        <v>0.45833333333333331</v>
      </c>
      <c r="W153" s="1073">
        <v>0.29166666666666669</v>
      </c>
      <c r="X153" s="1074">
        <v>8</v>
      </c>
      <c r="Y153" s="1074"/>
      <c r="Z153" s="1075">
        <v>40</v>
      </c>
      <c r="AA153" s="1068">
        <v>0</v>
      </c>
      <c r="AB153" s="941"/>
      <c r="AC153" s="1064"/>
      <c r="AD153" s="1064"/>
      <c r="AE153" s="1065"/>
      <c r="AF153" s="1070"/>
      <c r="AG153" s="1064"/>
      <c r="AH153" s="1064"/>
      <c r="AI153" s="1065"/>
      <c r="AJ153" s="1041">
        <v>0</v>
      </c>
      <c r="AK153" s="941"/>
      <c r="AL153" s="943"/>
      <c r="AM153" s="940"/>
      <c r="AN153" s="954"/>
      <c r="AO153" s="954"/>
      <c r="AP153" s="954"/>
      <c r="AQ153" s="954"/>
      <c r="AR153" s="954"/>
      <c r="AS153" s="954"/>
    </row>
    <row r="154" spans="1:45" ht="13.5" customHeight="1">
      <c r="A154" s="1043" t="s">
        <v>241</v>
      </c>
      <c r="B154" s="1076">
        <v>0.45833333333333331</v>
      </c>
      <c r="C154" s="1076">
        <v>0.29166666666666669</v>
      </c>
      <c r="D154" s="1072">
        <v>8</v>
      </c>
      <c r="E154" s="1072"/>
      <c r="F154" s="1072"/>
      <c r="G154" s="1076">
        <v>0.45833333333333331</v>
      </c>
      <c r="H154" s="1076"/>
      <c r="I154" s="1072">
        <v>8</v>
      </c>
      <c r="J154" s="1072"/>
      <c r="K154" s="1072"/>
      <c r="L154" s="1076">
        <v>0.45833333333333331</v>
      </c>
      <c r="M154" s="1076"/>
      <c r="N154" s="1072">
        <v>8</v>
      </c>
      <c r="O154" s="1072"/>
      <c r="P154" s="1072"/>
      <c r="Q154" s="1076"/>
      <c r="R154" s="1076">
        <v>0.29166666666666669</v>
      </c>
      <c r="S154" s="1072">
        <v>8</v>
      </c>
      <c r="T154" s="1072"/>
      <c r="U154" s="1072"/>
      <c r="V154" s="1073">
        <v>0.45833333333333331</v>
      </c>
      <c r="W154" s="1073">
        <v>0.29166666666666669</v>
      </c>
      <c r="X154" s="1074">
        <v>8</v>
      </c>
      <c r="Y154" s="1074"/>
      <c r="Z154" s="1075">
        <v>40</v>
      </c>
      <c r="AA154" s="1077">
        <v>0</v>
      </c>
      <c r="AB154" s="941"/>
      <c r="AC154" s="1064"/>
      <c r="AD154" s="1064"/>
      <c r="AE154" s="1065"/>
      <c r="AF154" s="1070"/>
      <c r="AG154" s="1064"/>
      <c r="AH154" s="1064"/>
      <c r="AI154" s="1065"/>
      <c r="AJ154" s="1041">
        <v>0</v>
      </c>
      <c r="AK154" s="941"/>
      <c r="AL154" s="943"/>
      <c r="AM154" s="940"/>
      <c r="AN154" s="954"/>
      <c r="AO154" s="954"/>
      <c r="AP154" s="954"/>
      <c r="AQ154" s="954"/>
      <c r="AR154" s="954"/>
      <c r="AS154" s="954"/>
    </row>
    <row r="155" spans="1:45" ht="13.5" customHeight="1">
      <c r="A155" s="1043" t="s">
        <v>1437</v>
      </c>
      <c r="B155" s="1049"/>
      <c r="C155" s="1049"/>
      <c r="D155" s="1050"/>
      <c r="E155" s="1050"/>
      <c r="F155" s="1050"/>
      <c r="G155" s="1049"/>
      <c r="H155" s="1049"/>
      <c r="I155" s="1050"/>
      <c r="J155" s="1050"/>
      <c r="K155" s="1050"/>
      <c r="L155" s="1049"/>
      <c r="M155" s="1049"/>
      <c r="N155" s="1050"/>
      <c r="O155" s="1050"/>
      <c r="P155" s="1050"/>
      <c r="Q155" s="1049"/>
      <c r="R155" s="1049"/>
      <c r="S155" s="1050"/>
      <c r="T155" s="1050"/>
      <c r="U155" s="1072"/>
      <c r="V155" s="1073"/>
      <c r="W155" s="1073"/>
      <c r="X155" s="1074"/>
      <c r="Y155" s="1074"/>
      <c r="Z155" s="1075">
        <v>0</v>
      </c>
      <c r="AA155" s="1068">
        <v>0</v>
      </c>
      <c r="AB155" s="941"/>
      <c r="AC155" s="1064">
        <v>4.1666666666666664E-2</v>
      </c>
      <c r="AD155" s="1064">
        <v>0.3125</v>
      </c>
      <c r="AE155" s="1065">
        <v>6.5</v>
      </c>
      <c r="AF155" s="1070"/>
      <c r="AG155" s="1064">
        <v>6.25E-2</v>
      </c>
      <c r="AH155" s="1064">
        <v>0.20833333333333334</v>
      </c>
      <c r="AI155" s="1065">
        <v>3.5</v>
      </c>
      <c r="AJ155" s="1041">
        <v>10</v>
      </c>
      <c r="AK155" s="941"/>
      <c r="AL155" s="943"/>
      <c r="AM155" s="940"/>
      <c r="AN155" s="954"/>
      <c r="AO155" s="954"/>
      <c r="AP155" s="954"/>
      <c r="AQ155" s="954"/>
      <c r="AR155" s="954"/>
      <c r="AS155" s="954"/>
    </row>
    <row r="156" spans="1:45" ht="13.5" customHeight="1">
      <c r="A156" s="1016" t="s">
        <v>61</v>
      </c>
      <c r="B156" s="1044"/>
      <c r="C156" s="1044"/>
      <c r="D156" s="1045">
        <v>109</v>
      </c>
      <c r="E156" s="1036">
        <v>0</v>
      </c>
      <c r="F156" s="1044"/>
      <c r="G156" s="1044"/>
      <c r="H156" s="1044"/>
      <c r="I156" s="1045">
        <v>109</v>
      </c>
      <c r="J156" s="1036">
        <v>0.25</v>
      </c>
      <c r="K156" s="1044"/>
      <c r="L156" s="1044"/>
      <c r="M156" s="1044"/>
      <c r="N156" s="1045">
        <v>107</v>
      </c>
      <c r="O156" s="1036">
        <v>0.25</v>
      </c>
      <c r="P156" s="1044"/>
      <c r="Q156" s="1044"/>
      <c r="R156" s="1044"/>
      <c r="S156" s="1045">
        <v>109</v>
      </c>
      <c r="T156" s="1036">
        <v>0</v>
      </c>
      <c r="U156" s="1018"/>
      <c r="V156" s="1078"/>
      <c r="W156" s="1078"/>
      <c r="X156" s="1079">
        <v>109</v>
      </c>
      <c r="Y156" s="1066">
        <v>0</v>
      </c>
      <c r="Z156" s="1067">
        <v>543</v>
      </c>
      <c r="AA156" s="1028">
        <v>0.5</v>
      </c>
      <c r="AB156" s="941"/>
      <c r="AC156" s="1078"/>
      <c r="AD156" s="1078"/>
      <c r="AE156" s="1067">
        <v>22</v>
      </c>
      <c r="AF156" s="1070"/>
      <c r="AG156" s="1078"/>
      <c r="AH156" s="1078"/>
      <c r="AI156" s="1067">
        <v>16.5</v>
      </c>
      <c r="AJ156" s="1028">
        <v>38.5</v>
      </c>
      <c r="AK156" s="941"/>
      <c r="AL156" s="943"/>
      <c r="AM156" s="940"/>
      <c r="AN156" s="954"/>
      <c r="AO156" s="954"/>
      <c r="AP156" s="954"/>
      <c r="AQ156" s="954"/>
      <c r="AR156" s="954"/>
      <c r="AS156" s="954"/>
    </row>
    <row r="157" spans="1:45" ht="13.5" customHeight="1">
      <c r="A157" s="1016" t="s">
        <v>1434</v>
      </c>
      <c r="B157" s="1044"/>
      <c r="C157" s="1044"/>
      <c r="D157" s="1045">
        <v>0</v>
      </c>
      <c r="E157" s="1036">
        <v>0</v>
      </c>
      <c r="F157" s="1044"/>
      <c r="G157" s="1044"/>
      <c r="H157" s="1044"/>
      <c r="I157" s="1045">
        <v>0</v>
      </c>
      <c r="J157" s="1036">
        <v>0</v>
      </c>
      <c r="K157" s="1044"/>
      <c r="L157" s="1044"/>
      <c r="M157" s="1044"/>
      <c r="N157" s="1045">
        <v>0</v>
      </c>
      <c r="O157" s="1036">
        <v>0</v>
      </c>
      <c r="P157" s="1044"/>
      <c r="Q157" s="1044"/>
      <c r="R157" s="1044"/>
      <c r="S157" s="1045">
        <v>0</v>
      </c>
      <c r="T157" s="1036">
        <v>0</v>
      </c>
      <c r="U157" s="1018"/>
      <c r="V157" s="1078"/>
      <c r="W157" s="1078"/>
      <c r="X157" s="1079">
        <v>16</v>
      </c>
      <c r="Y157" s="1066">
        <v>0</v>
      </c>
      <c r="Z157" s="1067">
        <v>80</v>
      </c>
      <c r="AA157" s="1028">
        <v>0</v>
      </c>
      <c r="AB157" s="941"/>
      <c r="AC157" s="1016"/>
      <c r="AD157" s="1016"/>
      <c r="AE157" s="1028"/>
      <c r="AF157" s="941"/>
      <c r="AG157" s="1016"/>
      <c r="AH157" s="1016"/>
      <c r="AI157" s="1028"/>
      <c r="AJ157" s="1028"/>
      <c r="AK157" s="941"/>
      <c r="AL157" s="943"/>
      <c r="AM157" s="940"/>
      <c r="AN157" s="954"/>
      <c r="AO157" s="954"/>
      <c r="AP157" s="954"/>
      <c r="AQ157" s="954"/>
      <c r="AR157" s="954"/>
      <c r="AS157" s="954"/>
    </row>
    <row r="158" spans="1:45" ht="13.5" customHeight="1">
      <c r="A158" s="1022" t="s">
        <v>64</v>
      </c>
      <c r="B158" s="1052"/>
      <c r="C158" s="1052"/>
      <c r="D158" s="1065">
        <v>3.5</v>
      </c>
      <c r="E158" s="1065">
        <v>0</v>
      </c>
      <c r="F158" s="1080"/>
      <c r="G158" s="1064"/>
      <c r="H158" s="1064"/>
      <c r="I158" s="1065">
        <v>3.5</v>
      </c>
      <c r="J158" s="1065">
        <v>0</v>
      </c>
      <c r="K158" s="1081"/>
      <c r="L158" s="1064"/>
      <c r="M158" s="1064"/>
      <c r="N158" s="1065">
        <v>4</v>
      </c>
      <c r="O158" s="1065">
        <v>0.5</v>
      </c>
      <c r="P158" s="1081"/>
      <c r="Q158" s="1064"/>
      <c r="R158" s="1064"/>
      <c r="S158" s="1065">
        <v>4</v>
      </c>
      <c r="T158" s="1065">
        <v>0.25</v>
      </c>
      <c r="U158" s="1081"/>
      <c r="V158" s="1064"/>
      <c r="W158" s="1064"/>
      <c r="X158" s="1065">
        <v>4</v>
      </c>
      <c r="Y158" s="1065">
        <v>0.5</v>
      </c>
      <c r="Z158" s="1067">
        <v>19</v>
      </c>
      <c r="AA158" s="1082">
        <v>1.25</v>
      </c>
      <c r="AB158" s="1070"/>
      <c r="AC158" s="1064"/>
      <c r="AD158" s="1064"/>
      <c r="AE158" s="1065">
        <v>4</v>
      </c>
      <c r="AF158" s="1070"/>
      <c r="AG158" s="1064"/>
      <c r="AH158" s="1064"/>
      <c r="AI158" s="1065">
        <v>3.75</v>
      </c>
      <c r="AJ158" s="1067">
        <v>7.75</v>
      </c>
      <c r="AK158" s="1057"/>
      <c r="AL158" s="1058"/>
      <c r="AM158" s="1059"/>
      <c r="AN158" s="1060"/>
      <c r="AO158" s="1061"/>
      <c r="AP158" s="1061"/>
      <c r="AQ158" s="1061"/>
      <c r="AR158" s="1061"/>
      <c r="AS158" s="1061"/>
    </row>
    <row r="159" spans="1:45" ht="13.5" customHeight="1">
      <c r="A159" s="1026" t="s">
        <v>66</v>
      </c>
      <c r="B159" s="1062"/>
      <c r="C159" s="1062"/>
      <c r="D159" s="1046"/>
      <c r="E159" s="1046"/>
      <c r="F159" s="1046"/>
      <c r="G159" s="1046"/>
      <c r="H159" s="1046"/>
      <c r="I159" s="1046"/>
      <c r="J159" s="1046"/>
      <c r="K159" s="1046"/>
      <c r="L159" s="1046"/>
      <c r="M159" s="1046"/>
      <c r="N159" s="1046"/>
      <c r="O159" s="1046"/>
      <c r="P159" s="1046"/>
      <c r="Q159" s="1046"/>
      <c r="R159" s="1046"/>
      <c r="S159" s="1046"/>
      <c r="T159" s="1046"/>
      <c r="U159" s="1026"/>
      <c r="V159" s="1026"/>
      <c r="W159" s="1026"/>
      <c r="X159" s="1026"/>
      <c r="Y159" s="1024"/>
      <c r="Z159" s="1028">
        <v>19</v>
      </c>
      <c r="AA159" s="1028">
        <v>1.25</v>
      </c>
      <c r="AB159" s="941"/>
      <c r="AC159" s="940"/>
      <c r="AD159" s="940"/>
      <c r="AE159" s="940"/>
      <c r="AF159" s="941"/>
      <c r="AG159" s="940"/>
      <c r="AH159" s="940"/>
      <c r="AI159" s="940"/>
      <c r="AJ159" s="1028">
        <v>7.75</v>
      </c>
      <c r="AK159" s="941"/>
      <c r="AL159" s="943"/>
      <c r="AM159" s="940"/>
      <c r="AN159" s="1021"/>
      <c r="AO159" s="954"/>
      <c r="AP159" s="954"/>
      <c r="AQ159" s="954"/>
      <c r="AR159" s="954"/>
      <c r="AS159" s="954"/>
    </row>
    <row r="160" spans="1:45" ht="13.5" customHeight="1">
      <c r="A160" s="1029" t="s">
        <v>67</v>
      </c>
      <c r="B160" s="1030">
        <v>82</v>
      </c>
      <c r="C160" s="1030"/>
      <c r="D160" s="1031"/>
      <c r="E160" s="1031"/>
      <c r="F160" s="1030"/>
      <c r="G160" s="1031"/>
      <c r="H160" s="1031"/>
      <c r="I160" s="1031"/>
      <c r="J160" s="1031"/>
      <c r="K160" s="1030"/>
      <c r="L160" s="1030"/>
      <c r="M160" s="1030"/>
      <c r="N160" s="1030"/>
      <c r="O160" s="1031"/>
      <c r="P160" s="1030"/>
      <c r="Q160" s="1030"/>
      <c r="R160" s="1030"/>
      <c r="S160" s="1030"/>
      <c r="T160" s="1031"/>
      <c r="U160" s="1030"/>
      <c r="V160" s="1030"/>
      <c r="W160" s="1030"/>
      <c r="X160" s="1032"/>
      <c r="Y160" s="1031"/>
      <c r="Z160" s="1033"/>
      <c r="AA160" s="1031"/>
      <c r="AB160" s="1033"/>
      <c r="AC160" s="1033"/>
      <c r="AD160" s="1033"/>
      <c r="AE160" s="1033"/>
      <c r="AF160" s="1033"/>
      <c r="AG160" s="1033"/>
      <c r="AH160" s="1033"/>
      <c r="AI160" s="1033"/>
      <c r="AJ160" s="1033"/>
      <c r="AK160" s="941"/>
      <c r="AL160" s="943"/>
      <c r="AM160" s="940"/>
      <c r="AN160" s="1021"/>
      <c r="AO160" s="954"/>
      <c r="AP160" s="954"/>
      <c r="AQ160" s="954"/>
      <c r="AR160" s="954"/>
      <c r="AS160" s="954"/>
    </row>
    <row r="161" spans="1:45" ht="13.5" customHeight="1">
      <c r="A161" s="940"/>
      <c r="B161" s="940"/>
      <c r="C161" s="940"/>
      <c r="D161" s="941"/>
      <c r="E161" s="942"/>
      <c r="F161" s="941"/>
      <c r="G161" s="940"/>
      <c r="H161" s="940"/>
      <c r="I161" s="941"/>
      <c r="J161" s="942"/>
      <c r="K161" s="941"/>
      <c r="L161" s="940"/>
      <c r="M161" s="940"/>
      <c r="N161" s="941"/>
      <c r="O161" s="942"/>
      <c r="P161" s="941"/>
      <c r="Q161" s="940"/>
      <c r="R161" s="940"/>
      <c r="S161" s="941"/>
      <c r="T161" s="942"/>
      <c r="U161" s="941"/>
      <c r="V161" s="940"/>
      <c r="W161" s="940"/>
      <c r="X161" s="941"/>
      <c r="Y161" s="942"/>
      <c r="Z161" s="941"/>
      <c r="AA161" s="941"/>
      <c r="AB161" s="941"/>
      <c r="AC161" s="940"/>
      <c r="AD161" s="940"/>
      <c r="AE161" s="940"/>
      <c r="AF161" s="941"/>
      <c r="AG161" s="940"/>
      <c r="AH161" s="940"/>
      <c r="AI161" s="940"/>
      <c r="AJ161" s="940"/>
      <c r="AK161" s="941"/>
      <c r="AL161" s="943"/>
      <c r="AM161" s="940"/>
      <c r="AN161" s="954"/>
      <c r="AO161" s="954"/>
      <c r="AP161" s="954"/>
      <c r="AQ161" s="954"/>
      <c r="AR161" s="954"/>
      <c r="AS161" s="954"/>
    </row>
    <row r="162" spans="1:45" ht="13.5" customHeight="1">
      <c r="A162" s="974"/>
      <c r="B162" s="975"/>
      <c r="C162" s="975"/>
      <c r="D162" s="976"/>
      <c r="E162" s="976"/>
      <c r="F162" s="975"/>
      <c r="G162" s="976"/>
      <c r="H162" s="976"/>
      <c r="I162" s="976"/>
      <c r="J162" s="976"/>
      <c r="K162" s="975"/>
      <c r="L162" s="975"/>
      <c r="M162" s="975"/>
      <c r="N162" s="975"/>
      <c r="O162" s="976"/>
      <c r="P162" s="975"/>
      <c r="Q162" s="975"/>
      <c r="R162" s="975"/>
      <c r="S162" s="975"/>
      <c r="T162" s="976"/>
      <c r="U162" s="975"/>
      <c r="V162" s="975"/>
      <c r="W162" s="975"/>
      <c r="X162" s="977"/>
      <c r="Y162" s="976"/>
      <c r="Z162" s="978"/>
      <c r="AA162" s="976"/>
      <c r="AB162" s="979"/>
      <c r="AC162" s="980"/>
      <c r="AD162" s="943"/>
      <c r="AE162" s="943"/>
      <c r="AF162" s="979"/>
      <c r="AG162" s="980"/>
      <c r="AH162" s="943"/>
      <c r="AI162" s="943"/>
      <c r="AJ162" s="943"/>
      <c r="AK162" s="943"/>
      <c r="AL162" s="943"/>
      <c r="AM162" s="943"/>
      <c r="AN162" s="943"/>
      <c r="AO162" s="943"/>
      <c r="AP162" s="943"/>
      <c r="AQ162" s="943"/>
      <c r="AR162" s="943"/>
      <c r="AS162" s="943"/>
    </row>
    <row r="163" spans="1:45" ht="13.5" customHeight="1">
      <c r="A163" s="940"/>
      <c r="B163" s="940"/>
      <c r="C163" s="940"/>
      <c r="D163" s="941"/>
      <c r="E163" s="942"/>
      <c r="F163" s="941"/>
      <c r="G163" s="940"/>
      <c r="H163" s="940"/>
      <c r="I163" s="941"/>
      <c r="J163" s="942"/>
      <c r="K163" s="941"/>
      <c r="L163" s="940"/>
      <c r="M163" s="940"/>
      <c r="N163" s="941"/>
      <c r="O163" s="942"/>
      <c r="P163" s="941"/>
      <c r="Q163" s="940"/>
      <c r="R163" s="940"/>
      <c r="S163" s="941"/>
      <c r="T163" s="942"/>
      <c r="U163" s="941"/>
      <c r="V163" s="940"/>
      <c r="W163" s="940"/>
      <c r="X163" s="941"/>
      <c r="Y163" s="942"/>
      <c r="Z163" s="941"/>
      <c r="AA163" s="941"/>
      <c r="AB163" s="941"/>
      <c r="AC163" s="940"/>
      <c r="AD163" s="940"/>
      <c r="AE163" s="940"/>
      <c r="AF163" s="941"/>
      <c r="AG163" s="940"/>
      <c r="AH163" s="940"/>
      <c r="AI163" s="940"/>
      <c r="AJ163" s="940"/>
      <c r="AK163" s="941"/>
      <c r="AL163" s="943"/>
      <c r="AM163" s="940"/>
      <c r="AN163" s="954"/>
      <c r="AO163" s="954"/>
      <c r="AP163" s="954"/>
      <c r="AQ163" s="954"/>
      <c r="AR163" s="954"/>
      <c r="AS163" s="954"/>
    </row>
    <row r="164" spans="1:45" ht="13.5" customHeight="1">
      <c r="A164" s="1592" t="s">
        <v>18</v>
      </c>
      <c r="B164" s="1588">
        <v>45873</v>
      </c>
      <c r="C164" s="1588"/>
      <c r="D164" s="1588" t="s">
        <v>564</v>
      </c>
      <c r="E164" s="1588"/>
      <c r="F164" s="981"/>
      <c r="G164" s="1588">
        <v>45874</v>
      </c>
      <c r="H164" s="1588"/>
      <c r="I164" s="1588" t="s">
        <v>565</v>
      </c>
      <c r="J164" s="1588"/>
      <c r="K164" s="981"/>
      <c r="L164" s="1588">
        <v>45875</v>
      </c>
      <c r="M164" s="1588"/>
      <c r="N164" s="1588" t="s">
        <v>566</v>
      </c>
      <c r="O164" s="1588"/>
      <c r="P164" s="981"/>
      <c r="Q164" s="1588">
        <v>45876</v>
      </c>
      <c r="R164" s="1588"/>
      <c r="S164" s="1588" t="s">
        <v>567</v>
      </c>
      <c r="T164" s="1588"/>
      <c r="U164" s="981"/>
      <c r="V164" s="1588">
        <v>45877</v>
      </c>
      <c r="W164" s="1588"/>
      <c r="X164" s="1588" t="s">
        <v>568</v>
      </c>
      <c r="Y164" s="1588"/>
      <c r="Z164" s="1589" t="s">
        <v>19</v>
      </c>
      <c r="AA164" s="1589" t="s">
        <v>20</v>
      </c>
      <c r="AB164" s="941"/>
      <c r="AC164" s="1588">
        <v>45878</v>
      </c>
      <c r="AD164" s="1588"/>
      <c r="AE164" s="982" t="s">
        <v>569</v>
      </c>
      <c r="AF164" s="941"/>
      <c r="AG164" s="1588">
        <v>45879</v>
      </c>
      <c r="AH164" s="1588"/>
      <c r="AI164" s="983" t="s">
        <v>570</v>
      </c>
      <c r="AJ164" s="1589" t="s">
        <v>1420</v>
      </c>
      <c r="AK164" s="941"/>
      <c r="AL164" s="984"/>
      <c r="AM164" s="940"/>
      <c r="AN164" s="985" t="s">
        <v>84</v>
      </c>
      <c r="AO164" s="986"/>
      <c r="AP164" s="986"/>
      <c r="AQ164" s="986"/>
      <c r="AR164" s="986"/>
      <c r="AS164" s="986"/>
    </row>
    <row r="165" spans="1:45" ht="13.5" customHeight="1">
      <c r="A165" s="1592"/>
      <c r="B165" s="987" t="s">
        <v>23</v>
      </c>
      <c r="C165" s="987" t="s">
        <v>24</v>
      </c>
      <c r="D165" s="988" t="s">
        <v>25</v>
      </c>
      <c r="E165" s="989" t="s">
        <v>14</v>
      </c>
      <c r="F165" s="941"/>
      <c r="G165" s="987" t="s">
        <v>23</v>
      </c>
      <c r="H165" s="987" t="s">
        <v>24</v>
      </c>
      <c r="I165" s="990" t="s">
        <v>25</v>
      </c>
      <c r="J165" s="989" t="s">
        <v>14</v>
      </c>
      <c r="K165" s="941"/>
      <c r="L165" s="987" t="s">
        <v>23</v>
      </c>
      <c r="M165" s="987" t="s">
        <v>24</v>
      </c>
      <c r="N165" s="990" t="s">
        <v>25</v>
      </c>
      <c r="O165" s="989" t="s">
        <v>14</v>
      </c>
      <c r="P165" s="941"/>
      <c r="Q165" s="987" t="s">
        <v>23</v>
      </c>
      <c r="R165" s="987" t="s">
        <v>24</v>
      </c>
      <c r="S165" s="990" t="s">
        <v>25</v>
      </c>
      <c r="T165" s="989" t="s">
        <v>14</v>
      </c>
      <c r="U165" s="941"/>
      <c r="V165" s="987" t="s">
        <v>23</v>
      </c>
      <c r="W165" s="987" t="s">
        <v>24</v>
      </c>
      <c r="X165" s="990" t="s">
        <v>25</v>
      </c>
      <c r="Y165" s="989" t="s">
        <v>14</v>
      </c>
      <c r="Z165" s="1589"/>
      <c r="AA165" s="1589"/>
      <c r="AB165" s="941"/>
      <c r="AC165" s="987" t="s">
        <v>23</v>
      </c>
      <c r="AD165" s="987" t="s">
        <v>24</v>
      </c>
      <c r="AE165" s="990" t="s">
        <v>25</v>
      </c>
      <c r="AF165" s="941"/>
      <c r="AG165" s="987" t="s">
        <v>23</v>
      </c>
      <c r="AH165" s="987" t="s">
        <v>24</v>
      </c>
      <c r="AI165" s="990" t="s">
        <v>25</v>
      </c>
      <c r="AJ165" s="1589"/>
      <c r="AK165" s="941"/>
      <c r="AL165" s="984"/>
      <c r="AM165" s="991"/>
      <c r="AN165" s="992" t="s">
        <v>26</v>
      </c>
      <c r="AO165" s="993">
        <v>607.75</v>
      </c>
      <c r="AP165" s="994">
        <v>40.31</v>
      </c>
      <c r="AQ165" s="994">
        <f>AP165*AO165</f>
        <v>24498.4025</v>
      </c>
      <c r="AR165" s="954"/>
      <c r="AS165" s="954"/>
    </row>
    <row r="166" spans="1:45" ht="13.5" customHeight="1">
      <c r="A166" s="1006" t="s">
        <v>72</v>
      </c>
      <c r="B166" s="1064">
        <v>0.29166666666666669</v>
      </c>
      <c r="C166" s="1064">
        <v>0.125</v>
      </c>
      <c r="D166" s="1065">
        <v>8</v>
      </c>
      <c r="E166" s="1066"/>
      <c r="F166" s="1070"/>
      <c r="G166" s="1064">
        <v>0.29166666666666669</v>
      </c>
      <c r="H166" s="1064">
        <v>0.125</v>
      </c>
      <c r="I166" s="1065">
        <v>8</v>
      </c>
      <c r="J166" s="1066"/>
      <c r="K166" s="1070"/>
      <c r="L166" s="1064">
        <v>0.29166666666666669</v>
      </c>
      <c r="M166" s="1064">
        <v>0.125</v>
      </c>
      <c r="N166" s="1065">
        <v>8</v>
      </c>
      <c r="O166" s="1066"/>
      <c r="P166" s="1070"/>
      <c r="Q166" s="1064">
        <v>0.29166666666666669</v>
      </c>
      <c r="R166" s="1064">
        <v>0.13541666666666666</v>
      </c>
      <c r="S166" s="1065">
        <v>8</v>
      </c>
      <c r="T166" s="1066"/>
      <c r="U166" s="1070"/>
      <c r="V166" s="1064">
        <v>0.29166666666666669</v>
      </c>
      <c r="W166" s="1064">
        <v>0.125</v>
      </c>
      <c r="X166" s="1065">
        <v>8</v>
      </c>
      <c r="Y166" s="1066"/>
      <c r="Z166" s="1067">
        <v>40</v>
      </c>
      <c r="AA166" s="1083">
        <v>0</v>
      </c>
      <c r="AB166" s="1070"/>
      <c r="AC166" s="1069"/>
      <c r="AD166" s="1069"/>
      <c r="AE166" s="1065"/>
      <c r="AF166" s="1070"/>
      <c r="AG166" s="1069"/>
      <c r="AH166" s="1069"/>
      <c r="AI166" s="1065"/>
      <c r="AJ166" s="1041">
        <v>0</v>
      </c>
      <c r="AK166" s="941"/>
      <c r="AL166" s="984"/>
      <c r="AM166" s="991"/>
      <c r="AN166" s="992" t="s">
        <v>1421</v>
      </c>
      <c r="AO166" s="1005">
        <v>103</v>
      </c>
      <c r="AP166" s="1007">
        <v>60.47</v>
      </c>
      <c r="AQ166" s="994">
        <f>AP166*AO166</f>
        <v>6228.41</v>
      </c>
      <c r="AR166" s="954"/>
      <c r="AS166" s="954"/>
    </row>
    <row r="167" spans="1:45" ht="13.5" customHeight="1">
      <c r="A167" s="1009" t="s">
        <v>1430</v>
      </c>
      <c r="B167" s="1064"/>
      <c r="C167" s="1064">
        <v>0.125</v>
      </c>
      <c r="D167" s="1065">
        <v>8</v>
      </c>
      <c r="E167" s="1066"/>
      <c r="F167" s="1070"/>
      <c r="G167" s="1064">
        <v>0.29166666666666669</v>
      </c>
      <c r="H167" s="1064">
        <v>0.125</v>
      </c>
      <c r="I167" s="1065">
        <v>8</v>
      </c>
      <c r="J167" s="1066"/>
      <c r="K167" s="1070"/>
      <c r="L167" s="1064">
        <v>0.29166666666666669</v>
      </c>
      <c r="M167" s="1064">
        <v>0.125</v>
      </c>
      <c r="N167" s="1065">
        <v>8</v>
      </c>
      <c r="O167" s="1066"/>
      <c r="P167" s="1070"/>
      <c r="Q167" s="1064">
        <v>0.29166666666666669</v>
      </c>
      <c r="R167" s="1064">
        <v>0.125</v>
      </c>
      <c r="S167" s="1065">
        <v>8</v>
      </c>
      <c r="T167" s="1066"/>
      <c r="U167" s="1070"/>
      <c r="V167" s="1064">
        <v>0.29166666666666669</v>
      </c>
      <c r="W167" s="1064">
        <v>0.125</v>
      </c>
      <c r="X167" s="1065">
        <v>8</v>
      </c>
      <c r="Y167" s="1066"/>
      <c r="Z167" s="1067">
        <v>40</v>
      </c>
      <c r="AA167" s="1083">
        <v>0</v>
      </c>
      <c r="AB167" s="1070"/>
      <c r="AC167" s="1064"/>
      <c r="AD167" s="1064"/>
      <c r="AE167" s="1065"/>
      <c r="AF167" s="1070"/>
      <c r="AG167" s="1064"/>
      <c r="AH167" s="1064"/>
      <c r="AI167" s="1065"/>
      <c r="AJ167" s="1041">
        <v>0</v>
      </c>
      <c r="AK167" s="941"/>
      <c r="AL167" s="943"/>
      <c r="AM167" s="940"/>
      <c r="AN167" s="992" t="s">
        <v>30</v>
      </c>
      <c r="AO167" s="1005">
        <v>4.75</v>
      </c>
      <c r="AP167" s="1007">
        <v>60.465000000000003</v>
      </c>
      <c r="AQ167" s="994">
        <f t="shared" ref="AQ167" si="4">AP167*AO167</f>
        <v>287.20875000000001</v>
      </c>
      <c r="AR167" s="954"/>
      <c r="AS167" s="954"/>
    </row>
    <row r="168" spans="1:45" ht="13.5" customHeight="1">
      <c r="A168" s="1009" t="s">
        <v>1166</v>
      </c>
      <c r="B168" s="1064">
        <v>0.29166666666666669</v>
      </c>
      <c r="C168" s="1064">
        <v>0.125</v>
      </c>
      <c r="D168" s="1065">
        <v>8</v>
      </c>
      <c r="E168" s="1066"/>
      <c r="F168" s="1070"/>
      <c r="G168" s="1064">
        <v>0.29166666666666669</v>
      </c>
      <c r="H168" s="1064">
        <v>0.125</v>
      </c>
      <c r="I168" s="1065">
        <v>8</v>
      </c>
      <c r="J168" s="1066"/>
      <c r="K168" s="1070"/>
      <c r="L168" s="1064">
        <v>0.29166666666666669</v>
      </c>
      <c r="M168" s="1064">
        <v>0.125</v>
      </c>
      <c r="N168" s="1065">
        <v>8</v>
      </c>
      <c r="O168" s="1066"/>
      <c r="P168" s="1070"/>
      <c r="Q168" s="1064">
        <v>0.29166666666666669</v>
      </c>
      <c r="R168" s="1064">
        <v>0.125</v>
      </c>
      <c r="S168" s="1065">
        <v>8</v>
      </c>
      <c r="T168" s="1066"/>
      <c r="U168" s="1070"/>
      <c r="V168" s="1064">
        <v>0.29166666666666669</v>
      </c>
      <c r="W168" s="1064">
        <v>0.125</v>
      </c>
      <c r="X168" s="1065">
        <v>8</v>
      </c>
      <c r="Y168" s="1066"/>
      <c r="Z168" s="1067">
        <v>40</v>
      </c>
      <c r="AA168" s="1083">
        <v>0</v>
      </c>
      <c r="AB168" s="1070"/>
      <c r="AC168" s="1064"/>
      <c r="AD168" s="1064"/>
      <c r="AE168" s="1065"/>
      <c r="AF168" s="1070"/>
      <c r="AG168" s="1064"/>
      <c r="AH168" s="1064"/>
      <c r="AI168" s="1065"/>
      <c r="AJ168" s="1041">
        <v>0</v>
      </c>
      <c r="AK168" s="941"/>
      <c r="AL168" s="943"/>
      <c r="AM168" s="940"/>
      <c r="AN168" s="992" t="s">
        <v>32</v>
      </c>
      <c r="AO168" s="1005">
        <v>33</v>
      </c>
      <c r="AP168" s="994">
        <v>60.465000000000003</v>
      </c>
      <c r="AQ168" s="994">
        <f>AP168*AO168</f>
        <v>1995.345</v>
      </c>
      <c r="AR168" s="954"/>
      <c r="AS168" s="954"/>
    </row>
    <row r="169" spans="1:45" ht="13.5" customHeight="1">
      <c r="A169" s="1009" t="s">
        <v>1425</v>
      </c>
      <c r="B169" s="1064">
        <v>0.29166666666666669</v>
      </c>
      <c r="C169" s="1064">
        <v>0.125</v>
      </c>
      <c r="D169" s="1065">
        <v>8</v>
      </c>
      <c r="E169" s="1066"/>
      <c r="F169" s="1070"/>
      <c r="G169" s="1064">
        <v>0.29166666666666669</v>
      </c>
      <c r="H169" s="1064">
        <v>0.125</v>
      </c>
      <c r="I169" s="1065">
        <v>8</v>
      </c>
      <c r="J169" s="1066"/>
      <c r="K169" s="1070"/>
      <c r="L169" s="1064">
        <v>0.29166666666666669</v>
      </c>
      <c r="M169" s="1064">
        <v>0.125</v>
      </c>
      <c r="N169" s="1065">
        <v>8</v>
      </c>
      <c r="O169" s="1066"/>
      <c r="P169" s="1070"/>
      <c r="Q169" s="1064">
        <v>0.29166666666666669</v>
      </c>
      <c r="R169" s="1064">
        <v>0.125</v>
      </c>
      <c r="S169" s="1065">
        <v>8</v>
      </c>
      <c r="T169" s="1066"/>
      <c r="U169" s="1070"/>
      <c r="V169" s="1064">
        <v>0.29166666666666669</v>
      </c>
      <c r="W169" s="1064">
        <v>0.125</v>
      </c>
      <c r="X169" s="1065">
        <v>8</v>
      </c>
      <c r="Y169" s="1066"/>
      <c r="Z169" s="1067">
        <v>40</v>
      </c>
      <c r="AA169" s="1083">
        <v>0</v>
      </c>
      <c r="AB169" s="1070"/>
      <c r="AC169" s="1064"/>
      <c r="AD169" s="1064"/>
      <c r="AE169" s="1065"/>
      <c r="AF169" s="1070"/>
      <c r="AG169" s="1064"/>
      <c r="AH169" s="1064"/>
      <c r="AI169" s="1065"/>
      <c r="AJ169" s="1041">
        <v>0</v>
      </c>
      <c r="AK169" s="941"/>
      <c r="AL169" s="943"/>
      <c r="AM169" s="940"/>
      <c r="AN169" s="1010" t="s">
        <v>213</v>
      </c>
      <c r="AO169" s="993">
        <v>19</v>
      </c>
      <c r="AP169" s="994">
        <v>53.05</v>
      </c>
      <c r="AQ169" s="994">
        <f>AP169*AO169</f>
        <v>1007.9499999999999</v>
      </c>
      <c r="AR169" s="954"/>
      <c r="AS169" s="954"/>
    </row>
    <row r="170" spans="1:45" ht="13.5" customHeight="1">
      <c r="A170" s="1009" t="s">
        <v>1426</v>
      </c>
      <c r="B170" s="1064">
        <v>0.29166666666666669</v>
      </c>
      <c r="C170" s="1064">
        <v>0.125</v>
      </c>
      <c r="D170" s="1065">
        <v>8</v>
      </c>
      <c r="E170" s="1066"/>
      <c r="F170" s="1070"/>
      <c r="G170" s="1064">
        <v>0.29166666666666669</v>
      </c>
      <c r="H170" s="1064">
        <v>0.125</v>
      </c>
      <c r="I170" s="1065">
        <v>8</v>
      </c>
      <c r="J170" s="1066"/>
      <c r="K170" s="1070"/>
      <c r="L170" s="1064">
        <v>0.29166666666666669</v>
      </c>
      <c r="M170" s="1064">
        <v>0.125</v>
      </c>
      <c r="N170" s="1065">
        <v>8</v>
      </c>
      <c r="O170" s="1066"/>
      <c r="P170" s="1070"/>
      <c r="Q170" s="1064">
        <v>0.29166666666666669</v>
      </c>
      <c r="R170" s="1064">
        <v>0.125</v>
      </c>
      <c r="S170" s="1065">
        <v>8</v>
      </c>
      <c r="T170" s="1066"/>
      <c r="U170" s="1070"/>
      <c r="V170" s="1064">
        <v>0.29166666666666669</v>
      </c>
      <c r="W170" s="1064">
        <v>0.125</v>
      </c>
      <c r="X170" s="1065">
        <v>8</v>
      </c>
      <c r="Y170" s="1066"/>
      <c r="Z170" s="1067">
        <v>40</v>
      </c>
      <c r="AA170" s="1083">
        <v>0</v>
      </c>
      <c r="AB170" s="1070"/>
      <c r="AC170" s="1064"/>
      <c r="AD170" s="1064"/>
      <c r="AE170" s="1065"/>
      <c r="AF170" s="1070"/>
      <c r="AG170" s="1064"/>
      <c r="AH170" s="1064"/>
      <c r="AI170" s="1065"/>
      <c r="AJ170" s="1041">
        <v>0</v>
      </c>
      <c r="AK170" s="941"/>
      <c r="AL170" s="943"/>
      <c r="AM170" s="940"/>
      <c r="AN170" s="992" t="s">
        <v>36</v>
      </c>
      <c r="AO170" s="1005">
        <v>1.75</v>
      </c>
      <c r="AP170" s="994">
        <v>79.574999999999989</v>
      </c>
      <c r="AQ170" s="994">
        <f>AP170*AO170</f>
        <v>139.25624999999997</v>
      </c>
      <c r="AR170" s="954"/>
      <c r="AS170" s="954"/>
    </row>
    <row r="171" spans="1:45" ht="13.5" customHeight="1">
      <c r="A171" s="1009" t="s">
        <v>1066</v>
      </c>
      <c r="B171" s="1064">
        <v>0.29166666666666669</v>
      </c>
      <c r="C171" s="1064">
        <v>0.125</v>
      </c>
      <c r="D171" s="1065">
        <v>8</v>
      </c>
      <c r="E171" s="1066"/>
      <c r="F171" s="1070"/>
      <c r="G171" s="1064">
        <v>0.29166666666666669</v>
      </c>
      <c r="H171" s="1064">
        <v>0.125</v>
      </c>
      <c r="I171" s="1065">
        <v>8</v>
      </c>
      <c r="J171" s="1066"/>
      <c r="K171" s="1070"/>
      <c r="L171" s="1064">
        <v>0.29166666666666669</v>
      </c>
      <c r="M171" s="1064">
        <v>0.125</v>
      </c>
      <c r="N171" s="1065">
        <v>8</v>
      </c>
      <c r="O171" s="1066"/>
      <c r="P171" s="1070"/>
      <c r="Q171" s="1064">
        <v>0.29166666666666669</v>
      </c>
      <c r="R171" s="1064">
        <v>0.125</v>
      </c>
      <c r="S171" s="1065">
        <v>8</v>
      </c>
      <c r="T171" s="1066"/>
      <c r="U171" s="1070"/>
      <c r="V171" s="1064">
        <v>0.29166666666666669</v>
      </c>
      <c r="W171" s="1064">
        <v>0.125</v>
      </c>
      <c r="X171" s="1065">
        <v>8</v>
      </c>
      <c r="Y171" s="1066"/>
      <c r="Z171" s="1067">
        <v>40</v>
      </c>
      <c r="AA171" s="1083">
        <v>0</v>
      </c>
      <c r="AB171" s="1070"/>
      <c r="AC171" s="1064"/>
      <c r="AD171" s="1064"/>
      <c r="AE171" s="1065"/>
      <c r="AF171" s="1070"/>
      <c r="AG171" s="1064"/>
      <c r="AH171" s="1064"/>
      <c r="AI171" s="1065"/>
      <c r="AJ171" s="1041">
        <v>0</v>
      </c>
      <c r="AK171" s="941"/>
      <c r="AL171" s="943"/>
      <c r="AM171" s="940"/>
      <c r="AN171" s="992" t="s">
        <v>38</v>
      </c>
      <c r="AO171" s="1005">
        <v>7.25</v>
      </c>
      <c r="AP171" s="994">
        <v>79.574999999999989</v>
      </c>
      <c r="AQ171" s="994">
        <f>AP171*AO171</f>
        <v>576.91874999999993</v>
      </c>
      <c r="AR171" s="954"/>
      <c r="AS171" s="954"/>
    </row>
    <row r="172" spans="1:45" ht="13.5" customHeight="1">
      <c r="A172" s="1009" t="s">
        <v>1427</v>
      </c>
      <c r="B172" s="1064">
        <v>0.29166666666666669</v>
      </c>
      <c r="C172" s="1064">
        <v>0.13541666666666666</v>
      </c>
      <c r="D172" s="1065">
        <v>8</v>
      </c>
      <c r="E172" s="1066">
        <v>0.25</v>
      </c>
      <c r="F172" s="1070"/>
      <c r="G172" s="1064">
        <v>0.29166666666666669</v>
      </c>
      <c r="H172" s="1064">
        <v>0.125</v>
      </c>
      <c r="I172" s="1065">
        <v>8</v>
      </c>
      <c r="J172" s="1066"/>
      <c r="K172" s="1070"/>
      <c r="L172" s="1064">
        <v>0.29166666666666669</v>
      </c>
      <c r="M172" s="1064">
        <v>0.14583333333333334</v>
      </c>
      <c r="N172" s="1065">
        <v>8</v>
      </c>
      <c r="O172" s="1066">
        <v>0.5</v>
      </c>
      <c r="P172" s="1070"/>
      <c r="Q172" s="1064">
        <v>0.29166666666666669</v>
      </c>
      <c r="R172" s="1064">
        <v>0.13541666666666666</v>
      </c>
      <c r="S172" s="1065">
        <v>8</v>
      </c>
      <c r="T172" s="1066">
        <v>0.25</v>
      </c>
      <c r="U172" s="1070"/>
      <c r="V172" s="1064">
        <v>0.29166666666666669</v>
      </c>
      <c r="W172" s="1064">
        <v>0.125</v>
      </c>
      <c r="X172" s="1065">
        <v>8</v>
      </c>
      <c r="Y172" s="1066"/>
      <c r="Z172" s="1067">
        <v>40</v>
      </c>
      <c r="AA172" s="1083">
        <v>1</v>
      </c>
      <c r="AB172" s="1070"/>
      <c r="AC172" s="1064"/>
      <c r="AD172" s="1064"/>
      <c r="AE172" s="1065"/>
      <c r="AF172" s="1070"/>
      <c r="AG172" s="1064"/>
      <c r="AH172" s="1064"/>
      <c r="AI172" s="1065"/>
      <c r="AJ172" s="1041">
        <v>0</v>
      </c>
      <c r="AK172" s="941"/>
      <c r="AL172" s="943"/>
      <c r="AM172" s="940"/>
      <c r="AN172" s="954"/>
      <c r="AO172" s="1005"/>
      <c r="AP172" s="954"/>
      <c r="AQ172" s="994">
        <v>34733.491249999992</v>
      </c>
      <c r="AR172" s="954"/>
      <c r="AS172" s="954"/>
    </row>
    <row r="173" spans="1:45" ht="13.5" customHeight="1">
      <c r="A173" s="1009" t="s">
        <v>1428</v>
      </c>
      <c r="B173" s="1064">
        <v>0.125</v>
      </c>
      <c r="C173" s="1064">
        <v>0.45833333333333331</v>
      </c>
      <c r="D173" s="1065">
        <v>8</v>
      </c>
      <c r="E173" s="1066"/>
      <c r="F173" s="1070"/>
      <c r="G173" s="1064">
        <v>0.125</v>
      </c>
      <c r="H173" s="1064">
        <v>0.45833333333333331</v>
      </c>
      <c r="I173" s="1065">
        <v>8</v>
      </c>
      <c r="J173" s="1066"/>
      <c r="K173" s="1070"/>
      <c r="L173" s="1064">
        <v>0.125</v>
      </c>
      <c r="M173" s="1064">
        <v>0.45833333333333331</v>
      </c>
      <c r="N173" s="1065">
        <v>8</v>
      </c>
      <c r="O173" s="1066"/>
      <c r="P173" s="1070"/>
      <c r="Q173" s="1064">
        <v>0.125</v>
      </c>
      <c r="R173" s="1064">
        <v>4.1666666666666664E-2</v>
      </c>
      <c r="S173" s="1065">
        <v>8</v>
      </c>
      <c r="T173" s="1066">
        <v>2</v>
      </c>
      <c r="U173" s="1070"/>
      <c r="V173" s="1064">
        <v>0.125</v>
      </c>
      <c r="W173" s="1064">
        <v>0.45833333333333331</v>
      </c>
      <c r="X173" s="1065">
        <v>8</v>
      </c>
      <c r="Y173" s="1066"/>
      <c r="Z173" s="1067">
        <v>40</v>
      </c>
      <c r="AA173" s="1083">
        <v>2</v>
      </c>
      <c r="AB173" s="1070"/>
      <c r="AC173" s="1064"/>
      <c r="AD173" s="1064"/>
      <c r="AE173" s="1065"/>
      <c r="AF173" s="1070"/>
      <c r="AG173" s="1064"/>
      <c r="AH173" s="1064"/>
      <c r="AI173" s="1065"/>
      <c r="AJ173" s="1041">
        <v>0</v>
      </c>
      <c r="AK173" s="941"/>
      <c r="AL173" s="943"/>
      <c r="AM173" s="940"/>
      <c r="AN173" s="954"/>
      <c r="AO173" s="1005"/>
      <c r="AP173" s="954"/>
      <c r="AQ173" s="954"/>
      <c r="AR173" s="954"/>
      <c r="AS173" s="954"/>
    </row>
    <row r="174" spans="1:45" ht="13.5" customHeight="1">
      <c r="A174" s="1009" t="s">
        <v>1142</v>
      </c>
      <c r="B174" s="1064">
        <v>0.125</v>
      </c>
      <c r="C174" s="1064">
        <v>0.45833333333333331</v>
      </c>
      <c r="D174" s="1065">
        <v>8</v>
      </c>
      <c r="E174" s="1066"/>
      <c r="F174" s="1070"/>
      <c r="G174" s="1064">
        <v>0.125</v>
      </c>
      <c r="H174" s="1064">
        <v>0.45833333333333331</v>
      </c>
      <c r="I174" s="1065">
        <v>8</v>
      </c>
      <c r="J174" s="1066"/>
      <c r="K174" s="1081"/>
      <c r="L174" s="1064">
        <v>0.125</v>
      </c>
      <c r="M174" s="1064">
        <v>0.45833333333333331</v>
      </c>
      <c r="N174" s="1065">
        <v>8</v>
      </c>
      <c r="O174" s="1066"/>
      <c r="P174" s="1081"/>
      <c r="Q174" s="1064">
        <v>0.125</v>
      </c>
      <c r="R174" s="1064">
        <v>0.45833333333333331</v>
      </c>
      <c r="S174" s="1065">
        <v>8</v>
      </c>
      <c r="T174" s="1066"/>
      <c r="U174" s="1081"/>
      <c r="V174" s="1064">
        <v>0.125</v>
      </c>
      <c r="W174" s="1064">
        <v>0.45833333333333331</v>
      </c>
      <c r="X174" s="1065">
        <v>8</v>
      </c>
      <c r="Y174" s="1066"/>
      <c r="Z174" s="1067">
        <v>40</v>
      </c>
      <c r="AA174" s="1083">
        <v>0</v>
      </c>
      <c r="AB174" s="1070"/>
      <c r="AC174" s="1064"/>
      <c r="AD174" s="1064"/>
      <c r="AE174" s="1065"/>
      <c r="AF174" s="1070"/>
      <c r="AG174" s="1064"/>
      <c r="AH174" s="1064"/>
      <c r="AI174" s="1065"/>
      <c r="AJ174" s="1041">
        <v>0</v>
      </c>
      <c r="AK174" s="941"/>
      <c r="AL174" s="943"/>
      <c r="AM174" s="940"/>
      <c r="AN174" s="953" t="s">
        <v>1115</v>
      </c>
      <c r="AO174" s="1005">
        <v>84</v>
      </c>
      <c r="AP174" s="954"/>
      <c r="AQ174" s="954"/>
      <c r="AR174" s="954"/>
      <c r="AS174" s="954"/>
    </row>
    <row r="175" spans="1:45" ht="13.5" customHeight="1">
      <c r="A175" s="1009" t="s">
        <v>1429</v>
      </c>
      <c r="B175" s="1064">
        <v>0.125</v>
      </c>
      <c r="C175" s="1064">
        <v>0.45833333333333331</v>
      </c>
      <c r="D175" s="1065">
        <v>8</v>
      </c>
      <c r="E175" s="1066"/>
      <c r="F175" s="1070"/>
      <c r="G175" s="1064">
        <v>0.125</v>
      </c>
      <c r="H175" s="1064">
        <v>0.45833333333333331</v>
      </c>
      <c r="I175" s="1065">
        <v>8</v>
      </c>
      <c r="J175" s="1066"/>
      <c r="K175" s="1081"/>
      <c r="L175" s="1064">
        <v>0.125</v>
      </c>
      <c r="M175" s="1064">
        <v>0.45833333333333331</v>
      </c>
      <c r="N175" s="1065">
        <v>8</v>
      </c>
      <c r="O175" s="1066"/>
      <c r="P175" s="1081"/>
      <c r="Q175" s="1064">
        <v>0.125</v>
      </c>
      <c r="R175" s="1064">
        <v>0.45833333333333331</v>
      </c>
      <c r="S175" s="1065">
        <v>8</v>
      </c>
      <c r="T175" s="1066"/>
      <c r="U175" s="1081"/>
      <c r="V175" s="1064">
        <v>0.125</v>
      </c>
      <c r="W175" s="1064">
        <v>0.45833333333333331</v>
      </c>
      <c r="X175" s="1065">
        <v>8</v>
      </c>
      <c r="Y175" s="1066"/>
      <c r="Z175" s="1067">
        <v>40</v>
      </c>
      <c r="AA175" s="1083">
        <v>0</v>
      </c>
      <c r="AB175" s="1070"/>
      <c r="AC175" s="1064"/>
      <c r="AD175" s="1064"/>
      <c r="AE175" s="1065"/>
      <c r="AF175" s="1070"/>
      <c r="AG175" s="1064"/>
      <c r="AH175" s="1064"/>
      <c r="AI175" s="1065"/>
      <c r="AJ175" s="1041">
        <v>0</v>
      </c>
      <c r="AK175" s="941"/>
      <c r="AL175" s="943"/>
      <c r="AM175" s="940"/>
      <c r="AN175" s="954"/>
      <c r="AO175" s="954"/>
      <c r="AP175" s="954"/>
      <c r="AQ175" s="954"/>
      <c r="AR175" s="954"/>
      <c r="AS175" s="954"/>
    </row>
    <row r="176" spans="1:45" ht="13.5" customHeight="1">
      <c r="A176" s="1011" t="s">
        <v>1060</v>
      </c>
      <c r="B176" s="1064">
        <v>0.125</v>
      </c>
      <c r="C176" s="1064">
        <v>0.45833333333333331</v>
      </c>
      <c r="D176" s="1065">
        <v>8</v>
      </c>
      <c r="E176" s="1066"/>
      <c r="F176" s="1070"/>
      <c r="G176" s="1064">
        <v>0.125</v>
      </c>
      <c r="H176" s="1064">
        <v>0.45833333333333331</v>
      </c>
      <c r="I176" s="1065">
        <v>8</v>
      </c>
      <c r="J176" s="1066"/>
      <c r="K176" s="1081"/>
      <c r="L176" s="1064">
        <v>0.13541666666666666</v>
      </c>
      <c r="M176" s="1064">
        <v>0.45833333333333331</v>
      </c>
      <c r="N176" s="1065">
        <v>7.75</v>
      </c>
      <c r="O176" s="1066"/>
      <c r="P176" s="1081"/>
      <c r="Q176" s="1064">
        <v>0.125</v>
      </c>
      <c r="R176" s="1064">
        <v>0.45833333333333331</v>
      </c>
      <c r="S176" s="1065">
        <v>8</v>
      </c>
      <c r="T176" s="1066"/>
      <c r="U176" s="1081"/>
      <c r="V176" s="1064">
        <v>0.125</v>
      </c>
      <c r="W176" s="1064">
        <v>0.45833333333333331</v>
      </c>
      <c r="X176" s="1065">
        <v>8</v>
      </c>
      <c r="Y176" s="1066"/>
      <c r="Z176" s="1067">
        <v>39.75</v>
      </c>
      <c r="AA176" s="1083">
        <v>0</v>
      </c>
      <c r="AB176" s="1070"/>
      <c r="AC176" s="1064"/>
      <c r="AD176" s="1064"/>
      <c r="AE176" s="1065"/>
      <c r="AF176" s="1070"/>
      <c r="AG176" s="1064"/>
      <c r="AH176" s="1064"/>
      <c r="AI176" s="1065"/>
      <c r="AJ176" s="1041">
        <v>0</v>
      </c>
      <c r="AK176" s="941"/>
      <c r="AL176" s="943"/>
      <c r="AM176" s="940"/>
      <c r="AN176" s="954"/>
      <c r="AO176" s="954"/>
      <c r="AP176" s="954"/>
      <c r="AQ176" s="954"/>
      <c r="AR176" s="954"/>
      <c r="AS176" s="954"/>
    </row>
    <row r="177" spans="1:45" ht="13.5" customHeight="1">
      <c r="A177" s="941" t="s">
        <v>327</v>
      </c>
      <c r="B177" s="1064">
        <v>0.125</v>
      </c>
      <c r="C177" s="1064">
        <v>0.45833333333333331</v>
      </c>
      <c r="D177" s="1065">
        <v>8</v>
      </c>
      <c r="E177" s="1066"/>
      <c r="F177" s="1081"/>
      <c r="G177" s="1064">
        <v>0.125</v>
      </c>
      <c r="H177" s="1064">
        <v>0.45833333333333331</v>
      </c>
      <c r="I177" s="1065">
        <v>8</v>
      </c>
      <c r="J177" s="1066"/>
      <c r="K177" s="1081"/>
      <c r="L177" s="1064">
        <v>0.125</v>
      </c>
      <c r="M177" s="1064">
        <v>0.45833333333333331</v>
      </c>
      <c r="N177" s="1065">
        <v>8</v>
      </c>
      <c r="O177" s="1066"/>
      <c r="P177" s="1081"/>
      <c r="Q177" s="1064">
        <v>0.125</v>
      </c>
      <c r="R177" s="1064">
        <v>0.45833333333333331</v>
      </c>
      <c r="S177" s="1065">
        <v>8</v>
      </c>
      <c r="T177" s="1066"/>
      <c r="U177" s="1081"/>
      <c r="V177" s="1064">
        <v>0.125</v>
      </c>
      <c r="W177" s="1064">
        <v>0.45833333333333331</v>
      </c>
      <c r="X177" s="1065">
        <v>8</v>
      </c>
      <c r="Y177" s="1066"/>
      <c r="Z177" s="1067">
        <v>40</v>
      </c>
      <c r="AA177" s="1083">
        <v>0</v>
      </c>
      <c r="AB177" s="1070"/>
      <c r="AC177" s="1064"/>
      <c r="AD177" s="1064"/>
      <c r="AE177" s="1065"/>
      <c r="AF177" s="1070"/>
      <c r="AG177" s="1064"/>
      <c r="AH177" s="1064"/>
      <c r="AI177" s="1065"/>
      <c r="AJ177" s="1041">
        <v>0</v>
      </c>
      <c r="AK177" s="941"/>
      <c r="AL177" s="943"/>
      <c r="AM177" s="940"/>
      <c r="AN177" s="954"/>
      <c r="AO177" s="954"/>
      <c r="AP177" s="954"/>
      <c r="AQ177" s="954"/>
      <c r="AR177" s="954"/>
      <c r="AS177" s="954"/>
    </row>
    <row r="178" spans="1:45" ht="13.5" customHeight="1">
      <c r="A178" s="1006" t="s">
        <v>1144</v>
      </c>
      <c r="B178" s="1064">
        <v>0.125</v>
      </c>
      <c r="C178" s="1064">
        <v>0.45833333333333331</v>
      </c>
      <c r="D178" s="1065">
        <v>8</v>
      </c>
      <c r="E178" s="1066"/>
      <c r="F178" s="1081"/>
      <c r="G178" s="1064">
        <v>0.125</v>
      </c>
      <c r="H178" s="1064">
        <v>0.45833333333333331</v>
      </c>
      <c r="I178" s="1065">
        <v>8</v>
      </c>
      <c r="J178" s="1066"/>
      <c r="K178" s="1081"/>
      <c r="L178" s="1064">
        <v>0.125</v>
      </c>
      <c r="M178" s="1064">
        <v>0.45833333333333331</v>
      </c>
      <c r="N178" s="1065">
        <v>8</v>
      </c>
      <c r="O178" s="1066"/>
      <c r="P178" s="1081"/>
      <c r="Q178" s="1064">
        <v>0.125</v>
      </c>
      <c r="R178" s="1064">
        <v>0.45833333333333331</v>
      </c>
      <c r="S178" s="1065">
        <v>8</v>
      </c>
      <c r="T178" s="1066"/>
      <c r="U178" s="1081"/>
      <c r="V178" s="1064">
        <v>0.125</v>
      </c>
      <c r="W178" s="1064">
        <v>0.45833333333333331</v>
      </c>
      <c r="X178" s="1065">
        <v>8</v>
      </c>
      <c r="Y178" s="1066"/>
      <c r="Z178" s="1067">
        <v>40</v>
      </c>
      <c r="AA178" s="1083">
        <v>0</v>
      </c>
      <c r="AB178" s="1070"/>
      <c r="AC178" s="1064">
        <v>0.5</v>
      </c>
      <c r="AD178" s="1064">
        <v>0.3125</v>
      </c>
      <c r="AE178" s="1065">
        <v>7.5</v>
      </c>
      <c r="AF178" s="1070"/>
      <c r="AG178" s="1064"/>
      <c r="AH178" s="1064"/>
      <c r="AI178" s="1065"/>
      <c r="AJ178" s="1041">
        <v>7.5</v>
      </c>
      <c r="AK178" s="941"/>
      <c r="AL178" s="943"/>
      <c r="AM178" s="940"/>
      <c r="AN178" s="954"/>
      <c r="AO178" s="954"/>
      <c r="AP178" s="954"/>
      <c r="AQ178" s="954"/>
      <c r="AR178" s="954"/>
      <c r="AS178" s="954"/>
    </row>
    <row r="179" spans="1:45" ht="13.5" customHeight="1">
      <c r="A179" s="1006" t="s">
        <v>1436</v>
      </c>
      <c r="B179" s="1064"/>
      <c r="C179" s="1064"/>
      <c r="D179" s="1065">
        <v>8</v>
      </c>
      <c r="E179" s="1066"/>
      <c r="F179" s="1081"/>
      <c r="G179" s="1064">
        <v>8.3333333333333329E-2</v>
      </c>
      <c r="H179" s="1064">
        <v>0.45833333333333331</v>
      </c>
      <c r="I179" s="1065">
        <v>8</v>
      </c>
      <c r="J179" s="1066">
        <v>1</v>
      </c>
      <c r="K179" s="1081"/>
      <c r="L179" s="1064">
        <v>0.125</v>
      </c>
      <c r="M179" s="1064">
        <v>0.45833333333333331</v>
      </c>
      <c r="N179" s="1065">
        <v>8</v>
      </c>
      <c r="O179" s="1066"/>
      <c r="P179" s="1081"/>
      <c r="Q179" s="1064">
        <v>0.125</v>
      </c>
      <c r="R179" s="1064">
        <v>0.45833333333333331</v>
      </c>
      <c r="S179" s="1065">
        <v>8</v>
      </c>
      <c r="T179" s="1066"/>
      <c r="U179" s="1081"/>
      <c r="V179" s="1064">
        <v>0.125</v>
      </c>
      <c r="W179" s="1064">
        <v>0.45833333333333331</v>
      </c>
      <c r="X179" s="1065">
        <v>8</v>
      </c>
      <c r="Y179" s="1066"/>
      <c r="Z179" s="1067">
        <v>40</v>
      </c>
      <c r="AA179" s="1083">
        <v>1</v>
      </c>
      <c r="AB179" s="1070"/>
      <c r="AC179" s="1064"/>
      <c r="AD179" s="1064"/>
      <c r="AE179" s="1065"/>
      <c r="AF179" s="1070"/>
      <c r="AG179" s="1064"/>
      <c r="AH179" s="1064"/>
      <c r="AI179" s="1065"/>
      <c r="AJ179" s="1041">
        <v>0</v>
      </c>
      <c r="AK179" s="941"/>
      <c r="AL179" s="943"/>
      <c r="AM179" s="940"/>
      <c r="AN179" s="954"/>
      <c r="AO179" s="954"/>
      <c r="AP179" s="954"/>
      <c r="AQ179" s="954"/>
      <c r="AR179" s="954"/>
      <c r="AS179" s="954"/>
    </row>
    <row r="180" spans="1:45" ht="13.5" customHeight="1">
      <c r="A180" s="1009" t="s">
        <v>1140</v>
      </c>
      <c r="B180" s="1064"/>
      <c r="C180" s="1064"/>
      <c r="D180" s="1065"/>
      <c r="E180" s="1066"/>
      <c r="F180" s="1081"/>
      <c r="G180" s="1064"/>
      <c r="H180" s="1064"/>
      <c r="I180" s="1065"/>
      <c r="J180" s="1066"/>
      <c r="K180" s="1081"/>
      <c r="L180" s="1064"/>
      <c r="M180" s="1064"/>
      <c r="N180" s="1065"/>
      <c r="O180" s="1066"/>
      <c r="P180" s="1081"/>
      <c r="Q180" s="1064"/>
      <c r="R180" s="1064"/>
      <c r="S180" s="1065"/>
      <c r="T180" s="1066"/>
      <c r="U180" s="1081"/>
      <c r="V180" s="1064"/>
      <c r="W180" s="1064"/>
      <c r="X180" s="1065"/>
      <c r="Y180" s="1066"/>
      <c r="Z180" s="1067">
        <v>0</v>
      </c>
      <c r="AA180" s="1083">
        <v>0</v>
      </c>
      <c r="AB180" s="1070"/>
      <c r="AC180" s="1064"/>
      <c r="AD180" s="1064"/>
      <c r="AE180" s="1065"/>
      <c r="AF180" s="1070"/>
      <c r="AG180" s="1064">
        <v>0.5</v>
      </c>
      <c r="AH180" s="1064">
        <v>0.25</v>
      </c>
      <c r="AI180" s="1065">
        <v>6</v>
      </c>
      <c r="AJ180" s="1041">
        <v>6</v>
      </c>
      <c r="AK180" s="941"/>
      <c r="AL180" s="943"/>
      <c r="AM180" s="940"/>
      <c r="AN180" s="954"/>
      <c r="AO180" s="954"/>
      <c r="AP180" s="954"/>
      <c r="AQ180" s="954"/>
      <c r="AR180" s="954"/>
      <c r="AS180" s="954"/>
    </row>
    <row r="181" spans="1:45" ht="13.5" customHeight="1">
      <c r="A181" s="1009" t="s">
        <v>1435</v>
      </c>
      <c r="B181" s="1064"/>
      <c r="C181" s="1064"/>
      <c r="D181" s="1065"/>
      <c r="E181" s="1066"/>
      <c r="F181" s="1081"/>
      <c r="G181" s="1064"/>
      <c r="H181" s="1064"/>
      <c r="I181" s="1065"/>
      <c r="J181" s="1066"/>
      <c r="K181" s="1081"/>
      <c r="L181" s="1064"/>
      <c r="M181" s="1064"/>
      <c r="N181" s="1065"/>
      <c r="O181" s="1066"/>
      <c r="P181" s="1081"/>
      <c r="Q181" s="1064"/>
      <c r="R181" s="1064"/>
      <c r="S181" s="1065"/>
      <c r="T181" s="1066"/>
      <c r="U181" s="1081"/>
      <c r="V181" s="1064"/>
      <c r="W181" s="1064"/>
      <c r="X181" s="1065"/>
      <c r="Y181" s="1066"/>
      <c r="Z181" s="1067">
        <v>0</v>
      </c>
      <c r="AA181" s="1083">
        <v>0</v>
      </c>
      <c r="AB181" s="1070"/>
      <c r="AC181" s="1064">
        <v>4.1666666666666664E-2</v>
      </c>
      <c r="AD181" s="1064">
        <v>0.22916666666666666</v>
      </c>
      <c r="AE181" s="1065">
        <v>4.5</v>
      </c>
      <c r="AF181" s="1070"/>
      <c r="AG181" s="1064"/>
      <c r="AH181" s="1064"/>
      <c r="AI181" s="1065"/>
      <c r="AJ181" s="1041">
        <v>4.5</v>
      </c>
      <c r="AK181" s="941"/>
      <c r="AL181" s="943"/>
      <c r="AM181" s="940"/>
      <c r="AN181" s="954"/>
      <c r="AO181" s="954"/>
      <c r="AP181" s="954"/>
      <c r="AQ181" s="954"/>
      <c r="AR181" s="954"/>
      <c r="AS181" s="954"/>
    </row>
    <row r="182" spans="1:45" ht="13.5" customHeight="1">
      <c r="A182" s="1009" t="s">
        <v>1431</v>
      </c>
      <c r="B182" s="1064"/>
      <c r="C182" s="1064"/>
      <c r="D182" s="1065">
        <v>1</v>
      </c>
      <c r="E182" s="1066"/>
      <c r="F182" s="1081"/>
      <c r="G182" s="1064"/>
      <c r="H182" s="1064"/>
      <c r="I182" s="1065">
        <v>1</v>
      </c>
      <c r="J182" s="1066"/>
      <c r="K182" s="1081"/>
      <c r="L182" s="1064"/>
      <c r="M182" s="1064"/>
      <c r="N182" s="1065">
        <v>1</v>
      </c>
      <c r="O182" s="1066"/>
      <c r="P182" s="1081"/>
      <c r="Q182" s="1064"/>
      <c r="R182" s="1064"/>
      <c r="S182" s="1065">
        <v>1</v>
      </c>
      <c r="T182" s="1066"/>
      <c r="U182" s="1081"/>
      <c r="V182" s="1064"/>
      <c r="W182" s="1064"/>
      <c r="X182" s="1065">
        <v>1</v>
      </c>
      <c r="Y182" s="1066"/>
      <c r="Z182" s="1067">
        <v>5</v>
      </c>
      <c r="AA182" s="1083">
        <v>0</v>
      </c>
      <c r="AB182" s="1070"/>
      <c r="AC182" s="1064"/>
      <c r="AD182" s="1064"/>
      <c r="AE182" s="1065"/>
      <c r="AF182" s="1070"/>
      <c r="AG182" s="1064"/>
      <c r="AH182" s="1064"/>
      <c r="AI182" s="1065"/>
      <c r="AJ182" s="1041">
        <v>0</v>
      </c>
      <c r="AK182" s="941"/>
      <c r="AL182" s="943"/>
      <c r="AM182" s="940"/>
      <c r="AN182" s="954"/>
      <c r="AO182" s="954"/>
      <c r="AP182" s="954"/>
      <c r="AQ182" s="954"/>
      <c r="AR182" s="954"/>
      <c r="AS182" s="954"/>
    </row>
    <row r="183" spans="1:45" ht="13.5" customHeight="1">
      <c r="A183" s="1009" t="s">
        <v>813</v>
      </c>
      <c r="B183" s="1064"/>
      <c r="C183" s="1064"/>
      <c r="D183" s="1065">
        <v>2</v>
      </c>
      <c r="E183" s="1066"/>
      <c r="F183" s="1081"/>
      <c r="G183" s="1064"/>
      <c r="H183" s="1064"/>
      <c r="I183" s="1065">
        <v>2</v>
      </c>
      <c r="J183" s="1066"/>
      <c r="K183" s="1081"/>
      <c r="L183" s="1064"/>
      <c r="M183" s="1064"/>
      <c r="N183" s="1065">
        <v>2</v>
      </c>
      <c r="O183" s="1066"/>
      <c r="P183" s="1081"/>
      <c r="Q183" s="1064"/>
      <c r="R183" s="1064"/>
      <c r="S183" s="1065">
        <v>2</v>
      </c>
      <c r="T183" s="1066"/>
      <c r="U183" s="1081"/>
      <c r="V183" s="1064"/>
      <c r="W183" s="1064"/>
      <c r="X183" s="1065">
        <v>2</v>
      </c>
      <c r="Y183" s="1066"/>
      <c r="Z183" s="1067">
        <v>10</v>
      </c>
      <c r="AA183" s="1083">
        <v>0</v>
      </c>
      <c r="AB183" s="1070"/>
      <c r="AC183" s="1064"/>
      <c r="AD183" s="1064"/>
      <c r="AE183" s="1065"/>
      <c r="AF183" s="1070"/>
      <c r="AG183" s="1064"/>
      <c r="AH183" s="1064"/>
      <c r="AI183" s="1065"/>
      <c r="AJ183" s="1041">
        <v>0</v>
      </c>
      <c r="AK183" s="941"/>
      <c r="AL183" s="943"/>
      <c r="AM183" s="940"/>
      <c r="AN183" s="954"/>
      <c r="AO183" s="954"/>
      <c r="AP183" s="954"/>
      <c r="AQ183" s="954"/>
      <c r="AR183" s="954"/>
      <c r="AS183" s="954"/>
    </row>
    <row r="184" spans="1:45" ht="13.5" customHeight="1">
      <c r="A184" s="1009" t="s">
        <v>1432</v>
      </c>
      <c r="B184" s="1064"/>
      <c r="C184" s="1064"/>
      <c r="D184" s="1065"/>
      <c r="E184" s="1066"/>
      <c r="F184" s="1081"/>
      <c r="G184" s="1064"/>
      <c r="H184" s="1064"/>
      <c r="I184" s="1065"/>
      <c r="J184" s="1066"/>
      <c r="K184" s="1081"/>
      <c r="L184" s="1064"/>
      <c r="M184" s="1064"/>
      <c r="N184" s="1065"/>
      <c r="O184" s="1066"/>
      <c r="P184" s="1081"/>
      <c r="Q184" s="1064"/>
      <c r="R184" s="1064"/>
      <c r="S184" s="1065"/>
      <c r="T184" s="1066"/>
      <c r="U184" s="1081"/>
      <c r="V184" s="1064"/>
      <c r="W184" s="1064"/>
      <c r="X184" s="1065"/>
      <c r="Y184" s="1066"/>
      <c r="Z184" s="1067">
        <v>0</v>
      </c>
      <c r="AA184" s="1083">
        <v>0</v>
      </c>
      <c r="AB184" s="1070"/>
      <c r="AC184" s="1064"/>
      <c r="AD184" s="1064"/>
      <c r="AE184" s="1065"/>
      <c r="AF184" s="1070"/>
      <c r="AG184" s="1064"/>
      <c r="AH184" s="1064"/>
      <c r="AI184" s="1065"/>
      <c r="AJ184" s="1041">
        <v>0</v>
      </c>
      <c r="AK184" s="941"/>
      <c r="AL184" s="943"/>
      <c r="AM184" s="940"/>
      <c r="AN184" s="954"/>
      <c r="AO184" s="954"/>
      <c r="AP184" s="954"/>
      <c r="AQ184" s="954"/>
      <c r="AR184" s="954"/>
      <c r="AS184" s="954"/>
    </row>
    <row r="185" spans="1:45" ht="13.5" customHeight="1">
      <c r="A185" s="1009" t="s">
        <v>88</v>
      </c>
      <c r="B185" s="1064"/>
      <c r="C185" s="1064"/>
      <c r="D185" s="1065">
        <v>2</v>
      </c>
      <c r="E185" s="1066"/>
      <c r="F185" s="1081"/>
      <c r="G185" s="1064"/>
      <c r="H185" s="1064"/>
      <c r="I185" s="1065">
        <v>2</v>
      </c>
      <c r="J185" s="1066"/>
      <c r="K185" s="1081"/>
      <c r="L185" s="1064"/>
      <c r="M185" s="1064"/>
      <c r="N185" s="1065">
        <v>2</v>
      </c>
      <c r="O185" s="1066"/>
      <c r="P185" s="1081"/>
      <c r="Q185" s="1064"/>
      <c r="R185" s="1064"/>
      <c r="S185" s="1065">
        <v>2</v>
      </c>
      <c r="T185" s="1066"/>
      <c r="U185" s="1081"/>
      <c r="V185" s="1064"/>
      <c r="W185" s="1064"/>
      <c r="X185" s="1065">
        <v>2</v>
      </c>
      <c r="Y185" s="1066"/>
      <c r="Z185" s="1067">
        <v>10</v>
      </c>
      <c r="AA185" s="1083">
        <v>0</v>
      </c>
      <c r="AB185" s="1070"/>
      <c r="AC185" s="1064"/>
      <c r="AD185" s="1064"/>
      <c r="AE185" s="1065"/>
      <c r="AF185" s="1070"/>
      <c r="AG185" s="1064"/>
      <c r="AH185" s="1064"/>
      <c r="AI185" s="1065"/>
      <c r="AJ185" s="1041">
        <v>0</v>
      </c>
      <c r="AK185" s="941"/>
      <c r="AL185" s="943"/>
      <c r="AM185" s="940"/>
      <c r="AN185" s="954"/>
      <c r="AO185" s="954"/>
      <c r="AP185" s="954"/>
      <c r="AQ185" s="954"/>
      <c r="AR185" s="954"/>
      <c r="AS185" s="954"/>
    </row>
    <row r="186" spans="1:45" ht="13.5" customHeight="1">
      <c r="A186" s="1009" t="s">
        <v>603</v>
      </c>
      <c r="B186" s="1064"/>
      <c r="C186" s="1064"/>
      <c r="D186" s="1065"/>
      <c r="E186" s="1066"/>
      <c r="F186" s="1081"/>
      <c r="G186" s="1064"/>
      <c r="H186" s="1064"/>
      <c r="I186" s="1065"/>
      <c r="J186" s="1066"/>
      <c r="K186" s="1081"/>
      <c r="L186" s="1064"/>
      <c r="M186" s="1064"/>
      <c r="N186" s="1065"/>
      <c r="O186" s="1066"/>
      <c r="P186" s="1081"/>
      <c r="Q186" s="1064"/>
      <c r="R186" s="1064"/>
      <c r="S186" s="1065"/>
      <c r="T186" s="1066"/>
      <c r="U186" s="1081"/>
      <c r="V186" s="1064"/>
      <c r="W186" s="1064"/>
      <c r="X186" s="1065"/>
      <c r="Y186" s="1066"/>
      <c r="Z186" s="1067">
        <v>0</v>
      </c>
      <c r="AA186" s="1083">
        <v>0</v>
      </c>
      <c r="AB186" s="1070"/>
      <c r="AC186" s="1064">
        <v>4.1666666666666664E-2</v>
      </c>
      <c r="AD186" s="1064">
        <v>0.25</v>
      </c>
      <c r="AE186" s="1065">
        <v>5</v>
      </c>
      <c r="AF186" s="1070"/>
      <c r="AG186" s="1064"/>
      <c r="AH186" s="1064"/>
      <c r="AI186" s="1065"/>
      <c r="AJ186" s="1041">
        <v>5</v>
      </c>
      <c r="AK186" s="941"/>
      <c r="AL186" s="943"/>
      <c r="AM186" s="940"/>
      <c r="AN186" s="954"/>
      <c r="AO186" s="954"/>
      <c r="AP186" s="954"/>
      <c r="AQ186" s="954"/>
      <c r="AR186" s="954"/>
      <c r="AS186" s="954"/>
    </row>
    <row r="187" spans="1:45" ht="13.5" customHeight="1">
      <c r="A187" s="1043" t="s">
        <v>1438</v>
      </c>
      <c r="B187" s="1073"/>
      <c r="C187" s="1073"/>
      <c r="D187" s="1074"/>
      <c r="E187" s="1074"/>
      <c r="F187" s="1074"/>
      <c r="G187" s="1073"/>
      <c r="H187" s="1073"/>
      <c r="I187" s="1074"/>
      <c r="J187" s="1074"/>
      <c r="K187" s="1074"/>
      <c r="L187" s="1073"/>
      <c r="M187" s="1073"/>
      <c r="N187" s="1074"/>
      <c r="O187" s="1074"/>
      <c r="P187" s="1074"/>
      <c r="Q187" s="1073">
        <v>0.29166666666666669</v>
      </c>
      <c r="R187" s="1073">
        <v>0.15625</v>
      </c>
      <c r="S187" s="1074">
        <v>8</v>
      </c>
      <c r="T187" s="1074">
        <v>0.75</v>
      </c>
      <c r="U187" s="1074"/>
      <c r="V187" s="1073">
        <v>0.29166666666666669</v>
      </c>
      <c r="W187" s="1073">
        <v>0.125</v>
      </c>
      <c r="X187" s="1074">
        <v>8</v>
      </c>
      <c r="Y187" s="1074"/>
      <c r="Z187" s="1075">
        <v>16</v>
      </c>
      <c r="AA187" s="1083">
        <v>0.75</v>
      </c>
      <c r="AB187" s="1070"/>
      <c r="AC187" s="1064"/>
      <c r="AD187" s="1064"/>
      <c r="AE187" s="1065"/>
      <c r="AF187" s="1070"/>
      <c r="AG187" s="1064"/>
      <c r="AH187" s="1064"/>
      <c r="AI187" s="1065"/>
      <c r="AJ187" s="1041">
        <v>0</v>
      </c>
      <c r="AK187" s="941"/>
      <c r="AL187" s="943"/>
      <c r="AM187" s="940"/>
      <c r="AN187" s="954"/>
      <c r="AO187" s="954"/>
      <c r="AP187" s="954"/>
      <c r="AQ187" s="954"/>
      <c r="AR187" s="954"/>
      <c r="AS187" s="954"/>
    </row>
    <row r="188" spans="1:45" ht="13.5" customHeight="1">
      <c r="A188" s="1043" t="s">
        <v>1439</v>
      </c>
      <c r="B188" s="1073"/>
      <c r="C188" s="1073"/>
      <c r="D188" s="1074"/>
      <c r="E188" s="1074"/>
      <c r="F188" s="1074"/>
      <c r="G188" s="1073"/>
      <c r="H188" s="1073"/>
      <c r="I188" s="1074"/>
      <c r="J188" s="1074"/>
      <c r="K188" s="1074"/>
      <c r="L188" s="1073"/>
      <c r="M188" s="1073"/>
      <c r="N188" s="1074"/>
      <c r="O188" s="1074"/>
      <c r="P188" s="1074"/>
      <c r="Q188" s="1073"/>
      <c r="R188" s="1073"/>
      <c r="S188" s="1074"/>
      <c r="T188" s="1074"/>
      <c r="U188" s="1074"/>
      <c r="V188" s="1073">
        <v>0.33333333333333331</v>
      </c>
      <c r="W188" s="1073">
        <v>0.125</v>
      </c>
      <c r="X188" s="1074">
        <v>7</v>
      </c>
      <c r="Y188" s="1074"/>
      <c r="Z188" s="1075">
        <v>7</v>
      </c>
      <c r="AA188" s="1083">
        <v>0</v>
      </c>
      <c r="AB188" s="1070"/>
      <c r="AC188" s="1064"/>
      <c r="AD188" s="1064"/>
      <c r="AE188" s="1065"/>
      <c r="AF188" s="1070"/>
      <c r="AG188" s="1064"/>
      <c r="AH188" s="1064"/>
      <c r="AI188" s="1065"/>
      <c r="AJ188" s="1041">
        <v>0</v>
      </c>
      <c r="AK188" s="941"/>
      <c r="AL188" s="943"/>
      <c r="AM188" s="940"/>
      <c r="AN188" s="954"/>
      <c r="AO188" s="954"/>
      <c r="AP188" s="954"/>
      <c r="AQ188" s="954"/>
      <c r="AR188" s="954"/>
      <c r="AS188" s="954"/>
    </row>
    <row r="189" spans="1:45" ht="13.5" customHeight="1">
      <c r="A189" s="1043" t="s">
        <v>1433</v>
      </c>
      <c r="B189" s="1073">
        <v>0.45833333333333331</v>
      </c>
      <c r="C189" s="1073">
        <v>0.29166666666666669</v>
      </c>
      <c r="D189" s="1074">
        <v>8</v>
      </c>
      <c r="E189" s="1074"/>
      <c r="F189" s="1074"/>
      <c r="G189" s="1073">
        <v>0.45833333333333331</v>
      </c>
      <c r="H189" s="1073">
        <v>0.29166666666666669</v>
      </c>
      <c r="I189" s="1074">
        <v>8</v>
      </c>
      <c r="J189" s="1074"/>
      <c r="K189" s="1074"/>
      <c r="L189" s="1073">
        <v>0.45833333333333331</v>
      </c>
      <c r="M189" s="1073">
        <v>0.29166666666666669</v>
      </c>
      <c r="N189" s="1074">
        <v>8</v>
      </c>
      <c r="O189" s="1074"/>
      <c r="P189" s="1074"/>
      <c r="Q189" s="1073">
        <v>0.45833333333333331</v>
      </c>
      <c r="R189" s="1073">
        <v>0.29166666666666669</v>
      </c>
      <c r="S189" s="1074">
        <v>8</v>
      </c>
      <c r="T189" s="1074"/>
      <c r="U189" s="1074"/>
      <c r="V189" s="1073">
        <v>0.45833333333333331</v>
      </c>
      <c r="W189" s="1073">
        <v>0.29166666666666669</v>
      </c>
      <c r="X189" s="1074">
        <v>8</v>
      </c>
      <c r="Y189" s="1074"/>
      <c r="Z189" s="1075">
        <v>40</v>
      </c>
      <c r="AA189" s="1083">
        <v>0</v>
      </c>
      <c r="AB189" s="1070"/>
      <c r="AC189" s="1064"/>
      <c r="AD189" s="1064"/>
      <c r="AE189" s="1065"/>
      <c r="AF189" s="1070"/>
      <c r="AG189" s="1064"/>
      <c r="AH189" s="1064"/>
      <c r="AI189" s="1065"/>
      <c r="AJ189" s="1041">
        <v>0</v>
      </c>
      <c r="AK189" s="941"/>
      <c r="AL189" s="943"/>
      <c r="AM189" s="940"/>
      <c r="AN189" s="954"/>
      <c r="AO189" s="954"/>
      <c r="AP189" s="954"/>
      <c r="AQ189" s="954"/>
      <c r="AR189" s="954"/>
      <c r="AS189" s="954"/>
    </row>
    <row r="190" spans="1:45" ht="13.5" customHeight="1">
      <c r="A190" s="1043" t="s">
        <v>241</v>
      </c>
      <c r="B190" s="1073">
        <v>0.45833333333333331</v>
      </c>
      <c r="C190" s="1073"/>
      <c r="D190" s="1074">
        <v>8</v>
      </c>
      <c r="E190" s="1074"/>
      <c r="F190" s="1074"/>
      <c r="G190" s="1073"/>
      <c r="H190" s="1073"/>
      <c r="I190" s="1074">
        <v>8</v>
      </c>
      <c r="J190" s="1074"/>
      <c r="K190" s="1074"/>
      <c r="L190" s="1073">
        <v>0.45833333333333331</v>
      </c>
      <c r="M190" s="1073">
        <v>0.29166666666666669</v>
      </c>
      <c r="N190" s="1074">
        <v>8</v>
      </c>
      <c r="O190" s="1074"/>
      <c r="P190" s="1074"/>
      <c r="Q190" s="1073"/>
      <c r="R190" s="1073"/>
      <c r="S190" s="1074"/>
      <c r="T190" s="1074"/>
      <c r="U190" s="1074"/>
      <c r="V190" s="1073"/>
      <c r="W190" s="1073"/>
      <c r="X190" s="1074"/>
      <c r="Y190" s="1074"/>
      <c r="Z190" s="1075">
        <v>24</v>
      </c>
      <c r="AA190" s="1083">
        <v>0</v>
      </c>
      <c r="AB190" s="1070"/>
      <c r="AC190" s="1064"/>
      <c r="AD190" s="1064"/>
      <c r="AE190" s="1065"/>
      <c r="AF190" s="1070"/>
      <c r="AG190" s="1064"/>
      <c r="AH190" s="1064"/>
      <c r="AI190" s="1065"/>
      <c r="AJ190" s="1041">
        <v>0</v>
      </c>
      <c r="AK190" s="941"/>
      <c r="AL190" s="943"/>
      <c r="AM190" s="940"/>
      <c r="AN190" s="954"/>
      <c r="AO190" s="954"/>
      <c r="AP190" s="954"/>
      <c r="AQ190" s="954"/>
      <c r="AR190" s="954"/>
      <c r="AS190" s="954"/>
    </row>
    <row r="191" spans="1:45" ht="13.5" customHeight="1">
      <c r="A191" s="1043" t="s">
        <v>1437</v>
      </c>
      <c r="B191" s="1073"/>
      <c r="C191" s="1073"/>
      <c r="D191" s="1074"/>
      <c r="E191" s="1074"/>
      <c r="F191" s="1074"/>
      <c r="G191" s="1073"/>
      <c r="H191" s="1073"/>
      <c r="I191" s="1074"/>
      <c r="J191" s="1074"/>
      <c r="K191" s="1074"/>
      <c r="L191" s="1073"/>
      <c r="M191" s="1073"/>
      <c r="N191" s="1074"/>
      <c r="O191" s="1074"/>
      <c r="P191" s="1074"/>
      <c r="Q191" s="1073">
        <v>0.45833333333333331</v>
      </c>
      <c r="R191" s="1073"/>
      <c r="S191" s="1074">
        <v>8</v>
      </c>
      <c r="T191" s="1074"/>
      <c r="U191" s="1074"/>
      <c r="V191" s="1073">
        <v>0.45833333333333331</v>
      </c>
      <c r="W191" s="1073">
        <v>0.29166666666666669</v>
      </c>
      <c r="X191" s="1074">
        <v>8</v>
      </c>
      <c r="Y191" s="1074"/>
      <c r="Z191" s="1075">
        <v>16</v>
      </c>
      <c r="AA191" s="1083">
        <v>0</v>
      </c>
      <c r="AB191" s="1070"/>
      <c r="AC191" s="1064">
        <v>4.1666666666666664E-2</v>
      </c>
      <c r="AD191" s="1064">
        <v>0.3125</v>
      </c>
      <c r="AE191" s="1065">
        <v>6.5</v>
      </c>
      <c r="AF191" s="1070"/>
      <c r="AG191" s="1064">
        <v>6.25E-2</v>
      </c>
      <c r="AH191" s="1064">
        <v>0.20833333333333334</v>
      </c>
      <c r="AI191" s="1065">
        <v>3.5</v>
      </c>
      <c r="AJ191" s="1041">
        <v>10</v>
      </c>
      <c r="AK191" s="941"/>
      <c r="AL191" s="943"/>
      <c r="AM191" s="940"/>
      <c r="AN191" s="954"/>
      <c r="AO191" s="954"/>
      <c r="AP191" s="954"/>
      <c r="AQ191" s="954"/>
      <c r="AR191" s="954"/>
      <c r="AS191" s="954"/>
    </row>
    <row r="192" spans="1:45" ht="13.5" customHeight="1">
      <c r="A192" s="1016" t="s">
        <v>61</v>
      </c>
      <c r="B192" s="1018"/>
      <c r="C192" s="1018"/>
      <c r="D192" s="1084">
        <v>117</v>
      </c>
      <c r="E192" s="997">
        <v>0.25</v>
      </c>
      <c r="F192" s="1018"/>
      <c r="G192" s="1018"/>
      <c r="H192" s="1018"/>
      <c r="I192" s="1084">
        <v>117</v>
      </c>
      <c r="J192" s="997">
        <v>1</v>
      </c>
      <c r="K192" s="1018"/>
      <c r="L192" s="1018"/>
      <c r="M192" s="1018"/>
      <c r="N192" s="1084">
        <v>116.75</v>
      </c>
      <c r="O192" s="997">
        <v>0.5</v>
      </c>
      <c r="P192" s="1018"/>
      <c r="Q192" s="1018"/>
      <c r="R192" s="1018"/>
      <c r="S192" s="1084">
        <v>117</v>
      </c>
      <c r="T192" s="997">
        <v>3</v>
      </c>
      <c r="U192" s="1018"/>
      <c r="V192" s="1018"/>
      <c r="W192" s="1018"/>
      <c r="X192" s="1084">
        <v>117</v>
      </c>
      <c r="Y192" s="997">
        <v>0</v>
      </c>
      <c r="Z192" s="1028">
        <v>607.75</v>
      </c>
      <c r="AA192" s="1028">
        <v>4.75</v>
      </c>
      <c r="AB192" s="941"/>
      <c r="AC192" s="1016"/>
      <c r="AD192" s="1016"/>
      <c r="AE192" s="1028">
        <v>23.5</v>
      </c>
      <c r="AF192" s="941"/>
      <c r="AG192" s="1016"/>
      <c r="AH192" s="1016"/>
      <c r="AI192" s="1028">
        <v>9.5</v>
      </c>
      <c r="AJ192" s="1028">
        <v>33</v>
      </c>
      <c r="AK192" s="941"/>
      <c r="AL192" s="943"/>
      <c r="AM192" s="940"/>
      <c r="AN192" s="954"/>
      <c r="AO192" s="954"/>
      <c r="AP192" s="954"/>
      <c r="AQ192" s="954"/>
      <c r="AR192" s="954"/>
      <c r="AS192" s="954"/>
    </row>
    <row r="193" spans="1:45" ht="13.5" customHeight="1">
      <c r="A193" s="1016" t="s">
        <v>1434</v>
      </c>
      <c r="B193" s="1018"/>
      <c r="C193" s="1018"/>
      <c r="D193" s="1084">
        <v>16</v>
      </c>
      <c r="E193" s="997">
        <v>0</v>
      </c>
      <c r="F193" s="1018"/>
      <c r="G193" s="1018"/>
      <c r="H193" s="1018"/>
      <c r="I193" s="1084">
        <v>16</v>
      </c>
      <c r="J193" s="997">
        <v>0</v>
      </c>
      <c r="K193" s="1018"/>
      <c r="L193" s="1018"/>
      <c r="M193" s="1018"/>
      <c r="N193" s="1084">
        <v>16</v>
      </c>
      <c r="O193" s="997">
        <v>0</v>
      </c>
      <c r="P193" s="1018"/>
      <c r="Q193" s="1018"/>
      <c r="R193" s="1018"/>
      <c r="S193" s="1084">
        <v>24</v>
      </c>
      <c r="T193" s="997">
        <v>0</v>
      </c>
      <c r="U193" s="1018"/>
      <c r="V193" s="1018"/>
      <c r="W193" s="1018"/>
      <c r="X193" s="1084">
        <v>31</v>
      </c>
      <c r="Y193" s="997">
        <v>0</v>
      </c>
      <c r="Z193" s="1028">
        <v>103</v>
      </c>
      <c r="AA193" s="1028">
        <v>0</v>
      </c>
      <c r="AB193" s="941"/>
      <c r="AC193" s="1016"/>
      <c r="AD193" s="1016"/>
      <c r="AE193" s="1028"/>
      <c r="AF193" s="941"/>
      <c r="AG193" s="1016"/>
      <c r="AH193" s="1016"/>
      <c r="AI193" s="1028"/>
      <c r="AJ193" s="1028"/>
      <c r="AK193" s="941"/>
      <c r="AL193" s="943"/>
      <c r="AM193" s="940"/>
      <c r="AN193" s="954"/>
      <c r="AO193" s="954"/>
      <c r="AP193" s="954"/>
      <c r="AQ193" s="954"/>
      <c r="AR193" s="954"/>
      <c r="AS193" s="954"/>
    </row>
    <row r="194" spans="1:45" ht="13.5" customHeight="1">
      <c r="A194" s="1022" t="s">
        <v>64</v>
      </c>
      <c r="B194" s="1006"/>
      <c r="C194" s="1006"/>
      <c r="D194" s="1065">
        <v>4</v>
      </c>
      <c r="E194" s="1065"/>
      <c r="F194" s="1080"/>
      <c r="G194" s="1064"/>
      <c r="H194" s="1064"/>
      <c r="I194" s="1065">
        <v>4</v>
      </c>
      <c r="J194" s="1065"/>
      <c r="K194" s="1081"/>
      <c r="L194" s="1064"/>
      <c r="M194" s="1064"/>
      <c r="N194" s="1065">
        <v>3</v>
      </c>
      <c r="O194" s="1065">
        <v>1.75</v>
      </c>
      <c r="P194" s="1081"/>
      <c r="Q194" s="1064"/>
      <c r="R194" s="1064"/>
      <c r="S194" s="1065">
        <v>4</v>
      </c>
      <c r="T194" s="1065"/>
      <c r="U194" s="1081"/>
      <c r="V194" s="1064"/>
      <c r="W194" s="1064"/>
      <c r="X194" s="1065">
        <v>4</v>
      </c>
      <c r="Y194" s="1065"/>
      <c r="Z194" s="1067">
        <v>19</v>
      </c>
      <c r="AA194" s="1082">
        <v>1.75</v>
      </c>
      <c r="AB194" s="1070"/>
      <c r="AC194" s="1064"/>
      <c r="AD194" s="1064"/>
      <c r="AE194" s="1065">
        <v>3</v>
      </c>
      <c r="AF194" s="1070"/>
      <c r="AG194" s="1064"/>
      <c r="AH194" s="1064"/>
      <c r="AI194" s="1065">
        <v>4.25</v>
      </c>
      <c r="AJ194" s="1067">
        <v>7.25</v>
      </c>
      <c r="AK194" s="941"/>
      <c r="AL194" s="943"/>
      <c r="AM194" s="940"/>
      <c r="AN194" s="1021"/>
      <c r="AO194" s="954"/>
      <c r="AP194" s="954"/>
      <c r="AQ194" s="954"/>
      <c r="AR194" s="954"/>
      <c r="AS194" s="954"/>
    </row>
    <row r="195" spans="1:45" ht="13.5" customHeight="1">
      <c r="A195" s="1026" t="s">
        <v>66</v>
      </c>
      <c r="B195" s="1027"/>
      <c r="C195" s="1027"/>
      <c r="D195" s="1026"/>
      <c r="E195" s="1024"/>
      <c r="F195" s="1026"/>
      <c r="G195" s="1026"/>
      <c r="H195" s="1026"/>
      <c r="I195" s="1026"/>
      <c r="J195" s="1024"/>
      <c r="K195" s="1026"/>
      <c r="L195" s="1026"/>
      <c r="M195" s="1026"/>
      <c r="N195" s="1026"/>
      <c r="O195" s="1024"/>
      <c r="P195" s="1026"/>
      <c r="Q195" s="1026"/>
      <c r="R195" s="1026"/>
      <c r="S195" s="1026"/>
      <c r="T195" s="1024"/>
      <c r="U195" s="1026"/>
      <c r="V195" s="1026"/>
      <c r="W195" s="1026"/>
      <c r="X195" s="1026"/>
      <c r="Y195" s="1024"/>
      <c r="Z195" s="1028">
        <v>19</v>
      </c>
      <c r="AA195" s="1028">
        <v>1.75</v>
      </c>
      <c r="AB195" s="941"/>
      <c r="AC195" s="940"/>
      <c r="AD195" s="940"/>
      <c r="AE195" s="940"/>
      <c r="AF195" s="941"/>
      <c r="AG195" s="940"/>
      <c r="AH195" s="940"/>
      <c r="AI195" s="940"/>
      <c r="AJ195" s="1028">
        <v>7.25</v>
      </c>
      <c r="AK195" s="941"/>
      <c r="AL195" s="943"/>
      <c r="AM195" s="940"/>
      <c r="AN195" s="1021"/>
      <c r="AO195" s="954"/>
      <c r="AP195" s="954"/>
      <c r="AQ195" s="954"/>
      <c r="AR195" s="954"/>
      <c r="AS195" s="954"/>
    </row>
    <row r="196" spans="1:45" ht="13.5" customHeight="1">
      <c r="A196" s="1029" t="s">
        <v>67</v>
      </c>
      <c r="B196" s="1030">
        <v>84</v>
      </c>
      <c r="C196" s="1030"/>
      <c r="D196" s="1031"/>
      <c r="E196" s="1031"/>
      <c r="F196" s="1030"/>
      <c r="G196" s="1031"/>
      <c r="H196" s="1031"/>
      <c r="I196" s="1031"/>
      <c r="J196" s="1031"/>
      <c r="K196" s="1030"/>
      <c r="L196" s="1030"/>
      <c r="M196" s="1030"/>
      <c r="N196" s="1030"/>
      <c r="O196" s="1031"/>
      <c r="P196" s="1030"/>
      <c r="Q196" s="1030"/>
      <c r="R196" s="1030"/>
      <c r="S196" s="1030"/>
      <c r="T196" s="1031"/>
      <c r="U196" s="1030"/>
      <c r="V196" s="1030"/>
      <c r="W196" s="1030"/>
      <c r="X196" s="1032"/>
      <c r="Y196" s="1031"/>
      <c r="Z196" s="1033"/>
      <c r="AA196" s="1031"/>
      <c r="AB196" s="1033"/>
      <c r="AC196" s="1033"/>
      <c r="AD196" s="1033"/>
      <c r="AE196" s="1033"/>
      <c r="AF196" s="1033"/>
      <c r="AG196" s="1033"/>
      <c r="AH196" s="1033"/>
      <c r="AI196" s="1033"/>
      <c r="AJ196" s="1033"/>
      <c r="AK196" s="941"/>
      <c r="AL196" s="943"/>
      <c r="AM196" s="940"/>
      <c r="AN196" s="1021"/>
      <c r="AO196" s="954"/>
      <c r="AP196" s="954"/>
      <c r="AQ196" s="954"/>
      <c r="AR196" s="954"/>
      <c r="AS196" s="954"/>
    </row>
    <row r="197" spans="1:45" ht="13.5" customHeight="1">
      <c r="A197" s="940"/>
      <c r="B197" s="940"/>
      <c r="C197" s="940"/>
      <c r="D197" s="941"/>
      <c r="E197" s="942"/>
      <c r="F197" s="941"/>
      <c r="G197" s="940"/>
      <c r="H197" s="940"/>
      <c r="I197" s="941"/>
      <c r="J197" s="942"/>
      <c r="K197" s="941"/>
      <c r="L197" s="940"/>
      <c r="M197" s="940"/>
      <c r="N197" s="941"/>
      <c r="O197" s="942"/>
      <c r="P197" s="941"/>
      <c r="Q197" s="940"/>
      <c r="R197" s="940"/>
      <c r="S197" s="941"/>
      <c r="T197" s="942"/>
      <c r="U197" s="941"/>
      <c r="V197" s="940"/>
      <c r="W197" s="940"/>
      <c r="X197" s="941"/>
      <c r="Y197" s="942"/>
      <c r="Z197" s="941"/>
      <c r="AA197" s="941"/>
      <c r="AB197" s="941"/>
      <c r="AC197" s="940"/>
      <c r="AD197" s="940"/>
      <c r="AE197" s="940"/>
      <c r="AF197" s="941"/>
      <c r="AG197" s="940"/>
      <c r="AH197" s="940"/>
      <c r="AI197" s="940"/>
      <c r="AJ197" s="940"/>
      <c r="AK197" s="941"/>
      <c r="AL197" s="943"/>
      <c r="AM197" s="940"/>
      <c r="AN197" s="954"/>
      <c r="AO197" s="954"/>
      <c r="AP197" s="954"/>
      <c r="AQ197" s="954"/>
      <c r="AR197" s="954"/>
      <c r="AS197" s="954"/>
    </row>
    <row r="198" spans="1:45" ht="13.5" customHeight="1">
      <c r="A198" s="974"/>
      <c r="B198" s="975"/>
      <c r="C198" s="975"/>
      <c r="D198" s="976"/>
      <c r="E198" s="976"/>
      <c r="F198" s="975"/>
      <c r="G198" s="976"/>
      <c r="H198" s="976"/>
      <c r="I198" s="976"/>
      <c r="J198" s="976"/>
      <c r="K198" s="975"/>
      <c r="L198" s="975"/>
      <c r="M198" s="975"/>
      <c r="N198" s="975"/>
      <c r="O198" s="976"/>
      <c r="P198" s="975"/>
      <c r="Q198" s="975"/>
      <c r="R198" s="975"/>
      <c r="S198" s="975"/>
      <c r="T198" s="976"/>
      <c r="U198" s="975"/>
      <c r="V198" s="975"/>
      <c r="W198" s="975"/>
      <c r="X198" s="977"/>
      <c r="Y198" s="976"/>
      <c r="Z198" s="978"/>
      <c r="AA198" s="976"/>
      <c r="AB198" s="979"/>
      <c r="AC198" s="980"/>
      <c r="AD198" s="943"/>
      <c r="AE198" s="943"/>
      <c r="AF198" s="979"/>
      <c r="AG198" s="980"/>
      <c r="AH198" s="943"/>
      <c r="AI198" s="943"/>
      <c r="AJ198" s="943"/>
      <c r="AK198" s="943"/>
      <c r="AL198" s="943"/>
      <c r="AM198" s="943"/>
      <c r="AN198" s="943"/>
      <c r="AO198" s="943"/>
      <c r="AP198" s="943"/>
      <c r="AQ198" s="943"/>
      <c r="AR198" s="943"/>
      <c r="AS198" s="943"/>
    </row>
    <row r="199" spans="1:45" ht="13.5" customHeight="1">
      <c r="A199" s="940"/>
      <c r="B199" s="940"/>
      <c r="C199" s="940"/>
      <c r="D199" s="941"/>
      <c r="E199" s="942"/>
      <c r="F199" s="941"/>
      <c r="G199" s="940"/>
      <c r="H199" s="940"/>
      <c r="I199" s="941"/>
      <c r="J199" s="942"/>
      <c r="K199" s="941"/>
      <c r="L199" s="940"/>
      <c r="M199" s="940"/>
      <c r="N199" s="941"/>
      <c r="O199" s="942"/>
      <c r="P199" s="941"/>
      <c r="Q199" s="940"/>
      <c r="R199" s="940"/>
      <c r="S199" s="941"/>
      <c r="T199" s="942"/>
      <c r="U199" s="941"/>
      <c r="V199" s="940"/>
      <c r="W199" s="940"/>
      <c r="X199" s="941"/>
      <c r="Y199" s="942"/>
      <c r="Z199" s="941"/>
      <c r="AA199" s="941"/>
      <c r="AB199" s="941"/>
      <c r="AC199" s="940"/>
      <c r="AD199" s="940"/>
      <c r="AE199" s="940"/>
      <c r="AF199" s="941"/>
      <c r="AG199" s="940"/>
      <c r="AH199" s="940"/>
      <c r="AI199" s="940"/>
      <c r="AJ199" s="940"/>
      <c r="AK199" s="941"/>
      <c r="AL199" s="943"/>
      <c r="AM199" s="940"/>
      <c r="AN199" s="954"/>
      <c r="AO199" s="954"/>
      <c r="AP199" s="954"/>
      <c r="AQ199" s="954"/>
      <c r="AR199" s="954"/>
      <c r="AS199" s="954"/>
    </row>
    <row r="200" spans="1:45" ht="13.5" customHeight="1">
      <c r="A200" s="1592" t="s">
        <v>18</v>
      </c>
      <c r="B200" s="1590">
        <v>45880</v>
      </c>
      <c r="C200" s="1590"/>
      <c r="D200" s="1590" t="s">
        <v>564</v>
      </c>
      <c r="E200" s="1590"/>
      <c r="F200" s="1085"/>
      <c r="G200" s="1590">
        <v>45881</v>
      </c>
      <c r="H200" s="1590"/>
      <c r="I200" s="1590" t="s">
        <v>565</v>
      </c>
      <c r="J200" s="1590"/>
      <c r="K200" s="1085"/>
      <c r="L200" s="1590">
        <v>45882</v>
      </c>
      <c r="M200" s="1590"/>
      <c r="N200" s="1590" t="s">
        <v>566</v>
      </c>
      <c r="O200" s="1590"/>
      <c r="P200" s="1085"/>
      <c r="Q200" s="1590">
        <v>45883</v>
      </c>
      <c r="R200" s="1590"/>
      <c r="S200" s="1590" t="s">
        <v>567</v>
      </c>
      <c r="T200" s="1590"/>
      <c r="U200" s="1085"/>
      <c r="V200" s="1590">
        <v>45884</v>
      </c>
      <c r="W200" s="1590"/>
      <c r="X200" s="1590" t="s">
        <v>568</v>
      </c>
      <c r="Y200" s="1590"/>
      <c r="Z200" s="1587" t="s">
        <v>19</v>
      </c>
      <c r="AA200" s="1587" t="s">
        <v>20</v>
      </c>
      <c r="AB200" s="1037"/>
      <c r="AC200" s="1590">
        <v>45885</v>
      </c>
      <c r="AD200" s="1590"/>
      <c r="AE200" s="1086" t="s">
        <v>569</v>
      </c>
      <c r="AF200" s="1037"/>
      <c r="AG200" s="1590">
        <v>45886</v>
      </c>
      <c r="AH200" s="1590"/>
      <c r="AI200" s="1087" t="s">
        <v>570</v>
      </c>
      <c r="AJ200" s="1587" t="s">
        <v>1420</v>
      </c>
      <c r="AK200" s="941"/>
      <c r="AL200" s="984"/>
      <c r="AM200" s="940"/>
      <c r="AN200" s="985" t="s">
        <v>84</v>
      </c>
      <c r="AO200" s="986"/>
      <c r="AP200" s="986"/>
      <c r="AQ200" s="986"/>
      <c r="AR200" s="986"/>
      <c r="AS200" s="986"/>
    </row>
    <row r="201" spans="1:45" ht="13.5" customHeight="1">
      <c r="A201" s="1592"/>
      <c r="B201" s="1088" t="s">
        <v>23</v>
      </c>
      <c r="C201" s="1088" t="s">
        <v>24</v>
      </c>
      <c r="D201" s="1047" t="s">
        <v>25</v>
      </c>
      <c r="E201" s="1089" t="s">
        <v>14</v>
      </c>
      <c r="F201" s="1037"/>
      <c r="G201" s="1088" t="s">
        <v>23</v>
      </c>
      <c r="H201" s="1088" t="s">
        <v>24</v>
      </c>
      <c r="I201" s="1089" t="s">
        <v>25</v>
      </c>
      <c r="J201" s="1089" t="s">
        <v>14</v>
      </c>
      <c r="K201" s="1037"/>
      <c r="L201" s="1088" t="s">
        <v>23</v>
      </c>
      <c r="M201" s="1088" t="s">
        <v>24</v>
      </c>
      <c r="N201" s="1089" t="s">
        <v>25</v>
      </c>
      <c r="O201" s="1089" t="s">
        <v>14</v>
      </c>
      <c r="P201" s="1037"/>
      <c r="Q201" s="1088" t="s">
        <v>23</v>
      </c>
      <c r="R201" s="1088" t="s">
        <v>24</v>
      </c>
      <c r="S201" s="1089" t="s">
        <v>25</v>
      </c>
      <c r="T201" s="1089" t="s">
        <v>14</v>
      </c>
      <c r="U201" s="1037"/>
      <c r="V201" s="1088" t="s">
        <v>23</v>
      </c>
      <c r="W201" s="1088" t="s">
        <v>24</v>
      </c>
      <c r="X201" s="1089" t="s">
        <v>25</v>
      </c>
      <c r="Y201" s="1089" t="s">
        <v>14</v>
      </c>
      <c r="Z201" s="1587"/>
      <c r="AA201" s="1587"/>
      <c r="AB201" s="1037"/>
      <c r="AC201" s="1088" t="s">
        <v>23</v>
      </c>
      <c r="AD201" s="1088" t="s">
        <v>24</v>
      </c>
      <c r="AE201" s="1089" t="s">
        <v>25</v>
      </c>
      <c r="AF201" s="1037"/>
      <c r="AG201" s="1088" t="s">
        <v>23</v>
      </c>
      <c r="AH201" s="1088" t="s">
        <v>24</v>
      </c>
      <c r="AI201" s="1089" t="s">
        <v>25</v>
      </c>
      <c r="AJ201" s="1587"/>
      <c r="AK201" s="941"/>
      <c r="AL201" s="984"/>
      <c r="AM201" s="991"/>
      <c r="AN201" s="992" t="s">
        <v>26</v>
      </c>
      <c r="AO201" s="993">
        <v>577</v>
      </c>
      <c r="AP201" s="994">
        <v>40.31</v>
      </c>
      <c r="AQ201" s="994">
        <f>AP201*AO201</f>
        <v>23258.870000000003</v>
      </c>
      <c r="AR201" s="954"/>
      <c r="AS201" s="954"/>
    </row>
    <row r="202" spans="1:45" ht="13.5" customHeight="1">
      <c r="A202" s="1006" t="s">
        <v>72</v>
      </c>
      <c r="B202" s="1034">
        <v>0.29166666666666669</v>
      </c>
      <c r="C202" s="1034">
        <v>0.125</v>
      </c>
      <c r="D202" s="1035">
        <v>8</v>
      </c>
      <c r="E202" s="1036"/>
      <c r="F202" s="1037"/>
      <c r="G202" s="1034">
        <v>0.29166666666666669</v>
      </c>
      <c r="H202" s="1034">
        <v>0.125</v>
      </c>
      <c r="I202" s="1035">
        <v>8</v>
      </c>
      <c r="J202" s="1036"/>
      <c r="K202" s="1037"/>
      <c r="L202" s="1034">
        <v>0.29166666666666669</v>
      </c>
      <c r="M202" s="1034">
        <v>0.125</v>
      </c>
      <c r="N202" s="1035">
        <v>8</v>
      </c>
      <c r="O202" s="1036"/>
      <c r="P202" s="1037"/>
      <c r="Q202" s="1034">
        <v>0.29166666666666669</v>
      </c>
      <c r="R202" s="1034">
        <v>0.125</v>
      </c>
      <c r="S202" s="1035">
        <v>8</v>
      </c>
      <c r="T202" s="1036"/>
      <c r="U202" s="1037"/>
      <c r="V202" s="1034">
        <v>0.29166666666666669</v>
      </c>
      <c r="W202" s="1034">
        <v>0.125</v>
      </c>
      <c r="X202" s="1035">
        <v>8</v>
      </c>
      <c r="Y202" s="1036"/>
      <c r="Z202" s="1038">
        <v>40</v>
      </c>
      <c r="AA202" s="1039">
        <v>0</v>
      </c>
      <c r="AB202" s="1037"/>
      <c r="AC202" s="1040"/>
      <c r="AD202" s="1040"/>
      <c r="AE202" s="1035"/>
      <c r="AF202" s="1037"/>
      <c r="AG202" s="1040"/>
      <c r="AH202" s="1040"/>
      <c r="AI202" s="1035"/>
      <c r="AJ202" s="1038">
        <v>0</v>
      </c>
      <c r="AK202" s="941"/>
      <c r="AL202" s="984"/>
      <c r="AM202" s="991"/>
      <c r="AN202" s="992" t="s">
        <v>1421</v>
      </c>
      <c r="AO202" s="1005">
        <v>160</v>
      </c>
      <c r="AP202" s="1007">
        <v>60.47</v>
      </c>
      <c r="AQ202" s="994">
        <f>AP202*AO202</f>
        <v>9675.2000000000007</v>
      </c>
      <c r="AR202" s="954"/>
      <c r="AS202" s="954"/>
    </row>
    <row r="203" spans="1:45" ht="13.5" customHeight="1">
      <c r="A203" s="1009" t="s">
        <v>1430</v>
      </c>
      <c r="B203" s="1034">
        <v>0.29166666666666669</v>
      </c>
      <c r="C203" s="1034">
        <v>0.125</v>
      </c>
      <c r="D203" s="1035">
        <v>8</v>
      </c>
      <c r="E203" s="1036"/>
      <c r="F203" s="1037"/>
      <c r="G203" s="1034">
        <v>0.29166666666666669</v>
      </c>
      <c r="H203" s="1034">
        <v>0.125</v>
      </c>
      <c r="I203" s="1035">
        <v>8</v>
      </c>
      <c r="J203" s="1036"/>
      <c r="K203" s="1037"/>
      <c r="L203" s="1034">
        <v>0.29166666666666669</v>
      </c>
      <c r="M203" s="1034">
        <v>0.125</v>
      </c>
      <c r="N203" s="1035">
        <v>8</v>
      </c>
      <c r="O203" s="1036"/>
      <c r="P203" s="1037"/>
      <c r="Q203" s="1034">
        <v>0.29166666666666669</v>
      </c>
      <c r="R203" s="1034">
        <v>0.125</v>
      </c>
      <c r="S203" s="1035">
        <v>8</v>
      </c>
      <c r="T203" s="1036"/>
      <c r="U203" s="1037"/>
      <c r="V203" s="1034">
        <v>0.29166666666666669</v>
      </c>
      <c r="W203" s="1034">
        <v>0.125</v>
      </c>
      <c r="X203" s="1035">
        <v>8</v>
      </c>
      <c r="Y203" s="1036"/>
      <c r="Z203" s="1038">
        <v>40</v>
      </c>
      <c r="AA203" s="1039">
        <v>0</v>
      </c>
      <c r="AB203" s="1037"/>
      <c r="AC203" s="1034"/>
      <c r="AD203" s="1034"/>
      <c r="AE203" s="1035"/>
      <c r="AF203" s="1037"/>
      <c r="AG203" s="1034"/>
      <c r="AH203" s="1034"/>
      <c r="AI203" s="1035"/>
      <c r="AJ203" s="1038">
        <v>0</v>
      </c>
      <c r="AK203" s="941"/>
      <c r="AL203" s="943"/>
      <c r="AM203" s="940"/>
      <c r="AN203" s="992" t="s">
        <v>30</v>
      </c>
      <c r="AO203" s="1005">
        <v>0.5</v>
      </c>
      <c r="AP203" s="1007">
        <v>60.465000000000003</v>
      </c>
      <c r="AQ203" s="994">
        <f t="shared" ref="AQ203" si="5">AP203*AO203</f>
        <v>30.232500000000002</v>
      </c>
      <c r="AR203" s="954"/>
      <c r="AS203" s="954"/>
    </row>
    <row r="204" spans="1:45" ht="13.5" customHeight="1">
      <c r="A204" s="1009" t="s">
        <v>1166</v>
      </c>
      <c r="B204" s="1034">
        <v>0.29166666666666669</v>
      </c>
      <c r="C204" s="1034">
        <v>0.125</v>
      </c>
      <c r="D204" s="1035">
        <v>8</v>
      </c>
      <c r="E204" s="1036"/>
      <c r="F204" s="1037"/>
      <c r="G204" s="1034">
        <v>0.29166666666666669</v>
      </c>
      <c r="H204" s="1034"/>
      <c r="I204" s="1035">
        <v>8</v>
      </c>
      <c r="J204" s="1036"/>
      <c r="K204" s="1037"/>
      <c r="L204" s="1034">
        <v>0.29166666666666669</v>
      </c>
      <c r="M204" s="1034"/>
      <c r="N204" s="1035">
        <v>8</v>
      </c>
      <c r="O204" s="1036"/>
      <c r="P204" s="1037"/>
      <c r="Q204" s="1034">
        <v>0.29166666666666669</v>
      </c>
      <c r="R204" s="1034">
        <v>0.125</v>
      </c>
      <c r="S204" s="1035">
        <v>8</v>
      </c>
      <c r="T204" s="1036"/>
      <c r="U204" s="1037"/>
      <c r="V204" s="1034">
        <v>0.29166666666666669</v>
      </c>
      <c r="W204" s="1034">
        <v>0.125</v>
      </c>
      <c r="X204" s="1035">
        <v>8</v>
      </c>
      <c r="Y204" s="1036"/>
      <c r="Z204" s="1038">
        <v>40</v>
      </c>
      <c r="AA204" s="1039">
        <v>0</v>
      </c>
      <c r="AB204" s="1037"/>
      <c r="AC204" s="1034"/>
      <c r="AD204" s="1034"/>
      <c r="AE204" s="1035"/>
      <c r="AF204" s="1037"/>
      <c r="AG204" s="1034">
        <v>0.52083333333333337</v>
      </c>
      <c r="AH204" s="1034"/>
      <c r="AI204" s="1035">
        <v>6</v>
      </c>
      <c r="AJ204" s="1038">
        <v>6</v>
      </c>
      <c r="AK204" s="941"/>
      <c r="AL204" s="943"/>
      <c r="AM204" s="940"/>
      <c r="AN204" s="992" t="s">
        <v>1422</v>
      </c>
      <c r="AO204" s="1090">
        <v>0</v>
      </c>
      <c r="AP204" s="1007">
        <v>90.704999999999998</v>
      </c>
      <c r="AQ204" s="994">
        <f>AP204*AO204</f>
        <v>0</v>
      </c>
      <c r="AR204" s="1008"/>
      <c r="AS204" s="1008"/>
    </row>
    <row r="205" spans="1:45" ht="13.5" customHeight="1">
      <c r="A205" s="1009" t="s">
        <v>1425</v>
      </c>
      <c r="B205" s="1034">
        <v>0.29166666666666669</v>
      </c>
      <c r="C205" s="1034">
        <v>0.125</v>
      </c>
      <c r="D205" s="1035">
        <v>8</v>
      </c>
      <c r="E205" s="1036"/>
      <c r="F205" s="1037"/>
      <c r="G205" s="1034">
        <v>0.29166666666666669</v>
      </c>
      <c r="H205" s="1034">
        <v>0.125</v>
      </c>
      <c r="I205" s="1035">
        <v>8</v>
      </c>
      <c r="J205" s="1036"/>
      <c r="K205" s="1037"/>
      <c r="L205" s="1034">
        <v>0.29166666666666669</v>
      </c>
      <c r="M205" s="1034">
        <v>0.125</v>
      </c>
      <c r="N205" s="1035">
        <v>8</v>
      </c>
      <c r="O205" s="1036"/>
      <c r="P205" s="1037"/>
      <c r="Q205" s="1034">
        <v>0.29166666666666669</v>
      </c>
      <c r="R205" s="1034">
        <v>0.125</v>
      </c>
      <c r="S205" s="1035">
        <v>8</v>
      </c>
      <c r="T205" s="1036"/>
      <c r="U205" s="1037"/>
      <c r="V205" s="1034"/>
      <c r="W205" s="1034"/>
      <c r="X205" s="1035">
        <v>0</v>
      </c>
      <c r="Y205" s="1036"/>
      <c r="Z205" s="1038">
        <v>32</v>
      </c>
      <c r="AA205" s="1039">
        <v>0</v>
      </c>
      <c r="AB205" s="1037"/>
      <c r="AC205" s="1034"/>
      <c r="AD205" s="1034"/>
      <c r="AE205" s="1035"/>
      <c r="AF205" s="1037"/>
      <c r="AG205" s="1034"/>
      <c r="AH205" s="1034"/>
      <c r="AI205" s="1035"/>
      <c r="AJ205" s="1038">
        <v>0</v>
      </c>
      <c r="AK205" s="941"/>
      <c r="AL205" s="943"/>
      <c r="AM205" s="940"/>
      <c r="AN205" s="992" t="s">
        <v>32</v>
      </c>
      <c r="AO205" s="1005">
        <v>27</v>
      </c>
      <c r="AP205" s="994">
        <v>60.465000000000003</v>
      </c>
      <c r="AQ205" s="994">
        <f>AP205*AO205</f>
        <v>1632.5550000000001</v>
      </c>
      <c r="AR205" s="954"/>
      <c r="AS205" s="954"/>
    </row>
    <row r="206" spans="1:45" ht="13.5" customHeight="1">
      <c r="A206" s="1009" t="s">
        <v>1426</v>
      </c>
      <c r="B206" s="1034">
        <v>0.29166666666666669</v>
      </c>
      <c r="C206" s="1034">
        <v>0.125</v>
      </c>
      <c r="D206" s="1035">
        <v>8</v>
      </c>
      <c r="E206" s="1036"/>
      <c r="F206" s="1037"/>
      <c r="G206" s="1034">
        <v>0.29166666666666669</v>
      </c>
      <c r="H206" s="1034">
        <v>0.125</v>
      </c>
      <c r="I206" s="1035">
        <v>8</v>
      </c>
      <c r="J206" s="1036"/>
      <c r="K206" s="1037"/>
      <c r="L206" s="1034">
        <v>0.29166666666666669</v>
      </c>
      <c r="M206" s="1034">
        <v>0.125</v>
      </c>
      <c r="N206" s="1035">
        <v>8</v>
      </c>
      <c r="O206" s="1036"/>
      <c r="P206" s="1037"/>
      <c r="Q206" s="1034">
        <v>0.29166666666666669</v>
      </c>
      <c r="R206" s="1034">
        <v>0.13541666666666666</v>
      </c>
      <c r="S206" s="1035">
        <v>8</v>
      </c>
      <c r="T206" s="1036">
        <v>0.25</v>
      </c>
      <c r="U206" s="1037"/>
      <c r="V206" s="1034">
        <v>0.29166666666666669</v>
      </c>
      <c r="W206" s="1034">
        <v>0.125</v>
      </c>
      <c r="X206" s="1035">
        <v>8</v>
      </c>
      <c r="Y206" s="1036"/>
      <c r="Z206" s="1038">
        <v>40</v>
      </c>
      <c r="AA206" s="1039">
        <v>0.25</v>
      </c>
      <c r="AB206" s="1037"/>
      <c r="AC206" s="1034"/>
      <c r="AD206" s="1034"/>
      <c r="AE206" s="1035"/>
      <c r="AF206" s="1037"/>
      <c r="AG206" s="1034"/>
      <c r="AH206" s="1034"/>
      <c r="AI206" s="1035"/>
      <c r="AJ206" s="1038">
        <v>0</v>
      </c>
      <c r="AK206" s="941"/>
      <c r="AL206" s="943"/>
      <c r="AM206" s="940"/>
      <c r="AN206" s="1010" t="s">
        <v>213</v>
      </c>
      <c r="AO206" s="993">
        <v>20</v>
      </c>
      <c r="AP206" s="994">
        <v>53.05</v>
      </c>
      <c r="AQ206" s="994">
        <f>AP206*AO206</f>
        <v>1061</v>
      </c>
      <c r="AR206" s="954"/>
      <c r="AS206" s="954"/>
    </row>
    <row r="207" spans="1:45" ht="13.5" customHeight="1">
      <c r="A207" s="1009" t="s">
        <v>1066</v>
      </c>
      <c r="B207" s="1034">
        <v>0.29166666666666669</v>
      </c>
      <c r="C207" s="1034">
        <v>0.125</v>
      </c>
      <c r="D207" s="1035">
        <v>8</v>
      </c>
      <c r="E207" s="1036"/>
      <c r="F207" s="1037"/>
      <c r="G207" s="1034">
        <v>0.29166666666666669</v>
      </c>
      <c r="H207" s="1034">
        <v>0.125</v>
      </c>
      <c r="I207" s="1035">
        <v>8</v>
      </c>
      <c r="J207" s="1036"/>
      <c r="K207" s="1037"/>
      <c r="L207" s="1034">
        <v>0.29166666666666669</v>
      </c>
      <c r="M207" s="1034">
        <v>0.125</v>
      </c>
      <c r="N207" s="1035">
        <v>8</v>
      </c>
      <c r="O207" s="1036"/>
      <c r="P207" s="1037"/>
      <c r="Q207" s="1034">
        <v>0.29166666666666669</v>
      </c>
      <c r="R207" s="1034">
        <v>0.125</v>
      </c>
      <c r="S207" s="1035">
        <v>8</v>
      </c>
      <c r="T207" s="1036"/>
      <c r="U207" s="1037"/>
      <c r="V207" s="1034">
        <v>0.29166666666666669</v>
      </c>
      <c r="W207" s="1034">
        <v>0.125</v>
      </c>
      <c r="X207" s="1035">
        <v>8</v>
      </c>
      <c r="Y207" s="1036"/>
      <c r="Z207" s="1038">
        <v>40</v>
      </c>
      <c r="AA207" s="1039">
        <v>0</v>
      </c>
      <c r="AB207" s="1037"/>
      <c r="AC207" s="1034"/>
      <c r="AD207" s="1034"/>
      <c r="AE207" s="1035"/>
      <c r="AF207" s="1037"/>
      <c r="AG207" s="1034"/>
      <c r="AH207" s="1034"/>
      <c r="AI207" s="1035"/>
      <c r="AJ207" s="1038">
        <v>0</v>
      </c>
      <c r="AK207" s="941"/>
      <c r="AL207" s="943"/>
      <c r="AM207" s="940"/>
      <c r="AN207" s="992" t="s">
        <v>36</v>
      </c>
      <c r="AO207" s="1005">
        <v>0</v>
      </c>
      <c r="AP207" s="994">
        <v>79.574999999999989</v>
      </c>
      <c r="AQ207" s="994">
        <f>AP207*AO207</f>
        <v>0</v>
      </c>
      <c r="AR207" s="954"/>
      <c r="AS207" s="954"/>
    </row>
    <row r="208" spans="1:45" ht="13.5" customHeight="1">
      <c r="A208" s="1009" t="s">
        <v>1427</v>
      </c>
      <c r="B208" s="1034">
        <v>0.29166666666666669</v>
      </c>
      <c r="C208" s="1034">
        <v>0.125</v>
      </c>
      <c r="D208" s="1035">
        <v>8</v>
      </c>
      <c r="E208" s="1036"/>
      <c r="F208" s="1037"/>
      <c r="G208" s="1034">
        <v>0.29166666666666669</v>
      </c>
      <c r="H208" s="1034">
        <v>0.125</v>
      </c>
      <c r="I208" s="1035">
        <v>8</v>
      </c>
      <c r="J208" s="1036"/>
      <c r="K208" s="1037"/>
      <c r="L208" s="1034">
        <v>0.29166666666666669</v>
      </c>
      <c r="M208" s="1034"/>
      <c r="N208" s="1035">
        <v>8</v>
      </c>
      <c r="O208" s="1036"/>
      <c r="P208" s="1037"/>
      <c r="Q208" s="1034">
        <v>0.29166666666666669</v>
      </c>
      <c r="R208" s="1034">
        <v>0.13541666666666666</v>
      </c>
      <c r="S208" s="1035">
        <v>8</v>
      </c>
      <c r="T208" s="1036">
        <v>0.25</v>
      </c>
      <c r="U208" s="1037"/>
      <c r="V208" s="1034">
        <v>0.29166666666666669</v>
      </c>
      <c r="W208" s="1034">
        <v>0.125</v>
      </c>
      <c r="X208" s="1035">
        <v>8</v>
      </c>
      <c r="Y208" s="1036"/>
      <c r="Z208" s="1038">
        <v>40</v>
      </c>
      <c r="AA208" s="1039">
        <v>0.25</v>
      </c>
      <c r="AB208" s="1037"/>
      <c r="AC208" s="1034"/>
      <c r="AD208" s="1034"/>
      <c r="AE208" s="1035"/>
      <c r="AF208" s="1037"/>
      <c r="AG208" s="1034"/>
      <c r="AH208" s="1034"/>
      <c r="AI208" s="1035"/>
      <c r="AJ208" s="1038">
        <v>0</v>
      </c>
      <c r="AK208" s="941"/>
      <c r="AL208" s="943"/>
      <c r="AM208" s="940"/>
      <c r="AN208" s="992" t="s">
        <v>38</v>
      </c>
      <c r="AO208" s="1005">
        <v>7.5</v>
      </c>
      <c r="AP208" s="994">
        <v>79.574999999999989</v>
      </c>
      <c r="AQ208" s="994">
        <f>AP208*AO208</f>
        <v>596.81249999999989</v>
      </c>
      <c r="AR208" s="954"/>
      <c r="AS208" s="954"/>
    </row>
    <row r="209" spans="1:45" ht="13.5" customHeight="1">
      <c r="A209" s="1009" t="s">
        <v>1428</v>
      </c>
      <c r="B209" s="1034">
        <v>0.125</v>
      </c>
      <c r="C209" s="1034">
        <v>0.45833333333333331</v>
      </c>
      <c r="D209" s="1035">
        <v>8</v>
      </c>
      <c r="E209" s="1036"/>
      <c r="F209" s="1037"/>
      <c r="G209" s="1034">
        <v>0.125</v>
      </c>
      <c r="H209" s="1034">
        <v>0.45833333333333331</v>
      </c>
      <c r="I209" s="1035">
        <v>8</v>
      </c>
      <c r="J209" s="1036"/>
      <c r="K209" s="1037"/>
      <c r="L209" s="1034">
        <v>0.125</v>
      </c>
      <c r="M209" s="1034">
        <v>0.45833333333333331</v>
      </c>
      <c r="N209" s="1035">
        <v>8</v>
      </c>
      <c r="O209" s="1036"/>
      <c r="P209" s="1037"/>
      <c r="Q209" s="1034">
        <v>0.125</v>
      </c>
      <c r="R209" s="1034">
        <v>0.45833333333333331</v>
      </c>
      <c r="S209" s="1035">
        <v>8</v>
      </c>
      <c r="T209" s="1036"/>
      <c r="U209" s="1037"/>
      <c r="V209" s="1034">
        <v>0.125</v>
      </c>
      <c r="W209" s="1034">
        <v>0.45833333333333331</v>
      </c>
      <c r="X209" s="1035">
        <v>8</v>
      </c>
      <c r="Y209" s="1036"/>
      <c r="Z209" s="1038">
        <v>40</v>
      </c>
      <c r="AA209" s="1039">
        <v>0</v>
      </c>
      <c r="AB209" s="1037"/>
      <c r="AC209" s="1034"/>
      <c r="AD209" s="1034"/>
      <c r="AE209" s="1035"/>
      <c r="AF209" s="1037"/>
      <c r="AG209" s="1034"/>
      <c r="AH209" s="1034"/>
      <c r="AI209" s="1035"/>
      <c r="AJ209" s="1038">
        <v>0</v>
      </c>
      <c r="AK209" s="941"/>
      <c r="AL209" s="943"/>
      <c r="AM209" s="940"/>
      <c r="AN209" s="954"/>
      <c r="AO209" s="1005"/>
      <c r="AP209" s="954"/>
      <c r="AQ209" s="994">
        <v>36254.670000000006</v>
      </c>
      <c r="AR209" s="954"/>
      <c r="AS209" s="954"/>
    </row>
    <row r="210" spans="1:45" ht="13.5" customHeight="1">
      <c r="A210" s="1009" t="s">
        <v>1142</v>
      </c>
      <c r="B210" s="1034">
        <v>0.125</v>
      </c>
      <c r="C210" s="1034">
        <v>0.45833333333333331</v>
      </c>
      <c r="D210" s="1035">
        <v>8</v>
      </c>
      <c r="E210" s="1036"/>
      <c r="F210" s="1037"/>
      <c r="G210" s="1034">
        <v>0.125</v>
      </c>
      <c r="H210" s="1034">
        <v>0.45833333333333331</v>
      </c>
      <c r="I210" s="1035">
        <v>8</v>
      </c>
      <c r="J210" s="1036"/>
      <c r="K210" s="1042"/>
      <c r="L210" s="1034">
        <v>0.125</v>
      </c>
      <c r="M210" s="1034">
        <v>0.45833333333333331</v>
      </c>
      <c r="N210" s="1035">
        <v>8</v>
      </c>
      <c r="O210" s="1036"/>
      <c r="P210" s="1042"/>
      <c r="Q210" s="1034">
        <v>0.125</v>
      </c>
      <c r="R210" s="1034">
        <v>0.45833333333333331</v>
      </c>
      <c r="S210" s="1035">
        <v>8</v>
      </c>
      <c r="T210" s="1036"/>
      <c r="U210" s="1042"/>
      <c r="V210" s="1034">
        <v>0.125</v>
      </c>
      <c r="W210" s="1034">
        <v>0.45833333333333331</v>
      </c>
      <c r="X210" s="1035">
        <v>8</v>
      </c>
      <c r="Y210" s="1036"/>
      <c r="Z210" s="1038">
        <v>40</v>
      </c>
      <c r="AA210" s="1039">
        <v>0</v>
      </c>
      <c r="AB210" s="1037"/>
      <c r="AC210" s="1034"/>
      <c r="AD210" s="1034"/>
      <c r="AE210" s="1035"/>
      <c r="AF210" s="1037"/>
      <c r="AG210" s="1034"/>
      <c r="AH210" s="1034"/>
      <c r="AI210" s="1035"/>
      <c r="AJ210" s="1038">
        <v>0</v>
      </c>
      <c r="AK210" s="941"/>
      <c r="AL210" s="943"/>
      <c r="AM210" s="940"/>
      <c r="AN210" s="954"/>
      <c r="AO210" s="1005"/>
      <c r="AP210" s="954"/>
      <c r="AQ210" s="954"/>
      <c r="AR210" s="954"/>
      <c r="AS210" s="954"/>
    </row>
    <row r="211" spans="1:45" ht="13.5" customHeight="1">
      <c r="A211" s="1009" t="s">
        <v>1429</v>
      </c>
      <c r="B211" s="1034">
        <v>0.125</v>
      </c>
      <c r="C211" s="1034">
        <v>0.45833333333333331</v>
      </c>
      <c r="D211" s="1035">
        <v>8</v>
      </c>
      <c r="E211" s="1036"/>
      <c r="F211" s="1037"/>
      <c r="G211" s="1034">
        <v>0.125</v>
      </c>
      <c r="H211" s="1034">
        <v>0.45833333333333331</v>
      </c>
      <c r="I211" s="1035">
        <v>8</v>
      </c>
      <c r="J211" s="1036"/>
      <c r="K211" s="1042"/>
      <c r="L211" s="1034">
        <v>0.125</v>
      </c>
      <c r="M211" s="1034">
        <v>0.45833333333333331</v>
      </c>
      <c r="N211" s="1035">
        <v>8</v>
      </c>
      <c r="O211" s="1036"/>
      <c r="P211" s="1042"/>
      <c r="Q211" s="1034">
        <v>0.125</v>
      </c>
      <c r="R211" s="1034">
        <v>0.45833333333333331</v>
      </c>
      <c r="S211" s="1035">
        <v>8</v>
      </c>
      <c r="T211" s="1036"/>
      <c r="U211" s="1042"/>
      <c r="V211" s="1034">
        <v>0.125</v>
      </c>
      <c r="W211" s="1034">
        <v>0.45833333333333331</v>
      </c>
      <c r="X211" s="1035">
        <v>8</v>
      </c>
      <c r="Y211" s="1036"/>
      <c r="Z211" s="1038">
        <v>40</v>
      </c>
      <c r="AA211" s="1039">
        <v>0</v>
      </c>
      <c r="AB211" s="1037"/>
      <c r="AC211" s="1034"/>
      <c r="AD211" s="1034"/>
      <c r="AE211" s="1035"/>
      <c r="AF211" s="1037"/>
      <c r="AG211" s="1034"/>
      <c r="AH211" s="1034"/>
      <c r="AI211" s="1035"/>
      <c r="AJ211" s="1038">
        <v>0</v>
      </c>
      <c r="AK211" s="941"/>
      <c r="AL211" s="943"/>
      <c r="AM211" s="940"/>
      <c r="AN211" s="953" t="s">
        <v>1115</v>
      </c>
      <c r="AO211" s="1005">
        <v>93</v>
      </c>
      <c r="AP211" s="954"/>
      <c r="AQ211" s="954"/>
      <c r="AR211" s="954"/>
      <c r="AS211" s="954"/>
    </row>
    <row r="212" spans="1:45" ht="13.5" customHeight="1">
      <c r="A212" s="1011" t="s">
        <v>1060</v>
      </c>
      <c r="B212" s="1034">
        <v>0.125</v>
      </c>
      <c r="C212" s="1034">
        <v>0.45833333333333331</v>
      </c>
      <c r="D212" s="1035">
        <v>8</v>
      </c>
      <c r="E212" s="1036"/>
      <c r="F212" s="1037"/>
      <c r="G212" s="1034">
        <v>0.125</v>
      </c>
      <c r="H212" s="1034">
        <v>0.45833333333333331</v>
      </c>
      <c r="I212" s="1035">
        <v>8</v>
      </c>
      <c r="J212" s="1036"/>
      <c r="K212" s="1042"/>
      <c r="L212" s="1034">
        <v>0.125</v>
      </c>
      <c r="M212" s="1034">
        <v>0.45833333333333331</v>
      </c>
      <c r="N212" s="1035">
        <v>8</v>
      </c>
      <c r="O212" s="1036"/>
      <c r="P212" s="1042"/>
      <c r="Q212" s="1034">
        <v>0.125</v>
      </c>
      <c r="R212" s="1034">
        <v>0.45833333333333331</v>
      </c>
      <c r="S212" s="1035">
        <v>8</v>
      </c>
      <c r="T212" s="1036"/>
      <c r="U212" s="1042"/>
      <c r="V212" s="1034">
        <v>0.125</v>
      </c>
      <c r="W212" s="1034">
        <v>0.45833333333333331</v>
      </c>
      <c r="X212" s="1035">
        <v>8</v>
      </c>
      <c r="Y212" s="1036"/>
      <c r="Z212" s="1038">
        <v>40</v>
      </c>
      <c r="AA212" s="1039">
        <v>0</v>
      </c>
      <c r="AB212" s="1037"/>
      <c r="AC212" s="1034"/>
      <c r="AD212" s="1034"/>
      <c r="AE212" s="1035"/>
      <c r="AF212" s="1037"/>
      <c r="AG212" s="1034"/>
      <c r="AH212" s="1034"/>
      <c r="AI212" s="1035"/>
      <c r="AJ212" s="1038">
        <v>0</v>
      </c>
      <c r="AK212" s="941"/>
      <c r="AL212" s="943"/>
      <c r="AM212" s="940"/>
      <c r="AN212" s="954"/>
      <c r="AO212" s="954"/>
      <c r="AP212" s="954"/>
      <c r="AQ212" s="954"/>
      <c r="AR212" s="954"/>
      <c r="AS212" s="954"/>
    </row>
    <row r="213" spans="1:45" ht="13.5" customHeight="1">
      <c r="A213" s="941" t="s">
        <v>327</v>
      </c>
      <c r="B213" s="1034"/>
      <c r="C213" s="1034">
        <v>0.45833333333333331</v>
      </c>
      <c r="D213" s="1035">
        <v>8</v>
      </c>
      <c r="E213" s="1036"/>
      <c r="F213" s="1042"/>
      <c r="G213" s="1034">
        <v>0.125</v>
      </c>
      <c r="H213" s="1034">
        <v>0.45833333333333331</v>
      </c>
      <c r="I213" s="1035">
        <v>8</v>
      </c>
      <c r="J213" s="1036"/>
      <c r="K213" s="1042"/>
      <c r="L213" s="1034">
        <v>0.125</v>
      </c>
      <c r="M213" s="1034">
        <v>0.45833333333333331</v>
      </c>
      <c r="N213" s="1035">
        <v>8</v>
      </c>
      <c r="O213" s="1036"/>
      <c r="P213" s="1042"/>
      <c r="Q213" s="1034">
        <v>0.125</v>
      </c>
      <c r="R213" s="1034">
        <v>0.47916666666666669</v>
      </c>
      <c r="S213" s="1035">
        <v>8</v>
      </c>
      <c r="T213" s="1036"/>
      <c r="U213" s="1042"/>
      <c r="V213" s="1034">
        <v>0.125</v>
      </c>
      <c r="W213" s="1034">
        <v>0.46875</v>
      </c>
      <c r="X213" s="1035">
        <v>8</v>
      </c>
      <c r="Y213" s="1036"/>
      <c r="Z213" s="1038">
        <v>40</v>
      </c>
      <c r="AA213" s="1039">
        <v>0</v>
      </c>
      <c r="AB213" s="1037"/>
      <c r="AC213" s="1034"/>
      <c r="AD213" s="1034"/>
      <c r="AE213" s="1035"/>
      <c r="AF213" s="1037"/>
      <c r="AG213" s="1034"/>
      <c r="AH213" s="1034"/>
      <c r="AI213" s="1035"/>
      <c r="AJ213" s="1038">
        <v>0</v>
      </c>
      <c r="AK213" s="941"/>
      <c r="AL213" s="943"/>
      <c r="AM213" s="940"/>
      <c r="AN213" s="954"/>
      <c r="AO213" s="954"/>
      <c r="AP213" s="954"/>
      <c r="AQ213" s="954"/>
      <c r="AR213" s="954"/>
      <c r="AS213" s="954"/>
    </row>
    <row r="214" spans="1:45" ht="13.5" customHeight="1">
      <c r="A214" s="1006" t="s">
        <v>1144</v>
      </c>
      <c r="B214" s="1034">
        <v>0.125</v>
      </c>
      <c r="C214" s="1034">
        <v>0.45833333333333331</v>
      </c>
      <c r="D214" s="1035">
        <v>8</v>
      </c>
      <c r="E214" s="1036"/>
      <c r="F214" s="1042"/>
      <c r="G214" s="1034">
        <v>0.125</v>
      </c>
      <c r="H214" s="1034">
        <v>0.45833333333333331</v>
      </c>
      <c r="I214" s="1035">
        <v>8</v>
      </c>
      <c r="J214" s="1036"/>
      <c r="K214" s="1042"/>
      <c r="L214" s="1034">
        <v>0.125</v>
      </c>
      <c r="M214" s="1034">
        <v>0.45833333333333331</v>
      </c>
      <c r="N214" s="1035">
        <v>8</v>
      </c>
      <c r="O214" s="1036"/>
      <c r="P214" s="1042"/>
      <c r="Q214" s="1034">
        <v>0.125</v>
      </c>
      <c r="R214" s="1034">
        <v>0.45833333333333331</v>
      </c>
      <c r="S214" s="1035">
        <v>8</v>
      </c>
      <c r="T214" s="1036"/>
      <c r="U214" s="1042"/>
      <c r="V214" s="1034">
        <v>0.125</v>
      </c>
      <c r="W214" s="1034">
        <v>0.45833333333333331</v>
      </c>
      <c r="X214" s="1035">
        <v>8</v>
      </c>
      <c r="Y214" s="1036"/>
      <c r="Z214" s="1038">
        <v>40</v>
      </c>
      <c r="AA214" s="1039">
        <v>0</v>
      </c>
      <c r="AB214" s="1037"/>
      <c r="AC214" s="1034"/>
      <c r="AD214" s="1034"/>
      <c r="AE214" s="1035"/>
      <c r="AF214" s="1037"/>
      <c r="AG214" s="1034"/>
      <c r="AH214" s="1034"/>
      <c r="AI214" s="1035"/>
      <c r="AJ214" s="1038">
        <v>0</v>
      </c>
      <c r="AK214" s="941"/>
      <c r="AL214" s="943"/>
      <c r="AM214" s="940"/>
      <c r="AN214" s="954"/>
      <c r="AO214" s="954"/>
      <c r="AP214" s="954"/>
      <c r="AQ214" s="954"/>
      <c r="AR214" s="954"/>
      <c r="AS214" s="954"/>
    </row>
    <row r="215" spans="1:45" ht="13.5" customHeight="1">
      <c r="A215" s="1006" t="s">
        <v>1436</v>
      </c>
      <c r="B215" s="1034">
        <v>0.125</v>
      </c>
      <c r="C215" s="1034">
        <v>0.45833333333333331</v>
      </c>
      <c r="D215" s="1035">
        <v>8</v>
      </c>
      <c r="E215" s="1036"/>
      <c r="F215" s="1042"/>
      <c r="G215" s="1034">
        <v>0.125</v>
      </c>
      <c r="H215" s="1034">
        <v>0.45833333333333331</v>
      </c>
      <c r="I215" s="1035">
        <v>8</v>
      </c>
      <c r="J215" s="1036"/>
      <c r="K215" s="1042"/>
      <c r="L215" s="1034">
        <v>0.125</v>
      </c>
      <c r="M215" s="1034">
        <v>0.45833333333333331</v>
      </c>
      <c r="N215" s="1035">
        <v>8</v>
      </c>
      <c r="O215" s="1036"/>
      <c r="P215" s="1042"/>
      <c r="Q215" s="1034">
        <v>0.125</v>
      </c>
      <c r="R215" s="1034">
        <v>0.45833333333333331</v>
      </c>
      <c r="S215" s="1035">
        <v>8</v>
      </c>
      <c r="T215" s="1036"/>
      <c r="U215" s="1042"/>
      <c r="V215" s="1034">
        <v>0.125</v>
      </c>
      <c r="W215" s="1034">
        <v>0.45833333333333331</v>
      </c>
      <c r="X215" s="1035">
        <v>8</v>
      </c>
      <c r="Y215" s="1036"/>
      <c r="Z215" s="1038">
        <v>40</v>
      </c>
      <c r="AA215" s="1039">
        <v>0</v>
      </c>
      <c r="AB215" s="1037"/>
      <c r="AC215" s="1034"/>
      <c r="AD215" s="1034"/>
      <c r="AE215" s="1035"/>
      <c r="AF215" s="1037"/>
      <c r="AG215" s="1034"/>
      <c r="AH215" s="1034"/>
      <c r="AI215" s="1035"/>
      <c r="AJ215" s="1038">
        <v>0</v>
      </c>
      <c r="AK215" s="941"/>
      <c r="AL215" s="943"/>
      <c r="AM215" s="940"/>
      <c r="AN215" s="954"/>
      <c r="AO215" s="954"/>
      <c r="AP215" s="954"/>
      <c r="AQ215" s="954"/>
      <c r="AR215" s="954"/>
      <c r="AS215" s="954"/>
    </row>
    <row r="216" spans="1:45" ht="13.5" customHeight="1">
      <c r="A216" s="1009" t="s">
        <v>1140</v>
      </c>
      <c r="B216" s="1034"/>
      <c r="C216" s="1034"/>
      <c r="D216" s="1035"/>
      <c r="E216" s="1036"/>
      <c r="F216" s="1042"/>
      <c r="G216" s="1034"/>
      <c r="H216" s="1034"/>
      <c r="I216" s="1035"/>
      <c r="J216" s="1036"/>
      <c r="K216" s="1042"/>
      <c r="L216" s="1034"/>
      <c r="M216" s="1034"/>
      <c r="N216" s="1035"/>
      <c r="O216" s="1036"/>
      <c r="P216" s="1042"/>
      <c r="Q216" s="1034"/>
      <c r="R216" s="1034"/>
      <c r="S216" s="1035"/>
      <c r="T216" s="1036"/>
      <c r="U216" s="1042"/>
      <c r="V216" s="1034"/>
      <c r="W216" s="1034"/>
      <c r="X216" s="1035"/>
      <c r="Y216" s="1036"/>
      <c r="Z216" s="1038">
        <v>0</v>
      </c>
      <c r="AA216" s="1039">
        <v>0</v>
      </c>
      <c r="AB216" s="1037"/>
      <c r="AC216" s="1034">
        <v>0.5</v>
      </c>
      <c r="AD216" s="1034">
        <v>0.29166666666666669</v>
      </c>
      <c r="AE216" s="1035">
        <v>7</v>
      </c>
      <c r="AF216" s="1037"/>
      <c r="AG216" s="1034"/>
      <c r="AH216" s="1034"/>
      <c r="AI216" s="1035"/>
      <c r="AJ216" s="1038">
        <v>7</v>
      </c>
      <c r="AK216" s="941"/>
      <c r="AL216" s="943"/>
      <c r="AM216" s="940"/>
      <c r="AN216" s="954"/>
      <c r="AO216" s="954"/>
      <c r="AP216" s="954"/>
      <c r="AQ216" s="954"/>
      <c r="AR216" s="954"/>
      <c r="AS216" s="954"/>
    </row>
    <row r="217" spans="1:45" ht="13.5" customHeight="1">
      <c r="A217" s="1009" t="s">
        <v>1435</v>
      </c>
      <c r="B217" s="1034"/>
      <c r="C217" s="1034"/>
      <c r="D217" s="1035"/>
      <c r="E217" s="1036"/>
      <c r="F217" s="1042"/>
      <c r="G217" s="1034"/>
      <c r="H217" s="1034"/>
      <c r="I217" s="1035"/>
      <c r="J217" s="1036"/>
      <c r="K217" s="1042"/>
      <c r="L217" s="1034"/>
      <c r="M217" s="1034"/>
      <c r="N217" s="1035"/>
      <c r="O217" s="1036"/>
      <c r="P217" s="1042"/>
      <c r="Q217" s="1034"/>
      <c r="R217" s="1034"/>
      <c r="S217" s="1035"/>
      <c r="T217" s="1036"/>
      <c r="U217" s="1042"/>
      <c r="V217" s="1034"/>
      <c r="W217" s="1034"/>
      <c r="X217" s="1035"/>
      <c r="Y217" s="1036"/>
      <c r="Z217" s="1038">
        <v>0</v>
      </c>
      <c r="AA217" s="1039">
        <v>0</v>
      </c>
      <c r="AB217" s="1037"/>
      <c r="AC217" s="1034">
        <v>0.5</v>
      </c>
      <c r="AD217" s="1034">
        <v>0.3125</v>
      </c>
      <c r="AE217" s="1035">
        <v>7.5</v>
      </c>
      <c r="AF217" s="1037"/>
      <c r="AG217" s="1034"/>
      <c r="AH217" s="1034"/>
      <c r="AI217" s="1035"/>
      <c r="AJ217" s="1038">
        <v>7.5</v>
      </c>
      <c r="AK217" s="941"/>
      <c r="AL217" s="943"/>
      <c r="AM217" s="940"/>
      <c r="AN217" s="954"/>
      <c r="AO217" s="954"/>
      <c r="AP217" s="954"/>
      <c r="AQ217" s="954"/>
      <c r="AR217" s="954"/>
      <c r="AS217" s="954"/>
    </row>
    <row r="218" spans="1:45" ht="13.5" customHeight="1">
      <c r="A218" s="1009" t="s">
        <v>1431</v>
      </c>
      <c r="B218" s="1034"/>
      <c r="C218" s="1034"/>
      <c r="D218" s="1035">
        <v>1</v>
      </c>
      <c r="E218" s="1036"/>
      <c r="F218" s="1042"/>
      <c r="G218" s="1034"/>
      <c r="H218" s="1034"/>
      <c r="I218" s="1035">
        <v>1</v>
      </c>
      <c r="J218" s="1036"/>
      <c r="K218" s="1042"/>
      <c r="L218" s="1034"/>
      <c r="M218" s="1034"/>
      <c r="N218" s="1035">
        <v>1</v>
      </c>
      <c r="O218" s="1036"/>
      <c r="P218" s="1042"/>
      <c r="Q218" s="1034"/>
      <c r="R218" s="1034"/>
      <c r="S218" s="1035">
        <v>1</v>
      </c>
      <c r="T218" s="1036"/>
      <c r="U218" s="1042"/>
      <c r="V218" s="1034"/>
      <c r="W218" s="1034"/>
      <c r="X218" s="1035">
        <v>1</v>
      </c>
      <c r="Y218" s="1036"/>
      <c r="Z218" s="1038">
        <v>5</v>
      </c>
      <c r="AA218" s="1039">
        <v>0</v>
      </c>
      <c r="AB218" s="1037"/>
      <c r="AC218" s="1034"/>
      <c r="AD218" s="1034"/>
      <c r="AE218" s="1035"/>
      <c r="AF218" s="1037"/>
      <c r="AG218" s="1034"/>
      <c r="AH218" s="1034"/>
      <c r="AI218" s="1035"/>
      <c r="AJ218" s="1038">
        <v>0</v>
      </c>
      <c r="AK218" s="941"/>
      <c r="AL218" s="943"/>
      <c r="AM218" s="940"/>
      <c r="AN218" s="954"/>
      <c r="AO218" s="954"/>
      <c r="AP218" s="954"/>
      <c r="AQ218" s="954"/>
      <c r="AR218" s="954"/>
      <c r="AS218" s="954"/>
    </row>
    <row r="219" spans="1:45" ht="13.5" customHeight="1">
      <c r="A219" s="1009" t="s">
        <v>813</v>
      </c>
      <c r="B219" s="1034"/>
      <c r="C219" s="1034"/>
      <c r="D219" s="1035">
        <v>2</v>
      </c>
      <c r="E219" s="1036"/>
      <c r="F219" s="1042"/>
      <c r="G219" s="1034"/>
      <c r="H219" s="1034"/>
      <c r="I219" s="1035">
        <v>2</v>
      </c>
      <c r="J219" s="1036"/>
      <c r="K219" s="1042"/>
      <c r="L219" s="1034"/>
      <c r="M219" s="1034"/>
      <c r="N219" s="1035">
        <v>2</v>
      </c>
      <c r="O219" s="1036"/>
      <c r="P219" s="1042"/>
      <c r="Q219" s="1034"/>
      <c r="R219" s="1034"/>
      <c r="S219" s="1035">
        <v>2</v>
      </c>
      <c r="T219" s="1036"/>
      <c r="U219" s="1042"/>
      <c r="V219" s="1034"/>
      <c r="W219" s="1034"/>
      <c r="X219" s="1035">
        <v>2</v>
      </c>
      <c r="Y219" s="1036"/>
      <c r="Z219" s="1038">
        <v>10</v>
      </c>
      <c r="AA219" s="1039">
        <v>0</v>
      </c>
      <c r="AB219" s="1037"/>
      <c r="AC219" s="1034"/>
      <c r="AD219" s="1034"/>
      <c r="AE219" s="1035"/>
      <c r="AF219" s="1037"/>
      <c r="AG219" s="1034"/>
      <c r="AH219" s="1034"/>
      <c r="AI219" s="1035"/>
      <c r="AJ219" s="1038">
        <v>0</v>
      </c>
      <c r="AK219" s="941"/>
      <c r="AL219" s="943"/>
      <c r="AM219" s="940"/>
      <c r="AN219" s="954"/>
      <c r="AO219" s="954"/>
      <c r="AP219" s="954"/>
      <c r="AQ219" s="954"/>
      <c r="AR219" s="954"/>
      <c r="AS219" s="954"/>
    </row>
    <row r="220" spans="1:45" ht="13.5" customHeight="1">
      <c r="A220" s="1009" t="s">
        <v>1432</v>
      </c>
      <c r="B220" s="1034"/>
      <c r="C220" s="1034"/>
      <c r="D220" s="1035"/>
      <c r="E220" s="1036"/>
      <c r="F220" s="1042"/>
      <c r="G220" s="1034"/>
      <c r="H220" s="1034"/>
      <c r="I220" s="1035"/>
      <c r="J220" s="1036"/>
      <c r="K220" s="1042"/>
      <c r="L220" s="1034"/>
      <c r="M220" s="1034"/>
      <c r="N220" s="1035"/>
      <c r="O220" s="1036"/>
      <c r="P220" s="1042"/>
      <c r="Q220" s="1034"/>
      <c r="R220" s="1034"/>
      <c r="S220" s="1035"/>
      <c r="T220" s="1036"/>
      <c r="U220" s="1042"/>
      <c r="V220" s="1034"/>
      <c r="W220" s="1034"/>
      <c r="X220" s="1035"/>
      <c r="Y220" s="1036"/>
      <c r="Z220" s="1038">
        <v>0</v>
      </c>
      <c r="AA220" s="1039">
        <v>0</v>
      </c>
      <c r="AB220" s="1037"/>
      <c r="AC220" s="1034"/>
      <c r="AD220" s="1034"/>
      <c r="AE220" s="1035"/>
      <c r="AF220" s="1037"/>
      <c r="AG220" s="1034"/>
      <c r="AH220" s="1034"/>
      <c r="AI220" s="1035"/>
      <c r="AJ220" s="1038">
        <v>0</v>
      </c>
      <c r="AK220" s="941"/>
      <c r="AL220" s="943"/>
      <c r="AM220" s="940"/>
      <c r="AN220" s="954"/>
      <c r="AO220" s="954"/>
      <c r="AP220" s="954"/>
      <c r="AQ220" s="954"/>
      <c r="AR220" s="954"/>
      <c r="AS220" s="954"/>
    </row>
    <row r="221" spans="1:45" ht="13.5" customHeight="1">
      <c r="A221" s="1009" t="s">
        <v>88</v>
      </c>
      <c r="B221" s="1034"/>
      <c r="C221" s="1034"/>
      <c r="D221" s="1035">
        <v>2</v>
      </c>
      <c r="E221" s="1036"/>
      <c r="F221" s="1042"/>
      <c r="G221" s="1034"/>
      <c r="H221" s="1034"/>
      <c r="I221" s="1035">
        <v>2</v>
      </c>
      <c r="J221" s="1036"/>
      <c r="K221" s="1042"/>
      <c r="L221" s="1034"/>
      <c r="M221" s="1034"/>
      <c r="N221" s="1035">
        <v>2</v>
      </c>
      <c r="O221" s="1036"/>
      <c r="P221" s="1042"/>
      <c r="Q221" s="1034"/>
      <c r="R221" s="1034"/>
      <c r="S221" s="1035">
        <v>2</v>
      </c>
      <c r="T221" s="1036"/>
      <c r="U221" s="1042"/>
      <c r="V221" s="1034"/>
      <c r="W221" s="1034"/>
      <c r="X221" s="1035">
        <v>2</v>
      </c>
      <c r="Y221" s="1036"/>
      <c r="Z221" s="1038">
        <v>10</v>
      </c>
      <c r="AA221" s="1039">
        <v>0</v>
      </c>
      <c r="AB221" s="1037"/>
      <c r="AC221" s="1034"/>
      <c r="AD221" s="1034"/>
      <c r="AE221" s="1035"/>
      <c r="AF221" s="1037"/>
      <c r="AG221" s="1034"/>
      <c r="AH221" s="1034"/>
      <c r="AI221" s="1035"/>
      <c r="AJ221" s="1038">
        <v>0</v>
      </c>
      <c r="AK221" s="941"/>
      <c r="AL221" s="943"/>
      <c r="AM221" s="940"/>
      <c r="AN221" s="954"/>
      <c r="AO221" s="954"/>
      <c r="AP221" s="954"/>
      <c r="AQ221" s="954"/>
      <c r="AR221" s="954"/>
      <c r="AS221" s="954"/>
    </row>
    <row r="222" spans="1:45" ht="13.5" customHeight="1">
      <c r="A222" s="1009" t="s">
        <v>603</v>
      </c>
      <c r="B222" s="1034"/>
      <c r="C222" s="1034"/>
      <c r="D222" s="1035"/>
      <c r="E222" s="1036"/>
      <c r="F222" s="1042"/>
      <c r="G222" s="1034"/>
      <c r="H222" s="1034"/>
      <c r="I222" s="1035"/>
      <c r="J222" s="1036"/>
      <c r="K222" s="1042"/>
      <c r="L222" s="1034"/>
      <c r="M222" s="1034"/>
      <c r="N222" s="1035"/>
      <c r="O222" s="1036"/>
      <c r="P222" s="1042"/>
      <c r="Q222" s="1034"/>
      <c r="R222" s="1034"/>
      <c r="S222" s="1035"/>
      <c r="T222" s="1036"/>
      <c r="U222" s="1042"/>
      <c r="V222" s="1034"/>
      <c r="W222" s="1034"/>
      <c r="X222" s="1035"/>
      <c r="Y222" s="1036"/>
      <c r="Z222" s="1038">
        <v>0</v>
      </c>
      <c r="AA222" s="1039">
        <v>0</v>
      </c>
      <c r="AB222" s="1037"/>
      <c r="AC222" s="1034"/>
      <c r="AD222" s="1034"/>
      <c r="AE222" s="1035"/>
      <c r="AF222" s="1037"/>
      <c r="AG222" s="1034"/>
      <c r="AH222" s="1034"/>
      <c r="AI222" s="1035"/>
      <c r="AJ222" s="1038">
        <v>0</v>
      </c>
      <c r="AK222" s="941"/>
      <c r="AL222" s="943"/>
      <c r="AM222" s="940"/>
      <c r="AN222" s="954"/>
      <c r="AO222" s="954"/>
      <c r="AP222" s="954"/>
      <c r="AQ222" s="954"/>
      <c r="AR222" s="954"/>
      <c r="AS222" s="954"/>
    </row>
    <row r="223" spans="1:45" ht="13.5" customHeight="1">
      <c r="A223" s="1043" t="s">
        <v>1438</v>
      </c>
      <c r="B223" s="1049">
        <v>0.45833333333333331</v>
      </c>
      <c r="C223" s="1049">
        <v>0.29166666666666669</v>
      </c>
      <c r="D223" s="1050">
        <v>8</v>
      </c>
      <c r="E223" s="1050"/>
      <c r="F223" s="1050"/>
      <c r="G223" s="1049">
        <v>0.45833333333333331</v>
      </c>
      <c r="H223" s="1049">
        <v>0.29166666666666669</v>
      </c>
      <c r="I223" s="1050">
        <v>8</v>
      </c>
      <c r="J223" s="1050"/>
      <c r="K223" s="1050"/>
      <c r="L223" s="1049">
        <v>0.45833333333333331</v>
      </c>
      <c r="M223" s="1049">
        <v>0.29166666666666669</v>
      </c>
      <c r="N223" s="1050">
        <v>8</v>
      </c>
      <c r="O223" s="1050"/>
      <c r="P223" s="1050"/>
      <c r="Q223" s="1049">
        <v>0.45833333333333331</v>
      </c>
      <c r="R223" s="1049">
        <v>0.29166666666666669</v>
      </c>
      <c r="S223" s="1050">
        <v>8</v>
      </c>
      <c r="T223" s="1050"/>
      <c r="U223" s="1050"/>
      <c r="V223" s="1049">
        <v>0.45833333333333331</v>
      </c>
      <c r="W223" s="1049">
        <v>0.29166666666666669</v>
      </c>
      <c r="X223" s="1050">
        <v>8</v>
      </c>
      <c r="Y223" s="1050"/>
      <c r="Z223" s="1051">
        <v>40</v>
      </c>
      <c r="AA223" s="1039">
        <v>0</v>
      </c>
      <c r="AB223" s="1037"/>
      <c r="AC223" s="1034"/>
      <c r="AD223" s="1034"/>
      <c r="AE223" s="1035"/>
      <c r="AF223" s="1037"/>
      <c r="AG223" s="1034"/>
      <c r="AH223" s="1034"/>
      <c r="AI223" s="1035"/>
      <c r="AJ223" s="1038">
        <v>0</v>
      </c>
      <c r="AK223" s="941"/>
      <c r="AL223" s="943"/>
      <c r="AM223" s="940"/>
      <c r="AN223" s="954"/>
      <c r="AO223" s="954"/>
      <c r="AP223" s="954"/>
      <c r="AQ223" s="954"/>
      <c r="AR223" s="954"/>
      <c r="AS223" s="954"/>
    </row>
    <row r="224" spans="1:45" ht="13.5" customHeight="1">
      <c r="A224" s="1043" t="s">
        <v>1439</v>
      </c>
      <c r="B224" s="1049">
        <v>0.29166666666666669</v>
      </c>
      <c r="C224" s="1049"/>
      <c r="D224" s="1050">
        <v>8</v>
      </c>
      <c r="E224" s="1050"/>
      <c r="F224" s="1050"/>
      <c r="G224" s="1049"/>
      <c r="H224" s="1049">
        <v>0.29166666666666669</v>
      </c>
      <c r="I224" s="1050">
        <v>8</v>
      </c>
      <c r="J224" s="1050"/>
      <c r="K224" s="1050"/>
      <c r="L224" s="1049">
        <v>0.45833333333333331</v>
      </c>
      <c r="M224" s="1049">
        <v>0.29166666666666669</v>
      </c>
      <c r="N224" s="1050">
        <v>8</v>
      </c>
      <c r="O224" s="1050"/>
      <c r="P224" s="1050"/>
      <c r="Q224" s="1049">
        <v>0.45833333333333331</v>
      </c>
      <c r="R224" s="1049">
        <v>0.29166666666666669</v>
      </c>
      <c r="S224" s="1050">
        <v>8</v>
      </c>
      <c r="T224" s="1050"/>
      <c r="U224" s="1050"/>
      <c r="V224" s="1049">
        <v>0.45833333333333331</v>
      </c>
      <c r="W224" s="1049"/>
      <c r="X224" s="1050">
        <v>8</v>
      </c>
      <c r="Y224" s="1050"/>
      <c r="Z224" s="1051">
        <v>40</v>
      </c>
      <c r="AA224" s="1039">
        <v>0</v>
      </c>
      <c r="AB224" s="1037"/>
      <c r="AC224" s="1034"/>
      <c r="AD224" s="1034"/>
      <c r="AE224" s="1035"/>
      <c r="AF224" s="1037"/>
      <c r="AG224" s="1034"/>
      <c r="AH224" s="1034"/>
      <c r="AI224" s="1035"/>
      <c r="AJ224" s="1038">
        <v>0</v>
      </c>
      <c r="AK224" s="941"/>
      <c r="AL224" s="943"/>
      <c r="AM224" s="940"/>
      <c r="AN224" s="954"/>
      <c r="AO224" s="954"/>
      <c r="AP224" s="954"/>
      <c r="AQ224" s="954"/>
      <c r="AR224" s="954"/>
      <c r="AS224" s="954"/>
    </row>
    <row r="225" spans="1:45" ht="13.5" customHeight="1">
      <c r="A225" s="1043" t="s">
        <v>1433</v>
      </c>
      <c r="B225" s="1049">
        <v>0.45833333333333331</v>
      </c>
      <c r="C225" s="1049">
        <v>0.29166666666666669</v>
      </c>
      <c r="D225" s="1050">
        <v>8</v>
      </c>
      <c r="E225" s="1050"/>
      <c r="F225" s="1050"/>
      <c r="G225" s="1049">
        <v>0.45833333333333331</v>
      </c>
      <c r="H225" s="1049">
        <v>0.29166666666666669</v>
      </c>
      <c r="I225" s="1050">
        <v>8</v>
      </c>
      <c r="J225" s="1050"/>
      <c r="K225" s="1050"/>
      <c r="L225" s="1049"/>
      <c r="M225" s="1049"/>
      <c r="N225" s="1050">
        <v>0</v>
      </c>
      <c r="O225" s="1050"/>
      <c r="P225" s="1050"/>
      <c r="Q225" s="1049">
        <v>0.45833333333333331</v>
      </c>
      <c r="R225" s="1049">
        <v>0.29166666666666669</v>
      </c>
      <c r="S225" s="1050">
        <v>8</v>
      </c>
      <c r="T225" s="1050"/>
      <c r="U225" s="1050"/>
      <c r="V225" s="1049">
        <v>0.45833333333333331</v>
      </c>
      <c r="W225" s="1049">
        <v>0.29166666666666669</v>
      </c>
      <c r="X225" s="1050">
        <v>8</v>
      </c>
      <c r="Y225" s="1050"/>
      <c r="Z225" s="1051">
        <v>32</v>
      </c>
      <c r="AA225" s="1039">
        <v>0</v>
      </c>
      <c r="AB225" s="1037"/>
      <c r="AC225" s="1034"/>
      <c r="AD225" s="1034"/>
      <c r="AE225" s="1035"/>
      <c r="AF225" s="1037"/>
      <c r="AG225" s="1034"/>
      <c r="AH225" s="1034"/>
      <c r="AI225" s="1035"/>
      <c r="AJ225" s="1038">
        <v>0</v>
      </c>
      <c r="AK225" s="941"/>
      <c r="AL225" s="943"/>
      <c r="AM225" s="940"/>
      <c r="AN225" s="954"/>
      <c r="AO225" s="954"/>
      <c r="AP225" s="954"/>
      <c r="AQ225" s="954"/>
      <c r="AR225" s="954"/>
      <c r="AS225" s="954"/>
    </row>
    <row r="226" spans="1:45" ht="13.5" customHeight="1">
      <c r="A226" s="1043" t="s">
        <v>241</v>
      </c>
      <c r="B226" s="1049">
        <v>0.45833333333333331</v>
      </c>
      <c r="C226" s="1049"/>
      <c r="D226" s="1050">
        <v>8</v>
      </c>
      <c r="E226" s="1050"/>
      <c r="F226" s="1050"/>
      <c r="G226" s="1049">
        <v>0.45833333333333331</v>
      </c>
      <c r="H226" s="1049">
        <v>0.29166666666666669</v>
      </c>
      <c r="I226" s="1050">
        <v>8</v>
      </c>
      <c r="J226" s="1050"/>
      <c r="K226" s="1050"/>
      <c r="L226" s="1049">
        <v>0.45833333333333331</v>
      </c>
      <c r="M226" s="1049">
        <v>0.29166666666666669</v>
      </c>
      <c r="N226" s="1050">
        <v>8</v>
      </c>
      <c r="O226" s="1050"/>
      <c r="P226" s="1050"/>
      <c r="Q226" s="1049">
        <v>0.45833333333333331</v>
      </c>
      <c r="R226" s="1049">
        <v>0.29166666666666669</v>
      </c>
      <c r="S226" s="1050">
        <v>8</v>
      </c>
      <c r="T226" s="1050"/>
      <c r="U226" s="1050"/>
      <c r="V226" s="1049">
        <v>0.45833333333333331</v>
      </c>
      <c r="W226" s="1049">
        <v>0.29166666666666669</v>
      </c>
      <c r="X226" s="1050">
        <v>8</v>
      </c>
      <c r="Y226" s="1050"/>
      <c r="Z226" s="1051">
        <v>40</v>
      </c>
      <c r="AA226" s="1039">
        <v>0</v>
      </c>
      <c r="AB226" s="1037"/>
      <c r="AC226" s="1034">
        <v>0.52083333333333337</v>
      </c>
      <c r="AD226" s="1034">
        <v>0.29166666666666669</v>
      </c>
      <c r="AE226" s="1035">
        <v>6.5</v>
      </c>
      <c r="AF226" s="1037"/>
      <c r="AG226" s="1034"/>
      <c r="AH226" s="1034"/>
      <c r="AI226" s="1035"/>
      <c r="AJ226" s="1038">
        <v>6.5</v>
      </c>
      <c r="AK226" s="941"/>
      <c r="AL226" s="943"/>
      <c r="AM226" s="940"/>
      <c r="AN226" s="954"/>
      <c r="AO226" s="954"/>
      <c r="AP226" s="954"/>
      <c r="AQ226" s="954"/>
      <c r="AR226" s="954"/>
      <c r="AS226" s="954"/>
    </row>
    <row r="227" spans="1:45" ht="13.5" customHeight="1">
      <c r="A227" s="1043" t="s">
        <v>1437</v>
      </c>
      <c r="B227" s="1049"/>
      <c r="C227" s="1049"/>
      <c r="D227" s="1050"/>
      <c r="E227" s="1050"/>
      <c r="F227" s="1050"/>
      <c r="G227" s="1049"/>
      <c r="H227" s="1049"/>
      <c r="I227" s="1050"/>
      <c r="J227" s="1050"/>
      <c r="K227" s="1050"/>
      <c r="L227" s="1049"/>
      <c r="M227" s="1049"/>
      <c r="N227" s="1050"/>
      <c r="O227" s="1050"/>
      <c r="P227" s="1050"/>
      <c r="Q227" s="1049"/>
      <c r="R227" s="1049"/>
      <c r="S227" s="1050"/>
      <c r="T227" s="1050"/>
      <c r="U227" s="1050"/>
      <c r="V227" s="1049">
        <v>0.29166666666666669</v>
      </c>
      <c r="W227" s="1049">
        <v>0.125</v>
      </c>
      <c r="X227" s="1050">
        <v>8</v>
      </c>
      <c r="Y227" s="1050"/>
      <c r="Z227" s="1051">
        <v>8</v>
      </c>
      <c r="AA227" s="1039">
        <v>0</v>
      </c>
      <c r="AB227" s="1037"/>
      <c r="AC227" s="1034"/>
      <c r="AD227" s="1034"/>
      <c r="AE227" s="1035"/>
      <c r="AF227" s="1037"/>
      <c r="AG227" s="1034"/>
      <c r="AH227" s="1034"/>
      <c r="AI227" s="1035"/>
      <c r="AJ227" s="1038">
        <v>0</v>
      </c>
      <c r="AK227" s="941"/>
      <c r="AL227" s="943"/>
      <c r="AM227" s="940"/>
      <c r="AN227" s="954"/>
      <c r="AO227" s="954"/>
      <c r="AP227" s="954"/>
      <c r="AQ227" s="954"/>
      <c r="AR227" s="954"/>
      <c r="AS227" s="954"/>
    </row>
    <row r="228" spans="1:45" ht="13.5" customHeight="1">
      <c r="A228" s="1016" t="s">
        <v>61</v>
      </c>
      <c r="B228" s="1044"/>
      <c r="C228" s="1044"/>
      <c r="D228" s="1045">
        <v>117</v>
      </c>
      <c r="E228" s="1036">
        <v>0</v>
      </c>
      <c r="F228" s="1044"/>
      <c r="G228" s="1044"/>
      <c r="H228" s="1044"/>
      <c r="I228" s="1045">
        <v>117</v>
      </c>
      <c r="J228" s="1036">
        <v>0</v>
      </c>
      <c r="K228" s="1044"/>
      <c r="L228" s="1044"/>
      <c r="M228" s="1044"/>
      <c r="N228" s="1045">
        <v>117</v>
      </c>
      <c r="O228" s="1036">
        <v>0</v>
      </c>
      <c r="P228" s="1044"/>
      <c r="Q228" s="1044"/>
      <c r="R228" s="1044"/>
      <c r="S228" s="1045">
        <v>117</v>
      </c>
      <c r="T228" s="1036">
        <v>0.5</v>
      </c>
      <c r="U228" s="1044"/>
      <c r="V228" s="1044"/>
      <c r="W228" s="1044"/>
      <c r="X228" s="1045">
        <v>117</v>
      </c>
      <c r="Y228" s="1036">
        <v>0</v>
      </c>
      <c r="Z228" s="1038">
        <v>577</v>
      </c>
      <c r="AA228" s="1038">
        <v>0.5</v>
      </c>
      <c r="AB228" s="1037"/>
      <c r="AC228" s="1044"/>
      <c r="AD228" s="1044"/>
      <c r="AE228" s="1038">
        <v>21</v>
      </c>
      <c r="AF228" s="1037"/>
      <c r="AG228" s="1044"/>
      <c r="AH228" s="1044"/>
      <c r="AI228" s="1038">
        <v>6</v>
      </c>
      <c r="AJ228" s="1038">
        <v>27</v>
      </c>
      <c r="AK228" s="941"/>
      <c r="AL228" s="943"/>
      <c r="AM228" s="940"/>
      <c r="AN228" s="954"/>
      <c r="AO228" s="954"/>
      <c r="AP228" s="954"/>
      <c r="AQ228" s="954"/>
      <c r="AR228" s="954"/>
      <c r="AS228" s="954"/>
    </row>
    <row r="229" spans="1:45" ht="13.5" customHeight="1">
      <c r="A229" s="1016" t="s">
        <v>1434</v>
      </c>
      <c r="B229" s="1044"/>
      <c r="C229" s="1044"/>
      <c r="D229" s="1045">
        <v>32</v>
      </c>
      <c r="E229" s="1036">
        <v>0</v>
      </c>
      <c r="F229" s="1044"/>
      <c r="G229" s="1044"/>
      <c r="H229" s="1044"/>
      <c r="I229" s="1045">
        <v>32</v>
      </c>
      <c r="J229" s="1036">
        <v>0</v>
      </c>
      <c r="K229" s="1044"/>
      <c r="L229" s="1044"/>
      <c r="M229" s="1044"/>
      <c r="N229" s="1045">
        <v>24</v>
      </c>
      <c r="O229" s="1036">
        <v>0</v>
      </c>
      <c r="P229" s="1044"/>
      <c r="Q229" s="1044"/>
      <c r="R229" s="1044"/>
      <c r="S229" s="1045">
        <v>32</v>
      </c>
      <c r="T229" s="1036">
        <v>0</v>
      </c>
      <c r="U229" s="1044"/>
      <c r="V229" s="1044"/>
      <c r="W229" s="1044"/>
      <c r="X229" s="1045">
        <v>40</v>
      </c>
      <c r="Y229" s="1036">
        <v>0</v>
      </c>
      <c r="Z229" s="1038">
        <v>160</v>
      </c>
      <c r="AA229" s="1038">
        <v>0</v>
      </c>
      <c r="AB229" s="1037"/>
      <c r="AC229" s="1044"/>
      <c r="AD229" s="1044"/>
      <c r="AE229" s="1038"/>
      <c r="AF229" s="1037"/>
      <c r="AG229" s="1044"/>
      <c r="AH229" s="1044"/>
      <c r="AI229" s="1038"/>
      <c r="AJ229" s="1038"/>
      <c r="AK229" s="941"/>
      <c r="AL229" s="943"/>
      <c r="AM229" s="940"/>
      <c r="AN229" s="954"/>
      <c r="AO229" s="954"/>
      <c r="AP229" s="954"/>
      <c r="AQ229" s="954"/>
      <c r="AR229" s="954"/>
      <c r="AS229" s="954"/>
    </row>
    <row r="230" spans="1:45" ht="13.5" customHeight="1">
      <c r="A230" s="1022" t="s">
        <v>64</v>
      </c>
      <c r="B230" s="1034"/>
      <c r="C230" s="1034"/>
      <c r="D230" s="1035">
        <v>4</v>
      </c>
      <c r="E230" s="1035"/>
      <c r="F230" s="1046"/>
      <c r="G230" s="1034"/>
      <c r="H230" s="1034"/>
      <c r="I230" s="1035">
        <v>4</v>
      </c>
      <c r="J230" s="1035"/>
      <c r="K230" s="1042"/>
      <c r="L230" s="1034"/>
      <c r="M230" s="1034"/>
      <c r="N230" s="1035">
        <v>4</v>
      </c>
      <c r="O230" s="1035"/>
      <c r="P230" s="1042"/>
      <c r="Q230" s="1034"/>
      <c r="R230" s="1034"/>
      <c r="S230" s="1035">
        <v>4</v>
      </c>
      <c r="T230" s="1035"/>
      <c r="U230" s="1042"/>
      <c r="V230" s="1034"/>
      <c r="W230" s="1034"/>
      <c r="X230" s="1035">
        <v>4</v>
      </c>
      <c r="Y230" s="1035"/>
      <c r="Z230" s="1038">
        <v>20</v>
      </c>
      <c r="AA230" s="1047">
        <v>0</v>
      </c>
      <c r="AB230" s="1037"/>
      <c r="AC230" s="1034"/>
      <c r="AD230" s="1034"/>
      <c r="AE230" s="1035">
        <v>4</v>
      </c>
      <c r="AF230" s="1037"/>
      <c r="AG230" s="1034"/>
      <c r="AH230" s="1034"/>
      <c r="AI230" s="1035">
        <v>3.5</v>
      </c>
      <c r="AJ230" s="1038">
        <v>7.5</v>
      </c>
      <c r="AK230" s="941"/>
      <c r="AL230" s="943"/>
      <c r="AM230" s="940"/>
      <c r="AN230" s="1021"/>
      <c r="AO230" s="954"/>
      <c r="AP230" s="954"/>
      <c r="AQ230" s="954"/>
      <c r="AR230" s="954"/>
      <c r="AS230" s="954"/>
    </row>
    <row r="231" spans="1:45" ht="13.5" customHeight="1">
      <c r="A231" s="1026" t="s">
        <v>66</v>
      </c>
      <c r="B231" s="1027"/>
      <c r="C231" s="1027"/>
      <c r="D231" s="1026"/>
      <c r="E231" s="1024"/>
      <c r="F231" s="1026"/>
      <c r="G231" s="1026"/>
      <c r="H231" s="1026"/>
      <c r="I231" s="1026"/>
      <c r="J231" s="1024"/>
      <c r="K231" s="1026"/>
      <c r="L231" s="1026"/>
      <c r="M231" s="1026"/>
      <c r="N231" s="1026"/>
      <c r="O231" s="1024"/>
      <c r="P231" s="1026"/>
      <c r="Q231" s="1026"/>
      <c r="R231" s="1026"/>
      <c r="S231" s="1026"/>
      <c r="T231" s="1024"/>
      <c r="U231" s="1026"/>
      <c r="V231" s="1026"/>
      <c r="W231" s="1026"/>
      <c r="X231" s="1026"/>
      <c r="Y231" s="1024"/>
      <c r="Z231" s="1028">
        <v>20</v>
      </c>
      <c r="AA231" s="1028">
        <v>0</v>
      </c>
      <c r="AB231" s="941"/>
      <c r="AC231" s="940"/>
      <c r="AD231" s="940"/>
      <c r="AE231" s="940"/>
      <c r="AF231" s="941"/>
      <c r="AG231" s="940"/>
      <c r="AH231" s="940"/>
      <c r="AI231" s="940"/>
      <c r="AJ231" s="1028">
        <v>7.5</v>
      </c>
      <c r="AK231" s="941"/>
      <c r="AL231" s="943"/>
      <c r="AM231" s="940"/>
      <c r="AN231" s="1021"/>
      <c r="AO231" s="954"/>
      <c r="AP231" s="954"/>
      <c r="AQ231" s="954"/>
      <c r="AR231" s="954"/>
      <c r="AS231" s="954"/>
    </row>
    <row r="232" spans="1:45" ht="13.5" customHeight="1">
      <c r="A232" s="1029" t="s">
        <v>67</v>
      </c>
      <c r="B232" s="1030">
        <v>93</v>
      </c>
      <c r="C232" s="1030"/>
      <c r="D232" s="1031"/>
      <c r="E232" s="1031"/>
      <c r="F232" s="1030"/>
      <c r="G232" s="1031"/>
      <c r="H232" s="1031"/>
      <c r="I232" s="1031"/>
      <c r="J232" s="1031"/>
      <c r="K232" s="1030"/>
      <c r="L232" s="1030"/>
      <c r="M232" s="1030"/>
      <c r="N232" s="1030"/>
      <c r="O232" s="1031"/>
      <c r="P232" s="1030"/>
      <c r="Q232" s="1030"/>
      <c r="R232" s="1030"/>
      <c r="S232" s="1030"/>
      <c r="T232" s="1031"/>
      <c r="U232" s="1030"/>
      <c r="V232" s="1030"/>
      <c r="W232" s="1030"/>
      <c r="X232" s="1032"/>
      <c r="Y232" s="1031"/>
      <c r="Z232" s="1033"/>
      <c r="AA232" s="1031"/>
      <c r="AB232" s="1033"/>
      <c r="AC232" s="1033"/>
      <c r="AD232" s="1033"/>
      <c r="AE232" s="1033"/>
      <c r="AF232" s="1033"/>
      <c r="AG232" s="1033"/>
      <c r="AH232" s="1033"/>
      <c r="AI232" s="1033"/>
      <c r="AJ232" s="1033"/>
      <c r="AK232" s="941"/>
      <c r="AL232" s="943"/>
      <c r="AM232" s="940"/>
      <c r="AN232" s="1021"/>
      <c r="AO232" s="954"/>
      <c r="AP232" s="954"/>
      <c r="AQ232" s="954"/>
      <c r="AR232" s="954"/>
      <c r="AS232" s="954"/>
    </row>
    <row r="233" spans="1:45" ht="13.5" customHeight="1">
      <c r="A233" s="940"/>
      <c r="B233" s="940"/>
      <c r="C233" s="940"/>
      <c r="D233" s="941"/>
      <c r="E233" s="942"/>
      <c r="F233" s="941"/>
      <c r="G233" s="940"/>
      <c r="H233" s="940"/>
      <c r="I233" s="941"/>
      <c r="J233" s="942"/>
      <c r="K233" s="941"/>
      <c r="L233" s="940"/>
      <c r="M233" s="940"/>
      <c r="N233" s="941"/>
      <c r="O233" s="942"/>
      <c r="P233" s="941"/>
      <c r="Q233" s="940"/>
      <c r="R233" s="940"/>
      <c r="S233" s="941"/>
      <c r="T233" s="942"/>
      <c r="U233" s="941"/>
      <c r="V233" s="940"/>
      <c r="W233" s="940"/>
      <c r="X233" s="941"/>
      <c r="Y233" s="942"/>
      <c r="Z233" s="941"/>
      <c r="AA233" s="941"/>
      <c r="AB233" s="941"/>
      <c r="AC233" s="940"/>
      <c r="AD233" s="940"/>
      <c r="AE233" s="940"/>
      <c r="AF233" s="941"/>
      <c r="AG233" s="940"/>
      <c r="AH233" s="940"/>
      <c r="AI233" s="940"/>
      <c r="AJ233" s="940"/>
      <c r="AK233" s="941"/>
      <c r="AL233" s="943"/>
      <c r="AM233" s="940"/>
      <c r="AN233" s="954"/>
      <c r="AO233" s="954"/>
      <c r="AP233" s="954"/>
      <c r="AQ233" s="954"/>
      <c r="AR233" s="954"/>
      <c r="AS233" s="954"/>
    </row>
    <row r="234" spans="1:45" ht="13.5" customHeight="1">
      <c r="A234" s="974"/>
      <c r="B234" s="975"/>
      <c r="C234" s="975"/>
      <c r="D234" s="976"/>
      <c r="E234" s="976"/>
      <c r="F234" s="975"/>
      <c r="G234" s="976"/>
      <c r="H234" s="976"/>
      <c r="I234" s="976"/>
      <c r="J234" s="976"/>
      <c r="K234" s="975"/>
      <c r="L234" s="975"/>
      <c r="M234" s="975"/>
      <c r="N234" s="975"/>
      <c r="O234" s="976"/>
      <c r="P234" s="975"/>
      <c r="Q234" s="975"/>
      <c r="R234" s="975"/>
      <c r="S234" s="975"/>
      <c r="T234" s="976"/>
      <c r="U234" s="975"/>
      <c r="V234" s="975"/>
      <c r="W234" s="975"/>
      <c r="X234" s="977"/>
      <c r="Y234" s="976"/>
      <c r="Z234" s="978"/>
      <c r="AA234" s="976"/>
      <c r="AB234" s="979"/>
      <c r="AC234" s="980"/>
      <c r="AD234" s="943"/>
      <c r="AE234" s="943"/>
      <c r="AF234" s="979"/>
      <c r="AG234" s="980"/>
      <c r="AH234" s="943"/>
      <c r="AI234" s="943"/>
      <c r="AJ234" s="943"/>
      <c r="AK234" s="943"/>
      <c r="AL234" s="943"/>
      <c r="AM234" s="943"/>
      <c r="AN234" s="943"/>
      <c r="AO234" s="943"/>
      <c r="AP234" s="943"/>
      <c r="AQ234" s="943"/>
      <c r="AR234" s="943"/>
      <c r="AS234" s="943"/>
    </row>
    <row r="235" spans="1:45" ht="13.5" customHeight="1">
      <c r="A235" s="940"/>
      <c r="B235" s="940"/>
      <c r="C235" s="940"/>
      <c r="D235" s="941"/>
      <c r="E235" s="942"/>
      <c r="F235" s="941"/>
      <c r="G235" s="940"/>
      <c r="H235" s="940"/>
      <c r="I235" s="941"/>
      <c r="J235" s="942"/>
      <c r="K235" s="941"/>
      <c r="L235" s="940"/>
      <c r="M235" s="940"/>
      <c r="N235" s="941"/>
      <c r="O235" s="942"/>
      <c r="P235" s="941"/>
      <c r="Q235" s="940"/>
      <c r="R235" s="940"/>
      <c r="S235" s="941"/>
      <c r="T235" s="942"/>
      <c r="U235" s="941"/>
      <c r="V235" s="940"/>
      <c r="W235" s="940"/>
      <c r="X235" s="941"/>
      <c r="Y235" s="942"/>
      <c r="Z235" s="941"/>
      <c r="AA235" s="941"/>
      <c r="AB235" s="941"/>
      <c r="AC235" s="940"/>
      <c r="AD235" s="940"/>
      <c r="AE235" s="940"/>
      <c r="AF235" s="941"/>
      <c r="AG235" s="940"/>
      <c r="AH235" s="940"/>
      <c r="AI235" s="940"/>
      <c r="AJ235" s="940"/>
      <c r="AK235" s="941"/>
      <c r="AL235" s="943"/>
      <c r="AM235" s="940"/>
      <c r="AN235" s="954"/>
      <c r="AO235" s="954"/>
      <c r="AP235" s="954"/>
      <c r="AQ235" s="954"/>
      <c r="AR235" s="954"/>
      <c r="AS235" s="954"/>
    </row>
    <row r="236" spans="1:45" ht="13.5" customHeight="1">
      <c r="A236" s="1592" t="s">
        <v>18</v>
      </c>
      <c r="B236" s="1588">
        <v>45887</v>
      </c>
      <c r="C236" s="1588"/>
      <c r="D236" s="1588" t="s">
        <v>564</v>
      </c>
      <c r="E236" s="1588"/>
      <c r="F236" s="981"/>
      <c r="G236" s="1588">
        <v>45888</v>
      </c>
      <c r="H236" s="1588"/>
      <c r="I236" s="1588" t="s">
        <v>565</v>
      </c>
      <c r="J236" s="1588"/>
      <c r="K236" s="981"/>
      <c r="L236" s="1588">
        <v>45889</v>
      </c>
      <c r="M236" s="1588"/>
      <c r="N236" s="1588" t="s">
        <v>566</v>
      </c>
      <c r="O236" s="1588"/>
      <c r="P236" s="981"/>
      <c r="Q236" s="1588">
        <v>45890</v>
      </c>
      <c r="R236" s="1588"/>
      <c r="S236" s="1588" t="s">
        <v>567</v>
      </c>
      <c r="T236" s="1588"/>
      <c r="U236" s="981"/>
      <c r="V236" s="1588">
        <v>45891</v>
      </c>
      <c r="W236" s="1588"/>
      <c r="X236" s="1588" t="s">
        <v>568</v>
      </c>
      <c r="Y236" s="1588"/>
      <c r="Z236" s="1589" t="s">
        <v>19</v>
      </c>
      <c r="AA236" s="1589" t="s">
        <v>20</v>
      </c>
      <c r="AB236" s="941"/>
      <c r="AC236" s="1588">
        <v>45892</v>
      </c>
      <c r="AD236" s="1588"/>
      <c r="AE236" s="982" t="s">
        <v>569</v>
      </c>
      <c r="AF236" s="941"/>
      <c r="AG236" s="1588">
        <v>45893</v>
      </c>
      <c r="AH236" s="1588"/>
      <c r="AI236" s="983" t="s">
        <v>570</v>
      </c>
      <c r="AJ236" s="1589" t="s">
        <v>1420</v>
      </c>
      <c r="AK236" s="941"/>
      <c r="AL236" s="984"/>
      <c r="AM236" s="940"/>
      <c r="AN236" s="985" t="s">
        <v>84</v>
      </c>
      <c r="AO236" s="986"/>
      <c r="AP236" s="986"/>
      <c r="AQ236" s="986"/>
      <c r="AR236" s="986"/>
      <c r="AS236" s="986"/>
    </row>
    <row r="237" spans="1:45" ht="13.5" customHeight="1">
      <c r="A237" s="1592"/>
      <c r="B237" s="987" t="s">
        <v>23</v>
      </c>
      <c r="C237" s="987" t="s">
        <v>24</v>
      </c>
      <c r="D237" s="988" t="s">
        <v>25</v>
      </c>
      <c r="E237" s="989" t="s">
        <v>14</v>
      </c>
      <c r="F237" s="941"/>
      <c r="G237" s="987" t="s">
        <v>23</v>
      </c>
      <c r="H237" s="987" t="s">
        <v>24</v>
      </c>
      <c r="I237" s="990" t="s">
        <v>25</v>
      </c>
      <c r="J237" s="989" t="s">
        <v>14</v>
      </c>
      <c r="K237" s="941"/>
      <c r="L237" s="987" t="s">
        <v>23</v>
      </c>
      <c r="M237" s="987" t="s">
        <v>24</v>
      </c>
      <c r="N237" s="990" t="s">
        <v>25</v>
      </c>
      <c r="O237" s="989" t="s">
        <v>14</v>
      </c>
      <c r="P237" s="941"/>
      <c r="Q237" s="987" t="s">
        <v>23</v>
      </c>
      <c r="R237" s="987" t="s">
        <v>24</v>
      </c>
      <c r="S237" s="990" t="s">
        <v>25</v>
      </c>
      <c r="T237" s="989" t="s">
        <v>14</v>
      </c>
      <c r="U237" s="941"/>
      <c r="V237" s="987" t="s">
        <v>23</v>
      </c>
      <c r="W237" s="987" t="s">
        <v>24</v>
      </c>
      <c r="X237" s="990" t="s">
        <v>25</v>
      </c>
      <c r="Y237" s="989" t="s">
        <v>14</v>
      </c>
      <c r="Z237" s="1589"/>
      <c r="AA237" s="1589"/>
      <c r="AB237" s="941"/>
      <c r="AC237" s="987" t="s">
        <v>23</v>
      </c>
      <c r="AD237" s="987" t="s">
        <v>24</v>
      </c>
      <c r="AE237" s="990" t="s">
        <v>25</v>
      </c>
      <c r="AF237" s="941"/>
      <c r="AG237" s="987" t="s">
        <v>23</v>
      </c>
      <c r="AH237" s="987" t="s">
        <v>24</v>
      </c>
      <c r="AI237" s="990" t="s">
        <v>25</v>
      </c>
      <c r="AJ237" s="1589"/>
      <c r="AK237" s="941"/>
      <c r="AL237" s="984"/>
      <c r="AM237" s="991"/>
      <c r="AN237" s="992" t="s">
        <v>26</v>
      </c>
      <c r="AO237" s="993">
        <v>560.5</v>
      </c>
      <c r="AP237" s="994">
        <v>40.31</v>
      </c>
      <c r="AQ237" s="994">
        <f>AP237*AO237</f>
        <v>22593.755000000001</v>
      </c>
      <c r="AR237" s="954"/>
      <c r="AS237" s="954"/>
    </row>
    <row r="238" spans="1:45" ht="13.5" customHeight="1">
      <c r="A238" s="1006" t="s">
        <v>72</v>
      </c>
      <c r="B238" s="1034">
        <v>0.29166666666666669</v>
      </c>
      <c r="C238" s="1034">
        <v>0.125</v>
      </c>
      <c r="D238" s="1035">
        <v>8</v>
      </c>
      <c r="E238" s="1036"/>
      <c r="F238" s="1037"/>
      <c r="G238" s="1034">
        <v>0.29166666666666669</v>
      </c>
      <c r="H238" s="1034">
        <v>0.125</v>
      </c>
      <c r="I238" s="1035">
        <v>8</v>
      </c>
      <c r="J238" s="1036"/>
      <c r="K238" s="1037"/>
      <c r="L238" s="1034">
        <v>0.29166666666666669</v>
      </c>
      <c r="M238" s="1034">
        <v>0.125</v>
      </c>
      <c r="N238" s="1035">
        <v>8</v>
      </c>
      <c r="O238" s="1036"/>
      <c r="P238" s="1037"/>
      <c r="Q238" s="1034">
        <v>0.29166666666666669</v>
      </c>
      <c r="R238" s="1034">
        <v>0.125</v>
      </c>
      <c r="S238" s="1035">
        <v>8</v>
      </c>
      <c r="T238" s="1036"/>
      <c r="U238" s="1037"/>
      <c r="V238" s="1034">
        <v>0.29166666666666669</v>
      </c>
      <c r="W238" s="1034">
        <v>0.125</v>
      </c>
      <c r="X238" s="1035">
        <v>8</v>
      </c>
      <c r="Y238" s="1036"/>
      <c r="Z238" s="1038">
        <v>40</v>
      </c>
      <c r="AA238" s="1039">
        <v>0</v>
      </c>
      <c r="AB238" s="1037"/>
      <c r="AC238" s="1040"/>
      <c r="AD238" s="1040"/>
      <c r="AE238" s="1035"/>
      <c r="AF238" s="941"/>
      <c r="AG238" s="1091"/>
      <c r="AH238" s="1092"/>
      <c r="AI238" s="1071"/>
      <c r="AJ238" s="1041">
        <v>0</v>
      </c>
      <c r="AK238" s="941"/>
      <c r="AL238" s="984"/>
      <c r="AM238" s="991"/>
      <c r="AN238" s="992" t="s">
        <v>1421</v>
      </c>
      <c r="AO238" s="1005">
        <v>136</v>
      </c>
      <c r="AP238" s="1007">
        <v>60.47</v>
      </c>
      <c r="AQ238" s="994">
        <f>AP238*AO238</f>
        <v>8223.92</v>
      </c>
      <c r="AR238" s="954"/>
      <c r="AS238" s="954"/>
    </row>
    <row r="239" spans="1:45" ht="13.5" customHeight="1">
      <c r="A239" s="1009" t="s">
        <v>1430</v>
      </c>
      <c r="B239" s="1034">
        <v>0.29166666666666669</v>
      </c>
      <c r="C239" s="1034">
        <v>0.125</v>
      </c>
      <c r="D239" s="1035">
        <v>8</v>
      </c>
      <c r="E239" s="1036"/>
      <c r="F239" s="1037"/>
      <c r="G239" s="1034">
        <v>0.29166666666666669</v>
      </c>
      <c r="H239" s="1034">
        <v>0.125</v>
      </c>
      <c r="I239" s="1035">
        <v>8</v>
      </c>
      <c r="J239" s="1036"/>
      <c r="K239" s="1037"/>
      <c r="L239" s="1034"/>
      <c r="M239" s="1034"/>
      <c r="N239" s="1035">
        <v>0</v>
      </c>
      <c r="O239" s="1036"/>
      <c r="P239" s="1037"/>
      <c r="Q239" s="1034"/>
      <c r="R239" s="1034"/>
      <c r="S239" s="1035">
        <v>0</v>
      </c>
      <c r="T239" s="1036"/>
      <c r="U239" s="1037"/>
      <c r="V239" s="1034"/>
      <c r="W239" s="1034"/>
      <c r="X239" s="1035">
        <v>0</v>
      </c>
      <c r="Y239" s="1036"/>
      <c r="Z239" s="1038">
        <v>16</v>
      </c>
      <c r="AA239" s="1039">
        <v>0</v>
      </c>
      <c r="AB239" s="1037"/>
      <c r="AC239" s="1034"/>
      <c r="AD239" s="1034"/>
      <c r="AE239" s="1035"/>
      <c r="AF239" s="941"/>
      <c r="AG239" s="1006"/>
      <c r="AH239" s="1006"/>
      <c r="AI239" s="1071"/>
      <c r="AJ239" s="1041">
        <v>0</v>
      </c>
      <c r="AK239" s="941"/>
      <c r="AL239" s="943"/>
      <c r="AM239" s="940"/>
      <c r="AN239" s="992" t="s">
        <v>30</v>
      </c>
      <c r="AO239" s="1005">
        <v>1</v>
      </c>
      <c r="AP239" s="1007">
        <v>60.465000000000003</v>
      </c>
      <c r="AQ239" s="994">
        <f t="shared" ref="AQ239" si="6">AP239*AO239</f>
        <v>60.465000000000003</v>
      </c>
      <c r="AR239" s="954"/>
      <c r="AS239" s="954"/>
    </row>
    <row r="240" spans="1:45" ht="13.5" customHeight="1">
      <c r="A240" s="1009" t="s">
        <v>1166</v>
      </c>
      <c r="B240" s="1034">
        <v>0.29166666666666669</v>
      </c>
      <c r="C240" s="1034">
        <v>0.125</v>
      </c>
      <c r="D240" s="1035">
        <v>8</v>
      </c>
      <c r="E240" s="1036"/>
      <c r="F240" s="1037"/>
      <c r="G240" s="1034">
        <v>0.29166666666666669</v>
      </c>
      <c r="H240" s="1034">
        <v>0.125</v>
      </c>
      <c r="I240" s="1035">
        <v>8</v>
      </c>
      <c r="J240" s="1036"/>
      <c r="K240" s="1037"/>
      <c r="L240" s="1034">
        <v>0.29166666666666669</v>
      </c>
      <c r="M240" s="1034">
        <v>0.125</v>
      </c>
      <c r="N240" s="1035">
        <v>8</v>
      </c>
      <c r="O240" s="1036"/>
      <c r="P240" s="1037"/>
      <c r="Q240" s="1034">
        <v>0.29166666666666669</v>
      </c>
      <c r="R240" s="1034">
        <v>0.125</v>
      </c>
      <c r="S240" s="1035">
        <v>8</v>
      </c>
      <c r="T240" s="1036"/>
      <c r="U240" s="1037"/>
      <c r="V240" s="1034">
        <v>0.29166666666666669</v>
      </c>
      <c r="W240" s="1034">
        <v>0.125</v>
      </c>
      <c r="X240" s="1035">
        <v>8</v>
      </c>
      <c r="Y240" s="1036"/>
      <c r="Z240" s="1038">
        <v>40</v>
      </c>
      <c r="AA240" s="1039">
        <v>0</v>
      </c>
      <c r="AB240" s="1037"/>
      <c r="AC240" s="1034"/>
      <c r="AD240" s="1034"/>
      <c r="AE240" s="1035"/>
      <c r="AF240" s="941"/>
      <c r="AG240" s="1006"/>
      <c r="AH240" s="1006"/>
      <c r="AI240" s="1071"/>
      <c r="AJ240" s="1041">
        <v>0</v>
      </c>
      <c r="AK240" s="941"/>
      <c r="AL240" s="943"/>
      <c r="AM240" s="940"/>
      <c r="AN240" s="992" t="s">
        <v>32</v>
      </c>
      <c r="AO240" s="1005">
        <v>22</v>
      </c>
      <c r="AP240" s="994">
        <v>60.465000000000003</v>
      </c>
      <c r="AQ240" s="994">
        <f>AP240*AO240</f>
        <v>1330.23</v>
      </c>
      <c r="AR240" s="954"/>
      <c r="AS240" s="954"/>
    </row>
    <row r="241" spans="1:45" ht="13.5" customHeight="1">
      <c r="A241" s="1009" t="s">
        <v>1425</v>
      </c>
      <c r="B241" s="1034">
        <v>0.29166666666666669</v>
      </c>
      <c r="C241" s="1034">
        <v>0.125</v>
      </c>
      <c r="D241" s="1035">
        <v>8</v>
      </c>
      <c r="E241" s="1036"/>
      <c r="F241" s="1037"/>
      <c r="G241" s="1034">
        <v>0.29166666666666669</v>
      </c>
      <c r="H241" s="1034">
        <v>0.125</v>
      </c>
      <c r="I241" s="1035">
        <v>8</v>
      </c>
      <c r="J241" s="1036"/>
      <c r="K241" s="1037"/>
      <c r="L241" s="1034">
        <v>0.29166666666666669</v>
      </c>
      <c r="M241" s="1034">
        <v>0.125</v>
      </c>
      <c r="N241" s="1035">
        <v>8</v>
      </c>
      <c r="O241" s="1036"/>
      <c r="P241" s="1037"/>
      <c r="Q241" s="1034">
        <v>0.29166666666666669</v>
      </c>
      <c r="R241" s="1034">
        <v>0.125</v>
      </c>
      <c r="S241" s="1035">
        <v>8</v>
      </c>
      <c r="T241" s="1036"/>
      <c r="U241" s="1037"/>
      <c r="V241" s="1034">
        <v>0.29166666666666669</v>
      </c>
      <c r="W241" s="1034">
        <v>0.125</v>
      </c>
      <c r="X241" s="1035">
        <v>8</v>
      </c>
      <c r="Y241" s="1036"/>
      <c r="Z241" s="1038">
        <v>40</v>
      </c>
      <c r="AA241" s="1039">
        <v>0</v>
      </c>
      <c r="AB241" s="1037"/>
      <c r="AC241" s="1034"/>
      <c r="AD241" s="1034"/>
      <c r="AE241" s="1035"/>
      <c r="AF241" s="941"/>
      <c r="AG241" s="1006"/>
      <c r="AH241" s="1006"/>
      <c r="AI241" s="1071"/>
      <c r="AJ241" s="1041">
        <v>0</v>
      </c>
      <c r="AK241" s="941"/>
      <c r="AL241" s="943"/>
      <c r="AM241" s="940"/>
      <c r="AN241" s="1010" t="s">
        <v>213</v>
      </c>
      <c r="AO241" s="993">
        <v>20</v>
      </c>
      <c r="AP241" s="994">
        <v>53.05</v>
      </c>
      <c r="AQ241" s="994">
        <f>AP241*AO241</f>
        <v>1061</v>
      </c>
      <c r="AR241" s="954"/>
      <c r="AS241" s="954"/>
    </row>
    <row r="242" spans="1:45" ht="13.5" customHeight="1">
      <c r="A242" s="1009" t="s">
        <v>1426</v>
      </c>
      <c r="B242" s="1034">
        <v>0.29166666666666669</v>
      </c>
      <c r="C242" s="1034">
        <v>0.125</v>
      </c>
      <c r="D242" s="1035">
        <v>8</v>
      </c>
      <c r="E242" s="1036"/>
      <c r="F242" s="1037"/>
      <c r="G242" s="1034">
        <v>0.29166666666666669</v>
      </c>
      <c r="H242" s="1034">
        <v>0.125</v>
      </c>
      <c r="I242" s="1035">
        <v>8</v>
      </c>
      <c r="J242" s="1036"/>
      <c r="K242" s="1037"/>
      <c r="L242" s="1034">
        <v>0.29166666666666669</v>
      </c>
      <c r="M242" s="1034">
        <v>0.125</v>
      </c>
      <c r="N242" s="1035">
        <v>8</v>
      </c>
      <c r="O242" s="1036"/>
      <c r="P242" s="1037"/>
      <c r="Q242" s="1034">
        <v>0.29166666666666669</v>
      </c>
      <c r="R242" s="1034">
        <v>0.125</v>
      </c>
      <c r="S242" s="1035">
        <v>8</v>
      </c>
      <c r="T242" s="1036"/>
      <c r="U242" s="1037"/>
      <c r="V242" s="1034"/>
      <c r="W242" s="1034"/>
      <c r="X242" s="1035">
        <v>0</v>
      </c>
      <c r="Y242" s="1036"/>
      <c r="Z242" s="1038">
        <v>32</v>
      </c>
      <c r="AA242" s="1039">
        <v>0</v>
      </c>
      <c r="AB242" s="1037"/>
      <c r="AC242" s="1034"/>
      <c r="AD242" s="1034"/>
      <c r="AE242" s="1035"/>
      <c r="AF242" s="941"/>
      <c r="AG242" s="1006"/>
      <c r="AH242" s="1006"/>
      <c r="AI242" s="1071"/>
      <c r="AJ242" s="1041">
        <v>0</v>
      </c>
      <c r="AK242" s="941"/>
      <c r="AL242" s="943"/>
      <c r="AM242" s="940"/>
      <c r="AN242" s="992" t="s">
        <v>36</v>
      </c>
      <c r="AO242" s="1005">
        <v>1.5</v>
      </c>
      <c r="AP242" s="994">
        <v>79.574999999999989</v>
      </c>
      <c r="AQ242" s="994">
        <f>AP242*AO242</f>
        <v>119.36249999999998</v>
      </c>
      <c r="AR242" s="954"/>
      <c r="AS242" s="954"/>
    </row>
    <row r="243" spans="1:45" ht="13.5" customHeight="1">
      <c r="A243" s="1009" t="s">
        <v>1066</v>
      </c>
      <c r="B243" s="1034">
        <v>0.29166666666666669</v>
      </c>
      <c r="C243" s="1034">
        <v>0.125</v>
      </c>
      <c r="D243" s="1035">
        <v>8</v>
      </c>
      <c r="E243" s="1036"/>
      <c r="F243" s="1037"/>
      <c r="G243" s="1034">
        <v>0.29166666666666669</v>
      </c>
      <c r="H243" s="1034">
        <v>0.125</v>
      </c>
      <c r="I243" s="1035">
        <v>8</v>
      </c>
      <c r="J243" s="1036"/>
      <c r="K243" s="1037"/>
      <c r="L243" s="1034">
        <v>0.29166666666666669</v>
      </c>
      <c r="M243" s="1034">
        <v>0.125</v>
      </c>
      <c r="N243" s="1035">
        <v>8</v>
      </c>
      <c r="O243" s="1036"/>
      <c r="P243" s="1037"/>
      <c r="Q243" s="1034">
        <v>0.29166666666666669</v>
      </c>
      <c r="R243" s="1034">
        <v>0.125</v>
      </c>
      <c r="S243" s="1035">
        <v>8</v>
      </c>
      <c r="T243" s="1036"/>
      <c r="U243" s="1037"/>
      <c r="V243" s="1034">
        <v>0.29166666666666669</v>
      </c>
      <c r="W243" s="1034">
        <v>0.125</v>
      </c>
      <c r="X243" s="1035">
        <v>8</v>
      </c>
      <c r="Y243" s="1036"/>
      <c r="Z243" s="1038">
        <v>40</v>
      </c>
      <c r="AA243" s="1039">
        <v>0</v>
      </c>
      <c r="AB243" s="1037"/>
      <c r="AC243" s="1034"/>
      <c r="AD243" s="1034"/>
      <c r="AE243" s="1035"/>
      <c r="AF243" s="941"/>
      <c r="AG243" s="1006"/>
      <c r="AH243" s="1006"/>
      <c r="AI243" s="1071"/>
      <c r="AJ243" s="1041">
        <v>0</v>
      </c>
      <c r="AK243" s="941"/>
      <c r="AL243" s="943"/>
      <c r="AM243" s="940"/>
      <c r="AN243" s="992" t="s">
        <v>38</v>
      </c>
      <c r="AO243" s="1005">
        <v>6</v>
      </c>
      <c r="AP243" s="994">
        <v>79.574999999999989</v>
      </c>
      <c r="AQ243" s="994">
        <f>AP243*AO243</f>
        <v>477.44999999999993</v>
      </c>
      <c r="AR243" s="954"/>
      <c r="AS243" s="954"/>
    </row>
    <row r="244" spans="1:45" ht="13.5" customHeight="1">
      <c r="A244" s="1009" t="s">
        <v>1427</v>
      </c>
      <c r="B244" s="1034">
        <v>0.29166666666666669</v>
      </c>
      <c r="C244" s="1034">
        <v>0.13541666666666666</v>
      </c>
      <c r="D244" s="1035">
        <v>8</v>
      </c>
      <c r="E244" s="1036">
        <v>0.75</v>
      </c>
      <c r="F244" s="1037"/>
      <c r="G244" s="1034">
        <v>0.29166666666666669</v>
      </c>
      <c r="H244" s="1034"/>
      <c r="I244" s="1035">
        <v>8</v>
      </c>
      <c r="J244" s="1036"/>
      <c r="K244" s="1037"/>
      <c r="L244" s="1034">
        <v>0.29166666666666669</v>
      </c>
      <c r="M244" s="1034"/>
      <c r="N244" s="1035">
        <v>8</v>
      </c>
      <c r="O244" s="1036"/>
      <c r="P244" s="1037"/>
      <c r="Q244" s="1034">
        <v>0.29166666666666669</v>
      </c>
      <c r="R244" s="1034">
        <v>0.125</v>
      </c>
      <c r="S244" s="1035">
        <v>8</v>
      </c>
      <c r="T244" s="1036"/>
      <c r="U244" s="1037"/>
      <c r="V244" s="1034">
        <v>0.29166666666666669</v>
      </c>
      <c r="W244" s="1034">
        <v>0.125</v>
      </c>
      <c r="X244" s="1035">
        <v>8</v>
      </c>
      <c r="Y244" s="1036"/>
      <c r="Z244" s="1038">
        <v>40</v>
      </c>
      <c r="AA244" s="1039">
        <v>0.75</v>
      </c>
      <c r="AB244" s="1037"/>
      <c r="AC244" s="1034">
        <v>0.52083333333333337</v>
      </c>
      <c r="AD244" s="1034">
        <v>0.27083333333333331</v>
      </c>
      <c r="AE244" s="1035">
        <v>6</v>
      </c>
      <c r="AF244" s="941"/>
      <c r="AG244" s="1006"/>
      <c r="AH244" s="1006"/>
      <c r="AI244" s="1071"/>
      <c r="AJ244" s="1041">
        <v>6</v>
      </c>
      <c r="AK244" s="941"/>
      <c r="AL244" s="943"/>
      <c r="AM244" s="940"/>
      <c r="AN244" s="954"/>
      <c r="AO244" s="1005"/>
      <c r="AP244" s="954"/>
      <c r="AQ244" s="994">
        <v>33866.182500000003</v>
      </c>
      <c r="AR244" s="954"/>
      <c r="AS244" s="954"/>
    </row>
    <row r="245" spans="1:45" ht="13.5" customHeight="1">
      <c r="A245" s="1009" t="s">
        <v>1428</v>
      </c>
      <c r="B245" s="1034">
        <v>0.125</v>
      </c>
      <c r="C245" s="1034">
        <v>0.45833333333333331</v>
      </c>
      <c r="D245" s="1035">
        <v>8</v>
      </c>
      <c r="E245" s="1036"/>
      <c r="F245" s="1037"/>
      <c r="G245" s="1034">
        <v>0.125</v>
      </c>
      <c r="H245" s="1034">
        <v>0.45833333333333331</v>
      </c>
      <c r="I245" s="1035">
        <v>8</v>
      </c>
      <c r="J245" s="1036"/>
      <c r="K245" s="1037"/>
      <c r="L245" s="1034">
        <v>0.125</v>
      </c>
      <c r="M245" s="1034">
        <v>0.45833333333333331</v>
      </c>
      <c r="N245" s="1035">
        <v>8</v>
      </c>
      <c r="O245" s="1036"/>
      <c r="P245" s="1037"/>
      <c r="Q245" s="1034">
        <v>0.125</v>
      </c>
      <c r="R245" s="1034">
        <v>0.45833333333333331</v>
      </c>
      <c r="S245" s="1035">
        <v>8</v>
      </c>
      <c r="T245" s="1036"/>
      <c r="U245" s="1037"/>
      <c r="V245" s="1034">
        <v>0.125</v>
      </c>
      <c r="W245" s="1034">
        <v>0.45833333333333331</v>
      </c>
      <c r="X245" s="1035">
        <v>8</v>
      </c>
      <c r="Y245" s="1036"/>
      <c r="Z245" s="1038">
        <v>40</v>
      </c>
      <c r="AA245" s="1039">
        <v>0</v>
      </c>
      <c r="AB245" s="1037"/>
      <c r="AC245" s="1034"/>
      <c r="AD245" s="1034"/>
      <c r="AE245" s="1035"/>
      <c r="AF245" s="941"/>
      <c r="AG245" s="1006"/>
      <c r="AH245" s="1006"/>
      <c r="AI245" s="1071"/>
      <c r="AJ245" s="1041">
        <v>0</v>
      </c>
      <c r="AK245" s="941"/>
      <c r="AL245" s="943"/>
      <c r="AM245" s="940"/>
      <c r="AN245" s="954"/>
      <c r="AO245" s="1005"/>
      <c r="AP245" s="954"/>
      <c r="AQ245" s="954"/>
      <c r="AR245" s="954"/>
      <c r="AS245" s="954"/>
    </row>
    <row r="246" spans="1:45" ht="13.5" customHeight="1">
      <c r="A246" s="1009" t="s">
        <v>1142</v>
      </c>
      <c r="B246" s="1034">
        <v>0.125</v>
      </c>
      <c r="C246" s="1034">
        <v>0.45833333333333331</v>
      </c>
      <c r="D246" s="1035">
        <v>8</v>
      </c>
      <c r="E246" s="1036"/>
      <c r="F246" s="1037"/>
      <c r="G246" s="1034">
        <v>0.125</v>
      </c>
      <c r="H246" s="1034">
        <v>0.45833333333333331</v>
      </c>
      <c r="I246" s="1035">
        <v>8</v>
      </c>
      <c r="J246" s="1036"/>
      <c r="K246" s="1042"/>
      <c r="L246" s="1034">
        <v>0.125</v>
      </c>
      <c r="M246" s="1034">
        <v>0.45833333333333331</v>
      </c>
      <c r="N246" s="1035">
        <v>8</v>
      </c>
      <c r="O246" s="1036"/>
      <c r="P246" s="1042"/>
      <c r="Q246" s="1034">
        <v>0.125</v>
      </c>
      <c r="R246" s="1034">
        <v>0.45833333333333331</v>
      </c>
      <c r="S246" s="1035">
        <v>8</v>
      </c>
      <c r="T246" s="1036"/>
      <c r="U246" s="1042"/>
      <c r="V246" s="1034">
        <v>0.125</v>
      </c>
      <c r="W246" s="1034">
        <v>0.45833333333333331</v>
      </c>
      <c r="X246" s="1035">
        <v>8</v>
      </c>
      <c r="Y246" s="1036"/>
      <c r="Z246" s="1038">
        <v>40</v>
      </c>
      <c r="AA246" s="1039">
        <v>0</v>
      </c>
      <c r="AB246" s="1037"/>
      <c r="AC246" s="1034"/>
      <c r="AD246" s="1034"/>
      <c r="AE246" s="1035"/>
      <c r="AF246" s="941"/>
      <c r="AG246" s="1006"/>
      <c r="AH246" s="1006"/>
      <c r="AI246" s="1071"/>
      <c r="AJ246" s="1041">
        <v>0</v>
      </c>
      <c r="AK246" s="941"/>
      <c r="AL246" s="943"/>
      <c r="AM246" s="940"/>
      <c r="AN246" s="953" t="s">
        <v>1115</v>
      </c>
      <c r="AO246" s="1005">
        <v>85</v>
      </c>
      <c r="AP246" s="954"/>
      <c r="AQ246" s="954"/>
      <c r="AR246" s="954"/>
      <c r="AS246" s="954"/>
    </row>
    <row r="247" spans="1:45" ht="13.5" customHeight="1">
      <c r="A247" s="1009" t="s">
        <v>1429</v>
      </c>
      <c r="B247" s="1034">
        <v>0.125</v>
      </c>
      <c r="C247" s="1034">
        <v>0.45833333333333331</v>
      </c>
      <c r="D247" s="1035">
        <v>8</v>
      </c>
      <c r="E247" s="1036"/>
      <c r="F247" s="1037"/>
      <c r="G247" s="1034">
        <v>0.125</v>
      </c>
      <c r="H247" s="1034">
        <v>0.45833333333333331</v>
      </c>
      <c r="I247" s="1035">
        <v>8</v>
      </c>
      <c r="J247" s="1036"/>
      <c r="K247" s="1042"/>
      <c r="L247" s="1034">
        <v>0.125</v>
      </c>
      <c r="M247" s="1034">
        <v>0.45833333333333331</v>
      </c>
      <c r="N247" s="1035">
        <v>8</v>
      </c>
      <c r="O247" s="1036"/>
      <c r="P247" s="1042"/>
      <c r="Q247" s="1034">
        <v>0.125</v>
      </c>
      <c r="R247" s="1034">
        <v>0.45833333333333331</v>
      </c>
      <c r="S247" s="1035">
        <v>8</v>
      </c>
      <c r="T247" s="1036"/>
      <c r="U247" s="1042"/>
      <c r="V247" s="1034">
        <v>0.125</v>
      </c>
      <c r="W247" s="1034">
        <v>0.45833333333333331</v>
      </c>
      <c r="X247" s="1035">
        <v>8</v>
      </c>
      <c r="Y247" s="1036"/>
      <c r="Z247" s="1038">
        <v>40</v>
      </c>
      <c r="AA247" s="1039">
        <v>0</v>
      </c>
      <c r="AB247" s="1037"/>
      <c r="AC247" s="1034"/>
      <c r="AD247" s="1034"/>
      <c r="AE247" s="1035"/>
      <c r="AF247" s="941"/>
      <c r="AG247" s="1006"/>
      <c r="AH247" s="1006"/>
      <c r="AI247" s="1071"/>
      <c r="AJ247" s="1041">
        <v>0</v>
      </c>
      <c r="AK247" s="941"/>
      <c r="AL247" s="943"/>
      <c r="AM247" s="940"/>
      <c r="AN247" s="954"/>
      <c r="AO247" s="954"/>
      <c r="AP247" s="954"/>
      <c r="AQ247" s="954"/>
      <c r="AR247" s="954"/>
      <c r="AS247" s="954"/>
    </row>
    <row r="248" spans="1:45" ht="13.5" customHeight="1">
      <c r="A248" s="1011" t="s">
        <v>1060</v>
      </c>
      <c r="B248" s="1034">
        <v>0.125</v>
      </c>
      <c r="C248" s="1034">
        <v>0.45833333333333331</v>
      </c>
      <c r="D248" s="1035">
        <v>8</v>
      </c>
      <c r="E248" s="1036"/>
      <c r="F248" s="1037"/>
      <c r="G248" s="1034">
        <v>0.125</v>
      </c>
      <c r="H248" s="1034">
        <v>0.45833333333333331</v>
      </c>
      <c r="I248" s="1035">
        <v>8</v>
      </c>
      <c r="J248" s="1036"/>
      <c r="K248" s="1042"/>
      <c r="L248" s="1034">
        <v>0.125</v>
      </c>
      <c r="M248" s="1034">
        <v>0.45833333333333331</v>
      </c>
      <c r="N248" s="1035">
        <v>8</v>
      </c>
      <c r="O248" s="1036"/>
      <c r="P248" s="1042"/>
      <c r="Q248" s="1034">
        <v>0.125</v>
      </c>
      <c r="R248" s="1034">
        <v>0.45833333333333331</v>
      </c>
      <c r="S248" s="1035">
        <v>8</v>
      </c>
      <c r="T248" s="1036"/>
      <c r="U248" s="1042"/>
      <c r="V248" s="1034">
        <v>0.125</v>
      </c>
      <c r="W248" s="1034">
        <v>0.45833333333333331</v>
      </c>
      <c r="X248" s="1035">
        <v>8</v>
      </c>
      <c r="Y248" s="1036"/>
      <c r="Z248" s="1038">
        <v>40</v>
      </c>
      <c r="AA248" s="1039">
        <v>0</v>
      </c>
      <c r="AB248" s="1037"/>
      <c r="AC248" s="1034"/>
      <c r="AD248" s="1034"/>
      <c r="AE248" s="1035"/>
      <c r="AF248" s="941"/>
      <c r="AG248" s="1006"/>
      <c r="AH248" s="1006"/>
      <c r="AI248" s="1071"/>
      <c r="AJ248" s="1041">
        <v>0</v>
      </c>
      <c r="AK248" s="941"/>
      <c r="AL248" s="943"/>
      <c r="AM248" s="940"/>
      <c r="AN248" s="954"/>
      <c r="AO248" s="954"/>
      <c r="AP248" s="954"/>
      <c r="AQ248" s="954"/>
      <c r="AR248" s="954"/>
      <c r="AS248" s="954"/>
    </row>
    <row r="249" spans="1:45" ht="13.5" customHeight="1">
      <c r="A249" s="941" t="s">
        <v>327</v>
      </c>
      <c r="B249" s="1034">
        <v>0.125</v>
      </c>
      <c r="C249" s="1034">
        <v>0.45833333333333331</v>
      </c>
      <c r="D249" s="1035">
        <v>8</v>
      </c>
      <c r="E249" s="1036"/>
      <c r="F249" s="1042"/>
      <c r="G249" s="1034">
        <v>0.125</v>
      </c>
      <c r="H249" s="1034">
        <v>0.45833333333333331</v>
      </c>
      <c r="I249" s="1035">
        <v>8</v>
      </c>
      <c r="J249" s="1036"/>
      <c r="K249" s="1042"/>
      <c r="L249" s="1034">
        <v>0.14583333333333334</v>
      </c>
      <c r="M249" s="1034">
        <v>0.45833333333333331</v>
      </c>
      <c r="N249" s="1035">
        <v>7.5</v>
      </c>
      <c r="O249" s="1036"/>
      <c r="P249" s="1042"/>
      <c r="Q249" s="1034">
        <v>0.125</v>
      </c>
      <c r="R249" s="1034">
        <v>0.45833333333333331</v>
      </c>
      <c r="S249" s="1035">
        <v>8</v>
      </c>
      <c r="T249" s="1036"/>
      <c r="U249" s="1042"/>
      <c r="V249" s="1034">
        <v>0.125</v>
      </c>
      <c r="W249" s="1034">
        <v>0.45833333333333331</v>
      </c>
      <c r="X249" s="1035">
        <v>8</v>
      </c>
      <c r="Y249" s="1036"/>
      <c r="Z249" s="1038">
        <v>39.5</v>
      </c>
      <c r="AA249" s="1039">
        <v>0</v>
      </c>
      <c r="AB249" s="1037"/>
      <c r="AC249" s="1034"/>
      <c r="AD249" s="1034"/>
      <c r="AE249" s="1035"/>
      <c r="AF249" s="941"/>
      <c r="AG249" s="1006"/>
      <c r="AH249" s="1006"/>
      <c r="AI249" s="1071"/>
      <c r="AJ249" s="1041">
        <v>0</v>
      </c>
      <c r="AK249" s="941"/>
      <c r="AL249" s="943"/>
      <c r="AM249" s="940"/>
      <c r="AN249" s="954"/>
      <c r="AO249" s="954"/>
      <c r="AP249" s="954"/>
      <c r="AQ249" s="954"/>
      <c r="AR249" s="954"/>
      <c r="AS249" s="954"/>
    </row>
    <row r="250" spans="1:45" ht="13.5" customHeight="1">
      <c r="A250" s="1006" t="s">
        <v>1144</v>
      </c>
      <c r="B250" s="1034">
        <v>0.125</v>
      </c>
      <c r="C250" s="1034">
        <v>0.45833333333333331</v>
      </c>
      <c r="D250" s="1035">
        <v>8</v>
      </c>
      <c r="E250" s="1036"/>
      <c r="F250" s="1042"/>
      <c r="G250" s="1034">
        <v>0.13541666666666666</v>
      </c>
      <c r="H250" s="1034">
        <v>0.45833333333333331</v>
      </c>
      <c r="I250" s="1035">
        <v>8</v>
      </c>
      <c r="J250" s="1036"/>
      <c r="K250" s="1042"/>
      <c r="L250" s="1034">
        <v>0.125</v>
      </c>
      <c r="M250" s="1034">
        <v>0.45833333333333331</v>
      </c>
      <c r="N250" s="1035">
        <v>8</v>
      </c>
      <c r="O250" s="1036"/>
      <c r="P250" s="1042"/>
      <c r="Q250" s="1034">
        <v>0.125</v>
      </c>
      <c r="R250" s="1034">
        <v>0.45833333333333331</v>
      </c>
      <c r="S250" s="1035">
        <v>8</v>
      </c>
      <c r="T250" s="1036"/>
      <c r="U250" s="1042"/>
      <c r="V250" s="1034">
        <v>0.125</v>
      </c>
      <c r="W250" s="1034">
        <v>0.45833333333333331</v>
      </c>
      <c r="X250" s="1035">
        <v>8</v>
      </c>
      <c r="Y250" s="1036"/>
      <c r="Z250" s="1038">
        <v>40</v>
      </c>
      <c r="AA250" s="1039">
        <v>0</v>
      </c>
      <c r="AB250" s="1037"/>
      <c r="AC250" s="1034"/>
      <c r="AD250" s="1034"/>
      <c r="AE250" s="1035"/>
      <c r="AF250" s="941"/>
      <c r="AG250" s="1006"/>
      <c r="AH250" s="1006"/>
      <c r="AI250" s="1071"/>
      <c r="AJ250" s="1041">
        <v>0</v>
      </c>
      <c r="AK250" s="941"/>
      <c r="AL250" s="943"/>
      <c r="AM250" s="940"/>
      <c r="AN250" s="954"/>
      <c r="AO250" s="954"/>
      <c r="AP250" s="954"/>
      <c r="AQ250" s="954"/>
      <c r="AR250" s="954"/>
      <c r="AS250" s="954"/>
    </row>
    <row r="251" spans="1:45" ht="13.5" customHeight="1">
      <c r="A251" s="1006" t="s">
        <v>1436</v>
      </c>
      <c r="B251" s="1034">
        <v>0.125</v>
      </c>
      <c r="C251" s="1034">
        <v>0.45833333333333331</v>
      </c>
      <c r="D251" s="1035">
        <v>8</v>
      </c>
      <c r="E251" s="1036"/>
      <c r="F251" s="1042"/>
      <c r="G251" s="1034">
        <v>0.125</v>
      </c>
      <c r="H251" s="1034">
        <v>0.45833333333333331</v>
      </c>
      <c r="I251" s="1035">
        <v>8</v>
      </c>
      <c r="J251" s="1036"/>
      <c r="K251" s="1042"/>
      <c r="L251" s="1034">
        <v>0.125</v>
      </c>
      <c r="M251" s="1034">
        <v>0.45833333333333331</v>
      </c>
      <c r="N251" s="1035">
        <v>8</v>
      </c>
      <c r="O251" s="1036"/>
      <c r="P251" s="1042"/>
      <c r="Q251" s="1034">
        <v>0.125</v>
      </c>
      <c r="R251" s="1034">
        <v>0.45833333333333331</v>
      </c>
      <c r="S251" s="1035">
        <v>8</v>
      </c>
      <c r="T251" s="1036"/>
      <c r="U251" s="1042"/>
      <c r="V251" s="1034">
        <v>0.125</v>
      </c>
      <c r="W251" s="1034">
        <v>0.45833333333333331</v>
      </c>
      <c r="X251" s="1035">
        <v>8</v>
      </c>
      <c r="Y251" s="1036"/>
      <c r="Z251" s="1038">
        <v>40</v>
      </c>
      <c r="AA251" s="1039">
        <v>0</v>
      </c>
      <c r="AB251" s="1037"/>
      <c r="AC251" s="1034"/>
      <c r="AD251" s="1034"/>
      <c r="AE251" s="1035"/>
      <c r="AF251" s="941"/>
      <c r="AG251" s="1006"/>
      <c r="AH251" s="1006"/>
      <c r="AI251" s="1071"/>
      <c r="AJ251" s="1041">
        <v>0</v>
      </c>
      <c r="AK251" s="941"/>
      <c r="AL251" s="943"/>
      <c r="AM251" s="940"/>
      <c r="AN251" s="954"/>
      <c r="AO251" s="954"/>
      <c r="AP251" s="954"/>
      <c r="AQ251" s="954"/>
      <c r="AR251" s="954"/>
      <c r="AS251" s="954"/>
    </row>
    <row r="252" spans="1:45" ht="13.5" customHeight="1">
      <c r="A252" s="1009" t="s">
        <v>1140</v>
      </c>
      <c r="B252" s="1034"/>
      <c r="C252" s="1034"/>
      <c r="D252" s="1035"/>
      <c r="E252" s="1036"/>
      <c r="F252" s="1042"/>
      <c r="G252" s="1034"/>
      <c r="H252" s="1034"/>
      <c r="I252" s="1035"/>
      <c r="J252" s="1036"/>
      <c r="K252" s="1042"/>
      <c r="L252" s="1034"/>
      <c r="M252" s="1034"/>
      <c r="N252" s="1035"/>
      <c r="O252" s="1036"/>
      <c r="P252" s="1042"/>
      <c r="Q252" s="1034"/>
      <c r="R252" s="1034"/>
      <c r="S252" s="1035"/>
      <c r="T252" s="1036"/>
      <c r="U252" s="1042"/>
      <c r="V252" s="1034"/>
      <c r="W252" s="1034"/>
      <c r="X252" s="1035"/>
      <c r="Y252" s="1036"/>
      <c r="Z252" s="1038">
        <v>0</v>
      </c>
      <c r="AA252" s="1039">
        <v>0</v>
      </c>
      <c r="AB252" s="1037"/>
      <c r="AC252" s="1034"/>
      <c r="AD252" s="1034"/>
      <c r="AE252" s="1035"/>
      <c r="AF252" s="941"/>
      <c r="AG252" s="1006"/>
      <c r="AH252" s="1006"/>
      <c r="AI252" s="1071"/>
      <c r="AJ252" s="1041">
        <v>0</v>
      </c>
      <c r="AK252" s="941"/>
      <c r="AL252" s="943"/>
      <c r="AM252" s="940"/>
      <c r="AN252" s="954"/>
      <c r="AO252" s="954"/>
      <c r="AP252" s="954"/>
      <c r="AQ252" s="954"/>
      <c r="AR252" s="954"/>
      <c r="AS252" s="954"/>
    </row>
    <row r="253" spans="1:45" ht="13.5" customHeight="1">
      <c r="A253" s="1009" t="s">
        <v>1435</v>
      </c>
      <c r="B253" s="1034"/>
      <c r="C253" s="1034"/>
      <c r="D253" s="1035"/>
      <c r="E253" s="1036"/>
      <c r="F253" s="1042"/>
      <c r="G253" s="1034"/>
      <c r="H253" s="1034"/>
      <c r="I253" s="1035"/>
      <c r="J253" s="1036"/>
      <c r="K253" s="1042"/>
      <c r="L253" s="1034"/>
      <c r="M253" s="1034"/>
      <c r="N253" s="1035"/>
      <c r="O253" s="1036"/>
      <c r="P253" s="1042"/>
      <c r="Q253" s="1034"/>
      <c r="R253" s="1034"/>
      <c r="S253" s="1035"/>
      <c r="T253" s="1036"/>
      <c r="U253" s="1042"/>
      <c r="V253" s="1034"/>
      <c r="W253" s="1034"/>
      <c r="X253" s="1035"/>
      <c r="Y253" s="1036"/>
      <c r="Z253" s="1038">
        <v>0</v>
      </c>
      <c r="AA253" s="1039">
        <v>0</v>
      </c>
      <c r="AB253" s="1037"/>
      <c r="AC253" s="1034">
        <v>0.33333333333333331</v>
      </c>
      <c r="AD253" s="1034">
        <v>0.16666666666666666</v>
      </c>
      <c r="AE253" s="1035">
        <v>9</v>
      </c>
      <c r="AF253" s="941"/>
      <c r="AG253" s="1006"/>
      <c r="AH253" s="1006"/>
      <c r="AI253" s="1071"/>
      <c r="AJ253" s="1041">
        <v>9</v>
      </c>
      <c r="AK253" s="941"/>
      <c r="AL253" s="943"/>
      <c r="AM253" s="940"/>
      <c r="AN253" s="954"/>
      <c r="AO253" s="954"/>
      <c r="AP253" s="954"/>
      <c r="AQ253" s="954"/>
      <c r="AR253" s="954"/>
      <c r="AS253" s="954"/>
    </row>
    <row r="254" spans="1:45" ht="13.5" customHeight="1">
      <c r="A254" s="1009" t="s">
        <v>1431</v>
      </c>
      <c r="B254" s="1034"/>
      <c r="C254" s="1034"/>
      <c r="D254" s="1035">
        <v>1</v>
      </c>
      <c r="E254" s="1036"/>
      <c r="F254" s="1042"/>
      <c r="G254" s="1034"/>
      <c r="H254" s="1034"/>
      <c r="I254" s="1035">
        <v>1</v>
      </c>
      <c r="J254" s="1036"/>
      <c r="K254" s="1042"/>
      <c r="L254" s="1034"/>
      <c r="M254" s="1034"/>
      <c r="N254" s="1035">
        <v>1</v>
      </c>
      <c r="O254" s="1036"/>
      <c r="P254" s="1042"/>
      <c r="Q254" s="1034"/>
      <c r="R254" s="1034"/>
      <c r="S254" s="1035">
        <v>1</v>
      </c>
      <c r="T254" s="1036"/>
      <c r="U254" s="1042"/>
      <c r="V254" s="1034"/>
      <c r="W254" s="1034"/>
      <c r="X254" s="1035">
        <v>1</v>
      </c>
      <c r="Y254" s="1036"/>
      <c r="Z254" s="1038">
        <v>5</v>
      </c>
      <c r="AA254" s="1039">
        <v>0</v>
      </c>
      <c r="AB254" s="1037"/>
      <c r="AC254" s="1034"/>
      <c r="AD254" s="1034"/>
      <c r="AE254" s="1035"/>
      <c r="AF254" s="941"/>
      <c r="AG254" s="1006"/>
      <c r="AH254" s="1006"/>
      <c r="AI254" s="1071"/>
      <c r="AJ254" s="1041">
        <v>0</v>
      </c>
      <c r="AK254" s="941"/>
      <c r="AL254" s="943"/>
      <c r="AM254" s="940"/>
      <c r="AN254" s="954"/>
      <c r="AO254" s="954"/>
      <c r="AP254" s="954"/>
      <c r="AQ254" s="954"/>
      <c r="AR254" s="954"/>
      <c r="AS254" s="954"/>
    </row>
    <row r="255" spans="1:45" ht="13.5" customHeight="1">
      <c r="A255" s="1009" t="s">
        <v>813</v>
      </c>
      <c r="B255" s="1034"/>
      <c r="C255" s="1034"/>
      <c r="D255" s="1035">
        <v>2</v>
      </c>
      <c r="E255" s="1036"/>
      <c r="F255" s="1042"/>
      <c r="G255" s="1034"/>
      <c r="H255" s="1034"/>
      <c r="I255" s="1035">
        <v>2</v>
      </c>
      <c r="J255" s="1036"/>
      <c r="K255" s="1042"/>
      <c r="L255" s="1034"/>
      <c r="M255" s="1034"/>
      <c r="N255" s="1035">
        <v>2</v>
      </c>
      <c r="O255" s="1036"/>
      <c r="P255" s="1042"/>
      <c r="Q255" s="1034"/>
      <c r="R255" s="1034"/>
      <c r="S255" s="1035">
        <v>2</v>
      </c>
      <c r="T255" s="1036"/>
      <c r="U255" s="1042"/>
      <c r="V255" s="1034"/>
      <c r="W255" s="1034"/>
      <c r="X255" s="1035">
        <v>2</v>
      </c>
      <c r="Y255" s="1036"/>
      <c r="Z255" s="1038">
        <v>10</v>
      </c>
      <c r="AA255" s="1039">
        <v>0</v>
      </c>
      <c r="AB255" s="1037"/>
      <c r="AC255" s="1034"/>
      <c r="AD255" s="1034"/>
      <c r="AE255" s="1035"/>
      <c r="AF255" s="941"/>
      <c r="AG255" s="1006"/>
      <c r="AH255" s="1006"/>
      <c r="AI255" s="1071"/>
      <c r="AJ255" s="1041">
        <v>0</v>
      </c>
      <c r="AK255" s="941"/>
      <c r="AL255" s="943"/>
      <c r="AM255" s="940"/>
      <c r="AN255" s="954"/>
      <c r="AO255" s="954"/>
      <c r="AP255" s="954"/>
      <c r="AQ255" s="954"/>
      <c r="AR255" s="954"/>
      <c r="AS255" s="954"/>
    </row>
    <row r="256" spans="1:45" ht="13.5" customHeight="1">
      <c r="A256" s="1009" t="s">
        <v>1432</v>
      </c>
      <c r="B256" s="1034"/>
      <c r="C256" s="1034"/>
      <c r="D256" s="1035"/>
      <c r="E256" s="1036"/>
      <c r="F256" s="1042"/>
      <c r="G256" s="1034"/>
      <c r="H256" s="1034"/>
      <c r="I256" s="1035"/>
      <c r="J256" s="1036"/>
      <c r="K256" s="1042"/>
      <c r="L256" s="1034"/>
      <c r="M256" s="1034"/>
      <c r="N256" s="1035"/>
      <c r="O256" s="1036"/>
      <c r="P256" s="1042"/>
      <c r="Q256" s="1034"/>
      <c r="R256" s="1034"/>
      <c r="S256" s="1035"/>
      <c r="T256" s="1036"/>
      <c r="U256" s="1042"/>
      <c r="V256" s="1034"/>
      <c r="W256" s="1034"/>
      <c r="X256" s="1035"/>
      <c r="Y256" s="1036"/>
      <c r="Z256" s="1038">
        <v>0</v>
      </c>
      <c r="AA256" s="1039">
        <v>0</v>
      </c>
      <c r="AB256" s="1037"/>
      <c r="AC256" s="1034"/>
      <c r="AD256" s="1034"/>
      <c r="AE256" s="1035"/>
      <c r="AF256" s="941"/>
      <c r="AG256" s="1006"/>
      <c r="AH256" s="1006"/>
      <c r="AI256" s="1071"/>
      <c r="AJ256" s="1041">
        <v>0</v>
      </c>
      <c r="AK256" s="941"/>
      <c r="AL256" s="943"/>
      <c r="AM256" s="940"/>
      <c r="AN256" s="954"/>
      <c r="AO256" s="954"/>
      <c r="AP256" s="954"/>
      <c r="AQ256" s="954"/>
      <c r="AR256" s="954"/>
      <c r="AS256" s="954"/>
    </row>
    <row r="257" spans="1:45" ht="13.5" customHeight="1">
      <c r="A257" s="1009" t="s">
        <v>88</v>
      </c>
      <c r="B257" s="1034"/>
      <c r="C257" s="1034"/>
      <c r="D257" s="1035">
        <v>2</v>
      </c>
      <c r="E257" s="1036"/>
      <c r="F257" s="1042"/>
      <c r="G257" s="1034"/>
      <c r="H257" s="1034"/>
      <c r="I257" s="1035">
        <v>2</v>
      </c>
      <c r="J257" s="1036"/>
      <c r="K257" s="1042"/>
      <c r="L257" s="1034"/>
      <c r="M257" s="1034"/>
      <c r="N257" s="1035">
        <v>2</v>
      </c>
      <c r="O257" s="1036"/>
      <c r="P257" s="1042"/>
      <c r="Q257" s="1034"/>
      <c r="R257" s="1034"/>
      <c r="S257" s="1035">
        <v>2</v>
      </c>
      <c r="T257" s="1036"/>
      <c r="U257" s="1042"/>
      <c r="V257" s="1034"/>
      <c r="W257" s="1034"/>
      <c r="X257" s="1035">
        <v>2</v>
      </c>
      <c r="Y257" s="1036"/>
      <c r="Z257" s="1038">
        <v>10</v>
      </c>
      <c r="AA257" s="1039">
        <v>0</v>
      </c>
      <c r="AB257" s="1037"/>
      <c r="AC257" s="1034"/>
      <c r="AD257" s="1034"/>
      <c r="AE257" s="1035"/>
      <c r="AF257" s="941"/>
      <c r="AG257" s="1006"/>
      <c r="AH257" s="1006"/>
      <c r="AI257" s="1071"/>
      <c r="AJ257" s="1041">
        <v>0</v>
      </c>
      <c r="AK257" s="941"/>
      <c r="AL257" s="943"/>
      <c r="AM257" s="940"/>
      <c r="AN257" s="954"/>
      <c r="AO257" s="954"/>
      <c r="AP257" s="954"/>
      <c r="AQ257" s="954"/>
      <c r="AR257" s="954"/>
      <c r="AS257" s="954"/>
    </row>
    <row r="258" spans="1:45" ht="13.5" customHeight="1">
      <c r="A258" s="1009" t="s">
        <v>1143</v>
      </c>
      <c r="B258" s="1034"/>
      <c r="C258" s="1034"/>
      <c r="D258" s="1035"/>
      <c r="E258" s="1036"/>
      <c r="F258" s="1042"/>
      <c r="G258" s="1034"/>
      <c r="H258" s="1034"/>
      <c r="I258" s="1035"/>
      <c r="J258" s="1036"/>
      <c r="K258" s="1042"/>
      <c r="L258" s="1034"/>
      <c r="M258" s="1034"/>
      <c r="N258" s="1035"/>
      <c r="O258" s="1036"/>
      <c r="P258" s="1042"/>
      <c r="Q258" s="1034"/>
      <c r="R258" s="1034"/>
      <c r="S258" s="1035"/>
      <c r="T258" s="1036"/>
      <c r="U258" s="1042"/>
      <c r="V258" s="1034">
        <v>0.29166666666666669</v>
      </c>
      <c r="W258" s="1034">
        <v>0.125</v>
      </c>
      <c r="X258" s="1035">
        <v>8</v>
      </c>
      <c r="Y258" s="1036"/>
      <c r="Z258" s="1038">
        <v>8</v>
      </c>
      <c r="AA258" s="1039">
        <v>0</v>
      </c>
      <c r="AB258" s="1037"/>
      <c r="AC258" s="1034"/>
      <c r="AD258" s="1034"/>
      <c r="AE258" s="1035"/>
      <c r="AF258" s="941"/>
      <c r="AG258" s="1006"/>
      <c r="AH258" s="1006"/>
      <c r="AI258" s="1071"/>
      <c r="AJ258" s="1041">
        <v>0</v>
      </c>
      <c r="AK258" s="941"/>
      <c r="AL258" s="943"/>
      <c r="AM258" s="940"/>
      <c r="AN258" s="954"/>
      <c r="AO258" s="954"/>
      <c r="AP258" s="954"/>
      <c r="AQ258" s="954"/>
      <c r="AR258" s="954"/>
      <c r="AS258" s="954"/>
    </row>
    <row r="259" spans="1:45" ht="13.5" customHeight="1">
      <c r="A259" s="1043" t="s">
        <v>1438</v>
      </c>
      <c r="B259" s="1049">
        <v>0.45833333333333331</v>
      </c>
      <c r="C259" s="1049">
        <v>0.29166666666666669</v>
      </c>
      <c r="D259" s="1050">
        <v>8</v>
      </c>
      <c r="E259" s="1050"/>
      <c r="F259" s="1050"/>
      <c r="G259" s="1049">
        <v>0.45833333333333331</v>
      </c>
      <c r="H259" s="1049">
        <v>0.29166666666666669</v>
      </c>
      <c r="I259" s="1050">
        <v>8</v>
      </c>
      <c r="J259" s="1050"/>
      <c r="K259" s="1050"/>
      <c r="L259" s="1049">
        <v>0.45833333333333331</v>
      </c>
      <c r="M259" s="1049">
        <v>0.30208333333333331</v>
      </c>
      <c r="N259" s="1050">
        <v>8</v>
      </c>
      <c r="O259" s="1050">
        <v>0.25</v>
      </c>
      <c r="P259" s="1050"/>
      <c r="Q259" s="1049">
        <v>0.45833333333333331</v>
      </c>
      <c r="R259" s="1049">
        <v>0.29166666666666669</v>
      </c>
      <c r="S259" s="1050">
        <v>8</v>
      </c>
      <c r="T259" s="1050"/>
      <c r="U259" s="1050"/>
      <c r="V259" s="1049">
        <v>0.45833333333333331</v>
      </c>
      <c r="W259" s="1049">
        <v>0.29166666666666669</v>
      </c>
      <c r="X259" s="1050">
        <v>8</v>
      </c>
      <c r="Y259" s="1050"/>
      <c r="Z259" s="1051">
        <v>40</v>
      </c>
      <c r="AA259" s="1039">
        <v>0.25</v>
      </c>
      <c r="AB259" s="1037"/>
      <c r="AC259" s="1034"/>
      <c r="AD259" s="1034"/>
      <c r="AE259" s="1035"/>
      <c r="AF259" s="941"/>
      <c r="AG259" s="1006"/>
      <c r="AH259" s="1006"/>
      <c r="AI259" s="1071"/>
      <c r="AJ259" s="1041">
        <v>0</v>
      </c>
      <c r="AK259" s="941"/>
      <c r="AL259" s="943"/>
      <c r="AM259" s="940"/>
      <c r="AN259" s="954"/>
      <c r="AO259" s="954"/>
      <c r="AP259" s="954"/>
      <c r="AQ259" s="954"/>
      <c r="AR259" s="954"/>
      <c r="AS259" s="954"/>
    </row>
    <row r="260" spans="1:45" ht="13.5" customHeight="1">
      <c r="A260" s="1043" t="s">
        <v>1439</v>
      </c>
      <c r="B260" s="1049"/>
      <c r="C260" s="1049"/>
      <c r="D260" s="1050">
        <v>8</v>
      </c>
      <c r="E260" s="1050"/>
      <c r="F260" s="1050"/>
      <c r="G260" s="1049"/>
      <c r="H260" s="1049"/>
      <c r="I260" s="1050">
        <v>8</v>
      </c>
      <c r="J260" s="1050"/>
      <c r="K260" s="1050"/>
      <c r="L260" s="1049"/>
      <c r="M260" s="1049"/>
      <c r="N260" s="1050">
        <v>0</v>
      </c>
      <c r="O260" s="1050"/>
      <c r="P260" s="1050"/>
      <c r="Q260" s="1049"/>
      <c r="R260" s="1049"/>
      <c r="S260" s="1050">
        <v>0</v>
      </c>
      <c r="T260" s="1050"/>
      <c r="U260" s="1050"/>
      <c r="V260" s="1049">
        <v>0.45833333333333331</v>
      </c>
      <c r="W260" s="1049">
        <v>8.3333333333333329E-2</v>
      </c>
      <c r="X260" s="1050">
        <v>8</v>
      </c>
      <c r="Y260" s="1050"/>
      <c r="Z260" s="1051">
        <v>24</v>
      </c>
      <c r="AA260" s="1039">
        <v>0</v>
      </c>
      <c r="AB260" s="1037"/>
      <c r="AC260" s="1034"/>
      <c r="AD260" s="1034"/>
      <c r="AE260" s="1035"/>
      <c r="AF260" s="941"/>
      <c r="AG260" s="1006"/>
      <c r="AH260" s="1006"/>
      <c r="AI260" s="1071"/>
      <c r="AJ260" s="1041">
        <v>0</v>
      </c>
      <c r="AK260" s="941"/>
      <c r="AL260" s="943"/>
      <c r="AM260" s="940"/>
      <c r="AN260" s="954"/>
      <c r="AO260" s="954"/>
      <c r="AP260" s="954"/>
      <c r="AQ260" s="954"/>
      <c r="AR260" s="954"/>
      <c r="AS260" s="954"/>
    </row>
    <row r="261" spans="1:45" ht="13.5" customHeight="1">
      <c r="A261" s="1043" t="s">
        <v>1433</v>
      </c>
      <c r="B261" s="1049">
        <v>0.45833333333333331</v>
      </c>
      <c r="C261" s="1049">
        <v>0.29166666666666669</v>
      </c>
      <c r="D261" s="1050">
        <v>8</v>
      </c>
      <c r="E261" s="1050"/>
      <c r="F261" s="1050"/>
      <c r="G261" s="1049">
        <v>0.45833333333333331</v>
      </c>
      <c r="H261" s="1049"/>
      <c r="I261" s="1050">
        <v>8</v>
      </c>
      <c r="J261" s="1050"/>
      <c r="K261" s="1050"/>
      <c r="L261" s="1049">
        <v>0.45833333333333331</v>
      </c>
      <c r="M261" s="1049">
        <v>0.29166666666666669</v>
      </c>
      <c r="N261" s="1050">
        <v>8</v>
      </c>
      <c r="O261" s="1050"/>
      <c r="P261" s="1050"/>
      <c r="Q261" s="1049">
        <v>0.45833333333333331</v>
      </c>
      <c r="R261" s="1049">
        <v>0.29166666666666669</v>
      </c>
      <c r="S261" s="1050">
        <v>8</v>
      </c>
      <c r="T261" s="1050"/>
      <c r="U261" s="1050"/>
      <c r="V261" s="1049">
        <v>0.45833333333333331</v>
      </c>
      <c r="W261" s="1049">
        <v>0.29166666666666669</v>
      </c>
      <c r="X261" s="1050">
        <v>8</v>
      </c>
      <c r="Y261" s="1050"/>
      <c r="Z261" s="1051">
        <v>40</v>
      </c>
      <c r="AA261" s="1039">
        <v>0</v>
      </c>
      <c r="AB261" s="1037"/>
      <c r="AC261" s="1034"/>
      <c r="AD261" s="1034"/>
      <c r="AE261" s="1035"/>
      <c r="AF261" s="941"/>
      <c r="AG261" s="1006"/>
      <c r="AH261" s="1006"/>
      <c r="AI261" s="1071"/>
      <c r="AJ261" s="1041">
        <v>0</v>
      </c>
      <c r="AK261" s="941"/>
      <c r="AL261" s="943"/>
      <c r="AM261" s="940"/>
      <c r="AN261" s="954"/>
      <c r="AO261" s="954"/>
      <c r="AP261" s="954"/>
      <c r="AQ261" s="954"/>
      <c r="AR261" s="954"/>
      <c r="AS261" s="954"/>
    </row>
    <row r="262" spans="1:45" ht="13.5" customHeight="1">
      <c r="A262" s="1043" t="s">
        <v>241</v>
      </c>
      <c r="B262" s="1049"/>
      <c r="C262" s="1049"/>
      <c r="D262" s="1050"/>
      <c r="E262" s="1050"/>
      <c r="F262" s="1050"/>
      <c r="G262" s="1049"/>
      <c r="H262" s="1049"/>
      <c r="I262" s="1050"/>
      <c r="J262" s="1050"/>
      <c r="K262" s="1050"/>
      <c r="L262" s="1049"/>
      <c r="M262" s="1049"/>
      <c r="N262" s="1050"/>
      <c r="O262" s="1050"/>
      <c r="P262" s="1050"/>
      <c r="Q262" s="1049"/>
      <c r="R262" s="1049"/>
      <c r="S262" s="1050"/>
      <c r="T262" s="1050"/>
      <c r="U262" s="1050"/>
      <c r="V262" s="1049"/>
      <c r="W262" s="1049"/>
      <c r="X262" s="1050"/>
      <c r="Y262" s="1050"/>
      <c r="Z262" s="1051">
        <v>0</v>
      </c>
      <c r="AA262" s="1039">
        <v>0</v>
      </c>
      <c r="AB262" s="1037"/>
      <c r="AC262" s="1034">
        <v>0.5</v>
      </c>
      <c r="AD262" s="1034">
        <v>0.29166666666666669</v>
      </c>
      <c r="AE262" s="1035">
        <v>7</v>
      </c>
      <c r="AF262" s="941"/>
      <c r="AG262" s="1006"/>
      <c r="AH262" s="1006"/>
      <c r="AI262" s="1071"/>
      <c r="AJ262" s="1041">
        <v>7</v>
      </c>
      <c r="AK262" s="941"/>
      <c r="AL262" s="943"/>
      <c r="AM262" s="940"/>
      <c r="AN262" s="954"/>
      <c r="AO262" s="954"/>
      <c r="AP262" s="954"/>
      <c r="AQ262" s="954"/>
      <c r="AR262" s="954"/>
      <c r="AS262" s="954"/>
    </row>
    <row r="263" spans="1:45" ht="13.5" customHeight="1">
      <c r="A263" s="1043" t="s">
        <v>1437</v>
      </c>
      <c r="B263" s="1049">
        <v>0.45833333333333331</v>
      </c>
      <c r="C263" s="1049">
        <v>0.29166666666666669</v>
      </c>
      <c r="D263" s="1050">
        <v>8</v>
      </c>
      <c r="E263" s="1050"/>
      <c r="F263" s="1050"/>
      <c r="G263" s="1049"/>
      <c r="H263" s="1049"/>
      <c r="I263" s="1050"/>
      <c r="J263" s="1050"/>
      <c r="K263" s="1050"/>
      <c r="L263" s="1049">
        <v>0.29166666666666669</v>
      </c>
      <c r="M263" s="1049">
        <v>0.125</v>
      </c>
      <c r="N263" s="1050">
        <v>8</v>
      </c>
      <c r="O263" s="1050"/>
      <c r="P263" s="1050"/>
      <c r="Q263" s="1049">
        <v>0.29166666666666669</v>
      </c>
      <c r="R263" s="1049">
        <v>0.125</v>
      </c>
      <c r="S263" s="1050">
        <v>8</v>
      </c>
      <c r="T263" s="1050"/>
      <c r="U263" s="1050"/>
      <c r="V263" s="1049">
        <v>0.29166666666666669</v>
      </c>
      <c r="W263" s="1049"/>
      <c r="X263" s="1050">
        <v>8</v>
      </c>
      <c r="Y263" s="1050"/>
      <c r="Z263" s="1051">
        <v>32</v>
      </c>
      <c r="AA263" s="1039">
        <v>0</v>
      </c>
      <c r="AB263" s="1037"/>
      <c r="AC263" s="1034"/>
      <c r="AD263" s="1034"/>
      <c r="AE263" s="1035"/>
      <c r="AF263" s="941"/>
      <c r="AG263" s="1006"/>
      <c r="AH263" s="1006"/>
      <c r="AI263" s="1071"/>
      <c r="AJ263" s="1041">
        <v>0</v>
      </c>
      <c r="AK263" s="941"/>
      <c r="AL263" s="943"/>
      <c r="AM263" s="940"/>
      <c r="AN263" s="954"/>
      <c r="AO263" s="954"/>
      <c r="AP263" s="954"/>
      <c r="AQ263" s="954"/>
      <c r="AR263" s="954"/>
      <c r="AS263" s="954"/>
    </row>
    <row r="264" spans="1:45" ht="13.5" customHeight="1">
      <c r="A264" s="1016" t="s">
        <v>61</v>
      </c>
      <c r="B264" s="1044"/>
      <c r="C264" s="1044"/>
      <c r="D264" s="1045">
        <v>117</v>
      </c>
      <c r="E264" s="1036">
        <v>0.75</v>
      </c>
      <c r="F264" s="1044"/>
      <c r="G264" s="1044"/>
      <c r="H264" s="1044"/>
      <c r="I264" s="1045">
        <v>117</v>
      </c>
      <c r="J264" s="1036">
        <v>0</v>
      </c>
      <c r="K264" s="1044"/>
      <c r="L264" s="1044"/>
      <c r="M264" s="1044"/>
      <c r="N264" s="1045">
        <v>108.5</v>
      </c>
      <c r="O264" s="1036">
        <v>0</v>
      </c>
      <c r="P264" s="1044"/>
      <c r="Q264" s="1044"/>
      <c r="R264" s="1044"/>
      <c r="S264" s="1045">
        <v>109</v>
      </c>
      <c r="T264" s="1036">
        <v>0</v>
      </c>
      <c r="U264" s="1044"/>
      <c r="V264" s="1044"/>
      <c r="W264" s="1044"/>
      <c r="X264" s="1045">
        <v>109</v>
      </c>
      <c r="Y264" s="1036">
        <v>0</v>
      </c>
      <c r="Z264" s="1038">
        <v>560.5</v>
      </c>
      <c r="AA264" s="1038">
        <v>1</v>
      </c>
      <c r="AB264" s="1037"/>
      <c r="AC264" s="1044"/>
      <c r="AD264" s="1044"/>
      <c r="AE264" s="1038">
        <v>22</v>
      </c>
      <c r="AF264" s="941"/>
      <c r="AG264" s="1016"/>
      <c r="AH264" s="1016"/>
      <c r="AI264" s="1028"/>
      <c r="AJ264" s="1028">
        <v>22</v>
      </c>
      <c r="AK264" s="941"/>
      <c r="AL264" s="943"/>
      <c r="AM264" s="940"/>
      <c r="AN264" s="954"/>
      <c r="AO264" s="954"/>
      <c r="AP264" s="954"/>
      <c r="AQ264" s="954"/>
      <c r="AR264" s="954"/>
      <c r="AS264" s="954"/>
    </row>
    <row r="265" spans="1:45" ht="13.5" customHeight="1">
      <c r="A265" s="1016" t="s">
        <v>1434</v>
      </c>
      <c r="B265" s="1044"/>
      <c r="C265" s="1044"/>
      <c r="D265" s="1045">
        <v>32</v>
      </c>
      <c r="E265" s="1036">
        <v>0</v>
      </c>
      <c r="F265" s="1044"/>
      <c r="G265" s="1044"/>
      <c r="H265" s="1044"/>
      <c r="I265" s="1045">
        <v>24</v>
      </c>
      <c r="J265" s="1036">
        <v>0</v>
      </c>
      <c r="K265" s="1044"/>
      <c r="L265" s="1044"/>
      <c r="M265" s="1044"/>
      <c r="N265" s="1045">
        <v>24</v>
      </c>
      <c r="O265" s="1036">
        <v>0.25</v>
      </c>
      <c r="P265" s="1044"/>
      <c r="Q265" s="1044"/>
      <c r="R265" s="1044"/>
      <c r="S265" s="1045">
        <v>24</v>
      </c>
      <c r="T265" s="1036">
        <v>0</v>
      </c>
      <c r="U265" s="1044"/>
      <c r="V265" s="1044"/>
      <c r="W265" s="1044"/>
      <c r="X265" s="1045">
        <v>32</v>
      </c>
      <c r="Y265" s="1036">
        <v>0</v>
      </c>
      <c r="Z265" s="1038">
        <v>136</v>
      </c>
      <c r="AA265" s="1038">
        <v>0</v>
      </c>
      <c r="AB265" s="1037"/>
      <c r="AC265" s="1044"/>
      <c r="AD265" s="1044"/>
      <c r="AE265" s="1038"/>
      <c r="AF265" s="941"/>
      <c r="AG265" s="1016"/>
      <c r="AH265" s="1016"/>
      <c r="AI265" s="1028"/>
      <c r="AJ265" s="1028"/>
      <c r="AK265" s="941"/>
      <c r="AL265" s="943"/>
      <c r="AM265" s="940"/>
      <c r="AN265" s="954"/>
      <c r="AO265" s="954"/>
      <c r="AP265" s="954"/>
      <c r="AQ265" s="954"/>
      <c r="AR265" s="954"/>
      <c r="AS265" s="954"/>
    </row>
    <row r="266" spans="1:45" ht="13.5" customHeight="1">
      <c r="A266" s="1022" t="s">
        <v>64</v>
      </c>
      <c r="B266" s="1034"/>
      <c r="C266" s="1034"/>
      <c r="D266" s="1035">
        <v>4</v>
      </c>
      <c r="E266" s="1035"/>
      <c r="F266" s="1046"/>
      <c r="G266" s="1034"/>
      <c r="H266" s="1034"/>
      <c r="I266" s="1035">
        <v>4</v>
      </c>
      <c r="J266" s="1035">
        <v>1.5</v>
      </c>
      <c r="K266" s="1042"/>
      <c r="L266" s="1034"/>
      <c r="M266" s="1034"/>
      <c r="N266" s="1035">
        <v>4</v>
      </c>
      <c r="O266" s="1035"/>
      <c r="P266" s="1042"/>
      <c r="Q266" s="1034"/>
      <c r="R266" s="1034"/>
      <c r="S266" s="1035">
        <v>4</v>
      </c>
      <c r="T266" s="1035"/>
      <c r="U266" s="1042"/>
      <c r="V266" s="1034"/>
      <c r="W266" s="1034"/>
      <c r="X266" s="1035">
        <v>4</v>
      </c>
      <c r="Y266" s="1035"/>
      <c r="Z266" s="1038">
        <v>20</v>
      </c>
      <c r="AA266" s="1047">
        <v>1.5</v>
      </c>
      <c r="AB266" s="1037"/>
      <c r="AC266" s="1034"/>
      <c r="AD266" s="1034"/>
      <c r="AE266" s="1035">
        <v>6</v>
      </c>
      <c r="AF266" s="941"/>
      <c r="AG266" s="1006"/>
      <c r="AH266" s="1006"/>
      <c r="AI266" s="1071"/>
      <c r="AJ266" s="1048">
        <v>6</v>
      </c>
      <c r="AK266" s="941"/>
      <c r="AL266" s="943"/>
      <c r="AM266" s="940"/>
      <c r="AN266" s="1021"/>
      <c r="AO266" s="954"/>
      <c r="AP266" s="954"/>
      <c r="AQ266" s="954"/>
      <c r="AR266" s="954"/>
      <c r="AS266" s="954"/>
    </row>
    <row r="267" spans="1:45" ht="13.5" customHeight="1">
      <c r="A267" s="1026" t="s">
        <v>66</v>
      </c>
      <c r="B267" s="1062"/>
      <c r="C267" s="1062"/>
      <c r="D267" s="1046"/>
      <c r="E267" s="1046"/>
      <c r="F267" s="1046"/>
      <c r="G267" s="1046"/>
      <c r="H267" s="1046"/>
      <c r="I267" s="1046"/>
      <c r="J267" s="1046"/>
      <c r="K267" s="1046"/>
      <c r="L267" s="1046"/>
      <c r="M267" s="1046"/>
      <c r="N267" s="1046"/>
      <c r="O267" s="1046"/>
      <c r="P267" s="1046"/>
      <c r="Q267" s="1046"/>
      <c r="R267" s="1046"/>
      <c r="S267" s="1046"/>
      <c r="T267" s="1046"/>
      <c r="U267" s="1046"/>
      <c r="V267" s="1046"/>
      <c r="W267" s="1046"/>
      <c r="X267" s="1046"/>
      <c r="Y267" s="1046"/>
      <c r="Z267" s="1038">
        <v>20</v>
      </c>
      <c r="AA267" s="1038">
        <v>1.5</v>
      </c>
      <c r="AB267" s="1037"/>
      <c r="AC267" s="1063"/>
      <c r="AD267" s="1063"/>
      <c r="AE267" s="1063"/>
      <c r="AF267" s="941"/>
      <c r="AG267" s="940"/>
      <c r="AH267" s="940"/>
      <c r="AI267" s="940"/>
      <c r="AJ267" s="1028">
        <v>6</v>
      </c>
      <c r="AK267" s="941"/>
      <c r="AL267" s="943"/>
      <c r="AM267" s="940"/>
      <c r="AN267" s="1021"/>
      <c r="AO267" s="954"/>
      <c r="AP267" s="954"/>
      <c r="AQ267" s="954"/>
      <c r="AR267" s="954"/>
      <c r="AS267" s="954"/>
    </row>
    <row r="268" spans="1:45" ht="13.5" customHeight="1">
      <c r="A268" s="1029" t="s">
        <v>67</v>
      </c>
      <c r="B268" s="1030">
        <v>85</v>
      </c>
      <c r="C268" s="1030"/>
      <c r="D268" s="1031"/>
      <c r="E268" s="1031"/>
      <c r="F268" s="1030"/>
      <c r="G268" s="1031"/>
      <c r="H268" s="1031"/>
      <c r="I268" s="1031"/>
      <c r="J268" s="1031"/>
      <c r="K268" s="1030"/>
      <c r="L268" s="1030"/>
      <c r="M268" s="1030"/>
      <c r="N268" s="1030"/>
      <c r="O268" s="1031"/>
      <c r="P268" s="1030"/>
      <c r="Q268" s="1030"/>
      <c r="R268" s="1030"/>
      <c r="S268" s="1030"/>
      <c r="T268" s="1031"/>
      <c r="U268" s="1030"/>
      <c r="V268" s="1030"/>
      <c r="W268" s="1030"/>
      <c r="X268" s="1032"/>
      <c r="Y268" s="1031"/>
      <c r="Z268" s="1033"/>
      <c r="AA268" s="1031"/>
      <c r="AB268" s="1033"/>
      <c r="AC268" s="1033"/>
      <c r="AD268" s="1033"/>
      <c r="AE268" s="1033"/>
      <c r="AF268" s="1033"/>
      <c r="AG268" s="1033"/>
      <c r="AH268" s="1033"/>
      <c r="AI268" s="1033"/>
      <c r="AJ268" s="1033"/>
      <c r="AK268" s="941"/>
      <c r="AL268" s="943"/>
      <c r="AM268" s="940"/>
      <c r="AN268" s="1021"/>
      <c r="AO268" s="954"/>
      <c r="AP268" s="954"/>
      <c r="AQ268" s="954"/>
      <c r="AR268" s="954"/>
      <c r="AS268" s="954"/>
    </row>
    <row r="269" spans="1:45" ht="13.5" customHeight="1">
      <c r="A269" s="940"/>
      <c r="B269" s="940"/>
      <c r="C269" s="940"/>
      <c r="D269" s="941"/>
      <c r="E269" s="942"/>
      <c r="F269" s="941"/>
      <c r="G269" s="940"/>
      <c r="H269" s="940"/>
      <c r="I269" s="941"/>
      <c r="J269" s="942"/>
      <c r="K269" s="941"/>
      <c r="L269" s="940"/>
      <c r="M269" s="940"/>
      <c r="N269" s="941"/>
      <c r="O269" s="942"/>
      <c r="P269" s="941"/>
      <c r="Q269" s="940"/>
      <c r="R269" s="940"/>
      <c r="S269" s="941"/>
      <c r="T269" s="942"/>
      <c r="U269" s="941"/>
      <c r="V269" s="940"/>
      <c r="W269" s="940"/>
      <c r="X269" s="941"/>
      <c r="Y269" s="942"/>
      <c r="Z269" s="941"/>
      <c r="AA269" s="941"/>
      <c r="AB269" s="941"/>
      <c r="AC269" s="940"/>
      <c r="AD269" s="940"/>
      <c r="AE269" s="940"/>
      <c r="AF269" s="941"/>
      <c r="AG269" s="940"/>
      <c r="AH269" s="940"/>
      <c r="AI269" s="940"/>
      <c r="AJ269" s="940"/>
      <c r="AK269" s="941"/>
      <c r="AL269" s="943"/>
      <c r="AM269" s="940"/>
      <c r="AN269" s="954"/>
      <c r="AO269" s="954"/>
      <c r="AP269" s="954"/>
      <c r="AQ269" s="954"/>
      <c r="AR269" s="954"/>
      <c r="AS269" s="954"/>
    </row>
    <row r="270" spans="1:45" ht="13.5" customHeight="1">
      <c r="A270" s="974"/>
      <c r="B270" s="975"/>
      <c r="C270" s="975"/>
      <c r="D270" s="976"/>
      <c r="E270" s="976"/>
      <c r="F270" s="975"/>
      <c r="G270" s="976"/>
      <c r="H270" s="976"/>
      <c r="I270" s="976"/>
      <c r="J270" s="976"/>
      <c r="K270" s="975"/>
      <c r="L270" s="975"/>
      <c r="M270" s="975"/>
      <c r="N270" s="975"/>
      <c r="O270" s="976"/>
      <c r="P270" s="975"/>
      <c r="Q270" s="975"/>
      <c r="R270" s="975"/>
      <c r="S270" s="975"/>
      <c r="T270" s="976"/>
      <c r="U270" s="975"/>
      <c r="V270" s="975"/>
      <c r="W270" s="975"/>
      <c r="X270" s="977"/>
      <c r="Y270" s="976"/>
      <c r="Z270" s="978"/>
      <c r="AA270" s="976"/>
      <c r="AB270" s="979"/>
      <c r="AC270" s="980"/>
      <c r="AD270" s="943"/>
      <c r="AE270" s="943"/>
      <c r="AF270" s="979"/>
      <c r="AG270" s="980"/>
      <c r="AH270" s="943"/>
      <c r="AI270" s="943"/>
      <c r="AJ270" s="943"/>
      <c r="AK270" s="943"/>
      <c r="AL270" s="943"/>
      <c r="AM270" s="943"/>
      <c r="AN270" s="943"/>
      <c r="AO270" s="943"/>
      <c r="AP270" s="943"/>
      <c r="AQ270" s="943"/>
      <c r="AR270" s="943"/>
      <c r="AS270" s="943"/>
    </row>
    <row r="271" spans="1:45" ht="13.5" customHeight="1">
      <c r="A271" s="940"/>
      <c r="B271" s="940"/>
      <c r="C271" s="940"/>
      <c r="D271" s="941"/>
      <c r="E271" s="942"/>
      <c r="F271" s="941"/>
      <c r="G271" s="940"/>
      <c r="H271" s="940"/>
      <c r="I271" s="941"/>
      <c r="J271" s="942"/>
      <c r="K271" s="941"/>
      <c r="L271" s="940"/>
      <c r="M271" s="940"/>
      <c r="N271" s="941"/>
      <c r="O271" s="942"/>
      <c r="P271" s="941"/>
      <c r="Q271" s="940"/>
      <c r="R271" s="940"/>
      <c r="S271" s="941"/>
      <c r="T271" s="942"/>
      <c r="U271" s="941"/>
      <c r="V271" s="940"/>
      <c r="W271" s="940"/>
      <c r="X271" s="941"/>
      <c r="Y271" s="942"/>
      <c r="Z271" s="941"/>
      <c r="AA271" s="941"/>
      <c r="AB271" s="941"/>
      <c r="AC271" s="940"/>
      <c r="AD271" s="940"/>
      <c r="AE271" s="940"/>
      <c r="AF271" s="941"/>
      <c r="AG271" s="940"/>
      <c r="AH271" s="940"/>
      <c r="AI271" s="940"/>
      <c r="AJ271" s="940"/>
      <c r="AK271" s="941"/>
      <c r="AL271" s="943"/>
      <c r="AM271" s="940"/>
      <c r="AN271" s="954"/>
      <c r="AO271" s="954"/>
      <c r="AP271" s="954"/>
      <c r="AQ271" s="954"/>
      <c r="AR271" s="954"/>
      <c r="AS271" s="954"/>
    </row>
    <row r="272" spans="1:45" ht="13.5" customHeight="1">
      <c r="A272" s="1592" t="s">
        <v>18</v>
      </c>
      <c r="B272" s="1588">
        <v>45894</v>
      </c>
      <c r="C272" s="1588"/>
      <c r="D272" s="1588" t="s">
        <v>564</v>
      </c>
      <c r="E272" s="1588"/>
      <c r="F272" s="981"/>
      <c r="G272" s="1588">
        <v>45895</v>
      </c>
      <c r="H272" s="1588"/>
      <c r="I272" s="1588" t="s">
        <v>565</v>
      </c>
      <c r="J272" s="1588"/>
      <c r="K272" s="981"/>
      <c r="L272" s="1588">
        <v>45896</v>
      </c>
      <c r="M272" s="1588"/>
      <c r="N272" s="1588" t="s">
        <v>566</v>
      </c>
      <c r="O272" s="1588"/>
      <c r="P272" s="981"/>
      <c r="Q272" s="1588">
        <v>45897</v>
      </c>
      <c r="R272" s="1588"/>
      <c r="S272" s="1588" t="s">
        <v>567</v>
      </c>
      <c r="T272" s="1588"/>
      <c r="U272" s="981"/>
      <c r="V272" s="1588">
        <v>45898</v>
      </c>
      <c r="W272" s="1588"/>
      <c r="X272" s="1588" t="s">
        <v>568</v>
      </c>
      <c r="Y272" s="1588"/>
      <c r="Z272" s="1589" t="s">
        <v>19</v>
      </c>
      <c r="AA272" s="1589" t="s">
        <v>20</v>
      </c>
      <c r="AB272" s="941"/>
      <c r="AC272" s="1588">
        <v>45899</v>
      </c>
      <c r="AD272" s="1588"/>
      <c r="AE272" s="982" t="s">
        <v>569</v>
      </c>
      <c r="AF272" s="941"/>
      <c r="AG272" s="1588">
        <v>45900</v>
      </c>
      <c r="AH272" s="1588"/>
      <c r="AI272" s="983" t="s">
        <v>570</v>
      </c>
      <c r="AJ272" s="1589" t="s">
        <v>1420</v>
      </c>
      <c r="AK272" s="941"/>
      <c r="AL272" s="984"/>
      <c r="AM272" s="940"/>
      <c r="AN272" s="985" t="s">
        <v>84</v>
      </c>
      <c r="AO272" s="986"/>
      <c r="AP272" s="986"/>
      <c r="AQ272" s="986"/>
      <c r="AR272" s="986"/>
      <c r="AS272" s="986"/>
    </row>
    <row r="273" spans="1:45" ht="13.5" customHeight="1">
      <c r="A273" s="1592"/>
      <c r="B273" s="987" t="s">
        <v>23</v>
      </c>
      <c r="C273" s="987" t="s">
        <v>24</v>
      </c>
      <c r="D273" s="988" t="s">
        <v>25</v>
      </c>
      <c r="E273" s="989" t="s">
        <v>14</v>
      </c>
      <c r="F273" s="941"/>
      <c r="G273" s="987" t="s">
        <v>23</v>
      </c>
      <c r="H273" s="987" t="s">
        <v>24</v>
      </c>
      <c r="I273" s="990" t="s">
        <v>25</v>
      </c>
      <c r="J273" s="989" t="s">
        <v>14</v>
      </c>
      <c r="K273" s="941"/>
      <c r="L273" s="987" t="s">
        <v>23</v>
      </c>
      <c r="M273" s="987" t="s">
        <v>24</v>
      </c>
      <c r="N273" s="990" t="s">
        <v>25</v>
      </c>
      <c r="O273" s="989" t="s">
        <v>14</v>
      </c>
      <c r="P273" s="941"/>
      <c r="Q273" s="987" t="s">
        <v>23</v>
      </c>
      <c r="R273" s="987" t="s">
        <v>24</v>
      </c>
      <c r="S273" s="990" t="s">
        <v>25</v>
      </c>
      <c r="T273" s="989" t="s">
        <v>14</v>
      </c>
      <c r="U273" s="941"/>
      <c r="V273" s="987" t="s">
        <v>23</v>
      </c>
      <c r="W273" s="987" t="s">
        <v>24</v>
      </c>
      <c r="X273" s="990" t="s">
        <v>25</v>
      </c>
      <c r="Y273" s="989" t="s">
        <v>14</v>
      </c>
      <c r="Z273" s="1589"/>
      <c r="AA273" s="1589"/>
      <c r="AB273" s="941"/>
      <c r="AC273" s="987" t="s">
        <v>23</v>
      </c>
      <c r="AD273" s="987" t="s">
        <v>24</v>
      </c>
      <c r="AE273" s="990" t="s">
        <v>25</v>
      </c>
      <c r="AF273" s="941"/>
      <c r="AG273" s="987" t="s">
        <v>23</v>
      </c>
      <c r="AH273" s="987" t="s">
        <v>24</v>
      </c>
      <c r="AI273" s="990" t="s">
        <v>25</v>
      </c>
      <c r="AJ273" s="1589"/>
      <c r="AK273" s="941"/>
      <c r="AL273" s="984"/>
      <c r="AM273" s="991"/>
      <c r="AN273" s="992" t="s">
        <v>26</v>
      </c>
      <c r="AO273" s="993">
        <v>544.25</v>
      </c>
      <c r="AP273" s="994">
        <v>40.31</v>
      </c>
      <c r="AQ273" s="994">
        <f>AP273*AO273</f>
        <v>21938.717500000002</v>
      </c>
      <c r="AR273" s="954"/>
      <c r="AS273" s="954"/>
    </row>
    <row r="274" spans="1:45" ht="13.5" customHeight="1">
      <c r="A274" s="1006" t="s">
        <v>72</v>
      </c>
      <c r="B274" s="1034">
        <v>0.29166666666666669</v>
      </c>
      <c r="C274" s="1034">
        <v>0.125</v>
      </c>
      <c r="D274" s="1035">
        <v>8</v>
      </c>
      <c r="E274" s="1036"/>
      <c r="F274" s="1037"/>
      <c r="G274" s="1034">
        <v>0.29166666666666669</v>
      </c>
      <c r="H274" s="1034">
        <v>0.125</v>
      </c>
      <c r="I274" s="1035">
        <v>8</v>
      </c>
      <c r="J274" s="1036"/>
      <c r="K274" s="1037"/>
      <c r="L274" s="1034">
        <v>0.29166666666666669</v>
      </c>
      <c r="M274" s="1034">
        <v>0.125</v>
      </c>
      <c r="N274" s="1035">
        <v>8</v>
      </c>
      <c r="O274" s="1036"/>
      <c r="P274" s="1037"/>
      <c r="Q274" s="1034">
        <v>0.29166666666666669</v>
      </c>
      <c r="R274" s="1034">
        <v>0.125</v>
      </c>
      <c r="S274" s="1035">
        <v>8</v>
      </c>
      <c r="T274" s="1036"/>
      <c r="U274" s="1037"/>
      <c r="V274" s="1034">
        <v>0.29166666666666669</v>
      </c>
      <c r="W274" s="1034">
        <v>0.125</v>
      </c>
      <c r="X274" s="1035">
        <v>8</v>
      </c>
      <c r="Y274" s="1036"/>
      <c r="Z274" s="1038">
        <v>40</v>
      </c>
      <c r="AA274" s="1039">
        <v>0</v>
      </c>
      <c r="AB274" s="1037"/>
      <c r="AC274" s="1040"/>
      <c r="AD274" s="1040"/>
      <c r="AE274" s="1035"/>
      <c r="AF274" s="1037"/>
      <c r="AG274" s="1040"/>
      <c r="AH274" s="1040"/>
      <c r="AI274" s="1035"/>
      <c r="AJ274" s="1038">
        <v>0</v>
      </c>
      <c r="AK274" s="941"/>
      <c r="AL274" s="984"/>
      <c r="AM274" s="991"/>
      <c r="AN274" s="992" t="s">
        <v>1421</v>
      </c>
      <c r="AO274" s="1005">
        <v>139</v>
      </c>
      <c r="AP274" s="1007">
        <v>60.47</v>
      </c>
      <c r="AQ274" s="994">
        <f>AP274*AO274</f>
        <v>8405.33</v>
      </c>
      <c r="AR274" s="954"/>
      <c r="AS274" s="954"/>
    </row>
    <row r="275" spans="1:45" ht="13.5" customHeight="1">
      <c r="A275" s="1009" t="s">
        <v>1166</v>
      </c>
      <c r="B275" s="1034">
        <v>0.29166666666666669</v>
      </c>
      <c r="C275" s="1034">
        <v>0.125</v>
      </c>
      <c r="D275" s="1035">
        <v>8</v>
      </c>
      <c r="E275" s="1036"/>
      <c r="F275" s="1037"/>
      <c r="G275" s="1034">
        <v>0.29166666666666669</v>
      </c>
      <c r="H275" s="1034">
        <v>0.125</v>
      </c>
      <c r="I275" s="1035">
        <v>8</v>
      </c>
      <c r="J275" s="1036"/>
      <c r="K275" s="1037"/>
      <c r="L275" s="1034">
        <v>0.29166666666666669</v>
      </c>
      <c r="M275" s="1034">
        <v>0.125</v>
      </c>
      <c r="N275" s="1035">
        <v>8</v>
      </c>
      <c r="O275" s="1036"/>
      <c r="P275" s="1037"/>
      <c r="Q275" s="1034">
        <v>0.29166666666666669</v>
      </c>
      <c r="R275" s="1034">
        <v>0.125</v>
      </c>
      <c r="S275" s="1035">
        <v>8</v>
      </c>
      <c r="T275" s="1036"/>
      <c r="U275" s="1037"/>
      <c r="V275" s="1034">
        <v>0.29166666666666669</v>
      </c>
      <c r="W275" s="1034">
        <v>0.125</v>
      </c>
      <c r="X275" s="1035">
        <v>8</v>
      </c>
      <c r="Y275" s="1036"/>
      <c r="Z275" s="1038">
        <v>40</v>
      </c>
      <c r="AA275" s="1039">
        <v>0</v>
      </c>
      <c r="AB275" s="1037"/>
      <c r="AC275" s="1034"/>
      <c r="AD275" s="1034"/>
      <c r="AE275" s="1035"/>
      <c r="AF275" s="1037"/>
      <c r="AG275" s="1034"/>
      <c r="AH275" s="1034"/>
      <c r="AI275" s="1035"/>
      <c r="AJ275" s="1038">
        <v>0</v>
      </c>
      <c r="AK275" s="941"/>
      <c r="AL275" s="943"/>
      <c r="AM275" s="940"/>
      <c r="AN275" s="992" t="s">
        <v>30</v>
      </c>
      <c r="AO275" s="1005">
        <v>12.5</v>
      </c>
      <c r="AP275" s="1007">
        <v>60.465000000000003</v>
      </c>
      <c r="AQ275" s="994">
        <f t="shared" ref="AQ275" si="7">AP275*AO275</f>
        <v>755.8125</v>
      </c>
      <c r="AR275" s="954"/>
      <c r="AS275" s="954"/>
    </row>
    <row r="276" spans="1:45" ht="13.5" customHeight="1">
      <c r="A276" s="1009" t="s">
        <v>1425</v>
      </c>
      <c r="B276" s="1034">
        <v>0.29166666666666669</v>
      </c>
      <c r="C276" s="1034">
        <v>0.125</v>
      </c>
      <c r="D276" s="1035">
        <v>8</v>
      </c>
      <c r="E276" s="1036"/>
      <c r="F276" s="1037"/>
      <c r="G276" s="1034">
        <v>0.29166666666666669</v>
      </c>
      <c r="H276" s="1034">
        <v>0.125</v>
      </c>
      <c r="I276" s="1035">
        <v>8</v>
      </c>
      <c r="J276" s="1036"/>
      <c r="K276" s="1037"/>
      <c r="L276" s="1034">
        <v>0.29166666666666669</v>
      </c>
      <c r="M276" s="1034">
        <v>0.125</v>
      </c>
      <c r="N276" s="1035">
        <v>8</v>
      </c>
      <c r="O276" s="1036"/>
      <c r="P276" s="1037"/>
      <c r="Q276" s="1034">
        <v>0.29166666666666669</v>
      </c>
      <c r="R276" s="1034">
        <v>0.125</v>
      </c>
      <c r="S276" s="1035">
        <v>8</v>
      </c>
      <c r="T276" s="1036"/>
      <c r="U276" s="1037"/>
      <c r="V276" s="1034">
        <v>0.29166666666666669</v>
      </c>
      <c r="W276" s="1034">
        <v>0.125</v>
      </c>
      <c r="X276" s="1035">
        <v>8</v>
      </c>
      <c r="Y276" s="1036"/>
      <c r="Z276" s="1038">
        <v>40</v>
      </c>
      <c r="AA276" s="1039">
        <v>0</v>
      </c>
      <c r="AB276" s="1037"/>
      <c r="AC276" s="1034"/>
      <c r="AD276" s="1034"/>
      <c r="AE276" s="1035"/>
      <c r="AF276" s="1037"/>
      <c r="AG276" s="1034"/>
      <c r="AH276" s="1034"/>
      <c r="AI276" s="1035"/>
      <c r="AJ276" s="1038">
        <v>0</v>
      </c>
      <c r="AK276" s="941"/>
      <c r="AL276" s="943"/>
      <c r="AM276" s="940"/>
      <c r="AN276" s="992" t="s">
        <v>32</v>
      </c>
      <c r="AO276" s="1005">
        <v>16.5</v>
      </c>
      <c r="AP276" s="994">
        <v>60.465000000000003</v>
      </c>
      <c r="AQ276" s="994">
        <f>AP276*AO276</f>
        <v>997.67250000000001</v>
      </c>
      <c r="AR276" s="954"/>
      <c r="AS276" s="954"/>
    </row>
    <row r="277" spans="1:45" ht="13.5" customHeight="1">
      <c r="A277" s="1009" t="s">
        <v>1426</v>
      </c>
      <c r="B277" s="1034"/>
      <c r="C277" s="1034"/>
      <c r="D277" s="1035">
        <v>0</v>
      </c>
      <c r="E277" s="1036"/>
      <c r="F277" s="1037"/>
      <c r="G277" s="1034"/>
      <c r="H277" s="1034"/>
      <c r="I277" s="1035">
        <v>0</v>
      </c>
      <c r="J277" s="1036"/>
      <c r="K277" s="1037"/>
      <c r="L277" s="1034">
        <v>0.29166666666666669</v>
      </c>
      <c r="M277" s="1034">
        <v>0.125</v>
      </c>
      <c r="N277" s="1035">
        <v>8</v>
      </c>
      <c r="O277" s="1036"/>
      <c r="P277" s="1037"/>
      <c r="Q277" s="1034">
        <v>0.29166666666666669</v>
      </c>
      <c r="R277" s="1034">
        <v>0.125</v>
      </c>
      <c r="S277" s="1035">
        <v>8</v>
      </c>
      <c r="T277" s="1036"/>
      <c r="U277" s="1037"/>
      <c r="V277" s="1034">
        <v>0.29166666666666669</v>
      </c>
      <c r="W277" s="1034">
        <v>0.125</v>
      </c>
      <c r="X277" s="1035">
        <v>8</v>
      </c>
      <c r="Y277" s="1036"/>
      <c r="Z277" s="1038">
        <v>24</v>
      </c>
      <c r="AA277" s="1039">
        <v>0</v>
      </c>
      <c r="AB277" s="1037"/>
      <c r="AC277" s="1034"/>
      <c r="AD277" s="1034"/>
      <c r="AE277" s="1035"/>
      <c r="AF277" s="1037"/>
      <c r="AG277" s="1034"/>
      <c r="AH277" s="1034"/>
      <c r="AI277" s="1035"/>
      <c r="AJ277" s="1038">
        <v>0</v>
      </c>
      <c r="AK277" s="941"/>
      <c r="AL277" s="943"/>
      <c r="AM277" s="940"/>
      <c r="AN277" s="1010" t="s">
        <v>213</v>
      </c>
      <c r="AO277" s="993">
        <v>20</v>
      </c>
      <c r="AP277" s="994">
        <v>53.05</v>
      </c>
      <c r="AQ277" s="994">
        <f>AP277*AO277</f>
        <v>1061</v>
      </c>
      <c r="AR277" s="954"/>
      <c r="AS277" s="954"/>
    </row>
    <row r="278" spans="1:45" ht="13.5" customHeight="1">
      <c r="A278" s="1009" t="s">
        <v>1066</v>
      </c>
      <c r="B278" s="1034">
        <v>0.29166666666666669</v>
      </c>
      <c r="C278" s="1034">
        <v>0.125</v>
      </c>
      <c r="D278" s="1035">
        <v>8</v>
      </c>
      <c r="E278" s="1036"/>
      <c r="F278" s="1037"/>
      <c r="G278" s="1034">
        <v>0.29166666666666669</v>
      </c>
      <c r="H278" s="1034">
        <v>0.125</v>
      </c>
      <c r="I278" s="1035">
        <v>8</v>
      </c>
      <c r="J278" s="1036"/>
      <c r="K278" s="1037"/>
      <c r="L278" s="1034">
        <v>0.29166666666666669</v>
      </c>
      <c r="M278" s="1034">
        <v>0.125</v>
      </c>
      <c r="N278" s="1035">
        <v>8</v>
      </c>
      <c r="O278" s="1036"/>
      <c r="P278" s="1037"/>
      <c r="Q278" s="1034">
        <v>0.29166666666666669</v>
      </c>
      <c r="R278" s="1034">
        <v>0.125</v>
      </c>
      <c r="S278" s="1035">
        <v>8</v>
      </c>
      <c r="T278" s="1036"/>
      <c r="U278" s="1037"/>
      <c r="V278" s="1034">
        <v>0.29166666666666669</v>
      </c>
      <c r="W278" s="1034">
        <v>0.125</v>
      </c>
      <c r="X278" s="1035">
        <v>8</v>
      </c>
      <c r="Y278" s="1036"/>
      <c r="Z278" s="1038">
        <v>40</v>
      </c>
      <c r="AA278" s="1039">
        <v>0</v>
      </c>
      <c r="AB278" s="1037"/>
      <c r="AC278" s="1034"/>
      <c r="AD278" s="1034"/>
      <c r="AE278" s="1035"/>
      <c r="AF278" s="1037"/>
      <c r="AG278" s="1034"/>
      <c r="AH278" s="1034"/>
      <c r="AI278" s="1035"/>
      <c r="AJ278" s="1038">
        <v>0</v>
      </c>
      <c r="AK278" s="941"/>
      <c r="AL278" s="943"/>
      <c r="AM278" s="940"/>
      <c r="AN278" s="992" t="s">
        <v>36</v>
      </c>
      <c r="AO278" s="1005">
        <v>0</v>
      </c>
      <c r="AP278" s="994">
        <v>79.574999999999989</v>
      </c>
      <c r="AQ278" s="994">
        <f>AP278*AO278</f>
        <v>0</v>
      </c>
      <c r="AR278" s="954"/>
      <c r="AS278" s="954"/>
    </row>
    <row r="279" spans="1:45" ht="13.5" customHeight="1">
      <c r="A279" s="1009" t="s">
        <v>1427</v>
      </c>
      <c r="B279" s="1034">
        <v>0.29166666666666669</v>
      </c>
      <c r="C279" s="1034">
        <v>0.14583333333333334</v>
      </c>
      <c r="D279" s="1035">
        <v>8</v>
      </c>
      <c r="E279" s="1036">
        <v>0.5</v>
      </c>
      <c r="F279" s="1037"/>
      <c r="G279" s="1034">
        <v>0.29166666666666669</v>
      </c>
      <c r="H279" s="1034">
        <v>0.13541666666666666</v>
      </c>
      <c r="I279" s="1035">
        <v>8</v>
      </c>
      <c r="J279" s="1036">
        <v>0.25</v>
      </c>
      <c r="K279" s="1037"/>
      <c r="L279" s="1034">
        <v>0.29166666666666669</v>
      </c>
      <c r="M279" s="1034">
        <v>0.125</v>
      </c>
      <c r="N279" s="1035">
        <v>8</v>
      </c>
      <c r="O279" s="1036"/>
      <c r="P279" s="1037"/>
      <c r="Q279" s="1034">
        <v>0.29166666666666669</v>
      </c>
      <c r="R279" s="1034">
        <v>0.125</v>
      </c>
      <c r="S279" s="1035">
        <v>8</v>
      </c>
      <c r="T279" s="1036"/>
      <c r="U279" s="1037"/>
      <c r="V279" s="1034">
        <v>0.29166666666666669</v>
      </c>
      <c r="W279" s="1034">
        <v>0.125</v>
      </c>
      <c r="X279" s="1035">
        <v>8</v>
      </c>
      <c r="Y279" s="1036"/>
      <c r="Z279" s="1038">
        <v>40</v>
      </c>
      <c r="AA279" s="1039">
        <v>0.75</v>
      </c>
      <c r="AB279" s="1037"/>
      <c r="AC279" s="1034">
        <v>6.25E-2</v>
      </c>
      <c r="AD279" s="1034">
        <v>0.27083333333333331</v>
      </c>
      <c r="AE279" s="1035">
        <v>5</v>
      </c>
      <c r="AF279" s="1037"/>
      <c r="AG279" s="1034"/>
      <c r="AH279" s="1034"/>
      <c r="AI279" s="1035"/>
      <c r="AJ279" s="1038">
        <v>5</v>
      </c>
      <c r="AK279" s="941"/>
      <c r="AL279" s="943"/>
      <c r="AM279" s="940"/>
      <c r="AN279" s="992" t="s">
        <v>38</v>
      </c>
      <c r="AO279" s="1005">
        <v>9.75</v>
      </c>
      <c r="AP279" s="994">
        <v>79.574999999999989</v>
      </c>
      <c r="AQ279" s="994">
        <f>AP279*AO279</f>
        <v>775.85624999999993</v>
      </c>
      <c r="AR279" s="954"/>
      <c r="AS279" s="954"/>
    </row>
    <row r="280" spans="1:45" ht="13.5" customHeight="1">
      <c r="A280" s="1009" t="s">
        <v>1428</v>
      </c>
      <c r="B280" s="1034">
        <v>0.125</v>
      </c>
      <c r="C280" s="1034">
        <v>0.45833333333333331</v>
      </c>
      <c r="D280" s="1035">
        <v>8</v>
      </c>
      <c r="E280" s="1036"/>
      <c r="F280" s="1037"/>
      <c r="G280" s="1034">
        <v>0.125</v>
      </c>
      <c r="H280" s="1034">
        <v>0.45833333333333331</v>
      </c>
      <c r="I280" s="1035">
        <v>8</v>
      </c>
      <c r="J280" s="1036"/>
      <c r="K280" s="1037"/>
      <c r="L280" s="1034">
        <v>0.125</v>
      </c>
      <c r="M280" s="1034">
        <v>0.45833333333333331</v>
      </c>
      <c r="N280" s="1035">
        <v>8</v>
      </c>
      <c r="O280" s="1036"/>
      <c r="P280" s="1037"/>
      <c r="Q280" s="1034">
        <v>0.125</v>
      </c>
      <c r="R280" s="1034">
        <v>0.45833333333333331</v>
      </c>
      <c r="S280" s="1035">
        <v>8</v>
      </c>
      <c r="T280" s="1036"/>
      <c r="U280" s="1037"/>
      <c r="V280" s="1034">
        <v>0.125</v>
      </c>
      <c r="W280" s="1034">
        <v>0.45833333333333331</v>
      </c>
      <c r="X280" s="1035">
        <v>8</v>
      </c>
      <c r="Y280" s="1036"/>
      <c r="Z280" s="1038">
        <v>40</v>
      </c>
      <c r="AA280" s="1039">
        <v>0</v>
      </c>
      <c r="AB280" s="1037"/>
      <c r="AC280" s="1034"/>
      <c r="AD280" s="1034"/>
      <c r="AE280" s="1035"/>
      <c r="AF280" s="1037"/>
      <c r="AG280" s="1034"/>
      <c r="AH280" s="1034"/>
      <c r="AI280" s="1035"/>
      <c r="AJ280" s="1038">
        <v>0</v>
      </c>
      <c r="AK280" s="941"/>
      <c r="AL280" s="943"/>
      <c r="AM280" s="940"/>
      <c r="AN280" s="954"/>
      <c r="AO280" s="1005"/>
      <c r="AP280" s="954"/>
      <c r="AQ280" s="994">
        <v>33934.388749999998</v>
      </c>
      <c r="AR280" s="954"/>
      <c r="AS280" s="954"/>
    </row>
    <row r="281" spans="1:45" ht="13.5" customHeight="1">
      <c r="A281" s="1009" t="s">
        <v>1142</v>
      </c>
      <c r="B281" s="1034">
        <v>0.125</v>
      </c>
      <c r="C281" s="1034">
        <v>0.45833333333333331</v>
      </c>
      <c r="D281" s="1035">
        <v>8</v>
      </c>
      <c r="E281" s="1036"/>
      <c r="F281" s="1037"/>
      <c r="G281" s="1034">
        <v>0.125</v>
      </c>
      <c r="H281" s="1034">
        <v>0.45833333333333331</v>
      </c>
      <c r="I281" s="1035">
        <v>8</v>
      </c>
      <c r="J281" s="1036"/>
      <c r="K281" s="1042"/>
      <c r="L281" s="1034">
        <v>0.125</v>
      </c>
      <c r="M281" s="1034">
        <v>0.45833333333333331</v>
      </c>
      <c r="N281" s="1035">
        <v>8</v>
      </c>
      <c r="O281" s="1036"/>
      <c r="P281" s="1042"/>
      <c r="Q281" s="1034">
        <v>0.125</v>
      </c>
      <c r="R281" s="1034">
        <v>0.45833333333333331</v>
      </c>
      <c r="S281" s="1035">
        <v>8</v>
      </c>
      <c r="T281" s="1036"/>
      <c r="U281" s="1042"/>
      <c r="V281" s="1034">
        <v>0.125</v>
      </c>
      <c r="W281" s="1034">
        <v>0.45833333333333331</v>
      </c>
      <c r="X281" s="1035">
        <v>8</v>
      </c>
      <c r="Y281" s="1036"/>
      <c r="Z281" s="1038">
        <v>40</v>
      </c>
      <c r="AA281" s="1039">
        <v>0</v>
      </c>
      <c r="AB281" s="1037"/>
      <c r="AC281" s="1034"/>
      <c r="AD281" s="1034"/>
      <c r="AE281" s="1035"/>
      <c r="AF281" s="1037"/>
      <c r="AG281" s="1034"/>
      <c r="AH281" s="1034"/>
      <c r="AI281" s="1035"/>
      <c r="AJ281" s="1038">
        <v>0</v>
      </c>
      <c r="AK281" s="941"/>
      <c r="AL281" s="943"/>
      <c r="AM281" s="940"/>
      <c r="AN281" s="954"/>
      <c r="AO281" s="1005"/>
      <c r="AP281" s="954"/>
      <c r="AQ281" s="954"/>
      <c r="AR281" s="954"/>
      <c r="AS281" s="954"/>
    </row>
    <row r="282" spans="1:45" ht="13.5" customHeight="1">
      <c r="A282" s="1009" t="s">
        <v>1429</v>
      </c>
      <c r="B282" s="1034">
        <v>0.125</v>
      </c>
      <c r="C282" s="1034">
        <v>0.45833333333333331</v>
      </c>
      <c r="D282" s="1035">
        <v>8</v>
      </c>
      <c r="E282" s="1036"/>
      <c r="F282" s="1037"/>
      <c r="G282" s="1034">
        <v>0.125</v>
      </c>
      <c r="H282" s="1034">
        <v>0.45833333333333331</v>
      </c>
      <c r="I282" s="1035">
        <v>8</v>
      </c>
      <c r="J282" s="1036"/>
      <c r="K282" s="1042"/>
      <c r="L282" s="1034">
        <v>0.125</v>
      </c>
      <c r="M282" s="1034">
        <v>0.45833333333333331</v>
      </c>
      <c r="N282" s="1035">
        <v>8</v>
      </c>
      <c r="O282" s="1036"/>
      <c r="P282" s="1042"/>
      <c r="Q282" s="1034">
        <v>0.125</v>
      </c>
      <c r="R282" s="1034">
        <v>0.45833333333333331</v>
      </c>
      <c r="S282" s="1035">
        <v>8</v>
      </c>
      <c r="T282" s="1036"/>
      <c r="U282" s="1042"/>
      <c r="V282" s="1034">
        <v>0.125</v>
      </c>
      <c r="W282" s="1034">
        <v>0.45833333333333331</v>
      </c>
      <c r="X282" s="1035">
        <v>8</v>
      </c>
      <c r="Y282" s="1036"/>
      <c r="Z282" s="1038">
        <v>40</v>
      </c>
      <c r="AA282" s="1039">
        <v>0</v>
      </c>
      <c r="AB282" s="1037"/>
      <c r="AC282" s="1034"/>
      <c r="AD282" s="1034"/>
      <c r="AE282" s="1035"/>
      <c r="AF282" s="1037"/>
      <c r="AG282" s="1034"/>
      <c r="AH282" s="1034"/>
      <c r="AI282" s="1035"/>
      <c r="AJ282" s="1038">
        <v>0</v>
      </c>
      <c r="AK282" s="941"/>
      <c r="AL282" s="943"/>
      <c r="AM282" s="940"/>
      <c r="AN282" s="953" t="s">
        <v>1115</v>
      </c>
      <c r="AO282" s="1005">
        <v>82</v>
      </c>
      <c r="AP282" s="954"/>
      <c r="AQ282" s="954"/>
      <c r="AR282" s="954"/>
      <c r="AS282" s="954"/>
    </row>
    <row r="283" spans="1:45" ht="13.5" customHeight="1">
      <c r="A283" s="1011" t="s">
        <v>1060</v>
      </c>
      <c r="B283" s="1034">
        <v>0.13541666666666666</v>
      </c>
      <c r="C283" s="1034">
        <v>0.45833333333333331</v>
      </c>
      <c r="D283" s="1035">
        <v>7.75</v>
      </c>
      <c r="E283" s="1036"/>
      <c r="F283" s="1037"/>
      <c r="G283" s="1034">
        <v>0.125</v>
      </c>
      <c r="H283" s="1034">
        <v>0.45833333333333331</v>
      </c>
      <c r="I283" s="1035">
        <v>8</v>
      </c>
      <c r="J283" s="1036"/>
      <c r="K283" s="1042"/>
      <c r="L283" s="1034">
        <v>0.13541666666666666</v>
      </c>
      <c r="M283" s="1034">
        <v>0.45833333333333331</v>
      </c>
      <c r="N283" s="1035">
        <v>7.75</v>
      </c>
      <c r="O283" s="1036"/>
      <c r="P283" s="1042"/>
      <c r="Q283" s="1034">
        <v>0.125</v>
      </c>
      <c r="R283" s="1034">
        <v>0.45833333333333331</v>
      </c>
      <c r="S283" s="1035">
        <v>8</v>
      </c>
      <c r="T283" s="1036"/>
      <c r="U283" s="1042"/>
      <c r="V283" s="1034">
        <v>0.125</v>
      </c>
      <c r="W283" s="1034">
        <v>0.45833333333333331</v>
      </c>
      <c r="X283" s="1035">
        <v>8</v>
      </c>
      <c r="Y283" s="1036"/>
      <c r="Z283" s="1038">
        <v>39.5</v>
      </c>
      <c r="AA283" s="1039">
        <v>0</v>
      </c>
      <c r="AB283" s="1037"/>
      <c r="AC283" s="1034"/>
      <c r="AD283" s="1034"/>
      <c r="AE283" s="1035"/>
      <c r="AF283" s="1037"/>
      <c r="AG283" s="1034"/>
      <c r="AH283" s="1034"/>
      <c r="AI283" s="1035"/>
      <c r="AJ283" s="1038">
        <v>0</v>
      </c>
      <c r="AK283" s="941"/>
      <c r="AL283" s="943"/>
      <c r="AM283" s="940"/>
      <c r="AN283" s="954"/>
      <c r="AO283" s="954"/>
      <c r="AP283" s="954"/>
      <c r="AQ283" s="954"/>
      <c r="AR283" s="954"/>
      <c r="AS283" s="954"/>
    </row>
    <row r="284" spans="1:45" ht="13.5" customHeight="1">
      <c r="A284" s="941" t="s">
        <v>327</v>
      </c>
      <c r="B284" s="1034"/>
      <c r="C284" s="1034"/>
      <c r="D284" s="1035">
        <v>0</v>
      </c>
      <c r="E284" s="1036"/>
      <c r="F284" s="1042"/>
      <c r="G284" s="1034">
        <v>0.125</v>
      </c>
      <c r="H284" s="1034">
        <v>0.45833333333333331</v>
      </c>
      <c r="I284" s="1035">
        <v>8</v>
      </c>
      <c r="J284" s="1036"/>
      <c r="K284" s="1042"/>
      <c r="L284" s="1034"/>
      <c r="M284" s="1034">
        <v>0.45833333333333331</v>
      </c>
      <c r="N284" s="1035">
        <v>8</v>
      </c>
      <c r="O284" s="1036"/>
      <c r="P284" s="1042"/>
      <c r="Q284" s="1034">
        <v>0.125</v>
      </c>
      <c r="R284" s="1034">
        <v>0.45833333333333331</v>
      </c>
      <c r="S284" s="1035">
        <v>8</v>
      </c>
      <c r="T284" s="1036"/>
      <c r="U284" s="1042"/>
      <c r="V284" s="1034">
        <v>0.125</v>
      </c>
      <c r="W284" s="1034">
        <v>0.45833333333333331</v>
      </c>
      <c r="X284" s="1035">
        <v>8</v>
      </c>
      <c r="Y284" s="1036"/>
      <c r="Z284" s="1038">
        <v>32</v>
      </c>
      <c r="AA284" s="1039">
        <v>0</v>
      </c>
      <c r="AB284" s="1037"/>
      <c r="AC284" s="1034"/>
      <c r="AD284" s="1034"/>
      <c r="AE284" s="1035"/>
      <c r="AF284" s="1037"/>
      <c r="AG284" s="1034"/>
      <c r="AH284" s="1034"/>
      <c r="AI284" s="1035"/>
      <c r="AJ284" s="1038">
        <v>0</v>
      </c>
      <c r="AK284" s="941"/>
      <c r="AL284" s="943"/>
      <c r="AM284" s="940"/>
      <c r="AN284" s="954"/>
      <c r="AO284" s="954"/>
      <c r="AP284" s="954"/>
      <c r="AQ284" s="954"/>
      <c r="AR284" s="954"/>
      <c r="AS284" s="954"/>
    </row>
    <row r="285" spans="1:45" ht="13.5" customHeight="1">
      <c r="A285" s="1006" t="s">
        <v>1144</v>
      </c>
      <c r="B285" s="1034">
        <v>0.125</v>
      </c>
      <c r="C285" s="1034">
        <v>0.45833333333333331</v>
      </c>
      <c r="D285" s="1035">
        <v>8</v>
      </c>
      <c r="E285" s="1036"/>
      <c r="F285" s="1042"/>
      <c r="G285" s="1034">
        <v>0.125</v>
      </c>
      <c r="H285" s="1034">
        <v>0.45833333333333331</v>
      </c>
      <c r="I285" s="1035">
        <v>8</v>
      </c>
      <c r="J285" s="1036"/>
      <c r="K285" s="1042"/>
      <c r="L285" s="1034">
        <v>0.29166666666666669</v>
      </c>
      <c r="M285" s="1034">
        <v>0.45833333333333331</v>
      </c>
      <c r="N285" s="1035">
        <v>8</v>
      </c>
      <c r="O285" s="1036">
        <v>7</v>
      </c>
      <c r="P285" s="1042"/>
      <c r="Q285" s="1034">
        <v>0.125</v>
      </c>
      <c r="R285" s="1034"/>
      <c r="S285" s="1035">
        <v>8</v>
      </c>
      <c r="T285" s="1036"/>
      <c r="U285" s="1042"/>
      <c r="V285" s="1034">
        <v>0.125</v>
      </c>
      <c r="W285" s="1034">
        <v>0.45833333333333331</v>
      </c>
      <c r="X285" s="1035">
        <v>8</v>
      </c>
      <c r="Y285" s="1036"/>
      <c r="Z285" s="1038">
        <v>40</v>
      </c>
      <c r="AA285" s="1039">
        <v>7</v>
      </c>
      <c r="AB285" s="1037"/>
      <c r="AC285" s="1034"/>
      <c r="AD285" s="1034"/>
      <c r="AE285" s="1035"/>
      <c r="AF285" s="1037"/>
      <c r="AG285" s="1034"/>
      <c r="AH285" s="1034"/>
      <c r="AI285" s="1035"/>
      <c r="AJ285" s="1038">
        <v>0</v>
      </c>
      <c r="AK285" s="941"/>
      <c r="AL285" s="943"/>
      <c r="AM285" s="940"/>
      <c r="AN285" s="954"/>
      <c r="AO285" s="954"/>
      <c r="AP285" s="954"/>
      <c r="AQ285" s="954"/>
      <c r="AR285" s="954"/>
      <c r="AS285" s="954"/>
    </row>
    <row r="286" spans="1:45" ht="13.5" customHeight="1">
      <c r="A286" s="1006" t="s">
        <v>1436</v>
      </c>
      <c r="B286" s="1034">
        <v>0.125</v>
      </c>
      <c r="C286" s="1034">
        <v>0.45833333333333331</v>
      </c>
      <c r="D286" s="1035">
        <v>8</v>
      </c>
      <c r="E286" s="1036"/>
      <c r="F286" s="1042"/>
      <c r="G286" s="1034">
        <v>0.125</v>
      </c>
      <c r="H286" s="1034">
        <v>0.45833333333333331</v>
      </c>
      <c r="I286" s="1035">
        <v>8</v>
      </c>
      <c r="J286" s="1036"/>
      <c r="K286" s="1042"/>
      <c r="L286" s="1034">
        <v>0.125</v>
      </c>
      <c r="M286" s="1034">
        <v>0.45833333333333331</v>
      </c>
      <c r="N286" s="1035">
        <v>8</v>
      </c>
      <c r="O286" s="1036"/>
      <c r="P286" s="1042"/>
      <c r="Q286" s="1034">
        <v>0.125</v>
      </c>
      <c r="R286" s="1034">
        <v>0.45833333333333331</v>
      </c>
      <c r="S286" s="1035">
        <v>8</v>
      </c>
      <c r="T286" s="1036"/>
      <c r="U286" s="1042"/>
      <c r="V286" s="1034">
        <v>0.125</v>
      </c>
      <c r="W286" s="1034">
        <v>0.45833333333333331</v>
      </c>
      <c r="X286" s="1035">
        <v>8</v>
      </c>
      <c r="Y286" s="1036"/>
      <c r="Z286" s="1038">
        <v>40</v>
      </c>
      <c r="AA286" s="1039">
        <v>0</v>
      </c>
      <c r="AB286" s="1037"/>
      <c r="AC286" s="1034"/>
      <c r="AD286" s="1034"/>
      <c r="AE286" s="1035"/>
      <c r="AF286" s="1037"/>
      <c r="AG286" s="1034"/>
      <c r="AH286" s="1034"/>
      <c r="AI286" s="1035"/>
      <c r="AJ286" s="1038">
        <v>0</v>
      </c>
      <c r="AK286" s="941"/>
      <c r="AL286" s="943"/>
      <c r="AM286" s="940"/>
      <c r="AN286" s="954"/>
      <c r="AO286" s="954"/>
      <c r="AP286" s="954"/>
      <c r="AQ286" s="954"/>
      <c r="AR286" s="954"/>
      <c r="AS286" s="954"/>
    </row>
    <row r="287" spans="1:45" ht="13.5" customHeight="1">
      <c r="A287" s="1009" t="s">
        <v>1440</v>
      </c>
      <c r="B287" s="1034"/>
      <c r="C287" s="1034"/>
      <c r="D287" s="1035"/>
      <c r="E287" s="1036"/>
      <c r="F287" s="1042"/>
      <c r="G287" s="1034"/>
      <c r="H287" s="1034"/>
      <c r="I287" s="1035"/>
      <c r="J287" s="1036"/>
      <c r="K287" s="1042"/>
      <c r="L287" s="1034"/>
      <c r="M287" s="1034"/>
      <c r="N287" s="1035"/>
      <c r="O287" s="1036"/>
      <c r="P287" s="1042"/>
      <c r="Q287" s="1034"/>
      <c r="R287" s="1034"/>
      <c r="S287" s="1035"/>
      <c r="T287" s="1036"/>
      <c r="U287" s="1042"/>
      <c r="V287" s="1034">
        <v>0.375</v>
      </c>
      <c r="W287" s="1034">
        <v>0.25</v>
      </c>
      <c r="X287" s="1035">
        <v>8</v>
      </c>
      <c r="Y287" s="1036"/>
      <c r="Z287" s="1038">
        <v>8</v>
      </c>
      <c r="AA287" s="1039">
        <v>0</v>
      </c>
      <c r="AB287" s="1037"/>
      <c r="AC287" s="1034"/>
      <c r="AD287" s="1034"/>
      <c r="AE287" s="1035"/>
      <c r="AF287" s="1037"/>
      <c r="AG287" s="1034"/>
      <c r="AH287" s="1034"/>
      <c r="AI287" s="1035"/>
      <c r="AJ287" s="1038">
        <v>0</v>
      </c>
      <c r="AK287" s="941"/>
      <c r="AL287" s="943"/>
      <c r="AM287" s="940"/>
      <c r="AN287" s="954"/>
      <c r="AO287" s="954"/>
      <c r="AP287" s="954"/>
      <c r="AQ287" s="954"/>
      <c r="AR287" s="954"/>
      <c r="AS287" s="954"/>
    </row>
    <row r="288" spans="1:45" ht="13.5" customHeight="1">
      <c r="A288" s="1009" t="s">
        <v>1140</v>
      </c>
      <c r="B288" s="1034"/>
      <c r="C288" s="1034"/>
      <c r="D288" s="1035"/>
      <c r="E288" s="1036"/>
      <c r="F288" s="1042"/>
      <c r="G288" s="1034"/>
      <c r="H288" s="1034"/>
      <c r="I288" s="1035"/>
      <c r="J288" s="1036"/>
      <c r="K288" s="1042"/>
      <c r="L288" s="1034"/>
      <c r="M288" s="1034"/>
      <c r="N288" s="1035"/>
      <c r="O288" s="1036"/>
      <c r="P288" s="1042"/>
      <c r="Q288" s="1034"/>
      <c r="R288" s="1034"/>
      <c r="S288" s="1035"/>
      <c r="T288" s="1036"/>
      <c r="U288" s="1042"/>
      <c r="V288" s="1034"/>
      <c r="W288" s="1034"/>
      <c r="X288" s="1035"/>
      <c r="Y288" s="1036"/>
      <c r="Z288" s="1038">
        <v>0</v>
      </c>
      <c r="AA288" s="1039">
        <v>0</v>
      </c>
      <c r="AB288" s="1037"/>
      <c r="AC288" s="1034"/>
      <c r="AD288" s="1034"/>
      <c r="AE288" s="1035"/>
      <c r="AF288" s="1037"/>
      <c r="AG288" s="1034"/>
      <c r="AH288" s="1034"/>
      <c r="AI288" s="1035"/>
      <c r="AJ288" s="1038">
        <v>0</v>
      </c>
      <c r="AK288" s="941"/>
      <c r="AL288" s="943"/>
      <c r="AM288" s="940"/>
      <c r="AN288" s="954"/>
      <c r="AO288" s="954"/>
      <c r="AP288" s="954"/>
      <c r="AQ288" s="954"/>
      <c r="AR288" s="954"/>
      <c r="AS288" s="954"/>
    </row>
    <row r="289" spans="1:45" ht="13.5" customHeight="1">
      <c r="A289" s="1009" t="s">
        <v>1435</v>
      </c>
      <c r="B289" s="1034"/>
      <c r="C289" s="1034"/>
      <c r="D289" s="1035"/>
      <c r="E289" s="1036"/>
      <c r="F289" s="1042"/>
      <c r="G289" s="1034"/>
      <c r="H289" s="1034"/>
      <c r="I289" s="1035"/>
      <c r="J289" s="1036"/>
      <c r="K289" s="1042"/>
      <c r="L289" s="1034"/>
      <c r="M289" s="1034"/>
      <c r="N289" s="1035"/>
      <c r="O289" s="1036"/>
      <c r="P289" s="1042"/>
      <c r="Q289" s="1034"/>
      <c r="R289" s="1034"/>
      <c r="S289" s="1035"/>
      <c r="T289" s="1036"/>
      <c r="U289" s="1042"/>
      <c r="V289" s="1034"/>
      <c r="W289" s="1034"/>
      <c r="X289" s="1035"/>
      <c r="Y289" s="1036"/>
      <c r="Z289" s="1038">
        <v>0</v>
      </c>
      <c r="AA289" s="1039">
        <v>0</v>
      </c>
      <c r="AB289" s="1037"/>
      <c r="AC289" s="1034">
        <v>0.29166666666666669</v>
      </c>
      <c r="AD289" s="1093">
        <v>0.20833333333333334</v>
      </c>
      <c r="AE289" s="1035">
        <v>11.5</v>
      </c>
      <c r="AF289" s="1037"/>
      <c r="AG289" s="1034"/>
      <c r="AH289" s="1034"/>
      <c r="AI289" s="1035"/>
      <c r="AJ289" s="1038">
        <v>11.5</v>
      </c>
      <c r="AK289" s="941"/>
      <c r="AL289" s="943"/>
      <c r="AM289" s="940"/>
      <c r="AN289" s="954"/>
      <c r="AO289" s="954"/>
      <c r="AP289" s="954"/>
      <c r="AQ289" s="954"/>
      <c r="AR289" s="954"/>
      <c r="AS289" s="954"/>
    </row>
    <row r="290" spans="1:45" ht="13.5" customHeight="1">
      <c r="A290" s="1009" t="s">
        <v>1431</v>
      </c>
      <c r="B290" s="1034"/>
      <c r="C290" s="1034"/>
      <c r="D290" s="1035">
        <v>1</v>
      </c>
      <c r="E290" s="1036"/>
      <c r="F290" s="1042"/>
      <c r="G290" s="1034"/>
      <c r="H290" s="1034"/>
      <c r="I290" s="1035">
        <v>1</v>
      </c>
      <c r="J290" s="1036"/>
      <c r="K290" s="1042"/>
      <c r="L290" s="1034"/>
      <c r="M290" s="1034"/>
      <c r="N290" s="1035">
        <v>1</v>
      </c>
      <c r="O290" s="1036"/>
      <c r="P290" s="1042"/>
      <c r="Q290" s="1034"/>
      <c r="R290" s="1034"/>
      <c r="S290" s="1035">
        <v>1</v>
      </c>
      <c r="T290" s="1036"/>
      <c r="U290" s="1042"/>
      <c r="V290" s="1034"/>
      <c r="W290" s="1034"/>
      <c r="X290" s="1035">
        <v>1</v>
      </c>
      <c r="Y290" s="1036"/>
      <c r="Z290" s="1038">
        <v>5</v>
      </c>
      <c r="AA290" s="1039">
        <v>0</v>
      </c>
      <c r="AB290" s="1037"/>
      <c r="AC290" s="1034"/>
      <c r="AD290" s="1034"/>
      <c r="AE290" s="1035"/>
      <c r="AF290" s="1037"/>
      <c r="AG290" s="1034"/>
      <c r="AH290" s="1034"/>
      <c r="AI290" s="1035"/>
      <c r="AJ290" s="1038">
        <v>0</v>
      </c>
      <c r="AK290" s="941"/>
      <c r="AL290" s="943"/>
      <c r="AM290" s="940"/>
      <c r="AN290" s="954"/>
      <c r="AO290" s="954"/>
      <c r="AP290" s="954"/>
      <c r="AQ290" s="954"/>
      <c r="AR290" s="954"/>
      <c r="AS290" s="954"/>
    </row>
    <row r="291" spans="1:45" ht="13.5" customHeight="1">
      <c r="A291" s="1009" t="s">
        <v>813</v>
      </c>
      <c r="B291" s="1034"/>
      <c r="C291" s="1034"/>
      <c r="D291" s="1035">
        <v>2</v>
      </c>
      <c r="E291" s="1036"/>
      <c r="F291" s="1042"/>
      <c r="G291" s="1034"/>
      <c r="H291" s="1034"/>
      <c r="I291" s="1035">
        <v>2</v>
      </c>
      <c r="J291" s="1036"/>
      <c r="K291" s="1042"/>
      <c r="L291" s="1034"/>
      <c r="M291" s="1034"/>
      <c r="N291" s="1035">
        <v>2</v>
      </c>
      <c r="O291" s="1036"/>
      <c r="P291" s="1042"/>
      <c r="Q291" s="1034"/>
      <c r="R291" s="1034"/>
      <c r="S291" s="1035">
        <v>2</v>
      </c>
      <c r="T291" s="1036"/>
      <c r="U291" s="1042"/>
      <c r="V291" s="1034"/>
      <c r="W291" s="1034"/>
      <c r="X291" s="1035">
        <v>2</v>
      </c>
      <c r="Y291" s="1036"/>
      <c r="Z291" s="1038">
        <v>10</v>
      </c>
      <c r="AA291" s="1039">
        <v>0</v>
      </c>
      <c r="AB291" s="1037"/>
      <c r="AC291" s="1034"/>
      <c r="AD291" s="1034"/>
      <c r="AE291" s="1035"/>
      <c r="AF291" s="1037"/>
      <c r="AG291" s="1034"/>
      <c r="AH291" s="1034"/>
      <c r="AI291" s="1035"/>
      <c r="AJ291" s="1038">
        <v>0</v>
      </c>
      <c r="AK291" s="941"/>
      <c r="AL291" s="943"/>
      <c r="AM291" s="940"/>
      <c r="AN291" s="954"/>
      <c r="AO291" s="954"/>
      <c r="AP291" s="954"/>
      <c r="AQ291" s="954"/>
      <c r="AR291" s="954"/>
      <c r="AS291" s="954"/>
    </row>
    <row r="292" spans="1:45" ht="13.5" customHeight="1">
      <c r="A292" s="1009" t="s">
        <v>88</v>
      </c>
      <c r="B292" s="1034"/>
      <c r="C292" s="1034"/>
      <c r="D292" s="1035">
        <v>2</v>
      </c>
      <c r="E292" s="1036"/>
      <c r="F292" s="1042"/>
      <c r="G292" s="1034"/>
      <c r="H292" s="1034"/>
      <c r="I292" s="1035">
        <v>2</v>
      </c>
      <c r="J292" s="1036"/>
      <c r="K292" s="1042"/>
      <c r="L292" s="1034"/>
      <c r="M292" s="1034"/>
      <c r="N292" s="1035">
        <v>2</v>
      </c>
      <c r="O292" s="1036"/>
      <c r="P292" s="1042"/>
      <c r="Q292" s="1034"/>
      <c r="R292" s="1034"/>
      <c r="S292" s="1035">
        <v>2</v>
      </c>
      <c r="T292" s="1036"/>
      <c r="U292" s="1042"/>
      <c r="V292" s="1034"/>
      <c r="W292" s="1034"/>
      <c r="X292" s="1035">
        <v>2</v>
      </c>
      <c r="Y292" s="1036"/>
      <c r="Z292" s="1038">
        <v>10</v>
      </c>
      <c r="AA292" s="1039">
        <v>0</v>
      </c>
      <c r="AB292" s="1037"/>
      <c r="AC292" s="1034"/>
      <c r="AD292" s="1034"/>
      <c r="AE292" s="1035"/>
      <c r="AF292" s="1037"/>
      <c r="AG292" s="1034"/>
      <c r="AH292" s="1034"/>
      <c r="AI292" s="1035"/>
      <c r="AJ292" s="1038">
        <v>0</v>
      </c>
      <c r="AK292" s="941"/>
      <c r="AL292" s="943"/>
      <c r="AM292" s="940"/>
      <c r="AN292" s="954"/>
      <c r="AO292" s="954"/>
      <c r="AP292" s="954"/>
      <c r="AQ292" s="954"/>
      <c r="AR292" s="954"/>
      <c r="AS292" s="954"/>
    </row>
    <row r="293" spans="1:45" ht="13.5" customHeight="1">
      <c r="A293" s="1009" t="s">
        <v>1441</v>
      </c>
      <c r="B293" s="1034">
        <v>0.29166666666666669</v>
      </c>
      <c r="C293" s="1034">
        <v>0.33333333333333331</v>
      </c>
      <c r="D293" s="1035">
        <v>8</v>
      </c>
      <c r="E293" s="1036">
        <v>4</v>
      </c>
      <c r="F293" s="1042"/>
      <c r="G293" s="1034">
        <v>0.30208333333333331</v>
      </c>
      <c r="H293" s="1034">
        <v>0.125</v>
      </c>
      <c r="I293" s="1035">
        <v>7.75</v>
      </c>
      <c r="J293" s="1036"/>
      <c r="K293" s="1042"/>
      <c r="L293" s="1034"/>
      <c r="M293" s="1034"/>
      <c r="N293" s="1035"/>
      <c r="O293" s="1036"/>
      <c r="P293" s="1042"/>
      <c r="Q293" s="1034"/>
      <c r="R293" s="1034"/>
      <c r="S293" s="1035"/>
      <c r="T293" s="1036"/>
      <c r="U293" s="1042"/>
      <c r="V293" s="1034"/>
      <c r="W293" s="1034"/>
      <c r="X293" s="1035"/>
      <c r="Y293" s="1036"/>
      <c r="Z293" s="1038">
        <v>15.75</v>
      </c>
      <c r="AA293" s="1039">
        <v>4</v>
      </c>
      <c r="AB293" s="1037"/>
      <c r="AC293" s="1034"/>
      <c r="AD293" s="1034"/>
      <c r="AE293" s="1035"/>
      <c r="AF293" s="1037"/>
      <c r="AG293" s="1034"/>
      <c r="AH293" s="1034"/>
      <c r="AI293" s="1035"/>
      <c r="AJ293" s="1038">
        <v>0</v>
      </c>
      <c r="AK293" s="941"/>
      <c r="AL293" s="943"/>
      <c r="AM293" s="940"/>
      <c r="AN293" s="954"/>
      <c r="AO293" s="954"/>
      <c r="AP293" s="954"/>
      <c r="AQ293" s="954"/>
      <c r="AR293" s="954"/>
      <c r="AS293" s="954"/>
    </row>
    <row r="294" spans="1:45" ht="13.5" customHeight="1">
      <c r="A294" s="1043" t="s">
        <v>1438</v>
      </c>
      <c r="B294" s="1049"/>
      <c r="C294" s="1049">
        <v>0.29166666666666669</v>
      </c>
      <c r="D294" s="1050">
        <v>8</v>
      </c>
      <c r="E294" s="1050"/>
      <c r="F294" s="1050"/>
      <c r="G294" s="1049">
        <v>0.45833333333333331</v>
      </c>
      <c r="H294" s="1049">
        <v>0.29166666666666669</v>
      </c>
      <c r="I294" s="1050">
        <v>8</v>
      </c>
      <c r="J294" s="1050"/>
      <c r="K294" s="1050"/>
      <c r="L294" s="1049">
        <v>0</v>
      </c>
      <c r="M294" s="1049">
        <v>0</v>
      </c>
      <c r="N294" s="1050">
        <v>8</v>
      </c>
      <c r="O294" s="1050"/>
      <c r="P294" s="1050"/>
      <c r="Q294" s="1049">
        <v>0.45833333333333331</v>
      </c>
      <c r="R294" s="1049">
        <v>0.29166666666666669</v>
      </c>
      <c r="S294" s="1050">
        <v>8</v>
      </c>
      <c r="T294" s="1050"/>
      <c r="U294" s="1050"/>
      <c r="V294" s="1049">
        <v>0</v>
      </c>
      <c r="W294" s="1049">
        <v>0</v>
      </c>
      <c r="X294" s="1050">
        <v>8</v>
      </c>
      <c r="Y294" s="1050"/>
      <c r="Z294" s="1051">
        <v>40</v>
      </c>
      <c r="AA294" s="1039">
        <v>0</v>
      </c>
      <c r="AB294" s="1037"/>
      <c r="AC294" s="1034"/>
      <c r="AD294" s="1034"/>
      <c r="AE294" s="1035"/>
      <c r="AF294" s="1037"/>
      <c r="AG294" s="1034"/>
      <c r="AH294" s="1034"/>
      <c r="AI294" s="1035"/>
      <c r="AJ294" s="1038">
        <v>0</v>
      </c>
      <c r="AK294" s="941"/>
      <c r="AL294" s="943"/>
      <c r="AM294" s="940"/>
      <c r="AN294" s="954"/>
      <c r="AO294" s="954"/>
      <c r="AP294" s="954"/>
      <c r="AQ294" s="954"/>
      <c r="AR294" s="954"/>
      <c r="AS294" s="954"/>
    </row>
    <row r="295" spans="1:45" ht="13.5" customHeight="1">
      <c r="A295" s="1043" t="s">
        <v>1439</v>
      </c>
      <c r="B295" s="1049">
        <v>0.45833333333333331</v>
      </c>
      <c r="C295" s="1049">
        <v>0.11458333333333333</v>
      </c>
      <c r="D295" s="1050">
        <v>8</v>
      </c>
      <c r="E295" s="1050"/>
      <c r="F295" s="1050"/>
      <c r="G295" s="1049">
        <v>0.45833333333333331</v>
      </c>
      <c r="H295" s="1049">
        <v>0.11458333333333333</v>
      </c>
      <c r="I295" s="1050">
        <v>8</v>
      </c>
      <c r="J295" s="1050"/>
      <c r="K295" s="1050"/>
      <c r="L295" s="1049">
        <v>0.45833333333333331</v>
      </c>
      <c r="M295" s="1049">
        <v>0.10416666666666667</v>
      </c>
      <c r="N295" s="1050">
        <v>8</v>
      </c>
      <c r="O295" s="1050"/>
      <c r="P295" s="1050"/>
      <c r="Q295" s="1049">
        <v>0.45833333333333331</v>
      </c>
      <c r="R295" s="1049">
        <v>4.1666666666666664E-2</v>
      </c>
      <c r="S295" s="1050">
        <v>8</v>
      </c>
      <c r="T295" s="1050"/>
      <c r="U295" s="1050"/>
      <c r="V295" s="1049">
        <v>0</v>
      </c>
      <c r="W295" s="1049">
        <v>0</v>
      </c>
      <c r="X295" s="1050">
        <v>8</v>
      </c>
      <c r="Y295" s="1050"/>
      <c r="Z295" s="1051">
        <v>40</v>
      </c>
      <c r="AA295" s="1039">
        <v>0</v>
      </c>
      <c r="AB295" s="1037"/>
      <c r="AC295" s="1034"/>
      <c r="AD295" s="1034"/>
      <c r="AE295" s="1035"/>
      <c r="AF295" s="1037"/>
      <c r="AG295" s="1034"/>
      <c r="AH295" s="1034"/>
      <c r="AI295" s="1035"/>
      <c r="AJ295" s="1038">
        <v>0</v>
      </c>
      <c r="AK295" s="941"/>
      <c r="AL295" s="943"/>
      <c r="AM295" s="940"/>
      <c r="AN295" s="954"/>
      <c r="AO295" s="954"/>
      <c r="AP295" s="954"/>
      <c r="AQ295" s="954"/>
      <c r="AR295" s="954"/>
      <c r="AS295" s="954"/>
    </row>
    <row r="296" spans="1:45" ht="13.5" customHeight="1">
      <c r="A296" s="1043" t="s">
        <v>1433</v>
      </c>
      <c r="B296" s="1049">
        <v>0.45833333333333331</v>
      </c>
      <c r="C296" s="1049">
        <v>0.29166666666666669</v>
      </c>
      <c r="D296" s="1050">
        <v>8</v>
      </c>
      <c r="E296" s="1050"/>
      <c r="F296" s="1050"/>
      <c r="G296" s="1049">
        <v>0.45833333333333331</v>
      </c>
      <c r="H296" s="1049">
        <v>0.29166666666666669</v>
      </c>
      <c r="I296" s="1050">
        <v>8</v>
      </c>
      <c r="J296" s="1050"/>
      <c r="K296" s="1050"/>
      <c r="L296" s="1049">
        <v>0.45833333333333331</v>
      </c>
      <c r="M296" s="1049">
        <v>0.29166666666666669</v>
      </c>
      <c r="N296" s="1050">
        <v>8</v>
      </c>
      <c r="O296" s="1050"/>
      <c r="P296" s="1050"/>
      <c r="Q296" s="1049">
        <v>0.45833333333333331</v>
      </c>
      <c r="R296" s="1049">
        <v>0.47916666666666669</v>
      </c>
      <c r="S296" s="1050">
        <v>8</v>
      </c>
      <c r="T296" s="1050">
        <v>0.5</v>
      </c>
      <c r="U296" s="1050"/>
      <c r="V296" s="1049">
        <v>0.45833333333333331</v>
      </c>
      <c r="W296" s="1049">
        <v>0.29166666666666669</v>
      </c>
      <c r="X296" s="1050">
        <v>8</v>
      </c>
      <c r="Y296" s="1050"/>
      <c r="Z296" s="1051">
        <v>40</v>
      </c>
      <c r="AA296" s="1039">
        <v>0.5</v>
      </c>
      <c r="AB296" s="1037"/>
      <c r="AC296" s="1034"/>
      <c r="AD296" s="1034"/>
      <c r="AE296" s="1035"/>
      <c r="AF296" s="1037"/>
      <c r="AG296" s="1034"/>
      <c r="AH296" s="1034"/>
      <c r="AI296" s="1035"/>
      <c r="AJ296" s="1038">
        <v>0</v>
      </c>
      <c r="AK296" s="941"/>
      <c r="AL296" s="943"/>
      <c r="AM296" s="940"/>
      <c r="AN296" s="954"/>
      <c r="AO296" s="954"/>
      <c r="AP296" s="954"/>
      <c r="AQ296" s="954"/>
      <c r="AR296" s="954"/>
      <c r="AS296" s="954"/>
    </row>
    <row r="297" spans="1:45" ht="13.5" customHeight="1">
      <c r="A297" s="1043" t="s">
        <v>241</v>
      </c>
      <c r="B297" s="1049"/>
      <c r="C297" s="1049"/>
      <c r="D297" s="1050"/>
      <c r="E297" s="1050"/>
      <c r="F297" s="1050"/>
      <c r="G297" s="1049"/>
      <c r="H297" s="1049"/>
      <c r="I297" s="1050"/>
      <c r="J297" s="1050"/>
      <c r="K297" s="1050"/>
      <c r="L297" s="1049"/>
      <c r="M297" s="1049"/>
      <c r="N297" s="1050"/>
      <c r="O297" s="1050"/>
      <c r="P297" s="1050"/>
      <c r="Q297" s="1049"/>
      <c r="R297" s="1049"/>
      <c r="S297" s="1050"/>
      <c r="T297" s="1050"/>
      <c r="U297" s="1050"/>
      <c r="V297" s="1049"/>
      <c r="W297" s="1049"/>
      <c r="X297" s="1050"/>
      <c r="Y297" s="1050"/>
      <c r="Z297" s="1051">
        <v>0</v>
      </c>
      <c r="AA297" s="1039">
        <v>0</v>
      </c>
      <c r="AB297" s="1037"/>
      <c r="AC297" s="1034"/>
      <c r="AD297" s="1034"/>
      <c r="AE297" s="1035"/>
      <c r="AF297" s="1037"/>
      <c r="AG297" s="1034"/>
      <c r="AH297" s="1034"/>
      <c r="AI297" s="1035"/>
      <c r="AJ297" s="1038">
        <v>0</v>
      </c>
      <c r="AK297" s="941"/>
      <c r="AL297" s="943"/>
      <c r="AM297" s="940"/>
      <c r="AN297" s="954"/>
      <c r="AO297" s="954"/>
      <c r="AP297" s="954"/>
      <c r="AQ297" s="954"/>
      <c r="AR297" s="954"/>
      <c r="AS297" s="954"/>
    </row>
    <row r="298" spans="1:45" ht="13.5" customHeight="1">
      <c r="A298" s="1043" t="s">
        <v>1437</v>
      </c>
      <c r="B298" s="1049">
        <v>0.29166666666666669</v>
      </c>
      <c r="C298" s="1049">
        <v>0.125</v>
      </c>
      <c r="D298" s="1050">
        <v>8</v>
      </c>
      <c r="E298" s="1050"/>
      <c r="F298" s="1050"/>
      <c r="G298" s="1049">
        <v>0.35416666666666669</v>
      </c>
      <c r="H298" s="1049">
        <v>0.125</v>
      </c>
      <c r="I298" s="1050">
        <v>6.5</v>
      </c>
      <c r="J298" s="1050"/>
      <c r="K298" s="1050"/>
      <c r="L298" s="1049"/>
      <c r="M298" s="1049"/>
      <c r="N298" s="1050">
        <v>0</v>
      </c>
      <c r="O298" s="1050"/>
      <c r="P298" s="1050"/>
      <c r="Q298" s="1049">
        <v>0.4375</v>
      </c>
      <c r="R298" s="1049">
        <v>0.125</v>
      </c>
      <c r="S298" s="1050">
        <v>4.5</v>
      </c>
      <c r="T298" s="1050"/>
      <c r="U298" s="1050"/>
      <c r="V298" s="1049"/>
      <c r="W298" s="1049"/>
      <c r="X298" s="1050"/>
      <c r="Y298" s="1050"/>
      <c r="Z298" s="1051">
        <v>19</v>
      </c>
      <c r="AA298" s="1039">
        <v>0</v>
      </c>
      <c r="AB298" s="1037"/>
      <c r="AC298" s="1034"/>
      <c r="AD298" s="1034"/>
      <c r="AE298" s="1035"/>
      <c r="AF298" s="1037"/>
      <c r="AG298" s="1034"/>
      <c r="AH298" s="1034"/>
      <c r="AI298" s="1035"/>
      <c r="AJ298" s="1038">
        <v>0</v>
      </c>
      <c r="AK298" s="941"/>
      <c r="AL298" s="943"/>
      <c r="AM298" s="940"/>
      <c r="AN298" s="954"/>
      <c r="AO298" s="954"/>
      <c r="AP298" s="954"/>
      <c r="AQ298" s="954"/>
      <c r="AR298" s="954"/>
      <c r="AS298" s="954"/>
    </row>
    <row r="299" spans="1:45" ht="13.5" customHeight="1">
      <c r="A299" s="1016" t="s">
        <v>61</v>
      </c>
      <c r="B299" s="1044"/>
      <c r="C299" s="1044"/>
      <c r="D299" s="1045">
        <v>100.75</v>
      </c>
      <c r="E299" s="1036">
        <v>4.5</v>
      </c>
      <c r="F299" s="1044"/>
      <c r="G299" s="1044"/>
      <c r="H299" s="1044"/>
      <c r="I299" s="1045">
        <v>108.75</v>
      </c>
      <c r="J299" s="1036">
        <v>0.25</v>
      </c>
      <c r="K299" s="1044"/>
      <c r="L299" s="1044"/>
      <c r="M299" s="1044"/>
      <c r="N299" s="1045">
        <v>108.75</v>
      </c>
      <c r="O299" s="1036">
        <v>7</v>
      </c>
      <c r="P299" s="1044"/>
      <c r="Q299" s="1044"/>
      <c r="R299" s="1044"/>
      <c r="S299" s="1045">
        <v>109</v>
      </c>
      <c r="T299" s="1036">
        <v>0</v>
      </c>
      <c r="U299" s="1044"/>
      <c r="V299" s="1044"/>
      <c r="W299" s="1044"/>
      <c r="X299" s="1045">
        <v>117</v>
      </c>
      <c r="Y299" s="1036">
        <v>0</v>
      </c>
      <c r="Z299" s="1038">
        <v>544.25</v>
      </c>
      <c r="AA299" s="1038">
        <v>11.75</v>
      </c>
      <c r="AB299" s="1037"/>
      <c r="AC299" s="1044"/>
      <c r="AD299" s="1044"/>
      <c r="AE299" s="1038">
        <v>16.5</v>
      </c>
      <c r="AF299" s="1037"/>
      <c r="AG299" s="1044"/>
      <c r="AH299" s="1044"/>
      <c r="AI299" s="1038">
        <v>0</v>
      </c>
      <c r="AJ299" s="1038">
        <v>16.5</v>
      </c>
      <c r="AK299" s="941"/>
      <c r="AL299" s="943"/>
      <c r="AM299" s="940"/>
      <c r="AN299" s="954"/>
      <c r="AO299" s="954"/>
      <c r="AP299" s="954"/>
      <c r="AQ299" s="954"/>
      <c r="AR299" s="954"/>
      <c r="AS299" s="954"/>
    </row>
    <row r="300" spans="1:45" ht="13.5" customHeight="1">
      <c r="A300" s="1016" t="s">
        <v>1434</v>
      </c>
      <c r="B300" s="1044"/>
      <c r="C300" s="1044"/>
      <c r="D300" s="1045">
        <v>32</v>
      </c>
      <c r="E300" s="1036">
        <v>0</v>
      </c>
      <c r="F300" s="1044"/>
      <c r="G300" s="1044"/>
      <c r="H300" s="1044"/>
      <c r="I300" s="1045">
        <v>30.5</v>
      </c>
      <c r="J300" s="1036">
        <v>0</v>
      </c>
      <c r="K300" s="1044"/>
      <c r="L300" s="1044"/>
      <c r="M300" s="1044"/>
      <c r="N300" s="1045">
        <v>24</v>
      </c>
      <c r="O300" s="1036">
        <v>0</v>
      </c>
      <c r="P300" s="1044"/>
      <c r="Q300" s="1044"/>
      <c r="R300" s="1044"/>
      <c r="S300" s="1045">
        <v>28.5</v>
      </c>
      <c r="T300" s="1036">
        <v>0.5</v>
      </c>
      <c r="U300" s="1044"/>
      <c r="V300" s="1044"/>
      <c r="W300" s="1044"/>
      <c r="X300" s="1045">
        <v>24</v>
      </c>
      <c r="Y300" s="1036">
        <v>0</v>
      </c>
      <c r="Z300" s="1038">
        <v>139</v>
      </c>
      <c r="AA300" s="1038">
        <v>0.75</v>
      </c>
      <c r="AB300" s="1037"/>
      <c r="AC300" s="1044"/>
      <c r="AD300" s="1044"/>
      <c r="AE300" s="1038"/>
      <c r="AF300" s="1037"/>
      <c r="AG300" s="1044"/>
      <c r="AH300" s="1044"/>
      <c r="AI300" s="1038"/>
      <c r="AJ300" s="1038"/>
      <c r="AK300" s="941"/>
      <c r="AL300" s="943"/>
      <c r="AM300" s="940"/>
      <c r="AN300" s="954"/>
      <c r="AO300" s="954"/>
      <c r="AP300" s="954"/>
      <c r="AQ300" s="954"/>
      <c r="AR300" s="954"/>
      <c r="AS300" s="954"/>
    </row>
    <row r="301" spans="1:45" ht="13.5" customHeight="1">
      <c r="A301" s="1022" t="s">
        <v>64</v>
      </c>
      <c r="B301" s="1034"/>
      <c r="C301" s="1034"/>
      <c r="D301" s="1035">
        <v>4</v>
      </c>
      <c r="E301" s="1035"/>
      <c r="F301" s="1046"/>
      <c r="G301" s="1034"/>
      <c r="H301" s="1034"/>
      <c r="I301" s="1035">
        <v>4</v>
      </c>
      <c r="J301" s="1035"/>
      <c r="K301" s="1042"/>
      <c r="L301" s="1034"/>
      <c r="M301" s="1034"/>
      <c r="N301" s="1035">
        <v>4</v>
      </c>
      <c r="O301" s="1035"/>
      <c r="P301" s="1042"/>
      <c r="Q301" s="1034"/>
      <c r="R301" s="1034"/>
      <c r="S301" s="1035">
        <v>4</v>
      </c>
      <c r="T301" s="1035"/>
      <c r="U301" s="1042"/>
      <c r="V301" s="1034"/>
      <c r="W301" s="1034"/>
      <c r="X301" s="1035">
        <v>4</v>
      </c>
      <c r="Y301" s="1035"/>
      <c r="Z301" s="1038">
        <v>20</v>
      </c>
      <c r="AA301" s="1047">
        <v>0</v>
      </c>
      <c r="AB301" s="1037"/>
      <c r="AC301" s="1034"/>
      <c r="AD301" s="1034"/>
      <c r="AE301" s="1035">
        <v>6.25</v>
      </c>
      <c r="AF301" s="1037"/>
      <c r="AG301" s="1034"/>
      <c r="AH301" s="1034"/>
      <c r="AI301" s="1035">
        <v>3.5</v>
      </c>
      <c r="AJ301" s="1038">
        <v>9.75</v>
      </c>
      <c r="AK301" s="941"/>
      <c r="AL301" s="943"/>
      <c r="AM301" s="940"/>
      <c r="AN301" s="954"/>
      <c r="AO301" s="954"/>
      <c r="AP301" s="954"/>
      <c r="AQ301" s="954"/>
      <c r="AR301" s="954"/>
      <c r="AS301" s="954"/>
    </row>
    <row r="302" spans="1:45" ht="13.5" customHeight="1">
      <c r="A302" s="1026" t="s">
        <v>66</v>
      </c>
      <c r="B302" s="1062"/>
      <c r="C302" s="1062"/>
      <c r="D302" s="1046"/>
      <c r="E302" s="1046"/>
      <c r="F302" s="1046"/>
      <c r="G302" s="1046"/>
      <c r="H302" s="1046"/>
      <c r="I302" s="1046"/>
      <c r="J302" s="1046"/>
      <c r="K302" s="1046"/>
      <c r="L302" s="1046"/>
      <c r="M302" s="1046"/>
      <c r="N302" s="1046"/>
      <c r="O302" s="1046"/>
      <c r="P302" s="1046"/>
      <c r="Q302" s="1046"/>
      <c r="R302" s="1046"/>
      <c r="S302" s="1046"/>
      <c r="T302" s="1046"/>
      <c r="U302" s="1046"/>
      <c r="V302" s="1046"/>
      <c r="W302" s="1046"/>
      <c r="X302" s="1046"/>
      <c r="Y302" s="1046"/>
      <c r="Z302" s="1038">
        <v>20</v>
      </c>
      <c r="AA302" s="1038">
        <v>0</v>
      </c>
      <c r="AB302" s="1037"/>
      <c r="AC302" s="1063"/>
      <c r="AD302" s="1063"/>
      <c r="AE302" s="1063"/>
      <c r="AF302" s="1037"/>
      <c r="AG302" s="1063"/>
      <c r="AH302" s="1063"/>
      <c r="AI302" s="1063"/>
      <c r="AJ302" s="1038">
        <v>9.75</v>
      </c>
      <c r="AK302" s="941"/>
      <c r="AL302" s="943"/>
      <c r="AM302" s="940"/>
      <c r="AN302" s="1021"/>
      <c r="AO302" s="954"/>
      <c r="AP302" s="954"/>
      <c r="AQ302" s="954"/>
      <c r="AR302" s="954"/>
      <c r="AS302" s="954"/>
    </row>
    <row r="303" spans="1:45" ht="13.5" customHeight="1">
      <c r="A303" s="1029" t="s">
        <v>67</v>
      </c>
      <c r="B303" s="1030">
        <v>82</v>
      </c>
      <c r="C303" s="1030"/>
      <c r="D303" s="1031"/>
      <c r="E303" s="1031"/>
      <c r="F303" s="1030"/>
      <c r="G303" s="1031"/>
      <c r="H303" s="1031"/>
      <c r="I303" s="1031"/>
      <c r="J303" s="1031"/>
      <c r="K303" s="1030"/>
      <c r="L303" s="1030"/>
      <c r="M303" s="1030"/>
      <c r="N303" s="1030"/>
      <c r="O303" s="1031"/>
      <c r="P303" s="1030"/>
      <c r="Q303" s="1030"/>
      <c r="R303" s="1030"/>
      <c r="S303" s="1030"/>
      <c r="T303" s="1031"/>
      <c r="U303" s="1030"/>
      <c r="V303" s="1030"/>
      <c r="W303" s="1030"/>
      <c r="X303" s="1032"/>
      <c r="Y303" s="1031"/>
      <c r="Z303" s="1033"/>
      <c r="AA303" s="1031"/>
      <c r="AB303" s="1033"/>
      <c r="AC303" s="1033"/>
      <c r="AD303" s="1033"/>
      <c r="AE303" s="1033"/>
      <c r="AF303" s="1033"/>
      <c r="AG303" s="1033"/>
      <c r="AH303" s="1033"/>
      <c r="AI303" s="1033"/>
      <c r="AJ303" s="1033"/>
      <c r="AK303" s="941"/>
      <c r="AL303" s="943"/>
      <c r="AM303" s="940"/>
      <c r="AN303" s="1021"/>
      <c r="AO303" s="954"/>
      <c r="AP303" s="954"/>
      <c r="AQ303" s="954"/>
      <c r="AR303" s="954"/>
      <c r="AS303" s="954"/>
    </row>
    <row r="304" spans="1:45" ht="13.5" customHeight="1">
      <c r="A304" s="940"/>
      <c r="B304" s="940"/>
      <c r="C304" s="940"/>
      <c r="D304" s="941"/>
      <c r="E304" s="942"/>
      <c r="F304" s="941"/>
      <c r="G304" s="940"/>
      <c r="H304" s="940"/>
      <c r="I304" s="941"/>
      <c r="J304" s="942"/>
      <c r="K304" s="941"/>
      <c r="L304" s="940"/>
      <c r="M304" s="940"/>
      <c r="N304" s="941"/>
      <c r="O304" s="942"/>
      <c r="P304" s="941"/>
      <c r="Q304" s="940"/>
      <c r="R304" s="940"/>
      <c r="S304" s="941"/>
      <c r="T304" s="942"/>
      <c r="U304" s="941"/>
      <c r="V304" s="940"/>
      <c r="W304" s="940"/>
      <c r="X304" s="941"/>
      <c r="Y304" s="942"/>
      <c r="Z304" s="941"/>
      <c r="AA304" s="941"/>
      <c r="AB304" s="941"/>
      <c r="AC304" s="940"/>
      <c r="AD304" s="940"/>
      <c r="AE304" s="940"/>
      <c r="AF304" s="941"/>
      <c r="AG304" s="940"/>
      <c r="AH304" s="940"/>
      <c r="AI304" s="940"/>
      <c r="AJ304" s="940"/>
      <c r="AK304" s="941"/>
      <c r="AL304" s="943"/>
      <c r="AM304" s="940"/>
      <c r="AN304" s="954"/>
      <c r="AO304" s="954"/>
      <c r="AP304" s="954"/>
      <c r="AQ304" s="954"/>
      <c r="AR304" s="954"/>
      <c r="AS304" s="954"/>
    </row>
    <row r="305" spans="1:45" ht="13.5" customHeight="1">
      <c r="A305" s="974"/>
      <c r="B305" s="975"/>
      <c r="C305" s="975"/>
      <c r="D305" s="976"/>
      <c r="E305" s="976"/>
      <c r="F305" s="975"/>
      <c r="G305" s="976"/>
      <c r="H305" s="976"/>
      <c r="I305" s="976"/>
      <c r="J305" s="976"/>
      <c r="K305" s="975"/>
      <c r="L305" s="975"/>
      <c r="M305" s="975"/>
      <c r="N305" s="975"/>
      <c r="O305" s="976"/>
      <c r="P305" s="975"/>
      <c r="Q305" s="975"/>
      <c r="R305" s="975"/>
      <c r="S305" s="975"/>
      <c r="T305" s="976"/>
      <c r="U305" s="975"/>
      <c r="V305" s="975"/>
      <c r="W305" s="975"/>
      <c r="X305" s="977"/>
      <c r="Y305" s="976"/>
      <c r="Z305" s="978"/>
      <c r="AA305" s="976"/>
      <c r="AB305" s="979"/>
      <c r="AC305" s="980"/>
      <c r="AD305" s="943"/>
      <c r="AE305" s="943"/>
      <c r="AF305" s="979"/>
      <c r="AG305" s="980"/>
      <c r="AH305" s="943"/>
      <c r="AI305" s="943"/>
      <c r="AJ305" s="943"/>
      <c r="AK305" s="943"/>
      <c r="AL305" s="943"/>
      <c r="AM305" s="943"/>
      <c r="AN305" s="943"/>
      <c r="AO305" s="943"/>
      <c r="AP305" s="943"/>
      <c r="AQ305" s="943"/>
      <c r="AR305" s="943"/>
      <c r="AS305" s="943"/>
    </row>
    <row r="306" spans="1:45" ht="13.5" customHeight="1">
      <c r="A306" s="940"/>
      <c r="B306" s="940"/>
      <c r="C306" s="940"/>
      <c r="D306" s="941"/>
      <c r="E306" s="942"/>
      <c r="F306" s="941"/>
      <c r="G306" s="940"/>
      <c r="H306" s="940"/>
      <c r="I306" s="941"/>
      <c r="J306" s="942"/>
      <c r="K306" s="941"/>
      <c r="L306" s="940"/>
      <c r="M306" s="940"/>
      <c r="N306" s="941"/>
      <c r="O306" s="942"/>
      <c r="P306" s="941"/>
      <c r="Q306" s="940"/>
      <c r="R306" s="940"/>
      <c r="S306" s="941"/>
      <c r="T306" s="942"/>
      <c r="U306" s="941"/>
      <c r="V306" s="940"/>
      <c r="W306" s="940"/>
      <c r="X306" s="941"/>
      <c r="Y306" s="942"/>
      <c r="Z306" s="941"/>
      <c r="AA306" s="941"/>
      <c r="AB306" s="941"/>
      <c r="AC306" s="940"/>
      <c r="AD306" s="940"/>
      <c r="AE306" s="940"/>
      <c r="AF306" s="941"/>
      <c r="AG306" s="940"/>
      <c r="AH306" s="940"/>
      <c r="AI306" s="940"/>
      <c r="AJ306" s="940"/>
      <c r="AK306" s="941"/>
      <c r="AL306" s="943"/>
      <c r="AM306" s="940"/>
      <c r="AN306" s="954"/>
      <c r="AO306" s="954"/>
      <c r="AP306" s="954"/>
      <c r="AQ306" s="954"/>
      <c r="AR306" s="954"/>
      <c r="AS306" s="954"/>
    </row>
    <row r="307" spans="1:45" ht="13.5" customHeight="1">
      <c r="A307" s="1592" t="s">
        <v>18</v>
      </c>
      <c r="B307" s="1588">
        <v>45901</v>
      </c>
      <c r="C307" s="1588"/>
      <c r="D307" s="1588" t="s">
        <v>564</v>
      </c>
      <c r="E307" s="1588"/>
      <c r="F307" s="981"/>
      <c r="G307" s="1588">
        <v>45902</v>
      </c>
      <c r="H307" s="1588"/>
      <c r="I307" s="1588" t="s">
        <v>565</v>
      </c>
      <c r="J307" s="1588"/>
      <c r="K307" s="981"/>
      <c r="L307" s="1588">
        <v>45903</v>
      </c>
      <c r="M307" s="1588"/>
      <c r="N307" s="1588" t="s">
        <v>566</v>
      </c>
      <c r="O307" s="1588"/>
      <c r="P307" s="981"/>
      <c r="Q307" s="1588">
        <v>45904</v>
      </c>
      <c r="R307" s="1588"/>
      <c r="S307" s="1588" t="s">
        <v>567</v>
      </c>
      <c r="T307" s="1588"/>
      <c r="U307" s="981"/>
      <c r="V307" s="1588">
        <v>45905</v>
      </c>
      <c r="W307" s="1588"/>
      <c r="X307" s="1588" t="s">
        <v>568</v>
      </c>
      <c r="Y307" s="1588"/>
      <c r="Z307" s="1589" t="s">
        <v>19</v>
      </c>
      <c r="AA307" s="1589" t="s">
        <v>20</v>
      </c>
      <c r="AB307" s="941"/>
      <c r="AC307" s="1588">
        <v>45906</v>
      </c>
      <c r="AD307" s="1588"/>
      <c r="AE307" s="982" t="s">
        <v>569</v>
      </c>
      <c r="AF307" s="941"/>
      <c r="AG307" s="1588">
        <v>45907</v>
      </c>
      <c r="AH307" s="1588"/>
      <c r="AI307" s="983" t="s">
        <v>570</v>
      </c>
      <c r="AJ307" s="1589" t="s">
        <v>1420</v>
      </c>
      <c r="AK307" s="941"/>
      <c r="AL307" s="984"/>
      <c r="AM307" s="940"/>
      <c r="AN307" s="985" t="s">
        <v>84</v>
      </c>
      <c r="AO307" s="986"/>
      <c r="AP307" s="986"/>
      <c r="AQ307" s="986"/>
      <c r="AR307" s="986"/>
      <c r="AS307" s="986"/>
    </row>
    <row r="308" spans="1:45" ht="13.5" customHeight="1">
      <c r="A308" s="1592"/>
      <c r="B308" s="987" t="s">
        <v>23</v>
      </c>
      <c r="C308" s="987" t="s">
        <v>24</v>
      </c>
      <c r="D308" s="988" t="s">
        <v>25</v>
      </c>
      <c r="E308" s="989" t="s">
        <v>14</v>
      </c>
      <c r="F308" s="941"/>
      <c r="G308" s="987" t="s">
        <v>23</v>
      </c>
      <c r="H308" s="987" t="s">
        <v>24</v>
      </c>
      <c r="I308" s="990" t="s">
        <v>25</v>
      </c>
      <c r="J308" s="989" t="s">
        <v>14</v>
      </c>
      <c r="K308" s="941"/>
      <c r="L308" s="987" t="s">
        <v>23</v>
      </c>
      <c r="M308" s="987" t="s">
        <v>24</v>
      </c>
      <c r="N308" s="990" t="s">
        <v>25</v>
      </c>
      <c r="O308" s="989" t="s">
        <v>14</v>
      </c>
      <c r="P308" s="941"/>
      <c r="Q308" s="987" t="s">
        <v>23</v>
      </c>
      <c r="R308" s="987" t="s">
        <v>24</v>
      </c>
      <c r="S308" s="990" t="s">
        <v>25</v>
      </c>
      <c r="T308" s="989" t="s">
        <v>14</v>
      </c>
      <c r="U308" s="941"/>
      <c r="V308" s="987" t="s">
        <v>23</v>
      </c>
      <c r="W308" s="987" t="s">
        <v>24</v>
      </c>
      <c r="X308" s="990" t="s">
        <v>25</v>
      </c>
      <c r="Y308" s="989" t="s">
        <v>14</v>
      </c>
      <c r="Z308" s="1589"/>
      <c r="AA308" s="1589"/>
      <c r="AB308" s="941"/>
      <c r="AC308" s="987" t="s">
        <v>23</v>
      </c>
      <c r="AD308" s="987" t="s">
        <v>24</v>
      </c>
      <c r="AE308" s="990" t="s">
        <v>25</v>
      </c>
      <c r="AF308" s="941"/>
      <c r="AG308" s="987" t="s">
        <v>23</v>
      </c>
      <c r="AH308" s="987" t="s">
        <v>24</v>
      </c>
      <c r="AI308" s="990" t="s">
        <v>25</v>
      </c>
      <c r="AJ308" s="1589"/>
      <c r="AK308" s="941"/>
      <c r="AL308" s="984"/>
      <c r="AM308" s="991"/>
      <c r="AN308" s="992" t="s">
        <v>26</v>
      </c>
      <c r="AO308" s="993">
        <v>435</v>
      </c>
      <c r="AP308" s="994">
        <v>40.31</v>
      </c>
      <c r="AQ308" s="994">
        <f>AP308*AO308</f>
        <v>17534.850000000002</v>
      </c>
      <c r="AR308" s="954"/>
      <c r="AS308" s="954"/>
    </row>
    <row r="309" spans="1:45" ht="13.5" customHeight="1">
      <c r="A309" s="1006" t="s">
        <v>72</v>
      </c>
      <c r="B309" s="1593" t="s">
        <v>1442</v>
      </c>
      <c r="C309" s="1593"/>
      <c r="D309" s="1593"/>
      <c r="E309" s="1593"/>
      <c r="F309" s="941"/>
      <c r="G309" s="1064">
        <v>0.29166666666666669</v>
      </c>
      <c r="H309" s="1064">
        <v>0.125</v>
      </c>
      <c r="I309" s="1065">
        <v>8</v>
      </c>
      <c r="J309" s="1066"/>
      <c r="K309" s="1070"/>
      <c r="L309" s="1064"/>
      <c r="M309" s="1064"/>
      <c r="N309" s="1065"/>
      <c r="O309" s="1066"/>
      <c r="P309" s="1070"/>
      <c r="Q309" s="1064">
        <v>0.29166666666666669</v>
      </c>
      <c r="R309" s="1064">
        <v>0.125</v>
      </c>
      <c r="S309" s="1065">
        <v>8</v>
      </c>
      <c r="T309" s="1066"/>
      <c r="U309" s="1070"/>
      <c r="V309" s="1064">
        <v>0.29166666666666669</v>
      </c>
      <c r="W309" s="1064">
        <v>0.125</v>
      </c>
      <c r="X309" s="1065">
        <v>8</v>
      </c>
      <c r="Y309" s="1066"/>
      <c r="Z309" s="1067">
        <v>24</v>
      </c>
      <c r="AA309" s="1068">
        <v>0</v>
      </c>
      <c r="AB309" s="941"/>
      <c r="AC309" s="1091"/>
      <c r="AD309" s="1092"/>
      <c r="AE309" s="1071"/>
      <c r="AF309" s="941"/>
      <c r="AG309" s="1091"/>
      <c r="AH309" s="1092"/>
      <c r="AI309" s="1071"/>
      <c r="AJ309" s="1041">
        <v>0</v>
      </c>
      <c r="AK309" s="941"/>
      <c r="AL309" s="984"/>
      <c r="AM309" s="991"/>
      <c r="AN309" s="992" t="s">
        <v>1421</v>
      </c>
      <c r="AO309" s="1005">
        <v>117</v>
      </c>
      <c r="AP309" s="1007">
        <v>60.47</v>
      </c>
      <c r="AQ309" s="994">
        <f>AP309*AO309</f>
        <v>7074.99</v>
      </c>
      <c r="AR309" s="954"/>
      <c r="AS309" s="954"/>
    </row>
    <row r="310" spans="1:45" ht="13.5" customHeight="1">
      <c r="A310" s="1009" t="s">
        <v>1166</v>
      </c>
      <c r="B310" s="1593"/>
      <c r="C310" s="1593"/>
      <c r="D310" s="1593"/>
      <c r="E310" s="1593"/>
      <c r="F310" s="941"/>
      <c r="G310" s="1064">
        <v>0.29166666666666669</v>
      </c>
      <c r="H310" s="1064">
        <v>0.125</v>
      </c>
      <c r="I310" s="1065">
        <v>8</v>
      </c>
      <c r="J310" s="1066"/>
      <c r="K310" s="1070"/>
      <c r="L310" s="1064">
        <v>0.29166666666666669</v>
      </c>
      <c r="M310" s="1064">
        <v>0.125</v>
      </c>
      <c r="N310" s="1065">
        <v>8</v>
      </c>
      <c r="O310" s="1066"/>
      <c r="P310" s="1070"/>
      <c r="Q310" s="1064">
        <v>0.29166666666666669</v>
      </c>
      <c r="R310" s="1064">
        <v>0.125</v>
      </c>
      <c r="S310" s="1065">
        <v>8</v>
      </c>
      <c r="T310" s="1066"/>
      <c r="U310" s="1070"/>
      <c r="V310" s="1064">
        <v>0.29166666666666669</v>
      </c>
      <c r="W310" s="1064">
        <v>0.125</v>
      </c>
      <c r="X310" s="1065">
        <v>8</v>
      </c>
      <c r="Y310" s="1066"/>
      <c r="Z310" s="1067">
        <v>32</v>
      </c>
      <c r="AA310" s="1068">
        <v>0</v>
      </c>
      <c r="AB310" s="941"/>
      <c r="AC310" s="1006"/>
      <c r="AD310" s="995"/>
      <c r="AE310" s="1071"/>
      <c r="AF310" s="941"/>
      <c r="AG310" s="1006">
        <v>0.47916666666666669</v>
      </c>
      <c r="AH310" s="995">
        <v>8.3333333333333329E-2</v>
      </c>
      <c r="AI310" s="1071">
        <v>6</v>
      </c>
      <c r="AJ310" s="1041">
        <v>6</v>
      </c>
      <c r="AK310" s="941"/>
      <c r="AL310" s="943"/>
      <c r="AM310" s="940"/>
      <c r="AN310" s="992" t="s">
        <v>30</v>
      </c>
      <c r="AO310" s="1005">
        <v>0.25</v>
      </c>
      <c r="AP310" s="1007">
        <v>60.465000000000003</v>
      </c>
      <c r="AQ310" s="994">
        <f t="shared" ref="AQ310" si="8">AP310*AO310</f>
        <v>15.116250000000001</v>
      </c>
      <c r="AR310" s="954"/>
      <c r="AS310" s="954"/>
    </row>
    <row r="311" spans="1:45" ht="13.5" customHeight="1">
      <c r="A311" s="1009" t="s">
        <v>1425</v>
      </c>
      <c r="B311" s="1593"/>
      <c r="C311" s="1593"/>
      <c r="D311" s="1593"/>
      <c r="E311" s="1593"/>
      <c r="F311" s="941"/>
      <c r="G311" s="1064">
        <v>0.29166666666666669</v>
      </c>
      <c r="H311" s="1064">
        <v>0.125</v>
      </c>
      <c r="I311" s="1065">
        <v>8</v>
      </c>
      <c r="J311" s="1066"/>
      <c r="K311" s="1070"/>
      <c r="L311" s="1064">
        <v>0.29166666666666669</v>
      </c>
      <c r="M311" s="1064">
        <v>0.125</v>
      </c>
      <c r="N311" s="1065">
        <v>8</v>
      </c>
      <c r="O311" s="1066"/>
      <c r="P311" s="1070"/>
      <c r="Q311" s="1064">
        <v>0.29166666666666669</v>
      </c>
      <c r="R311" s="1064">
        <v>0.125</v>
      </c>
      <c r="S311" s="1065">
        <v>8</v>
      </c>
      <c r="T311" s="1066"/>
      <c r="U311" s="1070"/>
      <c r="V311" s="1064">
        <v>0.29166666666666669</v>
      </c>
      <c r="W311" s="1064">
        <v>0.125</v>
      </c>
      <c r="X311" s="1065">
        <v>8</v>
      </c>
      <c r="Y311" s="1066"/>
      <c r="Z311" s="1067">
        <v>32</v>
      </c>
      <c r="AA311" s="1068">
        <v>0</v>
      </c>
      <c r="AB311" s="941"/>
      <c r="AC311" s="1006"/>
      <c r="AD311" s="1006"/>
      <c r="AE311" s="1071"/>
      <c r="AF311" s="941"/>
      <c r="AG311" s="1006"/>
      <c r="AH311" s="1006"/>
      <c r="AI311" s="1071"/>
      <c r="AJ311" s="1041">
        <v>0</v>
      </c>
      <c r="AK311" s="941"/>
      <c r="AL311" s="943"/>
      <c r="AM311" s="940"/>
      <c r="AN311" s="992" t="s">
        <v>32</v>
      </c>
      <c r="AO311" s="1005">
        <v>12.5</v>
      </c>
      <c r="AP311" s="994">
        <v>60.465000000000003</v>
      </c>
      <c r="AQ311" s="994">
        <f>AP311*AO311</f>
        <v>755.8125</v>
      </c>
      <c r="AR311" s="954"/>
      <c r="AS311" s="954"/>
    </row>
    <row r="312" spans="1:45" ht="13.5" customHeight="1">
      <c r="A312" s="1009" t="s">
        <v>1426</v>
      </c>
      <c r="B312" s="1593"/>
      <c r="C312" s="1593"/>
      <c r="D312" s="1593"/>
      <c r="E312" s="1593"/>
      <c r="F312" s="941"/>
      <c r="G312" s="1064">
        <v>0.29166666666666669</v>
      </c>
      <c r="H312" s="1064">
        <v>0.125</v>
      </c>
      <c r="I312" s="1065">
        <v>8</v>
      </c>
      <c r="J312" s="1066"/>
      <c r="K312" s="1070"/>
      <c r="L312" s="1064">
        <v>0.29166666666666669</v>
      </c>
      <c r="M312" s="1064">
        <v>0.125</v>
      </c>
      <c r="N312" s="1065">
        <v>8</v>
      </c>
      <c r="O312" s="1066"/>
      <c r="P312" s="1070"/>
      <c r="Q312" s="1064">
        <v>0.29166666666666669</v>
      </c>
      <c r="R312" s="1064">
        <v>0.125</v>
      </c>
      <c r="S312" s="1065">
        <v>8</v>
      </c>
      <c r="T312" s="1066"/>
      <c r="U312" s="1070"/>
      <c r="V312" s="1064">
        <v>0.29166666666666669</v>
      </c>
      <c r="W312" s="1064">
        <v>0.13541666666666666</v>
      </c>
      <c r="X312" s="1065">
        <v>8</v>
      </c>
      <c r="Y312" s="1066">
        <v>0.25</v>
      </c>
      <c r="Z312" s="1067">
        <v>32</v>
      </c>
      <c r="AA312" s="1068">
        <v>0.25</v>
      </c>
      <c r="AB312" s="941"/>
      <c r="AC312" s="1006"/>
      <c r="AD312" s="1006"/>
      <c r="AE312" s="1071"/>
      <c r="AF312" s="941"/>
      <c r="AG312" s="1006"/>
      <c r="AH312" s="1006"/>
      <c r="AI312" s="1071"/>
      <c r="AJ312" s="1041">
        <v>0</v>
      </c>
      <c r="AK312" s="941"/>
      <c r="AL312" s="943"/>
      <c r="AM312" s="940"/>
      <c r="AN312" s="1010" t="s">
        <v>213</v>
      </c>
      <c r="AO312" s="993">
        <v>16</v>
      </c>
      <c r="AP312" s="994">
        <v>53.05</v>
      </c>
      <c r="AQ312" s="994">
        <f>AP312*AO312</f>
        <v>848.8</v>
      </c>
      <c r="AR312" s="954"/>
      <c r="AS312" s="954"/>
    </row>
    <row r="313" spans="1:45" ht="13.5" customHeight="1">
      <c r="A313" s="1009" t="s">
        <v>1066</v>
      </c>
      <c r="B313" s="1593"/>
      <c r="C313" s="1593"/>
      <c r="D313" s="1593"/>
      <c r="E313" s="1593"/>
      <c r="F313" s="941"/>
      <c r="G313" s="1064">
        <v>0.29166666666666669</v>
      </c>
      <c r="H313" s="1064">
        <v>0.125</v>
      </c>
      <c r="I313" s="1065">
        <v>8</v>
      </c>
      <c r="J313" s="1066"/>
      <c r="K313" s="1070"/>
      <c r="L313" s="1064">
        <v>0.29166666666666669</v>
      </c>
      <c r="M313" s="1064">
        <v>0.125</v>
      </c>
      <c r="N313" s="1065">
        <v>8</v>
      </c>
      <c r="O313" s="1066"/>
      <c r="P313" s="1070"/>
      <c r="Q313" s="1064">
        <v>0.29166666666666669</v>
      </c>
      <c r="R313" s="1064">
        <v>0.125</v>
      </c>
      <c r="S313" s="1065">
        <v>8</v>
      </c>
      <c r="T313" s="1066"/>
      <c r="U313" s="1070"/>
      <c r="V313" s="1064">
        <v>0.29166666666666669</v>
      </c>
      <c r="W313" s="1064">
        <v>0.125</v>
      </c>
      <c r="X313" s="1065">
        <v>8</v>
      </c>
      <c r="Y313" s="1066"/>
      <c r="Z313" s="1067">
        <v>32</v>
      </c>
      <c r="AA313" s="1068">
        <v>0</v>
      </c>
      <c r="AB313" s="941"/>
      <c r="AC313" s="1006"/>
      <c r="AD313" s="1006"/>
      <c r="AE313" s="1071"/>
      <c r="AF313" s="941"/>
      <c r="AG313" s="1006"/>
      <c r="AH313" s="1006"/>
      <c r="AI313" s="1071"/>
      <c r="AJ313" s="1041">
        <v>0</v>
      </c>
      <c r="AK313" s="941"/>
      <c r="AL313" s="943"/>
      <c r="AM313" s="940"/>
      <c r="AN313" s="992" t="s">
        <v>36</v>
      </c>
      <c r="AO313" s="1005">
        <v>0</v>
      </c>
      <c r="AP313" s="994">
        <v>79.574999999999989</v>
      </c>
      <c r="AQ313" s="994">
        <f>AP313*AO313</f>
        <v>0</v>
      </c>
      <c r="AR313" s="954"/>
      <c r="AS313" s="954"/>
    </row>
    <row r="314" spans="1:45" ht="13.5" customHeight="1">
      <c r="A314" s="1009" t="s">
        <v>1427</v>
      </c>
      <c r="B314" s="1593"/>
      <c r="C314" s="1593"/>
      <c r="D314" s="1593"/>
      <c r="E314" s="1593"/>
      <c r="F314" s="941"/>
      <c r="G314" s="1064">
        <v>0.29166666666666669</v>
      </c>
      <c r="H314" s="1064">
        <v>0.125</v>
      </c>
      <c r="I314" s="1065">
        <v>8</v>
      </c>
      <c r="J314" s="1066"/>
      <c r="K314" s="1070"/>
      <c r="L314" s="1064">
        <v>0.29166666666666669</v>
      </c>
      <c r="M314" s="1064">
        <v>0.125</v>
      </c>
      <c r="N314" s="1065">
        <v>8</v>
      </c>
      <c r="O314" s="1066"/>
      <c r="P314" s="1070"/>
      <c r="Q314" s="1064">
        <v>0.29166666666666669</v>
      </c>
      <c r="R314" s="1064">
        <v>0.125</v>
      </c>
      <c r="S314" s="1065">
        <v>8</v>
      </c>
      <c r="T314" s="1066"/>
      <c r="U314" s="1070"/>
      <c r="V314" s="1064">
        <v>0.29166666666666669</v>
      </c>
      <c r="W314" s="1064">
        <v>0.125</v>
      </c>
      <c r="X314" s="1065">
        <v>8</v>
      </c>
      <c r="Y314" s="1066"/>
      <c r="Z314" s="1067">
        <v>32</v>
      </c>
      <c r="AA314" s="1068">
        <v>0</v>
      </c>
      <c r="AB314" s="941"/>
      <c r="AC314" s="1006"/>
      <c r="AD314" s="1006"/>
      <c r="AE314" s="1071"/>
      <c r="AF314" s="941"/>
      <c r="AG314" s="1006"/>
      <c r="AH314" s="1006"/>
      <c r="AI314" s="1071"/>
      <c r="AJ314" s="1041">
        <v>0</v>
      </c>
      <c r="AK314" s="941"/>
      <c r="AL314" s="943"/>
      <c r="AM314" s="940"/>
      <c r="AN314" s="992" t="s">
        <v>38</v>
      </c>
      <c r="AO314" s="1005">
        <v>0</v>
      </c>
      <c r="AP314" s="994">
        <v>79.574999999999989</v>
      </c>
      <c r="AQ314" s="994">
        <f>AP314*AO314</f>
        <v>0</v>
      </c>
      <c r="AR314" s="954"/>
      <c r="AS314" s="954"/>
    </row>
    <row r="315" spans="1:45" ht="13.5" customHeight="1">
      <c r="A315" s="1009" t="s">
        <v>1428</v>
      </c>
      <c r="B315" s="1593"/>
      <c r="C315" s="1593"/>
      <c r="D315" s="1593"/>
      <c r="E315" s="1593"/>
      <c r="F315" s="941"/>
      <c r="G315" s="1064">
        <v>0.125</v>
      </c>
      <c r="H315" s="1064">
        <v>0.45833333333333331</v>
      </c>
      <c r="I315" s="1065">
        <v>8</v>
      </c>
      <c r="J315" s="1066"/>
      <c r="K315" s="1070"/>
      <c r="L315" s="1064">
        <v>0.125</v>
      </c>
      <c r="M315" s="1064">
        <v>0.45833333333333331</v>
      </c>
      <c r="N315" s="1065">
        <v>8</v>
      </c>
      <c r="O315" s="1066"/>
      <c r="P315" s="1070"/>
      <c r="Q315" s="1064">
        <v>0.125</v>
      </c>
      <c r="R315" s="1064">
        <v>0.45833333333333331</v>
      </c>
      <c r="S315" s="1065">
        <v>8</v>
      </c>
      <c r="T315" s="1066"/>
      <c r="U315" s="1070"/>
      <c r="V315" s="1064">
        <v>0.125</v>
      </c>
      <c r="W315" s="1064">
        <v>0.26041666666666669</v>
      </c>
      <c r="X315" s="1065">
        <v>8</v>
      </c>
      <c r="Y315" s="1066"/>
      <c r="Z315" s="1067">
        <v>32</v>
      </c>
      <c r="AA315" s="1068">
        <v>0</v>
      </c>
      <c r="AB315" s="941"/>
      <c r="AC315" s="1006"/>
      <c r="AD315" s="1006"/>
      <c r="AE315" s="1071"/>
      <c r="AF315" s="941"/>
      <c r="AG315" s="1006"/>
      <c r="AH315" s="1006"/>
      <c r="AI315" s="1071"/>
      <c r="AJ315" s="1041">
        <v>0</v>
      </c>
      <c r="AK315" s="941"/>
      <c r="AL315" s="943"/>
      <c r="AM315" s="940"/>
      <c r="AN315" s="954"/>
      <c r="AO315" s="1005"/>
      <c r="AP315" s="954"/>
      <c r="AQ315" s="1094">
        <v>26229.568750000002</v>
      </c>
      <c r="AR315" s="954"/>
      <c r="AS315" s="954"/>
    </row>
    <row r="316" spans="1:45" ht="13.5" customHeight="1">
      <c r="A316" s="1009" t="s">
        <v>1142</v>
      </c>
      <c r="B316" s="1593"/>
      <c r="C316" s="1593"/>
      <c r="D316" s="1593"/>
      <c r="E316" s="1593"/>
      <c r="F316" s="941"/>
      <c r="G316" s="1064">
        <v>0.125</v>
      </c>
      <c r="H316" s="1064">
        <v>0.45833333333333331</v>
      </c>
      <c r="I316" s="1065">
        <v>8</v>
      </c>
      <c r="J316" s="1066"/>
      <c r="K316" s="1081"/>
      <c r="L316" s="1064">
        <v>0.125</v>
      </c>
      <c r="M316" s="1064">
        <v>0.45833333333333331</v>
      </c>
      <c r="N316" s="1065">
        <v>8</v>
      </c>
      <c r="O316" s="1066"/>
      <c r="P316" s="1081"/>
      <c r="Q316" s="1064">
        <v>0.125</v>
      </c>
      <c r="R316" s="1064">
        <v>0.45833333333333331</v>
      </c>
      <c r="S316" s="1065">
        <v>8</v>
      </c>
      <c r="T316" s="1066"/>
      <c r="U316" s="1081"/>
      <c r="V316" s="1064">
        <v>0.125</v>
      </c>
      <c r="W316" s="1064">
        <v>0.45833333333333331</v>
      </c>
      <c r="X316" s="1065">
        <v>8</v>
      </c>
      <c r="Y316" s="1066"/>
      <c r="Z316" s="1067">
        <v>32</v>
      </c>
      <c r="AA316" s="1068">
        <v>0</v>
      </c>
      <c r="AB316" s="941"/>
      <c r="AC316" s="1006"/>
      <c r="AD316" s="1006"/>
      <c r="AE316" s="1071"/>
      <c r="AF316" s="941"/>
      <c r="AG316" s="1006"/>
      <c r="AH316" s="1006"/>
      <c r="AI316" s="1071"/>
      <c r="AJ316" s="1041">
        <v>0</v>
      </c>
      <c r="AK316" s="941"/>
      <c r="AL316" s="943"/>
      <c r="AM316" s="940"/>
      <c r="AN316" s="954"/>
      <c r="AO316" s="1005"/>
      <c r="AP316" s="954"/>
      <c r="AQ316" s="954"/>
      <c r="AR316" s="954"/>
      <c r="AS316" s="954"/>
    </row>
    <row r="317" spans="1:45" ht="13.5" customHeight="1">
      <c r="A317" s="1009" t="s">
        <v>1429</v>
      </c>
      <c r="B317" s="1593"/>
      <c r="C317" s="1593"/>
      <c r="D317" s="1593"/>
      <c r="E317" s="1593"/>
      <c r="F317" s="941"/>
      <c r="G317" s="1064">
        <v>0.125</v>
      </c>
      <c r="H317" s="1064">
        <v>0.45833333333333331</v>
      </c>
      <c r="I317" s="1065">
        <v>8</v>
      </c>
      <c r="J317" s="1066"/>
      <c r="K317" s="1081"/>
      <c r="L317" s="1064">
        <v>0.125</v>
      </c>
      <c r="M317" s="1064">
        <v>0.45833333333333331</v>
      </c>
      <c r="N317" s="1065">
        <v>8</v>
      </c>
      <c r="O317" s="1066"/>
      <c r="P317" s="1081"/>
      <c r="Q317" s="1064">
        <v>0.125</v>
      </c>
      <c r="R317" s="1064">
        <v>0.45833333333333331</v>
      </c>
      <c r="S317" s="1065">
        <v>8</v>
      </c>
      <c r="T317" s="1066"/>
      <c r="U317" s="1081"/>
      <c r="V317" s="1064">
        <v>0.125</v>
      </c>
      <c r="W317" s="1064">
        <v>0.45833333333333331</v>
      </c>
      <c r="X317" s="1065">
        <v>8</v>
      </c>
      <c r="Y317" s="1066"/>
      <c r="Z317" s="1067">
        <v>32</v>
      </c>
      <c r="AA317" s="1068">
        <v>0</v>
      </c>
      <c r="AB317" s="941"/>
      <c r="AC317" s="1006"/>
      <c r="AD317" s="1006"/>
      <c r="AE317" s="1071"/>
      <c r="AF317" s="941"/>
      <c r="AG317" s="1006"/>
      <c r="AH317" s="1006"/>
      <c r="AI317" s="1071"/>
      <c r="AJ317" s="1041">
        <v>0</v>
      </c>
      <c r="AK317" s="941"/>
      <c r="AL317" s="943"/>
      <c r="AM317" s="940"/>
      <c r="AN317" s="953" t="s">
        <v>1115</v>
      </c>
      <c r="AO317" s="1005">
        <v>70</v>
      </c>
      <c r="AP317" s="954"/>
      <c r="AQ317" s="954"/>
      <c r="AR317" s="954"/>
      <c r="AS317" s="954"/>
    </row>
    <row r="318" spans="1:45" ht="13.5" customHeight="1">
      <c r="A318" s="1011" t="s">
        <v>1060</v>
      </c>
      <c r="B318" s="1593"/>
      <c r="C318" s="1593"/>
      <c r="D318" s="1593"/>
      <c r="E318" s="1593"/>
      <c r="F318" s="941"/>
      <c r="G318" s="1064"/>
      <c r="H318" s="1064"/>
      <c r="I318" s="1065"/>
      <c r="J318" s="1066"/>
      <c r="K318" s="1081"/>
      <c r="L318" s="1064">
        <v>0.125</v>
      </c>
      <c r="M318" s="1064">
        <v>0.45833333333333331</v>
      </c>
      <c r="N318" s="1065">
        <v>8</v>
      </c>
      <c r="O318" s="1066"/>
      <c r="P318" s="1081"/>
      <c r="Q318" s="1064">
        <v>0.125</v>
      </c>
      <c r="R318" s="1064">
        <v>0.45833333333333331</v>
      </c>
      <c r="S318" s="1065">
        <v>8</v>
      </c>
      <c r="T318" s="1066"/>
      <c r="U318" s="1081"/>
      <c r="V318" s="1064">
        <v>0.125</v>
      </c>
      <c r="W318" s="1064">
        <v>0.45833333333333331</v>
      </c>
      <c r="X318" s="1065">
        <v>8</v>
      </c>
      <c r="Y318" s="1066"/>
      <c r="Z318" s="1067">
        <v>24</v>
      </c>
      <c r="AA318" s="1068">
        <v>0</v>
      </c>
      <c r="AB318" s="941"/>
      <c r="AC318" s="1006"/>
      <c r="AD318" s="1006"/>
      <c r="AE318" s="1071"/>
      <c r="AF318" s="941"/>
      <c r="AG318" s="1006"/>
      <c r="AH318" s="1006"/>
      <c r="AI318" s="1071"/>
      <c r="AJ318" s="1041">
        <v>0</v>
      </c>
      <c r="AK318" s="941"/>
      <c r="AL318" s="943"/>
      <c r="AM318" s="940"/>
      <c r="AN318" s="954"/>
      <c r="AO318" s="954"/>
      <c r="AP318" s="954"/>
      <c r="AQ318" s="954"/>
      <c r="AR318" s="954"/>
      <c r="AS318" s="954"/>
    </row>
    <row r="319" spans="1:45" ht="13.5" customHeight="1">
      <c r="A319" s="941" t="s">
        <v>327</v>
      </c>
      <c r="B319" s="1593"/>
      <c r="C319" s="1593"/>
      <c r="D319" s="1593"/>
      <c r="E319" s="1593"/>
      <c r="F319" s="1013"/>
      <c r="G319" s="1064">
        <v>0.125</v>
      </c>
      <c r="H319" s="1064">
        <v>0.45833333333333331</v>
      </c>
      <c r="I319" s="1065">
        <v>8</v>
      </c>
      <c r="J319" s="1066"/>
      <c r="K319" s="1081"/>
      <c r="L319" s="1064">
        <v>0.125</v>
      </c>
      <c r="M319" s="1064">
        <v>0.45833333333333331</v>
      </c>
      <c r="N319" s="1065">
        <v>8</v>
      </c>
      <c r="O319" s="1066"/>
      <c r="P319" s="1081"/>
      <c r="Q319" s="1064">
        <v>0.125</v>
      </c>
      <c r="R319" s="1064">
        <v>0.45833333333333331</v>
      </c>
      <c r="S319" s="1065">
        <v>8</v>
      </c>
      <c r="T319" s="1066"/>
      <c r="U319" s="1081"/>
      <c r="V319" s="1064">
        <v>0.125</v>
      </c>
      <c r="W319" s="1064">
        <v>0.45833333333333331</v>
      </c>
      <c r="X319" s="1065">
        <v>8</v>
      </c>
      <c r="Y319" s="1066"/>
      <c r="Z319" s="1067">
        <v>32</v>
      </c>
      <c r="AA319" s="1068">
        <v>0</v>
      </c>
      <c r="AB319" s="941"/>
      <c r="AC319" s="1006"/>
      <c r="AD319" s="1006"/>
      <c r="AE319" s="1071"/>
      <c r="AF319" s="941"/>
      <c r="AG319" s="1006"/>
      <c r="AH319" s="1006"/>
      <c r="AI319" s="1071"/>
      <c r="AJ319" s="1041">
        <v>0</v>
      </c>
      <c r="AK319" s="941"/>
      <c r="AL319" s="943"/>
      <c r="AM319" s="940"/>
      <c r="AN319" s="954"/>
      <c r="AO319" s="954"/>
      <c r="AP319" s="954"/>
      <c r="AQ319" s="954"/>
      <c r="AR319" s="954"/>
      <c r="AS319" s="954"/>
    </row>
    <row r="320" spans="1:45" ht="13.5" customHeight="1">
      <c r="A320" s="1006" t="s">
        <v>1144</v>
      </c>
      <c r="B320" s="1593"/>
      <c r="C320" s="1593"/>
      <c r="D320" s="1593"/>
      <c r="E320" s="1593"/>
      <c r="F320" s="1013"/>
      <c r="G320" s="1064">
        <v>0.125</v>
      </c>
      <c r="H320" s="1064">
        <v>0.45833333333333331</v>
      </c>
      <c r="I320" s="1065">
        <v>8</v>
      </c>
      <c r="J320" s="1066"/>
      <c r="K320" s="1081"/>
      <c r="L320" s="1064">
        <v>0.125</v>
      </c>
      <c r="M320" s="1064">
        <v>0.45833333333333331</v>
      </c>
      <c r="N320" s="1065">
        <v>8</v>
      </c>
      <c r="O320" s="1066"/>
      <c r="P320" s="1081"/>
      <c r="Q320" s="1064">
        <v>0.125</v>
      </c>
      <c r="R320" s="1064">
        <v>0.45833333333333331</v>
      </c>
      <c r="S320" s="1065">
        <v>8</v>
      </c>
      <c r="T320" s="1066"/>
      <c r="U320" s="1081"/>
      <c r="V320" s="1064">
        <v>0.125</v>
      </c>
      <c r="W320" s="1064">
        <v>0.45833333333333331</v>
      </c>
      <c r="X320" s="1065">
        <v>8</v>
      </c>
      <c r="Y320" s="1066"/>
      <c r="Z320" s="1067">
        <v>32</v>
      </c>
      <c r="AA320" s="1068">
        <v>0</v>
      </c>
      <c r="AB320" s="941"/>
      <c r="AC320" s="1006"/>
      <c r="AD320" s="1006"/>
      <c r="AE320" s="1071"/>
      <c r="AF320" s="941"/>
      <c r="AG320" s="1006"/>
      <c r="AH320" s="1006"/>
      <c r="AI320" s="1071"/>
      <c r="AJ320" s="1041">
        <v>0</v>
      </c>
      <c r="AK320" s="941"/>
      <c r="AL320" s="943"/>
      <c r="AM320" s="940"/>
      <c r="AN320" s="954"/>
      <c r="AO320" s="954"/>
      <c r="AP320" s="954"/>
      <c r="AQ320" s="954"/>
      <c r="AR320" s="954"/>
      <c r="AS320" s="954"/>
    </row>
    <row r="321" spans="1:45" ht="13.5" customHeight="1">
      <c r="A321" s="1006" t="s">
        <v>1436</v>
      </c>
      <c r="B321" s="1593"/>
      <c r="C321" s="1593"/>
      <c r="D321" s="1593"/>
      <c r="E321" s="1593"/>
      <c r="F321" s="1013"/>
      <c r="G321" s="1064">
        <v>0.125</v>
      </c>
      <c r="H321" s="1064">
        <v>0.45833333333333331</v>
      </c>
      <c r="I321" s="1065">
        <v>8</v>
      </c>
      <c r="J321" s="1066"/>
      <c r="K321" s="1081"/>
      <c r="L321" s="1064">
        <v>0.125</v>
      </c>
      <c r="M321" s="1064">
        <v>0.45833333333333331</v>
      </c>
      <c r="N321" s="1065">
        <v>8</v>
      </c>
      <c r="O321" s="1066"/>
      <c r="P321" s="1081"/>
      <c r="Q321" s="1064">
        <v>0.125</v>
      </c>
      <c r="R321" s="1064">
        <v>0.45833333333333331</v>
      </c>
      <c r="S321" s="1065">
        <v>8</v>
      </c>
      <c r="T321" s="1066"/>
      <c r="U321" s="1081"/>
      <c r="V321" s="1064"/>
      <c r="W321" s="1064">
        <v>0.45833333333333331</v>
      </c>
      <c r="X321" s="1065">
        <v>8</v>
      </c>
      <c r="Y321" s="1066"/>
      <c r="Z321" s="1067">
        <v>32</v>
      </c>
      <c r="AA321" s="1068">
        <v>0</v>
      </c>
      <c r="AB321" s="941"/>
      <c r="AC321" s="1006"/>
      <c r="AD321" s="1006"/>
      <c r="AE321" s="1071"/>
      <c r="AF321" s="941"/>
      <c r="AG321" s="1006"/>
      <c r="AH321" s="1006"/>
      <c r="AI321" s="1071"/>
      <c r="AJ321" s="1041">
        <v>0</v>
      </c>
      <c r="AK321" s="941"/>
      <c r="AL321" s="943"/>
      <c r="AM321" s="940"/>
      <c r="AN321" s="954"/>
      <c r="AO321" s="954"/>
      <c r="AP321" s="954"/>
      <c r="AQ321" s="954"/>
      <c r="AR321" s="954"/>
      <c r="AS321" s="954"/>
    </row>
    <row r="322" spans="1:45" ht="13.5" customHeight="1">
      <c r="A322" s="1009" t="s">
        <v>241</v>
      </c>
      <c r="B322" s="1593"/>
      <c r="C322" s="1593"/>
      <c r="D322" s="1593"/>
      <c r="E322" s="1593"/>
      <c r="F322" s="1013"/>
      <c r="G322" s="1064"/>
      <c r="H322" s="1064"/>
      <c r="I322" s="1065"/>
      <c r="J322" s="1066"/>
      <c r="K322" s="1081"/>
      <c r="L322" s="1064"/>
      <c r="M322" s="1064"/>
      <c r="N322" s="1065"/>
      <c r="O322" s="1066"/>
      <c r="P322" s="1081"/>
      <c r="Q322" s="1064"/>
      <c r="R322" s="1064"/>
      <c r="S322" s="1065"/>
      <c r="T322" s="1066"/>
      <c r="U322" s="1081"/>
      <c r="V322" s="1064"/>
      <c r="W322" s="1064"/>
      <c r="X322" s="1065"/>
      <c r="Y322" s="1066"/>
      <c r="Z322" s="1067">
        <v>0</v>
      </c>
      <c r="AA322" s="1068">
        <v>0</v>
      </c>
      <c r="AB322" s="941"/>
      <c r="AC322" s="1006">
        <v>0.5</v>
      </c>
      <c r="AD322" s="1006">
        <v>0.27083333333333331</v>
      </c>
      <c r="AE322" s="1071">
        <v>6.5</v>
      </c>
      <c r="AF322" s="941"/>
      <c r="AG322" s="1006"/>
      <c r="AH322" s="1006"/>
      <c r="AI322" s="1071"/>
      <c r="AJ322" s="1041">
        <v>6.5</v>
      </c>
      <c r="AK322" s="941"/>
      <c r="AL322" s="943"/>
      <c r="AM322" s="940"/>
      <c r="AN322" s="954"/>
      <c r="AO322" s="954"/>
      <c r="AP322" s="954"/>
      <c r="AQ322" s="954"/>
      <c r="AR322" s="954"/>
      <c r="AS322" s="954"/>
    </row>
    <row r="323" spans="1:45" ht="13.5" customHeight="1">
      <c r="A323" s="1009" t="s">
        <v>1140</v>
      </c>
      <c r="B323" s="1593"/>
      <c r="C323" s="1593"/>
      <c r="D323" s="1593"/>
      <c r="E323" s="1593"/>
      <c r="F323" s="1013"/>
      <c r="G323" s="1064">
        <v>0.45833333333333331</v>
      </c>
      <c r="H323" s="1064">
        <v>0.29166666666666669</v>
      </c>
      <c r="I323" s="1065">
        <v>8</v>
      </c>
      <c r="J323" s="1066"/>
      <c r="K323" s="1081"/>
      <c r="L323" s="1064">
        <v>0.45833333333333331</v>
      </c>
      <c r="M323" s="1064">
        <v>0.29166666666666669</v>
      </c>
      <c r="N323" s="1065">
        <v>8</v>
      </c>
      <c r="O323" s="1066"/>
      <c r="P323" s="1081"/>
      <c r="Q323" s="1064">
        <v>0.45833333333333331</v>
      </c>
      <c r="R323" s="1064">
        <v>8.3333333333333329E-2</v>
      </c>
      <c r="S323" s="1065">
        <v>3</v>
      </c>
      <c r="T323" s="1066"/>
      <c r="U323" s="1081"/>
      <c r="V323" s="1064"/>
      <c r="W323" s="1064"/>
      <c r="X323" s="1065"/>
      <c r="Y323" s="1066"/>
      <c r="Z323" s="1067">
        <v>19</v>
      </c>
      <c r="AA323" s="1068">
        <v>0</v>
      </c>
      <c r="AB323" s="941"/>
      <c r="AC323" s="1006"/>
      <c r="AD323" s="1006"/>
      <c r="AE323" s="1071"/>
      <c r="AF323" s="941"/>
      <c r="AG323" s="1006"/>
      <c r="AH323" s="1006"/>
      <c r="AI323" s="1071"/>
      <c r="AJ323" s="1041">
        <v>0</v>
      </c>
      <c r="AK323" s="941"/>
      <c r="AL323" s="943"/>
      <c r="AM323" s="940"/>
      <c r="AN323" s="954"/>
      <c r="AO323" s="954"/>
      <c r="AP323" s="954"/>
      <c r="AQ323" s="954"/>
      <c r="AR323" s="954"/>
      <c r="AS323" s="954"/>
    </row>
    <row r="324" spans="1:45" ht="13.5" customHeight="1">
      <c r="A324" s="1009" t="s">
        <v>1435</v>
      </c>
      <c r="B324" s="1593"/>
      <c r="C324" s="1593"/>
      <c r="D324" s="1593"/>
      <c r="E324" s="1593"/>
      <c r="F324" s="1013"/>
      <c r="G324" s="1064"/>
      <c r="H324" s="1064"/>
      <c r="I324" s="1065"/>
      <c r="J324" s="1066"/>
      <c r="K324" s="1081"/>
      <c r="L324" s="1064"/>
      <c r="M324" s="1064"/>
      <c r="N324" s="1065"/>
      <c r="O324" s="1066"/>
      <c r="P324" s="1081"/>
      <c r="Q324" s="1064"/>
      <c r="R324" s="1064"/>
      <c r="S324" s="1065"/>
      <c r="T324" s="1066"/>
      <c r="U324" s="1081"/>
      <c r="V324" s="1064"/>
      <c r="W324" s="1064"/>
      <c r="X324" s="1065"/>
      <c r="Y324" s="1066"/>
      <c r="Z324" s="1067">
        <v>0</v>
      </c>
      <c r="AA324" s="1068">
        <v>0</v>
      </c>
      <c r="AB324" s="941"/>
      <c r="AC324" s="1006"/>
      <c r="AD324" s="995"/>
      <c r="AE324" s="1071"/>
      <c r="AF324" s="941"/>
      <c r="AG324" s="1006"/>
      <c r="AH324" s="1006"/>
      <c r="AI324" s="1071"/>
      <c r="AJ324" s="1041">
        <v>0</v>
      </c>
      <c r="AK324" s="941"/>
      <c r="AL324" s="943"/>
      <c r="AM324" s="940"/>
      <c r="AN324" s="954"/>
      <c r="AO324" s="954"/>
      <c r="AP324" s="954"/>
      <c r="AQ324" s="954"/>
      <c r="AR324" s="954"/>
      <c r="AS324" s="954"/>
    </row>
    <row r="325" spans="1:45" ht="13.5" customHeight="1">
      <c r="A325" s="1009" t="s">
        <v>1431</v>
      </c>
      <c r="B325" s="1593"/>
      <c r="C325" s="1593"/>
      <c r="D325" s="1593"/>
      <c r="E325" s="1593"/>
      <c r="F325" s="1013"/>
      <c r="G325" s="1064"/>
      <c r="H325" s="1064"/>
      <c r="I325" s="1065"/>
      <c r="J325" s="1066"/>
      <c r="K325" s="1081"/>
      <c r="L325" s="1064"/>
      <c r="M325" s="1064"/>
      <c r="N325" s="1065"/>
      <c r="O325" s="1066"/>
      <c r="P325" s="1081"/>
      <c r="Q325" s="1064"/>
      <c r="R325" s="1064"/>
      <c r="S325" s="1065"/>
      <c r="T325" s="1066"/>
      <c r="U325" s="1081"/>
      <c r="V325" s="1064"/>
      <c r="W325" s="1064"/>
      <c r="X325" s="1065"/>
      <c r="Y325" s="1066"/>
      <c r="Z325" s="1067">
        <v>0</v>
      </c>
      <c r="AA325" s="1068">
        <v>0</v>
      </c>
      <c r="AB325" s="941"/>
      <c r="AC325" s="1006"/>
      <c r="AD325" s="1006"/>
      <c r="AE325" s="1071"/>
      <c r="AF325" s="941"/>
      <c r="AG325" s="1006"/>
      <c r="AH325" s="1006"/>
      <c r="AI325" s="1071"/>
      <c r="AJ325" s="1041">
        <v>0</v>
      </c>
      <c r="AK325" s="941"/>
      <c r="AL325" s="943"/>
      <c r="AM325" s="940"/>
      <c r="AN325" s="954"/>
      <c r="AO325" s="954"/>
      <c r="AP325" s="954"/>
      <c r="AQ325" s="954"/>
      <c r="AR325" s="954"/>
      <c r="AS325" s="954"/>
    </row>
    <row r="326" spans="1:45" ht="13.5" customHeight="1">
      <c r="A326" s="1009" t="s">
        <v>813</v>
      </c>
      <c r="B326" s="1593"/>
      <c r="C326" s="1593"/>
      <c r="D326" s="1593"/>
      <c r="E326" s="1593"/>
      <c r="F326" s="1013"/>
      <c r="G326" s="1064"/>
      <c r="H326" s="1064"/>
      <c r="I326" s="1065">
        <v>2</v>
      </c>
      <c r="J326" s="1066"/>
      <c r="K326" s="1081"/>
      <c r="L326" s="1064"/>
      <c r="M326" s="1064"/>
      <c r="N326" s="1065">
        <v>2</v>
      </c>
      <c r="O326" s="1066"/>
      <c r="P326" s="1081"/>
      <c r="Q326" s="1064"/>
      <c r="R326" s="1064"/>
      <c r="S326" s="1065">
        <v>2</v>
      </c>
      <c r="T326" s="1066"/>
      <c r="U326" s="1081"/>
      <c r="V326" s="1064"/>
      <c r="W326" s="1064"/>
      <c r="X326" s="1065">
        <v>2</v>
      </c>
      <c r="Y326" s="1066"/>
      <c r="Z326" s="1067">
        <v>8</v>
      </c>
      <c r="AA326" s="1068">
        <v>0</v>
      </c>
      <c r="AB326" s="941"/>
      <c r="AC326" s="1006"/>
      <c r="AD326" s="1006"/>
      <c r="AE326" s="1071"/>
      <c r="AF326" s="941"/>
      <c r="AG326" s="1006"/>
      <c r="AH326" s="1006"/>
      <c r="AI326" s="1071"/>
      <c r="AJ326" s="1041">
        <v>0</v>
      </c>
      <c r="AK326" s="941"/>
      <c r="AL326" s="943"/>
      <c r="AM326" s="940"/>
      <c r="AN326" s="954"/>
      <c r="AO326" s="954"/>
      <c r="AP326" s="954"/>
      <c r="AQ326" s="954"/>
      <c r="AR326" s="954"/>
      <c r="AS326" s="954"/>
    </row>
    <row r="327" spans="1:45" ht="13.5" customHeight="1">
      <c r="A327" s="1009" t="s">
        <v>88</v>
      </c>
      <c r="B327" s="1593"/>
      <c r="C327" s="1593"/>
      <c r="D327" s="1593"/>
      <c r="E327" s="1593"/>
      <c r="F327" s="1013"/>
      <c r="G327" s="1064"/>
      <c r="H327" s="1064"/>
      <c r="I327" s="1065">
        <v>2</v>
      </c>
      <c r="J327" s="1066"/>
      <c r="K327" s="1081"/>
      <c r="L327" s="1064"/>
      <c r="M327" s="1064"/>
      <c r="N327" s="1065">
        <v>2</v>
      </c>
      <c r="O327" s="1066"/>
      <c r="P327" s="1081"/>
      <c r="Q327" s="1064"/>
      <c r="R327" s="1064"/>
      <c r="S327" s="1065">
        <v>2</v>
      </c>
      <c r="T327" s="1066"/>
      <c r="U327" s="1081"/>
      <c r="V327" s="1064"/>
      <c r="W327" s="1064"/>
      <c r="X327" s="1065">
        <v>2</v>
      </c>
      <c r="Y327" s="1066"/>
      <c r="Z327" s="1067">
        <v>8</v>
      </c>
      <c r="AA327" s="1068">
        <v>0</v>
      </c>
      <c r="AB327" s="941"/>
      <c r="AC327" s="1006"/>
      <c r="AD327" s="1006"/>
      <c r="AE327" s="1071"/>
      <c r="AF327" s="941"/>
      <c r="AG327" s="1006"/>
      <c r="AH327" s="1006"/>
      <c r="AI327" s="1071"/>
      <c r="AJ327" s="1041">
        <v>0</v>
      </c>
      <c r="AK327" s="941"/>
      <c r="AL327" s="943"/>
      <c r="AM327" s="940"/>
      <c r="AN327" s="954"/>
      <c r="AO327" s="954"/>
      <c r="AP327" s="954"/>
      <c r="AQ327" s="954"/>
      <c r="AR327" s="954"/>
      <c r="AS327" s="954"/>
    </row>
    <row r="328" spans="1:45" ht="13.5" customHeight="1">
      <c r="A328" s="1009" t="s">
        <v>1441</v>
      </c>
      <c r="B328" s="1593"/>
      <c r="C328" s="1593"/>
      <c r="D328" s="1593"/>
      <c r="E328" s="1593"/>
      <c r="F328" s="1013"/>
      <c r="G328" s="1064"/>
      <c r="H328" s="1064"/>
      <c r="I328" s="1065"/>
      <c r="J328" s="1066"/>
      <c r="K328" s="1081"/>
      <c r="L328" s="1064"/>
      <c r="M328" s="1064"/>
      <c r="N328" s="1065"/>
      <c r="O328" s="1066"/>
      <c r="P328" s="1081"/>
      <c r="Q328" s="1064"/>
      <c r="R328" s="1064"/>
      <c r="S328" s="1065"/>
      <c r="T328" s="1066"/>
      <c r="U328" s="1081"/>
      <c r="V328" s="1064"/>
      <c r="W328" s="1064"/>
      <c r="X328" s="1065"/>
      <c r="Y328" s="1066"/>
      <c r="Z328" s="1067">
        <v>0</v>
      </c>
      <c r="AA328" s="1068">
        <v>0</v>
      </c>
      <c r="AB328" s="941"/>
      <c r="AC328" s="1006"/>
      <c r="AD328" s="1006"/>
      <c r="AE328" s="1071"/>
      <c r="AF328" s="941"/>
      <c r="AG328" s="1006"/>
      <c r="AH328" s="1006"/>
      <c r="AI328" s="1071"/>
      <c r="AJ328" s="1041">
        <v>0</v>
      </c>
      <c r="AK328" s="941"/>
      <c r="AL328" s="943"/>
      <c r="AM328" s="940"/>
      <c r="AN328" s="954"/>
      <c r="AO328" s="954"/>
      <c r="AP328" s="954"/>
      <c r="AQ328" s="954"/>
      <c r="AR328" s="954"/>
      <c r="AS328" s="954"/>
    </row>
    <row r="329" spans="1:45" ht="13.5" customHeight="1">
      <c r="A329" s="1043" t="s">
        <v>1438</v>
      </c>
      <c r="B329" s="1593"/>
      <c r="C329" s="1593"/>
      <c r="D329" s="1593"/>
      <c r="E329" s="1593"/>
      <c r="F329" s="1072"/>
      <c r="G329" s="1076">
        <v>0.45833333333333331</v>
      </c>
      <c r="H329" s="1076">
        <v>0.29166666666666669</v>
      </c>
      <c r="I329" s="1072">
        <v>8</v>
      </c>
      <c r="J329" s="1095"/>
      <c r="K329" s="1072"/>
      <c r="L329" s="1076">
        <v>0.45833333333333331</v>
      </c>
      <c r="M329" s="1076">
        <v>0.29166666666666669</v>
      </c>
      <c r="N329" s="1072">
        <v>8</v>
      </c>
      <c r="O329" s="1072"/>
      <c r="P329" s="1072"/>
      <c r="Q329" s="1076">
        <v>0.45833333333333331</v>
      </c>
      <c r="R329" s="1076">
        <v>0.29166666666666669</v>
      </c>
      <c r="S329" s="1072">
        <v>8</v>
      </c>
      <c r="T329" s="1072"/>
      <c r="U329" s="1072"/>
      <c r="V329" s="1076">
        <v>0.45833333333333331</v>
      </c>
      <c r="W329" s="1076"/>
      <c r="X329" s="1072">
        <v>8</v>
      </c>
      <c r="Y329" s="1095"/>
      <c r="Z329" s="1096">
        <v>32</v>
      </c>
      <c r="AA329" s="1068">
        <v>0</v>
      </c>
      <c r="AB329" s="941"/>
      <c r="AC329" s="1006"/>
      <c r="AD329" s="1006"/>
      <c r="AE329" s="1071"/>
      <c r="AF329" s="941"/>
      <c r="AG329" s="1006"/>
      <c r="AH329" s="1006"/>
      <c r="AI329" s="1071"/>
      <c r="AJ329" s="1041">
        <v>0</v>
      </c>
      <c r="AK329" s="941"/>
      <c r="AL329" s="943"/>
      <c r="AM329" s="940"/>
      <c r="AN329" s="954"/>
      <c r="AO329" s="954"/>
      <c r="AP329" s="954"/>
      <c r="AQ329" s="954"/>
      <c r="AR329" s="954"/>
      <c r="AS329" s="954"/>
    </row>
    <row r="330" spans="1:45" ht="13.5" customHeight="1">
      <c r="A330" s="1043" t="s">
        <v>1439</v>
      </c>
      <c r="B330" s="1593"/>
      <c r="C330" s="1593"/>
      <c r="D330" s="1593"/>
      <c r="E330" s="1593"/>
      <c r="F330" s="1072"/>
      <c r="G330" s="1076"/>
      <c r="H330" s="1076"/>
      <c r="I330" s="1072">
        <v>0</v>
      </c>
      <c r="J330" s="1095"/>
      <c r="K330" s="1072"/>
      <c r="L330" s="1076"/>
      <c r="M330" s="1076"/>
      <c r="N330" s="1072">
        <v>0</v>
      </c>
      <c r="O330" s="1095"/>
      <c r="P330" s="1072"/>
      <c r="Q330" s="1076"/>
      <c r="R330" s="1076"/>
      <c r="S330" s="1072">
        <v>0</v>
      </c>
      <c r="T330" s="1095"/>
      <c r="U330" s="1072"/>
      <c r="V330" s="1076"/>
      <c r="W330" s="1076"/>
      <c r="X330" s="1072">
        <v>0</v>
      </c>
      <c r="Y330" s="1095"/>
      <c r="Z330" s="1096">
        <v>0</v>
      </c>
      <c r="AA330" s="1068">
        <v>0</v>
      </c>
      <c r="AB330" s="941"/>
      <c r="AC330" s="1006"/>
      <c r="AD330" s="1006"/>
      <c r="AE330" s="1071"/>
      <c r="AF330" s="941"/>
      <c r="AG330" s="1006"/>
      <c r="AH330" s="1006"/>
      <c r="AI330" s="1071"/>
      <c r="AJ330" s="1041">
        <v>0</v>
      </c>
      <c r="AK330" s="941"/>
      <c r="AL330" s="943"/>
      <c r="AM330" s="940"/>
      <c r="AN330" s="954"/>
      <c r="AO330" s="954"/>
      <c r="AP330" s="954"/>
      <c r="AQ330" s="954"/>
      <c r="AR330" s="954"/>
      <c r="AS330" s="954"/>
    </row>
    <row r="331" spans="1:45" ht="13.5" customHeight="1">
      <c r="A331" s="1043" t="s">
        <v>1433</v>
      </c>
      <c r="B331" s="1593"/>
      <c r="C331" s="1593"/>
      <c r="D331" s="1593"/>
      <c r="E331" s="1593"/>
      <c r="F331" s="1072"/>
      <c r="G331" s="1076">
        <v>0.45833333333333331</v>
      </c>
      <c r="H331" s="1076">
        <v>0.29166666666666669</v>
      </c>
      <c r="I331" s="1072">
        <v>8</v>
      </c>
      <c r="J331" s="1095"/>
      <c r="K331" s="1072"/>
      <c r="L331" s="1076">
        <v>0.45833333333333331</v>
      </c>
      <c r="M331" s="1076">
        <v>0.29166666666666669</v>
      </c>
      <c r="N331" s="1072">
        <v>8</v>
      </c>
      <c r="O331" s="1095"/>
      <c r="P331" s="1072"/>
      <c r="Q331" s="1076">
        <v>0.45833333333333331</v>
      </c>
      <c r="R331" s="1076">
        <v>0.29166666666666669</v>
      </c>
      <c r="S331" s="1072">
        <v>8</v>
      </c>
      <c r="T331" s="1072"/>
      <c r="U331" s="1072"/>
      <c r="V331" s="1076">
        <v>0.45833333333333331</v>
      </c>
      <c r="W331" s="1076">
        <v>0.29166666666666669</v>
      </c>
      <c r="X331" s="1072">
        <v>8</v>
      </c>
      <c r="Y331" s="1095"/>
      <c r="Z331" s="1096">
        <v>32</v>
      </c>
      <c r="AA331" s="1068">
        <v>0</v>
      </c>
      <c r="AB331" s="941"/>
      <c r="AC331" s="1006"/>
      <c r="AD331" s="1006"/>
      <c r="AE331" s="1071"/>
      <c r="AF331" s="941"/>
      <c r="AG331" s="1006"/>
      <c r="AH331" s="1006"/>
      <c r="AI331" s="1071"/>
      <c r="AJ331" s="1041">
        <v>0</v>
      </c>
      <c r="AK331" s="941"/>
      <c r="AL331" s="943"/>
      <c r="AM331" s="940"/>
      <c r="AN331" s="954"/>
      <c r="AO331" s="954"/>
      <c r="AP331" s="954"/>
      <c r="AQ331" s="954"/>
      <c r="AR331" s="954"/>
      <c r="AS331" s="954"/>
    </row>
    <row r="332" spans="1:45" ht="13.5" customHeight="1">
      <c r="A332" s="1043" t="s">
        <v>1440</v>
      </c>
      <c r="B332" s="1593"/>
      <c r="C332" s="1593"/>
      <c r="D332" s="1593"/>
      <c r="E332" s="1593"/>
      <c r="F332" s="1072"/>
      <c r="G332" s="1076"/>
      <c r="H332" s="1076"/>
      <c r="I332" s="1072"/>
      <c r="J332" s="1095"/>
      <c r="K332" s="1072"/>
      <c r="L332" s="1076">
        <v>0.45833333333333331</v>
      </c>
      <c r="M332" s="1076">
        <v>0.29166666666666669</v>
      </c>
      <c r="N332" s="1072">
        <v>8</v>
      </c>
      <c r="O332" s="1095"/>
      <c r="P332" s="1072"/>
      <c r="Q332" s="1076">
        <v>0.45833333333333331</v>
      </c>
      <c r="R332" s="1076">
        <v>0.29166666666666669</v>
      </c>
      <c r="S332" s="1072">
        <v>8</v>
      </c>
      <c r="T332" s="1095"/>
      <c r="U332" s="1072"/>
      <c r="V332" s="1076">
        <v>0.45833333333333331</v>
      </c>
      <c r="W332" s="1076">
        <v>0.29166666666666669</v>
      </c>
      <c r="X332" s="1072">
        <v>8</v>
      </c>
      <c r="Y332" s="1095"/>
      <c r="Z332" s="1096">
        <v>24</v>
      </c>
      <c r="AA332" s="1068">
        <v>0</v>
      </c>
      <c r="AB332" s="941"/>
      <c r="AC332" s="1006"/>
      <c r="AD332" s="1006"/>
      <c r="AE332" s="1071"/>
      <c r="AF332" s="941"/>
      <c r="AG332" s="1006"/>
      <c r="AH332" s="1006"/>
      <c r="AI332" s="1071"/>
      <c r="AJ332" s="1041">
        <v>0</v>
      </c>
      <c r="AK332" s="941"/>
      <c r="AL332" s="943"/>
      <c r="AM332" s="940"/>
      <c r="AN332" s="954"/>
      <c r="AO332" s="954"/>
      <c r="AP332" s="954"/>
      <c r="AQ332" s="954"/>
      <c r="AR332" s="954"/>
      <c r="AS332" s="954"/>
    </row>
    <row r="333" spans="1:45" ht="13.5" customHeight="1">
      <c r="A333" s="1043" t="s">
        <v>1437</v>
      </c>
      <c r="B333" s="1593"/>
      <c r="C333" s="1593"/>
      <c r="D333" s="1593"/>
      <c r="E333" s="1593"/>
      <c r="F333" s="1050"/>
      <c r="G333" s="1076">
        <v>0.41666666666666669</v>
      </c>
      <c r="H333" s="1076">
        <v>0.125</v>
      </c>
      <c r="I333" s="1072">
        <v>5</v>
      </c>
      <c r="J333" s="1050"/>
      <c r="K333" s="1050"/>
      <c r="L333" s="1076">
        <v>0.29166666666666669</v>
      </c>
      <c r="M333" s="1076">
        <v>0.125</v>
      </c>
      <c r="N333" s="1072">
        <v>8</v>
      </c>
      <c r="O333" s="1050"/>
      <c r="P333" s="1050"/>
      <c r="Q333" s="1076">
        <v>0.29166666666666669</v>
      </c>
      <c r="R333" s="1076">
        <v>0.125</v>
      </c>
      <c r="S333" s="1072">
        <v>8</v>
      </c>
      <c r="T333" s="1050"/>
      <c r="U333" s="1072"/>
      <c r="V333" s="1076">
        <v>0.29166666666666669</v>
      </c>
      <c r="W333" s="1076">
        <v>0.125</v>
      </c>
      <c r="X333" s="1072">
        <v>8</v>
      </c>
      <c r="Y333" s="1095"/>
      <c r="Z333" s="1096">
        <v>29</v>
      </c>
      <c r="AA333" s="1068">
        <v>0</v>
      </c>
      <c r="AB333" s="941"/>
      <c r="AC333" s="1006"/>
      <c r="AD333" s="1006"/>
      <c r="AE333" s="1071"/>
      <c r="AF333" s="941"/>
      <c r="AG333" s="1006"/>
      <c r="AH333" s="1006"/>
      <c r="AI333" s="1071"/>
      <c r="AJ333" s="1041">
        <v>0</v>
      </c>
      <c r="AK333" s="941"/>
      <c r="AL333" s="943"/>
      <c r="AM333" s="940"/>
      <c r="AN333" s="954"/>
      <c r="AO333" s="954"/>
      <c r="AP333" s="954"/>
      <c r="AQ333" s="954"/>
      <c r="AR333" s="954"/>
      <c r="AS333" s="954"/>
    </row>
    <row r="334" spans="1:45" ht="13.5" customHeight="1">
      <c r="A334" s="1016" t="s">
        <v>61</v>
      </c>
      <c r="B334" s="1018"/>
      <c r="C334" s="1018"/>
      <c r="D334" s="1084">
        <v>0</v>
      </c>
      <c r="E334" s="997">
        <v>0</v>
      </c>
      <c r="F334" s="1018"/>
      <c r="G334" s="1018"/>
      <c r="H334" s="1018"/>
      <c r="I334" s="1079">
        <v>108</v>
      </c>
      <c r="J334" s="1066">
        <v>0</v>
      </c>
      <c r="K334" s="1078"/>
      <c r="L334" s="1078"/>
      <c r="M334" s="1078"/>
      <c r="N334" s="1079">
        <v>108</v>
      </c>
      <c r="O334" s="1066">
        <v>0</v>
      </c>
      <c r="P334" s="1078"/>
      <c r="Q334" s="1078"/>
      <c r="R334" s="1078"/>
      <c r="S334" s="1079">
        <v>111</v>
      </c>
      <c r="T334" s="1066">
        <v>0</v>
      </c>
      <c r="U334" s="1078"/>
      <c r="V334" s="1078"/>
      <c r="W334" s="1078"/>
      <c r="X334" s="1079">
        <v>108</v>
      </c>
      <c r="Y334" s="1066">
        <v>0.375</v>
      </c>
      <c r="Z334" s="1097">
        <v>435</v>
      </c>
      <c r="AA334" s="1097">
        <v>0.25</v>
      </c>
      <c r="AB334" s="1098"/>
      <c r="AC334" s="1099"/>
      <c r="AD334" s="1099"/>
      <c r="AE334" s="1097">
        <v>6.5</v>
      </c>
      <c r="AF334" s="1098"/>
      <c r="AG334" s="1099"/>
      <c r="AH334" s="1099"/>
      <c r="AI334" s="1097">
        <v>6</v>
      </c>
      <c r="AJ334" s="1097">
        <v>12.5</v>
      </c>
      <c r="AK334" s="941"/>
      <c r="AL334" s="943"/>
      <c r="AM334" s="940"/>
      <c r="AN334" s="954"/>
      <c r="AO334" s="954"/>
      <c r="AP334" s="954"/>
      <c r="AQ334" s="954"/>
      <c r="AR334" s="954"/>
      <c r="AS334" s="954"/>
    </row>
    <row r="335" spans="1:45" ht="13.5" customHeight="1">
      <c r="A335" s="1016" t="s">
        <v>1434</v>
      </c>
      <c r="B335" s="1018"/>
      <c r="C335" s="1018"/>
      <c r="D335" s="1084">
        <v>0</v>
      </c>
      <c r="E335" s="997">
        <v>0</v>
      </c>
      <c r="F335" s="1018"/>
      <c r="G335" s="1018"/>
      <c r="H335" s="1018"/>
      <c r="I335" s="1084">
        <v>21</v>
      </c>
      <c r="J335" s="997">
        <v>0</v>
      </c>
      <c r="K335" s="1018"/>
      <c r="L335" s="1018"/>
      <c r="M335" s="1018"/>
      <c r="N335" s="1084">
        <v>32</v>
      </c>
      <c r="O335" s="997">
        <v>0</v>
      </c>
      <c r="P335" s="1018"/>
      <c r="Q335" s="1018"/>
      <c r="R335" s="1018"/>
      <c r="S335" s="1084">
        <v>32</v>
      </c>
      <c r="T335" s="997">
        <v>0</v>
      </c>
      <c r="U335" s="1018"/>
      <c r="V335" s="1018"/>
      <c r="W335" s="1018"/>
      <c r="X335" s="1084">
        <v>32</v>
      </c>
      <c r="Y335" s="997">
        <v>0</v>
      </c>
      <c r="Z335" s="1097">
        <v>117</v>
      </c>
      <c r="AA335" s="1097">
        <v>0</v>
      </c>
      <c r="AB335" s="1098"/>
      <c r="AC335" s="1099"/>
      <c r="AD335" s="1099"/>
      <c r="AE335" s="1097"/>
      <c r="AF335" s="1098"/>
      <c r="AG335" s="1099"/>
      <c r="AH335" s="1099"/>
      <c r="AI335" s="1097"/>
      <c r="AJ335" s="1097"/>
      <c r="AK335" s="941"/>
      <c r="AL335" s="943"/>
      <c r="AM335" s="940"/>
      <c r="AN335" s="954"/>
      <c r="AO335" s="954"/>
      <c r="AP335" s="954"/>
      <c r="AQ335" s="954"/>
      <c r="AR335" s="954"/>
      <c r="AS335" s="954"/>
    </row>
    <row r="336" spans="1:45" ht="13.5" customHeight="1">
      <c r="A336" s="1022" t="s">
        <v>1443</v>
      </c>
      <c r="B336" s="1006"/>
      <c r="C336" s="1006"/>
      <c r="D336" s="1071"/>
      <c r="E336" s="1023"/>
      <c r="F336" s="1024"/>
      <c r="G336" s="1006"/>
      <c r="H336" s="1006"/>
      <c r="I336" s="1065">
        <v>4</v>
      </c>
      <c r="J336" s="1065"/>
      <c r="K336" s="1081"/>
      <c r="L336" s="1064"/>
      <c r="M336" s="1064"/>
      <c r="N336" s="1065">
        <v>4</v>
      </c>
      <c r="O336" s="1065"/>
      <c r="P336" s="1081"/>
      <c r="Q336" s="1064"/>
      <c r="R336" s="1064"/>
      <c r="S336" s="1065">
        <v>4</v>
      </c>
      <c r="T336" s="1065"/>
      <c r="U336" s="1081"/>
      <c r="V336" s="1064"/>
      <c r="W336" s="1064"/>
      <c r="X336" s="1065">
        <v>4</v>
      </c>
      <c r="Y336" s="1065"/>
      <c r="Z336" s="1067">
        <v>16</v>
      </c>
      <c r="AA336" s="1100">
        <v>0</v>
      </c>
      <c r="AB336" s="941"/>
      <c r="AC336" s="1006"/>
      <c r="AD336" s="1006"/>
      <c r="AE336" s="1071"/>
      <c r="AF336" s="941"/>
      <c r="AG336" s="1006"/>
      <c r="AH336" s="1006"/>
      <c r="AI336" s="1071"/>
      <c r="AJ336" s="1048">
        <v>0</v>
      </c>
      <c r="AK336" s="941"/>
      <c r="AL336" s="943"/>
      <c r="AM336" s="940"/>
      <c r="AN336" s="954"/>
      <c r="AO336" s="954"/>
      <c r="AP336" s="954"/>
      <c r="AQ336" s="954"/>
      <c r="AR336" s="954"/>
      <c r="AS336" s="954"/>
    </row>
    <row r="337" spans="1:45" ht="13.5" customHeight="1">
      <c r="A337" s="1026" t="s">
        <v>66</v>
      </c>
      <c r="B337" s="1027"/>
      <c r="C337" s="1027"/>
      <c r="D337" s="1026"/>
      <c r="E337" s="1024"/>
      <c r="F337" s="1026"/>
      <c r="G337" s="1026"/>
      <c r="H337" s="1026"/>
      <c r="I337" s="1026"/>
      <c r="J337" s="1024"/>
      <c r="K337" s="1026"/>
      <c r="L337" s="1026"/>
      <c r="M337" s="1026"/>
      <c r="N337" s="1026"/>
      <c r="O337" s="1024"/>
      <c r="P337" s="1026"/>
      <c r="Q337" s="1026"/>
      <c r="R337" s="1026"/>
      <c r="S337" s="1026"/>
      <c r="T337" s="1024"/>
      <c r="U337" s="1026"/>
      <c r="V337" s="1026"/>
      <c r="W337" s="1026"/>
      <c r="X337" s="1026"/>
      <c r="Y337" s="1024"/>
      <c r="Z337" s="1028">
        <v>16</v>
      </c>
      <c r="AA337" s="1028">
        <v>0</v>
      </c>
      <c r="AB337" s="941"/>
      <c r="AC337" s="940"/>
      <c r="AD337" s="940"/>
      <c r="AE337" s="940"/>
      <c r="AF337" s="941"/>
      <c r="AG337" s="940"/>
      <c r="AH337" s="940"/>
      <c r="AI337" s="940"/>
      <c r="AJ337" s="1028">
        <v>0</v>
      </c>
      <c r="AK337" s="941"/>
      <c r="AL337" s="943"/>
      <c r="AM337" s="940"/>
      <c r="AN337" s="1021"/>
      <c r="AO337" s="954"/>
      <c r="AP337" s="954"/>
      <c r="AQ337" s="954"/>
      <c r="AR337" s="954"/>
      <c r="AS337" s="954"/>
    </row>
    <row r="338" spans="1:45" ht="13.5" customHeight="1">
      <c r="A338" s="1029" t="s">
        <v>67</v>
      </c>
      <c r="B338" s="1030">
        <v>70</v>
      </c>
      <c r="C338" s="1030"/>
      <c r="D338" s="1031"/>
      <c r="E338" s="1031"/>
      <c r="F338" s="1030"/>
      <c r="G338" s="1031"/>
      <c r="H338" s="1031"/>
      <c r="I338" s="1031"/>
      <c r="J338" s="1031"/>
      <c r="K338" s="1030"/>
      <c r="L338" s="1030"/>
      <c r="M338" s="1030"/>
      <c r="N338" s="1030"/>
      <c r="O338" s="1031"/>
      <c r="P338" s="1030"/>
      <c r="Q338" s="1030"/>
      <c r="R338" s="1030"/>
      <c r="S338" s="1030"/>
      <c r="T338" s="1031"/>
      <c r="U338" s="1030"/>
      <c r="V338" s="1030"/>
      <c r="W338" s="1030"/>
      <c r="X338" s="1032"/>
      <c r="Y338" s="1031"/>
      <c r="Z338" s="1033"/>
      <c r="AA338" s="1031"/>
      <c r="AB338" s="1033"/>
      <c r="AC338" s="1033"/>
      <c r="AD338" s="1033"/>
      <c r="AE338" s="1033"/>
      <c r="AF338" s="1033"/>
      <c r="AG338" s="1033"/>
      <c r="AH338" s="1033"/>
      <c r="AI338" s="1033"/>
      <c r="AJ338" s="1033"/>
      <c r="AK338" s="941"/>
      <c r="AL338" s="943"/>
      <c r="AM338" s="940"/>
      <c r="AN338" s="1021"/>
      <c r="AO338" s="954"/>
      <c r="AP338" s="954"/>
      <c r="AQ338" s="954"/>
      <c r="AR338" s="954"/>
      <c r="AS338" s="954"/>
    </row>
    <row r="339" spans="1:45" ht="13.5" customHeight="1">
      <c r="A339" s="940"/>
      <c r="B339" s="940"/>
      <c r="C339" s="940"/>
      <c r="D339" s="941"/>
      <c r="E339" s="942"/>
      <c r="F339" s="941"/>
      <c r="G339" s="940"/>
      <c r="H339" s="940"/>
      <c r="I339" s="941"/>
      <c r="J339" s="942"/>
      <c r="K339" s="941"/>
      <c r="L339" s="940"/>
      <c r="M339" s="940"/>
      <c r="N339" s="941"/>
      <c r="O339" s="942"/>
      <c r="P339" s="941"/>
      <c r="Q339" s="940"/>
      <c r="R339" s="940"/>
      <c r="S339" s="941"/>
      <c r="T339" s="942"/>
      <c r="U339" s="941"/>
      <c r="V339" s="940"/>
      <c r="W339" s="940"/>
      <c r="X339" s="941"/>
      <c r="Y339" s="942"/>
      <c r="Z339" s="941"/>
      <c r="AA339" s="941"/>
      <c r="AB339" s="941"/>
      <c r="AC339" s="940"/>
      <c r="AD339" s="940"/>
      <c r="AE339" s="940"/>
      <c r="AF339" s="941"/>
      <c r="AG339" s="940"/>
      <c r="AH339" s="940"/>
      <c r="AI339" s="940"/>
      <c r="AJ339" s="940"/>
      <c r="AK339" s="941"/>
      <c r="AL339" s="943"/>
      <c r="AM339" s="940"/>
      <c r="AN339" s="954"/>
      <c r="AO339" s="954"/>
      <c r="AP339" s="954"/>
      <c r="AQ339" s="954"/>
      <c r="AR339" s="954"/>
      <c r="AS339" s="954"/>
    </row>
    <row r="340" spans="1:45" ht="13.5" customHeight="1">
      <c r="A340" s="974"/>
      <c r="B340" s="975"/>
      <c r="C340" s="975"/>
      <c r="D340" s="976"/>
      <c r="E340" s="976"/>
      <c r="F340" s="975"/>
      <c r="G340" s="976"/>
      <c r="H340" s="976"/>
      <c r="I340" s="976"/>
      <c r="J340" s="976"/>
      <c r="K340" s="975"/>
      <c r="L340" s="975"/>
      <c r="M340" s="975"/>
      <c r="N340" s="975"/>
      <c r="O340" s="976"/>
      <c r="P340" s="975"/>
      <c r="Q340" s="975"/>
      <c r="R340" s="975"/>
      <c r="S340" s="975"/>
      <c r="T340" s="976"/>
      <c r="U340" s="975"/>
      <c r="V340" s="975"/>
      <c r="W340" s="975"/>
      <c r="X340" s="977"/>
      <c r="Y340" s="976"/>
      <c r="Z340" s="978"/>
      <c r="AA340" s="976"/>
      <c r="AB340" s="979"/>
      <c r="AC340" s="980"/>
      <c r="AD340" s="943"/>
      <c r="AE340" s="943"/>
      <c r="AF340" s="979"/>
      <c r="AG340" s="980"/>
      <c r="AH340" s="943"/>
      <c r="AI340" s="943"/>
      <c r="AJ340" s="943"/>
      <c r="AK340" s="943"/>
      <c r="AL340" s="943"/>
      <c r="AM340" s="943"/>
      <c r="AN340" s="943"/>
      <c r="AO340" s="943"/>
      <c r="AP340" s="943"/>
      <c r="AQ340" s="943"/>
      <c r="AR340" s="943"/>
      <c r="AS340" s="943"/>
    </row>
    <row r="341" spans="1:45" ht="13.5" customHeight="1">
      <c r="A341" s="940"/>
      <c r="B341" s="940"/>
      <c r="C341" s="940"/>
      <c r="D341" s="941"/>
      <c r="E341" s="942"/>
      <c r="F341" s="941"/>
      <c r="G341" s="940"/>
      <c r="H341" s="940"/>
      <c r="I341" s="941"/>
      <c r="J341" s="942"/>
      <c r="K341" s="941"/>
      <c r="L341" s="940"/>
      <c r="M341" s="940"/>
      <c r="N341" s="941"/>
      <c r="O341" s="942"/>
      <c r="P341" s="941"/>
      <c r="Q341" s="940"/>
      <c r="R341" s="940"/>
      <c r="S341" s="941"/>
      <c r="T341" s="942"/>
      <c r="U341" s="941"/>
      <c r="V341" s="940"/>
      <c r="W341" s="940"/>
      <c r="X341" s="941"/>
      <c r="Y341" s="942"/>
      <c r="Z341" s="941"/>
      <c r="AA341" s="941"/>
      <c r="AB341" s="941"/>
      <c r="AC341" s="940"/>
      <c r="AD341" s="940"/>
      <c r="AE341" s="940"/>
      <c r="AF341" s="941"/>
      <c r="AG341" s="940"/>
      <c r="AH341" s="940"/>
      <c r="AI341" s="940"/>
      <c r="AJ341" s="940"/>
      <c r="AK341" s="941"/>
      <c r="AL341" s="943"/>
      <c r="AM341" s="940"/>
      <c r="AN341" s="954"/>
      <c r="AO341" s="954"/>
      <c r="AP341" s="954"/>
      <c r="AQ341" s="954"/>
      <c r="AR341" s="954"/>
      <c r="AS341" s="954"/>
    </row>
    <row r="342" spans="1:45" ht="13.5" customHeight="1">
      <c r="A342" s="1592" t="s">
        <v>18</v>
      </c>
      <c r="B342" s="1588">
        <v>45908</v>
      </c>
      <c r="C342" s="1588"/>
      <c r="D342" s="1588" t="s">
        <v>564</v>
      </c>
      <c r="E342" s="1588"/>
      <c r="F342" s="981"/>
      <c r="G342" s="1588">
        <v>45909</v>
      </c>
      <c r="H342" s="1588"/>
      <c r="I342" s="1588" t="s">
        <v>565</v>
      </c>
      <c r="J342" s="1588"/>
      <c r="K342" s="981"/>
      <c r="L342" s="1588">
        <v>45910</v>
      </c>
      <c r="M342" s="1588"/>
      <c r="N342" s="1588" t="s">
        <v>566</v>
      </c>
      <c r="O342" s="1588"/>
      <c r="P342" s="981"/>
      <c r="Q342" s="1588">
        <v>45911</v>
      </c>
      <c r="R342" s="1588"/>
      <c r="S342" s="1588" t="s">
        <v>567</v>
      </c>
      <c r="T342" s="1588"/>
      <c r="U342" s="981"/>
      <c r="V342" s="1588">
        <v>45912</v>
      </c>
      <c r="W342" s="1588"/>
      <c r="X342" s="1588" t="s">
        <v>568</v>
      </c>
      <c r="Y342" s="1588"/>
      <c r="Z342" s="1589" t="s">
        <v>19</v>
      </c>
      <c r="AA342" s="1589" t="s">
        <v>20</v>
      </c>
      <c r="AB342" s="941"/>
      <c r="AC342" s="1588">
        <v>45913</v>
      </c>
      <c r="AD342" s="1588"/>
      <c r="AE342" s="982" t="s">
        <v>569</v>
      </c>
      <c r="AF342" s="941"/>
      <c r="AG342" s="1588">
        <v>45914</v>
      </c>
      <c r="AH342" s="1588"/>
      <c r="AI342" s="983" t="s">
        <v>570</v>
      </c>
      <c r="AJ342" s="1589" t="s">
        <v>1420</v>
      </c>
      <c r="AK342" s="941"/>
      <c r="AL342" s="984"/>
      <c r="AM342" s="940"/>
      <c r="AN342" s="985" t="s">
        <v>84</v>
      </c>
      <c r="AO342" s="986"/>
      <c r="AP342" s="986"/>
      <c r="AQ342" s="986"/>
      <c r="AR342" s="986"/>
      <c r="AS342" s="986"/>
    </row>
    <row r="343" spans="1:45" ht="13.5" customHeight="1">
      <c r="A343" s="1592"/>
      <c r="B343" s="987" t="s">
        <v>23</v>
      </c>
      <c r="C343" s="987" t="s">
        <v>24</v>
      </c>
      <c r="D343" s="988" t="s">
        <v>25</v>
      </c>
      <c r="E343" s="989" t="s">
        <v>14</v>
      </c>
      <c r="F343" s="941"/>
      <c r="G343" s="987" t="s">
        <v>23</v>
      </c>
      <c r="H343" s="987" t="s">
        <v>24</v>
      </c>
      <c r="I343" s="990" t="s">
        <v>25</v>
      </c>
      <c r="J343" s="989" t="s">
        <v>14</v>
      </c>
      <c r="K343" s="941"/>
      <c r="L343" s="987" t="s">
        <v>23</v>
      </c>
      <c r="M343" s="987" t="s">
        <v>24</v>
      </c>
      <c r="N343" s="990" t="s">
        <v>25</v>
      </c>
      <c r="O343" s="989" t="s">
        <v>14</v>
      </c>
      <c r="P343" s="941"/>
      <c r="Q343" s="987" t="s">
        <v>23</v>
      </c>
      <c r="R343" s="987" t="s">
        <v>24</v>
      </c>
      <c r="S343" s="990" t="s">
        <v>25</v>
      </c>
      <c r="T343" s="989" t="s">
        <v>14</v>
      </c>
      <c r="U343" s="941"/>
      <c r="V343" s="987" t="s">
        <v>23</v>
      </c>
      <c r="W343" s="987" t="s">
        <v>24</v>
      </c>
      <c r="X343" s="990" t="s">
        <v>25</v>
      </c>
      <c r="Y343" s="989" t="s">
        <v>14</v>
      </c>
      <c r="Z343" s="1589"/>
      <c r="AA343" s="1589"/>
      <c r="AB343" s="941"/>
      <c r="AC343" s="987" t="s">
        <v>23</v>
      </c>
      <c r="AD343" s="987" t="s">
        <v>24</v>
      </c>
      <c r="AE343" s="990" t="s">
        <v>25</v>
      </c>
      <c r="AF343" s="941"/>
      <c r="AG343" s="987" t="s">
        <v>23</v>
      </c>
      <c r="AH343" s="987" t="s">
        <v>24</v>
      </c>
      <c r="AI343" s="990" t="s">
        <v>25</v>
      </c>
      <c r="AJ343" s="1589"/>
      <c r="AK343" s="941"/>
      <c r="AL343" s="984"/>
      <c r="AM343" s="991"/>
      <c r="AN343" s="992" t="s">
        <v>26</v>
      </c>
      <c r="AO343" s="993">
        <v>545</v>
      </c>
      <c r="AP343" s="994">
        <v>40.31</v>
      </c>
      <c r="AQ343" s="994">
        <f>AP343*AO343</f>
        <v>21968.95</v>
      </c>
      <c r="AR343" s="954"/>
      <c r="AS343" s="954"/>
    </row>
    <row r="344" spans="1:45" ht="13.5" customHeight="1">
      <c r="A344" s="1006" t="s">
        <v>72</v>
      </c>
      <c r="B344" s="1101">
        <v>0.29166666666666669</v>
      </c>
      <c r="C344" s="1101">
        <v>0.125</v>
      </c>
      <c r="D344" s="1102">
        <v>8</v>
      </c>
      <c r="E344" s="1103"/>
      <c r="F344" s="1098"/>
      <c r="G344" s="1101">
        <v>0.29166666666666669</v>
      </c>
      <c r="H344" s="1101">
        <v>0.125</v>
      </c>
      <c r="I344" s="1102">
        <v>8</v>
      </c>
      <c r="J344" s="1103"/>
      <c r="K344" s="1098"/>
      <c r="L344" s="1101">
        <v>0.29166666666666669</v>
      </c>
      <c r="M344" s="1101">
        <v>0.125</v>
      </c>
      <c r="N344" s="1102">
        <v>8</v>
      </c>
      <c r="O344" s="1103"/>
      <c r="P344" s="1098"/>
      <c r="Q344" s="1101">
        <v>0.29166666666666669</v>
      </c>
      <c r="R344" s="1101">
        <v>0.125</v>
      </c>
      <c r="S344" s="1102">
        <v>8</v>
      </c>
      <c r="T344" s="1103"/>
      <c r="U344" s="1098"/>
      <c r="V344" s="1101">
        <v>0.29166666666666669</v>
      </c>
      <c r="W344" s="1101">
        <v>0.125</v>
      </c>
      <c r="X344" s="1102">
        <v>8</v>
      </c>
      <c r="Y344" s="1103"/>
      <c r="Z344" s="1097">
        <v>40</v>
      </c>
      <c r="AA344" s="1104">
        <v>0</v>
      </c>
      <c r="AB344" s="941"/>
      <c r="AC344" s="1091"/>
      <c r="AD344" s="1092"/>
      <c r="AE344" s="1071"/>
      <c r="AF344" s="941"/>
      <c r="AG344" s="1091"/>
      <c r="AH344" s="1092"/>
      <c r="AI344" s="1071"/>
      <c r="AJ344" s="1041">
        <v>0</v>
      </c>
      <c r="AK344" s="941"/>
      <c r="AL344" s="984"/>
      <c r="AM344" s="991"/>
      <c r="AN344" s="992" t="s">
        <v>1421</v>
      </c>
      <c r="AO344" s="1005">
        <v>200</v>
      </c>
      <c r="AP344" s="1007">
        <v>60.47</v>
      </c>
      <c r="AQ344" s="994">
        <f>AP344*AO344</f>
        <v>12094</v>
      </c>
      <c r="AR344" s="954"/>
      <c r="AS344" s="954"/>
    </row>
    <row r="345" spans="1:45" ht="13.5" customHeight="1">
      <c r="A345" s="1009" t="s">
        <v>1166</v>
      </c>
      <c r="B345" s="1101">
        <v>0.29166666666666669</v>
      </c>
      <c r="C345" s="1101">
        <v>0.125</v>
      </c>
      <c r="D345" s="1102">
        <v>8</v>
      </c>
      <c r="E345" s="1103"/>
      <c r="F345" s="1098"/>
      <c r="G345" s="1101">
        <v>0.29166666666666669</v>
      </c>
      <c r="H345" s="1101">
        <v>0.125</v>
      </c>
      <c r="I345" s="1102">
        <v>8</v>
      </c>
      <c r="J345" s="1103"/>
      <c r="K345" s="1098"/>
      <c r="L345" s="1101">
        <v>0.29166666666666669</v>
      </c>
      <c r="M345" s="1101">
        <v>0.13541666666666666</v>
      </c>
      <c r="N345" s="1102">
        <v>8</v>
      </c>
      <c r="O345" s="1103">
        <v>0.25</v>
      </c>
      <c r="P345" s="1098"/>
      <c r="Q345" s="1101">
        <v>0.29166666666666669</v>
      </c>
      <c r="R345" s="1101">
        <v>0.125</v>
      </c>
      <c r="S345" s="1102">
        <v>8</v>
      </c>
      <c r="T345" s="1103"/>
      <c r="U345" s="1098"/>
      <c r="V345" s="1101">
        <v>0.29166666666666669</v>
      </c>
      <c r="W345" s="1101">
        <v>0.125</v>
      </c>
      <c r="X345" s="1102">
        <v>8</v>
      </c>
      <c r="Y345" s="1103"/>
      <c r="Z345" s="1097">
        <v>40</v>
      </c>
      <c r="AA345" s="1104">
        <v>0.25</v>
      </c>
      <c r="AB345" s="941"/>
      <c r="AC345" s="1006"/>
      <c r="AD345" s="995"/>
      <c r="AE345" s="1071"/>
      <c r="AF345" s="941"/>
      <c r="AG345" s="1006"/>
      <c r="AH345" s="995"/>
      <c r="AI345" s="1071"/>
      <c r="AJ345" s="1041">
        <v>0</v>
      </c>
      <c r="AK345" s="941"/>
      <c r="AL345" s="943"/>
      <c r="AM345" s="940"/>
      <c r="AN345" s="992" t="s">
        <v>30</v>
      </c>
      <c r="AO345" s="1005">
        <v>1.5</v>
      </c>
      <c r="AP345" s="1007">
        <v>60.465000000000003</v>
      </c>
      <c r="AQ345" s="994">
        <f t="shared" ref="AQ345" si="9">AP345*AO345</f>
        <v>90.697500000000005</v>
      </c>
      <c r="AR345" s="954"/>
      <c r="AS345" s="954"/>
    </row>
    <row r="346" spans="1:45" ht="13.5" customHeight="1">
      <c r="A346" s="1009" t="s">
        <v>1425</v>
      </c>
      <c r="B346" s="1101">
        <v>0.29166666666666669</v>
      </c>
      <c r="C346" s="1101">
        <v>0.125</v>
      </c>
      <c r="D346" s="1102">
        <v>8</v>
      </c>
      <c r="E346" s="1103"/>
      <c r="F346" s="1098"/>
      <c r="G346" s="1101">
        <v>0.29166666666666669</v>
      </c>
      <c r="H346" s="1101">
        <v>0.125</v>
      </c>
      <c r="I346" s="1102">
        <v>8</v>
      </c>
      <c r="J346" s="1103"/>
      <c r="K346" s="1098"/>
      <c r="L346" s="1101">
        <v>0.29166666666666669</v>
      </c>
      <c r="M346" s="1101">
        <v>0.125</v>
      </c>
      <c r="N346" s="1102">
        <v>8</v>
      </c>
      <c r="O346" s="1103"/>
      <c r="P346" s="1098"/>
      <c r="Q346" s="1101">
        <v>0.29166666666666669</v>
      </c>
      <c r="R346" s="1101">
        <v>0.125</v>
      </c>
      <c r="S346" s="1102">
        <v>8</v>
      </c>
      <c r="T346" s="1103"/>
      <c r="U346" s="1098"/>
      <c r="V346" s="1101">
        <v>0.29166666666666669</v>
      </c>
      <c r="W346" s="1101">
        <v>0.125</v>
      </c>
      <c r="X346" s="1102">
        <v>8</v>
      </c>
      <c r="Y346" s="1103"/>
      <c r="Z346" s="1097">
        <v>40</v>
      </c>
      <c r="AA346" s="1104">
        <v>0</v>
      </c>
      <c r="AB346" s="941"/>
      <c r="AC346" s="1006"/>
      <c r="AD346" s="1006"/>
      <c r="AE346" s="1071"/>
      <c r="AF346" s="941"/>
      <c r="AG346" s="1006"/>
      <c r="AH346" s="1006"/>
      <c r="AI346" s="1071"/>
      <c r="AJ346" s="1041">
        <v>0</v>
      </c>
      <c r="AK346" s="941"/>
      <c r="AL346" s="943"/>
      <c r="AM346" s="940"/>
      <c r="AN346" s="992" t="s">
        <v>32</v>
      </c>
      <c r="AO346" s="1005">
        <v>10.25</v>
      </c>
      <c r="AP346" s="994">
        <v>60.465000000000003</v>
      </c>
      <c r="AQ346" s="994">
        <f>AP346*AO346</f>
        <v>619.76625000000001</v>
      </c>
      <c r="AR346" s="954"/>
      <c r="AS346" s="954"/>
    </row>
    <row r="347" spans="1:45" ht="13.5" customHeight="1">
      <c r="A347" s="1009" t="s">
        <v>1426</v>
      </c>
      <c r="B347" s="1101">
        <v>0.29166666666666669</v>
      </c>
      <c r="C347" s="1101">
        <v>0.125</v>
      </c>
      <c r="D347" s="1102">
        <v>8</v>
      </c>
      <c r="E347" s="1103"/>
      <c r="F347" s="1098"/>
      <c r="G347" s="1101">
        <v>0.29166666666666669</v>
      </c>
      <c r="H347" s="1101">
        <v>0.125</v>
      </c>
      <c r="I347" s="1102">
        <v>8</v>
      </c>
      <c r="J347" s="1103"/>
      <c r="K347" s="1098"/>
      <c r="L347" s="1101">
        <v>0.29166666666666669</v>
      </c>
      <c r="M347" s="1101">
        <v>0.125</v>
      </c>
      <c r="N347" s="1102">
        <v>8</v>
      </c>
      <c r="O347" s="1103"/>
      <c r="P347" s="1098"/>
      <c r="Q347" s="1101">
        <v>0.29166666666666669</v>
      </c>
      <c r="R347" s="1101">
        <v>0.125</v>
      </c>
      <c r="S347" s="1102">
        <v>8</v>
      </c>
      <c r="T347" s="1103"/>
      <c r="U347" s="1098"/>
      <c r="V347" s="1101">
        <v>0.29166666666666669</v>
      </c>
      <c r="W347" s="1101">
        <v>0.125</v>
      </c>
      <c r="X347" s="1102">
        <v>8</v>
      </c>
      <c r="Y347" s="1103"/>
      <c r="Z347" s="1097">
        <v>40</v>
      </c>
      <c r="AA347" s="1104">
        <v>0</v>
      </c>
      <c r="AB347" s="941"/>
      <c r="AC347" s="1006"/>
      <c r="AD347" s="1006"/>
      <c r="AE347" s="1071"/>
      <c r="AF347" s="941"/>
      <c r="AG347" s="1006"/>
      <c r="AH347" s="1006"/>
      <c r="AI347" s="1071"/>
      <c r="AJ347" s="1041">
        <v>0</v>
      </c>
      <c r="AK347" s="941"/>
      <c r="AL347" s="943"/>
      <c r="AM347" s="940"/>
      <c r="AN347" s="1010" t="s">
        <v>213</v>
      </c>
      <c r="AO347" s="993">
        <v>20</v>
      </c>
      <c r="AP347" s="994">
        <v>53.05</v>
      </c>
      <c r="AQ347" s="994">
        <f>AP347*AO347</f>
        <v>1061</v>
      </c>
      <c r="AR347" s="954"/>
      <c r="AS347" s="954"/>
    </row>
    <row r="348" spans="1:45" ht="13.5" customHeight="1">
      <c r="A348" s="1009" t="s">
        <v>1066</v>
      </c>
      <c r="B348" s="1101">
        <v>0.29166666666666669</v>
      </c>
      <c r="C348" s="1101">
        <v>0.125</v>
      </c>
      <c r="D348" s="1102">
        <v>8</v>
      </c>
      <c r="E348" s="1103"/>
      <c r="F348" s="1098"/>
      <c r="G348" s="1101">
        <v>0.29166666666666669</v>
      </c>
      <c r="H348" s="1101">
        <v>0.125</v>
      </c>
      <c r="I348" s="1102">
        <v>8</v>
      </c>
      <c r="J348" s="1103"/>
      <c r="K348" s="1098"/>
      <c r="L348" s="1101">
        <v>0.29166666666666669</v>
      </c>
      <c r="M348" s="1101">
        <v>0.125</v>
      </c>
      <c r="N348" s="1102">
        <v>8</v>
      </c>
      <c r="O348" s="1103"/>
      <c r="P348" s="1098"/>
      <c r="Q348" s="1101">
        <v>0.29166666666666669</v>
      </c>
      <c r="R348" s="1101">
        <v>0.125</v>
      </c>
      <c r="S348" s="1102">
        <v>8</v>
      </c>
      <c r="T348" s="1103"/>
      <c r="U348" s="1098"/>
      <c r="V348" s="1101">
        <v>0.29166666666666669</v>
      </c>
      <c r="W348" s="1101">
        <v>0.13541666666666666</v>
      </c>
      <c r="X348" s="1102">
        <v>8</v>
      </c>
      <c r="Y348" s="1103">
        <v>0.25</v>
      </c>
      <c r="Z348" s="1097">
        <v>40</v>
      </c>
      <c r="AA348" s="1104">
        <v>0.25</v>
      </c>
      <c r="AB348" s="941"/>
      <c r="AC348" s="1006"/>
      <c r="AD348" s="1006"/>
      <c r="AE348" s="1071"/>
      <c r="AF348" s="941"/>
      <c r="AG348" s="1006"/>
      <c r="AH348" s="1006"/>
      <c r="AI348" s="1071"/>
      <c r="AJ348" s="1041">
        <v>0</v>
      </c>
      <c r="AK348" s="941"/>
      <c r="AL348" s="943"/>
      <c r="AM348" s="940"/>
      <c r="AN348" s="992" t="s">
        <v>36</v>
      </c>
      <c r="AO348" s="1005">
        <v>0.5</v>
      </c>
      <c r="AP348" s="994">
        <v>79.574999999999989</v>
      </c>
      <c r="AQ348" s="994">
        <f>AP348*AO348</f>
        <v>39.787499999999994</v>
      </c>
      <c r="AR348" s="954"/>
      <c r="AS348" s="954"/>
    </row>
    <row r="349" spans="1:45" ht="13.5" customHeight="1">
      <c r="A349" s="1009" t="s">
        <v>1427</v>
      </c>
      <c r="B349" s="1101">
        <v>0.29166666666666669</v>
      </c>
      <c r="C349" s="1101">
        <v>0.125</v>
      </c>
      <c r="D349" s="1102">
        <v>8</v>
      </c>
      <c r="E349" s="1103"/>
      <c r="F349" s="1098"/>
      <c r="G349" s="1105"/>
      <c r="H349" s="1105"/>
      <c r="I349" s="1102">
        <v>0</v>
      </c>
      <c r="J349" s="1103"/>
      <c r="K349" s="1098"/>
      <c r="L349" s="1101">
        <v>0.29166666666666669</v>
      </c>
      <c r="M349" s="1101">
        <v>0.15625</v>
      </c>
      <c r="N349" s="1102">
        <v>8</v>
      </c>
      <c r="O349" s="1103">
        <v>0.75</v>
      </c>
      <c r="P349" s="1098"/>
      <c r="Q349" s="1101"/>
      <c r="R349" s="1101">
        <v>0.125</v>
      </c>
      <c r="S349" s="1102">
        <v>8</v>
      </c>
      <c r="T349" s="1103"/>
      <c r="U349" s="1098"/>
      <c r="V349" s="1101">
        <v>0.29166666666666669</v>
      </c>
      <c r="W349" s="1101">
        <v>0.125</v>
      </c>
      <c r="X349" s="1102">
        <v>8</v>
      </c>
      <c r="Y349" s="1103"/>
      <c r="Z349" s="1097">
        <v>32</v>
      </c>
      <c r="AA349" s="1104">
        <v>0.75</v>
      </c>
      <c r="AB349" s="941"/>
      <c r="AC349" s="1006"/>
      <c r="AD349" s="1006"/>
      <c r="AE349" s="1071"/>
      <c r="AF349" s="941"/>
      <c r="AG349" s="1006"/>
      <c r="AH349" s="1006"/>
      <c r="AI349" s="1071"/>
      <c r="AJ349" s="1041">
        <v>0</v>
      </c>
      <c r="AK349" s="941"/>
      <c r="AL349" s="943"/>
      <c r="AM349" s="940"/>
      <c r="AN349" s="992" t="s">
        <v>38</v>
      </c>
      <c r="AO349" s="1005">
        <v>4</v>
      </c>
      <c r="AP349" s="994">
        <v>79.574999999999989</v>
      </c>
      <c r="AQ349" s="994">
        <f>AP349*AO349</f>
        <v>318.29999999999995</v>
      </c>
      <c r="AR349" s="954"/>
      <c r="AS349" s="954"/>
    </row>
    <row r="350" spans="1:45" ht="13.5" customHeight="1">
      <c r="A350" s="1009" t="s">
        <v>1428</v>
      </c>
      <c r="B350" s="1101">
        <v>0.125</v>
      </c>
      <c r="C350" s="1101">
        <v>0.45833333333333331</v>
      </c>
      <c r="D350" s="1102">
        <v>8</v>
      </c>
      <c r="E350" s="1103"/>
      <c r="F350" s="1098"/>
      <c r="G350" s="1101">
        <v>0.125</v>
      </c>
      <c r="H350" s="1101">
        <v>0.45833333333333331</v>
      </c>
      <c r="I350" s="1102">
        <v>8</v>
      </c>
      <c r="J350" s="1103"/>
      <c r="K350" s="1098"/>
      <c r="L350" s="1101">
        <v>0.125</v>
      </c>
      <c r="M350" s="1101">
        <v>0.45833333333333331</v>
      </c>
      <c r="N350" s="1102">
        <v>8</v>
      </c>
      <c r="O350" s="1103"/>
      <c r="P350" s="1098"/>
      <c r="Q350" s="1101">
        <v>0.125</v>
      </c>
      <c r="R350" s="1101">
        <v>0.45833333333333331</v>
      </c>
      <c r="S350" s="1102">
        <v>8</v>
      </c>
      <c r="T350" s="1103"/>
      <c r="U350" s="1098"/>
      <c r="V350" s="1101">
        <v>0.125</v>
      </c>
      <c r="W350" s="1101">
        <v>0.45833333333333331</v>
      </c>
      <c r="X350" s="1102">
        <v>8</v>
      </c>
      <c r="Y350" s="1103"/>
      <c r="Z350" s="1097">
        <v>40</v>
      </c>
      <c r="AA350" s="1104">
        <v>0</v>
      </c>
      <c r="AB350" s="941"/>
      <c r="AC350" s="1006"/>
      <c r="AD350" s="1006"/>
      <c r="AE350" s="1071"/>
      <c r="AF350" s="941"/>
      <c r="AG350" s="1006"/>
      <c r="AH350" s="1006"/>
      <c r="AI350" s="1071"/>
      <c r="AJ350" s="1041">
        <v>0</v>
      </c>
      <c r="AK350" s="941"/>
      <c r="AL350" s="943"/>
      <c r="AM350" s="940"/>
      <c r="AN350" s="954"/>
      <c r="AO350" s="1005"/>
      <c r="AP350" s="954"/>
      <c r="AQ350" s="1094">
        <v>36192.501250000001</v>
      </c>
      <c r="AR350" s="954"/>
      <c r="AS350" s="954"/>
    </row>
    <row r="351" spans="1:45" ht="13.5" customHeight="1">
      <c r="A351" s="1009" t="s">
        <v>1142</v>
      </c>
      <c r="B351" s="1101">
        <v>0.125</v>
      </c>
      <c r="C351" s="1101">
        <v>0.45833333333333331</v>
      </c>
      <c r="D351" s="1102">
        <v>8</v>
      </c>
      <c r="E351" s="1103"/>
      <c r="F351" s="1098"/>
      <c r="G351" s="1101">
        <v>0.125</v>
      </c>
      <c r="H351" s="1101">
        <v>0.45833333333333331</v>
      </c>
      <c r="I351" s="1102">
        <v>8</v>
      </c>
      <c r="J351" s="1103"/>
      <c r="K351" s="1106"/>
      <c r="L351" s="1101">
        <v>0.125</v>
      </c>
      <c r="M351" s="1101">
        <v>0.45833333333333331</v>
      </c>
      <c r="N351" s="1102">
        <v>8</v>
      </c>
      <c r="O351" s="1103"/>
      <c r="P351" s="1106"/>
      <c r="Q351" s="1101">
        <v>0.125</v>
      </c>
      <c r="R351" s="1101">
        <v>0.45833333333333331</v>
      </c>
      <c r="S351" s="1102">
        <v>8</v>
      </c>
      <c r="T351" s="1103"/>
      <c r="U351" s="1106"/>
      <c r="V351" s="1101">
        <v>0.125</v>
      </c>
      <c r="W351" s="1101">
        <v>0.45833333333333331</v>
      </c>
      <c r="X351" s="1102">
        <v>8</v>
      </c>
      <c r="Y351" s="1103"/>
      <c r="Z351" s="1097">
        <v>40</v>
      </c>
      <c r="AA351" s="1104">
        <v>0</v>
      </c>
      <c r="AB351" s="941"/>
      <c r="AC351" s="1006"/>
      <c r="AD351" s="1006"/>
      <c r="AE351" s="1071"/>
      <c r="AF351" s="941"/>
      <c r="AG351" s="1006"/>
      <c r="AH351" s="1006"/>
      <c r="AI351" s="1071"/>
      <c r="AJ351" s="1041">
        <v>0</v>
      </c>
      <c r="AK351" s="941"/>
      <c r="AL351" s="943"/>
      <c r="AM351" s="940"/>
      <c r="AN351" s="954"/>
      <c r="AO351" s="1005"/>
      <c r="AP351" s="954"/>
      <c r="AQ351" s="954"/>
      <c r="AR351" s="954"/>
      <c r="AS351" s="954"/>
    </row>
    <row r="352" spans="1:45" ht="13.5" customHeight="1">
      <c r="A352" s="1009" t="s">
        <v>1429</v>
      </c>
      <c r="B352" s="1101">
        <v>0.125</v>
      </c>
      <c r="C352" s="1101">
        <v>0.45833333333333331</v>
      </c>
      <c r="D352" s="1102">
        <v>8</v>
      </c>
      <c r="E352" s="1103"/>
      <c r="F352" s="1098"/>
      <c r="G352" s="1101">
        <v>0.125</v>
      </c>
      <c r="H352" s="1101">
        <v>0.45833333333333331</v>
      </c>
      <c r="I352" s="1102">
        <v>8</v>
      </c>
      <c r="J352" s="1103"/>
      <c r="K352" s="1106"/>
      <c r="L352" s="1101">
        <v>0.125</v>
      </c>
      <c r="M352" s="1101">
        <v>0.45833333333333331</v>
      </c>
      <c r="N352" s="1102">
        <v>8</v>
      </c>
      <c r="O352" s="1103"/>
      <c r="P352" s="1106"/>
      <c r="Q352" s="1101">
        <v>0.125</v>
      </c>
      <c r="R352" s="1101">
        <v>0.45833333333333331</v>
      </c>
      <c r="S352" s="1102">
        <v>8</v>
      </c>
      <c r="T352" s="1103"/>
      <c r="U352" s="1106"/>
      <c r="V352" s="1101">
        <v>0.125</v>
      </c>
      <c r="W352" s="1101">
        <v>0.45833333333333331</v>
      </c>
      <c r="X352" s="1102">
        <v>8</v>
      </c>
      <c r="Y352" s="1103"/>
      <c r="Z352" s="1097">
        <v>40</v>
      </c>
      <c r="AA352" s="1104">
        <v>0</v>
      </c>
      <c r="AB352" s="941"/>
      <c r="AC352" s="1006"/>
      <c r="AD352" s="1006"/>
      <c r="AE352" s="1071"/>
      <c r="AF352" s="941"/>
      <c r="AG352" s="1006"/>
      <c r="AH352" s="1006"/>
      <c r="AI352" s="1071"/>
      <c r="AJ352" s="1041">
        <v>0</v>
      </c>
      <c r="AK352" s="941"/>
      <c r="AL352" s="943"/>
      <c r="AM352" s="940"/>
      <c r="AN352" s="953" t="s">
        <v>1115</v>
      </c>
      <c r="AO352" s="1005">
        <v>89</v>
      </c>
      <c r="AP352" s="954"/>
      <c r="AQ352" s="954"/>
      <c r="AR352" s="954"/>
      <c r="AS352" s="954"/>
    </row>
    <row r="353" spans="1:45" ht="13.5" customHeight="1">
      <c r="A353" s="1011" t="s">
        <v>1060</v>
      </c>
      <c r="B353" s="1101">
        <v>0.13541666666666666</v>
      </c>
      <c r="C353" s="1101">
        <v>0.45833333333333331</v>
      </c>
      <c r="D353" s="1102">
        <v>8</v>
      </c>
      <c r="E353" s="1103"/>
      <c r="F353" s="1098"/>
      <c r="G353" s="1101">
        <v>0.125</v>
      </c>
      <c r="H353" s="1101">
        <v>0.45833333333333331</v>
      </c>
      <c r="I353" s="1102">
        <v>8</v>
      </c>
      <c r="J353" s="1103"/>
      <c r="K353" s="1106"/>
      <c r="L353" s="1101">
        <v>0.13541666666666666</v>
      </c>
      <c r="M353" s="1101">
        <v>0.45833333333333331</v>
      </c>
      <c r="N353" s="1102">
        <v>8</v>
      </c>
      <c r="O353" s="1103"/>
      <c r="P353" s="1106"/>
      <c r="Q353" s="1101">
        <v>0.125</v>
      </c>
      <c r="R353" s="1101">
        <v>0.45833333333333331</v>
      </c>
      <c r="S353" s="1102">
        <v>8</v>
      </c>
      <c r="T353" s="1103"/>
      <c r="U353" s="1106"/>
      <c r="V353" s="1101">
        <v>0.13541666666666666</v>
      </c>
      <c r="W353" s="1101">
        <v>0.45833333333333331</v>
      </c>
      <c r="X353" s="1102">
        <v>8</v>
      </c>
      <c r="Y353" s="1103"/>
      <c r="Z353" s="1097">
        <v>40</v>
      </c>
      <c r="AA353" s="1104">
        <v>0</v>
      </c>
      <c r="AB353" s="941"/>
      <c r="AC353" s="1006"/>
      <c r="AD353" s="1006"/>
      <c r="AE353" s="1071"/>
      <c r="AF353" s="941"/>
      <c r="AG353" s="1006"/>
      <c r="AH353" s="1006"/>
      <c r="AI353" s="1071"/>
      <c r="AJ353" s="1041">
        <v>0</v>
      </c>
      <c r="AK353" s="941"/>
      <c r="AL353" s="943"/>
      <c r="AM353" s="940"/>
      <c r="AN353" s="954"/>
      <c r="AO353" s="954"/>
      <c r="AP353" s="954"/>
      <c r="AQ353" s="954"/>
      <c r="AR353" s="954"/>
      <c r="AS353" s="954"/>
    </row>
    <row r="354" spans="1:45" ht="13.5" customHeight="1">
      <c r="A354" s="941" t="s">
        <v>327</v>
      </c>
      <c r="B354" s="1101">
        <v>0.125</v>
      </c>
      <c r="C354" s="1101">
        <v>0.45833333333333331</v>
      </c>
      <c r="D354" s="1102">
        <v>8</v>
      </c>
      <c r="E354" s="1103"/>
      <c r="F354" s="1106"/>
      <c r="G354" s="1101">
        <v>0.125</v>
      </c>
      <c r="H354" s="1101">
        <v>0.45833333333333331</v>
      </c>
      <c r="I354" s="1102">
        <v>8</v>
      </c>
      <c r="J354" s="1103"/>
      <c r="K354" s="1106"/>
      <c r="L354" s="1101">
        <v>0.125</v>
      </c>
      <c r="M354" s="1101">
        <v>0.45833333333333331</v>
      </c>
      <c r="N354" s="1102">
        <v>8</v>
      </c>
      <c r="O354" s="1103"/>
      <c r="P354" s="1106"/>
      <c r="Q354" s="1101"/>
      <c r="R354" s="1101">
        <v>0.45833333333333331</v>
      </c>
      <c r="S354" s="1102">
        <v>8</v>
      </c>
      <c r="T354" s="1103"/>
      <c r="U354" s="1106"/>
      <c r="V354" s="1101">
        <v>0.125</v>
      </c>
      <c r="W354" s="1101">
        <v>0.46875</v>
      </c>
      <c r="X354" s="1102">
        <v>8</v>
      </c>
      <c r="Y354" s="1103">
        <v>0.25</v>
      </c>
      <c r="Z354" s="1097">
        <v>40</v>
      </c>
      <c r="AA354" s="1104">
        <v>0.25</v>
      </c>
      <c r="AB354" s="941"/>
      <c r="AC354" s="1006"/>
      <c r="AD354" s="1006"/>
      <c r="AE354" s="1071"/>
      <c r="AF354" s="941"/>
      <c r="AG354" s="1006"/>
      <c r="AH354" s="1006"/>
      <c r="AI354" s="1071"/>
      <c r="AJ354" s="1041">
        <v>0</v>
      </c>
      <c r="AK354" s="941"/>
      <c r="AL354" s="943"/>
      <c r="AM354" s="940"/>
      <c r="AN354" s="954"/>
      <c r="AO354" s="954"/>
      <c r="AP354" s="954"/>
      <c r="AQ354" s="954"/>
      <c r="AR354" s="954"/>
      <c r="AS354" s="954"/>
    </row>
    <row r="355" spans="1:45" ht="13.5" customHeight="1">
      <c r="A355" s="1006" t="s">
        <v>1144</v>
      </c>
      <c r="B355" s="1101">
        <v>0.125</v>
      </c>
      <c r="C355" s="1101">
        <v>0.45833333333333331</v>
      </c>
      <c r="D355" s="1102">
        <v>8</v>
      </c>
      <c r="E355" s="1103"/>
      <c r="F355" s="1106"/>
      <c r="G355" s="1101">
        <v>0.125</v>
      </c>
      <c r="H355" s="1101">
        <v>0.45833333333333331</v>
      </c>
      <c r="I355" s="1102">
        <v>8</v>
      </c>
      <c r="J355" s="1103"/>
      <c r="K355" s="1106"/>
      <c r="L355" s="1101">
        <v>0.125</v>
      </c>
      <c r="M355" s="1101">
        <v>0.45833333333333331</v>
      </c>
      <c r="N355" s="1102">
        <v>8</v>
      </c>
      <c r="O355" s="1103"/>
      <c r="P355" s="1106"/>
      <c r="Q355" s="1101">
        <v>0.125</v>
      </c>
      <c r="R355" s="1101">
        <v>0.45833333333333331</v>
      </c>
      <c r="S355" s="1102">
        <v>8</v>
      </c>
      <c r="T355" s="1103"/>
      <c r="U355" s="1106"/>
      <c r="V355" s="1101">
        <v>0.125</v>
      </c>
      <c r="W355" s="1101">
        <v>0.45833333333333331</v>
      </c>
      <c r="X355" s="1102">
        <v>8</v>
      </c>
      <c r="Y355" s="1103"/>
      <c r="Z355" s="1097">
        <v>40</v>
      </c>
      <c r="AA355" s="1104">
        <v>0</v>
      </c>
      <c r="AB355" s="941"/>
      <c r="AC355" s="1006"/>
      <c r="AD355" s="1006"/>
      <c r="AE355" s="1071"/>
      <c r="AF355" s="941"/>
      <c r="AG355" s="1006"/>
      <c r="AH355" s="1006"/>
      <c r="AI355" s="1071"/>
      <c r="AJ355" s="1041">
        <v>0</v>
      </c>
      <c r="AK355" s="941"/>
      <c r="AL355" s="943"/>
      <c r="AM355" s="940"/>
      <c r="AN355" s="954"/>
      <c r="AO355" s="954"/>
      <c r="AP355" s="954"/>
      <c r="AQ355" s="954"/>
      <c r="AR355" s="954"/>
      <c r="AS355" s="954"/>
    </row>
    <row r="356" spans="1:45" ht="13.5" customHeight="1">
      <c r="A356" s="1006" t="s">
        <v>1436</v>
      </c>
      <c r="B356" s="1101">
        <v>0.125</v>
      </c>
      <c r="C356" s="1101">
        <v>0.45833333333333331</v>
      </c>
      <c r="D356" s="1102">
        <v>8</v>
      </c>
      <c r="E356" s="1103"/>
      <c r="F356" s="1106"/>
      <c r="G356" s="1101">
        <v>0.125</v>
      </c>
      <c r="H356" s="1101">
        <v>0.45833333333333331</v>
      </c>
      <c r="I356" s="1102">
        <v>8</v>
      </c>
      <c r="J356" s="1103"/>
      <c r="K356" s="1106"/>
      <c r="L356" s="1101">
        <v>0.125</v>
      </c>
      <c r="M356" s="1101">
        <v>0.45833333333333331</v>
      </c>
      <c r="N356" s="1102">
        <v>8</v>
      </c>
      <c r="O356" s="1103"/>
      <c r="P356" s="1106"/>
      <c r="Q356" s="1101">
        <v>0.125</v>
      </c>
      <c r="R356" s="1101">
        <v>0.45833333333333331</v>
      </c>
      <c r="S356" s="1102">
        <v>8</v>
      </c>
      <c r="T356" s="1103"/>
      <c r="U356" s="1106"/>
      <c r="V356" s="1101">
        <v>0.125</v>
      </c>
      <c r="W356" s="1101">
        <v>0.45833333333333331</v>
      </c>
      <c r="X356" s="1102">
        <v>8</v>
      </c>
      <c r="Y356" s="1103"/>
      <c r="Z356" s="1097">
        <v>40</v>
      </c>
      <c r="AA356" s="1104">
        <v>0</v>
      </c>
      <c r="AB356" s="941"/>
      <c r="AC356" s="1107"/>
      <c r="AD356" s="1107"/>
      <c r="AE356" s="1108"/>
      <c r="AF356" s="941"/>
      <c r="AG356" s="1006"/>
      <c r="AH356" s="1006"/>
      <c r="AI356" s="1071"/>
      <c r="AJ356" s="1041">
        <v>0</v>
      </c>
      <c r="AK356" s="941"/>
      <c r="AL356" s="943"/>
      <c r="AM356" s="940"/>
      <c r="AN356" s="954"/>
      <c r="AO356" s="954"/>
      <c r="AP356" s="954"/>
      <c r="AQ356" s="954"/>
      <c r="AR356" s="954"/>
      <c r="AS356" s="954"/>
    </row>
    <row r="357" spans="1:45" ht="13.5" customHeight="1">
      <c r="A357" s="1009" t="s">
        <v>241</v>
      </c>
      <c r="B357" s="1101"/>
      <c r="C357" s="1101"/>
      <c r="D357" s="1102"/>
      <c r="E357" s="1103"/>
      <c r="F357" s="1106"/>
      <c r="G357" s="1101"/>
      <c r="H357" s="1101"/>
      <c r="I357" s="1102"/>
      <c r="J357" s="1103"/>
      <c r="K357" s="1106"/>
      <c r="L357" s="1101"/>
      <c r="M357" s="1101"/>
      <c r="N357" s="1102"/>
      <c r="O357" s="1103"/>
      <c r="P357" s="1106"/>
      <c r="Q357" s="1101"/>
      <c r="R357" s="1101"/>
      <c r="S357" s="1102"/>
      <c r="T357" s="1103"/>
      <c r="U357" s="1106"/>
      <c r="V357" s="1101"/>
      <c r="W357" s="1101"/>
      <c r="X357" s="1102"/>
      <c r="Y357" s="1103"/>
      <c r="Z357" s="1097">
        <v>0</v>
      </c>
      <c r="AA357" s="1104">
        <v>0</v>
      </c>
      <c r="AB357" s="941"/>
      <c r="AC357" s="1107">
        <v>9.375E-2</v>
      </c>
      <c r="AD357" s="1107">
        <v>0.27083333333333331</v>
      </c>
      <c r="AE357" s="1108">
        <v>4.25</v>
      </c>
      <c r="AF357" s="941"/>
      <c r="AG357" s="1006"/>
      <c r="AH357" s="1006"/>
      <c r="AI357" s="1071"/>
      <c r="AJ357" s="1041">
        <v>4.25</v>
      </c>
      <c r="AK357" s="941"/>
      <c r="AL357" s="943"/>
      <c r="AM357" s="940"/>
      <c r="AN357" s="954"/>
      <c r="AO357" s="954"/>
      <c r="AP357" s="954"/>
      <c r="AQ357" s="954"/>
      <c r="AR357" s="954"/>
      <c r="AS357" s="954"/>
    </row>
    <row r="358" spans="1:45" ht="13.5" customHeight="1">
      <c r="A358" s="1009" t="s">
        <v>1140</v>
      </c>
      <c r="B358" s="1101"/>
      <c r="C358" s="1101"/>
      <c r="D358" s="1102"/>
      <c r="E358" s="1103"/>
      <c r="F358" s="1106"/>
      <c r="G358" s="1101"/>
      <c r="H358" s="1101"/>
      <c r="I358" s="1102"/>
      <c r="J358" s="1103"/>
      <c r="K358" s="1106"/>
      <c r="L358" s="1101"/>
      <c r="M358" s="1101"/>
      <c r="N358" s="1102"/>
      <c r="O358" s="1103"/>
      <c r="P358" s="1106"/>
      <c r="Q358" s="1101"/>
      <c r="R358" s="1101"/>
      <c r="S358" s="1102"/>
      <c r="T358" s="1103"/>
      <c r="U358" s="1106"/>
      <c r="V358" s="1101"/>
      <c r="W358" s="1101"/>
      <c r="X358" s="1102"/>
      <c r="Y358" s="1103"/>
      <c r="Z358" s="1097">
        <v>0</v>
      </c>
      <c r="AA358" s="1104">
        <v>0</v>
      </c>
      <c r="AB358" s="941"/>
      <c r="AC358" s="1107">
        <v>6.25E-2</v>
      </c>
      <c r="AD358" s="1107">
        <v>0.22916666666666666</v>
      </c>
      <c r="AE358" s="1108">
        <v>6</v>
      </c>
      <c r="AF358" s="941"/>
      <c r="AG358" s="1006"/>
      <c r="AH358" s="1006"/>
      <c r="AI358" s="1071"/>
      <c r="AJ358" s="1041">
        <v>6</v>
      </c>
      <c r="AK358" s="941"/>
      <c r="AL358" s="943"/>
      <c r="AM358" s="940"/>
      <c r="AN358" s="954"/>
      <c r="AO358" s="954"/>
      <c r="AP358" s="954"/>
      <c r="AQ358" s="954"/>
      <c r="AR358" s="954"/>
      <c r="AS358" s="954"/>
    </row>
    <row r="359" spans="1:45" ht="13.5" customHeight="1">
      <c r="A359" s="1009" t="s">
        <v>1435</v>
      </c>
      <c r="B359" s="1101"/>
      <c r="C359" s="1101"/>
      <c r="D359" s="1102"/>
      <c r="E359" s="1103"/>
      <c r="F359" s="1106"/>
      <c r="G359" s="1101"/>
      <c r="H359" s="1101"/>
      <c r="I359" s="1102"/>
      <c r="J359" s="1103"/>
      <c r="K359" s="1106"/>
      <c r="L359" s="1101"/>
      <c r="M359" s="1101"/>
      <c r="N359" s="1102"/>
      <c r="O359" s="1103"/>
      <c r="P359" s="1106"/>
      <c r="Q359" s="1101"/>
      <c r="R359" s="1101"/>
      <c r="S359" s="1102"/>
      <c r="T359" s="1103"/>
      <c r="U359" s="1106"/>
      <c r="V359" s="1101"/>
      <c r="W359" s="1101"/>
      <c r="X359" s="1102"/>
      <c r="Y359" s="1103"/>
      <c r="Z359" s="1097">
        <v>0</v>
      </c>
      <c r="AA359" s="1104">
        <v>0</v>
      </c>
      <c r="AB359" s="941"/>
      <c r="AC359" s="1107"/>
      <c r="AD359" s="1107"/>
      <c r="AE359" s="1108"/>
      <c r="AF359" s="941"/>
      <c r="AG359" s="1006"/>
      <c r="AH359" s="1006"/>
      <c r="AI359" s="1071"/>
      <c r="AJ359" s="1041">
        <v>0</v>
      </c>
      <c r="AK359" s="941"/>
      <c r="AL359" s="943"/>
      <c r="AM359" s="940"/>
      <c r="AN359" s="954"/>
      <c r="AO359" s="954"/>
      <c r="AP359" s="954"/>
      <c r="AQ359" s="954"/>
      <c r="AR359" s="954"/>
      <c r="AS359" s="954"/>
    </row>
    <row r="360" spans="1:45" ht="13.5" customHeight="1">
      <c r="A360" s="1009" t="s">
        <v>1431</v>
      </c>
      <c r="B360" s="1101"/>
      <c r="C360" s="1101"/>
      <c r="D360" s="1102">
        <v>1</v>
      </c>
      <c r="E360" s="1103"/>
      <c r="F360" s="1106"/>
      <c r="G360" s="1101"/>
      <c r="H360" s="1101"/>
      <c r="I360" s="1102">
        <v>1</v>
      </c>
      <c r="J360" s="1103"/>
      <c r="K360" s="1106"/>
      <c r="L360" s="1101"/>
      <c r="M360" s="1101"/>
      <c r="N360" s="1102">
        <v>1</v>
      </c>
      <c r="O360" s="1103"/>
      <c r="P360" s="1106"/>
      <c r="Q360" s="1101"/>
      <c r="R360" s="1101"/>
      <c r="S360" s="1102">
        <v>1</v>
      </c>
      <c r="T360" s="1103"/>
      <c r="U360" s="1106"/>
      <c r="V360" s="1101"/>
      <c r="W360" s="1101"/>
      <c r="X360" s="1102">
        <v>1</v>
      </c>
      <c r="Y360" s="1103"/>
      <c r="Z360" s="1097">
        <v>5</v>
      </c>
      <c r="AA360" s="1104">
        <v>0</v>
      </c>
      <c r="AB360" s="941"/>
      <c r="AC360" s="1006"/>
      <c r="AD360" s="1006"/>
      <c r="AE360" s="1071"/>
      <c r="AF360" s="941"/>
      <c r="AG360" s="1006"/>
      <c r="AH360" s="1006"/>
      <c r="AI360" s="1071"/>
      <c r="AJ360" s="1041">
        <v>0</v>
      </c>
      <c r="AK360" s="941"/>
      <c r="AL360" s="943"/>
      <c r="AM360" s="940"/>
      <c r="AN360" s="954"/>
      <c r="AO360" s="954"/>
      <c r="AP360" s="954"/>
      <c r="AQ360" s="954"/>
      <c r="AR360" s="954"/>
      <c r="AS360" s="954"/>
    </row>
    <row r="361" spans="1:45" ht="13.5" customHeight="1">
      <c r="A361" s="1009" t="s">
        <v>813</v>
      </c>
      <c r="B361" s="1101"/>
      <c r="C361" s="1101"/>
      <c r="D361" s="1102">
        <v>2</v>
      </c>
      <c r="E361" s="1103"/>
      <c r="F361" s="1106"/>
      <c r="G361" s="1101"/>
      <c r="H361" s="1101"/>
      <c r="I361" s="1102">
        <v>2</v>
      </c>
      <c r="J361" s="1103"/>
      <c r="K361" s="1106"/>
      <c r="L361" s="1101"/>
      <c r="M361" s="1101"/>
      <c r="N361" s="1102">
        <v>2</v>
      </c>
      <c r="O361" s="1103"/>
      <c r="P361" s="1106"/>
      <c r="Q361" s="1101"/>
      <c r="R361" s="1101"/>
      <c r="S361" s="1102">
        <v>2</v>
      </c>
      <c r="T361" s="1103"/>
      <c r="U361" s="1106"/>
      <c r="V361" s="1101"/>
      <c r="W361" s="1101"/>
      <c r="X361" s="1102">
        <v>2</v>
      </c>
      <c r="Y361" s="1103"/>
      <c r="Z361" s="1097">
        <v>10</v>
      </c>
      <c r="AA361" s="1104">
        <v>0</v>
      </c>
      <c r="AB361" s="941"/>
      <c r="AC361" s="1006"/>
      <c r="AD361" s="1006"/>
      <c r="AE361" s="1071"/>
      <c r="AF361" s="941"/>
      <c r="AG361" s="1006"/>
      <c r="AH361" s="1006"/>
      <c r="AI361" s="1071"/>
      <c r="AJ361" s="1041">
        <v>0</v>
      </c>
      <c r="AK361" s="941"/>
      <c r="AL361" s="943"/>
      <c r="AM361" s="940"/>
      <c r="AN361" s="954"/>
      <c r="AO361" s="954"/>
      <c r="AP361" s="954"/>
      <c r="AQ361" s="954"/>
      <c r="AR361" s="954"/>
      <c r="AS361" s="954"/>
    </row>
    <row r="362" spans="1:45" ht="13.5" customHeight="1">
      <c r="A362" s="1009" t="s">
        <v>88</v>
      </c>
      <c r="B362" s="1101"/>
      <c r="C362" s="1101"/>
      <c r="D362" s="1102">
        <v>2</v>
      </c>
      <c r="E362" s="1103"/>
      <c r="F362" s="1106"/>
      <c r="G362" s="1101"/>
      <c r="H362" s="1101"/>
      <c r="I362" s="1102">
        <v>2</v>
      </c>
      <c r="J362" s="1103"/>
      <c r="K362" s="1106"/>
      <c r="L362" s="1101"/>
      <c r="M362" s="1101"/>
      <c r="N362" s="1102">
        <v>2</v>
      </c>
      <c r="O362" s="1103"/>
      <c r="P362" s="1106"/>
      <c r="Q362" s="1101"/>
      <c r="R362" s="1101"/>
      <c r="S362" s="1102">
        <v>2</v>
      </c>
      <c r="T362" s="1103"/>
      <c r="U362" s="1106"/>
      <c r="V362" s="1101"/>
      <c r="W362" s="1101"/>
      <c r="X362" s="1102">
        <v>2</v>
      </c>
      <c r="Y362" s="1103"/>
      <c r="Z362" s="1097">
        <v>10</v>
      </c>
      <c r="AA362" s="1104">
        <v>0</v>
      </c>
      <c r="AB362" s="941"/>
      <c r="AC362" s="1006"/>
      <c r="AD362" s="1006"/>
      <c r="AE362" s="1071"/>
      <c r="AF362" s="941"/>
      <c r="AG362" s="1006"/>
      <c r="AH362" s="1006"/>
      <c r="AI362" s="1071"/>
      <c r="AJ362" s="1041">
        <v>0</v>
      </c>
      <c r="AK362" s="941"/>
      <c r="AL362" s="943"/>
      <c r="AM362" s="940"/>
      <c r="AN362" s="954"/>
      <c r="AO362" s="954"/>
      <c r="AP362" s="954"/>
      <c r="AQ362" s="954"/>
      <c r="AR362" s="954"/>
      <c r="AS362" s="954"/>
    </row>
    <row r="363" spans="1:45" ht="13.5" customHeight="1">
      <c r="A363" s="1009" t="s">
        <v>1141</v>
      </c>
      <c r="B363" s="1101"/>
      <c r="C363" s="1101"/>
      <c r="D363" s="1102"/>
      <c r="E363" s="1103"/>
      <c r="F363" s="1106"/>
      <c r="G363" s="1101">
        <v>0.29166666666666669</v>
      </c>
      <c r="H363" s="1101">
        <v>0.125</v>
      </c>
      <c r="I363" s="1102">
        <v>8</v>
      </c>
      <c r="J363" s="1103"/>
      <c r="K363" s="1106"/>
      <c r="L363" s="1101"/>
      <c r="M363" s="1101"/>
      <c r="N363" s="1102"/>
      <c r="O363" s="1103"/>
      <c r="P363" s="1106"/>
      <c r="Q363" s="1101"/>
      <c r="R363" s="1101"/>
      <c r="S363" s="1102"/>
      <c r="T363" s="1103"/>
      <c r="U363" s="1106"/>
      <c r="V363" s="1101"/>
      <c r="W363" s="1101"/>
      <c r="X363" s="1102"/>
      <c r="Y363" s="1103"/>
      <c r="Z363" s="1097">
        <v>8</v>
      </c>
      <c r="AA363" s="1104">
        <v>0</v>
      </c>
      <c r="AB363" s="941"/>
      <c r="AC363" s="1006"/>
      <c r="AD363" s="1006"/>
      <c r="AE363" s="1071"/>
      <c r="AF363" s="941"/>
      <c r="AG363" s="1006"/>
      <c r="AH363" s="1006"/>
      <c r="AI363" s="1071"/>
      <c r="AJ363" s="1041">
        <v>0</v>
      </c>
      <c r="AK363" s="941"/>
      <c r="AL363" s="943"/>
      <c r="AM363" s="940"/>
      <c r="AN363" s="954"/>
      <c r="AO363" s="954"/>
      <c r="AP363" s="954"/>
      <c r="AQ363" s="954"/>
      <c r="AR363" s="954"/>
      <c r="AS363" s="954"/>
    </row>
    <row r="364" spans="1:45" ht="13.5" customHeight="1">
      <c r="A364" s="1043" t="s">
        <v>1438</v>
      </c>
      <c r="B364" s="1109">
        <v>0.45833333333333331</v>
      </c>
      <c r="C364" s="1109">
        <v>0.29166666666666669</v>
      </c>
      <c r="D364" s="1110">
        <v>8</v>
      </c>
      <c r="E364" s="1110"/>
      <c r="F364" s="1110"/>
      <c r="G364" s="1105">
        <v>0</v>
      </c>
      <c r="H364" s="1105">
        <v>0</v>
      </c>
      <c r="I364" s="1110">
        <v>8</v>
      </c>
      <c r="J364" s="1110"/>
      <c r="K364" s="1110"/>
      <c r="L364" s="1109">
        <v>0.45833333333333331</v>
      </c>
      <c r="M364" s="1109"/>
      <c r="N364" s="1110">
        <v>8</v>
      </c>
      <c r="O364" s="1110"/>
      <c r="P364" s="1110"/>
      <c r="Q364" s="1105">
        <v>0</v>
      </c>
      <c r="R364" s="1105">
        <v>0</v>
      </c>
      <c r="S364" s="1110">
        <v>8</v>
      </c>
      <c r="T364" s="1110"/>
      <c r="U364" s="1110"/>
      <c r="V364" s="1105">
        <v>0</v>
      </c>
      <c r="W364" s="1105">
        <v>0</v>
      </c>
      <c r="X364" s="1110">
        <v>8</v>
      </c>
      <c r="Y364" s="1110"/>
      <c r="Z364" s="1111">
        <v>40</v>
      </c>
      <c r="AA364" s="1104">
        <v>0</v>
      </c>
      <c r="AB364" s="941"/>
      <c r="AC364" s="1006"/>
      <c r="AD364" s="1006"/>
      <c r="AE364" s="1071"/>
      <c r="AF364" s="941"/>
      <c r="AG364" s="1006"/>
      <c r="AH364" s="1006"/>
      <c r="AI364" s="1071"/>
      <c r="AJ364" s="1041">
        <v>0</v>
      </c>
      <c r="AK364" s="941"/>
      <c r="AL364" s="943"/>
      <c r="AM364" s="940"/>
      <c r="AN364" s="954"/>
      <c r="AO364" s="954"/>
      <c r="AP364" s="954"/>
      <c r="AQ364" s="954"/>
      <c r="AR364" s="954"/>
      <c r="AS364" s="954"/>
    </row>
    <row r="365" spans="1:45" ht="13.5" customHeight="1">
      <c r="A365" s="1043" t="s">
        <v>1439</v>
      </c>
      <c r="B365" s="1109"/>
      <c r="C365" s="1109">
        <v>0.13541666666666666</v>
      </c>
      <c r="D365" s="1110">
        <v>8</v>
      </c>
      <c r="E365" s="1110"/>
      <c r="F365" s="1110"/>
      <c r="G365" s="1109">
        <v>0.45833333333333331</v>
      </c>
      <c r="H365" s="1109">
        <v>0.29166666666666669</v>
      </c>
      <c r="I365" s="1110">
        <v>8</v>
      </c>
      <c r="J365" s="1110"/>
      <c r="K365" s="1110"/>
      <c r="L365" s="1109">
        <v>0.45833333333333331</v>
      </c>
      <c r="M365" s="1109">
        <v>0.13541666666666666</v>
      </c>
      <c r="N365" s="1110">
        <v>8</v>
      </c>
      <c r="O365" s="1110"/>
      <c r="P365" s="1110"/>
      <c r="Q365" s="1109">
        <v>0.45833333333333331</v>
      </c>
      <c r="R365" s="1109"/>
      <c r="S365" s="1110">
        <v>8</v>
      </c>
      <c r="T365" s="1110"/>
      <c r="U365" s="1110"/>
      <c r="V365" s="1109">
        <v>0.46875</v>
      </c>
      <c r="W365" s="1109">
        <v>9.166666666666666E-2</v>
      </c>
      <c r="X365" s="1110">
        <v>8</v>
      </c>
      <c r="Y365" s="1110"/>
      <c r="Z365" s="1111">
        <v>40</v>
      </c>
      <c r="AA365" s="1104">
        <v>0</v>
      </c>
      <c r="AB365" s="941"/>
      <c r="AC365" s="1006"/>
      <c r="AD365" s="1006"/>
      <c r="AE365" s="1071"/>
      <c r="AF365" s="941"/>
      <c r="AG365" s="1006"/>
      <c r="AH365" s="1006"/>
      <c r="AI365" s="1071"/>
      <c r="AJ365" s="1041">
        <v>0</v>
      </c>
      <c r="AK365" s="941"/>
      <c r="AL365" s="943"/>
      <c r="AM365" s="940"/>
      <c r="AN365" s="954"/>
      <c r="AO365" s="954"/>
      <c r="AP365" s="954"/>
      <c r="AQ365" s="954"/>
      <c r="AR365" s="954"/>
      <c r="AS365" s="954"/>
    </row>
    <row r="366" spans="1:45" ht="13.5" customHeight="1">
      <c r="A366" s="1043" t="s">
        <v>1433</v>
      </c>
      <c r="B366" s="1109">
        <v>0.45833333333333331</v>
      </c>
      <c r="C366" s="1109">
        <v>0.29166666666666669</v>
      </c>
      <c r="D366" s="1110">
        <v>8</v>
      </c>
      <c r="E366" s="1110"/>
      <c r="F366" s="1110"/>
      <c r="G366" s="1109">
        <v>0.45833333333333331</v>
      </c>
      <c r="H366" s="1109">
        <v>0.29166666666666669</v>
      </c>
      <c r="I366" s="1110">
        <v>8</v>
      </c>
      <c r="J366" s="1110"/>
      <c r="K366" s="1110"/>
      <c r="L366" s="1109">
        <v>0.45833333333333331</v>
      </c>
      <c r="M366" s="1109">
        <v>0.29166666666666669</v>
      </c>
      <c r="N366" s="1110">
        <v>8</v>
      </c>
      <c r="O366" s="1110"/>
      <c r="P366" s="1110"/>
      <c r="Q366" s="1109">
        <v>0.45833333333333331</v>
      </c>
      <c r="R366" s="1109">
        <v>0.29166666666666669</v>
      </c>
      <c r="S366" s="1110">
        <v>8</v>
      </c>
      <c r="T366" s="1110"/>
      <c r="U366" s="1110"/>
      <c r="V366" s="1109">
        <v>0.45833333333333331</v>
      </c>
      <c r="W366" s="1109">
        <v>0.29166666666666669</v>
      </c>
      <c r="X366" s="1110">
        <v>8</v>
      </c>
      <c r="Y366" s="1110"/>
      <c r="Z366" s="1111">
        <v>40</v>
      </c>
      <c r="AA366" s="1104">
        <v>0</v>
      </c>
      <c r="AB366" s="941"/>
      <c r="AC366" s="1006"/>
      <c r="AD366" s="1006"/>
      <c r="AE366" s="1071"/>
      <c r="AF366" s="941"/>
      <c r="AG366" s="1006"/>
      <c r="AH366" s="1006"/>
      <c r="AI366" s="1071"/>
      <c r="AJ366" s="1041">
        <v>0</v>
      </c>
      <c r="AK366" s="941"/>
      <c r="AL366" s="943"/>
      <c r="AM366" s="940"/>
      <c r="AN366" s="954"/>
      <c r="AO366" s="954"/>
      <c r="AP366" s="954"/>
      <c r="AQ366" s="954"/>
      <c r="AR366" s="954"/>
      <c r="AS366" s="954"/>
    </row>
    <row r="367" spans="1:45" ht="13.5" customHeight="1">
      <c r="A367" s="1043" t="s">
        <v>1440</v>
      </c>
      <c r="B367" s="1109">
        <v>0.45833333333333331</v>
      </c>
      <c r="C367" s="1109">
        <v>0.29166666666666669</v>
      </c>
      <c r="D367" s="1110">
        <v>8</v>
      </c>
      <c r="E367" s="1110"/>
      <c r="F367" s="1110"/>
      <c r="G367" s="1109">
        <v>0.45833333333333331</v>
      </c>
      <c r="H367" s="1109">
        <v>0.29166666666666669</v>
      </c>
      <c r="I367" s="1110">
        <v>8</v>
      </c>
      <c r="J367" s="1110"/>
      <c r="K367" s="1110"/>
      <c r="L367" s="1109">
        <v>0.45833333333333331</v>
      </c>
      <c r="M367" s="1109">
        <v>0.29166666666666669</v>
      </c>
      <c r="N367" s="1110">
        <v>8</v>
      </c>
      <c r="O367" s="1110"/>
      <c r="P367" s="1110"/>
      <c r="Q367" s="1109">
        <v>0.45833333333333331</v>
      </c>
      <c r="R367" s="1109">
        <v>0.29166666666666669</v>
      </c>
      <c r="S367" s="1110">
        <v>8</v>
      </c>
      <c r="T367" s="1110"/>
      <c r="U367" s="1110"/>
      <c r="V367" s="1109">
        <v>0.45833333333333331</v>
      </c>
      <c r="W367" s="1109">
        <v>0.29166666666666669</v>
      </c>
      <c r="X367" s="1110">
        <v>8</v>
      </c>
      <c r="Y367" s="1110"/>
      <c r="Z367" s="1111">
        <v>40</v>
      </c>
      <c r="AA367" s="1104">
        <v>0</v>
      </c>
      <c r="AB367" s="941"/>
      <c r="AC367" s="1006"/>
      <c r="AD367" s="1006"/>
      <c r="AE367" s="1071"/>
      <c r="AF367" s="941"/>
      <c r="AG367" s="1006"/>
      <c r="AH367" s="1006"/>
      <c r="AI367" s="1071"/>
      <c r="AJ367" s="1041">
        <v>0</v>
      </c>
      <c r="AK367" s="941"/>
      <c r="AL367" s="943"/>
      <c r="AM367" s="940"/>
      <c r="AN367" s="954"/>
      <c r="AO367" s="954"/>
      <c r="AP367" s="954"/>
      <c r="AQ367" s="954"/>
      <c r="AR367" s="954"/>
      <c r="AS367" s="954"/>
    </row>
    <row r="368" spans="1:45" ht="13.5" customHeight="1">
      <c r="A368" s="1043" t="s">
        <v>1437</v>
      </c>
      <c r="B368" s="1109">
        <v>0.29166666666666669</v>
      </c>
      <c r="C368" s="1109">
        <v>0.13541666666666666</v>
      </c>
      <c r="D368" s="1110">
        <v>8</v>
      </c>
      <c r="E368" s="1110">
        <v>0.25</v>
      </c>
      <c r="F368" s="1110"/>
      <c r="G368" s="1109">
        <v>0.29166666666666669</v>
      </c>
      <c r="H368" s="1109">
        <v>0.125</v>
      </c>
      <c r="I368" s="1110">
        <v>8</v>
      </c>
      <c r="J368" s="1110"/>
      <c r="K368" s="1110"/>
      <c r="L368" s="1109">
        <v>0.29166666666666669</v>
      </c>
      <c r="M368" s="1109">
        <v>0.125</v>
      </c>
      <c r="N368" s="1110">
        <v>8</v>
      </c>
      <c r="O368" s="1110"/>
      <c r="P368" s="1110"/>
      <c r="Q368" s="1109">
        <v>0.29166666666666669</v>
      </c>
      <c r="R368" s="1109"/>
      <c r="S368" s="1110">
        <v>8</v>
      </c>
      <c r="T368" s="1110"/>
      <c r="U368" s="1110"/>
      <c r="V368" s="1109">
        <v>0.29166666666666669</v>
      </c>
      <c r="W368" s="1109"/>
      <c r="X368" s="1110">
        <v>8</v>
      </c>
      <c r="Y368" s="1110"/>
      <c r="Z368" s="1111">
        <v>40</v>
      </c>
      <c r="AA368" s="1104">
        <v>0.25</v>
      </c>
      <c r="AB368" s="941"/>
      <c r="AC368" s="1006"/>
      <c r="AD368" s="1006"/>
      <c r="AE368" s="1071"/>
      <c r="AF368" s="941"/>
      <c r="AG368" s="1006"/>
      <c r="AH368" s="1006"/>
      <c r="AI368" s="1071"/>
      <c r="AJ368" s="1041">
        <v>0</v>
      </c>
      <c r="AK368" s="941"/>
      <c r="AL368" s="943"/>
      <c r="AM368" s="940"/>
      <c r="AN368" s="954"/>
      <c r="AO368" s="954"/>
      <c r="AP368" s="954"/>
      <c r="AQ368" s="954"/>
      <c r="AR368" s="954"/>
      <c r="AS368" s="954"/>
    </row>
    <row r="369" spans="1:45" ht="13.5" customHeight="1">
      <c r="A369" s="1016" t="s">
        <v>61</v>
      </c>
      <c r="B369" s="1112"/>
      <c r="C369" s="1112"/>
      <c r="D369" s="1113">
        <v>109</v>
      </c>
      <c r="E369" s="1114"/>
      <c r="F369" s="1112"/>
      <c r="G369" s="1112"/>
      <c r="H369" s="1112"/>
      <c r="I369" s="1113">
        <v>109</v>
      </c>
      <c r="J369" s="1114"/>
      <c r="K369" s="1112"/>
      <c r="L369" s="1112"/>
      <c r="M369" s="1112"/>
      <c r="N369" s="1113">
        <v>109</v>
      </c>
      <c r="O369" s="1114">
        <v>1</v>
      </c>
      <c r="P369" s="1112"/>
      <c r="Q369" s="1112"/>
      <c r="R369" s="1112"/>
      <c r="S369" s="1113">
        <v>109</v>
      </c>
      <c r="T369" s="1114"/>
      <c r="U369" s="1112"/>
      <c r="V369" s="1112"/>
      <c r="W369" s="1112"/>
      <c r="X369" s="1113">
        <v>109</v>
      </c>
      <c r="Y369" s="1114">
        <v>0.5</v>
      </c>
      <c r="Z369" s="1115">
        <v>545</v>
      </c>
      <c r="AA369" s="1097">
        <v>1.5</v>
      </c>
      <c r="AB369" s="1098"/>
      <c r="AC369" s="1099"/>
      <c r="AD369" s="1099"/>
      <c r="AE369" s="1097">
        <v>10.25</v>
      </c>
      <c r="AF369" s="1098"/>
      <c r="AG369" s="1099"/>
      <c r="AH369" s="1099"/>
      <c r="AI369" s="1097">
        <v>0</v>
      </c>
      <c r="AJ369" s="1097">
        <v>10.25</v>
      </c>
      <c r="AK369" s="941"/>
      <c r="AL369" s="943"/>
      <c r="AM369" s="940"/>
      <c r="AN369" s="954"/>
      <c r="AO369" s="954"/>
      <c r="AP369" s="954"/>
      <c r="AQ369" s="954"/>
      <c r="AR369" s="954"/>
      <c r="AS369" s="954"/>
    </row>
    <row r="370" spans="1:45" ht="13.5" customHeight="1">
      <c r="A370" s="1016" t="s">
        <v>1434</v>
      </c>
      <c r="B370" s="1112"/>
      <c r="C370" s="1112"/>
      <c r="D370" s="1113">
        <v>40</v>
      </c>
      <c r="E370" s="1114"/>
      <c r="F370" s="1112"/>
      <c r="G370" s="1112"/>
      <c r="H370" s="1112"/>
      <c r="I370" s="1113">
        <v>40</v>
      </c>
      <c r="J370" s="1114"/>
      <c r="K370" s="1112"/>
      <c r="L370" s="1112"/>
      <c r="M370" s="1112"/>
      <c r="N370" s="1113">
        <v>40</v>
      </c>
      <c r="O370" s="1114"/>
      <c r="P370" s="1112"/>
      <c r="Q370" s="1112"/>
      <c r="R370" s="1112"/>
      <c r="S370" s="1113">
        <v>40</v>
      </c>
      <c r="T370" s="1114"/>
      <c r="U370" s="1112"/>
      <c r="V370" s="1112"/>
      <c r="W370" s="1112"/>
      <c r="X370" s="1113">
        <v>40</v>
      </c>
      <c r="Y370" s="1114"/>
      <c r="Z370" s="1115">
        <v>200</v>
      </c>
      <c r="AA370" s="1097">
        <v>0</v>
      </c>
      <c r="AB370" s="1098"/>
      <c r="AC370" s="1099"/>
      <c r="AD370" s="1099"/>
      <c r="AE370" s="1097"/>
      <c r="AF370" s="1098"/>
      <c r="AG370" s="1099"/>
      <c r="AH370" s="1099"/>
      <c r="AI370" s="1097"/>
      <c r="AJ370" s="1097"/>
      <c r="AK370" s="941"/>
      <c r="AL370" s="943"/>
      <c r="AM370" s="940"/>
      <c r="AN370" s="954"/>
      <c r="AO370" s="954"/>
      <c r="AP370" s="954"/>
      <c r="AQ370" s="954"/>
      <c r="AR370" s="954"/>
      <c r="AS370" s="954"/>
    </row>
    <row r="371" spans="1:45" ht="13.5" customHeight="1">
      <c r="A371" s="1022" t="s">
        <v>64</v>
      </c>
      <c r="B371" s="1006"/>
      <c r="C371" s="1006"/>
      <c r="D371" s="1102">
        <v>4</v>
      </c>
      <c r="E371" s="1102"/>
      <c r="F371" s="1116"/>
      <c r="G371" s="1101"/>
      <c r="H371" s="1101"/>
      <c r="I371" s="1102">
        <v>4</v>
      </c>
      <c r="J371" s="1102"/>
      <c r="K371" s="1106"/>
      <c r="L371" s="1101"/>
      <c r="M371" s="1101"/>
      <c r="N371" s="1102">
        <v>4</v>
      </c>
      <c r="O371" s="1102">
        <v>0.5</v>
      </c>
      <c r="P371" s="1106"/>
      <c r="Q371" s="1101"/>
      <c r="R371" s="1101"/>
      <c r="S371" s="1102">
        <v>4</v>
      </c>
      <c r="T371" s="1102"/>
      <c r="U371" s="1106"/>
      <c r="V371" s="1101"/>
      <c r="W371" s="1101"/>
      <c r="X371" s="1102">
        <v>4</v>
      </c>
      <c r="Y371" s="1102"/>
      <c r="Z371" s="1097">
        <v>20</v>
      </c>
      <c r="AA371" s="1117">
        <v>0.5</v>
      </c>
      <c r="AB371" s="1098"/>
      <c r="AC371" s="1101"/>
      <c r="AD371" s="1101"/>
      <c r="AE371" s="1102">
        <v>4</v>
      </c>
      <c r="AF371" s="1098"/>
      <c r="AG371" s="1101"/>
      <c r="AH371" s="1101"/>
      <c r="AI371" s="1102"/>
      <c r="AJ371" s="1097">
        <v>4</v>
      </c>
      <c r="AK371" s="941"/>
      <c r="AL371" s="943"/>
      <c r="AM371" s="940"/>
      <c r="AN371" s="954"/>
      <c r="AO371" s="954"/>
      <c r="AP371" s="954"/>
      <c r="AQ371" s="954"/>
      <c r="AR371" s="954"/>
      <c r="AS371" s="954"/>
    </row>
    <row r="372" spans="1:45" ht="13.5" customHeight="1">
      <c r="A372" s="1026" t="s">
        <v>66</v>
      </c>
      <c r="B372" s="1027"/>
      <c r="C372" s="1027"/>
      <c r="D372" s="1116"/>
      <c r="E372" s="1116"/>
      <c r="F372" s="1116"/>
      <c r="G372" s="1116"/>
      <c r="H372" s="1116"/>
      <c r="I372" s="1116"/>
      <c r="J372" s="1116"/>
      <c r="K372" s="1116"/>
      <c r="L372" s="1116"/>
      <c r="M372" s="1116"/>
      <c r="N372" s="1116"/>
      <c r="O372" s="1116"/>
      <c r="P372" s="1116"/>
      <c r="Q372" s="1116"/>
      <c r="R372" s="1116"/>
      <c r="S372" s="1116"/>
      <c r="T372" s="1116"/>
      <c r="U372" s="1116"/>
      <c r="V372" s="1116"/>
      <c r="W372" s="1116"/>
      <c r="X372" s="1116"/>
      <c r="Y372" s="1116"/>
      <c r="Z372" s="1097">
        <v>20</v>
      </c>
      <c r="AA372" s="1097">
        <v>0.5</v>
      </c>
      <c r="AB372" s="1098"/>
      <c r="AC372" s="1118"/>
      <c r="AD372" s="1118"/>
      <c r="AE372" s="1118"/>
      <c r="AF372" s="1098"/>
      <c r="AG372" s="1118"/>
      <c r="AH372" s="1118"/>
      <c r="AI372" s="1118"/>
      <c r="AJ372" s="1097">
        <v>4</v>
      </c>
      <c r="AK372" s="941"/>
      <c r="AL372" s="943"/>
      <c r="AM372" s="940"/>
      <c r="AN372" s="1021"/>
      <c r="AO372" s="954"/>
      <c r="AP372" s="954"/>
      <c r="AQ372" s="954"/>
      <c r="AR372" s="954"/>
      <c r="AS372" s="954"/>
    </row>
    <row r="373" spans="1:45" ht="13.5" customHeight="1">
      <c r="A373" s="1029" t="s">
        <v>67</v>
      </c>
      <c r="B373" s="1030">
        <v>89</v>
      </c>
      <c r="C373" s="1030"/>
      <c r="D373" s="1031"/>
      <c r="E373" s="1031"/>
      <c r="F373" s="1030"/>
      <c r="G373" s="1031"/>
      <c r="H373" s="1031"/>
      <c r="I373" s="1031"/>
      <c r="J373" s="1031"/>
      <c r="K373" s="1030"/>
      <c r="L373" s="1030"/>
      <c r="M373" s="1030"/>
      <c r="N373" s="1030"/>
      <c r="O373" s="1031"/>
      <c r="P373" s="1030"/>
      <c r="Q373" s="1030"/>
      <c r="R373" s="1030"/>
      <c r="S373" s="1030"/>
      <c r="T373" s="1031"/>
      <c r="U373" s="1030"/>
      <c r="V373" s="1030"/>
      <c r="W373" s="1030"/>
      <c r="X373" s="1032"/>
      <c r="Y373" s="1031"/>
      <c r="Z373" s="1033"/>
      <c r="AA373" s="1031"/>
      <c r="AB373" s="1033"/>
      <c r="AC373" s="1033"/>
      <c r="AD373" s="1033"/>
      <c r="AE373" s="1033"/>
      <c r="AF373" s="1033"/>
      <c r="AG373" s="1033"/>
      <c r="AH373" s="1033"/>
      <c r="AI373" s="1033"/>
      <c r="AJ373" s="1033"/>
      <c r="AK373" s="941"/>
      <c r="AL373" s="943"/>
      <c r="AM373" s="940"/>
      <c r="AN373" s="1021"/>
      <c r="AO373" s="954"/>
      <c r="AP373" s="954"/>
      <c r="AQ373" s="954"/>
      <c r="AR373" s="954"/>
      <c r="AS373" s="954"/>
    </row>
    <row r="374" spans="1:45" ht="13.5" customHeight="1">
      <c r="A374" s="940"/>
      <c r="B374" s="940"/>
      <c r="C374" s="940"/>
      <c r="D374" s="941"/>
      <c r="E374" s="942"/>
      <c r="F374" s="941"/>
      <c r="G374" s="940"/>
      <c r="H374" s="940"/>
      <c r="I374" s="941"/>
      <c r="J374" s="942"/>
      <c r="K374" s="941"/>
      <c r="L374" s="940"/>
      <c r="M374" s="940"/>
      <c r="N374" s="941"/>
      <c r="O374" s="942"/>
      <c r="P374" s="941"/>
      <c r="Q374" s="940"/>
      <c r="R374" s="940"/>
      <c r="S374" s="941"/>
      <c r="T374" s="942"/>
      <c r="U374" s="941"/>
      <c r="V374" s="940"/>
      <c r="W374" s="940"/>
      <c r="X374" s="941"/>
      <c r="Y374" s="942"/>
      <c r="Z374" s="941"/>
      <c r="AA374" s="941"/>
      <c r="AB374" s="941"/>
      <c r="AC374" s="940"/>
      <c r="AD374" s="940"/>
      <c r="AE374" s="940"/>
      <c r="AF374" s="941"/>
      <c r="AG374" s="940"/>
      <c r="AH374" s="940"/>
      <c r="AI374" s="940"/>
      <c r="AJ374" s="940"/>
      <c r="AK374" s="941"/>
      <c r="AL374" s="943"/>
      <c r="AM374" s="940"/>
      <c r="AN374" s="954"/>
      <c r="AO374" s="954"/>
      <c r="AP374" s="954"/>
      <c r="AQ374" s="954"/>
      <c r="AR374" s="954"/>
      <c r="AS374" s="954"/>
    </row>
    <row r="375" spans="1:45" ht="13.5" customHeight="1">
      <c r="A375" s="974"/>
      <c r="B375" s="975"/>
      <c r="C375" s="975"/>
      <c r="D375" s="976"/>
      <c r="E375" s="976"/>
      <c r="F375" s="975"/>
      <c r="G375" s="976"/>
      <c r="H375" s="976"/>
      <c r="I375" s="976"/>
      <c r="J375" s="976"/>
      <c r="K375" s="975"/>
      <c r="L375" s="975"/>
      <c r="M375" s="975"/>
      <c r="N375" s="975"/>
      <c r="O375" s="976"/>
      <c r="P375" s="975"/>
      <c r="Q375" s="975"/>
      <c r="R375" s="975"/>
      <c r="S375" s="975"/>
      <c r="T375" s="976"/>
      <c r="U375" s="975"/>
      <c r="V375" s="975"/>
      <c r="W375" s="975"/>
      <c r="X375" s="977"/>
      <c r="Y375" s="976"/>
      <c r="Z375" s="978"/>
      <c r="AA375" s="976"/>
      <c r="AB375" s="979"/>
      <c r="AC375" s="980"/>
      <c r="AD375" s="943"/>
      <c r="AE375" s="943"/>
      <c r="AF375" s="979"/>
      <c r="AG375" s="980"/>
      <c r="AH375" s="943"/>
      <c r="AI375" s="943"/>
      <c r="AJ375" s="943"/>
      <c r="AK375" s="943"/>
      <c r="AL375" s="943"/>
      <c r="AM375" s="943"/>
      <c r="AN375" s="943"/>
      <c r="AO375" s="943"/>
      <c r="AP375" s="943"/>
      <c r="AQ375" s="943"/>
      <c r="AR375" s="943"/>
      <c r="AS375" s="943"/>
    </row>
    <row r="376" spans="1:45" ht="13.5" customHeight="1">
      <c r="A376" s="940"/>
      <c r="B376" s="940"/>
      <c r="C376" s="940"/>
      <c r="D376" s="941"/>
      <c r="E376" s="942"/>
      <c r="F376" s="941"/>
      <c r="G376" s="940"/>
      <c r="H376" s="940"/>
      <c r="I376" s="941"/>
      <c r="J376" s="942"/>
      <c r="K376" s="941"/>
      <c r="L376" s="940"/>
      <c r="M376" s="940"/>
      <c r="N376" s="941"/>
      <c r="O376" s="942"/>
      <c r="P376" s="941"/>
      <c r="Q376" s="940"/>
      <c r="R376" s="940"/>
      <c r="S376" s="941"/>
      <c r="T376" s="942"/>
      <c r="U376" s="941"/>
      <c r="V376" s="940"/>
      <c r="W376" s="940"/>
      <c r="X376" s="941"/>
      <c r="Y376" s="942"/>
      <c r="Z376" s="941"/>
      <c r="AA376" s="941"/>
      <c r="AB376" s="941"/>
      <c r="AC376" s="940"/>
      <c r="AD376" s="940"/>
      <c r="AE376" s="940"/>
      <c r="AF376" s="941"/>
      <c r="AG376" s="940"/>
      <c r="AH376" s="940"/>
      <c r="AI376" s="940"/>
      <c r="AJ376" s="940"/>
      <c r="AK376" s="941"/>
      <c r="AL376" s="943"/>
      <c r="AM376" s="940"/>
      <c r="AN376" s="954"/>
      <c r="AO376" s="954"/>
      <c r="AP376" s="954"/>
      <c r="AQ376" s="954"/>
      <c r="AR376" s="954"/>
      <c r="AS376" s="954"/>
    </row>
    <row r="377" spans="1:45" ht="13.5" customHeight="1">
      <c r="A377" s="1592" t="s">
        <v>18</v>
      </c>
      <c r="B377" s="1588">
        <v>45915</v>
      </c>
      <c r="C377" s="1588"/>
      <c r="D377" s="1588" t="s">
        <v>564</v>
      </c>
      <c r="E377" s="1588"/>
      <c r="F377" s="981"/>
      <c r="G377" s="1588">
        <v>45916</v>
      </c>
      <c r="H377" s="1588"/>
      <c r="I377" s="1588" t="s">
        <v>565</v>
      </c>
      <c r="J377" s="1588"/>
      <c r="K377" s="981"/>
      <c r="L377" s="1588">
        <v>45917</v>
      </c>
      <c r="M377" s="1588"/>
      <c r="N377" s="1588" t="s">
        <v>566</v>
      </c>
      <c r="O377" s="1588"/>
      <c r="P377" s="981"/>
      <c r="Q377" s="1588">
        <v>45918</v>
      </c>
      <c r="R377" s="1588"/>
      <c r="S377" s="1588" t="s">
        <v>567</v>
      </c>
      <c r="T377" s="1588"/>
      <c r="U377" s="981"/>
      <c r="V377" s="1588">
        <v>45919</v>
      </c>
      <c r="W377" s="1588"/>
      <c r="X377" s="1588" t="s">
        <v>568</v>
      </c>
      <c r="Y377" s="1588"/>
      <c r="Z377" s="1589" t="s">
        <v>19</v>
      </c>
      <c r="AA377" s="1589" t="s">
        <v>20</v>
      </c>
      <c r="AB377" s="941"/>
      <c r="AC377" s="1588">
        <v>45920</v>
      </c>
      <c r="AD377" s="1588"/>
      <c r="AE377" s="982" t="s">
        <v>569</v>
      </c>
      <c r="AF377" s="941"/>
      <c r="AG377" s="1588">
        <v>45921</v>
      </c>
      <c r="AH377" s="1588"/>
      <c r="AI377" s="982" t="s">
        <v>570</v>
      </c>
      <c r="AJ377" s="1589" t="s">
        <v>1420</v>
      </c>
      <c r="AK377" s="941"/>
      <c r="AL377" s="984"/>
      <c r="AM377" s="940"/>
      <c r="AN377" s="985" t="s">
        <v>84</v>
      </c>
      <c r="AO377" s="986"/>
      <c r="AP377" s="986"/>
      <c r="AQ377" s="986"/>
      <c r="AR377" s="986"/>
      <c r="AS377" s="986"/>
    </row>
    <row r="378" spans="1:45" ht="13.5" customHeight="1">
      <c r="A378" s="1592"/>
      <c r="B378" s="987" t="s">
        <v>23</v>
      </c>
      <c r="C378" s="987" t="s">
        <v>24</v>
      </c>
      <c r="D378" s="988" t="s">
        <v>25</v>
      </c>
      <c r="E378" s="989" t="s">
        <v>14</v>
      </c>
      <c r="F378" s="941"/>
      <c r="G378" s="987" t="s">
        <v>23</v>
      </c>
      <c r="H378" s="987" t="s">
        <v>24</v>
      </c>
      <c r="I378" s="990" t="s">
        <v>25</v>
      </c>
      <c r="J378" s="989" t="s">
        <v>14</v>
      </c>
      <c r="K378" s="941"/>
      <c r="L378" s="987" t="s">
        <v>23</v>
      </c>
      <c r="M378" s="987" t="s">
        <v>24</v>
      </c>
      <c r="N378" s="990" t="s">
        <v>25</v>
      </c>
      <c r="O378" s="989" t="s">
        <v>14</v>
      </c>
      <c r="P378" s="941"/>
      <c r="Q378" s="987" t="s">
        <v>23</v>
      </c>
      <c r="R378" s="987" t="s">
        <v>24</v>
      </c>
      <c r="S378" s="990" t="s">
        <v>25</v>
      </c>
      <c r="T378" s="989" t="s">
        <v>14</v>
      </c>
      <c r="U378" s="941"/>
      <c r="V378" s="987" t="s">
        <v>23</v>
      </c>
      <c r="W378" s="987" t="s">
        <v>24</v>
      </c>
      <c r="X378" s="990" t="s">
        <v>25</v>
      </c>
      <c r="Y378" s="989" t="s">
        <v>14</v>
      </c>
      <c r="Z378" s="1589"/>
      <c r="AA378" s="1589"/>
      <c r="AB378" s="941"/>
      <c r="AC378" s="987" t="s">
        <v>23</v>
      </c>
      <c r="AD378" s="987" t="s">
        <v>24</v>
      </c>
      <c r="AE378" s="990" t="s">
        <v>25</v>
      </c>
      <c r="AF378" s="941"/>
      <c r="AG378" s="987" t="s">
        <v>23</v>
      </c>
      <c r="AH378" s="987" t="s">
        <v>24</v>
      </c>
      <c r="AI378" s="990" t="s">
        <v>25</v>
      </c>
      <c r="AJ378" s="1589"/>
      <c r="AK378" s="941"/>
      <c r="AL378" s="984"/>
      <c r="AM378" s="991"/>
      <c r="AN378" s="992" t="s">
        <v>26</v>
      </c>
      <c r="AO378" s="993">
        <v>541</v>
      </c>
      <c r="AP378" s="994">
        <v>40.31</v>
      </c>
      <c r="AQ378" s="994">
        <f>AP378*AO378</f>
        <v>21807.710000000003</v>
      </c>
      <c r="AR378" s="954"/>
      <c r="AS378" s="954"/>
    </row>
    <row r="379" spans="1:45" ht="13.5" customHeight="1">
      <c r="A379" s="1006" t="s">
        <v>72</v>
      </c>
      <c r="B379" s="1107">
        <v>0.29166666666666669</v>
      </c>
      <c r="C379" s="1107">
        <v>0.125</v>
      </c>
      <c r="D379" s="1108">
        <v>8</v>
      </c>
      <c r="E379" s="1114"/>
      <c r="F379" s="1119"/>
      <c r="G379" s="1107">
        <v>0.29166666666666669</v>
      </c>
      <c r="H379" s="1107">
        <v>0.125</v>
      </c>
      <c r="I379" s="1108">
        <v>8</v>
      </c>
      <c r="J379" s="1114"/>
      <c r="K379" s="1119"/>
      <c r="L379" s="1107">
        <v>0.29166666666666669</v>
      </c>
      <c r="M379" s="1107">
        <v>0.125</v>
      </c>
      <c r="N379" s="1108">
        <v>8</v>
      </c>
      <c r="O379" s="1114"/>
      <c r="P379" s="1119"/>
      <c r="Q379" s="1107">
        <v>0.29166666666666669</v>
      </c>
      <c r="R379" s="1107">
        <v>0.125</v>
      </c>
      <c r="S379" s="1108">
        <v>8</v>
      </c>
      <c r="T379" s="1114"/>
      <c r="U379" s="1119"/>
      <c r="V379" s="1107">
        <v>0.29166666666666669</v>
      </c>
      <c r="W379" s="1107">
        <v>0.125</v>
      </c>
      <c r="X379" s="1108">
        <v>8</v>
      </c>
      <c r="Y379" s="1114"/>
      <c r="Z379" s="1115">
        <v>40</v>
      </c>
      <c r="AA379" s="1120">
        <v>0</v>
      </c>
      <c r="AB379" s="1119"/>
      <c r="AC379" s="1121"/>
      <c r="AD379" s="1121"/>
      <c r="AE379" s="1108"/>
      <c r="AF379" s="1119"/>
      <c r="AG379" s="1121"/>
      <c r="AH379" s="1121"/>
      <c r="AI379" s="1108"/>
      <c r="AJ379" s="1115">
        <v>0</v>
      </c>
      <c r="AK379" s="941"/>
      <c r="AL379" s="984"/>
      <c r="AM379" s="991"/>
      <c r="AN379" s="992" t="s">
        <v>1421</v>
      </c>
      <c r="AO379" s="1005">
        <v>191.75</v>
      </c>
      <c r="AP379" s="1007">
        <v>60.47</v>
      </c>
      <c r="AQ379" s="994">
        <f>AP379*AO379</f>
        <v>11595.122499999999</v>
      </c>
      <c r="AR379" s="954"/>
      <c r="AS379" s="954"/>
    </row>
    <row r="380" spans="1:45" ht="13.5" customHeight="1">
      <c r="A380" s="1009" t="s">
        <v>1166</v>
      </c>
      <c r="B380" s="1107">
        <v>0.29166666666666669</v>
      </c>
      <c r="C380" s="1107">
        <v>0.125</v>
      </c>
      <c r="D380" s="1108">
        <v>8</v>
      </c>
      <c r="E380" s="1114"/>
      <c r="F380" s="1119"/>
      <c r="G380" s="1107">
        <v>0.29166666666666669</v>
      </c>
      <c r="H380" s="1107">
        <v>0.125</v>
      </c>
      <c r="I380" s="1108">
        <v>8</v>
      </c>
      <c r="J380" s="1114"/>
      <c r="K380" s="1119"/>
      <c r="L380" s="1107">
        <v>0.29166666666666669</v>
      </c>
      <c r="M380" s="1107">
        <v>0.125</v>
      </c>
      <c r="N380" s="1108">
        <v>8</v>
      </c>
      <c r="O380" s="1114"/>
      <c r="P380" s="1119"/>
      <c r="Q380" s="1107">
        <v>0.29166666666666669</v>
      </c>
      <c r="R380" s="1107">
        <v>0.125</v>
      </c>
      <c r="S380" s="1108">
        <v>8</v>
      </c>
      <c r="T380" s="1114"/>
      <c r="U380" s="1119"/>
      <c r="V380" s="1107">
        <v>0.29166666666666669</v>
      </c>
      <c r="W380" s="1107">
        <v>0.125</v>
      </c>
      <c r="X380" s="1108">
        <v>8</v>
      </c>
      <c r="Y380" s="1114"/>
      <c r="Z380" s="1115">
        <v>40</v>
      </c>
      <c r="AA380" s="1120">
        <v>0</v>
      </c>
      <c r="AB380" s="1119"/>
      <c r="AC380" s="1107"/>
      <c r="AD380" s="1107"/>
      <c r="AE380" s="1108"/>
      <c r="AF380" s="1119"/>
      <c r="AG380" s="1107"/>
      <c r="AH380" s="1107"/>
      <c r="AI380" s="1108"/>
      <c r="AJ380" s="1115">
        <v>0</v>
      </c>
      <c r="AK380" s="941"/>
      <c r="AL380" s="943"/>
      <c r="AM380" s="940"/>
      <c r="AN380" s="992" t="s">
        <v>30</v>
      </c>
      <c r="AO380" s="1005">
        <v>7</v>
      </c>
      <c r="AP380" s="1007">
        <v>60.465000000000003</v>
      </c>
      <c r="AQ380" s="994">
        <f t="shared" ref="AQ380" si="10">AP380*AO380</f>
        <v>423.255</v>
      </c>
      <c r="AR380" s="954"/>
      <c r="AS380" s="954"/>
    </row>
    <row r="381" spans="1:45" ht="13.5" customHeight="1">
      <c r="A381" s="1009" t="s">
        <v>1425</v>
      </c>
      <c r="B381" s="1107">
        <v>0.29166666666666669</v>
      </c>
      <c r="C381" s="1107">
        <v>0.125</v>
      </c>
      <c r="D381" s="1108">
        <v>8</v>
      </c>
      <c r="E381" s="1114"/>
      <c r="F381" s="1119"/>
      <c r="G381" s="1107">
        <v>0.29166666666666669</v>
      </c>
      <c r="H381" s="1107">
        <v>0.125</v>
      </c>
      <c r="I381" s="1108">
        <v>8</v>
      </c>
      <c r="J381" s="1114"/>
      <c r="K381" s="1119"/>
      <c r="L381" s="1107">
        <v>0.29166666666666669</v>
      </c>
      <c r="M381" s="1107">
        <v>0.125</v>
      </c>
      <c r="N381" s="1108">
        <v>8</v>
      </c>
      <c r="O381" s="1114"/>
      <c r="P381" s="1119"/>
      <c r="Q381" s="1107">
        <v>0.29166666666666669</v>
      </c>
      <c r="R381" s="1107">
        <v>0.125</v>
      </c>
      <c r="S381" s="1108">
        <v>8</v>
      </c>
      <c r="T381" s="1114"/>
      <c r="U381" s="1119"/>
      <c r="V381" s="1107">
        <v>0.29166666666666669</v>
      </c>
      <c r="W381" s="1107">
        <v>0.125</v>
      </c>
      <c r="X381" s="1108">
        <v>8</v>
      </c>
      <c r="Y381" s="1114"/>
      <c r="Z381" s="1115">
        <v>40</v>
      </c>
      <c r="AA381" s="1120">
        <v>0</v>
      </c>
      <c r="AB381" s="1119"/>
      <c r="AC381" s="1107"/>
      <c r="AD381" s="1107"/>
      <c r="AE381" s="1108"/>
      <c r="AF381" s="1119"/>
      <c r="AG381" s="1107"/>
      <c r="AH381" s="1107"/>
      <c r="AI381" s="1108"/>
      <c r="AJ381" s="1115">
        <v>0</v>
      </c>
      <c r="AK381" s="941"/>
      <c r="AL381" s="943"/>
      <c r="AM381" s="940"/>
      <c r="AN381" s="992" t="s">
        <v>32</v>
      </c>
      <c r="AO381" s="1005">
        <v>6</v>
      </c>
      <c r="AP381" s="994">
        <v>60.465000000000003</v>
      </c>
      <c r="AQ381" s="994">
        <f>AP381*AO381</f>
        <v>362.79</v>
      </c>
      <c r="AR381" s="954"/>
      <c r="AS381" s="954"/>
    </row>
    <row r="382" spans="1:45" ht="13.5" customHeight="1">
      <c r="A382" s="1009" t="s">
        <v>1426</v>
      </c>
      <c r="B382" s="1107">
        <v>0.29166666666666669</v>
      </c>
      <c r="C382" s="1107">
        <v>0.125</v>
      </c>
      <c r="D382" s="1108">
        <v>8</v>
      </c>
      <c r="E382" s="1114"/>
      <c r="F382" s="1119"/>
      <c r="G382" s="1107">
        <v>0.29166666666666669</v>
      </c>
      <c r="H382" s="1107">
        <v>0.125</v>
      </c>
      <c r="I382" s="1108">
        <v>8</v>
      </c>
      <c r="J382" s="1114"/>
      <c r="K382" s="1119"/>
      <c r="L382" s="1107">
        <v>0.29166666666666669</v>
      </c>
      <c r="M382" s="1107">
        <v>0.125</v>
      </c>
      <c r="N382" s="1108">
        <v>8</v>
      </c>
      <c r="O382" s="1114"/>
      <c r="P382" s="1119"/>
      <c r="Q382" s="1107">
        <v>0.29166666666666669</v>
      </c>
      <c r="R382" s="1107">
        <v>0.125</v>
      </c>
      <c r="S382" s="1108">
        <v>8</v>
      </c>
      <c r="T382" s="1114"/>
      <c r="U382" s="1119"/>
      <c r="V382" s="1107">
        <v>0.29166666666666669</v>
      </c>
      <c r="W382" s="1107">
        <v>0.125</v>
      </c>
      <c r="X382" s="1108">
        <v>8</v>
      </c>
      <c r="Y382" s="1114"/>
      <c r="Z382" s="1115">
        <v>40</v>
      </c>
      <c r="AA382" s="1120">
        <v>0</v>
      </c>
      <c r="AB382" s="1119"/>
      <c r="AC382" s="1107"/>
      <c r="AD382" s="1107"/>
      <c r="AE382" s="1108"/>
      <c r="AF382" s="1119"/>
      <c r="AG382" s="1107"/>
      <c r="AH382" s="1107"/>
      <c r="AI382" s="1108"/>
      <c r="AJ382" s="1115">
        <v>0</v>
      </c>
      <c r="AK382" s="941"/>
      <c r="AL382" s="943"/>
      <c r="AM382" s="940"/>
      <c r="AN382" s="1010" t="s">
        <v>213</v>
      </c>
      <c r="AO382" s="993">
        <v>20</v>
      </c>
      <c r="AP382" s="994">
        <v>53.05</v>
      </c>
      <c r="AQ382" s="994">
        <f>AP382*AO382</f>
        <v>1061</v>
      </c>
      <c r="AR382" s="954"/>
      <c r="AS382" s="954"/>
    </row>
    <row r="383" spans="1:45" ht="13.5" customHeight="1">
      <c r="A383" s="1009" t="s">
        <v>1066</v>
      </c>
      <c r="B383" s="1107">
        <v>0.29166666666666669</v>
      </c>
      <c r="C383" s="1107">
        <v>0.125</v>
      </c>
      <c r="D383" s="1108">
        <v>8</v>
      </c>
      <c r="E383" s="1114"/>
      <c r="F383" s="1119"/>
      <c r="G383" s="1107">
        <v>0.29166666666666669</v>
      </c>
      <c r="H383" s="1107">
        <v>0.125</v>
      </c>
      <c r="I383" s="1108">
        <v>8</v>
      </c>
      <c r="J383" s="1114"/>
      <c r="K383" s="1119"/>
      <c r="L383" s="1107">
        <v>0.29166666666666669</v>
      </c>
      <c r="M383" s="1107">
        <v>0.125</v>
      </c>
      <c r="N383" s="1108">
        <v>8</v>
      </c>
      <c r="O383" s="1114"/>
      <c r="P383" s="1119"/>
      <c r="Q383" s="1107">
        <v>0.29166666666666669</v>
      </c>
      <c r="R383" s="1107">
        <v>0.125</v>
      </c>
      <c r="S383" s="1108">
        <v>8</v>
      </c>
      <c r="T383" s="1114"/>
      <c r="U383" s="1119"/>
      <c r="V383" s="1107">
        <v>0.29166666666666669</v>
      </c>
      <c r="W383" s="1107">
        <v>0.125</v>
      </c>
      <c r="X383" s="1108">
        <v>8</v>
      </c>
      <c r="Y383" s="1114"/>
      <c r="Z383" s="1115">
        <v>40</v>
      </c>
      <c r="AA383" s="1120">
        <v>0</v>
      </c>
      <c r="AB383" s="1119"/>
      <c r="AC383" s="1107"/>
      <c r="AD383" s="1107"/>
      <c r="AE383" s="1108"/>
      <c r="AF383" s="1119"/>
      <c r="AG383" s="1107"/>
      <c r="AH383" s="1107"/>
      <c r="AI383" s="1108"/>
      <c r="AJ383" s="1115">
        <v>0</v>
      </c>
      <c r="AK383" s="941"/>
      <c r="AL383" s="943"/>
      <c r="AM383" s="940"/>
      <c r="AN383" s="992" t="s">
        <v>36</v>
      </c>
      <c r="AO383" s="1005">
        <v>0</v>
      </c>
      <c r="AP383" s="994">
        <v>79.574999999999989</v>
      </c>
      <c r="AQ383" s="994">
        <f>AP383*AO383</f>
        <v>0</v>
      </c>
      <c r="AR383" s="954"/>
      <c r="AS383" s="954"/>
    </row>
    <row r="384" spans="1:45" ht="13.5" customHeight="1">
      <c r="A384" s="1009" t="s">
        <v>1427</v>
      </c>
      <c r="B384" s="1107">
        <v>0.29166666666666669</v>
      </c>
      <c r="C384" s="1107">
        <v>0.125</v>
      </c>
      <c r="D384" s="1108">
        <v>8</v>
      </c>
      <c r="E384" s="1114"/>
      <c r="F384" s="1119"/>
      <c r="G384" s="1122"/>
      <c r="H384" s="1122"/>
      <c r="I384" s="1108">
        <v>0</v>
      </c>
      <c r="J384" s="1114"/>
      <c r="K384" s="1119"/>
      <c r="L384" s="1107"/>
      <c r="M384" s="1107">
        <v>0.125</v>
      </c>
      <c r="N384" s="1108">
        <v>8</v>
      </c>
      <c r="O384" s="1114"/>
      <c r="P384" s="1119"/>
      <c r="Q384" s="1107">
        <v>0.29166666666666669</v>
      </c>
      <c r="R384" s="1107">
        <v>0.125</v>
      </c>
      <c r="S384" s="1108">
        <v>8</v>
      </c>
      <c r="T384" s="1114"/>
      <c r="U384" s="1119"/>
      <c r="V384" s="1107">
        <v>0.29166666666666669</v>
      </c>
      <c r="W384" s="1107"/>
      <c r="X384" s="1108">
        <v>8</v>
      </c>
      <c r="Y384" s="1114"/>
      <c r="Z384" s="1115">
        <v>32</v>
      </c>
      <c r="AA384" s="1120">
        <v>0</v>
      </c>
      <c r="AB384" s="1119"/>
      <c r="AC384" s="1107"/>
      <c r="AD384" s="1107"/>
      <c r="AE384" s="1108"/>
      <c r="AF384" s="1119"/>
      <c r="AG384" s="1107"/>
      <c r="AH384" s="1107"/>
      <c r="AI384" s="1108"/>
      <c r="AJ384" s="1115">
        <v>0</v>
      </c>
      <c r="AK384" s="941"/>
      <c r="AL384" s="943"/>
      <c r="AM384" s="940"/>
      <c r="AN384" s="992" t="s">
        <v>38</v>
      </c>
      <c r="AO384" s="1005">
        <v>7.75</v>
      </c>
      <c r="AP384" s="994">
        <v>79.574999999999989</v>
      </c>
      <c r="AQ384" s="994">
        <f>AP384*AO384</f>
        <v>616.70624999999995</v>
      </c>
      <c r="AR384" s="954"/>
      <c r="AS384" s="954"/>
    </row>
    <row r="385" spans="1:45" ht="13.5" customHeight="1">
      <c r="A385" s="1009" t="s">
        <v>1428</v>
      </c>
      <c r="B385" s="1107">
        <v>0.125</v>
      </c>
      <c r="C385" s="1107">
        <v>0.45833333333333331</v>
      </c>
      <c r="D385" s="1108">
        <v>8</v>
      </c>
      <c r="E385" s="1114"/>
      <c r="F385" s="1119"/>
      <c r="G385" s="1107">
        <v>0.125</v>
      </c>
      <c r="H385" s="1107">
        <v>0.45833333333333331</v>
      </c>
      <c r="I385" s="1108">
        <v>8</v>
      </c>
      <c r="J385" s="1114"/>
      <c r="K385" s="1119"/>
      <c r="L385" s="1107">
        <v>0.125</v>
      </c>
      <c r="M385" s="1107">
        <v>0.45833333333333331</v>
      </c>
      <c r="N385" s="1108">
        <v>8</v>
      </c>
      <c r="O385" s="1114"/>
      <c r="P385" s="1119"/>
      <c r="Q385" s="1107">
        <v>0.125</v>
      </c>
      <c r="R385" s="1107">
        <v>0.45833333333333331</v>
      </c>
      <c r="S385" s="1108">
        <v>8</v>
      </c>
      <c r="T385" s="1114"/>
      <c r="U385" s="1119"/>
      <c r="V385" s="1107">
        <v>0.125</v>
      </c>
      <c r="W385" s="1107">
        <v>0.45833333333333331</v>
      </c>
      <c r="X385" s="1108">
        <v>8</v>
      </c>
      <c r="Y385" s="1114"/>
      <c r="Z385" s="1115">
        <v>40</v>
      </c>
      <c r="AA385" s="1120">
        <v>0</v>
      </c>
      <c r="AB385" s="1119"/>
      <c r="AC385" s="1107"/>
      <c r="AD385" s="1107"/>
      <c r="AE385" s="1108"/>
      <c r="AF385" s="1119"/>
      <c r="AG385" s="1107"/>
      <c r="AH385" s="1107"/>
      <c r="AI385" s="1108"/>
      <c r="AJ385" s="1115">
        <v>0</v>
      </c>
      <c r="AK385" s="941"/>
      <c r="AL385" s="943"/>
      <c r="AM385" s="940"/>
      <c r="AN385" s="954"/>
      <c r="AO385" s="1005"/>
      <c r="AP385" s="954"/>
      <c r="AQ385" s="1094">
        <v>35866.583750000005</v>
      </c>
      <c r="AR385" s="954"/>
      <c r="AS385" s="954"/>
    </row>
    <row r="386" spans="1:45" ht="13.5" customHeight="1">
      <c r="A386" s="1009" t="s">
        <v>1142</v>
      </c>
      <c r="B386" s="1107">
        <v>0.125</v>
      </c>
      <c r="C386" s="1107">
        <v>0.45833333333333331</v>
      </c>
      <c r="D386" s="1108">
        <v>8</v>
      </c>
      <c r="E386" s="1114"/>
      <c r="F386" s="1119"/>
      <c r="G386" s="1107">
        <v>0.125</v>
      </c>
      <c r="H386" s="1107">
        <v>0.45833333333333331</v>
      </c>
      <c r="I386" s="1108">
        <v>8</v>
      </c>
      <c r="J386" s="1114"/>
      <c r="K386" s="1123"/>
      <c r="L386" s="1107">
        <v>0.125</v>
      </c>
      <c r="M386" s="1107">
        <v>0.45833333333333331</v>
      </c>
      <c r="N386" s="1108">
        <v>8</v>
      </c>
      <c r="O386" s="1114"/>
      <c r="P386" s="1123"/>
      <c r="Q386" s="1107">
        <v>0.125</v>
      </c>
      <c r="R386" s="1107">
        <v>0.45833333333333331</v>
      </c>
      <c r="S386" s="1108">
        <v>8</v>
      </c>
      <c r="T386" s="1114"/>
      <c r="U386" s="1123"/>
      <c r="V386" s="1107">
        <v>0.125</v>
      </c>
      <c r="W386" s="1107">
        <v>0.45833333333333331</v>
      </c>
      <c r="X386" s="1108">
        <v>8</v>
      </c>
      <c r="Y386" s="1114"/>
      <c r="Z386" s="1115">
        <v>40</v>
      </c>
      <c r="AA386" s="1120">
        <v>0</v>
      </c>
      <c r="AB386" s="1119"/>
      <c r="AC386" s="1107"/>
      <c r="AD386" s="1107"/>
      <c r="AE386" s="1108"/>
      <c r="AF386" s="1119"/>
      <c r="AG386" s="1107"/>
      <c r="AH386" s="1107"/>
      <c r="AI386" s="1108"/>
      <c r="AJ386" s="1115">
        <v>0</v>
      </c>
      <c r="AK386" s="941"/>
      <c r="AL386" s="943"/>
      <c r="AM386" s="940"/>
      <c r="AN386" s="954"/>
      <c r="AO386" s="1005"/>
      <c r="AP386" s="954"/>
      <c r="AQ386" s="954"/>
      <c r="AR386" s="954"/>
      <c r="AS386" s="954"/>
    </row>
    <row r="387" spans="1:45" ht="13.5" customHeight="1">
      <c r="A387" s="1009" t="s">
        <v>1429</v>
      </c>
      <c r="B387" s="1107">
        <v>0.125</v>
      </c>
      <c r="C387" s="1107">
        <v>0.45833333333333331</v>
      </c>
      <c r="D387" s="1108">
        <v>8</v>
      </c>
      <c r="E387" s="1114"/>
      <c r="F387" s="1119"/>
      <c r="G387" s="1107">
        <v>0.125</v>
      </c>
      <c r="H387" s="1107">
        <v>0.45833333333333331</v>
      </c>
      <c r="I387" s="1108">
        <v>8</v>
      </c>
      <c r="J387" s="1114"/>
      <c r="K387" s="1123"/>
      <c r="L387" s="1107">
        <v>0.125</v>
      </c>
      <c r="M387" s="1107">
        <v>0.45833333333333331</v>
      </c>
      <c r="N387" s="1108">
        <v>8</v>
      </c>
      <c r="O387" s="1114"/>
      <c r="P387" s="1123"/>
      <c r="Q387" s="1107">
        <v>0.125</v>
      </c>
      <c r="R387" s="1107">
        <v>0.45833333333333331</v>
      </c>
      <c r="S387" s="1108">
        <v>8</v>
      </c>
      <c r="T387" s="1114"/>
      <c r="U387" s="1123"/>
      <c r="V387" s="1107">
        <v>0.125</v>
      </c>
      <c r="W387" s="1107">
        <v>0.45833333333333331</v>
      </c>
      <c r="X387" s="1108">
        <v>8</v>
      </c>
      <c r="Y387" s="1114"/>
      <c r="Z387" s="1115">
        <v>40</v>
      </c>
      <c r="AA387" s="1120">
        <v>0</v>
      </c>
      <c r="AB387" s="1119"/>
      <c r="AC387" s="1107"/>
      <c r="AD387" s="1107"/>
      <c r="AE387" s="1108"/>
      <c r="AF387" s="1119"/>
      <c r="AG387" s="1107"/>
      <c r="AH387" s="1107"/>
      <c r="AI387" s="1108"/>
      <c r="AJ387" s="1115">
        <v>0</v>
      </c>
      <c r="AK387" s="941"/>
      <c r="AL387" s="943"/>
      <c r="AM387" s="940"/>
      <c r="AN387" s="953" t="s">
        <v>1115</v>
      </c>
      <c r="AO387" s="1005">
        <v>89</v>
      </c>
      <c r="AP387" s="954"/>
      <c r="AQ387" s="954"/>
      <c r="AR387" s="954"/>
      <c r="AS387" s="954"/>
    </row>
    <row r="388" spans="1:45" ht="13.5" customHeight="1">
      <c r="A388" s="1011" t="s">
        <v>1060</v>
      </c>
      <c r="B388" s="1107">
        <v>0.125</v>
      </c>
      <c r="C388" s="1107">
        <v>0.45833333333333331</v>
      </c>
      <c r="D388" s="1108">
        <v>8</v>
      </c>
      <c r="E388" s="1114"/>
      <c r="F388" s="1119"/>
      <c r="G388" s="1122"/>
      <c r="H388" s="1122"/>
      <c r="I388" s="1108">
        <v>0</v>
      </c>
      <c r="J388" s="1114"/>
      <c r="K388" s="1123"/>
      <c r="L388" s="1107">
        <v>0.125</v>
      </c>
      <c r="M388" s="1107">
        <v>0.45833333333333331</v>
      </c>
      <c r="N388" s="1108">
        <v>8</v>
      </c>
      <c r="O388" s="1114"/>
      <c r="P388" s="1123"/>
      <c r="Q388" s="1107">
        <v>0.125</v>
      </c>
      <c r="R388" s="1107">
        <v>0.45833333333333331</v>
      </c>
      <c r="S388" s="1108">
        <v>8</v>
      </c>
      <c r="T388" s="1114"/>
      <c r="U388" s="1123"/>
      <c r="V388" s="1107">
        <v>0.125</v>
      </c>
      <c r="W388" s="1107">
        <v>0.45833333333333331</v>
      </c>
      <c r="X388" s="1108">
        <v>8</v>
      </c>
      <c r="Y388" s="1114"/>
      <c r="Z388" s="1115">
        <v>32</v>
      </c>
      <c r="AA388" s="1120">
        <v>0</v>
      </c>
      <c r="AB388" s="1119"/>
      <c r="AC388" s="1107"/>
      <c r="AD388" s="1107"/>
      <c r="AE388" s="1108"/>
      <c r="AF388" s="1119"/>
      <c r="AG388" s="1107"/>
      <c r="AH388" s="1107"/>
      <c r="AI388" s="1108"/>
      <c r="AJ388" s="1115">
        <v>0</v>
      </c>
      <c r="AK388" s="941"/>
      <c r="AL388" s="943"/>
      <c r="AM388" s="940"/>
      <c r="AN388" s="954"/>
      <c r="AO388" s="954"/>
      <c r="AP388" s="954"/>
      <c r="AQ388" s="954"/>
      <c r="AR388" s="954"/>
      <c r="AS388" s="954"/>
    </row>
    <row r="389" spans="1:45" ht="13.5" customHeight="1">
      <c r="A389" s="941" t="s">
        <v>327</v>
      </c>
      <c r="B389" s="1107">
        <v>0.125</v>
      </c>
      <c r="C389" s="1107">
        <v>0.45833333333333331</v>
      </c>
      <c r="D389" s="1108">
        <v>8</v>
      </c>
      <c r="E389" s="1114"/>
      <c r="F389" s="1123"/>
      <c r="G389" s="1107">
        <v>0.125</v>
      </c>
      <c r="H389" s="1107">
        <v>0.45833333333333331</v>
      </c>
      <c r="I389" s="1108">
        <v>8</v>
      </c>
      <c r="J389" s="1114"/>
      <c r="K389" s="1123"/>
      <c r="L389" s="1107">
        <v>0.125</v>
      </c>
      <c r="M389" s="1107">
        <v>0.45833333333333331</v>
      </c>
      <c r="N389" s="1108">
        <v>8</v>
      </c>
      <c r="O389" s="1114"/>
      <c r="P389" s="1123"/>
      <c r="Q389" s="1107">
        <v>0.125</v>
      </c>
      <c r="R389" s="1107">
        <v>0.45833333333333331</v>
      </c>
      <c r="S389" s="1108">
        <v>8</v>
      </c>
      <c r="T389" s="1114"/>
      <c r="U389" s="1123"/>
      <c r="V389" s="1107">
        <v>0.125</v>
      </c>
      <c r="W389" s="1107"/>
      <c r="X389" s="1108">
        <v>8</v>
      </c>
      <c r="Y389" s="1114"/>
      <c r="Z389" s="1115">
        <v>40</v>
      </c>
      <c r="AA389" s="1120">
        <v>0</v>
      </c>
      <c r="AB389" s="1119"/>
      <c r="AC389" s="1107"/>
      <c r="AD389" s="1107"/>
      <c r="AE389" s="1108"/>
      <c r="AF389" s="1119"/>
      <c r="AG389" s="1107"/>
      <c r="AH389" s="1107"/>
      <c r="AI389" s="1108"/>
      <c r="AJ389" s="1115">
        <v>0</v>
      </c>
      <c r="AK389" s="941"/>
      <c r="AL389" s="943"/>
      <c r="AM389" s="940"/>
      <c r="AN389" s="954"/>
      <c r="AO389" s="954"/>
      <c r="AP389" s="954"/>
      <c r="AQ389" s="954"/>
      <c r="AR389" s="954"/>
      <c r="AS389" s="954"/>
    </row>
    <row r="390" spans="1:45" ht="13.5" customHeight="1">
      <c r="A390" s="1006" t="s">
        <v>1144</v>
      </c>
      <c r="B390" s="1107">
        <v>0.125</v>
      </c>
      <c r="C390" s="1107">
        <v>0.45833333333333331</v>
      </c>
      <c r="D390" s="1108">
        <v>8</v>
      </c>
      <c r="E390" s="1114"/>
      <c r="F390" s="1123"/>
      <c r="G390" s="1107">
        <v>0.125</v>
      </c>
      <c r="H390" s="1107">
        <v>0.45833333333333331</v>
      </c>
      <c r="I390" s="1108">
        <v>8</v>
      </c>
      <c r="J390" s="1114"/>
      <c r="K390" s="1123"/>
      <c r="L390" s="1107">
        <v>0.125</v>
      </c>
      <c r="M390" s="1107">
        <v>0.45833333333333331</v>
      </c>
      <c r="N390" s="1108">
        <v>8</v>
      </c>
      <c r="O390" s="1114"/>
      <c r="P390" s="1123"/>
      <c r="Q390" s="1107">
        <v>0.29166666666666669</v>
      </c>
      <c r="R390" s="1107">
        <v>0.45833333333333331</v>
      </c>
      <c r="S390" s="1108">
        <v>8</v>
      </c>
      <c r="T390" s="1114">
        <v>7</v>
      </c>
      <c r="U390" s="1123"/>
      <c r="V390" s="1107">
        <v>0.125</v>
      </c>
      <c r="W390" s="1107">
        <v>0.45833333333333331</v>
      </c>
      <c r="X390" s="1108">
        <v>8</v>
      </c>
      <c r="Y390" s="1114"/>
      <c r="Z390" s="1115">
        <v>40</v>
      </c>
      <c r="AA390" s="1120">
        <v>7</v>
      </c>
      <c r="AB390" s="1119"/>
      <c r="AC390" s="1107"/>
      <c r="AD390" s="1107"/>
      <c r="AE390" s="1108"/>
      <c r="AF390" s="1119"/>
      <c r="AG390" s="1107"/>
      <c r="AH390" s="1107"/>
      <c r="AI390" s="1108"/>
      <c r="AJ390" s="1115">
        <v>0</v>
      </c>
      <c r="AK390" s="941"/>
      <c r="AL390" s="943"/>
      <c r="AM390" s="940"/>
      <c r="AN390" s="954"/>
      <c r="AO390" s="954"/>
      <c r="AP390" s="954"/>
      <c r="AQ390" s="954"/>
      <c r="AR390" s="954"/>
      <c r="AS390" s="954"/>
    </row>
    <row r="391" spans="1:45" ht="13.5" customHeight="1">
      <c r="A391" s="1006" t="s">
        <v>1436</v>
      </c>
      <c r="B391" s="1107">
        <v>0.125</v>
      </c>
      <c r="C391" s="1107">
        <v>0.45833333333333331</v>
      </c>
      <c r="D391" s="1108">
        <v>8</v>
      </c>
      <c r="E391" s="1114"/>
      <c r="F391" s="1123"/>
      <c r="G391" s="1107">
        <v>0.125</v>
      </c>
      <c r="H391" s="1107">
        <v>0.45833333333333331</v>
      </c>
      <c r="I391" s="1108">
        <v>8</v>
      </c>
      <c r="J391" s="1114"/>
      <c r="K391" s="1123"/>
      <c r="L391" s="1107">
        <v>0.125</v>
      </c>
      <c r="M391" s="1107">
        <v>0.45833333333333331</v>
      </c>
      <c r="N391" s="1108">
        <v>8</v>
      </c>
      <c r="O391" s="1114"/>
      <c r="P391" s="1123"/>
      <c r="Q391" s="1107">
        <v>0.125</v>
      </c>
      <c r="R391" s="1107">
        <v>0.45833333333333331</v>
      </c>
      <c r="S391" s="1108">
        <v>8</v>
      </c>
      <c r="T391" s="1114"/>
      <c r="U391" s="1123"/>
      <c r="V391" s="1107">
        <v>0.125</v>
      </c>
      <c r="W391" s="1107">
        <v>0.45833333333333331</v>
      </c>
      <c r="X391" s="1108">
        <v>8</v>
      </c>
      <c r="Y391" s="1114"/>
      <c r="Z391" s="1115">
        <v>40</v>
      </c>
      <c r="AA391" s="1120">
        <v>0</v>
      </c>
      <c r="AB391" s="1119"/>
      <c r="AC391" s="1107"/>
      <c r="AD391" s="1107"/>
      <c r="AE391" s="1108"/>
      <c r="AF391" s="1119"/>
      <c r="AG391" s="1107"/>
      <c r="AH391" s="1107"/>
      <c r="AI391" s="1108"/>
      <c r="AJ391" s="1115">
        <v>0</v>
      </c>
      <c r="AK391" s="941"/>
      <c r="AL391" s="943"/>
      <c r="AM391" s="940"/>
      <c r="AN391" s="954"/>
      <c r="AO391" s="954"/>
      <c r="AP391" s="954"/>
      <c r="AQ391" s="954"/>
      <c r="AR391" s="954"/>
      <c r="AS391" s="954"/>
    </row>
    <row r="392" spans="1:45" ht="13.5" customHeight="1">
      <c r="A392" s="1009" t="s">
        <v>241</v>
      </c>
      <c r="B392" s="1107"/>
      <c r="C392" s="1107"/>
      <c r="D392" s="1108"/>
      <c r="E392" s="1114"/>
      <c r="F392" s="1123"/>
      <c r="G392" s="1107"/>
      <c r="H392" s="1107"/>
      <c r="I392" s="1108"/>
      <c r="J392" s="1114"/>
      <c r="K392" s="1123"/>
      <c r="L392" s="1107"/>
      <c r="M392" s="1107"/>
      <c r="N392" s="1108"/>
      <c r="O392" s="1114"/>
      <c r="P392" s="1123"/>
      <c r="Q392" s="1107"/>
      <c r="R392" s="1107"/>
      <c r="S392" s="1108"/>
      <c r="T392" s="1114"/>
      <c r="U392" s="1123"/>
      <c r="V392" s="1124"/>
      <c r="W392" s="1107"/>
      <c r="X392" s="1108"/>
      <c r="Y392" s="1114"/>
      <c r="Z392" s="1115">
        <v>0</v>
      </c>
      <c r="AA392" s="1120">
        <v>0</v>
      </c>
      <c r="AB392" s="1119"/>
      <c r="AC392" s="1107">
        <v>0.5</v>
      </c>
      <c r="AD392" s="1107">
        <v>0.25</v>
      </c>
      <c r="AE392" s="1108">
        <v>6</v>
      </c>
      <c r="AF392" s="1119"/>
      <c r="AG392" s="1107"/>
      <c r="AH392" s="1107"/>
      <c r="AI392" s="1108"/>
      <c r="AJ392" s="1115">
        <v>6</v>
      </c>
      <c r="AK392" s="941"/>
      <c r="AL392" s="943"/>
      <c r="AM392" s="940"/>
      <c r="AN392" s="954"/>
      <c r="AO392" s="954"/>
      <c r="AP392" s="954"/>
      <c r="AQ392" s="954"/>
      <c r="AR392" s="954"/>
      <c r="AS392" s="954"/>
    </row>
    <row r="393" spans="1:45" ht="13.5" customHeight="1">
      <c r="A393" s="1009" t="s">
        <v>1140</v>
      </c>
      <c r="B393" s="1107"/>
      <c r="C393" s="1107"/>
      <c r="D393" s="1108"/>
      <c r="E393" s="1114"/>
      <c r="F393" s="1123"/>
      <c r="G393" s="1107"/>
      <c r="H393" s="1107"/>
      <c r="I393" s="1108"/>
      <c r="J393" s="1114"/>
      <c r="K393" s="1123"/>
      <c r="L393" s="1107"/>
      <c r="M393" s="1107"/>
      <c r="N393" s="1108"/>
      <c r="O393" s="1114"/>
      <c r="P393" s="1123"/>
      <c r="Q393" s="1107"/>
      <c r="R393" s="1107"/>
      <c r="S393" s="1108"/>
      <c r="T393" s="1114"/>
      <c r="U393" s="1123"/>
      <c r="V393" s="1107"/>
      <c r="W393" s="1107"/>
      <c r="X393" s="1108"/>
      <c r="Y393" s="1114"/>
      <c r="Z393" s="1115">
        <v>0</v>
      </c>
      <c r="AA393" s="1120">
        <v>0</v>
      </c>
      <c r="AB393" s="1119"/>
      <c r="AC393" s="1107"/>
      <c r="AD393" s="1107"/>
      <c r="AE393" s="1108"/>
      <c r="AF393" s="1119"/>
      <c r="AG393" s="1107"/>
      <c r="AH393" s="1107"/>
      <c r="AI393" s="1108"/>
      <c r="AJ393" s="1115">
        <v>0</v>
      </c>
      <c r="AK393" s="941"/>
      <c r="AL393" s="943"/>
      <c r="AM393" s="940"/>
      <c r="AN393" s="954"/>
      <c r="AO393" s="954"/>
      <c r="AP393" s="954"/>
      <c r="AQ393" s="954"/>
      <c r="AR393" s="954"/>
      <c r="AS393" s="954"/>
    </row>
    <row r="394" spans="1:45" ht="13.5" customHeight="1">
      <c r="A394" s="1009" t="s">
        <v>1064</v>
      </c>
      <c r="B394" s="1107"/>
      <c r="C394" s="1107"/>
      <c r="D394" s="1108"/>
      <c r="E394" s="1114"/>
      <c r="F394" s="1123"/>
      <c r="G394" s="1107"/>
      <c r="H394" s="1107">
        <v>0.45833333333333331</v>
      </c>
      <c r="I394" s="1108">
        <v>8</v>
      </c>
      <c r="J394" s="1114"/>
      <c r="K394" s="1123"/>
      <c r="L394" s="1107"/>
      <c r="M394" s="1107"/>
      <c r="N394" s="1108"/>
      <c r="O394" s="1114"/>
      <c r="P394" s="1123"/>
      <c r="Q394" s="1107"/>
      <c r="R394" s="1107"/>
      <c r="S394" s="1108"/>
      <c r="T394" s="1114"/>
      <c r="U394" s="1123"/>
      <c r="V394" s="1107"/>
      <c r="W394" s="1107"/>
      <c r="X394" s="1108"/>
      <c r="Y394" s="1114"/>
      <c r="Z394" s="1115">
        <v>8</v>
      </c>
      <c r="AA394" s="1120">
        <v>0</v>
      </c>
      <c r="AB394" s="1119"/>
      <c r="AC394" s="1107"/>
      <c r="AD394" s="1107"/>
      <c r="AE394" s="1108"/>
      <c r="AF394" s="1119"/>
      <c r="AG394" s="1107"/>
      <c r="AH394" s="1107"/>
      <c r="AI394" s="1108"/>
      <c r="AJ394" s="1115">
        <v>0</v>
      </c>
      <c r="AK394" s="941"/>
      <c r="AL394" s="943"/>
      <c r="AM394" s="940"/>
      <c r="AN394" s="954"/>
      <c r="AO394" s="954"/>
      <c r="AP394" s="954"/>
      <c r="AQ394" s="954"/>
      <c r="AR394" s="954"/>
      <c r="AS394" s="954"/>
    </row>
    <row r="395" spans="1:45" ht="13.5" customHeight="1">
      <c r="A395" s="1009" t="s">
        <v>1431</v>
      </c>
      <c r="B395" s="1107"/>
      <c r="C395" s="1107"/>
      <c r="D395" s="1108"/>
      <c r="E395" s="1114"/>
      <c r="F395" s="1123"/>
      <c r="G395" s="1107"/>
      <c r="H395" s="1107"/>
      <c r="I395" s="1108"/>
      <c r="J395" s="1114"/>
      <c r="K395" s="1123"/>
      <c r="L395" s="1107"/>
      <c r="M395" s="1107"/>
      <c r="N395" s="1108"/>
      <c r="O395" s="1114"/>
      <c r="P395" s="1123"/>
      <c r="Q395" s="1107"/>
      <c r="R395" s="1107"/>
      <c r="S395" s="1108">
        <v>1</v>
      </c>
      <c r="T395" s="1114"/>
      <c r="U395" s="1123"/>
      <c r="V395" s="1107"/>
      <c r="W395" s="1107"/>
      <c r="X395" s="1108"/>
      <c r="Y395" s="1114"/>
      <c r="Z395" s="1115">
        <v>1</v>
      </c>
      <c r="AA395" s="1120">
        <v>0</v>
      </c>
      <c r="AB395" s="1119"/>
      <c r="AC395" s="1107"/>
      <c r="AD395" s="1107"/>
      <c r="AE395" s="1108"/>
      <c r="AF395" s="1119"/>
      <c r="AG395" s="1107"/>
      <c r="AH395" s="1107"/>
      <c r="AI395" s="1108"/>
      <c r="AJ395" s="1115">
        <v>0</v>
      </c>
      <c r="AK395" s="941"/>
      <c r="AL395" s="943"/>
      <c r="AM395" s="940"/>
      <c r="AN395" s="954"/>
      <c r="AO395" s="954"/>
      <c r="AP395" s="954"/>
      <c r="AQ395" s="954"/>
      <c r="AR395" s="954"/>
      <c r="AS395" s="954"/>
    </row>
    <row r="396" spans="1:45" ht="13.5" customHeight="1">
      <c r="A396" s="1009" t="s">
        <v>813</v>
      </c>
      <c r="B396" s="1107"/>
      <c r="C396" s="1107"/>
      <c r="D396" s="1108">
        <v>2</v>
      </c>
      <c r="E396" s="1114"/>
      <c r="F396" s="1123"/>
      <c r="G396" s="1107"/>
      <c r="H396" s="1107"/>
      <c r="I396" s="1108">
        <v>2</v>
      </c>
      <c r="J396" s="1114"/>
      <c r="K396" s="1123"/>
      <c r="L396" s="1107"/>
      <c r="M396" s="1107"/>
      <c r="N396" s="1108">
        <v>2</v>
      </c>
      <c r="O396" s="1114"/>
      <c r="P396" s="1123"/>
      <c r="Q396" s="1107"/>
      <c r="R396" s="1107"/>
      <c r="S396" s="1108">
        <v>2</v>
      </c>
      <c r="T396" s="1114"/>
      <c r="U396" s="1123"/>
      <c r="V396" s="1107"/>
      <c r="W396" s="1107"/>
      <c r="X396" s="1108">
        <v>2</v>
      </c>
      <c r="Y396" s="1114"/>
      <c r="Z396" s="1115">
        <v>10</v>
      </c>
      <c r="AA396" s="1120">
        <v>0</v>
      </c>
      <c r="AB396" s="1119"/>
      <c r="AC396" s="1107"/>
      <c r="AD396" s="1107"/>
      <c r="AE396" s="1108"/>
      <c r="AF396" s="1119"/>
      <c r="AG396" s="1107"/>
      <c r="AH396" s="1107"/>
      <c r="AI396" s="1108"/>
      <c r="AJ396" s="1115">
        <v>0</v>
      </c>
      <c r="AK396" s="941"/>
      <c r="AL396" s="943"/>
      <c r="AM396" s="940"/>
      <c r="AN396" s="954"/>
      <c r="AO396" s="954"/>
      <c r="AP396" s="954"/>
      <c r="AQ396" s="954"/>
      <c r="AR396" s="954"/>
      <c r="AS396" s="954"/>
    </row>
    <row r="397" spans="1:45" ht="13.5" customHeight="1">
      <c r="A397" s="1009" t="s">
        <v>88</v>
      </c>
      <c r="B397" s="1107"/>
      <c r="C397" s="1107"/>
      <c r="D397" s="1108">
        <v>2</v>
      </c>
      <c r="E397" s="1114"/>
      <c r="F397" s="1123"/>
      <c r="G397" s="1107"/>
      <c r="H397" s="1107"/>
      <c r="I397" s="1108">
        <v>2</v>
      </c>
      <c r="J397" s="1114"/>
      <c r="K397" s="1123"/>
      <c r="L397" s="1107"/>
      <c r="M397" s="1107"/>
      <c r="N397" s="1108">
        <v>2</v>
      </c>
      <c r="O397" s="1114"/>
      <c r="P397" s="1123"/>
      <c r="Q397" s="1107"/>
      <c r="R397" s="1107"/>
      <c r="S397" s="1108">
        <v>2</v>
      </c>
      <c r="T397" s="1114"/>
      <c r="U397" s="1123"/>
      <c r="V397" s="1107"/>
      <c r="W397" s="1107"/>
      <c r="X397" s="1108">
        <v>2</v>
      </c>
      <c r="Y397" s="1114"/>
      <c r="Z397" s="1115">
        <v>10</v>
      </c>
      <c r="AA397" s="1120">
        <v>0</v>
      </c>
      <c r="AB397" s="1119"/>
      <c r="AC397" s="1107"/>
      <c r="AD397" s="1107"/>
      <c r="AE397" s="1108"/>
      <c r="AF397" s="1119"/>
      <c r="AG397" s="1107"/>
      <c r="AH397" s="1107"/>
      <c r="AI397" s="1108"/>
      <c r="AJ397" s="1115">
        <v>0</v>
      </c>
      <c r="AK397" s="941"/>
      <c r="AL397" s="943"/>
      <c r="AM397" s="940"/>
      <c r="AN397" s="954"/>
      <c r="AO397" s="954"/>
      <c r="AP397" s="954"/>
      <c r="AQ397" s="954"/>
      <c r="AR397" s="954"/>
      <c r="AS397" s="954"/>
    </row>
    <row r="398" spans="1:45" ht="13.5" customHeight="1">
      <c r="A398" s="1009" t="s">
        <v>1141</v>
      </c>
      <c r="B398" s="1107"/>
      <c r="C398" s="1107"/>
      <c r="D398" s="1108"/>
      <c r="E398" s="1114"/>
      <c r="F398" s="1123"/>
      <c r="G398" s="1107">
        <v>0.29166666666666669</v>
      </c>
      <c r="H398" s="1107"/>
      <c r="I398" s="1108">
        <v>8</v>
      </c>
      <c r="J398" s="1114"/>
      <c r="K398" s="1123"/>
      <c r="L398" s="1107"/>
      <c r="M398" s="1107"/>
      <c r="N398" s="1108"/>
      <c r="O398" s="1114"/>
      <c r="P398" s="1123"/>
      <c r="Q398" s="1107"/>
      <c r="R398" s="1107"/>
      <c r="S398" s="1108"/>
      <c r="T398" s="1114"/>
      <c r="U398" s="1123"/>
      <c r="V398" s="1107"/>
      <c r="W398" s="1107"/>
      <c r="X398" s="1108"/>
      <c r="Y398" s="1114"/>
      <c r="Z398" s="1115">
        <v>8</v>
      </c>
      <c r="AA398" s="1120">
        <v>0</v>
      </c>
      <c r="AB398" s="1119"/>
      <c r="AC398" s="1107"/>
      <c r="AD398" s="1107"/>
      <c r="AE398" s="1108"/>
      <c r="AF398" s="1119"/>
      <c r="AG398" s="1107"/>
      <c r="AH398" s="1107"/>
      <c r="AI398" s="1108"/>
      <c r="AJ398" s="1115">
        <v>0</v>
      </c>
      <c r="AK398" s="941"/>
      <c r="AL398" s="943"/>
      <c r="AM398" s="940"/>
      <c r="AN398" s="954"/>
      <c r="AO398" s="954"/>
      <c r="AP398" s="954"/>
      <c r="AQ398" s="954"/>
      <c r="AR398" s="954"/>
      <c r="AS398" s="954"/>
    </row>
    <row r="399" spans="1:45" ht="13.5" customHeight="1">
      <c r="A399" s="1043" t="s">
        <v>1438</v>
      </c>
      <c r="B399" s="1125">
        <v>0.46875</v>
      </c>
      <c r="C399" s="1125">
        <v>9.375E-2</v>
      </c>
      <c r="D399" s="1126">
        <v>8</v>
      </c>
      <c r="E399" s="1126"/>
      <c r="F399" s="1126"/>
      <c r="G399" s="1125">
        <v>0.45833333333333331</v>
      </c>
      <c r="H399" s="1127">
        <v>8.3333333333333329E-2</v>
      </c>
      <c r="I399" s="1126">
        <v>8</v>
      </c>
      <c r="J399" s="1126"/>
      <c r="K399" s="1126"/>
      <c r="L399" s="1122"/>
      <c r="M399" s="1122"/>
      <c r="N399" s="1126">
        <v>8</v>
      </c>
      <c r="O399" s="1126"/>
      <c r="P399" s="1126"/>
      <c r="Q399" s="1125">
        <v>0.45833333333333331</v>
      </c>
      <c r="R399" s="1127">
        <v>0.1875</v>
      </c>
      <c r="S399" s="1126">
        <v>8</v>
      </c>
      <c r="T399" s="1126"/>
      <c r="U399" s="1126"/>
      <c r="V399" s="1125">
        <v>0.45833333333333331</v>
      </c>
      <c r="W399" s="1127">
        <v>0.16666666666666666</v>
      </c>
      <c r="X399" s="1126">
        <v>8</v>
      </c>
      <c r="Y399" s="1126"/>
      <c r="Z399" s="1128">
        <v>40</v>
      </c>
      <c r="AA399" s="1120">
        <v>0</v>
      </c>
      <c r="AB399" s="1119"/>
      <c r="AC399" s="1107"/>
      <c r="AD399" s="1107"/>
      <c r="AE399" s="1108"/>
      <c r="AF399" s="1119"/>
      <c r="AG399" s="1107"/>
      <c r="AH399" s="1107"/>
      <c r="AI399" s="1108"/>
      <c r="AJ399" s="1115">
        <v>0</v>
      </c>
      <c r="AK399" s="941"/>
      <c r="AL399" s="943"/>
      <c r="AM399" s="940"/>
      <c r="AN399" s="954"/>
      <c r="AO399" s="954"/>
      <c r="AP399" s="954"/>
      <c r="AQ399" s="954"/>
      <c r="AR399" s="954"/>
      <c r="AS399" s="954"/>
    </row>
    <row r="400" spans="1:45" ht="13.5" customHeight="1">
      <c r="A400" s="1043" t="s">
        <v>1439</v>
      </c>
      <c r="B400" s="1125">
        <v>0.45833333333333331</v>
      </c>
      <c r="C400" s="1125">
        <v>9.375E-2</v>
      </c>
      <c r="D400" s="1126">
        <v>8</v>
      </c>
      <c r="E400" s="1126"/>
      <c r="F400" s="1126"/>
      <c r="G400" s="1125">
        <v>0.45833333333333331</v>
      </c>
      <c r="H400" s="1125">
        <v>0.52083333333333337</v>
      </c>
      <c r="I400" s="1126">
        <v>8</v>
      </c>
      <c r="J400" s="1126"/>
      <c r="K400" s="1126"/>
      <c r="L400" s="1125">
        <v>0.46875</v>
      </c>
      <c r="M400" s="1125">
        <v>0.125</v>
      </c>
      <c r="N400" s="1126">
        <v>7.75</v>
      </c>
      <c r="O400" s="1126"/>
      <c r="P400" s="1126"/>
      <c r="Q400" s="1125">
        <v>0.45833333333333331</v>
      </c>
      <c r="R400" s="1125">
        <v>0.17708333333333334</v>
      </c>
      <c r="S400" s="1126">
        <v>8</v>
      </c>
      <c r="T400" s="1126"/>
      <c r="U400" s="1126"/>
      <c r="V400" s="1125">
        <v>0.45833333333333331</v>
      </c>
      <c r="W400" s="1125">
        <v>0.11458333333333333</v>
      </c>
      <c r="X400" s="1126">
        <v>8</v>
      </c>
      <c r="Y400" s="1126"/>
      <c r="Z400" s="1128">
        <v>39.75</v>
      </c>
      <c r="AA400" s="1120">
        <v>0</v>
      </c>
      <c r="AB400" s="1119"/>
      <c r="AC400" s="1107"/>
      <c r="AD400" s="1107"/>
      <c r="AE400" s="1108"/>
      <c r="AF400" s="1119"/>
      <c r="AG400" s="1107"/>
      <c r="AH400" s="1107"/>
      <c r="AI400" s="1108"/>
      <c r="AJ400" s="1115">
        <v>0</v>
      </c>
      <c r="AK400" s="941"/>
      <c r="AL400" s="943"/>
      <c r="AM400" s="940"/>
      <c r="AN400" s="954"/>
      <c r="AO400" s="954"/>
      <c r="AP400" s="954"/>
      <c r="AQ400" s="954"/>
      <c r="AR400" s="954"/>
      <c r="AS400" s="954"/>
    </row>
    <row r="401" spans="1:45" ht="13.5" customHeight="1">
      <c r="A401" s="1043" t="s">
        <v>1433</v>
      </c>
      <c r="B401" s="1125">
        <v>0.45833333333333331</v>
      </c>
      <c r="C401" s="1125">
        <v>0.29166666666666669</v>
      </c>
      <c r="D401" s="1126">
        <v>8</v>
      </c>
      <c r="E401" s="1126"/>
      <c r="F401" s="1126"/>
      <c r="G401" s="1125">
        <v>0.45833333333333331</v>
      </c>
      <c r="H401" s="1125">
        <v>0.29166666666666669</v>
      </c>
      <c r="I401" s="1126">
        <v>8</v>
      </c>
      <c r="J401" s="1126"/>
      <c r="K401" s="1126"/>
      <c r="L401" s="1125">
        <v>0.45833333333333331</v>
      </c>
      <c r="M401" s="1125">
        <v>0.29166666666666669</v>
      </c>
      <c r="N401" s="1126">
        <v>8</v>
      </c>
      <c r="O401" s="1126"/>
      <c r="P401" s="1126"/>
      <c r="Q401" s="1125">
        <v>0.45833333333333331</v>
      </c>
      <c r="R401" s="1125">
        <v>0.29166666666666669</v>
      </c>
      <c r="S401" s="1126">
        <v>8</v>
      </c>
      <c r="T401" s="1126"/>
      <c r="U401" s="1126"/>
      <c r="V401" s="1125">
        <v>0.45833333333333331</v>
      </c>
      <c r="W401" s="1125">
        <v>0.29166666666666669</v>
      </c>
      <c r="X401" s="1126">
        <v>8</v>
      </c>
      <c r="Y401" s="1126"/>
      <c r="Z401" s="1128">
        <v>40</v>
      </c>
      <c r="AA401" s="1120">
        <v>0</v>
      </c>
      <c r="AB401" s="1119"/>
      <c r="AC401" s="1107"/>
      <c r="AD401" s="1107"/>
      <c r="AE401" s="1108"/>
      <c r="AF401" s="1119"/>
      <c r="AG401" s="1107"/>
      <c r="AH401" s="1107"/>
      <c r="AI401" s="1108"/>
      <c r="AJ401" s="1115">
        <v>0</v>
      </c>
      <c r="AK401" s="941"/>
      <c r="AL401" s="943"/>
      <c r="AM401" s="940"/>
      <c r="AN401" s="954"/>
      <c r="AO401" s="954"/>
      <c r="AP401" s="954"/>
      <c r="AQ401" s="954"/>
      <c r="AR401" s="954"/>
      <c r="AS401" s="954"/>
    </row>
    <row r="402" spans="1:45" ht="13.5" customHeight="1">
      <c r="A402" s="1043" t="s">
        <v>1440</v>
      </c>
      <c r="B402" s="1125">
        <v>0.45833333333333331</v>
      </c>
      <c r="C402" s="1125">
        <v>0.29166666666666669</v>
      </c>
      <c r="D402" s="1126">
        <v>8</v>
      </c>
      <c r="E402" s="1126"/>
      <c r="F402" s="1126"/>
      <c r="G402" s="1125">
        <v>0.45833333333333331</v>
      </c>
      <c r="H402" s="1125">
        <v>0.29166666666666669</v>
      </c>
      <c r="I402" s="1126">
        <v>8</v>
      </c>
      <c r="J402" s="1126"/>
      <c r="K402" s="1126"/>
      <c r="L402" s="1125">
        <v>0.45833333333333331</v>
      </c>
      <c r="M402" s="1125">
        <v>0.29166666666666669</v>
      </c>
      <c r="N402" s="1126">
        <v>8</v>
      </c>
      <c r="O402" s="1126"/>
      <c r="P402" s="1126"/>
      <c r="Q402" s="1125">
        <v>0.45833333333333331</v>
      </c>
      <c r="R402" s="1125">
        <v>0.29166666666666669</v>
      </c>
      <c r="S402" s="1126">
        <v>8</v>
      </c>
      <c r="T402" s="1126"/>
      <c r="U402" s="1126"/>
      <c r="V402" s="1125">
        <v>0.45833333333333331</v>
      </c>
      <c r="W402" s="1125">
        <v>0.29166666666666669</v>
      </c>
      <c r="X402" s="1126">
        <v>8</v>
      </c>
      <c r="Y402" s="1126"/>
      <c r="Z402" s="1128">
        <v>40</v>
      </c>
      <c r="AA402" s="1120">
        <v>0</v>
      </c>
      <c r="AB402" s="1119"/>
      <c r="AC402" s="1107"/>
      <c r="AD402" s="1107"/>
      <c r="AE402" s="1108"/>
      <c r="AF402" s="1119"/>
      <c r="AG402" s="1107"/>
      <c r="AH402" s="1107"/>
      <c r="AI402" s="1108"/>
      <c r="AJ402" s="1115">
        <v>0</v>
      </c>
      <c r="AK402" s="941"/>
      <c r="AL402" s="943"/>
      <c r="AM402" s="940"/>
      <c r="AN402" s="954"/>
      <c r="AO402" s="954"/>
      <c r="AP402" s="954"/>
      <c r="AQ402" s="954"/>
      <c r="AR402" s="954"/>
      <c r="AS402" s="954"/>
    </row>
    <row r="403" spans="1:45" ht="13.5" customHeight="1">
      <c r="A403" s="1043" t="s">
        <v>1437</v>
      </c>
      <c r="B403" s="1125">
        <v>0.29166666666666669</v>
      </c>
      <c r="C403" s="1125">
        <v>0.125</v>
      </c>
      <c r="D403" s="1126">
        <v>8</v>
      </c>
      <c r="E403" s="1126"/>
      <c r="F403" s="1126"/>
      <c r="G403" s="1125">
        <v>0.29166666666666669</v>
      </c>
      <c r="H403" s="1125">
        <v>0.125</v>
      </c>
      <c r="I403" s="1126">
        <v>8</v>
      </c>
      <c r="J403" s="1126"/>
      <c r="K403" s="1126"/>
      <c r="L403" s="1125"/>
      <c r="M403" s="1125"/>
      <c r="N403" s="1126">
        <v>8</v>
      </c>
      <c r="O403" s="1126"/>
      <c r="P403" s="1126"/>
      <c r="Q403" s="1122"/>
      <c r="R403" s="1122"/>
      <c r="S403" s="1126">
        <v>0</v>
      </c>
      <c r="T403" s="1126"/>
      <c r="U403" s="1126"/>
      <c r="V403" s="1125">
        <v>0.29166666666666669</v>
      </c>
      <c r="W403" s="1125">
        <v>0.13541666666666666</v>
      </c>
      <c r="X403" s="1126">
        <v>8</v>
      </c>
      <c r="Y403" s="1126">
        <v>0.25</v>
      </c>
      <c r="Z403" s="1128">
        <v>32</v>
      </c>
      <c r="AA403" s="1120">
        <v>0.25</v>
      </c>
      <c r="AB403" s="1119"/>
      <c r="AC403" s="1107"/>
      <c r="AD403" s="1107"/>
      <c r="AE403" s="1108"/>
      <c r="AF403" s="1119"/>
      <c r="AG403" s="1107"/>
      <c r="AH403" s="1107"/>
      <c r="AI403" s="1108"/>
      <c r="AJ403" s="1115">
        <v>0</v>
      </c>
      <c r="AK403" s="941"/>
      <c r="AL403" s="943"/>
      <c r="AM403" s="940"/>
      <c r="AN403" s="954"/>
      <c r="AO403" s="954"/>
      <c r="AP403" s="954"/>
      <c r="AQ403" s="954"/>
      <c r="AR403" s="954"/>
      <c r="AS403" s="954"/>
    </row>
    <row r="404" spans="1:45" ht="13.5" customHeight="1">
      <c r="A404" s="1016" t="s">
        <v>61</v>
      </c>
      <c r="B404" s="1112"/>
      <c r="C404" s="1112"/>
      <c r="D404" s="1113">
        <v>108</v>
      </c>
      <c r="E404" s="1114"/>
      <c r="F404" s="1112"/>
      <c r="G404" s="1112"/>
      <c r="H404" s="1112"/>
      <c r="I404" s="1113">
        <v>108</v>
      </c>
      <c r="J404" s="1114"/>
      <c r="K404" s="1112"/>
      <c r="L404" s="1112"/>
      <c r="M404" s="1112"/>
      <c r="N404" s="1113">
        <v>108</v>
      </c>
      <c r="O404" s="1114">
        <v>0</v>
      </c>
      <c r="P404" s="1112"/>
      <c r="Q404" s="1112"/>
      <c r="R404" s="1112"/>
      <c r="S404" s="1113">
        <v>109</v>
      </c>
      <c r="T404" s="1114">
        <v>10.5</v>
      </c>
      <c r="U404" s="1112"/>
      <c r="V404" s="1112"/>
      <c r="W404" s="1112"/>
      <c r="X404" s="1113">
        <v>108</v>
      </c>
      <c r="Y404" s="1114">
        <v>0</v>
      </c>
      <c r="Z404" s="1115">
        <v>541</v>
      </c>
      <c r="AA404" s="1115">
        <v>7</v>
      </c>
      <c r="AB404" s="1119"/>
      <c r="AC404" s="1112"/>
      <c r="AD404" s="1112"/>
      <c r="AE404" s="1115">
        <v>9</v>
      </c>
      <c r="AF404" s="1119"/>
      <c r="AG404" s="1112"/>
      <c r="AH404" s="1112"/>
      <c r="AI404" s="1115">
        <v>0</v>
      </c>
      <c r="AJ404" s="1115">
        <v>6</v>
      </c>
      <c r="AK404" s="941"/>
      <c r="AL404" s="943"/>
      <c r="AM404" s="940"/>
      <c r="AN404" s="954"/>
      <c r="AO404" s="954"/>
      <c r="AP404" s="954"/>
      <c r="AQ404" s="954"/>
      <c r="AR404" s="954"/>
      <c r="AS404" s="954"/>
    </row>
    <row r="405" spans="1:45" ht="13.5" customHeight="1">
      <c r="A405" s="1016" t="s">
        <v>1434</v>
      </c>
      <c r="B405" s="1112"/>
      <c r="C405" s="1112"/>
      <c r="D405" s="1113">
        <v>60</v>
      </c>
      <c r="E405" s="1114"/>
      <c r="F405" s="1112"/>
      <c r="G405" s="1112"/>
      <c r="H405" s="1112"/>
      <c r="I405" s="1113">
        <v>60</v>
      </c>
      <c r="J405" s="1114"/>
      <c r="K405" s="1112"/>
      <c r="L405" s="1112"/>
      <c r="M405" s="1112"/>
      <c r="N405" s="1113">
        <v>59.625</v>
      </c>
      <c r="O405" s="1114"/>
      <c r="P405" s="1112"/>
      <c r="Q405" s="1112"/>
      <c r="R405" s="1112"/>
      <c r="S405" s="1113">
        <v>48</v>
      </c>
      <c r="T405" s="1114"/>
      <c r="U405" s="1112"/>
      <c r="V405" s="1112"/>
      <c r="W405" s="1112"/>
      <c r="X405" s="1113">
        <v>60</v>
      </c>
      <c r="Y405" s="1114"/>
      <c r="Z405" s="1115">
        <v>191.75</v>
      </c>
      <c r="AA405" s="1115">
        <v>0</v>
      </c>
      <c r="AB405" s="1119"/>
      <c r="AC405" s="1112"/>
      <c r="AD405" s="1112"/>
      <c r="AE405" s="1115"/>
      <c r="AF405" s="1119"/>
      <c r="AG405" s="1112"/>
      <c r="AH405" s="1112"/>
      <c r="AI405" s="1115"/>
      <c r="AJ405" s="1115"/>
      <c r="AK405" s="941"/>
      <c r="AL405" s="943"/>
      <c r="AM405" s="940"/>
      <c r="AN405" s="954"/>
      <c r="AO405" s="954"/>
      <c r="AP405" s="954"/>
      <c r="AQ405" s="954"/>
      <c r="AR405" s="954"/>
      <c r="AS405" s="954"/>
    </row>
    <row r="406" spans="1:45" ht="13.5" customHeight="1">
      <c r="A406" s="1022" t="s">
        <v>64</v>
      </c>
      <c r="B406" s="1107"/>
      <c r="C406" s="1107"/>
      <c r="D406" s="1108">
        <v>4</v>
      </c>
      <c r="E406" s="1108"/>
      <c r="F406" s="1129"/>
      <c r="G406" s="1107"/>
      <c r="H406" s="1107"/>
      <c r="I406" s="1108">
        <v>4</v>
      </c>
      <c r="J406" s="1108"/>
      <c r="K406" s="1123"/>
      <c r="L406" s="1107"/>
      <c r="M406" s="1107"/>
      <c r="N406" s="1108">
        <v>4</v>
      </c>
      <c r="O406" s="1108"/>
      <c r="P406" s="1123"/>
      <c r="Q406" s="1107"/>
      <c r="R406" s="1107"/>
      <c r="S406" s="1108">
        <v>4</v>
      </c>
      <c r="T406" s="1108"/>
      <c r="U406" s="1123"/>
      <c r="V406" s="1107"/>
      <c r="W406" s="1107"/>
      <c r="X406" s="1108">
        <v>4</v>
      </c>
      <c r="Y406" s="1108"/>
      <c r="Z406" s="1115">
        <v>20</v>
      </c>
      <c r="AA406" s="1130">
        <v>0</v>
      </c>
      <c r="AB406" s="1119"/>
      <c r="AC406" s="1107"/>
      <c r="AD406" s="1107"/>
      <c r="AE406" s="1108">
        <v>4</v>
      </c>
      <c r="AF406" s="1119"/>
      <c r="AG406" s="1107"/>
      <c r="AH406" s="1107"/>
      <c r="AI406" s="1108">
        <v>3.75</v>
      </c>
      <c r="AJ406" s="1115">
        <v>7.75</v>
      </c>
      <c r="AK406" s="941"/>
      <c r="AL406" s="943"/>
      <c r="AM406" s="940"/>
      <c r="AN406" s="954"/>
      <c r="AO406" s="954"/>
      <c r="AP406" s="954"/>
      <c r="AQ406" s="954"/>
      <c r="AR406" s="954"/>
      <c r="AS406" s="954"/>
    </row>
    <row r="407" spans="1:45" ht="13.5" customHeight="1">
      <c r="A407" s="1026" t="s">
        <v>66</v>
      </c>
      <c r="B407" s="1131"/>
      <c r="C407" s="1131"/>
      <c r="D407" s="1129"/>
      <c r="E407" s="1129"/>
      <c r="F407" s="1129"/>
      <c r="G407" s="1129"/>
      <c r="H407" s="1129"/>
      <c r="I407" s="1129"/>
      <c r="J407" s="1129"/>
      <c r="K407" s="1129"/>
      <c r="L407" s="1129"/>
      <c r="M407" s="1129"/>
      <c r="N407" s="1129"/>
      <c r="O407" s="1129"/>
      <c r="P407" s="1129"/>
      <c r="Q407" s="1129"/>
      <c r="R407" s="1129"/>
      <c r="S407" s="1129"/>
      <c r="T407" s="1129"/>
      <c r="U407" s="1129"/>
      <c r="V407" s="1129"/>
      <c r="W407" s="1129"/>
      <c r="X407" s="1129"/>
      <c r="Y407" s="1129"/>
      <c r="Z407" s="1115">
        <v>20</v>
      </c>
      <c r="AA407" s="1115">
        <v>0</v>
      </c>
      <c r="AB407" s="1119"/>
      <c r="AC407" s="1124"/>
      <c r="AD407" s="1124"/>
      <c r="AE407" s="1124"/>
      <c r="AF407" s="1119"/>
      <c r="AG407" s="1124"/>
      <c r="AH407" s="1124"/>
      <c r="AI407" s="1124"/>
      <c r="AJ407" s="1115">
        <v>7.75</v>
      </c>
      <c r="AK407" s="941"/>
      <c r="AL407" s="943"/>
      <c r="AM407" s="940"/>
      <c r="AN407" s="1021"/>
      <c r="AO407" s="954"/>
      <c r="AP407" s="954"/>
      <c r="AQ407" s="954"/>
      <c r="AR407" s="954"/>
      <c r="AS407" s="954"/>
    </row>
    <row r="408" spans="1:45" ht="13.5" customHeight="1">
      <c r="A408" s="1029" t="s">
        <v>67</v>
      </c>
      <c r="B408" s="1030">
        <v>89</v>
      </c>
      <c r="C408" s="1030"/>
      <c r="D408" s="1031"/>
      <c r="E408" s="1031"/>
      <c r="F408" s="1030"/>
      <c r="G408" s="1031"/>
      <c r="H408" s="1031"/>
      <c r="I408" s="1031"/>
      <c r="J408" s="1031"/>
      <c r="K408" s="1030"/>
      <c r="L408" s="1030"/>
      <c r="M408" s="1030"/>
      <c r="N408" s="1030"/>
      <c r="O408" s="1031"/>
      <c r="P408" s="1030"/>
      <c r="Q408" s="1030"/>
      <c r="R408" s="1030"/>
      <c r="S408" s="1030"/>
      <c r="T408" s="1031"/>
      <c r="U408" s="1030"/>
      <c r="V408" s="1030"/>
      <c r="W408" s="1030"/>
      <c r="X408" s="1032"/>
      <c r="Y408" s="1031"/>
      <c r="Z408" s="1033"/>
      <c r="AA408" s="1031"/>
      <c r="AB408" s="1033"/>
      <c r="AC408" s="1033"/>
      <c r="AD408" s="1033"/>
      <c r="AE408" s="1033"/>
      <c r="AF408" s="1033"/>
      <c r="AG408" s="1033"/>
      <c r="AH408" s="1033"/>
      <c r="AI408" s="1033"/>
      <c r="AJ408" s="1033"/>
      <c r="AK408" s="941"/>
      <c r="AL408" s="943"/>
      <c r="AM408" s="940"/>
      <c r="AN408" s="1021"/>
      <c r="AO408" s="954"/>
      <c r="AP408" s="954"/>
      <c r="AQ408" s="954"/>
      <c r="AR408" s="954"/>
      <c r="AS408" s="954"/>
    </row>
    <row r="409" spans="1:45" ht="13.5" customHeight="1">
      <c r="A409" s="940"/>
      <c r="B409" s="940"/>
      <c r="C409" s="940"/>
      <c r="D409" s="941"/>
      <c r="E409" s="942"/>
      <c r="F409" s="941"/>
      <c r="G409" s="940"/>
      <c r="H409" s="940"/>
      <c r="I409" s="941"/>
      <c r="J409" s="942"/>
      <c r="K409" s="941"/>
      <c r="L409" s="940"/>
      <c r="M409" s="940"/>
      <c r="N409" s="941"/>
      <c r="O409" s="942"/>
      <c r="P409" s="941"/>
      <c r="Q409" s="940"/>
      <c r="R409" s="940"/>
      <c r="S409" s="941"/>
      <c r="T409" s="942"/>
      <c r="U409" s="941"/>
      <c r="V409" s="940"/>
      <c r="W409" s="940"/>
      <c r="X409" s="941"/>
      <c r="Y409" s="942"/>
      <c r="Z409" s="941"/>
      <c r="AA409" s="941"/>
      <c r="AB409" s="941"/>
      <c r="AC409" s="940"/>
      <c r="AD409" s="940"/>
      <c r="AE409" s="940"/>
      <c r="AF409" s="941"/>
      <c r="AG409" s="940"/>
      <c r="AH409" s="940"/>
      <c r="AI409" s="940"/>
      <c r="AJ409" s="940"/>
      <c r="AK409" s="941"/>
      <c r="AL409" s="943"/>
      <c r="AM409" s="940"/>
      <c r="AN409" s="954"/>
      <c r="AO409" s="954"/>
      <c r="AP409" s="954"/>
      <c r="AQ409" s="954"/>
      <c r="AR409" s="954"/>
      <c r="AS409" s="954"/>
    </row>
    <row r="410" spans="1:45" ht="13.5" customHeight="1">
      <c r="A410" s="974"/>
      <c r="B410" s="975"/>
      <c r="C410" s="975"/>
      <c r="D410" s="976"/>
      <c r="E410" s="976"/>
      <c r="F410" s="975"/>
      <c r="G410" s="976"/>
      <c r="H410" s="976"/>
      <c r="I410" s="976"/>
      <c r="J410" s="976"/>
      <c r="K410" s="975"/>
      <c r="L410" s="975"/>
      <c r="M410" s="975"/>
      <c r="N410" s="975"/>
      <c r="O410" s="976"/>
      <c r="P410" s="975"/>
      <c r="Q410" s="975"/>
      <c r="R410" s="975"/>
      <c r="S410" s="975"/>
      <c r="T410" s="976"/>
      <c r="U410" s="975"/>
      <c r="V410" s="975"/>
      <c r="W410" s="975"/>
      <c r="X410" s="977"/>
      <c r="Y410" s="976"/>
      <c r="Z410" s="978"/>
      <c r="AA410" s="976"/>
      <c r="AB410" s="979"/>
      <c r="AC410" s="980"/>
      <c r="AD410" s="943"/>
      <c r="AE410" s="943"/>
      <c r="AF410" s="979"/>
      <c r="AG410" s="980"/>
      <c r="AH410" s="943"/>
      <c r="AI410" s="943"/>
      <c r="AJ410" s="943"/>
      <c r="AK410" s="943"/>
      <c r="AL410" s="943"/>
      <c r="AM410" s="943"/>
      <c r="AN410" s="943"/>
      <c r="AO410" s="943"/>
      <c r="AP410" s="943"/>
      <c r="AQ410" s="943"/>
      <c r="AR410" s="943"/>
      <c r="AS410" s="943"/>
    </row>
    <row r="411" spans="1:45" ht="13.5" customHeight="1">
      <c r="A411" s="940"/>
      <c r="B411" s="940"/>
      <c r="C411" s="940"/>
      <c r="D411" s="941"/>
      <c r="E411" s="942"/>
      <c r="F411" s="941"/>
      <c r="G411" s="940"/>
      <c r="H411" s="940"/>
      <c r="I411" s="941"/>
      <c r="J411" s="942"/>
      <c r="K411" s="941"/>
      <c r="L411" s="940"/>
      <c r="M411" s="940"/>
      <c r="N411" s="941"/>
      <c r="O411" s="942"/>
      <c r="P411" s="941"/>
      <c r="Q411" s="940"/>
      <c r="R411" s="940"/>
      <c r="S411" s="941"/>
      <c r="T411" s="942"/>
      <c r="U411" s="941"/>
      <c r="V411" s="940"/>
      <c r="W411" s="940"/>
      <c r="X411" s="941"/>
      <c r="Y411" s="942"/>
      <c r="Z411" s="941"/>
      <c r="AA411" s="941"/>
      <c r="AB411" s="941"/>
      <c r="AC411" s="940"/>
      <c r="AD411" s="940"/>
      <c r="AE411" s="940"/>
      <c r="AF411" s="941"/>
      <c r="AG411" s="940"/>
      <c r="AH411" s="940"/>
      <c r="AI411" s="940"/>
      <c r="AJ411" s="940"/>
      <c r="AK411" s="941"/>
      <c r="AL411" s="943"/>
      <c r="AM411" s="940"/>
      <c r="AN411" s="954"/>
      <c r="AO411" s="954"/>
      <c r="AP411" s="954"/>
      <c r="AQ411" s="954"/>
      <c r="AR411" s="954"/>
      <c r="AS411" s="954"/>
    </row>
    <row r="412" spans="1:45" ht="13.5" customHeight="1">
      <c r="A412" s="1592" t="s">
        <v>18</v>
      </c>
      <c r="B412" s="1588">
        <v>45922</v>
      </c>
      <c r="C412" s="1588"/>
      <c r="D412" s="1588" t="s">
        <v>564</v>
      </c>
      <c r="E412" s="1588"/>
      <c r="F412" s="981"/>
      <c r="G412" s="1588">
        <v>45923</v>
      </c>
      <c r="H412" s="1588"/>
      <c r="I412" s="1588" t="s">
        <v>565</v>
      </c>
      <c r="J412" s="1588"/>
      <c r="K412" s="981"/>
      <c r="L412" s="1588">
        <v>45924</v>
      </c>
      <c r="M412" s="1588"/>
      <c r="N412" s="1588" t="s">
        <v>566</v>
      </c>
      <c r="O412" s="1588"/>
      <c r="P412" s="981"/>
      <c r="Q412" s="1588">
        <v>45925</v>
      </c>
      <c r="R412" s="1588"/>
      <c r="S412" s="1588" t="s">
        <v>567</v>
      </c>
      <c r="T412" s="1588"/>
      <c r="U412" s="981"/>
      <c r="V412" s="1588">
        <v>45926</v>
      </c>
      <c r="W412" s="1588"/>
      <c r="X412" s="1588" t="s">
        <v>568</v>
      </c>
      <c r="Y412" s="1588"/>
      <c r="Z412" s="1589" t="s">
        <v>19</v>
      </c>
      <c r="AA412" s="1589" t="s">
        <v>20</v>
      </c>
      <c r="AB412" s="941"/>
      <c r="AC412" s="1588">
        <v>45927</v>
      </c>
      <c r="AD412" s="1588"/>
      <c r="AE412" s="982" t="s">
        <v>569</v>
      </c>
      <c r="AF412" s="941"/>
      <c r="AG412" s="1588">
        <v>45928</v>
      </c>
      <c r="AH412" s="1588"/>
      <c r="AI412" s="982" t="s">
        <v>570</v>
      </c>
      <c r="AJ412" s="1589" t="s">
        <v>1420</v>
      </c>
      <c r="AK412" s="941"/>
      <c r="AL412" s="984"/>
      <c r="AM412" s="940"/>
      <c r="AN412" s="985" t="s">
        <v>84</v>
      </c>
      <c r="AO412" s="986"/>
      <c r="AP412" s="986"/>
      <c r="AQ412" s="986"/>
      <c r="AR412" s="986"/>
      <c r="AS412" s="986"/>
    </row>
    <row r="413" spans="1:45" ht="13.5" customHeight="1">
      <c r="A413" s="1592"/>
      <c r="B413" s="987" t="s">
        <v>23</v>
      </c>
      <c r="C413" s="987" t="s">
        <v>24</v>
      </c>
      <c r="D413" s="988" t="s">
        <v>25</v>
      </c>
      <c r="E413" s="989" t="s">
        <v>14</v>
      </c>
      <c r="F413" s="941"/>
      <c r="G413" s="987" t="s">
        <v>23</v>
      </c>
      <c r="H413" s="987" t="s">
        <v>24</v>
      </c>
      <c r="I413" s="990" t="s">
        <v>25</v>
      </c>
      <c r="J413" s="989" t="s">
        <v>14</v>
      </c>
      <c r="K413" s="941"/>
      <c r="L413" s="987" t="s">
        <v>23</v>
      </c>
      <c r="M413" s="987" t="s">
        <v>24</v>
      </c>
      <c r="N413" s="990" t="s">
        <v>25</v>
      </c>
      <c r="O413" s="989" t="s">
        <v>14</v>
      </c>
      <c r="P413" s="941"/>
      <c r="Q413" s="987" t="s">
        <v>23</v>
      </c>
      <c r="R413" s="987" t="s">
        <v>24</v>
      </c>
      <c r="S413" s="990" t="s">
        <v>25</v>
      </c>
      <c r="T413" s="989" t="s">
        <v>14</v>
      </c>
      <c r="U413" s="941"/>
      <c r="V413" s="987" t="s">
        <v>23</v>
      </c>
      <c r="W413" s="987" t="s">
        <v>24</v>
      </c>
      <c r="X413" s="990" t="s">
        <v>25</v>
      </c>
      <c r="Y413" s="989" t="s">
        <v>14</v>
      </c>
      <c r="Z413" s="1589"/>
      <c r="AA413" s="1589"/>
      <c r="AB413" s="941"/>
      <c r="AC413" s="987" t="s">
        <v>23</v>
      </c>
      <c r="AD413" s="987" t="s">
        <v>24</v>
      </c>
      <c r="AE413" s="990" t="s">
        <v>25</v>
      </c>
      <c r="AF413" s="941"/>
      <c r="AG413" s="987" t="s">
        <v>23</v>
      </c>
      <c r="AH413" s="987" t="s">
        <v>24</v>
      </c>
      <c r="AI413" s="990" t="s">
        <v>25</v>
      </c>
      <c r="AJ413" s="1589"/>
      <c r="AK413" s="941"/>
      <c r="AL413" s="984"/>
      <c r="AM413" s="991"/>
      <c r="AN413" s="992" t="s">
        <v>26</v>
      </c>
      <c r="AO413" s="993">
        <v>542.75</v>
      </c>
      <c r="AP413" s="994">
        <v>40.31</v>
      </c>
      <c r="AQ413" s="994">
        <f>AP413*AO413</f>
        <v>21878.252500000002</v>
      </c>
      <c r="AR413" s="954"/>
      <c r="AS413" s="954"/>
    </row>
    <row r="414" spans="1:45" ht="13.5" customHeight="1">
      <c r="A414" s="1006" t="s">
        <v>72</v>
      </c>
      <c r="B414" s="1034">
        <v>0.29166666666666669</v>
      </c>
      <c r="C414" s="1034">
        <v>0.125</v>
      </c>
      <c r="D414" s="1035">
        <v>8</v>
      </c>
      <c r="E414" s="1036"/>
      <c r="F414" s="1037"/>
      <c r="G414" s="1034">
        <v>0.29166666666666669</v>
      </c>
      <c r="H414" s="1034">
        <v>0.125</v>
      </c>
      <c r="I414" s="1035">
        <v>8</v>
      </c>
      <c r="J414" s="1036"/>
      <c r="K414" s="1037"/>
      <c r="L414" s="1034">
        <v>0.29166666666666669</v>
      </c>
      <c r="M414" s="1034">
        <v>0.125</v>
      </c>
      <c r="N414" s="1035">
        <v>8</v>
      </c>
      <c r="O414" s="1036"/>
      <c r="P414" s="1037"/>
      <c r="Q414" s="1034">
        <v>0.29166666666666669</v>
      </c>
      <c r="R414" s="1034">
        <v>0.125</v>
      </c>
      <c r="S414" s="1035">
        <v>8</v>
      </c>
      <c r="T414" s="1036"/>
      <c r="U414" s="1037"/>
      <c r="V414" s="1034">
        <v>0.29166666666666669</v>
      </c>
      <c r="W414" s="1034">
        <v>0.125</v>
      </c>
      <c r="X414" s="1035">
        <v>8</v>
      </c>
      <c r="Y414" s="1036"/>
      <c r="Z414" s="1038">
        <v>40</v>
      </c>
      <c r="AA414" s="1039">
        <v>0</v>
      </c>
      <c r="AB414" s="1037"/>
      <c r="AC414" s="1040"/>
      <c r="AD414" s="1040"/>
      <c r="AE414" s="1035"/>
      <c r="AF414" s="1037"/>
      <c r="AG414" s="1040"/>
      <c r="AH414" s="1040"/>
      <c r="AI414" s="1035"/>
      <c r="AJ414" s="1038">
        <v>0</v>
      </c>
      <c r="AK414" s="941"/>
      <c r="AL414" s="984"/>
      <c r="AM414" s="991"/>
      <c r="AN414" s="992" t="s">
        <v>1421</v>
      </c>
      <c r="AO414" s="1005">
        <v>199.5</v>
      </c>
      <c r="AP414" s="1007">
        <v>60.47</v>
      </c>
      <c r="AQ414" s="994">
        <f>AP414*AO414</f>
        <v>12063.764999999999</v>
      </c>
      <c r="AR414" s="954"/>
      <c r="AS414" s="954"/>
    </row>
    <row r="415" spans="1:45" ht="13.5" customHeight="1">
      <c r="A415" s="1009" t="s">
        <v>1166</v>
      </c>
      <c r="B415" s="1034">
        <v>0.29166666666666669</v>
      </c>
      <c r="C415" s="1034">
        <v>0.125</v>
      </c>
      <c r="D415" s="1035">
        <v>8</v>
      </c>
      <c r="E415" s="1036"/>
      <c r="F415" s="1037"/>
      <c r="G415" s="1034">
        <v>0.29166666666666669</v>
      </c>
      <c r="H415" s="1034"/>
      <c r="I415" s="1035">
        <v>8</v>
      </c>
      <c r="J415" s="1036"/>
      <c r="K415" s="1037"/>
      <c r="L415" s="1034">
        <v>0.29166666666666669</v>
      </c>
      <c r="M415" s="1034">
        <v>0.125</v>
      </c>
      <c r="N415" s="1035">
        <v>8</v>
      </c>
      <c r="O415" s="1036"/>
      <c r="P415" s="1037"/>
      <c r="Q415" s="1034">
        <v>0.29166666666666669</v>
      </c>
      <c r="R415" s="1034">
        <v>0.125</v>
      </c>
      <c r="S415" s="1035">
        <v>8</v>
      </c>
      <c r="T415" s="1036"/>
      <c r="U415" s="1037"/>
      <c r="V415" s="1034">
        <v>0.29166666666666669</v>
      </c>
      <c r="W415" s="1034">
        <v>0.125</v>
      </c>
      <c r="X415" s="1035">
        <v>8</v>
      </c>
      <c r="Y415" s="1036"/>
      <c r="Z415" s="1038">
        <v>40</v>
      </c>
      <c r="AA415" s="1039">
        <v>0</v>
      </c>
      <c r="AB415" s="1037"/>
      <c r="AC415" s="1034"/>
      <c r="AD415" s="1034"/>
      <c r="AE415" s="1035"/>
      <c r="AF415" s="1037"/>
      <c r="AG415" s="1034"/>
      <c r="AH415" s="1034"/>
      <c r="AI415" s="1035"/>
      <c r="AJ415" s="1038">
        <v>0</v>
      </c>
      <c r="AK415" s="941"/>
      <c r="AL415" s="943"/>
      <c r="AM415" s="940"/>
      <c r="AN415" s="992" t="s">
        <v>30</v>
      </c>
      <c r="AO415" s="1005">
        <v>0.25</v>
      </c>
      <c r="AP415" s="1007">
        <v>60.465000000000003</v>
      </c>
      <c r="AQ415" s="994">
        <f t="shared" ref="AQ415" si="11">AP415*AO415</f>
        <v>15.116250000000001</v>
      </c>
      <c r="AR415" s="954"/>
      <c r="AS415" s="954"/>
    </row>
    <row r="416" spans="1:45" ht="13.5" customHeight="1">
      <c r="A416" s="1009" t="s">
        <v>1425</v>
      </c>
      <c r="B416" s="1034">
        <v>0.29166666666666669</v>
      </c>
      <c r="C416" s="1034"/>
      <c r="D416" s="1035">
        <v>8</v>
      </c>
      <c r="E416" s="1036"/>
      <c r="F416" s="1037"/>
      <c r="G416" s="1132"/>
      <c r="H416" s="1132"/>
      <c r="I416" s="1035">
        <v>0</v>
      </c>
      <c r="J416" s="1036"/>
      <c r="K416" s="1037"/>
      <c r="L416" s="1132"/>
      <c r="M416" s="1132"/>
      <c r="N416" s="1035">
        <v>0</v>
      </c>
      <c r="O416" s="1036"/>
      <c r="P416" s="1037"/>
      <c r="Q416" s="1034">
        <v>0.29166666666666669</v>
      </c>
      <c r="R416" s="1034">
        <v>0.125</v>
      </c>
      <c r="S416" s="1035">
        <v>8</v>
      </c>
      <c r="T416" s="1036"/>
      <c r="U416" s="1037"/>
      <c r="V416" s="1034">
        <v>0.38541666666666669</v>
      </c>
      <c r="W416" s="1034">
        <v>0.125</v>
      </c>
      <c r="X416" s="1035">
        <v>5.75</v>
      </c>
      <c r="Y416" s="1036"/>
      <c r="Z416" s="1038">
        <v>21.75</v>
      </c>
      <c r="AA416" s="1039">
        <v>0</v>
      </c>
      <c r="AB416" s="1037"/>
      <c r="AC416" s="1034"/>
      <c r="AD416" s="1034"/>
      <c r="AE416" s="1035"/>
      <c r="AF416" s="1037"/>
      <c r="AG416" s="1034"/>
      <c r="AH416" s="1034"/>
      <c r="AI416" s="1035"/>
      <c r="AJ416" s="1038">
        <v>0</v>
      </c>
      <c r="AK416" s="941"/>
      <c r="AL416" s="943"/>
      <c r="AM416" s="940"/>
      <c r="AN416" s="992" t="s">
        <v>32</v>
      </c>
      <c r="AO416" s="1005">
        <v>13.5</v>
      </c>
      <c r="AP416" s="994">
        <v>60.465000000000003</v>
      </c>
      <c r="AQ416" s="994">
        <f>AP416*AO416</f>
        <v>816.27750000000003</v>
      </c>
      <c r="AR416" s="954"/>
      <c r="AS416" s="954"/>
    </row>
    <row r="417" spans="1:45" ht="13.5" customHeight="1">
      <c r="A417" s="1009" t="s">
        <v>1426</v>
      </c>
      <c r="B417" s="1034">
        <v>0.29166666666666669</v>
      </c>
      <c r="C417" s="1034">
        <v>0.125</v>
      </c>
      <c r="D417" s="1035">
        <v>8</v>
      </c>
      <c r="E417" s="1036"/>
      <c r="F417" s="1037"/>
      <c r="G417" s="1034">
        <v>0.29166666666666669</v>
      </c>
      <c r="H417" s="1034">
        <v>0.125</v>
      </c>
      <c r="I417" s="1035">
        <v>8</v>
      </c>
      <c r="J417" s="1036"/>
      <c r="K417" s="1037"/>
      <c r="L417" s="1034">
        <v>0.29166666666666669</v>
      </c>
      <c r="M417" s="1034">
        <v>0.125</v>
      </c>
      <c r="N417" s="1035">
        <v>8</v>
      </c>
      <c r="O417" s="1036"/>
      <c r="P417" s="1037"/>
      <c r="Q417" s="1034">
        <v>0.29166666666666669</v>
      </c>
      <c r="R417" s="1034">
        <v>0.125</v>
      </c>
      <c r="S417" s="1035">
        <v>8</v>
      </c>
      <c r="T417" s="1036"/>
      <c r="U417" s="1037"/>
      <c r="V417" s="1034">
        <v>0.29166666666666669</v>
      </c>
      <c r="W417" s="1034">
        <v>0.125</v>
      </c>
      <c r="X417" s="1035">
        <v>8</v>
      </c>
      <c r="Y417" s="1036"/>
      <c r="Z417" s="1038">
        <v>40</v>
      </c>
      <c r="AA417" s="1039">
        <v>0</v>
      </c>
      <c r="AB417" s="1037"/>
      <c r="AC417" s="1034"/>
      <c r="AD417" s="1034"/>
      <c r="AE417" s="1035"/>
      <c r="AF417" s="1037"/>
      <c r="AG417" s="1034"/>
      <c r="AH417" s="1034"/>
      <c r="AI417" s="1035"/>
      <c r="AJ417" s="1038">
        <v>0</v>
      </c>
      <c r="AK417" s="941"/>
      <c r="AL417" s="943"/>
      <c r="AM417" s="940"/>
      <c r="AN417" s="1010" t="s">
        <v>213</v>
      </c>
      <c r="AO417" s="993">
        <v>19.5</v>
      </c>
      <c r="AP417" s="994">
        <v>53.05</v>
      </c>
      <c r="AQ417" s="994">
        <f>AP417*AO417</f>
        <v>1034.4749999999999</v>
      </c>
      <c r="AR417" s="954"/>
      <c r="AS417" s="954"/>
    </row>
    <row r="418" spans="1:45" ht="13.5" customHeight="1">
      <c r="A418" s="1009" t="s">
        <v>1066</v>
      </c>
      <c r="B418" s="1034">
        <v>0.29166666666666669</v>
      </c>
      <c r="C418" s="1034">
        <v>0.125</v>
      </c>
      <c r="D418" s="1035">
        <v>8</v>
      </c>
      <c r="E418" s="1036"/>
      <c r="F418" s="1037"/>
      <c r="G418" s="1034">
        <v>0.29166666666666669</v>
      </c>
      <c r="H418" s="1034">
        <v>0.125</v>
      </c>
      <c r="I418" s="1035">
        <v>8</v>
      </c>
      <c r="J418" s="1036"/>
      <c r="K418" s="1037"/>
      <c r="L418" s="1034">
        <v>0.29166666666666669</v>
      </c>
      <c r="M418" s="1034">
        <v>0.125</v>
      </c>
      <c r="N418" s="1035">
        <v>8</v>
      </c>
      <c r="O418" s="1036"/>
      <c r="P418" s="1037"/>
      <c r="Q418" s="1034">
        <v>0.29166666666666669</v>
      </c>
      <c r="R418" s="1034">
        <v>0.125</v>
      </c>
      <c r="S418" s="1035">
        <v>8</v>
      </c>
      <c r="T418" s="1036"/>
      <c r="U418" s="1037"/>
      <c r="V418" s="1034">
        <v>0.29166666666666669</v>
      </c>
      <c r="W418" s="1034">
        <v>0.125</v>
      </c>
      <c r="X418" s="1035">
        <v>8</v>
      </c>
      <c r="Y418" s="1036"/>
      <c r="Z418" s="1038">
        <v>40</v>
      </c>
      <c r="AA418" s="1039">
        <v>0</v>
      </c>
      <c r="AB418" s="1037"/>
      <c r="AC418" s="1034"/>
      <c r="AD418" s="1034"/>
      <c r="AE418" s="1035"/>
      <c r="AF418" s="1037"/>
      <c r="AG418" s="1034"/>
      <c r="AH418" s="1034"/>
      <c r="AI418" s="1035"/>
      <c r="AJ418" s="1038">
        <v>0</v>
      </c>
      <c r="AK418" s="941"/>
      <c r="AL418" s="943"/>
      <c r="AM418" s="940"/>
      <c r="AN418" s="992" t="s">
        <v>36</v>
      </c>
      <c r="AO418" s="1005">
        <v>0</v>
      </c>
      <c r="AP418" s="994">
        <v>79.574999999999989</v>
      </c>
      <c r="AQ418" s="994">
        <f>AP418*AO418</f>
        <v>0</v>
      </c>
      <c r="AR418" s="954"/>
      <c r="AS418" s="954"/>
    </row>
    <row r="419" spans="1:45" ht="13.5" customHeight="1">
      <c r="A419" s="1009" t="s">
        <v>1427</v>
      </c>
      <c r="B419" s="1132"/>
      <c r="C419" s="1132"/>
      <c r="D419" s="1035">
        <v>0</v>
      </c>
      <c r="E419" s="1036"/>
      <c r="F419" s="1037"/>
      <c r="G419" s="1132"/>
      <c r="H419" s="1132"/>
      <c r="I419" s="1035">
        <v>0</v>
      </c>
      <c r="J419" s="1036"/>
      <c r="K419" s="1037"/>
      <c r="L419" s="1034">
        <v>0.29166666666666669</v>
      </c>
      <c r="M419" s="1034">
        <v>0.125</v>
      </c>
      <c r="N419" s="1035">
        <v>8</v>
      </c>
      <c r="O419" s="1036"/>
      <c r="P419" s="1037"/>
      <c r="Q419" s="1034">
        <v>0.29166666666666669</v>
      </c>
      <c r="R419" s="1034">
        <v>0.125</v>
      </c>
      <c r="S419" s="1035">
        <v>8</v>
      </c>
      <c r="T419" s="1036"/>
      <c r="U419" s="1037"/>
      <c r="V419" s="1034">
        <v>0.29166666666666669</v>
      </c>
      <c r="W419" s="1034">
        <v>0.13541666666666666</v>
      </c>
      <c r="X419" s="1035">
        <v>8</v>
      </c>
      <c r="Y419" s="1036">
        <v>0.25</v>
      </c>
      <c r="Z419" s="1038">
        <v>24</v>
      </c>
      <c r="AA419" s="1039">
        <v>0.25</v>
      </c>
      <c r="AB419" s="1037"/>
      <c r="AC419" s="1034"/>
      <c r="AD419" s="1034"/>
      <c r="AE419" s="1035"/>
      <c r="AF419" s="1037"/>
      <c r="AG419" s="1034"/>
      <c r="AH419" s="1034"/>
      <c r="AI419" s="1035"/>
      <c r="AJ419" s="1038">
        <v>0</v>
      </c>
      <c r="AK419" s="941"/>
      <c r="AL419" s="943"/>
      <c r="AM419" s="940"/>
      <c r="AN419" s="992" t="s">
        <v>38</v>
      </c>
      <c r="AO419" s="1005">
        <v>7.25</v>
      </c>
      <c r="AP419" s="994">
        <v>79.574999999999989</v>
      </c>
      <c r="AQ419" s="994">
        <f>AP419*AO419</f>
        <v>576.91874999999993</v>
      </c>
      <c r="AR419" s="954"/>
      <c r="AS419" s="954"/>
    </row>
    <row r="420" spans="1:45" ht="13.5" customHeight="1">
      <c r="A420" s="1009" t="s">
        <v>1428</v>
      </c>
      <c r="B420" s="1034">
        <v>0.125</v>
      </c>
      <c r="C420" s="1034">
        <v>0.45833333333333331</v>
      </c>
      <c r="D420" s="1035">
        <v>8</v>
      </c>
      <c r="E420" s="1036"/>
      <c r="F420" s="1037"/>
      <c r="G420" s="1034">
        <v>0.125</v>
      </c>
      <c r="H420" s="1034">
        <v>0.45833333333333331</v>
      </c>
      <c r="I420" s="1035">
        <v>8</v>
      </c>
      <c r="J420" s="1036"/>
      <c r="K420" s="1037"/>
      <c r="L420" s="1034">
        <v>0.125</v>
      </c>
      <c r="M420" s="1034">
        <v>0.45833333333333331</v>
      </c>
      <c r="N420" s="1035">
        <v>8</v>
      </c>
      <c r="O420" s="1036"/>
      <c r="P420" s="1037"/>
      <c r="Q420" s="1034">
        <v>0.125</v>
      </c>
      <c r="R420" s="1034">
        <v>0.45833333333333331</v>
      </c>
      <c r="S420" s="1035">
        <v>8</v>
      </c>
      <c r="T420" s="1036"/>
      <c r="U420" s="1037"/>
      <c r="V420" s="1034">
        <v>0.125</v>
      </c>
      <c r="W420" s="1034">
        <v>0.45833333333333331</v>
      </c>
      <c r="X420" s="1035">
        <v>8</v>
      </c>
      <c r="Y420" s="1036"/>
      <c r="Z420" s="1038">
        <v>40</v>
      </c>
      <c r="AA420" s="1039">
        <v>0</v>
      </c>
      <c r="AB420" s="1037"/>
      <c r="AC420" s="1034"/>
      <c r="AD420" s="1034"/>
      <c r="AE420" s="1035"/>
      <c r="AF420" s="1037"/>
      <c r="AG420" s="1034"/>
      <c r="AH420" s="1034"/>
      <c r="AI420" s="1035"/>
      <c r="AJ420" s="1038">
        <v>0</v>
      </c>
      <c r="AK420" s="941"/>
      <c r="AL420" s="943"/>
      <c r="AM420" s="940"/>
      <c r="AN420" s="954"/>
      <c r="AO420" s="1005"/>
      <c r="AP420" s="954"/>
      <c r="AQ420" s="1094">
        <v>36384.804999999993</v>
      </c>
      <c r="AR420" s="954"/>
      <c r="AS420" s="954"/>
    </row>
    <row r="421" spans="1:45" ht="13.5" customHeight="1">
      <c r="A421" s="1009" t="s">
        <v>1142</v>
      </c>
      <c r="B421" s="1034">
        <v>0.125</v>
      </c>
      <c r="C421" s="1034">
        <v>0.45833333333333331</v>
      </c>
      <c r="D421" s="1035">
        <v>8</v>
      </c>
      <c r="E421" s="1036"/>
      <c r="F421" s="1037"/>
      <c r="G421" s="1034">
        <v>0.125</v>
      </c>
      <c r="H421" s="1034">
        <v>0.45833333333333331</v>
      </c>
      <c r="I421" s="1035">
        <v>8</v>
      </c>
      <c r="J421" s="1036"/>
      <c r="K421" s="1042"/>
      <c r="L421" s="1034">
        <v>0.125</v>
      </c>
      <c r="M421" s="1034">
        <v>0.45833333333333331</v>
      </c>
      <c r="N421" s="1035">
        <v>8</v>
      </c>
      <c r="O421" s="1036"/>
      <c r="P421" s="1042"/>
      <c r="Q421" s="1034">
        <v>0.125</v>
      </c>
      <c r="R421" s="1034">
        <v>0.45833333333333331</v>
      </c>
      <c r="S421" s="1035">
        <v>8</v>
      </c>
      <c r="T421" s="1036"/>
      <c r="U421" s="1042"/>
      <c r="V421" s="1034">
        <v>0.125</v>
      </c>
      <c r="W421" s="1034">
        <v>0.45833333333333331</v>
      </c>
      <c r="X421" s="1035">
        <v>8</v>
      </c>
      <c r="Y421" s="1036"/>
      <c r="Z421" s="1038">
        <v>40</v>
      </c>
      <c r="AA421" s="1039">
        <v>0</v>
      </c>
      <c r="AB421" s="1037"/>
      <c r="AC421" s="1034"/>
      <c r="AD421" s="1034"/>
      <c r="AE421" s="1035"/>
      <c r="AF421" s="1037"/>
      <c r="AG421" s="1034"/>
      <c r="AH421" s="1034"/>
      <c r="AI421" s="1035"/>
      <c r="AJ421" s="1038">
        <v>0</v>
      </c>
      <c r="AK421" s="941"/>
      <c r="AL421" s="943"/>
      <c r="AM421" s="940"/>
      <c r="AN421" s="954"/>
      <c r="AO421" s="1005"/>
      <c r="AP421" s="954"/>
      <c r="AQ421" s="954"/>
      <c r="AR421" s="954"/>
      <c r="AS421" s="954"/>
    </row>
    <row r="422" spans="1:45" ht="13.5" customHeight="1">
      <c r="A422" s="1009" t="s">
        <v>1429</v>
      </c>
      <c r="B422" s="1034">
        <v>0.125</v>
      </c>
      <c r="C422" s="1034">
        <v>0.45833333333333331</v>
      </c>
      <c r="D422" s="1035">
        <v>8</v>
      </c>
      <c r="E422" s="1036"/>
      <c r="F422" s="1037"/>
      <c r="G422" s="1034">
        <v>0.125</v>
      </c>
      <c r="H422" s="1034">
        <v>0.45833333333333331</v>
      </c>
      <c r="I422" s="1035">
        <v>8</v>
      </c>
      <c r="J422" s="1036"/>
      <c r="K422" s="1042"/>
      <c r="L422" s="1034">
        <v>0.125</v>
      </c>
      <c r="M422" s="1034">
        <v>0.45833333333333331</v>
      </c>
      <c r="N422" s="1035">
        <v>8</v>
      </c>
      <c r="O422" s="1036"/>
      <c r="P422" s="1042"/>
      <c r="Q422" s="1034">
        <v>0.125</v>
      </c>
      <c r="R422" s="1034">
        <v>0.45833333333333331</v>
      </c>
      <c r="S422" s="1035">
        <v>8</v>
      </c>
      <c r="T422" s="1036"/>
      <c r="U422" s="1042"/>
      <c r="V422" s="1034">
        <v>0.125</v>
      </c>
      <c r="W422" s="1034">
        <v>0.45833333333333331</v>
      </c>
      <c r="X422" s="1035">
        <v>8</v>
      </c>
      <c r="Y422" s="1036"/>
      <c r="Z422" s="1038">
        <v>40</v>
      </c>
      <c r="AA422" s="1039">
        <v>0</v>
      </c>
      <c r="AB422" s="1037"/>
      <c r="AC422" s="1034">
        <v>6.25E-2</v>
      </c>
      <c r="AD422" s="1034">
        <v>0.22916666666666666</v>
      </c>
      <c r="AE422" s="1035">
        <v>4</v>
      </c>
      <c r="AF422" s="1037"/>
      <c r="AG422" s="1034"/>
      <c r="AH422" s="1034"/>
      <c r="AI422" s="1035"/>
      <c r="AJ422" s="1038">
        <v>4</v>
      </c>
      <c r="AK422" s="941"/>
      <c r="AL422" s="943"/>
      <c r="AM422" s="940"/>
      <c r="AN422" s="953" t="s">
        <v>1115</v>
      </c>
      <c r="AO422" s="1005">
        <v>87</v>
      </c>
      <c r="AP422" s="954"/>
      <c r="AQ422" s="954"/>
      <c r="AR422" s="954"/>
      <c r="AS422" s="954"/>
    </row>
    <row r="423" spans="1:45" ht="13.5" customHeight="1">
      <c r="A423" s="1011" t="s">
        <v>1060</v>
      </c>
      <c r="B423" s="1034">
        <v>0.125</v>
      </c>
      <c r="C423" s="1034">
        <v>0.45833333333333331</v>
      </c>
      <c r="D423" s="1035">
        <v>8</v>
      </c>
      <c r="E423" s="1036"/>
      <c r="F423" s="1037"/>
      <c r="G423" s="1034">
        <v>0.125</v>
      </c>
      <c r="H423" s="1034">
        <v>0.45833333333333331</v>
      </c>
      <c r="I423" s="1035">
        <v>8</v>
      </c>
      <c r="J423" s="1036"/>
      <c r="K423" s="1042"/>
      <c r="L423" s="1034">
        <v>0.125</v>
      </c>
      <c r="M423" s="1034">
        <v>0.45833333333333331</v>
      </c>
      <c r="N423" s="1035">
        <v>8</v>
      </c>
      <c r="O423" s="1036"/>
      <c r="P423" s="1042"/>
      <c r="Q423" s="1034">
        <v>0.125</v>
      </c>
      <c r="R423" s="1034">
        <v>0.45833333333333331</v>
      </c>
      <c r="S423" s="1035">
        <v>8</v>
      </c>
      <c r="T423" s="1036"/>
      <c r="U423" s="1042"/>
      <c r="V423" s="1034">
        <v>0.125</v>
      </c>
      <c r="W423" s="1034">
        <v>0.45833333333333331</v>
      </c>
      <c r="X423" s="1035">
        <v>8</v>
      </c>
      <c r="Y423" s="1036"/>
      <c r="Z423" s="1038">
        <v>40</v>
      </c>
      <c r="AA423" s="1039">
        <v>0</v>
      </c>
      <c r="AB423" s="1037"/>
      <c r="AC423" s="1034"/>
      <c r="AD423" s="1034"/>
      <c r="AE423" s="1035"/>
      <c r="AF423" s="1037"/>
      <c r="AG423" s="1034"/>
      <c r="AH423" s="1034"/>
      <c r="AI423" s="1035"/>
      <c r="AJ423" s="1038">
        <v>0</v>
      </c>
      <c r="AK423" s="941"/>
      <c r="AL423" s="943"/>
      <c r="AM423" s="940"/>
      <c r="AN423" s="954"/>
      <c r="AO423" s="954"/>
      <c r="AP423" s="954"/>
      <c r="AQ423" s="954"/>
      <c r="AR423" s="954"/>
      <c r="AS423" s="954"/>
    </row>
    <row r="424" spans="1:45" ht="13.5" customHeight="1">
      <c r="A424" s="941" t="s">
        <v>327</v>
      </c>
      <c r="B424" s="1034">
        <v>0.125</v>
      </c>
      <c r="C424" s="1034">
        <v>0.45833333333333331</v>
      </c>
      <c r="D424" s="1035">
        <v>8</v>
      </c>
      <c r="E424" s="1036"/>
      <c r="F424" s="1042"/>
      <c r="G424" s="1034">
        <v>0.125</v>
      </c>
      <c r="H424" s="1034">
        <v>0.45833333333333331</v>
      </c>
      <c r="I424" s="1035">
        <v>8</v>
      </c>
      <c r="J424" s="1036"/>
      <c r="K424" s="1042"/>
      <c r="L424" s="1034">
        <v>0.125</v>
      </c>
      <c r="M424" s="1034">
        <v>0.45833333333333331</v>
      </c>
      <c r="N424" s="1035">
        <v>8</v>
      </c>
      <c r="O424" s="1036"/>
      <c r="P424" s="1042"/>
      <c r="Q424" s="1034">
        <v>0.125</v>
      </c>
      <c r="R424" s="1034">
        <v>0.45833333333333331</v>
      </c>
      <c r="S424" s="1035">
        <v>8</v>
      </c>
      <c r="T424" s="1036"/>
      <c r="U424" s="1042"/>
      <c r="V424" s="1034">
        <v>0.125</v>
      </c>
      <c r="W424" s="1034">
        <v>0.45833333333333331</v>
      </c>
      <c r="X424" s="1035">
        <v>8</v>
      </c>
      <c r="Y424" s="1036"/>
      <c r="Z424" s="1038">
        <v>40</v>
      </c>
      <c r="AA424" s="1039">
        <v>0</v>
      </c>
      <c r="AB424" s="1037"/>
      <c r="AC424" s="1034"/>
      <c r="AD424" s="1034"/>
      <c r="AE424" s="1035"/>
      <c r="AF424" s="1037"/>
      <c r="AG424" s="1034"/>
      <c r="AH424" s="1034"/>
      <c r="AI424" s="1035"/>
      <c r="AJ424" s="1038">
        <v>0</v>
      </c>
      <c r="AK424" s="941"/>
      <c r="AL424" s="943"/>
      <c r="AM424" s="940"/>
      <c r="AN424" s="954"/>
      <c r="AO424" s="954"/>
      <c r="AP424" s="954"/>
      <c r="AQ424" s="954"/>
      <c r="AR424" s="954"/>
      <c r="AS424" s="954"/>
    </row>
    <row r="425" spans="1:45" ht="13.5" customHeight="1">
      <c r="A425" s="1006" t="s">
        <v>1144</v>
      </c>
      <c r="B425" s="1034">
        <v>0.125</v>
      </c>
      <c r="C425" s="1034">
        <v>0.45833333333333331</v>
      </c>
      <c r="D425" s="1035">
        <v>8</v>
      </c>
      <c r="E425" s="1036"/>
      <c r="F425" s="1042"/>
      <c r="G425" s="1034">
        <v>0.125</v>
      </c>
      <c r="H425" s="1034">
        <v>0.45833333333333331</v>
      </c>
      <c r="I425" s="1035">
        <v>8</v>
      </c>
      <c r="J425" s="1036"/>
      <c r="K425" s="1042"/>
      <c r="L425" s="1034">
        <v>0.125</v>
      </c>
      <c r="M425" s="1034">
        <v>0.45833333333333331</v>
      </c>
      <c r="N425" s="1035">
        <v>8</v>
      </c>
      <c r="O425" s="1036"/>
      <c r="P425" s="1042"/>
      <c r="Q425" s="1034">
        <v>0.125</v>
      </c>
      <c r="R425" s="1034">
        <v>0.45833333333333331</v>
      </c>
      <c r="S425" s="1035">
        <v>8</v>
      </c>
      <c r="T425" s="1036"/>
      <c r="U425" s="1042"/>
      <c r="V425" s="1034">
        <v>0.125</v>
      </c>
      <c r="W425" s="1034">
        <v>0.45833333333333331</v>
      </c>
      <c r="X425" s="1035">
        <v>8</v>
      </c>
      <c r="Y425" s="1036"/>
      <c r="Z425" s="1038">
        <v>40</v>
      </c>
      <c r="AA425" s="1039">
        <v>0</v>
      </c>
      <c r="AB425" s="1037"/>
      <c r="AC425" s="1034"/>
      <c r="AD425" s="1034"/>
      <c r="AE425" s="1035"/>
      <c r="AF425" s="1037"/>
      <c r="AG425" s="1034"/>
      <c r="AH425" s="1034"/>
      <c r="AI425" s="1035"/>
      <c r="AJ425" s="1038">
        <v>0</v>
      </c>
      <c r="AK425" s="941"/>
      <c r="AL425" s="943"/>
      <c r="AM425" s="940"/>
      <c r="AN425" s="954"/>
      <c r="AO425" s="954"/>
      <c r="AP425" s="954"/>
      <c r="AQ425" s="954"/>
      <c r="AR425" s="954"/>
      <c r="AS425" s="954"/>
    </row>
    <row r="426" spans="1:45" ht="13.5" customHeight="1">
      <c r="A426" s="1006" t="s">
        <v>1436</v>
      </c>
      <c r="B426" s="1034">
        <v>0.125</v>
      </c>
      <c r="C426" s="1034">
        <v>0.45833333333333331</v>
      </c>
      <c r="D426" s="1035">
        <v>8</v>
      </c>
      <c r="E426" s="1036"/>
      <c r="F426" s="1042"/>
      <c r="G426" s="1034">
        <v>0.125</v>
      </c>
      <c r="H426" s="1034">
        <v>0.45833333333333331</v>
      </c>
      <c r="I426" s="1035">
        <v>8</v>
      </c>
      <c r="J426" s="1036"/>
      <c r="K426" s="1042"/>
      <c r="L426" s="1034">
        <v>0.125</v>
      </c>
      <c r="M426" s="1034">
        <v>0.45833333333333331</v>
      </c>
      <c r="N426" s="1035">
        <v>8</v>
      </c>
      <c r="O426" s="1036"/>
      <c r="P426" s="1042"/>
      <c r="Q426" s="1034">
        <v>0.125</v>
      </c>
      <c r="R426" s="1034">
        <v>0.45833333333333331</v>
      </c>
      <c r="S426" s="1035">
        <v>8</v>
      </c>
      <c r="T426" s="1036"/>
      <c r="U426" s="1042"/>
      <c r="V426" s="1034">
        <v>0.125</v>
      </c>
      <c r="W426" s="1034">
        <v>0.45833333333333331</v>
      </c>
      <c r="X426" s="1035">
        <v>8</v>
      </c>
      <c r="Y426" s="1036"/>
      <c r="Z426" s="1038">
        <v>40</v>
      </c>
      <c r="AA426" s="1039">
        <v>0</v>
      </c>
      <c r="AB426" s="1037"/>
      <c r="AC426" s="1034"/>
      <c r="AD426" s="1034"/>
      <c r="AE426" s="1035"/>
      <c r="AF426" s="1037"/>
      <c r="AG426" s="1034"/>
      <c r="AH426" s="1034"/>
      <c r="AI426" s="1035"/>
      <c r="AJ426" s="1038">
        <v>0</v>
      </c>
      <c r="AK426" s="941"/>
      <c r="AL426" s="943"/>
      <c r="AM426" s="940"/>
      <c r="AN426" s="954"/>
      <c r="AO426" s="954"/>
      <c r="AP426" s="954"/>
      <c r="AQ426" s="954"/>
      <c r="AR426" s="954"/>
      <c r="AS426" s="954"/>
    </row>
    <row r="427" spans="1:45" ht="13.5" customHeight="1">
      <c r="A427" s="1009" t="s">
        <v>241</v>
      </c>
      <c r="B427" s="1034"/>
      <c r="C427" s="1034"/>
      <c r="D427" s="1035"/>
      <c r="E427" s="1036"/>
      <c r="F427" s="1042"/>
      <c r="G427" s="1034"/>
      <c r="H427" s="1034"/>
      <c r="I427" s="1035"/>
      <c r="J427" s="1036"/>
      <c r="K427" s="1042"/>
      <c r="L427" s="1034"/>
      <c r="M427" s="1034"/>
      <c r="N427" s="1035"/>
      <c r="O427" s="1036"/>
      <c r="P427" s="1042"/>
      <c r="Q427" s="1034"/>
      <c r="R427" s="1034"/>
      <c r="S427" s="1035"/>
      <c r="T427" s="1036"/>
      <c r="U427" s="1042"/>
      <c r="V427" s="1063"/>
      <c r="W427" s="1034"/>
      <c r="X427" s="1035"/>
      <c r="Y427" s="1036"/>
      <c r="Z427" s="1038">
        <v>0</v>
      </c>
      <c r="AA427" s="1039">
        <v>0</v>
      </c>
      <c r="AB427" s="1037"/>
      <c r="AC427" s="1034">
        <v>4.1666666666666664E-2</v>
      </c>
      <c r="AD427" s="1034">
        <v>0.25</v>
      </c>
      <c r="AE427" s="1035">
        <v>5</v>
      </c>
      <c r="AF427" s="1037"/>
      <c r="AG427" s="1034">
        <v>6.25E-2</v>
      </c>
      <c r="AH427" s="1034">
        <v>0.25</v>
      </c>
      <c r="AI427" s="1035">
        <v>4.5</v>
      </c>
      <c r="AJ427" s="1038">
        <v>9.5</v>
      </c>
      <c r="AK427" s="941"/>
      <c r="AL427" s="943"/>
      <c r="AM427" s="940"/>
      <c r="AN427" s="954"/>
      <c r="AO427" s="954"/>
      <c r="AP427" s="954"/>
      <c r="AQ427" s="954"/>
      <c r="AR427" s="954"/>
      <c r="AS427" s="954"/>
    </row>
    <row r="428" spans="1:45" ht="13.5" customHeight="1">
      <c r="A428" s="1009" t="s">
        <v>1444</v>
      </c>
      <c r="B428" s="1034"/>
      <c r="C428" s="1034"/>
      <c r="D428" s="1035"/>
      <c r="E428" s="1036"/>
      <c r="F428" s="1042"/>
      <c r="G428" s="1034">
        <v>0.29166666666666669</v>
      </c>
      <c r="H428" s="1034">
        <v>0.125</v>
      </c>
      <c r="I428" s="1035">
        <v>8</v>
      </c>
      <c r="J428" s="1036"/>
      <c r="K428" s="1042"/>
      <c r="L428" s="1034"/>
      <c r="M428" s="1034"/>
      <c r="N428" s="1035"/>
      <c r="O428" s="1036"/>
      <c r="P428" s="1042"/>
      <c r="Q428" s="1034"/>
      <c r="R428" s="1034"/>
      <c r="S428" s="1035"/>
      <c r="T428" s="1036"/>
      <c r="U428" s="1042"/>
      <c r="V428" s="1034"/>
      <c r="W428" s="1034"/>
      <c r="X428" s="1035"/>
      <c r="Y428" s="1036"/>
      <c r="Z428" s="1038">
        <v>8</v>
      </c>
      <c r="AA428" s="1039">
        <v>0</v>
      </c>
      <c r="AB428" s="1037"/>
      <c r="AC428" s="1034"/>
      <c r="AD428" s="1034"/>
      <c r="AE428" s="1035"/>
      <c r="AF428" s="1037"/>
      <c r="AG428" s="1034"/>
      <c r="AH428" s="1034"/>
      <c r="AI428" s="1035"/>
      <c r="AJ428" s="1038">
        <v>0</v>
      </c>
      <c r="AK428" s="941"/>
      <c r="AL428" s="943"/>
      <c r="AM428" s="940"/>
      <c r="AN428" s="954"/>
      <c r="AO428" s="954"/>
      <c r="AP428" s="954"/>
      <c r="AQ428" s="954"/>
      <c r="AR428" s="954"/>
      <c r="AS428" s="954"/>
    </row>
    <row r="429" spans="1:45" ht="13.5" customHeight="1">
      <c r="A429" s="1009" t="s">
        <v>1064</v>
      </c>
      <c r="B429" s="1034"/>
      <c r="C429" s="1034"/>
      <c r="D429" s="1035"/>
      <c r="E429" s="1036"/>
      <c r="F429" s="1042"/>
      <c r="G429" s="1063"/>
      <c r="H429" s="1063"/>
      <c r="I429" s="1035"/>
      <c r="J429" s="1036"/>
      <c r="K429" s="1042"/>
      <c r="L429" s="1034">
        <v>0.29166666666666669</v>
      </c>
      <c r="M429" s="1034">
        <v>0.125</v>
      </c>
      <c r="N429" s="1035">
        <v>8</v>
      </c>
      <c r="O429" s="1036"/>
      <c r="P429" s="1042"/>
      <c r="Q429" s="1034"/>
      <c r="R429" s="1034"/>
      <c r="S429" s="1035"/>
      <c r="T429" s="1036"/>
      <c r="U429" s="1042"/>
      <c r="V429" s="1034"/>
      <c r="W429" s="1034"/>
      <c r="X429" s="1035"/>
      <c r="Y429" s="1036"/>
      <c r="Z429" s="1038">
        <v>8</v>
      </c>
      <c r="AA429" s="1039">
        <v>0</v>
      </c>
      <c r="AB429" s="1037"/>
      <c r="AC429" s="1034"/>
      <c r="AD429" s="1034"/>
      <c r="AE429" s="1035"/>
      <c r="AF429" s="1037"/>
      <c r="AG429" s="1034"/>
      <c r="AH429" s="1034"/>
      <c r="AI429" s="1035"/>
      <c r="AJ429" s="1038">
        <v>0</v>
      </c>
      <c r="AK429" s="941"/>
      <c r="AL429" s="943"/>
      <c r="AM429" s="940"/>
      <c r="AN429" s="954"/>
      <c r="AO429" s="954"/>
      <c r="AP429" s="954"/>
      <c r="AQ429" s="954"/>
      <c r="AR429" s="954"/>
      <c r="AS429" s="954"/>
    </row>
    <row r="430" spans="1:45" ht="13.5" customHeight="1">
      <c r="A430" s="1009" t="s">
        <v>1431</v>
      </c>
      <c r="B430" s="1034"/>
      <c r="C430" s="1034"/>
      <c r="D430" s="1035">
        <v>1</v>
      </c>
      <c r="E430" s="1036"/>
      <c r="F430" s="1042"/>
      <c r="G430" s="1034"/>
      <c r="H430" s="1034"/>
      <c r="I430" s="1035">
        <v>1</v>
      </c>
      <c r="J430" s="1036"/>
      <c r="K430" s="1042"/>
      <c r="L430" s="1034"/>
      <c r="M430" s="1034"/>
      <c r="N430" s="1035">
        <v>1</v>
      </c>
      <c r="O430" s="1036"/>
      <c r="P430" s="1042"/>
      <c r="Q430" s="1034"/>
      <c r="R430" s="1034"/>
      <c r="S430" s="1035">
        <v>1</v>
      </c>
      <c r="T430" s="1036"/>
      <c r="U430" s="1042"/>
      <c r="V430" s="1034"/>
      <c r="W430" s="1034"/>
      <c r="X430" s="1035">
        <v>1</v>
      </c>
      <c r="Y430" s="1036"/>
      <c r="Z430" s="1038">
        <v>5</v>
      </c>
      <c r="AA430" s="1039">
        <v>0</v>
      </c>
      <c r="AB430" s="1037"/>
      <c r="AC430" s="1034"/>
      <c r="AD430" s="1034"/>
      <c r="AE430" s="1035"/>
      <c r="AF430" s="1037"/>
      <c r="AG430" s="1034"/>
      <c r="AH430" s="1034"/>
      <c r="AI430" s="1035"/>
      <c r="AJ430" s="1038">
        <v>0</v>
      </c>
      <c r="AK430" s="941"/>
      <c r="AL430" s="943"/>
      <c r="AM430" s="940"/>
      <c r="AN430" s="954"/>
      <c r="AO430" s="954"/>
      <c r="AP430" s="954"/>
      <c r="AQ430" s="954"/>
      <c r="AR430" s="954"/>
      <c r="AS430" s="954"/>
    </row>
    <row r="431" spans="1:45" ht="13.5" customHeight="1">
      <c r="A431" s="1009" t="s">
        <v>813</v>
      </c>
      <c r="B431" s="1034"/>
      <c r="C431" s="1034"/>
      <c r="D431" s="1035">
        <v>2</v>
      </c>
      <c r="E431" s="1036"/>
      <c r="F431" s="1042"/>
      <c r="G431" s="1034"/>
      <c r="H431" s="1034"/>
      <c r="I431" s="1035">
        <v>2</v>
      </c>
      <c r="J431" s="1036"/>
      <c r="K431" s="1042"/>
      <c r="L431" s="1034"/>
      <c r="M431" s="1034"/>
      <c r="N431" s="1035">
        <v>2</v>
      </c>
      <c r="O431" s="1036"/>
      <c r="P431" s="1042"/>
      <c r="Q431" s="1034"/>
      <c r="R431" s="1034"/>
      <c r="S431" s="1035">
        <v>2</v>
      </c>
      <c r="T431" s="1036"/>
      <c r="U431" s="1042"/>
      <c r="V431" s="1034"/>
      <c r="W431" s="1034"/>
      <c r="X431" s="1035">
        <v>2</v>
      </c>
      <c r="Y431" s="1036"/>
      <c r="Z431" s="1038">
        <v>10</v>
      </c>
      <c r="AA431" s="1039">
        <v>0</v>
      </c>
      <c r="AB431" s="1037"/>
      <c r="AC431" s="1034"/>
      <c r="AD431" s="1034"/>
      <c r="AE431" s="1035"/>
      <c r="AF431" s="1037"/>
      <c r="AG431" s="1034"/>
      <c r="AH431" s="1034"/>
      <c r="AI431" s="1035"/>
      <c r="AJ431" s="1038">
        <v>0</v>
      </c>
      <c r="AK431" s="941"/>
      <c r="AL431" s="943"/>
      <c r="AM431" s="940"/>
      <c r="AN431" s="954"/>
      <c r="AO431" s="954"/>
      <c r="AP431" s="954"/>
      <c r="AQ431" s="954"/>
      <c r="AR431" s="954"/>
      <c r="AS431" s="954"/>
    </row>
    <row r="432" spans="1:45" ht="13.5" customHeight="1">
      <c r="A432" s="1009" t="s">
        <v>88</v>
      </c>
      <c r="B432" s="1034"/>
      <c r="C432" s="1034"/>
      <c r="D432" s="1035">
        <v>2</v>
      </c>
      <c r="E432" s="1036"/>
      <c r="F432" s="1042"/>
      <c r="G432" s="1034"/>
      <c r="H432" s="1034"/>
      <c r="I432" s="1035">
        <v>2</v>
      </c>
      <c r="J432" s="1036"/>
      <c r="K432" s="1042"/>
      <c r="L432" s="1034"/>
      <c r="M432" s="1034"/>
      <c r="N432" s="1035">
        <v>2</v>
      </c>
      <c r="O432" s="1036"/>
      <c r="P432" s="1042"/>
      <c r="Q432" s="1034"/>
      <c r="R432" s="1034"/>
      <c r="S432" s="1035">
        <v>2</v>
      </c>
      <c r="T432" s="1036"/>
      <c r="U432" s="1042"/>
      <c r="V432" s="1034"/>
      <c r="W432" s="1034"/>
      <c r="X432" s="1035">
        <v>2</v>
      </c>
      <c r="Y432" s="1036"/>
      <c r="Z432" s="1038">
        <v>10</v>
      </c>
      <c r="AA432" s="1039">
        <v>0</v>
      </c>
      <c r="AB432" s="1037"/>
      <c r="AC432" s="1034"/>
      <c r="AD432" s="1034"/>
      <c r="AE432" s="1035"/>
      <c r="AF432" s="1037"/>
      <c r="AG432" s="1034"/>
      <c r="AH432" s="1034"/>
      <c r="AI432" s="1035"/>
      <c r="AJ432" s="1038">
        <v>0</v>
      </c>
      <c r="AK432" s="941"/>
      <c r="AL432" s="943"/>
      <c r="AM432" s="940"/>
      <c r="AN432" s="954"/>
      <c r="AO432" s="954"/>
      <c r="AP432" s="954"/>
      <c r="AQ432" s="954"/>
      <c r="AR432" s="954"/>
      <c r="AS432" s="954"/>
    </row>
    <row r="433" spans="1:45" ht="13.5" customHeight="1">
      <c r="A433" s="1009" t="s">
        <v>1141</v>
      </c>
      <c r="B433" s="1034">
        <v>0.29166666666666669</v>
      </c>
      <c r="C433" s="1034">
        <v>0.125</v>
      </c>
      <c r="D433" s="1035">
        <v>8</v>
      </c>
      <c r="E433" s="1036"/>
      <c r="F433" s="1042"/>
      <c r="G433" s="1034">
        <v>0.29166666666666669</v>
      </c>
      <c r="H433" s="1034">
        <v>0.125</v>
      </c>
      <c r="I433" s="1035">
        <v>8</v>
      </c>
      <c r="J433" s="1036"/>
      <c r="K433" s="1042"/>
      <c r="L433" s="1034"/>
      <c r="M433" s="1034"/>
      <c r="N433" s="1035"/>
      <c r="O433" s="1036"/>
      <c r="P433" s="1042"/>
      <c r="Q433" s="1034"/>
      <c r="R433" s="1034"/>
      <c r="S433" s="1035"/>
      <c r="T433" s="1036"/>
      <c r="U433" s="1042"/>
      <c r="V433" s="1034"/>
      <c r="W433" s="1034"/>
      <c r="X433" s="1035"/>
      <c r="Y433" s="1036"/>
      <c r="Z433" s="1038">
        <v>16</v>
      </c>
      <c r="AA433" s="1039">
        <v>0</v>
      </c>
      <c r="AB433" s="1037"/>
      <c r="AC433" s="1034"/>
      <c r="AD433" s="1034"/>
      <c r="AE433" s="1035"/>
      <c r="AF433" s="1037"/>
      <c r="AG433" s="1034"/>
      <c r="AH433" s="1034"/>
      <c r="AI433" s="1035"/>
      <c r="AJ433" s="1038">
        <v>0</v>
      </c>
      <c r="AK433" s="941"/>
      <c r="AL433" s="943"/>
      <c r="AM433" s="940"/>
      <c r="AN433" s="954"/>
      <c r="AO433" s="954"/>
      <c r="AP433" s="954"/>
      <c r="AQ433" s="954"/>
      <c r="AR433" s="954"/>
      <c r="AS433" s="954"/>
    </row>
    <row r="434" spans="1:45" ht="13.5" customHeight="1">
      <c r="A434" s="1043" t="s">
        <v>1438</v>
      </c>
      <c r="B434" s="1132"/>
      <c r="C434" s="1132"/>
      <c r="D434" s="1050">
        <v>8</v>
      </c>
      <c r="E434" s="1050"/>
      <c r="F434" s="1050"/>
      <c r="G434" s="1132"/>
      <c r="H434" s="1132"/>
      <c r="I434" s="1050">
        <v>8</v>
      </c>
      <c r="J434" s="1050"/>
      <c r="K434" s="1050"/>
      <c r="L434" s="1049">
        <v>0.45833333333333331</v>
      </c>
      <c r="M434" s="1049">
        <v>0.14583333333333334</v>
      </c>
      <c r="N434" s="1050">
        <v>8</v>
      </c>
      <c r="O434" s="1050"/>
      <c r="P434" s="1050"/>
      <c r="Q434" s="1132"/>
      <c r="R434" s="1132"/>
      <c r="S434" s="1050">
        <v>8</v>
      </c>
      <c r="T434" s="1050"/>
      <c r="U434" s="1050"/>
      <c r="V434" s="1132"/>
      <c r="W434" s="1132"/>
      <c r="X434" s="1050">
        <v>8</v>
      </c>
      <c r="Y434" s="1050"/>
      <c r="Z434" s="1051">
        <v>40</v>
      </c>
      <c r="AA434" s="1039">
        <v>0</v>
      </c>
      <c r="AB434" s="1037"/>
      <c r="AC434" s="1034"/>
      <c r="AD434" s="1034"/>
      <c r="AE434" s="1035"/>
      <c r="AF434" s="1037"/>
      <c r="AG434" s="1034"/>
      <c r="AH434" s="1034"/>
      <c r="AI434" s="1035"/>
      <c r="AJ434" s="1038">
        <v>0</v>
      </c>
      <c r="AK434" s="941"/>
      <c r="AL434" s="943"/>
      <c r="AM434" s="940"/>
      <c r="AN434" s="954"/>
      <c r="AO434" s="954"/>
      <c r="AP434" s="954"/>
      <c r="AQ434" s="954"/>
      <c r="AR434" s="954"/>
      <c r="AS434" s="954"/>
    </row>
    <row r="435" spans="1:45" ht="13.5" customHeight="1">
      <c r="A435" s="1043" t="s">
        <v>1439</v>
      </c>
      <c r="B435" s="1049">
        <v>0.45833333333333331</v>
      </c>
      <c r="C435" s="1049">
        <v>0.20833333333333334</v>
      </c>
      <c r="D435" s="1050">
        <v>8</v>
      </c>
      <c r="E435" s="1050"/>
      <c r="F435" s="1050"/>
      <c r="G435" s="1049">
        <v>0.45833333333333331</v>
      </c>
      <c r="H435" s="1049"/>
      <c r="I435" s="1050">
        <v>8</v>
      </c>
      <c r="J435" s="1050"/>
      <c r="K435" s="1050"/>
      <c r="L435" s="1049">
        <v>0.45833333333333331</v>
      </c>
      <c r="M435" s="1049">
        <v>0.11458333333333333</v>
      </c>
      <c r="N435" s="1050">
        <v>8</v>
      </c>
      <c r="O435" s="1050"/>
      <c r="P435" s="1050"/>
      <c r="Q435" s="1049">
        <v>0.47916666666666669</v>
      </c>
      <c r="R435" s="1049">
        <v>0.21875</v>
      </c>
      <c r="S435" s="1050">
        <v>7.5</v>
      </c>
      <c r="T435" s="1050"/>
      <c r="U435" s="1050"/>
      <c r="V435" s="1049">
        <v>0.45833333333333331</v>
      </c>
      <c r="W435" s="1049">
        <v>0.11458333333333333</v>
      </c>
      <c r="X435" s="1050">
        <v>8</v>
      </c>
      <c r="Y435" s="1050"/>
      <c r="Z435" s="1051">
        <v>39.5</v>
      </c>
      <c r="AA435" s="1039">
        <v>0</v>
      </c>
      <c r="AB435" s="1037"/>
      <c r="AC435" s="1034"/>
      <c r="AD435" s="1034"/>
      <c r="AE435" s="1035"/>
      <c r="AF435" s="1037"/>
      <c r="AG435" s="1034"/>
      <c r="AH435" s="1034"/>
      <c r="AI435" s="1035"/>
      <c r="AJ435" s="1038">
        <v>0</v>
      </c>
      <c r="AK435" s="941"/>
      <c r="AL435" s="943"/>
      <c r="AM435" s="940"/>
      <c r="AN435" s="954"/>
      <c r="AO435" s="954"/>
      <c r="AP435" s="954"/>
      <c r="AQ435" s="954"/>
      <c r="AR435" s="954"/>
      <c r="AS435" s="954"/>
    </row>
    <row r="436" spans="1:45" ht="13.5" customHeight="1">
      <c r="A436" s="1043" t="s">
        <v>1433</v>
      </c>
      <c r="B436" s="1049">
        <v>0.45833333333333331</v>
      </c>
      <c r="C436" s="1049">
        <v>0.29166666666666669</v>
      </c>
      <c r="D436" s="1050">
        <v>8</v>
      </c>
      <c r="E436" s="1050"/>
      <c r="F436" s="1050"/>
      <c r="G436" s="1049">
        <v>0.45833333333333331</v>
      </c>
      <c r="H436" s="1049"/>
      <c r="I436" s="1050">
        <v>8</v>
      </c>
      <c r="J436" s="1050"/>
      <c r="K436" s="1050"/>
      <c r="L436" s="1049">
        <v>0.45833333333333331</v>
      </c>
      <c r="M436" s="1049">
        <v>0.29166666666666669</v>
      </c>
      <c r="N436" s="1050">
        <v>8</v>
      </c>
      <c r="O436" s="1050"/>
      <c r="P436" s="1050"/>
      <c r="Q436" s="1049">
        <v>0.45833333333333331</v>
      </c>
      <c r="R436" s="1049">
        <v>0.29166666666666669</v>
      </c>
      <c r="S436" s="1050">
        <v>8</v>
      </c>
      <c r="T436" s="1050"/>
      <c r="U436" s="1050"/>
      <c r="V436" s="1049">
        <v>0.45833333333333331</v>
      </c>
      <c r="W436" s="1049">
        <v>0.29166666666666669</v>
      </c>
      <c r="X436" s="1050">
        <v>8</v>
      </c>
      <c r="Y436" s="1050"/>
      <c r="Z436" s="1051">
        <v>40</v>
      </c>
      <c r="AA436" s="1039">
        <v>0</v>
      </c>
      <c r="AB436" s="1037"/>
      <c r="AC436" s="1034"/>
      <c r="AD436" s="1034"/>
      <c r="AE436" s="1035"/>
      <c r="AF436" s="1037"/>
      <c r="AG436" s="1034"/>
      <c r="AH436" s="1034"/>
      <c r="AI436" s="1035"/>
      <c r="AJ436" s="1038">
        <v>0</v>
      </c>
      <c r="AK436" s="941"/>
      <c r="AL436" s="943"/>
      <c r="AM436" s="940"/>
      <c r="AN436" s="954"/>
      <c r="AO436" s="954"/>
      <c r="AP436" s="954"/>
      <c r="AQ436" s="954"/>
      <c r="AR436" s="954"/>
      <c r="AS436" s="954"/>
    </row>
    <row r="437" spans="1:45" ht="13.5" customHeight="1">
      <c r="A437" s="1043" t="s">
        <v>1440</v>
      </c>
      <c r="B437" s="1049"/>
      <c r="C437" s="1049">
        <v>0.29166666666666669</v>
      </c>
      <c r="D437" s="1050">
        <v>8</v>
      </c>
      <c r="E437" s="1050"/>
      <c r="F437" s="1050"/>
      <c r="G437" s="1049">
        <v>0.45833333333333331</v>
      </c>
      <c r="H437" s="1049"/>
      <c r="I437" s="1050">
        <v>8</v>
      </c>
      <c r="J437" s="1050"/>
      <c r="K437" s="1050"/>
      <c r="L437" s="1049">
        <v>0.45833333333333331</v>
      </c>
      <c r="M437" s="1049">
        <v>0.29166666666666669</v>
      </c>
      <c r="N437" s="1050">
        <v>8</v>
      </c>
      <c r="O437" s="1050"/>
      <c r="P437" s="1050"/>
      <c r="Q437" s="1049">
        <v>0.45833333333333331</v>
      </c>
      <c r="R437" s="1049">
        <v>0.29166666666666669</v>
      </c>
      <c r="S437" s="1050">
        <v>8</v>
      </c>
      <c r="T437" s="1050"/>
      <c r="U437" s="1050"/>
      <c r="V437" s="1049">
        <v>0.45833333333333331</v>
      </c>
      <c r="W437" s="1049">
        <v>0.29166666666666669</v>
      </c>
      <c r="X437" s="1050">
        <v>8</v>
      </c>
      <c r="Y437" s="1050"/>
      <c r="Z437" s="1051">
        <v>40</v>
      </c>
      <c r="AA437" s="1039">
        <v>0</v>
      </c>
      <c r="AB437" s="1037"/>
      <c r="AC437" s="1034"/>
      <c r="AD437" s="1034"/>
      <c r="AE437" s="1035"/>
      <c r="AF437" s="1037"/>
      <c r="AG437" s="1034"/>
      <c r="AH437" s="1034"/>
      <c r="AI437" s="1035"/>
      <c r="AJ437" s="1038">
        <v>0</v>
      </c>
      <c r="AK437" s="941"/>
      <c r="AL437" s="943"/>
      <c r="AM437" s="940"/>
      <c r="AN437" s="954"/>
      <c r="AO437" s="954"/>
      <c r="AP437" s="954"/>
      <c r="AQ437" s="954"/>
      <c r="AR437" s="954"/>
      <c r="AS437" s="954"/>
    </row>
    <row r="438" spans="1:45" ht="13.5" customHeight="1">
      <c r="A438" s="1043" t="s">
        <v>1437</v>
      </c>
      <c r="B438" s="1049">
        <v>0.29166666666666669</v>
      </c>
      <c r="C438" s="1049">
        <v>0.125</v>
      </c>
      <c r="D438" s="1050">
        <v>8</v>
      </c>
      <c r="E438" s="1050"/>
      <c r="F438" s="1050"/>
      <c r="G438" s="1049">
        <v>0.29166666666666669</v>
      </c>
      <c r="H438" s="1049">
        <v>0.125</v>
      </c>
      <c r="I438" s="1050">
        <v>8</v>
      </c>
      <c r="J438" s="1050"/>
      <c r="K438" s="1050"/>
      <c r="L438" s="1049">
        <v>0.29166666666666669</v>
      </c>
      <c r="M438" s="1049">
        <v>0.125</v>
      </c>
      <c r="N438" s="1050">
        <v>8</v>
      </c>
      <c r="O438" s="1050"/>
      <c r="P438" s="1050"/>
      <c r="Q438" s="1049">
        <v>0.29166666666666669</v>
      </c>
      <c r="R438" s="1049">
        <v>0.125</v>
      </c>
      <c r="S438" s="1050">
        <v>8</v>
      </c>
      <c r="T438" s="1050"/>
      <c r="U438" s="1050"/>
      <c r="V438" s="1049">
        <v>0.29166666666666669</v>
      </c>
      <c r="W438" s="1049"/>
      <c r="X438" s="1050">
        <v>8</v>
      </c>
      <c r="Y438" s="1050"/>
      <c r="Z438" s="1051">
        <v>40</v>
      </c>
      <c r="AA438" s="1039">
        <v>0</v>
      </c>
      <c r="AB438" s="1037"/>
      <c r="AC438" s="1034"/>
      <c r="AD438" s="1034"/>
      <c r="AE438" s="1035"/>
      <c r="AF438" s="1037"/>
      <c r="AG438" s="1034"/>
      <c r="AH438" s="1034"/>
      <c r="AI438" s="1035"/>
      <c r="AJ438" s="1038">
        <v>0</v>
      </c>
      <c r="AK438" s="941"/>
      <c r="AL438" s="943"/>
      <c r="AM438" s="940"/>
      <c r="AN438" s="954"/>
      <c r="AO438" s="954"/>
      <c r="AP438" s="954"/>
      <c r="AQ438" s="954"/>
      <c r="AR438" s="954"/>
      <c r="AS438" s="954"/>
    </row>
    <row r="439" spans="1:45" ht="13.5" customHeight="1">
      <c r="A439" s="1016" t="s">
        <v>61</v>
      </c>
      <c r="B439" s="1044"/>
      <c r="C439" s="1044"/>
      <c r="D439" s="1045">
        <v>109</v>
      </c>
      <c r="E439" s="1036"/>
      <c r="F439" s="1044"/>
      <c r="G439" s="1044"/>
      <c r="H439" s="1044"/>
      <c r="I439" s="1045">
        <v>109</v>
      </c>
      <c r="J439" s="1036"/>
      <c r="K439" s="1044"/>
      <c r="L439" s="1044"/>
      <c r="M439" s="1044"/>
      <c r="N439" s="1045">
        <v>109</v>
      </c>
      <c r="O439" s="1036"/>
      <c r="P439" s="1044"/>
      <c r="Q439" s="1044"/>
      <c r="R439" s="1044"/>
      <c r="S439" s="1045">
        <v>109</v>
      </c>
      <c r="T439" s="1036"/>
      <c r="U439" s="1044"/>
      <c r="V439" s="1044"/>
      <c r="W439" s="1044"/>
      <c r="X439" s="1045">
        <v>106.75</v>
      </c>
      <c r="Y439" s="1036"/>
      <c r="Z439" s="1038">
        <v>542.75</v>
      </c>
      <c r="AA439" s="1038">
        <v>0.25</v>
      </c>
      <c r="AB439" s="1037"/>
      <c r="AC439" s="1044"/>
      <c r="AD439" s="1044"/>
      <c r="AE439" s="1038">
        <v>9</v>
      </c>
      <c r="AF439" s="1037"/>
      <c r="AG439" s="1044"/>
      <c r="AH439" s="1044"/>
      <c r="AI439" s="1038">
        <v>4.5</v>
      </c>
      <c r="AJ439" s="1038">
        <v>13.5</v>
      </c>
      <c r="AK439" s="941"/>
      <c r="AL439" s="943"/>
      <c r="AM439" s="940"/>
      <c r="AN439" s="954"/>
      <c r="AO439" s="954"/>
      <c r="AP439" s="954"/>
      <c r="AQ439" s="954"/>
      <c r="AR439" s="954"/>
      <c r="AS439" s="954"/>
    </row>
    <row r="440" spans="1:45" ht="13.5" customHeight="1">
      <c r="A440" s="1016" t="s">
        <v>1434</v>
      </c>
      <c r="B440" s="1044"/>
      <c r="C440" s="1044"/>
      <c r="D440" s="1045">
        <v>40</v>
      </c>
      <c r="E440" s="1036"/>
      <c r="F440" s="1044"/>
      <c r="G440" s="1044"/>
      <c r="H440" s="1044"/>
      <c r="I440" s="1045">
        <v>40</v>
      </c>
      <c r="J440" s="1036"/>
      <c r="K440" s="1044"/>
      <c r="L440" s="1044"/>
      <c r="M440" s="1044"/>
      <c r="N440" s="1045">
        <v>40</v>
      </c>
      <c r="O440" s="1036"/>
      <c r="P440" s="1044"/>
      <c r="Q440" s="1044"/>
      <c r="R440" s="1044"/>
      <c r="S440" s="1045">
        <v>39.5</v>
      </c>
      <c r="T440" s="1036"/>
      <c r="U440" s="1044"/>
      <c r="V440" s="1044"/>
      <c r="W440" s="1044"/>
      <c r="X440" s="1045">
        <v>40</v>
      </c>
      <c r="Y440" s="1036"/>
      <c r="Z440" s="1038">
        <v>199.5</v>
      </c>
      <c r="AA440" s="1038">
        <v>0</v>
      </c>
      <c r="AB440" s="1037"/>
      <c r="AC440" s="1044"/>
      <c r="AD440" s="1044"/>
      <c r="AE440" s="1038"/>
      <c r="AF440" s="1037"/>
      <c r="AG440" s="1044"/>
      <c r="AH440" s="1044"/>
      <c r="AI440" s="1038"/>
      <c r="AJ440" s="1038"/>
      <c r="AK440" s="941"/>
      <c r="AL440" s="943"/>
      <c r="AM440" s="940"/>
      <c r="AN440" s="954"/>
      <c r="AO440" s="954"/>
      <c r="AP440" s="954"/>
      <c r="AQ440" s="954"/>
      <c r="AR440" s="954"/>
      <c r="AS440" s="954"/>
    </row>
    <row r="441" spans="1:45" ht="13.5" customHeight="1">
      <c r="A441" s="1022" t="s">
        <v>64</v>
      </c>
      <c r="B441" s="1034"/>
      <c r="C441" s="1034"/>
      <c r="D441" s="1035">
        <v>4</v>
      </c>
      <c r="E441" s="1035"/>
      <c r="F441" s="1046"/>
      <c r="G441" s="1034"/>
      <c r="H441" s="1034"/>
      <c r="I441" s="1035">
        <v>3.5</v>
      </c>
      <c r="J441" s="1035"/>
      <c r="K441" s="1042"/>
      <c r="L441" s="1034"/>
      <c r="M441" s="1034"/>
      <c r="N441" s="1035">
        <v>4</v>
      </c>
      <c r="O441" s="1035"/>
      <c r="P441" s="1042"/>
      <c r="Q441" s="1034"/>
      <c r="R441" s="1034"/>
      <c r="S441" s="1035">
        <v>4</v>
      </c>
      <c r="T441" s="1035"/>
      <c r="U441" s="1042"/>
      <c r="V441" s="1034"/>
      <c r="W441" s="1034"/>
      <c r="X441" s="1035">
        <v>4</v>
      </c>
      <c r="Y441" s="1035"/>
      <c r="Z441" s="1038">
        <v>19.5</v>
      </c>
      <c r="AA441" s="1047">
        <v>0</v>
      </c>
      <c r="AB441" s="1037"/>
      <c r="AC441" s="1034"/>
      <c r="AD441" s="1034"/>
      <c r="AE441" s="1035">
        <v>4</v>
      </c>
      <c r="AF441" s="1037"/>
      <c r="AG441" s="1034"/>
      <c r="AH441" s="1034"/>
      <c r="AI441" s="1035">
        <v>3.25</v>
      </c>
      <c r="AJ441" s="1038">
        <v>7.25</v>
      </c>
      <c r="AK441" s="941"/>
      <c r="AL441" s="943"/>
      <c r="AM441" s="940"/>
      <c r="AN441" s="954"/>
      <c r="AO441" s="954"/>
      <c r="AP441" s="954"/>
      <c r="AQ441" s="954"/>
      <c r="AR441" s="954"/>
      <c r="AS441" s="954"/>
    </row>
    <row r="442" spans="1:45" ht="13.5" customHeight="1">
      <c r="A442" s="1026" t="s">
        <v>66</v>
      </c>
      <c r="B442" s="1062"/>
      <c r="C442" s="1062"/>
      <c r="D442" s="1046"/>
      <c r="E442" s="1046"/>
      <c r="F442" s="1046"/>
      <c r="G442" s="1046"/>
      <c r="H442" s="1046"/>
      <c r="I442" s="1046"/>
      <c r="J442" s="1046"/>
      <c r="K442" s="1046"/>
      <c r="L442" s="1046"/>
      <c r="M442" s="1046"/>
      <c r="N442" s="1046"/>
      <c r="O442" s="1046"/>
      <c r="P442" s="1046"/>
      <c r="Q442" s="1046"/>
      <c r="R442" s="1046"/>
      <c r="S442" s="1046"/>
      <c r="T442" s="1046"/>
      <c r="U442" s="1046"/>
      <c r="V442" s="1046"/>
      <c r="W442" s="1046"/>
      <c r="X442" s="1046"/>
      <c r="Y442" s="1046"/>
      <c r="Z442" s="1038">
        <v>19.5</v>
      </c>
      <c r="AA442" s="1038">
        <v>0</v>
      </c>
      <c r="AB442" s="1037"/>
      <c r="AC442" s="1063"/>
      <c r="AD442" s="1063"/>
      <c r="AE442" s="1063"/>
      <c r="AF442" s="1037"/>
      <c r="AG442" s="1063"/>
      <c r="AH442" s="1063"/>
      <c r="AI442" s="1063"/>
      <c r="AJ442" s="1038">
        <v>7.25</v>
      </c>
      <c r="AK442" s="941"/>
      <c r="AL442" s="943"/>
      <c r="AM442" s="940"/>
      <c r="AN442" s="1021"/>
      <c r="AO442" s="954"/>
      <c r="AP442" s="954"/>
      <c r="AQ442" s="954"/>
      <c r="AR442" s="954"/>
      <c r="AS442" s="954"/>
    </row>
    <row r="443" spans="1:45" ht="13.5" customHeight="1">
      <c r="A443" s="1029" t="s">
        <v>67</v>
      </c>
      <c r="B443" s="1030">
        <v>87</v>
      </c>
      <c r="C443" s="1030"/>
      <c r="D443" s="1031"/>
      <c r="E443" s="1031"/>
      <c r="F443" s="1030"/>
      <c r="G443" s="1031"/>
      <c r="H443" s="1031"/>
      <c r="I443" s="1031"/>
      <c r="J443" s="1031"/>
      <c r="K443" s="1030"/>
      <c r="L443" s="1030"/>
      <c r="M443" s="1030"/>
      <c r="N443" s="1030"/>
      <c r="O443" s="1031"/>
      <c r="P443" s="1030"/>
      <c r="Q443" s="1030"/>
      <c r="R443" s="1030"/>
      <c r="S443" s="1030"/>
      <c r="T443" s="1031"/>
      <c r="U443" s="1030"/>
      <c r="V443" s="1030"/>
      <c r="W443" s="1030"/>
      <c r="X443" s="1032"/>
      <c r="Y443" s="1031"/>
      <c r="Z443" s="1033"/>
      <c r="AA443" s="1031"/>
      <c r="AB443" s="1033"/>
      <c r="AC443" s="1033"/>
      <c r="AD443" s="1033"/>
      <c r="AE443" s="1033"/>
      <c r="AF443" s="1033"/>
      <c r="AG443" s="1033"/>
      <c r="AH443" s="1033"/>
      <c r="AI443" s="1033"/>
      <c r="AJ443" s="1033"/>
      <c r="AK443" s="941"/>
      <c r="AL443" s="943"/>
      <c r="AM443" s="940"/>
      <c r="AN443" s="1021"/>
      <c r="AO443" s="954"/>
      <c r="AP443" s="954"/>
      <c r="AQ443" s="954"/>
      <c r="AR443" s="954"/>
      <c r="AS443" s="954"/>
    </row>
    <row r="444" spans="1:45" ht="13.5" customHeight="1">
      <c r="A444" s="940"/>
      <c r="B444" s="940"/>
      <c r="C444" s="940"/>
      <c r="D444" s="941"/>
      <c r="E444" s="942"/>
      <c r="F444" s="941"/>
      <c r="G444" s="940"/>
      <c r="H444" s="940"/>
      <c r="I444" s="941"/>
      <c r="J444" s="942"/>
      <c r="K444" s="941"/>
      <c r="L444" s="940"/>
      <c r="M444" s="940"/>
      <c r="N444" s="941"/>
      <c r="O444" s="942"/>
      <c r="P444" s="941"/>
      <c r="Q444" s="940"/>
      <c r="R444" s="940"/>
      <c r="S444" s="941"/>
      <c r="T444" s="942"/>
      <c r="U444" s="941"/>
      <c r="V444" s="940"/>
      <c r="W444" s="940"/>
      <c r="X444" s="941"/>
      <c r="Y444" s="942"/>
      <c r="Z444" s="941"/>
      <c r="AA444" s="941"/>
      <c r="AB444" s="941"/>
      <c r="AC444" s="940"/>
      <c r="AD444" s="940"/>
      <c r="AE444" s="940"/>
      <c r="AF444" s="941"/>
      <c r="AG444" s="940"/>
      <c r="AH444" s="940"/>
      <c r="AI444" s="940"/>
      <c r="AJ444" s="940"/>
      <c r="AK444" s="941"/>
      <c r="AL444" s="943"/>
      <c r="AM444" s="940"/>
      <c r="AN444" s="954"/>
      <c r="AO444" s="954"/>
      <c r="AP444" s="954"/>
      <c r="AQ444" s="954"/>
      <c r="AR444" s="954"/>
      <c r="AS444" s="954"/>
    </row>
    <row r="445" spans="1:45" ht="13.5" customHeight="1">
      <c r="A445" s="974"/>
      <c r="B445" s="975"/>
      <c r="C445" s="975"/>
      <c r="D445" s="976"/>
      <c r="E445" s="976"/>
      <c r="F445" s="975"/>
      <c r="G445" s="976"/>
      <c r="H445" s="976"/>
      <c r="I445" s="976"/>
      <c r="J445" s="976"/>
      <c r="K445" s="975"/>
      <c r="L445" s="975"/>
      <c r="M445" s="975"/>
      <c r="N445" s="975"/>
      <c r="O445" s="976"/>
      <c r="P445" s="975"/>
      <c r="Q445" s="975"/>
      <c r="R445" s="975"/>
      <c r="S445" s="975"/>
      <c r="T445" s="976"/>
      <c r="U445" s="975"/>
      <c r="V445" s="975"/>
      <c r="W445" s="975"/>
      <c r="X445" s="977"/>
      <c r="Y445" s="976"/>
      <c r="Z445" s="978"/>
      <c r="AA445" s="976"/>
      <c r="AB445" s="979"/>
      <c r="AC445" s="980"/>
      <c r="AD445" s="943"/>
      <c r="AE445" s="943"/>
      <c r="AF445" s="979"/>
      <c r="AG445" s="980"/>
      <c r="AH445" s="943"/>
      <c r="AI445" s="943"/>
      <c r="AJ445" s="943"/>
      <c r="AK445" s="943"/>
      <c r="AL445" s="943"/>
      <c r="AM445" s="943"/>
      <c r="AN445" s="943"/>
      <c r="AO445" s="943"/>
      <c r="AP445" s="943"/>
      <c r="AQ445" s="943"/>
      <c r="AR445" s="943"/>
      <c r="AS445" s="943"/>
    </row>
    <row r="446" spans="1:45" ht="13.5" customHeight="1">
      <c r="A446" s="940"/>
      <c r="B446" s="940"/>
      <c r="C446" s="940"/>
      <c r="D446" s="941"/>
      <c r="E446" s="942"/>
      <c r="F446" s="941"/>
      <c r="G446" s="940"/>
      <c r="H446" s="940"/>
      <c r="I446" s="941"/>
      <c r="J446" s="942"/>
      <c r="K446" s="941"/>
      <c r="L446" s="940"/>
      <c r="M446" s="940"/>
      <c r="N446" s="941"/>
      <c r="O446" s="942"/>
      <c r="P446" s="941"/>
      <c r="Q446" s="940"/>
      <c r="R446" s="940"/>
      <c r="S446" s="941"/>
      <c r="T446" s="942"/>
      <c r="U446" s="941"/>
      <c r="V446" s="940"/>
      <c r="W446" s="940"/>
      <c r="X446" s="941"/>
      <c r="Y446" s="942"/>
      <c r="Z446" s="941"/>
      <c r="AA446" s="941"/>
      <c r="AB446" s="941"/>
      <c r="AC446" s="940"/>
      <c r="AD446" s="940"/>
      <c r="AE446" s="940"/>
      <c r="AF446" s="941"/>
      <c r="AG446" s="940"/>
      <c r="AH446" s="940"/>
      <c r="AI446" s="940"/>
      <c r="AJ446" s="940"/>
      <c r="AK446" s="941"/>
      <c r="AL446" s="943"/>
      <c r="AM446" s="940"/>
      <c r="AN446" s="954"/>
      <c r="AO446" s="954"/>
      <c r="AP446" s="954"/>
      <c r="AQ446" s="954"/>
      <c r="AR446" s="954"/>
      <c r="AS446" s="954"/>
    </row>
    <row r="447" spans="1:45" s="1140" customFormat="1" ht="13.5" customHeight="1">
      <c r="A447" s="1591" t="s">
        <v>18</v>
      </c>
      <c r="B447" s="1590">
        <v>45929</v>
      </c>
      <c r="C447" s="1590"/>
      <c r="D447" s="1590" t="s">
        <v>564</v>
      </c>
      <c r="E447" s="1590"/>
      <c r="F447" s="1085"/>
      <c r="G447" s="1590">
        <v>45930</v>
      </c>
      <c r="H447" s="1590"/>
      <c r="I447" s="1590" t="s">
        <v>565</v>
      </c>
      <c r="J447" s="1590"/>
      <c r="K447" s="1085"/>
      <c r="L447" s="1590">
        <v>45931</v>
      </c>
      <c r="M447" s="1590"/>
      <c r="N447" s="1590" t="s">
        <v>566</v>
      </c>
      <c r="O447" s="1590"/>
      <c r="P447" s="1085"/>
      <c r="Q447" s="1590">
        <v>45932</v>
      </c>
      <c r="R447" s="1590"/>
      <c r="S447" s="1590" t="s">
        <v>567</v>
      </c>
      <c r="T447" s="1590"/>
      <c r="U447" s="1085"/>
      <c r="V447" s="1590">
        <v>45933</v>
      </c>
      <c r="W447" s="1590"/>
      <c r="X447" s="1590" t="s">
        <v>568</v>
      </c>
      <c r="Y447" s="1590"/>
      <c r="Z447" s="1587" t="s">
        <v>19</v>
      </c>
      <c r="AA447" s="1587" t="s">
        <v>20</v>
      </c>
      <c r="AB447" s="1037"/>
      <c r="AC447" s="1590">
        <v>45934</v>
      </c>
      <c r="AD447" s="1590"/>
      <c r="AE447" s="1086" t="s">
        <v>569</v>
      </c>
      <c r="AF447" s="1037"/>
      <c r="AG447" s="1590">
        <v>45935</v>
      </c>
      <c r="AH447" s="1590"/>
      <c r="AI447" s="1086" t="s">
        <v>570</v>
      </c>
      <c r="AJ447" s="1587" t="s">
        <v>1420</v>
      </c>
      <c r="AK447" s="1037"/>
      <c r="AL447" s="1137"/>
      <c r="AM447" s="1063"/>
      <c r="AN447" s="1138" t="s">
        <v>84</v>
      </c>
      <c r="AO447" s="1139"/>
      <c r="AP447" s="1139"/>
      <c r="AQ447" s="1139"/>
      <c r="AR447" s="1139"/>
      <c r="AS447" s="1139"/>
    </row>
    <row r="448" spans="1:45" s="1140" customFormat="1" ht="13.5" customHeight="1">
      <c r="A448" s="1591"/>
      <c r="B448" s="1088" t="s">
        <v>23</v>
      </c>
      <c r="C448" s="1088" t="s">
        <v>24</v>
      </c>
      <c r="D448" s="1047" t="s">
        <v>25</v>
      </c>
      <c r="E448" s="1089" t="s">
        <v>14</v>
      </c>
      <c r="F448" s="1037"/>
      <c r="G448" s="1088" t="s">
        <v>23</v>
      </c>
      <c r="H448" s="1088" t="s">
        <v>24</v>
      </c>
      <c r="I448" s="1089" t="s">
        <v>25</v>
      </c>
      <c r="J448" s="1089" t="s">
        <v>14</v>
      </c>
      <c r="K448" s="1037"/>
      <c r="L448" s="1088" t="s">
        <v>23</v>
      </c>
      <c r="M448" s="1088" t="s">
        <v>24</v>
      </c>
      <c r="N448" s="1089" t="s">
        <v>25</v>
      </c>
      <c r="O448" s="1089" t="s">
        <v>14</v>
      </c>
      <c r="P448" s="1037"/>
      <c r="Q448" s="1088" t="s">
        <v>23</v>
      </c>
      <c r="R448" s="1088" t="s">
        <v>24</v>
      </c>
      <c r="S448" s="1089" t="s">
        <v>25</v>
      </c>
      <c r="T448" s="1089" t="s">
        <v>14</v>
      </c>
      <c r="U448" s="1037"/>
      <c r="V448" s="1088" t="s">
        <v>23</v>
      </c>
      <c r="W448" s="1088" t="s">
        <v>24</v>
      </c>
      <c r="X448" s="1089" t="s">
        <v>25</v>
      </c>
      <c r="Y448" s="1089" t="s">
        <v>14</v>
      </c>
      <c r="Z448" s="1587"/>
      <c r="AA448" s="1587"/>
      <c r="AB448" s="1037"/>
      <c r="AC448" s="1088" t="s">
        <v>23</v>
      </c>
      <c r="AD448" s="1088" t="s">
        <v>24</v>
      </c>
      <c r="AE448" s="1089" t="s">
        <v>25</v>
      </c>
      <c r="AF448" s="1037"/>
      <c r="AG448" s="1088" t="s">
        <v>23</v>
      </c>
      <c r="AH448" s="1088" t="s">
        <v>24</v>
      </c>
      <c r="AI448" s="1089" t="s">
        <v>25</v>
      </c>
      <c r="AJ448" s="1587"/>
      <c r="AK448" s="1037"/>
      <c r="AL448" s="1137"/>
      <c r="AM448" s="1063"/>
      <c r="AN448" s="1141" t="s">
        <v>26</v>
      </c>
      <c r="AO448" s="1142">
        <v>536.5</v>
      </c>
      <c r="AP448" s="1143">
        <v>40.31</v>
      </c>
      <c r="AQ448" s="1143">
        <v>21626.315000000002</v>
      </c>
      <c r="AR448" s="1144"/>
      <c r="AS448" s="1144"/>
    </row>
    <row r="449" spans="1:45" s="1140" customFormat="1" ht="13.5" customHeight="1">
      <c r="A449" s="1034" t="s">
        <v>72</v>
      </c>
      <c r="B449" s="1034">
        <v>0.29166666666666669</v>
      </c>
      <c r="C449" s="1034">
        <v>0.125</v>
      </c>
      <c r="D449" s="1035">
        <v>8</v>
      </c>
      <c r="E449" s="1036"/>
      <c r="F449" s="1037"/>
      <c r="G449" s="1034">
        <v>0.29166666666666669</v>
      </c>
      <c r="H449" s="1034">
        <v>0.125</v>
      </c>
      <c r="I449" s="1035">
        <v>8</v>
      </c>
      <c r="J449" s="1036"/>
      <c r="K449" s="1037"/>
      <c r="L449" s="1034">
        <v>0.29166666666666669</v>
      </c>
      <c r="M449" s="1034">
        <v>0.125</v>
      </c>
      <c r="N449" s="1035">
        <v>8</v>
      </c>
      <c r="O449" s="1036"/>
      <c r="P449" s="1037"/>
      <c r="Q449" s="1034">
        <v>0.29166666666666669</v>
      </c>
      <c r="R449" s="1034">
        <v>0.125</v>
      </c>
      <c r="S449" s="1035">
        <v>8</v>
      </c>
      <c r="T449" s="1036"/>
      <c r="U449" s="1037"/>
      <c r="V449" s="1034">
        <v>0.29166666666666669</v>
      </c>
      <c r="W449" s="1034">
        <v>0.125</v>
      </c>
      <c r="X449" s="1035">
        <v>8</v>
      </c>
      <c r="Y449" s="1036"/>
      <c r="Z449" s="1038">
        <v>40</v>
      </c>
      <c r="AA449" s="1039">
        <v>0</v>
      </c>
      <c r="AB449" s="1037"/>
      <c r="AC449" s="1040"/>
      <c r="AD449" s="1040"/>
      <c r="AE449" s="1035"/>
      <c r="AF449" s="1037"/>
      <c r="AG449" s="1040"/>
      <c r="AH449" s="1040"/>
      <c r="AI449" s="1035"/>
      <c r="AJ449" s="1038">
        <v>0</v>
      </c>
      <c r="AK449" s="1037"/>
      <c r="AL449" s="1137"/>
      <c r="AM449" s="1063"/>
      <c r="AN449" s="1141" t="s">
        <v>1421</v>
      </c>
      <c r="AO449" s="1142">
        <v>199.5</v>
      </c>
      <c r="AP449" s="1143">
        <v>60.47</v>
      </c>
      <c r="AQ449" s="1143">
        <v>12063.764999999999</v>
      </c>
      <c r="AR449" s="1144"/>
      <c r="AS449" s="1144"/>
    </row>
    <row r="450" spans="1:45" s="1140" customFormat="1" ht="13.5" customHeight="1">
      <c r="A450" s="1145" t="s">
        <v>1166</v>
      </c>
      <c r="B450" s="1034">
        <v>0.29166666666666669</v>
      </c>
      <c r="C450" s="1034">
        <v>0.125</v>
      </c>
      <c r="D450" s="1035">
        <v>8</v>
      </c>
      <c r="E450" s="1036"/>
      <c r="F450" s="1037"/>
      <c r="G450" s="1034">
        <v>0.29166666666666669</v>
      </c>
      <c r="H450" s="1034">
        <v>0.125</v>
      </c>
      <c r="I450" s="1035">
        <v>8</v>
      </c>
      <c r="J450" s="1036"/>
      <c r="K450" s="1037"/>
      <c r="L450" s="1034">
        <v>0.29166666666666669</v>
      </c>
      <c r="M450" s="1034">
        <v>0.125</v>
      </c>
      <c r="N450" s="1035">
        <v>8</v>
      </c>
      <c r="O450" s="1036"/>
      <c r="P450" s="1037"/>
      <c r="Q450" s="1034">
        <v>0.29166666666666669</v>
      </c>
      <c r="R450" s="1034">
        <v>0.125</v>
      </c>
      <c r="S450" s="1035">
        <v>8</v>
      </c>
      <c r="T450" s="1036"/>
      <c r="U450" s="1037"/>
      <c r="V450" s="1034">
        <v>0.29166666666666669</v>
      </c>
      <c r="W450" s="1034">
        <v>0.125</v>
      </c>
      <c r="X450" s="1035">
        <v>8</v>
      </c>
      <c r="Y450" s="1036"/>
      <c r="Z450" s="1038">
        <v>40</v>
      </c>
      <c r="AA450" s="1039">
        <v>0</v>
      </c>
      <c r="AB450" s="1037"/>
      <c r="AC450" s="1034"/>
      <c r="AD450" s="1034"/>
      <c r="AE450" s="1035"/>
      <c r="AF450" s="1037"/>
      <c r="AG450" s="1034"/>
      <c r="AH450" s="1034"/>
      <c r="AI450" s="1035"/>
      <c r="AJ450" s="1038">
        <v>0</v>
      </c>
      <c r="AK450" s="1037"/>
      <c r="AL450" s="1137"/>
      <c r="AM450" s="1063"/>
      <c r="AN450" s="1141" t="s">
        <v>30</v>
      </c>
      <c r="AO450" s="1142">
        <v>0</v>
      </c>
      <c r="AP450" s="1143">
        <v>60.465000000000003</v>
      </c>
      <c r="AQ450" s="1143">
        <v>0</v>
      </c>
      <c r="AR450" s="1144"/>
      <c r="AS450" s="1144"/>
    </row>
    <row r="451" spans="1:45" s="1140" customFormat="1" ht="13.5" customHeight="1">
      <c r="A451" s="1145" t="s">
        <v>1425</v>
      </c>
      <c r="B451" s="1034">
        <v>0.29166666666666669</v>
      </c>
      <c r="C451" s="1034">
        <v>0.125</v>
      </c>
      <c r="D451" s="1035">
        <v>8</v>
      </c>
      <c r="E451" s="1036"/>
      <c r="F451" s="1037"/>
      <c r="G451" s="1034">
        <v>0.29166666666666669</v>
      </c>
      <c r="H451" s="1034">
        <v>0.125</v>
      </c>
      <c r="I451" s="1035">
        <v>8</v>
      </c>
      <c r="J451" s="1036"/>
      <c r="K451" s="1037"/>
      <c r="L451" s="1034">
        <v>0.29166666666666669</v>
      </c>
      <c r="M451" s="1034">
        <v>0.125</v>
      </c>
      <c r="N451" s="1035">
        <v>8</v>
      </c>
      <c r="O451" s="1036"/>
      <c r="P451" s="1037"/>
      <c r="Q451" s="1132"/>
      <c r="R451" s="1132"/>
      <c r="S451" s="1035">
        <v>0</v>
      </c>
      <c r="T451" s="1036"/>
      <c r="U451" s="1037"/>
      <c r="V451" s="1034">
        <v>0.29166666666666669</v>
      </c>
      <c r="W451" s="1034">
        <v>0.125</v>
      </c>
      <c r="X451" s="1035">
        <v>8</v>
      </c>
      <c r="Y451" s="1036"/>
      <c r="Z451" s="1038">
        <v>32</v>
      </c>
      <c r="AA451" s="1039">
        <v>0</v>
      </c>
      <c r="AB451" s="1037"/>
      <c r="AC451" s="1034"/>
      <c r="AD451" s="1034"/>
      <c r="AE451" s="1035"/>
      <c r="AF451" s="1037"/>
      <c r="AG451" s="1034"/>
      <c r="AH451" s="1034"/>
      <c r="AI451" s="1035"/>
      <c r="AJ451" s="1038">
        <v>0</v>
      </c>
      <c r="AK451" s="1037"/>
      <c r="AL451" s="1137"/>
      <c r="AM451" s="1063"/>
      <c r="AN451" s="1141" t="s">
        <v>32</v>
      </c>
      <c r="AO451" s="1142">
        <v>11</v>
      </c>
      <c r="AP451" s="1143">
        <v>60.465000000000003</v>
      </c>
      <c r="AQ451" s="1143">
        <v>665.11500000000001</v>
      </c>
      <c r="AR451" s="1144"/>
      <c r="AS451" s="1144"/>
    </row>
    <row r="452" spans="1:45" s="1140" customFormat="1" ht="13.5" customHeight="1">
      <c r="A452" s="1145" t="s">
        <v>1426</v>
      </c>
      <c r="B452" s="1034">
        <v>0.29166666666666669</v>
      </c>
      <c r="C452" s="1034">
        <v>0.125</v>
      </c>
      <c r="D452" s="1035">
        <v>8</v>
      </c>
      <c r="E452" s="1036"/>
      <c r="F452" s="1037"/>
      <c r="G452" s="1034">
        <v>0.29166666666666669</v>
      </c>
      <c r="H452" s="1034">
        <v>0.125</v>
      </c>
      <c r="I452" s="1035">
        <v>8</v>
      </c>
      <c r="J452" s="1036"/>
      <c r="K452" s="1037"/>
      <c r="L452" s="1034">
        <v>0.29166666666666669</v>
      </c>
      <c r="M452" s="1034">
        <v>0.125</v>
      </c>
      <c r="N452" s="1035">
        <v>8</v>
      </c>
      <c r="O452" s="1036"/>
      <c r="P452" s="1037"/>
      <c r="Q452" s="1034">
        <v>0.29166666666666669</v>
      </c>
      <c r="R452" s="1034">
        <v>0.125</v>
      </c>
      <c r="S452" s="1035">
        <v>8</v>
      </c>
      <c r="T452" s="1036"/>
      <c r="U452" s="1037"/>
      <c r="V452" s="1034">
        <v>0.29166666666666669</v>
      </c>
      <c r="W452" s="1034">
        <v>0.125</v>
      </c>
      <c r="X452" s="1035">
        <v>8</v>
      </c>
      <c r="Y452" s="1036"/>
      <c r="Z452" s="1038">
        <v>40</v>
      </c>
      <c r="AA452" s="1039">
        <v>0</v>
      </c>
      <c r="AB452" s="1037"/>
      <c r="AC452" s="1034"/>
      <c r="AD452" s="1034"/>
      <c r="AE452" s="1035"/>
      <c r="AF452" s="1037"/>
      <c r="AG452" s="1034"/>
      <c r="AH452" s="1034"/>
      <c r="AI452" s="1035"/>
      <c r="AJ452" s="1038">
        <v>0</v>
      </c>
      <c r="AK452" s="1037"/>
      <c r="AL452" s="1137"/>
      <c r="AM452" s="1063"/>
      <c r="AN452" s="1141" t="s">
        <v>213</v>
      </c>
      <c r="AO452" s="1142">
        <v>20</v>
      </c>
      <c r="AP452" s="1143">
        <v>53.05</v>
      </c>
      <c r="AQ452" s="1143">
        <v>1061</v>
      </c>
      <c r="AR452" s="1144"/>
      <c r="AS452" s="1144"/>
    </row>
    <row r="453" spans="1:45" s="1140" customFormat="1" ht="13.5" customHeight="1">
      <c r="A453" s="1145" t="s">
        <v>1066</v>
      </c>
      <c r="B453" s="1034">
        <v>0.29166666666666669</v>
      </c>
      <c r="C453" s="1034">
        <v>0.125</v>
      </c>
      <c r="D453" s="1035">
        <v>8</v>
      </c>
      <c r="E453" s="1036"/>
      <c r="F453" s="1037"/>
      <c r="G453" s="1034">
        <v>0.29166666666666669</v>
      </c>
      <c r="H453" s="1034">
        <v>0.125</v>
      </c>
      <c r="I453" s="1035">
        <v>8</v>
      </c>
      <c r="J453" s="1036"/>
      <c r="K453" s="1037"/>
      <c r="L453" s="1034">
        <v>0.29166666666666669</v>
      </c>
      <c r="M453" s="1034">
        <v>0.125</v>
      </c>
      <c r="N453" s="1035">
        <v>8</v>
      </c>
      <c r="O453" s="1036"/>
      <c r="P453" s="1037"/>
      <c r="Q453" s="1034">
        <v>0.29166666666666669</v>
      </c>
      <c r="R453" s="1034">
        <v>0.125</v>
      </c>
      <c r="S453" s="1035">
        <v>8</v>
      </c>
      <c r="T453" s="1036"/>
      <c r="U453" s="1037"/>
      <c r="V453" s="1034">
        <v>0.29166666666666669</v>
      </c>
      <c r="W453" s="1034">
        <v>0.125</v>
      </c>
      <c r="X453" s="1035">
        <v>8</v>
      </c>
      <c r="Y453" s="1036"/>
      <c r="Z453" s="1038">
        <v>40</v>
      </c>
      <c r="AA453" s="1039">
        <v>0</v>
      </c>
      <c r="AB453" s="1037"/>
      <c r="AC453" s="1034"/>
      <c r="AD453" s="1034"/>
      <c r="AE453" s="1035"/>
      <c r="AF453" s="1037"/>
      <c r="AG453" s="1034"/>
      <c r="AH453" s="1034"/>
      <c r="AI453" s="1035"/>
      <c r="AJ453" s="1038">
        <v>0</v>
      </c>
      <c r="AK453" s="1037"/>
      <c r="AL453" s="1137"/>
      <c r="AM453" s="1063"/>
      <c r="AN453" s="1141" t="s">
        <v>36</v>
      </c>
      <c r="AO453" s="1142">
        <v>0</v>
      </c>
      <c r="AP453" s="1143">
        <v>79.574999999999989</v>
      </c>
      <c r="AQ453" s="1143">
        <v>0</v>
      </c>
      <c r="AR453" s="1144"/>
      <c r="AS453" s="1144"/>
    </row>
    <row r="454" spans="1:45" s="1140" customFormat="1" ht="13.5" customHeight="1">
      <c r="A454" s="1145" t="s">
        <v>1427</v>
      </c>
      <c r="B454" s="1034">
        <v>0.29166666666666669</v>
      </c>
      <c r="C454" s="1034">
        <v>0.125</v>
      </c>
      <c r="D454" s="1035">
        <v>8</v>
      </c>
      <c r="E454" s="1036"/>
      <c r="F454" s="1037"/>
      <c r="G454" s="1132"/>
      <c r="H454" s="1132"/>
      <c r="I454" s="1035">
        <v>0</v>
      </c>
      <c r="J454" s="1036"/>
      <c r="K454" s="1037"/>
      <c r="L454" s="1034">
        <v>0.29166666666666669</v>
      </c>
      <c r="M454" s="1034">
        <v>0.125</v>
      </c>
      <c r="N454" s="1035">
        <v>8</v>
      </c>
      <c r="O454" s="1036"/>
      <c r="P454" s="1037"/>
      <c r="Q454" s="1034">
        <v>0.29166666666666669</v>
      </c>
      <c r="R454" s="1034">
        <v>0.125</v>
      </c>
      <c r="S454" s="1035">
        <v>8</v>
      </c>
      <c r="T454" s="1036"/>
      <c r="U454" s="1037"/>
      <c r="V454" s="1034"/>
      <c r="W454" s="1034">
        <v>0.125</v>
      </c>
      <c r="X454" s="1035">
        <v>8</v>
      </c>
      <c r="Y454" s="1036"/>
      <c r="Z454" s="1038">
        <v>32</v>
      </c>
      <c r="AA454" s="1039">
        <v>0</v>
      </c>
      <c r="AB454" s="1037"/>
      <c r="AC454" s="1034"/>
      <c r="AD454" s="1034"/>
      <c r="AE454" s="1035"/>
      <c r="AF454" s="1037"/>
      <c r="AG454" s="1034"/>
      <c r="AH454" s="1034"/>
      <c r="AI454" s="1035"/>
      <c r="AJ454" s="1038">
        <v>0</v>
      </c>
      <c r="AK454" s="1037"/>
      <c r="AL454" s="1137"/>
      <c r="AM454" s="1063"/>
      <c r="AN454" s="1141" t="s">
        <v>38</v>
      </c>
      <c r="AO454" s="1142">
        <v>8.75</v>
      </c>
      <c r="AP454" s="1143">
        <v>79.574999999999989</v>
      </c>
      <c r="AQ454" s="1143">
        <v>696.28124999999989</v>
      </c>
      <c r="AR454" s="1144"/>
      <c r="AS454" s="1144"/>
    </row>
    <row r="455" spans="1:45" s="1140" customFormat="1" ht="13.5" customHeight="1">
      <c r="A455" s="1145" t="s">
        <v>1428</v>
      </c>
      <c r="B455" s="1034">
        <v>0.14583333333333334</v>
      </c>
      <c r="C455" s="1034">
        <v>0.45833333333333331</v>
      </c>
      <c r="D455" s="1035">
        <v>7.5</v>
      </c>
      <c r="E455" s="1036"/>
      <c r="F455" s="1037"/>
      <c r="G455" s="1034">
        <v>0.125</v>
      </c>
      <c r="H455" s="1034">
        <v>0.45833333333333331</v>
      </c>
      <c r="I455" s="1035">
        <v>8</v>
      </c>
      <c r="J455" s="1036"/>
      <c r="K455" s="1037"/>
      <c r="L455" s="1034">
        <v>0.125</v>
      </c>
      <c r="M455" s="1034">
        <v>0.29166666666666669</v>
      </c>
      <c r="N455" s="1035">
        <v>8</v>
      </c>
      <c r="O455" s="1036"/>
      <c r="P455" s="1037"/>
      <c r="Q455" s="1034">
        <v>0.125</v>
      </c>
      <c r="R455" s="1034">
        <v>0.39583333333333331</v>
      </c>
      <c r="S455" s="1035">
        <v>8</v>
      </c>
      <c r="T455" s="1036"/>
      <c r="U455" s="1037"/>
      <c r="V455" s="1034">
        <v>0.125</v>
      </c>
      <c r="W455" s="1034">
        <v>0.22916666666666666</v>
      </c>
      <c r="X455" s="1035">
        <v>8</v>
      </c>
      <c r="Y455" s="1036"/>
      <c r="Z455" s="1038">
        <v>39.5</v>
      </c>
      <c r="AA455" s="1039">
        <v>0</v>
      </c>
      <c r="AB455" s="1037"/>
      <c r="AC455" s="1034"/>
      <c r="AD455" s="1034"/>
      <c r="AE455" s="1035"/>
      <c r="AF455" s="1037"/>
      <c r="AG455" s="1034"/>
      <c r="AH455" s="1034"/>
      <c r="AI455" s="1035"/>
      <c r="AJ455" s="1038">
        <v>0</v>
      </c>
      <c r="AK455" s="1037"/>
      <c r="AL455" s="1137"/>
      <c r="AM455" s="1063"/>
      <c r="AN455" s="1144"/>
      <c r="AO455" s="1142"/>
      <c r="AP455" s="1144"/>
      <c r="AQ455" s="1143">
        <v>36112.47625</v>
      </c>
      <c r="AR455" s="1144"/>
      <c r="AS455" s="1144"/>
    </row>
    <row r="456" spans="1:45" s="1140" customFormat="1" ht="13.5" customHeight="1">
      <c r="A456" s="1145" t="s">
        <v>1142</v>
      </c>
      <c r="B456" s="1034">
        <v>0.125</v>
      </c>
      <c r="C456" s="1034">
        <v>0.45833333333333331</v>
      </c>
      <c r="D456" s="1035">
        <v>8</v>
      </c>
      <c r="E456" s="1036"/>
      <c r="F456" s="1037"/>
      <c r="G456" s="1034">
        <v>0.125</v>
      </c>
      <c r="H456" s="1034">
        <v>0.45833333333333331</v>
      </c>
      <c r="I456" s="1035">
        <v>8</v>
      </c>
      <c r="J456" s="1036"/>
      <c r="K456" s="1042"/>
      <c r="L456" s="1034">
        <v>0.125</v>
      </c>
      <c r="M456" s="1034">
        <v>0.45833333333333331</v>
      </c>
      <c r="N456" s="1035">
        <v>8</v>
      </c>
      <c r="O456" s="1036"/>
      <c r="P456" s="1042"/>
      <c r="Q456" s="1034">
        <v>0.125</v>
      </c>
      <c r="R456" s="1034">
        <v>0.45833333333333331</v>
      </c>
      <c r="S456" s="1035">
        <v>8</v>
      </c>
      <c r="T456" s="1036"/>
      <c r="U456" s="1042"/>
      <c r="V456" s="1034">
        <v>0.125</v>
      </c>
      <c r="W456" s="1034">
        <v>0.45833333333333331</v>
      </c>
      <c r="X456" s="1035">
        <v>8</v>
      </c>
      <c r="Y456" s="1036"/>
      <c r="Z456" s="1038">
        <v>40</v>
      </c>
      <c r="AA456" s="1039">
        <v>0</v>
      </c>
      <c r="AB456" s="1037"/>
      <c r="AC456" s="1034"/>
      <c r="AD456" s="1034"/>
      <c r="AE456" s="1035"/>
      <c r="AF456" s="1037"/>
      <c r="AG456" s="1034"/>
      <c r="AH456" s="1034"/>
      <c r="AI456" s="1035"/>
      <c r="AJ456" s="1038">
        <v>0</v>
      </c>
      <c r="AK456" s="1037"/>
      <c r="AL456" s="1137"/>
      <c r="AM456" s="1063"/>
      <c r="AN456" s="1144"/>
      <c r="AO456" s="1142"/>
      <c r="AP456" s="1144"/>
      <c r="AQ456" s="1144"/>
      <c r="AR456" s="1144"/>
      <c r="AS456" s="1144"/>
    </row>
    <row r="457" spans="1:45" s="1140" customFormat="1" ht="13.5" customHeight="1">
      <c r="A457" s="1145" t="s">
        <v>1429</v>
      </c>
      <c r="B457" s="1034">
        <v>0.125</v>
      </c>
      <c r="C457" s="1034">
        <v>0.45833333333333331</v>
      </c>
      <c r="D457" s="1035">
        <v>8</v>
      </c>
      <c r="E457" s="1036"/>
      <c r="F457" s="1037"/>
      <c r="G457" s="1034">
        <v>0.125</v>
      </c>
      <c r="H457" s="1034">
        <v>0.45833333333333331</v>
      </c>
      <c r="I457" s="1035">
        <v>8</v>
      </c>
      <c r="J457" s="1036"/>
      <c r="K457" s="1042"/>
      <c r="L457" s="1034">
        <v>0.125</v>
      </c>
      <c r="M457" s="1034">
        <v>0.45833333333333331</v>
      </c>
      <c r="N457" s="1035">
        <v>8</v>
      </c>
      <c r="O457" s="1036"/>
      <c r="P457" s="1042"/>
      <c r="Q457" s="1034">
        <v>0.125</v>
      </c>
      <c r="R457" s="1034">
        <v>0.45833333333333331</v>
      </c>
      <c r="S457" s="1035">
        <v>8</v>
      </c>
      <c r="T457" s="1036"/>
      <c r="U457" s="1042"/>
      <c r="V457" s="1034">
        <v>0.125</v>
      </c>
      <c r="W457" s="1034">
        <v>0.45833333333333331</v>
      </c>
      <c r="X457" s="1035">
        <v>8</v>
      </c>
      <c r="Y457" s="1036"/>
      <c r="Z457" s="1038">
        <v>40</v>
      </c>
      <c r="AA457" s="1039">
        <v>0</v>
      </c>
      <c r="AB457" s="1037"/>
      <c r="AC457" s="1034"/>
      <c r="AD457" s="1034"/>
      <c r="AE457" s="1035"/>
      <c r="AF457" s="1037"/>
      <c r="AG457" s="1034"/>
      <c r="AH457" s="1034"/>
      <c r="AI457" s="1035"/>
      <c r="AJ457" s="1038">
        <v>0</v>
      </c>
      <c r="AK457" s="1037"/>
      <c r="AL457" s="1137"/>
      <c r="AM457" s="1063"/>
      <c r="AN457" s="1146" t="s">
        <v>1115</v>
      </c>
      <c r="AO457" s="1142">
        <v>89</v>
      </c>
      <c r="AP457" s="1144"/>
      <c r="AQ457" s="1144"/>
      <c r="AR457" s="1144"/>
      <c r="AS457" s="1144"/>
    </row>
    <row r="458" spans="1:45" s="1140" customFormat="1" ht="13.5" customHeight="1">
      <c r="A458" s="1145" t="s">
        <v>1060</v>
      </c>
      <c r="B458" s="1034">
        <v>0.125</v>
      </c>
      <c r="C458" s="1034">
        <v>0.45833333333333331</v>
      </c>
      <c r="D458" s="1035">
        <v>8</v>
      </c>
      <c r="E458" s="1036"/>
      <c r="F458" s="1037"/>
      <c r="G458" s="1034">
        <v>0.125</v>
      </c>
      <c r="H458" s="1034">
        <v>0.45833333333333331</v>
      </c>
      <c r="I458" s="1035">
        <v>8</v>
      </c>
      <c r="J458" s="1036"/>
      <c r="K458" s="1042"/>
      <c r="L458" s="1034">
        <v>0.125</v>
      </c>
      <c r="M458" s="1034">
        <v>0.45833333333333331</v>
      </c>
      <c r="N458" s="1035">
        <v>8</v>
      </c>
      <c r="O458" s="1036"/>
      <c r="P458" s="1042"/>
      <c r="Q458" s="1034">
        <v>0.125</v>
      </c>
      <c r="R458" s="1034">
        <v>0.45833333333333331</v>
      </c>
      <c r="S458" s="1035">
        <v>8</v>
      </c>
      <c r="T458" s="1036"/>
      <c r="U458" s="1042"/>
      <c r="V458" s="1034">
        <v>0.125</v>
      </c>
      <c r="W458" s="1034">
        <v>0.35416666666666669</v>
      </c>
      <c r="X458" s="1035">
        <v>8</v>
      </c>
      <c r="Y458" s="1036"/>
      <c r="Z458" s="1038">
        <v>40</v>
      </c>
      <c r="AA458" s="1039">
        <v>0</v>
      </c>
      <c r="AB458" s="1037"/>
      <c r="AC458" s="1034"/>
      <c r="AD458" s="1034"/>
      <c r="AE458" s="1035"/>
      <c r="AF458" s="1037"/>
      <c r="AG458" s="1034"/>
      <c r="AH458" s="1034"/>
      <c r="AI458" s="1035"/>
      <c r="AJ458" s="1038">
        <v>0</v>
      </c>
      <c r="AK458" s="1037"/>
      <c r="AL458" s="1137"/>
      <c r="AM458" s="1063"/>
      <c r="AN458" s="1144"/>
      <c r="AO458" s="1144"/>
      <c r="AP458" s="1144"/>
      <c r="AQ458" s="1144"/>
      <c r="AR458" s="1144"/>
      <c r="AS458" s="1144"/>
    </row>
    <row r="459" spans="1:45" s="1140" customFormat="1" ht="13.5" customHeight="1">
      <c r="A459" s="1037" t="s">
        <v>327</v>
      </c>
      <c r="B459" s="1034">
        <v>0.125</v>
      </c>
      <c r="C459" s="1034">
        <v>0.45833333333333331</v>
      </c>
      <c r="D459" s="1035">
        <v>8</v>
      </c>
      <c r="E459" s="1036"/>
      <c r="F459" s="1042"/>
      <c r="G459" s="1034">
        <v>0.125</v>
      </c>
      <c r="H459" s="1034">
        <v>0.45833333333333331</v>
      </c>
      <c r="I459" s="1035">
        <v>8</v>
      </c>
      <c r="J459" s="1036"/>
      <c r="K459" s="1042"/>
      <c r="L459" s="1034">
        <v>0.125</v>
      </c>
      <c r="M459" s="1034">
        <v>0.45833333333333331</v>
      </c>
      <c r="N459" s="1035">
        <v>8</v>
      </c>
      <c r="O459" s="1036"/>
      <c r="P459" s="1042"/>
      <c r="Q459" s="1034">
        <v>0.125</v>
      </c>
      <c r="R459" s="1034">
        <v>0.45833333333333331</v>
      </c>
      <c r="S459" s="1035">
        <v>8</v>
      </c>
      <c r="T459" s="1036"/>
      <c r="U459" s="1042"/>
      <c r="V459" s="1034"/>
      <c r="W459" s="1034">
        <v>0.38541666666666669</v>
      </c>
      <c r="X459" s="1035">
        <v>8</v>
      </c>
      <c r="Y459" s="1036"/>
      <c r="Z459" s="1038">
        <v>40</v>
      </c>
      <c r="AA459" s="1039">
        <v>0</v>
      </c>
      <c r="AB459" s="1037"/>
      <c r="AC459" s="1034"/>
      <c r="AD459" s="1034"/>
      <c r="AE459" s="1035"/>
      <c r="AF459" s="1037"/>
      <c r="AG459" s="1034"/>
      <c r="AH459" s="1034"/>
      <c r="AI459" s="1035"/>
      <c r="AJ459" s="1038">
        <v>0</v>
      </c>
      <c r="AK459" s="1037"/>
      <c r="AL459" s="1137"/>
      <c r="AM459" s="1063"/>
      <c r="AN459" s="1144"/>
      <c r="AO459" s="1144"/>
      <c r="AP459" s="1144"/>
      <c r="AQ459" s="1144"/>
      <c r="AR459" s="1144"/>
      <c r="AS459" s="1144"/>
    </row>
    <row r="460" spans="1:45" s="1140" customFormat="1" ht="13.5" customHeight="1">
      <c r="A460" s="1034" t="s">
        <v>1144</v>
      </c>
      <c r="B460" s="1034">
        <v>0.125</v>
      </c>
      <c r="C460" s="1034">
        <v>0.45833333333333331</v>
      </c>
      <c r="D460" s="1035">
        <v>8</v>
      </c>
      <c r="E460" s="1036"/>
      <c r="F460" s="1042"/>
      <c r="G460" s="1034">
        <v>0.125</v>
      </c>
      <c r="H460" s="1034">
        <v>0.45833333333333331</v>
      </c>
      <c r="I460" s="1035">
        <v>8</v>
      </c>
      <c r="J460" s="1036"/>
      <c r="K460" s="1042"/>
      <c r="L460" s="1034">
        <v>0.125</v>
      </c>
      <c r="M460" s="1034">
        <v>0.45833333333333331</v>
      </c>
      <c r="N460" s="1035">
        <v>8</v>
      </c>
      <c r="O460" s="1036"/>
      <c r="P460" s="1042"/>
      <c r="Q460" s="1034">
        <v>0.125</v>
      </c>
      <c r="R460" s="1034">
        <v>0.45833333333333331</v>
      </c>
      <c r="S460" s="1035">
        <v>8</v>
      </c>
      <c r="T460" s="1036"/>
      <c r="U460" s="1042"/>
      <c r="V460" s="1034">
        <v>0.125</v>
      </c>
      <c r="W460" s="1034">
        <v>0.45833333333333331</v>
      </c>
      <c r="X460" s="1035">
        <v>8</v>
      </c>
      <c r="Y460" s="1036"/>
      <c r="Z460" s="1038">
        <v>40</v>
      </c>
      <c r="AA460" s="1039">
        <v>0</v>
      </c>
      <c r="AB460" s="1037"/>
      <c r="AC460" s="1034"/>
      <c r="AD460" s="1034"/>
      <c r="AE460" s="1035"/>
      <c r="AF460" s="1037"/>
      <c r="AG460" s="1034"/>
      <c r="AH460" s="1034"/>
      <c r="AI460" s="1035"/>
      <c r="AJ460" s="1038">
        <v>0</v>
      </c>
      <c r="AK460" s="1037"/>
      <c r="AL460" s="1137"/>
      <c r="AM460" s="1063"/>
      <c r="AN460" s="1144"/>
      <c r="AO460" s="1144"/>
      <c r="AP460" s="1144"/>
      <c r="AQ460" s="1144"/>
      <c r="AR460" s="1144"/>
      <c r="AS460" s="1144"/>
    </row>
    <row r="461" spans="1:45" s="1140" customFormat="1" ht="13.5" customHeight="1">
      <c r="A461" s="1034" t="s">
        <v>1436</v>
      </c>
      <c r="B461" s="1034">
        <v>0.125</v>
      </c>
      <c r="C461" s="1034">
        <v>0.45833333333333331</v>
      </c>
      <c r="D461" s="1035">
        <v>8</v>
      </c>
      <c r="E461" s="1036"/>
      <c r="F461" s="1042"/>
      <c r="G461" s="1034">
        <v>0.125</v>
      </c>
      <c r="H461" s="1034">
        <v>0.45833333333333331</v>
      </c>
      <c r="I461" s="1035">
        <v>8</v>
      </c>
      <c r="J461" s="1036"/>
      <c r="K461" s="1042"/>
      <c r="L461" s="1034">
        <v>0.125</v>
      </c>
      <c r="M461" s="1034">
        <v>0.45833333333333331</v>
      </c>
      <c r="N461" s="1035">
        <v>8</v>
      </c>
      <c r="O461" s="1036"/>
      <c r="P461" s="1042"/>
      <c r="Q461" s="1034">
        <v>0.125</v>
      </c>
      <c r="R461" s="1034">
        <v>0.45833333333333331</v>
      </c>
      <c r="S461" s="1035"/>
      <c r="T461" s="1036"/>
      <c r="U461" s="1042"/>
      <c r="V461" s="1034">
        <v>0.125</v>
      </c>
      <c r="W461" s="1034">
        <v>0.45833333333333331</v>
      </c>
      <c r="X461" s="1035">
        <v>8</v>
      </c>
      <c r="Y461" s="1036"/>
      <c r="Z461" s="1038">
        <v>32</v>
      </c>
      <c r="AA461" s="1039">
        <v>0</v>
      </c>
      <c r="AB461" s="1037"/>
      <c r="AC461" s="1034"/>
      <c r="AD461" s="1034"/>
      <c r="AE461" s="1035"/>
      <c r="AF461" s="1037"/>
      <c r="AG461" s="1034"/>
      <c r="AH461" s="1034"/>
      <c r="AI461" s="1035"/>
      <c r="AJ461" s="1038">
        <v>0</v>
      </c>
      <c r="AK461" s="1037"/>
      <c r="AL461" s="1137"/>
      <c r="AM461" s="1063"/>
      <c r="AN461" s="1144"/>
      <c r="AO461" s="1144"/>
      <c r="AP461" s="1144"/>
      <c r="AQ461" s="1144"/>
      <c r="AR461" s="1144"/>
      <c r="AS461" s="1144"/>
    </row>
    <row r="462" spans="1:45" s="1140" customFormat="1" ht="13.5" customHeight="1">
      <c r="A462" s="1145" t="s">
        <v>241</v>
      </c>
      <c r="B462" s="1034"/>
      <c r="C462" s="1034"/>
      <c r="D462" s="1035"/>
      <c r="E462" s="1036"/>
      <c r="F462" s="1042"/>
      <c r="G462" s="1034"/>
      <c r="H462" s="1034"/>
      <c r="I462" s="1035"/>
      <c r="J462" s="1036"/>
      <c r="K462" s="1042"/>
      <c r="L462" s="1034"/>
      <c r="M462" s="1034"/>
      <c r="N462" s="1035"/>
      <c r="O462" s="1036"/>
      <c r="P462" s="1042"/>
      <c r="Q462" s="1063"/>
      <c r="R462" s="1034"/>
      <c r="S462" s="1035"/>
      <c r="T462" s="1036"/>
      <c r="U462" s="1042"/>
      <c r="V462" s="1063"/>
      <c r="W462" s="1034"/>
      <c r="X462" s="1035"/>
      <c r="Y462" s="1036"/>
      <c r="Z462" s="1038">
        <v>0</v>
      </c>
      <c r="AA462" s="1039">
        <v>0</v>
      </c>
      <c r="AB462" s="1037"/>
      <c r="AC462" s="1034"/>
      <c r="AD462" s="1034"/>
      <c r="AE462" s="1035"/>
      <c r="AF462" s="1037"/>
      <c r="AG462" s="1034"/>
      <c r="AH462" s="1034"/>
      <c r="AI462" s="1035"/>
      <c r="AJ462" s="1038">
        <v>0</v>
      </c>
      <c r="AK462" s="1037"/>
      <c r="AL462" s="1137"/>
      <c r="AM462" s="1063"/>
      <c r="AN462" s="1144"/>
      <c r="AO462" s="1144"/>
      <c r="AP462" s="1144"/>
      <c r="AQ462" s="1144"/>
      <c r="AR462" s="1144"/>
      <c r="AS462" s="1144"/>
    </row>
    <row r="463" spans="1:45" s="1140" customFormat="1" ht="13.5" customHeight="1">
      <c r="A463" s="1145" t="s">
        <v>1444</v>
      </c>
      <c r="B463" s="1034"/>
      <c r="C463" s="1034"/>
      <c r="D463" s="1035"/>
      <c r="E463" s="1036"/>
      <c r="F463" s="1042"/>
      <c r="G463" s="1034"/>
      <c r="H463" s="1034"/>
      <c r="I463" s="1035"/>
      <c r="J463" s="1036"/>
      <c r="K463" s="1042"/>
      <c r="L463" s="1034"/>
      <c r="M463" s="1034"/>
      <c r="N463" s="1035"/>
      <c r="O463" s="1036"/>
      <c r="P463" s="1042"/>
      <c r="Q463" s="1034">
        <v>0.29166666666666669</v>
      </c>
      <c r="R463" s="1034">
        <v>0.125</v>
      </c>
      <c r="S463" s="1035">
        <v>8</v>
      </c>
      <c r="T463" s="1036"/>
      <c r="U463" s="1042"/>
      <c r="V463" s="1034"/>
      <c r="W463" s="1034"/>
      <c r="X463" s="1035"/>
      <c r="Y463" s="1036"/>
      <c r="Z463" s="1038">
        <v>8</v>
      </c>
      <c r="AA463" s="1039">
        <v>0</v>
      </c>
      <c r="AB463" s="1037"/>
      <c r="AC463" s="1034"/>
      <c r="AD463" s="1034"/>
      <c r="AE463" s="1035"/>
      <c r="AF463" s="1037"/>
      <c r="AG463" s="1034"/>
      <c r="AH463" s="1034"/>
      <c r="AI463" s="1035"/>
      <c r="AJ463" s="1038">
        <v>0</v>
      </c>
      <c r="AK463" s="1037"/>
      <c r="AL463" s="1137"/>
      <c r="AM463" s="1063"/>
      <c r="AN463" s="1144"/>
      <c r="AO463" s="1144"/>
      <c r="AP463" s="1144"/>
      <c r="AQ463" s="1144"/>
      <c r="AR463" s="1144"/>
      <c r="AS463" s="1144"/>
    </row>
    <row r="464" spans="1:45" s="1140" customFormat="1" ht="13.5" customHeight="1">
      <c r="A464" s="1145" t="s">
        <v>101</v>
      </c>
      <c r="B464" s="1034"/>
      <c r="C464" s="1034"/>
      <c r="D464" s="1035"/>
      <c r="E464" s="1036"/>
      <c r="F464" s="1042"/>
      <c r="G464" s="1063"/>
      <c r="H464" s="1063"/>
      <c r="I464" s="1035"/>
      <c r="J464" s="1036"/>
      <c r="K464" s="1042"/>
      <c r="L464" s="1034"/>
      <c r="M464" s="1034"/>
      <c r="N464" s="1035"/>
      <c r="O464" s="1036"/>
      <c r="P464" s="1042"/>
      <c r="Q464" s="1034"/>
      <c r="R464" s="1034"/>
      <c r="S464" s="1035"/>
      <c r="T464" s="1036"/>
      <c r="U464" s="1042"/>
      <c r="V464" s="1034"/>
      <c r="W464" s="1034"/>
      <c r="X464" s="1035"/>
      <c r="Y464" s="1036"/>
      <c r="Z464" s="1038">
        <v>0</v>
      </c>
      <c r="AA464" s="1039">
        <v>0</v>
      </c>
      <c r="AB464" s="1037"/>
      <c r="AC464" s="1034">
        <v>6.25E-2</v>
      </c>
      <c r="AD464" s="1034">
        <v>0.16666666666666666</v>
      </c>
      <c r="AE464" s="1035">
        <v>4</v>
      </c>
      <c r="AF464" s="1037"/>
      <c r="AG464" s="1034"/>
      <c r="AH464" s="1034"/>
      <c r="AI464" s="1035"/>
      <c r="AJ464" s="1038">
        <v>4</v>
      </c>
      <c r="AK464" s="1037"/>
      <c r="AL464" s="1137"/>
      <c r="AM464" s="1063"/>
      <c r="AN464" s="1144"/>
      <c r="AO464" s="1144"/>
      <c r="AP464" s="1144"/>
      <c r="AQ464" s="1144"/>
      <c r="AR464" s="1144"/>
      <c r="AS464" s="1144"/>
    </row>
    <row r="465" spans="1:45" s="1140" customFormat="1" ht="13.5" customHeight="1">
      <c r="A465" s="1145" t="s">
        <v>1431</v>
      </c>
      <c r="B465" s="1034"/>
      <c r="C465" s="1034"/>
      <c r="D465" s="1035">
        <v>1</v>
      </c>
      <c r="E465" s="1036"/>
      <c r="F465" s="1042"/>
      <c r="G465" s="1034"/>
      <c r="H465" s="1034"/>
      <c r="I465" s="1035">
        <v>1</v>
      </c>
      <c r="J465" s="1036"/>
      <c r="K465" s="1042"/>
      <c r="L465" s="1034"/>
      <c r="M465" s="1034"/>
      <c r="N465" s="1035">
        <v>1</v>
      </c>
      <c r="O465" s="1036"/>
      <c r="P465" s="1042"/>
      <c r="Q465" s="1034"/>
      <c r="R465" s="1034"/>
      <c r="S465" s="1035">
        <v>1</v>
      </c>
      <c r="T465" s="1036"/>
      <c r="U465" s="1042"/>
      <c r="V465" s="1034"/>
      <c r="W465" s="1034"/>
      <c r="X465" s="1035">
        <v>1</v>
      </c>
      <c r="Y465" s="1036"/>
      <c r="Z465" s="1038">
        <v>5</v>
      </c>
      <c r="AA465" s="1039">
        <v>0</v>
      </c>
      <c r="AB465" s="1037"/>
      <c r="AC465" s="1034"/>
      <c r="AD465" s="1034"/>
      <c r="AE465" s="1035"/>
      <c r="AF465" s="1037"/>
      <c r="AG465" s="1034"/>
      <c r="AH465" s="1034"/>
      <c r="AI465" s="1035"/>
      <c r="AJ465" s="1038">
        <v>0</v>
      </c>
      <c r="AK465" s="1037"/>
      <c r="AL465" s="1137"/>
      <c r="AM465" s="1063"/>
      <c r="AN465" s="1144"/>
      <c r="AO465" s="1144"/>
      <c r="AP465" s="1144"/>
      <c r="AQ465" s="1144"/>
      <c r="AR465" s="1144"/>
      <c r="AS465" s="1144"/>
    </row>
    <row r="466" spans="1:45" s="1140" customFormat="1" ht="13.5" customHeight="1">
      <c r="A466" s="1145" t="s">
        <v>813</v>
      </c>
      <c r="B466" s="1034"/>
      <c r="C466" s="1034"/>
      <c r="D466" s="1035">
        <v>2</v>
      </c>
      <c r="E466" s="1036"/>
      <c r="F466" s="1042"/>
      <c r="G466" s="1034"/>
      <c r="H466" s="1034"/>
      <c r="I466" s="1035">
        <v>2</v>
      </c>
      <c r="J466" s="1036"/>
      <c r="K466" s="1042"/>
      <c r="L466" s="1034"/>
      <c r="M466" s="1034"/>
      <c r="N466" s="1035">
        <v>2</v>
      </c>
      <c r="O466" s="1036"/>
      <c r="P466" s="1042"/>
      <c r="Q466" s="1034"/>
      <c r="R466" s="1034"/>
      <c r="S466" s="1035">
        <v>2</v>
      </c>
      <c r="T466" s="1036"/>
      <c r="U466" s="1042"/>
      <c r="V466" s="1034"/>
      <c r="W466" s="1034"/>
      <c r="X466" s="1035">
        <v>2</v>
      </c>
      <c r="Y466" s="1036"/>
      <c r="Z466" s="1038">
        <v>10</v>
      </c>
      <c r="AA466" s="1039">
        <v>0</v>
      </c>
      <c r="AB466" s="1037"/>
      <c r="AC466" s="1034"/>
      <c r="AD466" s="1034"/>
      <c r="AE466" s="1035"/>
      <c r="AF466" s="1037"/>
      <c r="AG466" s="1034"/>
      <c r="AH466" s="1034"/>
      <c r="AI466" s="1035"/>
      <c r="AJ466" s="1038">
        <v>0</v>
      </c>
      <c r="AK466" s="1037"/>
      <c r="AL466" s="1137"/>
      <c r="AM466" s="1063"/>
      <c r="AN466" s="1144"/>
      <c r="AO466" s="1144"/>
      <c r="AP466" s="1144"/>
      <c r="AQ466" s="1144"/>
      <c r="AR466" s="1144"/>
      <c r="AS466" s="1144"/>
    </row>
    <row r="467" spans="1:45" s="1140" customFormat="1" ht="13.5" customHeight="1">
      <c r="A467" s="1145" t="s">
        <v>88</v>
      </c>
      <c r="B467" s="1034"/>
      <c r="C467" s="1034"/>
      <c r="D467" s="1035">
        <v>2</v>
      </c>
      <c r="E467" s="1036"/>
      <c r="F467" s="1042"/>
      <c r="G467" s="1034"/>
      <c r="H467" s="1034"/>
      <c r="I467" s="1035">
        <v>2</v>
      </c>
      <c r="J467" s="1036"/>
      <c r="K467" s="1042"/>
      <c r="L467" s="1034"/>
      <c r="M467" s="1034"/>
      <c r="N467" s="1035">
        <v>2</v>
      </c>
      <c r="O467" s="1036"/>
      <c r="P467" s="1042"/>
      <c r="Q467" s="1034"/>
      <c r="R467" s="1034"/>
      <c r="S467" s="1035">
        <v>2</v>
      </c>
      <c r="T467" s="1036"/>
      <c r="U467" s="1042"/>
      <c r="V467" s="1034"/>
      <c r="W467" s="1034"/>
      <c r="X467" s="1035">
        <v>2</v>
      </c>
      <c r="Y467" s="1036"/>
      <c r="Z467" s="1038">
        <v>10</v>
      </c>
      <c r="AA467" s="1039">
        <v>0</v>
      </c>
      <c r="AB467" s="1037"/>
      <c r="AC467" s="1034"/>
      <c r="AD467" s="1034"/>
      <c r="AE467" s="1035"/>
      <c r="AF467" s="1037"/>
      <c r="AG467" s="1034"/>
      <c r="AH467" s="1034"/>
      <c r="AI467" s="1035"/>
      <c r="AJ467" s="1038">
        <v>0</v>
      </c>
      <c r="AK467" s="1037"/>
      <c r="AL467" s="1137"/>
      <c r="AM467" s="1063"/>
      <c r="AN467" s="1144"/>
      <c r="AO467" s="1144"/>
      <c r="AP467" s="1144"/>
      <c r="AQ467" s="1144"/>
      <c r="AR467" s="1144"/>
      <c r="AS467" s="1144"/>
    </row>
    <row r="468" spans="1:45" s="1140" customFormat="1" ht="13.5" customHeight="1">
      <c r="A468" s="1145" t="s">
        <v>1141</v>
      </c>
      <c r="B468" s="1034"/>
      <c r="C468" s="1034"/>
      <c r="D468" s="1035"/>
      <c r="E468" s="1036"/>
      <c r="F468" s="1042"/>
      <c r="G468" s="1034">
        <v>0.29166666666666669</v>
      </c>
      <c r="H468" s="1034">
        <v>0.125</v>
      </c>
      <c r="I468" s="1035">
        <v>8</v>
      </c>
      <c r="J468" s="1036"/>
      <c r="K468" s="1042"/>
      <c r="L468" s="1034"/>
      <c r="M468" s="1034"/>
      <c r="N468" s="1035"/>
      <c r="O468" s="1036"/>
      <c r="P468" s="1042"/>
      <c r="Q468" s="1034"/>
      <c r="R468" s="1034"/>
      <c r="S468" s="1035"/>
      <c r="T468" s="1036"/>
      <c r="U468" s="1042"/>
      <c r="V468" s="1034"/>
      <c r="W468" s="1034"/>
      <c r="X468" s="1035"/>
      <c r="Y468" s="1036"/>
      <c r="Z468" s="1038">
        <v>8</v>
      </c>
      <c r="AA468" s="1039">
        <v>0</v>
      </c>
      <c r="AB468" s="1037"/>
      <c r="AC468" s="1034">
        <v>0.52083333333333337</v>
      </c>
      <c r="AD468" s="1034">
        <v>0.27083333333333331</v>
      </c>
      <c r="AE468" s="1035">
        <v>7</v>
      </c>
      <c r="AF468" s="1037"/>
      <c r="AG468" s="1034"/>
      <c r="AH468" s="1034"/>
      <c r="AI468" s="1035"/>
      <c r="AJ468" s="1038">
        <v>7</v>
      </c>
      <c r="AK468" s="1037"/>
      <c r="AL468" s="1137"/>
      <c r="AM468" s="1063"/>
      <c r="AN468" s="1144"/>
      <c r="AO468" s="1144"/>
      <c r="AP468" s="1144"/>
      <c r="AQ468" s="1144"/>
      <c r="AR468" s="1144"/>
      <c r="AS468" s="1144"/>
    </row>
    <row r="469" spans="1:45" s="1140" customFormat="1" ht="13.5" customHeight="1">
      <c r="A469" s="1147" t="s">
        <v>1438</v>
      </c>
      <c r="B469" s="1132"/>
      <c r="C469" s="1132"/>
      <c r="D469" s="1050">
        <v>8</v>
      </c>
      <c r="E469" s="1050"/>
      <c r="F469" s="1050"/>
      <c r="G469" s="1132"/>
      <c r="H469" s="1132"/>
      <c r="I469" s="1050">
        <v>8</v>
      </c>
      <c r="J469" s="1050"/>
      <c r="K469" s="1050"/>
      <c r="L469" s="1049">
        <v>0.45833333333333331</v>
      </c>
      <c r="M469" s="1049"/>
      <c r="N469" s="1050">
        <v>8</v>
      </c>
      <c r="O469" s="1050"/>
      <c r="P469" s="1050"/>
      <c r="Q469" s="1132"/>
      <c r="R469" s="1132"/>
      <c r="S469" s="1050">
        <v>8</v>
      </c>
      <c r="T469" s="1050"/>
      <c r="U469" s="1050"/>
      <c r="V469" s="1132"/>
      <c r="W469" s="1132"/>
      <c r="X469" s="1050">
        <v>8</v>
      </c>
      <c r="Y469" s="1050"/>
      <c r="Z469" s="1051">
        <v>40</v>
      </c>
      <c r="AA469" s="1039">
        <v>0</v>
      </c>
      <c r="AB469" s="1037"/>
      <c r="AC469" s="1034"/>
      <c r="AD469" s="1034"/>
      <c r="AE469" s="1035"/>
      <c r="AF469" s="1037"/>
      <c r="AG469" s="1034"/>
      <c r="AH469" s="1034"/>
      <c r="AI469" s="1035"/>
      <c r="AJ469" s="1038">
        <v>0</v>
      </c>
      <c r="AK469" s="1037"/>
      <c r="AL469" s="1137"/>
      <c r="AM469" s="1063"/>
      <c r="AN469" s="1144"/>
      <c r="AO469" s="1144"/>
      <c r="AP469" s="1144"/>
      <c r="AQ469" s="1144"/>
      <c r="AR469" s="1144"/>
      <c r="AS469" s="1144"/>
    </row>
    <row r="470" spans="1:45" s="1140" customFormat="1" ht="13.5" customHeight="1">
      <c r="A470" s="1147" t="s">
        <v>1439</v>
      </c>
      <c r="B470" s="1049">
        <v>0.45833333333333331</v>
      </c>
      <c r="C470" s="1049">
        <v>4.1666666666666664E-2</v>
      </c>
      <c r="D470" s="1050">
        <v>8</v>
      </c>
      <c r="E470" s="1050"/>
      <c r="F470" s="1050"/>
      <c r="G470" s="1049">
        <v>0.45833333333333331</v>
      </c>
      <c r="H470" s="1049">
        <v>0.125</v>
      </c>
      <c r="I470" s="1050">
        <v>8</v>
      </c>
      <c r="J470" s="1050"/>
      <c r="K470" s="1050"/>
      <c r="L470" s="1132"/>
      <c r="M470" s="1132"/>
      <c r="N470" s="1050">
        <v>8</v>
      </c>
      <c r="O470" s="1050"/>
      <c r="P470" s="1050"/>
      <c r="Q470" s="1132"/>
      <c r="R470" s="1132"/>
      <c r="S470" s="1050">
        <v>8</v>
      </c>
      <c r="T470" s="1050"/>
      <c r="U470" s="1050"/>
      <c r="V470" s="1132"/>
      <c r="W470" s="1132"/>
      <c r="X470" s="1050">
        <v>8</v>
      </c>
      <c r="Y470" s="1050"/>
      <c r="Z470" s="1051">
        <v>40</v>
      </c>
      <c r="AA470" s="1039">
        <v>0</v>
      </c>
      <c r="AB470" s="1037"/>
      <c r="AC470" s="1034"/>
      <c r="AD470" s="1034"/>
      <c r="AE470" s="1035"/>
      <c r="AF470" s="1037"/>
      <c r="AG470" s="1034"/>
      <c r="AH470" s="1034"/>
      <c r="AI470" s="1035"/>
      <c r="AJ470" s="1038">
        <v>0</v>
      </c>
      <c r="AK470" s="1037"/>
      <c r="AL470" s="1137"/>
      <c r="AM470" s="1063"/>
      <c r="AN470" s="1144"/>
      <c r="AO470" s="1144"/>
      <c r="AP470" s="1144"/>
      <c r="AQ470" s="1144"/>
      <c r="AR470" s="1144"/>
      <c r="AS470" s="1144"/>
    </row>
    <row r="471" spans="1:45" s="1140" customFormat="1" ht="13.5" customHeight="1">
      <c r="A471" s="1147" t="s">
        <v>1433</v>
      </c>
      <c r="B471" s="1049">
        <v>0.45833333333333331</v>
      </c>
      <c r="C471" s="1049">
        <v>0.29166666666666669</v>
      </c>
      <c r="D471" s="1050">
        <v>8</v>
      </c>
      <c r="E471" s="1050"/>
      <c r="F471" s="1050"/>
      <c r="G471" s="1049">
        <v>0.45833333333333331</v>
      </c>
      <c r="H471" s="1049">
        <v>0.29166666666666669</v>
      </c>
      <c r="I471" s="1050">
        <v>8</v>
      </c>
      <c r="J471" s="1050"/>
      <c r="K471" s="1050"/>
      <c r="L471" s="1049">
        <v>0.45833333333333331</v>
      </c>
      <c r="M471" s="1049">
        <v>0.29166666666666669</v>
      </c>
      <c r="N471" s="1050">
        <v>8</v>
      </c>
      <c r="O471" s="1050"/>
      <c r="P471" s="1050"/>
      <c r="Q471" s="1049">
        <v>0.45833333333333331</v>
      </c>
      <c r="R471" s="1049">
        <v>0.29166666666666669</v>
      </c>
      <c r="S471" s="1050">
        <v>8</v>
      </c>
      <c r="T471" s="1050"/>
      <c r="U471" s="1050"/>
      <c r="V471" s="1132"/>
      <c r="W471" s="1132"/>
      <c r="X471" s="1050">
        <v>8</v>
      </c>
      <c r="Y471" s="1050"/>
      <c r="Z471" s="1051">
        <v>40</v>
      </c>
      <c r="AA471" s="1039">
        <v>0</v>
      </c>
      <c r="AB471" s="1037"/>
      <c r="AC471" s="1034"/>
      <c r="AD471" s="1034"/>
      <c r="AE471" s="1035"/>
      <c r="AF471" s="1037"/>
      <c r="AG471" s="1034"/>
      <c r="AH471" s="1034"/>
      <c r="AI471" s="1035"/>
      <c r="AJ471" s="1038">
        <v>0</v>
      </c>
      <c r="AK471" s="1037"/>
      <c r="AL471" s="1137"/>
      <c r="AM471" s="1063"/>
      <c r="AN471" s="1144"/>
      <c r="AO471" s="1144"/>
      <c r="AP471" s="1144"/>
      <c r="AQ471" s="1144"/>
      <c r="AR471" s="1144"/>
      <c r="AS471" s="1144"/>
    </row>
    <row r="472" spans="1:45" s="1140" customFormat="1" ht="13.5" customHeight="1">
      <c r="A472" s="1147" t="s">
        <v>1440</v>
      </c>
      <c r="B472" s="1049">
        <v>0.45833333333333331</v>
      </c>
      <c r="C472" s="1049">
        <v>0.29166666666666669</v>
      </c>
      <c r="D472" s="1050">
        <v>8</v>
      </c>
      <c r="E472" s="1050"/>
      <c r="F472" s="1050"/>
      <c r="G472" s="1049">
        <v>0.45833333333333331</v>
      </c>
      <c r="H472" s="1049">
        <v>0.29166666666666669</v>
      </c>
      <c r="I472" s="1050">
        <v>8</v>
      </c>
      <c r="J472" s="1050"/>
      <c r="K472" s="1050"/>
      <c r="L472" s="1049">
        <v>0.45833333333333331</v>
      </c>
      <c r="M472" s="1049">
        <v>0.29166666666666669</v>
      </c>
      <c r="N472" s="1050">
        <v>8</v>
      </c>
      <c r="O472" s="1050"/>
      <c r="P472" s="1050"/>
      <c r="Q472" s="1049">
        <v>0.45833333333333331</v>
      </c>
      <c r="R472" s="1049">
        <v>0.29166666666666669</v>
      </c>
      <c r="S472" s="1050">
        <v>8</v>
      </c>
      <c r="T472" s="1050"/>
      <c r="U472" s="1050"/>
      <c r="V472" s="1049">
        <v>0.45833333333333331</v>
      </c>
      <c r="W472" s="1049"/>
      <c r="X472" s="1050">
        <v>8</v>
      </c>
      <c r="Y472" s="1050"/>
      <c r="Z472" s="1051">
        <v>40</v>
      </c>
      <c r="AA472" s="1039">
        <v>0</v>
      </c>
      <c r="AB472" s="1037"/>
      <c r="AC472" s="1034"/>
      <c r="AD472" s="1034"/>
      <c r="AE472" s="1035"/>
      <c r="AF472" s="1037"/>
      <c r="AG472" s="1034"/>
      <c r="AH472" s="1034"/>
      <c r="AI472" s="1035"/>
      <c r="AJ472" s="1038">
        <v>0</v>
      </c>
      <c r="AK472" s="1037"/>
      <c r="AL472" s="1137"/>
      <c r="AM472" s="1063"/>
      <c r="AN472" s="1144"/>
      <c r="AO472" s="1144"/>
      <c r="AP472" s="1144"/>
      <c r="AQ472" s="1144"/>
      <c r="AR472" s="1144"/>
      <c r="AS472" s="1144"/>
    </row>
    <row r="473" spans="1:45" s="1140" customFormat="1" ht="13.5" customHeight="1">
      <c r="A473" s="1147" t="s">
        <v>1437</v>
      </c>
      <c r="B473" s="1049">
        <v>0.29166666666666669</v>
      </c>
      <c r="C473" s="1049">
        <v>0.125</v>
      </c>
      <c r="D473" s="1050">
        <v>8</v>
      </c>
      <c r="E473" s="1050"/>
      <c r="F473" s="1050"/>
      <c r="G473" s="1049">
        <v>0.29166666666666669</v>
      </c>
      <c r="H473" s="1049">
        <v>0.125</v>
      </c>
      <c r="I473" s="1050">
        <v>8</v>
      </c>
      <c r="J473" s="1050"/>
      <c r="K473" s="1050"/>
      <c r="L473" s="1049">
        <v>0.29166666666666669</v>
      </c>
      <c r="M473" s="1049">
        <v>0.125</v>
      </c>
      <c r="N473" s="1050">
        <v>8</v>
      </c>
      <c r="O473" s="1050"/>
      <c r="P473" s="1050"/>
      <c r="Q473" s="1049">
        <v>0.29166666666666669</v>
      </c>
      <c r="R473" s="1049">
        <v>0.125</v>
      </c>
      <c r="S473" s="1050">
        <v>8</v>
      </c>
      <c r="T473" s="1050"/>
      <c r="U473" s="1050"/>
      <c r="V473" s="1049">
        <v>0.3125</v>
      </c>
      <c r="W473" s="1049">
        <v>0.125</v>
      </c>
      <c r="X473" s="1050">
        <v>7.5</v>
      </c>
      <c r="Y473" s="1050"/>
      <c r="Z473" s="1051">
        <v>39.5</v>
      </c>
      <c r="AA473" s="1039">
        <v>0</v>
      </c>
      <c r="AB473" s="1037"/>
      <c r="AC473" s="1034"/>
      <c r="AD473" s="1034"/>
      <c r="AE473" s="1035"/>
      <c r="AF473" s="1037"/>
      <c r="AG473" s="1034"/>
      <c r="AH473" s="1034"/>
      <c r="AI473" s="1035"/>
      <c r="AJ473" s="1038">
        <v>0</v>
      </c>
      <c r="AK473" s="1037"/>
      <c r="AL473" s="1137"/>
      <c r="AM473" s="1063"/>
      <c r="AN473" s="1144"/>
      <c r="AO473" s="1144"/>
      <c r="AP473" s="1144"/>
      <c r="AQ473" s="1144"/>
      <c r="AR473" s="1144"/>
      <c r="AS473" s="1144"/>
    </row>
    <row r="474" spans="1:45" s="1140" customFormat="1" ht="13.5" customHeight="1">
      <c r="A474" s="1147" t="s">
        <v>1445</v>
      </c>
      <c r="B474" s="1133"/>
      <c r="C474" s="1133"/>
      <c r="D474" s="1050"/>
      <c r="E474" s="1050"/>
      <c r="F474" s="1050"/>
      <c r="G474" s="1049"/>
      <c r="H474" s="1049"/>
      <c r="I474" s="1050"/>
      <c r="J474" s="1050"/>
      <c r="K474" s="1050"/>
      <c r="L474" s="1049"/>
      <c r="M474" s="1049"/>
      <c r="N474" s="1050"/>
      <c r="O474" s="1050"/>
      <c r="P474" s="1050"/>
      <c r="Q474" s="1049"/>
      <c r="R474" s="1049">
        <v>0.125</v>
      </c>
      <c r="S474" s="1050">
        <v>8</v>
      </c>
      <c r="T474" s="1050"/>
      <c r="U474" s="1050"/>
      <c r="V474" s="1049"/>
      <c r="W474" s="1049">
        <v>0.125</v>
      </c>
      <c r="X474" s="1050">
        <v>8</v>
      </c>
      <c r="Y474" s="1050"/>
      <c r="Z474" s="1051">
        <v>16</v>
      </c>
      <c r="AA474" s="1039">
        <v>0</v>
      </c>
      <c r="AB474" s="1037"/>
      <c r="AC474" s="1034"/>
      <c r="AD474" s="1034"/>
      <c r="AE474" s="1035"/>
      <c r="AF474" s="1037"/>
      <c r="AG474" s="1034"/>
      <c r="AH474" s="1034"/>
      <c r="AI474" s="1035"/>
      <c r="AJ474" s="1038">
        <v>0</v>
      </c>
      <c r="AK474" s="1037"/>
      <c r="AL474" s="1137"/>
      <c r="AM474" s="1063"/>
      <c r="AN474" s="1144"/>
      <c r="AO474" s="1144"/>
      <c r="AP474" s="1144"/>
      <c r="AQ474" s="1144"/>
      <c r="AR474" s="1144"/>
      <c r="AS474" s="1144"/>
    </row>
    <row r="475" spans="1:45" s="1140" customFormat="1" ht="13.5" customHeight="1">
      <c r="A475" s="1044" t="s">
        <v>61</v>
      </c>
      <c r="B475" s="1044"/>
      <c r="C475" s="1044"/>
      <c r="D475" s="1045">
        <v>108.5</v>
      </c>
      <c r="E475" s="1036"/>
      <c r="F475" s="1044"/>
      <c r="G475" s="1044"/>
      <c r="H475" s="1044"/>
      <c r="I475" s="1045">
        <v>109</v>
      </c>
      <c r="J475" s="1036"/>
      <c r="K475" s="1044"/>
      <c r="L475" s="1044"/>
      <c r="M475" s="1044"/>
      <c r="N475" s="1045">
        <v>109</v>
      </c>
      <c r="O475" s="1036"/>
      <c r="P475" s="1044"/>
      <c r="Q475" s="1044"/>
      <c r="R475" s="1044"/>
      <c r="S475" s="1045">
        <v>101</v>
      </c>
      <c r="T475" s="1036"/>
      <c r="U475" s="1044"/>
      <c r="V475" s="1044"/>
      <c r="W475" s="1044"/>
      <c r="X475" s="1045">
        <v>109</v>
      </c>
      <c r="Y475" s="1036"/>
      <c r="Z475" s="1038">
        <v>536.5</v>
      </c>
      <c r="AA475" s="1038">
        <v>0</v>
      </c>
      <c r="AB475" s="1037"/>
      <c r="AC475" s="1044"/>
      <c r="AD475" s="1044"/>
      <c r="AE475" s="1038">
        <v>11</v>
      </c>
      <c r="AF475" s="1037"/>
      <c r="AG475" s="1044"/>
      <c r="AH475" s="1044"/>
      <c r="AI475" s="1038">
        <v>0</v>
      </c>
      <c r="AJ475" s="1038">
        <v>11</v>
      </c>
      <c r="AK475" s="1037"/>
      <c r="AL475" s="1137"/>
      <c r="AM475" s="1063"/>
      <c r="AN475" s="1144"/>
      <c r="AO475" s="1144"/>
      <c r="AP475" s="1144"/>
      <c r="AQ475" s="1144"/>
      <c r="AR475" s="1144"/>
      <c r="AS475" s="1144"/>
    </row>
    <row r="476" spans="1:45" s="1140" customFormat="1" ht="13.5" customHeight="1">
      <c r="A476" s="1044" t="s">
        <v>1434</v>
      </c>
      <c r="B476" s="1044"/>
      <c r="C476" s="1044"/>
      <c r="D476" s="1045">
        <v>40</v>
      </c>
      <c r="E476" s="1036"/>
      <c r="F476" s="1044"/>
      <c r="G476" s="1044"/>
      <c r="H476" s="1044"/>
      <c r="I476" s="1045">
        <v>40</v>
      </c>
      <c r="J476" s="1036"/>
      <c r="K476" s="1044"/>
      <c r="L476" s="1044"/>
      <c r="M476" s="1044"/>
      <c r="N476" s="1045">
        <v>40</v>
      </c>
      <c r="O476" s="1036"/>
      <c r="P476" s="1044"/>
      <c r="Q476" s="1044"/>
      <c r="R476" s="1044"/>
      <c r="S476" s="1045">
        <v>48</v>
      </c>
      <c r="T476" s="1036"/>
      <c r="U476" s="1044"/>
      <c r="V476" s="1044"/>
      <c r="W476" s="1044"/>
      <c r="X476" s="1045">
        <v>47.5</v>
      </c>
      <c r="Y476" s="1036"/>
      <c r="Z476" s="1038">
        <v>199.5</v>
      </c>
      <c r="AA476" s="1038">
        <v>0</v>
      </c>
      <c r="AB476" s="1037"/>
      <c r="AC476" s="1044"/>
      <c r="AD476" s="1044"/>
      <c r="AE476" s="1038"/>
      <c r="AF476" s="1037"/>
      <c r="AG476" s="1044"/>
      <c r="AH476" s="1044"/>
      <c r="AI476" s="1038"/>
      <c r="AJ476" s="1038"/>
      <c r="AK476" s="1037"/>
      <c r="AL476" s="1137"/>
      <c r="AM476" s="1063"/>
      <c r="AN476" s="1144"/>
      <c r="AO476" s="1144"/>
      <c r="AP476" s="1144"/>
      <c r="AQ476" s="1144"/>
      <c r="AR476" s="1144"/>
      <c r="AS476" s="1144"/>
    </row>
    <row r="477" spans="1:45" s="1140" customFormat="1" ht="13.5" customHeight="1">
      <c r="A477" s="1148" t="s">
        <v>64</v>
      </c>
      <c r="B477" s="1034"/>
      <c r="C477" s="1034"/>
      <c r="D477" s="1035">
        <v>4</v>
      </c>
      <c r="E477" s="1035"/>
      <c r="F477" s="1046"/>
      <c r="G477" s="1034"/>
      <c r="H477" s="1034"/>
      <c r="I477" s="1035">
        <v>4</v>
      </c>
      <c r="J477" s="1035"/>
      <c r="K477" s="1042"/>
      <c r="L477" s="1034"/>
      <c r="M477" s="1034"/>
      <c r="N477" s="1035">
        <v>4</v>
      </c>
      <c r="O477" s="1035"/>
      <c r="P477" s="1042"/>
      <c r="Q477" s="1034"/>
      <c r="R477" s="1034"/>
      <c r="S477" s="1035">
        <v>4</v>
      </c>
      <c r="T477" s="1035"/>
      <c r="U477" s="1042"/>
      <c r="V477" s="1034"/>
      <c r="W477" s="1034"/>
      <c r="X477" s="1035">
        <v>4</v>
      </c>
      <c r="Y477" s="1035"/>
      <c r="Z477" s="1038">
        <v>20</v>
      </c>
      <c r="AA477" s="1047">
        <v>0</v>
      </c>
      <c r="AB477" s="1037"/>
      <c r="AC477" s="1034"/>
      <c r="AD477" s="1034"/>
      <c r="AE477" s="1035">
        <v>4.75</v>
      </c>
      <c r="AF477" s="1037"/>
      <c r="AG477" s="1034"/>
      <c r="AH477" s="1034"/>
      <c r="AI477" s="1035">
        <v>4</v>
      </c>
      <c r="AJ477" s="1038">
        <v>8.75</v>
      </c>
      <c r="AK477" s="1037"/>
      <c r="AL477" s="1137"/>
      <c r="AM477" s="1063"/>
      <c r="AN477" s="1144"/>
      <c r="AO477" s="1144"/>
      <c r="AP477" s="1144"/>
      <c r="AQ477" s="1144"/>
      <c r="AR477" s="1144"/>
      <c r="AS477" s="1144"/>
    </row>
    <row r="478" spans="1:45" s="1140" customFormat="1" ht="13.5" customHeight="1">
      <c r="A478" s="1046" t="s">
        <v>66</v>
      </c>
      <c r="B478" s="1062"/>
      <c r="C478" s="1062"/>
      <c r="D478" s="1046"/>
      <c r="E478" s="1046"/>
      <c r="F478" s="1046"/>
      <c r="G478" s="1046"/>
      <c r="H478" s="1046"/>
      <c r="I478" s="1046"/>
      <c r="J478" s="1046"/>
      <c r="K478" s="1046"/>
      <c r="L478" s="1046"/>
      <c r="M478" s="1046"/>
      <c r="N478" s="1046"/>
      <c r="O478" s="1046"/>
      <c r="P478" s="1046"/>
      <c r="Q478" s="1046"/>
      <c r="R478" s="1046"/>
      <c r="S478" s="1046"/>
      <c r="T478" s="1046"/>
      <c r="U478" s="1046"/>
      <c r="V478" s="1046"/>
      <c r="W478" s="1046"/>
      <c r="X478" s="1046"/>
      <c r="Y478" s="1046"/>
      <c r="Z478" s="1038">
        <v>20</v>
      </c>
      <c r="AA478" s="1038">
        <v>0</v>
      </c>
      <c r="AB478" s="1037"/>
      <c r="AC478" s="1063"/>
      <c r="AD478" s="1063"/>
      <c r="AE478" s="1063"/>
      <c r="AF478" s="1037"/>
      <c r="AG478" s="1063"/>
      <c r="AH478" s="1063"/>
      <c r="AI478" s="1063"/>
      <c r="AJ478" s="1038">
        <v>8.75</v>
      </c>
      <c r="AK478" s="1037"/>
      <c r="AL478" s="1137"/>
      <c r="AM478" s="1063"/>
      <c r="AN478" s="1149"/>
      <c r="AO478" s="1144"/>
      <c r="AP478" s="1144"/>
      <c r="AQ478" s="1144"/>
      <c r="AR478" s="1144"/>
      <c r="AS478" s="1144"/>
    </row>
    <row r="479" spans="1:45" s="1140" customFormat="1" ht="13.5" customHeight="1">
      <c r="A479" s="1150" t="s">
        <v>67</v>
      </c>
      <c r="B479" s="1151">
        <v>89</v>
      </c>
      <c r="C479" s="1151"/>
      <c r="D479" s="1152"/>
      <c r="E479" s="1152"/>
      <c r="F479" s="1151"/>
      <c r="G479" s="1152"/>
      <c r="H479" s="1152"/>
      <c r="I479" s="1152"/>
      <c r="J479" s="1152"/>
      <c r="K479" s="1151"/>
      <c r="L479" s="1151"/>
      <c r="M479" s="1151"/>
      <c r="N479" s="1151"/>
      <c r="O479" s="1152"/>
      <c r="P479" s="1151"/>
      <c r="Q479" s="1151"/>
      <c r="R479" s="1151"/>
      <c r="S479" s="1151"/>
      <c r="T479" s="1152"/>
      <c r="U479" s="1151"/>
      <c r="V479" s="1151"/>
      <c r="W479" s="1151"/>
      <c r="X479" s="1153"/>
      <c r="Y479" s="1152"/>
      <c r="Z479" s="1154"/>
      <c r="AA479" s="1152"/>
      <c r="AB479" s="1154"/>
      <c r="AC479" s="1154"/>
      <c r="AD479" s="1154"/>
      <c r="AE479" s="1154"/>
      <c r="AF479" s="1154"/>
      <c r="AG479" s="1154"/>
      <c r="AH479" s="1154"/>
      <c r="AI479" s="1154"/>
      <c r="AJ479" s="1154"/>
      <c r="AK479" s="1037"/>
      <c r="AL479" s="1137"/>
      <c r="AM479" s="1063"/>
      <c r="AN479" s="1149"/>
      <c r="AO479" s="1144"/>
      <c r="AP479" s="1144"/>
      <c r="AQ479" s="1144"/>
      <c r="AR479" s="1144"/>
      <c r="AS479" s="1144"/>
    </row>
    <row r="480" spans="1:45" s="1140" customFormat="1" ht="13.5" customHeight="1">
      <c r="A480" s="1063"/>
      <c r="B480" s="1063"/>
      <c r="C480" s="1063"/>
      <c r="D480" s="1037"/>
      <c r="E480" s="1037"/>
      <c r="F480" s="1037"/>
      <c r="G480" s="1063"/>
      <c r="H480" s="1063"/>
      <c r="I480" s="1037"/>
      <c r="J480" s="1037"/>
      <c r="K480" s="1037"/>
      <c r="L480" s="1063"/>
      <c r="M480" s="1063"/>
      <c r="N480" s="1037"/>
      <c r="O480" s="1037"/>
      <c r="P480" s="1037"/>
      <c r="Q480" s="1063"/>
      <c r="R480" s="1063"/>
      <c r="S480" s="1037"/>
      <c r="T480" s="1037"/>
      <c r="U480" s="1037"/>
      <c r="V480" s="1063"/>
      <c r="W480" s="1063"/>
      <c r="X480" s="1037"/>
      <c r="Y480" s="1037"/>
      <c r="Z480" s="1037"/>
      <c r="AA480" s="1037"/>
      <c r="AB480" s="1037"/>
      <c r="AC480" s="1063"/>
      <c r="AD480" s="1063"/>
      <c r="AE480" s="1063"/>
      <c r="AF480" s="1037"/>
      <c r="AG480" s="1063"/>
      <c r="AH480" s="1063"/>
      <c r="AI480" s="1063"/>
      <c r="AJ480" s="1063"/>
      <c r="AK480" s="1037"/>
      <c r="AL480" s="1137"/>
      <c r="AM480" s="1063"/>
      <c r="AN480" s="1144"/>
      <c r="AO480" s="1144"/>
      <c r="AP480" s="1144"/>
      <c r="AQ480" s="1144"/>
      <c r="AR480" s="1144"/>
      <c r="AS480" s="1144"/>
    </row>
    <row r="481" spans="1:45" s="1140" customFormat="1" ht="13.5" customHeight="1">
      <c r="A481" s="1155"/>
      <c r="B481" s="1156"/>
      <c r="C481" s="1156"/>
      <c r="D481" s="1157"/>
      <c r="E481" s="1157"/>
      <c r="F481" s="1156"/>
      <c r="G481" s="1157"/>
      <c r="H481" s="1157"/>
      <c r="I481" s="1157"/>
      <c r="J481" s="1157"/>
      <c r="K481" s="1156"/>
      <c r="L481" s="1156"/>
      <c r="M481" s="1156"/>
      <c r="N481" s="1156"/>
      <c r="O481" s="1157"/>
      <c r="P481" s="1156"/>
      <c r="Q481" s="1156"/>
      <c r="R481" s="1156"/>
      <c r="S481" s="1156"/>
      <c r="T481" s="1157"/>
      <c r="U481" s="1156"/>
      <c r="V481" s="1156"/>
      <c r="W481" s="1156"/>
      <c r="X481" s="1158"/>
      <c r="Y481" s="1157"/>
      <c r="Z481" s="1159"/>
      <c r="AA481" s="1157"/>
      <c r="AB481" s="1160"/>
      <c r="AC481" s="1161"/>
      <c r="AD481" s="1137"/>
      <c r="AE481" s="1137"/>
      <c r="AF481" s="1160"/>
      <c r="AG481" s="1161"/>
      <c r="AH481" s="1137"/>
      <c r="AI481" s="1137"/>
      <c r="AJ481" s="1137"/>
      <c r="AK481" s="1137"/>
      <c r="AL481" s="1137"/>
      <c r="AM481" s="1137"/>
      <c r="AN481" s="1137"/>
      <c r="AO481" s="1137"/>
      <c r="AP481" s="1137"/>
      <c r="AQ481" s="1137"/>
      <c r="AR481" s="1137"/>
      <c r="AS481" s="1137"/>
    </row>
    <row r="482" spans="1:45" s="1140" customFormat="1" ht="13.5" customHeight="1">
      <c r="A482" s="1063"/>
      <c r="B482" s="1063"/>
      <c r="C482" s="1063"/>
      <c r="D482" s="1037"/>
      <c r="E482" s="1037"/>
      <c r="F482" s="1037"/>
      <c r="G482" s="1063"/>
      <c r="H482" s="1063"/>
      <c r="I482" s="1037"/>
      <c r="J482" s="1037"/>
      <c r="K482" s="1037"/>
      <c r="L482" s="1063"/>
      <c r="M482" s="1063"/>
      <c r="N482" s="1037"/>
      <c r="O482" s="1037"/>
      <c r="P482" s="1037"/>
      <c r="Q482" s="1063"/>
      <c r="R482" s="1063"/>
      <c r="S482" s="1037"/>
      <c r="T482" s="1037"/>
      <c r="U482" s="1037"/>
      <c r="V482" s="1063"/>
      <c r="W482" s="1063"/>
      <c r="X482" s="1037"/>
      <c r="Y482" s="1037"/>
      <c r="Z482" s="1037"/>
      <c r="AA482" s="1037"/>
      <c r="AB482" s="1037"/>
      <c r="AC482" s="1063"/>
      <c r="AD482" s="1063"/>
      <c r="AE482" s="1063"/>
      <c r="AF482" s="1037"/>
      <c r="AG482" s="1063"/>
      <c r="AH482" s="1063"/>
      <c r="AI482" s="1063"/>
      <c r="AJ482" s="1063"/>
      <c r="AK482" s="1037"/>
      <c r="AL482" s="1137"/>
      <c r="AM482" s="1063"/>
      <c r="AN482" s="1144"/>
      <c r="AO482" s="1144"/>
      <c r="AP482" s="1144"/>
      <c r="AQ482" s="1144"/>
      <c r="AR482" s="1144"/>
      <c r="AS482" s="1144"/>
    </row>
    <row r="483" spans="1:45" s="1140" customFormat="1" ht="13.5" customHeight="1">
      <c r="A483" s="1591" t="s">
        <v>18</v>
      </c>
      <c r="B483" s="1590">
        <v>45936</v>
      </c>
      <c r="C483" s="1590"/>
      <c r="D483" s="1590" t="s">
        <v>564</v>
      </c>
      <c r="E483" s="1590"/>
      <c r="F483" s="1085"/>
      <c r="G483" s="1590">
        <v>45937</v>
      </c>
      <c r="H483" s="1590"/>
      <c r="I483" s="1590" t="s">
        <v>565</v>
      </c>
      <c r="J483" s="1590"/>
      <c r="K483" s="1085"/>
      <c r="L483" s="1590">
        <v>45938</v>
      </c>
      <c r="M483" s="1590"/>
      <c r="N483" s="1590" t="s">
        <v>566</v>
      </c>
      <c r="O483" s="1590"/>
      <c r="P483" s="1085"/>
      <c r="Q483" s="1590">
        <v>45939</v>
      </c>
      <c r="R483" s="1590"/>
      <c r="S483" s="1590" t="s">
        <v>567</v>
      </c>
      <c r="T483" s="1590"/>
      <c r="U483" s="1085"/>
      <c r="V483" s="1590">
        <v>45940</v>
      </c>
      <c r="W483" s="1590"/>
      <c r="X483" s="1590" t="s">
        <v>568</v>
      </c>
      <c r="Y483" s="1590"/>
      <c r="Z483" s="1587" t="s">
        <v>19</v>
      </c>
      <c r="AA483" s="1587" t="s">
        <v>20</v>
      </c>
      <c r="AB483" s="1037"/>
      <c r="AC483" s="1590">
        <v>45941</v>
      </c>
      <c r="AD483" s="1590"/>
      <c r="AE483" s="1086" t="s">
        <v>569</v>
      </c>
      <c r="AF483" s="1037"/>
      <c r="AG483" s="1590">
        <v>45942</v>
      </c>
      <c r="AH483" s="1590"/>
      <c r="AI483" s="1086" t="s">
        <v>570</v>
      </c>
      <c r="AJ483" s="1587" t="s">
        <v>1420</v>
      </c>
      <c r="AK483" s="1037"/>
      <c r="AL483" s="1137"/>
      <c r="AM483" s="1063"/>
      <c r="AN483" s="1138" t="s">
        <v>84</v>
      </c>
      <c r="AO483" s="1139"/>
      <c r="AP483" s="1139"/>
      <c r="AQ483" s="1139"/>
      <c r="AR483" s="1139"/>
      <c r="AS483" s="1139"/>
    </row>
    <row r="484" spans="1:45" s="1140" customFormat="1" ht="13.5" customHeight="1">
      <c r="A484" s="1591"/>
      <c r="B484" s="1088" t="s">
        <v>23</v>
      </c>
      <c r="C484" s="1088" t="s">
        <v>24</v>
      </c>
      <c r="D484" s="1047" t="s">
        <v>25</v>
      </c>
      <c r="E484" s="1089" t="s">
        <v>14</v>
      </c>
      <c r="F484" s="1037"/>
      <c r="G484" s="1088" t="s">
        <v>23</v>
      </c>
      <c r="H484" s="1088" t="s">
        <v>24</v>
      </c>
      <c r="I484" s="1089" t="s">
        <v>25</v>
      </c>
      <c r="J484" s="1089" t="s">
        <v>14</v>
      </c>
      <c r="K484" s="1037"/>
      <c r="L484" s="1088" t="s">
        <v>23</v>
      </c>
      <c r="M484" s="1088" t="s">
        <v>24</v>
      </c>
      <c r="N484" s="1089" t="s">
        <v>25</v>
      </c>
      <c r="O484" s="1089" t="s">
        <v>14</v>
      </c>
      <c r="P484" s="1037"/>
      <c r="Q484" s="1088" t="s">
        <v>23</v>
      </c>
      <c r="R484" s="1088" t="s">
        <v>24</v>
      </c>
      <c r="S484" s="1089" t="s">
        <v>25</v>
      </c>
      <c r="T484" s="1089" t="s">
        <v>14</v>
      </c>
      <c r="U484" s="1037"/>
      <c r="V484" s="1088" t="s">
        <v>23</v>
      </c>
      <c r="W484" s="1088" t="s">
        <v>24</v>
      </c>
      <c r="X484" s="1089" t="s">
        <v>25</v>
      </c>
      <c r="Y484" s="1089" t="s">
        <v>14</v>
      </c>
      <c r="Z484" s="1587"/>
      <c r="AA484" s="1587"/>
      <c r="AB484" s="1037"/>
      <c r="AC484" s="1088" t="s">
        <v>23</v>
      </c>
      <c r="AD484" s="1088" t="s">
        <v>24</v>
      </c>
      <c r="AE484" s="1089" t="s">
        <v>25</v>
      </c>
      <c r="AF484" s="1037"/>
      <c r="AG484" s="1088" t="s">
        <v>23</v>
      </c>
      <c r="AH484" s="1088" t="s">
        <v>24</v>
      </c>
      <c r="AI484" s="1089" t="s">
        <v>25</v>
      </c>
      <c r="AJ484" s="1587"/>
      <c r="AK484" s="1037"/>
      <c r="AL484" s="1137"/>
      <c r="AM484" s="1063"/>
      <c r="AN484" s="1141" t="s">
        <v>26</v>
      </c>
      <c r="AO484" s="1142">
        <v>539.5</v>
      </c>
      <c r="AP484" s="1143">
        <v>40.31</v>
      </c>
      <c r="AQ484" s="1143">
        <v>21747.245000000003</v>
      </c>
      <c r="AR484" s="1144"/>
      <c r="AS484" s="1144"/>
    </row>
    <row r="485" spans="1:45" s="1140" customFormat="1" ht="13.5" customHeight="1">
      <c r="A485" s="1034" t="s">
        <v>72</v>
      </c>
      <c r="B485" s="1034">
        <v>0.29166666666666669</v>
      </c>
      <c r="C485" s="1034">
        <v>0.125</v>
      </c>
      <c r="D485" s="1035">
        <v>8</v>
      </c>
      <c r="E485" s="1036"/>
      <c r="F485" s="1037"/>
      <c r="G485" s="1034">
        <v>0.29166666666666669</v>
      </c>
      <c r="H485" s="1034">
        <v>0.125</v>
      </c>
      <c r="I485" s="1035">
        <v>8</v>
      </c>
      <c r="J485" s="1036"/>
      <c r="K485" s="1037"/>
      <c r="L485" s="1034">
        <v>0.29166666666666669</v>
      </c>
      <c r="M485" s="1034">
        <v>0.125</v>
      </c>
      <c r="N485" s="1035">
        <v>8</v>
      </c>
      <c r="O485" s="1036"/>
      <c r="P485" s="1037"/>
      <c r="Q485" s="1034">
        <v>0.29166666666666669</v>
      </c>
      <c r="R485" s="1034">
        <v>0.125</v>
      </c>
      <c r="S485" s="1035">
        <v>8</v>
      </c>
      <c r="T485" s="1036"/>
      <c r="U485" s="1037"/>
      <c r="V485" s="1034">
        <v>0.29166666666666669</v>
      </c>
      <c r="W485" s="1034">
        <v>0.125</v>
      </c>
      <c r="X485" s="1035">
        <v>8</v>
      </c>
      <c r="Y485" s="1036"/>
      <c r="Z485" s="1038">
        <v>40</v>
      </c>
      <c r="AA485" s="1039">
        <v>0</v>
      </c>
      <c r="AB485" s="1037"/>
      <c r="AC485" s="1040"/>
      <c r="AD485" s="1040"/>
      <c r="AE485" s="1035"/>
      <c r="AF485" s="1037"/>
      <c r="AG485" s="1040"/>
      <c r="AH485" s="1040"/>
      <c r="AI485" s="1035"/>
      <c r="AJ485" s="1038">
        <v>0</v>
      </c>
      <c r="AK485" s="1037"/>
      <c r="AL485" s="1137"/>
      <c r="AM485" s="1063"/>
      <c r="AN485" s="1141" t="s">
        <v>1421</v>
      </c>
      <c r="AO485" s="1142">
        <v>192</v>
      </c>
      <c r="AP485" s="1143">
        <v>60.47</v>
      </c>
      <c r="AQ485" s="1143">
        <v>11610.24</v>
      </c>
      <c r="AR485" s="1144"/>
      <c r="AS485" s="1144"/>
    </row>
    <row r="486" spans="1:45" s="1140" customFormat="1" ht="13.5" customHeight="1">
      <c r="A486" s="1145" t="s">
        <v>1166</v>
      </c>
      <c r="B486" s="1034">
        <v>0.29166666666666669</v>
      </c>
      <c r="C486" s="1034">
        <v>0.125</v>
      </c>
      <c r="D486" s="1035">
        <v>8</v>
      </c>
      <c r="E486" s="1036"/>
      <c r="F486" s="1037"/>
      <c r="G486" s="1034">
        <v>0.29166666666666669</v>
      </c>
      <c r="H486" s="1034">
        <v>0.125</v>
      </c>
      <c r="I486" s="1035">
        <v>8</v>
      </c>
      <c r="J486" s="1036"/>
      <c r="K486" s="1037"/>
      <c r="L486" s="1034">
        <v>0.29166666666666669</v>
      </c>
      <c r="M486" s="1034">
        <v>0.16666666666666666</v>
      </c>
      <c r="N486" s="1035">
        <v>8</v>
      </c>
      <c r="O486" s="1036">
        <v>1</v>
      </c>
      <c r="P486" s="1037"/>
      <c r="Q486" s="1034">
        <v>0.29166666666666669</v>
      </c>
      <c r="R486" s="1034">
        <v>0.125</v>
      </c>
      <c r="S486" s="1035">
        <v>8</v>
      </c>
      <c r="T486" s="1036"/>
      <c r="U486" s="1037"/>
      <c r="V486" s="1034">
        <v>0.29166666666666669</v>
      </c>
      <c r="W486" s="1034">
        <v>0.125</v>
      </c>
      <c r="X486" s="1035">
        <v>8</v>
      </c>
      <c r="Y486" s="1036"/>
      <c r="Z486" s="1038">
        <v>40</v>
      </c>
      <c r="AA486" s="1039">
        <v>1</v>
      </c>
      <c r="AB486" s="1037"/>
      <c r="AC486" s="1034"/>
      <c r="AD486" s="1034"/>
      <c r="AE486" s="1035"/>
      <c r="AF486" s="1037"/>
      <c r="AG486" s="1034">
        <v>0.3125</v>
      </c>
      <c r="AH486" s="1034">
        <v>0.1875</v>
      </c>
      <c r="AI486" s="1035">
        <v>8</v>
      </c>
      <c r="AJ486" s="1038">
        <v>8</v>
      </c>
      <c r="AK486" s="1037"/>
      <c r="AL486" s="1137"/>
      <c r="AM486" s="1063"/>
      <c r="AN486" s="1141" t="s">
        <v>30</v>
      </c>
      <c r="AO486" s="1142">
        <v>8</v>
      </c>
      <c r="AP486" s="1143">
        <v>60.465000000000003</v>
      </c>
      <c r="AQ486" s="1143">
        <v>483.72</v>
      </c>
      <c r="AR486" s="1144"/>
      <c r="AS486" s="1144"/>
    </row>
    <row r="487" spans="1:45" s="1140" customFormat="1" ht="13.5" customHeight="1">
      <c r="A487" s="1145" t="s">
        <v>1425</v>
      </c>
      <c r="B487" s="1034">
        <v>0.29166666666666669</v>
      </c>
      <c r="C487" s="1034">
        <v>0.125</v>
      </c>
      <c r="D487" s="1035">
        <v>8</v>
      </c>
      <c r="E487" s="1036"/>
      <c r="F487" s="1037"/>
      <c r="G487" s="1034">
        <v>0.29166666666666669</v>
      </c>
      <c r="H487" s="1034">
        <v>0.125</v>
      </c>
      <c r="I487" s="1035">
        <v>8</v>
      </c>
      <c r="J487" s="1036"/>
      <c r="K487" s="1037"/>
      <c r="L487" s="1034">
        <v>0.29166666666666669</v>
      </c>
      <c r="M487" s="1034">
        <v>0.125</v>
      </c>
      <c r="N487" s="1035">
        <v>8</v>
      </c>
      <c r="O487" s="1036"/>
      <c r="P487" s="1037"/>
      <c r="Q487" s="1034">
        <v>0.29166666666666669</v>
      </c>
      <c r="R487" s="1034">
        <v>0.125</v>
      </c>
      <c r="S487" s="1035">
        <v>8</v>
      </c>
      <c r="T487" s="1036"/>
      <c r="U487" s="1037"/>
      <c r="V487" s="1034">
        <v>0.29166666666666669</v>
      </c>
      <c r="W487" s="1034">
        <v>0.125</v>
      </c>
      <c r="X487" s="1035">
        <v>8</v>
      </c>
      <c r="Y487" s="1036"/>
      <c r="Z487" s="1038">
        <v>40</v>
      </c>
      <c r="AA487" s="1039">
        <v>0</v>
      </c>
      <c r="AB487" s="1037"/>
      <c r="AC487" s="1034"/>
      <c r="AD487" s="1034"/>
      <c r="AE487" s="1035"/>
      <c r="AF487" s="1037"/>
      <c r="AG487" s="1034"/>
      <c r="AH487" s="1034"/>
      <c r="AI487" s="1035"/>
      <c r="AJ487" s="1038">
        <v>0</v>
      </c>
      <c r="AK487" s="1037"/>
      <c r="AL487" s="1137"/>
      <c r="AM487" s="1063"/>
      <c r="AN487" s="1141" t="s">
        <v>32</v>
      </c>
      <c r="AO487" s="1142">
        <v>47.5</v>
      </c>
      <c r="AP487" s="1143">
        <v>60.465000000000003</v>
      </c>
      <c r="AQ487" s="1143">
        <v>2872.0875000000001</v>
      </c>
      <c r="AR487" s="1144"/>
      <c r="AS487" s="1144"/>
    </row>
    <row r="488" spans="1:45" s="1140" customFormat="1" ht="13.5" customHeight="1">
      <c r="A488" s="1145" t="s">
        <v>1426</v>
      </c>
      <c r="B488" s="1034">
        <v>0.29166666666666669</v>
      </c>
      <c r="C488" s="1034">
        <v>0.125</v>
      </c>
      <c r="D488" s="1035">
        <v>8</v>
      </c>
      <c r="E488" s="1036"/>
      <c r="F488" s="1037"/>
      <c r="G488" s="1034">
        <v>0.29166666666666669</v>
      </c>
      <c r="H488" s="1034">
        <v>0.125</v>
      </c>
      <c r="I488" s="1035">
        <v>8</v>
      </c>
      <c r="J488" s="1036"/>
      <c r="K488" s="1037"/>
      <c r="L488" s="1034">
        <v>0.29166666666666669</v>
      </c>
      <c r="M488" s="1034">
        <v>0.125</v>
      </c>
      <c r="N488" s="1035">
        <v>8</v>
      </c>
      <c r="O488" s="1036"/>
      <c r="P488" s="1037"/>
      <c r="Q488" s="1034">
        <v>0.29166666666666669</v>
      </c>
      <c r="R488" s="1034">
        <v>0.125</v>
      </c>
      <c r="S488" s="1035">
        <v>8</v>
      </c>
      <c r="T488" s="1036"/>
      <c r="U488" s="1037"/>
      <c r="V488" s="1034">
        <v>0.29166666666666669</v>
      </c>
      <c r="W488" s="1034">
        <v>0.125</v>
      </c>
      <c r="X488" s="1035">
        <v>8</v>
      </c>
      <c r="Y488" s="1036"/>
      <c r="Z488" s="1038">
        <v>40</v>
      </c>
      <c r="AA488" s="1039">
        <v>0</v>
      </c>
      <c r="AB488" s="1037"/>
      <c r="AC488" s="1034"/>
      <c r="AD488" s="1034"/>
      <c r="AE488" s="1035"/>
      <c r="AF488" s="1037"/>
      <c r="AG488" s="1034"/>
      <c r="AH488" s="1034"/>
      <c r="AI488" s="1035"/>
      <c r="AJ488" s="1038">
        <v>0</v>
      </c>
      <c r="AK488" s="1037"/>
      <c r="AL488" s="1137"/>
      <c r="AM488" s="1063"/>
      <c r="AN488" s="1141" t="s">
        <v>213</v>
      </c>
      <c r="AO488" s="1142">
        <v>19.5</v>
      </c>
      <c r="AP488" s="1143">
        <v>53.05</v>
      </c>
      <c r="AQ488" s="1143">
        <v>1034.4749999999999</v>
      </c>
      <c r="AR488" s="1144"/>
      <c r="AS488" s="1144"/>
    </row>
    <row r="489" spans="1:45" s="1140" customFormat="1" ht="13.5" customHeight="1">
      <c r="A489" s="1145" t="s">
        <v>1066</v>
      </c>
      <c r="B489" s="1034">
        <v>0.29166666666666669</v>
      </c>
      <c r="C489" s="1034">
        <v>0.125</v>
      </c>
      <c r="D489" s="1035">
        <v>8</v>
      </c>
      <c r="E489" s="1036"/>
      <c r="F489" s="1037"/>
      <c r="G489" s="1034">
        <v>0.29166666666666669</v>
      </c>
      <c r="H489" s="1034">
        <v>0.125</v>
      </c>
      <c r="I489" s="1035">
        <v>8</v>
      </c>
      <c r="J489" s="1036"/>
      <c r="K489" s="1037"/>
      <c r="L489" s="1034">
        <v>0.29166666666666669</v>
      </c>
      <c r="M489" s="1034">
        <v>0.125</v>
      </c>
      <c r="N489" s="1035">
        <v>8</v>
      </c>
      <c r="O489" s="1036"/>
      <c r="P489" s="1037"/>
      <c r="Q489" s="1034">
        <v>0.29166666666666669</v>
      </c>
      <c r="R489" s="1034">
        <v>0.125</v>
      </c>
      <c r="S489" s="1035">
        <v>8</v>
      </c>
      <c r="T489" s="1036"/>
      <c r="U489" s="1037"/>
      <c r="V489" s="1034">
        <v>0.29166666666666669</v>
      </c>
      <c r="W489" s="1034">
        <v>0.125</v>
      </c>
      <c r="X489" s="1035">
        <v>8</v>
      </c>
      <c r="Y489" s="1036"/>
      <c r="Z489" s="1038">
        <v>40</v>
      </c>
      <c r="AA489" s="1039">
        <v>0</v>
      </c>
      <c r="AB489" s="1037"/>
      <c r="AC489" s="1034"/>
      <c r="AD489" s="1034"/>
      <c r="AE489" s="1035"/>
      <c r="AF489" s="1037"/>
      <c r="AG489" s="1034"/>
      <c r="AH489" s="1034"/>
      <c r="AI489" s="1035"/>
      <c r="AJ489" s="1038">
        <v>0</v>
      </c>
      <c r="AK489" s="1037"/>
      <c r="AL489" s="1137"/>
      <c r="AM489" s="1063"/>
      <c r="AN489" s="1141" t="s">
        <v>36</v>
      </c>
      <c r="AO489" s="1142">
        <v>0.5</v>
      </c>
      <c r="AP489" s="1143">
        <v>79.574999999999989</v>
      </c>
      <c r="AQ489" s="1143">
        <v>39.787499999999994</v>
      </c>
      <c r="AR489" s="1144"/>
      <c r="AS489" s="1144"/>
    </row>
    <row r="490" spans="1:45" s="1140" customFormat="1" ht="13.5" customHeight="1">
      <c r="A490" s="1145" t="s">
        <v>1427</v>
      </c>
      <c r="B490" s="1034">
        <v>0.29166666666666669</v>
      </c>
      <c r="C490" s="1034">
        <v>0.125</v>
      </c>
      <c r="D490" s="1035">
        <v>8</v>
      </c>
      <c r="E490" s="1036"/>
      <c r="F490" s="1037"/>
      <c r="G490" s="1132"/>
      <c r="H490" s="1132"/>
      <c r="I490" s="1035">
        <v>0</v>
      </c>
      <c r="J490" s="1036"/>
      <c r="K490" s="1037"/>
      <c r="L490" s="1034">
        <v>0.375</v>
      </c>
      <c r="M490" s="1034">
        <v>0.125</v>
      </c>
      <c r="N490" s="1035">
        <v>6</v>
      </c>
      <c r="O490" s="1036"/>
      <c r="P490" s="1037"/>
      <c r="Q490" s="1132"/>
      <c r="R490" s="1132"/>
      <c r="S490" s="1035">
        <v>0</v>
      </c>
      <c r="T490" s="1036"/>
      <c r="U490" s="1037"/>
      <c r="V490" s="1034">
        <v>0.29166666666666669</v>
      </c>
      <c r="W490" s="1034">
        <v>0.125</v>
      </c>
      <c r="X490" s="1035">
        <v>8</v>
      </c>
      <c r="Y490" s="1036"/>
      <c r="Z490" s="1038">
        <v>22</v>
      </c>
      <c r="AA490" s="1039">
        <v>0</v>
      </c>
      <c r="AB490" s="1037"/>
      <c r="AC490" s="1034"/>
      <c r="AD490" s="1034"/>
      <c r="AE490" s="1035"/>
      <c r="AF490" s="1037"/>
      <c r="AG490" s="1034"/>
      <c r="AH490" s="1034"/>
      <c r="AI490" s="1035"/>
      <c r="AJ490" s="1038">
        <v>0</v>
      </c>
      <c r="AK490" s="1037"/>
      <c r="AL490" s="1137"/>
      <c r="AM490" s="1063"/>
      <c r="AN490" s="1141" t="s">
        <v>38</v>
      </c>
      <c r="AO490" s="1142">
        <v>25</v>
      </c>
      <c r="AP490" s="1143">
        <v>79.574999999999989</v>
      </c>
      <c r="AQ490" s="1143">
        <v>1989.3749999999998</v>
      </c>
      <c r="AR490" s="1144"/>
      <c r="AS490" s="1144"/>
    </row>
    <row r="491" spans="1:45" s="1140" customFormat="1" ht="13.5" customHeight="1">
      <c r="A491" s="1145" t="s">
        <v>1428</v>
      </c>
      <c r="B491" s="1034">
        <v>0.125</v>
      </c>
      <c r="C491" s="1034">
        <v>0.45833333333333331</v>
      </c>
      <c r="D491" s="1035">
        <v>8</v>
      </c>
      <c r="E491" s="1036"/>
      <c r="F491" s="1037"/>
      <c r="G491" s="1034">
        <v>0.125</v>
      </c>
      <c r="H491" s="1034">
        <v>0.45833333333333331</v>
      </c>
      <c r="I491" s="1035">
        <v>8</v>
      </c>
      <c r="J491" s="1036"/>
      <c r="K491" s="1037"/>
      <c r="L491" s="1034">
        <v>0.125</v>
      </c>
      <c r="M491" s="1034">
        <v>0.45833333333333331</v>
      </c>
      <c r="N491" s="1035">
        <v>8</v>
      </c>
      <c r="O491" s="1036"/>
      <c r="P491" s="1037"/>
      <c r="Q491" s="1034">
        <v>0.125</v>
      </c>
      <c r="R491" s="1034">
        <v>0.45833333333333331</v>
      </c>
      <c r="S491" s="1035">
        <v>8</v>
      </c>
      <c r="T491" s="1036"/>
      <c r="U491" s="1037"/>
      <c r="V491" s="1034">
        <v>0.125</v>
      </c>
      <c r="W491" s="1034">
        <v>0.45833333333333331</v>
      </c>
      <c r="X491" s="1035">
        <v>8</v>
      </c>
      <c r="Y491" s="1036"/>
      <c r="Z491" s="1038">
        <v>40</v>
      </c>
      <c r="AA491" s="1039">
        <v>0</v>
      </c>
      <c r="AB491" s="1037"/>
      <c r="AC491" s="1034"/>
      <c r="AD491" s="1034"/>
      <c r="AE491" s="1035"/>
      <c r="AF491" s="1037"/>
      <c r="AG491" s="1034"/>
      <c r="AH491" s="1034"/>
      <c r="AI491" s="1035"/>
      <c r="AJ491" s="1038">
        <v>0</v>
      </c>
      <c r="AK491" s="1037"/>
      <c r="AL491" s="1137"/>
      <c r="AM491" s="1063"/>
      <c r="AN491" s="1144"/>
      <c r="AO491" s="1142"/>
      <c r="AP491" s="1144"/>
      <c r="AQ491" s="1143">
        <v>39776.93</v>
      </c>
      <c r="AR491" s="1144"/>
      <c r="AS491" s="1144"/>
    </row>
    <row r="492" spans="1:45" s="1140" customFormat="1" ht="13.5" customHeight="1">
      <c r="A492" s="1145" t="s">
        <v>1142</v>
      </c>
      <c r="B492" s="1034">
        <v>0.125</v>
      </c>
      <c r="C492" s="1034">
        <v>0.45833333333333331</v>
      </c>
      <c r="D492" s="1035">
        <v>8</v>
      </c>
      <c r="E492" s="1036"/>
      <c r="F492" s="1037"/>
      <c r="G492" s="1034">
        <v>0.125</v>
      </c>
      <c r="H492" s="1034">
        <v>0.45833333333333331</v>
      </c>
      <c r="I492" s="1035">
        <v>8</v>
      </c>
      <c r="J492" s="1036"/>
      <c r="K492" s="1042"/>
      <c r="L492" s="1034">
        <v>0.125</v>
      </c>
      <c r="M492" s="1034">
        <v>0.45833333333333331</v>
      </c>
      <c r="N492" s="1035">
        <v>8</v>
      </c>
      <c r="O492" s="1036"/>
      <c r="P492" s="1042"/>
      <c r="Q492" s="1034">
        <v>0.125</v>
      </c>
      <c r="R492" s="1034">
        <v>0.45833333333333331</v>
      </c>
      <c r="S492" s="1035">
        <v>8</v>
      </c>
      <c r="T492" s="1036"/>
      <c r="U492" s="1042"/>
      <c r="V492" s="1034">
        <v>0.125</v>
      </c>
      <c r="W492" s="1034">
        <v>0.45833333333333331</v>
      </c>
      <c r="X492" s="1035">
        <v>8</v>
      </c>
      <c r="Y492" s="1036"/>
      <c r="Z492" s="1038">
        <v>40</v>
      </c>
      <c r="AA492" s="1039">
        <v>0</v>
      </c>
      <c r="AB492" s="1037"/>
      <c r="AC492" s="1034"/>
      <c r="AD492" s="1034"/>
      <c r="AE492" s="1035"/>
      <c r="AF492" s="1037"/>
      <c r="AG492" s="1034"/>
      <c r="AH492" s="1034"/>
      <c r="AI492" s="1035"/>
      <c r="AJ492" s="1038">
        <v>0</v>
      </c>
      <c r="AK492" s="1037"/>
      <c r="AL492" s="1137"/>
      <c r="AM492" s="1063"/>
      <c r="AN492" s="1144"/>
      <c r="AO492" s="1142"/>
      <c r="AP492" s="1144"/>
      <c r="AQ492" s="1144"/>
      <c r="AR492" s="1144"/>
      <c r="AS492" s="1144"/>
    </row>
    <row r="493" spans="1:45" s="1140" customFormat="1" ht="13.5" customHeight="1">
      <c r="A493" s="1145" t="s">
        <v>1429</v>
      </c>
      <c r="B493" s="1034">
        <v>0.125</v>
      </c>
      <c r="C493" s="1034">
        <v>0.45833333333333331</v>
      </c>
      <c r="D493" s="1035">
        <v>8</v>
      </c>
      <c r="E493" s="1036"/>
      <c r="F493" s="1037"/>
      <c r="G493" s="1034">
        <v>0.125</v>
      </c>
      <c r="H493" s="1034">
        <v>0.45833333333333331</v>
      </c>
      <c r="I493" s="1035">
        <v>8</v>
      </c>
      <c r="J493" s="1036"/>
      <c r="K493" s="1042"/>
      <c r="L493" s="1034">
        <v>0.125</v>
      </c>
      <c r="M493" s="1034">
        <v>0.45833333333333331</v>
      </c>
      <c r="N493" s="1035">
        <v>8</v>
      </c>
      <c r="O493" s="1036"/>
      <c r="P493" s="1042"/>
      <c r="Q493" s="1034">
        <v>0.125</v>
      </c>
      <c r="R493" s="1034">
        <v>0.45833333333333331</v>
      </c>
      <c r="S493" s="1035">
        <v>8</v>
      </c>
      <c r="T493" s="1036"/>
      <c r="U493" s="1042"/>
      <c r="V493" s="1034">
        <v>0.125</v>
      </c>
      <c r="W493" s="1034">
        <v>0.45833333333333331</v>
      </c>
      <c r="X493" s="1035">
        <v>8</v>
      </c>
      <c r="Y493" s="1036"/>
      <c r="Z493" s="1038">
        <v>40</v>
      </c>
      <c r="AA493" s="1039">
        <v>0</v>
      </c>
      <c r="AB493" s="1037"/>
      <c r="AC493" s="1034"/>
      <c r="AD493" s="1034"/>
      <c r="AE493" s="1035"/>
      <c r="AF493" s="1037"/>
      <c r="AG493" s="1034"/>
      <c r="AH493" s="1034"/>
      <c r="AI493" s="1035"/>
      <c r="AJ493" s="1038">
        <v>0</v>
      </c>
      <c r="AK493" s="1037"/>
      <c r="AL493" s="1137"/>
      <c r="AM493" s="1063"/>
      <c r="AN493" s="1146" t="s">
        <v>1115</v>
      </c>
      <c r="AO493" s="1142">
        <v>102</v>
      </c>
      <c r="AP493" s="1144"/>
      <c r="AQ493" s="1144"/>
      <c r="AR493" s="1144"/>
      <c r="AS493" s="1144"/>
    </row>
    <row r="494" spans="1:45" s="1140" customFormat="1" ht="13.5" customHeight="1">
      <c r="A494" s="1145" t="s">
        <v>1060</v>
      </c>
      <c r="B494" s="1034">
        <v>0.125</v>
      </c>
      <c r="C494" s="1034">
        <v>0.45833333333333331</v>
      </c>
      <c r="D494" s="1035">
        <v>8</v>
      </c>
      <c r="E494" s="1036"/>
      <c r="F494" s="1037"/>
      <c r="G494" s="1034">
        <v>0.125</v>
      </c>
      <c r="H494" s="1034">
        <v>0.45833333333333331</v>
      </c>
      <c r="I494" s="1035">
        <v>8</v>
      </c>
      <c r="J494" s="1036"/>
      <c r="K494" s="1042"/>
      <c r="L494" s="1034">
        <v>0.125</v>
      </c>
      <c r="M494" s="1034">
        <v>0.45833333333333331</v>
      </c>
      <c r="N494" s="1035">
        <v>8</v>
      </c>
      <c r="O494" s="1036"/>
      <c r="P494" s="1042"/>
      <c r="Q494" s="1034">
        <v>0.125</v>
      </c>
      <c r="R494" s="1034">
        <v>0.45833333333333331</v>
      </c>
      <c r="S494" s="1035">
        <v>8</v>
      </c>
      <c r="T494" s="1036"/>
      <c r="U494" s="1042"/>
      <c r="V494" s="1034">
        <v>0.13541666666666666</v>
      </c>
      <c r="W494" s="1034">
        <v>0.45833333333333331</v>
      </c>
      <c r="X494" s="1035">
        <v>7.75</v>
      </c>
      <c r="Y494" s="1036"/>
      <c r="Z494" s="1038">
        <v>39.75</v>
      </c>
      <c r="AA494" s="1039">
        <v>0</v>
      </c>
      <c r="AB494" s="1037"/>
      <c r="AC494" s="1034"/>
      <c r="AD494" s="1034"/>
      <c r="AE494" s="1035"/>
      <c r="AF494" s="1037"/>
      <c r="AG494" s="1034"/>
      <c r="AH494" s="1034"/>
      <c r="AI494" s="1035"/>
      <c r="AJ494" s="1038">
        <v>0</v>
      </c>
      <c r="AK494" s="1037"/>
      <c r="AL494" s="1137"/>
      <c r="AM494" s="1063"/>
      <c r="AN494" s="1144"/>
      <c r="AO494" s="1144"/>
      <c r="AP494" s="1144"/>
      <c r="AQ494" s="1144"/>
      <c r="AR494" s="1144"/>
      <c r="AS494" s="1144"/>
    </row>
    <row r="495" spans="1:45" s="1140" customFormat="1" ht="13.5" customHeight="1">
      <c r="A495" s="1037" t="s">
        <v>327</v>
      </c>
      <c r="B495" s="1034">
        <v>0.125</v>
      </c>
      <c r="C495" s="1034">
        <v>0.45833333333333331</v>
      </c>
      <c r="D495" s="1035">
        <v>8</v>
      </c>
      <c r="E495" s="1036"/>
      <c r="F495" s="1042"/>
      <c r="G495" s="1034">
        <v>0.125</v>
      </c>
      <c r="H495" s="1034">
        <v>0.45833333333333331</v>
      </c>
      <c r="I495" s="1035">
        <v>8</v>
      </c>
      <c r="J495" s="1036"/>
      <c r="K495" s="1042"/>
      <c r="L495" s="1034">
        <v>0.125</v>
      </c>
      <c r="M495" s="1034">
        <v>0.45833333333333331</v>
      </c>
      <c r="N495" s="1035">
        <v>8</v>
      </c>
      <c r="O495" s="1036"/>
      <c r="P495" s="1042"/>
      <c r="Q495" s="1034">
        <v>0.125</v>
      </c>
      <c r="R495" s="1034">
        <v>0.45833333333333331</v>
      </c>
      <c r="S495" s="1035">
        <v>8</v>
      </c>
      <c r="T495" s="1036"/>
      <c r="U495" s="1042"/>
      <c r="V495" s="1034">
        <v>0.125</v>
      </c>
      <c r="W495" s="1034">
        <v>0.45833333333333331</v>
      </c>
      <c r="X495" s="1035">
        <v>8</v>
      </c>
      <c r="Y495" s="1036"/>
      <c r="Z495" s="1038">
        <v>40</v>
      </c>
      <c r="AA495" s="1039">
        <v>0</v>
      </c>
      <c r="AB495" s="1037"/>
      <c r="AC495" s="1034"/>
      <c r="AD495" s="1034"/>
      <c r="AE495" s="1035"/>
      <c r="AF495" s="1037"/>
      <c r="AG495" s="1034"/>
      <c r="AH495" s="1034"/>
      <c r="AI495" s="1035"/>
      <c r="AJ495" s="1038">
        <v>0</v>
      </c>
      <c r="AK495" s="1037"/>
      <c r="AL495" s="1137"/>
      <c r="AM495" s="1063"/>
      <c r="AN495" s="1144"/>
      <c r="AO495" s="1144"/>
      <c r="AP495" s="1144"/>
      <c r="AQ495" s="1144"/>
      <c r="AR495" s="1144"/>
      <c r="AS495" s="1144"/>
    </row>
    <row r="496" spans="1:45" s="1140" customFormat="1" ht="13.5" customHeight="1">
      <c r="A496" s="1034" t="s">
        <v>1144</v>
      </c>
      <c r="B496" s="1034">
        <v>0.125</v>
      </c>
      <c r="C496" s="1034">
        <v>0.45833333333333331</v>
      </c>
      <c r="D496" s="1035">
        <v>8</v>
      </c>
      <c r="E496" s="1036"/>
      <c r="F496" s="1042"/>
      <c r="G496" s="1034">
        <v>0.125</v>
      </c>
      <c r="H496" s="1034">
        <v>0.45833333333333331</v>
      </c>
      <c r="I496" s="1035">
        <v>8</v>
      </c>
      <c r="J496" s="1036"/>
      <c r="K496" s="1042"/>
      <c r="L496" s="1034">
        <v>0.125</v>
      </c>
      <c r="M496" s="1034">
        <v>0.45833333333333331</v>
      </c>
      <c r="N496" s="1035">
        <v>8</v>
      </c>
      <c r="O496" s="1036"/>
      <c r="P496" s="1042"/>
      <c r="Q496" s="1034">
        <v>0.29166666666666669</v>
      </c>
      <c r="R496" s="1034">
        <v>0.45833333333333331</v>
      </c>
      <c r="S496" s="1035">
        <v>8</v>
      </c>
      <c r="T496" s="1036">
        <v>7</v>
      </c>
      <c r="U496" s="1042"/>
      <c r="V496" s="1034">
        <v>0.125</v>
      </c>
      <c r="W496" s="1034">
        <v>0.45833333333333331</v>
      </c>
      <c r="X496" s="1035">
        <v>8</v>
      </c>
      <c r="Y496" s="1036"/>
      <c r="Z496" s="1038">
        <v>40</v>
      </c>
      <c r="AA496" s="1039">
        <v>7</v>
      </c>
      <c r="AB496" s="1037"/>
      <c r="AC496" s="1034"/>
      <c r="AD496" s="1034"/>
      <c r="AE496" s="1035"/>
      <c r="AF496" s="1037"/>
      <c r="AG496" s="1034"/>
      <c r="AH496" s="1034"/>
      <c r="AI496" s="1035"/>
      <c r="AJ496" s="1038">
        <v>0</v>
      </c>
      <c r="AK496" s="1037"/>
      <c r="AL496" s="1137"/>
      <c r="AM496" s="1063"/>
      <c r="AN496" s="1144"/>
      <c r="AO496" s="1144"/>
      <c r="AP496" s="1144"/>
      <c r="AQ496" s="1144"/>
      <c r="AR496" s="1144"/>
      <c r="AS496" s="1144"/>
    </row>
    <row r="497" spans="1:45" s="1140" customFormat="1" ht="13.5" customHeight="1">
      <c r="A497" s="1034" t="s">
        <v>1436</v>
      </c>
      <c r="B497" s="1034">
        <v>0.125</v>
      </c>
      <c r="C497" s="1034">
        <v>0.45833333333333331</v>
      </c>
      <c r="D497" s="1035">
        <v>8</v>
      </c>
      <c r="E497" s="1036"/>
      <c r="F497" s="1042"/>
      <c r="G497" s="1034">
        <v>0.125</v>
      </c>
      <c r="H497" s="1034">
        <v>0.45833333333333331</v>
      </c>
      <c r="I497" s="1035">
        <v>8</v>
      </c>
      <c r="J497" s="1036"/>
      <c r="K497" s="1042"/>
      <c r="L497" s="1034">
        <v>0.125</v>
      </c>
      <c r="M497" s="1034">
        <v>0.45833333333333331</v>
      </c>
      <c r="N497" s="1035">
        <v>8</v>
      </c>
      <c r="O497" s="1036"/>
      <c r="P497" s="1042"/>
      <c r="Q497" s="1034">
        <v>0.125</v>
      </c>
      <c r="R497" s="1034">
        <v>0.45833333333333331</v>
      </c>
      <c r="S497" s="1035">
        <v>8</v>
      </c>
      <c r="T497" s="1036"/>
      <c r="U497" s="1042"/>
      <c r="V497" s="1034">
        <v>0.125</v>
      </c>
      <c r="W497" s="1034">
        <v>0.45833333333333331</v>
      </c>
      <c r="X497" s="1035">
        <v>8</v>
      </c>
      <c r="Y497" s="1036"/>
      <c r="Z497" s="1038">
        <v>40</v>
      </c>
      <c r="AA497" s="1039">
        <v>0</v>
      </c>
      <c r="AB497" s="1037"/>
      <c r="AC497" s="1034"/>
      <c r="AD497" s="1034"/>
      <c r="AE497" s="1035"/>
      <c r="AF497" s="1037"/>
      <c r="AG497" s="1034"/>
      <c r="AH497" s="1034"/>
      <c r="AI497" s="1035"/>
      <c r="AJ497" s="1038">
        <v>0</v>
      </c>
      <c r="AK497" s="1037"/>
      <c r="AL497" s="1137"/>
      <c r="AM497" s="1063"/>
      <c r="AN497" s="1144"/>
      <c r="AO497" s="1144"/>
      <c r="AP497" s="1144"/>
      <c r="AQ497" s="1144"/>
      <c r="AR497" s="1144"/>
      <c r="AS497" s="1144"/>
    </row>
    <row r="498" spans="1:45" s="1140" customFormat="1" ht="13.5" customHeight="1">
      <c r="A498" s="1145" t="s">
        <v>1446</v>
      </c>
      <c r="B498" s="1034"/>
      <c r="C498" s="1034"/>
      <c r="D498" s="1035"/>
      <c r="E498" s="1036"/>
      <c r="F498" s="1042"/>
      <c r="G498" s="1034"/>
      <c r="H498" s="1034"/>
      <c r="I498" s="1035">
        <v>5</v>
      </c>
      <c r="J498" s="1036"/>
      <c r="K498" s="1042"/>
      <c r="L498" s="1034"/>
      <c r="M498" s="1034"/>
      <c r="N498" s="1035"/>
      <c r="O498" s="1036"/>
      <c r="P498" s="1042"/>
      <c r="Q498" s="1063"/>
      <c r="R498" s="1034"/>
      <c r="S498" s="1035"/>
      <c r="T498" s="1036"/>
      <c r="U498" s="1042"/>
      <c r="V498" s="1063"/>
      <c r="W498" s="1034"/>
      <c r="X498" s="1035"/>
      <c r="Y498" s="1036"/>
      <c r="Z498" s="1038">
        <v>5</v>
      </c>
      <c r="AA498" s="1039">
        <v>0</v>
      </c>
      <c r="AB498" s="1037"/>
      <c r="AC498" s="1034"/>
      <c r="AD498" s="1034"/>
      <c r="AE498" s="1035"/>
      <c r="AF498" s="1037"/>
      <c r="AG498" s="1034"/>
      <c r="AH498" s="1034"/>
      <c r="AI498" s="1035"/>
      <c r="AJ498" s="1038">
        <v>0</v>
      </c>
      <c r="AK498" s="1037"/>
      <c r="AL498" s="1137"/>
      <c r="AM498" s="1063"/>
      <c r="AN498" s="1144"/>
      <c r="AO498" s="1144"/>
      <c r="AP498" s="1144"/>
      <c r="AQ498" s="1144"/>
      <c r="AR498" s="1144"/>
      <c r="AS498" s="1144"/>
    </row>
    <row r="499" spans="1:45" s="1140" customFormat="1" ht="13.5" customHeight="1">
      <c r="A499" s="1145" t="s">
        <v>1140</v>
      </c>
      <c r="B499" s="1034"/>
      <c r="C499" s="1034"/>
      <c r="D499" s="1035"/>
      <c r="E499" s="1036"/>
      <c r="F499" s="1042"/>
      <c r="G499" s="1034"/>
      <c r="H499" s="1034"/>
      <c r="I499" s="1035"/>
      <c r="J499" s="1036"/>
      <c r="K499" s="1042"/>
      <c r="L499" s="1034"/>
      <c r="M499" s="1034"/>
      <c r="N499" s="1035"/>
      <c r="O499" s="1036"/>
      <c r="P499" s="1042"/>
      <c r="Q499" s="1034"/>
      <c r="R499" s="1034"/>
      <c r="S499" s="1035"/>
      <c r="T499" s="1036"/>
      <c r="U499" s="1042"/>
      <c r="V499" s="1034"/>
      <c r="W499" s="1034"/>
      <c r="X499" s="1035"/>
      <c r="Y499" s="1036"/>
      <c r="Z499" s="1038">
        <v>0</v>
      </c>
      <c r="AA499" s="1039">
        <v>0</v>
      </c>
      <c r="AB499" s="1037"/>
      <c r="AC499" s="1034">
        <v>0.3125</v>
      </c>
      <c r="AD499" s="1034">
        <v>0.25</v>
      </c>
      <c r="AE499" s="1035">
        <v>9.5</v>
      </c>
      <c r="AF499" s="1037"/>
      <c r="AG499" s="1034">
        <v>0.27083333333333331</v>
      </c>
      <c r="AH499" s="1034">
        <v>0.125</v>
      </c>
      <c r="AI499" s="1035">
        <v>10</v>
      </c>
      <c r="AJ499" s="1038">
        <v>19.5</v>
      </c>
      <c r="AK499" s="1037"/>
      <c r="AL499" s="1137"/>
      <c r="AM499" s="1063"/>
      <c r="AN499" s="1144"/>
      <c r="AO499" s="1144"/>
      <c r="AP499" s="1144"/>
      <c r="AQ499" s="1144"/>
      <c r="AR499" s="1144"/>
      <c r="AS499" s="1144"/>
    </row>
    <row r="500" spans="1:45" s="1140" customFormat="1" ht="13.5" customHeight="1">
      <c r="A500" s="1145" t="s">
        <v>101</v>
      </c>
      <c r="B500" s="1034"/>
      <c r="C500" s="1034"/>
      <c r="D500" s="1035"/>
      <c r="E500" s="1036"/>
      <c r="F500" s="1042"/>
      <c r="G500" s="1063"/>
      <c r="H500" s="1063"/>
      <c r="I500" s="1035"/>
      <c r="J500" s="1036"/>
      <c r="K500" s="1042"/>
      <c r="L500" s="1034"/>
      <c r="M500" s="1034"/>
      <c r="N500" s="1035"/>
      <c r="O500" s="1036"/>
      <c r="P500" s="1042"/>
      <c r="Q500" s="1034"/>
      <c r="R500" s="1034"/>
      <c r="S500" s="1035"/>
      <c r="T500" s="1036"/>
      <c r="U500" s="1042"/>
      <c r="V500" s="1034"/>
      <c r="W500" s="1034"/>
      <c r="X500" s="1035"/>
      <c r="Y500" s="1036"/>
      <c r="Z500" s="1038">
        <v>0</v>
      </c>
      <c r="AA500" s="1039">
        <v>0</v>
      </c>
      <c r="AB500" s="1037"/>
      <c r="AC500" s="1034">
        <v>6.25E-2</v>
      </c>
      <c r="AD500" s="1034">
        <v>0.15625</v>
      </c>
      <c r="AE500" s="1035">
        <v>4</v>
      </c>
      <c r="AF500" s="1037"/>
      <c r="AG500" s="1034"/>
      <c r="AH500" s="1034"/>
      <c r="AI500" s="1035"/>
      <c r="AJ500" s="1038">
        <v>4</v>
      </c>
      <c r="AK500" s="1037"/>
      <c r="AL500" s="1137"/>
      <c r="AM500" s="1063"/>
      <c r="AN500" s="1144"/>
      <c r="AO500" s="1144"/>
      <c r="AP500" s="1144"/>
      <c r="AQ500" s="1144"/>
      <c r="AR500" s="1144"/>
      <c r="AS500" s="1144"/>
    </row>
    <row r="501" spans="1:45" s="1140" customFormat="1" ht="13.5" customHeight="1">
      <c r="A501" s="1145" t="s">
        <v>1431</v>
      </c>
      <c r="B501" s="1034"/>
      <c r="C501" s="1034"/>
      <c r="D501" s="1035">
        <v>1</v>
      </c>
      <c r="E501" s="1036"/>
      <c r="F501" s="1042"/>
      <c r="G501" s="1034"/>
      <c r="H501" s="1034"/>
      <c r="I501" s="1035">
        <v>1</v>
      </c>
      <c r="J501" s="1036"/>
      <c r="K501" s="1042"/>
      <c r="L501" s="1034"/>
      <c r="M501" s="1034"/>
      <c r="N501" s="1035">
        <v>1</v>
      </c>
      <c r="O501" s="1036"/>
      <c r="P501" s="1042"/>
      <c r="Q501" s="1034"/>
      <c r="R501" s="1034"/>
      <c r="S501" s="1035">
        <v>1</v>
      </c>
      <c r="T501" s="1036"/>
      <c r="U501" s="1042"/>
      <c r="V501" s="1034"/>
      <c r="W501" s="1034"/>
      <c r="X501" s="1035">
        <v>1</v>
      </c>
      <c r="Y501" s="1036"/>
      <c r="Z501" s="1038">
        <v>5</v>
      </c>
      <c r="AA501" s="1039">
        <v>0</v>
      </c>
      <c r="AB501" s="1037"/>
      <c r="AC501" s="1034"/>
      <c r="AD501" s="1034"/>
      <c r="AE501" s="1035"/>
      <c r="AF501" s="1037"/>
      <c r="AG501" s="1034"/>
      <c r="AH501" s="1034"/>
      <c r="AI501" s="1035"/>
      <c r="AJ501" s="1038">
        <v>0</v>
      </c>
      <c r="AK501" s="1037"/>
      <c r="AL501" s="1137"/>
      <c r="AM501" s="1063"/>
      <c r="AN501" s="1144"/>
      <c r="AO501" s="1144"/>
      <c r="AP501" s="1144"/>
      <c r="AQ501" s="1144"/>
      <c r="AR501" s="1144"/>
      <c r="AS501" s="1144"/>
    </row>
    <row r="502" spans="1:45" s="1140" customFormat="1" ht="13.5" customHeight="1">
      <c r="A502" s="1145" t="s">
        <v>813</v>
      </c>
      <c r="B502" s="1034"/>
      <c r="C502" s="1034"/>
      <c r="D502" s="1035">
        <v>2</v>
      </c>
      <c r="E502" s="1036"/>
      <c r="F502" s="1042"/>
      <c r="G502" s="1034"/>
      <c r="H502" s="1034"/>
      <c r="I502" s="1035">
        <v>2</v>
      </c>
      <c r="J502" s="1036"/>
      <c r="K502" s="1042"/>
      <c r="L502" s="1034"/>
      <c r="M502" s="1034"/>
      <c r="N502" s="1035">
        <v>2</v>
      </c>
      <c r="O502" s="1036"/>
      <c r="P502" s="1042"/>
      <c r="Q502" s="1034"/>
      <c r="R502" s="1034"/>
      <c r="S502" s="1035">
        <v>2</v>
      </c>
      <c r="T502" s="1036"/>
      <c r="U502" s="1042"/>
      <c r="V502" s="1034"/>
      <c r="W502" s="1034"/>
      <c r="X502" s="1035">
        <v>2</v>
      </c>
      <c r="Y502" s="1036"/>
      <c r="Z502" s="1038">
        <v>10</v>
      </c>
      <c r="AA502" s="1039">
        <v>0</v>
      </c>
      <c r="AB502" s="1037"/>
      <c r="AC502" s="1034"/>
      <c r="AD502" s="1034"/>
      <c r="AE502" s="1035"/>
      <c r="AF502" s="1037"/>
      <c r="AG502" s="1034"/>
      <c r="AH502" s="1034"/>
      <c r="AI502" s="1035"/>
      <c r="AJ502" s="1038">
        <v>0</v>
      </c>
      <c r="AK502" s="1037"/>
      <c r="AL502" s="1137"/>
      <c r="AM502" s="1063"/>
      <c r="AN502" s="1144"/>
      <c r="AO502" s="1144"/>
      <c r="AP502" s="1144"/>
      <c r="AQ502" s="1144"/>
      <c r="AR502" s="1144"/>
      <c r="AS502" s="1144"/>
    </row>
    <row r="503" spans="1:45" s="1140" customFormat="1" ht="13.5" customHeight="1">
      <c r="A503" s="1145" t="s">
        <v>88</v>
      </c>
      <c r="B503" s="1034"/>
      <c r="C503" s="1034"/>
      <c r="D503" s="1035">
        <v>2</v>
      </c>
      <c r="E503" s="1036"/>
      <c r="F503" s="1042"/>
      <c r="G503" s="1034"/>
      <c r="H503" s="1034"/>
      <c r="I503" s="1035">
        <v>2</v>
      </c>
      <c r="J503" s="1036"/>
      <c r="K503" s="1042"/>
      <c r="L503" s="1034"/>
      <c r="M503" s="1034"/>
      <c r="N503" s="1035">
        <v>2</v>
      </c>
      <c r="O503" s="1036"/>
      <c r="P503" s="1042"/>
      <c r="Q503" s="1034"/>
      <c r="R503" s="1034"/>
      <c r="S503" s="1035">
        <v>2</v>
      </c>
      <c r="T503" s="1036"/>
      <c r="U503" s="1042"/>
      <c r="V503" s="1034"/>
      <c r="W503" s="1034"/>
      <c r="X503" s="1035">
        <v>2</v>
      </c>
      <c r="Y503" s="1036"/>
      <c r="Z503" s="1038">
        <v>10</v>
      </c>
      <c r="AA503" s="1039">
        <v>0</v>
      </c>
      <c r="AB503" s="1037"/>
      <c r="AC503" s="1034"/>
      <c r="AD503" s="1034"/>
      <c r="AE503" s="1035"/>
      <c r="AF503" s="1037"/>
      <c r="AG503" s="1034"/>
      <c r="AH503" s="1034"/>
      <c r="AI503" s="1035"/>
      <c r="AJ503" s="1038">
        <v>0</v>
      </c>
      <c r="AK503" s="1037"/>
      <c r="AL503" s="1137"/>
      <c r="AM503" s="1063"/>
      <c r="AN503" s="1144"/>
      <c r="AO503" s="1144"/>
      <c r="AP503" s="1144"/>
      <c r="AQ503" s="1144"/>
      <c r="AR503" s="1144"/>
      <c r="AS503" s="1144"/>
    </row>
    <row r="504" spans="1:45" s="1140" customFormat="1" ht="13.5" customHeight="1">
      <c r="A504" s="1145" t="s">
        <v>1141</v>
      </c>
      <c r="B504" s="1034"/>
      <c r="C504" s="1034"/>
      <c r="D504" s="1035"/>
      <c r="E504" s="1036"/>
      <c r="F504" s="1042"/>
      <c r="G504" s="1034"/>
      <c r="H504" s="1034"/>
      <c r="I504" s="1035"/>
      <c r="J504" s="1036"/>
      <c r="K504" s="1042"/>
      <c r="L504" s="1034"/>
      <c r="M504" s="1034"/>
      <c r="N504" s="1035"/>
      <c r="O504" s="1036"/>
      <c r="P504" s="1042"/>
      <c r="Q504" s="1034">
        <v>0.36458333333333331</v>
      </c>
      <c r="R504" s="1034">
        <v>0.125</v>
      </c>
      <c r="S504" s="1035">
        <v>7.75</v>
      </c>
      <c r="T504" s="1036"/>
      <c r="U504" s="1042"/>
      <c r="V504" s="1034"/>
      <c r="W504" s="1034"/>
      <c r="X504" s="1035"/>
      <c r="Y504" s="1036"/>
      <c r="Z504" s="1038">
        <v>7.75</v>
      </c>
      <c r="AA504" s="1039">
        <v>0</v>
      </c>
      <c r="AB504" s="1037"/>
      <c r="AC504" s="1034">
        <v>0.3125</v>
      </c>
      <c r="AD504" s="1034">
        <v>0.1875</v>
      </c>
      <c r="AE504" s="1035">
        <v>10</v>
      </c>
      <c r="AF504" s="1037"/>
      <c r="AG504" s="1034">
        <v>0.52083333333333337</v>
      </c>
      <c r="AH504" s="1034">
        <v>0.27083333333333331</v>
      </c>
      <c r="AI504" s="1035">
        <v>6</v>
      </c>
      <c r="AJ504" s="1038">
        <v>16</v>
      </c>
      <c r="AK504" s="1037"/>
      <c r="AL504" s="1137"/>
      <c r="AM504" s="1063"/>
      <c r="AN504" s="1144"/>
      <c r="AO504" s="1144"/>
      <c r="AP504" s="1144"/>
      <c r="AQ504" s="1144"/>
      <c r="AR504" s="1144"/>
      <c r="AS504" s="1144"/>
    </row>
    <row r="505" spans="1:45" s="1140" customFormat="1" ht="13.5" customHeight="1">
      <c r="A505" s="1147" t="s">
        <v>1438</v>
      </c>
      <c r="B505" s="1132"/>
      <c r="C505" s="1132"/>
      <c r="D505" s="1050">
        <v>8</v>
      </c>
      <c r="E505" s="1050"/>
      <c r="F505" s="1050"/>
      <c r="G505" s="1049">
        <v>0.45833333333333331</v>
      </c>
      <c r="H505" s="1049">
        <v>0.125</v>
      </c>
      <c r="I505" s="1050">
        <v>8</v>
      </c>
      <c r="J505" s="1050"/>
      <c r="K505" s="1050"/>
      <c r="L505" s="1049">
        <v>0.45833333333333331</v>
      </c>
      <c r="M505" s="1049">
        <v>0.22916666666666666</v>
      </c>
      <c r="N505" s="1050">
        <v>8</v>
      </c>
      <c r="O505" s="1050"/>
      <c r="P505" s="1050"/>
      <c r="Q505" s="1049">
        <v>0.45833333333333331</v>
      </c>
      <c r="R505" s="1049">
        <v>8.3333333333333329E-2</v>
      </c>
      <c r="S505" s="1050">
        <v>8</v>
      </c>
      <c r="T505" s="1050"/>
      <c r="U505" s="1050"/>
      <c r="V505" s="1132"/>
      <c r="W505" s="1132"/>
      <c r="X505" s="1050">
        <v>8</v>
      </c>
      <c r="Y505" s="1050"/>
      <c r="Z505" s="1051">
        <v>40</v>
      </c>
      <c r="AA505" s="1039">
        <v>0</v>
      </c>
      <c r="AB505" s="1037"/>
      <c r="AC505" s="1034"/>
      <c r="AD505" s="1034"/>
      <c r="AE505" s="1035"/>
      <c r="AF505" s="1037"/>
      <c r="AG505" s="1034"/>
      <c r="AH505" s="1034"/>
      <c r="AI505" s="1035"/>
      <c r="AJ505" s="1038">
        <v>0</v>
      </c>
      <c r="AK505" s="1037"/>
      <c r="AL505" s="1137"/>
      <c r="AM505" s="1063"/>
      <c r="AN505" s="1144"/>
      <c r="AO505" s="1144"/>
      <c r="AP505" s="1144"/>
      <c r="AQ505" s="1144"/>
      <c r="AR505" s="1144"/>
      <c r="AS505" s="1144"/>
    </row>
    <row r="506" spans="1:45" s="1140" customFormat="1" ht="13.5" customHeight="1">
      <c r="A506" s="1147" t="s">
        <v>1439</v>
      </c>
      <c r="B506" s="1132"/>
      <c r="C506" s="1132"/>
      <c r="D506" s="1050">
        <v>8</v>
      </c>
      <c r="E506" s="1050"/>
      <c r="F506" s="1050"/>
      <c r="G506" s="1049">
        <v>0.45833333333333331</v>
      </c>
      <c r="H506" s="1049">
        <v>9.375E-2</v>
      </c>
      <c r="I506" s="1050">
        <v>8</v>
      </c>
      <c r="J506" s="1050"/>
      <c r="K506" s="1050"/>
      <c r="L506" s="1049">
        <v>0.45833333333333331</v>
      </c>
      <c r="M506" s="1049">
        <v>0.1875</v>
      </c>
      <c r="N506" s="1050">
        <v>8</v>
      </c>
      <c r="O506" s="1050"/>
      <c r="P506" s="1050"/>
      <c r="Q506" s="1049">
        <v>0.45833333333333331</v>
      </c>
      <c r="R506" s="1049">
        <v>0.51041666666666663</v>
      </c>
      <c r="S506" s="1050">
        <v>8</v>
      </c>
      <c r="T506" s="1050"/>
      <c r="U506" s="1050"/>
      <c r="V506" s="1132"/>
      <c r="W506" s="1132"/>
      <c r="X506" s="1050">
        <v>8</v>
      </c>
      <c r="Y506" s="1050"/>
      <c r="Z506" s="1051">
        <v>40</v>
      </c>
      <c r="AA506" s="1039">
        <v>0</v>
      </c>
      <c r="AB506" s="1037"/>
      <c r="AC506" s="1034"/>
      <c r="AD506" s="1034"/>
      <c r="AE506" s="1035"/>
      <c r="AF506" s="1037"/>
      <c r="AG506" s="1034"/>
      <c r="AH506" s="1034"/>
      <c r="AI506" s="1035"/>
      <c r="AJ506" s="1038">
        <v>0</v>
      </c>
      <c r="AK506" s="1037"/>
      <c r="AL506" s="1137"/>
      <c r="AM506" s="1063"/>
      <c r="AN506" s="1144"/>
      <c r="AO506" s="1144"/>
      <c r="AP506" s="1144"/>
      <c r="AQ506" s="1144"/>
      <c r="AR506" s="1144"/>
      <c r="AS506" s="1144"/>
    </row>
    <row r="507" spans="1:45" s="1140" customFormat="1" ht="13.5" customHeight="1">
      <c r="A507" s="1147" t="s">
        <v>1433</v>
      </c>
      <c r="B507" s="1049">
        <v>0.45833333333333331</v>
      </c>
      <c r="C507" s="1049">
        <v>0.29166666666666669</v>
      </c>
      <c r="D507" s="1050">
        <v>8</v>
      </c>
      <c r="E507" s="1050"/>
      <c r="F507" s="1050"/>
      <c r="G507" s="1049">
        <v>0.45833333333333331</v>
      </c>
      <c r="H507" s="1049">
        <v>0.29166666666666669</v>
      </c>
      <c r="I507" s="1050">
        <v>8</v>
      </c>
      <c r="J507" s="1050"/>
      <c r="K507" s="1050"/>
      <c r="L507" s="1049">
        <v>0.45833333333333331</v>
      </c>
      <c r="M507" s="1049">
        <v>0.29166666666666669</v>
      </c>
      <c r="N507" s="1050">
        <v>8</v>
      </c>
      <c r="O507" s="1050"/>
      <c r="P507" s="1050"/>
      <c r="Q507" s="1049">
        <v>0.45833333333333331</v>
      </c>
      <c r="R507" s="1049">
        <v>0.29166666666666669</v>
      </c>
      <c r="S507" s="1050">
        <v>8</v>
      </c>
      <c r="T507" s="1050"/>
      <c r="U507" s="1050"/>
      <c r="V507" s="1049">
        <v>0.45833333333333331</v>
      </c>
      <c r="W507" s="1049">
        <v>0.29166666666666669</v>
      </c>
      <c r="X507" s="1050">
        <v>8</v>
      </c>
      <c r="Y507" s="1050"/>
      <c r="Z507" s="1051">
        <v>40</v>
      </c>
      <c r="AA507" s="1039">
        <v>0</v>
      </c>
      <c r="AB507" s="1037"/>
      <c r="AC507" s="1034"/>
      <c r="AD507" s="1034"/>
      <c r="AE507" s="1035"/>
      <c r="AF507" s="1037"/>
      <c r="AG507" s="1034"/>
      <c r="AH507" s="1034"/>
      <c r="AI507" s="1035"/>
      <c r="AJ507" s="1038">
        <v>0</v>
      </c>
      <c r="AK507" s="1037"/>
      <c r="AL507" s="1137"/>
      <c r="AM507" s="1063"/>
      <c r="AN507" s="1144"/>
      <c r="AO507" s="1144"/>
      <c r="AP507" s="1144"/>
      <c r="AQ507" s="1144"/>
      <c r="AR507" s="1144"/>
      <c r="AS507" s="1144"/>
    </row>
    <row r="508" spans="1:45" s="1140" customFormat="1" ht="13.5" customHeight="1">
      <c r="A508" s="1147" t="s">
        <v>1440</v>
      </c>
      <c r="B508" s="1049">
        <v>0.45833333333333331</v>
      </c>
      <c r="C508" s="1162">
        <v>0.29166666666666669</v>
      </c>
      <c r="D508" s="1050">
        <v>8</v>
      </c>
      <c r="E508" s="1050"/>
      <c r="F508" s="1050"/>
      <c r="G508" s="1049">
        <v>0.45833333333333331</v>
      </c>
      <c r="H508" s="1049">
        <v>0.29166666666666669</v>
      </c>
      <c r="I508" s="1050">
        <v>8</v>
      </c>
      <c r="J508" s="1050"/>
      <c r="K508" s="1050"/>
      <c r="L508" s="1049">
        <v>0.45833333333333331</v>
      </c>
      <c r="M508" s="1049">
        <v>0.29166666666666669</v>
      </c>
      <c r="N508" s="1050">
        <v>8</v>
      </c>
      <c r="O508" s="1050"/>
      <c r="P508" s="1050"/>
      <c r="Q508" s="1049">
        <v>0.45833333333333331</v>
      </c>
      <c r="R508" s="1049"/>
      <c r="S508" s="1050">
        <v>8</v>
      </c>
      <c r="T508" s="1050"/>
      <c r="U508" s="1050"/>
      <c r="V508" s="1049">
        <v>0.45833333333333331</v>
      </c>
      <c r="W508" s="1049">
        <v>0.29166666666666669</v>
      </c>
      <c r="X508" s="1050">
        <v>8</v>
      </c>
      <c r="Y508" s="1050"/>
      <c r="Z508" s="1051">
        <v>40</v>
      </c>
      <c r="AA508" s="1039">
        <v>0</v>
      </c>
      <c r="AB508" s="1037"/>
      <c r="AC508" s="1034"/>
      <c r="AD508" s="1034"/>
      <c r="AE508" s="1035"/>
      <c r="AF508" s="1037"/>
      <c r="AG508" s="1034"/>
      <c r="AH508" s="1034"/>
      <c r="AI508" s="1035"/>
      <c r="AJ508" s="1038">
        <v>0</v>
      </c>
      <c r="AK508" s="1037"/>
      <c r="AL508" s="1137"/>
      <c r="AM508" s="1063"/>
      <c r="AN508" s="1144"/>
      <c r="AO508" s="1144"/>
      <c r="AP508" s="1144"/>
      <c r="AQ508" s="1144"/>
      <c r="AR508" s="1144"/>
      <c r="AS508" s="1144"/>
    </row>
    <row r="509" spans="1:45" s="1140" customFormat="1" ht="13.5" customHeight="1">
      <c r="A509" s="1147" t="s">
        <v>1437</v>
      </c>
      <c r="B509" s="1049">
        <v>0.29166666666666669</v>
      </c>
      <c r="C509" s="1049"/>
      <c r="D509" s="1050">
        <v>8</v>
      </c>
      <c r="E509" s="1050"/>
      <c r="F509" s="1050"/>
      <c r="G509" s="1049">
        <v>0.29166666666666669</v>
      </c>
      <c r="H509" s="1049">
        <v>0.125</v>
      </c>
      <c r="I509" s="1050">
        <v>8</v>
      </c>
      <c r="J509" s="1050"/>
      <c r="K509" s="1050"/>
      <c r="L509" s="1049">
        <v>0.29166666666666669</v>
      </c>
      <c r="M509" s="1049"/>
      <c r="N509" s="1050">
        <v>8</v>
      </c>
      <c r="O509" s="1050"/>
      <c r="P509" s="1050"/>
      <c r="Q509" s="1132"/>
      <c r="R509" s="1132"/>
      <c r="S509" s="1050">
        <v>0</v>
      </c>
      <c r="T509" s="1050"/>
      <c r="U509" s="1050"/>
      <c r="V509" s="1049">
        <v>0.29166666666666669</v>
      </c>
      <c r="W509" s="1049">
        <v>0.125</v>
      </c>
      <c r="X509" s="1050">
        <v>8</v>
      </c>
      <c r="Y509" s="1050"/>
      <c r="Z509" s="1051">
        <v>32</v>
      </c>
      <c r="AA509" s="1039">
        <v>0</v>
      </c>
      <c r="AB509" s="1037"/>
      <c r="AC509" s="1034"/>
      <c r="AD509" s="1034"/>
      <c r="AE509" s="1035"/>
      <c r="AF509" s="1037"/>
      <c r="AG509" s="1034"/>
      <c r="AH509" s="1034"/>
      <c r="AI509" s="1035"/>
      <c r="AJ509" s="1038">
        <v>0</v>
      </c>
      <c r="AK509" s="1037"/>
      <c r="AL509" s="1137"/>
      <c r="AM509" s="1063"/>
      <c r="AN509" s="1144"/>
      <c r="AO509" s="1144"/>
      <c r="AP509" s="1144"/>
      <c r="AQ509" s="1144"/>
      <c r="AR509" s="1144"/>
      <c r="AS509" s="1144"/>
    </row>
    <row r="510" spans="1:45" s="1140" customFormat="1" ht="13.5" customHeight="1">
      <c r="A510" s="1147" t="s">
        <v>1445</v>
      </c>
      <c r="B510" s="1049">
        <v>0.45833333333333331</v>
      </c>
      <c r="C510" s="1162">
        <v>0.29166666666666669</v>
      </c>
      <c r="D510" s="1050">
        <v>8</v>
      </c>
      <c r="E510" s="1050"/>
      <c r="F510" s="1050"/>
      <c r="G510" s="1049">
        <v>0.45833333333333331</v>
      </c>
      <c r="H510" s="1049">
        <v>0.29166666666666669</v>
      </c>
      <c r="I510" s="1050">
        <v>8</v>
      </c>
      <c r="J510" s="1050"/>
      <c r="K510" s="1050"/>
      <c r="L510" s="1049">
        <v>0.45833333333333331</v>
      </c>
      <c r="M510" s="1049">
        <v>0.20833333333333334</v>
      </c>
      <c r="N510" s="1050">
        <v>8</v>
      </c>
      <c r="O510" s="1050"/>
      <c r="P510" s="1050"/>
      <c r="Q510" s="1049">
        <v>0.45833333333333331</v>
      </c>
      <c r="R510" s="1049">
        <v>0.29166666666666669</v>
      </c>
      <c r="S510" s="1050">
        <v>8</v>
      </c>
      <c r="T510" s="1050"/>
      <c r="U510" s="1050"/>
      <c r="V510" s="1049">
        <v>0.46875</v>
      </c>
      <c r="W510" s="1049">
        <v>0.29166666666666669</v>
      </c>
      <c r="X510" s="1050">
        <v>7.75</v>
      </c>
      <c r="Y510" s="1050"/>
      <c r="Z510" s="1051">
        <v>39.75</v>
      </c>
      <c r="AA510" s="1039">
        <v>0</v>
      </c>
      <c r="AB510" s="1037"/>
      <c r="AC510" s="1034"/>
      <c r="AD510" s="1034"/>
      <c r="AE510" s="1035"/>
      <c r="AF510" s="1037"/>
      <c r="AG510" s="1034"/>
      <c r="AH510" s="1034"/>
      <c r="AI510" s="1035"/>
      <c r="AJ510" s="1038">
        <v>0</v>
      </c>
      <c r="AK510" s="1037"/>
      <c r="AL510" s="1137"/>
      <c r="AM510" s="1063"/>
      <c r="AN510" s="1144"/>
      <c r="AO510" s="1144"/>
      <c r="AP510" s="1144"/>
      <c r="AQ510" s="1144"/>
      <c r="AR510" s="1144"/>
      <c r="AS510" s="1144"/>
    </row>
    <row r="511" spans="1:45" s="1140" customFormat="1" ht="13.5" customHeight="1">
      <c r="A511" s="1044" t="s">
        <v>61</v>
      </c>
      <c r="B511" s="1044"/>
      <c r="C511" s="1044"/>
      <c r="D511" s="1045">
        <v>109</v>
      </c>
      <c r="E511" s="1036"/>
      <c r="F511" s="1044"/>
      <c r="G511" s="1044"/>
      <c r="H511" s="1044"/>
      <c r="I511" s="1045">
        <v>106</v>
      </c>
      <c r="J511" s="1036"/>
      <c r="K511" s="1044"/>
      <c r="L511" s="1044"/>
      <c r="M511" s="1044"/>
      <c r="N511" s="1045">
        <v>123</v>
      </c>
      <c r="O511" s="1036"/>
      <c r="P511" s="1044"/>
      <c r="Q511" s="1044"/>
      <c r="R511" s="1044"/>
      <c r="S511" s="1045">
        <v>108.75</v>
      </c>
      <c r="T511" s="1036"/>
      <c r="U511" s="1044"/>
      <c r="V511" s="1044"/>
      <c r="W511" s="1044"/>
      <c r="X511" s="1045">
        <v>108.75</v>
      </c>
      <c r="Y511" s="1036"/>
      <c r="Z511" s="1038">
        <v>539.5</v>
      </c>
      <c r="AA511" s="1038">
        <v>8</v>
      </c>
      <c r="AB511" s="1037"/>
      <c r="AC511" s="1044"/>
      <c r="AD511" s="1044"/>
      <c r="AE511" s="1038">
        <v>23.5</v>
      </c>
      <c r="AF511" s="1037"/>
      <c r="AG511" s="1044"/>
      <c r="AH511" s="1044"/>
      <c r="AI511" s="1038">
        <v>24</v>
      </c>
      <c r="AJ511" s="1038">
        <v>47.5</v>
      </c>
      <c r="AK511" s="1037"/>
      <c r="AL511" s="1137"/>
      <c r="AM511" s="1063"/>
      <c r="AN511" s="1144"/>
      <c r="AO511" s="1144"/>
      <c r="AP511" s="1144"/>
      <c r="AQ511" s="1144"/>
      <c r="AR511" s="1144"/>
      <c r="AS511" s="1144"/>
    </row>
    <row r="512" spans="1:45" s="1140" customFormat="1" ht="13.5" customHeight="1">
      <c r="A512" s="1044" t="s">
        <v>1434</v>
      </c>
      <c r="B512" s="1044"/>
      <c r="C512" s="1044"/>
      <c r="D512" s="1045">
        <v>48</v>
      </c>
      <c r="E512" s="1036"/>
      <c r="F512" s="1044"/>
      <c r="G512" s="1044"/>
      <c r="H512" s="1044"/>
      <c r="I512" s="1045">
        <v>48</v>
      </c>
      <c r="J512" s="1036"/>
      <c r="K512" s="1044"/>
      <c r="L512" s="1044"/>
      <c r="M512" s="1044"/>
      <c r="N512" s="1045">
        <v>48</v>
      </c>
      <c r="O512" s="1036"/>
      <c r="P512" s="1044"/>
      <c r="Q512" s="1044"/>
      <c r="R512" s="1044"/>
      <c r="S512" s="1045">
        <v>40</v>
      </c>
      <c r="T512" s="1036"/>
      <c r="U512" s="1044"/>
      <c r="V512" s="1044"/>
      <c r="W512" s="1044"/>
      <c r="X512" s="1045">
        <v>47.75</v>
      </c>
      <c r="Y512" s="1036"/>
      <c r="Z512" s="1038">
        <v>192</v>
      </c>
      <c r="AA512" s="1038">
        <v>0</v>
      </c>
      <c r="AB512" s="1037"/>
      <c r="AC512" s="1044"/>
      <c r="AD512" s="1044"/>
      <c r="AE512" s="1038"/>
      <c r="AF512" s="1037"/>
      <c r="AG512" s="1044"/>
      <c r="AH512" s="1044"/>
      <c r="AI512" s="1038"/>
      <c r="AJ512" s="1038"/>
      <c r="AK512" s="1037"/>
      <c r="AL512" s="1137"/>
      <c r="AM512" s="1063"/>
      <c r="AN512" s="1144"/>
      <c r="AO512" s="1144"/>
      <c r="AP512" s="1144"/>
      <c r="AQ512" s="1144"/>
      <c r="AR512" s="1144"/>
      <c r="AS512" s="1144"/>
    </row>
    <row r="513" spans="1:45" s="1140" customFormat="1" ht="13.5" customHeight="1">
      <c r="A513" s="1148" t="s">
        <v>64</v>
      </c>
      <c r="B513" s="1034"/>
      <c r="C513" s="1034"/>
      <c r="D513" s="1035">
        <v>4</v>
      </c>
      <c r="E513" s="1035"/>
      <c r="F513" s="1046"/>
      <c r="G513" s="1034"/>
      <c r="H513" s="1034"/>
      <c r="I513" s="1035">
        <v>4</v>
      </c>
      <c r="J513" s="1035"/>
      <c r="K513" s="1042"/>
      <c r="L513" s="1034"/>
      <c r="M513" s="1034"/>
      <c r="N513" s="1035">
        <v>4</v>
      </c>
      <c r="O513" s="1035">
        <v>0.5</v>
      </c>
      <c r="P513" s="1042"/>
      <c r="Q513" s="1034"/>
      <c r="R513" s="1034"/>
      <c r="S513" s="1035">
        <v>3.5</v>
      </c>
      <c r="T513" s="1035"/>
      <c r="U513" s="1042"/>
      <c r="V513" s="1034"/>
      <c r="W513" s="1034"/>
      <c r="X513" s="1035">
        <v>4</v>
      </c>
      <c r="Y513" s="1035"/>
      <c r="Z513" s="1038">
        <v>19.5</v>
      </c>
      <c r="AA513" s="1047">
        <v>0.5</v>
      </c>
      <c r="AB513" s="1037"/>
      <c r="AC513" s="1034"/>
      <c r="AD513" s="1034"/>
      <c r="AE513" s="1035">
        <v>13</v>
      </c>
      <c r="AF513" s="1037"/>
      <c r="AG513" s="1034"/>
      <c r="AH513" s="1034"/>
      <c r="AI513" s="1035">
        <v>12</v>
      </c>
      <c r="AJ513" s="1038">
        <v>25</v>
      </c>
      <c r="AK513" s="1037"/>
      <c r="AL513" s="1137"/>
      <c r="AM513" s="1063"/>
      <c r="AN513" s="1144"/>
      <c r="AO513" s="1144"/>
      <c r="AP513" s="1144"/>
      <c r="AQ513" s="1144"/>
      <c r="AR513" s="1144"/>
      <c r="AS513" s="1144"/>
    </row>
    <row r="514" spans="1:45" s="1140" customFormat="1" ht="13.5" customHeight="1">
      <c r="A514" s="1046" t="s">
        <v>66</v>
      </c>
      <c r="B514" s="1062"/>
      <c r="C514" s="1062"/>
      <c r="D514" s="1046"/>
      <c r="E514" s="1046"/>
      <c r="F514" s="1046"/>
      <c r="G514" s="1046"/>
      <c r="H514" s="1046"/>
      <c r="I514" s="1046"/>
      <c r="J514" s="1046"/>
      <c r="K514" s="1046"/>
      <c r="L514" s="1046"/>
      <c r="M514" s="1046"/>
      <c r="N514" s="1046"/>
      <c r="O514" s="1046"/>
      <c r="P514" s="1046"/>
      <c r="Q514" s="1046"/>
      <c r="R514" s="1046"/>
      <c r="S514" s="1046"/>
      <c r="T514" s="1046"/>
      <c r="U514" s="1046"/>
      <c r="V514" s="1046"/>
      <c r="W514" s="1046"/>
      <c r="X514" s="1046"/>
      <c r="Y514" s="1046"/>
      <c r="Z514" s="1038">
        <v>19.5</v>
      </c>
      <c r="AA514" s="1038">
        <v>0.5</v>
      </c>
      <c r="AB514" s="1037"/>
      <c r="AC514" s="1063"/>
      <c r="AD514" s="1063"/>
      <c r="AE514" s="1063"/>
      <c r="AF514" s="1037"/>
      <c r="AG514" s="1063"/>
      <c r="AH514" s="1063"/>
      <c r="AI514" s="1063"/>
      <c r="AJ514" s="1038">
        <v>25</v>
      </c>
      <c r="AK514" s="1037"/>
      <c r="AL514" s="1137"/>
      <c r="AM514" s="1063"/>
      <c r="AN514" s="1149"/>
      <c r="AO514" s="1144"/>
      <c r="AP514" s="1144"/>
      <c r="AQ514" s="1144"/>
      <c r="AR514" s="1144"/>
      <c r="AS514" s="1144"/>
    </row>
    <row r="515" spans="1:45" s="1140" customFormat="1" ht="13.5" customHeight="1">
      <c r="A515" s="1150" t="s">
        <v>67</v>
      </c>
      <c r="B515" s="1151">
        <v>102</v>
      </c>
      <c r="C515" s="1151"/>
      <c r="D515" s="1152"/>
      <c r="E515" s="1152"/>
      <c r="F515" s="1151"/>
      <c r="G515" s="1152"/>
      <c r="H515" s="1152"/>
      <c r="I515" s="1152"/>
      <c r="J515" s="1152"/>
      <c r="K515" s="1151"/>
      <c r="L515" s="1151"/>
      <c r="M515" s="1151"/>
      <c r="N515" s="1151"/>
      <c r="O515" s="1152"/>
      <c r="P515" s="1151"/>
      <c r="Q515" s="1151"/>
      <c r="R515" s="1151"/>
      <c r="S515" s="1151"/>
      <c r="T515" s="1152"/>
      <c r="U515" s="1151"/>
      <c r="V515" s="1151"/>
      <c r="W515" s="1151"/>
      <c r="X515" s="1153"/>
      <c r="Y515" s="1152"/>
      <c r="Z515" s="1154"/>
      <c r="AA515" s="1152"/>
      <c r="AB515" s="1154"/>
      <c r="AC515" s="1154"/>
      <c r="AD515" s="1154"/>
      <c r="AE515" s="1154"/>
      <c r="AF515" s="1154"/>
      <c r="AG515" s="1154"/>
      <c r="AH515" s="1154"/>
      <c r="AI515" s="1154"/>
      <c r="AJ515" s="1154"/>
      <c r="AK515" s="1037"/>
      <c r="AL515" s="1137"/>
      <c r="AM515" s="1063"/>
      <c r="AN515" s="1149"/>
      <c r="AO515" s="1144"/>
      <c r="AP515" s="1144"/>
      <c r="AQ515" s="1144"/>
      <c r="AR515" s="1144"/>
      <c r="AS515" s="1144"/>
    </row>
    <row r="516" spans="1:45" s="1140" customFormat="1" ht="13.5" customHeight="1">
      <c r="A516" s="1063"/>
      <c r="B516" s="1063"/>
      <c r="C516" s="1063"/>
      <c r="D516" s="1037"/>
      <c r="E516" s="1037"/>
      <c r="F516" s="1037"/>
      <c r="G516" s="1063"/>
      <c r="H516" s="1063"/>
      <c r="I516" s="1037"/>
      <c r="J516" s="1037"/>
      <c r="K516" s="1037"/>
      <c r="L516" s="1063"/>
      <c r="M516" s="1063"/>
      <c r="N516" s="1037"/>
      <c r="O516" s="1037"/>
      <c r="P516" s="1037"/>
      <c r="Q516" s="1063"/>
      <c r="R516" s="1063"/>
      <c r="S516" s="1037"/>
      <c r="T516" s="1037"/>
      <c r="U516" s="1037"/>
      <c r="V516" s="1063"/>
      <c r="W516" s="1063"/>
      <c r="X516" s="1037"/>
      <c r="Y516" s="1037"/>
      <c r="Z516" s="1037"/>
      <c r="AA516" s="1037"/>
      <c r="AB516" s="1037"/>
      <c r="AC516" s="1063"/>
      <c r="AD516" s="1063"/>
      <c r="AE516" s="1063"/>
      <c r="AF516" s="1037"/>
      <c r="AG516" s="1063"/>
      <c r="AH516" s="1063"/>
      <c r="AI516" s="1063"/>
      <c r="AJ516" s="1063"/>
      <c r="AK516" s="1037"/>
      <c r="AL516" s="1137"/>
      <c r="AM516" s="1063"/>
      <c r="AN516" s="1144"/>
      <c r="AO516" s="1144"/>
      <c r="AP516" s="1144"/>
      <c r="AQ516" s="1144"/>
      <c r="AR516" s="1144"/>
      <c r="AS516" s="1144"/>
    </row>
    <row r="517" spans="1:45" s="1140" customFormat="1" ht="13.5" customHeight="1">
      <c r="A517" s="1155"/>
      <c r="B517" s="1156"/>
      <c r="C517" s="1156"/>
      <c r="D517" s="1157"/>
      <c r="E517" s="1157"/>
      <c r="F517" s="1156"/>
      <c r="G517" s="1157"/>
      <c r="H517" s="1157"/>
      <c r="I517" s="1157"/>
      <c r="J517" s="1157"/>
      <c r="K517" s="1156"/>
      <c r="L517" s="1156"/>
      <c r="M517" s="1156"/>
      <c r="N517" s="1156"/>
      <c r="O517" s="1157"/>
      <c r="P517" s="1156"/>
      <c r="Q517" s="1156"/>
      <c r="R517" s="1156"/>
      <c r="S517" s="1156"/>
      <c r="T517" s="1157"/>
      <c r="U517" s="1156"/>
      <c r="V517" s="1156"/>
      <c r="W517" s="1156"/>
      <c r="X517" s="1158"/>
      <c r="Y517" s="1157"/>
      <c r="Z517" s="1159"/>
      <c r="AA517" s="1157"/>
      <c r="AB517" s="1160"/>
      <c r="AC517" s="1161"/>
      <c r="AD517" s="1137"/>
      <c r="AE517" s="1137"/>
      <c r="AF517" s="1160"/>
      <c r="AG517" s="1161"/>
      <c r="AH517" s="1137"/>
      <c r="AI517" s="1137"/>
      <c r="AJ517" s="1137"/>
      <c r="AK517" s="1137"/>
      <c r="AL517" s="1137"/>
      <c r="AM517" s="1137"/>
      <c r="AN517" s="1137"/>
      <c r="AO517" s="1137"/>
      <c r="AP517" s="1137"/>
      <c r="AQ517" s="1137"/>
      <c r="AR517" s="1137"/>
      <c r="AS517" s="1137"/>
    </row>
    <row r="518" spans="1:45" s="1140" customFormat="1" ht="13.5" customHeight="1">
      <c r="A518" s="1063"/>
      <c r="B518" s="1063"/>
      <c r="C518" s="1063"/>
      <c r="D518" s="1037"/>
      <c r="E518" s="1037"/>
      <c r="F518" s="1037"/>
      <c r="G518" s="1063"/>
      <c r="H518" s="1063"/>
      <c r="I518" s="1037"/>
      <c r="J518" s="1037"/>
      <c r="K518" s="1037"/>
      <c r="L518" s="1063"/>
      <c r="M518" s="1063"/>
      <c r="N518" s="1037"/>
      <c r="O518" s="1037"/>
      <c r="P518" s="1037"/>
      <c r="Q518" s="1063"/>
      <c r="R518" s="1063"/>
      <c r="S518" s="1037"/>
      <c r="T518" s="1037"/>
      <c r="U518" s="1037"/>
      <c r="V518" s="1063"/>
      <c r="W518" s="1063"/>
      <c r="X518" s="1037"/>
      <c r="Y518" s="1037"/>
      <c r="Z518" s="1037"/>
      <c r="AA518" s="1037"/>
      <c r="AB518" s="1037"/>
      <c r="AC518" s="1063"/>
      <c r="AD518" s="1063"/>
      <c r="AE518" s="1063"/>
      <c r="AF518" s="1037"/>
      <c r="AG518" s="1063"/>
      <c r="AH518" s="1063"/>
      <c r="AI518" s="1063"/>
      <c r="AJ518" s="1063"/>
      <c r="AK518" s="1037"/>
      <c r="AL518" s="1137"/>
      <c r="AM518" s="1063"/>
      <c r="AN518" s="1144"/>
      <c r="AO518" s="1144"/>
      <c r="AP518" s="1144"/>
      <c r="AQ518" s="1144"/>
      <c r="AR518" s="1144"/>
      <c r="AS518" s="1144"/>
    </row>
    <row r="519" spans="1:45" s="1140" customFormat="1" ht="13.5" customHeight="1">
      <c r="A519" s="1591" t="s">
        <v>18</v>
      </c>
      <c r="B519" s="1590">
        <v>45943</v>
      </c>
      <c r="C519" s="1590"/>
      <c r="D519" s="1590" t="s">
        <v>564</v>
      </c>
      <c r="E519" s="1590"/>
      <c r="F519" s="1085"/>
      <c r="G519" s="1590">
        <v>45944</v>
      </c>
      <c r="H519" s="1590"/>
      <c r="I519" s="1590" t="s">
        <v>565</v>
      </c>
      <c r="J519" s="1590"/>
      <c r="K519" s="1085"/>
      <c r="L519" s="1590">
        <v>45945</v>
      </c>
      <c r="M519" s="1590"/>
      <c r="N519" s="1590" t="s">
        <v>566</v>
      </c>
      <c r="O519" s="1590"/>
      <c r="P519" s="1085"/>
      <c r="Q519" s="1590">
        <v>45946</v>
      </c>
      <c r="R519" s="1590"/>
      <c r="S519" s="1590" t="s">
        <v>567</v>
      </c>
      <c r="T519" s="1590"/>
      <c r="U519" s="1085"/>
      <c r="V519" s="1590">
        <v>45947</v>
      </c>
      <c r="W519" s="1590"/>
      <c r="X519" s="1590" t="s">
        <v>568</v>
      </c>
      <c r="Y519" s="1590"/>
      <c r="Z519" s="1587" t="s">
        <v>19</v>
      </c>
      <c r="AA519" s="1587" t="s">
        <v>20</v>
      </c>
      <c r="AB519" s="1037"/>
      <c r="AC519" s="1590">
        <v>45948</v>
      </c>
      <c r="AD519" s="1590"/>
      <c r="AE519" s="1086" t="s">
        <v>569</v>
      </c>
      <c r="AF519" s="1037"/>
      <c r="AG519" s="1590">
        <v>45949</v>
      </c>
      <c r="AH519" s="1590"/>
      <c r="AI519" s="1086" t="s">
        <v>570</v>
      </c>
      <c r="AJ519" s="1587" t="s">
        <v>1420</v>
      </c>
      <c r="AK519" s="1037"/>
      <c r="AL519" s="1137"/>
      <c r="AM519" s="1063"/>
      <c r="AN519" s="1138" t="s">
        <v>84</v>
      </c>
      <c r="AO519" s="1139"/>
      <c r="AP519" s="1139"/>
      <c r="AQ519" s="1139"/>
      <c r="AR519" s="1139"/>
      <c r="AS519" s="1139"/>
    </row>
    <row r="520" spans="1:45" s="1140" customFormat="1" ht="13.5" customHeight="1">
      <c r="A520" s="1591"/>
      <c r="B520" s="1088" t="s">
        <v>23</v>
      </c>
      <c r="C520" s="1088" t="s">
        <v>24</v>
      </c>
      <c r="D520" s="1047" t="s">
        <v>25</v>
      </c>
      <c r="E520" s="1089" t="s">
        <v>14</v>
      </c>
      <c r="F520" s="1037"/>
      <c r="G520" s="1088" t="s">
        <v>23</v>
      </c>
      <c r="H520" s="1088" t="s">
        <v>24</v>
      </c>
      <c r="I520" s="1089" t="s">
        <v>25</v>
      </c>
      <c r="J520" s="1089" t="s">
        <v>14</v>
      </c>
      <c r="K520" s="1037"/>
      <c r="L520" s="1088" t="s">
        <v>23</v>
      </c>
      <c r="M520" s="1088" t="s">
        <v>24</v>
      </c>
      <c r="N520" s="1089" t="s">
        <v>25</v>
      </c>
      <c r="O520" s="1089" t="s">
        <v>14</v>
      </c>
      <c r="P520" s="1037"/>
      <c r="Q520" s="1088" t="s">
        <v>23</v>
      </c>
      <c r="R520" s="1088" t="s">
        <v>24</v>
      </c>
      <c r="S520" s="1089" t="s">
        <v>25</v>
      </c>
      <c r="T520" s="1089" t="s">
        <v>14</v>
      </c>
      <c r="U520" s="1037"/>
      <c r="V520" s="1088" t="s">
        <v>23</v>
      </c>
      <c r="W520" s="1088" t="s">
        <v>24</v>
      </c>
      <c r="X520" s="1089" t="s">
        <v>25</v>
      </c>
      <c r="Y520" s="1089" t="s">
        <v>14</v>
      </c>
      <c r="Z520" s="1587"/>
      <c r="AA520" s="1587"/>
      <c r="AB520" s="1037"/>
      <c r="AC520" s="1088" t="s">
        <v>23</v>
      </c>
      <c r="AD520" s="1088" t="s">
        <v>24</v>
      </c>
      <c r="AE520" s="1089" t="s">
        <v>25</v>
      </c>
      <c r="AF520" s="1037"/>
      <c r="AG520" s="1088" t="s">
        <v>23</v>
      </c>
      <c r="AH520" s="1088" t="s">
        <v>24</v>
      </c>
      <c r="AI520" s="1089" t="s">
        <v>25</v>
      </c>
      <c r="AJ520" s="1587"/>
      <c r="AK520" s="1037"/>
      <c r="AL520" s="1137"/>
      <c r="AM520" s="1063"/>
      <c r="AN520" s="1141" t="s">
        <v>26</v>
      </c>
      <c r="AO520" s="1142">
        <v>536.5</v>
      </c>
      <c r="AP520" s="1143">
        <v>40.31</v>
      </c>
      <c r="AQ520" s="1143">
        <v>21626.315000000002</v>
      </c>
      <c r="AR520" s="1144"/>
      <c r="AS520" s="1144"/>
    </row>
    <row r="521" spans="1:45" s="1140" customFormat="1" ht="13.5" customHeight="1">
      <c r="A521" s="1034" t="s">
        <v>72</v>
      </c>
      <c r="B521" s="1034">
        <v>0.29166666666666669</v>
      </c>
      <c r="C521" s="1034">
        <v>0.125</v>
      </c>
      <c r="D521" s="1035">
        <v>8</v>
      </c>
      <c r="E521" s="1036"/>
      <c r="F521" s="1037"/>
      <c r="G521" s="1034">
        <v>0.29166666666666669</v>
      </c>
      <c r="H521" s="1034">
        <v>0.125</v>
      </c>
      <c r="I521" s="1035">
        <v>8</v>
      </c>
      <c r="J521" s="1036"/>
      <c r="K521" s="1037"/>
      <c r="L521" s="1034">
        <v>0.29166666666666669</v>
      </c>
      <c r="M521" s="1034">
        <v>0.125</v>
      </c>
      <c r="N521" s="1035">
        <v>8</v>
      </c>
      <c r="O521" s="1036"/>
      <c r="P521" s="1037"/>
      <c r="Q521" s="1034">
        <v>0.29166666666666669</v>
      </c>
      <c r="R521" s="1034">
        <v>0.125</v>
      </c>
      <c r="S521" s="1035">
        <v>8</v>
      </c>
      <c r="T521" s="1036"/>
      <c r="U521" s="1037"/>
      <c r="V521" s="1034">
        <v>0.29166666666666669</v>
      </c>
      <c r="W521" s="1034"/>
      <c r="X521" s="1035">
        <v>8</v>
      </c>
      <c r="Y521" s="1036"/>
      <c r="Z521" s="1038">
        <v>40</v>
      </c>
      <c r="AA521" s="1039">
        <v>0</v>
      </c>
      <c r="AB521" s="1037"/>
      <c r="AC521" s="1040"/>
      <c r="AD521" s="1040"/>
      <c r="AE521" s="1035"/>
      <c r="AF521" s="1037"/>
      <c r="AG521" s="1040"/>
      <c r="AH521" s="1040"/>
      <c r="AI521" s="1035"/>
      <c r="AJ521" s="1038">
        <v>0</v>
      </c>
      <c r="AK521" s="1037"/>
      <c r="AL521" s="1137"/>
      <c r="AM521" s="1063"/>
      <c r="AN521" s="1141" t="s">
        <v>1421</v>
      </c>
      <c r="AO521" s="1142">
        <v>192</v>
      </c>
      <c r="AP521" s="1143">
        <v>60.47</v>
      </c>
      <c r="AQ521" s="1143">
        <v>11610.24</v>
      </c>
      <c r="AR521" s="1144"/>
      <c r="AS521" s="1144"/>
    </row>
    <row r="522" spans="1:45" s="1140" customFormat="1" ht="13.5" customHeight="1">
      <c r="A522" s="1145" t="s">
        <v>1166</v>
      </c>
      <c r="B522" s="1034">
        <v>0.29166666666666669</v>
      </c>
      <c r="C522" s="1034">
        <v>0.125</v>
      </c>
      <c r="D522" s="1035">
        <v>8</v>
      </c>
      <c r="E522" s="1036"/>
      <c r="F522" s="1037"/>
      <c r="G522" s="1034">
        <v>0.29166666666666669</v>
      </c>
      <c r="H522" s="1034">
        <v>0.125</v>
      </c>
      <c r="I522" s="1035">
        <v>8</v>
      </c>
      <c r="J522" s="1036"/>
      <c r="K522" s="1037"/>
      <c r="L522" s="1034">
        <v>0.29166666666666669</v>
      </c>
      <c r="M522" s="1034">
        <v>0.125</v>
      </c>
      <c r="N522" s="1035">
        <v>8</v>
      </c>
      <c r="O522" s="1036"/>
      <c r="P522" s="1037"/>
      <c r="Q522" s="1034">
        <v>0.29166666666666669</v>
      </c>
      <c r="R522" s="1034">
        <v>0.14583333333333334</v>
      </c>
      <c r="S522" s="1035">
        <v>8</v>
      </c>
      <c r="T522" s="1036">
        <v>0.5</v>
      </c>
      <c r="U522" s="1037"/>
      <c r="V522" s="1034">
        <v>0.29166666666666669</v>
      </c>
      <c r="W522" s="1034">
        <v>0.52083333333333337</v>
      </c>
      <c r="X522" s="1035">
        <v>8</v>
      </c>
      <c r="Y522" s="1036"/>
      <c r="Z522" s="1038">
        <v>40</v>
      </c>
      <c r="AA522" s="1039">
        <v>0.5</v>
      </c>
      <c r="AB522" s="1037"/>
      <c r="AC522" s="1034"/>
      <c r="AD522" s="1034"/>
      <c r="AE522" s="1035"/>
      <c r="AF522" s="1037"/>
      <c r="AG522" s="1034"/>
      <c r="AH522" s="1034"/>
      <c r="AI522" s="1035"/>
      <c r="AJ522" s="1038">
        <v>0</v>
      </c>
      <c r="AK522" s="1037"/>
      <c r="AL522" s="1137"/>
      <c r="AM522" s="1063"/>
      <c r="AN522" s="1141" t="s">
        <v>30</v>
      </c>
      <c r="AO522" s="1142">
        <v>1</v>
      </c>
      <c r="AP522" s="1143">
        <v>60.465000000000003</v>
      </c>
      <c r="AQ522" s="1143">
        <v>60.465000000000003</v>
      </c>
      <c r="AR522" s="1144"/>
      <c r="AS522" s="1144"/>
    </row>
    <row r="523" spans="1:45" s="1140" customFormat="1" ht="13.5" customHeight="1">
      <c r="A523" s="1145" t="s">
        <v>1425</v>
      </c>
      <c r="B523" s="1132"/>
      <c r="C523" s="1132"/>
      <c r="D523" s="1035">
        <v>0</v>
      </c>
      <c r="E523" s="1036"/>
      <c r="F523" s="1037"/>
      <c r="G523" s="1034">
        <v>0.29166666666666669</v>
      </c>
      <c r="H523" s="1034">
        <v>0.125</v>
      </c>
      <c r="I523" s="1035">
        <v>8</v>
      </c>
      <c r="J523" s="1036"/>
      <c r="K523" s="1037"/>
      <c r="L523" s="1034">
        <v>0.29166666666666669</v>
      </c>
      <c r="M523" s="1034">
        <v>0.125</v>
      </c>
      <c r="N523" s="1035">
        <v>8</v>
      </c>
      <c r="O523" s="1036"/>
      <c r="P523" s="1037"/>
      <c r="Q523" s="1034">
        <v>0.29166666666666669</v>
      </c>
      <c r="R523" s="1034">
        <v>0.125</v>
      </c>
      <c r="S523" s="1035">
        <v>8</v>
      </c>
      <c r="T523" s="1036"/>
      <c r="U523" s="1037"/>
      <c r="V523" s="1034"/>
      <c r="W523" s="1034"/>
      <c r="X523" s="1035"/>
      <c r="Y523" s="1036"/>
      <c r="Z523" s="1038">
        <v>24</v>
      </c>
      <c r="AA523" s="1039">
        <v>0</v>
      </c>
      <c r="AB523" s="1037"/>
      <c r="AC523" s="1034"/>
      <c r="AD523" s="1034"/>
      <c r="AE523" s="1035"/>
      <c r="AF523" s="1037"/>
      <c r="AG523" s="1034"/>
      <c r="AH523" s="1034"/>
      <c r="AI523" s="1035"/>
      <c r="AJ523" s="1038">
        <v>0</v>
      </c>
      <c r="AK523" s="1037"/>
      <c r="AL523" s="1137"/>
      <c r="AM523" s="1063"/>
      <c r="AN523" s="1141" t="s">
        <v>32</v>
      </c>
      <c r="AO523" s="1142">
        <v>63.25</v>
      </c>
      <c r="AP523" s="1143">
        <v>60.465000000000003</v>
      </c>
      <c r="AQ523" s="1143">
        <v>3824.4112500000001</v>
      </c>
      <c r="AR523" s="1144"/>
      <c r="AS523" s="1144"/>
    </row>
    <row r="524" spans="1:45" s="1140" customFormat="1" ht="13.5" customHeight="1">
      <c r="A524" s="1145" t="s">
        <v>1426</v>
      </c>
      <c r="B524" s="1034">
        <v>0.29166666666666669</v>
      </c>
      <c r="C524" s="1034">
        <v>0.125</v>
      </c>
      <c r="D524" s="1035">
        <v>8</v>
      </c>
      <c r="E524" s="1036"/>
      <c r="F524" s="1037"/>
      <c r="G524" s="1034">
        <v>0.29166666666666669</v>
      </c>
      <c r="H524" s="1034">
        <v>0.125</v>
      </c>
      <c r="I524" s="1035">
        <v>8</v>
      </c>
      <c r="J524" s="1036"/>
      <c r="K524" s="1037"/>
      <c r="L524" s="1034">
        <v>0.29166666666666669</v>
      </c>
      <c r="M524" s="1034">
        <v>0.125</v>
      </c>
      <c r="N524" s="1035">
        <v>8</v>
      </c>
      <c r="O524" s="1036"/>
      <c r="P524" s="1037"/>
      <c r="Q524" s="1034">
        <v>0.29166666666666669</v>
      </c>
      <c r="R524" s="1034">
        <v>0.125</v>
      </c>
      <c r="S524" s="1035">
        <v>8</v>
      </c>
      <c r="T524" s="1036"/>
      <c r="U524" s="1037"/>
      <c r="V524" s="1034">
        <v>0.29166666666666669</v>
      </c>
      <c r="W524" s="1034">
        <v>0.125</v>
      </c>
      <c r="X524" s="1035">
        <v>8</v>
      </c>
      <c r="Y524" s="1036"/>
      <c r="Z524" s="1038">
        <v>40</v>
      </c>
      <c r="AA524" s="1039">
        <v>0</v>
      </c>
      <c r="AB524" s="1037"/>
      <c r="AC524" s="1034"/>
      <c r="AD524" s="1034"/>
      <c r="AE524" s="1035"/>
      <c r="AF524" s="1037"/>
      <c r="AG524" s="1034"/>
      <c r="AH524" s="1034"/>
      <c r="AI524" s="1035"/>
      <c r="AJ524" s="1038">
        <v>0</v>
      </c>
      <c r="AK524" s="1037"/>
      <c r="AL524" s="1137"/>
      <c r="AM524" s="1063"/>
      <c r="AN524" s="1141" t="s">
        <v>213</v>
      </c>
      <c r="AO524" s="1142">
        <v>20</v>
      </c>
      <c r="AP524" s="1143">
        <v>53.05</v>
      </c>
      <c r="AQ524" s="1143">
        <v>1061</v>
      </c>
      <c r="AR524" s="1144"/>
      <c r="AS524" s="1144"/>
    </row>
    <row r="525" spans="1:45" s="1140" customFormat="1" ht="13.5" customHeight="1">
      <c r="A525" s="1145" t="s">
        <v>1066</v>
      </c>
      <c r="B525" s="1034">
        <v>0.29166666666666669</v>
      </c>
      <c r="C525" s="1034">
        <v>0.125</v>
      </c>
      <c r="D525" s="1035">
        <v>8</v>
      </c>
      <c r="E525" s="1036"/>
      <c r="F525" s="1037"/>
      <c r="G525" s="1034">
        <v>0.29166666666666669</v>
      </c>
      <c r="H525" s="1034">
        <v>0.125</v>
      </c>
      <c r="I525" s="1035">
        <v>8</v>
      </c>
      <c r="J525" s="1036"/>
      <c r="K525" s="1037"/>
      <c r="L525" s="1034">
        <v>0.3125</v>
      </c>
      <c r="M525" s="1034">
        <v>0.125</v>
      </c>
      <c r="N525" s="1035">
        <v>7.5</v>
      </c>
      <c r="O525" s="1036"/>
      <c r="P525" s="1037"/>
      <c r="Q525" s="1034">
        <v>0.29166666666666669</v>
      </c>
      <c r="R525" s="1034">
        <v>0.125</v>
      </c>
      <c r="S525" s="1035">
        <v>8</v>
      </c>
      <c r="T525" s="1036"/>
      <c r="U525" s="1037"/>
      <c r="V525" s="1034">
        <v>0.29166666666666669</v>
      </c>
      <c r="W525" s="1034">
        <v>0.125</v>
      </c>
      <c r="X525" s="1035">
        <v>8</v>
      </c>
      <c r="Y525" s="1036"/>
      <c r="Z525" s="1038">
        <v>39.5</v>
      </c>
      <c r="AA525" s="1039">
        <v>0</v>
      </c>
      <c r="AB525" s="1037"/>
      <c r="AC525" s="1034"/>
      <c r="AD525" s="1034"/>
      <c r="AE525" s="1035"/>
      <c r="AF525" s="1037"/>
      <c r="AG525" s="1034"/>
      <c r="AH525" s="1034"/>
      <c r="AI525" s="1035"/>
      <c r="AJ525" s="1038">
        <v>0</v>
      </c>
      <c r="AK525" s="1037"/>
      <c r="AL525" s="1137"/>
      <c r="AM525" s="1063"/>
      <c r="AN525" s="1141" t="s">
        <v>36</v>
      </c>
      <c r="AO525" s="1142">
        <v>0</v>
      </c>
      <c r="AP525" s="1143">
        <v>79.574999999999989</v>
      </c>
      <c r="AQ525" s="1143">
        <v>0</v>
      </c>
      <c r="AR525" s="1144"/>
      <c r="AS525" s="1144"/>
    </row>
    <row r="526" spans="1:45" s="1140" customFormat="1" ht="13.5" customHeight="1">
      <c r="A526" s="1145" t="s">
        <v>1427</v>
      </c>
      <c r="B526" s="1034">
        <v>0.29166666666666669</v>
      </c>
      <c r="C526" s="1034">
        <v>0.13541666666666666</v>
      </c>
      <c r="D526" s="1035">
        <v>8</v>
      </c>
      <c r="E526" s="1036">
        <v>0.25</v>
      </c>
      <c r="F526" s="1037"/>
      <c r="G526" s="1132"/>
      <c r="H526" s="1132"/>
      <c r="I526" s="1035">
        <v>0</v>
      </c>
      <c r="J526" s="1036"/>
      <c r="K526" s="1037"/>
      <c r="L526" s="1034">
        <v>0.29166666666666669</v>
      </c>
      <c r="M526" s="1034">
        <v>0.125</v>
      </c>
      <c r="N526" s="1035">
        <v>8</v>
      </c>
      <c r="O526" s="1036"/>
      <c r="P526" s="1037"/>
      <c r="Q526" s="1034">
        <v>0.29166666666666669</v>
      </c>
      <c r="R526" s="1034">
        <v>0.125</v>
      </c>
      <c r="S526" s="1035">
        <v>8</v>
      </c>
      <c r="T526" s="1036"/>
      <c r="U526" s="1037"/>
      <c r="V526" s="1034">
        <v>0.29166666666666669</v>
      </c>
      <c r="W526" s="1034">
        <v>0.52083333333333337</v>
      </c>
      <c r="X526" s="1035">
        <v>8</v>
      </c>
      <c r="Y526" s="1036"/>
      <c r="Z526" s="1038">
        <v>32</v>
      </c>
      <c r="AA526" s="1039">
        <v>0.25</v>
      </c>
      <c r="AB526" s="1037"/>
      <c r="AC526" s="1034"/>
      <c r="AD526" s="1034"/>
      <c r="AE526" s="1035"/>
      <c r="AF526" s="1037"/>
      <c r="AG526" s="1034">
        <v>0.32291666666666669</v>
      </c>
      <c r="AH526" s="1034">
        <v>0.45833333333333331</v>
      </c>
      <c r="AI526" s="1035">
        <v>3.25</v>
      </c>
      <c r="AJ526" s="1038">
        <v>3.25</v>
      </c>
      <c r="AK526" s="1037"/>
      <c r="AL526" s="1137"/>
      <c r="AM526" s="1063"/>
      <c r="AN526" s="1141" t="s">
        <v>38</v>
      </c>
      <c r="AO526" s="1142">
        <v>18</v>
      </c>
      <c r="AP526" s="1143">
        <v>79.574999999999989</v>
      </c>
      <c r="AQ526" s="1143">
        <v>1432.35</v>
      </c>
      <c r="AR526" s="1144"/>
      <c r="AS526" s="1144"/>
    </row>
    <row r="527" spans="1:45" s="1140" customFormat="1" ht="13.5" customHeight="1">
      <c r="A527" s="1145" t="s">
        <v>1428</v>
      </c>
      <c r="B527" s="1034">
        <v>0.125</v>
      </c>
      <c r="C527" s="1034">
        <v>0.1875</v>
      </c>
      <c r="D527" s="1035">
        <v>8</v>
      </c>
      <c r="E527" s="1036"/>
      <c r="F527" s="1037"/>
      <c r="G527" s="1034">
        <v>0.125</v>
      </c>
      <c r="H527" s="1034">
        <v>0.45833333333333331</v>
      </c>
      <c r="I527" s="1035">
        <v>8</v>
      </c>
      <c r="J527" s="1036"/>
      <c r="K527" s="1037"/>
      <c r="L527" s="1034">
        <v>0.125</v>
      </c>
      <c r="M527" s="1034">
        <v>0.45833333333333331</v>
      </c>
      <c r="N527" s="1035">
        <v>8</v>
      </c>
      <c r="O527" s="1036"/>
      <c r="P527" s="1037"/>
      <c r="Q527" s="1034">
        <v>0.125</v>
      </c>
      <c r="R527" s="1034">
        <v>0.45833333333333331</v>
      </c>
      <c r="S527" s="1035">
        <v>8</v>
      </c>
      <c r="T527" s="1036"/>
      <c r="U527" s="1037"/>
      <c r="V527" s="1132"/>
      <c r="W527" s="1132"/>
      <c r="X527" s="1035">
        <v>8</v>
      </c>
      <c r="Y527" s="1036"/>
      <c r="Z527" s="1038">
        <v>40</v>
      </c>
      <c r="AA527" s="1039">
        <v>0</v>
      </c>
      <c r="AB527" s="1037"/>
      <c r="AC527" s="1034"/>
      <c r="AD527" s="1034"/>
      <c r="AE527" s="1035"/>
      <c r="AF527" s="1037"/>
      <c r="AG527" s="1034"/>
      <c r="AH527" s="1034"/>
      <c r="AI527" s="1035"/>
      <c r="AJ527" s="1038">
        <v>0</v>
      </c>
      <c r="AK527" s="1037"/>
      <c r="AL527" s="1137"/>
      <c r="AM527" s="1063"/>
      <c r="AN527" s="1144"/>
      <c r="AO527" s="1142"/>
      <c r="AP527" s="1144"/>
      <c r="AQ527" s="1143">
        <v>39614.781249999993</v>
      </c>
      <c r="AR527" s="1144"/>
      <c r="AS527" s="1144"/>
    </row>
    <row r="528" spans="1:45" s="1140" customFormat="1" ht="13.5" customHeight="1">
      <c r="A528" s="1145" t="s">
        <v>1142</v>
      </c>
      <c r="B528" s="1034">
        <v>0.125</v>
      </c>
      <c r="C528" s="1034">
        <v>0.45833333333333331</v>
      </c>
      <c r="D528" s="1035">
        <v>8</v>
      </c>
      <c r="E528" s="1036"/>
      <c r="F528" s="1037"/>
      <c r="G528" s="1034">
        <v>0.125</v>
      </c>
      <c r="H528" s="1034">
        <v>0.45833333333333331</v>
      </c>
      <c r="I528" s="1035">
        <v>8</v>
      </c>
      <c r="J528" s="1036"/>
      <c r="K528" s="1042"/>
      <c r="L528" s="1132"/>
      <c r="M528" s="1132"/>
      <c r="N528" s="1035">
        <v>8</v>
      </c>
      <c r="O528" s="1036"/>
      <c r="P528" s="1042"/>
      <c r="Q528" s="1034">
        <v>0.125</v>
      </c>
      <c r="R528" s="1034">
        <v>0.45833333333333331</v>
      </c>
      <c r="S528" s="1035">
        <v>8</v>
      </c>
      <c r="T528" s="1036"/>
      <c r="U528" s="1042"/>
      <c r="V528" s="1132"/>
      <c r="W528" s="1132"/>
      <c r="X528" s="1035">
        <v>8</v>
      </c>
      <c r="Y528" s="1036"/>
      <c r="Z528" s="1038">
        <v>40</v>
      </c>
      <c r="AA528" s="1039">
        <v>0</v>
      </c>
      <c r="AB528" s="1037"/>
      <c r="AC528" s="1034"/>
      <c r="AD528" s="1034"/>
      <c r="AE528" s="1035"/>
      <c r="AF528" s="1037"/>
      <c r="AG528" s="1034"/>
      <c r="AH528" s="1034"/>
      <c r="AI528" s="1035"/>
      <c r="AJ528" s="1038">
        <v>0</v>
      </c>
      <c r="AK528" s="1037"/>
      <c r="AL528" s="1137"/>
      <c r="AM528" s="1063"/>
      <c r="AN528" s="1144"/>
      <c r="AO528" s="1142"/>
      <c r="AP528" s="1144"/>
      <c r="AQ528" s="1144"/>
      <c r="AR528" s="1144"/>
      <c r="AS528" s="1144"/>
    </row>
    <row r="529" spans="1:45" s="1140" customFormat="1" ht="13.5" customHeight="1">
      <c r="A529" s="1145" t="s">
        <v>1429</v>
      </c>
      <c r="B529" s="1034">
        <v>0.125</v>
      </c>
      <c r="C529" s="1034">
        <v>0.45833333333333331</v>
      </c>
      <c r="D529" s="1035">
        <v>8</v>
      </c>
      <c r="E529" s="1036"/>
      <c r="F529" s="1037"/>
      <c r="G529" s="1034">
        <v>0.125</v>
      </c>
      <c r="H529" s="1034">
        <v>0.45833333333333331</v>
      </c>
      <c r="I529" s="1035">
        <v>8</v>
      </c>
      <c r="J529" s="1036"/>
      <c r="K529" s="1042"/>
      <c r="L529" s="1034">
        <v>0.125</v>
      </c>
      <c r="M529" s="1034">
        <v>0.45833333333333331</v>
      </c>
      <c r="N529" s="1035">
        <v>8</v>
      </c>
      <c r="O529" s="1036"/>
      <c r="P529" s="1042"/>
      <c r="Q529" s="1034">
        <v>0.125</v>
      </c>
      <c r="R529" s="1034">
        <v>0.45833333333333331</v>
      </c>
      <c r="S529" s="1035">
        <v>8</v>
      </c>
      <c r="T529" s="1036"/>
      <c r="U529" s="1042"/>
      <c r="V529" s="1132"/>
      <c r="W529" s="1132"/>
      <c r="X529" s="1035">
        <v>8</v>
      </c>
      <c r="Y529" s="1036"/>
      <c r="Z529" s="1038">
        <v>40</v>
      </c>
      <c r="AA529" s="1039">
        <v>0</v>
      </c>
      <c r="AB529" s="1037"/>
      <c r="AC529" s="1034"/>
      <c r="AD529" s="1034"/>
      <c r="AE529" s="1035"/>
      <c r="AF529" s="1037"/>
      <c r="AG529" s="1034"/>
      <c r="AH529" s="1034"/>
      <c r="AI529" s="1035"/>
      <c r="AJ529" s="1038">
        <v>0</v>
      </c>
      <c r="AK529" s="1037"/>
      <c r="AL529" s="1137"/>
      <c r="AM529" s="1063"/>
      <c r="AN529" s="1146" t="s">
        <v>1115</v>
      </c>
      <c r="AO529" s="1142">
        <v>88</v>
      </c>
      <c r="AP529" s="1144"/>
      <c r="AQ529" s="1144"/>
      <c r="AR529" s="1144"/>
      <c r="AS529" s="1144"/>
    </row>
    <row r="530" spans="1:45" s="1140" customFormat="1" ht="13.5" customHeight="1">
      <c r="A530" s="1145" t="s">
        <v>1060</v>
      </c>
      <c r="B530" s="1034">
        <v>0.125</v>
      </c>
      <c r="C530" s="1034">
        <v>0.45833333333333331</v>
      </c>
      <c r="D530" s="1035">
        <v>8</v>
      </c>
      <c r="E530" s="1036"/>
      <c r="F530" s="1037"/>
      <c r="G530" s="1034">
        <v>0.125</v>
      </c>
      <c r="H530" s="1034">
        <v>0.45833333333333331</v>
      </c>
      <c r="I530" s="1035">
        <v>8</v>
      </c>
      <c r="J530" s="1036"/>
      <c r="K530" s="1042"/>
      <c r="L530" s="1034">
        <v>0.125</v>
      </c>
      <c r="M530" s="1034">
        <v>0.45833333333333331</v>
      </c>
      <c r="N530" s="1035">
        <v>8</v>
      </c>
      <c r="O530" s="1036"/>
      <c r="P530" s="1042"/>
      <c r="Q530" s="1034">
        <v>0.125</v>
      </c>
      <c r="R530" s="1034">
        <v>0.45833333333333331</v>
      </c>
      <c r="S530" s="1035">
        <v>8</v>
      </c>
      <c r="T530" s="1036"/>
      <c r="U530" s="1042"/>
      <c r="V530" s="1132"/>
      <c r="W530" s="1132"/>
      <c r="X530" s="1035">
        <v>8</v>
      </c>
      <c r="Y530" s="1036"/>
      <c r="Z530" s="1038">
        <v>40</v>
      </c>
      <c r="AA530" s="1039">
        <v>0</v>
      </c>
      <c r="AB530" s="1037"/>
      <c r="AC530" s="1034"/>
      <c r="AD530" s="1034"/>
      <c r="AE530" s="1035"/>
      <c r="AF530" s="1037"/>
      <c r="AG530" s="1034"/>
      <c r="AH530" s="1034"/>
      <c r="AI530" s="1035"/>
      <c r="AJ530" s="1038">
        <v>0</v>
      </c>
      <c r="AK530" s="1037"/>
      <c r="AL530" s="1137"/>
      <c r="AM530" s="1063"/>
      <c r="AN530" s="1144"/>
      <c r="AO530" s="1144"/>
      <c r="AP530" s="1144"/>
      <c r="AQ530" s="1144"/>
      <c r="AR530" s="1144"/>
      <c r="AS530" s="1144"/>
    </row>
    <row r="531" spans="1:45" s="1140" customFormat="1" ht="13.5" customHeight="1">
      <c r="A531" s="1037" t="s">
        <v>327</v>
      </c>
      <c r="B531" s="1034">
        <v>0.125</v>
      </c>
      <c r="C531" s="1034">
        <v>0.46875</v>
      </c>
      <c r="D531" s="1035">
        <v>8</v>
      </c>
      <c r="E531" s="1036">
        <v>0.25</v>
      </c>
      <c r="F531" s="1042"/>
      <c r="G531" s="1034">
        <v>0.125</v>
      </c>
      <c r="H531" s="1034">
        <v>0.45833333333333331</v>
      </c>
      <c r="I531" s="1035">
        <v>8</v>
      </c>
      <c r="J531" s="1036"/>
      <c r="K531" s="1042"/>
      <c r="L531" s="1034">
        <v>0.125</v>
      </c>
      <c r="M531" s="1034">
        <v>0.45833333333333331</v>
      </c>
      <c r="N531" s="1035">
        <v>8</v>
      </c>
      <c r="O531" s="1036"/>
      <c r="P531" s="1042"/>
      <c r="Q531" s="1034">
        <v>0.125</v>
      </c>
      <c r="R531" s="1034">
        <v>0.45833333333333331</v>
      </c>
      <c r="S531" s="1035">
        <v>8</v>
      </c>
      <c r="T531" s="1036"/>
      <c r="U531" s="1042"/>
      <c r="V531" s="1132"/>
      <c r="W531" s="1132"/>
      <c r="X531" s="1035">
        <v>8</v>
      </c>
      <c r="Y531" s="1036"/>
      <c r="Z531" s="1038">
        <v>40</v>
      </c>
      <c r="AA531" s="1039">
        <v>0.25</v>
      </c>
      <c r="AB531" s="1037"/>
      <c r="AC531" s="1034"/>
      <c r="AD531" s="1034"/>
      <c r="AE531" s="1035"/>
      <c r="AF531" s="1037"/>
      <c r="AG531" s="1034"/>
      <c r="AH531" s="1034"/>
      <c r="AI531" s="1035"/>
      <c r="AJ531" s="1038">
        <v>0</v>
      </c>
      <c r="AK531" s="1037"/>
      <c r="AL531" s="1137"/>
      <c r="AM531" s="1063"/>
      <c r="AN531" s="1144"/>
      <c r="AO531" s="1144"/>
      <c r="AP531" s="1144"/>
      <c r="AQ531" s="1144"/>
      <c r="AR531" s="1144"/>
      <c r="AS531" s="1144"/>
    </row>
    <row r="532" spans="1:45" s="1140" customFormat="1" ht="13.5" customHeight="1">
      <c r="A532" s="1034" t="s">
        <v>1144</v>
      </c>
      <c r="B532" s="1034">
        <v>0.125</v>
      </c>
      <c r="C532" s="1034">
        <v>0.45833333333333331</v>
      </c>
      <c r="D532" s="1035">
        <v>8</v>
      </c>
      <c r="E532" s="1036"/>
      <c r="F532" s="1042"/>
      <c r="G532" s="1034">
        <v>0.125</v>
      </c>
      <c r="H532" s="1034">
        <v>0.45833333333333331</v>
      </c>
      <c r="I532" s="1035">
        <v>8</v>
      </c>
      <c r="J532" s="1036"/>
      <c r="K532" s="1042"/>
      <c r="L532" s="1034">
        <v>0.125</v>
      </c>
      <c r="M532" s="1034">
        <v>0.45833333333333331</v>
      </c>
      <c r="N532" s="1035">
        <v>8</v>
      </c>
      <c r="O532" s="1036"/>
      <c r="P532" s="1042"/>
      <c r="Q532" s="1034">
        <v>0.125</v>
      </c>
      <c r="R532" s="1034">
        <v>0.45833333333333331</v>
      </c>
      <c r="S532" s="1035">
        <v>8</v>
      </c>
      <c r="T532" s="1036"/>
      <c r="U532" s="1042"/>
      <c r="V532" s="1132"/>
      <c r="W532" s="1132"/>
      <c r="X532" s="1035">
        <v>8</v>
      </c>
      <c r="Y532" s="1036"/>
      <c r="Z532" s="1038">
        <v>40</v>
      </c>
      <c r="AA532" s="1039">
        <v>0</v>
      </c>
      <c r="AB532" s="1037"/>
      <c r="AC532" s="1034"/>
      <c r="AD532" s="1034"/>
      <c r="AE532" s="1035"/>
      <c r="AF532" s="1037"/>
      <c r="AG532" s="1034"/>
      <c r="AH532" s="1034"/>
      <c r="AI532" s="1035"/>
      <c r="AJ532" s="1038">
        <v>0</v>
      </c>
      <c r="AK532" s="1037"/>
      <c r="AL532" s="1137"/>
      <c r="AM532" s="1063"/>
      <c r="AN532" s="1144"/>
      <c r="AO532" s="1144"/>
      <c r="AP532" s="1144"/>
      <c r="AQ532" s="1144"/>
      <c r="AR532" s="1144"/>
      <c r="AS532" s="1144"/>
    </row>
    <row r="533" spans="1:45" s="1140" customFormat="1" ht="13.5" customHeight="1">
      <c r="A533" s="1034" t="s">
        <v>1436</v>
      </c>
      <c r="B533" s="1034">
        <v>0.125</v>
      </c>
      <c r="C533" s="1034">
        <v>0.45833333333333331</v>
      </c>
      <c r="D533" s="1035">
        <v>8</v>
      </c>
      <c r="E533" s="1036"/>
      <c r="F533" s="1042"/>
      <c r="G533" s="1034">
        <v>0.125</v>
      </c>
      <c r="H533" s="1034">
        <v>0.45833333333333331</v>
      </c>
      <c r="I533" s="1035">
        <v>8</v>
      </c>
      <c r="J533" s="1036"/>
      <c r="K533" s="1042"/>
      <c r="L533" s="1034">
        <v>0.125</v>
      </c>
      <c r="M533" s="1034">
        <v>0.45833333333333331</v>
      </c>
      <c r="N533" s="1035">
        <v>8</v>
      </c>
      <c r="O533" s="1036"/>
      <c r="P533" s="1042"/>
      <c r="Q533" s="1034">
        <v>0.125</v>
      </c>
      <c r="R533" s="1034">
        <v>0.45833333333333331</v>
      </c>
      <c r="S533" s="1035">
        <v>8</v>
      </c>
      <c r="T533" s="1036"/>
      <c r="U533" s="1042"/>
      <c r="V533" s="1132"/>
      <c r="W533" s="1132"/>
      <c r="X533" s="1035">
        <v>8</v>
      </c>
      <c r="Y533" s="1036"/>
      <c r="Z533" s="1038">
        <v>40</v>
      </c>
      <c r="AA533" s="1039">
        <v>0</v>
      </c>
      <c r="AB533" s="1037"/>
      <c r="AC533" s="1034"/>
      <c r="AD533" s="1034"/>
      <c r="AE533" s="1035"/>
      <c r="AF533" s="1037"/>
      <c r="AG533" s="1034"/>
      <c r="AH533" s="1034"/>
      <c r="AI533" s="1035"/>
      <c r="AJ533" s="1038">
        <v>0</v>
      </c>
      <c r="AK533" s="1037"/>
      <c r="AL533" s="1137"/>
      <c r="AM533" s="1063"/>
      <c r="AN533" s="1144"/>
      <c r="AO533" s="1144"/>
      <c r="AP533" s="1144"/>
      <c r="AQ533" s="1144"/>
      <c r="AR533" s="1144"/>
      <c r="AS533" s="1144"/>
    </row>
    <row r="534" spans="1:45" s="1140" customFormat="1" ht="13.5" customHeight="1">
      <c r="A534" s="1145" t="s">
        <v>1423</v>
      </c>
      <c r="B534" s="1034">
        <v>0.29166666666666669</v>
      </c>
      <c r="C534" s="1034">
        <v>0.125</v>
      </c>
      <c r="D534" s="1035">
        <v>8</v>
      </c>
      <c r="E534" s="1036"/>
      <c r="F534" s="1042"/>
      <c r="G534" s="1034"/>
      <c r="H534" s="1034"/>
      <c r="I534" s="1035"/>
      <c r="J534" s="1036"/>
      <c r="K534" s="1042"/>
      <c r="L534" s="1034"/>
      <c r="M534" s="1034"/>
      <c r="N534" s="1035"/>
      <c r="O534" s="1036"/>
      <c r="P534" s="1042"/>
      <c r="Q534" s="1034"/>
      <c r="R534" s="1034"/>
      <c r="S534" s="1035"/>
      <c r="T534" s="1036"/>
      <c r="U534" s="1042"/>
      <c r="V534" s="1034"/>
      <c r="W534" s="1034"/>
      <c r="X534" s="1035"/>
      <c r="Y534" s="1036"/>
      <c r="Z534" s="1038">
        <v>8</v>
      </c>
      <c r="AA534" s="1039">
        <v>0</v>
      </c>
      <c r="AB534" s="1037"/>
      <c r="AC534" s="1034"/>
      <c r="AD534" s="1034"/>
      <c r="AE534" s="1035"/>
      <c r="AF534" s="1037"/>
      <c r="AG534" s="1034"/>
      <c r="AH534" s="1034"/>
      <c r="AI534" s="1035"/>
      <c r="AJ534" s="1038">
        <v>0</v>
      </c>
      <c r="AK534" s="1037"/>
      <c r="AL534" s="1137"/>
      <c r="AM534" s="1063"/>
      <c r="AN534" s="1144"/>
      <c r="AO534" s="1144"/>
      <c r="AP534" s="1144"/>
      <c r="AQ534" s="1144"/>
      <c r="AR534" s="1144"/>
      <c r="AS534" s="1144"/>
    </row>
    <row r="535" spans="1:45" s="1140" customFormat="1" ht="13.5" customHeight="1">
      <c r="A535" s="1145" t="s">
        <v>1064</v>
      </c>
      <c r="B535" s="1034"/>
      <c r="C535" s="1034"/>
      <c r="D535" s="1035"/>
      <c r="E535" s="1036"/>
      <c r="F535" s="1042"/>
      <c r="G535" s="1034"/>
      <c r="H535" s="1034"/>
      <c r="I535" s="1035"/>
      <c r="J535" s="1036"/>
      <c r="K535" s="1042"/>
      <c r="L535" s="1034"/>
      <c r="M535" s="1034"/>
      <c r="N535" s="1035"/>
      <c r="O535" s="1036"/>
      <c r="P535" s="1042"/>
      <c r="Q535" s="1034"/>
      <c r="R535" s="1034"/>
      <c r="S535" s="1035"/>
      <c r="T535" s="1036"/>
      <c r="U535" s="1042"/>
      <c r="V535" s="1034"/>
      <c r="W535" s="1034"/>
      <c r="X535" s="1035"/>
      <c r="Y535" s="1036"/>
      <c r="Z535" s="1038">
        <v>0</v>
      </c>
      <c r="AA535" s="1039">
        <v>0</v>
      </c>
      <c r="AB535" s="1037"/>
      <c r="AC535" s="1034">
        <v>0.3125</v>
      </c>
      <c r="AD535" s="1034">
        <v>0.20833333333333334</v>
      </c>
      <c r="AE535" s="1035">
        <v>8.5</v>
      </c>
      <c r="AF535" s="1037"/>
      <c r="AG535" s="1034">
        <v>0.3125</v>
      </c>
      <c r="AH535" s="1034">
        <v>0.1875</v>
      </c>
      <c r="AI535" s="1035">
        <v>8</v>
      </c>
      <c r="AJ535" s="1038">
        <v>16.5</v>
      </c>
      <c r="AK535" s="1037"/>
      <c r="AL535" s="1137"/>
      <c r="AM535" s="1063"/>
      <c r="AN535" s="1144"/>
      <c r="AO535" s="1144"/>
      <c r="AP535" s="1144"/>
      <c r="AQ535" s="1144"/>
      <c r="AR535" s="1144"/>
      <c r="AS535" s="1144"/>
    </row>
    <row r="536" spans="1:45" s="1140" customFormat="1" ht="13.5" customHeight="1">
      <c r="A536" s="1145" t="s">
        <v>101</v>
      </c>
      <c r="B536" s="1034"/>
      <c r="C536" s="1034"/>
      <c r="D536" s="1035"/>
      <c r="E536" s="1036"/>
      <c r="F536" s="1042"/>
      <c r="G536" s="1034"/>
      <c r="H536" s="1034"/>
      <c r="I536" s="1035"/>
      <c r="J536" s="1036"/>
      <c r="K536" s="1042"/>
      <c r="L536" s="1034"/>
      <c r="M536" s="1034"/>
      <c r="N536" s="1035"/>
      <c r="O536" s="1036"/>
      <c r="P536" s="1042"/>
      <c r="Q536" s="1034"/>
      <c r="R536" s="1034"/>
      <c r="S536" s="1035"/>
      <c r="T536" s="1036"/>
      <c r="U536" s="1042"/>
      <c r="V536" s="1034"/>
      <c r="W536" s="1034"/>
      <c r="X536" s="1035"/>
      <c r="Y536" s="1036"/>
      <c r="Z536" s="1038">
        <v>0</v>
      </c>
      <c r="AA536" s="1039">
        <v>0</v>
      </c>
      <c r="AB536" s="1037"/>
      <c r="AC536" s="1034">
        <v>0.3125</v>
      </c>
      <c r="AD536" s="1034">
        <v>0.20833333333333334</v>
      </c>
      <c r="AE536" s="1035">
        <v>8.5</v>
      </c>
      <c r="AF536" s="1037"/>
      <c r="AG536" s="1034"/>
      <c r="AH536" s="1034"/>
      <c r="AI536" s="1035"/>
      <c r="AJ536" s="1038">
        <v>8.5</v>
      </c>
      <c r="AK536" s="1037"/>
      <c r="AL536" s="1137"/>
      <c r="AM536" s="1063"/>
      <c r="AN536" s="1144"/>
      <c r="AO536" s="1144"/>
      <c r="AP536" s="1144"/>
      <c r="AQ536" s="1144"/>
      <c r="AR536" s="1144"/>
      <c r="AS536" s="1144"/>
    </row>
    <row r="537" spans="1:45" s="1140" customFormat="1" ht="13.5" customHeight="1">
      <c r="A537" s="1145" t="s">
        <v>1431</v>
      </c>
      <c r="B537" s="1034"/>
      <c r="C537" s="1034"/>
      <c r="D537" s="1035">
        <v>1</v>
      </c>
      <c r="E537" s="1036"/>
      <c r="F537" s="1042"/>
      <c r="G537" s="1034"/>
      <c r="H537" s="1034"/>
      <c r="I537" s="1035">
        <v>1</v>
      </c>
      <c r="J537" s="1036"/>
      <c r="K537" s="1042"/>
      <c r="L537" s="1034"/>
      <c r="M537" s="1034"/>
      <c r="N537" s="1035">
        <v>1</v>
      </c>
      <c r="O537" s="1036"/>
      <c r="P537" s="1042"/>
      <c r="Q537" s="1034"/>
      <c r="R537" s="1034"/>
      <c r="S537" s="1035">
        <v>1</v>
      </c>
      <c r="T537" s="1036"/>
      <c r="U537" s="1042"/>
      <c r="V537" s="1034"/>
      <c r="W537" s="1034"/>
      <c r="X537" s="1035">
        <v>1</v>
      </c>
      <c r="Y537" s="1036"/>
      <c r="Z537" s="1038">
        <v>5</v>
      </c>
      <c r="AA537" s="1039">
        <v>0</v>
      </c>
      <c r="AB537" s="1037"/>
      <c r="AC537" s="1034"/>
      <c r="AD537" s="1034"/>
      <c r="AE537" s="1035"/>
      <c r="AF537" s="1037"/>
      <c r="AG537" s="1034"/>
      <c r="AH537" s="1034"/>
      <c r="AI537" s="1035"/>
      <c r="AJ537" s="1038">
        <v>0</v>
      </c>
      <c r="AK537" s="1037"/>
      <c r="AL537" s="1137"/>
      <c r="AM537" s="1063"/>
      <c r="AN537" s="1144"/>
      <c r="AO537" s="1144"/>
      <c r="AP537" s="1144"/>
      <c r="AQ537" s="1144"/>
      <c r="AR537" s="1144"/>
      <c r="AS537" s="1144"/>
    </row>
    <row r="538" spans="1:45" s="1140" customFormat="1" ht="13.5" customHeight="1">
      <c r="A538" s="1145" t="s">
        <v>813</v>
      </c>
      <c r="B538" s="1034"/>
      <c r="C538" s="1034"/>
      <c r="D538" s="1035">
        <v>2</v>
      </c>
      <c r="E538" s="1036"/>
      <c r="F538" s="1042"/>
      <c r="G538" s="1034"/>
      <c r="H538" s="1034"/>
      <c r="I538" s="1035">
        <v>2</v>
      </c>
      <c r="J538" s="1036"/>
      <c r="K538" s="1042"/>
      <c r="L538" s="1034"/>
      <c r="M538" s="1034"/>
      <c r="N538" s="1035">
        <v>2</v>
      </c>
      <c r="O538" s="1036"/>
      <c r="P538" s="1042"/>
      <c r="Q538" s="1034"/>
      <c r="R538" s="1034"/>
      <c r="S538" s="1035">
        <v>2</v>
      </c>
      <c r="T538" s="1036"/>
      <c r="U538" s="1042"/>
      <c r="V538" s="1034"/>
      <c r="W538" s="1034"/>
      <c r="X538" s="1035">
        <v>2</v>
      </c>
      <c r="Y538" s="1036"/>
      <c r="Z538" s="1038">
        <v>10</v>
      </c>
      <c r="AA538" s="1039">
        <v>0</v>
      </c>
      <c r="AB538" s="1037"/>
      <c r="AC538" s="1034"/>
      <c r="AD538" s="1034"/>
      <c r="AE538" s="1035"/>
      <c r="AF538" s="1037"/>
      <c r="AG538" s="1034"/>
      <c r="AH538" s="1034"/>
      <c r="AI538" s="1035"/>
      <c r="AJ538" s="1038">
        <v>0</v>
      </c>
      <c r="AK538" s="1037"/>
      <c r="AL538" s="1137"/>
      <c r="AM538" s="1063"/>
      <c r="AN538" s="1144"/>
      <c r="AO538" s="1144"/>
      <c r="AP538" s="1144"/>
      <c r="AQ538" s="1144"/>
      <c r="AR538" s="1144"/>
      <c r="AS538" s="1144"/>
    </row>
    <row r="539" spans="1:45" s="1140" customFormat="1" ht="13.5" customHeight="1">
      <c r="A539" s="1145" t="s">
        <v>88</v>
      </c>
      <c r="B539" s="1034"/>
      <c r="C539" s="1034"/>
      <c r="D539" s="1035">
        <v>2</v>
      </c>
      <c r="E539" s="1036"/>
      <c r="F539" s="1042"/>
      <c r="G539" s="1034"/>
      <c r="H539" s="1034"/>
      <c r="I539" s="1035">
        <v>2</v>
      </c>
      <c r="J539" s="1036"/>
      <c r="K539" s="1042"/>
      <c r="L539" s="1034"/>
      <c r="M539" s="1034"/>
      <c r="N539" s="1035">
        <v>2</v>
      </c>
      <c r="O539" s="1036"/>
      <c r="P539" s="1042"/>
      <c r="Q539" s="1034"/>
      <c r="R539" s="1034"/>
      <c r="S539" s="1035">
        <v>2</v>
      </c>
      <c r="T539" s="1036"/>
      <c r="U539" s="1042"/>
      <c r="V539" s="1034"/>
      <c r="W539" s="1034"/>
      <c r="X539" s="1035">
        <v>2</v>
      </c>
      <c r="Y539" s="1036"/>
      <c r="Z539" s="1038">
        <v>10</v>
      </c>
      <c r="AA539" s="1039">
        <v>0</v>
      </c>
      <c r="AB539" s="1037"/>
      <c r="AC539" s="1034"/>
      <c r="AD539" s="1034"/>
      <c r="AE539" s="1035"/>
      <c r="AF539" s="1037"/>
      <c r="AG539" s="1034"/>
      <c r="AH539" s="1034"/>
      <c r="AI539" s="1035"/>
      <c r="AJ539" s="1038">
        <v>0</v>
      </c>
      <c r="AK539" s="1037"/>
      <c r="AL539" s="1137"/>
      <c r="AM539" s="1063"/>
      <c r="AN539" s="1144"/>
      <c r="AO539" s="1144"/>
      <c r="AP539" s="1144"/>
      <c r="AQ539" s="1144"/>
      <c r="AR539" s="1144"/>
      <c r="AS539" s="1144"/>
    </row>
    <row r="540" spans="1:45" s="1140" customFormat="1" ht="13.5" customHeight="1">
      <c r="A540" s="1145" t="s">
        <v>1140</v>
      </c>
      <c r="B540" s="1034"/>
      <c r="C540" s="1034"/>
      <c r="D540" s="1035"/>
      <c r="E540" s="1036"/>
      <c r="F540" s="1042"/>
      <c r="G540" s="1034"/>
      <c r="H540" s="1034"/>
      <c r="I540" s="1035"/>
      <c r="J540" s="1036"/>
      <c r="K540" s="1042"/>
      <c r="L540" s="1034"/>
      <c r="M540" s="1034"/>
      <c r="N540" s="1035"/>
      <c r="O540" s="1036"/>
      <c r="P540" s="1042"/>
      <c r="Q540" s="1034"/>
      <c r="R540" s="1034"/>
      <c r="S540" s="1035"/>
      <c r="T540" s="1036"/>
      <c r="U540" s="1042"/>
      <c r="V540" s="1034"/>
      <c r="W540" s="1034"/>
      <c r="X540" s="1035"/>
      <c r="Y540" s="1036"/>
      <c r="Z540" s="1038">
        <v>0</v>
      </c>
      <c r="AA540" s="1039">
        <v>0</v>
      </c>
      <c r="AB540" s="1037"/>
      <c r="AC540" s="1034"/>
      <c r="AD540" s="1034"/>
      <c r="AE540" s="1035"/>
      <c r="AF540" s="1037"/>
      <c r="AG540" s="1034">
        <v>0.3125</v>
      </c>
      <c r="AH540" s="1034">
        <v>0.1875</v>
      </c>
      <c r="AI540" s="1035">
        <v>8</v>
      </c>
      <c r="AJ540" s="1038">
        <v>8</v>
      </c>
      <c r="AK540" s="1037"/>
      <c r="AL540" s="1137"/>
      <c r="AM540" s="1063"/>
      <c r="AN540" s="1144"/>
      <c r="AO540" s="1144"/>
      <c r="AP540" s="1144"/>
      <c r="AQ540" s="1144"/>
      <c r="AR540" s="1144"/>
      <c r="AS540" s="1144"/>
    </row>
    <row r="541" spans="1:45" s="1140" customFormat="1" ht="13.5" customHeight="1">
      <c r="A541" s="1145" t="s">
        <v>241</v>
      </c>
      <c r="B541" s="1034"/>
      <c r="C541" s="1034"/>
      <c r="D541" s="1035"/>
      <c r="E541" s="1036"/>
      <c r="F541" s="1042"/>
      <c r="G541" s="1034"/>
      <c r="H541" s="1034"/>
      <c r="I541" s="1035"/>
      <c r="J541" s="1036"/>
      <c r="K541" s="1042"/>
      <c r="L541" s="1034"/>
      <c r="M541" s="1034"/>
      <c r="N541" s="1035"/>
      <c r="O541" s="1036"/>
      <c r="P541" s="1042"/>
      <c r="Q541" s="1034"/>
      <c r="R541" s="1034"/>
      <c r="S541" s="1035"/>
      <c r="T541" s="1036"/>
      <c r="U541" s="1042"/>
      <c r="V541" s="1034"/>
      <c r="W541" s="1034"/>
      <c r="X541" s="1035"/>
      <c r="Y541" s="1036"/>
      <c r="Z541" s="1038">
        <v>0</v>
      </c>
      <c r="AA541" s="1039">
        <v>0</v>
      </c>
      <c r="AB541" s="1037"/>
      <c r="AC541" s="1034">
        <v>0.36458333333333331</v>
      </c>
      <c r="AD541" s="1034">
        <v>0.1875</v>
      </c>
      <c r="AE541" s="1035">
        <v>7</v>
      </c>
      <c r="AF541" s="1037"/>
      <c r="AG541" s="1034">
        <v>0.3125</v>
      </c>
      <c r="AH541" s="1034">
        <v>0.1875</v>
      </c>
      <c r="AI541" s="1035">
        <v>8</v>
      </c>
      <c r="AJ541" s="1038">
        <v>15</v>
      </c>
      <c r="AK541" s="1037"/>
      <c r="AL541" s="1137"/>
      <c r="AM541" s="1063"/>
      <c r="AN541" s="1144"/>
      <c r="AO541" s="1144"/>
      <c r="AP541" s="1144"/>
      <c r="AQ541" s="1144"/>
      <c r="AR541" s="1144"/>
      <c r="AS541" s="1144"/>
    </row>
    <row r="542" spans="1:45" s="1140" customFormat="1" ht="13.5" customHeight="1">
      <c r="A542" s="1145" t="s">
        <v>1141</v>
      </c>
      <c r="B542" s="1034"/>
      <c r="C542" s="1034"/>
      <c r="D542" s="1035"/>
      <c r="E542" s="1036"/>
      <c r="F542" s="1042"/>
      <c r="G542" s="1034">
        <v>0.29166666666666669</v>
      </c>
      <c r="H542" s="1034"/>
      <c r="I542" s="1035">
        <v>8</v>
      </c>
      <c r="J542" s="1036"/>
      <c r="K542" s="1042"/>
      <c r="L542" s="1034"/>
      <c r="M542" s="1034"/>
      <c r="N542" s="1035"/>
      <c r="O542" s="1036"/>
      <c r="P542" s="1042"/>
      <c r="Q542" s="1034"/>
      <c r="R542" s="1034"/>
      <c r="S542" s="1035"/>
      <c r="T542" s="1036"/>
      <c r="U542" s="1042"/>
      <c r="V542" s="1034"/>
      <c r="W542" s="1034"/>
      <c r="X542" s="1035"/>
      <c r="Y542" s="1036"/>
      <c r="Z542" s="1038">
        <v>8</v>
      </c>
      <c r="AA542" s="1039">
        <v>0</v>
      </c>
      <c r="AB542" s="1037"/>
      <c r="AC542" s="1034">
        <v>0.3125</v>
      </c>
      <c r="AD542" s="1034">
        <v>0.1875</v>
      </c>
      <c r="AE542" s="1035">
        <v>8</v>
      </c>
      <c r="AF542" s="1037"/>
      <c r="AG542" s="1034"/>
      <c r="AH542" s="1034"/>
      <c r="AI542" s="1035">
        <v>4</v>
      </c>
      <c r="AJ542" s="1038">
        <v>12</v>
      </c>
      <c r="AK542" s="1037"/>
      <c r="AL542" s="1137"/>
      <c r="AM542" s="1063"/>
      <c r="AN542" s="1144"/>
      <c r="AO542" s="1144"/>
      <c r="AP542" s="1144"/>
      <c r="AQ542" s="1144"/>
      <c r="AR542" s="1144"/>
      <c r="AS542" s="1144"/>
    </row>
    <row r="543" spans="1:45" s="1140" customFormat="1" ht="13.5" customHeight="1">
      <c r="A543" s="1147" t="s">
        <v>1438</v>
      </c>
      <c r="B543" s="1132"/>
      <c r="C543" s="1132"/>
      <c r="D543" s="1050">
        <v>8</v>
      </c>
      <c r="E543" s="1050"/>
      <c r="F543" s="1050"/>
      <c r="G543" s="1049">
        <v>0.45833333333333331</v>
      </c>
      <c r="H543" s="1049">
        <v>7.2916666666666671E-2</v>
      </c>
      <c r="I543" s="1050">
        <v>8</v>
      </c>
      <c r="J543" s="1050"/>
      <c r="K543" s="1050"/>
      <c r="L543" s="1049">
        <v>0.45833333333333331</v>
      </c>
      <c r="M543" s="1049">
        <v>7.2916666666666671E-2</v>
      </c>
      <c r="N543" s="1050">
        <v>8</v>
      </c>
      <c r="O543" s="1050"/>
      <c r="P543" s="1050"/>
      <c r="Q543" s="1132"/>
      <c r="R543" s="1132"/>
      <c r="S543" s="1050">
        <v>8</v>
      </c>
      <c r="T543" s="1050"/>
      <c r="U543" s="1050"/>
      <c r="V543" s="1132"/>
      <c r="W543" s="1132"/>
      <c r="X543" s="1050">
        <v>8</v>
      </c>
      <c r="Y543" s="1050"/>
      <c r="Z543" s="1051">
        <v>40</v>
      </c>
      <c r="AA543" s="1039">
        <v>0</v>
      </c>
      <c r="AB543" s="1037"/>
      <c r="AC543" s="1034"/>
      <c r="AD543" s="1034"/>
      <c r="AE543" s="1035"/>
      <c r="AF543" s="1037"/>
      <c r="AG543" s="1034"/>
      <c r="AH543" s="1034"/>
      <c r="AI543" s="1035"/>
      <c r="AJ543" s="1038">
        <v>0</v>
      </c>
      <c r="AK543" s="1037"/>
      <c r="AL543" s="1137"/>
      <c r="AM543" s="1063"/>
      <c r="AN543" s="1144"/>
      <c r="AO543" s="1144"/>
      <c r="AP543" s="1144"/>
      <c r="AQ543" s="1144"/>
      <c r="AR543" s="1144"/>
      <c r="AS543" s="1144"/>
    </row>
    <row r="544" spans="1:45" s="1140" customFormat="1" ht="13.5" customHeight="1">
      <c r="A544" s="1147" t="s">
        <v>1439</v>
      </c>
      <c r="B544" s="1132"/>
      <c r="C544" s="1132"/>
      <c r="D544" s="1050">
        <v>8</v>
      </c>
      <c r="E544" s="1050"/>
      <c r="F544" s="1050"/>
      <c r="G544" s="1049">
        <v>0.45833333333333331</v>
      </c>
      <c r="H544" s="1049">
        <v>0.16666666666666666</v>
      </c>
      <c r="I544" s="1050">
        <v>8</v>
      </c>
      <c r="J544" s="1050"/>
      <c r="K544" s="1050"/>
      <c r="L544" s="1049">
        <v>0.45833333333333331</v>
      </c>
      <c r="M544" s="1049">
        <v>0.29166666666666669</v>
      </c>
      <c r="N544" s="1050">
        <v>8</v>
      </c>
      <c r="O544" s="1050"/>
      <c r="P544" s="1050"/>
      <c r="Q544" s="1049">
        <v>0.45833333333333331</v>
      </c>
      <c r="R544" s="1049">
        <v>0.16666666666666666</v>
      </c>
      <c r="S544" s="1050">
        <v>8</v>
      </c>
      <c r="T544" s="1050"/>
      <c r="U544" s="1050"/>
      <c r="V544" s="1132"/>
      <c r="W544" s="1132"/>
      <c r="X544" s="1050">
        <v>8</v>
      </c>
      <c r="Y544" s="1050"/>
      <c r="Z544" s="1051">
        <v>40</v>
      </c>
      <c r="AA544" s="1039">
        <v>0</v>
      </c>
      <c r="AB544" s="1037"/>
      <c r="AC544" s="1034"/>
      <c r="AD544" s="1034"/>
      <c r="AE544" s="1035"/>
      <c r="AF544" s="1037"/>
      <c r="AG544" s="1034"/>
      <c r="AH544" s="1034"/>
      <c r="AI544" s="1035"/>
      <c r="AJ544" s="1038">
        <v>0</v>
      </c>
      <c r="AK544" s="1037"/>
      <c r="AL544" s="1137"/>
      <c r="AM544" s="1063"/>
      <c r="AN544" s="1144"/>
      <c r="AO544" s="1144"/>
      <c r="AP544" s="1144"/>
      <c r="AQ544" s="1144"/>
      <c r="AR544" s="1144"/>
      <c r="AS544" s="1144"/>
    </row>
    <row r="545" spans="1:45" s="1140" customFormat="1" ht="13.5" customHeight="1">
      <c r="A545" s="1147" t="s">
        <v>1433</v>
      </c>
      <c r="B545" s="1049">
        <v>0.45833333333333331</v>
      </c>
      <c r="C545" s="1049">
        <v>0.29166666666666669</v>
      </c>
      <c r="D545" s="1050">
        <v>8</v>
      </c>
      <c r="E545" s="1050"/>
      <c r="F545" s="1050"/>
      <c r="G545" s="1049">
        <v>0.45833333333333331</v>
      </c>
      <c r="H545" s="1049">
        <v>0.29166666666666669</v>
      </c>
      <c r="I545" s="1050">
        <v>8</v>
      </c>
      <c r="J545" s="1050"/>
      <c r="K545" s="1050"/>
      <c r="L545" s="1049">
        <v>0.45833333333333331</v>
      </c>
      <c r="M545" s="1049">
        <v>0.29166666666666669</v>
      </c>
      <c r="N545" s="1050">
        <v>8</v>
      </c>
      <c r="O545" s="1050"/>
      <c r="P545" s="1050"/>
      <c r="Q545" s="1049">
        <v>0.45833333333333331</v>
      </c>
      <c r="R545" s="1049">
        <v>0.29166666666666669</v>
      </c>
      <c r="S545" s="1050">
        <v>8</v>
      </c>
      <c r="T545" s="1050"/>
      <c r="U545" s="1050"/>
      <c r="V545" s="1132"/>
      <c r="W545" s="1132"/>
      <c r="X545" s="1050">
        <v>8</v>
      </c>
      <c r="Y545" s="1050"/>
      <c r="Z545" s="1051">
        <v>40</v>
      </c>
      <c r="AA545" s="1039">
        <v>0</v>
      </c>
      <c r="AB545" s="1037"/>
      <c r="AC545" s="1034"/>
      <c r="AD545" s="1034"/>
      <c r="AE545" s="1035"/>
      <c r="AF545" s="1037"/>
      <c r="AG545" s="1034"/>
      <c r="AH545" s="1034"/>
      <c r="AI545" s="1035"/>
      <c r="AJ545" s="1038">
        <v>0</v>
      </c>
      <c r="AK545" s="1037"/>
      <c r="AL545" s="1137"/>
      <c r="AM545" s="1063"/>
      <c r="AN545" s="1144"/>
      <c r="AO545" s="1144"/>
      <c r="AP545" s="1144"/>
      <c r="AQ545" s="1144"/>
      <c r="AR545" s="1144"/>
      <c r="AS545" s="1144"/>
    </row>
    <row r="546" spans="1:45" s="1140" customFormat="1" ht="13.5" customHeight="1">
      <c r="A546" s="1147" t="s">
        <v>1440</v>
      </c>
      <c r="B546" s="1049">
        <v>0.45833333333333331</v>
      </c>
      <c r="C546" s="1162">
        <v>0.29166666666666669</v>
      </c>
      <c r="D546" s="1050">
        <v>8</v>
      </c>
      <c r="E546" s="1050"/>
      <c r="F546" s="1050"/>
      <c r="G546" s="1049">
        <v>0.45833333333333331</v>
      </c>
      <c r="H546" s="1049">
        <v>0.29166666666666669</v>
      </c>
      <c r="I546" s="1050">
        <v>8</v>
      </c>
      <c r="J546" s="1050"/>
      <c r="K546" s="1050"/>
      <c r="L546" s="1049">
        <v>0.45833333333333331</v>
      </c>
      <c r="M546" s="1162">
        <v>0.29166666666666669</v>
      </c>
      <c r="N546" s="1050">
        <v>8</v>
      </c>
      <c r="O546" s="1050"/>
      <c r="P546" s="1050"/>
      <c r="Q546" s="1049">
        <v>0.45833333333333331</v>
      </c>
      <c r="R546" s="1162">
        <v>0.29166666666666669</v>
      </c>
      <c r="S546" s="1050">
        <v>8</v>
      </c>
      <c r="T546" s="1050"/>
      <c r="U546" s="1050"/>
      <c r="V546" s="1132"/>
      <c r="W546" s="1132"/>
      <c r="X546" s="1050">
        <v>8</v>
      </c>
      <c r="Y546" s="1050"/>
      <c r="Z546" s="1051">
        <v>40</v>
      </c>
      <c r="AA546" s="1039">
        <v>0</v>
      </c>
      <c r="AB546" s="1037"/>
      <c r="AC546" s="1034"/>
      <c r="AD546" s="1034"/>
      <c r="AE546" s="1035"/>
      <c r="AF546" s="1037"/>
      <c r="AG546" s="1034"/>
      <c r="AH546" s="1034"/>
      <c r="AI546" s="1035"/>
      <c r="AJ546" s="1038">
        <v>0</v>
      </c>
      <c r="AK546" s="1037"/>
      <c r="AL546" s="1137"/>
      <c r="AM546" s="1063"/>
      <c r="AN546" s="1144"/>
      <c r="AO546" s="1144"/>
      <c r="AP546" s="1144"/>
      <c r="AQ546" s="1144"/>
      <c r="AR546" s="1144"/>
      <c r="AS546" s="1144"/>
    </row>
    <row r="547" spans="1:45" s="1140" customFormat="1" ht="13.5" customHeight="1">
      <c r="A547" s="1147" t="s">
        <v>1437</v>
      </c>
      <c r="B547" s="1049">
        <v>0.29166666666666669</v>
      </c>
      <c r="C547" s="1162">
        <v>0.125</v>
      </c>
      <c r="D547" s="1050">
        <v>8</v>
      </c>
      <c r="E547" s="1050"/>
      <c r="F547" s="1050"/>
      <c r="G547" s="1049">
        <v>0.29166666666666669</v>
      </c>
      <c r="H547" s="1049">
        <v>0.125</v>
      </c>
      <c r="I547" s="1050">
        <v>8</v>
      </c>
      <c r="J547" s="1050"/>
      <c r="K547" s="1050"/>
      <c r="L547" s="1049">
        <v>0.29166666666666669</v>
      </c>
      <c r="M547" s="1049">
        <v>0.125</v>
      </c>
      <c r="N547" s="1050">
        <v>8</v>
      </c>
      <c r="O547" s="1050"/>
      <c r="P547" s="1050"/>
      <c r="Q547" s="1049">
        <v>0.29166666666666669</v>
      </c>
      <c r="R547" s="1049">
        <v>0.125</v>
      </c>
      <c r="S547" s="1050">
        <v>8</v>
      </c>
      <c r="T547" s="1050"/>
      <c r="U547" s="1050"/>
      <c r="V547" s="1049">
        <v>0.29166666666666669</v>
      </c>
      <c r="W547" s="1049"/>
      <c r="X547" s="1050"/>
      <c r="Y547" s="1050"/>
      <c r="Z547" s="1051">
        <v>32</v>
      </c>
      <c r="AA547" s="1039">
        <v>0</v>
      </c>
      <c r="AB547" s="1037"/>
      <c r="AC547" s="1034"/>
      <c r="AD547" s="1034"/>
      <c r="AE547" s="1035"/>
      <c r="AF547" s="1037"/>
      <c r="AG547" s="1034"/>
      <c r="AH547" s="1034"/>
      <c r="AI547" s="1035"/>
      <c r="AJ547" s="1038">
        <v>0</v>
      </c>
      <c r="AK547" s="1037"/>
      <c r="AL547" s="1137"/>
      <c r="AM547" s="1063"/>
      <c r="AN547" s="1144"/>
      <c r="AO547" s="1144"/>
      <c r="AP547" s="1144"/>
      <c r="AQ547" s="1144"/>
      <c r="AR547" s="1144"/>
      <c r="AS547" s="1144"/>
    </row>
    <row r="548" spans="1:45" s="1140" customFormat="1" ht="13.5" customHeight="1">
      <c r="A548" s="1147" t="s">
        <v>1445</v>
      </c>
      <c r="B548" s="1049">
        <v>0.45833333333333331</v>
      </c>
      <c r="C548" s="1162">
        <v>0.29166666666666669</v>
      </c>
      <c r="D548" s="1050">
        <v>8</v>
      </c>
      <c r="E548" s="1050"/>
      <c r="F548" s="1050"/>
      <c r="G548" s="1049">
        <v>0.45833333333333331</v>
      </c>
      <c r="H548" s="1162">
        <v>0.29166666666666669</v>
      </c>
      <c r="I548" s="1050">
        <v>8</v>
      </c>
      <c r="J548" s="1050"/>
      <c r="K548" s="1050"/>
      <c r="L548" s="1049">
        <v>0.45833333333333331</v>
      </c>
      <c r="M548" s="1162">
        <v>0.16666666666666666</v>
      </c>
      <c r="N548" s="1050">
        <v>8</v>
      </c>
      <c r="O548" s="1050"/>
      <c r="P548" s="1050"/>
      <c r="Q548" s="1049">
        <v>0.45833333333333331</v>
      </c>
      <c r="R548" s="1162">
        <v>0.29166666666666669</v>
      </c>
      <c r="S548" s="1050">
        <v>8</v>
      </c>
      <c r="T548" s="1050"/>
      <c r="U548" s="1050"/>
      <c r="V548" s="1132"/>
      <c r="W548" s="1132"/>
      <c r="X548" s="1050">
        <v>8</v>
      </c>
      <c r="Y548" s="1050"/>
      <c r="Z548" s="1051">
        <v>40</v>
      </c>
      <c r="AA548" s="1039">
        <v>0</v>
      </c>
      <c r="AB548" s="1037"/>
      <c r="AC548" s="1034"/>
      <c r="AD548" s="1034"/>
      <c r="AE548" s="1035"/>
      <c r="AF548" s="1037"/>
      <c r="AG548" s="1034"/>
      <c r="AH548" s="1034"/>
      <c r="AI548" s="1035"/>
      <c r="AJ548" s="1038">
        <v>0</v>
      </c>
      <c r="AK548" s="1037"/>
      <c r="AL548" s="1137"/>
      <c r="AM548" s="1063"/>
      <c r="AN548" s="1144"/>
      <c r="AO548" s="1144"/>
      <c r="AP548" s="1144"/>
      <c r="AQ548" s="1144"/>
      <c r="AR548" s="1144"/>
      <c r="AS548" s="1144"/>
    </row>
    <row r="549" spans="1:45" s="1140" customFormat="1" ht="13.5" customHeight="1">
      <c r="A549" s="1044" t="s">
        <v>61</v>
      </c>
      <c r="B549" s="1044"/>
      <c r="C549" s="1044"/>
      <c r="D549" s="1045">
        <v>109</v>
      </c>
      <c r="E549" s="1036"/>
      <c r="F549" s="1044"/>
      <c r="G549" s="1044"/>
      <c r="H549" s="1044"/>
      <c r="I549" s="1045">
        <v>109</v>
      </c>
      <c r="J549" s="1036"/>
      <c r="K549" s="1044"/>
      <c r="L549" s="1044"/>
      <c r="M549" s="1044"/>
      <c r="N549" s="1045">
        <v>124.5</v>
      </c>
      <c r="O549" s="1036"/>
      <c r="P549" s="1044"/>
      <c r="Q549" s="1044"/>
      <c r="R549" s="1044"/>
      <c r="S549" s="1045">
        <v>109</v>
      </c>
      <c r="T549" s="1036"/>
      <c r="U549" s="1044"/>
      <c r="V549" s="1044"/>
      <c r="W549" s="1044"/>
      <c r="X549" s="1045">
        <v>101</v>
      </c>
      <c r="Y549" s="1036"/>
      <c r="Z549" s="1038">
        <v>536.5</v>
      </c>
      <c r="AA549" s="1038">
        <v>1</v>
      </c>
      <c r="AB549" s="1037"/>
      <c r="AC549" s="1044"/>
      <c r="AD549" s="1044"/>
      <c r="AE549" s="1038">
        <v>32</v>
      </c>
      <c r="AF549" s="1037"/>
      <c r="AG549" s="1044"/>
      <c r="AH549" s="1044"/>
      <c r="AI549" s="1038">
        <v>31.25</v>
      </c>
      <c r="AJ549" s="1038">
        <v>63.25</v>
      </c>
      <c r="AK549" s="1037"/>
      <c r="AL549" s="1137"/>
      <c r="AM549" s="1063"/>
      <c r="AN549" s="1144"/>
      <c r="AO549" s="1144"/>
      <c r="AP549" s="1144"/>
      <c r="AQ549" s="1144"/>
      <c r="AR549" s="1144"/>
      <c r="AS549" s="1144"/>
    </row>
    <row r="550" spans="1:45" s="1140" customFormat="1" ht="13.5" customHeight="1">
      <c r="A550" s="1044" t="s">
        <v>1434</v>
      </c>
      <c r="B550" s="1044"/>
      <c r="C550" s="1044"/>
      <c r="D550" s="1045">
        <v>48</v>
      </c>
      <c r="E550" s="1036"/>
      <c r="F550" s="1044"/>
      <c r="G550" s="1044"/>
      <c r="H550" s="1044"/>
      <c r="I550" s="1045">
        <v>48</v>
      </c>
      <c r="J550" s="1036"/>
      <c r="K550" s="1044"/>
      <c r="L550" s="1044"/>
      <c r="M550" s="1044"/>
      <c r="N550" s="1045">
        <v>48</v>
      </c>
      <c r="O550" s="1036"/>
      <c r="P550" s="1044"/>
      <c r="Q550" s="1044"/>
      <c r="R550" s="1044"/>
      <c r="S550" s="1045">
        <v>48</v>
      </c>
      <c r="T550" s="1036"/>
      <c r="U550" s="1044"/>
      <c r="V550" s="1044"/>
      <c r="W550" s="1044"/>
      <c r="X550" s="1045">
        <v>40</v>
      </c>
      <c r="Y550" s="1036"/>
      <c r="Z550" s="1038">
        <v>192</v>
      </c>
      <c r="AA550" s="1038">
        <v>0</v>
      </c>
      <c r="AB550" s="1037"/>
      <c r="AC550" s="1044"/>
      <c r="AD550" s="1044"/>
      <c r="AE550" s="1038"/>
      <c r="AF550" s="1037"/>
      <c r="AG550" s="1044"/>
      <c r="AH550" s="1044"/>
      <c r="AI550" s="1038"/>
      <c r="AJ550" s="1038"/>
      <c r="AK550" s="1037"/>
      <c r="AL550" s="1137"/>
      <c r="AM550" s="1063"/>
      <c r="AN550" s="1144"/>
      <c r="AO550" s="1144"/>
      <c r="AP550" s="1144"/>
      <c r="AQ550" s="1144"/>
      <c r="AR550" s="1144"/>
      <c r="AS550" s="1144"/>
    </row>
    <row r="551" spans="1:45" s="1140" customFormat="1" ht="13.5" customHeight="1">
      <c r="A551" s="1148" t="s">
        <v>64</v>
      </c>
      <c r="B551" s="1034"/>
      <c r="C551" s="1034"/>
      <c r="D551" s="1035">
        <v>4</v>
      </c>
      <c r="E551" s="1035"/>
      <c r="F551" s="1046"/>
      <c r="G551" s="1034"/>
      <c r="H551" s="1034"/>
      <c r="I551" s="1035">
        <v>4</v>
      </c>
      <c r="J551" s="1035"/>
      <c r="K551" s="1042"/>
      <c r="L551" s="1034"/>
      <c r="M551" s="1034"/>
      <c r="N551" s="1035">
        <v>4</v>
      </c>
      <c r="O551" s="1035"/>
      <c r="P551" s="1042"/>
      <c r="Q551" s="1034"/>
      <c r="R551" s="1034"/>
      <c r="S551" s="1035">
        <v>4</v>
      </c>
      <c r="T551" s="1035"/>
      <c r="U551" s="1042"/>
      <c r="V551" s="1034"/>
      <c r="W551" s="1034"/>
      <c r="X551" s="1035">
        <v>4</v>
      </c>
      <c r="Y551" s="1035"/>
      <c r="Z551" s="1038">
        <v>20</v>
      </c>
      <c r="AA551" s="1047">
        <v>0</v>
      </c>
      <c r="AB551" s="1037"/>
      <c r="AC551" s="1034"/>
      <c r="AD551" s="1034"/>
      <c r="AE551" s="1035">
        <v>9</v>
      </c>
      <c r="AF551" s="1037"/>
      <c r="AG551" s="1034"/>
      <c r="AH551" s="1034"/>
      <c r="AI551" s="1035">
        <v>9</v>
      </c>
      <c r="AJ551" s="1038">
        <v>18</v>
      </c>
      <c r="AK551" s="1037"/>
      <c r="AL551" s="1137"/>
      <c r="AM551" s="1063"/>
      <c r="AN551" s="1144"/>
      <c r="AO551" s="1144"/>
      <c r="AP551" s="1144"/>
      <c r="AQ551" s="1144"/>
      <c r="AR551" s="1144"/>
      <c r="AS551" s="1144"/>
    </row>
    <row r="552" spans="1:45" s="1140" customFormat="1" ht="13.5" customHeight="1">
      <c r="A552" s="1046" t="s">
        <v>66</v>
      </c>
      <c r="B552" s="1062"/>
      <c r="C552" s="1062"/>
      <c r="D552" s="1046"/>
      <c r="E552" s="1046"/>
      <c r="F552" s="1046"/>
      <c r="G552" s="1046"/>
      <c r="H552" s="1046"/>
      <c r="I552" s="1046"/>
      <c r="J552" s="1046"/>
      <c r="K552" s="1046"/>
      <c r="L552" s="1046"/>
      <c r="M552" s="1046"/>
      <c r="N552" s="1046"/>
      <c r="O552" s="1046"/>
      <c r="P552" s="1046"/>
      <c r="Q552" s="1046"/>
      <c r="R552" s="1046"/>
      <c r="S552" s="1046"/>
      <c r="T552" s="1046"/>
      <c r="U552" s="1046"/>
      <c r="V552" s="1046"/>
      <c r="W552" s="1046"/>
      <c r="X552" s="1046"/>
      <c r="Y552" s="1046"/>
      <c r="Z552" s="1038">
        <v>20</v>
      </c>
      <c r="AA552" s="1038">
        <v>0</v>
      </c>
      <c r="AB552" s="1037"/>
      <c r="AC552" s="1063"/>
      <c r="AD552" s="1063"/>
      <c r="AE552" s="1063"/>
      <c r="AF552" s="1037"/>
      <c r="AG552" s="1063"/>
      <c r="AH552" s="1063"/>
      <c r="AI552" s="1063"/>
      <c r="AJ552" s="1038">
        <v>18</v>
      </c>
      <c r="AK552" s="1037"/>
      <c r="AL552" s="1137"/>
      <c r="AM552" s="1063"/>
      <c r="AN552" s="1149"/>
      <c r="AO552" s="1144"/>
      <c r="AP552" s="1144"/>
      <c r="AQ552" s="1144"/>
      <c r="AR552" s="1144"/>
      <c r="AS552" s="1144"/>
    </row>
    <row r="553" spans="1:45" s="1140" customFormat="1" ht="13.5" customHeight="1">
      <c r="A553" s="1150" t="s">
        <v>67</v>
      </c>
      <c r="B553" s="1151">
        <v>88</v>
      </c>
      <c r="C553" s="1151"/>
      <c r="D553" s="1152"/>
      <c r="E553" s="1152"/>
      <c r="F553" s="1151"/>
      <c r="G553" s="1152"/>
      <c r="H553" s="1152"/>
      <c r="I553" s="1152"/>
      <c r="J553" s="1152"/>
      <c r="K553" s="1151"/>
      <c r="L553" s="1151"/>
      <c r="M553" s="1151"/>
      <c r="N553" s="1151"/>
      <c r="O553" s="1152"/>
      <c r="P553" s="1151"/>
      <c r="Q553" s="1151"/>
      <c r="R553" s="1151"/>
      <c r="S553" s="1151"/>
      <c r="T553" s="1152"/>
      <c r="U553" s="1151"/>
      <c r="V553" s="1151"/>
      <c r="W553" s="1151"/>
      <c r="X553" s="1153"/>
      <c r="Y553" s="1152"/>
      <c r="Z553" s="1154"/>
      <c r="AA553" s="1152"/>
      <c r="AB553" s="1154"/>
      <c r="AC553" s="1154"/>
      <c r="AD553" s="1154"/>
      <c r="AE553" s="1154"/>
      <c r="AF553" s="1154"/>
      <c r="AG553" s="1154"/>
      <c r="AH553" s="1154"/>
      <c r="AI553" s="1154"/>
      <c r="AJ553" s="1154"/>
      <c r="AK553" s="1037"/>
      <c r="AL553" s="1137"/>
      <c r="AM553" s="1063"/>
      <c r="AN553" s="1149"/>
      <c r="AO553" s="1144"/>
      <c r="AP553" s="1144"/>
      <c r="AQ553" s="1144"/>
      <c r="AR553" s="1144"/>
      <c r="AS553" s="1144"/>
    </row>
    <row r="554" spans="1:45" s="1140" customFormat="1" ht="13.5" customHeight="1">
      <c r="A554" s="1063"/>
      <c r="B554" s="1063"/>
      <c r="C554" s="1063"/>
      <c r="D554" s="1037"/>
      <c r="E554" s="1037"/>
      <c r="F554" s="1037"/>
      <c r="G554" s="1063"/>
      <c r="H554" s="1063"/>
      <c r="I554" s="1037"/>
      <c r="J554" s="1037"/>
      <c r="K554" s="1037"/>
      <c r="L554" s="1063"/>
      <c r="M554" s="1063"/>
      <c r="N554" s="1037"/>
      <c r="O554" s="1037"/>
      <c r="P554" s="1037"/>
      <c r="Q554" s="1063"/>
      <c r="R554" s="1063"/>
      <c r="S554" s="1037"/>
      <c r="T554" s="1037"/>
      <c r="U554" s="1037"/>
      <c r="V554" s="1063"/>
      <c r="W554" s="1063"/>
      <c r="X554" s="1037"/>
      <c r="Y554" s="1037"/>
      <c r="Z554" s="1037"/>
      <c r="AA554" s="1037"/>
      <c r="AB554" s="1037"/>
      <c r="AC554" s="1063"/>
      <c r="AD554" s="1063"/>
      <c r="AE554" s="1063"/>
      <c r="AF554" s="1037"/>
      <c r="AG554" s="1063"/>
      <c r="AH554" s="1063"/>
      <c r="AI554" s="1063"/>
      <c r="AJ554" s="1063"/>
      <c r="AK554" s="1037"/>
      <c r="AL554" s="1137"/>
      <c r="AM554" s="1063"/>
      <c r="AN554" s="1144"/>
      <c r="AO554" s="1144"/>
      <c r="AP554" s="1144"/>
      <c r="AQ554" s="1144"/>
      <c r="AR554" s="1144"/>
      <c r="AS554" s="1144"/>
    </row>
    <row r="555" spans="1:45" s="1140" customFormat="1" ht="13.5" customHeight="1">
      <c r="A555" s="1155"/>
      <c r="B555" s="1156"/>
      <c r="C555" s="1156"/>
      <c r="D555" s="1157"/>
      <c r="E555" s="1157"/>
      <c r="F555" s="1156"/>
      <c r="G555" s="1157"/>
      <c r="H555" s="1157"/>
      <c r="I555" s="1157"/>
      <c r="J555" s="1157"/>
      <c r="K555" s="1156"/>
      <c r="L555" s="1156"/>
      <c r="M555" s="1156"/>
      <c r="N555" s="1156"/>
      <c r="O555" s="1157"/>
      <c r="P555" s="1156"/>
      <c r="Q555" s="1156"/>
      <c r="R555" s="1156"/>
      <c r="S555" s="1156"/>
      <c r="T555" s="1157"/>
      <c r="U555" s="1156"/>
      <c r="V555" s="1156"/>
      <c r="W555" s="1156"/>
      <c r="X555" s="1158"/>
      <c r="Y555" s="1157"/>
      <c r="Z555" s="1159"/>
      <c r="AA555" s="1157"/>
      <c r="AB555" s="1160"/>
      <c r="AC555" s="1161"/>
      <c r="AD555" s="1137"/>
      <c r="AE555" s="1137"/>
      <c r="AF555" s="1160"/>
      <c r="AG555" s="1161"/>
      <c r="AH555" s="1137"/>
      <c r="AI555" s="1137"/>
      <c r="AJ555" s="1137"/>
      <c r="AK555" s="1137"/>
      <c r="AL555" s="1137"/>
      <c r="AM555" s="1137"/>
      <c r="AN555" s="1137"/>
      <c r="AO555" s="1137"/>
      <c r="AP555" s="1137"/>
      <c r="AQ555" s="1137"/>
      <c r="AR555" s="1137"/>
      <c r="AS555" s="1137"/>
    </row>
    <row r="556" spans="1:45" s="1140" customFormat="1" ht="13.5" customHeight="1">
      <c r="A556" s="1063"/>
      <c r="B556" s="1063"/>
      <c r="C556" s="1063"/>
      <c r="D556" s="1037"/>
      <c r="E556" s="1037"/>
      <c r="F556" s="1037"/>
      <c r="G556" s="1063"/>
      <c r="H556" s="1063"/>
      <c r="I556" s="1037"/>
      <c r="J556" s="1037"/>
      <c r="K556" s="1037"/>
      <c r="L556" s="1063"/>
      <c r="M556" s="1063"/>
      <c r="N556" s="1037"/>
      <c r="O556" s="1037"/>
      <c r="P556" s="1037"/>
      <c r="Q556" s="1063"/>
      <c r="R556" s="1063"/>
      <c r="S556" s="1037"/>
      <c r="T556" s="1037"/>
      <c r="U556" s="1037"/>
      <c r="V556" s="1063"/>
      <c r="W556" s="1063"/>
      <c r="X556" s="1037"/>
      <c r="Y556" s="1037"/>
      <c r="Z556" s="1037"/>
      <c r="AA556" s="1037"/>
      <c r="AB556" s="1037"/>
      <c r="AC556" s="1063"/>
      <c r="AD556" s="1063"/>
      <c r="AE556" s="1063"/>
      <c r="AF556" s="1037"/>
      <c r="AG556" s="1063"/>
      <c r="AH556" s="1063"/>
      <c r="AI556" s="1063"/>
      <c r="AJ556" s="1063"/>
      <c r="AK556" s="1037"/>
      <c r="AL556" s="1137"/>
      <c r="AM556" s="1063"/>
      <c r="AN556" s="1144"/>
      <c r="AO556" s="1144"/>
      <c r="AP556" s="1144"/>
      <c r="AQ556" s="1144"/>
      <c r="AR556" s="1144"/>
      <c r="AS556" s="1144"/>
    </row>
    <row r="557" spans="1:45" s="1140" customFormat="1" ht="13.5" customHeight="1">
      <c r="A557" s="1591" t="s">
        <v>18</v>
      </c>
      <c r="B557" s="1590">
        <v>45950</v>
      </c>
      <c r="C557" s="1590"/>
      <c r="D557" s="1590" t="s">
        <v>564</v>
      </c>
      <c r="E557" s="1590"/>
      <c r="F557" s="1085"/>
      <c r="G557" s="1590">
        <v>45951</v>
      </c>
      <c r="H557" s="1590"/>
      <c r="I557" s="1590" t="s">
        <v>565</v>
      </c>
      <c r="J557" s="1590"/>
      <c r="K557" s="1085"/>
      <c r="L557" s="1590">
        <v>45952</v>
      </c>
      <c r="M557" s="1590"/>
      <c r="N557" s="1590" t="s">
        <v>566</v>
      </c>
      <c r="O557" s="1590"/>
      <c r="P557" s="1085"/>
      <c r="Q557" s="1590">
        <v>45953</v>
      </c>
      <c r="R557" s="1590"/>
      <c r="S557" s="1590" t="s">
        <v>567</v>
      </c>
      <c r="T557" s="1590"/>
      <c r="U557" s="1085"/>
      <c r="V557" s="1590">
        <v>45954</v>
      </c>
      <c r="W557" s="1590"/>
      <c r="X557" s="1590" t="s">
        <v>568</v>
      </c>
      <c r="Y557" s="1590"/>
      <c r="Z557" s="1587" t="s">
        <v>19</v>
      </c>
      <c r="AA557" s="1587" t="s">
        <v>20</v>
      </c>
      <c r="AB557" s="1037"/>
      <c r="AC557" s="1590">
        <v>45955</v>
      </c>
      <c r="AD557" s="1590"/>
      <c r="AE557" s="1086" t="s">
        <v>569</v>
      </c>
      <c r="AF557" s="1037"/>
      <c r="AG557" s="1590">
        <v>45956</v>
      </c>
      <c r="AH557" s="1590"/>
      <c r="AI557" s="1086" t="s">
        <v>570</v>
      </c>
      <c r="AJ557" s="1587" t="s">
        <v>1420</v>
      </c>
      <c r="AK557" s="1037"/>
      <c r="AL557" s="1137"/>
      <c r="AM557" s="1063"/>
      <c r="AN557" s="1138" t="s">
        <v>84</v>
      </c>
      <c r="AO557" s="1139"/>
      <c r="AP557" s="1139"/>
      <c r="AQ557" s="1139"/>
      <c r="AR557" s="1139"/>
      <c r="AS557" s="1139"/>
    </row>
    <row r="558" spans="1:45" s="1140" customFormat="1" ht="13.5" customHeight="1">
      <c r="A558" s="1591"/>
      <c r="B558" s="1088" t="s">
        <v>23</v>
      </c>
      <c r="C558" s="1088" t="s">
        <v>24</v>
      </c>
      <c r="D558" s="1047" t="s">
        <v>25</v>
      </c>
      <c r="E558" s="1089" t="s">
        <v>14</v>
      </c>
      <c r="F558" s="1037"/>
      <c r="G558" s="1088" t="s">
        <v>23</v>
      </c>
      <c r="H558" s="1088" t="s">
        <v>24</v>
      </c>
      <c r="I558" s="1089" t="s">
        <v>25</v>
      </c>
      <c r="J558" s="1089" t="s">
        <v>14</v>
      </c>
      <c r="K558" s="1037"/>
      <c r="L558" s="1088" t="s">
        <v>23</v>
      </c>
      <c r="M558" s="1088" t="s">
        <v>24</v>
      </c>
      <c r="N558" s="1089" t="s">
        <v>25</v>
      </c>
      <c r="O558" s="1089" t="s">
        <v>14</v>
      </c>
      <c r="P558" s="1037"/>
      <c r="Q558" s="1088" t="s">
        <v>23</v>
      </c>
      <c r="R558" s="1088" t="s">
        <v>24</v>
      </c>
      <c r="S558" s="1089" t="s">
        <v>25</v>
      </c>
      <c r="T558" s="1089" t="s">
        <v>14</v>
      </c>
      <c r="U558" s="1037"/>
      <c r="V558" s="1088" t="s">
        <v>23</v>
      </c>
      <c r="W558" s="1088" t="s">
        <v>24</v>
      </c>
      <c r="X558" s="1089" t="s">
        <v>25</v>
      </c>
      <c r="Y558" s="1089" t="s">
        <v>14</v>
      </c>
      <c r="Z558" s="1587"/>
      <c r="AA558" s="1587"/>
      <c r="AB558" s="1037"/>
      <c r="AC558" s="1088" t="s">
        <v>23</v>
      </c>
      <c r="AD558" s="1088" t="s">
        <v>24</v>
      </c>
      <c r="AE558" s="1089" t="s">
        <v>25</v>
      </c>
      <c r="AF558" s="1037"/>
      <c r="AG558" s="1088" t="s">
        <v>23</v>
      </c>
      <c r="AH558" s="1088" t="s">
        <v>24</v>
      </c>
      <c r="AI558" s="1089" t="s">
        <v>25</v>
      </c>
      <c r="AJ558" s="1587"/>
      <c r="AK558" s="1037"/>
      <c r="AL558" s="1137"/>
      <c r="AM558" s="1063"/>
      <c r="AN558" s="1141" t="s">
        <v>26</v>
      </c>
      <c r="AO558" s="1142">
        <f>Z587</f>
        <v>519.5</v>
      </c>
      <c r="AP558" s="1143">
        <v>40.31</v>
      </c>
      <c r="AQ558" s="1143">
        <v>20941.045000000002</v>
      </c>
      <c r="AR558" s="1144"/>
      <c r="AS558" s="1144"/>
    </row>
    <row r="559" spans="1:45" s="1140" customFormat="1" ht="13.5" customHeight="1">
      <c r="A559" s="1034" t="s">
        <v>72</v>
      </c>
      <c r="B559" s="1034">
        <v>0.29166666666666669</v>
      </c>
      <c r="C559" s="1034">
        <v>0.125</v>
      </c>
      <c r="D559" s="1035">
        <v>8</v>
      </c>
      <c r="E559" s="1036"/>
      <c r="F559" s="1037"/>
      <c r="G559" s="1034">
        <v>0.29166666666666669</v>
      </c>
      <c r="H559" s="1034">
        <v>0.125</v>
      </c>
      <c r="I559" s="1035">
        <v>8</v>
      </c>
      <c r="J559" s="1036"/>
      <c r="K559" s="1037"/>
      <c r="L559" s="1034">
        <v>0.29166666666666669</v>
      </c>
      <c r="M559" s="1034">
        <v>0.125</v>
      </c>
      <c r="N559" s="1035">
        <v>8</v>
      </c>
      <c r="O559" s="1036"/>
      <c r="P559" s="1037"/>
      <c r="Q559" s="1034">
        <v>0.29166666666666669</v>
      </c>
      <c r="R559" s="1034">
        <v>0.125</v>
      </c>
      <c r="S559" s="1035">
        <v>8</v>
      </c>
      <c r="T559" s="1036"/>
      <c r="U559" s="1037"/>
      <c r="V559" s="1034">
        <v>0.29166666666666669</v>
      </c>
      <c r="W559" s="1034">
        <v>0.125</v>
      </c>
      <c r="X559" s="1035">
        <v>8</v>
      </c>
      <c r="Y559" s="1036"/>
      <c r="Z559" s="1038">
        <v>40</v>
      </c>
      <c r="AA559" s="1039">
        <v>0</v>
      </c>
      <c r="AB559" s="1037"/>
      <c r="AC559" s="1040"/>
      <c r="AD559" s="1040"/>
      <c r="AE559" s="1035"/>
      <c r="AF559" s="1037"/>
      <c r="AG559" s="1040"/>
      <c r="AH559" s="1040"/>
      <c r="AI559" s="1035"/>
      <c r="AJ559" s="1038">
        <v>0</v>
      </c>
      <c r="AK559" s="1037"/>
      <c r="AL559" s="1137"/>
      <c r="AM559" s="1063"/>
      <c r="AN559" s="1141" t="s">
        <v>1421</v>
      </c>
      <c r="AO559" s="1142">
        <f>Z588</f>
        <v>107</v>
      </c>
      <c r="AP559" s="1143">
        <v>60.47</v>
      </c>
      <c r="AQ559" s="1143">
        <v>6470.29</v>
      </c>
      <c r="AR559" s="1144"/>
      <c r="AS559" s="1144"/>
    </row>
    <row r="560" spans="1:45" s="1140" customFormat="1" ht="13.5" customHeight="1">
      <c r="A560" s="1145" t="s">
        <v>1166</v>
      </c>
      <c r="B560" s="1034">
        <v>0.29166666666666669</v>
      </c>
      <c r="C560" s="1034">
        <v>0.125</v>
      </c>
      <c r="D560" s="1035">
        <v>8</v>
      </c>
      <c r="E560" s="1036"/>
      <c r="F560" s="1037"/>
      <c r="G560" s="1034">
        <v>0.29166666666666669</v>
      </c>
      <c r="H560" s="1034">
        <v>0.125</v>
      </c>
      <c r="I560" s="1035">
        <v>8</v>
      </c>
      <c r="J560" s="1036"/>
      <c r="K560" s="1037"/>
      <c r="L560" s="1034">
        <v>0.29166666666666669</v>
      </c>
      <c r="M560" s="1034">
        <v>0.125</v>
      </c>
      <c r="N560" s="1035">
        <v>8</v>
      </c>
      <c r="O560" s="1036"/>
      <c r="P560" s="1037"/>
      <c r="Q560" s="1034">
        <v>0.29166666666666669</v>
      </c>
      <c r="R560" s="1034">
        <v>0.125</v>
      </c>
      <c r="S560" s="1035">
        <v>8</v>
      </c>
      <c r="T560" s="1036"/>
      <c r="U560" s="1037"/>
      <c r="V560" s="1034">
        <v>0.29166666666666669</v>
      </c>
      <c r="W560" s="1034">
        <v>0.125</v>
      </c>
      <c r="X560" s="1035">
        <v>8</v>
      </c>
      <c r="Y560" s="1036"/>
      <c r="Z560" s="1038">
        <v>40</v>
      </c>
      <c r="AA560" s="1039">
        <v>0</v>
      </c>
      <c r="AB560" s="1037"/>
      <c r="AC560" s="1034"/>
      <c r="AD560" s="1034"/>
      <c r="AE560" s="1035"/>
      <c r="AF560" s="1037"/>
      <c r="AG560" s="1034"/>
      <c r="AH560" s="1034"/>
      <c r="AI560" s="1035"/>
      <c r="AJ560" s="1038">
        <v>0</v>
      </c>
      <c r="AK560" s="1037"/>
      <c r="AL560" s="1137"/>
      <c r="AM560" s="1063"/>
      <c r="AN560" s="1141" t="s">
        <v>30</v>
      </c>
      <c r="AO560" s="1142">
        <v>0</v>
      </c>
      <c r="AP560" s="1143">
        <v>60.465000000000003</v>
      </c>
      <c r="AQ560" s="1143">
        <v>0</v>
      </c>
      <c r="AR560" s="1144"/>
      <c r="AS560" s="1144"/>
    </row>
    <row r="561" spans="1:45" s="1140" customFormat="1" ht="13.5" customHeight="1">
      <c r="A561" s="1145" t="s">
        <v>1425</v>
      </c>
      <c r="B561" s="1034">
        <v>0.29166666666666669</v>
      </c>
      <c r="C561" s="1034">
        <v>0.125</v>
      </c>
      <c r="D561" s="1035">
        <v>8</v>
      </c>
      <c r="E561" s="1036"/>
      <c r="F561" s="1037"/>
      <c r="G561" s="1034">
        <v>0.36458333333333331</v>
      </c>
      <c r="H561" s="1034">
        <v>0.375</v>
      </c>
      <c r="I561" s="1035">
        <v>6.25</v>
      </c>
      <c r="J561" s="1036"/>
      <c r="K561" s="1037"/>
      <c r="L561" s="1034">
        <v>0.29166666666666669</v>
      </c>
      <c r="M561" s="1034">
        <v>0.44791666666666669</v>
      </c>
      <c r="N561" s="1035">
        <v>8</v>
      </c>
      <c r="O561" s="1036"/>
      <c r="P561" s="1037"/>
      <c r="Q561" s="1034">
        <v>0.29166666666666669</v>
      </c>
      <c r="R561" s="1034">
        <v>0.125</v>
      </c>
      <c r="S561" s="1035">
        <v>8</v>
      </c>
      <c r="T561" s="1036"/>
      <c r="U561" s="1037"/>
      <c r="V561" s="1034">
        <v>0.29166666666666669</v>
      </c>
      <c r="W561" s="1034">
        <v>0.125</v>
      </c>
      <c r="X561" s="1035">
        <v>8</v>
      </c>
      <c r="Y561" s="1036"/>
      <c r="Z561" s="1038">
        <v>38.25</v>
      </c>
      <c r="AA561" s="1039">
        <v>0</v>
      </c>
      <c r="AB561" s="1037"/>
      <c r="AC561" s="1034"/>
      <c r="AD561" s="1034"/>
      <c r="AE561" s="1035"/>
      <c r="AF561" s="1037"/>
      <c r="AG561" s="1034"/>
      <c r="AH561" s="1034"/>
      <c r="AI561" s="1035"/>
      <c r="AJ561" s="1038">
        <v>0</v>
      </c>
      <c r="AK561" s="1037"/>
      <c r="AL561" s="1137"/>
      <c r="AM561" s="1063"/>
      <c r="AN561" s="1141" t="s">
        <v>32</v>
      </c>
      <c r="AO561" s="1142">
        <f>AJ587</f>
        <v>65</v>
      </c>
      <c r="AP561" s="1143">
        <v>60.465000000000003</v>
      </c>
      <c r="AQ561" s="1143">
        <v>3930.2250000000004</v>
      </c>
      <c r="AR561" s="1144"/>
      <c r="AS561" s="1144"/>
    </row>
    <row r="562" spans="1:45" s="1140" customFormat="1" ht="13.5" customHeight="1">
      <c r="A562" s="1145" t="s">
        <v>1426</v>
      </c>
      <c r="B562" s="1034">
        <v>0.29166666666666669</v>
      </c>
      <c r="C562" s="1034">
        <v>0.125</v>
      </c>
      <c r="D562" s="1035">
        <v>8</v>
      </c>
      <c r="E562" s="1036"/>
      <c r="F562" s="1037"/>
      <c r="G562" s="1034">
        <v>0.29166666666666669</v>
      </c>
      <c r="H562" s="1034">
        <v>0.125</v>
      </c>
      <c r="I562" s="1035">
        <v>8</v>
      </c>
      <c r="J562" s="1036"/>
      <c r="K562" s="1037"/>
      <c r="L562" s="1034">
        <v>0.29166666666666669</v>
      </c>
      <c r="M562" s="1034">
        <v>0.125</v>
      </c>
      <c r="N562" s="1035">
        <v>8</v>
      </c>
      <c r="O562" s="1036"/>
      <c r="P562" s="1037"/>
      <c r="Q562" s="1034">
        <v>0.29166666666666669</v>
      </c>
      <c r="R562" s="1034">
        <v>0.125</v>
      </c>
      <c r="S562" s="1035">
        <v>8</v>
      </c>
      <c r="T562" s="1036"/>
      <c r="U562" s="1037"/>
      <c r="V562" s="1034">
        <v>0.29166666666666669</v>
      </c>
      <c r="W562" s="1034">
        <v>0.125</v>
      </c>
      <c r="X562" s="1035">
        <v>8</v>
      </c>
      <c r="Y562" s="1036"/>
      <c r="Z562" s="1038">
        <v>40</v>
      </c>
      <c r="AA562" s="1039">
        <v>0</v>
      </c>
      <c r="AB562" s="1037"/>
      <c r="AC562" s="1034"/>
      <c r="AD562" s="1034"/>
      <c r="AE562" s="1035"/>
      <c r="AF562" s="1037"/>
      <c r="AG562" s="1034"/>
      <c r="AH562" s="1034"/>
      <c r="AI562" s="1035"/>
      <c r="AJ562" s="1038">
        <v>0</v>
      </c>
      <c r="AK562" s="1037"/>
      <c r="AL562" s="1137"/>
      <c r="AM562" s="1063"/>
      <c r="AN562" s="1141" t="s">
        <v>213</v>
      </c>
      <c r="AO562" s="1142">
        <f>Z590</f>
        <v>20</v>
      </c>
      <c r="AP562" s="1143">
        <v>53.05</v>
      </c>
      <c r="AQ562" s="1143">
        <v>1061</v>
      </c>
      <c r="AR562" s="1144"/>
      <c r="AS562" s="1144"/>
    </row>
    <row r="563" spans="1:45" s="1140" customFormat="1" ht="13.5" customHeight="1">
      <c r="A563" s="1145" t="s">
        <v>1066</v>
      </c>
      <c r="B563" s="1034">
        <v>0.29166666666666669</v>
      </c>
      <c r="C563" s="1034">
        <v>0.125</v>
      </c>
      <c r="D563" s="1035">
        <v>8</v>
      </c>
      <c r="E563" s="1036"/>
      <c r="F563" s="1037"/>
      <c r="G563" s="1034">
        <v>0.29166666666666669</v>
      </c>
      <c r="H563" s="1034">
        <v>0.125</v>
      </c>
      <c r="I563" s="1035">
        <v>8</v>
      </c>
      <c r="J563" s="1036"/>
      <c r="K563" s="1037"/>
      <c r="L563" s="1034">
        <v>0.29166666666666669</v>
      </c>
      <c r="M563" s="1034">
        <v>0.125</v>
      </c>
      <c r="N563" s="1035">
        <v>8</v>
      </c>
      <c r="O563" s="1036"/>
      <c r="P563" s="1037"/>
      <c r="Q563" s="1034">
        <v>0.29166666666666669</v>
      </c>
      <c r="R563" s="1034">
        <v>0.125</v>
      </c>
      <c r="S563" s="1035">
        <v>8</v>
      </c>
      <c r="T563" s="1036"/>
      <c r="U563" s="1037"/>
      <c r="V563" s="1034">
        <v>0.29166666666666669</v>
      </c>
      <c r="W563" s="1034">
        <v>0.125</v>
      </c>
      <c r="X563" s="1035">
        <v>8</v>
      </c>
      <c r="Y563" s="1036"/>
      <c r="Z563" s="1038">
        <v>40</v>
      </c>
      <c r="AA563" s="1039">
        <v>0</v>
      </c>
      <c r="AB563" s="1037"/>
      <c r="AC563" s="1034"/>
      <c r="AD563" s="1034"/>
      <c r="AE563" s="1035"/>
      <c r="AF563" s="1037"/>
      <c r="AG563" s="1034"/>
      <c r="AH563" s="1034"/>
      <c r="AI563" s="1035"/>
      <c r="AJ563" s="1038">
        <v>0</v>
      </c>
      <c r="AK563" s="1037"/>
      <c r="AL563" s="1137"/>
      <c r="AM563" s="1063"/>
      <c r="AN563" s="1141" t="s">
        <v>36</v>
      </c>
      <c r="AO563" s="1142">
        <v>0</v>
      </c>
      <c r="AP563" s="1143">
        <v>79.574999999999989</v>
      </c>
      <c r="AQ563" s="1143">
        <v>0</v>
      </c>
      <c r="AR563" s="1144"/>
      <c r="AS563" s="1144"/>
    </row>
    <row r="564" spans="1:45" s="1140" customFormat="1" ht="13.5" customHeight="1">
      <c r="A564" s="1145" t="s">
        <v>1427</v>
      </c>
      <c r="B564" s="1034">
        <v>0.29166666666666669</v>
      </c>
      <c r="C564" s="1034">
        <v>0.125</v>
      </c>
      <c r="D564" s="1035">
        <v>8</v>
      </c>
      <c r="E564" s="1036"/>
      <c r="F564" s="1037"/>
      <c r="G564" s="1132"/>
      <c r="H564" s="1132"/>
      <c r="I564" s="1035">
        <v>0</v>
      </c>
      <c r="J564" s="1036"/>
      <c r="K564" s="1037"/>
      <c r="L564" s="1034">
        <v>0.29166666666666669</v>
      </c>
      <c r="M564" s="1034"/>
      <c r="N564" s="1035">
        <v>8</v>
      </c>
      <c r="O564" s="1036"/>
      <c r="P564" s="1037"/>
      <c r="Q564" s="1034">
        <v>0.29166666666666669</v>
      </c>
      <c r="R564" s="1034">
        <v>0.125</v>
      </c>
      <c r="S564" s="1035">
        <v>8</v>
      </c>
      <c r="T564" s="1036"/>
      <c r="U564" s="1037"/>
      <c r="V564" s="1034">
        <v>0.29166666666666669</v>
      </c>
      <c r="W564" s="1034">
        <v>0.125</v>
      </c>
      <c r="X564" s="1035">
        <v>8</v>
      </c>
      <c r="Y564" s="1036"/>
      <c r="Z564" s="1038">
        <v>32</v>
      </c>
      <c r="AA564" s="1039">
        <v>0</v>
      </c>
      <c r="AB564" s="1037"/>
      <c r="AC564" s="1034"/>
      <c r="AD564" s="1034"/>
      <c r="AE564" s="1035"/>
      <c r="AF564" s="1037"/>
      <c r="AG564" s="1034"/>
      <c r="AH564" s="1034"/>
      <c r="AI564" s="1035"/>
      <c r="AJ564" s="1038">
        <v>0</v>
      </c>
      <c r="AK564" s="1037"/>
      <c r="AL564" s="1137"/>
      <c r="AM564" s="1063"/>
      <c r="AN564" s="1141" t="s">
        <v>38</v>
      </c>
      <c r="AO564" s="1142">
        <f>AJ590</f>
        <v>22.5</v>
      </c>
      <c r="AP564" s="1143">
        <v>79.574999999999989</v>
      </c>
      <c r="AQ564" s="1143">
        <v>1790.4374999999998</v>
      </c>
      <c r="AR564" s="1144"/>
      <c r="AS564" s="1144"/>
    </row>
    <row r="565" spans="1:45" s="1140" customFormat="1" ht="13.5" customHeight="1">
      <c r="A565" s="1145" t="s">
        <v>1428</v>
      </c>
      <c r="B565" s="1034">
        <v>0.125</v>
      </c>
      <c r="C565" s="1034">
        <v>0.45833333333333331</v>
      </c>
      <c r="D565" s="1035">
        <v>8</v>
      </c>
      <c r="E565" s="1036"/>
      <c r="F565" s="1037"/>
      <c r="G565" s="1034">
        <v>0.125</v>
      </c>
      <c r="H565" s="1034">
        <v>0.4375</v>
      </c>
      <c r="I565" s="1035">
        <v>8</v>
      </c>
      <c r="J565" s="1036"/>
      <c r="K565" s="1037"/>
      <c r="L565" s="1034">
        <v>0.125</v>
      </c>
      <c r="M565" s="1034">
        <v>0.17708333333333334</v>
      </c>
      <c r="N565" s="1035">
        <v>8</v>
      </c>
      <c r="O565" s="1036"/>
      <c r="P565" s="1037"/>
      <c r="Q565" s="1034">
        <v>0.125</v>
      </c>
      <c r="R565" s="1034">
        <v>0.375</v>
      </c>
      <c r="S565" s="1035">
        <v>6</v>
      </c>
      <c r="T565" s="1036"/>
      <c r="U565" s="1037"/>
      <c r="V565" s="1034">
        <v>0.125</v>
      </c>
      <c r="W565" s="1034">
        <v>0.29166666666666669</v>
      </c>
      <c r="X565" s="1035">
        <v>4</v>
      </c>
      <c r="Y565" s="1036"/>
      <c r="Z565" s="1038">
        <v>34</v>
      </c>
      <c r="AA565" s="1039">
        <v>0</v>
      </c>
      <c r="AB565" s="1037"/>
      <c r="AC565" s="1034"/>
      <c r="AD565" s="1034"/>
      <c r="AE565" s="1035"/>
      <c r="AF565" s="1037"/>
      <c r="AG565" s="1034"/>
      <c r="AH565" s="1034"/>
      <c r="AI565" s="1035"/>
      <c r="AJ565" s="1038">
        <v>0</v>
      </c>
      <c r="AK565" s="1037"/>
      <c r="AL565" s="1137"/>
      <c r="AM565" s="1063"/>
      <c r="AN565" s="1144"/>
      <c r="AO565" s="1142"/>
      <c r="AP565" s="1144"/>
      <c r="AQ565" s="1143">
        <v>34192.997500000005</v>
      </c>
      <c r="AR565" s="1144"/>
      <c r="AS565" s="1144"/>
    </row>
    <row r="566" spans="1:45" s="1140" customFormat="1" ht="13.5" customHeight="1">
      <c r="A566" s="1145" t="s">
        <v>1142</v>
      </c>
      <c r="B566" s="1034">
        <v>0.125</v>
      </c>
      <c r="C566" s="1034">
        <v>0.45833333333333331</v>
      </c>
      <c r="D566" s="1035">
        <v>8</v>
      </c>
      <c r="E566" s="1036"/>
      <c r="F566" s="1037"/>
      <c r="G566" s="1034">
        <v>0.125</v>
      </c>
      <c r="H566" s="1034">
        <v>0.45833333333333331</v>
      </c>
      <c r="I566" s="1035">
        <v>8</v>
      </c>
      <c r="J566" s="1036"/>
      <c r="K566" s="1042"/>
      <c r="L566" s="1034">
        <v>0.125</v>
      </c>
      <c r="M566" s="1034">
        <v>0.45833333333333331</v>
      </c>
      <c r="N566" s="1035">
        <v>8</v>
      </c>
      <c r="O566" s="1036"/>
      <c r="P566" s="1042"/>
      <c r="Q566" s="1034">
        <v>0.125</v>
      </c>
      <c r="R566" s="1034">
        <v>0.45833333333333331</v>
      </c>
      <c r="S566" s="1035">
        <v>8</v>
      </c>
      <c r="T566" s="1036"/>
      <c r="U566" s="1042"/>
      <c r="V566" s="1034">
        <v>0.125</v>
      </c>
      <c r="W566" s="1034">
        <v>0.45833333333333331</v>
      </c>
      <c r="X566" s="1035">
        <v>8</v>
      </c>
      <c r="Y566" s="1036"/>
      <c r="Z566" s="1038">
        <v>40</v>
      </c>
      <c r="AA566" s="1039">
        <v>0</v>
      </c>
      <c r="AB566" s="1037"/>
      <c r="AC566" s="1034"/>
      <c r="AD566" s="1034"/>
      <c r="AE566" s="1035"/>
      <c r="AF566" s="1037"/>
      <c r="AG566" s="1034"/>
      <c r="AH566" s="1034"/>
      <c r="AI566" s="1035"/>
      <c r="AJ566" s="1038">
        <v>0</v>
      </c>
      <c r="AK566" s="1037"/>
      <c r="AL566" s="1137"/>
      <c r="AM566" s="1063"/>
      <c r="AN566" s="1144"/>
      <c r="AO566" s="1142"/>
      <c r="AP566" s="1144"/>
      <c r="AQ566" s="1144"/>
      <c r="AR566" s="1144"/>
      <c r="AS566" s="1144"/>
    </row>
    <row r="567" spans="1:45" s="1140" customFormat="1" ht="13.5" customHeight="1">
      <c r="A567" s="1145" t="s">
        <v>1429</v>
      </c>
      <c r="B567" s="1132"/>
      <c r="C567" s="1132"/>
      <c r="D567" s="1035">
        <v>0</v>
      </c>
      <c r="E567" s="1036"/>
      <c r="F567" s="1037"/>
      <c r="G567" s="1034">
        <v>0.125</v>
      </c>
      <c r="H567" s="1034">
        <v>0.45833333333333331</v>
      </c>
      <c r="I567" s="1035">
        <v>8</v>
      </c>
      <c r="J567" s="1036"/>
      <c r="K567" s="1042"/>
      <c r="L567" s="1034">
        <v>0.125</v>
      </c>
      <c r="M567" s="1034">
        <v>0.45833333333333331</v>
      </c>
      <c r="N567" s="1035">
        <v>8</v>
      </c>
      <c r="O567" s="1036"/>
      <c r="P567" s="1042"/>
      <c r="Q567" s="1034">
        <v>0.125</v>
      </c>
      <c r="R567" s="1034">
        <v>0.45833333333333331</v>
      </c>
      <c r="S567" s="1035">
        <v>8</v>
      </c>
      <c r="T567" s="1036"/>
      <c r="U567" s="1042"/>
      <c r="V567" s="1034">
        <v>0.125</v>
      </c>
      <c r="W567" s="1034">
        <v>0.45833333333333331</v>
      </c>
      <c r="X567" s="1035">
        <v>8</v>
      </c>
      <c r="Y567" s="1036"/>
      <c r="Z567" s="1038">
        <v>32</v>
      </c>
      <c r="AA567" s="1039">
        <v>0</v>
      </c>
      <c r="AB567" s="1037"/>
      <c r="AC567" s="1034"/>
      <c r="AD567" s="1034"/>
      <c r="AE567" s="1035"/>
      <c r="AF567" s="1037"/>
      <c r="AG567" s="1034"/>
      <c r="AH567" s="1034"/>
      <c r="AI567" s="1035"/>
      <c r="AJ567" s="1038">
        <v>0</v>
      </c>
      <c r="AK567" s="1037"/>
      <c r="AL567" s="1137"/>
      <c r="AM567" s="1063"/>
      <c r="AN567" s="1146" t="s">
        <v>1115</v>
      </c>
      <c r="AO567" s="1142">
        <f>B591</f>
        <v>86</v>
      </c>
      <c r="AP567" s="1144"/>
      <c r="AQ567" s="1144"/>
      <c r="AR567" s="1144"/>
      <c r="AS567" s="1144"/>
    </row>
    <row r="568" spans="1:45" s="1140" customFormat="1" ht="13.5" customHeight="1">
      <c r="A568" s="1145" t="s">
        <v>1060</v>
      </c>
      <c r="B568" s="1034">
        <v>0.125</v>
      </c>
      <c r="C568" s="1034">
        <v>0.36458333333333331</v>
      </c>
      <c r="D568" s="1035">
        <v>8</v>
      </c>
      <c r="E568" s="1036"/>
      <c r="F568" s="1037"/>
      <c r="G568" s="1034">
        <v>0.13541666666666666</v>
      </c>
      <c r="H568" s="1034">
        <v>0.40625</v>
      </c>
      <c r="I568" s="1035">
        <v>6.5</v>
      </c>
      <c r="J568" s="1036"/>
      <c r="K568" s="1042"/>
      <c r="L568" s="1034">
        <v>0.125</v>
      </c>
      <c r="M568" s="1034">
        <v>0.32291666666666669</v>
      </c>
      <c r="N568" s="1035">
        <v>4.75</v>
      </c>
      <c r="O568" s="1036"/>
      <c r="P568" s="1042"/>
      <c r="Q568" s="1034">
        <v>0.125</v>
      </c>
      <c r="R568" s="1034">
        <v>0.45833333333333331</v>
      </c>
      <c r="S568" s="1035">
        <v>8</v>
      </c>
      <c r="T568" s="1036"/>
      <c r="U568" s="1042"/>
      <c r="V568" s="1034">
        <v>0.125</v>
      </c>
      <c r="W568" s="1034">
        <v>0.29166666666666669</v>
      </c>
      <c r="X568" s="1035">
        <v>4</v>
      </c>
      <c r="Y568" s="1036"/>
      <c r="Z568" s="1038">
        <v>31.25</v>
      </c>
      <c r="AA568" s="1039">
        <v>0</v>
      </c>
      <c r="AB568" s="1037"/>
      <c r="AC568" s="1034"/>
      <c r="AD568" s="1034"/>
      <c r="AE568" s="1035"/>
      <c r="AF568" s="1037"/>
      <c r="AG568" s="1034"/>
      <c r="AH568" s="1034"/>
      <c r="AI568" s="1035"/>
      <c r="AJ568" s="1038">
        <v>0</v>
      </c>
      <c r="AK568" s="1037"/>
      <c r="AL568" s="1137"/>
      <c r="AM568" s="1063"/>
      <c r="AN568" s="1144"/>
      <c r="AO568" s="1144"/>
      <c r="AP568" s="1144"/>
      <c r="AQ568" s="1144"/>
      <c r="AR568" s="1144"/>
      <c r="AS568" s="1144"/>
    </row>
    <row r="569" spans="1:45" s="1140" customFormat="1" ht="13.5" customHeight="1">
      <c r="A569" s="1037" t="s">
        <v>327</v>
      </c>
      <c r="B569" s="1034">
        <v>0.125</v>
      </c>
      <c r="C569" s="1034"/>
      <c r="D569" s="1035">
        <v>8</v>
      </c>
      <c r="E569" s="1036"/>
      <c r="F569" s="1042"/>
      <c r="G569" s="1034">
        <v>0.125</v>
      </c>
      <c r="H569" s="1034">
        <v>0.45833333333333331</v>
      </c>
      <c r="I569" s="1035">
        <v>8</v>
      </c>
      <c r="J569" s="1036"/>
      <c r="K569" s="1042"/>
      <c r="L569" s="1034">
        <v>0.125</v>
      </c>
      <c r="M569" s="1034">
        <v>0.36458333333333331</v>
      </c>
      <c r="N569" s="1035">
        <v>8</v>
      </c>
      <c r="O569" s="1036"/>
      <c r="P569" s="1042"/>
      <c r="Q569" s="1034">
        <v>0.125</v>
      </c>
      <c r="R569" s="1034">
        <v>0.45833333333333331</v>
      </c>
      <c r="S569" s="1035">
        <v>8</v>
      </c>
      <c r="T569" s="1036"/>
      <c r="U569" s="1042"/>
      <c r="V569" s="1034">
        <v>0.125</v>
      </c>
      <c r="W569" s="1034">
        <v>0.45833333333333331</v>
      </c>
      <c r="X569" s="1035">
        <v>8</v>
      </c>
      <c r="Y569" s="1036"/>
      <c r="Z569" s="1038">
        <v>40</v>
      </c>
      <c r="AA569" s="1039">
        <v>0</v>
      </c>
      <c r="AB569" s="1037"/>
      <c r="AC569" s="1034"/>
      <c r="AD569" s="1034"/>
      <c r="AE569" s="1035"/>
      <c r="AF569" s="1037"/>
      <c r="AG569" s="1034"/>
      <c r="AH569" s="1034"/>
      <c r="AI569" s="1035"/>
      <c r="AJ569" s="1038">
        <v>0</v>
      </c>
      <c r="AK569" s="1037"/>
      <c r="AL569" s="1137"/>
      <c r="AM569" s="1063"/>
      <c r="AN569" s="1144"/>
      <c r="AO569" s="1144"/>
      <c r="AP569" s="1144"/>
      <c r="AQ569" s="1144"/>
      <c r="AR569" s="1144"/>
      <c r="AS569" s="1144"/>
    </row>
    <row r="570" spans="1:45" s="1140" customFormat="1" ht="13.5" customHeight="1">
      <c r="A570" s="1034" t="s">
        <v>1144</v>
      </c>
      <c r="B570" s="1034">
        <v>0.125</v>
      </c>
      <c r="C570" s="1034">
        <v>0.45833333333333331</v>
      </c>
      <c r="D570" s="1035">
        <v>8</v>
      </c>
      <c r="E570" s="1036"/>
      <c r="F570" s="1042"/>
      <c r="G570" s="1034">
        <v>0.125</v>
      </c>
      <c r="H570" s="1034">
        <v>0.45833333333333331</v>
      </c>
      <c r="I570" s="1035">
        <v>8</v>
      </c>
      <c r="J570" s="1036"/>
      <c r="K570" s="1042"/>
      <c r="L570" s="1034">
        <v>0.125</v>
      </c>
      <c r="M570" s="1034">
        <v>0.45833333333333331</v>
      </c>
      <c r="N570" s="1035">
        <v>8</v>
      </c>
      <c r="O570" s="1036"/>
      <c r="P570" s="1042"/>
      <c r="Q570" s="1034">
        <v>0.125</v>
      </c>
      <c r="R570" s="1034">
        <v>0.45833333333333331</v>
      </c>
      <c r="S570" s="1035">
        <v>8</v>
      </c>
      <c r="T570" s="1036"/>
      <c r="U570" s="1042"/>
      <c r="V570" s="1034">
        <v>0.125</v>
      </c>
      <c r="W570" s="1034">
        <v>0.45833333333333331</v>
      </c>
      <c r="X570" s="1035">
        <v>8</v>
      </c>
      <c r="Y570" s="1036"/>
      <c r="Z570" s="1038">
        <v>40</v>
      </c>
      <c r="AA570" s="1039">
        <v>0</v>
      </c>
      <c r="AB570" s="1037"/>
      <c r="AC570" s="1034"/>
      <c r="AD570" s="1034"/>
      <c r="AE570" s="1035"/>
      <c r="AF570" s="1037"/>
      <c r="AG570" s="1034"/>
      <c r="AH570" s="1034"/>
      <c r="AI570" s="1035"/>
      <c r="AJ570" s="1038">
        <v>0</v>
      </c>
      <c r="AK570" s="1037"/>
      <c r="AL570" s="1137"/>
      <c r="AM570" s="1063"/>
      <c r="AN570" s="1144"/>
      <c r="AO570" s="1144"/>
      <c r="AP570" s="1144"/>
      <c r="AQ570" s="1144"/>
      <c r="AR570" s="1144"/>
      <c r="AS570" s="1144"/>
    </row>
    <row r="571" spans="1:45" s="1140" customFormat="1" ht="13.5" customHeight="1">
      <c r="A571" s="1034" t="s">
        <v>1436</v>
      </c>
      <c r="B571" s="1034">
        <v>0.125</v>
      </c>
      <c r="C571" s="1034">
        <v>0.45833333333333331</v>
      </c>
      <c r="D571" s="1035">
        <v>8</v>
      </c>
      <c r="E571" s="1036"/>
      <c r="F571" s="1042"/>
      <c r="G571" s="1034">
        <v>0.125</v>
      </c>
      <c r="H571" s="1034">
        <v>0.45833333333333331</v>
      </c>
      <c r="I571" s="1035">
        <v>8</v>
      </c>
      <c r="J571" s="1036"/>
      <c r="K571" s="1042"/>
      <c r="L571" s="1034">
        <v>0.125</v>
      </c>
      <c r="M571" s="1034">
        <v>0.45833333333333331</v>
      </c>
      <c r="N571" s="1035">
        <v>8</v>
      </c>
      <c r="O571" s="1036"/>
      <c r="P571" s="1042"/>
      <c r="Q571" s="1034">
        <v>0.125</v>
      </c>
      <c r="R571" s="1034"/>
      <c r="S571" s="1035">
        <v>8</v>
      </c>
      <c r="T571" s="1036"/>
      <c r="U571" s="1042"/>
      <c r="V571" s="1034">
        <v>0.125</v>
      </c>
      <c r="W571" s="1034">
        <v>0.45833333333333331</v>
      </c>
      <c r="X571" s="1035">
        <v>8</v>
      </c>
      <c r="Y571" s="1036"/>
      <c r="Z571" s="1038">
        <v>40</v>
      </c>
      <c r="AA571" s="1039">
        <v>0</v>
      </c>
      <c r="AB571" s="1037"/>
      <c r="AC571" s="1034"/>
      <c r="AD571" s="1034"/>
      <c r="AE571" s="1035"/>
      <c r="AF571" s="1037"/>
      <c r="AG571" s="1034"/>
      <c r="AH571" s="1034"/>
      <c r="AI571" s="1035"/>
      <c r="AJ571" s="1038">
        <v>0</v>
      </c>
      <c r="AK571" s="1037"/>
      <c r="AL571" s="1137"/>
      <c r="AM571" s="1063"/>
      <c r="AN571" s="1144"/>
      <c r="AO571" s="1144"/>
      <c r="AP571" s="1144"/>
      <c r="AQ571" s="1144"/>
      <c r="AR571" s="1144"/>
      <c r="AS571" s="1144"/>
    </row>
    <row r="572" spans="1:45" s="1140" customFormat="1" ht="13.5" customHeight="1">
      <c r="A572" s="1145" t="s">
        <v>1143</v>
      </c>
      <c r="B572" s="1034"/>
      <c r="C572" s="1034"/>
      <c r="D572" s="1035"/>
      <c r="E572" s="1036"/>
      <c r="F572" s="1042"/>
      <c r="G572" s="1034"/>
      <c r="H572" s="1034"/>
      <c r="I572" s="1035"/>
      <c r="J572" s="1036"/>
      <c r="K572" s="1042"/>
      <c r="L572" s="1034"/>
      <c r="M572" s="1034"/>
      <c r="N572" s="1035"/>
      <c r="O572" s="1036"/>
      <c r="P572" s="1042"/>
      <c r="Q572" s="1034"/>
      <c r="R572" s="1034"/>
      <c r="S572" s="1035"/>
      <c r="T572" s="1036"/>
      <c r="U572" s="1042"/>
      <c r="V572" s="1034"/>
      <c r="W572" s="1034"/>
      <c r="X572" s="1035"/>
      <c r="Y572" s="1036"/>
      <c r="Z572" s="1038">
        <v>0</v>
      </c>
      <c r="AA572" s="1039">
        <v>0</v>
      </c>
      <c r="AB572" s="1037"/>
      <c r="AC572" s="1034">
        <v>0.28125</v>
      </c>
      <c r="AD572" s="1034">
        <v>0.11458333333333333</v>
      </c>
      <c r="AE572" s="1035">
        <v>10</v>
      </c>
      <c r="AF572" s="1037"/>
      <c r="AG572" s="1034">
        <v>0.375</v>
      </c>
      <c r="AH572" s="1034">
        <v>0.10416666666666667</v>
      </c>
      <c r="AI572" s="1035">
        <v>7.5</v>
      </c>
      <c r="AJ572" s="1038">
        <v>17.5</v>
      </c>
      <c r="AK572" s="1037"/>
      <c r="AL572" s="1137"/>
      <c r="AM572" s="1063"/>
      <c r="AN572" s="1144"/>
      <c r="AO572" s="1144"/>
      <c r="AP572" s="1144"/>
      <c r="AQ572" s="1144"/>
      <c r="AR572" s="1144"/>
      <c r="AS572" s="1144"/>
    </row>
    <row r="573" spans="1:45" s="1140" customFormat="1" ht="13.5" customHeight="1">
      <c r="A573" s="1145" t="s">
        <v>1064</v>
      </c>
      <c r="B573" s="1034"/>
      <c r="C573" s="1034"/>
      <c r="D573" s="1035"/>
      <c r="E573" s="1036"/>
      <c r="F573" s="1042"/>
      <c r="G573" s="1034"/>
      <c r="H573" s="1034"/>
      <c r="I573" s="1035"/>
      <c r="J573" s="1036"/>
      <c r="K573" s="1042"/>
      <c r="L573" s="1034"/>
      <c r="M573" s="1034"/>
      <c r="N573" s="1035"/>
      <c r="O573" s="1036"/>
      <c r="P573" s="1042"/>
      <c r="Q573" s="1034"/>
      <c r="R573" s="1034"/>
      <c r="S573" s="1035"/>
      <c r="T573" s="1036"/>
      <c r="U573" s="1042"/>
      <c r="V573" s="1034"/>
      <c r="W573" s="1034"/>
      <c r="X573" s="1035"/>
      <c r="Y573" s="1036"/>
      <c r="Z573" s="1038">
        <v>0</v>
      </c>
      <c r="AA573" s="1039">
        <v>0</v>
      </c>
      <c r="AB573" s="1037"/>
      <c r="AC573" s="1034">
        <v>0.5</v>
      </c>
      <c r="AD573" s="1034"/>
      <c r="AE573" s="1035">
        <v>6</v>
      </c>
      <c r="AF573" s="1037"/>
      <c r="AG573" s="1034">
        <v>0.5</v>
      </c>
      <c r="AH573" s="1063"/>
      <c r="AI573" s="1035">
        <v>6</v>
      </c>
      <c r="AJ573" s="1038">
        <v>12</v>
      </c>
      <c r="AK573" s="1037"/>
      <c r="AL573" s="1137"/>
      <c r="AM573" s="1063"/>
      <c r="AN573" s="1144"/>
      <c r="AO573" s="1144"/>
      <c r="AP573" s="1144"/>
      <c r="AQ573" s="1144"/>
      <c r="AR573" s="1144"/>
      <c r="AS573" s="1144"/>
    </row>
    <row r="574" spans="1:45" s="1140" customFormat="1" ht="13.5" customHeight="1">
      <c r="A574" s="1145" t="s">
        <v>101</v>
      </c>
      <c r="B574" s="1034"/>
      <c r="C574" s="1034"/>
      <c r="D574" s="1035"/>
      <c r="E574" s="1036"/>
      <c r="F574" s="1042"/>
      <c r="G574" s="1034"/>
      <c r="H574" s="1034"/>
      <c r="I574" s="1035"/>
      <c r="J574" s="1036"/>
      <c r="K574" s="1042"/>
      <c r="L574" s="1034"/>
      <c r="M574" s="1034"/>
      <c r="N574" s="1035"/>
      <c r="O574" s="1036"/>
      <c r="P574" s="1042"/>
      <c r="Q574" s="1034"/>
      <c r="R574" s="1034"/>
      <c r="S574" s="1035"/>
      <c r="T574" s="1036"/>
      <c r="U574" s="1042"/>
      <c r="V574" s="1034"/>
      <c r="W574" s="1034"/>
      <c r="X574" s="1035"/>
      <c r="Y574" s="1036"/>
      <c r="Z574" s="1038">
        <v>0</v>
      </c>
      <c r="AA574" s="1039">
        <v>0</v>
      </c>
      <c r="AB574" s="1037"/>
      <c r="AC574" s="1034"/>
      <c r="AD574" s="1034"/>
      <c r="AE574" s="1035"/>
      <c r="AF574" s="1037"/>
      <c r="AG574" s="1034"/>
      <c r="AH574" s="1034"/>
      <c r="AI574" s="1035"/>
      <c r="AJ574" s="1038">
        <v>0</v>
      </c>
      <c r="AK574" s="1037"/>
      <c r="AL574" s="1137"/>
      <c r="AM574" s="1063"/>
      <c r="AN574" s="1144"/>
      <c r="AO574" s="1144"/>
      <c r="AP574" s="1144"/>
      <c r="AQ574" s="1144"/>
      <c r="AR574" s="1144"/>
      <c r="AS574" s="1144"/>
    </row>
    <row r="575" spans="1:45" s="1140" customFormat="1" ht="13.5" customHeight="1">
      <c r="A575" s="1145" t="s">
        <v>1431</v>
      </c>
      <c r="B575" s="1034"/>
      <c r="C575" s="1034"/>
      <c r="D575" s="1035">
        <v>1</v>
      </c>
      <c r="E575" s="1036"/>
      <c r="F575" s="1042"/>
      <c r="G575" s="1034"/>
      <c r="H575" s="1034"/>
      <c r="I575" s="1035">
        <v>1</v>
      </c>
      <c r="J575" s="1036"/>
      <c r="K575" s="1042"/>
      <c r="L575" s="1034"/>
      <c r="M575" s="1034"/>
      <c r="N575" s="1035">
        <v>1</v>
      </c>
      <c r="O575" s="1036"/>
      <c r="P575" s="1042"/>
      <c r="Q575" s="1034"/>
      <c r="R575" s="1034"/>
      <c r="S575" s="1035">
        <v>1</v>
      </c>
      <c r="T575" s="1036"/>
      <c r="U575" s="1042"/>
      <c r="V575" s="1034"/>
      <c r="W575" s="1034"/>
      <c r="X575" s="1035">
        <v>1</v>
      </c>
      <c r="Y575" s="1036"/>
      <c r="Z575" s="1038">
        <v>5</v>
      </c>
      <c r="AA575" s="1039">
        <v>0</v>
      </c>
      <c r="AB575" s="1037"/>
      <c r="AC575" s="1034"/>
      <c r="AD575" s="1034"/>
      <c r="AE575" s="1035"/>
      <c r="AF575" s="1037"/>
      <c r="AG575" s="1034"/>
      <c r="AH575" s="1034"/>
      <c r="AI575" s="1035"/>
      <c r="AJ575" s="1038">
        <v>0</v>
      </c>
      <c r="AK575" s="1037"/>
      <c r="AL575" s="1137"/>
      <c r="AM575" s="1063"/>
      <c r="AN575" s="1144"/>
      <c r="AO575" s="1144"/>
      <c r="AP575" s="1144"/>
      <c r="AQ575" s="1144"/>
      <c r="AR575" s="1144"/>
      <c r="AS575" s="1144"/>
    </row>
    <row r="576" spans="1:45" s="1140" customFormat="1" ht="13.5" customHeight="1">
      <c r="A576" s="1145" t="s">
        <v>813</v>
      </c>
      <c r="B576" s="1034"/>
      <c r="C576" s="1034"/>
      <c r="D576" s="1035">
        <v>2</v>
      </c>
      <c r="E576" s="1036"/>
      <c r="F576" s="1042"/>
      <c r="G576" s="1034"/>
      <c r="H576" s="1034"/>
      <c r="I576" s="1035">
        <v>2</v>
      </c>
      <c r="J576" s="1036"/>
      <c r="K576" s="1042"/>
      <c r="L576" s="1034"/>
      <c r="M576" s="1034"/>
      <c r="N576" s="1035">
        <v>2</v>
      </c>
      <c r="O576" s="1036"/>
      <c r="P576" s="1042"/>
      <c r="Q576" s="1034"/>
      <c r="R576" s="1034"/>
      <c r="S576" s="1035">
        <v>2</v>
      </c>
      <c r="T576" s="1036"/>
      <c r="U576" s="1042"/>
      <c r="V576" s="1034"/>
      <c r="W576" s="1034"/>
      <c r="X576" s="1035">
        <v>2</v>
      </c>
      <c r="Y576" s="1036"/>
      <c r="Z576" s="1038">
        <v>10</v>
      </c>
      <c r="AA576" s="1039">
        <v>0</v>
      </c>
      <c r="AB576" s="1037"/>
      <c r="AC576" s="1034"/>
      <c r="AD576" s="1034"/>
      <c r="AE576" s="1035"/>
      <c r="AF576" s="1037"/>
      <c r="AG576" s="1034"/>
      <c r="AH576" s="1034"/>
      <c r="AI576" s="1035"/>
      <c r="AJ576" s="1038">
        <v>0</v>
      </c>
      <c r="AK576" s="1037"/>
      <c r="AL576" s="1137"/>
      <c r="AM576" s="1063"/>
      <c r="AN576" s="1144"/>
      <c r="AO576" s="1144"/>
      <c r="AP576" s="1144"/>
      <c r="AQ576" s="1144"/>
      <c r="AR576" s="1144"/>
      <c r="AS576" s="1144"/>
    </row>
    <row r="577" spans="1:45" s="1140" customFormat="1" ht="13.5" customHeight="1">
      <c r="A577" s="1145" t="s">
        <v>88</v>
      </c>
      <c r="B577" s="1034"/>
      <c r="C577" s="1034"/>
      <c r="D577" s="1035">
        <v>2</v>
      </c>
      <c r="E577" s="1036"/>
      <c r="F577" s="1042"/>
      <c r="G577" s="1034"/>
      <c r="H577" s="1034"/>
      <c r="I577" s="1035">
        <v>2</v>
      </c>
      <c r="J577" s="1036"/>
      <c r="K577" s="1042"/>
      <c r="L577" s="1034"/>
      <c r="M577" s="1034"/>
      <c r="N577" s="1035">
        <v>2</v>
      </c>
      <c r="O577" s="1036"/>
      <c r="P577" s="1042"/>
      <c r="Q577" s="1034"/>
      <c r="R577" s="1034"/>
      <c r="S577" s="1035">
        <v>2</v>
      </c>
      <c r="T577" s="1036"/>
      <c r="U577" s="1042"/>
      <c r="V577" s="1034"/>
      <c r="W577" s="1034"/>
      <c r="X577" s="1035">
        <v>2</v>
      </c>
      <c r="Y577" s="1036"/>
      <c r="Z577" s="1038">
        <v>10</v>
      </c>
      <c r="AA577" s="1039">
        <v>0</v>
      </c>
      <c r="AB577" s="1037"/>
      <c r="AC577" s="1034"/>
      <c r="AD577" s="1034"/>
      <c r="AE577" s="1035"/>
      <c r="AF577" s="1037"/>
      <c r="AG577" s="1034"/>
      <c r="AH577" s="1034"/>
      <c r="AI577" s="1035"/>
      <c r="AJ577" s="1038">
        <v>0</v>
      </c>
      <c r="AK577" s="1037"/>
      <c r="AL577" s="1137"/>
      <c r="AM577" s="1063"/>
      <c r="AN577" s="1144"/>
      <c r="AO577" s="1144"/>
      <c r="AP577" s="1144"/>
      <c r="AQ577" s="1144"/>
      <c r="AR577" s="1144"/>
      <c r="AS577" s="1144"/>
    </row>
    <row r="578" spans="1:45" s="1140" customFormat="1" ht="13.5" customHeight="1">
      <c r="A578" s="1145" t="s">
        <v>1140</v>
      </c>
      <c r="B578" s="1034"/>
      <c r="C578" s="1034"/>
      <c r="D578" s="1035"/>
      <c r="E578" s="1036"/>
      <c r="F578" s="1042"/>
      <c r="G578" s="1034"/>
      <c r="H578" s="1034"/>
      <c r="I578" s="1035"/>
      <c r="J578" s="1036"/>
      <c r="K578" s="1042"/>
      <c r="L578" s="1034"/>
      <c r="M578" s="1034"/>
      <c r="N578" s="1035"/>
      <c r="O578" s="1036"/>
      <c r="P578" s="1042"/>
      <c r="Q578" s="1034"/>
      <c r="R578" s="1034"/>
      <c r="S578" s="1035"/>
      <c r="T578" s="1036"/>
      <c r="U578" s="1042"/>
      <c r="V578" s="1034"/>
      <c r="W578" s="1034"/>
      <c r="X578" s="1035"/>
      <c r="Y578" s="1036"/>
      <c r="Z578" s="1038">
        <v>0</v>
      </c>
      <c r="AA578" s="1039">
        <v>0</v>
      </c>
      <c r="AB578" s="1037"/>
      <c r="AC578" s="1034">
        <v>0.5</v>
      </c>
      <c r="AD578" s="1034">
        <v>0.22916666666666666</v>
      </c>
      <c r="AE578" s="1035">
        <v>6</v>
      </c>
      <c r="AF578" s="1037"/>
      <c r="AG578" s="1034">
        <v>0.27083333333333331</v>
      </c>
      <c r="AH578" s="1034">
        <v>0.10416666666666667</v>
      </c>
      <c r="AI578" s="1035">
        <v>9.5</v>
      </c>
      <c r="AJ578" s="1038">
        <v>15.5</v>
      </c>
      <c r="AK578" s="1037"/>
      <c r="AL578" s="1137"/>
      <c r="AM578" s="1063"/>
      <c r="AN578" s="1144"/>
      <c r="AO578" s="1144"/>
      <c r="AP578" s="1144"/>
      <c r="AQ578" s="1144"/>
      <c r="AR578" s="1144"/>
      <c r="AS578" s="1144"/>
    </row>
    <row r="579" spans="1:45" s="1140" customFormat="1" ht="13.5" customHeight="1">
      <c r="A579" s="1145" t="s">
        <v>241</v>
      </c>
      <c r="B579" s="1034"/>
      <c r="C579" s="1034"/>
      <c r="D579" s="1035"/>
      <c r="E579" s="1036"/>
      <c r="F579" s="1042"/>
      <c r="G579" s="1034"/>
      <c r="H579" s="1034"/>
      <c r="I579" s="1035"/>
      <c r="J579" s="1036"/>
      <c r="K579" s="1042"/>
      <c r="L579" s="1034"/>
      <c r="M579" s="1034"/>
      <c r="N579" s="1035"/>
      <c r="O579" s="1036"/>
      <c r="P579" s="1042"/>
      <c r="Q579" s="1034"/>
      <c r="R579" s="1034"/>
      <c r="S579" s="1035"/>
      <c r="T579" s="1036"/>
      <c r="U579" s="1042"/>
      <c r="V579" s="1034"/>
      <c r="W579" s="1034"/>
      <c r="X579" s="1035"/>
      <c r="Y579" s="1036"/>
      <c r="Z579" s="1038">
        <v>0</v>
      </c>
      <c r="AA579" s="1039">
        <v>0</v>
      </c>
      <c r="AB579" s="1037"/>
      <c r="AC579" s="1034">
        <v>0.375</v>
      </c>
      <c r="AD579" s="1034">
        <v>0.22916666666666666</v>
      </c>
      <c r="AE579" s="1035">
        <v>8</v>
      </c>
      <c r="AF579" s="1037"/>
      <c r="AG579" s="1034"/>
      <c r="AH579" s="1034"/>
      <c r="AI579" s="1035"/>
      <c r="AJ579" s="1038">
        <v>8</v>
      </c>
      <c r="AK579" s="1037"/>
      <c r="AL579" s="1137"/>
      <c r="AM579" s="1063"/>
      <c r="AN579" s="1144"/>
      <c r="AO579" s="1144"/>
      <c r="AP579" s="1144"/>
      <c r="AQ579" s="1144"/>
      <c r="AR579" s="1144"/>
      <c r="AS579" s="1144"/>
    </row>
    <row r="580" spans="1:45" s="1140" customFormat="1" ht="13.5" customHeight="1">
      <c r="A580" s="1145" t="s">
        <v>1141</v>
      </c>
      <c r="B580" s="1034"/>
      <c r="C580" s="1034"/>
      <c r="D580" s="1035"/>
      <c r="E580" s="1036"/>
      <c r="F580" s="1042"/>
      <c r="G580" s="1034">
        <v>0.29166666666666669</v>
      </c>
      <c r="H580" s="1034">
        <v>0.125</v>
      </c>
      <c r="I580" s="1035">
        <v>7</v>
      </c>
      <c r="J580" s="1036"/>
      <c r="K580" s="1042"/>
      <c r="L580" s="1034"/>
      <c r="M580" s="1034"/>
      <c r="N580" s="1035"/>
      <c r="O580" s="1036"/>
      <c r="P580" s="1042"/>
      <c r="Q580" s="1034"/>
      <c r="R580" s="1034"/>
      <c r="S580" s="1035"/>
      <c r="T580" s="1036"/>
      <c r="U580" s="1042"/>
      <c r="V580" s="1034"/>
      <c r="W580" s="1034"/>
      <c r="X580" s="1035"/>
      <c r="Y580" s="1036"/>
      <c r="Z580" s="1038">
        <v>7</v>
      </c>
      <c r="AA580" s="1039">
        <v>0</v>
      </c>
      <c r="AB580" s="1037"/>
      <c r="AC580" s="1034">
        <v>0.5</v>
      </c>
      <c r="AD580" s="1034">
        <v>0.27083333333333331</v>
      </c>
      <c r="AE580" s="1035">
        <v>6</v>
      </c>
      <c r="AF580" s="1037"/>
      <c r="AG580" s="1034">
        <v>0.52083333333333337</v>
      </c>
      <c r="AH580" s="1034">
        <v>0.14583333333333334</v>
      </c>
      <c r="AI580" s="1035">
        <v>6</v>
      </c>
      <c r="AJ580" s="1038">
        <v>12</v>
      </c>
      <c r="AK580" s="1037"/>
      <c r="AL580" s="1137"/>
      <c r="AM580" s="1063"/>
      <c r="AN580" s="1144"/>
      <c r="AO580" s="1144"/>
      <c r="AP580" s="1144"/>
      <c r="AQ580" s="1144"/>
      <c r="AR580" s="1144"/>
      <c r="AS580" s="1144"/>
    </row>
    <row r="581" spans="1:45" s="1140" customFormat="1" ht="13.5" customHeight="1">
      <c r="A581" s="1147" t="s">
        <v>1438</v>
      </c>
      <c r="B581" s="1132"/>
      <c r="C581" s="1132"/>
      <c r="D581" s="1050">
        <v>0</v>
      </c>
      <c r="E581" s="1050"/>
      <c r="F581" s="1050"/>
      <c r="G581" s="1132"/>
      <c r="H581" s="1132"/>
      <c r="I581" s="1050">
        <v>8</v>
      </c>
      <c r="J581" s="1050"/>
      <c r="K581" s="1050"/>
      <c r="L581" s="1132"/>
      <c r="M581" s="1132"/>
      <c r="N581" s="1050">
        <v>0</v>
      </c>
      <c r="O581" s="1050"/>
      <c r="P581" s="1050"/>
      <c r="Q581" s="1132"/>
      <c r="R581" s="1132"/>
      <c r="S581" s="1050">
        <v>0</v>
      </c>
      <c r="T581" s="1050"/>
      <c r="U581" s="1050"/>
      <c r="V581" s="1132"/>
      <c r="W581" s="1132"/>
      <c r="X581" s="1050">
        <v>0</v>
      </c>
      <c r="Y581" s="1050"/>
      <c r="Z581" s="1051">
        <v>8</v>
      </c>
      <c r="AA581" s="1039">
        <v>0</v>
      </c>
      <c r="AB581" s="1037"/>
      <c r="AC581" s="1034"/>
      <c r="AD581" s="1034"/>
      <c r="AE581" s="1035"/>
      <c r="AF581" s="1037"/>
      <c r="AG581" s="1034"/>
      <c r="AH581" s="1034"/>
      <c r="AI581" s="1035"/>
      <c r="AJ581" s="1038">
        <v>0</v>
      </c>
      <c r="AK581" s="1037"/>
      <c r="AL581" s="1137"/>
      <c r="AM581" s="1063"/>
      <c r="AN581" s="1144"/>
      <c r="AO581" s="1144"/>
      <c r="AP581" s="1144"/>
      <c r="AQ581" s="1144"/>
      <c r="AR581" s="1144"/>
      <c r="AS581" s="1144"/>
    </row>
    <row r="582" spans="1:45" s="1140" customFormat="1" ht="13.5" customHeight="1">
      <c r="A582" s="1147" t="s">
        <v>1439</v>
      </c>
      <c r="B582" s="1049">
        <v>0.45833333333333331</v>
      </c>
      <c r="C582" s="1049">
        <v>0.51041666666666663</v>
      </c>
      <c r="D582" s="1050">
        <v>8</v>
      </c>
      <c r="E582" s="1050"/>
      <c r="F582" s="1050"/>
      <c r="G582" s="1132"/>
      <c r="H582" s="1132"/>
      <c r="I582" s="1050">
        <v>0</v>
      </c>
      <c r="J582" s="1050"/>
      <c r="K582" s="1050"/>
      <c r="L582" s="1049">
        <v>0.46875</v>
      </c>
      <c r="M582" s="1049">
        <v>0.46875</v>
      </c>
      <c r="N582" s="1050">
        <v>1</v>
      </c>
      <c r="O582" s="1050"/>
      <c r="P582" s="1050"/>
      <c r="Q582" s="1132"/>
      <c r="R582" s="1132"/>
      <c r="S582" s="1050">
        <v>0</v>
      </c>
      <c r="T582" s="1050"/>
      <c r="U582" s="1050"/>
      <c r="V582" s="1132"/>
      <c r="W582" s="1132"/>
      <c r="X582" s="1050">
        <v>0</v>
      </c>
      <c r="Y582" s="1050"/>
      <c r="Z582" s="1051">
        <v>9</v>
      </c>
      <c r="AA582" s="1039">
        <v>0</v>
      </c>
      <c r="AB582" s="1037"/>
      <c r="AC582" s="1034"/>
      <c r="AD582" s="1034"/>
      <c r="AE582" s="1035"/>
      <c r="AF582" s="1037"/>
      <c r="AG582" s="1034"/>
      <c r="AH582" s="1034"/>
      <c r="AI582" s="1035"/>
      <c r="AJ582" s="1038">
        <v>0</v>
      </c>
      <c r="AK582" s="1037"/>
      <c r="AL582" s="1137"/>
      <c r="AM582" s="1063"/>
      <c r="AN582" s="1144"/>
      <c r="AO582" s="1144"/>
      <c r="AP582" s="1144"/>
      <c r="AQ582" s="1144"/>
      <c r="AR582" s="1144"/>
      <c r="AS582" s="1144"/>
    </row>
    <row r="583" spans="1:45" s="1140" customFormat="1" ht="13.5" customHeight="1">
      <c r="A583" s="1147" t="s">
        <v>1433</v>
      </c>
      <c r="B583" s="1132"/>
      <c r="C583" s="1132"/>
      <c r="D583" s="1050">
        <v>0</v>
      </c>
      <c r="E583" s="1050"/>
      <c r="F583" s="1050"/>
      <c r="G583" s="1132"/>
      <c r="H583" s="1132"/>
      <c r="I583" s="1050">
        <v>8</v>
      </c>
      <c r="J583" s="1050"/>
      <c r="K583" s="1050"/>
      <c r="L583" s="1132"/>
      <c r="M583" s="1132"/>
      <c r="N583" s="1050">
        <v>8</v>
      </c>
      <c r="O583" s="1050"/>
      <c r="P583" s="1050"/>
      <c r="Q583" s="1132"/>
      <c r="R583" s="1132"/>
      <c r="S583" s="1050">
        <v>8</v>
      </c>
      <c r="T583" s="1050"/>
      <c r="U583" s="1050"/>
      <c r="V583" s="1132"/>
      <c r="W583" s="1132"/>
      <c r="X583" s="1050">
        <v>8</v>
      </c>
      <c r="Y583" s="1050"/>
      <c r="Z583" s="1051">
        <v>32</v>
      </c>
      <c r="AA583" s="1039">
        <v>0</v>
      </c>
      <c r="AB583" s="1037"/>
      <c r="AC583" s="1034"/>
      <c r="AD583" s="1034"/>
      <c r="AE583" s="1035"/>
      <c r="AF583" s="1037"/>
      <c r="AG583" s="1034"/>
      <c r="AH583" s="1034"/>
      <c r="AI583" s="1035"/>
      <c r="AJ583" s="1038">
        <v>0</v>
      </c>
      <c r="AK583" s="1037"/>
      <c r="AL583" s="1137"/>
      <c r="AM583" s="1063"/>
      <c r="AN583" s="1144"/>
      <c r="AO583" s="1144"/>
      <c r="AP583" s="1144"/>
      <c r="AQ583" s="1144"/>
      <c r="AR583" s="1144"/>
      <c r="AS583" s="1144"/>
    </row>
    <row r="584" spans="1:45" s="1140" customFormat="1" ht="13.5" customHeight="1">
      <c r="A584" s="1147" t="s">
        <v>1440</v>
      </c>
      <c r="B584" s="1049">
        <v>0.45833333333333331</v>
      </c>
      <c r="C584" s="1049">
        <v>0.29166666666666669</v>
      </c>
      <c r="D584" s="1050">
        <v>8</v>
      </c>
      <c r="E584" s="1050"/>
      <c r="F584" s="1050"/>
      <c r="G584" s="1049">
        <v>0.45833333333333331</v>
      </c>
      <c r="H584" s="1049">
        <v>0.5</v>
      </c>
      <c r="I584" s="1050">
        <v>1</v>
      </c>
      <c r="J584" s="1050"/>
      <c r="K584" s="1050"/>
      <c r="L584" s="1049"/>
      <c r="M584" s="1049">
        <v>0.29166666666666669</v>
      </c>
      <c r="N584" s="1050">
        <v>8</v>
      </c>
      <c r="O584" s="1050"/>
      <c r="P584" s="1050"/>
      <c r="Q584" s="1049">
        <v>0.45833333333333331</v>
      </c>
      <c r="R584" s="1162">
        <v>0.45833333333333331</v>
      </c>
      <c r="S584" s="1050">
        <v>1</v>
      </c>
      <c r="T584" s="1050"/>
      <c r="U584" s="1050"/>
      <c r="V584" s="1132"/>
      <c r="W584" s="1132"/>
      <c r="X584" s="1050">
        <v>0</v>
      </c>
      <c r="Y584" s="1050"/>
      <c r="Z584" s="1051">
        <v>18</v>
      </c>
      <c r="AA584" s="1039">
        <v>0</v>
      </c>
      <c r="AB584" s="1037"/>
      <c r="AC584" s="1034"/>
      <c r="AD584" s="1034"/>
      <c r="AE584" s="1035"/>
      <c r="AF584" s="1037"/>
      <c r="AG584" s="1034"/>
      <c r="AH584" s="1034"/>
      <c r="AI584" s="1035"/>
      <c r="AJ584" s="1038">
        <v>0</v>
      </c>
      <c r="AK584" s="1037"/>
      <c r="AL584" s="1137"/>
      <c r="AM584" s="1063"/>
      <c r="AN584" s="1144"/>
      <c r="AO584" s="1144"/>
      <c r="AP584" s="1144"/>
      <c r="AQ584" s="1144"/>
      <c r="AR584" s="1144"/>
      <c r="AS584" s="1144"/>
    </row>
    <row r="585" spans="1:45" s="1140" customFormat="1" ht="13.5" customHeight="1">
      <c r="A585" s="1147" t="s">
        <v>1437</v>
      </c>
      <c r="B585" s="1049">
        <v>0.29166666666666669</v>
      </c>
      <c r="C585" s="1162">
        <v>0.125</v>
      </c>
      <c r="D585" s="1050">
        <v>8</v>
      </c>
      <c r="E585" s="1050"/>
      <c r="F585" s="1050"/>
      <c r="G585" s="1049">
        <v>0.29166666666666669</v>
      </c>
      <c r="H585" s="1049">
        <v>0.125</v>
      </c>
      <c r="I585" s="1050">
        <v>8</v>
      </c>
      <c r="J585" s="1050"/>
      <c r="K585" s="1050"/>
      <c r="L585" s="1049">
        <v>0.29166666666666669</v>
      </c>
      <c r="M585" s="1049">
        <v>0.125</v>
      </c>
      <c r="N585" s="1050">
        <v>8</v>
      </c>
      <c r="O585" s="1050"/>
      <c r="P585" s="1050"/>
      <c r="Q585" s="1049">
        <v>0.29166666666666669</v>
      </c>
      <c r="R585" s="1049">
        <v>0.125</v>
      </c>
      <c r="S585" s="1050">
        <v>8</v>
      </c>
      <c r="T585" s="1050"/>
      <c r="U585" s="1050"/>
      <c r="V585" s="1049">
        <v>0.29166666666666669</v>
      </c>
      <c r="W585" s="1049">
        <v>0.125</v>
      </c>
      <c r="X585" s="1050">
        <v>8</v>
      </c>
      <c r="Y585" s="1050"/>
      <c r="Z585" s="1051">
        <v>40</v>
      </c>
      <c r="AA585" s="1039">
        <v>0</v>
      </c>
      <c r="AB585" s="1037"/>
      <c r="AC585" s="1034"/>
      <c r="AD585" s="1034"/>
      <c r="AE585" s="1035"/>
      <c r="AF585" s="1037"/>
      <c r="AG585" s="1034"/>
      <c r="AH585" s="1034"/>
      <c r="AI585" s="1035"/>
      <c r="AJ585" s="1038">
        <v>0</v>
      </c>
      <c r="AK585" s="1037"/>
      <c r="AL585" s="1137"/>
      <c r="AM585" s="1063"/>
      <c r="AN585" s="1144"/>
      <c r="AO585" s="1144"/>
      <c r="AP585" s="1144"/>
      <c r="AQ585" s="1144"/>
      <c r="AR585" s="1144"/>
      <c r="AS585" s="1144"/>
    </row>
    <row r="586" spans="1:45" s="1140" customFormat="1" ht="13.5" customHeight="1">
      <c r="A586" s="1147" t="s">
        <v>1445</v>
      </c>
      <c r="B586" s="1049">
        <v>0.45833333333333331</v>
      </c>
      <c r="C586" s="1162">
        <v>0.16666666666666666</v>
      </c>
      <c r="D586" s="1050">
        <v>5</v>
      </c>
      <c r="E586" s="1050"/>
      <c r="F586" s="1050"/>
      <c r="G586" s="1132"/>
      <c r="H586" s="1132"/>
      <c r="I586" s="1050">
        <v>0</v>
      </c>
      <c r="J586" s="1050"/>
      <c r="K586" s="1050"/>
      <c r="L586" s="1132"/>
      <c r="M586" s="1132"/>
      <c r="N586" s="1050">
        <v>0</v>
      </c>
      <c r="O586" s="1050"/>
      <c r="P586" s="1050"/>
      <c r="Q586" s="1049">
        <v>0.45833333333333331</v>
      </c>
      <c r="R586" s="1162">
        <v>0.29166666666666669</v>
      </c>
      <c r="S586" s="1050">
        <v>8</v>
      </c>
      <c r="T586" s="1050"/>
      <c r="U586" s="1050"/>
      <c r="V586" s="1132"/>
      <c r="W586" s="1132"/>
      <c r="X586" s="1050">
        <v>0</v>
      </c>
      <c r="Y586" s="1050"/>
      <c r="Z586" s="1051">
        <v>13</v>
      </c>
      <c r="AA586" s="1039">
        <v>0</v>
      </c>
      <c r="AB586" s="1037"/>
      <c r="AC586" s="1034"/>
      <c r="AD586" s="1034"/>
      <c r="AE586" s="1035"/>
      <c r="AF586" s="1037"/>
      <c r="AG586" s="1034"/>
      <c r="AH586" s="1034"/>
      <c r="AI586" s="1035"/>
      <c r="AJ586" s="1038">
        <v>0</v>
      </c>
      <c r="AK586" s="1037"/>
      <c r="AL586" s="1137"/>
      <c r="AM586" s="1063"/>
      <c r="AN586" s="1144"/>
      <c r="AO586" s="1144"/>
      <c r="AP586" s="1144"/>
      <c r="AQ586" s="1144"/>
      <c r="AR586" s="1144"/>
      <c r="AS586" s="1144"/>
    </row>
    <row r="587" spans="1:45" s="1140" customFormat="1" ht="13.5" customHeight="1">
      <c r="A587" s="1044" t="s">
        <v>61</v>
      </c>
      <c r="B587" s="1044"/>
      <c r="C587" s="1044"/>
      <c r="D587" s="1045">
        <v>101</v>
      </c>
      <c r="E587" s="1036"/>
      <c r="F587" s="1044"/>
      <c r="G587" s="1044"/>
      <c r="H587" s="1044"/>
      <c r="I587" s="1045">
        <v>104.75</v>
      </c>
      <c r="J587" s="1036"/>
      <c r="K587" s="1044"/>
      <c r="L587" s="1044"/>
      <c r="M587" s="1044"/>
      <c r="N587" s="1045">
        <v>106.75</v>
      </c>
      <c r="O587" s="1036"/>
      <c r="P587" s="1044"/>
      <c r="Q587" s="1044"/>
      <c r="R587" s="1044"/>
      <c r="S587" s="1045">
        <v>107</v>
      </c>
      <c r="T587" s="1036"/>
      <c r="U587" s="1044"/>
      <c r="V587" s="1044"/>
      <c r="W587" s="1044"/>
      <c r="X587" s="1045">
        <v>101</v>
      </c>
      <c r="Y587" s="1036"/>
      <c r="Z587" s="1038">
        <v>519.5</v>
      </c>
      <c r="AA587" s="1038">
        <v>0</v>
      </c>
      <c r="AB587" s="1037"/>
      <c r="AC587" s="1044"/>
      <c r="AD587" s="1044"/>
      <c r="AE587" s="1038">
        <v>36</v>
      </c>
      <c r="AF587" s="1037"/>
      <c r="AG587" s="1044"/>
      <c r="AH587" s="1044"/>
      <c r="AI587" s="1038">
        <v>29</v>
      </c>
      <c r="AJ587" s="1038">
        <v>65</v>
      </c>
      <c r="AK587" s="1037"/>
      <c r="AL587" s="1137"/>
      <c r="AM587" s="1063"/>
      <c r="AN587" s="1144"/>
      <c r="AO587" s="1144"/>
      <c r="AP587" s="1144"/>
      <c r="AQ587" s="1144"/>
      <c r="AR587" s="1144"/>
      <c r="AS587" s="1144"/>
    </row>
    <row r="588" spans="1:45" s="1140" customFormat="1" ht="13.5" customHeight="1">
      <c r="A588" s="1044" t="s">
        <v>1434</v>
      </c>
      <c r="B588" s="1044"/>
      <c r="C588" s="1044"/>
      <c r="D588" s="1045">
        <v>29</v>
      </c>
      <c r="E588" s="1036"/>
      <c r="F588" s="1044"/>
      <c r="G588" s="1044"/>
      <c r="H588" s="1044"/>
      <c r="I588" s="1045">
        <v>25</v>
      </c>
      <c r="J588" s="1036"/>
      <c r="K588" s="1044"/>
      <c r="L588" s="1044"/>
      <c r="M588" s="1044"/>
      <c r="N588" s="1045">
        <v>25</v>
      </c>
      <c r="O588" s="1036"/>
      <c r="P588" s="1044"/>
      <c r="Q588" s="1044"/>
      <c r="R588" s="1044"/>
      <c r="S588" s="1045">
        <v>25</v>
      </c>
      <c r="T588" s="1036"/>
      <c r="U588" s="1044"/>
      <c r="V588" s="1044"/>
      <c r="W588" s="1044"/>
      <c r="X588" s="1045">
        <v>16</v>
      </c>
      <c r="Y588" s="1036"/>
      <c r="Z588" s="1038">
        <v>107</v>
      </c>
      <c r="AA588" s="1038">
        <v>0</v>
      </c>
      <c r="AB588" s="1037"/>
      <c r="AC588" s="1044"/>
      <c r="AD588" s="1044"/>
      <c r="AE588" s="1038"/>
      <c r="AF588" s="1037"/>
      <c r="AG588" s="1044"/>
      <c r="AH588" s="1044"/>
      <c r="AI588" s="1038"/>
      <c r="AJ588" s="1038"/>
      <c r="AK588" s="1037"/>
      <c r="AL588" s="1137"/>
      <c r="AM588" s="1063"/>
      <c r="AN588" s="1144"/>
      <c r="AO588" s="1144"/>
      <c r="AP588" s="1144"/>
      <c r="AQ588" s="1144"/>
      <c r="AR588" s="1144"/>
      <c r="AS588" s="1144"/>
    </row>
    <row r="589" spans="1:45" s="1140" customFormat="1" ht="13.5" customHeight="1">
      <c r="A589" s="1148" t="s">
        <v>64</v>
      </c>
      <c r="B589" s="1034"/>
      <c r="C589" s="1034"/>
      <c r="D589" s="1035">
        <v>4</v>
      </c>
      <c r="E589" s="1035"/>
      <c r="F589" s="1046"/>
      <c r="G589" s="1034"/>
      <c r="H589" s="1034"/>
      <c r="I589" s="1035">
        <v>4</v>
      </c>
      <c r="J589" s="1035"/>
      <c r="K589" s="1042"/>
      <c r="L589" s="1034"/>
      <c r="M589" s="1034"/>
      <c r="N589" s="1035">
        <v>4</v>
      </c>
      <c r="O589" s="1035"/>
      <c r="P589" s="1042"/>
      <c r="Q589" s="1034"/>
      <c r="R589" s="1034"/>
      <c r="S589" s="1035">
        <v>4</v>
      </c>
      <c r="T589" s="1035"/>
      <c r="U589" s="1042"/>
      <c r="V589" s="1034"/>
      <c r="W589" s="1034"/>
      <c r="X589" s="1035">
        <v>4</v>
      </c>
      <c r="Y589" s="1035"/>
      <c r="Z589" s="1038">
        <v>20</v>
      </c>
      <c r="AA589" s="1047">
        <v>0</v>
      </c>
      <c r="AB589" s="1037"/>
      <c r="AC589" s="1034"/>
      <c r="AD589" s="1034"/>
      <c r="AE589" s="1035">
        <v>12</v>
      </c>
      <c r="AF589" s="1037"/>
      <c r="AG589" s="1034"/>
      <c r="AH589" s="1034"/>
      <c r="AI589" s="1035">
        <v>10.5</v>
      </c>
      <c r="AJ589" s="1038">
        <v>22.5</v>
      </c>
      <c r="AK589" s="1037"/>
      <c r="AL589" s="1137"/>
      <c r="AM589" s="1063"/>
      <c r="AN589" s="1144"/>
      <c r="AO589" s="1144"/>
      <c r="AP589" s="1144"/>
      <c r="AQ589" s="1144"/>
      <c r="AR589" s="1144"/>
      <c r="AS589" s="1144"/>
    </row>
    <row r="590" spans="1:45" s="1140" customFormat="1" ht="13.5" customHeight="1">
      <c r="A590" s="1046" t="s">
        <v>66</v>
      </c>
      <c r="B590" s="1062"/>
      <c r="C590" s="1062"/>
      <c r="D590" s="1046"/>
      <c r="E590" s="1046"/>
      <c r="F590" s="1046"/>
      <c r="G590" s="1046"/>
      <c r="H590" s="1046"/>
      <c r="I590" s="1046"/>
      <c r="J590" s="1046"/>
      <c r="K590" s="1046"/>
      <c r="L590" s="1046"/>
      <c r="M590" s="1046"/>
      <c r="N590" s="1046"/>
      <c r="O590" s="1046"/>
      <c r="P590" s="1046"/>
      <c r="Q590" s="1046"/>
      <c r="R590" s="1046"/>
      <c r="S590" s="1046"/>
      <c r="T590" s="1046"/>
      <c r="U590" s="1046"/>
      <c r="V590" s="1046"/>
      <c r="W590" s="1046"/>
      <c r="X590" s="1046"/>
      <c r="Y590" s="1046"/>
      <c r="Z590" s="1038">
        <v>20</v>
      </c>
      <c r="AA590" s="1038">
        <v>0</v>
      </c>
      <c r="AB590" s="1037"/>
      <c r="AC590" s="1063"/>
      <c r="AD590" s="1063"/>
      <c r="AE590" s="1063"/>
      <c r="AF590" s="1037"/>
      <c r="AG590" s="1063"/>
      <c r="AH590" s="1063"/>
      <c r="AI590" s="1063"/>
      <c r="AJ590" s="1038">
        <v>22.5</v>
      </c>
      <c r="AK590" s="1037"/>
      <c r="AL590" s="1137"/>
      <c r="AM590" s="1063"/>
      <c r="AN590" s="1149"/>
      <c r="AO590" s="1144"/>
      <c r="AP590" s="1144"/>
      <c r="AQ590" s="1144"/>
      <c r="AR590" s="1144"/>
      <c r="AS590" s="1144"/>
    </row>
    <row r="591" spans="1:45" s="1140" customFormat="1" ht="13.5" customHeight="1">
      <c r="A591" s="1150" t="s">
        <v>67</v>
      </c>
      <c r="B591" s="1151">
        <v>86</v>
      </c>
      <c r="C591" s="1151"/>
      <c r="D591" s="1152"/>
      <c r="E591" s="1152"/>
      <c r="F591" s="1151"/>
      <c r="G591" s="1152"/>
      <c r="H591" s="1152"/>
      <c r="I591" s="1152"/>
      <c r="J591" s="1152"/>
      <c r="K591" s="1151"/>
      <c r="L591" s="1151"/>
      <c r="M591" s="1151"/>
      <c r="N591" s="1151"/>
      <c r="O591" s="1152"/>
      <c r="P591" s="1151"/>
      <c r="Q591" s="1151"/>
      <c r="R591" s="1151"/>
      <c r="S591" s="1151"/>
      <c r="T591" s="1152"/>
      <c r="U591" s="1151"/>
      <c r="V591" s="1151"/>
      <c r="W591" s="1151"/>
      <c r="X591" s="1153"/>
      <c r="Y591" s="1152"/>
      <c r="Z591" s="1154"/>
      <c r="AA591" s="1152"/>
      <c r="AB591" s="1154"/>
      <c r="AC591" s="1154"/>
      <c r="AD591" s="1154"/>
      <c r="AE591" s="1154"/>
      <c r="AF591" s="1154"/>
      <c r="AG591" s="1154"/>
      <c r="AH591" s="1154"/>
      <c r="AI591" s="1154"/>
      <c r="AJ591" s="1154"/>
      <c r="AK591" s="1037"/>
      <c r="AL591" s="1137"/>
      <c r="AM591" s="1063"/>
      <c r="AN591" s="1149"/>
      <c r="AO591" s="1144"/>
      <c r="AP591" s="1144"/>
      <c r="AQ591" s="1144"/>
      <c r="AR591" s="1144"/>
      <c r="AS591" s="1144"/>
    </row>
    <row r="592" spans="1:45" ht="13.5" customHeight="1">
      <c r="A592" s="940"/>
      <c r="B592" s="940"/>
      <c r="C592" s="940"/>
      <c r="D592" s="941"/>
      <c r="E592" s="942"/>
      <c r="F592" s="941"/>
      <c r="G592" s="940"/>
      <c r="H592" s="940"/>
      <c r="I592" s="941"/>
      <c r="J592" s="942"/>
      <c r="K592" s="941"/>
      <c r="L592" s="940"/>
      <c r="M592" s="940"/>
      <c r="N592" s="941"/>
      <c r="O592" s="942"/>
      <c r="P592" s="941"/>
      <c r="Q592" s="940"/>
      <c r="R592" s="940"/>
      <c r="S592" s="941"/>
      <c r="T592" s="942"/>
      <c r="U592" s="941"/>
      <c r="V592" s="940"/>
      <c r="W592" s="940"/>
      <c r="X592" s="941"/>
      <c r="Y592" s="942"/>
      <c r="Z592" s="941"/>
      <c r="AA592" s="941"/>
      <c r="AB592" s="941"/>
      <c r="AC592" s="940"/>
      <c r="AD592" s="940"/>
      <c r="AE592" s="940"/>
      <c r="AF592" s="941"/>
      <c r="AG592" s="940"/>
      <c r="AH592" s="940"/>
      <c r="AI592" s="940"/>
      <c r="AJ592" s="940"/>
      <c r="AK592" s="941"/>
      <c r="AL592" s="943"/>
      <c r="AM592" s="940"/>
      <c r="AN592" s="954"/>
      <c r="AO592" s="954"/>
      <c r="AP592" s="954"/>
      <c r="AQ592" s="954"/>
      <c r="AR592" s="954"/>
      <c r="AS592" s="954"/>
    </row>
    <row r="593" spans="1:45" ht="13.5" customHeight="1">
      <c r="A593" s="974"/>
      <c r="B593" s="975"/>
      <c r="C593" s="975"/>
      <c r="D593" s="976"/>
      <c r="E593" s="976"/>
      <c r="F593" s="975"/>
      <c r="G593" s="976"/>
      <c r="H593" s="976"/>
      <c r="I593" s="976"/>
      <c r="J593" s="976"/>
      <c r="K593" s="975"/>
      <c r="L593" s="975"/>
      <c r="M593" s="975"/>
      <c r="N593" s="975"/>
      <c r="O593" s="976"/>
      <c r="P593" s="975"/>
      <c r="Q593" s="975"/>
      <c r="R593" s="975"/>
      <c r="S593" s="975"/>
      <c r="T593" s="976"/>
      <c r="U593" s="975"/>
      <c r="V593" s="975"/>
      <c r="W593" s="975"/>
      <c r="X593" s="977"/>
      <c r="Y593" s="976"/>
      <c r="Z593" s="978"/>
      <c r="AA593" s="976"/>
      <c r="AB593" s="979"/>
      <c r="AC593" s="980"/>
      <c r="AD593" s="943"/>
      <c r="AE593" s="943"/>
      <c r="AF593" s="979"/>
      <c r="AG593" s="980"/>
      <c r="AH593" s="943"/>
      <c r="AI593" s="943"/>
      <c r="AJ593" s="943"/>
      <c r="AK593" s="943"/>
      <c r="AL593" s="943"/>
      <c r="AM593" s="943"/>
      <c r="AN593" s="943"/>
      <c r="AO593" s="943"/>
      <c r="AP593" s="943"/>
      <c r="AQ593" s="943"/>
      <c r="AR593" s="943"/>
      <c r="AS593" s="943"/>
    </row>
    <row r="594" spans="1:45" ht="13.5" customHeight="1">
      <c r="A594" s="940"/>
      <c r="B594" s="940"/>
      <c r="C594" s="940"/>
      <c r="D594" s="941"/>
      <c r="E594" s="942"/>
      <c r="F594" s="941"/>
      <c r="G594" s="940"/>
      <c r="H594" s="940"/>
      <c r="I594" s="941"/>
      <c r="J594" s="942"/>
      <c r="K594" s="941"/>
      <c r="L594" s="940"/>
      <c r="M594" s="940"/>
      <c r="N594" s="941"/>
      <c r="O594" s="942"/>
      <c r="P594" s="941"/>
      <c r="Q594" s="940"/>
      <c r="R594" s="940"/>
      <c r="S594" s="941"/>
      <c r="T594" s="942"/>
      <c r="U594" s="941"/>
      <c r="V594" s="940"/>
      <c r="W594" s="940"/>
      <c r="X594" s="941"/>
      <c r="Y594" s="942"/>
      <c r="Z594" s="941"/>
      <c r="AA594" s="941"/>
      <c r="AB594" s="941"/>
      <c r="AC594" s="940"/>
      <c r="AD594" s="940"/>
      <c r="AE594" s="940"/>
      <c r="AF594" s="941"/>
      <c r="AG594" s="940"/>
      <c r="AH594" s="940"/>
      <c r="AI594" s="940"/>
      <c r="AJ594" s="940"/>
      <c r="AK594" s="941"/>
      <c r="AL594" s="943"/>
      <c r="AM594" s="940"/>
      <c r="AN594" s="954"/>
      <c r="AO594" s="954"/>
      <c r="AP594" s="954"/>
      <c r="AQ594" s="954"/>
      <c r="AR594" s="954"/>
      <c r="AS594" s="954"/>
    </row>
    <row r="595" spans="1:45" ht="13.5" customHeight="1">
      <c r="A595" s="1591" t="s">
        <v>18</v>
      </c>
      <c r="B595" s="1590">
        <v>45957</v>
      </c>
      <c r="C595" s="1590"/>
      <c r="D595" s="1590" t="s">
        <v>564</v>
      </c>
      <c r="E595" s="1590"/>
      <c r="F595" s="1085"/>
      <c r="G595" s="1590">
        <v>45958</v>
      </c>
      <c r="H595" s="1590"/>
      <c r="I595" s="1590" t="s">
        <v>565</v>
      </c>
      <c r="J595" s="1590"/>
      <c r="K595" s="1085"/>
      <c r="L595" s="1590">
        <v>45959</v>
      </c>
      <c r="M595" s="1590"/>
      <c r="N595" s="1590" t="s">
        <v>566</v>
      </c>
      <c r="O595" s="1590"/>
      <c r="P595" s="1085"/>
      <c r="Q595" s="1590">
        <v>45960</v>
      </c>
      <c r="R595" s="1590"/>
      <c r="S595" s="1590" t="s">
        <v>567</v>
      </c>
      <c r="T595" s="1590"/>
      <c r="U595" s="1085"/>
      <c r="V595" s="1590">
        <v>45961</v>
      </c>
      <c r="W595" s="1590"/>
      <c r="X595" s="1590" t="s">
        <v>568</v>
      </c>
      <c r="Y595" s="1590"/>
      <c r="Z595" s="1587" t="s">
        <v>19</v>
      </c>
      <c r="AA595" s="1587" t="s">
        <v>20</v>
      </c>
      <c r="AB595" s="941"/>
      <c r="AC595" s="1588">
        <v>45962</v>
      </c>
      <c r="AD595" s="1588"/>
      <c r="AE595" s="982" t="s">
        <v>569</v>
      </c>
      <c r="AF595" s="941"/>
      <c r="AG595" s="1588">
        <v>45963</v>
      </c>
      <c r="AH595" s="1588"/>
      <c r="AI595" s="982" t="s">
        <v>570</v>
      </c>
      <c r="AJ595" s="1589" t="s">
        <v>1420</v>
      </c>
      <c r="AK595" s="941"/>
      <c r="AL595" s="984"/>
      <c r="AM595" s="940"/>
      <c r="AN595" s="985" t="s">
        <v>84</v>
      </c>
      <c r="AO595" s="986"/>
      <c r="AP595" s="986"/>
      <c r="AQ595" s="986"/>
      <c r="AR595" s="986"/>
      <c r="AS595" s="986"/>
    </row>
    <row r="596" spans="1:45" ht="13.5" customHeight="1">
      <c r="A596" s="1591"/>
      <c r="B596" s="1088" t="s">
        <v>23</v>
      </c>
      <c r="C596" s="1088" t="s">
        <v>24</v>
      </c>
      <c r="D596" s="1047" t="s">
        <v>25</v>
      </c>
      <c r="E596" s="1089" t="s">
        <v>14</v>
      </c>
      <c r="F596" s="1037"/>
      <c r="G596" s="1088" t="s">
        <v>23</v>
      </c>
      <c r="H596" s="1088" t="s">
        <v>24</v>
      </c>
      <c r="I596" s="1089" t="s">
        <v>25</v>
      </c>
      <c r="J596" s="1089" t="s">
        <v>14</v>
      </c>
      <c r="K596" s="1037"/>
      <c r="L596" s="1088" t="s">
        <v>23</v>
      </c>
      <c r="M596" s="1088" t="s">
        <v>24</v>
      </c>
      <c r="N596" s="1089" t="s">
        <v>25</v>
      </c>
      <c r="O596" s="1089" t="s">
        <v>14</v>
      </c>
      <c r="P596" s="1037"/>
      <c r="Q596" s="1088" t="s">
        <v>23</v>
      </c>
      <c r="R596" s="1088" t="s">
        <v>24</v>
      </c>
      <c r="S596" s="1089" t="s">
        <v>25</v>
      </c>
      <c r="T596" s="1089" t="s">
        <v>14</v>
      </c>
      <c r="U596" s="1037"/>
      <c r="V596" s="1088" t="s">
        <v>23</v>
      </c>
      <c r="W596" s="1088" t="s">
        <v>24</v>
      </c>
      <c r="X596" s="1089" t="s">
        <v>25</v>
      </c>
      <c r="Y596" s="1089" t="s">
        <v>14</v>
      </c>
      <c r="Z596" s="1587"/>
      <c r="AA596" s="1587"/>
      <c r="AB596" s="941"/>
      <c r="AC596" s="987" t="s">
        <v>23</v>
      </c>
      <c r="AD596" s="987" t="s">
        <v>24</v>
      </c>
      <c r="AE596" s="990" t="s">
        <v>25</v>
      </c>
      <c r="AF596" s="941"/>
      <c r="AG596" s="987" t="s">
        <v>23</v>
      </c>
      <c r="AH596" s="987" t="s">
        <v>24</v>
      </c>
      <c r="AI596" s="990" t="s">
        <v>25</v>
      </c>
      <c r="AJ596" s="1589"/>
      <c r="AK596" s="941"/>
      <c r="AL596" s="984"/>
      <c r="AM596" s="991"/>
      <c r="AN596" s="1141" t="s">
        <v>26</v>
      </c>
      <c r="AO596" s="1142">
        <f>Z625</f>
        <v>505.5</v>
      </c>
      <c r="AP596" s="1143">
        <v>40.31</v>
      </c>
      <c r="AQ596" s="1143">
        <f>AP596*AO596</f>
        <v>20376.705000000002</v>
      </c>
      <c r="AR596" s="1144"/>
      <c r="AS596" s="1144"/>
    </row>
    <row r="597" spans="1:45" ht="13.5" customHeight="1">
      <c r="A597" s="1034" t="s">
        <v>72</v>
      </c>
      <c r="B597" s="1034">
        <v>0.29166666666666669</v>
      </c>
      <c r="C597" s="1034">
        <v>0.125</v>
      </c>
      <c r="D597" s="1035">
        <v>8</v>
      </c>
      <c r="E597" s="1036"/>
      <c r="F597" s="1037"/>
      <c r="G597" s="1034">
        <v>0.29166666666666669</v>
      </c>
      <c r="H597" s="1034">
        <v>0.125</v>
      </c>
      <c r="I597" s="1035">
        <v>8</v>
      </c>
      <c r="J597" s="1036"/>
      <c r="K597" s="1037"/>
      <c r="L597" s="1034">
        <v>0.29166666666666669</v>
      </c>
      <c r="M597" s="1034">
        <v>0.125</v>
      </c>
      <c r="N597" s="1035">
        <v>8</v>
      </c>
      <c r="O597" s="1036"/>
      <c r="P597" s="1037"/>
      <c r="Q597" s="1034">
        <v>0.29166666666666669</v>
      </c>
      <c r="R597" s="1034">
        <v>0.125</v>
      </c>
      <c r="S597" s="1035">
        <v>8</v>
      </c>
      <c r="T597" s="1036"/>
      <c r="U597" s="1037"/>
      <c r="V597" s="1034">
        <v>0.29166666666666669</v>
      </c>
      <c r="W597" s="1034">
        <v>0.125</v>
      </c>
      <c r="X597" s="1035">
        <v>8</v>
      </c>
      <c r="Y597" s="1036"/>
      <c r="Z597" s="1038">
        <v>40</v>
      </c>
      <c r="AA597" s="1039">
        <v>0</v>
      </c>
      <c r="AB597" s="941"/>
      <c r="AC597" s="1040"/>
      <c r="AD597" s="1040"/>
      <c r="AE597" s="1035"/>
      <c r="AF597" s="1037"/>
      <c r="AG597" s="1040"/>
      <c r="AH597" s="1040"/>
      <c r="AI597" s="1035"/>
      <c r="AJ597" s="1038">
        <v>0</v>
      </c>
      <c r="AK597" s="941"/>
      <c r="AL597" s="984"/>
      <c r="AM597" s="991"/>
      <c r="AN597" s="1141" t="s">
        <v>1421</v>
      </c>
      <c r="AO597" s="1142">
        <f>Z626</f>
        <v>120.25</v>
      </c>
      <c r="AP597" s="1143">
        <v>60.47</v>
      </c>
      <c r="AQ597" s="1143">
        <f>AP597*AO597</f>
        <v>7271.5174999999999</v>
      </c>
      <c r="AR597" s="1144"/>
      <c r="AS597" s="1144"/>
    </row>
    <row r="598" spans="1:45" ht="13.5" customHeight="1">
      <c r="A598" s="1145" t="s">
        <v>1166</v>
      </c>
      <c r="B598" s="1034">
        <v>0.29166666666666669</v>
      </c>
      <c r="C598" s="1034">
        <v>0.125</v>
      </c>
      <c r="D598" s="1035">
        <v>8</v>
      </c>
      <c r="E598" s="1036"/>
      <c r="F598" s="1037"/>
      <c r="G598" s="1034">
        <v>0.29166666666666669</v>
      </c>
      <c r="H598" s="1034">
        <v>0.125</v>
      </c>
      <c r="I598" s="1035">
        <v>8</v>
      </c>
      <c r="J598" s="1036"/>
      <c r="K598" s="1037"/>
      <c r="L598" s="1034">
        <v>0.29166666666666669</v>
      </c>
      <c r="M598" s="1034">
        <v>0.125</v>
      </c>
      <c r="N598" s="1035">
        <v>8</v>
      </c>
      <c r="O598" s="1036"/>
      <c r="P598" s="1037"/>
      <c r="Q598" s="1034">
        <v>0.29166666666666669</v>
      </c>
      <c r="R598" s="1034">
        <v>0.125</v>
      </c>
      <c r="S598" s="1035">
        <v>8</v>
      </c>
      <c r="T598" s="1036"/>
      <c r="U598" s="1037"/>
      <c r="V598" s="1034">
        <v>0.29166666666666669</v>
      </c>
      <c r="W598" s="1034">
        <v>0.125</v>
      </c>
      <c r="X598" s="1035">
        <v>8</v>
      </c>
      <c r="Y598" s="1036"/>
      <c r="Z598" s="1038">
        <v>40</v>
      </c>
      <c r="AA598" s="1039">
        <v>0</v>
      </c>
      <c r="AB598" s="941"/>
      <c r="AC598" s="1034"/>
      <c r="AD598" s="1034"/>
      <c r="AE598" s="1035"/>
      <c r="AF598" s="1037"/>
      <c r="AG598" s="1034">
        <v>0.33333333333333331</v>
      </c>
      <c r="AH598" s="1034">
        <v>0.16666666666666666</v>
      </c>
      <c r="AI598" s="1035">
        <v>8</v>
      </c>
      <c r="AJ598" s="1038">
        <v>8</v>
      </c>
      <c r="AK598" s="941"/>
      <c r="AL598" s="943"/>
      <c r="AM598" s="940"/>
      <c r="AN598" s="1141" t="s">
        <v>30</v>
      </c>
      <c r="AO598" s="1142">
        <f>AA625</f>
        <v>26.75</v>
      </c>
      <c r="AP598" s="1143">
        <v>60.465000000000003</v>
      </c>
      <c r="AQ598" s="1143">
        <f t="shared" ref="AQ598" si="12">AP598*AO598</f>
        <v>1617.43875</v>
      </c>
      <c r="AR598" s="1144"/>
      <c r="AS598" s="1144"/>
    </row>
    <row r="599" spans="1:45" ht="13.5" customHeight="1">
      <c r="A599" s="1145" t="s">
        <v>1425</v>
      </c>
      <c r="B599" s="1034">
        <v>0.29166666666666669</v>
      </c>
      <c r="C599" s="1034">
        <v>6.25E-2</v>
      </c>
      <c r="D599" s="1035">
        <v>8</v>
      </c>
      <c r="E599" s="1036"/>
      <c r="F599" s="1037"/>
      <c r="G599" s="1034">
        <v>0.29166666666666669</v>
      </c>
      <c r="H599" s="1034">
        <v>0.125</v>
      </c>
      <c r="I599" s="1035">
        <v>8</v>
      </c>
      <c r="J599" s="1036"/>
      <c r="K599" s="1037"/>
      <c r="L599" s="1034">
        <v>0.33333333333333331</v>
      </c>
      <c r="M599" s="1034">
        <v>0.125</v>
      </c>
      <c r="N599" s="1035">
        <v>7</v>
      </c>
      <c r="O599" s="1036"/>
      <c r="P599" s="1037"/>
      <c r="Q599" s="1034">
        <v>0.33333333333333331</v>
      </c>
      <c r="R599" s="1034">
        <v>0.5</v>
      </c>
      <c r="S599" s="1035">
        <v>7</v>
      </c>
      <c r="T599" s="1036"/>
      <c r="U599" s="1037"/>
      <c r="V599" s="1132"/>
      <c r="W599" s="1132"/>
      <c r="X599" s="1035">
        <v>0</v>
      </c>
      <c r="Y599" s="1036"/>
      <c r="Z599" s="1038">
        <v>30</v>
      </c>
      <c r="AA599" s="1039">
        <v>0</v>
      </c>
      <c r="AB599" s="941"/>
      <c r="AC599" s="1034"/>
      <c r="AD599" s="1034"/>
      <c r="AE599" s="1035"/>
      <c r="AF599" s="1037"/>
      <c r="AG599" s="1034"/>
      <c r="AH599" s="1034"/>
      <c r="AI599" s="1035"/>
      <c r="AJ599" s="1038">
        <v>0</v>
      </c>
      <c r="AK599" s="941"/>
      <c r="AL599" s="943"/>
      <c r="AM599" s="940"/>
      <c r="AN599" s="1141" t="s">
        <v>32</v>
      </c>
      <c r="AO599" s="1142">
        <f>AJ625</f>
        <v>87.5</v>
      </c>
      <c r="AP599" s="1143">
        <v>60.465000000000003</v>
      </c>
      <c r="AQ599" s="1143">
        <f>AP599*AO599</f>
        <v>5290.6875</v>
      </c>
      <c r="AR599" s="1144"/>
      <c r="AS599" s="1144"/>
    </row>
    <row r="600" spans="1:45" ht="13.5" customHeight="1">
      <c r="A600" s="1145" t="s">
        <v>1426</v>
      </c>
      <c r="B600" s="1034">
        <v>0.29166666666666669</v>
      </c>
      <c r="C600" s="1034">
        <v>0.125</v>
      </c>
      <c r="D600" s="1035">
        <v>8</v>
      </c>
      <c r="E600" s="1036"/>
      <c r="F600" s="1037"/>
      <c r="G600" s="1034">
        <v>0.29166666666666669</v>
      </c>
      <c r="H600" s="1034">
        <v>0.125</v>
      </c>
      <c r="I600" s="1035">
        <v>8</v>
      </c>
      <c r="J600" s="1036"/>
      <c r="K600" s="1037"/>
      <c r="L600" s="1034">
        <v>0.29166666666666669</v>
      </c>
      <c r="M600" s="1034">
        <v>0.125</v>
      </c>
      <c r="N600" s="1035">
        <v>8</v>
      </c>
      <c r="O600" s="1036"/>
      <c r="P600" s="1037"/>
      <c r="Q600" s="1034">
        <v>0.29166666666666669</v>
      </c>
      <c r="R600" s="1034">
        <v>0.125</v>
      </c>
      <c r="S600" s="1035">
        <v>8</v>
      </c>
      <c r="T600" s="1036"/>
      <c r="U600" s="1037"/>
      <c r="V600" s="1132"/>
      <c r="W600" s="1132"/>
      <c r="X600" s="1035">
        <v>0</v>
      </c>
      <c r="Y600" s="1036"/>
      <c r="Z600" s="1038">
        <v>32</v>
      </c>
      <c r="AA600" s="1039">
        <v>0</v>
      </c>
      <c r="AB600" s="941"/>
      <c r="AC600" s="1034"/>
      <c r="AD600" s="1034"/>
      <c r="AE600" s="1035"/>
      <c r="AF600" s="1037"/>
      <c r="AG600" s="1034"/>
      <c r="AH600" s="1034"/>
      <c r="AI600" s="1035"/>
      <c r="AJ600" s="1038">
        <v>0</v>
      </c>
      <c r="AK600" s="941"/>
      <c r="AL600" s="943"/>
      <c r="AM600" s="940"/>
      <c r="AN600" s="1141" t="s">
        <v>213</v>
      </c>
      <c r="AO600" s="1142">
        <f>Z628</f>
        <v>19</v>
      </c>
      <c r="AP600" s="1143">
        <v>53.05</v>
      </c>
      <c r="AQ600" s="1143">
        <f>AP600*AO600</f>
        <v>1007.9499999999999</v>
      </c>
      <c r="AR600" s="1144"/>
      <c r="AS600" s="1144"/>
    </row>
    <row r="601" spans="1:45" ht="13.5" customHeight="1">
      <c r="A601" s="1145" t="s">
        <v>1066</v>
      </c>
      <c r="B601" s="1034">
        <v>0.29166666666666669</v>
      </c>
      <c r="C601" s="1034"/>
      <c r="D601" s="1035">
        <v>8</v>
      </c>
      <c r="E601" s="1036"/>
      <c r="F601" s="1037"/>
      <c r="G601" s="1034">
        <v>0.29166666666666669</v>
      </c>
      <c r="H601" s="1034"/>
      <c r="I601" s="1035">
        <v>8</v>
      </c>
      <c r="J601" s="1036"/>
      <c r="K601" s="1037"/>
      <c r="L601" s="1034">
        <v>0.29166666666666669</v>
      </c>
      <c r="M601" s="1034"/>
      <c r="N601" s="1035">
        <v>8</v>
      </c>
      <c r="O601" s="1036"/>
      <c r="P601" s="1037"/>
      <c r="Q601" s="1034">
        <v>0.29166666666666669</v>
      </c>
      <c r="R601" s="1034">
        <v>0.125</v>
      </c>
      <c r="S601" s="1035">
        <v>8</v>
      </c>
      <c r="T601" s="1036"/>
      <c r="U601" s="1037"/>
      <c r="V601" s="1132"/>
      <c r="W601" s="1132"/>
      <c r="X601" s="1035">
        <v>0</v>
      </c>
      <c r="Y601" s="1036"/>
      <c r="Z601" s="1038">
        <v>32</v>
      </c>
      <c r="AA601" s="1039">
        <v>0</v>
      </c>
      <c r="AB601" s="941"/>
      <c r="AC601" s="1034"/>
      <c r="AD601" s="1034"/>
      <c r="AE601" s="1035"/>
      <c r="AF601" s="1037"/>
      <c r="AG601" s="1034"/>
      <c r="AH601" s="1034"/>
      <c r="AI601" s="1035"/>
      <c r="AJ601" s="1038">
        <v>0</v>
      </c>
      <c r="AK601" s="941"/>
      <c r="AL601" s="943"/>
      <c r="AM601" s="940"/>
      <c r="AN601" s="1141" t="s">
        <v>36</v>
      </c>
      <c r="AO601" s="1142">
        <v>0</v>
      </c>
      <c r="AP601" s="1143">
        <v>79.574999999999989</v>
      </c>
      <c r="AQ601" s="1143">
        <f>AP601*AO601</f>
        <v>0</v>
      </c>
      <c r="AR601" s="1144"/>
      <c r="AS601" s="1144"/>
    </row>
    <row r="602" spans="1:45" ht="13.5" customHeight="1">
      <c r="A602" s="1145" t="s">
        <v>1427</v>
      </c>
      <c r="B602" s="1034">
        <v>0.29166666666666669</v>
      </c>
      <c r="C602" s="1034">
        <v>0.125</v>
      </c>
      <c r="D602" s="1035">
        <v>8</v>
      </c>
      <c r="E602" s="1036"/>
      <c r="F602" s="1037"/>
      <c r="G602" s="1132"/>
      <c r="H602" s="1132"/>
      <c r="I602" s="1035">
        <v>0</v>
      </c>
      <c r="J602" s="1036"/>
      <c r="K602" s="1037"/>
      <c r="L602" s="1034">
        <v>0.29166666666666669</v>
      </c>
      <c r="M602" s="1034">
        <v>0.125</v>
      </c>
      <c r="N602" s="1035">
        <v>8</v>
      </c>
      <c r="O602" s="1036"/>
      <c r="P602" s="1037"/>
      <c r="Q602" s="1034">
        <v>0.29166666666666669</v>
      </c>
      <c r="R602" s="1034">
        <v>0.125</v>
      </c>
      <c r="S602" s="1035">
        <v>8</v>
      </c>
      <c r="T602" s="1036"/>
      <c r="U602" s="1037"/>
      <c r="V602" s="1034">
        <v>0.29166666666666669</v>
      </c>
      <c r="W602" s="1034">
        <v>0.125</v>
      </c>
      <c r="X602" s="1035">
        <v>8</v>
      </c>
      <c r="Y602" s="1036"/>
      <c r="Z602" s="1038">
        <v>32</v>
      </c>
      <c r="AA602" s="1039">
        <v>0</v>
      </c>
      <c r="AB602" s="941"/>
      <c r="AC602" s="1034"/>
      <c r="AD602" s="1034"/>
      <c r="AE602" s="1035"/>
      <c r="AF602" s="1037"/>
      <c r="AG602" s="1034"/>
      <c r="AH602" s="1034"/>
      <c r="AI602" s="1035"/>
      <c r="AJ602" s="1038">
        <v>0</v>
      </c>
      <c r="AK602" s="941"/>
      <c r="AL602" s="943"/>
      <c r="AM602" s="940"/>
      <c r="AN602" s="1141" t="s">
        <v>38</v>
      </c>
      <c r="AO602" s="1142">
        <f>AJ628</f>
        <v>16</v>
      </c>
      <c r="AP602" s="1143">
        <v>79.574999999999989</v>
      </c>
      <c r="AQ602" s="1143">
        <f>AP602*AO602</f>
        <v>1273.1999999999998</v>
      </c>
      <c r="AR602" s="1144"/>
      <c r="AS602" s="1144"/>
    </row>
    <row r="603" spans="1:45" ht="13.5" customHeight="1">
      <c r="A603" s="1145" t="s">
        <v>1428</v>
      </c>
      <c r="B603" s="1034">
        <v>0.125</v>
      </c>
      <c r="C603" s="1034">
        <v>0.23958333333333334</v>
      </c>
      <c r="D603" s="1035">
        <v>8</v>
      </c>
      <c r="E603" s="1036"/>
      <c r="F603" s="1037"/>
      <c r="G603" s="1034">
        <v>0.125</v>
      </c>
      <c r="H603" s="1034">
        <v>0.1875</v>
      </c>
      <c r="I603" s="1035">
        <v>8</v>
      </c>
      <c r="J603" s="1036"/>
      <c r="K603" s="1037"/>
      <c r="L603" s="1034">
        <v>0.125</v>
      </c>
      <c r="M603" s="1034">
        <v>0.3125</v>
      </c>
      <c r="N603" s="1035">
        <v>8</v>
      </c>
      <c r="O603" s="1036"/>
      <c r="P603" s="1037"/>
      <c r="Q603" s="1034">
        <v>0.125</v>
      </c>
      <c r="R603" s="1034">
        <v>0.45833333333333331</v>
      </c>
      <c r="S603" s="1035">
        <v>8</v>
      </c>
      <c r="T603" s="1036"/>
      <c r="U603" s="1037"/>
      <c r="V603" s="1034">
        <v>0.125</v>
      </c>
      <c r="W603" s="1034">
        <v>0.45833333333333331</v>
      </c>
      <c r="X603" s="1035">
        <v>8</v>
      </c>
      <c r="Y603" s="1036"/>
      <c r="Z603" s="1038">
        <v>40</v>
      </c>
      <c r="AA603" s="1039">
        <v>0</v>
      </c>
      <c r="AB603" s="941"/>
      <c r="AC603" s="1034"/>
      <c r="AD603" s="1034"/>
      <c r="AE603" s="1035"/>
      <c r="AF603" s="1037"/>
      <c r="AG603" s="1034"/>
      <c r="AH603" s="1034"/>
      <c r="AI603" s="1035"/>
      <c r="AJ603" s="1038">
        <v>0</v>
      </c>
      <c r="AK603" s="941"/>
      <c r="AL603" s="943"/>
      <c r="AM603" s="940"/>
      <c r="AN603" s="1144"/>
      <c r="AO603" s="1142"/>
      <c r="AP603" s="1144"/>
      <c r="AQ603" s="1163">
        <f>SUM(AQ596:AQ602)</f>
        <v>36837.498749999999</v>
      </c>
      <c r="AR603" s="1144"/>
      <c r="AS603" s="1144"/>
    </row>
    <row r="604" spans="1:45" ht="13.5" customHeight="1">
      <c r="A604" s="1145" t="s">
        <v>1142</v>
      </c>
      <c r="B604" s="1132"/>
      <c r="C604" s="1132"/>
      <c r="D604" s="1035">
        <v>0</v>
      </c>
      <c r="E604" s="1036"/>
      <c r="F604" s="1037"/>
      <c r="G604" s="1034">
        <v>0.125</v>
      </c>
      <c r="H604" s="1034">
        <v>0.45833333333333331</v>
      </c>
      <c r="I604" s="1035">
        <v>8</v>
      </c>
      <c r="J604" s="1036"/>
      <c r="K604" s="1042"/>
      <c r="L604" s="1034"/>
      <c r="M604" s="1034">
        <v>0.45833333333333331</v>
      </c>
      <c r="N604" s="1035">
        <v>8</v>
      </c>
      <c r="O604" s="1036"/>
      <c r="P604" s="1042"/>
      <c r="Q604" s="1132"/>
      <c r="R604" s="1132"/>
      <c r="S604" s="1035">
        <v>0</v>
      </c>
      <c r="T604" s="1036"/>
      <c r="U604" s="1042"/>
      <c r="V604" s="1132"/>
      <c r="W604" s="1132"/>
      <c r="X604" s="1035">
        <v>0</v>
      </c>
      <c r="Y604" s="1036"/>
      <c r="Z604" s="1038">
        <v>16</v>
      </c>
      <c r="AA604" s="1039">
        <v>0</v>
      </c>
      <c r="AB604" s="941"/>
      <c r="AC604" s="1034"/>
      <c r="AD604" s="1034"/>
      <c r="AE604" s="1035"/>
      <c r="AF604" s="1037"/>
      <c r="AG604" s="1034"/>
      <c r="AH604" s="1034"/>
      <c r="AI604" s="1035"/>
      <c r="AJ604" s="1038">
        <v>0</v>
      </c>
      <c r="AK604" s="941"/>
      <c r="AL604" s="943"/>
      <c r="AM604" s="940"/>
      <c r="AN604" s="1144"/>
      <c r="AO604" s="1142"/>
      <c r="AP604" s="1144"/>
      <c r="AQ604" s="1144"/>
      <c r="AR604" s="1144"/>
      <c r="AS604" s="1144"/>
    </row>
    <row r="605" spans="1:45" ht="13.5" customHeight="1">
      <c r="A605" s="1145" t="s">
        <v>1429</v>
      </c>
      <c r="B605" s="1132"/>
      <c r="C605" s="1132"/>
      <c r="D605" s="1035">
        <v>0</v>
      </c>
      <c r="E605" s="1036"/>
      <c r="F605" s="1037"/>
      <c r="G605" s="1132"/>
      <c r="H605" s="1132"/>
      <c r="I605" s="1035">
        <v>0</v>
      </c>
      <c r="J605" s="1036"/>
      <c r="K605" s="1042"/>
      <c r="L605" s="1034">
        <v>0.125</v>
      </c>
      <c r="M605" s="1034">
        <v>0.44791666666666669</v>
      </c>
      <c r="N605" s="1035">
        <v>7.75</v>
      </c>
      <c r="O605" s="1036"/>
      <c r="P605" s="1042"/>
      <c r="Q605" s="1034">
        <v>0.125</v>
      </c>
      <c r="R605" s="1034">
        <v>0.45833333333333331</v>
      </c>
      <c r="S605" s="1035">
        <v>8</v>
      </c>
      <c r="T605" s="1036"/>
      <c r="U605" s="1042"/>
      <c r="V605" s="1034">
        <v>0.125</v>
      </c>
      <c r="W605" s="1034">
        <v>0.28125</v>
      </c>
      <c r="X605" s="1035">
        <v>3.75</v>
      </c>
      <c r="Y605" s="1036"/>
      <c r="Z605" s="1038">
        <v>19.5</v>
      </c>
      <c r="AA605" s="1039">
        <v>0</v>
      </c>
      <c r="AB605" s="941"/>
      <c r="AC605" s="1034"/>
      <c r="AD605" s="1034"/>
      <c r="AE605" s="1035"/>
      <c r="AF605" s="1037"/>
      <c r="AG605" s="1034"/>
      <c r="AH605" s="1034"/>
      <c r="AI605" s="1035"/>
      <c r="AJ605" s="1038">
        <v>0</v>
      </c>
      <c r="AK605" s="941"/>
      <c r="AL605" s="943"/>
      <c r="AM605" s="940"/>
      <c r="AN605" s="1146" t="s">
        <v>1115</v>
      </c>
      <c r="AO605" s="1142">
        <f>B629</f>
        <v>87</v>
      </c>
      <c r="AP605" s="1143">
        <v>47.74</v>
      </c>
      <c r="AQ605" s="1143">
        <f>AP605*AO605</f>
        <v>4153.38</v>
      </c>
      <c r="AR605" s="1144"/>
      <c r="AS605" s="1144"/>
    </row>
    <row r="606" spans="1:45" ht="13.5" customHeight="1">
      <c r="A606" s="1145" t="s">
        <v>1060</v>
      </c>
      <c r="B606" s="1034">
        <v>0.125</v>
      </c>
      <c r="C606" s="1034">
        <v>0.45833333333333331</v>
      </c>
      <c r="D606" s="1035">
        <v>8</v>
      </c>
      <c r="E606" s="1036"/>
      <c r="F606" s="1037"/>
      <c r="G606" s="1034">
        <v>0.125</v>
      </c>
      <c r="H606" s="1034">
        <v>0.45833333333333331</v>
      </c>
      <c r="I606" s="1035">
        <v>8</v>
      </c>
      <c r="J606" s="1036"/>
      <c r="K606" s="1042"/>
      <c r="L606" s="1034">
        <v>0.125</v>
      </c>
      <c r="M606" s="1034"/>
      <c r="N606" s="1035">
        <v>8</v>
      </c>
      <c r="O606" s="1036"/>
      <c r="P606" s="1042"/>
      <c r="Q606" s="1034"/>
      <c r="R606" s="1034">
        <v>0.45833333333333331</v>
      </c>
      <c r="S606" s="1035">
        <v>8</v>
      </c>
      <c r="T606" s="1036">
        <v>4</v>
      </c>
      <c r="U606" s="1042"/>
      <c r="V606" s="1034"/>
      <c r="W606" s="1034"/>
      <c r="X606" s="1035"/>
      <c r="Y606" s="1036">
        <v>4</v>
      </c>
      <c r="Z606" s="1038">
        <v>32</v>
      </c>
      <c r="AA606" s="1039">
        <v>8</v>
      </c>
      <c r="AB606" s="941"/>
      <c r="AC606" s="1034"/>
      <c r="AD606" s="1034"/>
      <c r="AE606" s="1035"/>
      <c r="AF606" s="1037"/>
      <c r="AG606" s="1034"/>
      <c r="AH606" s="1034"/>
      <c r="AI606" s="1035"/>
      <c r="AJ606" s="1038">
        <v>0</v>
      </c>
      <c r="AK606" s="941"/>
      <c r="AL606" s="943"/>
      <c r="AM606" s="940"/>
      <c r="AN606" s="1144"/>
      <c r="AO606" s="1144"/>
      <c r="AP606" s="1144"/>
      <c r="AQ606" s="1144"/>
      <c r="AR606" s="1144"/>
      <c r="AS606" s="1144"/>
    </row>
    <row r="607" spans="1:45" ht="13.5" customHeight="1">
      <c r="A607" s="1037" t="s">
        <v>327</v>
      </c>
      <c r="B607" s="1034">
        <v>0.125</v>
      </c>
      <c r="C607" s="1034">
        <v>0.44791666666666669</v>
      </c>
      <c r="D607" s="1035">
        <v>7.75</v>
      </c>
      <c r="E607" s="1036"/>
      <c r="F607" s="1042"/>
      <c r="G607" s="1034">
        <v>0.125</v>
      </c>
      <c r="H607" s="1034">
        <v>0.40625</v>
      </c>
      <c r="I607" s="1035">
        <v>6.75</v>
      </c>
      <c r="J607" s="1036"/>
      <c r="K607" s="1042"/>
      <c r="L607" s="1034">
        <v>0.125</v>
      </c>
      <c r="M607" s="1034">
        <v>0.39583333333333331</v>
      </c>
      <c r="N607" s="1035">
        <v>6.5</v>
      </c>
      <c r="O607" s="1036"/>
      <c r="P607" s="1042"/>
      <c r="Q607" s="1034">
        <v>0.125</v>
      </c>
      <c r="R607" s="1034">
        <v>0.34375</v>
      </c>
      <c r="S607" s="1035">
        <v>5.25</v>
      </c>
      <c r="T607" s="1036"/>
      <c r="U607" s="1042"/>
      <c r="V607" s="1034"/>
      <c r="W607" s="1034"/>
      <c r="X607" s="1035"/>
      <c r="Y607" s="1036"/>
      <c r="Z607" s="1038">
        <v>26.25</v>
      </c>
      <c r="AA607" s="1039">
        <v>0</v>
      </c>
      <c r="AB607" s="941"/>
      <c r="AC607" s="1034"/>
      <c r="AD607" s="1034"/>
      <c r="AE607" s="1035"/>
      <c r="AF607" s="1037"/>
      <c r="AG607" s="1034"/>
      <c r="AH607" s="1034"/>
      <c r="AI607" s="1035"/>
      <c r="AJ607" s="1038">
        <v>0</v>
      </c>
      <c r="AK607" s="941"/>
      <c r="AL607" s="943"/>
      <c r="AM607" s="940"/>
      <c r="AN607" s="954"/>
      <c r="AO607" s="954"/>
      <c r="AP607" s="954"/>
      <c r="AQ607" s="954"/>
      <c r="AR607" s="954"/>
      <c r="AS607" s="954"/>
    </row>
    <row r="608" spans="1:45" ht="13.5" customHeight="1">
      <c r="A608" s="1034" t="s">
        <v>1144</v>
      </c>
      <c r="B608" s="1034">
        <v>0.29166666666666669</v>
      </c>
      <c r="C608" s="1034">
        <v>0.20833333333333334</v>
      </c>
      <c r="D608" s="1035">
        <v>8</v>
      </c>
      <c r="E608" s="1036">
        <v>2</v>
      </c>
      <c r="F608" s="1042"/>
      <c r="G608" s="1034">
        <v>0.125</v>
      </c>
      <c r="H608" s="1034">
        <v>0.22916666666666666</v>
      </c>
      <c r="I608" s="1035">
        <v>2.5</v>
      </c>
      <c r="J608" s="1036"/>
      <c r="K608" s="1042"/>
      <c r="L608" s="1034">
        <v>0.125</v>
      </c>
      <c r="M608" s="1034">
        <v>0.30208333333333331</v>
      </c>
      <c r="N608" s="1035">
        <v>4.25</v>
      </c>
      <c r="O608" s="1036"/>
      <c r="P608" s="1042"/>
      <c r="Q608" s="1034">
        <v>0.125</v>
      </c>
      <c r="R608" s="1034">
        <v>0.45833333333333331</v>
      </c>
      <c r="S608" s="1035">
        <v>8</v>
      </c>
      <c r="T608" s="1036"/>
      <c r="U608" s="1042"/>
      <c r="V608" s="1034">
        <v>0.125</v>
      </c>
      <c r="W608" s="1034">
        <v>0.45833333333333331</v>
      </c>
      <c r="X608" s="1035">
        <v>8</v>
      </c>
      <c r="Y608" s="1036"/>
      <c r="Z608" s="1038">
        <v>30.75</v>
      </c>
      <c r="AA608" s="1039">
        <v>2</v>
      </c>
      <c r="AB608" s="941"/>
      <c r="AC608" s="1034"/>
      <c r="AD608" s="1034"/>
      <c r="AE608" s="1035"/>
      <c r="AF608" s="1037"/>
      <c r="AG608" s="1034"/>
      <c r="AH608" s="1034"/>
      <c r="AI608" s="1035"/>
      <c r="AJ608" s="1038">
        <v>0</v>
      </c>
      <c r="AK608" s="941"/>
      <c r="AL608" s="943"/>
      <c r="AM608" s="940"/>
      <c r="AN608" s="954"/>
      <c r="AO608" s="954"/>
      <c r="AP608" s="954"/>
      <c r="AQ608" s="954"/>
      <c r="AR608" s="954"/>
      <c r="AS608" s="954"/>
    </row>
    <row r="609" spans="1:45" ht="13.5" customHeight="1">
      <c r="A609" s="1034" t="s">
        <v>1436</v>
      </c>
      <c r="B609" s="1034">
        <v>0.125</v>
      </c>
      <c r="C609" s="1034">
        <v>0.45833333333333331</v>
      </c>
      <c r="D609" s="1035">
        <v>8</v>
      </c>
      <c r="E609" s="1036"/>
      <c r="F609" s="1042"/>
      <c r="G609" s="1034">
        <v>0.125</v>
      </c>
      <c r="H609" s="1034">
        <v>0.45833333333333331</v>
      </c>
      <c r="I609" s="1035">
        <v>8</v>
      </c>
      <c r="J609" s="1036"/>
      <c r="K609" s="1042"/>
      <c r="L609" s="1034">
        <v>0.125</v>
      </c>
      <c r="M609" s="1034">
        <v>0.45833333333333331</v>
      </c>
      <c r="N609" s="1035">
        <v>8</v>
      </c>
      <c r="O609" s="1036"/>
      <c r="P609" s="1042"/>
      <c r="Q609" s="1034">
        <v>0.125</v>
      </c>
      <c r="R609" s="1034"/>
      <c r="S609" s="1035">
        <v>8</v>
      </c>
      <c r="T609" s="1036"/>
      <c r="U609" s="1042"/>
      <c r="V609" s="1034">
        <v>0.125</v>
      </c>
      <c r="W609" s="1034">
        <v>0.45833333333333331</v>
      </c>
      <c r="X609" s="1035">
        <v>8</v>
      </c>
      <c r="Y609" s="1036"/>
      <c r="Z609" s="1038">
        <v>40</v>
      </c>
      <c r="AA609" s="1039">
        <v>0</v>
      </c>
      <c r="AB609" s="941"/>
      <c r="AC609" s="1034"/>
      <c r="AD609" s="1034"/>
      <c r="AE609" s="1035"/>
      <c r="AF609" s="1037"/>
      <c r="AG609" s="1034"/>
      <c r="AH609" s="1034"/>
      <c r="AI609" s="1035"/>
      <c r="AJ609" s="1038">
        <v>0</v>
      </c>
      <c r="AK609" s="941"/>
      <c r="AL609" s="943"/>
      <c r="AM609" s="940"/>
      <c r="AN609" s="954"/>
      <c r="AO609" s="954"/>
      <c r="AP609" s="954"/>
      <c r="AQ609" s="954"/>
      <c r="AR609" s="954"/>
      <c r="AS609" s="954"/>
    </row>
    <row r="610" spans="1:45" ht="13.5" customHeight="1">
      <c r="A610" s="1145" t="s">
        <v>1143</v>
      </c>
      <c r="B610" s="1034"/>
      <c r="C610" s="1034"/>
      <c r="D610" s="1035"/>
      <c r="E610" s="1036"/>
      <c r="F610" s="1042"/>
      <c r="G610" s="1034"/>
      <c r="H610" s="1034"/>
      <c r="I610" s="1035"/>
      <c r="J610" s="1036"/>
      <c r="K610" s="1042"/>
      <c r="L610" s="1034"/>
      <c r="M610" s="1034"/>
      <c r="N610" s="1035"/>
      <c r="O610" s="1036"/>
      <c r="P610" s="1042"/>
      <c r="Q610" s="1034"/>
      <c r="R610" s="1034"/>
      <c r="S610" s="1035"/>
      <c r="T610" s="1036"/>
      <c r="U610" s="1042"/>
      <c r="V610" s="1034"/>
      <c r="W610" s="1034"/>
      <c r="X610" s="1035"/>
      <c r="Y610" s="1036"/>
      <c r="Z610" s="1038">
        <v>0</v>
      </c>
      <c r="AA610" s="1039">
        <v>0</v>
      </c>
      <c r="AB610" s="941"/>
      <c r="AC610" s="1034">
        <v>0.33333333333333331</v>
      </c>
      <c r="AD610" s="1034">
        <v>0.14583333333333334</v>
      </c>
      <c r="AE610" s="1035">
        <v>7.5</v>
      </c>
      <c r="AF610" s="1037"/>
      <c r="AG610" s="1034">
        <v>0.33333333333333331</v>
      </c>
      <c r="AH610" s="1034">
        <v>6.25E-2</v>
      </c>
      <c r="AI610" s="1035">
        <v>5.5</v>
      </c>
      <c r="AJ610" s="1038">
        <v>13</v>
      </c>
      <c r="AK610" s="941"/>
      <c r="AL610" s="943"/>
      <c r="AM610" s="940"/>
      <c r="AN610" s="954"/>
      <c r="AO610" s="954"/>
      <c r="AP610" s="954"/>
      <c r="AQ610" s="954"/>
      <c r="AR610" s="954"/>
      <c r="AS610" s="954"/>
    </row>
    <row r="611" spans="1:45" ht="13.5" customHeight="1">
      <c r="A611" s="1145" t="s">
        <v>1064</v>
      </c>
      <c r="B611" s="1034"/>
      <c r="C611" s="1034"/>
      <c r="D611" s="1035"/>
      <c r="E611" s="1036"/>
      <c r="F611" s="1042"/>
      <c r="G611" s="1034"/>
      <c r="H611" s="1034"/>
      <c r="I611" s="1035"/>
      <c r="J611" s="1036"/>
      <c r="K611" s="1042"/>
      <c r="L611" s="1034">
        <v>0.29166666666666669</v>
      </c>
      <c r="M611" s="1034"/>
      <c r="N611" s="1035">
        <v>8</v>
      </c>
      <c r="O611" s="1036">
        <v>3</v>
      </c>
      <c r="P611" s="1042"/>
      <c r="Q611" s="1034">
        <v>0.27083333333333331</v>
      </c>
      <c r="R611" s="1034">
        <v>0.10416666666666667</v>
      </c>
      <c r="S611" s="1035">
        <v>8</v>
      </c>
      <c r="T611" s="1036"/>
      <c r="U611" s="1042"/>
      <c r="V611" s="1034">
        <v>0.28125</v>
      </c>
      <c r="W611" s="1034">
        <v>4.1666666666666664E-2</v>
      </c>
      <c r="X611" s="1035">
        <v>8</v>
      </c>
      <c r="Y611" s="1036">
        <v>9.25</v>
      </c>
      <c r="Z611" s="1038">
        <v>24</v>
      </c>
      <c r="AA611" s="1039">
        <v>12.25</v>
      </c>
      <c r="AB611" s="941"/>
      <c r="AC611" s="1034">
        <v>0.34375</v>
      </c>
      <c r="AD611" s="1034">
        <v>0.14583333333333334</v>
      </c>
      <c r="AE611" s="1035">
        <v>7.25</v>
      </c>
      <c r="AF611" s="1037"/>
      <c r="AG611" s="1034"/>
      <c r="AH611" s="1034">
        <v>6.25E-2</v>
      </c>
      <c r="AI611" s="1035">
        <v>5.5</v>
      </c>
      <c r="AJ611" s="1038">
        <v>12.75</v>
      </c>
      <c r="AK611" s="941"/>
      <c r="AL611" s="943"/>
      <c r="AM611" s="940"/>
      <c r="AN611" s="954"/>
      <c r="AO611" s="954"/>
      <c r="AP611" s="954"/>
      <c r="AQ611" s="954"/>
      <c r="AR611" s="954"/>
      <c r="AS611" s="954"/>
    </row>
    <row r="612" spans="1:45" ht="13.5" customHeight="1">
      <c r="A612" s="1145" t="s">
        <v>101</v>
      </c>
      <c r="B612" s="1034"/>
      <c r="C612" s="1034"/>
      <c r="D612" s="1035"/>
      <c r="E612" s="1036"/>
      <c r="F612" s="1042"/>
      <c r="G612" s="1034"/>
      <c r="H612" s="1034"/>
      <c r="I612" s="1035"/>
      <c r="J612" s="1036"/>
      <c r="K612" s="1042"/>
      <c r="L612" s="1034"/>
      <c r="M612" s="1034"/>
      <c r="N612" s="1035"/>
      <c r="O612" s="1036"/>
      <c r="P612" s="1042"/>
      <c r="Q612" s="1034"/>
      <c r="R612" s="1034"/>
      <c r="S612" s="1035"/>
      <c r="T612" s="1036"/>
      <c r="U612" s="1042"/>
      <c r="V612" s="1034"/>
      <c r="W612" s="1034"/>
      <c r="X612" s="1035"/>
      <c r="Y612" s="1036"/>
      <c r="Z612" s="1038">
        <v>0</v>
      </c>
      <c r="AA612" s="1039">
        <v>0</v>
      </c>
      <c r="AB612" s="941"/>
      <c r="AC612" s="1034"/>
      <c r="AD612" s="1034"/>
      <c r="AE612" s="1035"/>
      <c r="AF612" s="1037"/>
      <c r="AG612" s="1034"/>
      <c r="AH612" s="1034"/>
      <c r="AI612" s="1035"/>
      <c r="AJ612" s="1038">
        <v>0</v>
      </c>
      <c r="AK612" s="941"/>
      <c r="AL612" s="943"/>
      <c r="AM612" s="940"/>
      <c r="AN612" s="954"/>
      <c r="AO612" s="954"/>
      <c r="AP612" s="954"/>
      <c r="AQ612" s="954"/>
      <c r="AR612" s="954"/>
      <c r="AS612" s="954"/>
    </row>
    <row r="613" spans="1:45" ht="13.5" customHeight="1">
      <c r="A613" s="1145" t="s">
        <v>1431</v>
      </c>
      <c r="B613" s="1034"/>
      <c r="C613" s="1034"/>
      <c r="D613" s="1035">
        <v>1</v>
      </c>
      <c r="E613" s="1036"/>
      <c r="F613" s="1042"/>
      <c r="G613" s="1034"/>
      <c r="H613" s="1034"/>
      <c r="I613" s="1035">
        <v>1</v>
      </c>
      <c r="J613" s="1036"/>
      <c r="K613" s="1042"/>
      <c r="L613" s="1034"/>
      <c r="M613" s="1034"/>
      <c r="N613" s="1035">
        <v>1</v>
      </c>
      <c r="O613" s="1036"/>
      <c r="P613" s="1042"/>
      <c r="Q613" s="1034"/>
      <c r="R613" s="1034"/>
      <c r="S613" s="1035">
        <v>1</v>
      </c>
      <c r="T613" s="1036"/>
      <c r="U613" s="1042"/>
      <c r="V613" s="1034"/>
      <c r="W613" s="1034"/>
      <c r="X613" s="1035">
        <v>1</v>
      </c>
      <c r="Y613" s="1036"/>
      <c r="Z613" s="1038">
        <v>5</v>
      </c>
      <c r="AA613" s="1039">
        <v>0</v>
      </c>
      <c r="AB613" s="941"/>
      <c r="AC613" s="1034"/>
      <c r="AD613" s="1034"/>
      <c r="AE613" s="1035"/>
      <c r="AF613" s="1037"/>
      <c r="AG613" s="1034"/>
      <c r="AH613" s="1034"/>
      <c r="AI613" s="1035"/>
      <c r="AJ613" s="1038">
        <v>0</v>
      </c>
      <c r="AK613" s="941"/>
      <c r="AL613" s="943"/>
      <c r="AM613" s="940"/>
      <c r="AN613" s="954"/>
      <c r="AO613" s="954"/>
      <c r="AP613" s="954"/>
      <c r="AQ613" s="954"/>
      <c r="AR613" s="954"/>
      <c r="AS613" s="954"/>
    </row>
    <row r="614" spans="1:45" ht="13.5" customHeight="1">
      <c r="A614" s="1145" t="s">
        <v>813</v>
      </c>
      <c r="B614" s="1034"/>
      <c r="C614" s="1034"/>
      <c r="D614" s="1035">
        <v>2</v>
      </c>
      <c r="E614" s="1036"/>
      <c r="F614" s="1042"/>
      <c r="G614" s="1034"/>
      <c r="H614" s="1034"/>
      <c r="I614" s="1035">
        <v>2</v>
      </c>
      <c r="J614" s="1036"/>
      <c r="K614" s="1042"/>
      <c r="L614" s="1034"/>
      <c r="M614" s="1034"/>
      <c r="N614" s="1035">
        <v>2</v>
      </c>
      <c r="O614" s="1036"/>
      <c r="P614" s="1042"/>
      <c r="Q614" s="1034"/>
      <c r="R614" s="1034"/>
      <c r="S614" s="1035">
        <v>2</v>
      </c>
      <c r="T614" s="1036"/>
      <c r="U614" s="1042"/>
      <c r="V614" s="1034"/>
      <c r="W614" s="1034"/>
      <c r="X614" s="1035">
        <v>2</v>
      </c>
      <c r="Y614" s="1036"/>
      <c r="Z614" s="1038">
        <v>10</v>
      </c>
      <c r="AA614" s="1039">
        <v>0</v>
      </c>
      <c r="AB614" s="941"/>
      <c r="AC614" s="1034"/>
      <c r="AD614" s="1034"/>
      <c r="AE614" s="1035"/>
      <c r="AF614" s="1037"/>
      <c r="AG614" s="1034"/>
      <c r="AH614" s="1034"/>
      <c r="AI614" s="1035"/>
      <c r="AJ614" s="1038">
        <v>0</v>
      </c>
      <c r="AK614" s="941"/>
      <c r="AL614" s="943"/>
      <c r="AM614" s="940"/>
      <c r="AN614" s="954"/>
      <c r="AO614" s="954"/>
      <c r="AP614" s="954"/>
      <c r="AQ614" s="954"/>
      <c r="AR614" s="954"/>
      <c r="AS614" s="954"/>
    </row>
    <row r="615" spans="1:45" ht="13.5" customHeight="1">
      <c r="A615" s="1145" t="s">
        <v>1447</v>
      </c>
      <c r="B615" s="1034"/>
      <c r="C615" s="1034"/>
      <c r="D615" s="1035"/>
      <c r="E615" s="1036"/>
      <c r="F615" s="1042"/>
      <c r="G615" s="1034"/>
      <c r="H615" s="1034"/>
      <c r="I615" s="1035"/>
      <c r="J615" s="1036"/>
      <c r="K615" s="1042"/>
      <c r="L615" s="1034"/>
      <c r="M615" s="1034"/>
      <c r="N615" s="1035"/>
      <c r="O615" s="1036"/>
      <c r="P615" s="1042"/>
      <c r="Q615" s="1034">
        <v>0.10416666666666667</v>
      </c>
      <c r="R615" s="1034">
        <v>4.1666666666666664E-2</v>
      </c>
      <c r="S615" s="1035">
        <v>8</v>
      </c>
      <c r="T615" s="1036">
        <v>1.5</v>
      </c>
      <c r="U615" s="1042"/>
      <c r="V615" s="1034">
        <v>0.125</v>
      </c>
      <c r="W615" s="1034">
        <v>0.45833333333333331</v>
      </c>
      <c r="X615" s="1035">
        <v>8</v>
      </c>
      <c r="Y615" s="1036"/>
      <c r="Z615" s="1038">
        <v>16</v>
      </c>
      <c r="AA615" s="1039">
        <v>1.5</v>
      </c>
      <c r="AB615" s="941"/>
      <c r="AC615" s="1034">
        <v>0.33333333333333331</v>
      </c>
      <c r="AD615" s="1034">
        <v>0.16666666666666666</v>
      </c>
      <c r="AE615" s="1035">
        <v>8</v>
      </c>
      <c r="AF615" s="1037"/>
      <c r="AG615" s="1034"/>
      <c r="AH615" s="1034"/>
      <c r="AI615" s="1035"/>
      <c r="AJ615" s="1038">
        <v>8</v>
      </c>
      <c r="AK615" s="941"/>
      <c r="AL615" s="943"/>
      <c r="AM615" s="940"/>
      <c r="AN615" s="954"/>
      <c r="AO615" s="954"/>
      <c r="AP615" s="954"/>
      <c r="AQ615" s="954"/>
      <c r="AR615" s="954"/>
      <c r="AS615" s="954"/>
    </row>
    <row r="616" spans="1:45" ht="13.5" customHeight="1">
      <c r="A616" s="1145" t="s">
        <v>1140</v>
      </c>
      <c r="B616" s="1034"/>
      <c r="C616" s="1034"/>
      <c r="D616" s="1035"/>
      <c r="E616" s="1036"/>
      <c r="F616" s="1042"/>
      <c r="G616" s="1034"/>
      <c r="H616" s="1034"/>
      <c r="I616" s="1035"/>
      <c r="J616" s="1036"/>
      <c r="K616" s="1042"/>
      <c r="L616" s="1034">
        <v>0.29166666666666669</v>
      </c>
      <c r="M616" s="1034">
        <v>0.29166666666666669</v>
      </c>
      <c r="N616" s="1035">
        <v>8</v>
      </c>
      <c r="O616" s="1036">
        <v>3</v>
      </c>
      <c r="P616" s="1042"/>
      <c r="Q616" s="1034">
        <v>0.27083333333333331</v>
      </c>
      <c r="R616" s="1034">
        <v>0.10416666666666667</v>
      </c>
      <c r="S616" s="1035">
        <v>8</v>
      </c>
      <c r="T616" s="1036"/>
      <c r="U616" s="1042"/>
      <c r="V616" s="1034">
        <v>0.20833333333333334</v>
      </c>
      <c r="W616" s="1034">
        <v>4.1666666666666664E-2</v>
      </c>
      <c r="X616" s="1035">
        <v>8</v>
      </c>
      <c r="Y616" s="1036"/>
      <c r="Z616" s="1038">
        <v>24</v>
      </c>
      <c r="AA616" s="1039">
        <v>3</v>
      </c>
      <c r="AB616" s="941"/>
      <c r="AC616" s="1034">
        <v>0.33333333333333331</v>
      </c>
      <c r="AD616" s="1034">
        <v>0.16666666666666666</v>
      </c>
      <c r="AE616" s="1035">
        <v>8</v>
      </c>
      <c r="AF616" s="1037"/>
      <c r="AG616" s="1034">
        <v>0.34375</v>
      </c>
      <c r="AH616" s="1034">
        <v>0.16666666666666666</v>
      </c>
      <c r="AI616" s="1035">
        <v>7.75</v>
      </c>
      <c r="AJ616" s="1038">
        <v>15.75</v>
      </c>
      <c r="AK616" s="941"/>
      <c r="AL616" s="943"/>
      <c r="AM616" s="940"/>
      <c r="AN616" s="954"/>
      <c r="AO616" s="954"/>
      <c r="AP616" s="954"/>
      <c r="AQ616" s="954"/>
      <c r="AR616" s="954"/>
      <c r="AS616" s="954"/>
    </row>
    <row r="617" spans="1:45" ht="13.5" customHeight="1">
      <c r="A617" s="1145" t="s">
        <v>241</v>
      </c>
      <c r="B617" s="1034"/>
      <c r="C617" s="1034"/>
      <c r="D617" s="1035"/>
      <c r="E617" s="1036"/>
      <c r="F617" s="1042"/>
      <c r="G617" s="1034"/>
      <c r="H617" s="1034"/>
      <c r="I617" s="1035"/>
      <c r="J617" s="1036"/>
      <c r="K617" s="1042"/>
      <c r="L617" s="1034"/>
      <c r="M617" s="1034"/>
      <c r="N617" s="1035"/>
      <c r="O617" s="1036"/>
      <c r="P617" s="1042"/>
      <c r="Q617" s="1034"/>
      <c r="R617" s="1034"/>
      <c r="S617" s="1035"/>
      <c r="T617" s="1036"/>
      <c r="U617" s="1042"/>
      <c r="V617" s="1034"/>
      <c r="W617" s="1034"/>
      <c r="X617" s="1035"/>
      <c r="Y617" s="1036"/>
      <c r="Z617" s="1038">
        <v>0</v>
      </c>
      <c r="AA617" s="1039">
        <v>0</v>
      </c>
      <c r="AB617" s="941"/>
      <c r="AC617" s="1034">
        <v>0.33333333333333331</v>
      </c>
      <c r="AD617" s="1034">
        <v>0.125</v>
      </c>
      <c r="AE617" s="1035">
        <v>7</v>
      </c>
      <c r="AF617" s="1037"/>
      <c r="AG617" s="1034">
        <v>0.33333333333333331</v>
      </c>
      <c r="AH617" s="1034">
        <v>0.125</v>
      </c>
      <c r="AI617" s="1035">
        <v>7</v>
      </c>
      <c r="AJ617" s="1038">
        <v>14</v>
      </c>
      <c r="AK617" s="941"/>
      <c r="AL617" s="943"/>
      <c r="AM617" s="940"/>
      <c r="AN617" s="954"/>
      <c r="AO617" s="954"/>
      <c r="AP617" s="954"/>
      <c r="AQ617" s="954"/>
      <c r="AR617" s="954"/>
      <c r="AS617" s="954"/>
    </row>
    <row r="618" spans="1:45" ht="13.5" customHeight="1">
      <c r="A618" s="1145" t="s">
        <v>1141</v>
      </c>
      <c r="B618" s="1034"/>
      <c r="C618" s="1034"/>
      <c r="D618" s="1035"/>
      <c r="E618" s="1036"/>
      <c r="F618" s="1042"/>
      <c r="G618" s="1034">
        <v>0.29166666666666669</v>
      </c>
      <c r="H618" s="1034">
        <v>0.125</v>
      </c>
      <c r="I618" s="1035">
        <v>8</v>
      </c>
      <c r="J618" s="1036"/>
      <c r="K618" s="1042"/>
      <c r="L618" s="1034"/>
      <c r="M618" s="1034"/>
      <c r="N618" s="1035"/>
      <c r="O618" s="1036"/>
      <c r="P618" s="1042"/>
      <c r="Q618" s="1034">
        <v>0.10416666666666667</v>
      </c>
      <c r="R618" s="1034">
        <v>0.45833333333333331</v>
      </c>
      <c r="S618" s="1035">
        <v>8</v>
      </c>
      <c r="T618" s="1036"/>
      <c r="U618" s="1042"/>
      <c r="V618" s="1034"/>
      <c r="W618" s="1034"/>
      <c r="X618" s="1035"/>
      <c r="Y618" s="1036"/>
      <c r="Z618" s="1038">
        <v>16</v>
      </c>
      <c r="AA618" s="1039">
        <v>0</v>
      </c>
      <c r="AB618" s="941"/>
      <c r="AC618" s="1034"/>
      <c r="AD618" s="1034"/>
      <c r="AE618" s="1035"/>
      <c r="AF618" s="1037"/>
      <c r="AG618" s="1034"/>
      <c r="AH618" s="1034"/>
      <c r="AI618" s="1035"/>
      <c r="AJ618" s="1038">
        <v>0</v>
      </c>
      <c r="AK618" s="941"/>
      <c r="AL618" s="943"/>
      <c r="AM618" s="940"/>
      <c r="AN618" s="954"/>
      <c r="AO618" s="954"/>
      <c r="AP618" s="954"/>
      <c r="AQ618" s="954"/>
      <c r="AR618" s="954"/>
      <c r="AS618" s="954"/>
    </row>
    <row r="619" spans="1:45" ht="13.5" customHeight="1">
      <c r="A619" s="1147" t="s">
        <v>1438</v>
      </c>
      <c r="B619" s="1132"/>
      <c r="C619" s="1132"/>
      <c r="D619" s="1050">
        <v>0</v>
      </c>
      <c r="E619" s="1050"/>
      <c r="F619" s="1050"/>
      <c r="G619" s="1132"/>
      <c r="H619" s="1132"/>
      <c r="I619" s="1050">
        <v>8</v>
      </c>
      <c r="J619" s="1050"/>
      <c r="K619" s="1050"/>
      <c r="L619" s="1132"/>
      <c r="M619" s="1132"/>
      <c r="N619" s="1050">
        <v>8</v>
      </c>
      <c r="O619" s="1050"/>
      <c r="P619" s="1050"/>
      <c r="Q619" s="1132"/>
      <c r="R619" s="1132"/>
      <c r="S619" s="1050">
        <v>0</v>
      </c>
      <c r="T619" s="1050"/>
      <c r="U619" s="1050"/>
      <c r="V619" s="1132"/>
      <c r="W619" s="1132"/>
      <c r="X619" s="1050">
        <v>0</v>
      </c>
      <c r="Y619" s="1050"/>
      <c r="Z619" s="1051">
        <v>16</v>
      </c>
      <c r="AA619" s="1039">
        <v>0</v>
      </c>
      <c r="AB619" s="941"/>
      <c r="AC619" s="1034"/>
      <c r="AD619" s="1034"/>
      <c r="AE619" s="1035"/>
      <c r="AF619" s="1037"/>
      <c r="AG619" s="1034"/>
      <c r="AH619" s="1034"/>
      <c r="AI619" s="1035"/>
      <c r="AJ619" s="1038">
        <v>0</v>
      </c>
      <c r="AK619" s="941"/>
      <c r="AL619" s="943"/>
      <c r="AM619" s="940"/>
      <c r="AN619" s="954"/>
      <c r="AO619" s="954"/>
      <c r="AP619" s="954"/>
      <c r="AQ619" s="954"/>
      <c r="AR619" s="954"/>
      <c r="AS619" s="954"/>
    </row>
    <row r="620" spans="1:45" ht="13.5" customHeight="1">
      <c r="A620" s="1147" t="s">
        <v>1439</v>
      </c>
      <c r="B620" s="1132"/>
      <c r="C620" s="1132"/>
      <c r="D620" s="1050">
        <v>8</v>
      </c>
      <c r="E620" s="1050"/>
      <c r="F620" s="1050"/>
      <c r="G620" s="1132"/>
      <c r="H620" s="1132"/>
      <c r="I620" s="1050">
        <v>8</v>
      </c>
      <c r="J620" s="1050"/>
      <c r="K620" s="1050"/>
      <c r="L620" s="1132"/>
      <c r="M620" s="1132"/>
      <c r="N620" s="1050">
        <v>8</v>
      </c>
      <c r="O620" s="1050"/>
      <c r="P620" s="1050"/>
      <c r="Q620" s="1049">
        <v>0.27083333333333331</v>
      </c>
      <c r="R620" s="1049">
        <v>0.4375</v>
      </c>
      <c r="S620" s="1050">
        <v>4</v>
      </c>
      <c r="T620" s="1050"/>
      <c r="U620" s="1050"/>
      <c r="V620" s="1049">
        <v>0.27083333333333331</v>
      </c>
      <c r="W620" s="1049">
        <v>0.4375</v>
      </c>
      <c r="X620" s="1050">
        <v>4</v>
      </c>
      <c r="Y620" s="1050"/>
      <c r="Z620" s="1051">
        <v>32</v>
      </c>
      <c r="AA620" s="1039">
        <v>0</v>
      </c>
      <c r="AB620" s="941"/>
      <c r="AC620" s="1034"/>
      <c r="AD620" s="1034"/>
      <c r="AE620" s="1035"/>
      <c r="AF620" s="1037"/>
      <c r="AG620" s="1034"/>
      <c r="AH620" s="1034"/>
      <c r="AI620" s="1035"/>
      <c r="AJ620" s="1038">
        <v>0</v>
      </c>
      <c r="AK620" s="941"/>
      <c r="AL620" s="943"/>
      <c r="AM620" s="940"/>
      <c r="AN620" s="954"/>
      <c r="AO620" s="954"/>
      <c r="AP620" s="954"/>
      <c r="AQ620" s="954"/>
      <c r="AR620" s="954"/>
      <c r="AS620" s="954"/>
    </row>
    <row r="621" spans="1:45" ht="13.5" customHeight="1">
      <c r="A621" s="1147" t="s">
        <v>1433</v>
      </c>
      <c r="B621" s="1132"/>
      <c r="C621" s="1132"/>
      <c r="D621" s="1050">
        <v>0</v>
      </c>
      <c r="E621" s="1050"/>
      <c r="F621" s="1050"/>
      <c r="G621" s="1132"/>
      <c r="H621" s="1132"/>
      <c r="I621" s="1050">
        <v>0</v>
      </c>
      <c r="J621" s="1050"/>
      <c r="K621" s="1050"/>
      <c r="L621" s="1132"/>
      <c r="M621" s="1132"/>
      <c r="N621" s="1050">
        <v>0</v>
      </c>
      <c r="O621" s="1050"/>
      <c r="P621" s="1050"/>
      <c r="Q621" s="1049">
        <v>0.27083333333333331</v>
      </c>
      <c r="R621" s="1049">
        <v>0.4375</v>
      </c>
      <c r="S621" s="1050">
        <v>4</v>
      </c>
      <c r="T621" s="1050"/>
      <c r="U621" s="1050"/>
      <c r="V621" s="1049">
        <v>0.27083333333333331</v>
      </c>
      <c r="W621" s="1049">
        <v>4.1666666666666664E-2</v>
      </c>
      <c r="X621" s="1050">
        <v>8</v>
      </c>
      <c r="Y621" s="1050">
        <v>9.5</v>
      </c>
      <c r="Z621" s="1051">
        <v>12</v>
      </c>
      <c r="AA621" s="1039">
        <v>9.5</v>
      </c>
      <c r="AB621" s="941"/>
      <c r="AC621" s="1034"/>
      <c r="AD621" s="1034"/>
      <c r="AE621" s="1035"/>
      <c r="AF621" s="1037"/>
      <c r="AG621" s="1034"/>
      <c r="AH621" s="1034"/>
      <c r="AI621" s="1035"/>
      <c r="AJ621" s="1038">
        <v>0</v>
      </c>
      <c r="AK621" s="941"/>
      <c r="AL621" s="943"/>
      <c r="AM621" s="940"/>
      <c r="AN621" s="954"/>
      <c r="AO621" s="954"/>
      <c r="AP621" s="954"/>
      <c r="AQ621" s="954"/>
      <c r="AR621" s="954"/>
      <c r="AS621" s="954"/>
    </row>
    <row r="622" spans="1:45" ht="13.5" customHeight="1">
      <c r="A622" s="1147" t="s">
        <v>1440</v>
      </c>
      <c r="B622" s="1049">
        <v>0.45833333333333331</v>
      </c>
      <c r="C622" s="1162">
        <v>0.125</v>
      </c>
      <c r="D622" s="1050">
        <v>4</v>
      </c>
      <c r="E622" s="1050"/>
      <c r="F622" s="1050"/>
      <c r="G622" s="1132"/>
      <c r="H622" s="1132"/>
      <c r="I622" s="1050">
        <v>8</v>
      </c>
      <c r="J622" s="1050"/>
      <c r="K622" s="1050"/>
      <c r="L622" s="1132"/>
      <c r="M622" s="1132"/>
      <c r="N622" s="1050">
        <v>8</v>
      </c>
      <c r="O622" s="1050"/>
      <c r="P622" s="1050"/>
      <c r="Q622" s="1049">
        <v>0.27083333333333331</v>
      </c>
      <c r="R622" s="1162">
        <v>0.4375</v>
      </c>
      <c r="S622" s="1050">
        <v>4</v>
      </c>
      <c r="T622" s="1050"/>
      <c r="U622" s="1050"/>
      <c r="V622" s="1049">
        <v>0.27083333333333331</v>
      </c>
      <c r="W622" s="1049">
        <v>0.44791666666666669</v>
      </c>
      <c r="X622" s="1050">
        <v>4.25</v>
      </c>
      <c r="Y622" s="1050"/>
      <c r="Z622" s="1051">
        <v>28.25</v>
      </c>
      <c r="AA622" s="1039">
        <v>0</v>
      </c>
      <c r="AB622" s="941"/>
      <c r="AC622" s="1034">
        <v>0.33333333333333331</v>
      </c>
      <c r="AD622" s="1034"/>
      <c r="AE622" s="1035">
        <v>8</v>
      </c>
      <c r="AF622" s="1037"/>
      <c r="AG622" s="1034">
        <v>0.33333333333333331</v>
      </c>
      <c r="AH622" s="1034">
        <v>0.16666666666666666</v>
      </c>
      <c r="AI622" s="1035">
        <v>8</v>
      </c>
      <c r="AJ622" s="1038">
        <v>16</v>
      </c>
      <c r="AK622" s="941"/>
      <c r="AL622" s="943"/>
      <c r="AM622" s="940"/>
      <c r="AN622" s="954"/>
      <c r="AO622" s="954"/>
      <c r="AP622" s="954"/>
      <c r="AQ622" s="954"/>
      <c r="AR622" s="954"/>
      <c r="AS622" s="954"/>
    </row>
    <row r="623" spans="1:45" ht="13.5" customHeight="1">
      <c r="A623" s="1147" t="s">
        <v>1437</v>
      </c>
      <c r="B623" s="1132"/>
      <c r="C623" s="1132"/>
      <c r="D623" s="1050">
        <v>0</v>
      </c>
      <c r="E623" s="1050"/>
      <c r="F623" s="1050"/>
      <c r="G623" s="1049">
        <v>0.29166666666666669</v>
      </c>
      <c r="H623" s="1049">
        <v>0.125</v>
      </c>
      <c r="I623" s="1050">
        <v>8</v>
      </c>
      <c r="J623" s="1050"/>
      <c r="K623" s="1050"/>
      <c r="L623" s="1049">
        <v>0.29166666666666669</v>
      </c>
      <c r="M623" s="1049">
        <v>0.125</v>
      </c>
      <c r="N623" s="1050">
        <v>8</v>
      </c>
      <c r="O623" s="1050"/>
      <c r="P623" s="1050"/>
      <c r="Q623" s="1049">
        <v>0.29166666666666669</v>
      </c>
      <c r="R623" s="1049">
        <v>0.125</v>
      </c>
      <c r="S623" s="1050">
        <v>8</v>
      </c>
      <c r="T623" s="1050"/>
      <c r="U623" s="1050"/>
      <c r="V623" s="1049">
        <v>0.29166666666666669</v>
      </c>
      <c r="W623" s="1049">
        <v>0.125</v>
      </c>
      <c r="X623" s="1050">
        <v>8</v>
      </c>
      <c r="Y623" s="1050"/>
      <c r="Z623" s="1051">
        <v>32</v>
      </c>
      <c r="AA623" s="1039">
        <v>0</v>
      </c>
      <c r="AB623" s="941"/>
      <c r="AC623" s="1034"/>
      <c r="AD623" s="1034"/>
      <c r="AE623" s="1035"/>
      <c r="AF623" s="1037"/>
      <c r="AG623" s="1034"/>
      <c r="AH623" s="1034"/>
      <c r="AI623" s="1035"/>
      <c r="AJ623" s="1038">
        <v>0</v>
      </c>
      <c r="AK623" s="941"/>
      <c r="AL623" s="943"/>
      <c r="AM623" s="940"/>
      <c r="AN623" s="954"/>
      <c r="AO623" s="954"/>
      <c r="AP623" s="954"/>
      <c r="AQ623" s="954"/>
      <c r="AR623" s="954"/>
      <c r="AS623" s="954"/>
    </row>
    <row r="624" spans="1:45" ht="13.5" customHeight="1">
      <c r="A624" s="1147" t="s">
        <v>1445</v>
      </c>
      <c r="B624" s="1132"/>
      <c r="C624" s="1132"/>
      <c r="D624" s="1050">
        <v>0</v>
      </c>
      <c r="E624" s="1050"/>
      <c r="F624" s="1050"/>
      <c r="G624" s="1132"/>
      <c r="H624" s="1132"/>
      <c r="I624" s="1050">
        <v>8</v>
      </c>
      <c r="J624" s="1050"/>
      <c r="K624" s="1050"/>
      <c r="L624" s="1132"/>
      <c r="M624" s="1132"/>
      <c r="N624" s="1050">
        <v>8</v>
      </c>
      <c r="O624" s="1050"/>
      <c r="P624" s="1050"/>
      <c r="Q624" s="1049">
        <v>0.29166666666666669</v>
      </c>
      <c r="R624" s="1162">
        <v>0.4375</v>
      </c>
      <c r="S624" s="1050">
        <v>3.5</v>
      </c>
      <c r="T624" s="1050"/>
      <c r="U624" s="1050"/>
      <c r="V624" s="1049">
        <v>0.27083333333333331</v>
      </c>
      <c r="W624" s="1049">
        <v>4.1666666666666664E-2</v>
      </c>
      <c r="X624" s="1050">
        <v>8</v>
      </c>
      <c r="Y624" s="1050"/>
      <c r="Z624" s="1051">
        <v>27.5</v>
      </c>
      <c r="AA624" s="1039">
        <v>0</v>
      </c>
      <c r="AB624" s="941"/>
      <c r="AC624" s="1034"/>
      <c r="AD624" s="1034"/>
      <c r="AE624" s="1035"/>
      <c r="AF624" s="1037"/>
      <c r="AG624" s="1034"/>
      <c r="AH624" s="1034"/>
      <c r="AI624" s="1035"/>
      <c r="AJ624" s="1038">
        <v>0</v>
      </c>
      <c r="AK624" s="941"/>
      <c r="AL624" s="943"/>
      <c r="AM624" s="940"/>
      <c r="AN624" s="954"/>
      <c r="AO624" s="954"/>
      <c r="AP624" s="954"/>
      <c r="AQ624" s="954"/>
      <c r="AR624" s="954"/>
      <c r="AS624" s="954"/>
    </row>
    <row r="625" spans="1:45" ht="13.5" customHeight="1">
      <c r="A625" s="1044" t="s">
        <v>61</v>
      </c>
      <c r="B625" s="1044"/>
      <c r="C625" s="1044"/>
      <c r="D625" s="1045">
        <v>90.75</v>
      </c>
      <c r="E625" s="1036"/>
      <c r="F625" s="1044"/>
      <c r="G625" s="1044"/>
      <c r="H625" s="1044"/>
      <c r="I625" s="1045">
        <v>92.25</v>
      </c>
      <c r="J625" s="1036"/>
      <c r="K625" s="1044"/>
      <c r="L625" s="1044"/>
      <c r="M625" s="1044"/>
      <c r="N625" s="1045">
        <v>132.5</v>
      </c>
      <c r="O625" s="1036"/>
      <c r="P625" s="1044"/>
      <c r="Q625" s="1044"/>
      <c r="R625" s="1044"/>
      <c r="S625" s="1045">
        <v>127.25</v>
      </c>
      <c r="T625" s="1036"/>
      <c r="U625" s="1044"/>
      <c r="V625" s="1044"/>
      <c r="W625" s="1044"/>
      <c r="X625" s="1045">
        <v>78.75</v>
      </c>
      <c r="Y625" s="1036"/>
      <c r="Z625" s="1038">
        <v>505.5</v>
      </c>
      <c r="AA625" s="1038">
        <v>26.75</v>
      </c>
      <c r="AB625" s="941"/>
      <c r="AC625" s="1044"/>
      <c r="AD625" s="1044"/>
      <c r="AE625" s="1038">
        <v>45.75</v>
      </c>
      <c r="AF625" s="1037"/>
      <c r="AG625" s="1044"/>
      <c r="AH625" s="1044"/>
      <c r="AI625" s="1038">
        <v>41.75</v>
      </c>
      <c r="AJ625" s="1038">
        <v>87.5</v>
      </c>
      <c r="AK625" s="941"/>
      <c r="AL625" s="943"/>
      <c r="AM625" s="940"/>
      <c r="AN625" s="954"/>
      <c r="AO625" s="954"/>
      <c r="AP625" s="954"/>
      <c r="AQ625" s="954"/>
      <c r="AR625" s="954"/>
      <c r="AS625" s="954"/>
    </row>
    <row r="626" spans="1:45" ht="13.5" customHeight="1">
      <c r="A626" s="1044" t="s">
        <v>1434</v>
      </c>
      <c r="B626" s="1044"/>
      <c r="C626" s="1044"/>
      <c r="D626" s="1045">
        <v>12</v>
      </c>
      <c r="E626" s="1036"/>
      <c r="F626" s="1044"/>
      <c r="G626" s="1044"/>
      <c r="H626" s="1044"/>
      <c r="I626" s="1045">
        <v>40</v>
      </c>
      <c r="J626" s="1036"/>
      <c r="K626" s="1044"/>
      <c r="L626" s="1044"/>
      <c r="M626" s="1044"/>
      <c r="N626" s="1045">
        <v>40</v>
      </c>
      <c r="O626" s="1036"/>
      <c r="P626" s="1044"/>
      <c r="Q626" s="1044"/>
      <c r="R626" s="1044"/>
      <c r="S626" s="1045">
        <v>23.5</v>
      </c>
      <c r="T626" s="1036"/>
      <c r="U626" s="1044"/>
      <c r="V626" s="1044"/>
      <c r="W626" s="1044"/>
      <c r="X626" s="1045">
        <v>32.25</v>
      </c>
      <c r="Y626" s="1036"/>
      <c r="Z626" s="1038">
        <v>120.25</v>
      </c>
      <c r="AA626" s="1038">
        <v>9.5</v>
      </c>
      <c r="AB626" s="941"/>
      <c r="AC626" s="1044"/>
      <c r="AD626" s="1044"/>
      <c r="AE626" s="1038"/>
      <c r="AF626" s="1037"/>
      <c r="AG626" s="1044"/>
      <c r="AH626" s="1044"/>
      <c r="AI626" s="1038"/>
      <c r="AJ626" s="1038"/>
      <c r="AK626" s="941"/>
      <c r="AL626" s="943"/>
      <c r="AM626" s="940"/>
      <c r="AN626" s="954"/>
      <c r="AO626" s="954"/>
      <c r="AP626" s="954"/>
      <c r="AQ626" s="954"/>
      <c r="AR626" s="954"/>
      <c r="AS626" s="954"/>
    </row>
    <row r="627" spans="1:45" ht="13.5" customHeight="1">
      <c r="A627" s="1148" t="s">
        <v>64</v>
      </c>
      <c r="B627" s="1034"/>
      <c r="C627" s="1034"/>
      <c r="D627" s="1035">
        <v>4</v>
      </c>
      <c r="E627" s="1035"/>
      <c r="F627" s="1046"/>
      <c r="G627" s="1034"/>
      <c r="H627" s="1034"/>
      <c r="I627" s="1035">
        <v>4</v>
      </c>
      <c r="J627" s="1035"/>
      <c r="K627" s="1042"/>
      <c r="L627" s="1034"/>
      <c r="M627" s="1034"/>
      <c r="N627" s="1035">
        <v>6</v>
      </c>
      <c r="O627" s="1035"/>
      <c r="P627" s="1042"/>
      <c r="Q627" s="1034"/>
      <c r="R627" s="1034"/>
      <c r="S627" s="1035">
        <v>5</v>
      </c>
      <c r="T627" s="1035"/>
      <c r="U627" s="1042"/>
      <c r="V627" s="1034"/>
      <c r="W627" s="1034"/>
      <c r="X627" s="1035">
        <v>0</v>
      </c>
      <c r="Y627" s="1035"/>
      <c r="Z627" s="1038">
        <v>19</v>
      </c>
      <c r="AA627" s="1047">
        <v>0</v>
      </c>
      <c r="AB627" s="941"/>
      <c r="AC627" s="1034"/>
      <c r="AD627" s="1034"/>
      <c r="AE627" s="1035">
        <v>8</v>
      </c>
      <c r="AF627" s="1037"/>
      <c r="AG627" s="1034"/>
      <c r="AH627" s="1034"/>
      <c r="AI627" s="1035">
        <v>8</v>
      </c>
      <c r="AJ627" s="1038">
        <v>16</v>
      </c>
      <c r="AK627" s="941"/>
      <c r="AL627" s="943"/>
      <c r="AM627" s="940"/>
      <c r="AN627" s="954"/>
      <c r="AO627" s="954"/>
      <c r="AP627" s="954"/>
      <c r="AQ627" s="954"/>
      <c r="AR627" s="954"/>
      <c r="AS627" s="954"/>
    </row>
    <row r="628" spans="1:45" ht="13.5" customHeight="1">
      <c r="A628" s="1046" t="s">
        <v>66</v>
      </c>
      <c r="B628" s="1062"/>
      <c r="C628" s="1062"/>
      <c r="D628" s="1046"/>
      <c r="E628" s="1046"/>
      <c r="F628" s="1046"/>
      <c r="G628" s="1046"/>
      <c r="H628" s="1046"/>
      <c r="I628" s="1046"/>
      <c r="J628" s="1046"/>
      <c r="K628" s="1046"/>
      <c r="L628" s="1046"/>
      <c r="M628" s="1046"/>
      <c r="N628" s="1046"/>
      <c r="O628" s="1046"/>
      <c r="P628" s="1046"/>
      <c r="Q628" s="1046"/>
      <c r="R628" s="1046"/>
      <c r="S628" s="1046"/>
      <c r="T628" s="1046"/>
      <c r="U628" s="1046"/>
      <c r="V628" s="1046"/>
      <c r="W628" s="1046"/>
      <c r="X628" s="1046"/>
      <c r="Y628" s="1046"/>
      <c r="Z628" s="1038">
        <v>19</v>
      </c>
      <c r="AA628" s="1038">
        <v>0</v>
      </c>
      <c r="AB628" s="941"/>
      <c r="AC628" s="1063"/>
      <c r="AD628" s="1063"/>
      <c r="AE628" s="1063"/>
      <c r="AF628" s="1037"/>
      <c r="AG628" s="1063"/>
      <c r="AH628" s="1063"/>
      <c r="AI628" s="1063"/>
      <c r="AJ628" s="1038">
        <v>16</v>
      </c>
      <c r="AK628" s="941"/>
      <c r="AL628" s="943"/>
      <c r="AM628" s="940"/>
      <c r="AN628" s="1021"/>
      <c r="AO628" s="954"/>
      <c r="AP628" s="954"/>
      <c r="AQ628" s="954"/>
      <c r="AR628" s="954"/>
      <c r="AS628" s="954"/>
    </row>
    <row r="629" spans="1:45" ht="13.5" customHeight="1">
      <c r="A629" s="1150" t="s">
        <v>67</v>
      </c>
      <c r="B629" s="1151">
        <v>87</v>
      </c>
      <c r="C629" s="1151"/>
      <c r="D629" s="1152"/>
      <c r="E629" s="1152"/>
      <c r="F629" s="1151"/>
      <c r="G629" s="1152"/>
      <c r="H629" s="1152"/>
      <c r="I629" s="1152"/>
      <c r="J629" s="1152"/>
      <c r="K629" s="1151"/>
      <c r="L629" s="1151"/>
      <c r="M629" s="1151"/>
      <c r="N629" s="1151"/>
      <c r="O629" s="1152"/>
      <c r="P629" s="1151"/>
      <c r="Q629" s="1151"/>
      <c r="R629" s="1151"/>
      <c r="S629" s="1151"/>
      <c r="T629" s="1152"/>
      <c r="U629" s="1151"/>
      <c r="V629" s="1151"/>
      <c r="W629" s="1151"/>
      <c r="X629" s="1153"/>
      <c r="Y629" s="1152"/>
      <c r="Z629" s="1154"/>
      <c r="AA629" s="1152"/>
      <c r="AB629" s="1033"/>
      <c r="AC629" s="1033"/>
      <c r="AD629" s="1033"/>
      <c r="AE629" s="1033"/>
      <c r="AF629" s="1033"/>
      <c r="AG629" s="1033"/>
      <c r="AH629" s="1033"/>
      <c r="AI629" s="1033"/>
      <c r="AJ629" s="1033"/>
      <c r="AK629" s="941"/>
      <c r="AL629" s="943"/>
      <c r="AM629" s="940"/>
      <c r="AN629" s="1021"/>
      <c r="AO629" s="954"/>
      <c r="AP629" s="954"/>
      <c r="AQ629" s="954"/>
      <c r="AR629" s="954"/>
      <c r="AS629" s="954"/>
    </row>
    <row r="630" spans="1:45" ht="15.75">
      <c r="A630" s="940"/>
      <c r="B630" s="940"/>
      <c r="C630" s="940"/>
      <c r="D630" s="941"/>
      <c r="E630" s="942"/>
      <c r="F630" s="941"/>
      <c r="G630" s="940"/>
      <c r="H630" s="940"/>
      <c r="I630" s="941"/>
      <c r="J630" s="942"/>
      <c r="K630" s="941"/>
      <c r="L630" s="940"/>
      <c r="M630" s="940"/>
      <c r="N630" s="941"/>
      <c r="O630" s="942"/>
      <c r="P630" s="941"/>
      <c r="Q630" s="940"/>
      <c r="R630" s="940"/>
      <c r="S630" s="941"/>
      <c r="T630" s="942"/>
      <c r="U630" s="941"/>
      <c r="V630" s="940"/>
      <c r="W630" s="940"/>
      <c r="X630" s="941"/>
      <c r="Y630" s="942"/>
      <c r="Z630" s="941"/>
      <c r="AA630" s="941"/>
      <c r="AB630" s="941"/>
      <c r="AC630" s="940"/>
      <c r="AD630" s="940"/>
      <c r="AE630" s="940"/>
      <c r="AF630" s="941"/>
      <c r="AG630" s="940"/>
      <c r="AH630" s="940"/>
      <c r="AI630" s="940"/>
      <c r="AJ630" s="940"/>
      <c r="AK630" s="941"/>
      <c r="AL630" s="943"/>
      <c r="AM630" s="940"/>
      <c r="AN630" s="954"/>
      <c r="AO630" s="954"/>
      <c r="AP630" s="954"/>
      <c r="AQ630" s="954"/>
      <c r="AR630" s="954"/>
      <c r="AS630" s="954"/>
    </row>
    <row r="631" spans="1:45" ht="15.75">
      <c r="A631" s="940"/>
      <c r="B631" s="940"/>
      <c r="C631" s="940"/>
      <c r="D631" s="941"/>
      <c r="E631" s="942"/>
      <c r="F631" s="941"/>
      <c r="G631" s="940"/>
      <c r="H631" s="940"/>
      <c r="I631" s="941"/>
      <c r="J631" s="942"/>
      <c r="K631" s="941"/>
      <c r="L631" s="940"/>
      <c r="M631" s="940"/>
      <c r="N631" s="941"/>
      <c r="O631" s="942"/>
      <c r="P631" s="941"/>
      <c r="Q631" s="940"/>
      <c r="R631" s="940"/>
      <c r="S631" s="941"/>
      <c r="T631" s="942"/>
      <c r="U631" s="941"/>
      <c r="V631" s="940"/>
      <c r="W631" s="940"/>
      <c r="X631" s="941"/>
      <c r="Y631" s="942"/>
      <c r="Z631" s="941"/>
      <c r="AA631" s="941"/>
      <c r="AB631" s="941"/>
      <c r="AC631" s="940"/>
      <c r="AD631" s="940"/>
      <c r="AE631" s="940"/>
      <c r="AF631" s="941"/>
      <c r="AG631" s="940"/>
      <c r="AH631" s="940"/>
      <c r="AI631" s="940"/>
      <c r="AJ631" s="940"/>
      <c r="AK631" s="941"/>
      <c r="AL631" s="943"/>
      <c r="AM631" s="940"/>
      <c r="AN631" s="954"/>
      <c r="AO631" s="954"/>
      <c r="AP631" s="954"/>
      <c r="AQ631" s="954"/>
      <c r="AR631" s="954"/>
      <c r="AS631" s="954"/>
    </row>
    <row r="632" spans="1:45" ht="15.75">
      <c r="A632" s="940"/>
      <c r="B632" s="940"/>
      <c r="C632" s="940"/>
      <c r="D632" s="941"/>
      <c r="E632" s="942"/>
      <c r="F632" s="941"/>
      <c r="G632" s="940"/>
      <c r="H632" s="940"/>
      <c r="I632" s="941"/>
      <c r="J632" s="942"/>
      <c r="K632" s="941"/>
      <c r="L632" s="940"/>
      <c r="M632" s="940"/>
      <c r="N632" s="941"/>
      <c r="O632" s="942"/>
      <c r="P632" s="941"/>
      <c r="Q632" s="940"/>
      <c r="R632" s="940"/>
      <c r="S632" s="941"/>
      <c r="T632" s="942"/>
      <c r="U632" s="941"/>
      <c r="V632" s="940"/>
      <c r="W632" s="940"/>
      <c r="X632" s="941"/>
      <c r="Y632" s="942"/>
      <c r="Z632" s="941"/>
      <c r="AA632" s="941"/>
      <c r="AB632" s="941"/>
      <c r="AC632" s="940"/>
      <c r="AD632" s="940"/>
      <c r="AE632" s="940"/>
      <c r="AF632" s="941"/>
      <c r="AG632" s="940"/>
      <c r="AH632" s="940"/>
      <c r="AI632" s="940"/>
      <c r="AJ632" s="940"/>
      <c r="AK632" s="941"/>
      <c r="AL632" s="943"/>
      <c r="AM632" s="940"/>
      <c r="AN632" s="954"/>
      <c r="AO632" s="954"/>
      <c r="AP632" s="954"/>
      <c r="AQ632" s="954"/>
      <c r="AR632" s="954"/>
      <c r="AS632" s="954"/>
    </row>
    <row r="633" spans="1:45" ht="15.75">
      <c r="A633" s="940"/>
      <c r="B633" s="940"/>
      <c r="C633" s="940"/>
      <c r="D633" s="941"/>
      <c r="E633" s="942"/>
      <c r="F633" s="941"/>
      <c r="G633" s="940"/>
      <c r="H633" s="940"/>
      <c r="I633" s="941"/>
      <c r="J633" s="942"/>
      <c r="K633" s="941"/>
      <c r="L633" s="940"/>
      <c r="M633" s="940"/>
      <c r="N633" s="941"/>
      <c r="O633" s="942"/>
      <c r="P633" s="941"/>
      <c r="Q633" s="940"/>
      <c r="R633" s="940"/>
      <c r="S633" s="941"/>
      <c r="T633" s="942"/>
      <c r="U633" s="941"/>
      <c r="V633" s="940"/>
      <c r="W633" s="940"/>
      <c r="X633" s="941"/>
      <c r="Y633" s="942"/>
      <c r="Z633" s="941"/>
      <c r="AA633" s="941"/>
      <c r="AB633" s="941"/>
      <c r="AC633" s="940"/>
      <c r="AD633" s="940"/>
      <c r="AE633" s="940"/>
      <c r="AF633" s="941"/>
      <c r="AG633" s="940"/>
      <c r="AH633" s="940"/>
      <c r="AI633" s="940"/>
      <c r="AJ633" s="940"/>
      <c r="AK633" s="941"/>
      <c r="AL633" s="943"/>
      <c r="AM633" s="940"/>
      <c r="AN633" s="954"/>
      <c r="AO633" s="954"/>
      <c r="AP633" s="954"/>
      <c r="AQ633" s="954"/>
      <c r="AR633" s="954"/>
      <c r="AS633" s="954"/>
    </row>
    <row r="634" spans="1:45" ht="15.75">
      <c r="A634" s="940"/>
      <c r="B634" s="940"/>
      <c r="C634" s="940"/>
      <c r="D634" s="941"/>
      <c r="E634" s="942"/>
      <c r="F634" s="941"/>
      <c r="G634" s="940"/>
      <c r="H634" s="940"/>
      <c r="I634" s="941"/>
      <c r="J634" s="942"/>
      <c r="K634" s="941"/>
      <c r="L634" s="940"/>
      <c r="M634" s="940"/>
      <c r="N634" s="941"/>
      <c r="O634" s="942"/>
      <c r="P634" s="941"/>
      <c r="Q634" s="940"/>
      <c r="R634" s="940"/>
      <c r="S634" s="941"/>
      <c r="T634" s="942"/>
      <c r="U634" s="941"/>
      <c r="V634" s="940"/>
      <c r="W634" s="940"/>
      <c r="X634" s="941"/>
      <c r="Y634" s="942"/>
      <c r="Z634" s="941"/>
      <c r="AA634" s="941"/>
      <c r="AB634" s="941"/>
      <c r="AC634" s="940"/>
      <c r="AD634" s="940"/>
      <c r="AE634" s="940"/>
      <c r="AF634" s="941"/>
      <c r="AG634" s="940"/>
      <c r="AH634" s="940"/>
      <c r="AI634" s="940"/>
      <c r="AJ634" s="940"/>
      <c r="AK634" s="941"/>
      <c r="AL634" s="943"/>
      <c r="AM634" s="940"/>
      <c r="AN634" s="954"/>
      <c r="AO634" s="954"/>
      <c r="AP634" s="954"/>
      <c r="AQ634" s="954"/>
      <c r="AR634" s="954"/>
      <c r="AS634" s="954"/>
    </row>
    <row r="635" spans="1:45" ht="15.75">
      <c r="A635" s="940"/>
      <c r="B635" s="940"/>
      <c r="C635" s="940"/>
      <c r="D635" s="941"/>
      <c r="E635" s="942"/>
      <c r="F635" s="941"/>
      <c r="G635" s="940"/>
      <c r="H635" s="940"/>
      <c r="I635" s="941"/>
      <c r="J635" s="942"/>
      <c r="K635" s="941"/>
      <c r="L635" s="940"/>
      <c r="M635" s="940"/>
      <c r="N635" s="941"/>
      <c r="O635" s="942"/>
      <c r="P635" s="941"/>
      <c r="Q635" s="940"/>
      <c r="R635" s="940"/>
      <c r="S635" s="941"/>
      <c r="T635" s="942"/>
      <c r="U635" s="941"/>
      <c r="V635" s="940"/>
      <c r="W635" s="940"/>
      <c r="X635" s="941"/>
      <c r="Y635" s="942"/>
      <c r="Z635" s="941"/>
      <c r="AA635" s="941"/>
      <c r="AB635" s="941"/>
      <c r="AC635" s="940"/>
      <c r="AD635" s="940"/>
      <c r="AE635" s="940"/>
      <c r="AF635" s="941"/>
      <c r="AG635" s="940"/>
      <c r="AH635" s="940"/>
      <c r="AI635" s="940"/>
      <c r="AJ635" s="940"/>
      <c r="AK635" s="941"/>
      <c r="AL635" s="943"/>
      <c r="AM635" s="940"/>
      <c r="AN635" s="954"/>
      <c r="AO635" s="954"/>
      <c r="AP635" s="954"/>
      <c r="AQ635" s="954"/>
      <c r="AR635" s="954"/>
      <c r="AS635" s="954"/>
    </row>
    <row r="636" spans="1:45" ht="15.75">
      <c r="A636" s="940"/>
      <c r="B636" s="940"/>
      <c r="C636" s="940"/>
      <c r="D636" s="941"/>
      <c r="E636" s="942"/>
      <c r="F636" s="941"/>
      <c r="G636" s="940"/>
      <c r="H636" s="940"/>
      <c r="I636" s="941"/>
      <c r="J636" s="942"/>
      <c r="K636" s="941"/>
      <c r="L636" s="940"/>
      <c r="M636" s="940"/>
      <c r="N636" s="941"/>
      <c r="O636" s="942"/>
      <c r="P636" s="1135">
        <v>0</v>
      </c>
      <c r="Q636" s="940"/>
      <c r="R636" s="940"/>
      <c r="S636" s="941"/>
      <c r="T636" s="942"/>
      <c r="U636" s="941"/>
      <c r="V636" s="940"/>
      <c r="W636" s="940"/>
      <c r="X636" s="941"/>
      <c r="Y636" s="942"/>
      <c r="Z636" s="1136"/>
      <c r="AA636" s="940"/>
      <c r="AB636" s="941"/>
      <c r="AC636" s="940"/>
      <c r="AD636" s="940"/>
      <c r="AE636" s="940"/>
      <c r="AF636" s="941"/>
      <c r="AG636" s="940"/>
      <c r="AH636" s="940"/>
      <c r="AI636" s="940"/>
      <c r="AJ636" s="940"/>
      <c r="AK636" s="941"/>
      <c r="AL636" s="943"/>
      <c r="AM636" s="940"/>
      <c r="AN636" s="954"/>
      <c r="AO636" s="954"/>
      <c r="AP636" s="954"/>
      <c r="AQ636" s="954"/>
      <c r="AR636" s="954"/>
      <c r="AS636" s="954"/>
    </row>
    <row r="637" spans="1:45" ht="15.75">
      <c r="A637" s="940"/>
      <c r="B637" s="940"/>
      <c r="C637" s="940"/>
      <c r="D637" s="941"/>
      <c r="E637" s="942"/>
      <c r="F637" s="941"/>
      <c r="G637" s="940"/>
      <c r="H637" s="940"/>
      <c r="I637" s="941"/>
      <c r="J637" s="942"/>
      <c r="K637" s="941"/>
      <c r="L637" s="940"/>
      <c r="M637" s="940"/>
      <c r="N637" s="941"/>
      <c r="O637" s="942"/>
      <c r="P637" s="940"/>
      <c r="Q637" s="940"/>
      <c r="R637" s="940"/>
      <c r="S637" s="941"/>
      <c r="T637" s="942"/>
      <c r="U637" s="941"/>
      <c r="V637" s="940"/>
      <c r="W637" s="940"/>
      <c r="X637" s="941"/>
      <c r="Y637" s="942"/>
      <c r="Z637" s="941"/>
      <c r="AA637" s="941"/>
      <c r="AB637" s="941"/>
      <c r="AC637" s="940"/>
      <c r="AD637" s="940"/>
      <c r="AE637" s="940"/>
      <c r="AF637" s="941"/>
      <c r="AG637" s="940"/>
      <c r="AH637" s="940"/>
      <c r="AI637" s="940"/>
      <c r="AJ637" s="940"/>
      <c r="AK637" s="941"/>
      <c r="AL637" s="943"/>
      <c r="AM637" s="940"/>
      <c r="AN637" s="954"/>
      <c r="AO637" s="954"/>
      <c r="AP637" s="954"/>
      <c r="AQ637" s="954"/>
      <c r="AR637" s="954"/>
      <c r="AS637" s="954"/>
    </row>
    <row r="638" spans="1:45" ht="15.75">
      <c r="A638" s="940"/>
      <c r="B638" s="940"/>
      <c r="C638" s="940"/>
      <c r="D638" s="941"/>
      <c r="E638" s="942"/>
      <c r="F638" s="941"/>
      <c r="G638" s="940"/>
      <c r="H638" s="940"/>
      <c r="I638" s="941"/>
      <c r="J638" s="942"/>
      <c r="K638" s="941"/>
      <c r="L638" s="940"/>
      <c r="M638" s="940"/>
      <c r="N638" s="941"/>
      <c r="O638" s="942"/>
      <c r="P638" s="1134">
        <v>0</v>
      </c>
      <c r="Q638" s="940"/>
      <c r="R638" s="940"/>
      <c r="S638" s="941"/>
      <c r="T638" s="942"/>
      <c r="U638" s="941"/>
      <c r="V638" s="940"/>
      <c r="W638" s="940"/>
      <c r="X638" s="941"/>
      <c r="Y638" s="942"/>
      <c r="Z638" s="941"/>
      <c r="AA638" s="941"/>
      <c r="AB638" s="941"/>
      <c r="AC638" s="940"/>
      <c r="AD638" s="940"/>
      <c r="AE638" s="940"/>
      <c r="AF638" s="941"/>
      <c r="AG638" s="940"/>
      <c r="AH638" s="940"/>
      <c r="AI638" s="940"/>
      <c r="AJ638" s="940"/>
      <c r="AK638" s="941"/>
      <c r="AL638" s="943"/>
      <c r="AM638" s="940"/>
      <c r="AN638" s="954"/>
      <c r="AO638" s="954"/>
      <c r="AP638" s="954"/>
      <c r="AQ638" s="954"/>
      <c r="AR638" s="954"/>
      <c r="AS638" s="954"/>
    </row>
  </sheetData>
  <mergeCells count="313">
    <mergeCell ref="R1:AJ1"/>
    <mergeCell ref="AN1:AS1"/>
    <mergeCell ref="Y2:Z2"/>
    <mergeCell ref="AA2:AE2"/>
    <mergeCell ref="AF2:AG2"/>
    <mergeCell ref="AH2:AI2"/>
    <mergeCell ref="AN2:AS2"/>
    <mergeCell ref="AA6:AE6"/>
    <mergeCell ref="AF6:AG6"/>
    <mergeCell ref="AH6:AI6"/>
    <mergeCell ref="AA39:AA40"/>
    <mergeCell ref="AA7:AE7"/>
    <mergeCell ref="AA8:AE8"/>
    <mergeCell ref="AF8:AG8"/>
    <mergeCell ref="AH8:AI8"/>
    <mergeCell ref="AA3:AE3"/>
    <mergeCell ref="Y4:Z4"/>
    <mergeCell ref="AA4:AE4"/>
    <mergeCell ref="AF4:AG4"/>
    <mergeCell ref="AH4:AI4"/>
    <mergeCell ref="Y5:Z5"/>
    <mergeCell ref="AA5:AE5"/>
    <mergeCell ref="AF5:AG5"/>
    <mergeCell ref="AH5:AI5"/>
    <mergeCell ref="X69:Y69"/>
    <mergeCell ref="AA14:AA15"/>
    <mergeCell ref="AC14:AD14"/>
    <mergeCell ref="AG14:AH14"/>
    <mergeCell ref="AJ14:AJ15"/>
    <mergeCell ref="V16:Y32"/>
    <mergeCell ref="A39:A40"/>
    <mergeCell ref="B39:C39"/>
    <mergeCell ref="D39:E39"/>
    <mergeCell ref="G39:H39"/>
    <mergeCell ref="I39:J39"/>
    <mergeCell ref="N14:O14"/>
    <mergeCell ref="Q14:R14"/>
    <mergeCell ref="S14:T14"/>
    <mergeCell ref="V14:W14"/>
    <mergeCell ref="X14:Y14"/>
    <mergeCell ref="Z14:Z15"/>
    <mergeCell ref="A14:A15"/>
    <mergeCell ref="B14:C14"/>
    <mergeCell ref="D14:E14"/>
    <mergeCell ref="G14:H14"/>
    <mergeCell ref="I14:J14"/>
    <mergeCell ref="L14:M14"/>
    <mergeCell ref="Z39:Z40"/>
    <mergeCell ref="L69:M69"/>
    <mergeCell ref="N69:O69"/>
    <mergeCell ref="Q69:R69"/>
    <mergeCell ref="S69:T69"/>
    <mergeCell ref="AC39:AD39"/>
    <mergeCell ref="AG39:AH39"/>
    <mergeCell ref="AJ39:AJ40"/>
    <mergeCell ref="A69:A70"/>
    <mergeCell ref="B69:C69"/>
    <mergeCell ref="D69:E69"/>
    <mergeCell ref="G69:H69"/>
    <mergeCell ref="I69:J69"/>
    <mergeCell ref="L39:M39"/>
    <mergeCell ref="N39:O39"/>
    <mergeCell ref="Q39:R39"/>
    <mergeCell ref="S39:T39"/>
    <mergeCell ref="V39:W39"/>
    <mergeCell ref="X39:Y39"/>
    <mergeCell ref="Z69:Z70"/>
    <mergeCell ref="AA69:AA70"/>
    <mergeCell ref="AC69:AD69"/>
    <mergeCell ref="AG69:AH69"/>
    <mergeCell ref="AJ69:AJ70"/>
    <mergeCell ref="V69:W69"/>
    <mergeCell ref="A131:A132"/>
    <mergeCell ref="B131:C131"/>
    <mergeCell ref="D131:E131"/>
    <mergeCell ref="G131:H131"/>
    <mergeCell ref="I131:J131"/>
    <mergeCell ref="L100:M100"/>
    <mergeCell ref="N100:O100"/>
    <mergeCell ref="Q100:R100"/>
    <mergeCell ref="S100:T100"/>
    <mergeCell ref="A100:A101"/>
    <mergeCell ref="B100:C100"/>
    <mergeCell ref="D100:E100"/>
    <mergeCell ref="G100:H100"/>
    <mergeCell ref="I100:J100"/>
    <mergeCell ref="L131:M131"/>
    <mergeCell ref="N131:O131"/>
    <mergeCell ref="Q131:R131"/>
    <mergeCell ref="S131:T131"/>
    <mergeCell ref="Z100:Z101"/>
    <mergeCell ref="AA100:AA101"/>
    <mergeCell ref="AC100:AD100"/>
    <mergeCell ref="AG100:AH100"/>
    <mergeCell ref="AJ100:AJ101"/>
    <mergeCell ref="V100:W100"/>
    <mergeCell ref="X100:Y100"/>
    <mergeCell ref="Z131:Z132"/>
    <mergeCell ref="AA131:AA132"/>
    <mergeCell ref="AC131:AD131"/>
    <mergeCell ref="AG131:AH131"/>
    <mergeCell ref="AJ131:AJ132"/>
    <mergeCell ref="V131:W131"/>
    <mergeCell ref="X131:Y131"/>
    <mergeCell ref="AA164:AA165"/>
    <mergeCell ref="AC164:AD164"/>
    <mergeCell ref="AG164:AH164"/>
    <mergeCell ref="AJ164:AJ165"/>
    <mergeCell ref="A200:A201"/>
    <mergeCell ref="B200:C200"/>
    <mergeCell ref="D200:E200"/>
    <mergeCell ref="G200:H200"/>
    <mergeCell ref="I200:J200"/>
    <mergeCell ref="L164:M164"/>
    <mergeCell ref="N164:O164"/>
    <mergeCell ref="Q164:R164"/>
    <mergeCell ref="S164:T164"/>
    <mergeCell ref="V164:W164"/>
    <mergeCell ref="X164:Y164"/>
    <mergeCell ref="Z200:Z201"/>
    <mergeCell ref="AA200:AA201"/>
    <mergeCell ref="AC200:AD200"/>
    <mergeCell ref="AG200:AH200"/>
    <mergeCell ref="AJ200:AJ201"/>
    <mergeCell ref="V200:W200"/>
    <mergeCell ref="X200:Y200"/>
    <mergeCell ref="A164:A165"/>
    <mergeCell ref="B164:C164"/>
    <mergeCell ref="D236:E236"/>
    <mergeCell ref="G236:H236"/>
    <mergeCell ref="I236:J236"/>
    <mergeCell ref="L200:M200"/>
    <mergeCell ref="N200:O200"/>
    <mergeCell ref="Q200:R200"/>
    <mergeCell ref="S200:T200"/>
    <mergeCell ref="Z164:Z165"/>
    <mergeCell ref="D164:E164"/>
    <mergeCell ref="G164:H164"/>
    <mergeCell ref="I164:J164"/>
    <mergeCell ref="Z236:Z237"/>
    <mergeCell ref="AA236:AA237"/>
    <mergeCell ref="AC236:AD236"/>
    <mergeCell ref="AG236:AH236"/>
    <mergeCell ref="AJ236:AJ237"/>
    <mergeCell ref="A272:A273"/>
    <mergeCell ref="B272:C272"/>
    <mergeCell ref="D272:E272"/>
    <mergeCell ref="G272:H272"/>
    <mergeCell ref="I272:J272"/>
    <mergeCell ref="L236:M236"/>
    <mergeCell ref="N236:O236"/>
    <mergeCell ref="Q236:R236"/>
    <mergeCell ref="S236:T236"/>
    <mergeCell ref="V236:W236"/>
    <mergeCell ref="X236:Y236"/>
    <mergeCell ref="Z272:Z273"/>
    <mergeCell ref="AA272:AA273"/>
    <mergeCell ref="AC272:AD272"/>
    <mergeCell ref="AG272:AH272"/>
    <mergeCell ref="AJ272:AJ273"/>
    <mergeCell ref="V272:W272"/>
    <mergeCell ref="X272:Y272"/>
    <mergeCell ref="A236:A237"/>
    <mergeCell ref="B236:C236"/>
    <mergeCell ref="A307:A308"/>
    <mergeCell ref="B307:C307"/>
    <mergeCell ref="D307:E307"/>
    <mergeCell ref="G307:H307"/>
    <mergeCell ref="I307:J307"/>
    <mergeCell ref="L272:M272"/>
    <mergeCell ref="N272:O272"/>
    <mergeCell ref="Q272:R272"/>
    <mergeCell ref="S272:T272"/>
    <mergeCell ref="Z307:Z308"/>
    <mergeCell ref="AA307:AA308"/>
    <mergeCell ref="AC307:AD307"/>
    <mergeCell ref="AG307:AH307"/>
    <mergeCell ref="AJ307:AJ308"/>
    <mergeCell ref="B309:E333"/>
    <mergeCell ref="L307:M307"/>
    <mergeCell ref="N307:O307"/>
    <mergeCell ref="Q307:R307"/>
    <mergeCell ref="S307:T307"/>
    <mergeCell ref="V307:W307"/>
    <mergeCell ref="X307:Y307"/>
    <mergeCell ref="AA342:AA343"/>
    <mergeCell ref="AC342:AD342"/>
    <mergeCell ref="AG342:AH342"/>
    <mergeCell ref="AJ342:AJ343"/>
    <mergeCell ref="A377:A378"/>
    <mergeCell ref="B377:C377"/>
    <mergeCell ref="D377:E377"/>
    <mergeCell ref="G377:H377"/>
    <mergeCell ref="I377:J377"/>
    <mergeCell ref="L377:M377"/>
    <mergeCell ref="N342:O342"/>
    <mergeCell ref="Q342:R342"/>
    <mergeCell ref="S342:T342"/>
    <mergeCell ref="V342:W342"/>
    <mergeCell ref="X342:Y342"/>
    <mergeCell ref="Z342:Z343"/>
    <mergeCell ref="A342:A343"/>
    <mergeCell ref="B342:C342"/>
    <mergeCell ref="D342:E342"/>
    <mergeCell ref="G342:H342"/>
    <mergeCell ref="I342:J342"/>
    <mergeCell ref="L342:M342"/>
    <mergeCell ref="AA377:AA378"/>
    <mergeCell ref="AC377:AD377"/>
    <mergeCell ref="N412:O412"/>
    <mergeCell ref="Q412:R412"/>
    <mergeCell ref="S412:T412"/>
    <mergeCell ref="AG377:AH377"/>
    <mergeCell ref="AJ377:AJ378"/>
    <mergeCell ref="A412:A413"/>
    <mergeCell ref="B412:C412"/>
    <mergeCell ref="D412:E412"/>
    <mergeCell ref="G412:H412"/>
    <mergeCell ref="I412:J412"/>
    <mergeCell ref="L412:M412"/>
    <mergeCell ref="N377:O377"/>
    <mergeCell ref="Q377:R377"/>
    <mergeCell ref="S377:T377"/>
    <mergeCell ref="V377:W377"/>
    <mergeCell ref="X377:Y377"/>
    <mergeCell ref="Z377:Z378"/>
    <mergeCell ref="AA412:AA413"/>
    <mergeCell ref="AC412:AD412"/>
    <mergeCell ref="AG412:AH412"/>
    <mergeCell ref="AJ412:AJ413"/>
    <mergeCell ref="V412:W412"/>
    <mergeCell ref="X412:Y412"/>
    <mergeCell ref="Z412:Z413"/>
    <mergeCell ref="AC447:AD447"/>
    <mergeCell ref="AG447:AH447"/>
    <mergeCell ref="AJ447:AJ448"/>
    <mergeCell ref="A483:A484"/>
    <mergeCell ref="B483:C483"/>
    <mergeCell ref="D483:E483"/>
    <mergeCell ref="G483:H483"/>
    <mergeCell ref="I483:J483"/>
    <mergeCell ref="L483:M483"/>
    <mergeCell ref="N447:O447"/>
    <mergeCell ref="Q447:R447"/>
    <mergeCell ref="S447:T447"/>
    <mergeCell ref="V447:W447"/>
    <mergeCell ref="X447:Y447"/>
    <mergeCell ref="Z447:Z448"/>
    <mergeCell ref="AA483:AA484"/>
    <mergeCell ref="AC483:AD483"/>
    <mergeCell ref="AG483:AH483"/>
    <mergeCell ref="AJ483:AJ484"/>
    <mergeCell ref="V483:W483"/>
    <mergeCell ref="X483:Y483"/>
    <mergeCell ref="Z483:Z484"/>
    <mergeCell ref="A447:A448"/>
    <mergeCell ref="B447:C447"/>
    <mergeCell ref="D519:E519"/>
    <mergeCell ref="G519:H519"/>
    <mergeCell ref="I519:J519"/>
    <mergeCell ref="L519:M519"/>
    <mergeCell ref="N483:O483"/>
    <mergeCell ref="Q483:R483"/>
    <mergeCell ref="S483:T483"/>
    <mergeCell ref="AA447:AA448"/>
    <mergeCell ref="D447:E447"/>
    <mergeCell ref="G447:H447"/>
    <mergeCell ref="I447:J447"/>
    <mergeCell ref="L447:M447"/>
    <mergeCell ref="AA519:AA520"/>
    <mergeCell ref="AC519:AD519"/>
    <mergeCell ref="AG519:AH519"/>
    <mergeCell ref="AJ519:AJ520"/>
    <mergeCell ref="A557:A558"/>
    <mergeCell ref="B557:C557"/>
    <mergeCell ref="D557:E557"/>
    <mergeCell ref="G557:H557"/>
    <mergeCell ref="I557:J557"/>
    <mergeCell ref="L557:M557"/>
    <mergeCell ref="N519:O519"/>
    <mergeCell ref="Q519:R519"/>
    <mergeCell ref="S519:T519"/>
    <mergeCell ref="V519:W519"/>
    <mergeCell ref="X519:Y519"/>
    <mergeCell ref="Z519:Z520"/>
    <mergeCell ref="AA557:AA558"/>
    <mergeCell ref="AC557:AD557"/>
    <mergeCell ref="AG557:AH557"/>
    <mergeCell ref="AJ557:AJ558"/>
    <mergeCell ref="V557:W557"/>
    <mergeCell ref="X557:Y557"/>
    <mergeCell ref="Z557:Z558"/>
    <mergeCell ref="A519:A520"/>
    <mergeCell ref="B519:C519"/>
    <mergeCell ref="A595:A596"/>
    <mergeCell ref="B595:C595"/>
    <mergeCell ref="D595:E595"/>
    <mergeCell ref="G595:H595"/>
    <mergeCell ref="I595:J595"/>
    <mergeCell ref="L595:M595"/>
    <mergeCell ref="N557:O557"/>
    <mergeCell ref="Q557:R557"/>
    <mergeCell ref="S557:T557"/>
    <mergeCell ref="AA595:AA596"/>
    <mergeCell ref="AC595:AD595"/>
    <mergeCell ref="AG595:AH595"/>
    <mergeCell ref="AJ595:AJ596"/>
    <mergeCell ref="N595:O595"/>
    <mergeCell ref="Q595:R595"/>
    <mergeCell ref="S595:T595"/>
    <mergeCell ref="V595:W595"/>
    <mergeCell ref="X595:Y595"/>
    <mergeCell ref="Z595:Z596"/>
  </mergeCells>
  <conditionalFormatting sqref="AF2:AF4">
    <cfRule type="cellIs" dxfId="6" priority="2" operator="lessThan">
      <formula>0</formula>
    </cfRule>
  </conditionalFormatting>
  <conditionalFormatting sqref="AH2:AH4">
    <cfRule type="cellIs" dxfId="5" priority="1" operator="lessThan">
      <formula>0</formula>
    </cfRule>
  </conditionalFormatting>
  <pageMargins left="0.7" right="0.7" top="0.75" bottom="0.75" header="0.3" footer="0.3"/>
  <drawing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F03FE-D8A5-433C-8F39-E0CF15FA90FF}">
  <sheetPr codeName="Sheet19"/>
  <dimension ref="A1:BA543"/>
  <sheetViews>
    <sheetView topLeftCell="B378" zoomScaleNormal="100" workbookViewId="0">
      <pane xSplit="1" topLeftCell="C1" activePane="topRight" state="frozen"/>
      <selection pane="topRight" activeCell="AH535" sqref="AH535"/>
      <selection activeCell="AH535" sqref="AH535"/>
    </sheetView>
  </sheetViews>
  <sheetFormatPr defaultColWidth="9.42578125" defaultRowHeight="13.5"/>
  <cols>
    <col min="1" max="1" width="12.5703125" style="313" hidden="1" customWidth="1"/>
    <col min="2" max="2" width="18.42578125" style="313" bestFit="1" customWidth="1"/>
    <col min="3" max="3" width="7.7109375" style="180" customWidth="1"/>
    <col min="4" max="4" width="7.42578125" style="180" customWidth="1"/>
    <col min="5" max="5" width="6.42578125" style="374" customWidth="1"/>
    <col min="6" max="6" width="6" style="649" customWidth="1"/>
    <col min="7" max="7" width="1" style="374" customWidth="1"/>
    <col min="8" max="8" width="7.7109375" style="180" customWidth="1"/>
    <col min="9" max="9" width="6.42578125" style="180" customWidth="1"/>
    <col min="10" max="10" width="5.5703125" style="374" customWidth="1"/>
    <col min="11" max="11" width="6.42578125" style="649" customWidth="1"/>
    <col min="12" max="12" width="1" style="374" customWidth="1"/>
    <col min="13" max="14" width="7.42578125" style="180" customWidth="1"/>
    <col min="15" max="15" width="6.42578125" style="374" customWidth="1"/>
    <col min="16" max="16" width="6.42578125" style="649" customWidth="1"/>
    <col min="17" max="17" width="1" style="4" customWidth="1"/>
    <col min="18" max="19" width="7.42578125" style="180" customWidth="1"/>
    <col min="20" max="20" width="6.42578125" style="374" customWidth="1"/>
    <col min="21" max="21" width="6.42578125" style="649" customWidth="1"/>
    <col min="22" max="22" width="1" style="4" customWidth="1"/>
    <col min="23" max="24" width="6.42578125" style="180" customWidth="1"/>
    <col min="25" max="25" width="6.42578125" style="374" customWidth="1"/>
    <col min="26" max="26" width="7.42578125" style="649" bestFit="1" customWidth="1"/>
    <col min="27" max="27" width="9.140625" style="374" customWidth="1"/>
    <col min="28" max="28" width="8" style="374" customWidth="1"/>
    <col min="29" max="29" width="1" style="374" customWidth="1"/>
    <col min="30" max="30" width="7.5703125" style="180" customWidth="1"/>
    <col min="31" max="31" width="7.140625" style="180" customWidth="1"/>
    <col min="32" max="32" width="7.85546875" style="180" customWidth="1"/>
    <col min="33" max="33" width="1" style="4" customWidth="1"/>
    <col min="34" max="34" width="10.140625" style="180" customWidth="1"/>
    <col min="35" max="35" width="7" style="180" customWidth="1"/>
    <col min="36" max="36" width="7.42578125" style="180" customWidth="1"/>
    <col min="37" max="37" width="7.5703125" style="180" customWidth="1"/>
    <col min="38" max="38" width="2.42578125" style="4" customWidth="1"/>
    <col min="39" max="39" width="2.42578125" style="255" customWidth="1"/>
    <col min="40" max="40" width="1.42578125" style="180" customWidth="1"/>
    <col min="41" max="41" width="13.5703125" style="193" bestFit="1" customWidth="1"/>
    <col min="42" max="42" width="13" style="193" customWidth="1"/>
    <col min="43" max="43" width="9.42578125" style="193"/>
    <col min="44" max="44" width="12.5703125" style="193" bestFit="1" customWidth="1"/>
    <col min="45" max="46" width="9.42578125" style="193"/>
    <col min="47" max="53" width="9.42578125" style="180"/>
    <col min="54" max="16384" width="9.42578125" style="313"/>
  </cols>
  <sheetData>
    <row r="1" spans="1:53" s="180" customFormat="1" ht="33" customHeight="1">
      <c r="E1" s="4"/>
      <c r="F1" s="644"/>
      <c r="G1" s="4"/>
      <c r="J1" s="4"/>
      <c r="K1" s="644"/>
      <c r="L1" s="4"/>
      <c r="O1" s="4"/>
      <c r="P1" s="644"/>
      <c r="Q1" s="4"/>
      <c r="S1" s="1520" t="s">
        <v>1448</v>
      </c>
      <c r="T1" s="1520"/>
      <c r="U1" s="1520"/>
      <c r="V1" s="1520"/>
      <c r="W1" s="1520"/>
      <c r="X1" s="1520"/>
      <c r="Y1" s="1520"/>
      <c r="Z1" s="1520"/>
      <c r="AA1" s="1520"/>
      <c r="AB1" s="1520"/>
      <c r="AC1" s="1520"/>
      <c r="AD1" s="1520"/>
      <c r="AE1" s="1520"/>
      <c r="AF1" s="1520"/>
      <c r="AG1" s="4"/>
      <c r="AH1" s="4"/>
      <c r="AI1" s="4"/>
      <c r="AJ1" s="4"/>
      <c r="AK1" s="4"/>
      <c r="AL1" s="4"/>
      <c r="AM1" s="255"/>
      <c r="AO1" s="1517" t="s">
        <v>1109</v>
      </c>
      <c r="AP1" s="1517"/>
      <c r="AQ1" s="1517"/>
      <c r="AR1" s="1517"/>
      <c r="AS1" s="1517"/>
      <c r="AT1" s="1517"/>
    </row>
    <row r="2" spans="1:53" s="180" customFormat="1" ht="13.5" customHeight="1">
      <c r="E2" s="4"/>
      <c r="F2" s="644"/>
      <c r="G2" s="4"/>
      <c r="J2" s="4"/>
      <c r="K2" s="644"/>
      <c r="L2" s="4"/>
      <c r="O2" s="4"/>
      <c r="P2" s="644"/>
      <c r="Q2" s="4"/>
      <c r="S2" s="258"/>
      <c r="T2" s="258"/>
      <c r="U2" s="644"/>
      <c r="V2" s="258"/>
      <c r="W2" s="258"/>
      <c r="X2" s="657"/>
      <c r="Y2" s="657" t="s">
        <v>2</v>
      </c>
      <c r="Z2" s="736">
        <v>2305</v>
      </c>
      <c r="AB2" s="37"/>
      <c r="AC2" s="657"/>
      <c r="AD2" s="651" t="s">
        <v>942</v>
      </c>
      <c r="AE2" s="734">
        <f>Z2-Z6</f>
        <v>7.6460000000001855</v>
      </c>
      <c r="AF2" s="734"/>
      <c r="AG2" s="4"/>
      <c r="AH2" s="734"/>
      <c r="AI2" s="1562"/>
      <c r="AJ2" s="1562"/>
      <c r="AL2" s="4"/>
      <c r="AM2" s="255"/>
      <c r="AO2" s="1521" t="s">
        <v>1110</v>
      </c>
      <c r="AP2" s="1521"/>
      <c r="AQ2" s="1521"/>
      <c r="AR2" s="1521"/>
      <c r="AS2" s="1521"/>
      <c r="AT2" s="1521"/>
    </row>
    <row r="3" spans="1:53" s="180" customFormat="1" ht="13.5" customHeight="1">
      <c r="E3" s="4"/>
      <c r="F3" s="644"/>
      <c r="G3" s="4"/>
      <c r="J3" s="4"/>
      <c r="K3" s="644"/>
      <c r="L3" s="4"/>
      <c r="O3" s="4"/>
      <c r="P3" s="644"/>
      <c r="Q3" s="4"/>
      <c r="S3" s="258"/>
      <c r="T3" s="258"/>
      <c r="U3" s="644"/>
      <c r="V3" s="258"/>
      <c r="W3" s="258"/>
      <c r="Y3" s="657" t="s">
        <v>1416</v>
      </c>
      <c r="Z3" s="736">
        <v>750</v>
      </c>
      <c r="AC3" s="657"/>
      <c r="AD3" s="651" t="s">
        <v>1449</v>
      </c>
      <c r="AE3" s="733">
        <f>Z3-Z7</f>
        <v>11.561989566871603</v>
      </c>
      <c r="AF3" s="733"/>
      <c r="AG3" s="4"/>
      <c r="AH3" s="734"/>
      <c r="AI3" s="1563"/>
      <c r="AJ3" s="1563"/>
      <c r="AL3" s="4"/>
      <c r="AM3" s="255"/>
      <c r="AO3" s="192" t="s">
        <v>6</v>
      </c>
      <c r="AP3" s="193"/>
      <c r="AQ3" s="193"/>
      <c r="AR3" s="193"/>
      <c r="AS3" s="193"/>
      <c r="AT3" s="193"/>
    </row>
    <row r="4" spans="1:53" s="180" customFormat="1" ht="13.5" customHeight="1">
      <c r="E4" s="4"/>
      <c r="F4" s="644"/>
      <c r="G4" s="4"/>
      <c r="J4" s="4"/>
      <c r="K4" s="644"/>
      <c r="L4" s="4"/>
      <c r="O4" s="4"/>
      <c r="P4" s="644"/>
      <c r="Q4" s="4"/>
      <c r="S4" s="258"/>
      <c r="T4" s="258"/>
      <c r="U4" s="644"/>
      <c r="X4" s="657"/>
      <c r="Y4" s="657" t="s">
        <v>5</v>
      </c>
      <c r="Z4" s="736">
        <v>200</v>
      </c>
      <c r="AB4" s="37"/>
      <c r="AD4" s="651" t="s">
        <v>944</v>
      </c>
      <c r="AE4" s="734">
        <f>Z4-Z8</f>
        <v>0.375</v>
      </c>
      <c r="AF4" s="734"/>
      <c r="AG4" s="4"/>
      <c r="AH4" s="734"/>
      <c r="AL4" s="4"/>
      <c r="AM4" s="255"/>
      <c r="AO4" s="193" t="s">
        <v>8</v>
      </c>
      <c r="AP4" s="193"/>
      <c r="AQ4" s="193"/>
      <c r="AR4" s="193"/>
      <c r="AS4" s="193"/>
      <c r="AT4" s="193"/>
    </row>
    <row r="5" spans="1:53" s="180" customFormat="1" ht="13.5" customHeight="1">
      <c r="E5" s="4"/>
      <c r="F5" s="644"/>
      <c r="G5" s="4"/>
      <c r="J5" s="4"/>
      <c r="K5" s="644"/>
      <c r="L5" s="4"/>
      <c r="O5" s="4"/>
      <c r="P5" s="650"/>
      <c r="Q5" s="4"/>
      <c r="S5" s="258"/>
      <c r="T5" s="258"/>
      <c r="U5" s="644"/>
      <c r="V5" s="258"/>
      <c r="W5" s="905"/>
      <c r="X5" s="906"/>
      <c r="Y5" s="906" t="s">
        <v>7</v>
      </c>
      <c r="Z5" s="907">
        <v>500</v>
      </c>
      <c r="AA5" s="732"/>
      <c r="AB5" s="37"/>
      <c r="AC5" s="657"/>
      <c r="AD5" s="651" t="s">
        <v>945</v>
      </c>
      <c r="AE5" s="734">
        <f>Z5-Z9</f>
        <v>109</v>
      </c>
      <c r="AF5" s="932" t="s">
        <v>1450</v>
      </c>
      <c r="AG5" s="4"/>
      <c r="AH5" s="734"/>
      <c r="AI5" s="1563"/>
      <c r="AJ5" s="1563"/>
      <c r="AL5" s="4"/>
      <c r="AM5" s="255"/>
      <c r="AO5" s="193" t="s">
        <v>11</v>
      </c>
      <c r="AP5" s="193"/>
      <c r="AQ5" s="193"/>
      <c r="AR5" s="193"/>
      <c r="AS5" s="193"/>
      <c r="AT5" s="193"/>
    </row>
    <row r="6" spans="1:53" s="180" customFormat="1" ht="13.5" customHeight="1">
      <c r="E6" s="4"/>
      <c r="F6" s="644"/>
      <c r="G6" s="4"/>
      <c r="J6" s="4"/>
      <c r="K6" s="644"/>
      <c r="L6" s="4"/>
      <c r="O6" s="4"/>
      <c r="P6" s="644"/>
      <c r="Q6" s="4"/>
      <c r="S6" s="258"/>
      <c r="U6" s="644"/>
      <c r="V6" s="914"/>
      <c r="W6" s="914"/>
      <c r="X6" s="913"/>
      <c r="Y6" s="915" t="s">
        <v>9</v>
      </c>
      <c r="Z6" s="916">
        <f>(AA30+AA48+AA67+AA87+AA108+AA129+AA150+AA171+AA192+AA216+AA240+AA264+AA288+AA312+AA336+AA360+AA384)+((AA242+AA266+AA290+AA314+AA338+AA362)*1.316)</f>
        <v>2297.3539999999998</v>
      </c>
      <c r="AA6" s="732"/>
      <c r="AB6" s="37"/>
      <c r="AC6" s="38"/>
      <c r="AD6" s="652" t="s">
        <v>10</v>
      </c>
      <c r="AE6" s="733"/>
      <c r="AF6" s="733"/>
      <c r="AG6" s="4"/>
      <c r="AH6" s="652"/>
      <c r="AI6" s="1563"/>
      <c r="AJ6" s="1563"/>
      <c r="AL6" s="4"/>
      <c r="AM6" s="255"/>
      <c r="AO6" s="310" t="s">
        <v>14</v>
      </c>
      <c r="AP6" s="465" t="s">
        <v>325</v>
      </c>
      <c r="AQ6" s="193"/>
      <c r="AR6" s="193"/>
      <c r="AS6" s="193"/>
      <c r="AT6" s="193"/>
    </row>
    <row r="7" spans="1:53" s="180" customFormat="1" ht="13.5" customHeight="1">
      <c r="E7" s="4"/>
      <c r="F7" s="644"/>
      <c r="G7" s="4"/>
      <c r="J7" s="4"/>
      <c r="K7" s="644"/>
      <c r="L7" s="4"/>
      <c r="O7" s="4"/>
      <c r="P7" s="644"/>
      <c r="Q7" s="4"/>
      <c r="S7" s="258"/>
      <c r="U7" s="917"/>
      <c r="V7" s="918"/>
      <c r="W7" s="919"/>
      <c r="X7" s="919"/>
      <c r="Y7" s="920" t="s">
        <v>1419</v>
      </c>
      <c r="Z7" s="921">
        <f>(AB48+AK48+AB67+AK67+AB87+AK87+AB108+AK108+AB129+AK129+AB129+AB150+AK150+AB171+AK171+AB192+AK192+AB216+AK216+AK240+AK264+AK288+AB312+AK312+AB336+AK336+AB360+AK360+AB384+AK384+AB408)+((AB50+AK50+AB69+AK69+AB89+AK89+AB110+AK131+AK152+AK173+AB173+AK194+AK242+AK266+AK290+AK314+AK338+AK362+AK386+E409+AB314+AB362)*1.3161)+((AA410+AA386)/1.139)+(AA408/1.5)</f>
        <v>738.4380104331284</v>
      </c>
      <c r="AA7" s="732"/>
      <c r="AB7" s="37"/>
      <c r="AC7" s="38"/>
      <c r="AD7" s="652" t="s">
        <v>13</v>
      </c>
      <c r="AE7" s="733"/>
      <c r="AF7" s="38"/>
      <c r="AG7" s="4"/>
      <c r="AH7" s="38"/>
      <c r="AI7" s="154"/>
      <c r="AJ7" s="38"/>
      <c r="AL7" s="4"/>
      <c r="AM7" s="255"/>
      <c r="AO7" s="202" t="s">
        <v>16</v>
      </c>
      <c r="AP7" s="193"/>
      <c r="AQ7" s="193"/>
      <c r="AR7" s="193"/>
      <c r="AS7" s="193"/>
      <c r="AT7" s="193"/>
    </row>
    <row r="8" spans="1:53" s="180" customFormat="1" ht="13.5" customHeight="1">
      <c r="E8" s="4"/>
      <c r="F8" s="644"/>
      <c r="G8" s="4"/>
      <c r="J8" s="4"/>
      <c r="K8" s="644"/>
      <c r="L8" s="4"/>
      <c r="O8" s="4"/>
      <c r="P8" s="644"/>
      <c r="Q8" s="4"/>
      <c r="S8" s="258"/>
      <c r="U8" s="644"/>
      <c r="V8" s="922"/>
      <c r="W8" s="923"/>
      <c r="X8" s="924"/>
      <c r="Y8" s="925" t="s">
        <v>12</v>
      </c>
      <c r="Z8" s="926">
        <f>AA32+AA50+AA69+AA89+AA110+AA131+AA152+AA173+AA194+AA218+(AK110*1.5)</f>
        <v>199.625</v>
      </c>
      <c r="AB8" s="37"/>
      <c r="AC8" s="38"/>
      <c r="AD8" s="38"/>
      <c r="AE8" s="154"/>
      <c r="AF8" s="38"/>
      <c r="AG8" s="4"/>
      <c r="AH8" s="38"/>
      <c r="AI8" s="38"/>
      <c r="AJ8" s="38"/>
      <c r="AL8" s="4"/>
      <c r="AM8" s="255"/>
      <c r="AO8" s="203" t="s">
        <v>17</v>
      </c>
      <c r="AP8" s="193"/>
      <c r="AQ8" s="193"/>
      <c r="AR8" s="193"/>
      <c r="AS8" s="193"/>
      <c r="AT8" s="193"/>
    </row>
    <row r="9" spans="1:53" s="180" customFormat="1" ht="13.5" customHeight="1">
      <c r="E9" s="4"/>
      <c r="F9" s="644"/>
      <c r="G9" s="4"/>
      <c r="J9" s="4"/>
      <c r="K9" s="644"/>
      <c r="L9" s="4"/>
      <c r="O9" s="4"/>
      <c r="P9" s="644"/>
      <c r="Q9" s="4"/>
      <c r="S9" s="258"/>
      <c r="T9" s="258"/>
      <c r="U9" s="912"/>
      <c r="V9" s="927"/>
      <c r="W9" s="928"/>
      <c r="X9" s="929"/>
      <c r="Y9" s="930" t="s">
        <v>15</v>
      </c>
      <c r="Z9" s="931">
        <f>C33+C51+C70+C90+C111+C132+C153+C174+C195+C219+C243+C267+C291+C315+C339+C363+C387+C411</f>
        <v>391</v>
      </c>
      <c r="AA9" s="908"/>
      <c r="AC9" s="258"/>
      <c r="AG9" s="4"/>
      <c r="AH9" s="363"/>
      <c r="AK9" s="259"/>
      <c r="AL9" s="4"/>
      <c r="AM9" s="255"/>
      <c r="AO9" s="193"/>
      <c r="AP9" s="193"/>
      <c r="AQ9" s="193"/>
      <c r="AR9" s="193"/>
      <c r="AS9" s="193"/>
      <c r="AT9" s="193"/>
    </row>
    <row r="10" spans="1:53" s="180" customFormat="1" ht="13.5" customHeight="1">
      <c r="A10" s="313"/>
      <c r="E10" s="4"/>
      <c r="F10" s="644"/>
      <c r="G10" s="4"/>
      <c r="J10" s="4"/>
      <c r="K10" s="644"/>
      <c r="L10" s="4"/>
      <c r="O10" s="4"/>
      <c r="P10" s="644"/>
      <c r="Q10" s="4"/>
      <c r="T10" s="4"/>
      <c r="U10" s="644"/>
      <c r="AA10" s="4"/>
      <c r="AB10" s="4"/>
      <c r="AC10" s="4"/>
      <c r="AG10" s="4"/>
      <c r="AL10" s="4"/>
      <c r="AM10" s="255"/>
    </row>
    <row r="11" spans="1:53" s="180" customFormat="1" ht="13.5" customHeight="1">
      <c r="A11" s="313"/>
      <c r="E11" s="4"/>
      <c r="F11" s="644"/>
      <c r="G11" s="4"/>
      <c r="J11" s="4"/>
      <c r="K11" s="644"/>
      <c r="L11" s="4"/>
      <c r="O11" s="4"/>
      <c r="P11" s="644"/>
      <c r="Q11" s="4"/>
      <c r="T11" s="4"/>
      <c r="U11" s="644"/>
      <c r="V11" s="4"/>
      <c r="Y11" s="4"/>
      <c r="Z11" s="644"/>
      <c r="AA11" s="4"/>
      <c r="AB11" s="4"/>
      <c r="AC11" s="4"/>
      <c r="AG11" s="4"/>
      <c r="AL11" s="4"/>
      <c r="AM11" s="255"/>
    </row>
    <row r="12" spans="1:53" s="180" customFormat="1" ht="13.5" customHeight="1">
      <c r="A12" s="228"/>
      <c r="B12" s="229"/>
      <c r="C12" s="230"/>
      <c r="D12" s="230"/>
      <c r="E12" s="232"/>
      <c r="F12" s="232"/>
      <c r="G12" s="230"/>
      <c r="H12" s="232"/>
      <c r="I12" s="232"/>
      <c r="J12" s="232"/>
      <c r="K12" s="232"/>
      <c r="L12" s="230"/>
      <c r="M12" s="230"/>
      <c r="N12" s="230"/>
      <c r="O12" s="230"/>
      <c r="P12" s="232"/>
      <c r="Q12" s="230"/>
      <c r="R12" s="230"/>
      <c r="S12" s="230"/>
      <c r="T12" s="230"/>
      <c r="U12" s="232"/>
      <c r="V12" s="230"/>
      <c r="W12" s="230"/>
      <c r="X12" s="230"/>
      <c r="Y12" s="233"/>
      <c r="Z12" s="232"/>
      <c r="AA12" s="234"/>
      <c r="AB12" s="232"/>
      <c r="AC12" s="373"/>
      <c r="AD12" s="236"/>
      <c r="AE12" s="255"/>
      <c r="AF12" s="255"/>
      <c r="AG12" s="373"/>
      <c r="AH12" s="236"/>
      <c r="AI12" s="255"/>
      <c r="AJ12" s="255"/>
      <c r="AK12" s="255"/>
      <c r="AL12" s="373"/>
      <c r="AM12" s="255"/>
      <c r="AN12" s="255"/>
      <c r="AO12" s="255"/>
      <c r="AP12" s="255"/>
      <c r="AQ12" s="255"/>
      <c r="AR12" s="255"/>
      <c r="AS12" s="255"/>
      <c r="AT12" s="255"/>
      <c r="AU12" s="255"/>
      <c r="AV12" s="255"/>
      <c r="AW12" s="255"/>
      <c r="AX12" s="255"/>
      <c r="AY12" s="255"/>
      <c r="AZ12" s="255"/>
      <c r="BA12" s="255"/>
    </row>
    <row r="13" spans="1:53" s="180" customFormat="1">
      <c r="A13" s="313"/>
      <c r="E13" s="4"/>
      <c r="F13" s="644"/>
      <c r="G13" s="4"/>
      <c r="J13" s="4"/>
      <c r="K13" s="644"/>
      <c r="L13" s="4"/>
      <c r="O13" s="4"/>
      <c r="P13" s="644"/>
      <c r="Q13" s="4"/>
      <c r="T13" s="4"/>
      <c r="U13" s="644"/>
      <c r="V13" s="4"/>
      <c r="Y13" s="4"/>
      <c r="Z13" s="644"/>
      <c r="AA13" s="4"/>
      <c r="AB13" s="4"/>
      <c r="AC13" s="4"/>
      <c r="AG13" s="4"/>
      <c r="AL13" s="4"/>
      <c r="AM13" s="255"/>
      <c r="AO13" s="193"/>
      <c r="AP13" s="193"/>
      <c r="AQ13" s="193"/>
      <c r="AR13" s="193"/>
      <c r="AS13" s="193"/>
      <c r="AT13" s="193"/>
    </row>
    <row r="14" spans="1:53" s="1169" customFormat="1">
      <c r="A14" s="1164"/>
      <c r="B14" s="1608" t="s">
        <v>18</v>
      </c>
      <c r="C14" s="1574">
        <v>45838</v>
      </c>
      <c r="D14" s="1574"/>
      <c r="E14" s="1574" t="s">
        <v>564</v>
      </c>
      <c r="F14" s="1574"/>
      <c r="G14" s="1165"/>
      <c r="H14" s="1574">
        <v>45839</v>
      </c>
      <c r="I14" s="1574"/>
      <c r="J14" s="1574" t="s">
        <v>565</v>
      </c>
      <c r="K14" s="1574"/>
      <c r="L14" s="1165"/>
      <c r="M14" s="1574">
        <v>45840</v>
      </c>
      <c r="N14" s="1574"/>
      <c r="O14" s="1574" t="s">
        <v>566</v>
      </c>
      <c r="P14" s="1574"/>
      <c r="Q14" s="1165"/>
      <c r="R14" s="1574">
        <v>45841</v>
      </c>
      <c r="S14" s="1574"/>
      <c r="T14" s="1574" t="s">
        <v>567</v>
      </c>
      <c r="U14" s="1574"/>
      <c r="V14" s="1165"/>
      <c r="W14" s="1574"/>
      <c r="X14" s="1574"/>
      <c r="Y14" s="1574" t="s">
        <v>568</v>
      </c>
      <c r="Z14" s="1574"/>
      <c r="AA14" s="1575" t="s">
        <v>19</v>
      </c>
      <c r="AB14" s="1575" t="s">
        <v>20</v>
      </c>
      <c r="AC14" s="1166"/>
      <c r="AD14" s="1574">
        <v>45843</v>
      </c>
      <c r="AE14" s="1574"/>
      <c r="AF14" s="1167" t="s">
        <v>569</v>
      </c>
      <c r="AG14" s="1166"/>
      <c r="AH14" s="1574">
        <v>45844</v>
      </c>
      <c r="AI14" s="1574"/>
      <c r="AJ14" s="1167" t="s">
        <v>570</v>
      </c>
      <c r="AK14" s="1575" t="s">
        <v>1420</v>
      </c>
      <c r="AL14" s="1166"/>
      <c r="AM14" s="1168"/>
      <c r="AO14" s="1170" t="s">
        <v>84</v>
      </c>
      <c r="AP14" s="1171"/>
      <c r="AQ14" s="1171"/>
      <c r="AR14" s="1171"/>
      <c r="AS14" s="1171"/>
      <c r="AT14" s="1171"/>
    </row>
    <row r="15" spans="1:53" s="1169" customFormat="1">
      <c r="A15" s="1164"/>
      <c r="B15" s="1608"/>
      <c r="C15" s="1172" t="s">
        <v>23</v>
      </c>
      <c r="D15" s="1172" t="s">
        <v>24</v>
      </c>
      <c r="E15" s="1173" t="s">
        <v>25</v>
      </c>
      <c r="F15" s="1174" t="s">
        <v>14</v>
      </c>
      <c r="G15" s="1166"/>
      <c r="H15" s="1172"/>
      <c r="I15" s="1172" t="s">
        <v>24</v>
      </c>
      <c r="J15" s="1174" t="s">
        <v>25</v>
      </c>
      <c r="K15" s="1174" t="s">
        <v>14</v>
      </c>
      <c r="L15" s="1166"/>
      <c r="M15" s="1172" t="s">
        <v>23</v>
      </c>
      <c r="N15" s="1172" t="s">
        <v>24</v>
      </c>
      <c r="O15" s="1174" t="s">
        <v>25</v>
      </c>
      <c r="P15" s="1174" t="s">
        <v>14</v>
      </c>
      <c r="Q15" s="1166"/>
      <c r="R15" s="1172" t="s">
        <v>23</v>
      </c>
      <c r="S15" s="1172" t="s">
        <v>24</v>
      </c>
      <c r="T15" s="1174" t="s">
        <v>25</v>
      </c>
      <c r="U15" s="1174" t="s">
        <v>14</v>
      </c>
      <c r="V15" s="1166"/>
      <c r="W15" s="1172" t="s">
        <v>23</v>
      </c>
      <c r="X15" s="1172" t="s">
        <v>24</v>
      </c>
      <c r="Y15" s="1174" t="s">
        <v>25</v>
      </c>
      <c r="Z15" s="1174" t="s">
        <v>14</v>
      </c>
      <c r="AA15" s="1575"/>
      <c r="AB15" s="1575"/>
      <c r="AC15" s="1166"/>
      <c r="AD15" s="1172" t="s">
        <v>23</v>
      </c>
      <c r="AE15" s="1172" t="s">
        <v>24</v>
      </c>
      <c r="AF15" s="1174" t="s">
        <v>25</v>
      </c>
      <c r="AG15" s="1166"/>
      <c r="AH15" s="1172" t="s">
        <v>23</v>
      </c>
      <c r="AI15" s="1172" t="s">
        <v>24</v>
      </c>
      <c r="AJ15" s="1174" t="s">
        <v>25</v>
      </c>
      <c r="AK15" s="1575"/>
      <c r="AL15" s="1166"/>
      <c r="AM15" s="1168"/>
      <c r="AO15" s="1175" t="s">
        <v>26</v>
      </c>
      <c r="AP15" s="1176">
        <f>AA30</f>
        <v>85</v>
      </c>
      <c r="AQ15" s="1177">
        <v>40.31</v>
      </c>
      <c r="AR15" s="1177">
        <f t="shared" ref="AR15:AR20" si="0">AP15*AQ15</f>
        <v>3426.3500000000004</v>
      </c>
      <c r="AS15" s="1178"/>
      <c r="AT15" s="1178"/>
    </row>
    <row r="16" spans="1:53" s="1188" customFormat="1">
      <c r="A16" s="1179"/>
      <c r="B16" s="1180" t="s">
        <v>1064</v>
      </c>
      <c r="C16" s="1181">
        <v>0.39583333333333331</v>
      </c>
      <c r="D16" s="1181">
        <v>6.25E-2</v>
      </c>
      <c r="E16" s="1182">
        <v>4</v>
      </c>
      <c r="F16" s="1183"/>
      <c r="G16" s="1180"/>
      <c r="H16" s="1181"/>
      <c r="I16" s="1181"/>
      <c r="J16" s="1182">
        <v>0</v>
      </c>
      <c r="K16" s="1183"/>
      <c r="L16" s="1180"/>
      <c r="M16" s="1181"/>
      <c r="N16" s="1181"/>
      <c r="O16" s="1182">
        <v>0</v>
      </c>
      <c r="P16" s="1183"/>
      <c r="Q16" s="1180"/>
      <c r="R16" s="1181"/>
      <c r="S16" s="1181"/>
      <c r="T16" s="1182">
        <v>0</v>
      </c>
      <c r="U16" s="1183"/>
      <c r="V16" s="1180"/>
      <c r="W16" s="1607" t="s">
        <v>1130</v>
      </c>
      <c r="X16" s="1607"/>
      <c r="Y16" s="1607"/>
      <c r="Z16" s="1607"/>
      <c r="AA16" s="1184">
        <f t="shared" ref="AA16:AA23" si="1">(E16+J16+O16+T16+Y16)</f>
        <v>4</v>
      </c>
      <c r="AB16" s="1185">
        <f t="shared" ref="AB16:AB29" si="2">Z16+U16+P16+K16+F16</f>
        <v>0</v>
      </c>
      <c r="AC16" s="1180"/>
      <c r="AD16" s="1186"/>
      <c r="AE16" s="1186"/>
      <c r="AF16" s="1182"/>
      <c r="AG16" s="1180"/>
      <c r="AH16" s="1186"/>
      <c r="AI16" s="1186"/>
      <c r="AJ16" s="1182"/>
      <c r="AK16" s="1184">
        <f t="shared" ref="AK16:AK29" si="3">AJ16</f>
        <v>0</v>
      </c>
      <c r="AL16" s="1180"/>
      <c r="AM16" s="1187"/>
      <c r="AO16" s="1189" t="s">
        <v>30</v>
      </c>
      <c r="AP16" s="1190">
        <f>AB30</f>
        <v>0</v>
      </c>
      <c r="AQ16" s="1191">
        <v>60.465000000000003</v>
      </c>
      <c r="AR16" s="1191">
        <f t="shared" si="0"/>
        <v>0</v>
      </c>
      <c r="AS16" s="1192"/>
      <c r="AT16" s="1192"/>
    </row>
    <row r="17" spans="1:53" s="1188" customFormat="1">
      <c r="A17" s="1179"/>
      <c r="B17" s="1181" t="s">
        <v>1441</v>
      </c>
      <c r="C17" s="1181">
        <v>0.375</v>
      </c>
      <c r="D17" s="1181">
        <v>6.25E-2</v>
      </c>
      <c r="E17" s="1182">
        <v>4.5</v>
      </c>
      <c r="F17" s="1183"/>
      <c r="G17" s="1180"/>
      <c r="H17" s="1181"/>
      <c r="I17" s="1181"/>
      <c r="J17" s="1182">
        <v>0</v>
      </c>
      <c r="K17" s="1183"/>
      <c r="L17" s="1180"/>
      <c r="M17" s="1181"/>
      <c r="N17" s="1181"/>
      <c r="O17" s="1182">
        <v>0</v>
      </c>
      <c r="P17" s="1183"/>
      <c r="Q17" s="1180"/>
      <c r="R17" s="1181"/>
      <c r="S17" s="1181"/>
      <c r="T17" s="1182">
        <v>0</v>
      </c>
      <c r="U17" s="1183"/>
      <c r="V17" s="1180"/>
      <c r="W17" s="1607"/>
      <c r="X17" s="1607"/>
      <c r="Y17" s="1607"/>
      <c r="Z17" s="1607"/>
      <c r="AA17" s="1184">
        <f t="shared" si="1"/>
        <v>4.5</v>
      </c>
      <c r="AB17" s="1185">
        <f t="shared" si="2"/>
        <v>0</v>
      </c>
      <c r="AC17" s="1180"/>
      <c r="AD17" s="1181"/>
      <c r="AE17" s="1181"/>
      <c r="AF17" s="1182"/>
      <c r="AG17" s="1180"/>
      <c r="AH17" s="1181"/>
      <c r="AI17" s="1181"/>
      <c r="AJ17" s="1182"/>
      <c r="AK17" s="1184">
        <f t="shared" si="3"/>
        <v>0</v>
      </c>
      <c r="AL17" s="1180"/>
      <c r="AM17" s="1187"/>
      <c r="AO17" s="1189" t="s">
        <v>32</v>
      </c>
      <c r="AP17" s="1190">
        <f>AK30</f>
        <v>0</v>
      </c>
      <c r="AQ17" s="1191">
        <v>60.465000000000003</v>
      </c>
      <c r="AR17" s="1191">
        <f t="shared" si="0"/>
        <v>0</v>
      </c>
      <c r="AS17" s="1192"/>
      <c r="AT17" s="1192"/>
    </row>
    <row r="18" spans="1:53" s="1192" customFormat="1">
      <c r="A18" s="1179"/>
      <c r="B18" s="1181" t="s">
        <v>1451</v>
      </c>
      <c r="C18" s="1181">
        <v>0.375</v>
      </c>
      <c r="D18" s="1181">
        <v>6.25E-2</v>
      </c>
      <c r="E18" s="1182">
        <v>4.5</v>
      </c>
      <c r="F18" s="1183"/>
      <c r="G18" s="1180"/>
      <c r="H18" s="1181"/>
      <c r="I18" s="1181"/>
      <c r="J18" s="1182">
        <v>0</v>
      </c>
      <c r="K18" s="1183"/>
      <c r="L18" s="1180"/>
      <c r="M18" s="1181"/>
      <c r="N18" s="1181"/>
      <c r="O18" s="1182">
        <v>0</v>
      </c>
      <c r="P18" s="1183"/>
      <c r="Q18" s="1180"/>
      <c r="R18" s="1181"/>
      <c r="S18" s="1181"/>
      <c r="T18" s="1182">
        <v>0</v>
      </c>
      <c r="U18" s="1183"/>
      <c r="V18" s="1180"/>
      <c r="W18" s="1607"/>
      <c r="X18" s="1607"/>
      <c r="Y18" s="1607"/>
      <c r="Z18" s="1607"/>
      <c r="AA18" s="1184">
        <f t="shared" si="1"/>
        <v>4.5</v>
      </c>
      <c r="AB18" s="1185">
        <f t="shared" si="2"/>
        <v>0</v>
      </c>
      <c r="AC18" s="1180"/>
      <c r="AD18" s="1181"/>
      <c r="AE18" s="1181"/>
      <c r="AF18" s="1182"/>
      <c r="AG18" s="1180"/>
      <c r="AH18" s="1181"/>
      <c r="AI18" s="1181"/>
      <c r="AJ18" s="1182"/>
      <c r="AK18" s="1184">
        <f t="shared" si="3"/>
        <v>0</v>
      </c>
      <c r="AL18" s="1180"/>
      <c r="AM18" s="1187"/>
      <c r="AN18" s="1188"/>
      <c r="AO18" s="1189" t="s">
        <v>213</v>
      </c>
      <c r="AP18" s="1190">
        <f>AA31</f>
        <v>15</v>
      </c>
      <c r="AQ18" s="1191">
        <v>53.05</v>
      </c>
      <c r="AR18" s="1191">
        <f t="shared" si="0"/>
        <v>795.75</v>
      </c>
      <c r="AU18" s="1188"/>
      <c r="AV18" s="1188"/>
      <c r="AW18" s="1188"/>
      <c r="AX18" s="1188"/>
      <c r="AY18" s="1188"/>
      <c r="AZ18" s="1188"/>
      <c r="BA18" s="1188"/>
    </row>
    <row r="19" spans="1:53" s="1192" customFormat="1">
      <c r="A19" s="1179"/>
      <c r="B19" s="1193" t="s">
        <v>1447</v>
      </c>
      <c r="C19" s="1181">
        <v>0.375</v>
      </c>
      <c r="D19" s="1181">
        <v>6.25E-2</v>
      </c>
      <c r="E19" s="1182">
        <v>4.5</v>
      </c>
      <c r="F19" s="1183"/>
      <c r="G19" s="1180"/>
      <c r="H19" s="1181"/>
      <c r="I19" s="1181"/>
      <c r="J19" s="1182">
        <v>0</v>
      </c>
      <c r="K19" s="1183"/>
      <c r="L19" s="1180"/>
      <c r="M19" s="1181"/>
      <c r="N19" s="1181"/>
      <c r="O19" s="1182">
        <v>0</v>
      </c>
      <c r="P19" s="1183"/>
      <c r="Q19" s="1180"/>
      <c r="R19" s="1181"/>
      <c r="S19" s="1181"/>
      <c r="T19" s="1182">
        <v>0</v>
      </c>
      <c r="U19" s="1183"/>
      <c r="V19" s="1180"/>
      <c r="W19" s="1607"/>
      <c r="X19" s="1607"/>
      <c r="Y19" s="1607"/>
      <c r="Z19" s="1607"/>
      <c r="AA19" s="1184">
        <f t="shared" si="1"/>
        <v>4.5</v>
      </c>
      <c r="AB19" s="1185">
        <f t="shared" si="2"/>
        <v>0</v>
      </c>
      <c r="AC19" s="1180"/>
      <c r="AD19" s="1181"/>
      <c r="AE19" s="1181"/>
      <c r="AF19" s="1182"/>
      <c r="AG19" s="1180"/>
      <c r="AH19" s="1181"/>
      <c r="AI19" s="1181"/>
      <c r="AJ19" s="1182"/>
      <c r="AK19" s="1184">
        <f t="shared" si="3"/>
        <v>0</v>
      </c>
      <c r="AL19" s="1180"/>
      <c r="AM19" s="1187"/>
      <c r="AN19" s="1188"/>
      <c r="AO19" s="1189" t="s">
        <v>36</v>
      </c>
      <c r="AP19" s="1190">
        <f>AB31</f>
        <v>0</v>
      </c>
      <c r="AQ19" s="1191">
        <v>79.575000000000003</v>
      </c>
      <c r="AR19" s="1191">
        <f t="shared" si="0"/>
        <v>0</v>
      </c>
      <c r="AU19" s="1188"/>
      <c r="AV19" s="1188"/>
      <c r="AW19" s="1188"/>
      <c r="AX19" s="1188"/>
      <c r="AY19" s="1188"/>
      <c r="AZ19" s="1188"/>
      <c r="BA19" s="1188"/>
    </row>
    <row r="20" spans="1:53" s="1192" customFormat="1">
      <c r="A20" s="1179"/>
      <c r="B20" s="1193" t="s">
        <v>1452</v>
      </c>
      <c r="C20" s="1181">
        <v>0.375</v>
      </c>
      <c r="D20" s="1181">
        <v>6.25E-2</v>
      </c>
      <c r="E20" s="1182">
        <v>4.5</v>
      </c>
      <c r="F20" s="1183"/>
      <c r="G20" s="1180"/>
      <c r="H20" s="1181"/>
      <c r="I20" s="1181"/>
      <c r="J20" s="1182">
        <v>0</v>
      </c>
      <c r="K20" s="1183"/>
      <c r="L20" s="1180"/>
      <c r="M20" s="1181"/>
      <c r="N20" s="1181"/>
      <c r="O20" s="1182">
        <v>0</v>
      </c>
      <c r="P20" s="1183"/>
      <c r="Q20" s="1180"/>
      <c r="R20" s="1181"/>
      <c r="S20" s="1181"/>
      <c r="T20" s="1182">
        <v>0</v>
      </c>
      <c r="U20" s="1183"/>
      <c r="V20" s="1180"/>
      <c r="W20" s="1607"/>
      <c r="X20" s="1607"/>
      <c r="Y20" s="1607"/>
      <c r="Z20" s="1607"/>
      <c r="AA20" s="1184">
        <f t="shared" si="1"/>
        <v>4.5</v>
      </c>
      <c r="AB20" s="1185">
        <f t="shared" si="2"/>
        <v>0</v>
      </c>
      <c r="AC20" s="1180"/>
      <c r="AD20" s="1181"/>
      <c r="AE20" s="1181"/>
      <c r="AF20" s="1182"/>
      <c r="AG20" s="1180"/>
      <c r="AH20" s="1181"/>
      <c r="AI20" s="1181"/>
      <c r="AJ20" s="1182"/>
      <c r="AK20" s="1184">
        <f t="shared" si="3"/>
        <v>0</v>
      </c>
      <c r="AL20" s="1180"/>
      <c r="AM20" s="1187"/>
      <c r="AN20" s="1188"/>
      <c r="AO20" s="1189" t="s">
        <v>38</v>
      </c>
      <c r="AP20" s="1190">
        <f>AK31</f>
        <v>0</v>
      </c>
      <c r="AQ20" s="1191">
        <v>79.574999999999989</v>
      </c>
      <c r="AR20" s="1191">
        <f t="shared" si="0"/>
        <v>0</v>
      </c>
      <c r="AU20" s="1188"/>
      <c r="AV20" s="1188"/>
      <c r="AW20" s="1188"/>
      <c r="AX20" s="1188"/>
      <c r="AY20" s="1188"/>
      <c r="AZ20" s="1188"/>
      <c r="BA20" s="1188"/>
    </row>
    <row r="21" spans="1:53" s="1192" customFormat="1">
      <c r="A21" s="1179"/>
      <c r="B21" s="1193" t="s">
        <v>1140</v>
      </c>
      <c r="C21" s="1181"/>
      <c r="D21" s="1181"/>
      <c r="E21" s="1182">
        <v>0</v>
      </c>
      <c r="F21" s="1183"/>
      <c r="G21" s="1180"/>
      <c r="H21" s="1181"/>
      <c r="I21" s="1181"/>
      <c r="J21" s="1182">
        <v>0</v>
      </c>
      <c r="K21" s="1183"/>
      <c r="L21" s="1180"/>
      <c r="M21" s="1181"/>
      <c r="N21" s="1181"/>
      <c r="O21" s="1182">
        <v>0</v>
      </c>
      <c r="P21" s="1183"/>
      <c r="Q21" s="1180"/>
      <c r="R21" s="1181"/>
      <c r="S21" s="1181"/>
      <c r="T21" s="1182">
        <v>0</v>
      </c>
      <c r="U21" s="1183"/>
      <c r="V21" s="1180"/>
      <c r="W21" s="1607"/>
      <c r="X21" s="1607"/>
      <c r="Y21" s="1607"/>
      <c r="Z21" s="1607"/>
      <c r="AA21" s="1184">
        <f t="shared" si="1"/>
        <v>0</v>
      </c>
      <c r="AB21" s="1185">
        <f t="shared" si="2"/>
        <v>0</v>
      </c>
      <c r="AC21" s="1180"/>
      <c r="AD21" s="1181"/>
      <c r="AE21" s="1181"/>
      <c r="AF21" s="1182"/>
      <c r="AG21" s="1180"/>
      <c r="AH21" s="1181"/>
      <c r="AI21" s="1181"/>
      <c r="AJ21" s="1182"/>
      <c r="AK21" s="1184">
        <f t="shared" si="3"/>
        <v>0</v>
      </c>
      <c r="AL21" s="1180"/>
      <c r="AM21" s="1187"/>
      <c r="AN21" s="1188"/>
      <c r="AP21" s="1190"/>
      <c r="AR21" s="1194">
        <f>SUM(AR15:AR20)</f>
        <v>4222.1000000000004</v>
      </c>
      <c r="AU21" s="1188"/>
      <c r="AV21" s="1188"/>
      <c r="AW21" s="1188"/>
      <c r="AX21" s="1188"/>
      <c r="AY21" s="1188"/>
      <c r="AZ21" s="1188"/>
      <c r="BA21" s="1188"/>
    </row>
    <row r="22" spans="1:53" s="1192" customFormat="1">
      <c r="A22" s="1179"/>
      <c r="B22" s="1193" t="s">
        <v>1453</v>
      </c>
      <c r="C22" s="1181"/>
      <c r="D22" s="1181"/>
      <c r="E22" s="1182">
        <v>0</v>
      </c>
      <c r="F22" s="1183"/>
      <c r="G22" s="1180"/>
      <c r="H22" s="1181"/>
      <c r="I22" s="1181"/>
      <c r="J22" s="1182">
        <v>0</v>
      </c>
      <c r="K22" s="1183"/>
      <c r="L22" s="1180"/>
      <c r="M22" s="1181"/>
      <c r="N22" s="1181"/>
      <c r="O22" s="1182">
        <v>0</v>
      </c>
      <c r="P22" s="1183"/>
      <c r="Q22" s="1180"/>
      <c r="R22" s="1181"/>
      <c r="S22" s="1181"/>
      <c r="T22" s="1182">
        <v>0</v>
      </c>
      <c r="U22" s="1183"/>
      <c r="V22" s="1180"/>
      <c r="W22" s="1607"/>
      <c r="X22" s="1607"/>
      <c r="Y22" s="1607"/>
      <c r="Z22" s="1607"/>
      <c r="AA22" s="1184">
        <f t="shared" si="1"/>
        <v>0</v>
      </c>
      <c r="AB22" s="1185">
        <f t="shared" si="2"/>
        <v>0</v>
      </c>
      <c r="AC22" s="1180"/>
      <c r="AD22" s="1181"/>
      <c r="AE22" s="1181"/>
      <c r="AF22" s="1182"/>
      <c r="AG22" s="1180"/>
      <c r="AH22" s="1181"/>
      <c r="AI22" s="1181"/>
      <c r="AJ22" s="1182"/>
      <c r="AK22" s="1184">
        <f t="shared" si="3"/>
        <v>0</v>
      </c>
      <c r="AL22" s="1180"/>
      <c r="AM22" s="1187"/>
      <c r="AN22" s="1188"/>
      <c r="AP22" s="1190"/>
      <c r="AU22" s="1188"/>
      <c r="AV22" s="1188"/>
      <c r="AW22" s="1188"/>
      <c r="AX22" s="1188"/>
      <c r="AY22" s="1188"/>
      <c r="AZ22" s="1188"/>
      <c r="BA22" s="1188"/>
    </row>
    <row r="23" spans="1:53" s="1192" customFormat="1" ht="13.5" customHeight="1">
      <c r="A23" s="1179"/>
      <c r="B23" s="1193" t="s">
        <v>1454</v>
      </c>
      <c r="C23" s="1181"/>
      <c r="D23" s="1181"/>
      <c r="E23" s="1182">
        <v>63</v>
      </c>
      <c r="F23" s="1183"/>
      <c r="G23" s="1180"/>
      <c r="H23" s="1181"/>
      <c r="I23" s="1181"/>
      <c r="J23" s="1182">
        <v>0</v>
      </c>
      <c r="K23" s="1183"/>
      <c r="L23" s="1180"/>
      <c r="M23" s="1181"/>
      <c r="N23" s="1181"/>
      <c r="O23" s="1182">
        <v>0</v>
      </c>
      <c r="P23" s="1183"/>
      <c r="Q23" s="1180"/>
      <c r="R23" s="1181"/>
      <c r="S23" s="1181"/>
      <c r="T23" s="1182">
        <v>0</v>
      </c>
      <c r="U23" s="1183"/>
      <c r="V23" s="1180"/>
      <c r="W23" s="1607"/>
      <c r="X23" s="1607"/>
      <c r="Y23" s="1607"/>
      <c r="Z23" s="1607"/>
      <c r="AA23" s="1184">
        <f t="shared" si="1"/>
        <v>63</v>
      </c>
      <c r="AB23" s="1185">
        <f t="shared" si="2"/>
        <v>0</v>
      </c>
      <c r="AC23" s="1180"/>
      <c r="AD23" s="1181"/>
      <c r="AE23" s="1181"/>
      <c r="AF23" s="1182"/>
      <c r="AG23" s="1180"/>
      <c r="AH23" s="1181"/>
      <c r="AI23" s="1181"/>
      <c r="AJ23" s="1182"/>
      <c r="AK23" s="1184">
        <f t="shared" si="3"/>
        <v>0</v>
      </c>
      <c r="AL23" s="1180"/>
      <c r="AM23" s="1187"/>
      <c r="AN23" s="1188"/>
      <c r="AO23" s="1195" t="s">
        <v>1115</v>
      </c>
      <c r="AP23" s="1190">
        <f>C33</f>
        <v>19</v>
      </c>
      <c r="AU23" s="1188"/>
      <c r="AV23" s="1188"/>
      <c r="AW23" s="1188"/>
      <c r="AX23" s="1188"/>
      <c r="AY23" s="1188"/>
      <c r="AZ23" s="1188"/>
      <c r="BA23" s="1188"/>
    </row>
    <row r="24" spans="1:53" s="1192" customFormat="1">
      <c r="A24" s="1179"/>
      <c r="B24" s="1193"/>
      <c r="C24" s="1181"/>
      <c r="D24" s="1181"/>
      <c r="E24" s="1182">
        <v>0</v>
      </c>
      <c r="F24" s="1183"/>
      <c r="G24" s="1180"/>
      <c r="H24" s="1181"/>
      <c r="I24" s="1181"/>
      <c r="J24" s="1182">
        <v>0</v>
      </c>
      <c r="K24" s="1183"/>
      <c r="L24" s="1180"/>
      <c r="M24" s="1181"/>
      <c r="N24" s="1181"/>
      <c r="O24" s="1182">
        <v>0</v>
      </c>
      <c r="P24" s="1183"/>
      <c r="Q24" s="1180"/>
      <c r="R24" s="1181"/>
      <c r="S24" s="1181"/>
      <c r="T24" s="1182">
        <v>0</v>
      </c>
      <c r="U24" s="1183"/>
      <c r="V24" s="1180"/>
      <c r="W24" s="1607"/>
      <c r="X24" s="1607"/>
      <c r="Y24" s="1607"/>
      <c r="Z24" s="1607"/>
      <c r="AA24" s="1184">
        <f>(E24+J24+O24+T24+Y24)</f>
        <v>0</v>
      </c>
      <c r="AB24" s="1185">
        <f t="shared" si="2"/>
        <v>0</v>
      </c>
      <c r="AC24" s="1180"/>
      <c r="AD24" s="1181"/>
      <c r="AE24" s="1181"/>
      <c r="AF24" s="1182"/>
      <c r="AG24" s="1180"/>
      <c r="AH24" s="1181"/>
      <c r="AI24" s="1181"/>
      <c r="AJ24" s="1182"/>
      <c r="AK24" s="1184">
        <f t="shared" si="3"/>
        <v>0</v>
      </c>
      <c r="AL24" s="1180"/>
      <c r="AM24" s="1187"/>
      <c r="AN24" s="1188"/>
      <c r="AU24" s="1188"/>
      <c r="AV24" s="1188"/>
      <c r="AW24" s="1188"/>
      <c r="AX24" s="1188"/>
      <c r="AY24" s="1188"/>
      <c r="AZ24" s="1188"/>
      <c r="BA24" s="1188"/>
    </row>
    <row r="25" spans="1:53" s="1192" customFormat="1">
      <c r="A25" s="1179"/>
      <c r="B25" s="1193"/>
      <c r="C25" s="1181"/>
      <c r="D25" s="1181"/>
      <c r="E25" s="1182">
        <v>0</v>
      </c>
      <c r="F25" s="1183"/>
      <c r="G25" s="1180"/>
      <c r="H25" s="1181"/>
      <c r="I25" s="1181"/>
      <c r="J25" s="1182">
        <v>0</v>
      </c>
      <c r="K25" s="1183"/>
      <c r="L25" s="1196"/>
      <c r="M25" s="1181"/>
      <c r="N25" s="1181"/>
      <c r="O25" s="1182">
        <v>0</v>
      </c>
      <c r="P25" s="1183"/>
      <c r="Q25" s="1196"/>
      <c r="R25" s="1181"/>
      <c r="S25" s="1181"/>
      <c r="T25" s="1182">
        <v>0</v>
      </c>
      <c r="U25" s="1183"/>
      <c r="V25" s="1196"/>
      <c r="W25" s="1607"/>
      <c r="X25" s="1607"/>
      <c r="Y25" s="1607"/>
      <c r="Z25" s="1607"/>
      <c r="AA25" s="1184">
        <f t="shared" ref="AA25:AA29" si="4">(E25+J25+O25+T25+Y25)</f>
        <v>0</v>
      </c>
      <c r="AB25" s="1185">
        <f t="shared" si="2"/>
        <v>0</v>
      </c>
      <c r="AC25" s="1180"/>
      <c r="AD25" s="1181"/>
      <c r="AE25" s="1181"/>
      <c r="AF25" s="1182"/>
      <c r="AG25" s="1180"/>
      <c r="AH25" s="1181"/>
      <c r="AI25" s="1181"/>
      <c r="AJ25" s="1182"/>
      <c r="AK25" s="1184">
        <f t="shared" si="3"/>
        <v>0</v>
      </c>
      <c r="AL25" s="1180"/>
      <c r="AM25" s="1187"/>
      <c r="AN25" s="1188"/>
      <c r="AU25" s="1188"/>
      <c r="AV25" s="1188"/>
      <c r="AW25" s="1188"/>
      <c r="AX25" s="1188"/>
      <c r="AY25" s="1188"/>
      <c r="AZ25" s="1188"/>
      <c r="BA25" s="1188"/>
    </row>
    <row r="26" spans="1:53" s="1192" customFormat="1">
      <c r="A26" s="1179"/>
      <c r="B26" s="1193"/>
      <c r="C26" s="1181"/>
      <c r="D26" s="1181"/>
      <c r="E26" s="1182">
        <v>0</v>
      </c>
      <c r="F26" s="1183"/>
      <c r="G26" s="1180"/>
      <c r="H26" s="1181"/>
      <c r="I26" s="1181"/>
      <c r="J26" s="1182">
        <v>0</v>
      </c>
      <c r="K26" s="1183"/>
      <c r="L26" s="1196"/>
      <c r="M26" s="1181"/>
      <c r="N26" s="1181"/>
      <c r="O26" s="1182">
        <v>0</v>
      </c>
      <c r="P26" s="1183"/>
      <c r="Q26" s="1196"/>
      <c r="R26" s="1181"/>
      <c r="S26" s="1181"/>
      <c r="T26" s="1182">
        <v>0</v>
      </c>
      <c r="U26" s="1183"/>
      <c r="V26" s="1196"/>
      <c r="W26" s="1607"/>
      <c r="X26" s="1607"/>
      <c r="Y26" s="1607"/>
      <c r="Z26" s="1607"/>
      <c r="AA26" s="1184">
        <f t="shared" si="4"/>
        <v>0</v>
      </c>
      <c r="AB26" s="1185">
        <f t="shared" si="2"/>
        <v>0</v>
      </c>
      <c r="AC26" s="1180"/>
      <c r="AD26" s="1181"/>
      <c r="AE26" s="1181"/>
      <c r="AF26" s="1182"/>
      <c r="AG26" s="1180"/>
      <c r="AH26" s="1181"/>
      <c r="AI26" s="1181"/>
      <c r="AJ26" s="1182"/>
      <c r="AK26" s="1184">
        <f t="shared" si="3"/>
        <v>0</v>
      </c>
      <c r="AL26" s="1180"/>
      <c r="AM26" s="1187"/>
      <c r="AN26" s="1188"/>
      <c r="AU26" s="1188"/>
      <c r="AV26" s="1188"/>
      <c r="AW26" s="1188"/>
      <c r="AX26" s="1188"/>
      <c r="AY26" s="1188"/>
      <c r="AZ26" s="1188"/>
      <c r="BA26" s="1188"/>
    </row>
    <row r="27" spans="1:53" s="1192" customFormat="1">
      <c r="A27" s="1179"/>
      <c r="B27" s="1193"/>
      <c r="C27" s="1181"/>
      <c r="D27" s="1181"/>
      <c r="E27" s="1182">
        <v>0</v>
      </c>
      <c r="F27" s="1183"/>
      <c r="G27" s="1180"/>
      <c r="H27" s="1181"/>
      <c r="I27" s="1181"/>
      <c r="J27" s="1182">
        <v>0</v>
      </c>
      <c r="K27" s="1183"/>
      <c r="L27" s="1196"/>
      <c r="M27" s="1181"/>
      <c r="N27" s="1181"/>
      <c r="O27" s="1182">
        <v>0</v>
      </c>
      <c r="P27" s="1183"/>
      <c r="Q27" s="1196"/>
      <c r="R27" s="1181"/>
      <c r="S27" s="1181"/>
      <c r="T27" s="1182">
        <v>0</v>
      </c>
      <c r="U27" s="1183"/>
      <c r="V27" s="1196"/>
      <c r="W27" s="1607"/>
      <c r="X27" s="1607"/>
      <c r="Y27" s="1607"/>
      <c r="Z27" s="1607"/>
      <c r="AA27" s="1184">
        <f t="shared" si="4"/>
        <v>0</v>
      </c>
      <c r="AB27" s="1185">
        <f t="shared" si="2"/>
        <v>0</v>
      </c>
      <c r="AC27" s="1180"/>
      <c r="AD27" s="1181"/>
      <c r="AE27" s="1181"/>
      <c r="AF27" s="1182"/>
      <c r="AG27" s="1180"/>
      <c r="AH27" s="1181"/>
      <c r="AI27" s="1181"/>
      <c r="AJ27" s="1182"/>
      <c r="AK27" s="1184">
        <f t="shared" si="3"/>
        <v>0</v>
      </c>
      <c r="AL27" s="1180"/>
      <c r="AM27" s="1187"/>
      <c r="AN27" s="1188"/>
      <c r="AU27" s="1188"/>
      <c r="AV27" s="1188"/>
      <c r="AW27" s="1188"/>
      <c r="AX27" s="1188"/>
      <c r="AY27" s="1188"/>
      <c r="AZ27" s="1188"/>
      <c r="BA27" s="1188"/>
    </row>
    <row r="28" spans="1:53" s="1188" customFormat="1">
      <c r="A28" s="1179"/>
      <c r="B28" s="1193"/>
      <c r="C28" s="1197"/>
      <c r="D28" s="1197"/>
      <c r="E28" s="1182">
        <v>0</v>
      </c>
      <c r="F28" s="1183"/>
      <c r="G28" s="1196"/>
      <c r="H28" s="1198"/>
      <c r="I28" s="1198"/>
      <c r="J28" s="1182">
        <v>0</v>
      </c>
      <c r="K28" s="1183"/>
      <c r="L28" s="1196"/>
      <c r="M28" s="1198"/>
      <c r="N28" s="1198"/>
      <c r="O28" s="1182">
        <v>0</v>
      </c>
      <c r="P28" s="1183"/>
      <c r="Q28" s="1196"/>
      <c r="R28" s="1198"/>
      <c r="S28" s="1198"/>
      <c r="T28" s="1182">
        <v>0</v>
      </c>
      <c r="U28" s="1183"/>
      <c r="V28" s="1196"/>
      <c r="W28" s="1607"/>
      <c r="X28" s="1607"/>
      <c r="Y28" s="1607"/>
      <c r="Z28" s="1607"/>
      <c r="AA28" s="1184">
        <f t="shared" si="4"/>
        <v>0</v>
      </c>
      <c r="AB28" s="1185">
        <f t="shared" si="2"/>
        <v>0</v>
      </c>
      <c r="AC28" s="1180"/>
      <c r="AD28" s="1181"/>
      <c r="AE28" s="1181"/>
      <c r="AF28" s="1182"/>
      <c r="AG28" s="1180"/>
      <c r="AH28" s="1181"/>
      <c r="AI28" s="1181"/>
      <c r="AJ28" s="1182"/>
      <c r="AK28" s="1184">
        <f t="shared" si="3"/>
        <v>0</v>
      </c>
      <c r="AL28" s="1180"/>
      <c r="AM28" s="1187"/>
      <c r="AO28" s="1192"/>
      <c r="AP28" s="1192"/>
      <c r="AQ28" s="1192"/>
      <c r="AR28" s="1192"/>
      <c r="AS28" s="1192"/>
      <c r="AT28" s="1192"/>
    </row>
    <row r="29" spans="1:53" s="1188" customFormat="1">
      <c r="A29" s="1179"/>
      <c r="B29" s="1193"/>
      <c r="C29" s="1197"/>
      <c r="D29" s="1197"/>
      <c r="E29" s="1182">
        <v>0</v>
      </c>
      <c r="F29" s="1183"/>
      <c r="G29" s="1196"/>
      <c r="H29" s="1198"/>
      <c r="I29" s="1198"/>
      <c r="J29" s="1182">
        <v>0</v>
      </c>
      <c r="K29" s="1183"/>
      <c r="L29" s="1196"/>
      <c r="M29" s="1198"/>
      <c r="N29" s="1198"/>
      <c r="O29" s="1182">
        <v>0</v>
      </c>
      <c r="P29" s="1183"/>
      <c r="Q29" s="1196"/>
      <c r="R29" s="1198"/>
      <c r="S29" s="1198"/>
      <c r="T29" s="1182">
        <v>0</v>
      </c>
      <c r="U29" s="1183"/>
      <c r="V29" s="1196"/>
      <c r="W29" s="1607"/>
      <c r="X29" s="1607"/>
      <c r="Y29" s="1607"/>
      <c r="Z29" s="1607"/>
      <c r="AA29" s="1184">
        <f t="shared" si="4"/>
        <v>0</v>
      </c>
      <c r="AB29" s="1185">
        <f t="shared" si="2"/>
        <v>0</v>
      </c>
      <c r="AC29" s="1180"/>
      <c r="AD29" s="1181"/>
      <c r="AE29" s="1181"/>
      <c r="AF29" s="1182"/>
      <c r="AG29" s="1180"/>
      <c r="AH29" s="1181"/>
      <c r="AI29" s="1181"/>
      <c r="AJ29" s="1182"/>
      <c r="AK29" s="1184">
        <f t="shared" si="3"/>
        <v>0</v>
      </c>
      <c r="AL29" s="1180"/>
      <c r="AM29" s="1187"/>
      <c r="AO29" s="1192"/>
      <c r="AP29" s="1192"/>
      <c r="AQ29" s="1192"/>
      <c r="AR29" s="1192"/>
      <c r="AS29" s="1192"/>
      <c r="AT29" s="1192"/>
    </row>
    <row r="30" spans="1:53" s="1169" customFormat="1">
      <c r="A30" s="1164"/>
      <c r="B30" s="1199" t="s">
        <v>61</v>
      </c>
      <c r="C30" s="1199"/>
      <c r="D30" s="1199"/>
      <c r="E30" s="1200">
        <f>SUM(E16:E29)</f>
        <v>85</v>
      </c>
      <c r="F30" s="1201"/>
      <c r="G30" s="1199"/>
      <c r="H30" s="1199"/>
      <c r="I30" s="1199"/>
      <c r="J30" s="1200"/>
      <c r="K30" s="1201"/>
      <c r="L30" s="1199"/>
      <c r="M30" s="1199"/>
      <c r="N30" s="1199"/>
      <c r="O30" s="1200"/>
      <c r="P30" s="1201"/>
      <c r="Q30" s="1199"/>
      <c r="R30" s="1199"/>
      <c r="S30" s="1199"/>
      <c r="T30" s="1200"/>
      <c r="U30" s="1201"/>
      <c r="V30" s="1199"/>
      <c r="W30" s="1607"/>
      <c r="X30" s="1607"/>
      <c r="Y30" s="1607"/>
      <c r="Z30" s="1607"/>
      <c r="AA30" s="1202">
        <f>SUM(AA16:AA29)</f>
        <v>85</v>
      </c>
      <c r="AB30" s="1203">
        <f>SUM(AB16:AB28)</f>
        <v>0</v>
      </c>
      <c r="AC30" s="1166"/>
      <c r="AD30" s="1199"/>
      <c r="AE30" s="1199"/>
      <c r="AF30" s="1203">
        <f>SUM(AF16:AF28)</f>
        <v>0</v>
      </c>
      <c r="AG30" s="1166"/>
      <c r="AH30" s="1199"/>
      <c r="AI30" s="1199"/>
      <c r="AJ30" s="1203">
        <f>SUM(AJ16:AJ28)</f>
        <v>0</v>
      </c>
      <c r="AK30" s="1203">
        <f>SUM(AK16:AK28)</f>
        <v>0</v>
      </c>
      <c r="AL30" s="1166"/>
      <c r="AM30" s="1168"/>
      <c r="AO30" s="1204"/>
      <c r="AP30" s="1178"/>
      <c r="AQ30" s="1178"/>
      <c r="AR30" s="1178"/>
      <c r="AS30" s="1178"/>
      <c r="AT30" s="1178"/>
    </row>
    <row r="31" spans="1:53" s="1169" customFormat="1">
      <c r="A31" s="1164"/>
      <c r="B31" s="1205" t="s">
        <v>64</v>
      </c>
      <c r="C31" s="1206"/>
      <c r="D31" s="1206"/>
      <c r="E31" s="1207">
        <v>3</v>
      </c>
      <c r="F31" s="1207"/>
      <c r="G31" s="1208"/>
      <c r="H31" s="1206"/>
      <c r="I31" s="1206"/>
      <c r="J31" s="1207">
        <v>5</v>
      </c>
      <c r="K31" s="1207"/>
      <c r="L31" s="1209"/>
      <c r="M31" s="1206"/>
      <c r="N31" s="1206"/>
      <c r="O31" s="1207">
        <v>4</v>
      </c>
      <c r="P31" s="1207"/>
      <c r="Q31" s="1209"/>
      <c r="R31" s="1206"/>
      <c r="S31" s="1206"/>
      <c r="T31" s="1207">
        <v>3</v>
      </c>
      <c r="U31" s="1207"/>
      <c r="V31" s="1209"/>
      <c r="W31" s="1206"/>
      <c r="X31" s="1206"/>
      <c r="Y31" s="1207"/>
      <c r="Z31" s="1207"/>
      <c r="AA31" s="1203">
        <f>SUM(E31+J31+O31+T31+Y31)</f>
        <v>15</v>
      </c>
      <c r="AB31" s="1173">
        <f>Z31+U31+P31+K31+F31</f>
        <v>0</v>
      </c>
      <c r="AC31" s="1166"/>
      <c r="AD31" s="1206" t="s">
        <v>29</v>
      </c>
      <c r="AE31" s="1206" t="s">
        <v>29</v>
      </c>
      <c r="AF31" s="1207"/>
      <c r="AG31" s="1166"/>
      <c r="AH31" s="1206" t="s">
        <v>29</v>
      </c>
      <c r="AI31" s="1206" t="s">
        <v>29</v>
      </c>
      <c r="AJ31" s="1207"/>
      <c r="AK31" s="1203">
        <f>AJ31</f>
        <v>0</v>
      </c>
      <c r="AL31" s="1166"/>
      <c r="AM31" s="1168"/>
      <c r="AO31" s="1204"/>
      <c r="AP31" s="1178"/>
      <c r="AQ31" s="1178"/>
      <c r="AR31" s="1178"/>
      <c r="AS31" s="1178"/>
      <c r="AT31" s="1178"/>
    </row>
    <row r="32" spans="1:53" s="1169" customFormat="1">
      <c r="A32" s="1164"/>
      <c r="B32" s="1208" t="s">
        <v>66</v>
      </c>
      <c r="C32" s="1210"/>
      <c r="D32" s="1210"/>
      <c r="E32" s="1208"/>
      <c r="F32" s="1208"/>
      <c r="G32" s="1208"/>
      <c r="H32" s="1208"/>
      <c r="I32" s="1208"/>
      <c r="J32" s="1208"/>
      <c r="K32" s="1208"/>
      <c r="L32" s="1208"/>
      <c r="M32" s="1208"/>
      <c r="N32" s="1208"/>
      <c r="O32" s="1208"/>
      <c r="P32" s="1208"/>
      <c r="Q32" s="1208"/>
      <c r="R32" s="1208"/>
      <c r="S32" s="1208"/>
      <c r="T32" s="1208"/>
      <c r="U32" s="1208"/>
      <c r="V32" s="1208"/>
      <c r="W32" s="1208"/>
      <c r="X32" s="1208"/>
      <c r="Y32" s="1208"/>
      <c r="Z32" s="1208"/>
      <c r="AA32" s="1211">
        <f>SUM(AA31:AA31)</f>
        <v>15</v>
      </c>
      <c r="AB32" s="1203">
        <f>SUM(AB31:AB31)</f>
        <v>0</v>
      </c>
      <c r="AC32" s="1166"/>
      <c r="AG32" s="1166"/>
      <c r="AK32" s="1203">
        <f>SUM(AK31:AK31)</f>
        <v>0</v>
      </c>
      <c r="AL32" s="1166"/>
      <c r="AM32" s="1168"/>
      <c r="AO32" s="1204"/>
      <c r="AP32" s="1178"/>
      <c r="AQ32" s="1178"/>
      <c r="AR32" s="1178"/>
      <c r="AS32" s="1178"/>
      <c r="AT32" s="1178"/>
    </row>
    <row r="33" spans="1:53" s="1169" customFormat="1">
      <c r="A33" s="1164"/>
      <c r="B33" s="1212" t="s">
        <v>67</v>
      </c>
      <c r="C33" s="1213">
        <f>14+5</f>
        <v>19</v>
      </c>
      <c r="D33" s="1214"/>
      <c r="E33" s="1215"/>
      <c r="F33" s="1215"/>
      <c r="G33" s="1214"/>
      <c r="H33" s="1215"/>
      <c r="I33" s="1215"/>
      <c r="J33" s="1215"/>
      <c r="K33" s="1215"/>
      <c r="L33" s="1214"/>
      <c r="M33" s="1214"/>
      <c r="N33" s="1214"/>
      <c r="O33" s="1214"/>
      <c r="P33" s="1215"/>
      <c r="Q33" s="1214"/>
      <c r="R33" s="1214"/>
      <c r="S33" s="1214"/>
      <c r="T33" s="1214"/>
      <c r="U33" s="1215"/>
      <c r="V33" s="1214"/>
      <c r="W33" s="1214"/>
      <c r="X33" s="1214"/>
      <c r="Y33" s="1216"/>
      <c r="Z33" s="1215"/>
      <c r="AA33" s="1217"/>
      <c r="AB33" s="1215"/>
      <c r="AC33" s="1217"/>
      <c r="AD33" s="1217"/>
      <c r="AE33" s="1217"/>
      <c r="AF33" s="1217"/>
      <c r="AG33" s="1166"/>
      <c r="AH33" s="1217"/>
      <c r="AI33" s="1217"/>
      <c r="AJ33" s="1217"/>
      <c r="AK33" s="1217"/>
      <c r="AL33" s="1166"/>
      <c r="AM33" s="1168"/>
      <c r="AO33" s="1178"/>
      <c r="AP33" s="1178"/>
      <c r="AQ33" s="1178"/>
      <c r="AR33" s="1178"/>
      <c r="AS33" s="1178"/>
      <c r="AT33" s="1178"/>
    </row>
    <row r="34" spans="1:53" s="1169" customFormat="1">
      <c r="A34" s="1164"/>
      <c r="E34" s="1166"/>
      <c r="F34" s="1166"/>
      <c r="G34" s="1166"/>
      <c r="J34" s="1166"/>
      <c r="K34" s="1166"/>
      <c r="L34" s="1166"/>
      <c r="O34" s="1166"/>
      <c r="P34" s="1166"/>
      <c r="Q34" s="1166"/>
      <c r="T34" s="1166"/>
      <c r="U34" s="1166"/>
      <c r="V34" s="1166"/>
      <c r="Y34" s="1166"/>
      <c r="Z34" s="1166"/>
      <c r="AA34" s="1166"/>
      <c r="AB34" s="1166"/>
      <c r="AC34" s="1166"/>
      <c r="AG34" s="1166"/>
      <c r="AL34" s="1166"/>
      <c r="AM34" s="1168"/>
      <c r="AO34" s="1178"/>
      <c r="AP34" s="1178"/>
      <c r="AQ34" s="1178"/>
      <c r="AR34" s="1178"/>
      <c r="AS34" s="1178"/>
      <c r="AT34" s="1178"/>
    </row>
    <row r="35" spans="1:53" s="1169" customFormat="1">
      <c r="A35" s="1164"/>
      <c r="B35" s="1218"/>
      <c r="C35" s="1219"/>
      <c r="D35" s="1219"/>
      <c r="E35" s="1220"/>
      <c r="F35" s="1220"/>
      <c r="G35" s="1219"/>
      <c r="H35" s="1220"/>
      <c r="I35" s="1220"/>
      <c r="J35" s="1220"/>
      <c r="K35" s="1220"/>
      <c r="L35" s="1219"/>
      <c r="M35" s="1219"/>
      <c r="N35" s="1219"/>
      <c r="O35" s="1219"/>
      <c r="P35" s="1220"/>
      <c r="Q35" s="1219"/>
      <c r="R35" s="1219"/>
      <c r="S35" s="1219"/>
      <c r="T35" s="1219"/>
      <c r="U35" s="1220"/>
      <c r="V35" s="1219"/>
      <c r="W35" s="1219"/>
      <c r="X35" s="1219"/>
      <c r="Y35" s="1221"/>
      <c r="Z35" s="1220"/>
      <c r="AA35" s="1222"/>
      <c r="AB35" s="1220"/>
      <c r="AC35" s="1223"/>
      <c r="AD35" s="1224"/>
      <c r="AE35" s="1168"/>
      <c r="AF35" s="1168"/>
      <c r="AG35" s="1168"/>
      <c r="AH35" s="1224"/>
      <c r="AI35" s="1168"/>
      <c r="AJ35" s="1168"/>
      <c r="AK35" s="1168"/>
      <c r="AL35" s="1168"/>
      <c r="AM35" s="1168"/>
      <c r="AN35" s="1168"/>
      <c r="AO35" s="1168"/>
      <c r="AP35" s="1168"/>
      <c r="AQ35" s="1168"/>
      <c r="AR35" s="1168"/>
      <c r="AS35" s="1168"/>
      <c r="AT35" s="1168"/>
    </row>
    <row r="36" spans="1:53" s="1169" customFormat="1">
      <c r="A36" s="1164"/>
      <c r="E36" s="1166"/>
      <c r="F36" s="1166"/>
      <c r="G36" s="1166"/>
      <c r="J36" s="1166"/>
      <c r="K36" s="1166"/>
      <c r="L36" s="1166"/>
      <c r="O36" s="1166"/>
      <c r="P36" s="1166"/>
      <c r="Q36" s="1166"/>
      <c r="T36" s="1166"/>
      <c r="U36" s="1166"/>
      <c r="V36" s="1166"/>
      <c r="Y36" s="1166"/>
      <c r="Z36" s="1166"/>
      <c r="AA36" s="1166"/>
      <c r="AB36" s="1166"/>
      <c r="AC36" s="1166"/>
      <c r="AG36" s="1166"/>
      <c r="AL36" s="1166"/>
      <c r="AM36" s="1168"/>
      <c r="AO36" s="1178"/>
      <c r="AP36" s="1178"/>
      <c r="AQ36" s="1178"/>
      <c r="AR36" s="1178"/>
      <c r="AS36" s="1178"/>
      <c r="AT36" s="1178"/>
    </row>
    <row r="37" spans="1:53" s="1169" customFormat="1">
      <c r="A37" s="1164"/>
      <c r="B37" s="1608" t="s">
        <v>18</v>
      </c>
      <c r="C37" s="1574">
        <v>45845</v>
      </c>
      <c r="D37" s="1574"/>
      <c r="E37" s="1574" t="s">
        <v>564</v>
      </c>
      <c r="F37" s="1574"/>
      <c r="G37" s="1165"/>
      <c r="H37" s="1574">
        <v>45846</v>
      </c>
      <c r="I37" s="1574"/>
      <c r="J37" s="1574" t="s">
        <v>565</v>
      </c>
      <c r="K37" s="1574"/>
      <c r="L37" s="1165"/>
      <c r="M37" s="1574">
        <v>45847</v>
      </c>
      <c r="N37" s="1574"/>
      <c r="O37" s="1574" t="s">
        <v>566</v>
      </c>
      <c r="P37" s="1574"/>
      <c r="Q37" s="1165"/>
      <c r="R37" s="1574">
        <v>45848</v>
      </c>
      <c r="S37" s="1574"/>
      <c r="T37" s="1574" t="s">
        <v>567</v>
      </c>
      <c r="U37" s="1574"/>
      <c r="V37" s="1165"/>
      <c r="W37" s="1574">
        <v>45849</v>
      </c>
      <c r="X37" s="1574"/>
      <c r="Y37" s="1574" t="s">
        <v>568</v>
      </c>
      <c r="Z37" s="1574"/>
      <c r="AA37" s="1575" t="s">
        <v>19</v>
      </c>
      <c r="AB37" s="1575" t="s">
        <v>20</v>
      </c>
      <c r="AC37" s="1166"/>
      <c r="AD37" s="1574">
        <v>45850</v>
      </c>
      <c r="AE37" s="1574"/>
      <c r="AF37" s="1167" t="s">
        <v>569</v>
      </c>
      <c r="AG37" s="1166"/>
      <c r="AH37" s="1574">
        <v>45851</v>
      </c>
      <c r="AI37" s="1574"/>
      <c r="AJ37" s="1167" t="s">
        <v>570</v>
      </c>
      <c r="AK37" s="1575" t="s">
        <v>1420</v>
      </c>
      <c r="AL37" s="1166"/>
      <c r="AM37" s="1168"/>
      <c r="AO37" s="1170" t="s">
        <v>84</v>
      </c>
      <c r="AP37" s="1171"/>
      <c r="AQ37" s="1171"/>
      <c r="AR37" s="1171"/>
      <c r="AS37" s="1171"/>
      <c r="AT37" s="1171"/>
    </row>
    <row r="38" spans="1:53" s="1169" customFormat="1">
      <c r="A38" s="1164"/>
      <c r="B38" s="1608"/>
      <c r="C38" s="1172" t="s">
        <v>23</v>
      </c>
      <c r="D38" s="1172" t="s">
        <v>24</v>
      </c>
      <c r="E38" s="1173" t="s">
        <v>25</v>
      </c>
      <c r="F38" s="1174" t="s">
        <v>14</v>
      </c>
      <c r="G38" s="1166"/>
      <c r="H38" s="1172"/>
      <c r="I38" s="1172" t="s">
        <v>24</v>
      </c>
      <c r="J38" s="1174" t="s">
        <v>25</v>
      </c>
      <c r="K38" s="1174" t="s">
        <v>14</v>
      </c>
      <c r="L38" s="1166"/>
      <c r="M38" s="1172" t="s">
        <v>23</v>
      </c>
      <c r="N38" s="1172" t="s">
        <v>24</v>
      </c>
      <c r="O38" s="1174" t="s">
        <v>25</v>
      </c>
      <c r="P38" s="1174" t="s">
        <v>14</v>
      </c>
      <c r="Q38" s="1166"/>
      <c r="R38" s="1172" t="s">
        <v>23</v>
      </c>
      <c r="S38" s="1172" t="s">
        <v>24</v>
      </c>
      <c r="T38" s="1174" t="s">
        <v>25</v>
      </c>
      <c r="U38" s="1174" t="s">
        <v>14</v>
      </c>
      <c r="V38" s="1166"/>
      <c r="W38" s="1172" t="s">
        <v>23</v>
      </c>
      <c r="X38" s="1172" t="s">
        <v>24</v>
      </c>
      <c r="Y38" s="1174" t="s">
        <v>25</v>
      </c>
      <c r="Z38" s="1174" t="s">
        <v>14</v>
      </c>
      <c r="AA38" s="1575"/>
      <c r="AB38" s="1575"/>
      <c r="AC38" s="1166"/>
      <c r="AD38" s="1172" t="s">
        <v>23</v>
      </c>
      <c r="AE38" s="1172" t="s">
        <v>24</v>
      </c>
      <c r="AF38" s="1174" t="s">
        <v>25</v>
      </c>
      <c r="AG38" s="1166"/>
      <c r="AH38" s="1172" t="s">
        <v>23</v>
      </c>
      <c r="AI38" s="1172" t="s">
        <v>24</v>
      </c>
      <c r="AJ38" s="1174" t="s">
        <v>25</v>
      </c>
      <c r="AK38" s="1575"/>
      <c r="AL38" s="1166"/>
      <c r="AM38" s="1168"/>
      <c r="AO38" s="1175" t="s">
        <v>26</v>
      </c>
      <c r="AP38" s="1176">
        <f>AA48</f>
        <v>140</v>
      </c>
      <c r="AQ38" s="1177">
        <v>40.31</v>
      </c>
      <c r="AR38" s="1177">
        <f t="shared" ref="AR38:AR43" si="5">AP38*AQ38</f>
        <v>5643.4000000000005</v>
      </c>
      <c r="AS38" s="1178"/>
      <c r="AT38" s="1178"/>
    </row>
    <row r="39" spans="1:53" s="1169" customFormat="1" ht="13.5" customHeight="1">
      <c r="A39" s="1164"/>
      <c r="B39" s="1166" t="s">
        <v>1064</v>
      </c>
      <c r="C39" s="1206">
        <v>0.52083333333333337</v>
      </c>
      <c r="D39" s="1206">
        <v>0.28125</v>
      </c>
      <c r="E39" s="1207">
        <v>6.75</v>
      </c>
      <c r="F39" s="1201"/>
      <c r="G39" s="1166"/>
      <c r="H39" s="1206">
        <v>0.20833333333333334</v>
      </c>
      <c r="I39" s="1206">
        <v>0.41666666666666669</v>
      </c>
      <c r="J39" s="1207">
        <v>5</v>
      </c>
      <c r="K39" s="1201"/>
      <c r="L39" s="1166"/>
      <c r="M39" s="1206">
        <v>6.25E-2</v>
      </c>
      <c r="N39" s="1206">
        <v>0.33333333333333331</v>
      </c>
      <c r="O39" s="1207">
        <v>6.5</v>
      </c>
      <c r="P39" s="1201"/>
      <c r="Q39" s="1166"/>
      <c r="R39" s="1206">
        <v>4.1666666666666664E-2</v>
      </c>
      <c r="S39" s="1206">
        <v>0.29166666666666669</v>
      </c>
      <c r="T39" s="1207">
        <v>6</v>
      </c>
      <c r="U39" s="1201"/>
      <c r="V39" s="1166"/>
      <c r="W39" s="1206">
        <v>0.1875</v>
      </c>
      <c r="X39" s="1206">
        <v>0.4375</v>
      </c>
      <c r="Y39" s="1207">
        <v>6</v>
      </c>
      <c r="Z39" s="1201"/>
      <c r="AA39" s="1203">
        <f t="shared" ref="AA39:AA46" si="6">(E39+J39+O39+T39+Y39)</f>
        <v>30.25</v>
      </c>
      <c r="AB39" s="1225">
        <f t="shared" ref="AB39:AB46" si="7">Z39+U39+P39+K39+F39</f>
        <v>0</v>
      </c>
      <c r="AC39" s="1166"/>
      <c r="AD39" s="1206">
        <v>0.52083333333333337</v>
      </c>
      <c r="AE39" s="1206">
        <v>0.25</v>
      </c>
      <c r="AF39" s="1207">
        <v>5.5</v>
      </c>
      <c r="AG39" s="1166"/>
      <c r="AH39" s="1226"/>
      <c r="AI39" s="1206"/>
      <c r="AJ39" s="1207"/>
      <c r="AK39" s="1203">
        <f t="shared" ref="AK39:AK47" si="8">AJ39+AF39</f>
        <v>5.5</v>
      </c>
      <c r="AL39" s="1166"/>
      <c r="AM39" s="1168"/>
      <c r="AO39" s="1175" t="s">
        <v>30</v>
      </c>
      <c r="AP39" s="1176">
        <f>AB48</f>
        <v>5</v>
      </c>
      <c r="AQ39" s="1177">
        <v>60.465000000000003</v>
      </c>
      <c r="AR39" s="1177">
        <f t="shared" si="5"/>
        <v>302.32500000000005</v>
      </c>
      <c r="AS39" s="1178"/>
      <c r="AT39" s="1178"/>
    </row>
    <row r="40" spans="1:53" s="1169" customFormat="1">
      <c r="A40" s="1164"/>
      <c r="B40" s="1206" t="s">
        <v>1441</v>
      </c>
      <c r="C40" s="1206">
        <v>0.52083333333333337</v>
      </c>
      <c r="D40" s="1206">
        <v>0.27083333333333331</v>
      </c>
      <c r="E40" s="1207">
        <v>6</v>
      </c>
      <c r="F40" s="1201"/>
      <c r="G40" s="1166"/>
      <c r="H40" s="1206">
        <v>0.5</v>
      </c>
      <c r="I40" s="1206">
        <v>0.26041666666666669</v>
      </c>
      <c r="J40" s="1207">
        <v>6.25</v>
      </c>
      <c r="K40" s="1201"/>
      <c r="L40" s="1166"/>
      <c r="M40" s="1206">
        <v>0.5</v>
      </c>
      <c r="N40" s="1206">
        <v>0.25</v>
      </c>
      <c r="O40" s="1207">
        <v>6</v>
      </c>
      <c r="P40" s="1201"/>
      <c r="Q40" s="1166"/>
      <c r="R40" s="1206">
        <v>0</v>
      </c>
      <c r="S40" s="1206">
        <v>0</v>
      </c>
      <c r="T40" s="1207">
        <v>0</v>
      </c>
      <c r="U40" s="1201"/>
      <c r="V40" s="1166"/>
      <c r="W40" s="1206">
        <v>0.47916666666666669</v>
      </c>
      <c r="X40" s="1206">
        <v>0.22916666666666666</v>
      </c>
      <c r="Y40" s="1207">
        <v>6</v>
      </c>
      <c r="Z40" s="1201"/>
      <c r="AA40" s="1203">
        <f t="shared" si="6"/>
        <v>24.25</v>
      </c>
      <c r="AB40" s="1225">
        <f t="shared" si="7"/>
        <v>0</v>
      </c>
      <c r="AC40" s="1166"/>
      <c r="AD40" s="1206"/>
      <c r="AE40" s="1206"/>
      <c r="AF40" s="1207"/>
      <c r="AG40" s="1166"/>
      <c r="AH40" s="1206"/>
      <c r="AI40" s="1206"/>
      <c r="AJ40" s="1207"/>
      <c r="AK40" s="1203">
        <f t="shared" si="8"/>
        <v>0</v>
      </c>
      <c r="AL40" s="1166"/>
      <c r="AM40" s="1168"/>
      <c r="AO40" s="1175" t="s">
        <v>32</v>
      </c>
      <c r="AP40" s="1176">
        <f>AK48</f>
        <v>23.25</v>
      </c>
      <c r="AQ40" s="1177">
        <v>60.465000000000003</v>
      </c>
      <c r="AR40" s="1177">
        <f t="shared" si="5"/>
        <v>1405.81125</v>
      </c>
      <c r="AS40" s="1178"/>
      <c r="AT40" s="1178"/>
    </row>
    <row r="41" spans="1:53" s="1178" customFormat="1" ht="13.5" customHeight="1">
      <c r="A41" s="1164"/>
      <c r="B41" s="1206" t="s">
        <v>1444</v>
      </c>
      <c r="C41" s="1206">
        <v>0</v>
      </c>
      <c r="D41" s="1206">
        <v>0</v>
      </c>
      <c r="E41" s="1207">
        <v>0</v>
      </c>
      <c r="F41" s="1201"/>
      <c r="G41" s="1166"/>
      <c r="H41" s="1206">
        <v>0</v>
      </c>
      <c r="I41" s="1206">
        <v>0</v>
      </c>
      <c r="J41" s="1207">
        <v>0</v>
      </c>
      <c r="K41" s="1201"/>
      <c r="L41" s="1166"/>
      <c r="M41" s="1206">
        <v>0</v>
      </c>
      <c r="N41" s="1206">
        <v>0</v>
      </c>
      <c r="O41" s="1207">
        <v>0</v>
      </c>
      <c r="P41" s="1201"/>
      <c r="Q41" s="1166"/>
      <c r="R41" s="1206">
        <v>0</v>
      </c>
      <c r="S41" s="1206">
        <v>0</v>
      </c>
      <c r="T41" s="1207">
        <v>0</v>
      </c>
      <c r="U41" s="1201"/>
      <c r="V41" s="1166"/>
      <c r="W41" s="1206">
        <v>0</v>
      </c>
      <c r="X41" s="1206">
        <v>0</v>
      </c>
      <c r="Y41" s="1207">
        <v>0</v>
      </c>
      <c r="Z41" s="1201"/>
      <c r="AA41" s="1203">
        <f t="shared" si="6"/>
        <v>0</v>
      </c>
      <c r="AB41" s="1225">
        <f t="shared" si="7"/>
        <v>0</v>
      </c>
      <c r="AC41" s="1166"/>
      <c r="AD41" s="1206"/>
      <c r="AE41" s="1206"/>
      <c r="AF41" s="1207"/>
      <c r="AG41" s="1166"/>
      <c r="AH41" s="1206"/>
      <c r="AI41" s="1206"/>
      <c r="AJ41" s="1207"/>
      <c r="AK41" s="1203">
        <f t="shared" si="8"/>
        <v>0</v>
      </c>
      <c r="AL41" s="1166"/>
      <c r="AM41" s="1168"/>
      <c r="AN41" s="1169"/>
      <c r="AO41" s="1175" t="s">
        <v>213</v>
      </c>
      <c r="AP41" s="1176">
        <f>AA49</f>
        <v>12</v>
      </c>
      <c r="AQ41" s="1177">
        <v>53.05</v>
      </c>
      <c r="AR41" s="1177">
        <f t="shared" si="5"/>
        <v>636.59999999999991</v>
      </c>
      <c r="AU41" s="1169"/>
      <c r="AV41" s="1169"/>
      <c r="AW41" s="1169"/>
      <c r="AX41" s="1169"/>
      <c r="AY41" s="1169"/>
      <c r="AZ41" s="1169"/>
      <c r="BA41" s="1169"/>
    </row>
    <row r="42" spans="1:53" s="1178" customFormat="1">
      <c r="A42" s="1164"/>
      <c r="B42" s="1210" t="s">
        <v>1447</v>
      </c>
      <c r="C42" s="1206">
        <v>0.125</v>
      </c>
      <c r="D42" s="1206">
        <v>0.375</v>
      </c>
      <c r="E42" s="1207">
        <v>6</v>
      </c>
      <c r="F42" s="1201"/>
      <c r="G42" s="1166"/>
      <c r="H42" s="1206">
        <v>0.125</v>
      </c>
      <c r="I42" s="1206">
        <v>0.45833333333333331</v>
      </c>
      <c r="J42" s="1207">
        <v>8</v>
      </c>
      <c r="K42" s="1201"/>
      <c r="L42" s="1166"/>
      <c r="M42" s="1206">
        <v>6.25E-2</v>
      </c>
      <c r="N42" s="1206">
        <v>0.3125</v>
      </c>
      <c r="O42" s="1207">
        <v>6</v>
      </c>
      <c r="P42" s="1201"/>
      <c r="Q42" s="1166"/>
      <c r="R42" s="1206">
        <v>4.1666666666666664E-2</v>
      </c>
      <c r="S42" s="1206">
        <v>0.29166666666666669</v>
      </c>
      <c r="T42" s="1207">
        <v>6</v>
      </c>
      <c r="U42" s="1201"/>
      <c r="V42" s="1166"/>
      <c r="W42" s="1206">
        <v>0</v>
      </c>
      <c r="X42" s="1206">
        <v>0</v>
      </c>
      <c r="Y42" s="1207">
        <v>0</v>
      </c>
      <c r="Z42" s="1201"/>
      <c r="AA42" s="1203">
        <f t="shared" si="6"/>
        <v>26</v>
      </c>
      <c r="AB42" s="1225">
        <f t="shared" si="7"/>
        <v>0</v>
      </c>
      <c r="AC42" s="1166"/>
      <c r="AD42" s="1206">
        <v>0.5</v>
      </c>
      <c r="AE42" s="1206">
        <v>0.25</v>
      </c>
      <c r="AF42" s="1207">
        <v>6</v>
      </c>
      <c r="AG42" s="1166"/>
      <c r="AH42" s="1226"/>
      <c r="AI42" s="1206"/>
      <c r="AJ42" s="1207"/>
      <c r="AK42" s="1203">
        <f t="shared" si="8"/>
        <v>6</v>
      </c>
      <c r="AL42" s="1166"/>
      <c r="AM42" s="1168"/>
      <c r="AN42" s="1169"/>
      <c r="AO42" s="1175" t="s">
        <v>36</v>
      </c>
      <c r="AP42" s="1176">
        <f>AB49</f>
        <v>2</v>
      </c>
      <c r="AQ42" s="1177">
        <v>79.574999999999989</v>
      </c>
      <c r="AR42" s="1177">
        <f t="shared" si="5"/>
        <v>159.14999999999998</v>
      </c>
      <c r="AU42" s="1169"/>
      <c r="AV42" s="1169"/>
      <c r="AW42" s="1169"/>
      <c r="AX42" s="1169"/>
      <c r="AY42" s="1169"/>
      <c r="AZ42" s="1169"/>
      <c r="BA42" s="1169"/>
    </row>
    <row r="43" spans="1:53" s="1178" customFormat="1">
      <c r="A43" s="1164"/>
      <c r="B43" s="1210" t="s">
        <v>1141</v>
      </c>
      <c r="C43" s="1206">
        <v>0</v>
      </c>
      <c r="D43" s="1206">
        <v>0</v>
      </c>
      <c r="E43" s="1207">
        <v>0</v>
      </c>
      <c r="F43" s="1201"/>
      <c r="G43" s="1166"/>
      <c r="H43" s="1206">
        <v>0</v>
      </c>
      <c r="I43" s="1206">
        <v>0</v>
      </c>
      <c r="J43" s="1207">
        <v>0</v>
      </c>
      <c r="K43" s="1201"/>
      <c r="L43" s="1166"/>
      <c r="M43" s="1206">
        <v>0.1875</v>
      </c>
      <c r="N43" s="1206">
        <v>0.4375</v>
      </c>
      <c r="O43" s="1207">
        <v>6</v>
      </c>
      <c r="P43" s="1201"/>
      <c r="Q43" s="1166"/>
      <c r="R43" s="1206">
        <v>0.5</v>
      </c>
      <c r="S43" s="1206">
        <v>0.25</v>
      </c>
      <c r="T43" s="1207">
        <v>6</v>
      </c>
      <c r="U43" s="1201"/>
      <c r="V43" s="1166"/>
      <c r="W43" s="1206">
        <v>0.5</v>
      </c>
      <c r="X43" s="1206">
        <v>0.22916666666666666</v>
      </c>
      <c r="Y43" s="1207">
        <v>5.5</v>
      </c>
      <c r="Z43" s="1201"/>
      <c r="AA43" s="1203">
        <f t="shared" si="6"/>
        <v>17.5</v>
      </c>
      <c r="AB43" s="1225">
        <f t="shared" si="7"/>
        <v>0</v>
      </c>
      <c r="AC43" s="1166"/>
      <c r="AD43" s="1206">
        <v>0.52083333333333337</v>
      </c>
      <c r="AE43" s="1206">
        <v>0.26041666666666669</v>
      </c>
      <c r="AF43" s="1207">
        <v>5.75</v>
      </c>
      <c r="AG43" s="1166"/>
      <c r="AH43" s="1226"/>
      <c r="AI43" s="1206"/>
      <c r="AJ43" s="1207"/>
      <c r="AK43" s="1203">
        <f t="shared" si="8"/>
        <v>5.75</v>
      </c>
      <c r="AL43" s="1166"/>
      <c r="AM43" s="1168"/>
      <c r="AN43" s="1169"/>
      <c r="AO43" s="1175" t="s">
        <v>38</v>
      </c>
      <c r="AP43" s="1176">
        <f>AK49</f>
        <v>3.75</v>
      </c>
      <c r="AQ43" s="1177">
        <v>79.574999999999989</v>
      </c>
      <c r="AR43" s="1177">
        <f t="shared" si="5"/>
        <v>298.40624999999994</v>
      </c>
      <c r="AU43" s="1169"/>
      <c r="AV43" s="1169"/>
      <c r="AW43" s="1169"/>
      <c r="AX43" s="1169"/>
      <c r="AY43" s="1169"/>
      <c r="AZ43" s="1169"/>
      <c r="BA43" s="1169"/>
    </row>
    <row r="44" spans="1:53" s="1178" customFormat="1">
      <c r="A44" s="1164"/>
      <c r="B44" s="1210" t="s">
        <v>1140</v>
      </c>
      <c r="C44" s="1206">
        <v>0.52083333333333337</v>
      </c>
      <c r="D44" s="1206">
        <v>0.375</v>
      </c>
      <c r="E44" s="1207">
        <v>8</v>
      </c>
      <c r="F44" s="1201">
        <v>0.5</v>
      </c>
      <c r="G44" s="1166"/>
      <c r="H44" s="1206">
        <v>0.52083333333333337</v>
      </c>
      <c r="I44" s="1206">
        <v>0.41666666666666669</v>
      </c>
      <c r="J44" s="1207">
        <v>8</v>
      </c>
      <c r="K44" s="1201">
        <v>1.5</v>
      </c>
      <c r="L44" s="1166"/>
      <c r="M44" s="1206">
        <v>0.45833333333333331</v>
      </c>
      <c r="N44" s="1206">
        <v>0.41666666666666669</v>
      </c>
      <c r="O44" s="1207">
        <v>8</v>
      </c>
      <c r="P44" s="1201">
        <v>3</v>
      </c>
      <c r="Q44" s="1166"/>
      <c r="R44" s="1206">
        <v>4.1666666666666664E-2</v>
      </c>
      <c r="S44" s="1206">
        <v>0.29166666666666669</v>
      </c>
      <c r="T44" s="1207">
        <v>6</v>
      </c>
      <c r="U44" s="1201"/>
      <c r="V44" s="1166"/>
      <c r="W44" s="1206">
        <v>0</v>
      </c>
      <c r="X44" s="1206">
        <v>0</v>
      </c>
      <c r="Y44" s="1207">
        <v>0</v>
      </c>
      <c r="Z44" s="1201"/>
      <c r="AA44" s="1203">
        <f t="shared" si="6"/>
        <v>30</v>
      </c>
      <c r="AB44" s="1225">
        <f t="shared" si="7"/>
        <v>5</v>
      </c>
      <c r="AC44" s="1166"/>
      <c r="AD44" s="1206"/>
      <c r="AE44" s="1206"/>
      <c r="AF44" s="1207"/>
      <c r="AG44" s="1166"/>
      <c r="AH44" s="1206"/>
      <c r="AI44" s="1206"/>
      <c r="AJ44" s="1207"/>
      <c r="AK44" s="1203">
        <f t="shared" si="8"/>
        <v>0</v>
      </c>
      <c r="AL44" s="1166"/>
      <c r="AM44" s="1168"/>
      <c r="AN44" s="1169"/>
      <c r="AP44" s="1176"/>
      <c r="AR44" s="1227">
        <f>SUM(AR38:AR43)</f>
        <v>8445.6924999999992</v>
      </c>
      <c r="AU44" s="1169"/>
      <c r="AV44" s="1169"/>
      <c r="AW44" s="1169"/>
      <c r="AX44" s="1169"/>
      <c r="AY44" s="1169"/>
      <c r="AZ44" s="1169"/>
      <c r="BA44" s="1169"/>
    </row>
    <row r="45" spans="1:53" s="1178" customFormat="1">
      <c r="A45" s="1164"/>
      <c r="B45" s="1210" t="s">
        <v>53</v>
      </c>
      <c r="C45" s="1206">
        <v>0</v>
      </c>
      <c r="D45" s="1206">
        <v>0</v>
      </c>
      <c r="E45" s="1207">
        <v>0</v>
      </c>
      <c r="F45" s="1201"/>
      <c r="G45" s="1166"/>
      <c r="H45" s="1206">
        <v>0</v>
      </c>
      <c r="I45" s="1206">
        <v>0</v>
      </c>
      <c r="J45" s="1207">
        <v>0</v>
      </c>
      <c r="K45" s="1201"/>
      <c r="L45" s="1166"/>
      <c r="M45" s="1206">
        <v>0</v>
      </c>
      <c r="N45" s="1206">
        <v>0</v>
      </c>
      <c r="O45" s="1207">
        <v>0</v>
      </c>
      <c r="P45" s="1201"/>
      <c r="Q45" s="1166"/>
      <c r="R45" s="1206">
        <v>0</v>
      </c>
      <c r="S45" s="1206">
        <v>0</v>
      </c>
      <c r="T45" s="1207">
        <v>0</v>
      </c>
      <c r="U45" s="1201"/>
      <c r="V45" s="1166"/>
      <c r="W45" s="1206">
        <v>0</v>
      </c>
      <c r="X45" s="1206">
        <v>0</v>
      </c>
      <c r="Y45" s="1207">
        <v>0</v>
      </c>
      <c r="Z45" s="1201"/>
      <c r="AA45" s="1203">
        <f t="shared" si="6"/>
        <v>0</v>
      </c>
      <c r="AB45" s="1225">
        <f t="shared" si="7"/>
        <v>0</v>
      </c>
      <c r="AC45" s="1166"/>
      <c r="AD45" s="1206">
        <v>0.52083333333333337</v>
      </c>
      <c r="AE45" s="1206">
        <v>0.27083333333333331</v>
      </c>
      <c r="AF45" s="1207">
        <v>6</v>
      </c>
      <c r="AG45" s="1166"/>
      <c r="AH45" s="1226"/>
      <c r="AI45" s="1206"/>
      <c r="AJ45" s="1207"/>
      <c r="AK45" s="1203">
        <f t="shared" si="8"/>
        <v>6</v>
      </c>
      <c r="AL45" s="1166"/>
      <c r="AM45" s="1168"/>
      <c r="AN45" s="1169"/>
      <c r="AP45" s="1176"/>
      <c r="AU45" s="1169"/>
      <c r="AV45" s="1169"/>
      <c r="AW45" s="1169"/>
      <c r="AX45" s="1169"/>
      <c r="AY45" s="1169"/>
      <c r="AZ45" s="1169"/>
      <c r="BA45" s="1169"/>
    </row>
    <row r="46" spans="1:53" s="1178" customFormat="1">
      <c r="A46" s="1164"/>
      <c r="B46" s="1210" t="s">
        <v>1455</v>
      </c>
      <c r="C46" s="1206">
        <v>0</v>
      </c>
      <c r="D46" s="1206">
        <v>0</v>
      </c>
      <c r="E46" s="1207">
        <v>0</v>
      </c>
      <c r="F46" s="1201"/>
      <c r="G46" s="1166"/>
      <c r="H46" s="1206">
        <v>0</v>
      </c>
      <c r="I46" s="1206">
        <v>0</v>
      </c>
      <c r="J46" s="1207">
        <v>0</v>
      </c>
      <c r="K46" s="1201"/>
      <c r="L46" s="1166"/>
      <c r="M46" s="1206">
        <v>6.25E-2</v>
      </c>
      <c r="N46" s="1206">
        <v>0.3125</v>
      </c>
      <c r="O46" s="1207">
        <v>6</v>
      </c>
      <c r="P46" s="1201"/>
      <c r="Q46" s="1166"/>
      <c r="R46" s="1206">
        <v>0</v>
      </c>
      <c r="S46" s="1206">
        <v>0</v>
      </c>
      <c r="T46" s="1207">
        <v>0</v>
      </c>
      <c r="U46" s="1201"/>
      <c r="V46" s="1166"/>
      <c r="W46" s="1206">
        <v>0.47916666666666669</v>
      </c>
      <c r="X46" s="1206">
        <v>0.22916666666666666</v>
      </c>
      <c r="Y46" s="1207">
        <v>6</v>
      </c>
      <c r="Z46" s="1201"/>
      <c r="AA46" s="1203">
        <f t="shared" si="6"/>
        <v>12</v>
      </c>
      <c r="AB46" s="1225">
        <f t="shared" si="7"/>
        <v>0</v>
      </c>
      <c r="AC46" s="1166"/>
      <c r="AD46" s="1206"/>
      <c r="AE46" s="1206"/>
      <c r="AF46" s="1207"/>
      <c r="AG46" s="1166"/>
      <c r="AH46" s="1206"/>
      <c r="AI46" s="1206"/>
      <c r="AJ46" s="1207"/>
      <c r="AK46" s="1203">
        <f t="shared" si="8"/>
        <v>0</v>
      </c>
      <c r="AL46" s="1166"/>
      <c r="AM46" s="1168"/>
      <c r="AN46" s="1169"/>
      <c r="AO46" s="1228" t="s">
        <v>1115</v>
      </c>
      <c r="AP46" s="1176">
        <f>C51</f>
        <v>26</v>
      </c>
      <c r="AU46" s="1169"/>
      <c r="AV46" s="1169"/>
      <c r="AW46" s="1169"/>
      <c r="AX46" s="1169"/>
      <c r="AY46" s="1169"/>
      <c r="AZ46" s="1169"/>
      <c r="BA46" s="1169"/>
    </row>
    <row r="47" spans="1:53" s="1178" customFormat="1" ht="12.75" customHeight="1">
      <c r="A47" s="1164"/>
      <c r="B47" s="1210" t="s">
        <v>1456</v>
      </c>
      <c r="C47" s="1206">
        <v>0</v>
      </c>
      <c r="D47" s="1206">
        <v>0</v>
      </c>
      <c r="E47" s="1207">
        <v>0</v>
      </c>
      <c r="F47" s="1201"/>
      <c r="G47" s="1166"/>
      <c r="H47" s="1206">
        <v>0</v>
      </c>
      <c r="I47" s="1206">
        <v>0</v>
      </c>
      <c r="J47" s="1207">
        <v>0</v>
      </c>
      <c r="K47" s="1201"/>
      <c r="L47" s="1166"/>
      <c r="M47" s="1206">
        <v>0.125</v>
      </c>
      <c r="N47" s="1206">
        <v>0.16666666666666666</v>
      </c>
      <c r="O47" s="1207">
        <v>1</v>
      </c>
      <c r="P47" s="1201"/>
      <c r="Q47" s="1166"/>
      <c r="R47" s="1206">
        <v>0</v>
      </c>
      <c r="S47" s="1206">
        <v>0</v>
      </c>
      <c r="T47" s="1207">
        <v>0</v>
      </c>
      <c r="U47" s="1201"/>
      <c r="V47" s="1166"/>
      <c r="W47" s="1206">
        <v>0</v>
      </c>
      <c r="X47" s="1206">
        <v>0</v>
      </c>
      <c r="Y47" s="1207">
        <v>0</v>
      </c>
      <c r="Z47" s="1201"/>
      <c r="AA47" s="1203">
        <f>(E47+J47+O47+T47+Y47)</f>
        <v>1</v>
      </c>
      <c r="AB47" s="1225">
        <f t="shared" ref="AB47" si="9">Z47+U47+P47+K47+F47</f>
        <v>0</v>
      </c>
      <c r="AC47" s="1166"/>
      <c r="AD47" s="1206"/>
      <c r="AE47" s="1206"/>
      <c r="AF47" s="1207"/>
      <c r="AG47" s="1166"/>
      <c r="AH47" s="1206"/>
      <c r="AI47" s="1206"/>
      <c r="AJ47" s="1207"/>
      <c r="AK47" s="1203">
        <f t="shared" si="8"/>
        <v>0</v>
      </c>
      <c r="AL47" s="1166"/>
      <c r="AM47" s="1168"/>
      <c r="AN47" s="1169"/>
      <c r="AO47" s="1228"/>
      <c r="AP47" s="1176"/>
      <c r="AU47" s="1169"/>
      <c r="AV47" s="1169"/>
      <c r="AW47" s="1169"/>
      <c r="AX47" s="1169"/>
      <c r="AY47" s="1169"/>
      <c r="AZ47" s="1169"/>
      <c r="BA47" s="1169"/>
    </row>
    <row r="48" spans="1:53" s="1169" customFormat="1">
      <c r="A48" s="1164"/>
      <c r="B48" s="1199" t="s">
        <v>61</v>
      </c>
      <c r="C48" s="1199"/>
      <c r="D48" s="1199"/>
      <c r="E48" s="1200"/>
      <c r="F48" s="1201"/>
      <c r="G48" s="1199"/>
      <c r="H48" s="1199"/>
      <c r="I48" s="1199"/>
      <c r="J48" s="1200"/>
      <c r="K48" s="1201"/>
      <c r="L48" s="1199"/>
      <c r="M48" s="1199"/>
      <c r="N48" s="1199"/>
      <c r="O48" s="1200"/>
      <c r="P48" s="1201"/>
      <c r="Q48" s="1199"/>
      <c r="R48" s="1199"/>
      <c r="S48" s="1199"/>
      <c r="T48" s="1200"/>
      <c r="U48" s="1201"/>
      <c r="V48" s="1199"/>
      <c r="W48" s="1199"/>
      <c r="X48" s="1199"/>
      <c r="Y48" s="1200"/>
      <c r="Z48" s="1201"/>
      <c r="AA48" s="1202">
        <f>SUM(AA39:AA46)</f>
        <v>140</v>
      </c>
      <c r="AB48" s="1229">
        <f>SUM(AB39:AB46)</f>
        <v>5</v>
      </c>
      <c r="AC48" s="1166"/>
      <c r="AD48" s="1199"/>
      <c r="AE48" s="1199"/>
      <c r="AF48" s="1203">
        <f>SUM(AF39:AF46)</f>
        <v>23.25</v>
      </c>
      <c r="AG48" s="1166"/>
      <c r="AH48" s="1199"/>
      <c r="AI48" s="1199"/>
      <c r="AJ48" s="1203">
        <f>SUM(AJ39:AJ46)</f>
        <v>0</v>
      </c>
      <c r="AK48" s="1229">
        <f>SUM(AK39:AK46)</f>
        <v>23.25</v>
      </c>
      <c r="AL48" s="1166"/>
      <c r="AM48" s="1168"/>
      <c r="AO48" s="1204"/>
      <c r="AP48" s="1178"/>
      <c r="AQ48" s="1178"/>
      <c r="AR48" s="1178"/>
      <c r="AS48" s="1178"/>
      <c r="AT48" s="1178"/>
    </row>
    <row r="49" spans="1:53" s="1169" customFormat="1">
      <c r="A49" s="1164"/>
      <c r="B49" s="1230" t="s">
        <v>64</v>
      </c>
      <c r="C49" s="1206"/>
      <c r="D49" s="1206"/>
      <c r="E49" s="1207">
        <v>3</v>
      </c>
      <c r="F49" s="1207"/>
      <c r="G49" s="1208"/>
      <c r="H49" s="1206"/>
      <c r="I49" s="1206"/>
      <c r="J49" s="1207">
        <v>2</v>
      </c>
      <c r="K49" s="1207"/>
      <c r="L49" s="1209"/>
      <c r="M49" s="1206"/>
      <c r="N49" s="1206"/>
      <c r="O49" s="1207">
        <v>3</v>
      </c>
      <c r="P49" s="1207"/>
      <c r="Q49" s="1209"/>
      <c r="R49" s="1206"/>
      <c r="S49" s="1206"/>
      <c r="T49" s="1207">
        <v>3</v>
      </c>
      <c r="U49" s="1207"/>
      <c r="V49" s="1209"/>
      <c r="W49" s="1206"/>
      <c r="X49" s="1206"/>
      <c r="Y49" s="1207">
        <v>1</v>
      </c>
      <c r="Z49" s="1207">
        <f>0.5+1.5</f>
        <v>2</v>
      </c>
      <c r="AA49" s="1203">
        <f>SUM(E49+J49+O49+T49+Y49)</f>
        <v>12</v>
      </c>
      <c r="AB49" s="1173">
        <f>Z49+U49+P49+K49+F49</f>
        <v>2</v>
      </c>
      <c r="AC49" s="1166"/>
      <c r="AD49" s="1206" t="s">
        <v>29</v>
      </c>
      <c r="AE49" s="1206" t="s">
        <v>29</v>
      </c>
      <c r="AF49" s="1207">
        <f>1.75+1</f>
        <v>2.75</v>
      </c>
      <c r="AG49" s="1166"/>
      <c r="AH49" s="1206" t="s">
        <v>29</v>
      </c>
      <c r="AI49" s="1206" t="s">
        <v>29</v>
      </c>
      <c r="AJ49" s="1207">
        <v>1</v>
      </c>
      <c r="AK49" s="1203">
        <f>AJ49+AF49</f>
        <v>3.75</v>
      </c>
      <c r="AL49" s="1166"/>
      <c r="AM49" s="1168"/>
      <c r="AO49" s="1204"/>
      <c r="AP49" s="1178"/>
      <c r="AQ49" s="1178"/>
      <c r="AR49" s="1178"/>
      <c r="AS49" s="1178"/>
      <c r="AT49" s="1178"/>
    </row>
    <row r="50" spans="1:53" s="1169" customFormat="1">
      <c r="A50" s="1164"/>
      <c r="B50" s="1208" t="s">
        <v>66</v>
      </c>
      <c r="C50" s="1210"/>
      <c r="D50" s="1210"/>
      <c r="E50" s="1208"/>
      <c r="F50" s="1208"/>
      <c r="G50" s="1208"/>
      <c r="H50" s="1208"/>
      <c r="I50" s="1208"/>
      <c r="J50" s="1208"/>
      <c r="K50" s="1208"/>
      <c r="L50" s="1208"/>
      <c r="M50" s="1208"/>
      <c r="N50" s="1208"/>
      <c r="O50" s="1208"/>
      <c r="P50" s="1208"/>
      <c r="Q50" s="1208"/>
      <c r="R50" s="1208"/>
      <c r="S50" s="1208"/>
      <c r="T50" s="1208"/>
      <c r="U50" s="1208"/>
      <c r="V50" s="1208"/>
      <c r="W50" s="1208"/>
      <c r="X50" s="1208"/>
      <c r="Y50" s="1208"/>
      <c r="Z50" s="1208"/>
      <c r="AA50" s="1211">
        <f>SUM(AA49:AA49)</f>
        <v>12</v>
      </c>
      <c r="AB50" s="1229">
        <f>SUM(AB49:AB49)</f>
        <v>2</v>
      </c>
      <c r="AC50" s="1166"/>
      <c r="AG50" s="1166"/>
      <c r="AK50" s="1229">
        <f>SUM(AK49:AK49)</f>
        <v>3.75</v>
      </c>
      <c r="AL50" s="1166"/>
      <c r="AM50" s="1168"/>
      <c r="AO50" s="1204"/>
      <c r="AP50" s="1178"/>
      <c r="AQ50" s="1178"/>
      <c r="AR50" s="1178"/>
      <c r="AS50" s="1178"/>
      <c r="AT50" s="1178"/>
    </row>
    <row r="51" spans="1:53" s="1169" customFormat="1">
      <c r="A51" s="1164"/>
      <c r="B51" s="1212" t="s">
        <v>67</v>
      </c>
      <c r="C51" s="1213">
        <f>4+4+6+4+4+4</f>
        <v>26</v>
      </c>
      <c r="D51" s="1214"/>
      <c r="E51" s="1215"/>
      <c r="F51" s="1215"/>
      <c r="G51" s="1214"/>
      <c r="H51" s="1215"/>
      <c r="I51" s="1215"/>
      <c r="J51" s="1215"/>
      <c r="K51" s="1215"/>
      <c r="L51" s="1214"/>
      <c r="M51" s="1214"/>
      <c r="N51" s="1214"/>
      <c r="O51" s="1214"/>
      <c r="P51" s="1215"/>
      <c r="Q51" s="1214"/>
      <c r="R51" s="1214"/>
      <c r="S51" s="1214"/>
      <c r="T51" s="1214"/>
      <c r="U51" s="1215"/>
      <c r="V51" s="1214"/>
      <c r="W51" s="1214"/>
      <c r="X51" s="1214"/>
      <c r="Y51" s="1216"/>
      <c r="Z51" s="1215"/>
      <c r="AA51" s="1217"/>
      <c r="AB51" s="1215"/>
      <c r="AC51" s="1217"/>
      <c r="AD51" s="1217"/>
      <c r="AE51" s="1217"/>
      <c r="AF51" s="1217"/>
      <c r="AG51" s="1166"/>
      <c r="AH51" s="1217"/>
      <c r="AI51" s="1217"/>
      <c r="AJ51" s="1217"/>
      <c r="AK51" s="1217"/>
      <c r="AL51" s="1166"/>
      <c r="AM51" s="1168"/>
      <c r="AO51" s="1178"/>
      <c r="AP51" s="1178"/>
      <c r="AQ51" s="1178"/>
      <c r="AR51" s="1178"/>
      <c r="AS51" s="1178"/>
      <c r="AT51" s="1178"/>
    </row>
    <row r="52" spans="1:53" s="1169" customFormat="1">
      <c r="A52" s="1164"/>
      <c r="E52" s="1166"/>
      <c r="F52" s="1166"/>
      <c r="G52" s="1166"/>
      <c r="J52" s="1166"/>
      <c r="K52" s="1166"/>
      <c r="L52" s="1166"/>
      <c r="O52" s="1166"/>
      <c r="P52" s="1166"/>
      <c r="Q52" s="1166"/>
      <c r="T52" s="1166"/>
      <c r="U52" s="1166"/>
      <c r="V52" s="1166"/>
      <c r="Y52" s="1166"/>
      <c r="Z52" s="1166"/>
      <c r="AA52" s="1166"/>
      <c r="AB52" s="1166"/>
      <c r="AC52" s="1166"/>
      <c r="AG52" s="1166"/>
      <c r="AL52" s="1166"/>
      <c r="AM52" s="1168"/>
      <c r="AO52" s="1178"/>
      <c r="AP52" s="1178"/>
      <c r="AQ52" s="1178"/>
      <c r="AR52" s="1178"/>
      <c r="AS52" s="1178"/>
      <c r="AT52" s="1178"/>
    </row>
    <row r="53" spans="1:53" s="1169" customFormat="1">
      <c r="A53" s="1164"/>
      <c r="B53" s="1218"/>
      <c r="C53" s="1219"/>
      <c r="D53" s="1219"/>
      <c r="E53" s="1220"/>
      <c r="F53" s="1220"/>
      <c r="G53" s="1219"/>
      <c r="H53" s="1220"/>
      <c r="I53" s="1220"/>
      <c r="J53" s="1220"/>
      <c r="K53" s="1220"/>
      <c r="L53" s="1219"/>
      <c r="M53" s="1219"/>
      <c r="N53" s="1219"/>
      <c r="O53" s="1219"/>
      <c r="P53" s="1220"/>
      <c r="Q53" s="1219"/>
      <c r="R53" s="1219"/>
      <c r="S53" s="1219"/>
      <c r="T53" s="1219"/>
      <c r="U53" s="1220"/>
      <c r="V53" s="1219"/>
      <c r="W53" s="1219"/>
      <c r="X53" s="1219"/>
      <c r="Y53" s="1221"/>
      <c r="Z53" s="1220"/>
      <c r="AA53" s="1222"/>
      <c r="AB53" s="1220"/>
      <c r="AC53" s="1223"/>
      <c r="AD53" s="1224"/>
      <c r="AE53" s="1168"/>
      <c r="AF53" s="1168"/>
      <c r="AG53" s="1168"/>
      <c r="AH53" s="1224"/>
      <c r="AI53" s="1168"/>
      <c r="AJ53" s="1168"/>
      <c r="AK53" s="1168"/>
      <c r="AL53" s="1168"/>
      <c r="AM53" s="1168"/>
      <c r="AN53" s="1168"/>
      <c r="AO53" s="1168"/>
      <c r="AP53" s="1168"/>
      <c r="AQ53" s="1168"/>
      <c r="AR53" s="1168"/>
      <c r="AS53" s="1168"/>
      <c r="AT53" s="1168"/>
    </row>
    <row r="54" spans="1:53" s="1169" customFormat="1">
      <c r="A54" s="1164"/>
      <c r="E54" s="1166"/>
      <c r="F54" s="1166"/>
      <c r="G54" s="1166"/>
      <c r="J54" s="1166"/>
      <c r="K54" s="1166"/>
      <c r="L54" s="1166"/>
      <c r="O54" s="1166"/>
      <c r="P54" s="1166"/>
      <c r="Q54" s="1166"/>
      <c r="T54" s="1166"/>
      <c r="U54" s="1166"/>
      <c r="V54" s="1166"/>
      <c r="Y54" s="1166"/>
      <c r="Z54" s="1166"/>
      <c r="AA54" s="1166"/>
      <c r="AB54" s="1166"/>
      <c r="AC54" s="1166"/>
      <c r="AG54" s="1166"/>
      <c r="AL54" s="1166"/>
      <c r="AM54" s="1168"/>
      <c r="AO54" s="1178"/>
      <c r="AP54" s="1178"/>
      <c r="AQ54" s="1178"/>
      <c r="AR54" s="1178"/>
      <c r="AS54" s="1178"/>
      <c r="AT54" s="1178"/>
    </row>
    <row r="55" spans="1:53" s="1169" customFormat="1">
      <c r="A55" s="1164"/>
      <c r="B55" s="1608" t="s">
        <v>18</v>
      </c>
      <c r="C55" s="1574">
        <v>45852</v>
      </c>
      <c r="D55" s="1574"/>
      <c r="E55" s="1574" t="s">
        <v>564</v>
      </c>
      <c r="F55" s="1574"/>
      <c r="G55" s="1165"/>
      <c r="H55" s="1574">
        <v>45853</v>
      </c>
      <c r="I55" s="1574"/>
      <c r="J55" s="1574" t="s">
        <v>565</v>
      </c>
      <c r="K55" s="1574"/>
      <c r="L55" s="1165"/>
      <c r="M55" s="1574">
        <v>45854</v>
      </c>
      <c r="N55" s="1574"/>
      <c r="O55" s="1574" t="s">
        <v>566</v>
      </c>
      <c r="P55" s="1574"/>
      <c r="Q55" s="1165"/>
      <c r="R55" s="1574">
        <v>45855</v>
      </c>
      <c r="S55" s="1574"/>
      <c r="T55" s="1574" t="s">
        <v>567</v>
      </c>
      <c r="U55" s="1574"/>
      <c r="V55" s="1165"/>
      <c r="W55" s="1574">
        <v>45856</v>
      </c>
      <c r="X55" s="1574"/>
      <c r="Y55" s="1574" t="s">
        <v>568</v>
      </c>
      <c r="Z55" s="1574"/>
      <c r="AA55" s="1575" t="s">
        <v>19</v>
      </c>
      <c r="AB55" s="1575" t="s">
        <v>20</v>
      </c>
      <c r="AC55" s="1166"/>
      <c r="AD55" s="1574">
        <v>45857</v>
      </c>
      <c r="AE55" s="1574"/>
      <c r="AF55" s="1231" t="s">
        <v>569</v>
      </c>
      <c r="AG55" s="1166"/>
      <c r="AH55" s="1574">
        <v>45858</v>
      </c>
      <c r="AI55" s="1574"/>
      <c r="AJ55" s="1231" t="s">
        <v>570</v>
      </c>
      <c r="AK55" s="1575" t="s">
        <v>1420</v>
      </c>
      <c r="AL55" s="1166"/>
      <c r="AM55" s="1168"/>
      <c r="AO55" s="1170" t="s">
        <v>84</v>
      </c>
      <c r="AP55" s="1171"/>
      <c r="AQ55" s="1171"/>
      <c r="AR55" s="1171"/>
      <c r="AS55" s="1171"/>
      <c r="AT55" s="1171"/>
    </row>
    <row r="56" spans="1:53" s="1169" customFormat="1">
      <c r="A56" s="1164"/>
      <c r="B56" s="1608"/>
      <c r="C56" s="1172" t="s">
        <v>23</v>
      </c>
      <c r="D56" s="1172" t="s">
        <v>24</v>
      </c>
      <c r="E56" s="1173" t="s">
        <v>25</v>
      </c>
      <c r="F56" s="1174" t="s">
        <v>14</v>
      </c>
      <c r="G56" s="1166"/>
      <c r="H56" s="1172" t="s">
        <v>23</v>
      </c>
      <c r="I56" s="1172" t="s">
        <v>24</v>
      </c>
      <c r="J56" s="1174" t="s">
        <v>25</v>
      </c>
      <c r="K56" s="1174" t="s">
        <v>14</v>
      </c>
      <c r="L56" s="1166"/>
      <c r="M56" s="1172" t="s">
        <v>23</v>
      </c>
      <c r="N56" s="1172" t="s">
        <v>24</v>
      </c>
      <c r="O56" s="1174" t="s">
        <v>25</v>
      </c>
      <c r="P56" s="1174" t="s">
        <v>14</v>
      </c>
      <c r="Q56" s="1166"/>
      <c r="R56" s="1172" t="s">
        <v>23</v>
      </c>
      <c r="S56" s="1172" t="s">
        <v>24</v>
      </c>
      <c r="T56" s="1174" t="s">
        <v>25</v>
      </c>
      <c r="U56" s="1174" t="s">
        <v>14</v>
      </c>
      <c r="V56" s="1166"/>
      <c r="W56" s="1172" t="s">
        <v>23</v>
      </c>
      <c r="X56" s="1172" t="s">
        <v>24</v>
      </c>
      <c r="Y56" s="1174" t="s">
        <v>25</v>
      </c>
      <c r="Z56" s="1174" t="s">
        <v>14</v>
      </c>
      <c r="AA56" s="1575"/>
      <c r="AB56" s="1575"/>
      <c r="AC56" s="1166"/>
      <c r="AD56" s="1172"/>
      <c r="AE56" s="1172"/>
      <c r="AF56" s="1174"/>
      <c r="AG56" s="1166"/>
      <c r="AH56" s="1172"/>
      <c r="AI56" s="1172"/>
      <c r="AJ56" s="1174"/>
      <c r="AK56" s="1575"/>
      <c r="AL56" s="1166"/>
      <c r="AM56" s="1168"/>
      <c r="AO56" s="1175" t="s">
        <v>26</v>
      </c>
      <c r="AP56" s="1176">
        <f>AA67</f>
        <v>179.25</v>
      </c>
      <c r="AQ56" s="1177">
        <v>40.31</v>
      </c>
      <c r="AR56" s="1177">
        <f t="shared" ref="AR56:AR61" si="10">AP56*AQ56</f>
        <v>7225.5675000000001</v>
      </c>
      <c r="AS56" s="1178"/>
      <c r="AT56" s="1178"/>
    </row>
    <row r="57" spans="1:53" s="1169" customFormat="1" ht="13.5" customHeight="1">
      <c r="A57" s="1164"/>
      <c r="B57" s="1166" t="s">
        <v>1064</v>
      </c>
      <c r="C57" s="1206">
        <v>0.47916666666666669</v>
      </c>
      <c r="D57" s="1206">
        <v>0.22916666666666666</v>
      </c>
      <c r="E57" s="1207">
        <v>6</v>
      </c>
      <c r="F57" s="1201"/>
      <c r="G57" s="1166"/>
      <c r="H57" s="1206"/>
      <c r="I57" s="1206"/>
      <c r="J57" s="1207"/>
      <c r="K57" s="1201"/>
      <c r="L57" s="1166"/>
      <c r="M57" s="1206">
        <v>0.52083333333333337</v>
      </c>
      <c r="N57" s="1206">
        <v>0.41666666666666669</v>
      </c>
      <c r="O57" s="1207">
        <v>8</v>
      </c>
      <c r="P57" s="1201"/>
      <c r="Q57" s="1166"/>
      <c r="R57" s="1206">
        <v>0.125</v>
      </c>
      <c r="S57" s="1206">
        <v>0.375</v>
      </c>
      <c r="T57" s="1207">
        <v>6</v>
      </c>
      <c r="U57" s="1201"/>
      <c r="V57" s="1166"/>
      <c r="W57" s="1206">
        <v>0.51041666666666663</v>
      </c>
      <c r="X57" s="1206">
        <v>0.25</v>
      </c>
      <c r="Y57" s="1207">
        <v>5.75</v>
      </c>
      <c r="Z57" s="1201"/>
      <c r="AA57" s="1203">
        <f t="shared" ref="AA57:AA64" si="11">(E57+J57+O57+T57+Y57)</f>
        <v>25.75</v>
      </c>
      <c r="AB57" s="1225">
        <f t="shared" ref="AB57:AB65" si="12">Z57+U57+P57+K57+F57</f>
        <v>0</v>
      </c>
      <c r="AC57" s="1166"/>
      <c r="AD57" s="1206">
        <v>0.5</v>
      </c>
      <c r="AE57" s="1206">
        <v>0.27083333333333331</v>
      </c>
      <c r="AF57" s="1207">
        <v>6.5</v>
      </c>
      <c r="AG57" s="1166"/>
      <c r="AH57" s="1206">
        <v>0.52083333333333337</v>
      </c>
      <c r="AI57" s="1206">
        <v>0.27083333333333331</v>
      </c>
      <c r="AJ57" s="1207">
        <v>6</v>
      </c>
      <c r="AK57" s="1203">
        <f t="shared" ref="AK57:AK66" si="13">AJ57+AF57</f>
        <v>12.5</v>
      </c>
      <c r="AL57" s="1166"/>
      <c r="AM57" s="1168"/>
      <c r="AO57" s="1175" t="s">
        <v>30</v>
      </c>
      <c r="AP57" s="1176">
        <f>AB67</f>
        <v>4.25</v>
      </c>
      <c r="AQ57" s="1177">
        <v>60.465000000000003</v>
      </c>
      <c r="AR57" s="1177">
        <f t="shared" si="10"/>
        <v>256.97624999999999</v>
      </c>
      <c r="AS57" s="1178"/>
      <c r="AT57" s="1178"/>
    </row>
    <row r="58" spans="1:53" s="1169" customFormat="1">
      <c r="A58" s="1164"/>
      <c r="B58" s="1206" t="s">
        <v>1441</v>
      </c>
      <c r="C58" s="1206">
        <v>0.52083333333333337</v>
      </c>
      <c r="D58" s="1206">
        <v>0.27083333333333331</v>
      </c>
      <c r="E58" s="1207">
        <v>6</v>
      </c>
      <c r="F58" s="1201"/>
      <c r="G58" s="1166"/>
      <c r="H58" s="1206">
        <v>0.5</v>
      </c>
      <c r="I58" s="1206">
        <v>0.25</v>
      </c>
      <c r="J58" s="1207">
        <v>6</v>
      </c>
      <c r="K58" s="1201"/>
      <c r="L58" s="1166"/>
      <c r="M58" s="1206">
        <v>0.5</v>
      </c>
      <c r="N58" s="1206">
        <v>0.25</v>
      </c>
      <c r="O58" s="1207">
        <v>6</v>
      </c>
      <c r="P58" s="1201"/>
      <c r="Q58" s="1166"/>
      <c r="R58" s="1206"/>
      <c r="S58" s="1206"/>
      <c r="T58" s="1207"/>
      <c r="U58" s="1201"/>
      <c r="V58" s="1166"/>
      <c r="W58" s="1206"/>
      <c r="X58" s="1206"/>
      <c r="Y58" s="1207"/>
      <c r="Z58" s="1201"/>
      <c r="AA58" s="1203">
        <f t="shared" si="11"/>
        <v>18</v>
      </c>
      <c r="AB58" s="1225">
        <f t="shared" si="12"/>
        <v>0</v>
      </c>
      <c r="AC58" s="1166"/>
      <c r="AD58" s="1206"/>
      <c r="AE58" s="1206"/>
      <c r="AF58" s="1207"/>
      <c r="AG58" s="1166"/>
      <c r="AH58" s="1206"/>
      <c r="AI58" s="1206"/>
      <c r="AJ58" s="1207"/>
      <c r="AK58" s="1203">
        <f t="shared" si="13"/>
        <v>0</v>
      </c>
      <c r="AL58" s="1166"/>
      <c r="AM58" s="1168"/>
      <c r="AO58" s="1175" t="s">
        <v>32</v>
      </c>
      <c r="AP58" s="1176">
        <f>AK67</f>
        <v>49</v>
      </c>
      <c r="AQ58" s="1177">
        <v>60.465000000000003</v>
      </c>
      <c r="AR58" s="1177">
        <f t="shared" si="10"/>
        <v>2962.7850000000003</v>
      </c>
      <c r="AS58" s="1178"/>
      <c r="AT58" s="1178"/>
    </row>
    <row r="59" spans="1:53" s="1178" customFormat="1">
      <c r="A59" s="1164"/>
      <c r="B59" s="1206" t="s">
        <v>1444</v>
      </c>
      <c r="C59" s="1206"/>
      <c r="D59" s="1206"/>
      <c r="E59" s="1207"/>
      <c r="F59" s="1201"/>
      <c r="G59" s="1166"/>
      <c r="H59" s="1206"/>
      <c r="I59" s="1206"/>
      <c r="J59" s="1207"/>
      <c r="K59" s="1201"/>
      <c r="L59" s="1166"/>
      <c r="M59" s="1206"/>
      <c r="N59" s="1206"/>
      <c r="O59" s="1207"/>
      <c r="P59" s="1201"/>
      <c r="Q59" s="1166"/>
      <c r="R59" s="1206"/>
      <c r="S59" s="1206"/>
      <c r="T59" s="1207"/>
      <c r="U59" s="1201"/>
      <c r="V59" s="1166"/>
      <c r="W59" s="1206"/>
      <c r="X59" s="1206"/>
      <c r="Y59" s="1207"/>
      <c r="Z59" s="1201"/>
      <c r="AA59" s="1203">
        <f t="shared" si="11"/>
        <v>0</v>
      </c>
      <c r="AB59" s="1225">
        <f t="shared" si="12"/>
        <v>0</v>
      </c>
      <c r="AC59" s="1166"/>
      <c r="AD59" s="1206"/>
      <c r="AE59" s="1206"/>
      <c r="AF59" s="1207"/>
      <c r="AG59" s="1166"/>
      <c r="AH59" s="1206"/>
      <c r="AI59" s="1206"/>
      <c r="AJ59" s="1207"/>
      <c r="AK59" s="1203">
        <f t="shared" si="13"/>
        <v>0</v>
      </c>
      <c r="AL59" s="1166"/>
      <c r="AM59" s="1168"/>
      <c r="AN59" s="1169"/>
      <c r="AO59" s="1175" t="s">
        <v>213</v>
      </c>
      <c r="AP59" s="1176">
        <f>AA68</f>
        <v>24</v>
      </c>
      <c r="AQ59" s="1177">
        <v>53.05</v>
      </c>
      <c r="AR59" s="1177">
        <f t="shared" si="10"/>
        <v>1273.1999999999998</v>
      </c>
      <c r="AU59" s="1169"/>
      <c r="AV59" s="1169"/>
      <c r="AW59" s="1169"/>
      <c r="AX59" s="1169"/>
      <c r="AY59" s="1169"/>
      <c r="AZ59" s="1169"/>
      <c r="BA59" s="1169"/>
    </row>
    <row r="60" spans="1:53" s="1178" customFormat="1">
      <c r="A60" s="1164"/>
      <c r="B60" s="1210" t="s">
        <v>1447</v>
      </c>
      <c r="C60" s="1206">
        <v>0.5</v>
      </c>
      <c r="D60" s="1206">
        <v>0.41666666666666669</v>
      </c>
      <c r="E60" s="1207">
        <v>8</v>
      </c>
      <c r="F60" s="1201">
        <v>1</v>
      </c>
      <c r="G60" s="1166"/>
      <c r="H60" s="1206">
        <v>6.25E-2</v>
      </c>
      <c r="I60" s="1206">
        <v>0.3125</v>
      </c>
      <c r="J60" s="1207">
        <v>6</v>
      </c>
      <c r="K60" s="1201"/>
      <c r="L60" s="1166"/>
      <c r="M60" s="1206">
        <v>0.16666666666666666</v>
      </c>
      <c r="N60" s="1206">
        <v>0.41666666666666669</v>
      </c>
      <c r="O60" s="1207">
        <v>6</v>
      </c>
      <c r="P60" s="1201"/>
      <c r="Q60" s="1166"/>
      <c r="R60" s="1206">
        <v>0.47916666666666669</v>
      </c>
      <c r="S60" s="1206">
        <v>0.22916666666666666</v>
      </c>
      <c r="T60" s="1207">
        <v>6</v>
      </c>
      <c r="U60" s="1201"/>
      <c r="V60" s="1166"/>
      <c r="W60" s="1206"/>
      <c r="X60" s="1206"/>
      <c r="Y60" s="1207"/>
      <c r="Z60" s="1201"/>
      <c r="AA60" s="1203">
        <f t="shared" si="11"/>
        <v>26</v>
      </c>
      <c r="AB60" s="1225">
        <f t="shared" si="12"/>
        <v>1</v>
      </c>
      <c r="AC60" s="1166"/>
      <c r="AD60" s="1206">
        <v>0.52083333333333337</v>
      </c>
      <c r="AE60" s="1206">
        <v>0.27083333333333331</v>
      </c>
      <c r="AF60" s="1207">
        <v>6</v>
      </c>
      <c r="AG60" s="1166"/>
      <c r="AH60" s="1206">
        <v>0.52083333333333337</v>
      </c>
      <c r="AI60" s="1206">
        <v>0.27083333333333331</v>
      </c>
      <c r="AJ60" s="1207">
        <v>6</v>
      </c>
      <c r="AK60" s="1203">
        <f t="shared" si="13"/>
        <v>12</v>
      </c>
      <c r="AL60" s="1166"/>
      <c r="AM60" s="1168"/>
      <c r="AN60" s="1169"/>
      <c r="AO60" s="1175" t="s">
        <v>36</v>
      </c>
      <c r="AP60" s="1176">
        <f>AB68</f>
        <v>5.5</v>
      </c>
      <c r="AQ60" s="1177">
        <v>79.574999999999989</v>
      </c>
      <c r="AR60" s="1177">
        <f t="shared" si="10"/>
        <v>437.66249999999991</v>
      </c>
      <c r="AU60" s="1169"/>
      <c r="AV60" s="1169"/>
      <c r="AW60" s="1169"/>
      <c r="AX60" s="1169"/>
      <c r="AY60" s="1169"/>
      <c r="AZ60" s="1169"/>
      <c r="BA60" s="1169"/>
    </row>
    <row r="61" spans="1:53" s="1178" customFormat="1">
      <c r="A61" s="1164"/>
      <c r="B61" s="1210" t="s">
        <v>1141</v>
      </c>
      <c r="C61" s="1206">
        <v>0.5</v>
      </c>
      <c r="D61" s="1206">
        <v>0.25</v>
      </c>
      <c r="E61" s="1207">
        <v>6</v>
      </c>
      <c r="F61" s="1201"/>
      <c r="G61" s="1166"/>
      <c r="H61" s="1206">
        <v>0.5</v>
      </c>
      <c r="I61" s="1206">
        <v>0.25</v>
      </c>
      <c r="J61" s="1207">
        <v>6</v>
      </c>
      <c r="K61" s="1201"/>
      <c r="L61" s="1166"/>
      <c r="M61" s="1206">
        <v>6.25E-2</v>
      </c>
      <c r="N61" s="1206">
        <v>0.4375</v>
      </c>
      <c r="O61" s="1207">
        <v>8</v>
      </c>
      <c r="P61" s="1201"/>
      <c r="Q61" s="1166"/>
      <c r="R61" s="1206">
        <v>0.4375</v>
      </c>
      <c r="S61" s="1206">
        <v>0.40625</v>
      </c>
      <c r="T61" s="1207">
        <v>8</v>
      </c>
      <c r="U61" s="1201">
        <v>1.25</v>
      </c>
      <c r="V61" s="1166"/>
      <c r="W61" s="1206">
        <v>0.5</v>
      </c>
      <c r="X61" s="1206">
        <v>0.25</v>
      </c>
      <c r="Y61" s="1207">
        <v>6</v>
      </c>
      <c r="Z61" s="1201"/>
      <c r="AA61" s="1203">
        <f>(E61+J61+O61+T61+Y61)</f>
        <v>34</v>
      </c>
      <c r="AB61" s="1225">
        <f t="shared" si="12"/>
        <v>1.25</v>
      </c>
      <c r="AC61" s="1166"/>
      <c r="AD61" s="1206">
        <v>4.1666666666666664E-2</v>
      </c>
      <c r="AE61" s="1206">
        <v>0.29166666666666669</v>
      </c>
      <c r="AF61" s="1207">
        <v>6</v>
      </c>
      <c r="AG61" s="1166"/>
      <c r="AH61" s="1206"/>
      <c r="AI61" s="1206"/>
      <c r="AJ61" s="1207"/>
      <c r="AK61" s="1203">
        <f t="shared" si="13"/>
        <v>6</v>
      </c>
      <c r="AL61" s="1166"/>
      <c r="AM61" s="1168"/>
      <c r="AN61" s="1169"/>
      <c r="AO61" s="1175" t="s">
        <v>38</v>
      </c>
      <c r="AP61" s="1176">
        <f>AK68</f>
        <v>9</v>
      </c>
      <c r="AQ61" s="1177">
        <v>79.574999999999989</v>
      </c>
      <c r="AR61" s="1177">
        <f t="shared" si="10"/>
        <v>716.17499999999995</v>
      </c>
      <c r="AU61" s="1169"/>
      <c r="AV61" s="1169"/>
      <c r="AW61" s="1169"/>
      <c r="AX61" s="1169"/>
      <c r="AY61" s="1169"/>
      <c r="AZ61" s="1169"/>
      <c r="BA61" s="1169"/>
    </row>
    <row r="62" spans="1:53" s="1178" customFormat="1">
      <c r="A62" s="1164"/>
      <c r="B62" s="1210" t="s">
        <v>1140</v>
      </c>
      <c r="C62" s="1206">
        <v>0.45833333333333331</v>
      </c>
      <c r="D62" s="1206">
        <v>0.20833333333333334</v>
      </c>
      <c r="E62" s="1207">
        <v>6</v>
      </c>
      <c r="F62" s="1201"/>
      <c r="G62" s="1166"/>
      <c r="H62" s="1206">
        <v>0.125</v>
      </c>
      <c r="I62" s="1206">
        <v>0.375</v>
      </c>
      <c r="J62" s="1207">
        <v>6</v>
      </c>
      <c r="K62" s="1201"/>
      <c r="L62" s="1166"/>
      <c r="M62" s="1206"/>
      <c r="N62" s="1206"/>
      <c r="O62" s="1207"/>
      <c r="P62" s="1201"/>
      <c r="Q62" s="1166"/>
      <c r="R62" s="1206">
        <v>0.16666666666666666</v>
      </c>
      <c r="S62" s="1206">
        <v>0.41666666666666669</v>
      </c>
      <c r="T62" s="1207">
        <v>6</v>
      </c>
      <c r="U62" s="1201"/>
      <c r="V62" s="1166"/>
      <c r="W62" s="1206">
        <v>0.47916666666666669</v>
      </c>
      <c r="X62" s="1206">
        <v>0.4375</v>
      </c>
      <c r="Y62" s="1207">
        <v>8</v>
      </c>
      <c r="Z62" s="1201">
        <v>2</v>
      </c>
      <c r="AA62" s="1203">
        <f t="shared" si="11"/>
        <v>26</v>
      </c>
      <c r="AB62" s="1225">
        <f t="shared" si="12"/>
        <v>2</v>
      </c>
      <c r="AC62" s="1166"/>
      <c r="AD62" s="1206"/>
      <c r="AE62" s="1206"/>
      <c r="AF62" s="1207"/>
      <c r="AG62" s="1166"/>
      <c r="AH62" s="1206"/>
      <c r="AI62" s="1206"/>
      <c r="AJ62" s="1207"/>
      <c r="AK62" s="1203">
        <f t="shared" si="13"/>
        <v>0</v>
      </c>
      <c r="AL62" s="1166"/>
      <c r="AM62" s="1168"/>
      <c r="AN62" s="1169"/>
      <c r="AP62" s="1176"/>
      <c r="AR62" s="1227">
        <f>SUM(AR56:AR61)</f>
        <v>12872.366250000001</v>
      </c>
      <c r="AU62" s="1169"/>
      <c r="AV62" s="1169"/>
      <c r="AW62" s="1169"/>
      <c r="AX62" s="1169"/>
      <c r="AY62" s="1169"/>
      <c r="AZ62" s="1169"/>
      <c r="BA62" s="1169"/>
    </row>
    <row r="63" spans="1:53" s="1178" customFormat="1">
      <c r="A63" s="1164"/>
      <c r="B63" s="1210" t="s">
        <v>53</v>
      </c>
      <c r="C63" s="1206">
        <v>0.10416666666666667</v>
      </c>
      <c r="D63" s="1206">
        <v>0.33333333333333331</v>
      </c>
      <c r="E63" s="1207">
        <v>5.5</v>
      </c>
      <c r="F63" s="1201"/>
      <c r="G63" s="1166"/>
      <c r="H63" s="1206"/>
      <c r="I63" s="1206"/>
      <c r="J63" s="1207"/>
      <c r="K63" s="1201"/>
      <c r="L63" s="1166"/>
      <c r="M63" s="1206">
        <v>0.16666666666666666</v>
      </c>
      <c r="N63" s="1206">
        <v>0.41666666666666669</v>
      </c>
      <c r="O63" s="1207">
        <v>6</v>
      </c>
      <c r="P63" s="1201"/>
      <c r="Q63" s="1166"/>
      <c r="R63" s="1206">
        <v>4.1666666666666664E-2</v>
      </c>
      <c r="S63" s="1206">
        <v>0.29166666666666669</v>
      </c>
      <c r="T63" s="1207">
        <v>6</v>
      </c>
      <c r="U63" s="1201"/>
      <c r="V63" s="1166"/>
      <c r="W63" s="1206"/>
      <c r="X63" s="1206"/>
      <c r="Y63" s="1207"/>
      <c r="Z63" s="1201"/>
      <c r="AA63" s="1203">
        <f t="shared" si="11"/>
        <v>17.5</v>
      </c>
      <c r="AB63" s="1225">
        <f t="shared" si="12"/>
        <v>0</v>
      </c>
      <c r="AC63" s="1166"/>
      <c r="AD63" s="1206">
        <v>4.1666666666666664E-2</v>
      </c>
      <c r="AE63" s="1206">
        <v>0.3125</v>
      </c>
      <c r="AF63" s="1207">
        <v>6.5</v>
      </c>
      <c r="AG63" s="1166"/>
      <c r="AH63" s="1206">
        <v>0.52083333333333337</v>
      </c>
      <c r="AI63" s="1206">
        <v>0.27083333333333331</v>
      </c>
      <c r="AJ63" s="1207">
        <v>6</v>
      </c>
      <c r="AK63" s="1203">
        <f t="shared" si="13"/>
        <v>12.5</v>
      </c>
      <c r="AL63" s="1166"/>
      <c r="AM63" s="1168"/>
      <c r="AN63" s="1169"/>
      <c r="AP63" s="1176"/>
      <c r="AU63" s="1169"/>
      <c r="AV63" s="1169"/>
      <c r="AW63" s="1169"/>
      <c r="AX63" s="1169"/>
      <c r="AY63" s="1169"/>
      <c r="AZ63" s="1169"/>
      <c r="BA63" s="1169"/>
    </row>
    <row r="64" spans="1:53" s="1178" customFormat="1">
      <c r="A64" s="1164"/>
      <c r="B64" s="1210" t="s">
        <v>1455</v>
      </c>
      <c r="C64" s="1206">
        <v>0.5</v>
      </c>
      <c r="D64" s="1206">
        <v>0.25</v>
      </c>
      <c r="E64" s="1207">
        <v>6</v>
      </c>
      <c r="F64" s="1201"/>
      <c r="G64" s="1166"/>
      <c r="H64" s="1206">
        <v>0.5</v>
      </c>
      <c r="I64" s="1206">
        <v>0.25</v>
      </c>
      <c r="J64" s="1207">
        <v>6</v>
      </c>
      <c r="K64" s="1201"/>
      <c r="L64" s="1166"/>
      <c r="M64" s="1206">
        <v>0.5</v>
      </c>
      <c r="N64" s="1206">
        <v>0.41666666666666669</v>
      </c>
      <c r="O64" s="1207">
        <v>8</v>
      </c>
      <c r="P64" s="1201"/>
      <c r="Q64" s="1166"/>
      <c r="R64" s="1206">
        <v>0.5</v>
      </c>
      <c r="S64" s="1206">
        <v>0.25</v>
      </c>
      <c r="T64" s="1207">
        <v>6</v>
      </c>
      <c r="U64" s="1201"/>
      <c r="V64" s="1166"/>
      <c r="W64" s="1206">
        <v>0.5</v>
      </c>
      <c r="X64" s="1206">
        <v>0.25</v>
      </c>
      <c r="Y64" s="1207">
        <v>6</v>
      </c>
      <c r="Z64" s="1201"/>
      <c r="AA64" s="1203">
        <f t="shared" si="11"/>
        <v>32</v>
      </c>
      <c r="AB64" s="1225">
        <f t="shared" si="12"/>
        <v>0</v>
      </c>
      <c r="AC64" s="1166"/>
      <c r="AD64" s="1206">
        <v>0.5</v>
      </c>
      <c r="AE64" s="1206">
        <v>0.25</v>
      </c>
      <c r="AF64" s="1207">
        <v>6</v>
      </c>
      <c r="AG64" s="1166"/>
      <c r="AH64" s="1206"/>
      <c r="AI64" s="1206"/>
      <c r="AJ64" s="1207"/>
      <c r="AK64" s="1203">
        <f t="shared" si="13"/>
        <v>6</v>
      </c>
      <c r="AL64" s="1166"/>
      <c r="AM64" s="1168"/>
      <c r="AN64" s="1169"/>
      <c r="AO64" s="1228" t="s">
        <v>1115</v>
      </c>
      <c r="AP64" s="1176">
        <f>C70</f>
        <v>39</v>
      </c>
      <c r="AU64" s="1169"/>
      <c r="AV64" s="1169"/>
      <c r="AW64" s="1169"/>
      <c r="AX64" s="1169"/>
      <c r="AY64" s="1169"/>
      <c r="AZ64" s="1169"/>
      <c r="BA64" s="1169"/>
    </row>
    <row r="65" spans="1:53" s="1178" customFormat="1">
      <c r="A65" s="1164"/>
      <c r="B65" s="1210" t="s">
        <v>1456</v>
      </c>
      <c r="C65" s="1206"/>
      <c r="D65" s="1206"/>
      <c r="E65" s="1207"/>
      <c r="F65" s="1201"/>
      <c r="G65" s="1166"/>
      <c r="H65" s="1206"/>
      <c r="I65" s="1206"/>
      <c r="J65" s="1207"/>
      <c r="K65" s="1201"/>
      <c r="L65" s="1166"/>
      <c r="M65" s="1206"/>
      <c r="N65" s="1206"/>
      <c r="O65" s="1207"/>
      <c r="P65" s="1201"/>
      <c r="Q65" s="1166"/>
      <c r="R65" s="1206"/>
      <c r="S65" s="1206"/>
      <c r="T65" s="1207"/>
      <c r="U65" s="1201"/>
      <c r="V65" s="1166"/>
      <c r="W65" s="1206"/>
      <c r="X65" s="1206"/>
      <c r="Y65" s="1207"/>
      <c r="Z65" s="1201"/>
      <c r="AA65" s="1203">
        <f>(E65+J65+O65+T65+Y65)</f>
        <v>0</v>
      </c>
      <c r="AB65" s="1225">
        <f t="shared" si="12"/>
        <v>0</v>
      </c>
      <c r="AC65" s="1166"/>
      <c r="AD65" s="1206"/>
      <c r="AE65" s="1206"/>
      <c r="AF65" s="1207"/>
      <c r="AG65" s="1166"/>
      <c r="AH65" s="1206"/>
      <c r="AI65" s="1206"/>
      <c r="AJ65" s="1207"/>
      <c r="AK65" s="1203">
        <f t="shared" si="13"/>
        <v>0</v>
      </c>
      <c r="AL65" s="1166"/>
      <c r="AM65" s="1168"/>
      <c r="AN65" s="1169"/>
      <c r="AO65" s="1228"/>
      <c r="AP65" s="1176"/>
      <c r="AU65" s="1169"/>
      <c r="AV65" s="1169"/>
      <c r="AW65" s="1169"/>
      <c r="AX65" s="1169"/>
      <c r="AY65" s="1169"/>
      <c r="AZ65" s="1169"/>
      <c r="BA65" s="1169"/>
    </row>
    <row r="66" spans="1:53" s="1178" customFormat="1">
      <c r="A66" s="1164"/>
      <c r="B66" s="1193" t="s">
        <v>1143</v>
      </c>
      <c r="C66" s="1206"/>
      <c r="D66" s="1206"/>
      <c r="E66" s="1207"/>
      <c r="F66" s="1201"/>
      <c r="G66" s="1166"/>
      <c r="H66" s="1206"/>
      <c r="I66" s="1206"/>
      <c r="J66" s="1207"/>
      <c r="K66" s="1201"/>
      <c r="L66" s="1166"/>
      <c r="M66" s="1206"/>
      <c r="N66" s="1206"/>
      <c r="O66" s="1207"/>
      <c r="P66" s="1201"/>
      <c r="Q66" s="1166"/>
      <c r="R66" s="1206"/>
      <c r="S66" s="1206"/>
      <c r="T66" s="1207"/>
      <c r="U66" s="1201"/>
      <c r="V66" s="1166"/>
      <c r="W66" s="1206"/>
      <c r="X66" s="1206"/>
      <c r="Y66" s="1207"/>
      <c r="Z66" s="1201"/>
      <c r="AA66" s="1203">
        <f>(E66+J66+O66+T66+Y66)</f>
        <v>0</v>
      </c>
      <c r="AB66" s="1225">
        <f t="shared" ref="AB66" si="14">Z66+U66+P66+K66+F66</f>
        <v>0</v>
      </c>
      <c r="AC66" s="1166"/>
      <c r="AD66" s="1206">
        <v>7.2916666666666671E-2</v>
      </c>
      <c r="AE66" s="1206">
        <v>0.3125</v>
      </c>
      <c r="AF66" s="1207">
        <v>5.75</v>
      </c>
      <c r="AG66" s="1166"/>
      <c r="AH66" s="1206">
        <v>6.25E-2</v>
      </c>
      <c r="AI66" s="1206">
        <v>0.3125</v>
      </c>
      <c r="AJ66" s="1207">
        <v>6</v>
      </c>
      <c r="AK66" s="1203">
        <f t="shared" si="13"/>
        <v>11.75</v>
      </c>
      <c r="AL66" s="1166"/>
      <c r="AM66" s="1168"/>
      <c r="AN66" s="1169"/>
      <c r="AO66" s="1228"/>
      <c r="AP66" s="1176"/>
      <c r="AU66" s="1169"/>
      <c r="AV66" s="1169"/>
      <c r="AW66" s="1169"/>
      <c r="AX66" s="1169"/>
      <c r="AY66" s="1169"/>
      <c r="AZ66" s="1169"/>
      <c r="BA66" s="1169"/>
    </row>
    <row r="67" spans="1:53" s="1169" customFormat="1">
      <c r="A67" s="1164"/>
      <c r="B67" s="1199" t="s">
        <v>61</v>
      </c>
      <c r="C67" s="1199"/>
      <c r="D67" s="1199"/>
      <c r="E67" s="1200"/>
      <c r="F67" s="1201"/>
      <c r="G67" s="1199"/>
      <c r="H67" s="1199"/>
      <c r="I67" s="1199"/>
      <c r="J67" s="1200"/>
      <c r="K67" s="1201"/>
      <c r="L67" s="1199"/>
      <c r="M67" s="1199"/>
      <c r="N67" s="1199"/>
      <c r="O67" s="1200"/>
      <c r="P67" s="1201"/>
      <c r="Q67" s="1199"/>
      <c r="R67" s="1199"/>
      <c r="S67" s="1199"/>
      <c r="T67" s="1200"/>
      <c r="U67" s="1201"/>
      <c r="V67" s="1199"/>
      <c r="W67" s="1199"/>
      <c r="X67" s="1199"/>
      <c r="Y67" s="1200"/>
      <c r="Z67" s="1201"/>
      <c r="AA67" s="1202">
        <f>SUM(AA57:AA64)</f>
        <v>179.25</v>
      </c>
      <c r="AB67" s="1229">
        <f>SUM(AB57:AB64)</f>
        <v>4.25</v>
      </c>
      <c r="AC67" s="1166"/>
      <c r="AD67" s="1199"/>
      <c r="AE67" s="1199"/>
      <c r="AF67" s="1203">
        <f>SUM(AF57:AF66)</f>
        <v>36.75</v>
      </c>
      <c r="AG67" s="1166"/>
      <c r="AH67" s="1199"/>
      <c r="AI67" s="1199"/>
      <c r="AJ67" s="1203">
        <f>SUM(AJ57:AJ64)</f>
        <v>18</v>
      </c>
      <c r="AK67" s="1229">
        <f>SUM(AK57:AK64)</f>
        <v>49</v>
      </c>
      <c r="AL67" s="1166"/>
      <c r="AM67" s="1168"/>
      <c r="AO67" s="1204"/>
      <c r="AP67" s="1178"/>
      <c r="AQ67" s="1178"/>
      <c r="AR67" s="1178"/>
      <c r="AS67" s="1178"/>
      <c r="AT67" s="1178"/>
    </row>
    <row r="68" spans="1:53" s="1169" customFormat="1">
      <c r="A68" s="1164"/>
      <c r="B68" s="1230" t="s">
        <v>64</v>
      </c>
      <c r="C68" s="1206"/>
      <c r="D68" s="1206"/>
      <c r="E68" s="1207">
        <v>7</v>
      </c>
      <c r="F68" s="1207">
        <v>1</v>
      </c>
      <c r="G68" s="1208"/>
      <c r="H68" s="1206"/>
      <c r="I68" s="1206"/>
      <c r="J68" s="1207">
        <v>5</v>
      </c>
      <c r="K68" s="1207">
        <v>1</v>
      </c>
      <c r="L68" s="1209"/>
      <c r="M68" s="1206"/>
      <c r="N68" s="1206"/>
      <c r="O68" s="1207">
        <v>4</v>
      </c>
      <c r="P68" s="1207">
        <v>1</v>
      </c>
      <c r="Q68" s="1209"/>
      <c r="R68" s="1206"/>
      <c r="S68" s="1206"/>
      <c r="T68" s="1207">
        <v>4</v>
      </c>
      <c r="U68" s="1207">
        <v>1.5</v>
      </c>
      <c r="V68" s="1209"/>
      <c r="W68" s="1206"/>
      <c r="X68" s="1206"/>
      <c r="Y68" s="1207">
        <v>4</v>
      </c>
      <c r="Z68" s="1207">
        <v>1</v>
      </c>
      <c r="AA68" s="1203">
        <f>SUM(E68+J68+O68+T68+Y68)</f>
        <v>24</v>
      </c>
      <c r="AB68" s="1173">
        <f>Z68+U68+P68+K68+F68</f>
        <v>5.5</v>
      </c>
      <c r="AC68" s="1166"/>
      <c r="AD68" s="1206"/>
      <c r="AE68" s="1206"/>
      <c r="AF68" s="1207">
        <v>6</v>
      </c>
      <c r="AG68" s="1166"/>
      <c r="AH68" s="1206"/>
      <c r="AI68" s="1206"/>
      <c r="AJ68" s="1207">
        <v>3</v>
      </c>
      <c r="AK68" s="1203">
        <f>AJ68+AF68</f>
        <v>9</v>
      </c>
      <c r="AL68" s="1166"/>
      <c r="AM68" s="1168"/>
      <c r="AO68" s="1204"/>
      <c r="AP68" s="1178"/>
      <c r="AQ68" s="1178"/>
      <c r="AR68" s="1178"/>
      <c r="AS68" s="1178"/>
      <c r="AT68" s="1178"/>
    </row>
    <row r="69" spans="1:53" s="1169" customFormat="1">
      <c r="A69" s="1164"/>
      <c r="B69" s="1208" t="s">
        <v>66</v>
      </c>
      <c r="C69" s="1210"/>
      <c r="D69" s="1210"/>
      <c r="E69" s="1208"/>
      <c r="F69" s="1208"/>
      <c r="G69" s="1208"/>
      <c r="H69" s="1208"/>
      <c r="I69" s="1208"/>
      <c r="J69" s="1208"/>
      <c r="K69" s="1208"/>
      <c r="L69" s="1208"/>
      <c r="M69" s="1208"/>
      <c r="N69" s="1208"/>
      <c r="O69" s="1208"/>
      <c r="P69" s="1208"/>
      <c r="Q69" s="1208"/>
      <c r="R69" s="1208"/>
      <c r="S69" s="1208"/>
      <c r="T69" s="1208"/>
      <c r="U69" s="1208"/>
      <c r="V69" s="1208"/>
      <c r="W69" s="1208"/>
      <c r="X69" s="1208"/>
      <c r="Y69" s="1208"/>
      <c r="Z69" s="1208"/>
      <c r="AA69" s="1211">
        <f>SUM(AA68:AA68)</f>
        <v>24</v>
      </c>
      <c r="AB69" s="1229">
        <f>SUM(AB68:AB68)</f>
        <v>5.5</v>
      </c>
      <c r="AC69" s="1166"/>
      <c r="AG69" s="1166"/>
      <c r="AK69" s="1229">
        <f>SUM(AK68:AK68)</f>
        <v>9</v>
      </c>
      <c r="AL69" s="1166"/>
      <c r="AM69" s="1168"/>
      <c r="AO69" s="1204"/>
      <c r="AP69" s="1178"/>
      <c r="AQ69" s="1178"/>
      <c r="AR69" s="1178"/>
      <c r="AS69" s="1178"/>
      <c r="AT69" s="1178"/>
    </row>
    <row r="70" spans="1:53" s="1169" customFormat="1">
      <c r="A70" s="1164"/>
      <c r="B70" s="1212" t="s">
        <v>67</v>
      </c>
      <c r="C70" s="1213">
        <f>7+6+6+6+4+6+4</f>
        <v>39</v>
      </c>
      <c r="D70" s="1214"/>
      <c r="E70" s="1215"/>
      <c r="F70" s="1215"/>
      <c r="G70" s="1214"/>
      <c r="H70" s="1215"/>
      <c r="I70" s="1215"/>
      <c r="J70" s="1215"/>
      <c r="K70" s="1215"/>
      <c r="L70" s="1214"/>
      <c r="M70" s="1214"/>
      <c r="N70" s="1214"/>
      <c r="O70" s="1214"/>
      <c r="P70" s="1215"/>
      <c r="Q70" s="1214"/>
      <c r="R70" s="1214"/>
      <c r="S70" s="1214"/>
      <c r="T70" s="1214"/>
      <c r="U70" s="1215"/>
      <c r="V70" s="1214"/>
      <c r="W70" s="1214"/>
      <c r="X70" s="1214"/>
      <c r="Y70" s="1216"/>
      <c r="Z70" s="1215"/>
      <c r="AA70" s="1217"/>
      <c r="AB70" s="1215"/>
      <c r="AC70" s="1217"/>
      <c r="AD70" s="1217"/>
      <c r="AE70" s="1217"/>
      <c r="AF70" s="1217"/>
      <c r="AG70" s="1166"/>
      <c r="AH70" s="1217"/>
      <c r="AI70" s="1217"/>
      <c r="AJ70" s="1217"/>
      <c r="AK70" s="1217"/>
      <c r="AL70" s="1166"/>
      <c r="AM70" s="1168"/>
      <c r="AO70" s="1178"/>
      <c r="AP70" s="1178"/>
      <c r="AQ70" s="1178"/>
      <c r="AR70" s="1178"/>
      <c r="AS70" s="1178"/>
      <c r="AT70" s="1178"/>
    </row>
    <row r="71" spans="1:53" s="1169" customFormat="1">
      <c r="A71" s="1164"/>
      <c r="E71" s="1166"/>
      <c r="F71" s="1166"/>
      <c r="G71" s="1166"/>
      <c r="J71" s="1166"/>
      <c r="K71" s="1166"/>
      <c r="L71" s="1166"/>
      <c r="O71" s="1166"/>
      <c r="P71" s="1166"/>
      <c r="Q71" s="1166"/>
      <c r="T71" s="1166"/>
      <c r="U71" s="1166"/>
      <c r="V71" s="1166"/>
      <c r="Y71" s="1166"/>
      <c r="Z71" s="1166"/>
      <c r="AA71" s="1166"/>
      <c r="AB71" s="1166"/>
      <c r="AC71" s="1166"/>
      <c r="AG71" s="1166"/>
      <c r="AL71" s="1166"/>
      <c r="AM71" s="1168"/>
      <c r="AO71" s="1178"/>
      <c r="AP71" s="1178"/>
      <c r="AQ71" s="1178"/>
      <c r="AR71" s="1178"/>
      <c r="AS71" s="1178"/>
      <c r="AT71" s="1178"/>
    </row>
    <row r="72" spans="1:53" s="1169" customFormat="1">
      <c r="A72" s="1164"/>
      <c r="B72" s="1218"/>
      <c r="C72" s="1219"/>
      <c r="D72" s="1219"/>
      <c r="E72" s="1220"/>
      <c r="F72" s="1220"/>
      <c r="G72" s="1219"/>
      <c r="H72" s="1220"/>
      <c r="I72" s="1220"/>
      <c r="J72" s="1220"/>
      <c r="K72" s="1220"/>
      <c r="L72" s="1219"/>
      <c r="M72" s="1219"/>
      <c r="N72" s="1219"/>
      <c r="O72" s="1219"/>
      <c r="P72" s="1220"/>
      <c r="Q72" s="1219"/>
      <c r="R72" s="1219"/>
      <c r="S72" s="1219"/>
      <c r="T72" s="1219"/>
      <c r="U72" s="1220"/>
      <c r="V72" s="1219"/>
      <c r="W72" s="1219"/>
      <c r="X72" s="1219"/>
      <c r="Y72" s="1221"/>
      <c r="Z72" s="1220"/>
      <c r="AA72" s="1222"/>
      <c r="AB72" s="1220"/>
      <c r="AC72" s="1223"/>
      <c r="AD72" s="1224"/>
      <c r="AE72" s="1168"/>
      <c r="AF72" s="1168"/>
      <c r="AG72" s="1168"/>
      <c r="AH72" s="1224"/>
      <c r="AI72" s="1168"/>
      <c r="AJ72" s="1168"/>
      <c r="AK72" s="1168"/>
      <c r="AL72" s="1168"/>
      <c r="AM72" s="1168"/>
      <c r="AN72" s="1168"/>
      <c r="AO72" s="1168"/>
      <c r="AP72" s="1168"/>
      <c r="AQ72" s="1168"/>
      <c r="AR72" s="1168"/>
      <c r="AS72" s="1168"/>
      <c r="AT72" s="1168"/>
    </row>
    <row r="73" spans="1:53" s="1169" customFormat="1">
      <c r="A73" s="1164"/>
      <c r="E73" s="1166"/>
      <c r="F73" s="1166"/>
      <c r="G73" s="1166"/>
      <c r="J73" s="1166"/>
      <c r="K73" s="1166"/>
      <c r="L73" s="1166"/>
      <c r="O73" s="1166"/>
      <c r="P73" s="1166"/>
      <c r="Q73" s="1166"/>
      <c r="T73" s="1166"/>
      <c r="U73" s="1166"/>
      <c r="V73" s="1166"/>
      <c r="Y73" s="1166"/>
      <c r="Z73" s="1166"/>
      <c r="AA73" s="1166"/>
      <c r="AB73" s="1166"/>
      <c r="AC73" s="1166"/>
      <c r="AG73" s="1166"/>
      <c r="AL73" s="1166"/>
      <c r="AM73" s="1168"/>
      <c r="AO73" s="1178"/>
      <c r="AP73" s="1178"/>
      <c r="AQ73" s="1178"/>
      <c r="AR73" s="1178"/>
      <c r="AS73" s="1178"/>
      <c r="AT73" s="1178"/>
    </row>
    <row r="74" spans="1:53" s="1169" customFormat="1" ht="13.5" customHeight="1">
      <c r="A74" s="1164"/>
      <c r="B74" s="1608" t="s">
        <v>18</v>
      </c>
      <c r="C74" s="1574">
        <v>45859</v>
      </c>
      <c r="D74" s="1574"/>
      <c r="E74" s="1574" t="s">
        <v>564</v>
      </c>
      <c r="F74" s="1574"/>
      <c r="G74" s="1165"/>
      <c r="H74" s="1574">
        <v>45860</v>
      </c>
      <c r="I74" s="1574"/>
      <c r="J74" s="1574" t="s">
        <v>565</v>
      </c>
      <c r="K74" s="1574"/>
      <c r="L74" s="1165"/>
      <c r="M74" s="1574">
        <v>45861</v>
      </c>
      <c r="N74" s="1574"/>
      <c r="O74" s="1574" t="s">
        <v>566</v>
      </c>
      <c r="P74" s="1574"/>
      <c r="Q74" s="1165"/>
      <c r="R74" s="1574">
        <v>45862</v>
      </c>
      <c r="S74" s="1574"/>
      <c r="T74" s="1574" t="s">
        <v>567</v>
      </c>
      <c r="U74" s="1574"/>
      <c r="V74" s="1165"/>
      <c r="W74" s="1574">
        <v>45863</v>
      </c>
      <c r="X74" s="1574"/>
      <c r="Y74" s="1574" t="s">
        <v>568</v>
      </c>
      <c r="Z74" s="1574"/>
      <c r="AA74" s="1575" t="s">
        <v>19</v>
      </c>
      <c r="AB74" s="1575" t="s">
        <v>20</v>
      </c>
      <c r="AC74" s="1166"/>
      <c r="AD74" s="1574">
        <v>45864</v>
      </c>
      <c r="AE74" s="1574"/>
      <c r="AF74" s="1167" t="s">
        <v>569</v>
      </c>
      <c r="AG74" s="1166"/>
      <c r="AH74" s="1574">
        <v>45865</v>
      </c>
      <c r="AI74" s="1574"/>
      <c r="AJ74" s="1231" t="s">
        <v>570</v>
      </c>
      <c r="AK74" s="1575" t="s">
        <v>1420</v>
      </c>
      <c r="AL74" s="1166"/>
      <c r="AM74" s="1168"/>
      <c r="AO74" s="1170" t="s">
        <v>84</v>
      </c>
      <c r="AP74" s="1171"/>
      <c r="AQ74" s="1171"/>
      <c r="AR74" s="1171"/>
      <c r="AS74" s="1171"/>
      <c r="AT74" s="1171"/>
    </row>
    <row r="75" spans="1:53" s="1169" customFormat="1">
      <c r="A75" s="1164"/>
      <c r="B75" s="1608"/>
      <c r="C75" s="1172" t="s">
        <v>23</v>
      </c>
      <c r="D75" s="1172" t="s">
        <v>24</v>
      </c>
      <c r="E75" s="1173" t="s">
        <v>25</v>
      </c>
      <c r="F75" s="1174" t="s">
        <v>14</v>
      </c>
      <c r="G75" s="1166"/>
      <c r="H75" s="1172" t="s">
        <v>23</v>
      </c>
      <c r="I75" s="1172" t="s">
        <v>24</v>
      </c>
      <c r="J75" s="1174" t="s">
        <v>25</v>
      </c>
      <c r="K75" s="1174" t="s">
        <v>14</v>
      </c>
      <c r="L75" s="1166"/>
      <c r="M75" s="1172" t="s">
        <v>23</v>
      </c>
      <c r="N75" s="1172" t="s">
        <v>24</v>
      </c>
      <c r="O75" s="1174" t="s">
        <v>25</v>
      </c>
      <c r="P75" s="1174" t="s">
        <v>14</v>
      </c>
      <c r="Q75" s="1166"/>
      <c r="R75" s="1172" t="s">
        <v>23</v>
      </c>
      <c r="S75" s="1172" t="s">
        <v>24</v>
      </c>
      <c r="T75" s="1174" t="s">
        <v>25</v>
      </c>
      <c r="U75" s="1174" t="s">
        <v>14</v>
      </c>
      <c r="V75" s="1166"/>
      <c r="W75" s="1172" t="s">
        <v>23</v>
      </c>
      <c r="X75" s="1172" t="s">
        <v>24</v>
      </c>
      <c r="Y75" s="1174" t="s">
        <v>25</v>
      </c>
      <c r="Z75" s="1174" t="s">
        <v>14</v>
      </c>
      <c r="AA75" s="1575"/>
      <c r="AB75" s="1575"/>
      <c r="AC75" s="1166"/>
      <c r="AD75" s="1172" t="s">
        <v>23</v>
      </c>
      <c r="AE75" s="1172" t="s">
        <v>24</v>
      </c>
      <c r="AF75" s="1174" t="s">
        <v>25</v>
      </c>
      <c r="AG75" s="1166"/>
      <c r="AH75" s="1172" t="s">
        <v>23</v>
      </c>
      <c r="AI75" s="1172" t="s">
        <v>24</v>
      </c>
      <c r="AJ75" s="1174" t="s">
        <v>25</v>
      </c>
      <c r="AK75" s="1575"/>
      <c r="AL75" s="1166"/>
      <c r="AM75" s="1168"/>
      <c r="AO75" s="1175" t="s">
        <v>26</v>
      </c>
      <c r="AP75" s="1176">
        <f>AA87</f>
        <v>156.5</v>
      </c>
      <c r="AQ75" s="1177">
        <v>40.31</v>
      </c>
      <c r="AR75" s="1177">
        <f t="shared" ref="AR75:AR80" si="15">AP75*AQ75</f>
        <v>6308.5150000000003</v>
      </c>
      <c r="AS75" s="1178"/>
      <c r="AT75" s="1178"/>
    </row>
    <row r="76" spans="1:53" s="1169" customFormat="1" ht="13.5" customHeight="1">
      <c r="A76" s="1164"/>
      <c r="B76" s="1166" t="s">
        <v>1064</v>
      </c>
      <c r="C76" s="1206">
        <v>4.1666666666666664E-2</v>
      </c>
      <c r="D76" s="1206">
        <v>0.29166666666666669</v>
      </c>
      <c r="E76" s="1207">
        <v>6</v>
      </c>
      <c r="F76" s="1201"/>
      <c r="G76" s="1166"/>
      <c r="H76" s="1206">
        <v>0.125</v>
      </c>
      <c r="I76" s="1206">
        <v>0.375</v>
      </c>
      <c r="J76" s="1207">
        <v>6</v>
      </c>
      <c r="K76" s="1201"/>
      <c r="L76" s="1166"/>
      <c r="M76" s="1206">
        <v>6.25E-2</v>
      </c>
      <c r="N76" s="1206">
        <v>0.3125</v>
      </c>
      <c r="O76" s="1207">
        <v>6</v>
      </c>
      <c r="P76" s="1201"/>
      <c r="Q76" s="1166"/>
      <c r="R76" s="1206">
        <v>0.125</v>
      </c>
      <c r="S76" s="1206">
        <v>0.38541666666666669</v>
      </c>
      <c r="T76" s="1207">
        <v>6.25</v>
      </c>
      <c r="U76" s="1201"/>
      <c r="V76" s="1166"/>
      <c r="W76" s="1206">
        <v>0.51041666666666663</v>
      </c>
      <c r="X76" s="1206">
        <v>0.25</v>
      </c>
      <c r="Y76" s="1207">
        <v>5.75</v>
      </c>
      <c r="Z76" s="1201"/>
      <c r="AA76" s="1203">
        <f t="shared" ref="AA76:AA83" si="16">(E76+J76+O76+T76+Y76)</f>
        <v>30</v>
      </c>
      <c r="AB76" s="1225">
        <f t="shared" ref="AB76:AB84" si="17">Z76+U76+P76+K76+F76</f>
        <v>0</v>
      </c>
      <c r="AC76" s="1166"/>
      <c r="AD76" s="1206">
        <v>0.5</v>
      </c>
      <c r="AE76" s="1206">
        <v>0.3125</v>
      </c>
      <c r="AF76" s="1207">
        <v>7.5</v>
      </c>
      <c r="AG76" s="1166"/>
      <c r="AH76" s="1206">
        <v>6.25E-2</v>
      </c>
      <c r="AI76" s="1206">
        <v>0.3125</v>
      </c>
      <c r="AJ76" s="1207">
        <v>6</v>
      </c>
      <c r="AK76" s="1203">
        <f t="shared" ref="AK76:AK86" si="18">AJ76+AF76</f>
        <v>13.5</v>
      </c>
      <c r="AL76" s="1166"/>
      <c r="AM76" s="1168"/>
      <c r="AO76" s="1175" t="s">
        <v>30</v>
      </c>
      <c r="AP76" s="1176">
        <f>AB87</f>
        <v>1.25</v>
      </c>
      <c r="AQ76" s="1177">
        <v>60.465000000000003</v>
      </c>
      <c r="AR76" s="1177">
        <f t="shared" si="15"/>
        <v>75.581250000000011</v>
      </c>
      <c r="AS76" s="1178"/>
      <c r="AT76" s="1178"/>
    </row>
    <row r="77" spans="1:53" s="1169" customFormat="1">
      <c r="A77" s="1164"/>
      <c r="B77" s="1206" t="s">
        <v>1441</v>
      </c>
      <c r="C77" s="1206"/>
      <c r="D77" s="1206"/>
      <c r="E77" s="1207"/>
      <c r="F77" s="1201"/>
      <c r="G77" s="1166"/>
      <c r="H77" s="1206"/>
      <c r="I77" s="1206"/>
      <c r="J77" s="1207"/>
      <c r="K77" s="1201"/>
      <c r="L77" s="1166"/>
      <c r="M77" s="1206">
        <v>0.45833333333333331</v>
      </c>
      <c r="N77" s="1206">
        <v>0.20833333333333334</v>
      </c>
      <c r="O77" s="1207">
        <v>6</v>
      </c>
      <c r="P77" s="1201"/>
      <c r="Q77" s="1166"/>
      <c r="R77" s="1206"/>
      <c r="S77" s="1206"/>
      <c r="T77" s="1207"/>
      <c r="U77" s="1201"/>
      <c r="V77" s="1166"/>
      <c r="W77" s="1206"/>
      <c r="X77" s="1206"/>
      <c r="Y77" s="1207"/>
      <c r="Z77" s="1201"/>
      <c r="AA77" s="1203">
        <f t="shared" si="16"/>
        <v>6</v>
      </c>
      <c r="AB77" s="1225">
        <f t="shared" si="17"/>
        <v>0</v>
      </c>
      <c r="AC77" s="1166"/>
      <c r="AD77" s="1206"/>
      <c r="AE77" s="1206"/>
      <c r="AF77" s="1207"/>
      <c r="AG77" s="1166"/>
      <c r="AH77" s="1206"/>
      <c r="AI77" s="1206"/>
      <c r="AJ77" s="1207"/>
      <c r="AK77" s="1203">
        <f t="shared" si="18"/>
        <v>0</v>
      </c>
      <c r="AL77" s="1166"/>
      <c r="AM77" s="1168"/>
      <c r="AO77" s="1175" t="s">
        <v>32</v>
      </c>
      <c r="AP77" s="1176">
        <f>AK87</f>
        <v>39.5</v>
      </c>
      <c r="AQ77" s="1177">
        <v>60.465000000000003</v>
      </c>
      <c r="AR77" s="1177">
        <f t="shared" si="15"/>
        <v>2388.3675000000003</v>
      </c>
      <c r="AS77" s="1178"/>
      <c r="AT77" s="1178"/>
    </row>
    <row r="78" spans="1:53" s="1178" customFormat="1">
      <c r="A78" s="1164"/>
      <c r="B78" s="1206" t="s">
        <v>1444</v>
      </c>
      <c r="C78" s="1206"/>
      <c r="D78" s="1206"/>
      <c r="E78" s="1207"/>
      <c r="F78" s="1201"/>
      <c r="G78" s="1166"/>
      <c r="H78" s="1206"/>
      <c r="I78" s="1206"/>
      <c r="J78" s="1207"/>
      <c r="K78" s="1201"/>
      <c r="L78" s="1166"/>
      <c r="M78" s="1206"/>
      <c r="N78" s="1206"/>
      <c r="O78" s="1207"/>
      <c r="P78" s="1201"/>
      <c r="Q78" s="1166"/>
      <c r="R78" s="1206"/>
      <c r="S78" s="1206"/>
      <c r="T78" s="1207"/>
      <c r="U78" s="1201"/>
      <c r="V78" s="1166"/>
      <c r="W78" s="1206"/>
      <c r="X78" s="1206"/>
      <c r="Y78" s="1207"/>
      <c r="Z78" s="1201"/>
      <c r="AA78" s="1203">
        <f t="shared" si="16"/>
        <v>0</v>
      </c>
      <c r="AB78" s="1225">
        <f t="shared" si="17"/>
        <v>0</v>
      </c>
      <c r="AC78" s="1166"/>
      <c r="AD78" s="1206"/>
      <c r="AE78" s="1206"/>
      <c r="AF78" s="1207"/>
      <c r="AG78" s="1166"/>
      <c r="AH78" s="1206"/>
      <c r="AI78" s="1206"/>
      <c r="AJ78" s="1207"/>
      <c r="AK78" s="1203">
        <f t="shared" si="18"/>
        <v>0</v>
      </c>
      <c r="AL78" s="1166"/>
      <c r="AM78" s="1168"/>
      <c r="AN78" s="1169"/>
      <c r="AO78" s="1175" t="s">
        <v>213</v>
      </c>
      <c r="AP78" s="1176">
        <f>AA88</f>
        <v>23</v>
      </c>
      <c r="AQ78" s="1177">
        <v>53.05</v>
      </c>
      <c r="AR78" s="1177">
        <f t="shared" si="15"/>
        <v>1220.1499999999999</v>
      </c>
      <c r="AU78" s="1169"/>
      <c r="AV78" s="1169"/>
      <c r="AW78" s="1169"/>
      <c r="AX78" s="1169"/>
      <c r="AY78" s="1169"/>
      <c r="AZ78" s="1169"/>
      <c r="BA78" s="1169"/>
    </row>
    <row r="79" spans="1:53" s="1178" customFormat="1">
      <c r="A79" s="1164"/>
      <c r="B79" s="1210" t="s">
        <v>1447</v>
      </c>
      <c r="C79" s="1206"/>
      <c r="D79" s="1206"/>
      <c r="E79" s="1207"/>
      <c r="F79" s="1201"/>
      <c r="G79" s="1166"/>
      <c r="H79" s="1206">
        <v>0.125</v>
      </c>
      <c r="I79" s="1206">
        <v>0.375</v>
      </c>
      <c r="J79" s="1207">
        <v>6</v>
      </c>
      <c r="K79" s="1201"/>
      <c r="L79" s="1166"/>
      <c r="M79" s="1206">
        <v>0.52083333333333337</v>
      </c>
      <c r="N79" s="1206">
        <v>0.27083333333333331</v>
      </c>
      <c r="O79" s="1207">
        <v>6</v>
      </c>
      <c r="P79" s="1201"/>
      <c r="Q79" s="1166"/>
      <c r="R79" s="1206">
        <v>0.4375</v>
      </c>
      <c r="S79" s="1206">
        <v>0.1875</v>
      </c>
      <c r="T79" s="1207">
        <v>6</v>
      </c>
      <c r="U79" s="1201"/>
      <c r="V79" s="1166"/>
      <c r="W79" s="1206">
        <v>0.47916666666666669</v>
      </c>
      <c r="X79" s="1206">
        <v>0.22916666666666666</v>
      </c>
      <c r="Y79" s="1207">
        <v>6</v>
      </c>
      <c r="Z79" s="1201"/>
      <c r="AA79" s="1203">
        <f t="shared" si="16"/>
        <v>24</v>
      </c>
      <c r="AB79" s="1225">
        <f t="shared" si="17"/>
        <v>0</v>
      </c>
      <c r="AC79" s="1166"/>
      <c r="AD79" s="1206">
        <v>0.47916666666666669</v>
      </c>
      <c r="AE79" s="1206">
        <v>0.3125</v>
      </c>
      <c r="AF79" s="1207">
        <v>8</v>
      </c>
      <c r="AG79" s="1166"/>
      <c r="AH79" s="1226"/>
      <c r="AI79" s="1206"/>
      <c r="AJ79" s="1207"/>
      <c r="AK79" s="1203">
        <f t="shared" si="18"/>
        <v>8</v>
      </c>
      <c r="AL79" s="1166"/>
      <c r="AM79" s="1168"/>
      <c r="AN79" s="1169"/>
      <c r="AO79" s="1175" t="s">
        <v>36</v>
      </c>
      <c r="AP79" s="1176">
        <f>AB88</f>
        <v>4</v>
      </c>
      <c r="AQ79" s="1177">
        <v>79.574999999999989</v>
      </c>
      <c r="AR79" s="1177">
        <f t="shared" si="15"/>
        <v>318.29999999999995</v>
      </c>
      <c r="AU79" s="1169"/>
      <c r="AV79" s="1169"/>
      <c r="AW79" s="1169"/>
      <c r="AX79" s="1169"/>
      <c r="AY79" s="1169"/>
      <c r="AZ79" s="1169"/>
      <c r="BA79" s="1169"/>
    </row>
    <row r="80" spans="1:53" s="1178" customFormat="1">
      <c r="A80" s="1164"/>
      <c r="B80" s="1193" t="s">
        <v>1141</v>
      </c>
      <c r="C80" s="1206">
        <v>0.4375</v>
      </c>
      <c r="D80" s="1206">
        <v>0.1875</v>
      </c>
      <c r="E80" s="1207">
        <v>6</v>
      </c>
      <c r="F80" s="1201"/>
      <c r="G80" s="1166"/>
      <c r="H80" s="1206">
        <v>6.25E-2</v>
      </c>
      <c r="I80" s="1206">
        <v>0.33333333333333331</v>
      </c>
      <c r="J80" s="1207">
        <v>6.5</v>
      </c>
      <c r="K80" s="1201"/>
      <c r="L80" s="1166"/>
      <c r="M80" s="1206"/>
      <c r="N80" s="1206"/>
      <c r="O80" s="1207"/>
      <c r="P80" s="1201"/>
      <c r="Q80" s="1166"/>
      <c r="R80" s="1206">
        <v>0.52083333333333337</v>
      </c>
      <c r="S80" s="1206">
        <v>0.4375</v>
      </c>
      <c r="T80" s="1207">
        <v>8</v>
      </c>
      <c r="U80" s="1201">
        <v>1</v>
      </c>
      <c r="V80" s="1166"/>
      <c r="W80" s="1206">
        <v>0.52083333333333337</v>
      </c>
      <c r="X80" s="1206">
        <v>0.40625</v>
      </c>
      <c r="Y80" s="1207">
        <v>8</v>
      </c>
      <c r="Z80" s="1201">
        <v>0.25</v>
      </c>
      <c r="AA80" s="1203">
        <f>(E80+J80+O80+T80+Y80)</f>
        <v>28.5</v>
      </c>
      <c r="AB80" s="1225">
        <f>Z80+U80+P80+K80+F80</f>
        <v>1.25</v>
      </c>
      <c r="AC80" s="1166"/>
      <c r="AD80" s="1206">
        <v>0.47916666666666669</v>
      </c>
      <c r="AE80" s="1206">
        <v>0.3125</v>
      </c>
      <c r="AF80" s="1207">
        <v>8</v>
      </c>
      <c r="AG80" s="1166"/>
      <c r="AH80" s="1226"/>
      <c r="AI80" s="1206"/>
      <c r="AJ80" s="1207"/>
      <c r="AK80" s="1203">
        <f t="shared" si="18"/>
        <v>8</v>
      </c>
      <c r="AL80" s="1166"/>
      <c r="AM80" s="1168"/>
      <c r="AN80" s="1169"/>
      <c r="AO80" s="1175" t="s">
        <v>38</v>
      </c>
      <c r="AP80" s="1176">
        <f>AK88</f>
        <v>9.5</v>
      </c>
      <c r="AQ80" s="1177">
        <v>79.574999999999989</v>
      </c>
      <c r="AR80" s="1177">
        <f t="shared" si="15"/>
        <v>755.96249999999986</v>
      </c>
      <c r="AU80" s="1169"/>
      <c r="AV80" s="1169"/>
      <c r="AW80" s="1169"/>
      <c r="AX80" s="1169"/>
      <c r="AY80" s="1169"/>
      <c r="AZ80" s="1169"/>
      <c r="BA80" s="1169"/>
    </row>
    <row r="81" spans="1:53" s="1178" customFormat="1" ht="13.5" customHeight="1">
      <c r="A81" s="1164"/>
      <c r="B81" s="1210" t="s">
        <v>1140</v>
      </c>
      <c r="C81" s="1206">
        <v>0.5</v>
      </c>
      <c r="D81" s="1206">
        <v>0.25</v>
      </c>
      <c r="E81" s="1207">
        <v>6</v>
      </c>
      <c r="F81" s="1201"/>
      <c r="G81" s="1166"/>
      <c r="H81" s="1206">
        <v>0.14583333333333334</v>
      </c>
      <c r="I81" s="1206">
        <v>0.39583333333333331</v>
      </c>
      <c r="J81" s="1207">
        <v>6</v>
      </c>
      <c r="K81" s="1201"/>
      <c r="L81" s="1166"/>
      <c r="M81" s="1206">
        <v>0.16666666666666666</v>
      </c>
      <c r="N81" s="1206">
        <v>0.41666666666666669</v>
      </c>
      <c r="O81" s="1207">
        <v>6</v>
      </c>
      <c r="P81" s="1201"/>
      <c r="Q81" s="1166"/>
      <c r="R81" s="1206">
        <v>6.25E-2</v>
      </c>
      <c r="S81" s="1206">
        <v>0.3125</v>
      </c>
      <c r="T81" s="1207">
        <v>6</v>
      </c>
      <c r="U81" s="1201"/>
      <c r="V81" s="1166"/>
      <c r="W81" s="1206">
        <v>0.16666666666666666</v>
      </c>
      <c r="X81" s="1206">
        <v>0.41666666666666669</v>
      </c>
      <c r="Y81" s="1207">
        <v>6</v>
      </c>
      <c r="Z81" s="1201"/>
      <c r="AA81" s="1203">
        <f t="shared" si="16"/>
        <v>30</v>
      </c>
      <c r="AB81" s="1225">
        <f t="shared" si="17"/>
        <v>0</v>
      </c>
      <c r="AC81" s="1166"/>
      <c r="AD81" s="1206"/>
      <c r="AE81" s="1206"/>
      <c r="AF81" s="1207"/>
      <c r="AG81" s="1166"/>
      <c r="AH81" s="1206"/>
      <c r="AI81" s="1206"/>
      <c r="AJ81" s="1207"/>
      <c r="AK81" s="1203">
        <f t="shared" si="18"/>
        <v>0</v>
      </c>
      <c r="AL81" s="1166"/>
      <c r="AM81" s="1168"/>
      <c r="AN81" s="1169"/>
      <c r="AP81" s="1176"/>
      <c r="AR81" s="1227">
        <f>SUM(AR75:AR80)</f>
        <v>11066.876249999999</v>
      </c>
      <c r="AU81" s="1169"/>
      <c r="AV81" s="1169"/>
      <c r="AW81" s="1169"/>
      <c r="AX81" s="1169"/>
      <c r="AY81" s="1169"/>
      <c r="AZ81" s="1169"/>
      <c r="BA81" s="1169"/>
    </row>
    <row r="82" spans="1:53" s="1178" customFormat="1">
      <c r="A82" s="1164"/>
      <c r="B82" s="1193" t="s">
        <v>53</v>
      </c>
      <c r="C82" s="1206"/>
      <c r="D82" s="1206"/>
      <c r="E82" s="1207"/>
      <c r="F82" s="1201"/>
      <c r="G82" s="1166"/>
      <c r="H82" s="1206">
        <v>4.1666666666666664E-2</v>
      </c>
      <c r="I82" s="1206">
        <v>0.29166666666666669</v>
      </c>
      <c r="J82" s="1207">
        <v>6</v>
      </c>
      <c r="K82" s="1201"/>
      <c r="L82" s="1166"/>
      <c r="M82" s="1206">
        <v>0.16666666666666666</v>
      </c>
      <c r="N82" s="1206">
        <v>0.41666666666666669</v>
      </c>
      <c r="O82" s="1207">
        <v>6</v>
      </c>
      <c r="P82" s="1201"/>
      <c r="Q82" s="1166"/>
      <c r="R82" s="1206">
        <v>0.20833333333333334</v>
      </c>
      <c r="S82" s="1206">
        <v>0.33333333333333331</v>
      </c>
      <c r="T82" s="1207">
        <v>3</v>
      </c>
      <c r="U82" s="1201"/>
      <c r="V82" s="1166"/>
      <c r="W82" s="1206"/>
      <c r="X82" s="1206"/>
      <c r="Y82" s="1207"/>
      <c r="Z82" s="1201"/>
      <c r="AA82" s="1203">
        <f t="shared" si="16"/>
        <v>15</v>
      </c>
      <c r="AB82" s="1225">
        <f t="shared" si="17"/>
        <v>0</v>
      </c>
      <c r="AC82" s="1166"/>
      <c r="AD82" s="1206">
        <v>4.1666666666666664E-2</v>
      </c>
      <c r="AE82" s="1206">
        <v>0.20833333333333334</v>
      </c>
      <c r="AF82" s="1207">
        <v>4</v>
      </c>
      <c r="AG82" s="1166"/>
      <c r="AH82" s="1226"/>
      <c r="AI82" s="1206"/>
      <c r="AJ82" s="1207"/>
      <c r="AK82" s="1203">
        <f t="shared" si="18"/>
        <v>4</v>
      </c>
      <c r="AL82" s="1166"/>
      <c r="AM82" s="1168"/>
      <c r="AN82" s="1169"/>
      <c r="AP82" s="1176"/>
      <c r="AU82" s="1169"/>
      <c r="AV82" s="1169"/>
      <c r="AW82" s="1169"/>
      <c r="AX82" s="1169"/>
      <c r="AY82" s="1169"/>
      <c r="AZ82" s="1169"/>
      <c r="BA82" s="1169"/>
    </row>
    <row r="83" spans="1:53" s="1178" customFormat="1">
      <c r="A83" s="1164"/>
      <c r="B83" s="1193" t="s">
        <v>1455</v>
      </c>
      <c r="C83" s="1206">
        <v>0.52083333333333337</v>
      </c>
      <c r="D83" s="1206">
        <v>0.27083333333333331</v>
      </c>
      <c r="E83" s="1207">
        <v>6</v>
      </c>
      <c r="F83" s="1201"/>
      <c r="G83" s="1166"/>
      <c r="H83" s="1206"/>
      <c r="I83" s="1206"/>
      <c r="J83" s="1207"/>
      <c r="K83" s="1201"/>
      <c r="L83" s="1166"/>
      <c r="M83" s="1206">
        <v>0.45833333333333331</v>
      </c>
      <c r="N83" s="1206">
        <v>0.20833333333333334</v>
      </c>
      <c r="O83" s="1207">
        <v>6</v>
      </c>
      <c r="P83" s="1201"/>
      <c r="Q83" s="1166"/>
      <c r="R83" s="1206">
        <v>4.1666666666666664E-2</v>
      </c>
      <c r="S83" s="1206">
        <v>0.29166666666666669</v>
      </c>
      <c r="T83" s="1207">
        <v>6</v>
      </c>
      <c r="U83" s="1201"/>
      <c r="V83" s="1166"/>
      <c r="W83" s="1206"/>
      <c r="X83" s="1206"/>
      <c r="Y83" s="1207"/>
      <c r="Z83" s="1201"/>
      <c r="AA83" s="1203">
        <f t="shared" si="16"/>
        <v>18</v>
      </c>
      <c r="AB83" s="1225">
        <f t="shared" si="17"/>
        <v>0</v>
      </c>
      <c r="AC83" s="1166"/>
      <c r="AD83" s="1206">
        <v>0.5</v>
      </c>
      <c r="AE83" s="1206"/>
      <c r="AF83" s="1207">
        <v>6</v>
      </c>
      <c r="AG83" s="1166"/>
      <c r="AH83" s="1206"/>
      <c r="AI83" s="1206"/>
      <c r="AJ83" s="1207"/>
      <c r="AK83" s="1203">
        <f t="shared" si="18"/>
        <v>6</v>
      </c>
      <c r="AL83" s="1166"/>
      <c r="AM83" s="1168"/>
      <c r="AN83" s="1169"/>
      <c r="AO83" s="1228" t="s">
        <v>1115</v>
      </c>
      <c r="AP83" s="1176">
        <f>C90</f>
        <v>33</v>
      </c>
      <c r="AU83" s="1169"/>
      <c r="AV83" s="1169"/>
      <c r="AW83" s="1169"/>
      <c r="AX83" s="1169"/>
      <c r="AY83" s="1169"/>
      <c r="AZ83" s="1169"/>
      <c r="BA83" s="1169"/>
    </row>
    <row r="84" spans="1:53" s="1178" customFormat="1">
      <c r="A84" s="1164"/>
      <c r="B84" s="1210" t="s">
        <v>1456</v>
      </c>
      <c r="C84" s="1206"/>
      <c r="D84" s="1206"/>
      <c r="E84" s="1207"/>
      <c r="F84" s="1201"/>
      <c r="G84" s="1166"/>
      <c r="H84" s="1206"/>
      <c r="I84" s="1206"/>
      <c r="J84" s="1207"/>
      <c r="K84" s="1201"/>
      <c r="L84" s="1166"/>
      <c r="M84" s="1206"/>
      <c r="N84" s="1206"/>
      <c r="O84" s="1207"/>
      <c r="P84" s="1201"/>
      <c r="Q84" s="1166"/>
      <c r="R84" s="1206"/>
      <c r="S84" s="1206"/>
      <c r="T84" s="1207"/>
      <c r="U84" s="1201"/>
      <c r="V84" s="1166"/>
      <c r="W84" s="1206"/>
      <c r="X84" s="1206"/>
      <c r="Y84" s="1207"/>
      <c r="Z84" s="1201"/>
      <c r="AA84" s="1203">
        <f>(E84+J84+O84+T84+Y84)</f>
        <v>0</v>
      </c>
      <c r="AB84" s="1225">
        <f t="shared" si="17"/>
        <v>0</v>
      </c>
      <c r="AC84" s="1166"/>
      <c r="AD84" s="1206"/>
      <c r="AE84" s="1206"/>
      <c r="AF84" s="1207"/>
      <c r="AG84" s="1166"/>
      <c r="AH84" s="1206"/>
      <c r="AI84" s="1206"/>
      <c r="AJ84" s="1207"/>
      <c r="AK84" s="1203">
        <f t="shared" si="18"/>
        <v>0</v>
      </c>
      <c r="AL84" s="1166"/>
      <c r="AM84" s="1168"/>
      <c r="AN84" s="1169"/>
      <c r="AO84" s="1228"/>
      <c r="AP84" s="1176"/>
      <c r="AU84" s="1169"/>
      <c r="AV84" s="1169"/>
      <c r="AW84" s="1169"/>
      <c r="AX84" s="1169"/>
      <c r="AY84" s="1169"/>
      <c r="AZ84" s="1169"/>
      <c r="BA84" s="1169"/>
    </row>
    <row r="85" spans="1:53" s="1178" customFormat="1">
      <c r="A85" s="1164"/>
      <c r="B85" s="1193" t="s">
        <v>1143</v>
      </c>
      <c r="C85" s="1206"/>
      <c r="D85" s="1206"/>
      <c r="E85" s="1207"/>
      <c r="F85" s="1201"/>
      <c r="G85" s="1166"/>
      <c r="H85" s="1206"/>
      <c r="I85" s="1206"/>
      <c r="J85" s="1207"/>
      <c r="K85" s="1201"/>
      <c r="L85" s="1166"/>
      <c r="M85" s="1206"/>
      <c r="N85" s="1206"/>
      <c r="O85" s="1207"/>
      <c r="P85" s="1201"/>
      <c r="Q85" s="1166"/>
      <c r="R85" s="1206"/>
      <c r="S85" s="1206"/>
      <c r="T85" s="1207"/>
      <c r="U85" s="1201"/>
      <c r="V85" s="1166"/>
      <c r="W85" s="1206"/>
      <c r="X85" s="1206"/>
      <c r="Y85" s="1207"/>
      <c r="Z85" s="1201"/>
      <c r="AA85" s="1203">
        <f t="shared" ref="AA85:AA86" si="19">(E85+J85+O85+T85+Y85)</f>
        <v>0</v>
      </c>
      <c r="AB85" s="1225">
        <f t="shared" ref="AB85:AB86" si="20">Z85+U85+P85+K85+F85</f>
        <v>0</v>
      </c>
      <c r="AC85" s="1166"/>
      <c r="AD85" s="1206">
        <v>0.52083333333333337</v>
      </c>
      <c r="AE85" s="1206">
        <v>0.27083333333333331</v>
      </c>
      <c r="AF85" s="1207">
        <v>6</v>
      </c>
      <c r="AG85" s="1166"/>
      <c r="AH85" s="1206"/>
      <c r="AI85" s="1206"/>
      <c r="AJ85" s="1207"/>
      <c r="AK85" s="1203">
        <f t="shared" si="18"/>
        <v>6</v>
      </c>
      <c r="AL85" s="1166"/>
      <c r="AM85" s="1168"/>
      <c r="AN85" s="1169"/>
      <c r="AO85" s="1228"/>
      <c r="AP85" s="1176"/>
      <c r="AU85" s="1169"/>
      <c r="AV85" s="1169"/>
      <c r="AW85" s="1169"/>
      <c r="AX85" s="1169"/>
      <c r="AY85" s="1169"/>
      <c r="AZ85" s="1169"/>
      <c r="BA85" s="1169"/>
    </row>
    <row r="86" spans="1:53" s="1178" customFormat="1">
      <c r="A86" s="1164"/>
      <c r="B86" s="1193" t="s">
        <v>1435</v>
      </c>
      <c r="C86" s="1206"/>
      <c r="D86" s="1206"/>
      <c r="E86" s="1207"/>
      <c r="F86" s="1201"/>
      <c r="G86" s="1166"/>
      <c r="H86" s="1206"/>
      <c r="I86" s="1206"/>
      <c r="J86" s="1207"/>
      <c r="K86" s="1201"/>
      <c r="L86" s="1166"/>
      <c r="M86" s="1206"/>
      <c r="N86" s="1206"/>
      <c r="O86" s="1207"/>
      <c r="P86" s="1201"/>
      <c r="Q86" s="1166"/>
      <c r="R86" s="1206">
        <v>0.1875</v>
      </c>
      <c r="S86" s="1206">
        <v>0.39583333333333331</v>
      </c>
      <c r="T86" s="1207">
        <v>5</v>
      </c>
      <c r="U86" s="1201"/>
      <c r="V86" s="1166"/>
      <c r="W86" s="1206"/>
      <c r="X86" s="1206"/>
      <c r="Y86" s="1207"/>
      <c r="Z86" s="1201"/>
      <c r="AA86" s="1203">
        <f t="shared" si="19"/>
        <v>5</v>
      </c>
      <c r="AB86" s="1225">
        <f t="shared" si="20"/>
        <v>0</v>
      </c>
      <c r="AC86" s="1166"/>
      <c r="AD86" s="1206"/>
      <c r="AE86" s="1206"/>
      <c r="AF86" s="1207"/>
      <c r="AG86" s="1166"/>
      <c r="AH86" s="1206"/>
      <c r="AI86" s="1206"/>
      <c r="AJ86" s="1207"/>
      <c r="AK86" s="1203">
        <f t="shared" si="18"/>
        <v>0</v>
      </c>
      <c r="AL86" s="1166"/>
      <c r="AM86" s="1168"/>
      <c r="AN86" s="1169"/>
      <c r="AO86" s="1228"/>
      <c r="AP86" s="1176"/>
      <c r="AU86" s="1169"/>
      <c r="AV86" s="1169"/>
      <c r="AW86" s="1169"/>
      <c r="AX86" s="1169"/>
      <c r="AY86" s="1169"/>
      <c r="AZ86" s="1169"/>
      <c r="BA86" s="1169"/>
    </row>
    <row r="87" spans="1:53" s="1169" customFormat="1">
      <c r="A87" s="1164"/>
      <c r="B87" s="1199" t="s">
        <v>61</v>
      </c>
      <c r="C87" s="1199"/>
      <c r="D87" s="1199"/>
      <c r="E87" s="1200"/>
      <c r="F87" s="1201"/>
      <c r="G87" s="1199"/>
      <c r="H87" s="1199"/>
      <c r="I87" s="1199"/>
      <c r="J87" s="1200"/>
      <c r="K87" s="1201"/>
      <c r="L87" s="1199"/>
      <c r="M87" s="1199"/>
      <c r="N87" s="1199"/>
      <c r="O87" s="1200"/>
      <c r="P87" s="1201"/>
      <c r="Q87" s="1199"/>
      <c r="R87" s="1199"/>
      <c r="S87" s="1199"/>
      <c r="T87" s="1200"/>
      <c r="U87" s="1201"/>
      <c r="V87" s="1199"/>
      <c r="W87" s="1199"/>
      <c r="X87" s="1199"/>
      <c r="Y87" s="1200"/>
      <c r="Z87" s="1201"/>
      <c r="AA87" s="1202">
        <f>SUM(AA76:AA86)</f>
        <v>156.5</v>
      </c>
      <c r="AB87" s="1229">
        <f>SUM(AB76:AB83)</f>
        <v>1.25</v>
      </c>
      <c r="AC87" s="1166"/>
      <c r="AD87" s="1199"/>
      <c r="AE87" s="1199"/>
      <c r="AF87" s="1203">
        <f>SUM(AF76:AF86)</f>
        <v>39.5</v>
      </c>
      <c r="AG87" s="1166"/>
      <c r="AH87" s="1199"/>
      <c r="AI87" s="1199"/>
      <c r="AJ87" s="1203">
        <f>SUM(AJ76:AJ83)</f>
        <v>6</v>
      </c>
      <c r="AK87" s="1229">
        <f>SUM(AK76:AK83)</f>
        <v>39.5</v>
      </c>
      <c r="AL87" s="1166"/>
      <c r="AM87" s="1168"/>
      <c r="AO87" s="1204"/>
      <c r="AP87" s="1178"/>
      <c r="AQ87" s="1178"/>
      <c r="AR87" s="1178"/>
      <c r="AS87" s="1178"/>
      <c r="AT87" s="1178"/>
    </row>
    <row r="88" spans="1:53" s="1169" customFormat="1">
      <c r="A88" s="1164"/>
      <c r="B88" s="1230" t="s">
        <v>64</v>
      </c>
      <c r="C88" s="1206"/>
      <c r="D88" s="1206"/>
      <c r="E88" s="1207">
        <v>4</v>
      </c>
      <c r="F88" s="1207">
        <v>1</v>
      </c>
      <c r="G88" s="1208"/>
      <c r="H88" s="1206"/>
      <c r="I88" s="1206"/>
      <c r="J88" s="1207">
        <v>4</v>
      </c>
      <c r="K88" s="1207">
        <v>0.5</v>
      </c>
      <c r="L88" s="1209"/>
      <c r="M88" s="1206"/>
      <c r="N88" s="1206"/>
      <c r="O88" s="1207">
        <v>5</v>
      </c>
      <c r="P88" s="1207">
        <v>2</v>
      </c>
      <c r="Q88" s="1209"/>
      <c r="R88" s="1206"/>
      <c r="S88" s="1206"/>
      <c r="T88" s="1207">
        <v>4</v>
      </c>
      <c r="U88" s="1207">
        <v>0.5</v>
      </c>
      <c r="V88" s="1209"/>
      <c r="W88" s="1206"/>
      <c r="X88" s="1206"/>
      <c r="Y88" s="1207">
        <v>6</v>
      </c>
      <c r="Z88" s="1207"/>
      <c r="AA88" s="1203">
        <f>SUM(E88+J88+O88+T88+Y88)</f>
        <v>23</v>
      </c>
      <c r="AB88" s="1173">
        <f>Z88+U88+P88+K88+F88</f>
        <v>4</v>
      </c>
      <c r="AC88" s="1166"/>
      <c r="AD88" s="1206"/>
      <c r="AE88" s="1206"/>
      <c r="AF88" s="1207">
        <v>5</v>
      </c>
      <c r="AG88" s="1166"/>
      <c r="AH88" s="1206"/>
      <c r="AI88" s="1206"/>
      <c r="AJ88" s="1207">
        <v>4.5</v>
      </c>
      <c r="AK88" s="1203">
        <f>AJ88+AF88</f>
        <v>9.5</v>
      </c>
      <c r="AL88" s="1166"/>
      <c r="AM88" s="1168"/>
      <c r="AO88" s="1204"/>
      <c r="AP88" s="1178"/>
      <c r="AQ88" s="1178"/>
      <c r="AR88" s="1178"/>
      <c r="AS88" s="1178"/>
      <c r="AT88" s="1178"/>
    </row>
    <row r="89" spans="1:53" s="1169" customFormat="1">
      <c r="A89" s="1164"/>
      <c r="B89" s="1208" t="s">
        <v>66</v>
      </c>
      <c r="C89" s="1210"/>
      <c r="D89" s="1210"/>
      <c r="E89" s="1208"/>
      <c r="F89" s="1208"/>
      <c r="G89" s="1208"/>
      <c r="H89" s="1208"/>
      <c r="I89" s="1208"/>
      <c r="J89" s="1208"/>
      <c r="K89" s="1208"/>
      <c r="L89" s="1208"/>
      <c r="M89" s="1208"/>
      <c r="N89" s="1208"/>
      <c r="O89" s="1208"/>
      <c r="P89" s="1208"/>
      <c r="Q89" s="1208"/>
      <c r="R89" s="1208"/>
      <c r="S89" s="1208"/>
      <c r="T89" s="1208"/>
      <c r="U89" s="1208"/>
      <c r="V89" s="1208"/>
      <c r="W89" s="1208"/>
      <c r="X89" s="1208"/>
      <c r="Y89" s="1208"/>
      <c r="Z89" s="1208"/>
      <c r="AA89" s="1211">
        <f>SUM(AA88:AA88)</f>
        <v>23</v>
      </c>
      <c r="AB89" s="1229">
        <f>SUM(AB88:AB88)</f>
        <v>4</v>
      </c>
      <c r="AC89" s="1166"/>
      <c r="AG89" s="1166"/>
      <c r="AK89" s="1229">
        <f>SUM(AK88:AK88)</f>
        <v>9.5</v>
      </c>
      <c r="AL89" s="1166"/>
      <c r="AM89" s="1168"/>
      <c r="AO89" s="1204"/>
      <c r="AP89" s="1178"/>
      <c r="AQ89" s="1178"/>
      <c r="AR89" s="1178"/>
      <c r="AS89" s="1178"/>
      <c r="AT89" s="1178"/>
    </row>
    <row r="90" spans="1:53" s="1169" customFormat="1">
      <c r="A90" s="1164"/>
      <c r="B90" s="1212" t="s">
        <v>67</v>
      </c>
      <c r="C90" s="1213">
        <f>4+5+6+7+4+6+1</f>
        <v>33</v>
      </c>
      <c r="D90" s="1214"/>
      <c r="E90" s="1215"/>
      <c r="F90" s="1215"/>
      <c r="G90" s="1214"/>
      <c r="H90" s="1215"/>
      <c r="I90" s="1215"/>
      <c r="J90" s="1215"/>
      <c r="K90" s="1215"/>
      <c r="L90" s="1214"/>
      <c r="M90" s="1214"/>
      <c r="N90" s="1214"/>
      <c r="O90" s="1214"/>
      <c r="P90" s="1215"/>
      <c r="Q90" s="1214"/>
      <c r="R90" s="1214"/>
      <c r="S90" s="1214"/>
      <c r="T90" s="1214"/>
      <c r="U90" s="1215"/>
      <c r="V90" s="1214"/>
      <c r="W90" s="1214"/>
      <c r="X90" s="1214"/>
      <c r="Y90" s="1216"/>
      <c r="Z90" s="1215"/>
      <c r="AA90" s="1217"/>
      <c r="AB90" s="1215"/>
      <c r="AC90" s="1217"/>
      <c r="AD90" s="1217"/>
      <c r="AE90" s="1217"/>
      <c r="AF90" s="1217"/>
      <c r="AG90" s="1166"/>
      <c r="AH90" s="1217"/>
      <c r="AI90" s="1217"/>
      <c r="AJ90" s="1217"/>
      <c r="AK90" s="1217"/>
      <c r="AL90" s="1166"/>
      <c r="AM90" s="1168"/>
      <c r="AO90" s="1178"/>
      <c r="AP90" s="1178"/>
      <c r="AQ90" s="1178"/>
      <c r="AR90" s="1178"/>
      <c r="AS90" s="1178"/>
      <c r="AT90" s="1178"/>
    </row>
    <row r="91" spans="1:53" s="1169" customFormat="1">
      <c r="A91" s="1164"/>
      <c r="E91" s="1166"/>
      <c r="F91" s="1166"/>
      <c r="G91" s="1166"/>
      <c r="J91" s="1166"/>
      <c r="K91" s="1166"/>
      <c r="L91" s="1166"/>
      <c r="O91" s="1166"/>
      <c r="P91" s="1166"/>
      <c r="Q91" s="1166"/>
      <c r="T91" s="1166"/>
      <c r="U91" s="1166"/>
      <c r="V91" s="1166"/>
      <c r="Y91" s="1166"/>
      <c r="Z91" s="1166"/>
      <c r="AA91" s="1166"/>
      <c r="AB91" s="1166"/>
      <c r="AC91" s="1166"/>
      <c r="AG91" s="1166"/>
      <c r="AL91" s="1166"/>
      <c r="AM91" s="1168"/>
      <c r="AO91" s="1178"/>
      <c r="AP91" s="1178"/>
      <c r="AQ91" s="1178"/>
      <c r="AR91" s="1178"/>
      <c r="AS91" s="1178"/>
      <c r="AT91" s="1178"/>
    </row>
    <row r="92" spans="1:53" s="1169" customFormat="1">
      <c r="A92" s="1164"/>
      <c r="B92" s="1218"/>
      <c r="C92" s="1219"/>
      <c r="D92" s="1219"/>
      <c r="E92" s="1220"/>
      <c r="F92" s="1220"/>
      <c r="G92" s="1219"/>
      <c r="H92" s="1220"/>
      <c r="I92" s="1220"/>
      <c r="J92" s="1220"/>
      <c r="K92" s="1220"/>
      <c r="L92" s="1219"/>
      <c r="M92" s="1219"/>
      <c r="N92" s="1219"/>
      <c r="O92" s="1219"/>
      <c r="P92" s="1220"/>
      <c r="Q92" s="1219"/>
      <c r="R92" s="1219"/>
      <c r="S92" s="1219"/>
      <c r="T92" s="1219"/>
      <c r="U92" s="1220"/>
      <c r="V92" s="1219"/>
      <c r="W92" s="1219"/>
      <c r="X92" s="1219"/>
      <c r="Y92" s="1221"/>
      <c r="Z92" s="1220"/>
      <c r="AA92" s="1222"/>
      <c r="AB92" s="1220"/>
      <c r="AC92" s="1223"/>
      <c r="AD92" s="1224"/>
      <c r="AE92" s="1168"/>
      <c r="AF92" s="1168"/>
      <c r="AG92" s="1168"/>
      <c r="AH92" s="1224"/>
      <c r="AI92" s="1168"/>
      <c r="AJ92" s="1168"/>
      <c r="AK92" s="1168"/>
      <c r="AL92" s="1168"/>
      <c r="AM92" s="1168"/>
      <c r="AN92" s="1168"/>
      <c r="AO92" s="1168"/>
      <c r="AP92" s="1168"/>
      <c r="AQ92" s="1168"/>
      <c r="AR92" s="1168"/>
      <c r="AS92" s="1168"/>
      <c r="AT92" s="1168"/>
    </row>
    <row r="93" spans="1:53" s="1169" customFormat="1">
      <c r="A93" s="1164"/>
      <c r="E93" s="1166"/>
      <c r="F93" s="1166"/>
      <c r="G93" s="1166"/>
      <c r="J93" s="1166"/>
      <c r="K93" s="1166"/>
      <c r="L93" s="1166"/>
      <c r="O93" s="1166"/>
      <c r="P93" s="1166"/>
      <c r="Q93" s="1166"/>
      <c r="T93" s="1166"/>
      <c r="U93" s="1166"/>
      <c r="V93" s="1166"/>
      <c r="Y93" s="1166"/>
      <c r="Z93" s="1166"/>
      <c r="AA93" s="1166"/>
      <c r="AB93" s="1166"/>
      <c r="AC93" s="1166"/>
      <c r="AG93" s="1166"/>
      <c r="AL93" s="1166"/>
      <c r="AM93" s="1168"/>
      <c r="AO93" s="1178"/>
      <c r="AP93" s="1178"/>
      <c r="AQ93" s="1178"/>
      <c r="AR93" s="1178"/>
      <c r="AS93" s="1178"/>
      <c r="AT93" s="1178"/>
    </row>
    <row r="94" spans="1:53" s="1169" customFormat="1" ht="13.5" customHeight="1">
      <c r="A94" s="1164"/>
      <c r="B94" s="1608" t="s">
        <v>18</v>
      </c>
      <c r="C94" s="1574">
        <v>45866</v>
      </c>
      <c r="D94" s="1574"/>
      <c r="E94" s="1574" t="s">
        <v>564</v>
      </c>
      <c r="F94" s="1574"/>
      <c r="G94" s="1165"/>
      <c r="H94" s="1574">
        <v>45867</v>
      </c>
      <c r="I94" s="1574"/>
      <c r="J94" s="1574" t="s">
        <v>565</v>
      </c>
      <c r="K94" s="1574"/>
      <c r="L94" s="1165"/>
      <c r="M94" s="1574">
        <v>45868</v>
      </c>
      <c r="N94" s="1574"/>
      <c r="O94" s="1574" t="s">
        <v>566</v>
      </c>
      <c r="P94" s="1574"/>
      <c r="Q94" s="1165"/>
      <c r="R94" s="1574">
        <v>45869</v>
      </c>
      <c r="S94" s="1574"/>
      <c r="T94" s="1574" t="s">
        <v>567</v>
      </c>
      <c r="U94" s="1574"/>
      <c r="V94" s="1165"/>
      <c r="W94" s="1574">
        <v>45870</v>
      </c>
      <c r="X94" s="1574"/>
      <c r="Y94" s="1574" t="s">
        <v>568</v>
      </c>
      <c r="Z94" s="1574"/>
      <c r="AA94" s="1575" t="s">
        <v>19</v>
      </c>
      <c r="AB94" s="1575" t="s">
        <v>20</v>
      </c>
      <c r="AC94" s="1166"/>
      <c r="AD94" s="1574">
        <v>45871</v>
      </c>
      <c r="AE94" s="1574"/>
      <c r="AF94" s="1167" t="s">
        <v>569</v>
      </c>
      <c r="AG94" s="1166"/>
      <c r="AH94" s="1574">
        <v>45872</v>
      </c>
      <c r="AI94" s="1574"/>
      <c r="AJ94" s="1231" t="s">
        <v>570</v>
      </c>
      <c r="AK94" s="1575" t="s">
        <v>1420</v>
      </c>
      <c r="AL94" s="1166"/>
      <c r="AM94" s="1168"/>
      <c r="AO94" s="1170" t="s">
        <v>84</v>
      </c>
      <c r="AP94" s="1171"/>
      <c r="AQ94" s="1171"/>
      <c r="AR94" s="1171"/>
      <c r="AS94" s="1171"/>
      <c r="AT94" s="1171"/>
    </row>
    <row r="95" spans="1:53" s="1169" customFormat="1">
      <c r="A95" s="1164"/>
      <c r="B95" s="1608"/>
      <c r="C95" s="1172" t="s">
        <v>23</v>
      </c>
      <c r="D95" s="1172" t="s">
        <v>24</v>
      </c>
      <c r="E95" s="1173" t="s">
        <v>25</v>
      </c>
      <c r="F95" s="1174" t="s">
        <v>14</v>
      </c>
      <c r="G95" s="1166"/>
      <c r="H95" s="1172" t="s">
        <v>23</v>
      </c>
      <c r="I95" s="1172" t="s">
        <v>24</v>
      </c>
      <c r="J95" s="1174" t="s">
        <v>25</v>
      </c>
      <c r="K95" s="1174" t="s">
        <v>14</v>
      </c>
      <c r="L95" s="1166"/>
      <c r="M95" s="1172" t="s">
        <v>23</v>
      </c>
      <c r="N95" s="1172" t="s">
        <v>24</v>
      </c>
      <c r="O95" s="1174" t="s">
        <v>25</v>
      </c>
      <c r="P95" s="1174" t="s">
        <v>14</v>
      </c>
      <c r="Q95" s="1166"/>
      <c r="R95" s="1172" t="s">
        <v>23</v>
      </c>
      <c r="S95" s="1172" t="s">
        <v>24</v>
      </c>
      <c r="T95" s="1174" t="s">
        <v>25</v>
      </c>
      <c r="U95" s="1174" t="s">
        <v>14</v>
      </c>
      <c r="V95" s="1166"/>
      <c r="W95" s="1172" t="s">
        <v>23</v>
      </c>
      <c r="X95" s="1172" t="s">
        <v>24</v>
      </c>
      <c r="Y95" s="1174" t="s">
        <v>25</v>
      </c>
      <c r="Z95" s="1174" t="s">
        <v>14</v>
      </c>
      <c r="AA95" s="1575"/>
      <c r="AB95" s="1575"/>
      <c r="AC95" s="1166"/>
      <c r="AD95" s="1172" t="s">
        <v>23</v>
      </c>
      <c r="AE95" s="1172" t="s">
        <v>24</v>
      </c>
      <c r="AF95" s="1174" t="s">
        <v>25</v>
      </c>
      <c r="AG95" s="1166"/>
      <c r="AH95" s="1172" t="s">
        <v>23</v>
      </c>
      <c r="AI95" s="1172" t="s">
        <v>24</v>
      </c>
      <c r="AJ95" s="1174" t="s">
        <v>25</v>
      </c>
      <c r="AK95" s="1575"/>
      <c r="AL95" s="1166"/>
      <c r="AM95" s="1168"/>
      <c r="AO95" s="1175" t="s">
        <v>26</v>
      </c>
      <c r="AP95" s="1176">
        <f>AA108</f>
        <v>142.5</v>
      </c>
      <c r="AQ95" s="1177">
        <v>40.31</v>
      </c>
      <c r="AR95" s="1177">
        <f t="shared" ref="AR95:AR100" si="21">AP95*AQ95</f>
        <v>5744.1750000000002</v>
      </c>
      <c r="AS95" s="1178"/>
      <c r="AT95" s="1178"/>
    </row>
    <row r="96" spans="1:53" s="1169" customFormat="1" ht="13.5" customHeight="1">
      <c r="A96" s="1164"/>
      <c r="B96" s="1166" t="s">
        <v>1064</v>
      </c>
      <c r="C96" s="1206">
        <v>0.47916666666666669</v>
      </c>
      <c r="D96" s="1206">
        <v>0.22916666666666666</v>
      </c>
      <c r="E96" s="1207">
        <v>6</v>
      </c>
      <c r="F96" s="1201"/>
      <c r="G96" s="1166"/>
      <c r="H96" s="1206">
        <v>0.16666666666666666</v>
      </c>
      <c r="I96" s="1206">
        <v>0.4375</v>
      </c>
      <c r="J96" s="1207">
        <v>6.5</v>
      </c>
      <c r="K96" s="1201"/>
      <c r="L96" s="1166"/>
      <c r="M96" s="1206"/>
      <c r="N96" s="1206"/>
      <c r="O96" s="1207"/>
      <c r="P96" s="1201"/>
      <c r="Q96" s="1166"/>
      <c r="R96" s="1206">
        <v>0.16666666666666666</v>
      </c>
      <c r="S96" s="1206">
        <v>0.41666666666666669</v>
      </c>
      <c r="T96" s="1207">
        <v>6</v>
      </c>
      <c r="U96" s="1201"/>
      <c r="V96" s="1166"/>
      <c r="W96" s="1206">
        <v>0</v>
      </c>
      <c r="X96" s="1206">
        <v>0</v>
      </c>
      <c r="Y96" s="1207">
        <v>0</v>
      </c>
      <c r="Z96" s="1201"/>
      <c r="AA96" s="1203">
        <f>(E96+J96+O96+T96+Y96)</f>
        <v>18.5</v>
      </c>
      <c r="AB96" s="1225">
        <f t="shared" ref="AB96:AB99" si="22">Z96+U96+P96+K96+F96</f>
        <v>0</v>
      </c>
      <c r="AC96" s="1166"/>
      <c r="AD96" s="1206">
        <v>0.52083333333333337</v>
      </c>
      <c r="AE96" s="1206">
        <v>0.29166666666666669</v>
      </c>
      <c r="AF96" s="1207">
        <v>6.5</v>
      </c>
      <c r="AG96" s="1166"/>
      <c r="AH96" s="1206">
        <v>0.5</v>
      </c>
      <c r="AI96" s="1206">
        <v>0.25</v>
      </c>
      <c r="AJ96" s="1207">
        <v>6</v>
      </c>
      <c r="AK96" s="1203">
        <f t="shared" ref="AK96:AK107" si="23">AJ96+AF96</f>
        <v>12.5</v>
      </c>
      <c r="AL96" s="1166"/>
      <c r="AM96" s="1168"/>
      <c r="AO96" s="1175" t="s">
        <v>30</v>
      </c>
      <c r="AP96" s="1176">
        <f>AB108</f>
        <v>2</v>
      </c>
      <c r="AQ96" s="1177">
        <v>60.465000000000003</v>
      </c>
      <c r="AR96" s="1177">
        <f t="shared" si="21"/>
        <v>120.93</v>
      </c>
      <c r="AS96" s="1178"/>
      <c r="AT96" s="1178"/>
    </row>
    <row r="97" spans="1:53" s="1169" customFormat="1">
      <c r="A97" s="1164"/>
      <c r="B97" s="1206" t="s">
        <v>1441</v>
      </c>
      <c r="C97" s="1206"/>
      <c r="D97" s="1206"/>
      <c r="E97" s="1207"/>
      <c r="F97" s="1201"/>
      <c r="G97" s="1166"/>
      <c r="H97" s="1206">
        <v>0.52083333333333337</v>
      </c>
      <c r="I97" s="1206">
        <v>0.27083333333333331</v>
      </c>
      <c r="J97" s="1207">
        <v>6</v>
      </c>
      <c r="K97" s="1201"/>
      <c r="L97" s="1166"/>
      <c r="M97" s="1206">
        <v>0.47916666666666669</v>
      </c>
      <c r="N97" s="1206">
        <v>0.22916666666666666</v>
      </c>
      <c r="O97" s="1207">
        <v>6</v>
      </c>
      <c r="P97" s="1201"/>
      <c r="Q97" s="1166"/>
      <c r="R97" s="1206"/>
      <c r="S97" s="1206"/>
      <c r="T97" s="1207"/>
      <c r="U97" s="1201"/>
      <c r="V97" s="1166"/>
      <c r="W97" s="1206"/>
      <c r="X97" s="1206"/>
      <c r="Y97" s="1207"/>
      <c r="Z97" s="1201"/>
      <c r="AA97" s="1203">
        <f t="shared" ref="AA97:AA99" si="24">(E97+J97+O97+T97+Y97)</f>
        <v>12</v>
      </c>
      <c r="AB97" s="1225">
        <f t="shared" si="22"/>
        <v>0</v>
      </c>
      <c r="AC97" s="1166"/>
      <c r="AD97" s="1206"/>
      <c r="AE97" s="1206"/>
      <c r="AF97" s="1207"/>
      <c r="AG97" s="1166"/>
      <c r="AH97" s="1206"/>
      <c r="AI97" s="1206"/>
      <c r="AJ97" s="1207"/>
      <c r="AK97" s="1203">
        <f t="shared" si="23"/>
        <v>0</v>
      </c>
      <c r="AL97" s="1166"/>
      <c r="AM97" s="1168"/>
      <c r="AO97" s="1175" t="s">
        <v>32</v>
      </c>
      <c r="AP97" s="1176">
        <f>AK108</f>
        <v>37.5</v>
      </c>
      <c r="AQ97" s="1177">
        <v>60.465000000000003</v>
      </c>
      <c r="AR97" s="1177">
        <f t="shared" si="21"/>
        <v>2267.4375</v>
      </c>
      <c r="AS97" s="1178"/>
      <c r="AT97" s="1178"/>
    </row>
    <row r="98" spans="1:53" s="1178" customFormat="1">
      <c r="A98" s="1164"/>
      <c r="B98" s="1206" t="s">
        <v>1444</v>
      </c>
      <c r="C98" s="1206"/>
      <c r="D98" s="1206"/>
      <c r="E98" s="1207"/>
      <c r="F98" s="1201"/>
      <c r="G98" s="1166"/>
      <c r="H98" s="1206"/>
      <c r="I98" s="1206"/>
      <c r="J98" s="1207"/>
      <c r="K98" s="1201"/>
      <c r="L98" s="1166"/>
      <c r="M98" s="1206"/>
      <c r="N98" s="1206"/>
      <c r="O98" s="1207"/>
      <c r="P98" s="1201"/>
      <c r="Q98" s="1166"/>
      <c r="R98" s="1206"/>
      <c r="S98" s="1206"/>
      <c r="T98" s="1207"/>
      <c r="U98" s="1201"/>
      <c r="V98" s="1166"/>
      <c r="W98" s="1206"/>
      <c r="X98" s="1206"/>
      <c r="Y98" s="1207"/>
      <c r="Z98" s="1201"/>
      <c r="AA98" s="1203">
        <f t="shared" si="24"/>
        <v>0</v>
      </c>
      <c r="AB98" s="1225">
        <f t="shared" si="22"/>
        <v>0</v>
      </c>
      <c r="AC98" s="1166"/>
      <c r="AD98" s="1206"/>
      <c r="AE98" s="1206"/>
      <c r="AF98" s="1207"/>
      <c r="AG98" s="1166"/>
      <c r="AH98" s="1206"/>
      <c r="AI98" s="1206"/>
      <c r="AJ98" s="1207"/>
      <c r="AK98" s="1203">
        <f t="shared" si="23"/>
        <v>0</v>
      </c>
      <c r="AL98" s="1166"/>
      <c r="AM98" s="1168"/>
      <c r="AN98" s="1169"/>
      <c r="AO98" s="1175" t="s">
        <v>213</v>
      </c>
      <c r="AP98" s="1176">
        <f>AA109</f>
        <v>19</v>
      </c>
      <c r="AQ98" s="1177">
        <v>53.05</v>
      </c>
      <c r="AR98" s="1177">
        <f t="shared" si="21"/>
        <v>1007.9499999999999</v>
      </c>
      <c r="AU98" s="1169"/>
      <c r="AV98" s="1169"/>
      <c r="AW98" s="1169"/>
      <c r="AX98" s="1169"/>
      <c r="AY98" s="1169"/>
      <c r="AZ98" s="1169"/>
      <c r="BA98" s="1169"/>
    </row>
    <row r="99" spans="1:53" s="1178" customFormat="1">
      <c r="A99" s="1164"/>
      <c r="B99" s="1210" t="s">
        <v>1447</v>
      </c>
      <c r="C99" s="1206"/>
      <c r="D99" s="1206"/>
      <c r="E99" s="1207"/>
      <c r="F99" s="1201"/>
      <c r="G99" s="1166"/>
      <c r="H99" s="1206">
        <v>0.47916666666666669</v>
      </c>
      <c r="I99" s="1206">
        <v>0.4375</v>
      </c>
      <c r="J99" s="1207">
        <v>8</v>
      </c>
      <c r="K99" s="1201">
        <v>2</v>
      </c>
      <c r="L99" s="1166"/>
      <c r="M99" s="1206">
        <v>0.1875</v>
      </c>
      <c r="N99" s="1206">
        <v>0.4375</v>
      </c>
      <c r="O99" s="1207">
        <v>6</v>
      </c>
      <c r="P99" s="1201"/>
      <c r="Q99" s="1166"/>
      <c r="R99" s="1206">
        <v>0.16666666666666666</v>
      </c>
      <c r="S99" s="1206">
        <v>0.41666666666666669</v>
      </c>
      <c r="T99" s="1207">
        <v>6</v>
      </c>
      <c r="U99" s="1201"/>
      <c r="V99" s="1166"/>
      <c r="W99" s="1206">
        <v>0.5</v>
      </c>
      <c r="X99" s="1206">
        <v>0.25</v>
      </c>
      <c r="Y99" s="1207">
        <v>6</v>
      </c>
      <c r="Z99" s="1201"/>
      <c r="AA99" s="1203">
        <f t="shared" si="24"/>
        <v>26</v>
      </c>
      <c r="AB99" s="1225">
        <f t="shared" si="22"/>
        <v>2</v>
      </c>
      <c r="AC99" s="1166"/>
      <c r="AD99" s="1206">
        <v>0.5</v>
      </c>
      <c r="AE99" s="1206">
        <v>0.29166666666666669</v>
      </c>
      <c r="AF99" s="1207">
        <v>7</v>
      </c>
      <c r="AG99" s="1166"/>
      <c r="AH99" s="1226"/>
      <c r="AI99" s="1206"/>
      <c r="AJ99" s="1207"/>
      <c r="AK99" s="1203">
        <f t="shared" si="23"/>
        <v>7</v>
      </c>
      <c r="AL99" s="1166"/>
      <c r="AM99" s="1168"/>
      <c r="AN99" s="1169"/>
      <c r="AO99" s="1175" t="s">
        <v>36</v>
      </c>
      <c r="AP99" s="1176">
        <f>AB109</f>
        <v>1</v>
      </c>
      <c r="AQ99" s="1177">
        <v>79.574999999999989</v>
      </c>
      <c r="AR99" s="1177">
        <f t="shared" si="21"/>
        <v>79.574999999999989</v>
      </c>
      <c r="AU99" s="1169"/>
      <c r="AV99" s="1169"/>
      <c r="AW99" s="1169"/>
      <c r="AX99" s="1169"/>
      <c r="AY99" s="1169"/>
      <c r="AZ99" s="1169"/>
      <c r="BA99" s="1169"/>
    </row>
    <row r="100" spans="1:53" s="1178" customFormat="1">
      <c r="A100" s="1164"/>
      <c r="B100" s="1210" t="s">
        <v>1141</v>
      </c>
      <c r="C100" s="1206">
        <v>0.29166666666666669</v>
      </c>
      <c r="D100" s="1206">
        <v>4.1666666666666664E-2</v>
      </c>
      <c r="E100" s="1207">
        <v>6</v>
      </c>
      <c r="F100" s="1201"/>
      <c r="G100" s="1166"/>
      <c r="H100" s="1206">
        <v>0.16666666666666666</v>
      </c>
      <c r="I100" s="1206">
        <v>0.41666666666666669</v>
      </c>
      <c r="J100" s="1207">
        <v>6</v>
      </c>
      <c r="K100" s="1201"/>
      <c r="L100" s="1166"/>
      <c r="M100" s="1206">
        <v>6.25E-2</v>
      </c>
      <c r="N100" s="1206">
        <v>0.3125</v>
      </c>
      <c r="O100" s="1207">
        <v>6</v>
      </c>
      <c r="P100" s="1201"/>
      <c r="Q100" s="1166"/>
      <c r="R100" s="1206">
        <v>4.1666666666666664E-2</v>
      </c>
      <c r="S100" s="1206">
        <v>0.29166666666666669</v>
      </c>
      <c r="T100" s="1207">
        <v>6</v>
      </c>
      <c r="U100" s="1201"/>
      <c r="V100" s="1166"/>
      <c r="W100" s="1206">
        <v>0.52083333333333337</v>
      </c>
      <c r="X100" s="1206">
        <v>0.28125</v>
      </c>
      <c r="Y100" s="1207">
        <v>6.25</v>
      </c>
      <c r="Z100" s="1201"/>
      <c r="AA100" s="1203">
        <f>(E100+J100+O100+T100+Y100)</f>
        <v>30.25</v>
      </c>
      <c r="AB100" s="1225">
        <f>Z100+U100+P100+K100+F100</f>
        <v>0</v>
      </c>
      <c r="AC100" s="1166"/>
      <c r="AD100" s="1206">
        <v>8.3333333333333329E-2</v>
      </c>
      <c r="AE100" s="1206">
        <v>0.33333333333333331</v>
      </c>
      <c r="AF100" s="1207">
        <v>6</v>
      </c>
      <c r="AG100" s="1166"/>
      <c r="AH100" s="1226"/>
      <c r="AI100" s="1206"/>
      <c r="AJ100" s="1207"/>
      <c r="AK100" s="1203">
        <f t="shared" si="23"/>
        <v>6</v>
      </c>
      <c r="AL100" s="1166"/>
      <c r="AM100" s="1168"/>
      <c r="AN100" s="1169"/>
      <c r="AO100" s="1175" t="s">
        <v>38</v>
      </c>
      <c r="AP100" s="1176">
        <f>AK109</f>
        <v>7.75</v>
      </c>
      <c r="AQ100" s="1177">
        <v>79.574999999999989</v>
      </c>
      <c r="AR100" s="1177">
        <f t="shared" si="21"/>
        <v>616.70624999999995</v>
      </c>
      <c r="AU100" s="1169"/>
      <c r="AV100" s="1169"/>
      <c r="AW100" s="1169"/>
      <c r="AX100" s="1169"/>
      <c r="AY100" s="1169"/>
      <c r="AZ100" s="1169"/>
      <c r="BA100" s="1169"/>
    </row>
    <row r="101" spans="1:53" s="1178" customFormat="1">
      <c r="A101" s="1164"/>
      <c r="B101" s="1210" t="s">
        <v>1140</v>
      </c>
      <c r="C101" s="1206">
        <v>0.47916666666666669</v>
      </c>
      <c r="D101" s="1206">
        <v>0.22916666666666666</v>
      </c>
      <c r="E101" s="1207">
        <v>6</v>
      </c>
      <c r="F101" s="1201"/>
      <c r="G101" s="1166"/>
      <c r="H101" s="1206">
        <v>0.5</v>
      </c>
      <c r="I101" s="1206">
        <v>0.25</v>
      </c>
      <c r="J101" s="1207">
        <v>6</v>
      </c>
      <c r="K101" s="1201"/>
      <c r="L101" s="1166"/>
      <c r="M101" s="1206">
        <v>0.47916666666666669</v>
      </c>
      <c r="N101" s="1206">
        <v>0.22916666666666666</v>
      </c>
      <c r="O101" s="1207">
        <v>6</v>
      </c>
      <c r="P101" s="1201"/>
      <c r="Q101" s="1166"/>
      <c r="R101" s="1206">
        <v>0.125</v>
      </c>
      <c r="S101" s="1206">
        <v>0.41666666666666669</v>
      </c>
      <c r="T101" s="1207">
        <v>7</v>
      </c>
      <c r="U101" s="1201"/>
      <c r="V101" s="1166"/>
      <c r="W101" s="1206">
        <v>0.16666666666666666</v>
      </c>
      <c r="X101" s="1206">
        <v>0.41666666666666669</v>
      </c>
      <c r="Y101" s="1207">
        <v>6</v>
      </c>
      <c r="Z101" s="1201"/>
      <c r="AA101" s="1203">
        <f t="shared" ref="AA101:AA103" si="25">(E101+J101+O101+T101+Y101)</f>
        <v>31</v>
      </c>
      <c r="AB101" s="1225">
        <f t="shared" ref="AB101:AB107" si="26">Z101+U101+P101+K101+F101</f>
        <v>0</v>
      </c>
      <c r="AC101" s="1166"/>
      <c r="AD101" s="1206">
        <v>0.5</v>
      </c>
      <c r="AE101" s="1206">
        <v>0.25</v>
      </c>
      <c r="AF101" s="1207">
        <v>6</v>
      </c>
      <c r="AG101" s="1166"/>
      <c r="AH101" s="1206">
        <v>6.25E-2</v>
      </c>
      <c r="AI101" s="1206">
        <v>0.3125</v>
      </c>
      <c r="AJ101" s="1207">
        <v>6</v>
      </c>
      <c r="AK101" s="1203">
        <f t="shared" si="23"/>
        <v>12</v>
      </c>
      <c r="AL101" s="1166"/>
      <c r="AM101" s="1168"/>
      <c r="AN101" s="1169"/>
      <c r="AP101" s="1176"/>
      <c r="AR101" s="1227">
        <f>SUM(AR95:AR100)</f>
        <v>9836.7737500000003</v>
      </c>
      <c r="AU101" s="1169"/>
      <c r="AV101" s="1169"/>
      <c r="AW101" s="1169"/>
      <c r="AX101" s="1169"/>
      <c r="AY101" s="1169"/>
      <c r="AZ101" s="1169"/>
      <c r="BA101" s="1169"/>
    </row>
    <row r="102" spans="1:53" s="1178" customFormat="1">
      <c r="A102" s="1164"/>
      <c r="B102" s="1210" t="s">
        <v>53</v>
      </c>
      <c r="C102" s="1206"/>
      <c r="D102" s="1206"/>
      <c r="E102" s="1207"/>
      <c r="F102" s="1201"/>
      <c r="G102" s="1166"/>
      <c r="H102" s="1206">
        <v>0.125</v>
      </c>
      <c r="I102" s="1206">
        <v>0.41666666666666669</v>
      </c>
      <c r="J102" s="1207">
        <v>7</v>
      </c>
      <c r="K102" s="1201"/>
      <c r="L102" s="1166"/>
      <c r="M102" s="1206"/>
      <c r="N102" s="1206"/>
      <c r="O102" s="1207"/>
      <c r="P102" s="1201"/>
      <c r="Q102" s="1166"/>
      <c r="R102" s="1169"/>
      <c r="S102" s="1206"/>
      <c r="T102" s="1207"/>
      <c r="U102" s="1201"/>
      <c r="V102" s="1166"/>
      <c r="W102" s="1206"/>
      <c r="X102" s="1206"/>
      <c r="Y102" s="1207"/>
      <c r="Z102" s="1201"/>
      <c r="AA102" s="1203">
        <f t="shared" si="25"/>
        <v>7</v>
      </c>
      <c r="AB102" s="1225">
        <f t="shared" si="26"/>
        <v>0</v>
      </c>
      <c r="AC102" s="1166"/>
      <c r="AD102" s="1206"/>
      <c r="AE102" s="1206"/>
      <c r="AF102" s="1207"/>
      <c r="AG102" s="1166"/>
      <c r="AH102" s="1226"/>
      <c r="AI102" s="1206"/>
      <c r="AJ102" s="1207"/>
      <c r="AK102" s="1203">
        <f t="shared" si="23"/>
        <v>0</v>
      </c>
      <c r="AL102" s="1166"/>
      <c r="AM102" s="1168"/>
      <c r="AN102" s="1169"/>
      <c r="AP102" s="1176"/>
      <c r="AU102" s="1169"/>
      <c r="AV102" s="1169"/>
      <c r="AW102" s="1169"/>
      <c r="AX102" s="1169"/>
      <c r="AY102" s="1169"/>
      <c r="AZ102" s="1169"/>
      <c r="BA102" s="1169"/>
    </row>
    <row r="103" spans="1:53" s="1178" customFormat="1">
      <c r="A103" s="1164"/>
      <c r="B103" s="1210" t="s">
        <v>1455</v>
      </c>
      <c r="C103" s="1206"/>
      <c r="D103" s="1206"/>
      <c r="E103" s="1207"/>
      <c r="F103" s="1201"/>
      <c r="G103" s="1166"/>
      <c r="H103" s="1206"/>
      <c r="I103" s="1206"/>
      <c r="J103" s="1207"/>
      <c r="K103" s="1201"/>
      <c r="L103" s="1166"/>
      <c r="M103" s="1206"/>
      <c r="N103" s="1206"/>
      <c r="O103" s="1207"/>
      <c r="P103" s="1201"/>
      <c r="Q103" s="1166"/>
      <c r="R103" s="1206"/>
      <c r="S103" s="1206"/>
      <c r="T103" s="1207"/>
      <c r="U103" s="1201"/>
      <c r="V103" s="1166"/>
      <c r="W103" s="1206"/>
      <c r="X103" s="1206"/>
      <c r="Y103" s="1207"/>
      <c r="Z103" s="1201"/>
      <c r="AA103" s="1203">
        <f t="shared" si="25"/>
        <v>0</v>
      </c>
      <c r="AB103" s="1225">
        <f t="shared" si="26"/>
        <v>0</v>
      </c>
      <c r="AC103" s="1166"/>
      <c r="AD103" s="1206"/>
      <c r="AE103" s="1206"/>
      <c r="AF103" s="1207"/>
      <c r="AG103" s="1166"/>
      <c r="AH103" s="1206"/>
      <c r="AI103" s="1206"/>
      <c r="AJ103" s="1207"/>
      <c r="AK103" s="1203">
        <f t="shared" si="23"/>
        <v>0</v>
      </c>
      <c r="AL103" s="1166"/>
      <c r="AM103" s="1168"/>
      <c r="AN103" s="1169"/>
      <c r="AO103" s="1228" t="s">
        <v>1115</v>
      </c>
      <c r="AP103" s="1176">
        <f>C111</f>
        <v>29</v>
      </c>
      <c r="AU103" s="1169"/>
      <c r="AV103" s="1169"/>
      <c r="AW103" s="1169"/>
      <c r="AX103" s="1169"/>
      <c r="AY103" s="1169"/>
      <c r="AZ103" s="1169"/>
      <c r="BA103" s="1169"/>
    </row>
    <row r="104" spans="1:53" s="1178" customFormat="1">
      <c r="A104" s="1164"/>
      <c r="B104" s="1210" t="s">
        <v>1437</v>
      </c>
      <c r="C104" s="1206">
        <v>0.51041666666666663</v>
      </c>
      <c r="D104" s="1206">
        <v>0.25</v>
      </c>
      <c r="E104" s="1207">
        <v>5.75</v>
      </c>
      <c r="F104" s="1201"/>
      <c r="G104" s="1166"/>
      <c r="H104" s="1206">
        <v>0.51041666666666663</v>
      </c>
      <c r="I104" s="1206">
        <v>0.25</v>
      </c>
      <c r="J104" s="1207">
        <v>6</v>
      </c>
      <c r="K104" s="1201"/>
      <c r="L104" s="1166"/>
      <c r="M104" s="1206"/>
      <c r="N104" s="1206"/>
      <c r="O104" s="1207"/>
      <c r="P104" s="1201"/>
      <c r="Q104" s="1166"/>
      <c r="R104" s="1206"/>
      <c r="S104" s="1206"/>
      <c r="T104" s="1207"/>
      <c r="U104" s="1201"/>
      <c r="V104" s="1166"/>
      <c r="W104" s="1206">
        <v>0.16666666666666666</v>
      </c>
      <c r="X104" s="1206">
        <v>0.41666666666666669</v>
      </c>
      <c r="Y104" s="1207">
        <v>6</v>
      </c>
      <c r="Z104" s="1201"/>
      <c r="AA104" s="1203">
        <f t="shared" ref="AA104" si="27">(E104+J104+O104+T104+Y104)</f>
        <v>17.75</v>
      </c>
      <c r="AB104" s="1225">
        <f t="shared" ref="AB104" si="28">Z104+U104+P104+K104+F104</f>
        <v>0</v>
      </c>
      <c r="AC104" s="1166"/>
      <c r="AD104" s="1206"/>
      <c r="AE104" s="1206"/>
      <c r="AF104" s="1207"/>
      <c r="AG104" s="1166"/>
      <c r="AH104" s="1206"/>
      <c r="AI104" s="1206"/>
      <c r="AJ104" s="1207"/>
      <c r="AK104" s="1203">
        <f t="shared" si="23"/>
        <v>0</v>
      </c>
      <c r="AL104" s="1166"/>
      <c r="AM104" s="1168"/>
      <c r="AN104" s="1169"/>
      <c r="AO104" s="1228"/>
      <c r="AP104" s="1176"/>
      <c r="AU104" s="1169"/>
      <c r="AV104" s="1169"/>
      <c r="AW104" s="1169"/>
      <c r="AX104" s="1169"/>
      <c r="AY104" s="1169"/>
      <c r="AZ104" s="1169"/>
      <c r="BA104" s="1169"/>
    </row>
    <row r="105" spans="1:53" s="1178" customFormat="1">
      <c r="A105" s="1164"/>
      <c r="B105" s="1210" t="s">
        <v>1456</v>
      </c>
      <c r="C105" s="1206"/>
      <c r="D105" s="1206"/>
      <c r="E105" s="1207"/>
      <c r="F105" s="1201"/>
      <c r="G105" s="1166"/>
      <c r="H105" s="1206"/>
      <c r="I105" s="1206"/>
      <c r="J105" s="1207"/>
      <c r="K105" s="1201"/>
      <c r="L105" s="1166"/>
      <c r="M105" s="1206"/>
      <c r="N105" s="1206"/>
      <c r="O105" s="1207"/>
      <c r="P105" s="1201"/>
      <c r="Q105" s="1166"/>
      <c r="R105" s="1206"/>
      <c r="S105" s="1206"/>
      <c r="T105" s="1207"/>
      <c r="U105" s="1201"/>
      <c r="V105" s="1166"/>
      <c r="W105" s="1206"/>
      <c r="X105" s="1206"/>
      <c r="Y105" s="1207"/>
      <c r="Z105" s="1201"/>
      <c r="AA105" s="1203">
        <f>(E105+J105+O105+T105+Y105)</f>
        <v>0</v>
      </c>
      <c r="AB105" s="1225">
        <f t="shared" si="26"/>
        <v>0</v>
      </c>
      <c r="AC105" s="1166"/>
      <c r="AD105" s="1206"/>
      <c r="AE105" s="1206"/>
      <c r="AF105" s="1207"/>
      <c r="AG105" s="1166"/>
      <c r="AH105" s="1206"/>
      <c r="AI105" s="1206"/>
      <c r="AJ105" s="1207"/>
      <c r="AK105" s="1203">
        <f t="shared" si="23"/>
        <v>0</v>
      </c>
      <c r="AL105" s="1166"/>
      <c r="AM105" s="1168"/>
      <c r="AN105" s="1169"/>
      <c r="AO105" s="1228"/>
      <c r="AP105" s="1176"/>
      <c r="AU105" s="1169"/>
      <c r="AV105" s="1169"/>
      <c r="AW105" s="1169"/>
      <c r="AX105" s="1169"/>
      <c r="AY105" s="1169"/>
      <c r="AZ105" s="1169"/>
      <c r="BA105" s="1169"/>
    </row>
    <row r="106" spans="1:53" s="1178" customFormat="1">
      <c r="A106" s="1164"/>
      <c r="B106" s="1210" t="s">
        <v>1143</v>
      </c>
      <c r="C106" s="1206"/>
      <c r="D106" s="1206"/>
      <c r="E106" s="1207"/>
      <c r="F106" s="1201"/>
      <c r="G106" s="1166"/>
      <c r="H106" s="1206"/>
      <c r="I106" s="1206"/>
      <c r="J106" s="1207"/>
      <c r="K106" s="1201"/>
      <c r="L106" s="1166"/>
      <c r="M106" s="1206"/>
      <c r="N106" s="1206"/>
      <c r="O106" s="1207"/>
      <c r="P106" s="1201"/>
      <c r="Q106" s="1166"/>
      <c r="R106" s="1206"/>
      <c r="S106" s="1206"/>
      <c r="T106" s="1207"/>
      <c r="U106" s="1201"/>
      <c r="V106" s="1166"/>
      <c r="W106" s="1206"/>
      <c r="X106" s="1206"/>
      <c r="Y106" s="1207"/>
      <c r="Z106" s="1201"/>
      <c r="AA106" s="1203">
        <f t="shared" ref="AA106:AA107" si="29">(E106+J106+O106+T106+Y106)</f>
        <v>0</v>
      </c>
      <c r="AB106" s="1225">
        <f t="shared" si="26"/>
        <v>0</v>
      </c>
      <c r="AC106" s="1166"/>
      <c r="AD106" s="1206"/>
      <c r="AE106" s="1206"/>
      <c r="AF106" s="1207"/>
      <c r="AG106" s="1166"/>
      <c r="AH106" s="1206"/>
      <c r="AI106" s="1206"/>
      <c r="AJ106" s="1207"/>
      <c r="AK106" s="1203">
        <f t="shared" si="23"/>
        <v>0</v>
      </c>
      <c r="AL106" s="1166"/>
      <c r="AM106" s="1168"/>
      <c r="AN106" s="1169"/>
      <c r="AO106" s="1228"/>
      <c r="AP106" s="1176"/>
      <c r="AU106" s="1169"/>
      <c r="AV106" s="1169"/>
      <c r="AW106" s="1169"/>
      <c r="AX106" s="1169"/>
      <c r="AY106" s="1169"/>
      <c r="AZ106" s="1169"/>
      <c r="BA106" s="1169"/>
    </row>
    <row r="107" spans="1:53" s="1178" customFormat="1">
      <c r="A107" s="1164"/>
      <c r="B107" s="1210" t="s">
        <v>1435</v>
      </c>
      <c r="C107" s="1206"/>
      <c r="D107" s="1206"/>
      <c r="E107" s="1207"/>
      <c r="F107" s="1201"/>
      <c r="G107" s="1166"/>
      <c r="H107" s="1206"/>
      <c r="I107" s="1206"/>
      <c r="J107" s="1207"/>
      <c r="K107" s="1201"/>
      <c r="L107" s="1166"/>
      <c r="M107" s="1206"/>
      <c r="N107" s="1206"/>
      <c r="O107" s="1207"/>
      <c r="P107" s="1201"/>
      <c r="Q107" s="1166"/>
      <c r="R107" s="1206"/>
      <c r="S107" s="1206"/>
      <c r="T107" s="1207"/>
      <c r="U107" s="1201"/>
      <c r="V107" s="1166"/>
      <c r="W107" s="1206"/>
      <c r="X107" s="1206"/>
      <c r="Y107" s="1207"/>
      <c r="Z107" s="1201"/>
      <c r="AA107" s="1203">
        <f t="shared" si="29"/>
        <v>0</v>
      </c>
      <c r="AB107" s="1225">
        <f t="shared" si="26"/>
        <v>0</v>
      </c>
      <c r="AC107" s="1166"/>
      <c r="AD107" s="1206"/>
      <c r="AE107" s="1206"/>
      <c r="AF107" s="1207"/>
      <c r="AG107" s="1166"/>
      <c r="AH107" s="1206"/>
      <c r="AI107" s="1206"/>
      <c r="AJ107" s="1207"/>
      <c r="AK107" s="1203">
        <f t="shared" si="23"/>
        <v>0</v>
      </c>
      <c r="AL107" s="1166"/>
      <c r="AM107" s="1168"/>
      <c r="AN107" s="1169"/>
      <c r="AO107" s="1228"/>
      <c r="AP107" s="1176"/>
      <c r="AU107" s="1169"/>
      <c r="AV107" s="1169"/>
      <c r="AW107" s="1169"/>
      <c r="AX107" s="1169"/>
      <c r="AY107" s="1169"/>
      <c r="AZ107" s="1169"/>
      <c r="BA107" s="1169"/>
    </row>
    <row r="108" spans="1:53" s="1169" customFormat="1">
      <c r="A108" s="1164"/>
      <c r="B108" s="1232" t="s">
        <v>61</v>
      </c>
      <c r="C108" s="1232"/>
      <c r="D108" s="1232"/>
      <c r="E108" s="1233"/>
      <c r="F108" s="1201"/>
      <c r="G108" s="1232"/>
      <c r="H108" s="1232"/>
      <c r="I108" s="1232"/>
      <c r="J108" s="1233"/>
      <c r="K108" s="1201"/>
      <c r="L108" s="1232"/>
      <c r="M108" s="1232"/>
      <c r="N108" s="1232"/>
      <c r="O108" s="1233"/>
      <c r="P108" s="1201"/>
      <c r="Q108" s="1232"/>
      <c r="R108" s="1232"/>
      <c r="S108" s="1232"/>
      <c r="T108" s="1233"/>
      <c r="U108" s="1201"/>
      <c r="V108" s="1232"/>
      <c r="W108" s="1232"/>
      <c r="X108" s="1232"/>
      <c r="Y108" s="1233"/>
      <c r="Z108" s="1201"/>
      <c r="AA108" s="1202">
        <f>SUM(AA96:AA107)</f>
        <v>142.5</v>
      </c>
      <c r="AB108" s="1229">
        <f>SUM(AB96:AB103)</f>
        <v>2</v>
      </c>
      <c r="AC108" s="1166"/>
      <c r="AD108" s="1232"/>
      <c r="AE108" s="1232"/>
      <c r="AF108" s="1203"/>
      <c r="AG108" s="1166"/>
      <c r="AH108" s="1232"/>
      <c r="AI108" s="1232"/>
      <c r="AJ108" s="1203"/>
      <c r="AK108" s="1229">
        <f>SUM(AK96:AK103)</f>
        <v>37.5</v>
      </c>
      <c r="AL108" s="1166"/>
      <c r="AM108" s="1168"/>
      <c r="AO108" s="1204"/>
      <c r="AP108" s="1178"/>
      <c r="AQ108" s="1178"/>
      <c r="AR108" s="1178"/>
      <c r="AS108" s="1178"/>
      <c r="AT108" s="1178"/>
    </row>
    <row r="109" spans="1:53" s="1169" customFormat="1">
      <c r="A109" s="1164"/>
      <c r="B109" s="1230" t="s">
        <v>64</v>
      </c>
      <c r="C109" s="1206"/>
      <c r="D109" s="1206"/>
      <c r="E109" s="1207">
        <v>3.5</v>
      </c>
      <c r="F109" s="1207"/>
      <c r="G109" s="1208"/>
      <c r="H109" s="1206"/>
      <c r="I109" s="1206"/>
      <c r="J109" s="1207">
        <v>3.5</v>
      </c>
      <c r="K109" s="1207"/>
      <c r="L109" s="1209"/>
      <c r="M109" s="1206"/>
      <c r="N109" s="1206"/>
      <c r="O109" s="1207">
        <v>4</v>
      </c>
      <c r="P109" s="1207">
        <v>0.5</v>
      </c>
      <c r="Q109" s="1209"/>
      <c r="R109" s="1206"/>
      <c r="S109" s="1206"/>
      <c r="T109" s="1207">
        <v>4</v>
      </c>
      <c r="U109" s="1207"/>
      <c r="V109" s="1209"/>
      <c r="W109" s="1206"/>
      <c r="X109" s="1206"/>
      <c r="Y109" s="1207">
        <v>4</v>
      </c>
      <c r="Z109" s="1207">
        <v>0.5</v>
      </c>
      <c r="AA109" s="1203">
        <f>SUM(E109+J109+O109+T109+Y109)</f>
        <v>19</v>
      </c>
      <c r="AB109" s="1173">
        <f>Z109+U109+P109+K109+F109</f>
        <v>1</v>
      </c>
      <c r="AC109" s="1166"/>
      <c r="AD109" s="1206"/>
      <c r="AE109" s="1206"/>
      <c r="AF109" s="1207">
        <v>4</v>
      </c>
      <c r="AG109" s="1166"/>
      <c r="AH109" s="1206"/>
      <c r="AI109" s="1206"/>
      <c r="AJ109" s="1207">
        <v>3.75</v>
      </c>
      <c r="AK109" s="1203">
        <f>AJ109+AF109</f>
        <v>7.75</v>
      </c>
      <c r="AL109" s="1166"/>
      <c r="AM109" s="1168"/>
      <c r="AO109" s="1204"/>
      <c r="AP109" s="1178"/>
      <c r="AQ109" s="1178"/>
      <c r="AR109" s="1178"/>
      <c r="AS109" s="1178"/>
      <c r="AT109" s="1178"/>
    </row>
    <row r="110" spans="1:53" s="1169" customFormat="1">
      <c r="A110" s="1164"/>
      <c r="B110" s="1208" t="s">
        <v>66</v>
      </c>
      <c r="C110" s="1210"/>
      <c r="D110" s="1210"/>
      <c r="E110" s="1208"/>
      <c r="F110" s="1208"/>
      <c r="G110" s="1208"/>
      <c r="H110" s="1208"/>
      <c r="I110" s="1208"/>
      <c r="J110" s="1208"/>
      <c r="K110" s="1208"/>
      <c r="L110" s="1208"/>
      <c r="M110" s="1208"/>
      <c r="N110" s="1208"/>
      <c r="O110" s="1208"/>
      <c r="P110" s="1208"/>
      <c r="Q110" s="1208"/>
      <c r="R110" s="1208"/>
      <c r="S110" s="1208"/>
      <c r="T110" s="1208"/>
      <c r="U110" s="1208"/>
      <c r="V110" s="1208"/>
      <c r="W110" s="1208"/>
      <c r="X110" s="1208"/>
      <c r="Y110" s="1208"/>
      <c r="Z110" s="1208"/>
      <c r="AA110" s="1211">
        <f>SUM(AA109:AA109)</f>
        <v>19</v>
      </c>
      <c r="AB110" s="1229">
        <f>SUM(AB109:AB109)</f>
        <v>1</v>
      </c>
      <c r="AC110" s="1166"/>
      <c r="AG110" s="1166"/>
      <c r="AK110" s="1211">
        <f>SUM(AK109:AK109)</f>
        <v>7.75</v>
      </c>
      <c r="AL110" s="1166"/>
      <c r="AM110" s="1168"/>
      <c r="AO110" s="1204"/>
      <c r="AP110" s="1178"/>
      <c r="AQ110" s="1178"/>
      <c r="AR110" s="1178"/>
      <c r="AS110" s="1178"/>
      <c r="AT110" s="1178"/>
    </row>
    <row r="111" spans="1:53" s="1169" customFormat="1">
      <c r="A111" s="1164"/>
      <c r="B111" s="1212" t="s">
        <v>67</v>
      </c>
      <c r="C111" s="1213">
        <f>4+7+4+4+4+4+2</f>
        <v>29</v>
      </c>
      <c r="D111" s="1214"/>
      <c r="E111" s="1215"/>
      <c r="F111" s="1215"/>
      <c r="G111" s="1214"/>
      <c r="H111" s="1215"/>
      <c r="I111" s="1215"/>
      <c r="J111" s="1215"/>
      <c r="K111" s="1215"/>
      <c r="L111" s="1214"/>
      <c r="M111" s="1214"/>
      <c r="N111" s="1214"/>
      <c r="O111" s="1214"/>
      <c r="P111" s="1215"/>
      <c r="Q111" s="1214"/>
      <c r="R111" s="1214"/>
      <c r="S111" s="1214"/>
      <c r="T111" s="1214"/>
      <c r="U111" s="1215"/>
      <c r="V111" s="1214"/>
      <c r="W111" s="1214"/>
      <c r="X111" s="1214"/>
      <c r="Y111" s="1216"/>
      <c r="Z111" s="1215"/>
      <c r="AA111" s="1217"/>
      <c r="AB111" s="1215"/>
      <c r="AC111" s="1217"/>
      <c r="AD111" s="1217"/>
      <c r="AE111" s="1217"/>
      <c r="AF111" s="1217"/>
      <c r="AG111" s="1166"/>
      <c r="AH111" s="1217"/>
      <c r="AI111" s="1217"/>
      <c r="AJ111" s="1217"/>
      <c r="AK111" s="1217"/>
      <c r="AL111" s="1166"/>
      <c r="AM111" s="1168"/>
      <c r="AO111" s="1178"/>
      <c r="AP111" s="1178"/>
      <c r="AQ111" s="1178"/>
      <c r="AR111" s="1178"/>
      <c r="AS111" s="1178"/>
      <c r="AT111" s="1178"/>
    </row>
    <row r="112" spans="1:53" s="1169" customFormat="1">
      <c r="A112" s="1164"/>
      <c r="E112" s="1166"/>
      <c r="F112" s="1166"/>
      <c r="G112" s="1166"/>
      <c r="J112" s="1166"/>
      <c r="K112" s="1166"/>
      <c r="L112" s="1166"/>
      <c r="O112" s="1166"/>
      <c r="P112" s="1166"/>
      <c r="Q112" s="1166"/>
      <c r="T112" s="1166"/>
      <c r="U112" s="1166"/>
      <c r="V112" s="1166"/>
      <c r="Y112" s="1166"/>
      <c r="Z112" s="1166"/>
      <c r="AA112" s="1166"/>
      <c r="AB112" s="1166"/>
      <c r="AC112" s="1166"/>
      <c r="AG112" s="1166"/>
      <c r="AL112" s="1166"/>
      <c r="AM112" s="1168"/>
      <c r="AO112" s="1178"/>
      <c r="AP112" s="1178"/>
      <c r="AQ112" s="1178"/>
      <c r="AR112" s="1178"/>
      <c r="AS112" s="1178"/>
      <c r="AT112" s="1178"/>
    </row>
    <row r="113" spans="1:53" s="1169" customFormat="1">
      <c r="A113" s="1164"/>
      <c r="B113" s="1218"/>
      <c r="C113" s="1219"/>
      <c r="D113" s="1219"/>
      <c r="E113" s="1220"/>
      <c r="F113" s="1220"/>
      <c r="G113" s="1219"/>
      <c r="H113" s="1220"/>
      <c r="I113" s="1220"/>
      <c r="J113" s="1220"/>
      <c r="K113" s="1220"/>
      <c r="L113" s="1219"/>
      <c r="M113" s="1219"/>
      <c r="N113" s="1219"/>
      <c r="O113" s="1219"/>
      <c r="P113" s="1220"/>
      <c r="Q113" s="1219"/>
      <c r="R113" s="1219"/>
      <c r="S113" s="1219"/>
      <c r="T113" s="1219"/>
      <c r="U113" s="1220"/>
      <c r="V113" s="1219"/>
      <c r="W113" s="1219"/>
      <c r="X113" s="1219"/>
      <c r="Y113" s="1221"/>
      <c r="Z113" s="1220"/>
      <c r="AA113" s="1222"/>
      <c r="AB113" s="1220"/>
      <c r="AC113" s="1223"/>
      <c r="AD113" s="1224"/>
      <c r="AE113" s="1168"/>
      <c r="AF113" s="1168"/>
      <c r="AG113" s="1168"/>
      <c r="AH113" s="1224"/>
      <c r="AI113" s="1168"/>
      <c r="AJ113" s="1168"/>
      <c r="AK113" s="1168"/>
      <c r="AL113" s="1168"/>
      <c r="AM113" s="1168"/>
      <c r="AN113" s="1168"/>
      <c r="AO113" s="1168"/>
      <c r="AP113" s="1168"/>
      <c r="AQ113" s="1168"/>
      <c r="AR113" s="1168"/>
      <c r="AS113" s="1168"/>
      <c r="AT113" s="1168"/>
    </row>
    <row r="114" spans="1:53" s="1169" customFormat="1">
      <c r="A114" s="1164"/>
      <c r="E114" s="1166"/>
      <c r="F114" s="1166"/>
      <c r="G114" s="1166"/>
      <c r="J114" s="1166"/>
      <c r="K114" s="1166"/>
      <c r="L114" s="1166"/>
      <c r="O114" s="1166"/>
      <c r="P114" s="1166"/>
      <c r="Q114" s="1166"/>
      <c r="T114" s="1166"/>
      <c r="U114" s="1166"/>
      <c r="V114" s="1166"/>
      <c r="Y114" s="1166"/>
      <c r="Z114" s="1166"/>
      <c r="AA114" s="1166"/>
      <c r="AB114" s="1166"/>
      <c r="AC114" s="1166"/>
      <c r="AG114" s="1166"/>
      <c r="AL114" s="1166"/>
      <c r="AM114" s="1168"/>
      <c r="AO114" s="1178"/>
      <c r="AP114" s="1178"/>
      <c r="AQ114" s="1178"/>
      <c r="AR114" s="1178"/>
      <c r="AS114" s="1178"/>
      <c r="AT114" s="1178"/>
    </row>
    <row r="115" spans="1:53" s="1169" customFormat="1" ht="13.5" customHeight="1">
      <c r="A115" s="1164"/>
      <c r="B115" s="1608" t="s">
        <v>18</v>
      </c>
      <c r="C115" s="1574">
        <v>45873</v>
      </c>
      <c r="D115" s="1574"/>
      <c r="E115" s="1574" t="s">
        <v>564</v>
      </c>
      <c r="F115" s="1574"/>
      <c r="G115" s="1165"/>
      <c r="H115" s="1574">
        <v>45874</v>
      </c>
      <c r="I115" s="1574"/>
      <c r="J115" s="1574" t="s">
        <v>565</v>
      </c>
      <c r="K115" s="1574"/>
      <c r="L115" s="1165"/>
      <c r="M115" s="1574">
        <v>45875</v>
      </c>
      <c r="N115" s="1574"/>
      <c r="O115" s="1574" t="s">
        <v>566</v>
      </c>
      <c r="P115" s="1574"/>
      <c r="Q115" s="1165"/>
      <c r="R115" s="1574">
        <v>45876</v>
      </c>
      <c r="S115" s="1574"/>
      <c r="T115" s="1574" t="s">
        <v>567</v>
      </c>
      <c r="U115" s="1574"/>
      <c r="V115" s="1165"/>
      <c r="W115" s="1574">
        <v>45877</v>
      </c>
      <c r="X115" s="1574"/>
      <c r="Y115" s="1574" t="s">
        <v>568</v>
      </c>
      <c r="Z115" s="1574"/>
      <c r="AA115" s="1575" t="s">
        <v>19</v>
      </c>
      <c r="AB115" s="1575" t="s">
        <v>20</v>
      </c>
      <c r="AC115" s="1166"/>
      <c r="AD115" s="1574">
        <v>45878</v>
      </c>
      <c r="AE115" s="1574"/>
      <c r="AF115" s="1167" t="s">
        <v>569</v>
      </c>
      <c r="AG115" s="1166"/>
      <c r="AH115" s="1574">
        <v>45879</v>
      </c>
      <c r="AI115" s="1574"/>
      <c r="AJ115" s="1231" t="s">
        <v>570</v>
      </c>
      <c r="AK115" s="1575" t="s">
        <v>1420</v>
      </c>
      <c r="AL115" s="1166"/>
      <c r="AM115" s="1168"/>
      <c r="AO115" s="1170" t="s">
        <v>84</v>
      </c>
      <c r="AP115" s="1171"/>
      <c r="AQ115" s="1171"/>
      <c r="AR115" s="1171"/>
      <c r="AS115" s="1171"/>
      <c r="AT115" s="1171"/>
    </row>
    <row r="116" spans="1:53" s="1169" customFormat="1">
      <c r="A116" s="1164"/>
      <c r="B116" s="1608"/>
      <c r="C116" s="1172" t="s">
        <v>23</v>
      </c>
      <c r="D116" s="1172" t="s">
        <v>24</v>
      </c>
      <c r="E116" s="1173" t="s">
        <v>25</v>
      </c>
      <c r="F116" s="1174" t="s">
        <v>14</v>
      </c>
      <c r="G116" s="1166"/>
      <c r="H116" s="1172" t="s">
        <v>23</v>
      </c>
      <c r="I116" s="1172" t="s">
        <v>24</v>
      </c>
      <c r="J116" s="1174" t="s">
        <v>25</v>
      </c>
      <c r="K116" s="1174" t="s">
        <v>14</v>
      </c>
      <c r="L116" s="1166"/>
      <c r="M116" s="1172" t="s">
        <v>23</v>
      </c>
      <c r="N116" s="1172" t="s">
        <v>24</v>
      </c>
      <c r="O116" s="1174" t="s">
        <v>25</v>
      </c>
      <c r="P116" s="1174" t="s">
        <v>14</v>
      </c>
      <c r="Q116" s="1166"/>
      <c r="R116" s="1172" t="s">
        <v>23</v>
      </c>
      <c r="S116" s="1172" t="s">
        <v>24</v>
      </c>
      <c r="T116" s="1174" t="s">
        <v>25</v>
      </c>
      <c r="U116" s="1174" t="s">
        <v>14</v>
      </c>
      <c r="V116" s="1166"/>
      <c r="W116" s="1172" t="s">
        <v>23</v>
      </c>
      <c r="X116" s="1172" t="s">
        <v>24</v>
      </c>
      <c r="Y116" s="1174" t="s">
        <v>25</v>
      </c>
      <c r="Z116" s="1174" t="s">
        <v>14</v>
      </c>
      <c r="AA116" s="1575"/>
      <c r="AB116" s="1575"/>
      <c r="AC116" s="1166"/>
      <c r="AD116" s="1172" t="s">
        <v>23</v>
      </c>
      <c r="AE116" s="1172" t="s">
        <v>24</v>
      </c>
      <c r="AF116" s="1174" t="s">
        <v>25</v>
      </c>
      <c r="AG116" s="1166"/>
      <c r="AH116" s="1172" t="s">
        <v>23</v>
      </c>
      <c r="AI116" s="1172" t="s">
        <v>24</v>
      </c>
      <c r="AJ116" s="1174" t="s">
        <v>25</v>
      </c>
      <c r="AK116" s="1575"/>
      <c r="AL116" s="1166"/>
      <c r="AM116" s="1168"/>
      <c r="AO116" s="1175" t="s">
        <v>26</v>
      </c>
      <c r="AP116" s="1176">
        <f>AA129</f>
        <v>81.75</v>
      </c>
      <c r="AQ116" s="1177">
        <v>40.31</v>
      </c>
      <c r="AR116" s="1177">
        <f t="shared" ref="AR116:AR121" si="30">AP116*AQ116</f>
        <v>3295.3425000000002</v>
      </c>
      <c r="AS116" s="1178"/>
      <c r="AT116" s="1178"/>
    </row>
    <row r="117" spans="1:53" s="1169" customFormat="1" ht="13.5" customHeight="1">
      <c r="A117" s="1164"/>
      <c r="B117" s="1166" t="s">
        <v>1064</v>
      </c>
      <c r="C117" s="1206"/>
      <c r="D117" s="1206"/>
      <c r="E117" s="1207"/>
      <c r="F117" s="1201"/>
      <c r="G117" s="1166"/>
      <c r="H117" s="1206">
        <v>0.16666666666666666</v>
      </c>
      <c r="I117" s="1206">
        <v>0.41666666666666669</v>
      </c>
      <c r="J117" s="1207">
        <v>6</v>
      </c>
      <c r="K117" s="1201"/>
      <c r="L117" s="1166"/>
      <c r="M117" s="1206">
        <v>0.16666666666666666</v>
      </c>
      <c r="N117" s="1206">
        <v>0.41666666666666669</v>
      </c>
      <c r="O117" s="1207">
        <v>6</v>
      </c>
      <c r="P117" s="1201"/>
      <c r="Q117" s="1166"/>
      <c r="R117" s="1206">
        <v>0.16666666666666666</v>
      </c>
      <c r="S117" s="1206">
        <v>0.41666666666666669</v>
      </c>
      <c r="T117" s="1207">
        <v>6</v>
      </c>
      <c r="U117" s="1201"/>
      <c r="V117" s="1166"/>
      <c r="W117" s="1206">
        <v>0.52083333333333337</v>
      </c>
      <c r="X117" s="1206">
        <v>0.28125</v>
      </c>
      <c r="Y117" s="1207">
        <v>6.25</v>
      </c>
      <c r="Z117" s="1201"/>
      <c r="AA117" s="1203">
        <f>(E117+J117+O117+T117+Y117)</f>
        <v>24.25</v>
      </c>
      <c r="AB117" s="1225">
        <f t="shared" ref="AB117:AB120" si="31">Z117+U117+P117+K117+F117</f>
        <v>0</v>
      </c>
      <c r="AC117" s="1166"/>
      <c r="AD117" s="1206">
        <v>0.5</v>
      </c>
      <c r="AE117" s="1206">
        <v>0.3125</v>
      </c>
      <c r="AF117" s="1207">
        <v>7.5</v>
      </c>
      <c r="AG117" s="1166"/>
      <c r="AH117" s="1206">
        <v>0.52083333333333337</v>
      </c>
      <c r="AI117" s="1206">
        <v>0.3125</v>
      </c>
      <c r="AJ117" s="1207">
        <v>7</v>
      </c>
      <c r="AK117" s="1203">
        <f t="shared" ref="AK117:AK125" si="32">AJ117+AF117</f>
        <v>14.5</v>
      </c>
      <c r="AL117" s="1166"/>
      <c r="AM117" s="1168"/>
      <c r="AO117" s="1175" t="s">
        <v>30</v>
      </c>
      <c r="AP117" s="1176">
        <f>AB129</f>
        <v>2.5</v>
      </c>
      <c r="AQ117" s="1177">
        <v>60.465000000000003</v>
      </c>
      <c r="AR117" s="1177">
        <f t="shared" si="30"/>
        <v>151.16250000000002</v>
      </c>
      <c r="AS117" s="1178"/>
      <c r="AT117" s="1178"/>
    </row>
    <row r="118" spans="1:53" s="1169" customFormat="1">
      <c r="A118" s="1164"/>
      <c r="B118" s="1206" t="s">
        <v>1441</v>
      </c>
      <c r="C118" s="1206">
        <v>0.5</v>
      </c>
      <c r="D118" s="1206">
        <v>0.25</v>
      </c>
      <c r="E118" s="1207">
        <v>6</v>
      </c>
      <c r="F118" s="1201"/>
      <c r="G118" s="1166"/>
      <c r="H118" s="1206"/>
      <c r="I118" s="1206"/>
      <c r="J118" s="1207"/>
      <c r="K118" s="1201"/>
      <c r="L118" s="1166"/>
      <c r="M118" s="1206"/>
      <c r="N118" s="1206"/>
      <c r="O118" s="1207"/>
      <c r="P118" s="1201"/>
      <c r="Q118" s="1166"/>
      <c r="R118" s="1206"/>
      <c r="S118" s="1206"/>
      <c r="T118" s="1207"/>
      <c r="U118" s="1201"/>
      <c r="V118" s="1166"/>
      <c r="W118" s="1206"/>
      <c r="X118" s="1206"/>
      <c r="Y118" s="1207"/>
      <c r="Z118" s="1201"/>
      <c r="AA118" s="1203">
        <f t="shared" ref="AA118:AA120" si="33">(E118+J118+O118+T118+Y118)</f>
        <v>6</v>
      </c>
      <c r="AB118" s="1225">
        <f t="shared" si="31"/>
        <v>0</v>
      </c>
      <c r="AC118" s="1166"/>
      <c r="AD118" s="1206"/>
      <c r="AE118" s="1206"/>
      <c r="AF118" s="1207"/>
      <c r="AG118" s="1166"/>
      <c r="AH118" s="1206"/>
      <c r="AI118" s="1206"/>
      <c r="AJ118" s="1207"/>
      <c r="AK118" s="1203">
        <f t="shared" si="32"/>
        <v>0</v>
      </c>
      <c r="AL118" s="1166"/>
      <c r="AM118" s="1168"/>
      <c r="AO118" s="1175" t="s">
        <v>32</v>
      </c>
      <c r="AP118" s="1176">
        <f>AK129</f>
        <v>41</v>
      </c>
      <c r="AQ118" s="1177">
        <v>60.465000000000003</v>
      </c>
      <c r="AR118" s="1177">
        <f t="shared" si="30"/>
        <v>2479.0650000000001</v>
      </c>
      <c r="AS118" s="1178"/>
      <c r="AT118" s="1178"/>
    </row>
    <row r="119" spans="1:53" s="1178" customFormat="1">
      <c r="A119" s="1164"/>
      <c r="B119" s="1206" t="s">
        <v>1444</v>
      </c>
      <c r="C119" s="1206"/>
      <c r="D119" s="1206"/>
      <c r="E119" s="1207"/>
      <c r="F119" s="1201"/>
      <c r="G119" s="1166"/>
      <c r="H119" s="1206"/>
      <c r="I119" s="1206"/>
      <c r="J119" s="1207"/>
      <c r="K119" s="1201"/>
      <c r="L119" s="1166"/>
      <c r="M119" s="1206"/>
      <c r="N119" s="1206"/>
      <c r="O119" s="1207"/>
      <c r="P119" s="1201"/>
      <c r="Q119" s="1166"/>
      <c r="R119" s="1206"/>
      <c r="S119" s="1206"/>
      <c r="T119" s="1207"/>
      <c r="U119" s="1201"/>
      <c r="V119" s="1166"/>
      <c r="W119" s="1206"/>
      <c r="X119" s="1206"/>
      <c r="Y119" s="1207"/>
      <c r="Z119" s="1201"/>
      <c r="AA119" s="1203">
        <f t="shared" si="33"/>
        <v>0</v>
      </c>
      <c r="AB119" s="1225">
        <f t="shared" si="31"/>
        <v>0</v>
      </c>
      <c r="AC119" s="1166"/>
      <c r="AD119" s="1206"/>
      <c r="AE119" s="1206"/>
      <c r="AF119" s="1207"/>
      <c r="AG119" s="1166"/>
      <c r="AH119" s="1206"/>
      <c r="AI119" s="1206"/>
      <c r="AJ119" s="1207"/>
      <c r="AK119" s="1203">
        <f t="shared" si="32"/>
        <v>0</v>
      </c>
      <c r="AL119" s="1166"/>
      <c r="AM119" s="1168"/>
      <c r="AN119" s="1169"/>
      <c r="AO119" s="1175" t="s">
        <v>213</v>
      </c>
      <c r="AP119" s="1176">
        <f>AA130</f>
        <v>19</v>
      </c>
      <c r="AQ119" s="1177">
        <v>53.05</v>
      </c>
      <c r="AR119" s="1177">
        <f t="shared" si="30"/>
        <v>1007.9499999999999</v>
      </c>
      <c r="AU119" s="1169"/>
      <c r="AV119" s="1169"/>
      <c r="AW119" s="1169"/>
      <c r="AX119" s="1169"/>
      <c r="AY119" s="1169"/>
      <c r="AZ119" s="1169"/>
      <c r="BA119" s="1169"/>
    </row>
    <row r="120" spans="1:53" s="1178" customFormat="1">
      <c r="A120" s="1164"/>
      <c r="B120" s="1210" t="s">
        <v>1447</v>
      </c>
      <c r="C120" s="1206"/>
      <c r="D120" s="1206"/>
      <c r="E120" s="1207"/>
      <c r="F120" s="1201"/>
      <c r="G120" s="1206">
        <v>0.47916666666666669</v>
      </c>
      <c r="H120" s="1206">
        <v>0.47916666666666669</v>
      </c>
      <c r="I120" s="1206">
        <v>0.41666666666666669</v>
      </c>
      <c r="J120" s="1207">
        <v>8</v>
      </c>
      <c r="K120" s="1201">
        <v>1.5</v>
      </c>
      <c r="L120" s="1166"/>
      <c r="M120" s="1206">
        <v>0.16666666666666666</v>
      </c>
      <c r="N120" s="1206">
        <v>0.41666666666666669</v>
      </c>
      <c r="O120" s="1207">
        <v>6</v>
      </c>
      <c r="P120" s="1201"/>
      <c r="Q120" s="1166"/>
      <c r="R120" s="1206"/>
      <c r="S120" s="1206"/>
      <c r="T120" s="1207"/>
      <c r="U120" s="1201"/>
      <c r="V120" s="1166"/>
      <c r="W120" s="1206"/>
      <c r="X120" s="1206"/>
      <c r="Y120" s="1207"/>
      <c r="Z120" s="1201"/>
      <c r="AA120" s="1203">
        <f t="shared" si="33"/>
        <v>14</v>
      </c>
      <c r="AB120" s="1225">
        <f t="shared" si="31"/>
        <v>1.5</v>
      </c>
      <c r="AC120" s="1166"/>
      <c r="AD120" s="1206">
        <v>0.5</v>
      </c>
      <c r="AE120" s="1206">
        <v>0.27083333333333331</v>
      </c>
      <c r="AF120" s="1207">
        <v>6.5</v>
      </c>
      <c r="AG120" s="1166"/>
      <c r="AH120" s="1226"/>
      <c r="AI120" s="1206"/>
      <c r="AJ120" s="1207"/>
      <c r="AK120" s="1203">
        <f t="shared" si="32"/>
        <v>6.5</v>
      </c>
      <c r="AL120" s="1166"/>
      <c r="AM120" s="1168"/>
      <c r="AN120" s="1169"/>
      <c r="AO120" s="1175" t="s">
        <v>36</v>
      </c>
      <c r="AP120" s="1176">
        <f>AB130</f>
        <v>0</v>
      </c>
      <c r="AQ120" s="1177">
        <v>79.574999999999989</v>
      </c>
      <c r="AR120" s="1177">
        <f t="shared" si="30"/>
        <v>0</v>
      </c>
      <c r="AU120" s="1169"/>
      <c r="AV120" s="1169"/>
      <c r="AW120" s="1169"/>
      <c r="AX120" s="1169"/>
      <c r="AY120" s="1169"/>
      <c r="AZ120" s="1169"/>
      <c r="BA120" s="1169"/>
    </row>
    <row r="121" spans="1:53" s="1178" customFormat="1">
      <c r="A121" s="1164"/>
      <c r="B121" s="1210" t="s">
        <v>1141</v>
      </c>
      <c r="C121" s="1206"/>
      <c r="D121" s="1206"/>
      <c r="E121" s="1207"/>
      <c r="F121" s="1201"/>
      <c r="G121" s="1166"/>
      <c r="H121" s="1206"/>
      <c r="I121" s="1206"/>
      <c r="J121" s="1207"/>
      <c r="K121" s="1201"/>
      <c r="L121" s="1166"/>
      <c r="M121" s="1206">
        <v>0.16666666666666666</v>
      </c>
      <c r="N121" s="1206">
        <v>0.41666666666666669</v>
      </c>
      <c r="O121" s="1207">
        <v>6</v>
      </c>
      <c r="P121" s="1201"/>
      <c r="Q121" s="1166"/>
      <c r="R121" s="1206">
        <v>0.1875</v>
      </c>
      <c r="S121" s="1206">
        <v>0.41666666666666669</v>
      </c>
      <c r="T121" s="1207">
        <v>5.5</v>
      </c>
      <c r="U121" s="1201"/>
      <c r="V121" s="1166"/>
      <c r="W121" s="1206">
        <v>0.47916666666666669</v>
      </c>
      <c r="X121" s="1206">
        <v>0.27083333333333331</v>
      </c>
      <c r="Y121" s="1207">
        <v>6</v>
      </c>
      <c r="Z121" s="1201"/>
      <c r="AA121" s="1203">
        <f>(E121+J121+O121+T121+Y121)</f>
        <v>17.5</v>
      </c>
      <c r="AB121" s="1225">
        <f>Z121+U121+P121+K121+F121</f>
        <v>0</v>
      </c>
      <c r="AC121" s="1166"/>
      <c r="AD121" s="1206">
        <v>0.52083333333333337</v>
      </c>
      <c r="AE121" s="1206">
        <v>0.29166666666666669</v>
      </c>
      <c r="AF121" s="1207">
        <v>6.5</v>
      </c>
      <c r="AG121" s="1166"/>
      <c r="AH121" s="1206">
        <v>0.10416666666666667</v>
      </c>
      <c r="AI121" s="1206"/>
      <c r="AJ121" s="1207">
        <v>6</v>
      </c>
      <c r="AK121" s="1203">
        <f t="shared" si="32"/>
        <v>12.5</v>
      </c>
      <c r="AL121" s="1166"/>
      <c r="AM121" s="1168"/>
      <c r="AN121" s="1169"/>
      <c r="AO121" s="1175" t="s">
        <v>38</v>
      </c>
      <c r="AP121" s="1176">
        <f>AK130</f>
        <v>8.75</v>
      </c>
      <c r="AQ121" s="1177">
        <v>79.574999999999989</v>
      </c>
      <c r="AR121" s="1177">
        <f t="shared" si="30"/>
        <v>696.28124999999989</v>
      </c>
      <c r="AU121" s="1169"/>
      <c r="AV121" s="1169"/>
      <c r="AW121" s="1169"/>
      <c r="AX121" s="1169"/>
      <c r="AY121" s="1169"/>
      <c r="AZ121" s="1169"/>
      <c r="BA121" s="1169"/>
    </row>
    <row r="122" spans="1:53" s="1178" customFormat="1">
      <c r="A122" s="1164"/>
      <c r="B122" s="1210" t="s">
        <v>1140</v>
      </c>
      <c r="C122" s="1206"/>
      <c r="D122" s="1206"/>
      <c r="E122" s="1207"/>
      <c r="F122" s="1201"/>
      <c r="G122" s="1166"/>
      <c r="H122" s="1206"/>
      <c r="I122" s="1206"/>
      <c r="J122" s="1207"/>
      <c r="K122" s="1201"/>
      <c r="L122" s="1166"/>
      <c r="M122" s="1206"/>
      <c r="N122" s="1206"/>
      <c r="O122" s="1207"/>
      <c r="P122" s="1201"/>
      <c r="Q122" s="1166"/>
      <c r="R122" s="1206">
        <v>0.29166666666666669</v>
      </c>
      <c r="S122" s="1206">
        <v>0.20833333333333334</v>
      </c>
      <c r="T122" s="1207">
        <v>8</v>
      </c>
      <c r="U122" s="1201">
        <v>1</v>
      </c>
      <c r="V122" s="1166"/>
      <c r="W122" s="1206">
        <v>0.14583333333333334</v>
      </c>
      <c r="X122" s="1206">
        <v>0.39583333333333331</v>
      </c>
      <c r="Y122" s="1207">
        <v>6</v>
      </c>
      <c r="Z122" s="1201"/>
      <c r="AA122" s="1203">
        <f t="shared" ref="AA122:AA124" si="34">(E122+J122+O122+T122+Y122)</f>
        <v>14</v>
      </c>
      <c r="AB122" s="1225">
        <f t="shared" ref="AB122:AB124" si="35">Z122+U122+P122+K122+F122</f>
        <v>1</v>
      </c>
      <c r="AC122" s="1166"/>
      <c r="AD122" s="1206">
        <v>0.5</v>
      </c>
      <c r="AE122" s="1206">
        <v>0.3125</v>
      </c>
      <c r="AF122" s="1207">
        <v>7.5</v>
      </c>
      <c r="AG122" s="1166"/>
      <c r="AH122" s="1206"/>
      <c r="AI122" s="1206"/>
      <c r="AJ122" s="1207"/>
      <c r="AK122" s="1203">
        <f t="shared" si="32"/>
        <v>7.5</v>
      </c>
      <c r="AL122" s="1166"/>
      <c r="AM122" s="1168"/>
      <c r="AN122" s="1169"/>
      <c r="AP122" s="1176"/>
      <c r="AR122" s="1227">
        <f>SUM(AR116:AR121)</f>
        <v>7629.8012499999995</v>
      </c>
      <c r="AU122" s="1169"/>
      <c r="AV122" s="1169"/>
      <c r="AW122" s="1169"/>
      <c r="AX122" s="1169"/>
      <c r="AY122" s="1169"/>
      <c r="AZ122" s="1169"/>
      <c r="BA122" s="1169"/>
    </row>
    <row r="123" spans="1:53" s="1178" customFormat="1">
      <c r="A123" s="1164"/>
      <c r="B123" s="1210" t="s">
        <v>53</v>
      </c>
      <c r="C123" s="1206"/>
      <c r="D123" s="1206"/>
      <c r="E123" s="1207"/>
      <c r="F123" s="1201"/>
      <c r="G123" s="1166"/>
      <c r="H123" s="1206"/>
      <c r="I123" s="1206"/>
      <c r="J123" s="1207"/>
      <c r="K123" s="1201"/>
      <c r="L123" s="1166"/>
      <c r="M123" s="1206"/>
      <c r="N123" s="1206"/>
      <c r="O123" s="1207"/>
      <c r="P123" s="1201"/>
      <c r="Q123" s="1166"/>
      <c r="R123" s="1169"/>
      <c r="S123" s="1206"/>
      <c r="T123" s="1207"/>
      <c r="U123" s="1201"/>
      <c r="V123" s="1166"/>
      <c r="W123" s="1206"/>
      <c r="X123" s="1206"/>
      <c r="Y123" s="1207"/>
      <c r="Z123" s="1201"/>
      <c r="AA123" s="1203">
        <f t="shared" si="34"/>
        <v>0</v>
      </c>
      <c r="AB123" s="1225">
        <f t="shared" si="35"/>
        <v>0</v>
      </c>
      <c r="AC123" s="1166"/>
      <c r="AD123" s="1206"/>
      <c r="AE123" s="1206"/>
      <c r="AF123" s="1207"/>
      <c r="AG123" s="1166"/>
      <c r="AH123" s="1226"/>
      <c r="AI123" s="1206"/>
      <c r="AJ123" s="1207"/>
      <c r="AK123" s="1203">
        <f t="shared" si="32"/>
        <v>0</v>
      </c>
      <c r="AL123" s="1166"/>
      <c r="AM123" s="1168"/>
      <c r="AN123" s="1169"/>
      <c r="AP123" s="1176"/>
      <c r="AU123" s="1169"/>
      <c r="AV123" s="1169"/>
      <c r="AW123" s="1169"/>
      <c r="AX123" s="1169"/>
      <c r="AY123" s="1169"/>
      <c r="AZ123" s="1169"/>
      <c r="BA123" s="1169"/>
    </row>
    <row r="124" spans="1:53" s="1178" customFormat="1">
      <c r="A124" s="1164"/>
      <c r="B124" s="1210" t="s">
        <v>1455</v>
      </c>
      <c r="C124" s="1206"/>
      <c r="D124" s="1206"/>
      <c r="E124" s="1207"/>
      <c r="F124" s="1201"/>
      <c r="G124" s="1166"/>
      <c r="H124" s="1206"/>
      <c r="I124" s="1206"/>
      <c r="J124" s="1207"/>
      <c r="K124" s="1201"/>
      <c r="L124" s="1166"/>
      <c r="M124" s="1206"/>
      <c r="N124" s="1206"/>
      <c r="O124" s="1207"/>
      <c r="P124" s="1201"/>
      <c r="Q124" s="1166"/>
      <c r="R124" s="1206"/>
      <c r="S124" s="1206"/>
      <c r="T124" s="1207"/>
      <c r="U124" s="1201"/>
      <c r="V124" s="1166"/>
      <c r="W124" s="1206"/>
      <c r="X124" s="1206"/>
      <c r="Y124" s="1207"/>
      <c r="Z124" s="1201"/>
      <c r="AA124" s="1203">
        <f t="shared" si="34"/>
        <v>0</v>
      </c>
      <c r="AB124" s="1225">
        <f t="shared" si="35"/>
        <v>0</v>
      </c>
      <c r="AC124" s="1166"/>
      <c r="AD124" s="1206"/>
      <c r="AE124" s="1206"/>
      <c r="AF124" s="1207"/>
      <c r="AG124" s="1166"/>
      <c r="AH124" s="1206"/>
      <c r="AI124" s="1206"/>
      <c r="AJ124" s="1207"/>
      <c r="AK124" s="1203">
        <f t="shared" si="32"/>
        <v>0</v>
      </c>
      <c r="AL124" s="1166"/>
      <c r="AM124" s="1168"/>
      <c r="AN124" s="1169"/>
      <c r="AO124" s="1228" t="s">
        <v>1115</v>
      </c>
      <c r="AP124" s="1176">
        <f>C132</f>
        <v>21</v>
      </c>
      <c r="AU124" s="1169"/>
      <c r="AV124" s="1169"/>
      <c r="AW124" s="1169"/>
      <c r="AX124" s="1169"/>
      <c r="AY124" s="1169"/>
      <c r="AZ124" s="1169"/>
      <c r="BA124" s="1169"/>
    </row>
    <row r="125" spans="1:53" s="1178" customFormat="1">
      <c r="A125" s="1164"/>
      <c r="B125" s="1210" t="s">
        <v>1437</v>
      </c>
      <c r="C125" s="1206"/>
      <c r="D125" s="1206"/>
      <c r="E125" s="1207"/>
      <c r="F125" s="1201"/>
      <c r="G125" s="1166"/>
      <c r="H125" s="1206">
        <v>0.14583333333333334</v>
      </c>
      <c r="I125" s="1206">
        <v>0.39583333333333331</v>
      </c>
      <c r="J125" s="1207">
        <v>6</v>
      </c>
      <c r="K125" s="1201"/>
      <c r="L125" s="1166"/>
      <c r="M125" s="1206"/>
      <c r="N125" s="1206"/>
      <c r="O125" s="1207"/>
      <c r="P125" s="1201"/>
      <c r="Q125" s="1166"/>
      <c r="R125" s="1206"/>
      <c r="S125" s="1206"/>
      <c r="T125" s="1207"/>
      <c r="U125" s="1201"/>
      <c r="V125" s="1166"/>
      <c r="W125" s="1206"/>
      <c r="X125" s="1206"/>
      <c r="Y125" s="1207"/>
      <c r="Z125" s="1201"/>
      <c r="AA125" s="1203">
        <f t="shared" ref="AA125" si="36">(E125+J125+O125+T125+Y125)</f>
        <v>6</v>
      </c>
      <c r="AB125" s="1225">
        <f t="shared" ref="AB125" si="37">Z125+U125+P125+K125+F125</f>
        <v>0</v>
      </c>
      <c r="AC125" s="1166"/>
      <c r="AD125" s="1206"/>
      <c r="AE125" s="1206"/>
      <c r="AF125" s="1207"/>
      <c r="AG125" s="1166"/>
      <c r="AH125" s="1206"/>
      <c r="AI125" s="1206"/>
      <c r="AJ125" s="1207"/>
      <c r="AK125" s="1203">
        <f t="shared" si="32"/>
        <v>0</v>
      </c>
      <c r="AL125" s="1166"/>
      <c r="AM125" s="1168"/>
      <c r="AN125" s="1169"/>
      <c r="AO125" s="1228"/>
      <c r="AP125" s="1176"/>
      <c r="AU125" s="1169"/>
      <c r="AV125" s="1169"/>
      <c r="AW125" s="1169"/>
      <c r="AX125" s="1169"/>
      <c r="AY125" s="1169"/>
      <c r="AZ125" s="1169"/>
      <c r="BA125" s="1169"/>
    </row>
    <row r="126" spans="1:53" s="1178" customFormat="1">
      <c r="A126" s="1164"/>
      <c r="B126" s="1210" t="s">
        <v>1456</v>
      </c>
      <c r="C126" s="1206"/>
      <c r="D126" s="1206"/>
      <c r="E126" s="1207"/>
      <c r="F126" s="1201"/>
      <c r="G126" s="1166"/>
      <c r="H126" s="1206"/>
      <c r="I126" s="1206"/>
      <c r="J126" s="1207"/>
      <c r="K126" s="1201"/>
      <c r="L126" s="1166"/>
      <c r="M126" s="1206"/>
      <c r="N126" s="1206"/>
      <c r="O126" s="1207"/>
      <c r="P126" s="1201"/>
      <c r="Q126" s="1166"/>
      <c r="R126" s="1206"/>
      <c r="S126" s="1206"/>
      <c r="T126" s="1207"/>
      <c r="U126" s="1201"/>
      <c r="V126" s="1166"/>
      <c r="W126" s="1206"/>
      <c r="X126" s="1206"/>
      <c r="Y126" s="1207"/>
      <c r="Z126" s="1201"/>
      <c r="AA126" s="1203">
        <f>(E126+J126+O126+T126+Y126)</f>
        <v>0</v>
      </c>
      <c r="AB126" s="1225">
        <f t="shared" ref="AB126:AB128" si="38">Z126+U126+P126+K126+F126</f>
        <v>0</v>
      </c>
      <c r="AC126" s="1166"/>
      <c r="AD126" s="1206"/>
      <c r="AE126" s="1206"/>
      <c r="AF126" s="1207"/>
      <c r="AG126" s="1166"/>
      <c r="AH126" s="1206"/>
      <c r="AI126" s="1206"/>
      <c r="AJ126" s="1207"/>
      <c r="AK126" s="1203">
        <f t="shared" ref="AK126:AK128" si="39">AJ126+AF126</f>
        <v>0</v>
      </c>
      <c r="AL126" s="1166"/>
      <c r="AM126" s="1168"/>
      <c r="AN126" s="1169"/>
      <c r="AO126" s="1228"/>
      <c r="AP126" s="1176"/>
      <c r="AU126" s="1169"/>
      <c r="AV126" s="1169"/>
      <c r="AW126" s="1169"/>
      <c r="AX126" s="1169"/>
      <c r="AY126" s="1169"/>
      <c r="AZ126" s="1169"/>
      <c r="BA126" s="1169"/>
    </row>
    <row r="127" spans="1:53" s="1178" customFormat="1">
      <c r="A127" s="1164"/>
      <c r="B127" s="1210" t="s">
        <v>1143</v>
      </c>
      <c r="C127" s="1206"/>
      <c r="D127" s="1206"/>
      <c r="E127" s="1207"/>
      <c r="F127" s="1201"/>
      <c r="G127" s="1166"/>
      <c r="H127" s="1206"/>
      <c r="I127" s="1206"/>
      <c r="J127" s="1207"/>
      <c r="K127" s="1201"/>
      <c r="L127" s="1166"/>
      <c r="M127" s="1206"/>
      <c r="N127" s="1206"/>
      <c r="O127" s="1207"/>
      <c r="P127" s="1201"/>
      <c r="Q127" s="1166"/>
      <c r="R127" s="1206"/>
      <c r="S127" s="1206"/>
      <c r="T127" s="1207"/>
      <c r="U127" s="1201"/>
      <c r="V127" s="1166"/>
      <c r="W127" s="1206"/>
      <c r="X127" s="1206"/>
      <c r="Y127" s="1207"/>
      <c r="Z127" s="1201"/>
      <c r="AA127" s="1203">
        <f t="shared" ref="AA127:AA128" si="40">(E127+J127+O127+T127+Y127)</f>
        <v>0</v>
      </c>
      <c r="AB127" s="1225">
        <f t="shared" si="38"/>
        <v>0</v>
      </c>
      <c r="AC127" s="1166"/>
      <c r="AD127" s="1206">
        <v>4.1666666666666664E-2</v>
      </c>
      <c r="AE127" s="1206">
        <v>0.33333333333333331</v>
      </c>
      <c r="AF127" s="1207">
        <v>7</v>
      </c>
      <c r="AG127" s="1166"/>
      <c r="AH127" s="1206">
        <v>6.25E-2</v>
      </c>
      <c r="AI127" s="1206">
        <v>0.28125</v>
      </c>
      <c r="AJ127" s="1207">
        <v>5.25</v>
      </c>
      <c r="AK127" s="1203">
        <f t="shared" si="39"/>
        <v>12.25</v>
      </c>
      <c r="AL127" s="1166"/>
      <c r="AM127" s="1168"/>
      <c r="AN127" s="1169"/>
      <c r="AO127" s="1228"/>
      <c r="AP127" s="1176"/>
      <c r="AU127" s="1169"/>
      <c r="AV127" s="1169"/>
      <c r="AW127" s="1169"/>
      <c r="AX127" s="1169"/>
      <c r="AY127" s="1169"/>
      <c r="AZ127" s="1169"/>
      <c r="BA127" s="1169"/>
    </row>
    <row r="128" spans="1:53" s="1178" customFormat="1">
      <c r="A128" s="1164"/>
      <c r="B128" s="1210" t="s">
        <v>1435</v>
      </c>
      <c r="C128" s="1206"/>
      <c r="D128" s="1206"/>
      <c r="E128" s="1207"/>
      <c r="F128" s="1201"/>
      <c r="G128" s="1166"/>
      <c r="H128" s="1206"/>
      <c r="I128" s="1206"/>
      <c r="J128" s="1207"/>
      <c r="K128" s="1201"/>
      <c r="L128" s="1166"/>
      <c r="M128" s="1206"/>
      <c r="N128" s="1206"/>
      <c r="O128" s="1207"/>
      <c r="P128" s="1201"/>
      <c r="Q128" s="1166"/>
      <c r="R128" s="1206"/>
      <c r="S128" s="1206"/>
      <c r="T128" s="1207"/>
      <c r="U128" s="1201"/>
      <c r="V128" s="1166"/>
      <c r="W128" s="1206"/>
      <c r="X128" s="1206"/>
      <c r="Y128" s="1207"/>
      <c r="Z128" s="1201"/>
      <c r="AA128" s="1203">
        <f t="shared" si="40"/>
        <v>0</v>
      </c>
      <c r="AB128" s="1225">
        <f t="shared" si="38"/>
        <v>0</v>
      </c>
      <c r="AC128" s="1166"/>
      <c r="AD128" s="1206"/>
      <c r="AE128" s="1206"/>
      <c r="AF128" s="1207"/>
      <c r="AG128" s="1166"/>
      <c r="AH128" s="1206"/>
      <c r="AI128" s="1206"/>
      <c r="AJ128" s="1207"/>
      <c r="AK128" s="1203">
        <f t="shared" si="39"/>
        <v>0</v>
      </c>
      <c r="AL128" s="1166"/>
      <c r="AM128" s="1168"/>
      <c r="AN128" s="1169"/>
      <c r="AO128" s="1228"/>
      <c r="AP128" s="1176"/>
      <c r="AU128" s="1169"/>
      <c r="AV128" s="1169"/>
      <c r="AW128" s="1169"/>
      <c r="AX128" s="1169"/>
      <c r="AY128" s="1169"/>
      <c r="AZ128" s="1169"/>
      <c r="BA128" s="1169"/>
    </row>
    <row r="129" spans="1:53" s="1169" customFormat="1">
      <c r="A129" s="1164"/>
      <c r="B129" s="1232" t="s">
        <v>61</v>
      </c>
      <c r="C129" s="1232"/>
      <c r="D129" s="1232"/>
      <c r="E129" s="1233"/>
      <c r="F129" s="1201"/>
      <c r="G129" s="1232"/>
      <c r="H129" s="1232"/>
      <c r="I129" s="1232"/>
      <c r="J129" s="1233"/>
      <c r="K129" s="1201"/>
      <c r="L129" s="1232"/>
      <c r="M129" s="1232"/>
      <c r="N129" s="1232"/>
      <c r="O129" s="1233"/>
      <c r="P129" s="1201"/>
      <c r="Q129" s="1232"/>
      <c r="R129" s="1232"/>
      <c r="S129" s="1232"/>
      <c r="T129" s="1233"/>
      <c r="U129" s="1201"/>
      <c r="V129" s="1232"/>
      <c r="W129" s="1232"/>
      <c r="X129" s="1232"/>
      <c r="Y129" s="1233"/>
      <c r="Z129" s="1201"/>
      <c r="AA129" s="1202">
        <f>SUM(AA117:AA128)</f>
        <v>81.75</v>
      </c>
      <c r="AB129" s="1229">
        <f>SUM(AB117:AB124)</f>
        <v>2.5</v>
      </c>
      <c r="AC129" s="1166"/>
      <c r="AD129" s="1232"/>
      <c r="AE129" s="1232"/>
      <c r="AF129" s="1203"/>
      <c r="AG129" s="1166"/>
      <c r="AH129" s="1232"/>
      <c r="AI129" s="1232"/>
      <c r="AJ129" s="1203"/>
      <c r="AK129" s="1229">
        <f>SUM(AK117:AK124)</f>
        <v>41</v>
      </c>
      <c r="AL129" s="1166"/>
      <c r="AM129" s="1168"/>
      <c r="AO129" s="1204"/>
      <c r="AP129" s="1178"/>
      <c r="AQ129" s="1178"/>
      <c r="AR129" s="1178"/>
      <c r="AS129" s="1178"/>
      <c r="AT129" s="1178"/>
    </row>
    <row r="130" spans="1:53" s="1169" customFormat="1">
      <c r="A130" s="1164"/>
      <c r="B130" s="1230" t="s">
        <v>64</v>
      </c>
      <c r="C130" s="1206"/>
      <c r="D130" s="1206"/>
      <c r="E130" s="1207">
        <v>4</v>
      </c>
      <c r="F130" s="1207"/>
      <c r="G130" s="1208"/>
      <c r="H130" s="1206"/>
      <c r="I130" s="1206"/>
      <c r="J130" s="1207">
        <v>4</v>
      </c>
      <c r="K130" s="1207"/>
      <c r="L130" s="1209"/>
      <c r="M130" s="1206"/>
      <c r="N130" s="1206"/>
      <c r="O130" s="1207">
        <v>3</v>
      </c>
      <c r="P130" s="1207"/>
      <c r="Q130" s="1209"/>
      <c r="R130" s="1206"/>
      <c r="S130" s="1206"/>
      <c r="T130" s="1207">
        <v>4</v>
      </c>
      <c r="U130" s="1207"/>
      <c r="V130" s="1209"/>
      <c r="W130" s="1206"/>
      <c r="X130" s="1206"/>
      <c r="Y130" s="1207">
        <v>4</v>
      </c>
      <c r="Z130" s="1207"/>
      <c r="AA130" s="1203">
        <f>SUM(E130+J130+O130+T130+Y130)</f>
        <v>19</v>
      </c>
      <c r="AB130" s="1173">
        <f>Z130+U130+P130+K130+F130</f>
        <v>0</v>
      </c>
      <c r="AC130" s="1166"/>
      <c r="AD130" s="1206"/>
      <c r="AE130" s="1206"/>
      <c r="AF130" s="1207">
        <v>4.5</v>
      </c>
      <c r="AG130" s="1166"/>
      <c r="AH130" s="1206"/>
      <c r="AI130" s="1206"/>
      <c r="AJ130" s="1207">
        <v>4.25</v>
      </c>
      <c r="AK130" s="1203">
        <f>AJ130+AF130</f>
        <v>8.75</v>
      </c>
      <c r="AL130" s="1166"/>
      <c r="AM130" s="1168"/>
      <c r="AO130" s="1204"/>
      <c r="AP130" s="1178"/>
      <c r="AQ130" s="1178"/>
      <c r="AR130" s="1178"/>
      <c r="AS130" s="1178"/>
      <c r="AT130" s="1178"/>
    </row>
    <row r="131" spans="1:53" s="1169" customFormat="1">
      <c r="A131" s="1164"/>
      <c r="B131" s="1208" t="s">
        <v>66</v>
      </c>
      <c r="C131" s="1210"/>
      <c r="D131" s="1210"/>
      <c r="E131" s="1208"/>
      <c r="F131" s="1208"/>
      <c r="G131" s="1208"/>
      <c r="H131" s="1208"/>
      <c r="I131" s="1208"/>
      <c r="J131" s="1208"/>
      <c r="K131" s="1208"/>
      <c r="L131" s="1208"/>
      <c r="M131" s="1208"/>
      <c r="N131" s="1208"/>
      <c r="O131" s="1208"/>
      <c r="P131" s="1208"/>
      <c r="Q131" s="1208"/>
      <c r="R131" s="1208"/>
      <c r="S131" s="1208"/>
      <c r="T131" s="1208"/>
      <c r="U131" s="1208"/>
      <c r="V131" s="1208"/>
      <c r="W131" s="1208"/>
      <c r="X131" s="1208"/>
      <c r="Y131" s="1208"/>
      <c r="Z131" s="1208"/>
      <c r="AA131" s="1211">
        <f>SUM(AA130:AA130)</f>
        <v>19</v>
      </c>
      <c r="AB131" s="1229">
        <f>SUM(AB130:AB130)</f>
        <v>0</v>
      </c>
      <c r="AC131" s="1166"/>
      <c r="AG131" s="1166"/>
      <c r="AK131" s="1229">
        <f>SUM(AK130:AK130)</f>
        <v>8.75</v>
      </c>
      <c r="AL131" s="1166"/>
      <c r="AM131" s="1168"/>
      <c r="AO131" s="1204"/>
      <c r="AP131" s="1178"/>
      <c r="AQ131" s="1178"/>
      <c r="AR131" s="1178"/>
      <c r="AS131" s="1178"/>
      <c r="AT131" s="1178"/>
    </row>
    <row r="132" spans="1:53" s="1169" customFormat="1">
      <c r="A132" s="1164"/>
      <c r="B132" s="1212" t="s">
        <v>67</v>
      </c>
      <c r="C132" s="1213">
        <f>1+3+3+3+3+5+3</f>
        <v>21</v>
      </c>
      <c r="D132" s="1214"/>
      <c r="E132" s="1215"/>
      <c r="F132" s="1215"/>
      <c r="G132" s="1214"/>
      <c r="H132" s="1215"/>
      <c r="I132" s="1215"/>
      <c r="J132" s="1215"/>
      <c r="K132" s="1215"/>
      <c r="L132" s="1214"/>
      <c r="M132" s="1214"/>
      <c r="N132" s="1214"/>
      <c r="O132" s="1214"/>
      <c r="P132" s="1215"/>
      <c r="Q132" s="1214"/>
      <c r="R132" s="1214"/>
      <c r="S132" s="1214"/>
      <c r="T132" s="1214"/>
      <c r="U132" s="1215"/>
      <c r="V132" s="1214"/>
      <c r="W132" s="1214"/>
      <c r="X132" s="1214"/>
      <c r="Y132" s="1216"/>
      <c r="Z132" s="1215"/>
      <c r="AA132" s="1217"/>
      <c r="AB132" s="1215"/>
      <c r="AC132" s="1217"/>
      <c r="AD132" s="1217"/>
      <c r="AE132" s="1217"/>
      <c r="AF132" s="1217"/>
      <c r="AG132" s="1166"/>
      <c r="AH132" s="1217"/>
      <c r="AI132" s="1217"/>
      <c r="AJ132" s="1217"/>
      <c r="AK132" s="1217"/>
      <c r="AL132" s="1166"/>
      <c r="AM132" s="1168"/>
      <c r="AO132" s="1178"/>
      <c r="AP132" s="1178"/>
      <c r="AQ132" s="1178"/>
      <c r="AR132" s="1178"/>
      <c r="AS132" s="1178"/>
      <c r="AT132" s="1178"/>
    </row>
    <row r="133" spans="1:53" s="1169" customFormat="1">
      <c r="A133" s="1164"/>
      <c r="E133" s="1166"/>
      <c r="F133" s="1166"/>
      <c r="G133" s="1166"/>
      <c r="J133" s="1166"/>
      <c r="K133" s="1166"/>
      <c r="L133" s="1166"/>
      <c r="O133" s="1166"/>
      <c r="P133" s="1166"/>
      <c r="Q133" s="1166"/>
      <c r="T133" s="1166"/>
      <c r="U133" s="1166"/>
      <c r="V133" s="1166"/>
      <c r="Y133" s="1166"/>
      <c r="Z133" s="1166"/>
      <c r="AA133" s="1166"/>
      <c r="AB133" s="1166"/>
      <c r="AC133" s="1166"/>
      <c r="AG133" s="1166"/>
      <c r="AL133" s="1166"/>
      <c r="AM133" s="1168"/>
      <c r="AO133" s="1178"/>
      <c r="AP133" s="1178"/>
      <c r="AQ133" s="1178"/>
      <c r="AR133" s="1178"/>
      <c r="AS133" s="1178"/>
      <c r="AT133" s="1178"/>
    </row>
    <row r="134" spans="1:53" s="1169" customFormat="1">
      <c r="A134" s="1164"/>
      <c r="B134" s="1218"/>
      <c r="C134" s="1219"/>
      <c r="D134" s="1219"/>
      <c r="E134" s="1220"/>
      <c r="F134" s="1220"/>
      <c r="G134" s="1219"/>
      <c r="H134" s="1220"/>
      <c r="I134" s="1220"/>
      <c r="J134" s="1220"/>
      <c r="K134" s="1220"/>
      <c r="L134" s="1219"/>
      <c r="M134" s="1219"/>
      <c r="N134" s="1219"/>
      <c r="O134" s="1219"/>
      <c r="P134" s="1220"/>
      <c r="Q134" s="1219"/>
      <c r="R134" s="1219"/>
      <c r="S134" s="1219"/>
      <c r="T134" s="1219"/>
      <c r="U134" s="1220"/>
      <c r="V134" s="1219"/>
      <c r="W134" s="1219"/>
      <c r="X134" s="1219"/>
      <c r="Y134" s="1221"/>
      <c r="Z134" s="1220"/>
      <c r="AA134" s="1222"/>
      <c r="AB134" s="1220"/>
      <c r="AC134" s="1223"/>
      <c r="AD134" s="1224"/>
      <c r="AE134" s="1168"/>
      <c r="AF134" s="1168"/>
      <c r="AG134" s="1168"/>
      <c r="AH134" s="1224"/>
      <c r="AI134" s="1168"/>
      <c r="AJ134" s="1168"/>
      <c r="AK134" s="1168"/>
      <c r="AL134" s="1168"/>
      <c r="AM134" s="1168"/>
      <c r="AN134" s="1168"/>
      <c r="AO134" s="1168"/>
      <c r="AP134" s="1168"/>
      <c r="AQ134" s="1168"/>
      <c r="AR134" s="1168"/>
      <c r="AS134" s="1168"/>
      <c r="AT134" s="1168"/>
    </row>
    <row r="135" spans="1:53" s="1169" customFormat="1">
      <c r="A135" s="1164"/>
      <c r="E135" s="1166"/>
      <c r="F135" s="1166"/>
      <c r="G135" s="1166"/>
      <c r="J135" s="1166"/>
      <c r="K135" s="1166"/>
      <c r="L135" s="1166"/>
      <c r="O135" s="1166"/>
      <c r="P135" s="1166"/>
      <c r="Q135" s="1166"/>
      <c r="T135" s="1166"/>
      <c r="U135" s="1166"/>
      <c r="V135" s="1166"/>
      <c r="Y135" s="1166"/>
      <c r="Z135" s="1166"/>
      <c r="AA135" s="1166"/>
      <c r="AB135" s="1166"/>
      <c r="AC135" s="1166"/>
      <c r="AG135" s="1166"/>
      <c r="AL135" s="1166"/>
      <c r="AM135" s="1168"/>
      <c r="AO135" s="1178"/>
      <c r="AP135" s="1178"/>
      <c r="AQ135" s="1178"/>
      <c r="AR135" s="1178"/>
      <c r="AS135" s="1178"/>
      <c r="AT135" s="1178"/>
    </row>
    <row r="136" spans="1:53" s="1169" customFormat="1" ht="13.5" customHeight="1">
      <c r="A136" s="1164"/>
      <c r="B136" s="1608" t="s">
        <v>18</v>
      </c>
      <c r="C136" s="1574">
        <v>45880</v>
      </c>
      <c r="D136" s="1574"/>
      <c r="E136" s="1574" t="s">
        <v>564</v>
      </c>
      <c r="F136" s="1574"/>
      <c r="G136" s="1165"/>
      <c r="H136" s="1574">
        <v>45881</v>
      </c>
      <c r="I136" s="1574"/>
      <c r="J136" s="1574" t="s">
        <v>565</v>
      </c>
      <c r="K136" s="1574"/>
      <c r="L136" s="1165"/>
      <c r="M136" s="1574">
        <v>45882</v>
      </c>
      <c r="N136" s="1574"/>
      <c r="O136" s="1574" t="s">
        <v>566</v>
      </c>
      <c r="P136" s="1574"/>
      <c r="Q136" s="1165"/>
      <c r="R136" s="1574">
        <v>45883</v>
      </c>
      <c r="S136" s="1574"/>
      <c r="T136" s="1574" t="s">
        <v>567</v>
      </c>
      <c r="U136" s="1574"/>
      <c r="V136" s="1165"/>
      <c r="W136" s="1574">
        <v>45884</v>
      </c>
      <c r="X136" s="1574"/>
      <c r="Y136" s="1574" t="s">
        <v>568</v>
      </c>
      <c r="Z136" s="1574"/>
      <c r="AA136" s="1575" t="s">
        <v>19</v>
      </c>
      <c r="AB136" s="1575" t="s">
        <v>20</v>
      </c>
      <c r="AC136" s="1166"/>
      <c r="AD136" s="1574">
        <v>45885</v>
      </c>
      <c r="AE136" s="1574"/>
      <c r="AF136" s="1167" t="s">
        <v>569</v>
      </c>
      <c r="AG136" s="1166"/>
      <c r="AH136" s="1574">
        <v>45886</v>
      </c>
      <c r="AI136" s="1574"/>
      <c r="AJ136" s="1231" t="s">
        <v>570</v>
      </c>
      <c r="AK136" s="1575" t="s">
        <v>1420</v>
      </c>
      <c r="AL136" s="1166"/>
      <c r="AM136" s="1168"/>
      <c r="AO136" s="1170" t="s">
        <v>84</v>
      </c>
      <c r="AP136" s="1171"/>
      <c r="AQ136" s="1171"/>
      <c r="AR136" s="1171"/>
      <c r="AS136" s="1171"/>
      <c r="AT136" s="1171"/>
    </row>
    <row r="137" spans="1:53" s="1169" customFormat="1">
      <c r="A137" s="1164"/>
      <c r="B137" s="1608"/>
      <c r="C137" s="1172" t="s">
        <v>23</v>
      </c>
      <c r="D137" s="1172" t="s">
        <v>24</v>
      </c>
      <c r="E137" s="1173" t="s">
        <v>25</v>
      </c>
      <c r="F137" s="1174" t="s">
        <v>14</v>
      </c>
      <c r="G137" s="1166"/>
      <c r="H137" s="1172" t="s">
        <v>23</v>
      </c>
      <c r="I137" s="1172" t="s">
        <v>24</v>
      </c>
      <c r="J137" s="1174" t="s">
        <v>25</v>
      </c>
      <c r="K137" s="1174" t="s">
        <v>14</v>
      </c>
      <c r="L137" s="1166"/>
      <c r="M137" s="1172" t="s">
        <v>23</v>
      </c>
      <c r="N137" s="1172" t="s">
        <v>24</v>
      </c>
      <c r="O137" s="1174" t="s">
        <v>25</v>
      </c>
      <c r="P137" s="1174" t="s">
        <v>14</v>
      </c>
      <c r="Q137" s="1166"/>
      <c r="R137" s="1172" t="s">
        <v>23</v>
      </c>
      <c r="S137" s="1172" t="s">
        <v>24</v>
      </c>
      <c r="T137" s="1174" t="s">
        <v>25</v>
      </c>
      <c r="U137" s="1174" t="s">
        <v>14</v>
      </c>
      <c r="V137" s="1166"/>
      <c r="W137" s="1172" t="s">
        <v>23</v>
      </c>
      <c r="X137" s="1172" t="s">
        <v>24</v>
      </c>
      <c r="Y137" s="1174" t="s">
        <v>25</v>
      </c>
      <c r="Z137" s="1174" t="s">
        <v>14</v>
      </c>
      <c r="AA137" s="1575"/>
      <c r="AB137" s="1575"/>
      <c r="AC137" s="1166"/>
      <c r="AD137" s="1172" t="s">
        <v>23</v>
      </c>
      <c r="AE137" s="1172" t="s">
        <v>24</v>
      </c>
      <c r="AF137" s="1174" t="s">
        <v>25</v>
      </c>
      <c r="AG137" s="1166"/>
      <c r="AH137" s="1172" t="s">
        <v>23</v>
      </c>
      <c r="AI137" s="1172" t="s">
        <v>24</v>
      </c>
      <c r="AJ137" s="1174" t="s">
        <v>25</v>
      </c>
      <c r="AK137" s="1575"/>
      <c r="AL137" s="1166"/>
      <c r="AM137" s="1168"/>
      <c r="AO137" s="1175" t="s">
        <v>26</v>
      </c>
      <c r="AP137" s="1176">
        <f>AA150</f>
        <v>145.25</v>
      </c>
      <c r="AQ137" s="1177">
        <v>40.31</v>
      </c>
      <c r="AR137" s="1177">
        <f t="shared" ref="AR137:AR142" si="41">AP137*AQ137</f>
        <v>5855.0275000000001</v>
      </c>
      <c r="AS137" s="1178"/>
      <c r="AT137" s="1178"/>
    </row>
    <row r="138" spans="1:53" s="1169" customFormat="1" ht="13.5" customHeight="1">
      <c r="A138" s="1164"/>
      <c r="B138" s="1166" t="s">
        <v>1064</v>
      </c>
      <c r="C138" s="1206">
        <v>0.52083333333333337</v>
      </c>
      <c r="D138" s="1206">
        <v>0.27083333333333331</v>
      </c>
      <c r="E138" s="1207">
        <v>6</v>
      </c>
      <c r="F138" s="1201"/>
      <c r="G138" s="1166"/>
      <c r="H138" s="1206">
        <v>0.16666666666666666</v>
      </c>
      <c r="I138" s="1206">
        <v>0.41666666666666669</v>
      </c>
      <c r="J138" s="1207">
        <v>6</v>
      </c>
      <c r="K138" s="1201"/>
      <c r="L138" s="1166"/>
      <c r="M138" s="1206">
        <v>0.5</v>
      </c>
      <c r="N138" s="1206">
        <v>0.3125</v>
      </c>
      <c r="O138" s="1207">
        <v>7.5</v>
      </c>
      <c r="P138" s="1201"/>
      <c r="Q138" s="1166"/>
      <c r="R138" s="1206">
        <v>0.53125</v>
      </c>
      <c r="S138" s="1206">
        <v>0.29166666666666669</v>
      </c>
      <c r="T138" s="1207">
        <v>6.25</v>
      </c>
      <c r="U138" s="1201"/>
      <c r="V138" s="1166"/>
      <c r="W138" s="1206">
        <v>0.5</v>
      </c>
      <c r="X138" s="1206">
        <v>0.28125</v>
      </c>
      <c r="Y138" s="1207">
        <v>6.75</v>
      </c>
      <c r="Z138" s="1201"/>
      <c r="AA138" s="1203">
        <f t="shared" ref="AA138:AA149" si="42">(E138+J138+O138+T138+Y138)</f>
        <v>32.5</v>
      </c>
      <c r="AB138" s="1225">
        <f t="shared" ref="AB138:AB149" si="43">Z138+U138+P138+K138+F138</f>
        <v>0</v>
      </c>
      <c r="AC138" s="1166"/>
      <c r="AD138" s="1206">
        <v>0.48958333333333331</v>
      </c>
      <c r="AE138" s="1206">
        <v>0.27083333333333331</v>
      </c>
      <c r="AF138" s="1207">
        <v>5.75</v>
      </c>
      <c r="AG138" s="1166"/>
      <c r="AH138" s="1206">
        <v>7.2916666666666671E-2</v>
      </c>
      <c r="AI138" s="1206">
        <v>0.22916666666666666</v>
      </c>
      <c r="AJ138" s="1207">
        <v>5.75</v>
      </c>
      <c r="AK138" s="1203">
        <f t="shared" ref="AK138:AK149" si="44">AJ138+AF138</f>
        <v>11.5</v>
      </c>
      <c r="AL138" s="1166"/>
      <c r="AM138" s="1168"/>
      <c r="AO138" s="1175" t="s">
        <v>30</v>
      </c>
      <c r="AP138" s="1176">
        <f>AB150</f>
        <v>1.5</v>
      </c>
      <c r="AQ138" s="1177">
        <v>60.465000000000003</v>
      </c>
      <c r="AR138" s="1177">
        <f t="shared" si="41"/>
        <v>90.697500000000005</v>
      </c>
      <c r="AS138" s="1178"/>
      <c r="AT138" s="1178"/>
    </row>
    <row r="139" spans="1:53" s="1169" customFormat="1">
      <c r="A139" s="1164"/>
      <c r="B139" s="1206" t="s">
        <v>1441</v>
      </c>
      <c r="C139" s="1206">
        <v>0.52083333333333337</v>
      </c>
      <c r="D139" s="1206">
        <v>0.27083333333333331</v>
      </c>
      <c r="E139" s="1207">
        <v>6</v>
      </c>
      <c r="F139" s="1201"/>
      <c r="G139" s="1166"/>
      <c r="H139" s="1206">
        <v>0.47916666666666669</v>
      </c>
      <c r="I139" s="1206">
        <v>0.22916666666666666</v>
      </c>
      <c r="J139" s="1207">
        <v>6</v>
      </c>
      <c r="K139" s="1201"/>
      <c r="L139" s="1166"/>
      <c r="M139" s="1206">
        <v>0.52083333333333337</v>
      </c>
      <c r="N139" s="1206">
        <v>0.27083333333333331</v>
      </c>
      <c r="O139" s="1207">
        <v>6</v>
      </c>
      <c r="P139" s="1201"/>
      <c r="Q139" s="1166"/>
      <c r="R139" s="1206"/>
      <c r="S139" s="1206"/>
      <c r="T139" s="1207"/>
      <c r="U139" s="1201"/>
      <c r="V139" s="1166"/>
      <c r="W139" s="1206"/>
      <c r="X139" s="1206"/>
      <c r="Y139" s="1207"/>
      <c r="Z139" s="1201"/>
      <c r="AA139" s="1203">
        <f t="shared" si="42"/>
        <v>18</v>
      </c>
      <c r="AB139" s="1225">
        <f t="shared" si="43"/>
        <v>0</v>
      </c>
      <c r="AC139" s="1166"/>
      <c r="AD139" s="1206"/>
      <c r="AE139" s="1206"/>
      <c r="AF139" s="1207"/>
      <c r="AG139" s="1166"/>
      <c r="AH139" s="1206"/>
      <c r="AI139" s="1206"/>
      <c r="AJ139" s="1207"/>
      <c r="AK139" s="1203">
        <f t="shared" si="44"/>
        <v>0</v>
      </c>
      <c r="AL139" s="1166"/>
      <c r="AM139" s="1168"/>
      <c r="AO139" s="1175" t="s">
        <v>32</v>
      </c>
      <c r="AP139" s="1176">
        <f>AK150</f>
        <v>23.25</v>
      </c>
      <c r="AQ139" s="1177">
        <v>60.465000000000003</v>
      </c>
      <c r="AR139" s="1177">
        <f t="shared" si="41"/>
        <v>1405.81125</v>
      </c>
      <c r="AS139" s="1178"/>
      <c r="AT139" s="1178"/>
    </row>
    <row r="140" spans="1:53" s="1178" customFormat="1">
      <c r="A140" s="1164"/>
      <c r="B140" s="1206" t="s">
        <v>1444</v>
      </c>
      <c r="C140" s="1206"/>
      <c r="D140" s="1206"/>
      <c r="E140" s="1207"/>
      <c r="F140" s="1201"/>
      <c r="G140" s="1166"/>
      <c r="H140" s="1206"/>
      <c r="I140" s="1206"/>
      <c r="J140" s="1207"/>
      <c r="K140" s="1201"/>
      <c r="L140" s="1166"/>
      <c r="M140" s="1206"/>
      <c r="N140" s="1206"/>
      <c r="O140" s="1207"/>
      <c r="P140" s="1201"/>
      <c r="Q140" s="1166"/>
      <c r="R140" s="1206"/>
      <c r="S140" s="1206"/>
      <c r="T140" s="1207"/>
      <c r="U140" s="1201"/>
      <c r="V140" s="1166"/>
      <c r="W140" s="1206"/>
      <c r="X140" s="1206"/>
      <c r="Y140" s="1207"/>
      <c r="Z140" s="1201"/>
      <c r="AA140" s="1203">
        <f t="shared" si="42"/>
        <v>0</v>
      </c>
      <c r="AB140" s="1225">
        <f t="shared" si="43"/>
        <v>0</v>
      </c>
      <c r="AC140" s="1166"/>
      <c r="AD140" s="1206"/>
      <c r="AE140" s="1206"/>
      <c r="AF140" s="1207"/>
      <c r="AG140" s="1166"/>
      <c r="AH140" s="1206"/>
      <c r="AI140" s="1206"/>
      <c r="AJ140" s="1207"/>
      <c r="AK140" s="1203">
        <f t="shared" si="44"/>
        <v>0</v>
      </c>
      <c r="AL140" s="1166"/>
      <c r="AM140" s="1168"/>
      <c r="AN140" s="1169"/>
      <c r="AO140" s="1175" t="s">
        <v>213</v>
      </c>
      <c r="AP140" s="1176">
        <f>AA151</f>
        <v>20</v>
      </c>
      <c r="AQ140" s="1177">
        <v>53.05</v>
      </c>
      <c r="AR140" s="1177">
        <f t="shared" si="41"/>
        <v>1061</v>
      </c>
      <c r="AU140" s="1169"/>
      <c r="AV140" s="1169"/>
      <c r="AW140" s="1169"/>
      <c r="AX140" s="1169"/>
      <c r="AY140" s="1169"/>
      <c r="AZ140" s="1169"/>
      <c r="BA140" s="1169"/>
    </row>
    <row r="141" spans="1:53" s="1178" customFormat="1">
      <c r="A141" s="1164"/>
      <c r="B141" s="1210" t="s">
        <v>1447</v>
      </c>
      <c r="C141" s="1206">
        <v>0.47916666666666669</v>
      </c>
      <c r="D141" s="1206">
        <v>0.22916666666666666</v>
      </c>
      <c r="E141" s="1207">
        <v>6</v>
      </c>
      <c r="F141" s="1201"/>
      <c r="G141" s="1206"/>
      <c r="H141" s="1206">
        <v>0.16666666666666666</v>
      </c>
      <c r="I141" s="1206">
        <v>0.45833333333333331</v>
      </c>
      <c r="J141" s="1207">
        <v>7</v>
      </c>
      <c r="K141" s="1201"/>
      <c r="L141" s="1166"/>
      <c r="M141" s="1206">
        <v>6.25E-2</v>
      </c>
      <c r="N141" s="1206">
        <v>0.32291666666666669</v>
      </c>
      <c r="O141" s="1207">
        <v>6.25</v>
      </c>
      <c r="P141" s="1201"/>
      <c r="Q141" s="1166"/>
      <c r="R141" s="1206">
        <v>0.47916666666666669</v>
      </c>
      <c r="S141" s="1206">
        <v>0.41666666666666669</v>
      </c>
      <c r="T141" s="1207">
        <v>8</v>
      </c>
      <c r="U141" s="1201">
        <v>1.5</v>
      </c>
      <c r="V141" s="1166"/>
      <c r="W141" s="1206">
        <v>0.14583333333333334</v>
      </c>
      <c r="X141" s="1206">
        <v>0.39583333333333331</v>
      </c>
      <c r="Y141" s="1207">
        <v>6</v>
      </c>
      <c r="Z141" s="1201"/>
      <c r="AA141" s="1203">
        <f t="shared" si="42"/>
        <v>33.25</v>
      </c>
      <c r="AB141" s="1225">
        <f t="shared" si="43"/>
        <v>1.5</v>
      </c>
      <c r="AC141" s="1166"/>
      <c r="AD141" s="1206"/>
      <c r="AE141" s="1206"/>
      <c r="AF141" s="1207"/>
      <c r="AG141" s="1166"/>
      <c r="AH141" s="1226"/>
      <c r="AI141" s="1206"/>
      <c r="AJ141" s="1207"/>
      <c r="AK141" s="1203">
        <f t="shared" si="44"/>
        <v>0</v>
      </c>
      <c r="AL141" s="1166"/>
      <c r="AM141" s="1168"/>
      <c r="AN141" s="1169"/>
      <c r="AO141" s="1175" t="s">
        <v>36</v>
      </c>
      <c r="AP141" s="1176">
        <f>AB151</f>
        <v>0</v>
      </c>
      <c r="AQ141" s="1177">
        <v>79.574999999999989</v>
      </c>
      <c r="AR141" s="1177">
        <f t="shared" si="41"/>
        <v>0</v>
      </c>
      <c r="AU141" s="1169"/>
      <c r="AV141" s="1169"/>
      <c r="AW141" s="1169"/>
      <c r="AX141" s="1169"/>
      <c r="AY141" s="1169"/>
      <c r="AZ141" s="1169"/>
      <c r="BA141" s="1169"/>
    </row>
    <row r="142" spans="1:53" s="1178" customFormat="1">
      <c r="A142" s="1164"/>
      <c r="B142" s="1210" t="s">
        <v>1141</v>
      </c>
      <c r="C142" s="1206">
        <v>0.16666666666666666</v>
      </c>
      <c r="D142" s="1206">
        <v>4.1666666666666664E-2</v>
      </c>
      <c r="E142" s="1207">
        <v>8</v>
      </c>
      <c r="F142" s="1201"/>
      <c r="G142" s="1166"/>
      <c r="H142" s="1206">
        <v>0.1875</v>
      </c>
      <c r="I142" s="1206">
        <v>0.4375</v>
      </c>
      <c r="J142" s="1207">
        <v>6</v>
      </c>
      <c r="K142" s="1201"/>
      <c r="L142" s="1166"/>
      <c r="M142" s="1206">
        <v>0.14583333333333334</v>
      </c>
      <c r="N142" s="1206">
        <v>0.39583333333333331</v>
      </c>
      <c r="O142" s="1207">
        <v>6</v>
      </c>
      <c r="P142" s="1201"/>
      <c r="Q142" s="1166"/>
      <c r="R142" s="1206">
        <v>0.16666666666666666</v>
      </c>
      <c r="S142" s="1206">
        <v>0.41666666666666669</v>
      </c>
      <c r="T142" s="1207">
        <v>6</v>
      </c>
      <c r="U142" s="1201"/>
      <c r="V142" s="1166"/>
      <c r="W142" s="1206">
        <v>0.47916666666666669</v>
      </c>
      <c r="X142" s="1206">
        <v>0.22916666666666666</v>
      </c>
      <c r="Y142" s="1207">
        <v>6</v>
      </c>
      <c r="Z142" s="1201"/>
      <c r="AA142" s="1203">
        <f t="shared" si="42"/>
        <v>32</v>
      </c>
      <c r="AB142" s="1225">
        <f t="shared" si="43"/>
        <v>0</v>
      </c>
      <c r="AC142" s="1166"/>
      <c r="AD142" s="1206">
        <v>0.53125</v>
      </c>
      <c r="AE142" s="1206">
        <v>0.27083333333333331</v>
      </c>
      <c r="AF142" s="1207">
        <v>5.75</v>
      </c>
      <c r="AG142" s="1166"/>
      <c r="AH142" s="1206">
        <v>6.25E-2</v>
      </c>
      <c r="AI142" s="1206">
        <v>0.3125</v>
      </c>
      <c r="AJ142" s="1207">
        <v>6</v>
      </c>
      <c r="AK142" s="1203">
        <f t="shared" si="44"/>
        <v>11.75</v>
      </c>
      <c r="AL142" s="1166"/>
      <c r="AM142" s="1168"/>
      <c r="AN142" s="1169"/>
      <c r="AO142" s="1175" t="s">
        <v>38</v>
      </c>
      <c r="AP142" s="1176">
        <f>AK151</f>
        <v>7.5</v>
      </c>
      <c r="AQ142" s="1177">
        <v>79.574999999999989</v>
      </c>
      <c r="AR142" s="1177">
        <f t="shared" si="41"/>
        <v>596.81249999999989</v>
      </c>
      <c r="AU142" s="1169"/>
      <c r="AV142" s="1169"/>
      <c r="AW142" s="1169"/>
      <c r="AX142" s="1169"/>
      <c r="AY142" s="1169"/>
      <c r="AZ142" s="1169"/>
      <c r="BA142" s="1169"/>
    </row>
    <row r="143" spans="1:53" s="1178" customFormat="1">
      <c r="A143" s="1164"/>
      <c r="B143" s="1210" t="s">
        <v>1140</v>
      </c>
      <c r="C143" s="1206"/>
      <c r="D143" s="1206"/>
      <c r="E143" s="1207"/>
      <c r="F143" s="1201"/>
      <c r="G143" s="1166"/>
      <c r="H143" s="1206">
        <v>0.33333333333333331</v>
      </c>
      <c r="I143" s="1206">
        <v>8.3333333333333329E-2</v>
      </c>
      <c r="J143" s="1207">
        <v>6</v>
      </c>
      <c r="K143" s="1201"/>
      <c r="L143" s="1166"/>
      <c r="M143" s="1206">
        <v>0.16666666666666666</v>
      </c>
      <c r="N143" s="1206">
        <v>0.41666666666666669</v>
      </c>
      <c r="O143" s="1207">
        <v>6</v>
      </c>
      <c r="P143" s="1201"/>
      <c r="Q143" s="1166"/>
      <c r="R143" s="1206"/>
      <c r="S143" s="1206"/>
      <c r="T143" s="1207"/>
      <c r="U143" s="1201"/>
      <c r="V143" s="1166"/>
      <c r="W143" s="1206"/>
      <c r="X143" s="1206"/>
      <c r="Y143" s="1207"/>
      <c r="Z143" s="1201"/>
      <c r="AA143" s="1203">
        <f t="shared" si="42"/>
        <v>12</v>
      </c>
      <c r="AB143" s="1225">
        <f t="shared" si="43"/>
        <v>0</v>
      </c>
      <c r="AC143" s="1166"/>
      <c r="AD143" s="1206"/>
      <c r="AE143" s="1206"/>
      <c r="AF143" s="1207"/>
      <c r="AG143" s="1166"/>
      <c r="AH143" s="1206"/>
      <c r="AI143" s="1206"/>
      <c r="AJ143" s="1207"/>
      <c r="AK143" s="1203">
        <f t="shared" si="44"/>
        <v>0</v>
      </c>
      <c r="AL143" s="1166"/>
      <c r="AM143" s="1168"/>
      <c r="AN143" s="1169"/>
      <c r="AP143" s="1176"/>
      <c r="AR143" s="1227">
        <f>SUM(AR137:AR142)</f>
        <v>9009.348750000001</v>
      </c>
      <c r="AU143" s="1169"/>
      <c r="AV143" s="1169"/>
      <c r="AW143" s="1169"/>
      <c r="AX143" s="1169"/>
      <c r="AY143" s="1169"/>
      <c r="AZ143" s="1169"/>
      <c r="BA143" s="1169"/>
    </row>
    <row r="144" spans="1:53" s="1178" customFormat="1">
      <c r="A144" s="1164"/>
      <c r="B144" s="1210" t="s">
        <v>53</v>
      </c>
      <c r="C144" s="1206"/>
      <c r="D144" s="1206"/>
      <c r="E144" s="1207"/>
      <c r="F144" s="1201"/>
      <c r="G144" s="1166"/>
      <c r="H144" s="1206"/>
      <c r="I144" s="1206"/>
      <c r="J144" s="1207"/>
      <c r="K144" s="1201"/>
      <c r="L144" s="1166"/>
      <c r="M144" s="1206"/>
      <c r="N144" s="1206"/>
      <c r="O144" s="1207"/>
      <c r="P144" s="1201"/>
      <c r="Q144" s="1166"/>
      <c r="R144" s="1169"/>
      <c r="S144" s="1206"/>
      <c r="T144" s="1207"/>
      <c r="U144" s="1201"/>
      <c r="V144" s="1166"/>
      <c r="W144" s="1206"/>
      <c r="X144" s="1206"/>
      <c r="Y144" s="1207"/>
      <c r="Z144" s="1201"/>
      <c r="AA144" s="1203">
        <f t="shared" si="42"/>
        <v>0</v>
      </c>
      <c r="AB144" s="1225">
        <f t="shared" si="43"/>
        <v>0</v>
      </c>
      <c r="AC144" s="1166"/>
      <c r="AD144" s="1206"/>
      <c r="AE144" s="1206"/>
      <c r="AF144" s="1207"/>
      <c r="AG144" s="1166"/>
      <c r="AH144" s="1226"/>
      <c r="AI144" s="1206"/>
      <c r="AJ144" s="1207"/>
      <c r="AK144" s="1203">
        <f t="shared" si="44"/>
        <v>0</v>
      </c>
      <c r="AL144" s="1166"/>
      <c r="AM144" s="1168"/>
      <c r="AN144" s="1169"/>
      <c r="AP144" s="1176"/>
      <c r="AU144" s="1169"/>
      <c r="AV144" s="1169"/>
      <c r="AW144" s="1169"/>
      <c r="AX144" s="1169"/>
      <c r="AY144" s="1169"/>
      <c r="AZ144" s="1169"/>
      <c r="BA144" s="1169"/>
    </row>
    <row r="145" spans="1:53" s="1178" customFormat="1">
      <c r="A145" s="1164"/>
      <c r="B145" s="1210" t="s">
        <v>1455</v>
      </c>
      <c r="C145" s="1206"/>
      <c r="D145" s="1206"/>
      <c r="E145" s="1207"/>
      <c r="F145" s="1201"/>
      <c r="G145" s="1166"/>
      <c r="H145" s="1206"/>
      <c r="I145" s="1206"/>
      <c r="J145" s="1207"/>
      <c r="K145" s="1201"/>
      <c r="L145" s="1166"/>
      <c r="M145" s="1206"/>
      <c r="N145" s="1206"/>
      <c r="O145" s="1207"/>
      <c r="P145" s="1201"/>
      <c r="Q145" s="1166"/>
      <c r="R145" s="1206"/>
      <c r="S145" s="1206"/>
      <c r="T145" s="1207"/>
      <c r="U145" s="1201"/>
      <c r="V145" s="1166"/>
      <c r="W145" s="1206"/>
      <c r="X145" s="1206"/>
      <c r="Y145" s="1207"/>
      <c r="Z145" s="1201"/>
      <c r="AA145" s="1203">
        <f t="shared" si="42"/>
        <v>0</v>
      </c>
      <c r="AB145" s="1225">
        <f t="shared" si="43"/>
        <v>0</v>
      </c>
      <c r="AC145" s="1166"/>
      <c r="AD145" s="1206"/>
      <c r="AE145" s="1206"/>
      <c r="AF145" s="1207"/>
      <c r="AG145" s="1166"/>
      <c r="AH145" s="1206"/>
      <c r="AI145" s="1206"/>
      <c r="AJ145" s="1207"/>
      <c r="AK145" s="1203">
        <f t="shared" si="44"/>
        <v>0</v>
      </c>
      <c r="AL145" s="1166"/>
      <c r="AM145" s="1168"/>
      <c r="AN145" s="1169"/>
      <c r="AO145" s="1228" t="s">
        <v>1115</v>
      </c>
      <c r="AP145" s="1176">
        <f>C153</f>
        <v>27</v>
      </c>
      <c r="AU145" s="1169"/>
      <c r="AV145" s="1169"/>
      <c r="AW145" s="1169"/>
      <c r="AX145" s="1169"/>
      <c r="AY145" s="1169"/>
      <c r="AZ145" s="1169"/>
      <c r="BA145" s="1169"/>
    </row>
    <row r="146" spans="1:53" s="1178" customFormat="1">
      <c r="A146" s="1164"/>
      <c r="B146" s="1210" t="s">
        <v>1437</v>
      </c>
      <c r="C146" s="1206">
        <v>0.16666666666666666</v>
      </c>
      <c r="D146" s="1206">
        <v>0.41666666666666669</v>
      </c>
      <c r="E146" s="1207">
        <v>6</v>
      </c>
      <c r="F146" s="1201"/>
      <c r="G146" s="1166"/>
      <c r="H146" s="1206"/>
      <c r="I146" s="1206"/>
      <c r="J146" s="1207"/>
      <c r="K146" s="1201"/>
      <c r="L146" s="1166"/>
      <c r="M146" s="1206">
        <v>4.1666666666666664E-2</v>
      </c>
      <c r="N146" s="1206">
        <v>0.27083333333333331</v>
      </c>
      <c r="O146" s="1207">
        <v>5.5</v>
      </c>
      <c r="P146" s="1201"/>
      <c r="Q146" s="1166"/>
      <c r="R146" s="1206">
        <v>0.16666666666666666</v>
      </c>
      <c r="S146" s="1206">
        <v>0.41666666666666669</v>
      </c>
      <c r="T146" s="1207">
        <v>6</v>
      </c>
      <c r="U146" s="1201"/>
      <c r="V146" s="1166"/>
      <c r="W146" s="1206"/>
      <c r="X146" s="1206"/>
      <c r="Y146" s="1207"/>
      <c r="Z146" s="1201"/>
      <c r="AA146" s="1203">
        <f t="shared" si="42"/>
        <v>17.5</v>
      </c>
      <c r="AB146" s="1225">
        <f t="shared" si="43"/>
        <v>0</v>
      </c>
      <c r="AC146" s="1166"/>
      <c r="AD146" s="1206"/>
      <c r="AE146" s="1206"/>
      <c r="AF146" s="1207"/>
      <c r="AG146" s="1166"/>
      <c r="AH146" s="1206"/>
      <c r="AI146" s="1206"/>
      <c r="AJ146" s="1207"/>
      <c r="AK146" s="1203">
        <f t="shared" si="44"/>
        <v>0</v>
      </c>
      <c r="AL146" s="1166"/>
      <c r="AM146" s="1168"/>
      <c r="AN146" s="1169"/>
      <c r="AO146" s="1228"/>
      <c r="AP146" s="1176"/>
      <c r="AU146" s="1169"/>
      <c r="AV146" s="1169"/>
      <c r="AW146" s="1169"/>
      <c r="AX146" s="1169"/>
      <c r="AY146" s="1169"/>
      <c r="AZ146" s="1169"/>
      <c r="BA146" s="1169"/>
    </row>
    <row r="147" spans="1:53" s="1178" customFormat="1">
      <c r="A147" s="1164"/>
      <c r="B147" s="1210" t="s">
        <v>1456</v>
      </c>
      <c r="C147" s="1206"/>
      <c r="D147" s="1206"/>
      <c r="E147" s="1207"/>
      <c r="F147" s="1201"/>
      <c r="G147" s="1166"/>
      <c r="H147" s="1206"/>
      <c r="I147" s="1206"/>
      <c r="J147" s="1207"/>
      <c r="K147" s="1201"/>
      <c r="L147" s="1166"/>
      <c r="M147" s="1206"/>
      <c r="N147" s="1206"/>
      <c r="O147" s="1207"/>
      <c r="P147" s="1201"/>
      <c r="Q147" s="1166"/>
      <c r="R147" s="1206"/>
      <c r="S147" s="1206"/>
      <c r="T147" s="1207"/>
      <c r="U147" s="1201"/>
      <c r="V147" s="1166"/>
      <c r="W147" s="1206"/>
      <c r="X147" s="1206"/>
      <c r="Y147" s="1207"/>
      <c r="Z147" s="1201"/>
      <c r="AA147" s="1203">
        <f t="shared" si="42"/>
        <v>0</v>
      </c>
      <c r="AB147" s="1225">
        <f t="shared" si="43"/>
        <v>0</v>
      </c>
      <c r="AC147" s="1166"/>
      <c r="AD147" s="1206"/>
      <c r="AE147" s="1206"/>
      <c r="AF147" s="1207"/>
      <c r="AG147" s="1166"/>
      <c r="AH147" s="1206"/>
      <c r="AI147" s="1206"/>
      <c r="AJ147" s="1207"/>
      <c r="AK147" s="1203">
        <f t="shared" si="44"/>
        <v>0</v>
      </c>
      <c r="AL147" s="1166"/>
      <c r="AM147" s="1168"/>
      <c r="AN147" s="1169"/>
      <c r="AO147" s="1228"/>
      <c r="AP147" s="1176"/>
      <c r="AU147" s="1169"/>
      <c r="AV147" s="1169"/>
      <c r="AW147" s="1169"/>
      <c r="AX147" s="1169"/>
      <c r="AY147" s="1169"/>
      <c r="AZ147" s="1169"/>
      <c r="BA147" s="1169"/>
    </row>
    <row r="148" spans="1:53" s="1178" customFormat="1">
      <c r="A148" s="1164"/>
      <c r="B148" s="1210" t="s">
        <v>1143</v>
      </c>
      <c r="C148" s="1206"/>
      <c r="D148" s="1206"/>
      <c r="E148" s="1207"/>
      <c r="F148" s="1201"/>
      <c r="G148" s="1166"/>
      <c r="H148" s="1206"/>
      <c r="I148" s="1206"/>
      <c r="J148" s="1207"/>
      <c r="K148" s="1201"/>
      <c r="L148" s="1166"/>
      <c r="M148" s="1206"/>
      <c r="N148" s="1206"/>
      <c r="O148" s="1207"/>
      <c r="P148" s="1201"/>
      <c r="Q148" s="1166"/>
      <c r="R148" s="1206"/>
      <c r="S148" s="1206"/>
      <c r="T148" s="1207"/>
      <c r="U148" s="1201"/>
      <c r="V148" s="1166"/>
      <c r="W148" s="1206"/>
      <c r="X148" s="1206"/>
      <c r="Y148" s="1207"/>
      <c r="Z148" s="1201"/>
      <c r="AA148" s="1203">
        <f t="shared" si="42"/>
        <v>0</v>
      </c>
      <c r="AB148" s="1225">
        <f t="shared" si="43"/>
        <v>0</v>
      </c>
      <c r="AC148" s="1166"/>
      <c r="AD148" s="1206"/>
      <c r="AE148" s="1206"/>
      <c r="AF148" s="1207"/>
      <c r="AG148" s="1166"/>
      <c r="AH148" s="1206"/>
      <c r="AI148" s="1206"/>
      <c r="AJ148" s="1207"/>
      <c r="AK148" s="1203">
        <f t="shared" si="44"/>
        <v>0</v>
      </c>
      <c r="AL148" s="1166"/>
      <c r="AM148" s="1168"/>
      <c r="AN148" s="1169"/>
      <c r="AO148" s="1228"/>
      <c r="AP148" s="1176"/>
      <c r="AU148" s="1169"/>
      <c r="AV148" s="1169"/>
      <c r="AW148" s="1169"/>
      <c r="AX148" s="1169"/>
      <c r="AY148" s="1169"/>
      <c r="AZ148" s="1169"/>
      <c r="BA148" s="1169"/>
    </row>
    <row r="149" spans="1:53" s="1178" customFormat="1">
      <c r="A149" s="1164"/>
      <c r="B149" s="1210" t="s">
        <v>1435</v>
      </c>
      <c r="C149" s="1206"/>
      <c r="D149" s="1206"/>
      <c r="E149" s="1207"/>
      <c r="F149" s="1201"/>
      <c r="G149" s="1166"/>
      <c r="H149" s="1206"/>
      <c r="I149" s="1206"/>
      <c r="J149" s="1207"/>
      <c r="K149" s="1201"/>
      <c r="L149" s="1166"/>
      <c r="M149" s="1206"/>
      <c r="N149" s="1206"/>
      <c r="O149" s="1207"/>
      <c r="P149" s="1201"/>
      <c r="Q149" s="1166"/>
      <c r="R149" s="1206"/>
      <c r="S149" s="1206"/>
      <c r="T149" s="1207"/>
      <c r="U149" s="1201"/>
      <c r="V149" s="1166"/>
      <c r="W149" s="1206"/>
      <c r="X149" s="1206"/>
      <c r="Y149" s="1207"/>
      <c r="Z149" s="1201"/>
      <c r="AA149" s="1203">
        <f t="shared" si="42"/>
        <v>0</v>
      </c>
      <c r="AB149" s="1225">
        <f t="shared" si="43"/>
        <v>0</v>
      </c>
      <c r="AC149" s="1166"/>
      <c r="AD149" s="1206"/>
      <c r="AE149" s="1206"/>
      <c r="AF149" s="1207"/>
      <c r="AG149" s="1166"/>
      <c r="AH149" s="1206"/>
      <c r="AI149" s="1206"/>
      <c r="AJ149" s="1207"/>
      <c r="AK149" s="1203">
        <f t="shared" si="44"/>
        <v>0</v>
      </c>
      <c r="AL149" s="1166"/>
      <c r="AM149" s="1168"/>
      <c r="AN149" s="1169"/>
      <c r="AO149" s="1228"/>
      <c r="AP149" s="1176"/>
      <c r="AU149" s="1169"/>
      <c r="AV149" s="1169"/>
      <c r="AW149" s="1169"/>
      <c r="AX149" s="1169"/>
      <c r="AY149" s="1169"/>
      <c r="AZ149" s="1169"/>
      <c r="BA149" s="1169"/>
    </row>
    <row r="150" spans="1:53" s="1169" customFormat="1">
      <c r="A150" s="1164"/>
      <c r="B150" s="1232" t="s">
        <v>61</v>
      </c>
      <c r="C150" s="1232"/>
      <c r="D150" s="1232"/>
      <c r="E150" s="1233">
        <f>SUM(E138:E149)</f>
        <v>32</v>
      </c>
      <c r="F150" s="1201"/>
      <c r="G150" s="1232"/>
      <c r="H150" s="1232"/>
      <c r="I150" s="1232"/>
      <c r="J150" s="1233">
        <f>SUM(J138:J149)</f>
        <v>31</v>
      </c>
      <c r="K150" s="1201"/>
      <c r="L150" s="1232"/>
      <c r="M150" s="1232"/>
      <c r="N150" s="1232"/>
      <c r="O150" s="1233">
        <f>SUM(O138:O149)</f>
        <v>37.25</v>
      </c>
      <c r="P150" s="1201"/>
      <c r="Q150" s="1232"/>
      <c r="R150" s="1232"/>
      <c r="S150" s="1232"/>
      <c r="T150" s="1233">
        <f>SUM(T138:T149)</f>
        <v>26.25</v>
      </c>
      <c r="U150" s="1201"/>
      <c r="V150" s="1232"/>
      <c r="W150" s="1232"/>
      <c r="X150" s="1232"/>
      <c r="Y150" s="1233">
        <f>SUM(Y138:Y149)</f>
        <v>18.75</v>
      </c>
      <c r="Z150" s="1201"/>
      <c r="AA150" s="1202">
        <f>SUM(AA138:AA149)</f>
        <v>145.25</v>
      </c>
      <c r="AB150" s="1229">
        <f>SUM(AB138:AB145)</f>
        <v>1.5</v>
      </c>
      <c r="AC150" s="1166"/>
      <c r="AD150" s="1232"/>
      <c r="AE150" s="1232"/>
      <c r="AF150" s="1203"/>
      <c r="AG150" s="1166"/>
      <c r="AH150" s="1232"/>
      <c r="AI150" s="1232"/>
      <c r="AJ150" s="1203"/>
      <c r="AK150" s="1229">
        <f>SUM(AK138:AK145)</f>
        <v>23.25</v>
      </c>
      <c r="AL150" s="1166"/>
      <c r="AM150" s="1168"/>
      <c r="AO150" s="1204"/>
      <c r="AP150" s="1178"/>
      <c r="AQ150" s="1178"/>
      <c r="AR150" s="1178"/>
      <c r="AS150" s="1178"/>
      <c r="AT150" s="1178"/>
    </row>
    <row r="151" spans="1:53" s="1169" customFormat="1">
      <c r="A151" s="1164"/>
      <c r="B151" s="1230" t="s">
        <v>64</v>
      </c>
      <c r="C151" s="1206"/>
      <c r="D151" s="1206"/>
      <c r="E151" s="1207">
        <v>4</v>
      </c>
      <c r="F151" s="1207"/>
      <c r="G151" s="1208"/>
      <c r="H151" s="1206"/>
      <c r="I151" s="1206"/>
      <c r="J151" s="1207">
        <v>4</v>
      </c>
      <c r="K151" s="1207"/>
      <c r="L151" s="1209"/>
      <c r="M151" s="1206"/>
      <c r="N151" s="1206"/>
      <c r="O151" s="1207">
        <v>4</v>
      </c>
      <c r="P151" s="1207"/>
      <c r="Q151" s="1209"/>
      <c r="R151" s="1206"/>
      <c r="S151" s="1206"/>
      <c r="T151" s="1207">
        <v>4</v>
      </c>
      <c r="U151" s="1207"/>
      <c r="V151" s="1209"/>
      <c r="W151" s="1206"/>
      <c r="X151" s="1206"/>
      <c r="Y151" s="1207">
        <v>4</v>
      </c>
      <c r="Z151" s="1207"/>
      <c r="AA151" s="1203">
        <f>SUM(E151+J151+O151+T151+Y151)</f>
        <v>20</v>
      </c>
      <c r="AB151" s="1173">
        <f>Z151+U151+P151+K151+F151</f>
        <v>0</v>
      </c>
      <c r="AC151" s="1166"/>
      <c r="AD151" s="1206"/>
      <c r="AE151" s="1206"/>
      <c r="AF151" s="1207">
        <v>4</v>
      </c>
      <c r="AG151" s="1166"/>
      <c r="AH151" s="1206"/>
      <c r="AI151" s="1206"/>
      <c r="AJ151" s="1207">
        <v>3.5</v>
      </c>
      <c r="AK151" s="1203">
        <f>AJ151+AF151</f>
        <v>7.5</v>
      </c>
      <c r="AL151" s="1166"/>
      <c r="AM151" s="1168"/>
      <c r="AO151" s="1204"/>
      <c r="AP151" s="1178"/>
      <c r="AQ151" s="1178"/>
      <c r="AR151" s="1178"/>
      <c r="AS151" s="1178"/>
      <c r="AT151" s="1178"/>
    </row>
    <row r="152" spans="1:53" s="1169" customFormat="1">
      <c r="A152" s="1164"/>
      <c r="B152" s="1208" t="s">
        <v>66</v>
      </c>
      <c r="C152" s="1210"/>
      <c r="D152" s="1210"/>
      <c r="E152" s="1208"/>
      <c r="F152" s="1208"/>
      <c r="G152" s="1208"/>
      <c r="H152" s="1208"/>
      <c r="I152" s="1208"/>
      <c r="J152" s="1208"/>
      <c r="K152" s="1208"/>
      <c r="L152" s="1208"/>
      <c r="M152" s="1208"/>
      <c r="N152" s="1208"/>
      <c r="O152" s="1208"/>
      <c r="P152" s="1208"/>
      <c r="Q152" s="1208"/>
      <c r="R152" s="1208"/>
      <c r="S152" s="1208"/>
      <c r="T152" s="1208"/>
      <c r="U152" s="1208"/>
      <c r="V152" s="1208"/>
      <c r="W152" s="1208"/>
      <c r="X152" s="1208"/>
      <c r="Y152" s="1208"/>
      <c r="Z152" s="1208"/>
      <c r="AA152" s="1211">
        <f>SUM(AA151:AA151)</f>
        <v>20</v>
      </c>
      <c r="AB152" s="1203">
        <f>SUM(AB151:AB151)</f>
        <v>0</v>
      </c>
      <c r="AC152" s="1166"/>
      <c r="AG152" s="1166"/>
      <c r="AK152" s="1229">
        <f>SUM(AK151:AK151)</f>
        <v>7.5</v>
      </c>
      <c r="AL152" s="1166"/>
      <c r="AM152" s="1168"/>
      <c r="AO152" s="1204"/>
      <c r="AP152" s="1178"/>
      <c r="AQ152" s="1178"/>
      <c r="AR152" s="1178"/>
      <c r="AS152" s="1178"/>
      <c r="AT152" s="1178"/>
    </row>
    <row r="153" spans="1:53" s="1169" customFormat="1">
      <c r="A153" s="1164"/>
      <c r="B153" s="1212" t="s">
        <v>67</v>
      </c>
      <c r="C153" s="1213">
        <f>5+5+6+4+3+2+2</f>
        <v>27</v>
      </c>
      <c r="D153" s="1214"/>
      <c r="E153" s="1215"/>
      <c r="F153" s="1215"/>
      <c r="G153" s="1214"/>
      <c r="H153" s="1215"/>
      <c r="I153" s="1215"/>
      <c r="J153" s="1215"/>
      <c r="K153" s="1215"/>
      <c r="L153" s="1214"/>
      <c r="M153" s="1214"/>
      <c r="N153" s="1214"/>
      <c r="O153" s="1214"/>
      <c r="P153" s="1215"/>
      <c r="Q153" s="1214"/>
      <c r="R153" s="1214"/>
      <c r="S153" s="1214"/>
      <c r="T153" s="1214"/>
      <c r="U153" s="1215"/>
      <c r="V153" s="1214"/>
      <c r="W153" s="1214"/>
      <c r="X153" s="1214"/>
      <c r="Y153" s="1216"/>
      <c r="Z153" s="1215"/>
      <c r="AA153" s="1217"/>
      <c r="AB153" s="1215"/>
      <c r="AC153" s="1217"/>
      <c r="AD153" s="1217"/>
      <c r="AE153" s="1217"/>
      <c r="AF153" s="1217"/>
      <c r="AG153" s="1166"/>
      <c r="AH153" s="1217"/>
      <c r="AI153" s="1217"/>
      <c r="AJ153" s="1217"/>
      <c r="AK153" s="1217"/>
      <c r="AL153" s="1166"/>
      <c r="AM153" s="1168"/>
      <c r="AO153" s="1178"/>
      <c r="AP153" s="1178"/>
      <c r="AQ153" s="1178"/>
      <c r="AR153" s="1178"/>
      <c r="AS153" s="1178"/>
      <c r="AT153" s="1178"/>
    </row>
    <row r="154" spans="1:53" s="1169" customFormat="1">
      <c r="A154" s="1164"/>
      <c r="E154" s="1166"/>
      <c r="F154" s="1166"/>
      <c r="G154" s="1166"/>
      <c r="J154" s="1166"/>
      <c r="K154" s="1166"/>
      <c r="L154" s="1166"/>
      <c r="O154" s="1166"/>
      <c r="P154" s="1166"/>
      <c r="Q154" s="1166"/>
      <c r="T154" s="1166"/>
      <c r="U154" s="1166"/>
      <c r="V154" s="1166"/>
      <c r="Y154" s="1166"/>
      <c r="Z154" s="1166"/>
      <c r="AA154" s="1166"/>
      <c r="AB154" s="1166"/>
      <c r="AC154" s="1166"/>
      <c r="AG154" s="1166"/>
      <c r="AL154" s="1166"/>
      <c r="AM154" s="1168"/>
      <c r="AO154" s="1178"/>
      <c r="AP154" s="1178"/>
      <c r="AQ154" s="1178"/>
      <c r="AR154" s="1178"/>
      <c r="AS154" s="1178"/>
      <c r="AT154" s="1178"/>
    </row>
    <row r="155" spans="1:53" s="1169" customFormat="1">
      <c r="A155" s="1164"/>
      <c r="B155" s="1218"/>
      <c r="C155" s="1219"/>
      <c r="D155" s="1219"/>
      <c r="E155" s="1220"/>
      <c r="F155" s="1220"/>
      <c r="G155" s="1219"/>
      <c r="H155" s="1220"/>
      <c r="I155" s="1220"/>
      <c r="J155" s="1220"/>
      <c r="K155" s="1220"/>
      <c r="L155" s="1219"/>
      <c r="M155" s="1219"/>
      <c r="N155" s="1219"/>
      <c r="O155" s="1219"/>
      <c r="P155" s="1220"/>
      <c r="Q155" s="1219"/>
      <c r="R155" s="1219"/>
      <c r="S155" s="1219"/>
      <c r="T155" s="1219"/>
      <c r="U155" s="1220"/>
      <c r="V155" s="1219"/>
      <c r="W155" s="1219"/>
      <c r="X155" s="1219"/>
      <c r="Y155" s="1221"/>
      <c r="Z155" s="1220"/>
      <c r="AA155" s="1222"/>
      <c r="AB155" s="1220"/>
      <c r="AC155" s="1223"/>
      <c r="AD155" s="1224"/>
      <c r="AE155" s="1168"/>
      <c r="AF155" s="1168"/>
      <c r="AG155" s="1168"/>
      <c r="AH155" s="1224"/>
      <c r="AI155" s="1168"/>
      <c r="AJ155" s="1168"/>
      <c r="AK155" s="1168"/>
      <c r="AL155" s="1168"/>
      <c r="AM155" s="1168"/>
      <c r="AN155" s="1168"/>
      <c r="AO155" s="1168"/>
      <c r="AP155" s="1168"/>
      <c r="AQ155" s="1168"/>
      <c r="AR155" s="1168"/>
      <c r="AS155" s="1168"/>
      <c r="AT155" s="1168"/>
    </row>
    <row r="156" spans="1:53" s="1169" customFormat="1">
      <c r="A156" s="1164"/>
      <c r="E156" s="1166"/>
      <c r="F156" s="1166"/>
      <c r="G156" s="1166"/>
      <c r="J156" s="1166"/>
      <c r="K156" s="1166"/>
      <c r="L156" s="1166"/>
      <c r="O156" s="1166"/>
      <c r="P156" s="1166"/>
      <c r="Q156" s="1166"/>
      <c r="T156" s="1166"/>
      <c r="U156" s="1166"/>
      <c r="V156" s="1166"/>
      <c r="Y156" s="1166"/>
      <c r="Z156" s="1166"/>
      <c r="AA156" s="1166"/>
      <c r="AB156" s="1166"/>
      <c r="AC156" s="1166"/>
      <c r="AG156" s="1166"/>
      <c r="AL156" s="1166"/>
      <c r="AM156" s="1168"/>
      <c r="AO156" s="1178"/>
      <c r="AP156" s="1178"/>
      <c r="AQ156" s="1178"/>
      <c r="AR156" s="1178"/>
      <c r="AS156" s="1178"/>
      <c r="AT156" s="1178"/>
    </row>
    <row r="157" spans="1:53" s="1169" customFormat="1" ht="13.5" customHeight="1">
      <c r="A157" s="1164"/>
      <c r="B157" s="1608" t="s">
        <v>18</v>
      </c>
      <c r="C157" s="1574">
        <v>45887</v>
      </c>
      <c r="D157" s="1574"/>
      <c r="E157" s="1574" t="s">
        <v>564</v>
      </c>
      <c r="F157" s="1574"/>
      <c r="G157" s="1165"/>
      <c r="H157" s="1574">
        <v>45888</v>
      </c>
      <c r="I157" s="1574"/>
      <c r="J157" s="1574" t="s">
        <v>565</v>
      </c>
      <c r="K157" s="1574"/>
      <c r="L157" s="1165"/>
      <c r="M157" s="1574">
        <v>45889</v>
      </c>
      <c r="N157" s="1574"/>
      <c r="O157" s="1574" t="s">
        <v>566</v>
      </c>
      <c r="P157" s="1574"/>
      <c r="Q157" s="1165"/>
      <c r="R157" s="1574">
        <v>45890</v>
      </c>
      <c r="S157" s="1574"/>
      <c r="T157" s="1574" t="s">
        <v>567</v>
      </c>
      <c r="U157" s="1574"/>
      <c r="V157" s="1165"/>
      <c r="W157" s="1574">
        <v>45891</v>
      </c>
      <c r="X157" s="1574"/>
      <c r="Y157" s="1574" t="s">
        <v>568</v>
      </c>
      <c r="Z157" s="1574"/>
      <c r="AA157" s="1575" t="s">
        <v>19</v>
      </c>
      <c r="AB157" s="1575" t="s">
        <v>20</v>
      </c>
      <c r="AC157" s="1166"/>
      <c r="AD157" s="1574">
        <v>45892</v>
      </c>
      <c r="AE157" s="1574"/>
      <c r="AF157" s="1167" t="s">
        <v>569</v>
      </c>
      <c r="AG157" s="1166"/>
      <c r="AH157" s="1574">
        <v>45893</v>
      </c>
      <c r="AI157" s="1574"/>
      <c r="AJ157" s="1231" t="s">
        <v>570</v>
      </c>
      <c r="AK157" s="1575" t="s">
        <v>1420</v>
      </c>
      <c r="AL157" s="1166"/>
      <c r="AM157" s="1168"/>
      <c r="AO157" s="1170" t="s">
        <v>84</v>
      </c>
      <c r="AP157" s="1171"/>
      <c r="AQ157" s="1171"/>
      <c r="AR157" s="1171"/>
      <c r="AS157" s="1171"/>
      <c r="AT157" s="1171"/>
    </row>
    <row r="158" spans="1:53" s="1169" customFormat="1">
      <c r="A158" s="1164"/>
      <c r="B158" s="1608"/>
      <c r="C158" s="1172" t="s">
        <v>23</v>
      </c>
      <c r="D158" s="1172" t="s">
        <v>24</v>
      </c>
      <c r="E158" s="1173" t="s">
        <v>25</v>
      </c>
      <c r="F158" s="1174" t="s">
        <v>14</v>
      </c>
      <c r="G158" s="1166"/>
      <c r="H158" s="1172" t="s">
        <v>23</v>
      </c>
      <c r="I158" s="1172" t="s">
        <v>24</v>
      </c>
      <c r="J158" s="1174" t="s">
        <v>25</v>
      </c>
      <c r="K158" s="1174" t="s">
        <v>14</v>
      </c>
      <c r="L158" s="1166"/>
      <c r="M158" s="1172" t="s">
        <v>23</v>
      </c>
      <c r="N158" s="1172" t="s">
        <v>24</v>
      </c>
      <c r="O158" s="1174" t="s">
        <v>25</v>
      </c>
      <c r="P158" s="1174" t="s">
        <v>14</v>
      </c>
      <c r="Q158" s="1166"/>
      <c r="R158" s="1172" t="s">
        <v>23</v>
      </c>
      <c r="S158" s="1172" t="s">
        <v>24</v>
      </c>
      <c r="T158" s="1174" t="s">
        <v>25</v>
      </c>
      <c r="U158" s="1174" t="s">
        <v>14</v>
      </c>
      <c r="V158" s="1166"/>
      <c r="W158" s="1172" t="s">
        <v>23</v>
      </c>
      <c r="X158" s="1172" t="s">
        <v>24</v>
      </c>
      <c r="Y158" s="1174" t="s">
        <v>25</v>
      </c>
      <c r="Z158" s="1174" t="s">
        <v>14</v>
      </c>
      <c r="AA158" s="1575"/>
      <c r="AB158" s="1575"/>
      <c r="AC158" s="1166"/>
      <c r="AD158" s="1172" t="s">
        <v>23</v>
      </c>
      <c r="AE158" s="1172" t="s">
        <v>24</v>
      </c>
      <c r="AF158" s="1174" t="s">
        <v>25</v>
      </c>
      <c r="AG158" s="1166"/>
      <c r="AH158" s="1172" t="s">
        <v>23</v>
      </c>
      <c r="AI158" s="1172" t="s">
        <v>24</v>
      </c>
      <c r="AJ158" s="1174" t="s">
        <v>25</v>
      </c>
      <c r="AK158" s="1575"/>
      <c r="AL158" s="1166"/>
      <c r="AM158" s="1168"/>
      <c r="AO158" s="1175" t="s">
        <v>26</v>
      </c>
      <c r="AP158" s="1176">
        <f>AA171</f>
        <v>127.75</v>
      </c>
      <c r="AQ158" s="1177">
        <v>40.31</v>
      </c>
      <c r="AR158" s="1177">
        <f t="shared" ref="AR158:AR163" si="45">AP158*AQ158</f>
        <v>5149.6025</v>
      </c>
      <c r="AS158" s="1178"/>
      <c r="AT158" s="1178"/>
    </row>
    <row r="159" spans="1:53" s="1169" customFormat="1" ht="13.5" customHeight="1">
      <c r="A159" s="1164"/>
      <c r="B159" s="1166" t="s">
        <v>1064</v>
      </c>
      <c r="C159" s="1206">
        <v>0.5</v>
      </c>
      <c r="D159" s="1206">
        <v>0.27083333333333331</v>
      </c>
      <c r="E159" s="1207">
        <v>6.5</v>
      </c>
      <c r="F159" s="1201"/>
      <c r="G159" s="1166"/>
      <c r="H159" s="1206">
        <v>0.5</v>
      </c>
      <c r="I159" s="1206">
        <v>0.375</v>
      </c>
      <c r="J159" s="1207">
        <v>8</v>
      </c>
      <c r="K159" s="1201">
        <v>1</v>
      </c>
      <c r="L159" s="1166"/>
      <c r="M159" s="1206">
        <v>0.51041666666666663</v>
      </c>
      <c r="N159" s="1206">
        <v>0.41666666666666669</v>
      </c>
      <c r="O159" s="1207">
        <v>8</v>
      </c>
      <c r="P159" s="1201">
        <v>1.75</v>
      </c>
      <c r="Q159" s="1166"/>
      <c r="R159" s="1206">
        <v>0.17708333333333334</v>
      </c>
      <c r="S159" s="1206">
        <v>0.41666666666666669</v>
      </c>
      <c r="T159" s="1207">
        <v>5.75</v>
      </c>
      <c r="U159" s="1201"/>
      <c r="V159" s="1166"/>
      <c r="W159" s="1206">
        <v>0.5</v>
      </c>
      <c r="X159" s="1206">
        <v>0.41666666666666669</v>
      </c>
      <c r="Y159" s="1207">
        <v>8</v>
      </c>
      <c r="Z159" s="1201">
        <v>1</v>
      </c>
      <c r="AA159" s="1203">
        <f t="shared" ref="AA159:AA170" si="46">(E159+J159+O159+T159+Y159)</f>
        <v>36.25</v>
      </c>
      <c r="AB159" s="1225">
        <f>Z159+U159+P159+K159+F159</f>
        <v>3.75</v>
      </c>
      <c r="AC159" s="1166"/>
      <c r="AD159" s="1206">
        <v>0.53125</v>
      </c>
      <c r="AE159" s="1206">
        <v>0.3125</v>
      </c>
      <c r="AF159" s="1207">
        <v>6.75</v>
      </c>
      <c r="AG159" s="1166"/>
      <c r="AH159" s="1206">
        <v>6.25E-2</v>
      </c>
      <c r="AI159" s="1206">
        <v>0.19791666666666666</v>
      </c>
      <c r="AJ159" s="1207">
        <v>7</v>
      </c>
      <c r="AK159" s="1203">
        <f t="shared" ref="AK159:AK170" si="47">AJ159+AF159</f>
        <v>13.75</v>
      </c>
      <c r="AL159" s="1166"/>
      <c r="AM159" s="1168"/>
      <c r="AO159" s="1175" t="s">
        <v>30</v>
      </c>
      <c r="AP159" s="1176">
        <f>AB171</f>
        <v>8.75</v>
      </c>
      <c r="AQ159" s="1177">
        <v>60.465000000000003</v>
      </c>
      <c r="AR159" s="1177">
        <f t="shared" si="45"/>
        <v>529.06875000000002</v>
      </c>
      <c r="AS159" s="1178"/>
      <c r="AT159" s="1178"/>
    </row>
    <row r="160" spans="1:53" s="1169" customFormat="1">
      <c r="A160" s="1164"/>
      <c r="B160" s="1206" t="s">
        <v>1441</v>
      </c>
      <c r="C160" s="1206">
        <v>0.375</v>
      </c>
      <c r="D160" s="1206">
        <v>0.27083333333333331</v>
      </c>
      <c r="E160" s="1207">
        <v>8</v>
      </c>
      <c r="F160" s="1201">
        <v>1.5</v>
      </c>
      <c r="G160" s="1166"/>
      <c r="H160" s="1206">
        <v>0.5</v>
      </c>
      <c r="I160" s="1206">
        <v>0.25</v>
      </c>
      <c r="J160" s="1207">
        <v>6</v>
      </c>
      <c r="K160" s="1201"/>
      <c r="L160" s="1166"/>
      <c r="M160" s="1206">
        <v>0.5</v>
      </c>
      <c r="N160" s="1206">
        <v>0.25</v>
      </c>
      <c r="O160" s="1207">
        <v>6</v>
      </c>
      <c r="P160" s="1201"/>
      <c r="Q160" s="1166"/>
      <c r="R160" s="1206"/>
      <c r="S160" s="1206"/>
      <c r="T160" s="1207"/>
      <c r="U160" s="1201"/>
      <c r="V160" s="1166"/>
      <c r="W160" s="1206"/>
      <c r="X160" s="1206"/>
      <c r="Y160" s="1207"/>
      <c r="Z160" s="1201"/>
      <c r="AA160" s="1203">
        <f t="shared" si="46"/>
        <v>20</v>
      </c>
      <c r="AB160" s="1225">
        <f t="shared" ref="AB160:AB170" si="48">Z160+U160+P160+K160+F160</f>
        <v>1.5</v>
      </c>
      <c r="AC160" s="1166"/>
      <c r="AD160" s="1206"/>
      <c r="AE160" s="1206"/>
      <c r="AF160" s="1207"/>
      <c r="AG160" s="1166"/>
      <c r="AH160" s="1206"/>
      <c r="AI160" s="1206"/>
      <c r="AJ160" s="1207"/>
      <c r="AK160" s="1203">
        <f t="shared" si="47"/>
        <v>0</v>
      </c>
      <c r="AL160" s="1166"/>
      <c r="AM160" s="1168"/>
      <c r="AO160" s="1175" t="s">
        <v>32</v>
      </c>
      <c r="AP160" s="1176">
        <f>AK171</f>
        <v>31.25</v>
      </c>
      <c r="AQ160" s="1177">
        <v>60.465000000000003</v>
      </c>
      <c r="AR160" s="1177">
        <f t="shared" si="45"/>
        <v>1889.53125</v>
      </c>
      <c r="AS160" s="1178"/>
      <c r="AT160" s="1178"/>
    </row>
    <row r="161" spans="1:53" s="1178" customFormat="1">
      <c r="A161" s="1164"/>
      <c r="B161" s="1206" t="s">
        <v>1444</v>
      </c>
      <c r="C161" s="1206"/>
      <c r="D161" s="1206"/>
      <c r="E161" s="1207"/>
      <c r="F161" s="1201"/>
      <c r="G161" s="1166"/>
      <c r="H161" s="1206"/>
      <c r="I161" s="1206"/>
      <c r="J161" s="1207"/>
      <c r="K161" s="1201"/>
      <c r="L161" s="1166"/>
      <c r="M161" s="1206"/>
      <c r="N161" s="1206"/>
      <c r="O161" s="1207"/>
      <c r="P161" s="1201"/>
      <c r="Q161" s="1166"/>
      <c r="R161" s="1206">
        <v>0.5</v>
      </c>
      <c r="S161" s="1206">
        <v>0.41666666666666669</v>
      </c>
      <c r="T161" s="1207">
        <v>8</v>
      </c>
      <c r="U161" s="1201">
        <v>2</v>
      </c>
      <c r="V161" s="1166"/>
      <c r="W161" s="1206">
        <v>0.47916666666666669</v>
      </c>
      <c r="X161" s="1206">
        <v>0.27083333333333331</v>
      </c>
      <c r="Y161" s="1207">
        <v>7</v>
      </c>
      <c r="Z161" s="1201"/>
      <c r="AA161" s="1203">
        <f t="shared" si="46"/>
        <v>15</v>
      </c>
      <c r="AB161" s="1225">
        <f t="shared" si="48"/>
        <v>2</v>
      </c>
      <c r="AC161" s="1166"/>
      <c r="AD161" s="1206"/>
      <c r="AE161" s="1206"/>
      <c r="AF161" s="1207"/>
      <c r="AG161" s="1166"/>
      <c r="AH161" s="1206"/>
      <c r="AI161" s="1206"/>
      <c r="AJ161" s="1207"/>
      <c r="AK161" s="1203">
        <f t="shared" si="47"/>
        <v>0</v>
      </c>
      <c r="AL161" s="1166"/>
      <c r="AM161" s="1168"/>
      <c r="AN161" s="1169"/>
      <c r="AO161" s="1175" t="s">
        <v>213</v>
      </c>
      <c r="AP161" s="1176">
        <f>AA172</f>
        <v>20</v>
      </c>
      <c r="AQ161" s="1177">
        <v>53.05</v>
      </c>
      <c r="AR161" s="1177">
        <f t="shared" si="45"/>
        <v>1061</v>
      </c>
      <c r="AU161" s="1169"/>
      <c r="AV161" s="1169"/>
      <c r="AW161" s="1169"/>
      <c r="AX161" s="1169"/>
      <c r="AY161" s="1169"/>
      <c r="AZ161" s="1169"/>
      <c r="BA161" s="1169"/>
    </row>
    <row r="162" spans="1:53" s="1178" customFormat="1">
      <c r="A162" s="1164"/>
      <c r="B162" s="1210" t="s">
        <v>1447</v>
      </c>
      <c r="C162" s="1206">
        <v>0.375</v>
      </c>
      <c r="D162" s="1206">
        <v>0.5</v>
      </c>
      <c r="E162" s="1207">
        <v>3</v>
      </c>
      <c r="F162" s="1201"/>
      <c r="G162" s="1206"/>
      <c r="H162" s="1206">
        <v>0.16666666666666666</v>
      </c>
      <c r="I162" s="1206">
        <v>0.41666666666666669</v>
      </c>
      <c r="J162" s="1207">
        <v>6</v>
      </c>
      <c r="K162" s="1201"/>
      <c r="L162" s="1166"/>
      <c r="M162" s="1206">
        <v>0.16666666666666666</v>
      </c>
      <c r="N162" s="1206">
        <v>0.41666666666666669</v>
      </c>
      <c r="O162" s="1207">
        <v>6</v>
      </c>
      <c r="P162" s="1201"/>
      <c r="Q162" s="1166"/>
      <c r="R162" s="1206">
        <v>0.16666666666666666</v>
      </c>
      <c r="S162" s="1206">
        <v>0.41666666666666669</v>
      </c>
      <c r="T162" s="1207">
        <v>6</v>
      </c>
      <c r="U162" s="1201"/>
      <c r="V162" s="1166"/>
      <c r="W162" s="1206">
        <v>0.47916666666666669</v>
      </c>
      <c r="X162" s="1206">
        <v>0.41666666666666669</v>
      </c>
      <c r="Y162" s="1207">
        <v>8</v>
      </c>
      <c r="Z162" s="1201">
        <v>1.5</v>
      </c>
      <c r="AA162" s="1203">
        <f t="shared" si="46"/>
        <v>29</v>
      </c>
      <c r="AB162" s="1225">
        <f t="shared" si="48"/>
        <v>1.5</v>
      </c>
      <c r="AC162" s="1166"/>
      <c r="AD162" s="1206">
        <v>0.29166666666666669</v>
      </c>
      <c r="AE162" s="1206">
        <v>0.20833333333333334</v>
      </c>
      <c r="AF162" s="1207">
        <v>11.5</v>
      </c>
      <c r="AG162" s="1166"/>
      <c r="AH162" s="1226"/>
      <c r="AI162" s="1206"/>
      <c r="AJ162" s="1207"/>
      <c r="AK162" s="1203">
        <f t="shared" si="47"/>
        <v>11.5</v>
      </c>
      <c r="AL162" s="1166"/>
      <c r="AM162" s="1168"/>
      <c r="AN162" s="1169"/>
      <c r="AO162" s="1175" t="s">
        <v>36</v>
      </c>
      <c r="AP162" s="1176">
        <f>AB172</f>
        <v>0.5</v>
      </c>
      <c r="AQ162" s="1177">
        <v>79.574999999999989</v>
      </c>
      <c r="AR162" s="1177">
        <f t="shared" si="45"/>
        <v>39.787499999999994</v>
      </c>
      <c r="AU162" s="1169"/>
      <c r="AV162" s="1169"/>
      <c r="AW162" s="1169"/>
      <c r="AX162" s="1169"/>
      <c r="AY162" s="1169"/>
      <c r="AZ162" s="1169"/>
      <c r="BA162" s="1169"/>
    </row>
    <row r="163" spans="1:53" s="1178" customFormat="1">
      <c r="A163" s="1164"/>
      <c r="B163" s="1210" t="s">
        <v>1141</v>
      </c>
      <c r="C163" s="1206">
        <v>0.375</v>
      </c>
      <c r="D163" s="1206">
        <v>0.5</v>
      </c>
      <c r="E163" s="1207">
        <v>3</v>
      </c>
      <c r="F163" s="1201"/>
      <c r="G163" s="1166"/>
      <c r="H163" s="1206"/>
      <c r="I163" s="1206"/>
      <c r="J163" s="1207"/>
      <c r="K163" s="1201"/>
      <c r="L163" s="1166"/>
      <c r="M163" s="1206">
        <v>0.47916666666666669</v>
      </c>
      <c r="N163" s="1206">
        <v>0.41666666666666669</v>
      </c>
      <c r="O163" s="1207">
        <v>6</v>
      </c>
      <c r="P163" s="1201"/>
      <c r="Q163" s="1166"/>
      <c r="R163" s="1206"/>
      <c r="S163" s="1206"/>
      <c r="T163" s="1207"/>
      <c r="U163" s="1201"/>
      <c r="V163" s="1166"/>
      <c r="W163" s="1206"/>
      <c r="X163" s="1206"/>
      <c r="Y163" s="1207"/>
      <c r="Z163" s="1201"/>
      <c r="AA163" s="1203">
        <f t="shared" si="46"/>
        <v>9</v>
      </c>
      <c r="AB163" s="1225">
        <f t="shared" si="48"/>
        <v>0</v>
      </c>
      <c r="AC163" s="1166"/>
      <c r="AD163" s="1206"/>
      <c r="AE163" s="1206"/>
      <c r="AF163" s="1207"/>
      <c r="AG163" s="1166"/>
      <c r="AH163" s="1206"/>
      <c r="AI163" s="1206"/>
      <c r="AJ163" s="1207"/>
      <c r="AK163" s="1203">
        <f t="shared" si="47"/>
        <v>0</v>
      </c>
      <c r="AL163" s="1166"/>
      <c r="AM163" s="1168"/>
      <c r="AN163" s="1169"/>
      <c r="AO163" s="1175" t="s">
        <v>38</v>
      </c>
      <c r="AP163" s="1176">
        <f>AK172</f>
        <v>11</v>
      </c>
      <c r="AQ163" s="1177">
        <v>79.574999999999989</v>
      </c>
      <c r="AR163" s="1177">
        <f t="shared" si="45"/>
        <v>875.32499999999982</v>
      </c>
      <c r="AU163" s="1169"/>
      <c r="AV163" s="1169"/>
      <c r="AW163" s="1169"/>
      <c r="AX163" s="1169"/>
      <c r="AY163" s="1169"/>
      <c r="AZ163" s="1169"/>
      <c r="BA163" s="1169"/>
    </row>
    <row r="164" spans="1:53" s="1178" customFormat="1">
      <c r="A164" s="1164"/>
      <c r="B164" s="1210" t="s">
        <v>1140</v>
      </c>
      <c r="C164" s="1206"/>
      <c r="D164" s="1206"/>
      <c r="E164" s="1207"/>
      <c r="F164" s="1201"/>
      <c r="G164" s="1166"/>
      <c r="H164" s="1206">
        <v>0.16666666666666666</v>
      </c>
      <c r="I164" s="1206">
        <v>0.4375</v>
      </c>
      <c r="J164" s="1207">
        <v>6.5</v>
      </c>
      <c r="K164" s="1201"/>
      <c r="L164" s="1166"/>
      <c r="M164" s="1206"/>
      <c r="N164" s="1206"/>
      <c r="O164" s="1207"/>
      <c r="P164" s="1201"/>
      <c r="Q164" s="1166"/>
      <c r="R164" s="1206">
        <v>0.5</v>
      </c>
      <c r="S164" s="1206">
        <v>0.25</v>
      </c>
      <c r="T164" s="1207">
        <v>6</v>
      </c>
      <c r="U164" s="1201"/>
      <c r="V164" s="1166"/>
      <c r="W164" s="1206">
        <v>0.47916666666666669</v>
      </c>
      <c r="X164" s="1206">
        <v>0.22916666666666666</v>
      </c>
      <c r="Y164" s="1207">
        <v>6</v>
      </c>
      <c r="Z164" s="1201"/>
      <c r="AA164" s="1203">
        <f t="shared" si="46"/>
        <v>18.5</v>
      </c>
      <c r="AB164" s="1225">
        <f t="shared" si="48"/>
        <v>0</v>
      </c>
      <c r="AC164" s="1166"/>
      <c r="AD164" s="1206">
        <v>0.5</v>
      </c>
      <c r="AE164" s="1206">
        <v>0.25</v>
      </c>
      <c r="AF164" s="1207">
        <v>6</v>
      </c>
      <c r="AG164" s="1166"/>
      <c r="AH164" s="1206"/>
      <c r="AI164" s="1206"/>
      <c r="AJ164" s="1207"/>
      <c r="AK164" s="1203">
        <f t="shared" si="47"/>
        <v>6</v>
      </c>
      <c r="AL164" s="1166"/>
      <c r="AM164" s="1168"/>
      <c r="AN164" s="1169"/>
      <c r="AP164" s="1176"/>
      <c r="AR164" s="1227">
        <f>SUM(AR158:AR163)</f>
        <v>9544.3149999999987</v>
      </c>
      <c r="AU164" s="1169"/>
      <c r="AV164" s="1169"/>
      <c r="AW164" s="1169"/>
      <c r="AX164" s="1169"/>
      <c r="AY164" s="1169"/>
      <c r="AZ164" s="1169"/>
      <c r="BA164" s="1169"/>
    </row>
    <row r="165" spans="1:53" s="1178" customFormat="1">
      <c r="A165" s="1164"/>
      <c r="B165" s="1210" t="s">
        <v>53</v>
      </c>
      <c r="C165" s="1206"/>
      <c r="D165" s="1206"/>
      <c r="E165" s="1207"/>
      <c r="F165" s="1201"/>
      <c r="G165" s="1166"/>
      <c r="H165" s="1206"/>
      <c r="I165" s="1206"/>
      <c r="J165" s="1207"/>
      <c r="K165" s="1201"/>
      <c r="L165" s="1166"/>
      <c r="M165" s="1206"/>
      <c r="N165" s="1206"/>
      <c r="O165" s="1207"/>
      <c r="P165" s="1201"/>
      <c r="Q165" s="1166"/>
      <c r="R165" s="1169"/>
      <c r="S165" s="1206"/>
      <c r="T165" s="1207"/>
      <c r="U165" s="1201"/>
      <c r="V165" s="1166"/>
      <c r="W165" s="1206"/>
      <c r="X165" s="1206"/>
      <c r="Y165" s="1207"/>
      <c r="Z165" s="1201"/>
      <c r="AA165" s="1203">
        <f t="shared" si="46"/>
        <v>0</v>
      </c>
      <c r="AB165" s="1225">
        <f t="shared" si="48"/>
        <v>0</v>
      </c>
      <c r="AC165" s="1166"/>
      <c r="AD165" s="1206"/>
      <c r="AE165" s="1206"/>
      <c r="AF165" s="1207"/>
      <c r="AG165" s="1166"/>
      <c r="AH165" s="1226"/>
      <c r="AI165" s="1206"/>
      <c r="AJ165" s="1207"/>
      <c r="AK165" s="1203">
        <f t="shared" si="47"/>
        <v>0</v>
      </c>
      <c r="AL165" s="1166"/>
      <c r="AM165" s="1168"/>
      <c r="AN165" s="1169"/>
      <c r="AP165" s="1176"/>
      <c r="AU165" s="1169"/>
      <c r="AV165" s="1169"/>
      <c r="AW165" s="1169"/>
      <c r="AX165" s="1169"/>
      <c r="AY165" s="1169"/>
      <c r="AZ165" s="1169"/>
      <c r="BA165" s="1169"/>
    </row>
    <row r="166" spans="1:53" s="1178" customFormat="1">
      <c r="A166" s="1164"/>
      <c r="B166" s="1210" t="s">
        <v>1455</v>
      </c>
      <c r="C166" s="1206"/>
      <c r="D166" s="1206"/>
      <c r="E166" s="1207"/>
      <c r="F166" s="1201"/>
      <c r="G166" s="1166"/>
      <c r="H166" s="1206"/>
      <c r="I166" s="1206"/>
      <c r="J166" s="1207"/>
      <c r="K166" s="1201"/>
      <c r="L166" s="1166"/>
      <c r="M166" s="1206"/>
      <c r="N166" s="1206"/>
      <c r="O166" s="1207"/>
      <c r="P166" s="1201"/>
      <c r="Q166" s="1166"/>
      <c r="R166" s="1206"/>
      <c r="S166" s="1206"/>
      <c r="T166" s="1207"/>
      <c r="U166" s="1201"/>
      <c r="V166" s="1166"/>
      <c r="W166" s="1206"/>
      <c r="X166" s="1206"/>
      <c r="Y166" s="1207"/>
      <c r="Z166" s="1201"/>
      <c r="AA166" s="1203">
        <f t="shared" si="46"/>
        <v>0</v>
      </c>
      <c r="AB166" s="1225">
        <f t="shared" si="48"/>
        <v>0</v>
      </c>
      <c r="AC166" s="1166"/>
      <c r="AD166" s="1206"/>
      <c r="AE166" s="1206"/>
      <c r="AF166" s="1207"/>
      <c r="AG166" s="1166"/>
      <c r="AH166" s="1206"/>
      <c r="AI166" s="1206"/>
      <c r="AJ166" s="1207"/>
      <c r="AK166" s="1203">
        <f t="shared" si="47"/>
        <v>0</v>
      </c>
      <c r="AL166" s="1166"/>
      <c r="AM166" s="1168"/>
      <c r="AN166" s="1169"/>
      <c r="AO166" s="1228" t="s">
        <v>1115</v>
      </c>
      <c r="AP166" s="1176">
        <f>C174</f>
        <v>23</v>
      </c>
      <c r="AU166" s="1169"/>
      <c r="AV166" s="1169"/>
      <c r="AW166" s="1169"/>
      <c r="AX166" s="1169"/>
      <c r="AY166" s="1169"/>
      <c r="AZ166" s="1169"/>
      <c r="BA166" s="1169"/>
    </row>
    <row r="167" spans="1:53" s="1178" customFormat="1">
      <c r="A167" s="1164"/>
      <c r="B167" s="1210" t="s">
        <v>1437</v>
      </c>
      <c r="C167" s="1206"/>
      <c r="D167" s="1206"/>
      <c r="E167" s="1207"/>
      <c r="F167" s="1201"/>
      <c r="G167" s="1166"/>
      <c r="H167" s="1206"/>
      <c r="I167" s="1206"/>
      <c r="J167" s="1207"/>
      <c r="K167" s="1201"/>
      <c r="L167" s="1166"/>
      <c r="M167" s="1206"/>
      <c r="N167" s="1206"/>
      <c r="O167" s="1207"/>
      <c r="P167" s="1201"/>
      <c r="Q167" s="1166"/>
      <c r="R167" s="1206"/>
      <c r="S167" s="1206"/>
      <c r="T167" s="1207"/>
      <c r="U167" s="1201"/>
      <c r="V167" s="1166"/>
      <c r="W167" s="1206"/>
      <c r="X167" s="1206"/>
      <c r="Y167" s="1207"/>
      <c r="Z167" s="1201"/>
      <c r="AA167" s="1203">
        <f t="shared" si="46"/>
        <v>0</v>
      </c>
      <c r="AB167" s="1225">
        <f t="shared" si="48"/>
        <v>0</v>
      </c>
      <c r="AC167" s="1166"/>
      <c r="AD167" s="1206"/>
      <c r="AE167" s="1206"/>
      <c r="AF167" s="1207"/>
      <c r="AG167" s="1166"/>
      <c r="AH167" s="1206"/>
      <c r="AI167" s="1206"/>
      <c r="AJ167" s="1207"/>
      <c r="AK167" s="1203">
        <f t="shared" si="47"/>
        <v>0</v>
      </c>
      <c r="AL167" s="1166"/>
      <c r="AM167" s="1168"/>
      <c r="AN167" s="1169"/>
      <c r="AO167" s="1228"/>
      <c r="AP167" s="1176"/>
      <c r="AU167" s="1169"/>
      <c r="AV167" s="1169"/>
      <c r="AW167" s="1169"/>
      <c r="AX167" s="1169"/>
      <c r="AY167" s="1169"/>
      <c r="AZ167" s="1169"/>
      <c r="BA167" s="1169"/>
    </row>
    <row r="168" spans="1:53" s="1178" customFormat="1">
      <c r="A168" s="1164"/>
      <c r="B168" s="1210" t="s">
        <v>1456</v>
      </c>
      <c r="C168" s="1206"/>
      <c r="D168" s="1206"/>
      <c r="E168" s="1207"/>
      <c r="F168" s="1201"/>
      <c r="G168" s="1166"/>
      <c r="H168" s="1206"/>
      <c r="I168" s="1206"/>
      <c r="J168" s="1207"/>
      <c r="K168" s="1201"/>
      <c r="L168" s="1166"/>
      <c r="M168" s="1206"/>
      <c r="N168" s="1206"/>
      <c r="O168" s="1207"/>
      <c r="P168" s="1201"/>
      <c r="Q168" s="1166"/>
      <c r="R168" s="1206"/>
      <c r="S168" s="1206"/>
      <c r="T168" s="1207"/>
      <c r="U168" s="1201"/>
      <c r="V168" s="1166"/>
      <c r="W168" s="1206"/>
      <c r="X168" s="1206"/>
      <c r="Y168" s="1207"/>
      <c r="Z168" s="1201"/>
      <c r="AA168" s="1203">
        <f t="shared" si="46"/>
        <v>0</v>
      </c>
      <c r="AB168" s="1225">
        <f t="shared" si="48"/>
        <v>0</v>
      </c>
      <c r="AC168" s="1166"/>
      <c r="AD168" s="1206"/>
      <c r="AE168" s="1206"/>
      <c r="AF168" s="1207"/>
      <c r="AG168" s="1166"/>
      <c r="AH168" s="1206"/>
      <c r="AI168" s="1206"/>
      <c r="AJ168" s="1207"/>
      <c r="AK168" s="1203">
        <f t="shared" si="47"/>
        <v>0</v>
      </c>
      <c r="AL168" s="1166"/>
      <c r="AM168" s="1168"/>
      <c r="AN168" s="1169"/>
      <c r="AO168" s="1228"/>
      <c r="AP168" s="1176"/>
      <c r="AU168" s="1169"/>
      <c r="AV168" s="1169"/>
      <c r="AW168" s="1169"/>
      <c r="AX168" s="1169"/>
      <c r="AY168" s="1169"/>
      <c r="AZ168" s="1169"/>
      <c r="BA168" s="1169"/>
    </row>
    <row r="169" spans="1:53" s="1178" customFormat="1">
      <c r="A169" s="1164"/>
      <c r="B169" s="1210" t="s">
        <v>1143</v>
      </c>
      <c r="C169" s="1206"/>
      <c r="D169" s="1206"/>
      <c r="E169" s="1207"/>
      <c r="F169" s="1201"/>
      <c r="G169" s="1166"/>
      <c r="H169" s="1206"/>
      <c r="I169" s="1206"/>
      <c r="J169" s="1207"/>
      <c r="K169" s="1201"/>
      <c r="L169" s="1166"/>
      <c r="M169" s="1206"/>
      <c r="N169" s="1206"/>
      <c r="O169" s="1207"/>
      <c r="P169" s="1201"/>
      <c r="Q169" s="1166"/>
      <c r="R169" s="1206"/>
      <c r="S169" s="1206"/>
      <c r="T169" s="1207"/>
      <c r="U169" s="1201"/>
      <c r="V169" s="1166"/>
      <c r="W169" s="1206"/>
      <c r="X169" s="1206"/>
      <c r="Y169" s="1207"/>
      <c r="Z169" s="1201"/>
      <c r="AA169" s="1203">
        <f t="shared" si="46"/>
        <v>0</v>
      </c>
      <c r="AB169" s="1225">
        <f t="shared" si="48"/>
        <v>0</v>
      </c>
      <c r="AC169" s="1166"/>
      <c r="AD169" s="1206"/>
      <c r="AE169" s="1206"/>
      <c r="AF169" s="1207"/>
      <c r="AG169" s="1166"/>
      <c r="AH169" s="1206">
        <v>6.25E-2</v>
      </c>
      <c r="AI169" s="1206">
        <v>0.13541666666666666</v>
      </c>
      <c r="AJ169" s="1207">
        <v>7</v>
      </c>
      <c r="AK169" s="1203">
        <f t="shared" si="47"/>
        <v>7</v>
      </c>
      <c r="AL169" s="1166"/>
      <c r="AM169" s="1168"/>
      <c r="AN169" s="1169"/>
      <c r="AO169" s="1228"/>
      <c r="AP169" s="1176"/>
      <c r="AU169" s="1169"/>
      <c r="AV169" s="1169"/>
      <c r="AW169" s="1169"/>
      <c r="AX169" s="1169"/>
      <c r="AY169" s="1169"/>
      <c r="AZ169" s="1169"/>
      <c r="BA169" s="1169"/>
    </row>
    <row r="170" spans="1:53" s="1178" customFormat="1">
      <c r="A170" s="1164"/>
      <c r="B170" s="1210" t="s">
        <v>1435</v>
      </c>
      <c r="C170" s="1206"/>
      <c r="D170" s="1206"/>
      <c r="E170" s="1207"/>
      <c r="F170" s="1201"/>
      <c r="G170" s="1166"/>
      <c r="H170" s="1206"/>
      <c r="I170" s="1206"/>
      <c r="J170" s="1207"/>
      <c r="K170" s="1201"/>
      <c r="L170" s="1166"/>
      <c r="M170" s="1206"/>
      <c r="N170" s="1206"/>
      <c r="O170" s="1207"/>
      <c r="P170" s="1201"/>
      <c r="Q170" s="1166"/>
      <c r="R170" s="1206"/>
      <c r="S170" s="1206"/>
      <c r="T170" s="1207"/>
      <c r="U170" s="1201"/>
      <c r="V170" s="1166"/>
      <c r="W170" s="1206"/>
      <c r="X170" s="1206"/>
      <c r="Y170" s="1207"/>
      <c r="Z170" s="1201"/>
      <c r="AA170" s="1203">
        <f t="shared" si="46"/>
        <v>0</v>
      </c>
      <c r="AB170" s="1225">
        <f t="shared" si="48"/>
        <v>0</v>
      </c>
      <c r="AC170" s="1166"/>
      <c r="AD170" s="1206"/>
      <c r="AE170" s="1206"/>
      <c r="AF170" s="1207"/>
      <c r="AG170" s="1166"/>
      <c r="AH170" s="1206"/>
      <c r="AI170" s="1206"/>
      <c r="AJ170" s="1207"/>
      <c r="AK170" s="1203">
        <f t="shared" si="47"/>
        <v>0</v>
      </c>
      <c r="AL170" s="1166"/>
      <c r="AM170" s="1168"/>
      <c r="AN170" s="1169"/>
      <c r="AO170" s="1228"/>
      <c r="AP170" s="1176"/>
      <c r="AU170" s="1169"/>
      <c r="AV170" s="1169"/>
      <c r="AW170" s="1169"/>
      <c r="AX170" s="1169"/>
      <c r="AY170" s="1169"/>
      <c r="AZ170" s="1169"/>
      <c r="BA170" s="1169"/>
    </row>
    <row r="171" spans="1:53" s="1169" customFormat="1">
      <c r="A171" s="1164"/>
      <c r="B171" s="1232" t="s">
        <v>61</v>
      </c>
      <c r="C171" s="1232"/>
      <c r="D171" s="1232"/>
      <c r="E171" s="1233"/>
      <c r="F171" s="1201"/>
      <c r="G171" s="1232"/>
      <c r="H171" s="1232"/>
      <c r="I171" s="1232"/>
      <c r="J171" s="1233"/>
      <c r="K171" s="1201"/>
      <c r="L171" s="1232"/>
      <c r="M171" s="1232"/>
      <c r="N171" s="1232"/>
      <c r="O171" s="1233"/>
      <c r="P171" s="1201"/>
      <c r="Q171" s="1232"/>
      <c r="R171" s="1232"/>
      <c r="S171" s="1232"/>
      <c r="T171" s="1233"/>
      <c r="U171" s="1201"/>
      <c r="V171" s="1232"/>
      <c r="W171" s="1232"/>
      <c r="X171" s="1232"/>
      <c r="Y171" s="1233"/>
      <c r="Z171" s="1201"/>
      <c r="AA171" s="1202">
        <f>SUM(AA159:AA170)</f>
        <v>127.75</v>
      </c>
      <c r="AB171" s="1229">
        <f>SUM(AB159:AB166)</f>
        <v>8.75</v>
      </c>
      <c r="AC171" s="1166"/>
      <c r="AD171" s="1232"/>
      <c r="AE171" s="1232"/>
      <c r="AF171" s="1203"/>
      <c r="AG171" s="1166"/>
      <c r="AH171" s="1232"/>
      <c r="AI171" s="1232"/>
      <c r="AJ171" s="1203"/>
      <c r="AK171" s="1229">
        <f>SUM(AK159:AK166)</f>
        <v>31.25</v>
      </c>
      <c r="AL171" s="1166"/>
      <c r="AM171" s="1168"/>
      <c r="AO171" s="1204"/>
      <c r="AP171" s="1178"/>
      <c r="AQ171" s="1178"/>
      <c r="AR171" s="1178"/>
      <c r="AS171" s="1178"/>
      <c r="AT171" s="1178"/>
    </row>
    <row r="172" spans="1:53" s="1169" customFormat="1">
      <c r="A172" s="1164"/>
      <c r="B172" s="1230" t="s">
        <v>64</v>
      </c>
      <c r="C172" s="1206"/>
      <c r="D172" s="1206"/>
      <c r="E172" s="1207">
        <v>4</v>
      </c>
      <c r="F172" s="1207"/>
      <c r="G172" s="1208"/>
      <c r="H172" s="1206"/>
      <c r="I172" s="1206"/>
      <c r="J172" s="1207">
        <v>4</v>
      </c>
      <c r="K172" s="1207"/>
      <c r="L172" s="1209"/>
      <c r="M172" s="1206"/>
      <c r="N172" s="1206"/>
      <c r="O172" s="1207">
        <v>4</v>
      </c>
      <c r="P172" s="1207"/>
      <c r="Q172" s="1209"/>
      <c r="R172" s="1206"/>
      <c r="S172" s="1206"/>
      <c r="T172" s="1207">
        <v>4</v>
      </c>
      <c r="U172" s="1207">
        <v>0.5</v>
      </c>
      <c r="V172" s="1209"/>
      <c r="W172" s="1206"/>
      <c r="X172" s="1206"/>
      <c r="Y172" s="1207">
        <v>4</v>
      </c>
      <c r="Z172" s="1207"/>
      <c r="AA172" s="1203">
        <f>SUM(E172+J172+O172+T172+Y172)</f>
        <v>20</v>
      </c>
      <c r="AB172" s="1173">
        <f>Z172+U172+P172+K172+F172</f>
        <v>0.5</v>
      </c>
      <c r="AC172" s="1166"/>
      <c r="AD172" s="1206"/>
      <c r="AE172" s="1206"/>
      <c r="AF172" s="1207">
        <v>6.5</v>
      </c>
      <c r="AG172" s="1166"/>
      <c r="AH172" s="1206"/>
      <c r="AI172" s="1206"/>
      <c r="AJ172" s="1207">
        <v>4.5</v>
      </c>
      <c r="AK172" s="1203">
        <f>AJ172+AF172</f>
        <v>11</v>
      </c>
      <c r="AL172" s="1166"/>
      <c r="AM172" s="1168"/>
      <c r="AO172" s="1204"/>
      <c r="AP172" s="1178"/>
      <c r="AQ172" s="1178"/>
      <c r="AR172" s="1178"/>
      <c r="AS172" s="1178"/>
      <c r="AT172" s="1178"/>
    </row>
    <row r="173" spans="1:53" s="1169" customFormat="1">
      <c r="A173" s="1164"/>
      <c r="B173" s="1208" t="s">
        <v>66</v>
      </c>
      <c r="C173" s="1210"/>
      <c r="D173" s="1210"/>
      <c r="E173" s="1208"/>
      <c r="F173" s="1208"/>
      <c r="G173" s="1208"/>
      <c r="H173" s="1208"/>
      <c r="I173" s="1208"/>
      <c r="J173" s="1208"/>
      <c r="K173" s="1208"/>
      <c r="L173" s="1208"/>
      <c r="M173" s="1208"/>
      <c r="N173" s="1208"/>
      <c r="O173" s="1208"/>
      <c r="P173" s="1208"/>
      <c r="Q173" s="1208"/>
      <c r="R173" s="1208"/>
      <c r="S173" s="1208"/>
      <c r="T173" s="1208"/>
      <c r="U173" s="1208"/>
      <c r="V173" s="1208"/>
      <c r="W173" s="1208"/>
      <c r="X173" s="1208"/>
      <c r="Y173" s="1208"/>
      <c r="Z173" s="1208"/>
      <c r="AA173" s="1211">
        <f>SUM(AA172:AA172)</f>
        <v>20</v>
      </c>
      <c r="AB173" s="1229">
        <f>SUM(AB172:AB172)</f>
        <v>0.5</v>
      </c>
      <c r="AC173" s="1166"/>
      <c r="AG173" s="1166"/>
      <c r="AK173" s="1229">
        <f>SUM(AK172:AK172)</f>
        <v>11</v>
      </c>
      <c r="AL173" s="1166"/>
      <c r="AM173" s="1168"/>
      <c r="AO173" s="1204"/>
      <c r="AP173" s="1178"/>
      <c r="AQ173" s="1178"/>
      <c r="AR173" s="1178"/>
      <c r="AS173" s="1178"/>
      <c r="AT173" s="1178"/>
    </row>
    <row r="174" spans="1:53" s="1169" customFormat="1">
      <c r="A174" s="1164"/>
      <c r="B174" s="1212" t="s">
        <v>67</v>
      </c>
      <c r="C174" s="1213">
        <f>2+4+4+4+4+3+2</f>
        <v>23</v>
      </c>
      <c r="D174" s="1214"/>
      <c r="E174" s="1215"/>
      <c r="F174" s="1215"/>
      <c r="G174" s="1214"/>
      <c r="H174" s="1215"/>
      <c r="I174" s="1215"/>
      <c r="J174" s="1215"/>
      <c r="K174" s="1215"/>
      <c r="L174" s="1214"/>
      <c r="M174" s="1214"/>
      <c r="N174" s="1214"/>
      <c r="O174" s="1214"/>
      <c r="P174" s="1215"/>
      <c r="Q174" s="1214"/>
      <c r="R174" s="1214"/>
      <c r="S174" s="1214"/>
      <c r="T174" s="1214"/>
      <c r="U174" s="1215"/>
      <c r="V174" s="1214"/>
      <c r="W174" s="1214"/>
      <c r="X174" s="1214"/>
      <c r="Y174" s="1216"/>
      <c r="Z174" s="1215"/>
      <c r="AA174" s="1217"/>
      <c r="AB174" s="1215"/>
      <c r="AC174" s="1217"/>
      <c r="AD174" s="1217"/>
      <c r="AE174" s="1217"/>
      <c r="AF174" s="1217"/>
      <c r="AG174" s="1166"/>
      <c r="AH174" s="1217"/>
      <c r="AI174" s="1217"/>
      <c r="AJ174" s="1217"/>
      <c r="AK174" s="1217"/>
      <c r="AL174" s="1166"/>
      <c r="AM174" s="1168"/>
      <c r="AO174" s="1178"/>
      <c r="AP174" s="1178"/>
      <c r="AQ174" s="1178"/>
      <c r="AR174" s="1178"/>
      <c r="AS174" s="1178"/>
      <c r="AT174" s="1178"/>
    </row>
    <row r="175" spans="1:53" s="1169" customFormat="1">
      <c r="A175" s="1164"/>
      <c r="E175" s="1166"/>
      <c r="F175" s="1166"/>
      <c r="G175" s="1166"/>
      <c r="J175" s="1166"/>
      <c r="K175" s="1166"/>
      <c r="L175" s="1166"/>
      <c r="O175" s="1166"/>
      <c r="P175" s="1166"/>
      <c r="Q175" s="1166"/>
      <c r="T175" s="1166"/>
      <c r="U175" s="1166"/>
      <c r="V175" s="1166"/>
      <c r="Y175" s="1166"/>
      <c r="Z175" s="1166"/>
      <c r="AA175" s="1166"/>
      <c r="AB175" s="1166"/>
      <c r="AC175" s="1166"/>
      <c r="AG175" s="1166"/>
      <c r="AL175" s="1166"/>
      <c r="AM175" s="1168"/>
      <c r="AO175" s="1178"/>
      <c r="AP175" s="1178"/>
      <c r="AQ175" s="1178"/>
      <c r="AR175" s="1178"/>
      <c r="AS175" s="1178"/>
      <c r="AT175" s="1178"/>
    </row>
    <row r="176" spans="1:53" s="1169" customFormat="1">
      <c r="A176" s="1164"/>
      <c r="B176" s="1218"/>
      <c r="C176" s="1219"/>
      <c r="D176" s="1219"/>
      <c r="E176" s="1220"/>
      <c r="F176" s="1220"/>
      <c r="G176" s="1219"/>
      <c r="H176" s="1220"/>
      <c r="I176" s="1220"/>
      <c r="J176" s="1220"/>
      <c r="K176" s="1220"/>
      <c r="L176" s="1219"/>
      <c r="M176" s="1219"/>
      <c r="N176" s="1219"/>
      <c r="O176" s="1219"/>
      <c r="P176" s="1220"/>
      <c r="Q176" s="1219"/>
      <c r="R176" s="1219"/>
      <c r="S176" s="1219"/>
      <c r="T176" s="1219"/>
      <c r="U176" s="1220"/>
      <c r="V176" s="1219"/>
      <c r="W176" s="1219"/>
      <c r="X176" s="1219"/>
      <c r="Y176" s="1221"/>
      <c r="Z176" s="1220"/>
      <c r="AA176" s="1222"/>
      <c r="AB176" s="1220"/>
      <c r="AC176" s="1223"/>
      <c r="AD176" s="1224"/>
      <c r="AE176" s="1168"/>
      <c r="AF176" s="1168"/>
      <c r="AG176" s="1168"/>
      <c r="AH176" s="1224"/>
      <c r="AI176" s="1168"/>
      <c r="AJ176" s="1168"/>
      <c r="AK176" s="1168"/>
      <c r="AL176" s="1168"/>
      <c r="AM176" s="1168"/>
      <c r="AN176" s="1168"/>
      <c r="AO176" s="1168"/>
      <c r="AP176" s="1168"/>
      <c r="AQ176" s="1168"/>
      <c r="AR176" s="1168"/>
      <c r="AS176" s="1168"/>
      <c r="AT176" s="1168"/>
    </row>
    <row r="177" spans="1:53" s="1169" customFormat="1">
      <c r="A177" s="1164"/>
      <c r="E177" s="1166"/>
      <c r="F177" s="1166"/>
      <c r="G177" s="1166"/>
      <c r="J177" s="1166"/>
      <c r="K177" s="1166"/>
      <c r="L177" s="1166"/>
      <c r="O177" s="1166"/>
      <c r="P177" s="1166"/>
      <c r="Q177" s="1166"/>
      <c r="T177" s="1166"/>
      <c r="U177" s="1166"/>
      <c r="V177" s="1166"/>
      <c r="Y177" s="1166"/>
      <c r="Z177" s="1166"/>
      <c r="AA177" s="1166"/>
      <c r="AB177" s="1166"/>
      <c r="AC177" s="1166"/>
      <c r="AG177" s="1166"/>
      <c r="AL177" s="1166"/>
      <c r="AM177" s="1168"/>
      <c r="AO177" s="1178"/>
      <c r="AP177" s="1178"/>
      <c r="AQ177" s="1178"/>
      <c r="AR177" s="1178"/>
      <c r="AS177" s="1178"/>
      <c r="AT177" s="1178"/>
    </row>
    <row r="178" spans="1:53" s="1169" customFormat="1" ht="13.5" customHeight="1">
      <c r="A178" s="1164"/>
      <c r="B178" s="1608" t="s">
        <v>18</v>
      </c>
      <c r="C178" s="1574">
        <v>45894</v>
      </c>
      <c r="D178" s="1574"/>
      <c r="E178" s="1574" t="s">
        <v>564</v>
      </c>
      <c r="F178" s="1574"/>
      <c r="G178" s="1165"/>
      <c r="H178" s="1574">
        <v>45895</v>
      </c>
      <c r="I178" s="1574"/>
      <c r="J178" s="1574" t="s">
        <v>565</v>
      </c>
      <c r="K178" s="1574"/>
      <c r="L178" s="1165"/>
      <c r="M178" s="1574">
        <v>45896</v>
      </c>
      <c r="N178" s="1574"/>
      <c r="O178" s="1574" t="s">
        <v>566</v>
      </c>
      <c r="P178" s="1574"/>
      <c r="Q178" s="1165"/>
      <c r="R178" s="1574">
        <v>45897</v>
      </c>
      <c r="S178" s="1574"/>
      <c r="T178" s="1574" t="s">
        <v>567</v>
      </c>
      <c r="U178" s="1574"/>
      <c r="V178" s="1165"/>
      <c r="W178" s="1574">
        <v>45898</v>
      </c>
      <c r="X178" s="1574"/>
      <c r="Y178" s="1574" t="s">
        <v>568</v>
      </c>
      <c r="Z178" s="1574"/>
      <c r="AA178" s="1575" t="s">
        <v>19</v>
      </c>
      <c r="AB178" s="1575" t="s">
        <v>20</v>
      </c>
      <c r="AC178" s="1166"/>
      <c r="AD178" s="1574">
        <v>45899</v>
      </c>
      <c r="AE178" s="1574"/>
      <c r="AF178" s="1167" t="s">
        <v>569</v>
      </c>
      <c r="AG178" s="1166"/>
      <c r="AH178" s="1574">
        <v>45900</v>
      </c>
      <c r="AI178" s="1574"/>
      <c r="AJ178" s="1231" t="s">
        <v>570</v>
      </c>
      <c r="AK178" s="1575" t="s">
        <v>1420</v>
      </c>
      <c r="AL178" s="1166"/>
      <c r="AM178" s="1168"/>
      <c r="AO178" s="1170" t="s">
        <v>84</v>
      </c>
      <c r="AP178" s="1171"/>
      <c r="AQ178" s="1171"/>
      <c r="AR178" s="1171"/>
      <c r="AS178" s="1171"/>
      <c r="AT178" s="1171"/>
    </row>
    <row r="179" spans="1:53" s="1169" customFormat="1">
      <c r="A179" s="1164"/>
      <c r="B179" s="1608"/>
      <c r="C179" s="1172" t="s">
        <v>23</v>
      </c>
      <c r="D179" s="1172" t="s">
        <v>24</v>
      </c>
      <c r="E179" s="1173" t="s">
        <v>25</v>
      </c>
      <c r="F179" s="1174" t="s">
        <v>14</v>
      </c>
      <c r="G179" s="1166"/>
      <c r="H179" s="1172" t="s">
        <v>23</v>
      </c>
      <c r="I179" s="1172" t="s">
        <v>24</v>
      </c>
      <c r="J179" s="1174" t="s">
        <v>25</v>
      </c>
      <c r="K179" s="1174" t="s">
        <v>14</v>
      </c>
      <c r="L179" s="1166"/>
      <c r="M179" s="1172" t="s">
        <v>23</v>
      </c>
      <c r="N179" s="1172" t="s">
        <v>24</v>
      </c>
      <c r="O179" s="1174" t="s">
        <v>25</v>
      </c>
      <c r="P179" s="1174" t="s">
        <v>14</v>
      </c>
      <c r="Q179" s="1166"/>
      <c r="R179" s="1172" t="s">
        <v>23</v>
      </c>
      <c r="S179" s="1172" t="s">
        <v>24</v>
      </c>
      <c r="T179" s="1174" t="s">
        <v>25</v>
      </c>
      <c r="U179" s="1174" t="s">
        <v>14</v>
      </c>
      <c r="V179" s="1166"/>
      <c r="W179" s="1172" t="s">
        <v>23</v>
      </c>
      <c r="X179" s="1172" t="s">
        <v>24</v>
      </c>
      <c r="Y179" s="1174" t="s">
        <v>25</v>
      </c>
      <c r="Z179" s="1174" t="s">
        <v>14</v>
      </c>
      <c r="AA179" s="1575"/>
      <c r="AB179" s="1575"/>
      <c r="AC179" s="1166"/>
      <c r="AD179" s="1172" t="s">
        <v>23</v>
      </c>
      <c r="AE179" s="1172" t="s">
        <v>24</v>
      </c>
      <c r="AF179" s="1174" t="s">
        <v>25</v>
      </c>
      <c r="AG179" s="1166"/>
      <c r="AH179" s="1172" t="s">
        <v>23</v>
      </c>
      <c r="AI179" s="1172" t="s">
        <v>24</v>
      </c>
      <c r="AJ179" s="1174" t="s">
        <v>25</v>
      </c>
      <c r="AK179" s="1575"/>
      <c r="AL179" s="1166"/>
      <c r="AM179" s="1168"/>
      <c r="AO179" s="1175" t="s">
        <v>26</v>
      </c>
      <c r="AP179" s="1176">
        <f>AA192</f>
        <v>82.5</v>
      </c>
      <c r="AQ179" s="1177">
        <v>40.31</v>
      </c>
      <c r="AR179" s="1177">
        <f t="shared" ref="AR179:AR184" si="49">AP179*AQ179</f>
        <v>3325.5750000000003</v>
      </c>
      <c r="AS179" s="1178"/>
      <c r="AT179" s="1178"/>
    </row>
    <row r="180" spans="1:53" s="1169" customFormat="1" ht="13.5" customHeight="1">
      <c r="A180" s="1164"/>
      <c r="B180" s="1166" t="s">
        <v>1064</v>
      </c>
      <c r="C180" s="1206"/>
      <c r="D180" s="1206"/>
      <c r="E180" s="1207"/>
      <c r="F180" s="1201"/>
      <c r="G180" s="1166"/>
      <c r="H180" s="1206">
        <v>0.16666666666666666</v>
      </c>
      <c r="I180" s="1206">
        <v>0.41666666666666669</v>
      </c>
      <c r="J180" s="1207">
        <v>6</v>
      </c>
      <c r="K180" s="1201"/>
      <c r="L180" s="1166"/>
      <c r="M180" s="1206">
        <v>0.13541666666666666</v>
      </c>
      <c r="N180" s="1206">
        <v>0.375</v>
      </c>
      <c r="O180" s="1207">
        <v>5.75</v>
      </c>
      <c r="P180" s="1201"/>
      <c r="Q180" s="1166"/>
      <c r="R180" s="1206">
        <v>0.14583333333333334</v>
      </c>
      <c r="S180" s="1206">
        <v>0.41666666666666669</v>
      </c>
      <c r="T180" s="1207">
        <v>6.5</v>
      </c>
      <c r="U180" s="1201"/>
      <c r="V180" s="1166"/>
      <c r="W180" s="1206">
        <v>0.5</v>
      </c>
      <c r="X180" s="1206">
        <v>0.25</v>
      </c>
      <c r="Y180" s="1207">
        <v>6</v>
      </c>
      <c r="Z180" s="1201"/>
      <c r="AA180" s="1203">
        <f>(E180+J180+O180+T180+Y180)</f>
        <v>24.25</v>
      </c>
      <c r="AB180" s="1225">
        <f>Z180+U180+P180+K180+F180</f>
        <v>0</v>
      </c>
      <c r="AC180" s="1166"/>
      <c r="AD180" s="1206">
        <v>0.51041666666666663</v>
      </c>
      <c r="AE180" s="1206">
        <v>0.25</v>
      </c>
      <c r="AF180" s="1207">
        <v>5.75</v>
      </c>
      <c r="AG180" s="1166"/>
      <c r="AH180" s="1206">
        <v>7.2916666666666671E-2</v>
      </c>
      <c r="AI180" s="1206">
        <v>0.25</v>
      </c>
      <c r="AJ180" s="1207">
        <v>4.1500000000000004</v>
      </c>
      <c r="AK180" s="1203">
        <f t="shared" ref="AK180:AK191" si="50">AJ180+AF180</f>
        <v>9.9</v>
      </c>
      <c r="AL180" s="1166"/>
      <c r="AM180" s="1168"/>
      <c r="AO180" s="1175" t="s">
        <v>30</v>
      </c>
      <c r="AP180" s="1176">
        <f>AB192</f>
        <v>3.75</v>
      </c>
      <c r="AQ180" s="1177">
        <v>60.465000000000003</v>
      </c>
      <c r="AR180" s="1177">
        <f t="shared" si="49"/>
        <v>226.74375000000001</v>
      </c>
      <c r="AS180" s="1178"/>
      <c r="AT180" s="1178"/>
    </row>
    <row r="181" spans="1:53" s="1169" customFormat="1">
      <c r="A181" s="1164"/>
      <c r="B181" s="1206" t="s">
        <v>1441</v>
      </c>
      <c r="C181" s="1206" t="s">
        <v>1137</v>
      </c>
      <c r="D181" s="1206"/>
      <c r="E181" s="1207">
        <v>0</v>
      </c>
      <c r="F181" s="1201"/>
      <c r="G181" s="1166"/>
      <c r="H181" s="1206" t="s">
        <v>1137</v>
      </c>
      <c r="I181" s="1206"/>
      <c r="J181" s="1207">
        <v>0</v>
      </c>
      <c r="K181" s="1201"/>
      <c r="L181" s="1166"/>
      <c r="M181" s="1206"/>
      <c r="N181" s="1206"/>
      <c r="O181" s="1207"/>
      <c r="P181" s="1201"/>
      <c r="Q181" s="1166"/>
      <c r="R181" s="1206"/>
      <c r="S181" s="1206"/>
      <c r="T181" s="1207"/>
      <c r="U181" s="1201"/>
      <c r="V181" s="1166"/>
      <c r="W181" s="1206"/>
      <c r="X181" s="1206"/>
      <c r="Y181" s="1207"/>
      <c r="Z181" s="1201"/>
      <c r="AA181" s="1203">
        <f t="shared" ref="AA181:AA191" si="51">(E181+J181+O181+T181+Y181)</f>
        <v>0</v>
      </c>
      <c r="AB181" s="1225">
        <f t="shared" ref="AB181:AB191" si="52">Z181+U181+P181+K181+F181</f>
        <v>0</v>
      </c>
      <c r="AC181" s="1166"/>
      <c r="AD181" s="1206"/>
      <c r="AE181" s="1206"/>
      <c r="AF181" s="1207"/>
      <c r="AG181" s="1166"/>
      <c r="AH181" s="1206"/>
      <c r="AI181" s="1206"/>
      <c r="AJ181" s="1207"/>
      <c r="AK181" s="1203">
        <f t="shared" si="50"/>
        <v>0</v>
      </c>
      <c r="AL181" s="1166"/>
      <c r="AM181" s="1168"/>
      <c r="AO181" s="1175" t="s">
        <v>32</v>
      </c>
      <c r="AP181" s="1176">
        <f>AK192</f>
        <v>36.15</v>
      </c>
      <c r="AQ181" s="1177">
        <v>60.465000000000003</v>
      </c>
      <c r="AR181" s="1177">
        <f t="shared" si="49"/>
        <v>2185.8097499999999</v>
      </c>
      <c r="AS181" s="1178"/>
      <c r="AT181" s="1178"/>
    </row>
    <row r="182" spans="1:53" s="1178" customFormat="1">
      <c r="A182" s="1164"/>
      <c r="B182" s="1206" t="s">
        <v>1444</v>
      </c>
      <c r="C182" s="1206"/>
      <c r="D182" s="1206"/>
      <c r="E182" s="1207"/>
      <c r="F182" s="1201"/>
      <c r="G182" s="1166"/>
      <c r="H182" s="1206"/>
      <c r="I182" s="1206"/>
      <c r="J182" s="1207"/>
      <c r="K182" s="1201"/>
      <c r="L182" s="1166"/>
      <c r="M182" s="1206"/>
      <c r="N182" s="1206"/>
      <c r="O182" s="1207"/>
      <c r="P182" s="1201"/>
      <c r="Q182" s="1166"/>
      <c r="R182" s="1206"/>
      <c r="S182" s="1206"/>
      <c r="T182" s="1207"/>
      <c r="U182" s="1201"/>
      <c r="V182" s="1166"/>
      <c r="W182" s="1206">
        <v>0.52083333333333337</v>
      </c>
      <c r="X182" s="1206">
        <v>0.27083333333333331</v>
      </c>
      <c r="Y182" s="1207">
        <v>6</v>
      </c>
      <c r="Z182" s="1201"/>
      <c r="AA182" s="1203">
        <f t="shared" si="51"/>
        <v>6</v>
      </c>
      <c r="AB182" s="1225">
        <f t="shared" si="52"/>
        <v>0</v>
      </c>
      <c r="AC182" s="1166"/>
      <c r="AD182" s="1206"/>
      <c r="AE182" s="1206"/>
      <c r="AF182" s="1207"/>
      <c r="AG182" s="1166"/>
      <c r="AH182" s="1206"/>
      <c r="AI182" s="1206"/>
      <c r="AJ182" s="1207"/>
      <c r="AK182" s="1203">
        <f t="shared" si="50"/>
        <v>0</v>
      </c>
      <c r="AL182" s="1166"/>
      <c r="AM182" s="1168"/>
      <c r="AN182" s="1169"/>
      <c r="AO182" s="1175" t="s">
        <v>213</v>
      </c>
      <c r="AP182" s="1176">
        <f>AA193</f>
        <v>20</v>
      </c>
      <c r="AQ182" s="1177">
        <v>53.05</v>
      </c>
      <c r="AR182" s="1177">
        <f t="shared" si="49"/>
        <v>1061</v>
      </c>
      <c r="AU182" s="1169"/>
      <c r="AV182" s="1169"/>
      <c r="AW182" s="1169"/>
      <c r="AX182" s="1169"/>
      <c r="AY182" s="1169"/>
      <c r="AZ182" s="1169"/>
      <c r="BA182" s="1169"/>
    </row>
    <row r="183" spans="1:53" s="1178" customFormat="1">
      <c r="A183" s="1164"/>
      <c r="B183" s="1210" t="s">
        <v>1447</v>
      </c>
      <c r="C183" s="1206">
        <v>0.47916666666666669</v>
      </c>
      <c r="D183" s="1206">
        <v>0.22916666666666666</v>
      </c>
      <c r="E183" s="1207">
        <v>6</v>
      </c>
      <c r="F183" s="1201"/>
      <c r="G183" s="1206"/>
      <c r="H183" s="1206"/>
      <c r="I183" s="1206"/>
      <c r="J183" s="1207"/>
      <c r="K183" s="1201"/>
      <c r="L183" s="1166"/>
      <c r="M183" s="1206"/>
      <c r="N183" s="1206"/>
      <c r="O183" s="1207"/>
      <c r="P183" s="1201"/>
      <c r="Q183" s="1166"/>
      <c r="R183" s="1206"/>
      <c r="S183" s="1206"/>
      <c r="T183" s="1207"/>
      <c r="U183" s="1201"/>
      <c r="V183" s="1166"/>
      <c r="W183" s="1206"/>
      <c r="X183" s="1206"/>
      <c r="Y183" s="1207"/>
      <c r="Z183" s="1201"/>
      <c r="AA183" s="1203">
        <f t="shared" si="51"/>
        <v>6</v>
      </c>
      <c r="AB183" s="1225">
        <f t="shared" si="52"/>
        <v>0</v>
      </c>
      <c r="AC183" s="1166"/>
      <c r="AD183" s="1206"/>
      <c r="AE183" s="1206"/>
      <c r="AF183" s="1207"/>
      <c r="AG183" s="1166"/>
      <c r="AH183" s="1226"/>
      <c r="AI183" s="1206"/>
      <c r="AJ183" s="1207"/>
      <c r="AK183" s="1203">
        <f t="shared" si="50"/>
        <v>0</v>
      </c>
      <c r="AL183" s="1166"/>
      <c r="AM183" s="1168"/>
      <c r="AN183" s="1169"/>
      <c r="AO183" s="1175" t="s">
        <v>36</v>
      </c>
      <c r="AP183" s="1176">
        <f>AB193</f>
        <v>0</v>
      </c>
      <c r="AQ183" s="1177">
        <v>79.574999999999989</v>
      </c>
      <c r="AR183" s="1177">
        <f t="shared" si="49"/>
        <v>0</v>
      </c>
      <c r="AU183" s="1169"/>
      <c r="AV183" s="1169"/>
      <c r="AW183" s="1169"/>
      <c r="AX183" s="1169"/>
      <c r="AY183" s="1169"/>
      <c r="AZ183" s="1169"/>
      <c r="BA183" s="1169"/>
    </row>
    <row r="184" spans="1:53" s="1178" customFormat="1">
      <c r="A184" s="1164"/>
      <c r="B184" s="1210" t="s">
        <v>1141</v>
      </c>
      <c r="C184" s="1206">
        <v>0.16666666666666666</v>
      </c>
      <c r="D184" s="1206">
        <v>0.41666666666666669</v>
      </c>
      <c r="E184" s="1207">
        <v>6</v>
      </c>
      <c r="F184" s="1201"/>
      <c r="G184" s="1166"/>
      <c r="H184" s="1206">
        <v>0.16666666666666666</v>
      </c>
      <c r="I184" s="1206">
        <v>0.41666666666666669</v>
      </c>
      <c r="J184" s="1207">
        <v>6</v>
      </c>
      <c r="K184" s="1201"/>
      <c r="L184" s="1166"/>
      <c r="M184" s="1206">
        <v>0.47916666666666669</v>
      </c>
      <c r="N184" s="1206">
        <v>0.41666666666666669</v>
      </c>
      <c r="O184" s="1207">
        <v>8</v>
      </c>
      <c r="P184" s="1201">
        <v>1.5</v>
      </c>
      <c r="Q184" s="1166"/>
      <c r="R184" s="1206">
        <v>0.44791666666666669</v>
      </c>
      <c r="S184" s="1206">
        <v>0.41666666666666669</v>
      </c>
      <c r="T184" s="1207">
        <v>8</v>
      </c>
      <c r="U184" s="1201">
        <v>2.25</v>
      </c>
      <c r="V184" s="1166"/>
      <c r="W184" s="1206">
        <v>0.5</v>
      </c>
      <c r="X184" s="1206">
        <v>0.27083333333333331</v>
      </c>
      <c r="Y184" s="1207">
        <v>6.5</v>
      </c>
      <c r="Z184" s="1201"/>
      <c r="AA184" s="1203">
        <f>(E184+J184+O184+T184+Y184)</f>
        <v>34.5</v>
      </c>
      <c r="AB184" s="1225">
        <f t="shared" si="52"/>
        <v>3.75</v>
      </c>
      <c r="AC184" s="1166"/>
      <c r="AD184" s="1206">
        <v>6.25E-2</v>
      </c>
      <c r="AE184" s="1206">
        <v>0.3125</v>
      </c>
      <c r="AF184" s="1207">
        <v>6</v>
      </c>
      <c r="AG184" s="1166"/>
      <c r="AH184" s="1206"/>
      <c r="AI184" s="1206"/>
      <c r="AJ184" s="1207"/>
      <c r="AK184" s="1203">
        <f t="shared" si="50"/>
        <v>6</v>
      </c>
      <c r="AL184" s="1166"/>
      <c r="AM184" s="1168"/>
      <c r="AN184" s="1169"/>
      <c r="AO184" s="1175" t="s">
        <v>38</v>
      </c>
      <c r="AP184" s="1176">
        <f>AK193</f>
        <v>9.75</v>
      </c>
      <c r="AQ184" s="1177">
        <v>79.574999999999989</v>
      </c>
      <c r="AR184" s="1177">
        <f t="shared" si="49"/>
        <v>775.85624999999993</v>
      </c>
      <c r="AU184" s="1169"/>
      <c r="AV184" s="1169"/>
      <c r="AW184" s="1169"/>
      <c r="AX184" s="1169"/>
      <c r="AY184" s="1169"/>
      <c r="AZ184" s="1169"/>
      <c r="BA184" s="1169"/>
    </row>
    <row r="185" spans="1:53" s="1178" customFormat="1">
      <c r="A185" s="1164"/>
      <c r="B185" s="1210" t="s">
        <v>1140</v>
      </c>
      <c r="C185" s="1206">
        <v>0.19791666666666666</v>
      </c>
      <c r="D185" s="1206">
        <v>0.4375</v>
      </c>
      <c r="E185" s="1207">
        <v>5.75</v>
      </c>
      <c r="F185" s="1201"/>
      <c r="G185" s="1166"/>
      <c r="H185" s="1206"/>
      <c r="I185" s="1206"/>
      <c r="J185" s="1207"/>
      <c r="K185" s="1201"/>
      <c r="L185" s="1166"/>
      <c r="M185" s="1206"/>
      <c r="N185" s="1206"/>
      <c r="O185" s="1207"/>
      <c r="P185" s="1201"/>
      <c r="Q185" s="1166"/>
      <c r="R185" s="1206"/>
      <c r="S185" s="1206"/>
      <c r="T185" s="1207"/>
      <c r="U185" s="1201"/>
      <c r="V185" s="1166"/>
      <c r="W185" s="1206">
        <v>0.47916666666666669</v>
      </c>
      <c r="X185" s="1206">
        <v>0.22916666666666666</v>
      </c>
      <c r="Y185" s="1207">
        <v>6</v>
      </c>
      <c r="Z185" s="1201"/>
      <c r="AA185" s="1203">
        <f t="shared" si="51"/>
        <v>11.75</v>
      </c>
      <c r="AB185" s="1225">
        <f t="shared" si="52"/>
        <v>0</v>
      </c>
      <c r="AC185" s="1166"/>
      <c r="AD185" s="1206">
        <v>0.5</v>
      </c>
      <c r="AE185" s="1206">
        <v>0.26041666666666669</v>
      </c>
      <c r="AF185" s="1207">
        <v>6.25</v>
      </c>
      <c r="AG185" s="1166"/>
      <c r="AH185" s="1206"/>
      <c r="AI185" s="1206"/>
      <c r="AJ185" s="1207"/>
      <c r="AK185" s="1203">
        <f t="shared" si="50"/>
        <v>6.25</v>
      </c>
      <c r="AL185" s="1166"/>
      <c r="AM185" s="1168"/>
      <c r="AN185" s="1169"/>
      <c r="AP185" s="1176"/>
      <c r="AR185" s="1227">
        <f>SUM(AR179:AR184)</f>
        <v>7574.9847500000005</v>
      </c>
      <c r="AU185" s="1169"/>
      <c r="AV185" s="1169"/>
      <c r="AW185" s="1169"/>
      <c r="AX185" s="1169"/>
      <c r="AY185" s="1169"/>
      <c r="AZ185" s="1169"/>
      <c r="BA185" s="1169"/>
    </row>
    <row r="186" spans="1:53" s="1178" customFormat="1">
      <c r="A186" s="1164"/>
      <c r="B186" s="1210" t="s">
        <v>53</v>
      </c>
      <c r="C186" s="1206"/>
      <c r="D186" s="1206"/>
      <c r="E186" s="1207"/>
      <c r="F186" s="1201"/>
      <c r="G186" s="1166"/>
      <c r="H186" s="1206"/>
      <c r="I186" s="1206"/>
      <c r="J186" s="1207"/>
      <c r="K186" s="1201"/>
      <c r="L186" s="1166"/>
      <c r="M186" s="1206"/>
      <c r="N186" s="1206"/>
      <c r="O186" s="1207"/>
      <c r="P186" s="1201"/>
      <c r="Q186" s="1166"/>
      <c r="R186" s="1169"/>
      <c r="S186" s="1206"/>
      <c r="T186" s="1207"/>
      <c r="U186" s="1201"/>
      <c r="V186" s="1166"/>
      <c r="W186" s="1206"/>
      <c r="X186" s="1206"/>
      <c r="Y186" s="1207"/>
      <c r="Z186" s="1201"/>
      <c r="AA186" s="1203">
        <f t="shared" si="51"/>
        <v>0</v>
      </c>
      <c r="AB186" s="1225">
        <f t="shared" si="52"/>
        <v>0</v>
      </c>
      <c r="AC186" s="1166"/>
      <c r="AD186" s="1206"/>
      <c r="AE186" s="1206"/>
      <c r="AF186" s="1207"/>
      <c r="AG186" s="1166"/>
      <c r="AH186" s="1226"/>
      <c r="AI186" s="1206"/>
      <c r="AJ186" s="1207"/>
      <c r="AK186" s="1203">
        <f t="shared" si="50"/>
        <v>0</v>
      </c>
      <c r="AL186" s="1166"/>
      <c r="AM186" s="1168"/>
      <c r="AN186" s="1169"/>
      <c r="AP186" s="1176"/>
      <c r="AU186" s="1169"/>
      <c r="AV186" s="1169"/>
      <c r="AW186" s="1169"/>
      <c r="AX186" s="1169"/>
      <c r="AY186" s="1169"/>
      <c r="AZ186" s="1169"/>
      <c r="BA186" s="1169"/>
    </row>
    <row r="187" spans="1:53" s="1178" customFormat="1">
      <c r="A187" s="1164"/>
      <c r="B187" s="1210" t="s">
        <v>1455</v>
      </c>
      <c r="C187" s="1206"/>
      <c r="D187" s="1206"/>
      <c r="E187" s="1207"/>
      <c r="F187" s="1201"/>
      <c r="G187" s="1166"/>
      <c r="H187" s="1206"/>
      <c r="I187" s="1206"/>
      <c r="J187" s="1207"/>
      <c r="K187" s="1201"/>
      <c r="L187" s="1166"/>
      <c r="M187" s="1206"/>
      <c r="N187" s="1206"/>
      <c r="O187" s="1207"/>
      <c r="P187" s="1201"/>
      <c r="Q187" s="1166"/>
      <c r="R187" s="1206"/>
      <c r="S187" s="1206"/>
      <c r="T187" s="1207"/>
      <c r="U187" s="1201"/>
      <c r="V187" s="1166"/>
      <c r="W187" s="1206"/>
      <c r="X187" s="1206"/>
      <c r="Y187" s="1207"/>
      <c r="Z187" s="1201"/>
      <c r="AA187" s="1203">
        <f t="shared" si="51"/>
        <v>0</v>
      </c>
      <c r="AB187" s="1225">
        <f t="shared" si="52"/>
        <v>0</v>
      </c>
      <c r="AC187" s="1166"/>
      <c r="AD187" s="1206"/>
      <c r="AE187" s="1206"/>
      <c r="AF187" s="1207"/>
      <c r="AG187" s="1166"/>
      <c r="AH187" s="1206"/>
      <c r="AI187" s="1206"/>
      <c r="AJ187" s="1207"/>
      <c r="AK187" s="1203">
        <f t="shared" si="50"/>
        <v>0</v>
      </c>
      <c r="AL187" s="1166"/>
      <c r="AM187" s="1168"/>
      <c r="AN187" s="1169"/>
      <c r="AO187" s="1228" t="s">
        <v>1115</v>
      </c>
      <c r="AP187" s="1176">
        <f>C195</f>
        <v>19</v>
      </c>
      <c r="AU187" s="1169"/>
      <c r="AV187" s="1169"/>
      <c r="AW187" s="1169"/>
      <c r="AX187" s="1169"/>
      <c r="AY187" s="1169"/>
      <c r="AZ187" s="1169"/>
      <c r="BA187" s="1169"/>
    </row>
    <row r="188" spans="1:53" s="1178" customFormat="1">
      <c r="A188" s="1164"/>
      <c r="B188" s="1210" t="s">
        <v>1437</v>
      </c>
      <c r="C188" s="1206"/>
      <c r="D188" s="1206"/>
      <c r="E188" s="1207"/>
      <c r="F188" s="1201"/>
      <c r="G188" s="1166"/>
      <c r="H188" s="1206"/>
      <c r="I188" s="1206"/>
      <c r="J188" s="1207"/>
      <c r="K188" s="1201"/>
      <c r="L188" s="1166"/>
      <c r="M188" s="1206"/>
      <c r="N188" s="1206"/>
      <c r="O188" s="1207"/>
      <c r="P188" s="1201"/>
      <c r="Q188" s="1166"/>
      <c r="R188" s="1206"/>
      <c r="S188" s="1206"/>
      <c r="T188" s="1207"/>
      <c r="U188" s="1201"/>
      <c r="V188" s="1166"/>
      <c r="W188" s="1206"/>
      <c r="X188" s="1206"/>
      <c r="Y188" s="1207"/>
      <c r="Z188" s="1201"/>
      <c r="AA188" s="1203">
        <f t="shared" si="51"/>
        <v>0</v>
      </c>
      <c r="AB188" s="1225">
        <f t="shared" si="52"/>
        <v>0</v>
      </c>
      <c r="AC188" s="1166"/>
      <c r="AD188" s="1206"/>
      <c r="AE188" s="1206"/>
      <c r="AF188" s="1207"/>
      <c r="AG188" s="1166"/>
      <c r="AH188" s="1206"/>
      <c r="AI188" s="1206"/>
      <c r="AJ188" s="1207"/>
      <c r="AK188" s="1203">
        <f t="shared" si="50"/>
        <v>0</v>
      </c>
      <c r="AL188" s="1166"/>
      <c r="AM188" s="1168"/>
      <c r="AN188" s="1169"/>
      <c r="AO188" s="1228"/>
      <c r="AP188" s="1176"/>
      <c r="AU188" s="1169"/>
      <c r="AV188" s="1169"/>
      <c r="AW188" s="1169"/>
      <c r="AX188" s="1169"/>
      <c r="AY188" s="1169"/>
      <c r="AZ188" s="1169"/>
      <c r="BA188" s="1169"/>
    </row>
    <row r="189" spans="1:53" s="1178" customFormat="1">
      <c r="A189" s="1164"/>
      <c r="B189" s="1210" t="s">
        <v>1456</v>
      </c>
      <c r="C189" s="1206"/>
      <c r="D189" s="1206"/>
      <c r="E189" s="1207"/>
      <c r="F189" s="1201"/>
      <c r="G189" s="1166"/>
      <c r="H189" s="1206"/>
      <c r="I189" s="1206"/>
      <c r="J189" s="1207"/>
      <c r="K189" s="1201"/>
      <c r="L189" s="1166"/>
      <c r="M189" s="1206"/>
      <c r="N189" s="1206"/>
      <c r="O189" s="1207"/>
      <c r="P189" s="1201"/>
      <c r="Q189" s="1166"/>
      <c r="R189" s="1206"/>
      <c r="S189" s="1206"/>
      <c r="T189" s="1207"/>
      <c r="U189" s="1201"/>
      <c r="V189" s="1166"/>
      <c r="W189" s="1206"/>
      <c r="X189" s="1206"/>
      <c r="Y189" s="1207"/>
      <c r="Z189" s="1201"/>
      <c r="AA189" s="1203">
        <f t="shared" si="51"/>
        <v>0</v>
      </c>
      <c r="AB189" s="1225">
        <f t="shared" si="52"/>
        <v>0</v>
      </c>
      <c r="AC189" s="1166"/>
      <c r="AD189" s="1206"/>
      <c r="AE189" s="1206"/>
      <c r="AF189" s="1207"/>
      <c r="AG189" s="1166"/>
      <c r="AH189" s="1206"/>
      <c r="AI189" s="1206"/>
      <c r="AJ189" s="1207"/>
      <c r="AK189" s="1203">
        <f t="shared" si="50"/>
        <v>0</v>
      </c>
      <c r="AL189" s="1166"/>
      <c r="AM189" s="1168"/>
      <c r="AN189" s="1169"/>
      <c r="AO189" s="1228"/>
      <c r="AP189" s="1176"/>
      <c r="AU189" s="1169"/>
      <c r="AV189" s="1169"/>
      <c r="AW189" s="1169"/>
      <c r="AX189" s="1169"/>
      <c r="AY189" s="1169"/>
      <c r="AZ189" s="1169"/>
      <c r="BA189" s="1169"/>
    </row>
    <row r="190" spans="1:53" s="1178" customFormat="1">
      <c r="A190" s="1164"/>
      <c r="B190" s="1210" t="s">
        <v>1143</v>
      </c>
      <c r="C190" s="1206"/>
      <c r="D190" s="1206"/>
      <c r="E190" s="1207"/>
      <c r="F190" s="1201"/>
      <c r="G190" s="1166"/>
      <c r="H190" s="1206"/>
      <c r="I190" s="1206"/>
      <c r="J190" s="1207"/>
      <c r="K190" s="1201"/>
      <c r="L190" s="1166"/>
      <c r="M190" s="1206"/>
      <c r="N190" s="1206"/>
      <c r="O190" s="1207"/>
      <c r="P190" s="1201"/>
      <c r="Q190" s="1166"/>
      <c r="R190" s="1206"/>
      <c r="S190" s="1206"/>
      <c r="T190" s="1207"/>
      <c r="U190" s="1201"/>
      <c r="V190" s="1166"/>
      <c r="W190" s="1206"/>
      <c r="X190" s="1206"/>
      <c r="Y190" s="1207"/>
      <c r="Z190" s="1201"/>
      <c r="AA190" s="1203">
        <f t="shared" si="51"/>
        <v>0</v>
      </c>
      <c r="AB190" s="1225">
        <f t="shared" si="52"/>
        <v>0</v>
      </c>
      <c r="AC190" s="1166"/>
      <c r="AD190" s="1206">
        <v>0.52083333333333337</v>
      </c>
      <c r="AE190" s="1206">
        <v>0.3125</v>
      </c>
      <c r="AF190" s="1207">
        <v>7</v>
      </c>
      <c r="AG190" s="1166"/>
      <c r="AH190" s="1206">
        <v>0.52083333333333337</v>
      </c>
      <c r="AI190" s="1206">
        <v>0.3125</v>
      </c>
      <c r="AJ190" s="1207">
        <v>7</v>
      </c>
      <c r="AK190" s="1203">
        <f t="shared" si="50"/>
        <v>14</v>
      </c>
      <c r="AL190" s="1166"/>
      <c r="AM190" s="1168"/>
      <c r="AN190" s="1169"/>
      <c r="AO190" s="1228"/>
      <c r="AP190" s="1176"/>
      <c r="AU190" s="1169"/>
      <c r="AV190" s="1169"/>
      <c r="AW190" s="1169"/>
      <c r="AX190" s="1169"/>
      <c r="AY190" s="1169"/>
      <c r="AZ190" s="1169"/>
      <c r="BA190" s="1169"/>
    </row>
    <row r="191" spans="1:53" s="1178" customFormat="1">
      <c r="A191" s="1164"/>
      <c r="B191" s="1210" t="s">
        <v>1435</v>
      </c>
      <c r="C191" s="1206"/>
      <c r="D191" s="1206"/>
      <c r="E191" s="1207"/>
      <c r="F191" s="1201"/>
      <c r="G191" s="1166"/>
      <c r="H191" s="1206"/>
      <c r="I191" s="1206"/>
      <c r="J191" s="1207"/>
      <c r="K191" s="1201"/>
      <c r="L191" s="1166"/>
      <c r="M191" s="1206"/>
      <c r="N191" s="1206"/>
      <c r="O191" s="1207"/>
      <c r="P191" s="1201"/>
      <c r="Q191" s="1166"/>
      <c r="R191" s="1206"/>
      <c r="S191" s="1206"/>
      <c r="T191" s="1207"/>
      <c r="U191" s="1201"/>
      <c r="V191" s="1166"/>
      <c r="W191" s="1206"/>
      <c r="X191" s="1206"/>
      <c r="Y191" s="1207"/>
      <c r="Z191" s="1201"/>
      <c r="AA191" s="1203">
        <f t="shared" si="51"/>
        <v>0</v>
      </c>
      <c r="AB191" s="1225">
        <f t="shared" si="52"/>
        <v>0</v>
      </c>
      <c r="AC191" s="1166"/>
      <c r="AD191" s="1206"/>
      <c r="AE191" s="1206"/>
      <c r="AF191" s="1207"/>
      <c r="AG191" s="1166"/>
      <c r="AH191" s="1206"/>
      <c r="AI191" s="1206"/>
      <c r="AJ191" s="1207"/>
      <c r="AK191" s="1203">
        <f t="shared" si="50"/>
        <v>0</v>
      </c>
      <c r="AL191" s="1166"/>
      <c r="AM191" s="1168"/>
      <c r="AN191" s="1169"/>
      <c r="AO191" s="1228"/>
      <c r="AP191" s="1176"/>
      <c r="AU191" s="1169"/>
      <c r="AV191" s="1169"/>
      <c r="AW191" s="1169"/>
      <c r="AX191" s="1169"/>
      <c r="AY191" s="1169"/>
      <c r="AZ191" s="1169"/>
      <c r="BA191" s="1169"/>
    </row>
    <row r="192" spans="1:53" s="1169" customFormat="1">
      <c r="A192" s="1164"/>
      <c r="B192" s="1232" t="s">
        <v>61</v>
      </c>
      <c r="C192" s="1232"/>
      <c r="D192" s="1232"/>
      <c r="E192" s="1233"/>
      <c r="F192" s="1201"/>
      <c r="G192" s="1232"/>
      <c r="H192" s="1232"/>
      <c r="I192" s="1232"/>
      <c r="J192" s="1233"/>
      <c r="K192" s="1201"/>
      <c r="L192" s="1232"/>
      <c r="M192" s="1232"/>
      <c r="N192" s="1232"/>
      <c r="O192" s="1233"/>
      <c r="P192" s="1201"/>
      <c r="Q192" s="1232"/>
      <c r="R192" s="1232"/>
      <c r="S192" s="1232"/>
      <c r="T192" s="1233"/>
      <c r="U192" s="1201"/>
      <c r="V192" s="1232"/>
      <c r="W192" s="1232"/>
      <c r="X192" s="1232"/>
      <c r="Y192" s="1233"/>
      <c r="Z192" s="1201"/>
      <c r="AA192" s="1202">
        <f>SUM(AA180:AA191)</f>
        <v>82.5</v>
      </c>
      <c r="AB192" s="1229">
        <f>SUM(AB180:AB187)</f>
        <v>3.75</v>
      </c>
      <c r="AC192" s="1166"/>
      <c r="AD192" s="1232"/>
      <c r="AE192" s="1232"/>
      <c r="AF192" s="1203"/>
      <c r="AG192" s="1166"/>
      <c r="AH192" s="1232"/>
      <c r="AI192" s="1232"/>
      <c r="AJ192" s="1203"/>
      <c r="AK192" s="1229">
        <f>SUM(AK180:AK191)</f>
        <v>36.15</v>
      </c>
      <c r="AL192" s="1166"/>
      <c r="AM192" s="1168"/>
      <c r="AO192" s="1204"/>
      <c r="AP192" s="1178"/>
      <c r="AQ192" s="1178"/>
      <c r="AR192" s="1178"/>
      <c r="AS192" s="1178"/>
      <c r="AT192" s="1178"/>
    </row>
    <row r="193" spans="1:53" s="1169" customFormat="1">
      <c r="A193" s="1164"/>
      <c r="B193" s="1230" t="s">
        <v>64</v>
      </c>
      <c r="C193" s="1206"/>
      <c r="D193" s="1206"/>
      <c r="E193" s="1207">
        <v>4</v>
      </c>
      <c r="F193" s="1207"/>
      <c r="G193" s="1208"/>
      <c r="H193" s="1206"/>
      <c r="I193" s="1206"/>
      <c r="J193" s="1207">
        <v>4</v>
      </c>
      <c r="K193" s="1207"/>
      <c r="L193" s="1209"/>
      <c r="M193" s="1206"/>
      <c r="N193" s="1206"/>
      <c r="O193" s="1207">
        <v>4</v>
      </c>
      <c r="P193" s="1207"/>
      <c r="Q193" s="1209"/>
      <c r="R193" s="1206"/>
      <c r="S193" s="1206"/>
      <c r="T193" s="1207">
        <v>4</v>
      </c>
      <c r="U193" s="1207"/>
      <c r="V193" s="1209"/>
      <c r="W193" s="1206"/>
      <c r="X193" s="1206"/>
      <c r="Y193" s="1207">
        <v>4</v>
      </c>
      <c r="Z193" s="1207"/>
      <c r="AA193" s="1203">
        <f>SUM(E193+J193+O193+T193+Y193)</f>
        <v>20</v>
      </c>
      <c r="AB193" s="1173">
        <f>Z193+U193+P193+K193+F193</f>
        <v>0</v>
      </c>
      <c r="AC193" s="1166"/>
      <c r="AD193" s="1206"/>
      <c r="AE193" s="1206"/>
      <c r="AF193" s="1207">
        <v>6.25</v>
      </c>
      <c r="AG193" s="1166"/>
      <c r="AH193" s="1206"/>
      <c r="AI193" s="1206"/>
      <c r="AJ193" s="1207">
        <v>3.5</v>
      </c>
      <c r="AK193" s="1203">
        <f>AJ193+AF193</f>
        <v>9.75</v>
      </c>
      <c r="AL193" s="1166"/>
      <c r="AM193" s="1168"/>
      <c r="AO193" s="1204"/>
      <c r="AP193" s="1178"/>
      <c r="AQ193" s="1178"/>
      <c r="AR193" s="1178"/>
      <c r="AS193" s="1178"/>
      <c r="AT193" s="1178"/>
    </row>
    <row r="194" spans="1:53" s="1169" customFormat="1">
      <c r="A194" s="1164"/>
      <c r="B194" s="1208" t="s">
        <v>66</v>
      </c>
      <c r="C194" s="1210"/>
      <c r="D194" s="1210"/>
      <c r="E194" s="1208"/>
      <c r="F194" s="1208"/>
      <c r="G194" s="1208"/>
      <c r="H194" s="1208"/>
      <c r="I194" s="1208"/>
      <c r="J194" s="1208"/>
      <c r="K194" s="1208"/>
      <c r="L194" s="1208"/>
      <c r="M194" s="1208"/>
      <c r="N194" s="1208"/>
      <c r="O194" s="1208"/>
      <c r="P194" s="1208"/>
      <c r="Q194" s="1208"/>
      <c r="R194" s="1208"/>
      <c r="S194" s="1208"/>
      <c r="T194" s="1208"/>
      <c r="U194" s="1208"/>
      <c r="V194" s="1208"/>
      <c r="W194" s="1208"/>
      <c r="X194" s="1208"/>
      <c r="Y194" s="1208"/>
      <c r="Z194" s="1208"/>
      <c r="AA194" s="1211">
        <f>SUM(AA193:AA193)</f>
        <v>20</v>
      </c>
      <c r="AB194" s="1203">
        <f>SUM(AB193:AB193)</f>
        <v>0</v>
      </c>
      <c r="AC194" s="1166"/>
      <c r="AG194" s="1166"/>
      <c r="AK194" s="1229">
        <f>SUM(AK193:AK193)</f>
        <v>9.75</v>
      </c>
      <c r="AL194" s="1166"/>
      <c r="AM194" s="1168"/>
      <c r="AO194" s="1204"/>
      <c r="AP194" s="1178"/>
      <c r="AQ194" s="1178"/>
      <c r="AR194" s="1178"/>
      <c r="AS194" s="1178"/>
      <c r="AT194" s="1178"/>
    </row>
    <row r="195" spans="1:53" s="1169" customFormat="1">
      <c r="A195" s="1164"/>
      <c r="B195" s="1212" t="s">
        <v>67</v>
      </c>
      <c r="C195" s="1213">
        <f>3+2+2+2+4+4+2</f>
        <v>19</v>
      </c>
      <c r="D195" s="1214"/>
      <c r="E195" s="1215"/>
      <c r="F195" s="1215"/>
      <c r="G195" s="1214"/>
      <c r="H195" s="1215"/>
      <c r="I195" s="1215"/>
      <c r="J195" s="1215"/>
      <c r="K195" s="1215"/>
      <c r="L195" s="1214"/>
      <c r="M195" s="1214"/>
      <c r="N195" s="1214"/>
      <c r="O195" s="1214"/>
      <c r="P195" s="1215"/>
      <c r="Q195" s="1214"/>
      <c r="R195" s="1214"/>
      <c r="S195" s="1214"/>
      <c r="T195" s="1214"/>
      <c r="U195" s="1215"/>
      <c r="V195" s="1214"/>
      <c r="W195" s="1214"/>
      <c r="X195" s="1214"/>
      <c r="Y195" s="1216"/>
      <c r="Z195" s="1215"/>
      <c r="AA195" s="1217"/>
      <c r="AB195" s="1215"/>
      <c r="AC195" s="1217"/>
      <c r="AD195" s="1217"/>
      <c r="AE195" s="1217"/>
      <c r="AF195" s="1217"/>
      <c r="AG195" s="1166"/>
      <c r="AH195" s="1217"/>
      <c r="AI195" s="1217"/>
      <c r="AJ195" s="1217"/>
      <c r="AK195" s="1217"/>
      <c r="AL195" s="1166"/>
      <c r="AM195" s="1168"/>
      <c r="AO195" s="1178"/>
      <c r="AP195" s="1178"/>
      <c r="AQ195" s="1178"/>
      <c r="AR195" s="1178"/>
      <c r="AS195" s="1178"/>
      <c r="AT195" s="1178"/>
    </row>
    <row r="196" spans="1:53" s="1169" customFormat="1">
      <c r="A196" s="1164"/>
      <c r="E196" s="1166"/>
      <c r="F196" s="1166"/>
      <c r="G196" s="1166"/>
      <c r="J196" s="1166"/>
      <c r="K196" s="1166"/>
      <c r="L196" s="1166"/>
      <c r="O196" s="1166"/>
      <c r="P196" s="1166"/>
      <c r="Q196" s="1166"/>
      <c r="T196" s="1166"/>
      <c r="U196" s="1166"/>
      <c r="V196" s="1166"/>
      <c r="Y196" s="1166"/>
      <c r="Z196" s="1166"/>
      <c r="AA196" s="1166"/>
      <c r="AB196" s="1166"/>
      <c r="AC196" s="1166"/>
      <c r="AG196" s="1166"/>
      <c r="AL196" s="1166"/>
      <c r="AM196" s="1168"/>
      <c r="AO196" s="1178"/>
      <c r="AP196" s="1178"/>
      <c r="AQ196" s="1178"/>
      <c r="AR196" s="1178"/>
      <c r="AS196" s="1178"/>
      <c r="AT196" s="1178"/>
    </row>
    <row r="197" spans="1:53" s="1169" customFormat="1">
      <c r="A197" s="1164"/>
      <c r="B197" s="1218"/>
      <c r="C197" s="1219"/>
      <c r="D197" s="1219"/>
      <c r="E197" s="1220"/>
      <c r="F197" s="1220"/>
      <c r="G197" s="1219"/>
      <c r="H197" s="1220"/>
      <c r="I197" s="1220"/>
      <c r="J197" s="1220"/>
      <c r="K197" s="1220"/>
      <c r="L197" s="1219"/>
      <c r="M197" s="1219"/>
      <c r="N197" s="1219"/>
      <c r="O197" s="1219"/>
      <c r="P197" s="1220"/>
      <c r="Q197" s="1219"/>
      <c r="R197" s="1219"/>
      <c r="S197" s="1219"/>
      <c r="T197" s="1219"/>
      <c r="U197" s="1220"/>
      <c r="V197" s="1219"/>
      <c r="W197" s="1219"/>
      <c r="X197" s="1219"/>
      <c r="Y197" s="1221"/>
      <c r="Z197" s="1220"/>
      <c r="AA197" s="1222"/>
      <c r="AB197" s="1220"/>
      <c r="AC197" s="1223"/>
      <c r="AD197" s="1224"/>
      <c r="AE197" s="1168"/>
      <c r="AF197" s="1168"/>
      <c r="AG197" s="1168"/>
      <c r="AH197" s="1224"/>
      <c r="AI197" s="1168"/>
      <c r="AJ197" s="1168"/>
      <c r="AK197" s="1168"/>
      <c r="AL197" s="1168"/>
      <c r="AM197" s="1168"/>
      <c r="AN197" s="1168"/>
      <c r="AO197" s="1168"/>
      <c r="AP197" s="1168"/>
      <c r="AQ197" s="1168"/>
      <c r="AR197" s="1168"/>
      <c r="AS197" s="1168"/>
      <c r="AT197" s="1168"/>
    </row>
    <row r="198" spans="1:53" s="1169" customFormat="1">
      <c r="A198" s="1164"/>
      <c r="E198" s="1166"/>
      <c r="F198" s="1166"/>
      <c r="G198" s="1166"/>
      <c r="J198" s="1166"/>
      <c r="K198" s="1166"/>
      <c r="L198" s="1166"/>
      <c r="O198" s="1166"/>
      <c r="P198" s="1166"/>
      <c r="Q198" s="1166"/>
      <c r="T198" s="1166"/>
      <c r="U198" s="1166"/>
      <c r="V198" s="1166"/>
      <c r="Y198" s="1166"/>
      <c r="Z198" s="1166"/>
      <c r="AA198" s="1166"/>
      <c r="AB198" s="1166"/>
      <c r="AC198" s="1166"/>
      <c r="AG198" s="1166"/>
      <c r="AL198" s="1166"/>
      <c r="AM198" s="1168"/>
      <c r="AO198" s="1178"/>
      <c r="AP198" s="1178"/>
      <c r="AQ198" s="1178"/>
      <c r="AR198" s="1178"/>
      <c r="AS198" s="1178"/>
      <c r="AT198" s="1178"/>
    </row>
    <row r="199" spans="1:53" s="1169" customFormat="1" ht="13.5" customHeight="1">
      <c r="A199" s="1164"/>
      <c r="B199" s="1608" t="s">
        <v>18</v>
      </c>
      <c r="C199" s="1574">
        <v>45901</v>
      </c>
      <c r="D199" s="1574"/>
      <c r="E199" s="1574" t="s">
        <v>564</v>
      </c>
      <c r="F199" s="1574"/>
      <c r="G199" s="1165"/>
      <c r="H199" s="1574">
        <v>45902</v>
      </c>
      <c r="I199" s="1574"/>
      <c r="J199" s="1574" t="s">
        <v>565</v>
      </c>
      <c r="K199" s="1574"/>
      <c r="L199" s="1165"/>
      <c r="M199" s="1574">
        <v>45903</v>
      </c>
      <c r="N199" s="1574"/>
      <c r="O199" s="1574" t="s">
        <v>566</v>
      </c>
      <c r="P199" s="1574"/>
      <c r="Q199" s="1165"/>
      <c r="R199" s="1574">
        <v>45904</v>
      </c>
      <c r="S199" s="1574"/>
      <c r="T199" s="1574" t="s">
        <v>567</v>
      </c>
      <c r="U199" s="1574"/>
      <c r="V199" s="1165"/>
      <c r="W199" s="1574">
        <v>45905</v>
      </c>
      <c r="X199" s="1574"/>
      <c r="Y199" s="1574" t="s">
        <v>568</v>
      </c>
      <c r="Z199" s="1574"/>
      <c r="AA199" s="1575" t="s">
        <v>19</v>
      </c>
      <c r="AB199" s="1575" t="s">
        <v>20</v>
      </c>
      <c r="AC199" s="1166"/>
      <c r="AD199" s="1574">
        <v>45906</v>
      </c>
      <c r="AE199" s="1574"/>
      <c r="AF199" s="1167" t="s">
        <v>569</v>
      </c>
      <c r="AG199" s="1166"/>
      <c r="AH199" s="1574">
        <v>45907</v>
      </c>
      <c r="AI199" s="1574"/>
      <c r="AJ199" s="1231" t="s">
        <v>570</v>
      </c>
      <c r="AK199" s="1575" t="s">
        <v>1420</v>
      </c>
      <c r="AL199" s="1166"/>
      <c r="AM199" s="1168"/>
      <c r="AO199" s="1170" t="s">
        <v>84</v>
      </c>
      <c r="AP199" s="1171"/>
      <c r="AQ199" s="1171"/>
      <c r="AR199" s="1171"/>
      <c r="AS199" s="1171"/>
      <c r="AT199" s="1171"/>
    </row>
    <row r="200" spans="1:53" s="1169" customFormat="1">
      <c r="A200" s="1164"/>
      <c r="B200" s="1608"/>
      <c r="C200" s="1172" t="s">
        <v>23</v>
      </c>
      <c r="D200" s="1172" t="s">
        <v>24</v>
      </c>
      <c r="E200" s="1173" t="s">
        <v>25</v>
      </c>
      <c r="F200" s="1174" t="s">
        <v>14</v>
      </c>
      <c r="G200" s="1166"/>
      <c r="H200" s="1172" t="s">
        <v>23</v>
      </c>
      <c r="I200" s="1172" t="s">
        <v>24</v>
      </c>
      <c r="J200" s="1174" t="s">
        <v>25</v>
      </c>
      <c r="K200" s="1174" t="s">
        <v>14</v>
      </c>
      <c r="L200" s="1166"/>
      <c r="M200" s="1172" t="s">
        <v>23</v>
      </c>
      <c r="N200" s="1172" t="s">
        <v>24</v>
      </c>
      <c r="O200" s="1174" t="s">
        <v>25</v>
      </c>
      <c r="P200" s="1174" t="s">
        <v>14</v>
      </c>
      <c r="Q200" s="1166"/>
      <c r="R200" s="1172" t="s">
        <v>23</v>
      </c>
      <c r="S200" s="1172" t="s">
        <v>24</v>
      </c>
      <c r="T200" s="1174" t="s">
        <v>25</v>
      </c>
      <c r="U200" s="1174" t="s">
        <v>14</v>
      </c>
      <c r="V200" s="1166"/>
      <c r="W200" s="1172" t="s">
        <v>23</v>
      </c>
      <c r="X200" s="1172" t="s">
        <v>24</v>
      </c>
      <c r="Y200" s="1174" t="s">
        <v>25</v>
      </c>
      <c r="Z200" s="1174" t="s">
        <v>14</v>
      </c>
      <c r="AA200" s="1575"/>
      <c r="AB200" s="1575"/>
      <c r="AC200" s="1166"/>
      <c r="AD200" s="1172" t="s">
        <v>23</v>
      </c>
      <c r="AE200" s="1172" t="s">
        <v>24</v>
      </c>
      <c r="AF200" s="1174" t="s">
        <v>25</v>
      </c>
      <c r="AG200" s="1166"/>
      <c r="AH200" s="1172" t="s">
        <v>23</v>
      </c>
      <c r="AI200" s="1172" t="s">
        <v>24</v>
      </c>
      <c r="AJ200" s="1174" t="s">
        <v>25</v>
      </c>
      <c r="AK200" s="1575"/>
      <c r="AL200" s="1166"/>
      <c r="AM200" s="1168"/>
      <c r="AO200" s="1175" t="s">
        <v>26</v>
      </c>
      <c r="AP200" s="1176">
        <f>AA216</f>
        <v>73</v>
      </c>
      <c r="AQ200" s="1177">
        <v>40.31</v>
      </c>
      <c r="AR200" s="1177">
        <f t="shared" ref="AR200:AR205" si="53">AP200*AQ200</f>
        <v>2942.63</v>
      </c>
      <c r="AS200" s="1178"/>
      <c r="AT200" s="1178"/>
    </row>
    <row r="201" spans="1:53" s="1169" customFormat="1" ht="13.5" customHeight="1">
      <c r="A201" s="1164"/>
      <c r="B201" s="1166" t="s">
        <v>1064</v>
      </c>
      <c r="C201" s="1609" t="s">
        <v>1457</v>
      </c>
      <c r="D201" s="1609"/>
      <c r="E201" s="1609"/>
      <c r="F201" s="1201"/>
      <c r="G201" s="1166"/>
      <c r="H201" s="1206">
        <v>0.125</v>
      </c>
      <c r="I201" s="1206">
        <v>0.375</v>
      </c>
      <c r="J201" s="1207">
        <v>6</v>
      </c>
      <c r="K201" s="1201"/>
      <c r="L201" s="1166"/>
      <c r="M201" s="1206"/>
      <c r="N201" s="1206"/>
      <c r="O201" s="1207"/>
      <c r="P201" s="1201"/>
      <c r="Q201" s="1166"/>
      <c r="R201" s="1206">
        <v>0.125</v>
      </c>
      <c r="S201" s="1206">
        <v>0.41666666666666669</v>
      </c>
      <c r="T201" s="1207">
        <v>7</v>
      </c>
      <c r="U201" s="1201"/>
      <c r="V201" s="1166"/>
      <c r="W201" s="1206">
        <v>0.53125</v>
      </c>
      <c r="X201" s="1206">
        <v>0.41666666666666669</v>
      </c>
      <c r="Y201" s="1207">
        <v>8</v>
      </c>
      <c r="Z201" s="1201">
        <v>0.75</v>
      </c>
      <c r="AA201" s="1203">
        <f>(E201+J201+O201+T201+Y201)</f>
        <v>21</v>
      </c>
      <c r="AB201" s="1225">
        <f>Z201+U201+P201+K201+F201</f>
        <v>0.75</v>
      </c>
      <c r="AC201" s="1166"/>
      <c r="AD201" s="1206">
        <v>0.52083333333333337</v>
      </c>
      <c r="AE201" s="1206">
        <v>0.28125</v>
      </c>
      <c r="AF201" s="1207">
        <v>6.25</v>
      </c>
      <c r="AG201" s="1166"/>
      <c r="AH201" s="1206">
        <v>0.53125</v>
      </c>
      <c r="AI201" s="1206">
        <v>0.29166666666666669</v>
      </c>
      <c r="AJ201" s="1207">
        <v>6.25</v>
      </c>
      <c r="AK201" s="1203">
        <f t="shared" ref="AK201:AK215" si="54">AJ201+AF201</f>
        <v>12.5</v>
      </c>
      <c r="AL201" s="1166"/>
      <c r="AM201" s="1168"/>
      <c r="AO201" s="1175" t="s">
        <v>30</v>
      </c>
      <c r="AP201" s="1176">
        <f>AB216</f>
        <v>2.25</v>
      </c>
      <c r="AQ201" s="1177">
        <v>60.465000000000003</v>
      </c>
      <c r="AR201" s="1177">
        <f t="shared" si="53"/>
        <v>136.04625000000001</v>
      </c>
      <c r="AS201" s="1178"/>
      <c r="AT201" s="1178"/>
    </row>
    <row r="202" spans="1:53" s="1169" customFormat="1">
      <c r="A202" s="1164"/>
      <c r="B202" s="1206" t="s">
        <v>1441</v>
      </c>
      <c r="C202" s="1609"/>
      <c r="D202" s="1609"/>
      <c r="E202" s="1609"/>
      <c r="F202" s="1201"/>
      <c r="G202" s="1166"/>
      <c r="H202" s="1206"/>
      <c r="I202" s="1206"/>
      <c r="J202" s="1207"/>
      <c r="K202" s="1201"/>
      <c r="L202" s="1166"/>
      <c r="M202" s="1206"/>
      <c r="N202" s="1206"/>
      <c r="O202" s="1207"/>
      <c r="P202" s="1201"/>
      <c r="Q202" s="1166"/>
      <c r="R202" s="1206"/>
      <c r="S202" s="1206"/>
      <c r="T202" s="1207"/>
      <c r="U202" s="1201"/>
      <c r="V202" s="1166"/>
      <c r="W202" s="1206"/>
      <c r="X202" s="1206"/>
      <c r="Y202" s="1207"/>
      <c r="Z202" s="1201"/>
      <c r="AA202" s="1203">
        <f t="shared" ref="AA202:AA215" si="55">(E202+J202+O202+T202+Y202)</f>
        <v>0</v>
      </c>
      <c r="AB202" s="1225">
        <f t="shared" ref="AB202:AB215" si="56">Z202+U202+P202+K202+F202</f>
        <v>0</v>
      </c>
      <c r="AC202" s="1166"/>
      <c r="AD202" s="1206"/>
      <c r="AE202" s="1206"/>
      <c r="AF202" s="1207"/>
      <c r="AG202" s="1166"/>
      <c r="AH202" s="1206"/>
      <c r="AI202" s="1206"/>
      <c r="AJ202" s="1207"/>
      <c r="AK202" s="1203">
        <f t="shared" si="54"/>
        <v>0</v>
      </c>
      <c r="AL202" s="1166"/>
      <c r="AM202" s="1168"/>
      <c r="AO202" s="1175" t="s">
        <v>32</v>
      </c>
      <c r="AP202" s="1176">
        <f>AK216</f>
        <v>35</v>
      </c>
      <c r="AQ202" s="1177">
        <v>60.465000000000003</v>
      </c>
      <c r="AR202" s="1177">
        <f t="shared" si="53"/>
        <v>2116.2750000000001</v>
      </c>
      <c r="AS202" s="1178"/>
      <c r="AT202" s="1178"/>
    </row>
    <row r="203" spans="1:53" s="1178" customFormat="1">
      <c r="A203" s="1164"/>
      <c r="B203" s="1206" t="s">
        <v>1444</v>
      </c>
      <c r="C203" s="1609"/>
      <c r="D203" s="1609"/>
      <c r="E203" s="1609"/>
      <c r="F203" s="1201"/>
      <c r="G203" s="1166"/>
      <c r="H203" s="1206">
        <v>0.52083333333333337</v>
      </c>
      <c r="I203" s="1206">
        <v>0.27083333333333331</v>
      </c>
      <c r="J203" s="1207">
        <v>6</v>
      </c>
      <c r="K203" s="1201"/>
      <c r="L203" s="1166"/>
      <c r="M203" s="1206"/>
      <c r="N203" s="1206"/>
      <c r="O203" s="1207"/>
      <c r="P203" s="1201"/>
      <c r="Q203" s="1166"/>
      <c r="R203" s="1206"/>
      <c r="S203" s="1206"/>
      <c r="T203" s="1207"/>
      <c r="U203" s="1201"/>
      <c r="V203" s="1166"/>
      <c r="W203" s="1206"/>
      <c r="X203" s="1206"/>
      <c r="Y203" s="1207"/>
      <c r="Z203" s="1201"/>
      <c r="AA203" s="1203">
        <f t="shared" si="55"/>
        <v>6</v>
      </c>
      <c r="AB203" s="1225">
        <f t="shared" si="56"/>
        <v>0</v>
      </c>
      <c r="AC203" s="1166"/>
      <c r="AD203" s="1206"/>
      <c r="AE203" s="1206"/>
      <c r="AF203" s="1207"/>
      <c r="AG203" s="1166"/>
      <c r="AH203" s="1206"/>
      <c r="AI203" s="1206"/>
      <c r="AJ203" s="1207"/>
      <c r="AK203" s="1203">
        <f t="shared" si="54"/>
        <v>0</v>
      </c>
      <c r="AL203" s="1166"/>
      <c r="AM203" s="1168"/>
      <c r="AN203" s="1169"/>
      <c r="AO203" s="1175" t="s">
        <v>213</v>
      </c>
      <c r="AP203" s="1176">
        <f>AA217</f>
        <v>16</v>
      </c>
      <c r="AQ203" s="1177">
        <v>53.05</v>
      </c>
      <c r="AR203" s="1177">
        <f t="shared" si="53"/>
        <v>848.8</v>
      </c>
      <c r="AU203" s="1169"/>
      <c r="AV203" s="1169"/>
      <c r="AW203" s="1169"/>
      <c r="AX203" s="1169"/>
      <c r="AY203" s="1169"/>
      <c r="AZ203" s="1169"/>
      <c r="BA203" s="1169"/>
    </row>
    <row r="204" spans="1:53" s="1178" customFormat="1">
      <c r="A204" s="1164"/>
      <c r="B204" s="1210" t="s">
        <v>1447</v>
      </c>
      <c r="C204" s="1609"/>
      <c r="D204" s="1609"/>
      <c r="E204" s="1609"/>
      <c r="F204" s="1201"/>
      <c r="G204" s="1206"/>
      <c r="H204" s="1206">
        <v>8.3333333333333329E-2</v>
      </c>
      <c r="I204" s="1206">
        <v>0.41666666666666669</v>
      </c>
      <c r="J204" s="1207">
        <v>8</v>
      </c>
      <c r="K204" s="1201"/>
      <c r="L204" s="1166"/>
      <c r="M204" s="1206"/>
      <c r="N204" s="1206"/>
      <c r="O204" s="1207"/>
      <c r="P204" s="1201"/>
      <c r="Q204" s="1166"/>
      <c r="R204" s="1206">
        <v>0.47916666666666669</v>
      </c>
      <c r="S204" s="1206">
        <v>0.41666666666666669</v>
      </c>
      <c r="T204" s="1207">
        <v>8</v>
      </c>
      <c r="U204" s="1201">
        <v>1.5</v>
      </c>
      <c r="V204" s="1166"/>
      <c r="W204" s="1206">
        <v>0.52083333333333337</v>
      </c>
      <c r="X204" s="1206">
        <v>0.27083333333333331</v>
      </c>
      <c r="Y204" s="1207">
        <v>6</v>
      </c>
      <c r="Z204" s="1201"/>
      <c r="AA204" s="1203">
        <f t="shared" si="55"/>
        <v>22</v>
      </c>
      <c r="AB204" s="1225">
        <f t="shared" si="56"/>
        <v>1.5</v>
      </c>
      <c r="AC204" s="1166"/>
      <c r="AD204" s="1206">
        <v>0.5</v>
      </c>
      <c r="AE204" s="1206">
        <v>0.27083333333333331</v>
      </c>
      <c r="AF204" s="1207">
        <v>6.5</v>
      </c>
      <c r="AG204" s="1166"/>
      <c r="AH204" s="1226"/>
      <c r="AI204" s="1206"/>
      <c r="AJ204" s="1207"/>
      <c r="AK204" s="1203">
        <f t="shared" si="54"/>
        <v>6.5</v>
      </c>
      <c r="AL204" s="1166"/>
      <c r="AM204" s="1168"/>
      <c r="AN204" s="1169"/>
      <c r="AO204" s="1175" t="s">
        <v>36</v>
      </c>
      <c r="AP204" s="1176">
        <f>AB217</f>
        <v>0</v>
      </c>
      <c r="AQ204" s="1177">
        <v>79.574999999999989</v>
      </c>
      <c r="AR204" s="1177">
        <f t="shared" si="53"/>
        <v>0</v>
      </c>
      <c r="AU204" s="1169"/>
      <c r="AV204" s="1169"/>
      <c r="AW204" s="1169"/>
      <c r="AX204" s="1169"/>
      <c r="AY204" s="1169"/>
      <c r="AZ204" s="1169"/>
      <c r="BA204" s="1169"/>
    </row>
    <row r="205" spans="1:53" s="1178" customFormat="1">
      <c r="A205" s="1164"/>
      <c r="B205" s="1210" t="s">
        <v>1141</v>
      </c>
      <c r="C205" s="1609"/>
      <c r="D205" s="1609"/>
      <c r="E205" s="1609"/>
      <c r="F205" s="1201"/>
      <c r="G205" s="1166"/>
      <c r="H205" s="1206">
        <v>8.3333333333333329E-2</v>
      </c>
      <c r="I205" s="1206">
        <v>0.33333333333333331</v>
      </c>
      <c r="J205" s="1207">
        <v>6</v>
      </c>
      <c r="K205" s="1201"/>
      <c r="L205" s="1166"/>
      <c r="M205" s="1206">
        <v>0.45833333333333331</v>
      </c>
      <c r="N205" s="1206">
        <v>0.20833333333333334</v>
      </c>
      <c r="O205" s="1207">
        <v>6</v>
      </c>
      <c r="P205" s="1201"/>
      <c r="Q205" s="1166"/>
      <c r="R205" s="1206">
        <v>0.16666666666666666</v>
      </c>
      <c r="S205" s="1206">
        <v>0.41666666666666669</v>
      </c>
      <c r="T205" s="1207">
        <v>6</v>
      </c>
      <c r="U205" s="1201"/>
      <c r="V205" s="1166"/>
      <c r="W205" s="1206">
        <v>0.5</v>
      </c>
      <c r="X205" s="1206">
        <v>0.25</v>
      </c>
      <c r="Y205" s="1207">
        <v>6</v>
      </c>
      <c r="Z205" s="1201"/>
      <c r="AA205" s="1203">
        <f t="shared" si="55"/>
        <v>24</v>
      </c>
      <c r="AB205" s="1225">
        <f t="shared" si="56"/>
        <v>0</v>
      </c>
      <c r="AC205" s="1166"/>
      <c r="AD205" s="1206"/>
      <c r="AE205" s="1206"/>
      <c r="AF205" s="1207"/>
      <c r="AG205" s="1166"/>
      <c r="AH205" s="1206"/>
      <c r="AI205" s="1206"/>
      <c r="AJ205" s="1207"/>
      <c r="AK205" s="1203">
        <f t="shared" si="54"/>
        <v>0</v>
      </c>
      <c r="AL205" s="1166"/>
      <c r="AM205" s="1168"/>
      <c r="AN205" s="1169"/>
      <c r="AO205" s="1175" t="s">
        <v>38</v>
      </c>
      <c r="AP205" s="1176">
        <f>AK217</f>
        <v>0</v>
      </c>
      <c r="AQ205" s="1177">
        <v>79.574999999999989</v>
      </c>
      <c r="AR205" s="1177">
        <f t="shared" si="53"/>
        <v>0</v>
      </c>
      <c r="AU205" s="1169"/>
      <c r="AV205" s="1169"/>
      <c r="AW205" s="1169"/>
      <c r="AX205" s="1169"/>
      <c r="AY205" s="1169"/>
      <c r="AZ205" s="1169"/>
      <c r="BA205" s="1169"/>
    </row>
    <row r="206" spans="1:53" s="1178" customFormat="1">
      <c r="A206" s="1164"/>
      <c r="B206" s="1210" t="s">
        <v>1140</v>
      </c>
      <c r="C206" s="1609"/>
      <c r="D206" s="1609"/>
      <c r="E206" s="1609"/>
      <c r="F206" s="1201"/>
      <c r="G206" s="1166"/>
      <c r="H206" s="1206"/>
      <c r="I206" s="1206"/>
      <c r="J206" s="1207"/>
      <c r="K206" s="1201"/>
      <c r="L206" s="1166"/>
      <c r="M206" s="1206"/>
      <c r="N206" s="1206"/>
      <c r="O206" s="1207"/>
      <c r="P206" s="1201"/>
      <c r="Q206" s="1166"/>
      <c r="R206" s="1206"/>
      <c r="S206" s="1206"/>
      <c r="T206" s="1207"/>
      <c r="U206" s="1201"/>
      <c r="V206" s="1166"/>
      <c r="W206" s="1206"/>
      <c r="X206" s="1206"/>
      <c r="Y206" s="1207"/>
      <c r="Z206" s="1201"/>
      <c r="AA206" s="1203">
        <f t="shared" si="55"/>
        <v>0</v>
      </c>
      <c r="AB206" s="1225">
        <f t="shared" si="56"/>
        <v>0</v>
      </c>
      <c r="AC206" s="1166"/>
      <c r="AD206" s="1206">
        <v>0.47916666666666669</v>
      </c>
      <c r="AE206" s="1206">
        <v>0.35416666666666669</v>
      </c>
      <c r="AF206" s="1207">
        <v>10</v>
      </c>
      <c r="AG206" s="1166"/>
      <c r="AH206" s="1206"/>
      <c r="AI206" s="1206"/>
      <c r="AJ206" s="1207"/>
      <c r="AK206" s="1203">
        <f t="shared" si="54"/>
        <v>10</v>
      </c>
      <c r="AL206" s="1166"/>
      <c r="AM206" s="1168"/>
      <c r="AN206" s="1169"/>
      <c r="AP206" s="1176"/>
      <c r="AR206" s="1227">
        <f>SUM(AR200:AR205)</f>
        <v>6043.7512500000003</v>
      </c>
      <c r="AU206" s="1169"/>
      <c r="AV206" s="1169"/>
      <c r="AW206" s="1169"/>
      <c r="AX206" s="1169"/>
      <c r="AY206" s="1169"/>
      <c r="AZ206" s="1169"/>
      <c r="BA206" s="1169"/>
    </row>
    <row r="207" spans="1:53" s="1178" customFormat="1">
      <c r="A207" s="1164"/>
      <c r="B207" s="1210" t="s">
        <v>53</v>
      </c>
      <c r="C207" s="1609"/>
      <c r="D207" s="1609"/>
      <c r="E207" s="1609"/>
      <c r="F207" s="1201"/>
      <c r="G207" s="1166"/>
      <c r="H207" s="1206"/>
      <c r="I207" s="1206"/>
      <c r="J207" s="1207"/>
      <c r="K207" s="1201"/>
      <c r="L207" s="1166"/>
      <c r="M207" s="1206"/>
      <c r="N207" s="1206"/>
      <c r="O207" s="1207"/>
      <c r="P207" s="1201"/>
      <c r="Q207" s="1166"/>
      <c r="R207" s="1169"/>
      <c r="S207" s="1206"/>
      <c r="T207" s="1207"/>
      <c r="U207" s="1201"/>
      <c r="V207" s="1166"/>
      <c r="W207" s="1206"/>
      <c r="X207" s="1206"/>
      <c r="Y207" s="1207"/>
      <c r="Z207" s="1201"/>
      <c r="AA207" s="1203">
        <f t="shared" si="55"/>
        <v>0</v>
      </c>
      <c r="AB207" s="1225">
        <f t="shared" si="56"/>
        <v>0</v>
      </c>
      <c r="AC207" s="1166"/>
      <c r="AD207" s="1206"/>
      <c r="AE207" s="1206"/>
      <c r="AF207" s="1207"/>
      <c r="AG207" s="1166"/>
      <c r="AH207" s="1226"/>
      <c r="AI207" s="1206"/>
      <c r="AJ207" s="1207"/>
      <c r="AK207" s="1203">
        <f t="shared" si="54"/>
        <v>0</v>
      </c>
      <c r="AL207" s="1166"/>
      <c r="AM207" s="1168"/>
      <c r="AN207" s="1169"/>
      <c r="AP207" s="1176"/>
      <c r="AU207" s="1169"/>
      <c r="AV207" s="1169"/>
      <c r="AW207" s="1169"/>
      <c r="AX207" s="1169"/>
      <c r="AY207" s="1169"/>
      <c r="AZ207" s="1169"/>
      <c r="BA207" s="1169"/>
    </row>
    <row r="208" spans="1:53" s="1178" customFormat="1">
      <c r="A208" s="1164"/>
      <c r="B208" s="1210" t="s">
        <v>1455</v>
      </c>
      <c r="C208" s="1609"/>
      <c r="D208" s="1609"/>
      <c r="E208" s="1609"/>
      <c r="F208" s="1201"/>
      <c r="G208" s="1166"/>
      <c r="H208" s="1206"/>
      <c r="I208" s="1206"/>
      <c r="J208" s="1207"/>
      <c r="K208" s="1201"/>
      <c r="L208" s="1166"/>
      <c r="M208" s="1206"/>
      <c r="N208" s="1206"/>
      <c r="O208" s="1207"/>
      <c r="P208" s="1201"/>
      <c r="Q208" s="1166"/>
      <c r="R208" s="1206"/>
      <c r="S208" s="1206"/>
      <c r="T208" s="1207"/>
      <c r="U208" s="1201"/>
      <c r="V208" s="1166"/>
      <c r="W208" s="1206"/>
      <c r="X208" s="1206"/>
      <c r="Y208" s="1207"/>
      <c r="Z208" s="1201"/>
      <c r="AA208" s="1203">
        <f t="shared" si="55"/>
        <v>0</v>
      </c>
      <c r="AB208" s="1225">
        <f t="shared" si="56"/>
        <v>0</v>
      </c>
      <c r="AC208" s="1166"/>
      <c r="AD208" s="1206"/>
      <c r="AE208" s="1206"/>
      <c r="AF208" s="1207"/>
      <c r="AG208" s="1166"/>
      <c r="AH208" s="1206"/>
      <c r="AI208" s="1206"/>
      <c r="AJ208" s="1207"/>
      <c r="AK208" s="1203">
        <f t="shared" si="54"/>
        <v>0</v>
      </c>
      <c r="AL208" s="1166"/>
      <c r="AM208" s="1168"/>
      <c r="AN208" s="1169"/>
      <c r="AO208" s="1228" t="s">
        <v>1115</v>
      </c>
      <c r="AP208" s="1176">
        <f>C219</f>
        <v>16</v>
      </c>
      <c r="AU208" s="1169"/>
      <c r="AV208" s="1169"/>
      <c r="AW208" s="1169"/>
      <c r="AX208" s="1169"/>
      <c r="AY208" s="1169"/>
      <c r="AZ208" s="1169"/>
      <c r="BA208" s="1169"/>
    </row>
    <row r="209" spans="1:53" s="1178" customFormat="1">
      <c r="A209" s="1164"/>
      <c r="B209" s="1210" t="s">
        <v>1437</v>
      </c>
      <c r="C209" s="1609"/>
      <c r="D209" s="1609"/>
      <c r="E209" s="1609"/>
      <c r="F209" s="1201"/>
      <c r="G209" s="1166"/>
      <c r="H209" s="1206"/>
      <c r="I209" s="1206"/>
      <c r="J209" s="1207"/>
      <c r="K209" s="1201"/>
      <c r="L209" s="1166"/>
      <c r="M209" s="1206"/>
      <c r="N209" s="1206"/>
      <c r="O209" s="1207"/>
      <c r="P209" s="1201"/>
      <c r="Q209" s="1166"/>
      <c r="R209" s="1206"/>
      <c r="S209" s="1206"/>
      <c r="T209" s="1207"/>
      <c r="U209" s="1201"/>
      <c r="V209" s="1166"/>
      <c r="W209" s="1206"/>
      <c r="X209" s="1206"/>
      <c r="Y209" s="1207"/>
      <c r="Z209" s="1201"/>
      <c r="AA209" s="1203">
        <f t="shared" si="55"/>
        <v>0</v>
      </c>
      <c r="AB209" s="1225">
        <f t="shared" si="56"/>
        <v>0</v>
      </c>
      <c r="AC209" s="1166"/>
      <c r="AD209" s="1206"/>
      <c r="AE209" s="1206"/>
      <c r="AF209" s="1207"/>
      <c r="AG209" s="1166"/>
      <c r="AH209" s="1206"/>
      <c r="AI209" s="1206"/>
      <c r="AJ209" s="1207"/>
      <c r="AK209" s="1203">
        <f t="shared" si="54"/>
        <v>0</v>
      </c>
      <c r="AL209" s="1166"/>
      <c r="AM209" s="1168"/>
      <c r="AN209" s="1169"/>
      <c r="AO209" s="1228"/>
      <c r="AP209" s="1176"/>
      <c r="AU209" s="1169"/>
      <c r="AV209" s="1169"/>
      <c r="AW209" s="1169"/>
      <c r="AX209" s="1169"/>
      <c r="AY209" s="1169"/>
      <c r="AZ209" s="1169"/>
      <c r="BA209" s="1169"/>
    </row>
    <row r="210" spans="1:53" s="1178" customFormat="1">
      <c r="A210" s="1164"/>
      <c r="B210" s="1210" t="s">
        <v>1456</v>
      </c>
      <c r="C210" s="1609"/>
      <c r="D210" s="1609"/>
      <c r="E210" s="1609"/>
      <c r="F210" s="1201"/>
      <c r="G210" s="1166"/>
      <c r="H210" s="1206"/>
      <c r="I210" s="1206"/>
      <c r="J210" s="1207"/>
      <c r="K210" s="1201"/>
      <c r="L210" s="1166"/>
      <c r="M210" s="1206"/>
      <c r="N210" s="1206"/>
      <c r="O210" s="1207"/>
      <c r="P210" s="1201"/>
      <c r="Q210" s="1166"/>
      <c r="R210" s="1206"/>
      <c r="S210" s="1206"/>
      <c r="T210" s="1207"/>
      <c r="U210" s="1201"/>
      <c r="V210" s="1166"/>
      <c r="W210" s="1206"/>
      <c r="X210" s="1206"/>
      <c r="Y210" s="1207"/>
      <c r="Z210" s="1201"/>
      <c r="AA210" s="1203">
        <f t="shared" si="55"/>
        <v>0</v>
      </c>
      <c r="AB210" s="1225">
        <f t="shared" si="56"/>
        <v>0</v>
      </c>
      <c r="AC210" s="1166"/>
      <c r="AD210" s="1206"/>
      <c r="AE210" s="1206"/>
      <c r="AF210" s="1207"/>
      <c r="AG210" s="1166"/>
      <c r="AH210" s="1206"/>
      <c r="AI210" s="1206"/>
      <c r="AJ210" s="1207"/>
      <c r="AK210" s="1203">
        <f t="shared" si="54"/>
        <v>0</v>
      </c>
      <c r="AL210" s="1166"/>
      <c r="AM210" s="1168"/>
      <c r="AN210" s="1169"/>
      <c r="AO210" s="1228"/>
      <c r="AP210" s="1176"/>
      <c r="AU210" s="1169"/>
      <c r="AV210" s="1169"/>
      <c r="AW210" s="1169"/>
      <c r="AX210" s="1169"/>
      <c r="AY210" s="1169"/>
      <c r="AZ210" s="1169"/>
      <c r="BA210" s="1169"/>
    </row>
    <row r="211" spans="1:53" s="1178" customFormat="1">
      <c r="A211" s="1164"/>
      <c r="B211" s="1210" t="s">
        <v>1143</v>
      </c>
      <c r="C211" s="1609"/>
      <c r="D211" s="1609"/>
      <c r="E211" s="1609"/>
      <c r="F211" s="1201"/>
      <c r="G211" s="1166"/>
      <c r="H211" s="1206"/>
      <c r="I211" s="1206"/>
      <c r="J211" s="1207"/>
      <c r="K211" s="1201"/>
      <c r="L211" s="1166"/>
      <c r="M211" s="1206"/>
      <c r="N211" s="1206"/>
      <c r="O211" s="1207"/>
      <c r="P211" s="1201"/>
      <c r="Q211" s="1166"/>
      <c r="R211" s="1206"/>
      <c r="S211" s="1206"/>
      <c r="T211" s="1207"/>
      <c r="U211" s="1201"/>
      <c r="V211" s="1166"/>
      <c r="W211" s="1206"/>
      <c r="X211" s="1206"/>
      <c r="Y211" s="1207"/>
      <c r="Z211" s="1201"/>
      <c r="AA211" s="1203">
        <f t="shared" si="55"/>
        <v>0</v>
      </c>
      <c r="AB211" s="1225">
        <f t="shared" si="56"/>
        <v>0</v>
      </c>
      <c r="AC211" s="1166"/>
      <c r="AD211" s="1206"/>
      <c r="AE211" s="1206"/>
      <c r="AF211" s="1207"/>
      <c r="AG211" s="1166"/>
      <c r="AH211" s="1206">
        <v>0.52083333333333337</v>
      </c>
      <c r="AI211" s="1206">
        <v>0.27083333333333331</v>
      </c>
      <c r="AJ211" s="1207">
        <v>6</v>
      </c>
      <c r="AK211" s="1203">
        <f t="shared" si="54"/>
        <v>6</v>
      </c>
      <c r="AL211" s="1166"/>
      <c r="AM211" s="1168"/>
      <c r="AN211" s="1169"/>
      <c r="AO211" s="1228"/>
      <c r="AP211" s="1176"/>
      <c r="AU211" s="1169"/>
      <c r="AV211" s="1169"/>
      <c r="AW211" s="1169"/>
      <c r="AX211" s="1169"/>
      <c r="AY211" s="1169"/>
      <c r="AZ211" s="1169"/>
      <c r="BA211" s="1169"/>
    </row>
    <row r="212" spans="1:53" s="1178" customFormat="1">
      <c r="A212" s="1164"/>
      <c r="B212" s="1206" t="s">
        <v>1144</v>
      </c>
      <c r="C212" s="1609"/>
      <c r="D212" s="1609"/>
      <c r="E212" s="1609"/>
      <c r="F212" s="1201"/>
      <c r="G212" s="1166"/>
      <c r="H212" s="1206"/>
      <c r="I212" s="1206"/>
      <c r="J212" s="1207"/>
      <c r="K212" s="1201"/>
      <c r="L212" s="1166"/>
      <c r="M212" s="1206"/>
      <c r="N212" s="1206"/>
      <c r="O212" s="1207"/>
      <c r="P212" s="1201"/>
      <c r="Q212" s="1166"/>
      <c r="R212" s="1206"/>
      <c r="S212" s="1206"/>
      <c r="T212" s="1207"/>
      <c r="U212" s="1201"/>
      <c r="V212" s="1166"/>
      <c r="W212" s="1206"/>
      <c r="X212" s="1206"/>
      <c r="Y212" s="1207"/>
      <c r="Z212" s="1201"/>
      <c r="AA212" s="1203">
        <f t="shared" ref="AA212:AA213" si="57">(E212+J212+O212+T212+Y212)</f>
        <v>0</v>
      </c>
      <c r="AB212" s="1225">
        <f t="shared" ref="AB212:AB213" si="58">Z212+U212+P212+K212+F212</f>
        <v>0</v>
      </c>
      <c r="AC212" s="1166"/>
      <c r="AD212" s="1206"/>
      <c r="AE212" s="1206"/>
      <c r="AF212" s="1207"/>
      <c r="AG212" s="1166"/>
      <c r="AH212" s="1206"/>
      <c r="AI212" s="1206"/>
      <c r="AJ212" s="1207"/>
      <c r="AK212" s="1203">
        <f t="shared" si="54"/>
        <v>0</v>
      </c>
      <c r="AL212" s="1166"/>
      <c r="AM212" s="1168"/>
      <c r="AN212" s="1169"/>
      <c r="AO212" s="1228"/>
      <c r="AP212" s="1176"/>
      <c r="AU212" s="1169"/>
      <c r="AV212" s="1169"/>
      <c r="AW212" s="1169"/>
      <c r="AX212" s="1169"/>
      <c r="AY212" s="1169"/>
      <c r="AZ212" s="1169"/>
      <c r="BA212" s="1169"/>
    </row>
    <row r="213" spans="1:53" s="1178" customFormat="1">
      <c r="A213" s="1164"/>
      <c r="B213" s="1193" t="s">
        <v>1440</v>
      </c>
      <c r="C213" s="1609"/>
      <c r="D213" s="1609"/>
      <c r="E213" s="1609"/>
      <c r="F213" s="1201"/>
      <c r="G213" s="1166"/>
      <c r="H213" s="1206"/>
      <c r="I213" s="1206"/>
      <c r="J213" s="1207"/>
      <c r="K213" s="1201"/>
      <c r="L213" s="1166"/>
      <c r="M213" s="1206"/>
      <c r="N213" s="1206"/>
      <c r="O213" s="1207"/>
      <c r="P213" s="1201"/>
      <c r="Q213" s="1166"/>
      <c r="R213" s="1206"/>
      <c r="S213" s="1206"/>
      <c r="T213" s="1207"/>
      <c r="U213" s="1201"/>
      <c r="V213" s="1166"/>
      <c r="W213" s="1206"/>
      <c r="X213" s="1206"/>
      <c r="Y213" s="1207"/>
      <c r="Z213" s="1201"/>
      <c r="AA213" s="1203">
        <f t="shared" si="57"/>
        <v>0</v>
      </c>
      <c r="AB213" s="1225">
        <f t="shared" si="58"/>
        <v>0</v>
      </c>
      <c r="AC213" s="1166"/>
      <c r="AD213" s="1206"/>
      <c r="AE213" s="1206"/>
      <c r="AF213" s="1207"/>
      <c r="AG213" s="1166"/>
      <c r="AH213" s="1206"/>
      <c r="AI213" s="1206"/>
      <c r="AJ213" s="1207"/>
      <c r="AK213" s="1203">
        <f t="shared" si="54"/>
        <v>0</v>
      </c>
      <c r="AL213" s="1166"/>
      <c r="AM213" s="1168"/>
      <c r="AN213" s="1169"/>
      <c r="AO213" s="1228"/>
      <c r="AP213" s="1176"/>
      <c r="AU213" s="1169"/>
      <c r="AV213" s="1169"/>
      <c r="AW213" s="1169"/>
      <c r="AX213" s="1169"/>
      <c r="AY213" s="1169"/>
      <c r="AZ213" s="1169"/>
      <c r="BA213" s="1169"/>
    </row>
    <row r="214" spans="1:53" s="1178" customFormat="1">
      <c r="A214" s="1164"/>
      <c r="B214" s="1210" t="s">
        <v>1435</v>
      </c>
      <c r="C214" s="1609"/>
      <c r="D214" s="1609"/>
      <c r="E214" s="1609"/>
      <c r="F214" s="1201"/>
      <c r="G214" s="1166"/>
      <c r="H214" s="1206"/>
      <c r="I214" s="1206"/>
      <c r="J214" s="1207"/>
      <c r="K214" s="1201"/>
      <c r="L214" s="1166"/>
      <c r="M214" s="1206"/>
      <c r="N214" s="1206"/>
      <c r="O214" s="1207"/>
      <c r="P214" s="1201"/>
      <c r="Q214" s="1166"/>
      <c r="R214" s="1206"/>
      <c r="S214" s="1206"/>
      <c r="T214" s="1207"/>
      <c r="U214" s="1201"/>
      <c r="V214" s="1166"/>
      <c r="W214" s="1206"/>
      <c r="X214" s="1206"/>
      <c r="Y214" s="1207"/>
      <c r="Z214" s="1201"/>
      <c r="AA214" s="1203">
        <f t="shared" si="55"/>
        <v>0</v>
      </c>
      <c r="AB214" s="1225">
        <f t="shared" si="56"/>
        <v>0</v>
      </c>
      <c r="AC214" s="1166"/>
      <c r="AD214" s="1206"/>
      <c r="AE214" s="1206"/>
      <c r="AF214" s="1207"/>
      <c r="AG214" s="1166"/>
      <c r="AH214" s="1206"/>
      <c r="AI214" s="1206"/>
      <c r="AJ214" s="1207"/>
      <c r="AK214" s="1203">
        <f t="shared" si="54"/>
        <v>0</v>
      </c>
      <c r="AL214" s="1166"/>
      <c r="AM214" s="1168"/>
      <c r="AN214" s="1169"/>
      <c r="AO214" s="1228"/>
      <c r="AP214" s="1176"/>
      <c r="AU214" s="1169"/>
      <c r="AV214" s="1169"/>
      <c r="AW214" s="1169"/>
      <c r="AX214" s="1169"/>
      <c r="AY214" s="1169"/>
      <c r="AZ214" s="1169"/>
      <c r="BA214" s="1169"/>
    </row>
    <row r="215" spans="1:53" s="1178" customFormat="1">
      <c r="A215" s="1164"/>
      <c r="B215" s="1210" t="s">
        <v>813</v>
      </c>
      <c r="C215" s="1609"/>
      <c r="D215" s="1609"/>
      <c r="E215" s="1609"/>
      <c r="F215" s="1201"/>
      <c r="G215" s="1166"/>
      <c r="H215" s="1206"/>
      <c r="I215" s="1206"/>
      <c r="J215" s="1207"/>
      <c r="K215" s="1201"/>
      <c r="L215" s="1166"/>
      <c r="M215" s="1206"/>
      <c r="N215" s="1206"/>
      <c r="O215" s="1207"/>
      <c r="P215" s="1201"/>
      <c r="Q215" s="1166"/>
      <c r="R215" s="1206"/>
      <c r="S215" s="1206"/>
      <c r="T215" s="1207"/>
      <c r="U215" s="1201"/>
      <c r="V215" s="1166"/>
      <c r="W215" s="1206"/>
      <c r="X215" s="1206"/>
      <c r="Y215" s="1207"/>
      <c r="Z215" s="1201"/>
      <c r="AA215" s="1203">
        <f t="shared" si="55"/>
        <v>0</v>
      </c>
      <c r="AB215" s="1225">
        <f t="shared" si="56"/>
        <v>0</v>
      </c>
      <c r="AC215" s="1166"/>
      <c r="AD215" s="1206"/>
      <c r="AE215" s="1206"/>
      <c r="AF215" s="1207"/>
      <c r="AG215" s="1166"/>
      <c r="AH215" s="1206"/>
      <c r="AI215" s="1206"/>
      <c r="AJ215" s="1207"/>
      <c r="AK215" s="1203">
        <f t="shared" si="54"/>
        <v>0</v>
      </c>
      <c r="AL215" s="1166"/>
      <c r="AM215" s="1168"/>
      <c r="AN215" s="1169"/>
      <c r="AO215" s="1228"/>
      <c r="AP215" s="1176"/>
      <c r="AU215" s="1169"/>
      <c r="AV215" s="1169"/>
      <c r="AW215" s="1169"/>
      <c r="AX215" s="1169"/>
      <c r="AY215" s="1169"/>
      <c r="AZ215" s="1169"/>
      <c r="BA215" s="1169"/>
    </row>
    <row r="216" spans="1:53" s="1169" customFormat="1">
      <c r="A216" s="1164"/>
      <c r="B216" s="1232" t="s">
        <v>61</v>
      </c>
      <c r="C216" s="1232"/>
      <c r="D216" s="1232"/>
      <c r="E216" s="1233"/>
      <c r="F216" s="1201"/>
      <c r="G216" s="1232"/>
      <c r="H216" s="1232"/>
      <c r="I216" s="1232"/>
      <c r="J216" s="1233"/>
      <c r="K216" s="1201"/>
      <c r="L216" s="1232"/>
      <c r="M216" s="1232"/>
      <c r="N216" s="1232"/>
      <c r="O216" s="1233"/>
      <c r="P216" s="1201"/>
      <c r="Q216" s="1232"/>
      <c r="R216" s="1232"/>
      <c r="S216" s="1232"/>
      <c r="T216" s="1233"/>
      <c r="U216" s="1201"/>
      <c r="V216" s="1232"/>
      <c r="W216" s="1232"/>
      <c r="X216" s="1232"/>
      <c r="Y216" s="1233"/>
      <c r="Z216" s="1201"/>
      <c r="AA216" s="1202">
        <f>SUM(AA201:AA214)</f>
        <v>73</v>
      </c>
      <c r="AB216" s="1229">
        <f>SUM(AB201:AB208)</f>
        <v>2.25</v>
      </c>
      <c r="AC216" s="1166"/>
      <c r="AD216" s="1232"/>
      <c r="AE216" s="1232"/>
      <c r="AF216" s="1203"/>
      <c r="AG216" s="1166"/>
      <c r="AH216" s="1232"/>
      <c r="AI216" s="1232"/>
      <c r="AJ216" s="1203"/>
      <c r="AK216" s="1229">
        <f>SUM(AK201:AK214)</f>
        <v>35</v>
      </c>
      <c r="AL216" s="1166"/>
      <c r="AM216" s="1168"/>
      <c r="AO216" s="1204"/>
      <c r="AP216" s="1178"/>
      <c r="AQ216" s="1178"/>
      <c r="AR216" s="1178"/>
      <c r="AS216" s="1178"/>
      <c r="AT216" s="1178"/>
    </row>
    <row r="217" spans="1:53" s="1169" customFormat="1">
      <c r="A217" s="1164"/>
      <c r="B217" s="1230" t="s">
        <v>1443</v>
      </c>
      <c r="C217" s="1206"/>
      <c r="D217" s="1206"/>
      <c r="E217" s="1207"/>
      <c r="F217" s="1207"/>
      <c r="G217" s="1208"/>
      <c r="H217" s="1206"/>
      <c r="I217" s="1206"/>
      <c r="J217" s="1207">
        <v>4</v>
      </c>
      <c r="K217" s="1207"/>
      <c r="L217" s="1209"/>
      <c r="M217" s="1206"/>
      <c r="N217" s="1206"/>
      <c r="O217" s="1207">
        <v>4</v>
      </c>
      <c r="P217" s="1207"/>
      <c r="Q217" s="1209"/>
      <c r="R217" s="1206"/>
      <c r="S217" s="1206"/>
      <c r="T217" s="1207">
        <v>4</v>
      </c>
      <c r="U217" s="1207"/>
      <c r="V217" s="1209"/>
      <c r="W217" s="1206"/>
      <c r="X217" s="1206"/>
      <c r="Y217" s="1207">
        <v>4</v>
      </c>
      <c r="Z217" s="1207"/>
      <c r="AA217" s="1203">
        <f>SUM(E217+J217+O217+T217+Y217)</f>
        <v>16</v>
      </c>
      <c r="AB217" s="1173">
        <f>Z217+U217+P217+K217+F217</f>
        <v>0</v>
      </c>
      <c r="AC217" s="1166"/>
      <c r="AD217" s="1206"/>
      <c r="AE217" s="1206"/>
      <c r="AF217" s="1207"/>
      <c r="AG217" s="1166"/>
      <c r="AH217" s="1206"/>
      <c r="AI217" s="1206"/>
      <c r="AJ217" s="1207"/>
      <c r="AK217" s="1203">
        <f>AJ217+AF217</f>
        <v>0</v>
      </c>
      <c r="AL217" s="1166"/>
      <c r="AM217" s="1168"/>
      <c r="AO217" s="1204"/>
      <c r="AP217" s="1178"/>
      <c r="AQ217" s="1178"/>
      <c r="AR217" s="1178"/>
      <c r="AS217" s="1178"/>
      <c r="AT217" s="1178"/>
    </row>
    <row r="218" spans="1:53" s="1169" customFormat="1">
      <c r="A218" s="1164"/>
      <c r="B218" s="1208" t="s">
        <v>66</v>
      </c>
      <c r="C218" s="1210"/>
      <c r="D218" s="1210"/>
      <c r="E218" s="1208"/>
      <c r="F218" s="1208"/>
      <c r="G218" s="1208"/>
      <c r="H218" s="1208"/>
      <c r="I218" s="1208"/>
      <c r="J218" s="1208"/>
      <c r="K218" s="1208"/>
      <c r="L218" s="1208"/>
      <c r="M218" s="1208"/>
      <c r="N218" s="1208"/>
      <c r="O218" s="1208"/>
      <c r="P218" s="1208"/>
      <c r="Q218" s="1208"/>
      <c r="R218" s="1208"/>
      <c r="S218" s="1208"/>
      <c r="T218" s="1208"/>
      <c r="U218" s="1208"/>
      <c r="V218" s="1208"/>
      <c r="W218" s="1208"/>
      <c r="X218" s="1208"/>
      <c r="Y218" s="1208"/>
      <c r="Z218" s="1208"/>
      <c r="AA218" s="1211">
        <f>SUM(AA217:AA217)</f>
        <v>16</v>
      </c>
      <c r="AB218" s="1203">
        <f>SUM(AB217:AB217)</f>
        <v>0</v>
      </c>
      <c r="AC218" s="1166"/>
      <c r="AG218" s="1166"/>
      <c r="AK218" s="1203">
        <f>SUM(AK217:AK217)</f>
        <v>0</v>
      </c>
      <c r="AL218" s="1166"/>
      <c r="AM218" s="1168"/>
      <c r="AO218" s="1204"/>
      <c r="AP218" s="1178"/>
      <c r="AQ218" s="1178"/>
      <c r="AR218" s="1178"/>
      <c r="AS218" s="1178"/>
      <c r="AT218" s="1178"/>
    </row>
    <row r="219" spans="1:53" s="1169" customFormat="1">
      <c r="A219" s="1164"/>
      <c r="B219" s="1212" t="s">
        <v>67</v>
      </c>
      <c r="C219" s="1213">
        <f>4+1+3+3+3+2</f>
        <v>16</v>
      </c>
      <c r="D219" s="1214"/>
      <c r="E219" s="1215"/>
      <c r="F219" s="1215"/>
      <c r="G219" s="1214"/>
      <c r="H219" s="1215"/>
      <c r="I219" s="1215"/>
      <c r="J219" s="1215"/>
      <c r="K219" s="1215"/>
      <c r="L219" s="1214"/>
      <c r="M219" s="1214"/>
      <c r="N219" s="1214"/>
      <c r="O219" s="1214"/>
      <c r="P219" s="1215"/>
      <c r="Q219" s="1214"/>
      <c r="R219" s="1214"/>
      <c r="S219" s="1214"/>
      <c r="T219" s="1214"/>
      <c r="U219" s="1215"/>
      <c r="V219" s="1214"/>
      <c r="W219" s="1214"/>
      <c r="X219" s="1214"/>
      <c r="Y219" s="1216"/>
      <c r="Z219" s="1215"/>
      <c r="AA219" s="1217"/>
      <c r="AB219" s="1215"/>
      <c r="AC219" s="1217"/>
      <c r="AD219" s="1217"/>
      <c r="AE219" s="1217"/>
      <c r="AF219" s="1217"/>
      <c r="AG219" s="1166"/>
      <c r="AH219" s="1217"/>
      <c r="AI219" s="1217"/>
      <c r="AJ219" s="1217"/>
      <c r="AK219" s="1217"/>
      <c r="AL219" s="1166"/>
      <c r="AM219" s="1168"/>
      <c r="AO219" s="1178"/>
      <c r="AP219" s="1178"/>
      <c r="AQ219" s="1178"/>
      <c r="AR219" s="1178"/>
      <c r="AS219" s="1178"/>
      <c r="AT219" s="1178"/>
    </row>
    <row r="220" spans="1:53" s="1169" customFormat="1">
      <c r="A220" s="1164"/>
      <c r="E220" s="1166"/>
      <c r="F220" s="1166"/>
      <c r="G220" s="1166"/>
      <c r="J220" s="1166"/>
      <c r="K220" s="1166"/>
      <c r="L220" s="1166"/>
      <c r="O220" s="1166"/>
      <c r="P220" s="1166"/>
      <c r="Q220" s="1166"/>
      <c r="T220" s="1166"/>
      <c r="U220" s="1166"/>
      <c r="V220" s="1166"/>
      <c r="Y220" s="1166"/>
      <c r="Z220" s="1166"/>
      <c r="AA220" s="1166"/>
      <c r="AB220" s="1166"/>
      <c r="AC220" s="1166"/>
      <c r="AG220" s="1166"/>
      <c r="AL220" s="1166"/>
      <c r="AM220" s="1168"/>
      <c r="AO220" s="1178"/>
      <c r="AP220" s="1178"/>
      <c r="AQ220" s="1178"/>
      <c r="AR220" s="1178"/>
      <c r="AS220" s="1178"/>
      <c r="AT220" s="1178"/>
    </row>
    <row r="221" spans="1:53" s="1169" customFormat="1">
      <c r="A221" s="1164"/>
      <c r="B221" s="1218"/>
      <c r="C221" s="1219"/>
      <c r="D221" s="1219"/>
      <c r="E221" s="1220"/>
      <c r="F221" s="1220"/>
      <c r="G221" s="1219"/>
      <c r="H221" s="1220"/>
      <c r="I221" s="1220"/>
      <c r="J221" s="1220"/>
      <c r="K221" s="1220"/>
      <c r="L221" s="1219"/>
      <c r="M221" s="1219"/>
      <c r="N221" s="1219"/>
      <c r="O221" s="1219"/>
      <c r="P221" s="1220"/>
      <c r="Q221" s="1219"/>
      <c r="R221" s="1219"/>
      <c r="S221" s="1219"/>
      <c r="T221" s="1219"/>
      <c r="U221" s="1220"/>
      <c r="V221" s="1219"/>
      <c r="W221" s="1219"/>
      <c r="X221" s="1219"/>
      <c r="Y221" s="1221"/>
      <c r="Z221" s="1220"/>
      <c r="AA221" s="1222"/>
      <c r="AB221" s="1220"/>
      <c r="AC221" s="1223"/>
      <c r="AD221" s="1224"/>
      <c r="AE221" s="1168"/>
      <c r="AF221" s="1168"/>
      <c r="AG221" s="1168"/>
      <c r="AH221" s="1224"/>
      <c r="AI221" s="1168"/>
      <c r="AJ221" s="1168"/>
      <c r="AK221" s="1168"/>
      <c r="AL221" s="1168"/>
      <c r="AM221" s="1168"/>
      <c r="AN221" s="1168"/>
      <c r="AO221" s="1168"/>
      <c r="AP221" s="1168"/>
      <c r="AQ221" s="1168"/>
      <c r="AR221" s="1168"/>
      <c r="AS221" s="1168"/>
      <c r="AT221" s="1168"/>
    </row>
    <row r="222" spans="1:53" s="1169" customFormat="1">
      <c r="A222" s="1164"/>
      <c r="E222" s="1166"/>
      <c r="F222" s="1166"/>
      <c r="G222" s="1166"/>
      <c r="J222" s="1166"/>
      <c r="K222" s="1166"/>
      <c r="L222" s="1166"/>
      <c r="O222" s="1166"/>
      <c r="P222" s="1166"/>
      <c r="Q222" s="1166"/>
      <c r="T222" s="1166"/>
      <c r="U222" s="1166"/>
      <c r="V222" s="1166"/>
      <c r="Y222" s="1166"/>
      <c r="Z222" s="1166"/>
      <c r="AA222" s="1166"/>
      <c r="AB222" s="1166"/>
      <c r="AC222" s="1166"/>
      <c r="AG222" s="1166"/>
      <c r="AL222" s="1166"/>
      <c r="AM222" s="1168"/>
      <c r="AO222" s="1178"/>
      <c r="AP222" s="1178"/>
      <c r="AQ222" s="1178"/>
      <c r="AR222" s="1178"/>
      <c r="AS222" s="1178"/>
      <c r="AT222" s="1178"/>
    </row>
    <row r="223" spans="1:53" s="1169" customFormat="1" ht="13.5" customHeight="1">
      <c r="A223" s="1164"/>
      <c r="B223" s="1608" t="s">
        <v>18</v>
      </c>
      <c r="C223" s="1574">
        <v>45908</v>
      </c>
      <c r="D223" s="1574"/>
      <c r="E223" s="1574" t="s">
        <v>564</v>
      </c>
      <c r="F223" s="1574"/>
      <c r="G223" s="1165"/>
      <c r="H223" s="1574">
        <v>45909</v>
      </c>
      <c r="I223" s="1574"/>
      <c r="J223" s="1574" t="s">
        <v>565</v>
      </c>
      <c r="K223" s="1574"/>
      <c r="L223" s="1165"/>
      <c r="M223" s="1574">
        <v>45910</v>
      </c>
      <c r="N223" s="1574"/>
      <c r="O223" s="1574" t="s">
        <v>566</v>
      </c>
      <c r="P223" s="1574"/>
      <c r="Q223" s="1165"/>
      <c r="R223" s="1574">
        <v>45911</v>
      </c>
      <c r="S223" s="1574"/>
      <c r="T223" s="1574" t="s">
        <v>567</v>
      </c>
      <c r="U223" s="1574"/>
      <c r="V223" s="1165"/>
      <c r="W223" s="1574">
        <v>45912</v>
      </c>
      <c r="X223" s="1574"/>
      <c r="Y223" s="1574" t="s">
        <v>568</v>
      </c>
      <c r="Z223" s="1574"/>
      <c r="AA223" s="1575" t="s">
        <v>19</v>
      </c>
      <c r="AB223" s="1575" t="s">
        <v>20</v>
      </c>
      <c r="AC223" s="1166"/>
      <c r="AD223" s="1574">
        <v>45913</v>
      </c>
      <c r="AE223" s="1574"/>
      <c r="AF223" s="1167" t="s">
        <v>569</v>
      </c>
      <c r="AG223" s="1166"/>
      <c r="AH223" s="1574">
        <v>45914</v>
      </c>
      <c r="AI223" s="1574"/>
      <c r="AJ223" s="1167" t="s">
        <v>570</v>
      </c>
      <c r="AK223" s="1575" t="s">
        <v>1420</v>
      </c>
      <c r="AL223" s="1166"/>
      <c r="AM223" s="1168"/>
      <c r="AO223" s="1170" t="s">
        <v>84</v>
      </c>
      <c r="AP223" s="1171"/>
      <c r="AQ223" s="1171"/>
      <c r="AR223" s="1171"/>
      <c r="AS223" s="1171"/>
      <c r="AT223" s="1171"/>
    </row>
    <row r="224" spans="1:53" s="1169" customFormat="1">
      <c r="A224" s="1164"/>
      <c r="B224" s="1608"/>
      <c r="C224" s="1172" t="s">
        <v>23</v>
      </c>
      <c r="D224" s="1172" t="s">
        <v>24</v>
      </c>
      <c r="E224" s="1173" t="s">
        <v>25</v>
      </c>
      <c r="F224" s="1174" t="s">
        <v>14</v>
      </c>
      <c r="G224" s="1166"/>
      <c r="H224" s="1172" t="s">
        <v>23</v>
      </c>
      <c r="I224" s="1172" t="s">
        <v>24</v>
      </c>
      <c r="J224" s="1174" t="s">
        <v>25</v>
      </c>
      <c r="K224" s="1174" t="s">
        <v>14</v>
      </c>
      <c r="L224" s="1166"/>
      <c r="M224" s="1172" t="s">
        <v>23</v>
      </c>
      <c r="N224" s="1172" t="s">
        <v>24</v>
      </c>
      <c r="O224" s="1174" t="s">
        <v>25</v>
      </c>
      <c r="P224" s="1174" t="s">
        <v>14</v>
      </c>
      <c r="Q224" s="1166"/>
      <c r="R224" s="1172" t="s">
        <v>23</v>
      </c>
      <c r="S224" s="1172" t="s">
        <v>24</v>
      </c>
      <c r="T224" s="1174" t="s">
        <v>25</v>
      </c>
      <c r="U224" s="1174" t="s">
        <v>14</v>
      </c>
      <c r="V224" s="1166"/>
      <c r="W224" s="1172" t="s">
        <v>23</v>
      </c>
      <c r="X224" s="1172" t="s">
        <v>24</v>
      </c>
      <c r="Y224" s="1174" t="s">
        <v>25</v>
      </c>
      <c r="Z224" s="1174" t="s">
        <v>14</v>
      </c>
      <c r="AA224" s="1575"/>
      <c r="AB224" s="1575"/>
      <c r="AC224" s="1166"/>
      <c r="AD224" s="1172" t="s">
        <v>23</v>
      </c>
      <c r="AE224" s="1172" t="s">
        <v>24</v>
      </c>
      <c r="AF224" s="1174" t="s">
        <v>25</v>
      </c>
      <c r="AG224" s="1166"/>
      <c r="AH224" s="1172" t="s">
        <v>23</v>
      </c>
      <c r="AI224" s="1172" t="s">
        <v>24</v>
      </c>
      <c r="AJ224" s="1174" t="s">
        <v>25</v>
      </c>
      <c r="AK224" s="1575"/>
      <c r="AL224" s="1166"/>
      <c r="AM224" s="1168"/>
      <c r="AO224" s="1175" t="s">
        <v>26</v>
      </c>
      <c r="AP224" s="1176">
        <f>AA240</f>
        <v>97</v>
      </c>
      <c r="AQ224" s="1177">
        <v>40.31</v>
      </c>
      <c r="AR224" s="1177">
        <f t="shared" ref="AR224:AR229" si="59">AP224*AQ224</f>
        <v>3910.07</v>
      </c>
      <c r="AS224" s="1178"/>
      <c r="AT224" s="1178"/>
    </row>
    <row r="225" spans="1:53" s="1169" customFormat="1" ht="13.5" customHeight="1">
      <c r="A225" s="1164"/>
      <c r="B225" s="1166" t="s">
        <v>1064</v>
      </c>
      <c r="C225" s="1206">
        <v>0.52083333333333337</v>
      </c>
      <c r="D225" s="1206">
        <v>0.27083333333333331</v>
      </c>
      <c r="E225" s="1207">
        <v>6</v>
      </c>
      <c r="F225" s="1201"/>
      <c r="G225" s="1166"/>
      <c r="H225" s="1206"/>
      <c r="I225" s="1206"/>
      <c r="J225" s="1207"/>
      <c r="K225" s="1201"/>
      <c r="L225" s="1166"/>
      <c r="M225" s="1206"/>
      <c r="N225" s="1206"/>
      <c r="O225" s="1207"/>
      <c r="P225" s="1201"/>
      <c r="Q225" s="1166"/>
      <c r="R225" s="1206">
        <v>4.1666666666666664E-2</v>
      </c>
      <c r="S225" s="1206">
        <v>0.41666666666666669</v>
      </c>
      <c r="T225" s="1207">
        <v>8</v>
      </c>
      <c r="U225" s="1201"/>
      <c r="V225" s="1166"/>
      <c r="W225" s="1206">
        <v>0.48958333333333331</v>
      </c>
      <c r="X225" s="1206">
        <v>0.25</v>
      </c>
      <c r="Y225" s="1207">
        <v>6.75</v>
      </c>
      <c r="Z225" s="1201"/>
      <c r="AA225" s="1203">
        <f>(E225+J225+O225+T225+Y225)</f>
        <v>20.75</v>
      </c>
      <c r="AB225" s="1225">
        <f>Z225+U225+P225+K225+F225</f>
        <v>0</v>
      </c>
      <c r="AC225" s="1166"/>
      <c r="AD225" s="1206">
        <v>0.5</v>
      </c>
      <c r="AE225" s="1206">
        <v>0.3125</v>
      </c>
      <c r="AF225" s="1207">
        <v>7.5</v>
      </c>
      <c r="AG225" s="1166"/>
      <c r="AH225" s="1206"/>
      <c r="AI225" s="1206"/>
      <c r="AJ225" s="1207"/>
      <c r="AK225" s="1203">
        <f t="shared" ref="AK225:AK239" si="60">AJ225+AF225</f>
        <v>7.5</v>
      </c>
      <c r="AL225" s="1166"/>
      <c r="AM225" s="1168"/>
      <c r="AO225" s="1175" t="s">
        <v>30</v>
      </c>
      <c r="AP225" s="1176">
        <f>AB240</f>
        <v>0</v>
      </c>
      <c r="AQ225" s="1177">
        <v>60.465000000000003</v>
      </c>
      <c r="AR225" s="1177">
        <f t="shared" si="59"/>
        <v>0</v>
      </c>
      <c r="AS225" s="1178"/>
      <c r="AT225" s="1178"/>
    </row>
    <row r="226" spans="1:53" s="1169" customFormat="1">
      <c r="A226" s="1164"/>
      <c r="B226" s="1206" t="s">
        <v>1441</v>
      </c>
      <c r="C226" s="1206"/>
      <c r="D226" s="1206"/>
      <c r="E226" s="1207"/>
      <c r="F226" s="1201"/>
      <c r="G226" s="1166"/>
      <c r="H226" s="1206"/>
      <c r="I226" s="1206"/>
      <c r="J226" s="1207"/>
      <c r="K226" s="1201"/>
      <c r="L226" s="1166"/>
      <c r="M226" s="1206"/>
      <c r="N226" s="1206"/>
      <c r="O226" s="1207"/>
      <c r="P226" s="1201"/>
      <c r="Q226" s="1166"/>
      <c r="R226" s="1206"/>
      <c r="S226" s="1206"/>
      <c r="T226" s="1207"/>
      <c r="U226" s="1201"/>
      <c r="V226" s="1166"/>
      <c r="W226" s="1206"/>
      <c r="X226" s="1206"/>
      <c r="Y226" s="1207"/>
      <c r="Z226" s="1201"/>
      <c r="AA226" s="1203">
        <f t="shared" ref="AA226:AA239" si="61">(E226+J226+O226+T226+Y226)</f>
        <v>0</v>
      </c>
      <c r="AB226" s="1225">
        <f t="shared" ref="AB226:AB239" si="62">Z226+U226+P226+K226+F226</f>
        <v>0</v>
      </c>
      <c r="AC226" s="1166"/>
      <c r="AD226" s="1206"/>
      <c r="AE226" s="1206"/>
      <c r="AF226" s="1207"/>
      <c r="AG226" s="1166"/>
      <c r="AH226" s="1206"/>
      <c r="AI226" s="1206"/>
      <c r="AJ226" s="1207"/>
      <c r="AK226" s="1203">
        <f t="shared" si="60"/>
        <v>0</v>
      </c>
      <c r="AL226" s="1166"/>
      <c r="AM226" s="1168"/>
      <c r="AO226" s="1175" t="s">
        <v>32</v>
      </c>
      <c r="AP226" s="1176">
        <f>AK240</f>
        <v>20.5</v>
      </c>
      <c r="AQ226" s="1177">
        <v>60.465000000000003</v>
      </c>
      <c r="AR226" s="1177">
        <f t="shared" si="59"/>
        <v>1239.5325</v>
      </c>
      <c r="AS226" s="1178"/>
      <c r="AT226" s="1178"/>
    </row>
    <row r="227" spans="1:53" s="1178" customFormat="1">
      <c r="A227" s="1164"/>
      <c r="B227" s="1206" t="s">
        <v>1444</v>
      </c>
      <c r="C227" s="1206"/>
      <c r="D227" s="1206"/>
      <c r="E227" s="1207"/>
      <c r="F227" s="1201"/>
      <c r="G227" s="1166"/>
      <c r="H227" s="1206"/>
      <c r="I227" s="1206"/>
      <c r="J227" s="1207"/>
      <c r="K227" s="1201"/>
      <c r="L227" s="1166"/>
      <c r="M227" s="1206">
        <v>0.125</v>
      </c>
      <c r="N227" s="1206">
        <v>0.25</v>
      </c>
      <c r="O227" s="1207">
        <v>3</v>
      </c>
      <c r="P227" s="1201"/>
      <c r="Q227" s="1166"/>
      <c r="R227" s="1206"/>
      <c r="S227" s="1206">
        <v>0.25</v>
      </c>
      <c r="T227" s="1207">
        <v>6</v>
      </c>
      <c r="U227" s="1201"/>
      <c r="V227" s="1166"/>
      <c r="W227" s="1206">
        <v>0.47916666666666669</v>
      </c>
      <c r="X227" s="1206">
        <v>0.22916666666666666</v>
      </c>
      <c r="Y227" s="1207">
        <v>6</v>
      </c>
      <c r="Z227" s="1201"/>
      <c r="AA227" s="1203">
        <f t="shared" si="61"/>
        <v>15</v>
      </c>
      <c r="AB227" s="1225">
        <f t="shared" si="62"/>
        <v>0</v>
      </c>
      <c r="AC227" s="1166"/>
      <c r="AD227" s="1206"/>
      <c r="AE227" s="1206"/>
      <c r="AF227" s="1207"/>
      <c r="AG227" s="1166"/>
      <c r="AH227" s="1206"/>
      <c r="AI227" s="1206"/>
      <c r="AJ227" s="1207"/>
      <c r="AK227" s="1203">
        <f t="shared" si="60"/>
        <v>0</v>
      </c>
      <c r="AL227" s="1166"/>
      <c r="AM227" s="1168"/>
      <c r="AN227" s="1169"/>
      <c r="AO227" s="1175" t="s">
        <v>213</v>
      </c>
      <c r="AP227" s="1176">
        <f>AA241</f>
        <v>20</v>
      </c>
      <c r="AQ227" s="1177">
        <v>53.05</v>
      </c>
      <c r="AR227" s="1177">
        <f t="shared" si="59"/>
        <v>1061</v>
      </c>
      <c r="AU227" s="1169"/>
      <c r="AV227" s="1169"/>
      <c r="AW227" s="1169"/>
      <c r="AX227" s="1169"/>
      <c r="AY227" s="1169"/>
      <c r="AZ227" s="1169"/>
      <c r="BA227" s="1169"/>
    </row>
    <row r="228" spans="1:53" s="1178" customFormat="1">
      <c r="A228" s="1164"/>
      <c r="B228" s="1210" t="s">
        <v>1447</v>
      </c>
      <c r="C228" s="1206">
        <v>0.52083333333333337</v>
      </c>
      <c r="D228" s="1206">
        <v>0.27083333333333331</v>
      </c>
      <c r="E228" s="1207">
        <v>6</v>
      </c>
      <c r="F228" s="1201"/>
      <c r="G228" s="1206"/>
      <c r="H228" s="1206">
        <v>0.16666666666666666</v>
      </c>
      <c r="I228" s="1206">
        <v>0.41666666666666669</v>
      </c>
      <c r="J228" s="1207">
        <v>6</v>
      </c>
      <c r="K228" s="1201"/>
      <c r="L228" s="1166"/>
      <c r="M228" s="1206"/>
      <c r="N228" s="1206"/>
      <c r="O228" s="1207"/>
      <c r="P228" s="1201"/>
      <c r="Q228" s="1166"/>
      <c r="R228" s="1206"/>
      <c r="S228" s="1206"/>
      <c r="T228" s="1207"/>
      <c r="U228" s="1201"/>
      <c r="V228" s="1166"/>
      <c r="W228" s="1206">
        <v>0.47916666666666669</v>
      </c>
      <c r="X228" s="1206">
        <v>0.33333333333333331</v>
      </c>
      <c r="Y228" s="1207">
        <v>7</v>
      </c>
      <c r="Z228" s="1201"/>
      <c r="AA228" s="1203">
        <f>(E228+J228+O228+T228+Y228)</f>
        <v>19</v>
      </c>
      <c r="AB228" s="1225">
        <f t="shared" si="62"/>
        <v>0</v>
      </c>
      <c r="AC228" s="1166"/>
      <c r="AD228" s="1206">
        <v>0.47916666666666669</v>
      </c>
      <c r="AE228" s="1206">
        <v>0.27083333333333331</v>
      </c>
      <c r="AF228" s="1207">
        <v>7</v>
      </c>
      <c r="AG228" s="1166"/>
      <c r="AH228" s="1226"/>
      <c r="AI228" s="1206"/>
      <c r="AJ228" s="1207"/>
      <c r="AK228" s="1203">
        <f t="shared" si="60"/>
        <v>7</v>
      </c>
      <c r="AL228" s="1166"/>
      <c r="AM228" s="1168"/>
      <c r="AN228" s="1169"/>
      <c r="AO228" s="1175" t="s">
        <v>36</v>
      </c>
      <c r="AP228" s="1176">
        <f>AB241</f>
        <v>0</v>
      </c>
      <c r="AQ228" s="1177">
        <v>79.574999999999989</v>
      </c>
      <c r="AR228" s="1177">
        <f t="shared" si="59"/>
        <v>0</v>
      </c>
      <c r="AU228" s="1169"/>
      <c r="AV228" s="1169"/>
      <c r="AW228" s="1169"/>
      <c r="AX228" s="1169"/>
      <c r="AY228" s="1169"/>
      <c r="AZ228" s="1169"/>
      <c r="BA228" s="1169"/>
    </row>
    <row r="229" spans="1:53" s="1178" customFormat="1">
      <c r="A229" s="1164"/>
      <c r="B229" s="1210" t="s">
        <v>1141</v>
      </c>
      <c r="C229" s="1206">
        <v>0.52083333333333337</v>
      </c>
      <c r="D229" s="1206">
        <v>0.27083333333333331</v>
      </c>
      <c r="E229" s="1207">
        <v>6</v>
      </c>
      <c r="F229" s="1201"/>
      <c r="G229" s="1166"/>
      <c r="H229" s="1206">
        <v>0.16666666666666666</v>
      </c>
      <c r="I229" s="1206">
        <v>0.41666666666666669</v>
      </c>
      <c r="J229" s="1207">
        <v>6</v>
      </c>
      <c r="K229" s="1201"/>
      <c r="L229" s="1166"/>
      <c r="M229" s="1206"/>
      <c r="N229" s="1206"/>
      <c r="O229" s="1207"/>
      <c r="P229" s="1201"/>
      <c r="Q229" s="1166"/>
      <c r="R229" s="1206">
        <v>4.1666666666666664E-2</v>
      </c>
      <c r="S229" s="1206">
        <v>0.41666666666666669</v>
      </c>
      <c r="T229" s="1207">
        <v>8</v>
      </c>
      <c r="U229" s="1201"/>
      <c r="V229" s="1166"/>
      <c r="W229" s="1206"/>
      <c r="X229" s="1206"/>
      <c r="Y229" s="1207"/>
      <c r="Z229" s="1201"/>
      <c r="AA229" s="1203">
        <f t="shared" si="61"/>
        <v>20</v>
      </c>
      <c r="AB229" s="1225">
        <f t="shared" si="62"/>
        <v>0</v>
      </c>
      <c r="AC229" s="1166"/>
      <c r="AD229" s="1206">
        <v>0.52083333333333337</v>
      </c>
      <c r="AE229" s="1206">
        <v>0.27083333333333331</v>
      </c>
      <c r="AF229" s="1207">
        <v>6</v>
      </c>
      <c r="AG229" s="1166"/>
      <c r="AH229" s="1206"/>
      <c r="AI229" s="1206"/>
      <c r="AJ229" s="1207"/>
      <c r="AK229" s="1203">
        <f t="shared" si="60"/>
        <v>6</v>
      </c>
      <c r="AL229" s="1166"/>
      <c r="AM229" s="1168"/>
      <c r="AN229" s="1169"/>
      <c r="AO229" s="1175" t="s">
        <v>38</v>
      </c>
      <c r="AP229" s="1176">
        <f>AK241</f>
        <v>4</v>
      </c>
      <c r="AQ229" s="1177">
        <v>79.574999999999989</v>
      </c>
      <c r="AR229" s="1177">
        <f t="shared" si="59"/>
        <v>318.29999999999995</v>
      </c>
      <c r="AU229" s="1169"/>
      <c r="AV229" s="1169"/>
      <c r="AW229" s="1169"/>
      <c r="AX229" s="1169"/>
      <c r="AY229" s="1169"/>
      <c r="AZ229" s="1169"/>
      <c r="BA229" s="1169"/>
    </row>
    <row r="230" spans="1:53" s="1178" customFormat="1">
      <c r="A230" s="1164"/>
      <c r="B230" s="1210" t="s">
        <v>1140</v>
      </c>
      <c r="C230" s="1206"/>
      <c r="D230" s="1206"/>
      <c r="E230" s="1207"/>
      <c r="F230" s="1201"/>
      <c r="G230" s="1166"/>
      <c r="H230" s="1206">
        <v>0.52083333333333337</v>
      </c>
      <c r="I230" s="1206">
        <v>0.27083333333333331</v>
      </c>
      <c r="J230" s="1207">
        <v>6</v>
      </c>
      <c r="K230" s="1201"/>
      <c r="L230" s="1166"/>
      <c r="M230" s="1206"/>
      <c r="N230" s="1206"/>
      <c r="O230" s="1207"/>
      <c r="P230" s="1201"/>
      <c r="Q230" s="1166"/>
      <c r="R230" s="1206">
        <v>0.47916666666666669</v>
      </c>
      <c r="S230" s="1206">
        <v>0.25</v>
      </c>
      <c r="T230" s="1207">
        <v>6.5</v>
      </c>
      <c r="U230" s="1201"/>
      <c r="V230" s="1166"/>
      <c r="W230" s="1206">
        <v>0.52083333333333337</v>
      </c>
      <c r="X230" s="1206">
        <v>0.32291666666666669</v>
      </c>
      <c r="Y230" s="1207">
        <v>7</v>
      </c>
      <c r="Z230" s="1201"/>
      <c r="AA230" s="1203">
        <f t="shared" si="61"/>
        <v>19.5</v>
      </c>
      <c r="AB230" s="1225">
        <f t="shared" si="62"/>
        <v>0</v>
      </c>
      <c r="AC230" s="1166"/>
      <c r="AD230" s="1206"/>
      <c r="AE230" s="1206"/>
      <c r="AF230" s="1207"/>
      <c r="AG230" s="1166"/>
      <c r="AH230" s="1206"/>
      <c r="AI230" s="1206"/>
      <c r="AJ230" s="1207"/>
      <c r="AK230" s="1203">
        <f t="shared" si="60"/>
        <v>0</v>
      </c>
      <c r="AL230" s="1166"/>
      <c r="AM230" s="1168"/>
      <c r="AN230" s="1169"/>
      <c r="AP230" s="1176"/>
      <c r="AR230" s="1227">
        <f>SUM(AR224:AR229)</f>
        <v>6528.9025000000001</v>
      </c>
      <c r="AU230" s="1169"/>
      <c r="AV230" s="1169"/>
      <c r="AW230" s="1169"/>
      <c r="AX230" s="1169"/>
      <c r="AY230" s="1169"/>
      <c r="AZ230" s="1169"/>
      <c r="BA230" s="1169"/>
    </row>
    <row r="231" spans="1:53" s="1178" customFormat="1">
      <c r="A231" s="1164"/>
      <c r="B231" s="1210" t="s">
        <v>53</v>
      </c>
      <c r="C231" s="1206"/>
      <c r="D231" s="1206"/>
      <c r="E231" s="1207"/>
      <c r="F231" s="1201"/>
      <c r="G231" s="1166"/>
      <c r="H231" s="1206"/>
      <c r="I231" s="1206"/>
      <c r="J231" s="1207"/>
      <c r="K231" s="1201"/>
      <c r="L231" s="1166"/>
      <c r="M231" s="1206"/>
      <c r="N231" s="1206"/>
      <c r="O231" s="1207"/>
      <c r="P231" s="1201"/>
      <c r="Q231" s="1166"/>
      <c r="R231" s="1169"/>
      <c r="S231" s="1206"/>
      <c r="T231" s="1207"/>
      <c r="U231" s="1201"/>
      <c r="V231" s="1166"/>
      <c r="W231" s="1206"/>
      <c r="X231" s="1206"/>
      <c r="Y231" s="1207"/>
      <c r="Z231" s="1201"/>
      <c r="AA231" s="1203">
        <f t="shared" si="61"/>
        <v>0</v>
      </c>
      <c r="AB231" s="1225">
        <f t="shared" si="62"/>
        <v>0</v>
      </c>
      <c r="AC231" s="1166"/>
      <c r="AD231" s="1206"/>
      <c r="AE231" s="1206"/>
      <c r="AF231" s="1207"/>
      <c r="AG231" s="1166"/>
      <c r="AH231" s="1226"/>
      <c r="AI231" s="1206"/>
      <c r="AJ231" s="1207"/>
      <c r="AK231" s="1203">
        <f t="shared" si="60"/>
        <v>0</v>
      </c>
      <c r="AL231" s="1166"/>
      <c r="AM231" s="1168"/>
      <c r="AN231" s="1169"/>
      <c r="AP231" s="1176"/>
      <c r="AU231" s="1169"/>
      <c r="AV231" s="1169"/>
      <c r="AW231" s="1169"/>
      <c r="AX231" s="1169"/>
      <c r="AY231" s="1169"/>
      <c r="AZ231" s="1169"/>
      <c r="BA231" s="1169"/>
    </row>
    <row r="232" spans="1:53" s="1178" customFormat="1">
      <c r="A232" s="1164"/>
      <c r="B232" s="1210" t="s">
        <v>1455</v>
      </c>
      <c r="C232" s="1206"/>
      <c r="D232" s="1206"/>
      <c r="E232" s="1207"/>
      <c r="F232" s="1201"/>
      <c r="G232" s="1166"/>
      <c r="H232" s="1206"/>
      <c r="I232" s="1206"/>
      <c r="J232" s="1207"/>
      <c r="K232" s="1201"/>
      <c r="L232" s="1166"/>
      <c r="M232" s="1206"/>
      <c r="N232" s="1206"/>
      <c r="O232" s="1207"/>
      <c r="P232" s="1201"/>
      <c r="Q232" s="1166"/>
      <c r="R232" s="1206"/>
      <c r="S232" s="1206"/>
      <c r="T232" s="1207"/>
      <c r="U232" s="1201"/>
      <c r="V232" s="1166"/>
      <c r="W232" s="1206"/>
      <c r="X232" s="1206"/>
      <c r="Y232" s="1207"/>
      <c r="Z232" s="1201"/>
      <c r="AA232" s="1203">
        <f t="shared" si="61"/>
        <v>0</v>
      </c>
      <c r="AB232" s="1225">
        <f t="shared" si="62"/>
        <v>0</v>
      </c>
      <c r="AC232" s="1166"/>
      <c r="AD232" s="1206"/>
      <c r="AE232" s="1206"/>
      <c r="AF232" s="1207"/>
      <c r="AG232" s="1166"/>
      <c r="AH232" s="1206"/>
      <c r="AI232" s="1206"/>
      <c r="AJ232" s="1207"/>
      <c r="AK232" s="1203">
        <f t="shared" si="60"/>
        <v>0</v>
      </c>
      <c r="AL232" s="1166"/>
      <c r="AM232" s="1168"/>
      <c r="AN232" s="1169"/>
      <c r="AO232" s="1228" t="s">
        <v>1115</v>
      </c>
      <c r="AP232" s="1176">
        <f>C243</f>
        <v>19</v>
      </c>
      <c r="AU232" s="1169"/>
      <c r="AV232" s="1169"/>
      <c r="AW232" s="1169"/>
      <c r="AX232" s="1169"/>
      <c r="AY232" s="1169"/>
      <c r="AZ232" s="1169"/>
      <c r="BA232" s="1169"/>
    </row>
    <row r="233" spans="1:53" s="1178" customFormat="1">
      <c r="A233" s="1164"/>
      <c r="B233" s="1210" t="s">
        <v>1437</v>
      </c>
      <c r="C233" s="1206"/>
      <c r="D233" s="1206"/>
      <c r="E233" s="1207"/>
      <c r="F233" s="1201"/>
      <c r="G233" s="1166"/>
      <c r="H233" s="1206"/>
      <c r="I233" s="1206"/>
      <c r="J233" s="1207"/>
      <c r="K233" s="1201"/>
      <c r="L233" s="1166"/>
      <c r="M233" s="1206"/>
      <c r="N233" s="1206"/>
      <c r="O233" s="1207"/>
      <c r="P233" s="1201"/>
      <c r="Q233" s="1166"/>
      <c r="R233" s="1206"/>
      <c r="S233" s="1206"/>
      <c r="T233" s="1207"/>
      <c r="U233" s="1201"/>
      <c r="V233" s="1166"/>
      <c r="W233" s="1206"/>
      <c r="X233" s="1206"/>
      <c r="Y233" s="1207"/>
      <c r="Z233" s="1201"/>
      <c r="AA233" s="1203">
        <f t="shared" si="61"/>
        <v>0</v>
      </c>
      <c r="AB233" s="1225">
        <f t="shared" si="62"/>
        <v>0</v>
      </c>
      <c r="AC233" s="1166"/>
      <c r="AD233" s="1206"/>
      <c r="AE233" s="1206"/>
      <c r="AF233" s="1207"/>
      <c r="AG233" s="1166"/>
      <c r="AH233" s="1206"/>
      <c r="AI233" s="1206"/>
      <c r="AJ233" s="1207"/>
      <c r="AK233" s="1203">
        <f t="shared" si="60"/>
        <v>0</v>
      </c>
      <c r="AL233" s="1166"/>
      <c r="AM233" s="1168"/>
      <c r="AN233" s="1169"/>
      <c r="AO233" s="1228"/>
      <c r="AP233" s="1176"/>
      <c r="AU233" s="1169"/>
      <c r="AV233" s="1169"/>
      <c r="AW233" s="1169"/>
      <c r="AX233" s="1169"/>
      <c r="AY233" s="1169"/>
      <c r="AZ233" s="1169"/>
      <c r="BA233" s="1169"/>
    </row>
    <row r="234" spans="1:53" s="1178" customFormat="1">
      <c r="A234" s="1164"/>
      <c r="B234" s="1210" t="s">
        <v>1456</v>
      </c>
      <c r="C234" s="1206"/>
      <c r="D234" s="1206"/>
      <c r="E234" s="1207"/>
      <c r="F234" s="1201"/>
      <c r="G234" s="1166"/>
      <c r="H234" s="1206"/>
      <c r="I234" s="1206"/>
      <c r="J234" s="1207"/>
      <c r="K234" s="1201"/>
      <c r="L234" s="1166"/>
      <c r="M234" s="1206"/>
      <c r="N234" s="1206"/>
      <c r="O234" s="1207"/>
      <c r="P234" s="1201"/>
      <c r="Q234" s="1166"/>
      <c r="R234" s="1206"/>
      <c r="S234" s="1206"/>
      <c r="T234" s="1207"/>
      <c r="U234" s="1201"/>
      <c r="V234" s="1166"/>
      <c r="W234" s="1206"/>
      <c r="X234" s="1206"/>
      <c r="Y234" s="1207"/>
      <c r="Z234" s="1201"/>
      <c r="AA234" s="1203">
        <f t="shared" si="61"/>
        <v>0</v>
      </c>
      <c r="AB234" s="1225">
        <f t="shared" si="62"/>
        <v>0</v>
      </c>
      <c r="AC234" s="1166"/>
      <c r="AD234" s="1206"/>
      <c r="AE234" s="1206"/>
      <c r="AF234" s="1207"/>
      <c r="AG234" s="1166"/>
      <c r="AH234" s="1206"/>
      <c r="AI234" s="1206"/>
      <c r="AJ234" s="1207"/>
      <c r="AK234" s="1203">
        <f t="shared" si="60"/>
        <v>0</v>
      </c>
      <c r="AL234" s="1166"/>
      <c r="AM234" s="1168"/>
      <c r="AN234" s="1169"/>
      <c r="AO234" s="1228"/>
      <c r="AP234" s="1176"/>
      <c r="AU234" s="1169"/>
      <c r="AV234" s="1169"/>
      <c r="AW234" s="1169"/>
      <c r="AX234" s="1169"/>
      <c r="AY234" s="1169"/>
      <c r="AZ234" s="1169"/>
      <c r="BA234" s="1169"/>
    </row>
    <row r="235" spans="1:53" s="1178" customFormat="1">
      <c r="A235" s="1164"/>
      <c r="B235" s="1210" t="s">
        <v>1143</v>
      </c>
      <c r="C235" s="1206"/>
      <c r="D235" s="1206"/>
      <c r="E235" s="1207"/>
      <c r="F235" s="1201"/>
      <c r="G235" s="1166"/>
      <c r="H235" s="1206"/>
      <c r="I235" s="1206"/>
      <c r="J235" s="1207"/>
      <c r="K235" s="1201"/>
      <c r="L235" s="1166"/>
      <c r="M235" s="1206"/>
      <c r="N235" s="1206"/>
      <c r="O235" s="1207"/>
      <c r="P235" s="1201"/>
      <c r="Q235" s="1166"/>
      <c r="R235" s="1206"/>
      <c r="S235" s="1206"/>
      <c r="T235" s="1207"/>
      <c r="U235" s="1201"/>
      <c r="V235" s="1166"/>
      <c r="W235" s="1206">
        <v>0.41666666666666669</v>
      </c>
      <c r="X235" s="1206">
        <v>0.53125</v>
      </c>
      <c r="Y235" s="1207">
        <v>2.75</v>
      </c>
      <c r="Z235" s="1201"/>
      <c r="AA235" s="1203">
        <f t="shared" si="61"/>
        <v>2.75</v>
      </c>
      <c r="AB235" s="1225">
        <f t="shared" si="62"/>
        <v>0</v>
      </c>
      <c r="AC235" s="1166"/>
      <c r="AD235" s="1206"/>
      <c r="AE235" s="1206"/>
      <c r="AF235" s="1207"/>
      <c r="AG235" s="1166"/>
      <c r="AH235" s="1206"/>
      <c r="AI235" s="1206"/>
      <c r="AJ235" s="1207"/>
      <c r="AK235" s="1203">
        <f t="shared" si="60"/>
        <v>0</v>
      </c>
      <c r="AL235" s="1166"/>
      <c r="AM235" s="1168"/>
      <c r="AN235" s="1169"/>
      <c r="AO235" s="1228"/>
      <c r="AP235" s="1176"/>
      <c r="AU235" s="1169"/>
      <c r="AV235" s="1169"/>
      <c r="AW235" s="1169"/>
      <c r="AX235" s="1169"/>
      <c r="AY235" s="1169"/>
      <c r="AZ235" s="1169"/>
      <c r="BA235" s="1169"/>
    </row>
    <row r="236" spans="1:53" s="1178" customFormat="1">
      <c r="A236" s="1164"/>
      <c r="B236" s="1206" t="s">
        <v>1144</v>
      </c>
      <c r="C236" s="1206"/>
      <c r="D236" s="1206"/>
      <c r="E236" s="1207"/>
      <c r="F236" s="1201"/>
      <c r="G236" s="1166"/>
      <c r="H236" s="1206"/>
      <c r="I236" s="1206"/>
      <c r="J236" s="1207"/>
      <c r="K236" s="1201"/>
      <c r="L236" s="1166"/>
      <c r="M236" s="1206"/>
      <c r="N236" s="1206"/>
      <c r="O236" s="1207"/>
      <c r="P236" s="1201"/>
      <c r="Q236" s="1166"/>
      <c r="R236" s="1206"/>
      <c r="S236" s="1206"/>
      <c r="T236" s="1207"/>
      <c r="U236" s="1201"/>
      <c r="V236" s="1166"/>
      <c r="W236" s="1206"/>
      <c r="X236" s="1206"/>
      <c r="Y236" s="1207"/>
      <c r="Z236" s="1201"/>
      <c r="AA236" s="1203">
        <f t="shared" si="61"/>
        <v>0</v>
      </c>
      <c r="AB236" s="1225">
        <f t="shared" si="62"/>
        <v>0</v>
      </c>
      <c r="AC236" s="1166"/>
      <c r="AD236" s="1206"/>
      <c r="AE236" s="1206"/>
      <c r="AF236" s="1207"/>
      <c r="AG236" s="1166"/>
      <c r="AH236" s="1206"/>
      <c r="AI236" s="1206"/>
      <c r="AJ236" s="1207"/>
      <c r="AK236" s="1203">
        <f t="shared" si="60"/>
        <v>0</v>
      </c>
      <c r="AL236" s="1166"/>
      <c r="AM236" s="1168"/>
      <c r="AN236" s="1169"/>
      <c r="AO236" s="1228"/>
      <c r="AP236" s="1176"/>
      <c r="AU236" s="1169"/>
      <c r="AV236" s="1169"/>
      <c r="AW236" s="1169"/>
      <c r="AX236" s="1169"/>
      <c r="AY236" s="1169"/>
      <c r="AZ236" s="1169"/>
      <c r="BA236" s="1169"/>
    </row>
    <row r="237" spans="1:53" s="1178" customFormat="1">
      <c r="A237" s="1164"/>
      <c r="B237" s="1193" t="s">
        <v>1440</v>
      </c>
      <c r="C237" s="1206"/>
      <c r="D237" s="1206"/>
      <c r="E237" s="1207"/>
      <c r="F237" s="1201"/>
      <c r="G237" s="1166"/>
      <c r="H237" s="1206"/>
      <c r="I237" s="1206"/>
      <c r="J237" s="1207"/>
      <c r="K237" s="1201"/>
      <c r="L237" s="1166"/>
      <c r="M237" s="1206"/>
      <c r="N237" s="1206"/>
      <c r="O237" s="1207"/>
      <c r="P237" s="1201"/>
      <c r="Q237" s="1166"/>
      <c r="R237" s="1206"/>
      <c r="S237" s="1206"/>
      <c r="T237" s="1207"/>
      <c r="U237" s="1201"/>
      <c r="V237" s="1166"/>
      <c r="W237" s="1206"/>
      <c r="X237" s="1206"/>
      <c r="Y237" s="1207"/>
      <c r="Z237" s="1201"/>
      <c r="AA237" s="1203">
        <f t="shared" si="61"/>
        <v>0</v>
      </c>
      <c r="AB237" s="1225">
        <f t="shared" si="62"/>
        <v>0</v>
      </c>
      <c r="AC237" s="1166"/>
      <c r="AD237" s="1206"/>
      <c r="AE237" s="1206"/>
      <c r="AF237" s="1207"/>
      <c r="AG237" s="1166"/>
      <c r="AH237" s="1206"/>
      <c r="AI237" s="1206"/>
      <c r="AJ237" s="1207"/>
      <c r="AK237" s="1203">
        <f t="shared" si="60"/>
        <v>0</v>
      </c>
      <c r="AL237" s="1166"/>
      <c r="AM237" s="1168"/>
      <c r="AN237" s="1169"/>
      <c r="AO237" s="1228"/>
      <c r="AP237" s="1176"/>
      <c r="AU237" s="1169"/>
      <c r="AV237" s="1169"/>
      <c r="AW237" s="1169"/>
      <c r="AX237" s="1169"/>
      <c r="AY237" s="1169"/>
      <c r="AZ237" s="1169"/>
      <c r="BA237" s="1169"/>
    </row>
    <row r="238" spans="1:53" s="1178" customFormat="1">
      <c r="A238" s="1164"/>
      <c r="B238" s="1210" t="s">
        <v>1435</v>
      </c>
      <c r="C238" s="1206"/>
      <c r="D238" s="1206"/>
      <c r="E238" s="1207"/>
      <c r="F238" s="1201"/>
      <c r="G238" s="1166"/>
      <c r="H238" s="1206"/>
      <c r="I238" s="1206"/>
      <c r="J238" s="1207"/>
      <c r="K238" s="1201"/>
      <c r="L238" s="1166"/>
      <c r="M238" s="1206"/>
      <c r="N238" s="1206"/>
      <c r="O238" s="1207"/>
      <c r="P238" s="1201"/>
      <c r="Q238" s="1166"/>
      <c r="R238" s="1206"/>
      <c r="S238" s="1206"/>
      <c r="T238" s="1207"/>
      <c r="U238" s="1201"/>
      <c r="V238" s="1166"/>
      <c r="W238" s="1206"/>
      <c r="X238" s="1206"/>
      <c r="Y238" s="1207"/>
      <c r="Z238" s="1201"/>
      <c r="AA238" s="1203">
        <f t="shared" si="61"/>
        <v>0</v>
      </c>
      <c r="AB238" s="1225">
        <f t="shared" si="62"/>
        <v>0</v>
      </c>
      <c r="AC238" s="1166"/>
      <c r="AD238" s="1206"/>
      <c r="AE238" s="1206"/>
      <c r="AF238" s="1207"/>
      <c r="AG238" s="1166"/>
      <c r="AH238" s="1206"/>
      <c r="AI238" s="1206"/>
      <c r="AJ238" s="1207"/>
      <c r="AK238" s="1203">
        <f t="shared" si="60"/>
        <v>0</v>
      </c>
      <c r="AL238" s="1166"/>
      <c r="AM238" s="1168"/>
      <c r="AN238" s="1169"/>
      <c r="AO238" s="1228"/>
      <c r="AP238" s="1176"/>
      <c r="AU238" s="1169"/>
      <c r="AV238" s="1169"/>
      <c r="AW238" s="1169"/>
      <c r="AX238" s="1169"/>
      <c r="AY238" s="1169"/>
      <c r="AZ238" s="1169"/>
      <c r="BA238" s="1169"/>
    </row>
    <row r="239" spans="1:53" s="1178" customFormat="1">
      <c r="A239" s="1164"/>
      <c r="B239" s="1210" t="s">
        <v>813</v>
      </c>
      <c r="C239" s="1206"/>
      <c r="D239" s="1206"/>
      <c r="E239" s="1207"/>
      <c r="F239" s="1201"/>
      <c r="G239" s="1166"/>
      <c r="H239" s="1206"/>
      <c r="I239" s="1206"/>
      <c r="J239" s="1207"/>
      <c r="K239" s="1201"/>
      <c r="L239" s="1166"/>
      <c r="M239" s="1206"/>
      <c r="N239" s="1206"/>
      <c r="O239" s="1207"/>
      <c r="P239" s="1201"/>
      <c r="Q239" s="1166"/>
      <c r="R239" s="1206"/>
      <c r="S239" s="1206"/>
      <c r="T239" s="1207"/>
      <c r="U239" s="1201"/>
      <c r="V239" s="1166"/>
      <c r="W239" s="1206"/>
      <c r="X239" s="1206"/>
      <c r="Y239" s="1207"/>
      <c r="Z239" s="1201"/>
      <c r="AA239" s="1203">
        <f t="shared" si="61"/>
        <v>0</v>
      </c>
      <c r="AB239" s="1225">
        <f t="shared" si="62"/>
        <v>0</v>
      </c>
      <c r="AC239" s="1166"/>
      <c r="AD239" s="1206"/>
      <c r="AE239" s="1206"/>
      <c r="AF239" s="1207"/>
      <c r="AG239" s="1166"/>
      <c r="AH239" s="1206"/>
      <c r="AI239" s="1206"/>
      <c r="AJ239" s="1207"/>
      <c r="AK239" s="1203">
        <f t="shared" si="60"/>
        <v>0</v>
      </c>
      <c r="AL239" s="1166"/>
      <c r="AM239" s="1168"/>
      <c r="AN239" s="1169"/>
      <c r="AO239" s="1228"/>
      <c r="AP239" s="1176"/>
      <c r="AU239" s="1169"/>
      <c r="AV239" s="1169"/>
      <c r="AW239" s="1169"/>
      <c r="AX239" s="1169"/>
      <c r="AY239" s="1169"/>
      <c r="AZ239" s="1169"/>
      <c r="BA239" s="1169"/>
    </row>
    <row r="240" spans="1:53" s="1169" customFormat="1">
      <c r="A240" s="1164"/>
      <c r="B240" s="1232" t="s">
        <v>61</v>
      </c>
      <c r="C240" s="1232"/>
      <c r="D240" s="1232"/>
      <c r="E240" s="1233">
        <f>SUM(E225:E238)</f>
        <v>18</v>
      </c>
      <c r="F240" s="1201"/>
      <c r="G240" s="1232"/>
      <c r="H240" s="1232"/>
      <c r="I240" s="1232"/>
      <c r="J240" s="1233">
        <f>SUM(J225:J238)</f>
        <v>18</v>
      </c>
      <c r="K240" s="1201"/>
      <c r="L240" s="1232"/>
      <c r="M240" s="1232"/>
      <c r="N240" s="1232"/>
      <c r="O240" s="1233">
        <f>SUM(O225:O238)</f>
        <v>3</v>
      </c>
      <c r="P240" s="1201"/>
      <c r="Q240" s="1232"/>
      <c r="R240" s="1232"/>
      <c r="S240" s="1232"/>
      <c r="T240" s="1233">
        <f>SUM(T225:T238)</f>
        <v>28.5</v>
      </c>
      <c r="U240" s="1201"/>
      <c r="V240" s="1232"/>
      <c r="W240" s="1232"/>
      <c r="X240" s="1232"/>
      <c r="Y240" s="1233">
        <f>SUM(Y225:Y238)</f>
        <v>29.5</v>
      </c>
      <c r="Z240" s="1201"/>
      <c r="AA240" s="1202">
        <f>SUM(AA225:AA238)</f>
        <v>97</v>
      </c>
      <c r="AB240" s="1203">
        <f>SUM(AB225:AB232)</f>
        <v>0</v>
      </c>
      <c r="AC240" s="1166"/>
      <c r="AD240" s="1232"/>
      <c r="AE240" s="1232"/>
      <c r="AF240" s="1203"/>
      <c r="AG240" s="1166"/>
      <c r="AH240" s="1232"/>
      <c r="AI240" s="1232"/>
      <c r="AJ240" s="1203"/>
      <c r="AK240" s="1229">
        <f>SUM(AK225:AK238)</f>
        <v>20.5</v>
      </c>
      <c r="AL240" s="1166"/>
      <c r="AM240" s="1168"/>
      <c r="AO240" s="1204"/>
      <c r="AP240" s="1178"/>
      <c r="AQ240" s="1178"/>
      <c r="AR240" s="1178"/>
      <c r="AS240" s="1178"/>
      <c r="AT240" s="1178"/>
    </row>
    <row r="241" spans="1:53" s="1169" customFormat="1">
      <c r="A241" s="1164"/>
      <c r="B241" s="1230" t="s">
        <v>64</v>
      </c>
      <c r="C241" s="1206"/>
      <c r="D241" s="1206"/>
      <c r="E241" s="1207">
        <v>4</v>
      </c>
      <c r="F241" s="1207"/>
      <c r="G241" s="1208"/>
      <c r="H241" s="1206"/>
      <c r="I241" s="1206"/>
      <c r="J241" s="1207">
        <v>4</v>
      </c>
      <c r="K241" s="1207"/>
      <c r="L241" s="1209"/>
      <c r="M241" s="1206"/>
      <c r="N241" s="1206"/>
      <c r="O241" s="1207">
        <v>4</v>
      </c>
      <c r="P241" s="1207"/>
      <c r="Q241" s="1209"/>
      <c r="R241" s="1206"/>
      <c r="S241" s="1206"/>
      <c r="T241" s="1207">
        <v>4</v>
      </c>
      <c r="U241" s="1207"/>
      <c r="V241" s="1209"/>
      <c r="W241" s="1206"/>
      <c r="X241" s="1206"/>
      <c r="Y241" s="1207">
        <v>4</v>
      </c>
      <c r="Z241" s="1207"/>
      <c r="AA241" s="1203">
        <f>SUM(E241+J241+O241+T241+Y241)</f>
        <v>20</v>
      </c>
      <c r="AB241" s="1173">
        <f>Z241+U241+P241+K241+F241</f>
        <v>0</v>
      </c>
      <c r="AC241" s="1166"/>
      <c r="AD241" s="1206"/>
      <c r="AE241" s="1206"/>
      <c r="AF241" s="1207">
        <v>4</v>
      </c>
      <c r="AG241" s="1166"/>
      <c r="AH241" s="1206"/>
      <c r="AI241" s="1206"/>
      <c r="AJ241" s="1207"/>
      <c r="AK241" s="1203">
        <f>AJ241+AF241</f>
        <v>4</v>
      </c>
      <c r="AL241" s="1166"/>
      <c r="AM241" s="1168"/>
      <c r="AO241" s="1204"/>
      <c r="AP241" s="1178"/>
      <c r="AQ241" s="1178"/>
      <c r="AR241" s="1178"/>
      <c r="AS241" s="1178"/>
      <c r="AT241" s="1178"/>
    </row>
    <row r="242" spans="1:53" s="1169" customFormat="1">
      <c r="A242" s="1164"/>
      <c r="B242" s="1208" t="s">
        <v>66</v>
      </c>
      <c r="C242" s="1210"/>
      <c r="D242" s="1210"/>
      <c r="E242" s="1208"/>
      <c r="F242" s="1208"/>
      <c r="G242" s="1208"/>
      <c r="H242" s="1208"/>
      <c r="I242" s="1208"/>
      <c r="J242" s="1208"/>
      <c r="K242" s="1208"/>
      <c r="L242" s="1208"/>
      <c r="M242" s="1208"/>
      <c r="N242" s="1208"/>
      <c r="O242" s="1208"/>
      <c r="P242" s="1208"/>
      <c r="Q242" s="1208"/>
      <c r="R242" s="1208"/>
      <c r="S242" s="1208"/>
      <c r="T242" s="1208"/>
      <c r="U242" s="1208"/>
      <c r="V242" s="1208"/>
      <c r="W242" s="1208"/>
      <c r="X242" s="1208"/>
      <c r="Y242" s="1208"/>
      <c r="Z242" s="1208"/>
      <c r="AA242" s="1202">
        <f>SUM(AA241:AA241)</f>
        <v>20</v>
      </c>
      <c r="AB242" s="1203">
        <f>SUM(AB241:AB241)</f>
        <v>0</v>
      </c>
      <c r="AC242" s="1166"/>
      <c r="AG242" s="1166"/>
      <c r="AK242" s="1229">
        <f>SUM(AK241:AK241)</f>
        <v>4</v>
      </c>
      <c r="AL242" s="1166"/>
      <c r="AM242" s="1168"/>
      <c r="AO242" s="1204"/>
      <c r="AP242" s="1178"/>
      <c r="AQ242" s="1178"/>
      <c r="AR242" s="1178"/>
      <c r="AS242" s="1178"/>
      <c r="AT242" s="1178"/>
    </row>
    <row r="243" spans="1:53" s="1169" customFormat="1">
      <c r="A243" s="1164"/>
      <c r="B243" s="1212" t="s">
        <v>67</v>
      </c>
      <c r="C243" s="1213">
        <f>3+3+1+4+5+3</f>
        <v>19</v>
      </c>
      <c r="D243" s="1214"/>
      <c r="E243" s="1215"/>
      <c r="F243" s="1215"/>
      <c r="G243" s="1214"/>
      <c r="H243" s="1215"/>
      <c r="I243" s="1215"/>
      <c r="J243" s="1215"/>
      <c r="K243" s="1215"/>
      <c r="L243" s="1214"/>
      <c r="M243" s="1214"/>
      <c r="N243" s="1214"/>
      <c r="O243" s="1214"/>
      <c r="P243" s="1215"/>
      <c r="Q243" s="1214"/>
      <c r="R243" s="1214"/>
      <c r="S243" s="1214"/>
      <c r="T243" s="1214"/>
      <c r="U243" s="1215"/>
      <c r="V243" s="1214"/>
      <c r="W243" s="1214"/>
      <c r="X243" s="1214"/>
      <c r="Y243" s="1216"/>
      <c r="Z243" s="1215"/>
      <c r="AA243" s="1217"/>
      <c r="AB243" s="1215"/>
      <c r="AC243" s="1217"/>
      <c r="AD243" s="1217"/>
      <c r="AE243" s="1217"/>
      <c r="AF243" s="1217"/>
      <c r="AG243" s="1166"/>
      <c r="AH243" s="1217"/>
      <c r="AI243" s="1217"/>
      <c r="AJ243" s="1217"/>
      <c r="AK243" s="1217"/>
      <c r="AL243" s="1166"/>
      <c r="AM243" s="1168"/>
      <c r="AO243" s="1178"/>
      <c r="AP243" s="1178"/>
      <c r="AQ243" s="1178"/>
      <c r="AR243" s="1178"/>
      <c r="AS243" s="1178"/>
      <c r="AT243" s="1178"/>
    </row>
    <row r="244" spans="1:53" s="1169" customFormat="1">
      <c r="A244" s="1164"/>
      <c r="E244" s="1166"/>
      <c r="F244" s="1166"/>
      <c r="G244" s="1166"/>
      <c r="J244" s="1166"/>
      <c r="K244" s="1166"/>
      <c r="L244" s="1166"/>
      <c r="O244" s="1166"/>
      <c r="P244" s="1166"/>
      <c r="Q244" s="1166"/>
      <c r="T244" s="1166"/>
      <c r="U244" s="1166"/>
      <c r="V244" s="1166"/>
      <c r="Y244" s="1166"/>
      <c r="Z244" s="1166"/>
      <c r="AA244" s="1166"/>
      <c r="AB244" s="1166"/>
      <c r="AC244" s="1166"/>
      <c r="AG244" s="1166"/>
      <c r="AL244" s="1166"/>
      <c r="AM244" s="1168"/>
      <c r="AO244" s="1178"/>
      <c r="AP244" s="1178"/>
      <c r="AQ244" s="1178"/>
      <c r="AR244" s="1178"/>
      <c r="AS244" s="1178"/>
      <c r="AT244" s="1178"/>
    </row>
    <row r="245" spans="1:53" s="1169" customFormat="1">
      <c r="A245" s="1164"/>
      <c r="B245" s="1218"/>
      <c r="C245" s="1219"/>
      <c r="D245" s="1219"/>
      <c r="E245" s="1220"/>
      <c r="F245" s="1220"/>
      <c r="G245" s="1219"/>
      <c r="H245" s="1220"/>
      <c r="I245" s="1220"/>
      <c r="J245" s="1220"/>
      <c r="K245" s="1220"/>
      <c r="L245" s="1219"/>
      <c r="M245" s="1219"/>
      <c r="N245" s="1219"/>
      <c r="O245" s="1219"/>
      <c r="P245" s="1220"/>
      <c r="Q245" s="1219"/>
      <c r="R245" s="1219"/>
      <c r="S245" s="1219"/>
      <c r="T245" s="1219"/>
      <c r="U245" s="1220"/>
      <c r="V245" s="1219"/>
      <c r="W245" s="1219"/>
      <c r="X245" s="1219"/>
      <c r="Y245" s="1221"/>
      <c r="Z245" s="1220"/>
      <c r="AA245" s="1222"/>
      <c r="AB245" s="1220"/>
      <c r="AC245" s="1223"/>
      <c r="AD245" s="1224"/>
      <c r="AE245" s="1168"/>
      <c r="AF245" s="1168"/>
      <c r="AG245" s="1168"/>
      <c r="AH245" s="1224"/>
      <c r="AI245" s="1168"/>
      <c r="AJ245" s="1168"/>
      <c r="AK245" s="1168"/>
      <c r="AL245" s="1168"/>
      <c r="AM245" s="1168"/>
      <c r="AN245" s="1168"/>
      <c r="AO245" s="1168"/>
      <c r="AP245" s="1168"/>
      <c r="AQ245" s="1168"/>
      <c r="AR245" s="1168"/>
      <c r="AS245" s="1168"/>
      <c r="AT245" s="1168"/>
    </row>
    <row r="246" spans="1:53" s="1169" customFormat="1">
      <c r="A246" s="1164"/>
      <c r="E246" s="1166"/>
      <c r="F246" s="1166"/>
      <c r="G246" s="1166"/>
      <c r="J246" s="1166"/>
      <c r="K246" s="1166"/>
      <c r="L246" s="1166"/>
      <c r="O246" s="1166"/>
      <c r="P246" s="1166"/>
      <c r="Q246" s="1166"/>
      <c r="T246" s="1166"/>
      <c r="U246" s="1166"/>
      <c r="V246" s="1166"/>
      <c r="Y246" s="1166"/>
      <c r="Z246" s="1166"/>
      <c r="AA246" s="1166"/>
      <c r="AB246" s="1166"/>
      <c r="AC246" s="1166"/>
      <c r="AG246" s="1166"/>
      <c r="AL246" s="1166"/>
      <c r="AM246" s="1168"/>
      <c r="AO246" s="1178"/>
      <c r="AP246" s="1178"/>
      <c r="AQ246" s="1178"/>
      <c r="AR246" s="1178"/>
      <c r="AS246" s="1178"/>
      <c r="AT246" s="1178"/>
    </row>
    <row r="247" spans="1:53" s="1169" customFormat="1" ht="13.5" customHeight="1">
      <c r="A247" s="1164"/>
      <c r="B247" s="1608" t="s">
        <v>18</v>
      </c>
      <c r="C247" s="1574">
        <v>45915</v>
      </c>
      <c r="D247" s="1574"/>
      <c r="E247" s="1574" t="s">
        <v>564</v>
      </c>
      <c r="F247" s="1574"/>
      <c r="G247" s="1165"/>
      <c r="H247" s="1574">
        <v>45916</v>
      </c>
      <c r="I247" s="1574"/>
      <c r="J247" s="1574" t="s">
        <v>565</v>
      </c>
      <c r="K247" s="1574"/>
      <c r="L247" s="1165"/>
      <c r="M247" s="1574">
        <v>45917</v>
      </c>
      <c r="N247" s="1574"/>
      <c r="O247" s="1574" t="s">
        <v>566</v>
      </c>
      <c r="P247" s="1574"/>
      <c r="Q247" s="1165"/>
      <c r="R247" s="1574">
        <v>45918</v>
      </c>
      <c r="S247" s="1574"/>
      <c r="T247" s="1574" t="s">
        <v>567</v>
      </c>
      <c r="U247" s="1574"/>
      <c r="V247" s="1165"/>
      <c r="W247" s="1574">
        <v>45919</v>
      </c>
      <c r="X247" s="1574"/>
      <c r="Y247" s="1574" t="s">
        <v>568</v>
      </c>
      <c r="Z247" s="1574"/>
      <c r="AA247" s="1575" t="s">
        <v>19</v>
      </c>
      <c r="AB247" s="1575" t="s">
        <v>20</v>
      </c>
      <c r="AC247" s="1166"/>
      <c r="AD247" s="1574">
        <v>45920</v>
      </c>
      <c r="AE247" s="1574"/>
      <c r="AF247" s="1167" t="s">
        <v>569</v>
      </c>
      <c r="AG247" s="1166"/>
      <c r="AH247" s="1574">
        <v>45921</v>
      </c>
      <c r="AI247" s="1574"/>
      <c r="AJ247" s="1167" t="s">
        <v>570</v>
      </c>
      <c r="AK247" s="1575" t="s">
        <v>1420</v>
      </c>
      <c r="AL247" s="1166"/>
      <c r="AM247" s="1168"/>
      <c r="AO247" s="1170" t="s">
        <v>84</v>
      </c>
      <c r="AP247" s="1171"/>
      <c r="AQ247" s="1171"/>
      <c r="AR247" s="1171"/>
      <c r="AS247" s="1171"/>
      <c r="AT247" s="1171"/>
    </row>
    <row r="248" spans="1:53" s="1169" customFormat="1">
      <c r="A248" s="1164"/>
      <c r="B248" s="1608"/>
      <c r="C248" s="1172" t="s">
        <v>23</v>
      </c>
      <c r="D248" s="1172" t="s">
        <v>24</v>
      </c>
      <c r="E248" s="1173" t="s">
        <v>25</v>
      </c>
      <c r="F248" s="1174" t="s">
        <v>14</v>
      </c>
      <c r="G248" s="1166"/>
      <c r="H248" s="1172" t="s">
        <v>23</v>
      </c>
      <c r="I248" s="1172" t="s">
        <v>24</v>
      </c>
      <c r="J248" s="1174" t="s">
        <v>25</v>
      </c>
      <c r="K248" s="1174" t="s">
        <v>14</v>
      </c>
      <c r="L248" s="1166"/>
      <c r="M248" s="1172" t="s">
        <v>23</v>
      </c>
      <c r="N248" s="1172" t="s">
        <v>24</v>
      </c>
      <c r="O248" s="1174" t="s">
        <v>25</v>
      </c>
      <c r="P248" s="1174" t="s">
        <v>14</v>
      </c>
      <c r="Q248" s="1166"/>
      <c r="R248" s="1172" t="s">
        <v>23</v>
      </c>
      <c r="S248" s="1172" t="s">
        <v>24</v>
      </c>
      <c r="T248" s="1174" t="s">
        <v>25</v>
      </c>
      <c r="U248" s="1174" t="s">
        <v>14</v>
      </c>
      <c r="V248" s="1166"/>
      <c r="W248" s="1172" t="s">
        <v>23</v>
      </c>
      <c r="X248" s="1172" t="s">
        <v>24</v>
      </c>
      <c r="Y248" s="1174" t="s">
        <v>25</v>
      </c>
      <c r="Z248" s="1174" t="s">
        <v>14</v>
      </c>
      <c r="AA248" s="1575"/>
      <c r="AB248" s="1575"/>
      <c r="AC248" s="1166"/>
      <c r="AD248" s="1172" t="s">
        <v>23</v>
      </c>
      <c r="AE248" s="1172" t="s">
        <v>24</v>
      </c>
      <c r="AF248" s="1174" t="s">
        <v>25</v>
      </c>
      <c r="AG248" s="1166"/>
      <c r="AH248" s="1172" t="s">
        <v>23</v>
      </c>
      <c r="AI248" s="1172" t="s">
        <v>24</v>
      </c>
      <c r="AJ248" s="1174" t="s">
        <v>25</v>
      </c>
      <c r="AK248" s="1575"/>
      <c r="AL248" s="1166"/>
      <c r="AM248" s="1168"/>
      <c r="AO248" s="1175" t="s">
        <v>26</v>
      </c>
      <c r="AP248" s="1176">
        <f>AA264</f>
        <v>91.25</v>
      </c>
      <c r="AQ248" s="1177">
        <v>40.31</v>
      </c>
      <c r="AR248" s="1177">
        <f t="shared" ref="AR248:AR253" si="63">AP248*AQ248</f>
        <v>3678.2875000000004</v>
      </c>
      <c r="AS248" s="1178"/>
      <c r="AT248" s="1178"/>
    </row>
    <row r="249" spans="1:53" s="1169" customFormat="1" ht="13.5" customHeight="1">
      <c r="A249" s="1164"/>
      <c r="B249" s="1166" t="s">
        <v>1064</v>
      </c>
      <c r="C249" s="1206">
        <v>0.29166666666666669</v>
      </c>
      <c r="D249" s="1206">
        <v>0.42708333333333331</v>
      </c>
      <c r="E249" s="1207">
        <v>4</v>
      </c>
      <c r="F249" s="1201"/>
      <c r="G249" s="1166"/>
      <c r="H249" s="1206">
        <v>0.125</v>
      </c>
      <c r="I249" s="1206">
        <v>0.45833333333333331</v>
      </c>
      <c r="J249" s="1207">
        <v>8</v>
      </c>
      <c r="K249" s="1201"/>
      <c r="L249" s="1166"/>
      <c r="M249" s="1206"/>
      <c r="N249" s="1206"/>
      <c r="O249" s="1207"/>
      <c r="P249" s="1201"/>
      <c r="Q249" s="1166"/>
      <c r="R249" s="1206">
        <v>8.3333333333333329E-2</v>
      </c>
      <c r="S249" s="1206">
        <v>0.41666666666666669</v>
      </c>
      <c r="T249" s="1207">
        <v>7</v>
      </c>
      <c r="U249" s="1201"/>
      <c r="V249" s="1166"/>
      <c r="W249" s="1206">
        <v>0.53125</v>
      </c>
      <c r="X249" s="1206">
        <v>0.28125</v>
      </c>
      <c r="Y249" s="1207">
        <v>6</v>
      </c>
      <c r="Z249" s="1201"/>
      <c r="AA249" s="1203">
        <f>(E249+J249+O249+T249+Y249)</f>
        <v>25</v>
      </c>
      <c r="AB249" s="1225">
        <f>Z249+U249+P249+K249+F249</f>
        <v>0</v>
      </c>
      <c r="AC249" s="1166"/>
      <c r="AD249" s="1206">
        <v>0.53125</v>
      </c>
      <c r="AE249" s="1206">
        <v>0.3125</v>
      </c>
      <c r="AF249" s="1207">
        <v>6.75</v>
      </c>
      <c r="AG249" s="1166"/>
      <c r="AH249" s="1206"/>
      <c r="AI249" s="1206"/>
      <c r="AJ249" s="1207"/>
      <c r="AK249" s="1203">
        <f t="shared" ref="AK249:AK263" si="64">AJ249+AF249</f>
        <v>6.75</v>
      </c>
      <c r="AL249" s="1166"/>
      <c r="AM249" s="1168"/>
      <c r="AO249" s="1175" t="s">
        <v>30</v>
      </c>
      <c r="AP249" s="1176">
        <f>AB264</f>
        <v>0</v>
      </c>
      <c r="AQ249" s="1177">
        <v>60.465000000000003</v>
      </c>
      <c r="AR249" s="1177">
        <f t="shared" si="63"/>
        <v>0</v>
      </c>
      <c r="AS249" s="1178"/>
      <c r="AT249" s="1178"/>
    </row>
    <row r="250" spans="1:53" s="1169" customFormat="1">
      <c r="A250" s="1164"/>
      <c r="B250" s="1206" t="s">
        <v>1441</v>
      </c>
      <c r="C250" s="1206">
        <v>0.36458333333333331</v>
      </c>
      <c r="D250" s="1206">
        <v>0.4375</v>
      </c>
      <c r="E250" s="1207">
        <v>3.5</v>
      </c>
      <c r="F250" s="1201"/>
      <c r="G250" s="1166"/>
      <c r="H250" s="1206">
        <v>0.39583333333333331</v>
      </c>
      <c r="I250" s="1206">
        <v>0.20833333333333334</v>
      </c>
      <c r="J250" s="1207">
        <v>7</v>
      </c>
      <c r="K250" s="1201"/>
      <c r="L250" s="1166"/>
      <c r="M250" s="1206">
        <v>0.5</v>
      </c>
      <c r="N250" s="1206">
        <v>0.33333333333333331</v>
      </c>
      <c r="O250" s="1207">
        <v>7.5</v>
      </c>
      <c r="P250" s="1201"/>
      <c r="Q250" s="1166"/>
      <c r="R250" s="1206"/>
      <c r="S250" s="1206"/>
      <c r="T250" s="1207"/>
      <c r="U250" s="1201"/>
      <c r="V250" s="1166"/>
      <c r="W250" s="1206"/>
      <c r="X250" s="1206"/>
      <c r="Y250" s="1207"/>
      <c r="Z250" s="1201"/>
      <c r="AA250" s="1203">
        <f t="shared" ref="AA250:AA263" si="65">(E250+J250+O250+T250+Y250)</f>
        <v>18</v>
      </c>
      <c r="AB250" s="1225">
        <f t="shared" ref="AB250:AB263" si="66">Z250+U250+P250+K250+F250</f>
        <v>0</v>
      </c>
      <c r="AC250" s="1166"/>
      <c r="AD250" s="1206"/>
      <c r="AE250" s="1206"/>
      <c r="AF250" s="1207"/>
      <c r="AG250" s="1166"/>
      <c r="AH250" s="1206"/>
      <c r="AI250" s="1206"/>
      <c r="AJ250" s="1207"/>
      <c r="AK250" s="1203">
        <f t="shared" si="64"/>
        <v>0</v>
      </c>
      <c r="AL250" s="1166"/>
      <c r="AM250" s="1168"/>
      <c r="AO250" s="1175" t="s">
        <v>32</v>
      </c>
      <c r="AP250" s="1176">
        <f>AK264</f>
        <v>31.5</v>
      </c>
      <c r="AQ250" s="1177">
        <v>60.465000000000003</v>
      </c>
      <c r="AR250" s="1177">
        <f t="shared" si="63"/>
        <v>1904.6475</v>
      </c>
      <c r="AS250" s="1178"/>
      <c r="AT250" s="1178"/>
    </row>
    <row r="251" spans="1:53" s="1178" customFormat="1">
      <c r="A251" s="1164"/>
      <c r="B251" s="1206" t="s">
        <v>1444</v>
      </c>
      <c r="C251" s="1206"/>
      <c r="D251" s="1206"/>
      <c r="E251" s="1207"/>
      <c r="F251" s="1201"/>
      <c r="G251" s="1166"/>
      <c r="H251" s="1234"/>
      <c r="I251" s="1234"/>
      <c r="J251" s="1207">
        <v>0</v>
      </c>
      <c r="K251" s="1201"/>
      <c r="L251" s="1166"/>
      <c r="M251" s="1206"/>
      <c r="N251" s="1206"/>
      <c r="O251" s="1207"/>
      <c r="P251" s="1201"/>
      <c r="Q251" s="1166"/>
      <c r="R251" s="1206">
        <v>0.53125</v>
      </c>
      <c r="S251" s="1206"/>
      <c r="T251" s="1207">
        <v>6.25</v>
      </c>
      <c r="U251" s="1201"/>
      <c r="V251" s="1166"/>
      <c r="W251" s="1206">
        <v>0.47916666666666669</v>
      </c>
      <c r="X251" s="1206"/>
      <c r="Y251" s="1207">
        <v>6</v>
      </c>
      <c r="Z251" s="1201"/>
      <c r="AA251" s="1203">
        <f t="shared" si="65"/>
        <v>12.25</v>
      </c>
      <c r="AB251" s="1225">
        <f t="shared" si="66"/>
        <v>0</v>
      </c>
      <c r="AC251" s="1166"/>
      <c r="AD251" s="1206"/>
      <c r="AE251" s="1206"/>
      <c r="AF251" s="1207"/>
      <c r="AG251" s="1166"/>
      <c r="AH251" s="1206"/>
      <c r="AI251" s="1206"/>
      <c r="AJ251" s="1207"/>
      <c r="AK251" s="1203">
        <f t="shared" si="64"/>
        <v>0</v>
      </c>
      <c r="AL251" s="1166"/>
      <c r="AM251" s="1168"/>
      <c r="AN251" s="1169"/>
      <c r="AO251" s="1175" t="s">
        <v>213</v>
      </c>
      <c r="AP251" s="1176">
        <f>AA265</f>
        <v>20</v>
      </c>
      <c r="AQ251" s="1177">
        <v>53.05</v>
      </c>
      <c r="AR251" s="1177">
        <f t="shared" si="63"/>
        <v>1061</v>
      </c>
      <c r="AU251" s="1169"/>
      <c r="AV251" s="1169"/>
      <c r="AW251" s="1169"/>
      <c r="AX251" s="1169"/>
      <c r="AY251" s="1169"/>
      <c r="AZ251" s="1169"/>
      <c r="BA251" s="1169"/>
    </row>
    <row r="252" spans="1:53" s="1178" customFormat="1">
      <c r="A252" s="1164"/>
      <c r="B252" s="1210" t="s">
        <v>1447</v>
      </c>
      <c r="C252" s="1206"/>
      <c r="D252" s="1206"/>
      <c r="E252" s="1207"/>
      <c r="F252" s="1201"/>
      <c r="G252" s="1206"/>
      <c r="H252" s="1206"/>
      <c r="I252" s="1206"/>
      <c r="J252" s="1207"/>
      <c r="K252" s="1201"/>
      <c r="L252" s="1166"/>
      <c r="M252" s="1206">
        <v>0.16666666666666666</v>
      </c>
      <c r="N252" s="1206">
        <v>0.41666666666666669</v>
      </c>
      <c r="O252" s="1207">
        <v>6</v>
      </c>
      <c r="P252" s="1201"/>
      <c r="Q252" s="1166"/>
      <c r="R252" s="1206">
        <v>0.47916666666666669</v>
      </c>
      <c r="S252" s="1206">
        <v>0.22916666666666666</v>
      </c>
      <c r="T252" s="1207">
        <v>6</v>
      </c>
      <c r="U252" s="1201"/>
      <c r="V252" s="1166"/>
      <c r="W252" s="1206">
        <v>0.52083333333333337</v>
      </c>
      <c r="X252" s="1206">
        <v>0.27083333333333331</v>
      </c>
      <c r="Y252" s="1207">
        <v>6</v>
      </c>
      <c r="Z252" s="1201"/>
      <c r="AA252" s="1203">
        <f t="shared" si="65"/>
        <v>18</v>
      </c>
      <c r="AB252" s="1225">
        <f t="shared" si="66"/>
        <v>0</v>
      </c>
      <c r="AC252" s="1166"/>
      <c r="AD252" s="1206">
        <v>0.52083333333333337</v>
      </c>
      <c r="AE252" s="1206">
        <v>0.3125</v>
      </c>
      <c r="AF252" s="1207">
        <v>7</v>
      </c>
      <c r="AG252" s="1166"/>
      <c r="AH252" s="1226"/>
      <c r="AI252" s="1206"/>
      <c r="AJ252" s="1207"/>
      <c r="AK252" s="1203">
        <f t="shared" si="64"/>
        <v>7</v>
      </c>
      <c r="AL252" s="1166"/>
      <c r="AM252" s="1168"/>
      <c r="AN252" s="1169"/>
      <c r="AO252" s="1175" t="s">
        <v>36</v>
      </c>
      <c r="AP252" s="1176">
        <f>AB265</f>
        <v>0</v>
      </c>
      <c r="AQ252" s="1177">
        <v>79.574999999999989</v>
      </c>
      <c r="AR252" s="1177">
        <f t="shared" si="63"/>
        <v>0</v>
      </c>
      <c r="AU252" s="1169"/>
      <c r="AV252" s="1169"/>
      <c r="AW252" s="1169"/>
      <c r="AX252" s="1169"/>
      <c r="AY252" s="1169"/>
      <c r="AZ252" s="1169"/>
      <c r="BA252" s="1169"/>
    </row>
    <row r="253" spans="1:53" s="1178" customFormat="1">
      <c r="A253" s="1164"/>
      <c r="B253" s="1210" t="s">
        <v>1141</v>
      </c>
      <c r="C253" s="1206"/>
      <c r="D253" s="1206"/>
      <c r="E253" s="1207"/>
      <c r="F253" s="1201"/>
      <c r="G253" s="1166"/>
      <c r="H253" s="1206">
        <v>0.1875</v>
      </c>
      <c r="I253" s="1206">
        <v>0.4375</v>
      </c>
      <c r="J253" s="1207">
        <v>6</v>
      </c>
      <c r="K253" s="1201"/>
      <c r="L253" s="1166"/>
      <c r="M253" s="1206"/>
      <c r="N253" s="1206"/>
      <c r="O253" s="1207"/>
      <c r="P253" s="1201"/>
      <c r="Q253" s="1166"/>
      <c r="R253" s="1234"/>
      <c r="S253" s="1234"/>
      <c r="T253" s="1207">
        <v>0</v>
      </c>
      <c r="U253" s="1201"/>
      <c r="V253" s="1166"/>
      <c r="W253" s="1206">
        <v>0.5</v>
      </c>
      <c r="X253" s="1206">
        <v>0.25</v>
      </c>
      <c r="Y253" s="1207">
        <v>6</v>
      </c>
      <c r="Z253" s="1201"/>
      <c r="AA253" s="1203">
        <f t="shared" si="65"/>
        <v>12</v>
      </c>
      <c r="AB253" s="1225">
        <f t="shared" si="66"/>
        <v>0</v>
      </c>
      <c r="AC253" s="1166"/>
      <c r="AD253" s="1206">
        <v>0.51041666666666663</v>
      </c>
      <c r="AE253" s="1206">
        <v>0.25</v>
      </c>
      <c r="AF253" s="1207">
        <v>5.75</v>
      </c>
      <c r="AG253" s="1166"/>
      <c r="AH253" s="1206"/>
      <c r="AI253" s="1206"/>
      <c r="AJ253" s="1207"/>
      <c r="AK253" s="1203">
        <f t="shared" si="64"/>
        <v>5.75</v>
      </c>
      <c r="AL253" s="1166"/>
      <c r="AM253" s="1168"/>
      <c r="AN253" s="1169"/>
      <c r="AO253" s="1175" t="s">
        <v>38</v>
      </c>
      <c r="AP253" s="1176">
        <f>AK265</f>
        <v>4.25</v>
      </c>
      <c r="AQ253" s="1177">
        <v>79.574999999999989</v>
      </c>
      <c r="AR253" s="1177">
        <f t="shared" si="63"/>
        <v>338.19374999999997</v>
      </c>
      <c r="AU253" s="1169"/>
      <c r="AV253" s="1169"/>
      <c r="AW253" s="1169"/>
      <c r="AX253" s="1169"/>
      <c r="AY253" s="1169"/>
      <c r="AZ253" s="1169"/>
      <c r="BA253" s="1169"/>
    </row>
    <row r="254" spans="1:53" s="1178" customFormat="1">
      <c r="A254" s="1164"/>
      <c r="B254" s="1210" t="s">
        <v>1140</v>
      </c>
      <c r="C254" s="1206">
        <v>0.47916666666666669</v>
      </c>
      <c r="D254" s="1206">
        <v>0.22916666666666666</v>
      </c>
      <c r="E254" s="1207">
        <v>6</v>
      </c>
      <c r="F254" s="1201"/>
      <c r="G254" s="1166"/>
      <c r="H254" s="1206">
        <v>0.47916666666666669</v>
      </c>
      <c r="I254" s="1206">
        <v>0.52083333333333337</v>
      </c>
      <c r="J254" s="1207"/>
      <c r="K254" s="1201"/>
      <c r="L254" s="1166"/>
      <c r="M254" s="1206"/>
      <c r="N254" s="1206"/>
      <c r="O254" s="1207"/>
      <c r="P254" s="1201"/>
      <c r="Q254" s="1166"/>
      <c r="R254" s="1206"/>
      <c r="S254" s="1206"/>
      <c r="T254" s="1207"/>
      <c r="U254" s="1201"/>
      <c r="V254" s="1166"/>
      <c r="W254" s="1206"/>
      <c r="X254" s="1206"/>
      <c r="Y254" s="1207"/>
      <c r="Z254" s="1201"/>
      <c r="AA254" s="1203">
        <f t="shared" si="65"/>
        <v>6</v>
      </c>
      <c r="AB254" s="1225">
        <f t="shared" si="66"/>
        <v>0</v>
      </c>
      <c r="AC254" s="1166"/>
      <c r="AD254" s="1206">
        <v>0.5</v>
      </c>
      <c r="AE254" s="1206">
        <v>0.23958333333333334</v>
      </c>
      <c r="AF254" s="1207">
        <v>6</v>
      </c>
      <c r="AG254" s="1166"/>
      <c r="AH254" s="1206">
        <v>0.47916666666666669</v>
      </c>
      <c r="AI254" s="1206"/>
      <c r="AJ254" s="1207">
        <v>6</v>
      </c>
      <c r="AK254" s="1203">
        <f t="shared" si="64"/>
        <v>12</v>
      </c>
      <c r="AL254" s="1166"/>
      <c r="AM254" s="1168"/>
      <c r="AN254" s="1169"/>
      <c r="AP254" s="1176"/>
      <c r="AR254" s="1227">
        <f>SUM(AR248:AR253)</f>
        <v>6982.1287500000008</v>
      </c>
      <c r="AU254" s="1169"/>
      <c r="AV254" s="1169"/>
      <c r="AW254" s="1169"/>
      <c r="AX254" s="1169"/>
      <c r="AY254" s="1169"/>
      <c r="AZ254" s="1169"/>
      <c r="BA254" s="1169"/>
    </row>
    <row r="255" spans="1:53" s="1178" customFormat="1">
      <c r="A255" s="1164"/>
      <c r="B255" s="1210" t="s">
        <v>53</v>
      </c>
      <c r="C255" s="1206"/>
      <c r="D255" s="1206"/>
      <c r="E255" s="1207"/>
      <c r="F255" s="1201"/>
      <c r="G255" s="1166"/>
      <c r="H255" s="1206"/>
      <c r="I255" s="1206"/>
      <c r="J255" s="1207"/>
      <c r="K255" s="1201"/>
      <c r="L255" s="1166"/>
      <c r="M255" s="1206"/>
      <c r="N255" s="1206"/>
      <c r="O255" s="1207"/>
      <c r="P255" s="1201"/>
      <c r="Q255" s="1166"/>
      <c r="R255" s="1169"/>
      <c r="S255" s="1206"/>
      <c r="T255" s="1207"/>
      <c r="U255" s="1201"/>
      <c r="V255" s="1166"/>
      <c r="W255" s="1206"/>
      <c r="X255" s="1206"/>
      <c r="Y255" s="1207"/>
      <c r="Z255" s="1201"/>
      <c r="AA255" s="1203">
        <f t="shared" si="65"/>
        <v>0</v>
      </c>
      <c r="AB255" s="1225">
        <f t="shared" si="66"/>
        <v>0</v>
      </c>
      <c r="AC255" s="1166"/>
      <c r="AD255" s="1206"/>
      <c r="AE255" s="1206"/>
      <c r="AF255" s="1207"/>
      <c r="AG255" s="1166"/>
      <c r="AH255" s="1226"/>
      <c r="AI255" s="1206"/>
      <c r="AJ255" s="1207"/>
      <c r="AK255" s="1203">
        <f t="shared" si="64"/>
        <v>0</v>
      </c>
      <c r="AL255" s="1166"/>
      <c r="AM255" s="1168"/>
      <c r="AN255" s="1169"/>
      <c r="AP255" s="1176"/>
      <c r="AU255" s="1169"/>
      <c r="AV255" s="1169"/>
      <c r="AW255" s="1169"/>
      <c r="AX255" s="1169"/>
      <c r="AY255" s="1169"/>
      <c r="AZ255" s="1169"/>
      <c r="BA255" s="1169"/>
    </row>
    <row r="256" spans="1:53" s="1178" customFormat="1">
      <c r="A256" s="1164"/>
      <c r="B256" s="1210" t="s">
        <v>1455</v>
      </c>
      <c r="C256" s="1206"/>
      <c r="D256" s="1206"/>
      <c r="E256" s="1207"/>
      <c r="F256" s="1201"/>
      <c r="G256" s="1166"/>
      <c r="H256" s="1206"/>
      <c r="I256" s="1206"/>
      <c r="J256" s="1207"/>
      <c r="K256" s="1201"/>
      <c r="L256" s="1166"/>
      <c r="M256" s="1206"/>
      <c r="N256" s="1206"/>
      <c r="O256" s="1207"/>
      <c r="P256" s="1201"/>
      <c r="Q256" s="1166"/>
      <c r="R256" s="1206"/>
      <c r="S256" s="1206"/>
      <c r="T256" s="1207"/>
      <c r="U256" s="1201"/>
      <c r="V256" s="1166"/>
      <c r="W256" s="1206"/>
      <c r="X256" s="1206"/>
      <c r="Y256" s="1207"/>
      <c r="Z256" s="1201"/>
      <c r="AA256" s="1203">
        <f t="shared" si="65"/>
        <v>0</v>
      </c>
      <c r="AB256" s="1225">
        <f t="shared" si="66"/>
        <v>0</v>
      </c>
      <c r="AC256" s="1166"/>
      <c r="AD256" s="1206"/>
      <c r="AE256" s="1206"/>
      <c r="AF256" s="1207"/>
      <c r="AG256" s="1166"/>
      <c r="AH256" s="1206"/>
      <c r="AI256" s="1206"/>
      <c r="AJ256" s="1207"/>
      <c r="AK256" s="1203">
        <f t="shared" si="64"/>
        <v>0</v>
      </c>
      <c r="AL256" s="1166"/>
      <c r="AM256" s="1168"/>
      <c r="AN256" s="1169"/>
      <c r="AO256" s="1228" t="s">
        <v>1115</v>
      </c>
      <c r="AP256" s="1176">
        <f>C267</f>
        <v>22</v>
      </c>
      <c r="AU256" s="1169"/>
      <c r="AV256" s="1169"/>
      <c r="AW256" s="1169"/>
      <c r="AX256" s="1169"/>
      <c r="AY256" s="1169"/>
      <c r="AZ256" s="1169"/>
      <c r="BA256" s="1169"/>
    </row>
    <row r="257" spans="1:53" s="1178" customFormat="1">
      <c r="A257" s="1164"/>
      <c r="B257" s="1210" t="s">
        <v>1437</v>
      </c>
      <c r="C257" s="1206"/>
      <c r="D257" s="1206"/>
      <c r="E257" s="1207"/>
      <c r="F257" s="1201"/>
      <c r="G257" s="1166"/>
      <c r="H257" s="1206"/>
      <c r="I257" s="1206"/>
      <c r="J257" s="1207"/>
      <c r="K257" s="1201"/>
      <c r="L257" s="1166"/>
      <c r="M257" s="1206"/>
      <c r="N257" s="1206"/>
      <c r="O257" s="1207"/>
      <c r="P257" s="1201"/>
      <c r="Q257" s="1166"/>
      <c r="R257" s="1206"/>
      <c r="S257" s="1206"/>
      <c r="T257" s="1207"/>
      <c r="U257" s="1201"/>
      <c r="V257" s="1166"/>
      <c r="W257" s="1206"/>
      <c r="X257" s="1206"/>
      <c r="Y257" s="1207"/>
      <c r="Z257" s="1201"/>
      <c r="AA257" s="1203">
        <f t="shared" si="65"/>
        <v>0</v>
      </c>
      <c r="AB257" s="1225">
        <f t="shared" si="66"/>
        <v>0</v>
      </c>
      <c r="AC257" s="1166"/>
      <c r="AD257" s="1206"/>
      <c r="AE257" s="1206"/>
      <c r="AF257" s="1207"/>
      <c r="AG257" s="1166"/>
      <c r="AH257" s="1206"/>
      <c r="AI257" s="1206"/>
      <c r="AJ257" s="1207"/>
      <c r="AK257" s="1203">
        <f t="shared" si="64"/>
        <v>0</v>
      </c>
      <c r="AL257" s="1166"/>
      <c r="AM257" s="1168"/>
      <c r="AN257" s="1169"/>
      <c r="AO257" s="1228"/>
      <c r="AP257" s="1176"/>
      <c r="AU257" s="1169"/>
      <c r="AV257" s="1169"/>
      <c r="AW257" s="1169"/>
      <c r="AX257" s="1169"/>
      <c r="AY257" s="1169"/>
      <c r="AZ257" s="1169"/>
      <c r="BA257" s="1169"/>
    </row>
    <row r="258" spans="1:53" s="1178" customFormat="1">
      <c r="A258" s="1164"/>
      <c r="B258" s="1210" t="s">
        <v>1456</v>
      </c>
      <c r="C258" s="1206"/>
      <c r="D258" s="1206"/>
      <c r="E258" s="1207"/>
      <c r="F258" s="1201"/>
      <c r="G258" s="1166"/>
      <c r="H258" s="1206"/>
      <c r="I258" s="1206"/>
      <c r="J258" s="1207"/>
      <c r="K258" s="1201"/>
      <c r="L258" s="1166"/>
      <c r="M258" s="1206"/>
      <c r="N258" s="1206"/>
      <c r="O258" s="1207"/>
      <c r="P258" s="1201"/>
      <c r="Q258" s="1166"/>
      <c r="R258" s="1206"/>
      <c r="S258" s="1206"/>
      <c r="T258" s="1207"/>
      <c r="U258" s="1201"/>
      <c r="V258" s="1166"/>
      <c r="W258" s="1206"/>
      <c r="X258" s="1206"/>
      <c r="Y258" s="1207"/>
      <c r="Z258" s="1201"/>
      <c r="AA258" s="1203">
        <f t="shared" si="65"/>
        <v>0</v>
      </c>
      <c r="AB258" s="1225">
        <f t="shared" si="66"/>
        <v>0</v>
      </c>
      <c r="AC258" s="1166"/>
      <c r="AD258" s="1206"/>
      <c r="AE258" s="1206"/>
      <c r="AF258" s="1207"/>
      <c r="AG258" s="1166"/>
      <c r="AH258" s="1206"/>
      <c r="AI258" s="1206"/>
      <c r="AJ258" s="1207"/>
      <c r="AK258" s="1203">
        <f t="shared" si="64"/>
        <v>0</v>
      </c>
      <c r="AL258" s="1166"/>
      <c r="AM258" s="1168"/>
      <c r="AN258" s="1169"/>
      <c r="AO258" s="1228"/>
      <c r="AP258" s="1176"/>
      <c r="AU258" s="1169"/>
      <c r="AV258" s="1169"/>
      <c r="AW258" s="1169"/>
      <c r="AX258" s="1169"/>
      <c r="AY258" s="1169"/>
      <c r="AZ258" s="1169"/>
      <c r="BA258" s="1169"/>
    </row>
    <row r="259" spans="1:53" s="1178" customFormat="1">
      <c r="A259" s="1164"/>
      <c r="B259" s="1210" t="s">
        <v>1143</v>
      </c>
      <c r="C259" s="1206"/>
      <c r="D259" s="1206"/>
      <c r="E259" s="1207"/>
      <c r="F259" s="1201"/>
      <c r="G259" s="1166"/>
      <c r="H259" s="1206"/>
      <c r="I259" s="1206"/>
      <c r="J259" s="1207"/>
      <c r="K259" s="1201"/>
      <c r="L259" s="1166"/>
      <c r="M259" s="1206"/>
      <c r="N259" s="1206"/>
      <c r="O259" s="1207"/>
      <c r="P259" s="1201"/>
      <c r="Q259" s="1166"/>
      <c r="R259" s="1206"/>
      <c r="S259" s="1206"/>
      <c r="T259" s="1207"/>
      <c r="U259" s="1201"/>
      <c r="V259" s="1166"/>
      <c r="W259" s="1206"/>
      <c r="X259" s="1206"/>
      <c r="Y259" s="1207"/>
      <c r="Z259" s="1201"/>
      <c r="AA259" s="1203">
        <f t="shared" si="65"/>
        <v>0</v>
      </c>
      <c r="AB259" s="1225">
        <f t="shared" si="66"/>
        <v>0</v>
      </c>
      <c r="AC259" s="1166"/>
      <c r="AD259" s="1206"/>
      <c r="AE259" s="1206"/>
      <c r="AF259" s="1207"/>
      <c r="AG259" s="1166"/>
      <c r="AH259" s="1206"/>
      <c r="AI259" s="1206"/>
      <c r="AJ259" s="1207"/>
      <c r="AK259" s="1203">
        <f t="shared" si="64"/>
        <v>0</v>
      </c>
      <c r="AL259" s="1166"/>
      <c r="AM259" s="1168"/>
      <c r="AN259" s="1169"/>
      <c r="AO259" s="1228"/>
      <c r="AP259" s="1176"/>
      <c r="AU259" s="1169"/>
      <c r="AV259" s="1169"/>
      <c r="AW259" s="1169"/>
      <c r="AX259" s="1169"/>
      <c r="AY259" s="1169"/>
      <c r="AZ259" s="1169"/>
      <c r="BA259" s="1169"/>
    </row>
    <row r="260" spans="1:53" s="1178" customFormat="1">
      <c r="A260" s="1164"/>
      <c r="B260" s="1206" t="s">
        <v>1144</v>
      </c>
      <c r="C260" s="1206"/>
      <c r="D260" s="1206"/>
      <c r="E260" s="1207"/>
      <c r="F260" s="1201"/>
      <c r="G260" s="1166"/>
      <c r="H260" s="1206"/>
      <c r="I260" s="1206"/>
      <c r="J260" s="1207"/>
      <c r="K260" s="1201"/>
      <c r="L260" s="1166"/>
      <c r="M260" s="1206"/>
      <c r="N260" s="1206"/>
      <c r="O260" s="1207"/>
      <c r="P260" s="1201"/>
      <c r="Q260" s="1166"/>
      <c r="R260" s="1206"/>
      <c r="S260" s="1206"/>
      <c r="T260" s="1207"/>
      <c r="U260" s="1201"/>
      <c r="V260" s="1166"/>
      <c r="W260" s="1206"/>
      <c r="X260" s="1206"/>
      <c r="Y260" s="1207"/>
      <c r="Z260" s="1201"/>
      <c r="AA260" s="1203">
        <f t="shared" si="65"/>
        <v>0</v>
      </c>
      <c r="AB260" s="1225">
        <f t="shared" si="66"/>
        <v>0</v>
      </c>
      <c r="AC260" s="1166"/>
      <c r="AD260" s="1206"/>
      <c r="AE260" s="1206"/>
      <c r="AF260" s="1207"/>
      <c r="AG260" s="1166"/>
      <c r="AH260" s="1206"/>
      <c r="AI260" s="1206"/>
      <c r="AJ260" s="1207"/>
      <c r="AK260" s="1203">
        <f t="shared" si="64"/>
        <v>0</v>
      </c>
      <c r="AL260" s="1166"/>
      <c r="AM260" s="1168"/>
      <c r="AN260" s="1169"/>
      <c r="AO260" s="1228"/>
      <c r="AP260" s="1176"/>
      <c r="AU260" s="1169"/>
      <c r="AV260" s="1169"/>
      <c r="AW260" s="1169"/>
      <c r="AX260" s="1169"/>
      <c r="AY260" s="1169"/>
      <c r="AZ260" s="1169"/>
      <c r="BA260" s="1169"/>
    </row>
    <row r="261" spans="1:53" s="1178" customFormat="1">
      <c r="A261" s="1164"/>
      <c r="B261" s="1193" t="s">
        <v>1440</v>
      </c>
      <c r="C261" s="1206"/>
      <c r="D261" s="1206"/>
      <c r="E261" s="1207"/>
      <c r="F261" s="1201"/>
      <c r="G261" s="1166"/>
      <c r="H261" s="1206"/>
      <c r="I261" s="1206"/>
      <c r="J261" s="1207"/>
      <c r="K261" s="1201"/>
      <c r="L261" s="1166"/>
      <c r="M261" s="1206"/>
      <c r="N261" s="1206"/>
      <c r="O261" s="1207"/>
      <c r="P261" s="1201"/>
      <c r="Q261" s="1166"/>
      <c r="R261" s="1206"/>
      <c r="S261" s="1206"/>
      <c r="T261" s="1207"/>
      <c r="U261" s="1201"/>
      <c r="V261" s="1166"/>
      <c r="W261" s="1206"/>
      <c r="X261" s="1206"/>
      <c r="Y261" s="1207"/>
      <c r="Z261" s="1201"/>
      <c r="AA261" s="1203">
        <f t="shared" si="65"/>
        <v>0</v>
      </c>
      <c r="AB261" s="1225">
        <f t="shared" si="66"/>
        <v>0</v>
      </c>
      <c r="AC261" s="1166"/>
      <c r="AD261" s="1206"/>
      <c r="AE261" s="1206"/>
      <c r="AF261" s="1207"/>
      <c r="AG261" s="1166"/>
      <c r="AH261" s="1206"/>
      <c r="AI261" s="1206"/>
      <c r="AJ261" s="1207"/>
      <c r="AK261" s="1203">
        <f t="shared" si="64"/>
        <v>0</v>
      </c>
      <c r="AL261" s="1166"/>
      <c r="AM261" s="1168"/>
      <c r="AN261" s="1169"/>
      <c r="AO261" s="1228"/>
      <c r="AP261" s="1176"/>
      <c r="AU261" s="1169"/>
      <c r="AV261" s="1169"/>
      <c r="AW261" s="1169"/>
      <c r="AX261" s="1169"/>
      <c r="AY261" s="1169"/>
      <c r="AZ261" s="1169"/>
      <c r="BA261" s="1169"/>
    </row>
    <row r="262" spans="1:53" s="1178" customFormat="1">
      <c r="A262" s="1164"/>
      <c r="B262" s="1210" t="s">
        <v>1435</v>
      </c>
      <c r="C262" s="1206"/>
      <c r="D262" s="1206"/>
      <c r="E262" s="1207"/>
      <c r="F262" s="1201"/>
      <c r="G262" s="1166"/>
      <c r="H262" s="1206"/>
      <c r="I262" s="1206"/>
      <c r="J262" s="1207"/>
      <c r="K262" s="1201"/>
      <c r="L262" s="1166"/>
      <c r="M262" s="1206"/>
      <c r="N262" s="1206"/>
      <c r="O262" s="1207"/>
      <c r="P262" s="1201"/>
      <c r="Q262" s="1166"/>
      <c r="R262" s="1206"/>
      <c r="S262" s="1206"/>
      <c r="T262" s="1207"/>
      <c r="U262" s="1201"/>
      <c r="V262" s="1166"/>
      <c r="W262" s="1206"/>
      <c r="X262" s="1206"/>
      <c r="Y262" s="1207"/>
      <c r="Z262" s="1201"/>
      <c r="AA262" s="1203">
        <f t="shared" si="65"/>
        <v>0</v>
      </c>
      <c r="AB262" s="1225">
        <f t="shared" si="66"/>
        <v>0</v>
      </c>
      <c r="AC262" s="1166"/>
      <c r="AD262" s="1206"/>
      <c r="AE262" s="1206"/>
      <c r="AF262" s="1207"/>
      <c r="AG262" s="1166"/>
      <c r="AH262" s="1206"/>
      <c r="AI262" s="1206"/>
      <c r="AJ262" s="1207"/>
      <c r="AK262" s="1203">
        <f t="shared" si="64"/>
        <v>0</v>
      </c>
      <c r="AL262" s="1166"/>
      <c r="AM262" s="1168"/>
      <c r="AN262" s="1169"/>
      <c r="AO262" s="1228"/>
      <c r="AP262" s="1176"/>
      <c r="AU262" s="1169"/>
      <c r="AV262" s="1169"/>
      <c r="AW262" s="1169"/>
      <c r="AX262" s="1169"/>
      <c r="AY262" s="1169"/>
      <c r="AZ262" s="1169"/>
      <c r="BA262" s="1169"/>
    </row>
    <row r="263" spans="1:53" s="1178" customFormat="1">
      <c r="A263" s="1164"/>
      <c r="B263" s="1210" t="s">
        <v>813</v>
      </c>
      <c r="C263" s="1206"/>
      <c r="D263" s="1206"/>
      <c r="E263" s="1207"/>
      <c r="F263" s="1201"/>
      <c r="G263" s="1166"/>
      <c r="H263" s="1206"/>
      <c r="I263" s="1206"/>
      <c r="J263" s="1207"/>
      <c r="K263" s="1201"/>
      <c r="L263" s="1166"/>
      <c r="M263" s="1206"/>
      <c r="N263" s="1206"/>
      <c r="O263" s="1207"/>
      <c r="P263" s="1201"/>
      <c r="Q263" s="1166"/>
      <c r="R263" s="1206"/>
      <c r="S263" s="1206"/>
      <c r="T263" s="1207"/>
      <c r="U263" s="1201"/>
      <c r="V263" s="1166"/>
      <c r="W263" s="1206"/>
      <c r="X263" s="1206"/>
      <c r="Y263" s="1207"/>
      <c r="Z263" s="1201"/>
      <c r="AA263" s="1203">
        <f t="shared" si="65"/>
        <v>0</v>
      </c>
      <c r="AB263" s="1225">
        <f t="shared" si="66"/>
        <v>0</v>
      </c>
      <c r="AC263" s="1166"/>
      <c r="AD263" s="1206"/>
      <c r="AE263" s="1206"/>
      <c r="AF263" s="1207"/>
      <c r="AG263" s="1166"/>
      <c r="AH263" s="1206"/>
      <c r="AI263" s="1206"/>
      <c r="AJ263" s="1207"/>
      <c r="AK263" s="1203">
        <f t="shared" si="64"/>
        <v>0</v>
      </c>
      <c r="AL263" s="1166"/>
      <c r="AM263" s="1168"/>
      <c r="AN263" s="1169"/>
      <c r="AO263" s="1228"/>
      <c r="AP263" s="1176"/>
      <c r="AU263" s="1169"/>
      <c r="AV263" s="1169"/>
      <c r="AW263" s="1169"/>
      <c r="AX263" s="1169"/>
      <c r="AY263" s="1169"/>
      <c r="AZ263" s="1169"/>
      <c r="BA263" s="1169"/>
    </row>
    <row r="264" spans="1:53" s="1169" customFormat="1">
      <c r="A264" s="1164"/>
      <c r="B264" s="1232" t="s">
        <v>61</v>
      </c>
      <c r="C264" s="1232"/>
      <c r="D264" s="1232"/>
      <c r="E264" s="1233">
        <f>SUM(E249:E262)</f>
        <v>13.5</v>
      </c>
      <c r="F264" s="1201"/>
      <c r="G264" s="1232"/>
      <c r="H264" s="1232"/>
      <c r="I264" s="1232"/>
      <c r="J264" s="1233">
        <f>SUM(J249:J262)</f>
        <v>21</v>
      </c>
      <c r="K264" s="1201"/>
      <c r="L264" s="1232"/>
      <c r="M264" s="1232"/>
      <c r="N264" s="1232"/>
      <c r="O264" s="1233">
        <f>SUM(O249:O262)</f>
        <v>13.5</v>
      </c>
      <c r="P264" s="1201"/>
      <c r="Q264" s="1232"/>
      <c r="R264" s="1232"/>
      <c r="S264" s="1232"/>
      <c r="T264" s="1233">
        <f>SUM(T249:T262)</f>
        <v>19.25</v>
      </c>
      <c r="U264" s="1201"/>
      <c r="V264" s="1232"/>
      <c r="W264" s="1232"/>
      <c r="X264" s="1232"/>
      <c r="Y264" s="1233">
        <f>SUM(Y249:Y262)</f>
        <v>24</v>
      </c>
      <c r="Z264" s="1201"/>
      <c r="AA264" s="1202">
        <f>SUM(AA249:AA262)</f>
        <v>91.25</v>
      </c>
      <c r="AB264" s="1203">
        <f>SUM(AB249:AB256)</f>
        <v>0</v>
      </c>
      <c r="AC264" s="1166"/>
      <c r="AD264" s="1232"/>
      <c r="AE264" s="1232"/>
      <c r="AF264" s="1203"/>
      <c r="AG264" s="1166"/>
      <c r="AH264" s="1232"/>
      <c r="AI264" s="1232"/>
      <c r="AJ264" s="1203"/>
      <c r="AK264" s="1229">
        <f>SUM(AK249:AK262)</f>
        <v>31.5</v>
      </c>
      <c r="AL264" s="1166"/>
      <c r="AM264" s="1168"/>
      <c r="AO264" s="1204"/>
      <c r="AP264" s="1178"/>
      <c r="AQ264" s="1178"/>
      <c r="AR264" s="1178"/>
      <c r="AS264" s="1178"/>
      <c r="AT264" s="1178"/>
    </row>
    <row r="265" spans="1:53" s="1169" customFormat="1">
      <c r="A265" s="1164"/>
      <c r="B265" s="1230" t="s">
        <v>64</v>
      </c>
      <c r="C265" s="1206"/>
      <c r="D265" s="1206"/>
      <c r="E265" s="1207">
        <v>4</v>
      </c>
      <c r="F265" s="1207"/>
      <c r="G265" s="1208"/>
      <c r="H265" s="1206"/>
      <c r="I265" s="1206"/>
      <c r="J265" s="1207">
        <v>4</v>
      </c>
      <c r="K265" s="1207"/>
      <c r="L265" s="1209"/>
      <c r="M265" s="1206"/>
      <c r="N265" s="1206"/>
      <c r="O265" s="1207">
        <v>4</v>
      </c>
      <c r="P265" s="1207"/>
      <c r="Q265" s="1209"/>
      <c r="R265" s="1206"/>
      <c r="S265" s="1206"/>
      <c r="T265" s="1207">
        <v>4</v>
      </c>
      <c r="U265" s="1207"/>
      <c r="V265" s="1209"/>
      <c r="W265" s="1206"/>
      <c r="X265" s="1206"/>
      <c r="Y265" s="1207">
        <v>4</v>
      </c>
      <c r="Z265" s="1207"/>
      <c r="AA265" s="1203">
        <f>SUM(E265+J265+O265+T265+Y265)</f>
        <v>20</v>
      </c>
      <c r="AB265" s="1173">
        <f>Z265+U265+P265+K265+F265</f>
        <v>0</v>
      </c>
      <c r="AC265" s="1166"/>
      <c r="AD265" s="1206"/>
      <c r="AE265" s="1206"/>
      <c r="AF265" s="1207">
        <v>4.25</v>
      </c>
      <c r="AG265" s="1166"/>
      <c r="AH265" s="1206"/>
      <c r="AI265" s="1206"/>
      <c r="AJ265" s="1207"/>
      <c r="AK265" s="1203">
        <f>AJ265+AF265</f>
        <v>4.25</v>
      </c>
      <c r="AL265" s="1166"/>
      <c r="AM265" s="1168"/>
      <c r="AO265" s="1204"/>
      <c r="AP265" s="1178"/>
      <c r="AQ265" s="1178"/>
      <c r="AR265" s="1178"/>
      <c r="AS265" s="1178"/>
      <c r="AT265" s="1178"/>
    </row>
    <row r="266" spans="1:53" s="1169" customFormat="1">
      <c r="A266" s="1164"/>
      <c r="B266" s="1208" t="s">
        <v>66</v>
      </c>
      <c r="C266" s="1210"/>
      <c r="D266" s="1210"/>
      <c r="E266" s="1208"/>
      <c r="F266" s="1208"/>
      <c r="G266" s="1208"/>
      <c r="H266" s="1208"/>
      <c r="I266" s="1208"/>
      <c r="J266" s="1208"/>
      <c r="K266" s="1208"/>
      <c r="L266" s="1208"/>
      <c r="M266" s="1208"/>
      <c r="N266" s="1208"/>
      <c r="O266" s="1208"/>
      <c r="P266" s="1208"/>
      <c r="Q266" s="1208"/>
      <c r="R266" s="1208"/>
      <c r="S266" s="1208"/>
      <c r="T266" s="1208"/>
      <c r="U266" s="1208"/>
      <c r="V266" s="1208"/>
      <c r="W266" s="1208"/>
      <c r="X266" s="1208"/>
      <c r="Y266" s="1208"/>
      <c r="Z266" s="1208"/>
      <c r="AA266" s="1202">
        <f>SUM(AA265:AA265)</f>
        <v>20</v>
      </c>
      <c r="AB266" s="1203">
        <f>SUM(AB265:AB265)</f>
        <v>0</v>
      </c>
      <c r="AC266" s="1166"/>
      <c r="AG266" s="1166"/>
      <c r="AK266" s="1229">
        <f>SUM(AK265:AK265)</f>
        <v>4.25</v>
      </c>
      <c r="AL266" s="1166"/>
      <c r="AM266" s="1168"/>
      <c r="AO266" s="1204"/>
      <c r="AP266" s="1178"/>
      <c r="AQ266" s="1178"/>
      <c r="AR266" s="1178"/>
      <c r="AS266" s="1178"/>
      <c r="AT266" s="1178"/>
    </row>
    <row r="267" spans="1:53" s="1169" customFormat="1">
      <c r="A267" s="1164"/>
      <c r="B267" s="1212" t="s">
        <v>67</v>
      </c>
      <c r="C267" s="1213">
        <f>3+4+3+3+4+4+1</f>
        <v>22</v>
      </c>
      <c r="D267" s="1214"/>
      <c r="E267" s="1215"/>
      <c r="F267" s="1215"/>
      <c r="G267" s="1214"/>
      <c r="H267" s="1215"/>
      <c r="I267" s="1215"/>
      <c r="J267" s="1215"/>
      <c r="K267" s="1215"/>
      <c r="L267" s="1214"/>
      <c r="M267" s="1214"/>
      <c r="N267" s="1214"/>
      <c r="O267" s="1214"/>
      <c r="P267" s="1215"/>
      <c r="Q267" s="1214"/>
      <c r="R267" s="1214"/>
      <c r="S267" s="1214"/>
      <c r="T267" s="1214"/>
      <c r="U267" s="1215"/>
      <c r="V267" s="1214"/>
      <c r="W267" s="1214"/>
      <c r="X267" s="1214"/>
      <c r="Y267" s="1216"/>
      <c r="Z267" s="1215"/>
      <c r="AA267" s="1217"/>
      <c r="AB267" s="1215"/>
      <c r="AC267" s="1217"/>
      <c r="AD267" s="1217"/>
      <c r="AE267" s="1217"/>
      <c r="AF267" s="1217"/>
      <c r="AG267" s="1166"/>
      <c r="AH267" s="1217"/>
      <c r="AI267" s="1217"/>
      <c r="AJ267" s="1217"/>
      <c r="AK267" s="1217"/>
      <c r="AL267" s="1166"/>
      <c r="AM267" s="1168"/>
      <c r="AO267" s="1178"/>
      <c r="AP267" s="1178"/>
      <c r="AQ267" s="1178"/>
      <c r="AR267" s="1178"/>
      <c r="AS267" s="1178"/>
      <c r="AT267" s="1178"/>
    </row>
    <row r="268" spans="1:53" s="1169" customFormat="1">
      <c r="A268" s="1164"/>
      <c r="E268" s="1166"/>
      <c r="F268" s="1166"/>
      <c r="G268" s="1166"/>
      <c r="J268" s="1166"/>
      <c r="K268" s="1166"/>
      <c r="L268" s="1166"/>
      <c r="O268" s="1166"/>
      <c r="P268" s="1166"/>
      <c r="Q268" s="1166"/>
      <c r="T268" s="1166"/>
      <c r="U268" s="1166"/>
      <c r="V268" s="1166"/>
      <c r="Y268" s="1166"/>
      <c r="Z268" s="1166"/>
      <c r="AA268" s="1166"/>
      <c r="AB268" s="1166"/>
      <c r="AC268" s="1166"/>
      <c r="AG268" s="1166"/>
      <c r="AL268" s="1166"/>
      <c r="AM268" s="1168"/>
      <c r="AO268" s="1178"/>
      <c r="AP268" s="1178"/>
      <c r="AQ268" s="1178"/>
      <c r="AR268" s="1178"/>
      <c r="AS268" s="1178"/>
      <c r="AT268" s="1178"/>
    </row>
    <row r="269" spans="1:53" s="1169" customFormat="1">
      <c r="A269" s="1164"/>
      <c r="B269" s="1218"/>
      <c r="C269" s="1219"/>
      <c r="D269" s="1219"/>
      <c r="E269" s="1220"/>
      <c r="F269" s="1220"/>
      <c r="G269" s="1219"/>
      <c r="H269" s="1220"/>
      <c r="I269" s="1220"/>
      <c r="J269" s="1220"/>
      <c r="K269" s="1220"/>
      <c r="L269" s="1219"/>
      <c r="M269" s="1219"/>
      <c r="N269" s="1219"/>
      <c r="O269" s="1219"/>
      <c r="P269" s="1220"/>
      <c r="Q269" s="1219"/>
      <c r="R269" s="1219"/>
      <c r="S269" s="1219"/>
      <c r="T269" s="1219"/>
      <c r="U269" s="1220"/>
      <c r="V269" s="1219"/>
      <c r="W269" s="1219"/>
      <c r="X269" s="1219"/>
      <c r="Y269" s="1221"/>
      <c r="Z269" s="1220"/>
      <c r="AA269" s="1222"/>
      <c r="AB269" s="1220"/>
      <c r="AC269" s="1223"/>
      <c r="AD269" s="1224"/>
      <c r="AE269" s="1168"/>
      <c r="AF269" s="1168"/>
      <c r="AG269" s="1168"/>
      <c r="AH269" s="1224"/>
      <c r="AI269" s="1168"/>
      <c r="AJ269" s="1168"/>
      <c r="AK269" s="1168"/>
      <c r="AL269" s="1168"/>
      <c r="AM269" s="1168"/>
      <c r="AN269" s="1168"/>
      <c r="AO269" s="1168"/>
      <c r="AP269" s="1168"/>
      <c r="AQ269" s="1168"/>
      <c r="AR269" s="1168"/>
      <c r="AS269" s="1168"/>
      <c r="AT269" s="1168"/>
    </row>
    <row r="270" spans="1:53" s="1169" customFormat="1">
      <c r="A270" s="1164"/>
      <c r="E270" s="1166"/>
      <c r="F270" s="1166"/>
      <c r="G270" s="1166"/>
      <c r="J270" s="1166"/>
      <c r="K270" s="1166"/>
      <c r="L270" s="1166"/>
      <c r="O270" s="1166"/>
      <c r="P270" s="1166"/>
      <c r="Q270" s="1166"/>
      <c r="T270" s="1166"/>
      <c r="U270" s="1166"/>
      <c r="V270" s="1166"/>
      <c r="Y270" s="1166"/>
      <c r="Z270" s="1166"/>
      <c r="AA270" s="1166"/>
      <c r="AB270" s="1166"/>
      <c r="AC270" s="1166"/>
      <c r="AG270" s="1166"/>
      <c r="AL270" s="1166"/>
      <c r="AM270" s="1168"/>
      <c r="AO270" s="1178"/>
      <c r="AP270" s="1178"/>
      <c r="AQ270" s="1178"/>
      <c r="AR270" s="1178"/>
      <c r="AS270" s="1178"/>
      <c r="AT270" s="1178"/>
    </row>
    <row r="271" spans="1:53" s="1169" customFormat="1" ht="13.5" customHeight="1">
      <c r="A271" s="1164"/>
      <c r="B271" s="1608" t="s">
        <v>18</v>
      </c>
      <c r="C271" s="1574">
        <v>45922</v>
      </c>
      <c r="D271" s="1574"/>
      <c r="E271" s="1574" t="s">
        <v>564</v>
      </c>
      <c r="F271" s="1574"/>
      <c r="G271" s="1165"/>
      <c r="H271" s="1574">
        <v>45923</v>
      </c>
      <c r="I271" s="1574"/>
      <c r="J271" s="1574" t="s">
        <v>565</v>
      </c>
      <c r="K271" s="1574"/>
      <c r="L271" s="1165"/>
      <c r="M271" s="1574">
        <v>45924</v>
      </c>
      <c r="N271" s="1574"/>
      <c r="O271" s="1574" t="s">
        <v>566</v>
      </c>
      <c r="P271" s="1574"/>
      <c r="Q271" s="1165"/>
      <c r="R271" s="1574">
        <v>45925</v>
      </c>
      <c r="S271" s="1574"/>
      <c r="T271" s="1574" t="s">
        <v>567</v>
      </c>
      <c r="U271" s="1574"/>
      <c r="V271" s="1165"/>
      <c r="W271" s="1574">
        <v>45926</v>
      </c>
      <c r="X271" s="1574"/>
      <c r="Y271" s="1574" t="s">
        <v>568</v>
      </c>
      <c r="Z271" s="1574"/>
      <c r="AA271" s="1575" t="s">
        <v>19</v>
      </c>
      <c r="AB271" s="1575" t="s">
        <v>20</v>
      </c>
      <c r="AC271" s="1166"/>
      <c r="AD271" s="1574">
        <v>45927</v>
      </c>
      <c r="AE271" s="1574"/>
      <c r="AF271" s="1167" t="s">
        <v>569</v>
      </c>
      <c r="AG271" s="1166"/>
      <c r="AH271" s="1574">
        <v>45928</v>
      </c>
      <c r="AI271" s="1574"/>
      <c r="AJ271" s="1167" t="s">
        <v>570</v>
      </c>
      <c r="AK271" s="1575" t="s">
        <v>1420</v>
      </c>
      <c r="AL271" s="1166"/>
      <c r="AM271" s="1168"/>
      <c r="AO271" s="1170" t="s">
        <v>84</v>
      </c>
      <c r="AP271" s="1171"/>
      <c r="AQ271" s="1171"/>
      <c r="AR271" s="1171"/>
      <c r="AS271" s="1171"/>
      <c r="AT271" s="1171"/>
    </row>
    <row r="272" spans="1:53" s="1169" customFormat="1">
      <c r="A272" s="1164"/>
      <c r="B272" s="1608"/>
      <c r="C272" s="1172" t="s">
        <v>23</v>
      </c>
      <c r="D272" s="1172" t="s">
        <v>24</v>
      </c>
      <c r="E272" s="1173" t="s">
        <v>25</v>
      </c>
      <c r="F272" s="1174" t="s">
        <v>14</v>
      </c>
      <c r="G272" s="1166"/>
      <c r="H272" s="1172" t="s">
        <v>23</v>
      </c>
      <c r="I272" s="1172" t="s">
        <v>24</v>
      </c>
      <c r="J272" s="1174" t="s">
        <v>25</v>
      </c>
      <c r="K272" s="1174" t="s">
        <v>14</v>
      </c>
      <c r="L272" s="1166"/>
      <c r="M272" s="1172" t="s">
        <v>23</v>
      </c>
      <c r="N272" s="1172" t="s">
        <v>24</v>
      </c>
      <c r="O272" s="1174" t="s">
        <v>25</v>
      </c>
      <c r="P272" s="1174" t="s">
        <v>14</v>
      </c>
      <c r="Q272" s="1166"/>
      <c r="R272" s="1172" t="s">
        <v>23</v>
      </c>
      <c r="S272" s="1172" t="s">
        <v>24</v>
      </c>
      <c r="T272" s="1174" t="s">
        <v>25</v>
      </c>
      <c r="U272" s="1174" t="s">
        <v>14</v>
      </c>
      <c r="V272" s="1166"/>
      <c r="W272" s="1172" t="s">
        <v>23</v>
      </c>
      <c r="X272" s="1172" t="s">
        <v>24</v>
      </c>
      <c r="Y272" s="1174" t="s">
        <v>25</v>
      </c>
      <c r="Z272" s="1174" t="s">
        <v>14</v>
      </c>
      <c r="AA272" s="1575"/>
      <c r="AB272" s="1575"/>
      <c r="AC272" s="1166"/>
      <c r="AD272" s="1172" t="s">
        <v>23</v>
      </c>
      <c r="AE272" s="1172" t="s">
        <v>24</v>
      </c>
      <c r="AF272" s="1174" t="s">
        <v>25</v>
      </c>
      <c r="AG272" s="1166"/>
      <c r="AH272" s="1172" t="s">
        <v>23</v>
      </c>
      <c r="AI272" s="1172" t="s">
        <v>24</v>
      </c>
      <c r="AJ272" s="1174" t="s">
        <v>25</v>
      </c>
      <c r="AK272" s="1575"/>
      <c r="AL272" s="1166"/>
      <c r="AM272" s="1168"/>
      <c r="AO272" s="1175" t="s">
        <v>26</v>
      </c>
      <c r="AP272" s="1176">
        <f>AA288</f>
        <v>122</v>
      </c>
      <c r="AQ272" s="1177">
        <v>40.31</v>
      </c>
      <c r="AR272" s="1177">
        <f t="shared" ref="AR272:AR277" si="67">AP272*AQ272</f>
        <v>4917.8200000000006</v>
      </c>
      <c r="AS272" s="1178"/>
      <c r="AT272" s="1178"/>
    </row>
    <row r="273" spans="1:53" s="1169" customFormat="1" ht="13.5" customHeight="1">
      <c r="A273" s="1164"/>
      <c r="B273" s="1166" t="s">
        <v>1064</v>
      </c>
      <c r="C273" s="1206">
        <v>0.53125</v>
      </c>
      <c r="D273" s="1206">
        <v>0.27083333333333331</v>
      </c>
      <c r="E273" s="1207">
        <v>5.75</v>
      </c>
      <c r="F273" s="1201"/>
      <c r="G273" s="1166"/>
      <c r="H273" s="1206">
        <v>0.13541666666666666</v>
      </c>
      <c r="I273" s="1206">
        <v>0.41666666666666669</v>
      </c>
      <c r="J273" s="1207">
        <v>6.75</v>
      </c>
      <c r="K273" s="1201"/>
      <c r="L273" s="1166"/>
      <c r="M273" s="1206" t="s">
        <v>1137</v>
      </c>
      <c r="N273" s="1206"/>
      <c r="O273" s="1207"/>
      <c r="P273" s="1201"/>
      <c r="Q273" s="1166"/>
      <c r="R273" s="1206">
        <v>0.125</v>
      </c>
      <c r="S273" s="1206">
        <v>0.41666666666666669</v>
      </c>
      <c r="T273" s="1207">
        <v>7</v>
      </c>
      <c r="U273" s="1201"/>
      <c r="V273" s="1166"/>
      <c r="W273" s="1206">
        <v>0.5</v>
      </c>
      <c r="X273" s="1206">
        <v>0.33333333333333331</v>
      </c>
      <c r="Y273" s="1207">
        <v>8</v>
      </c>
      <c r="Z273" s="1201"/>
      <c r="AA273" s="1203">
        <f>(E273+J273+O273+T273+Y273)</f>
        <v>27.5</v>
      </c>
      <c r="AB273" s="1225">
        <f>Z273+U273+P273+K273+F273</f>
        <v>0</v>
      </c>
      <c r="AC273" s="1166"/>
      <c r="AD273" s="1206">
        <v>0.47916666666666669</v>
      </c>
      <c r="AE273" s="1206">
        <v>0.3125</v>
      </c>
      <c r="AF273" s="1207">
        <v>8</v>
      </c>
      <c r="AG273" s="1166"/>
      <c r="AH273" s="1206">
        <v>0.5</v>
      </c>
      <c r="AI273" s="1206">
        <v>0.25</v>
      </c>
      <c r="AJ273" s="1207">
        <v>6</v>
      </c>
      <c r="AK273" s="1203">
        <f t="shared" ref="AK273:AK287" si="68">AJ273+AF273</f>
        <v>14</v>
      </c>
      <c r="AL273" s="1166"/>
      <c r="AM273" s="1168"/>
      <c r="AO273" s="1175" t="s">
        <v>30</v>
      </c>
      <c r="AP273" s="1176">
        <f>AB288</f>
        <v>0</v>
      </c>
      <c r="AQ273" s="1177">
        <v>60.465000000000003</v>
      </c>
      <c r="AR273" s="1177">
        <f t="shared" si="67"/>
        <v>0</v>
      </c>
      <c r="AS273" s="1178"/>
      <c r="AT273" s="1178"/>
    </row>
    <row r="274" spans="1:53" s="1169" customFormat="1">
      <c r="A274" s="1164"/>
      <c r="B274" s="1206" t="s">
        <v>1441</v>
      </c>
      <c r="C274" s="1206">
        <v>0.44791666666666669</v>
      </c>
      <c r="D274" s="1206">
        <v>0.29166666666666669</v>
      </c>
      <c r="E274" s="1207">
        <v>8</v>
      </c>
      <c r="F274" s="1201"/>
      <c r="G274" s="1166"/>
      <c r="H274" s="1206">
        <v>0.29166666666666669</v>
      </c>
      <c r="I274" s="1206">
        <v>0.125</v>
      </c>
      <c r="J274" s="1207">
        <v>7</v>
      </c>
      <c r="K274" s="1201"/>
      <c r="L274" s="1166"/>
      <c r="M274" s="1206">
        <v>0.29166666666666669</v>
      </c>
      <c r="N274" s="1206">
        <v>0.125</v>
      </c>
      <c r="O274" s="1207">
        <v>7</v>
      </c>
      <c r="P274" s="1201"/>
      <c r="Q274" s="1166"/>
      <c r="R274" s="1206"/>
      <c r="S274" s="1206"/>
      <c r="T274" s="1207"/>
      <c r="U274" s="1201"/>
      <c r="V274" s="1166"/>
      <c r="W274" s="1206"/>
      <c r="X274" s="1206"/>
      <c r="Y274" s="1207"/>
      <c r="Z274" s="1201"/>
      <c r="AA274" s="1203">
        <f t="shared" ref="AA274:AA287" si="69">(E274+J274+O274+T274+Y274)</f>
        <v>22</v>
      </c>
      <c r="AB274" s="1225">
        <f t="shared" ref="AB274:AB287" si="70">Z274+U274+P274+K274+F274</f>
        <v>0</v>
      </c>
      <c r="AC274" s="1166"/>
      <c r="AD274" s="1206"/>
      <c r="AE274" s="1206"/>
      <c r="AF274" s="1207"/>
      <c r="AG274" s="1166"/>
      <c r="AH274" s="1206"/>
      <c r="AI274" s="1206"/>
      <c r="AJ274" s="1207"/>
      <c r="AK274" s="1203">
        <f t="shared" si="68"/>
        <v>0</v>
      </c>
      <c r="AL274" s="1166"/>
      <c r="AM274" s="1168"/>
      <c r="AO274" s="1175" t="s">
        <v>32</v>
      </c>
      <c r="AP274" s="1176">
        <f>AK288</f>
        <v>33</v>
      </c>
      <c r="AQ274" s="1177">
        <v>60.465000000000003</v>
      </c>
      <c r="AR274" s="1177">
        <f t="shared" si="67"/>
        <v>1995.345</v>
      </c>
      <c r="AS274" s="1178"/>
      <c r="AT274" s="1178"/>
    </row>
    <row r="275" spans="1:53" s="1178" customFormat="1">
      <c r="A275" s="1164"/>
      <c r="B275" s="1206" t="s">
        <v>1444</v>
      </c>
      <c r="C275" s="1206"/>
      <c r="D275" s="1206"/>
      <c r="E275" s="1207"/>
      <c r="F275" s="1201"/>
      <c r="G275" s="1166"/>
      <c r="H275" s="1206" t="s">
        <v>1137</v>
      </c>
      <c r="I275" s="1206"/>
      <c r="J275" s="1207"/>
      <c r="K275" s="1201"/>
      <c r="L275" s="1166"/>
      <c r="M275" s="1206"/>
      <c r="N275" s="1206"/>
      <c r="O275" s="1207"/>
      <c r="P275" s="1201"/>
      <c r="Q275" s="1166"/>
      <c r="R275" s="1206">
        <v>0.5</v>
      </c>
      <c r="S275" s="1206">
        <v>0.25</v>
      </c>
      <c r="T275" s="1207">
        <v>6</v>
      </c>
      <c r="U275" s="1201"/>
      <c r="V275" s="1166"/>
      <c r="W275" s="1206">
        <v>0.5</v>
      </c>
      <c r="X275" s="1206">
        <v>0.25</v>
      </c>
      <c r="Y275" s="1207">
        <v>6</v>
      </c>
      <c r="Z275" s="1201"/>
      <c r="AA275" s="1203">
        <f t="shared" si="69"/>
        <v>12</v>
      </c>
      <c r="AB275" s="1225">
        <f t="shared" si="70"/>
        <v>0</v>
      </c>
      <c r="AC275" s="1166"/>
      <c r="AD275" s="1206"/>
      <c r="AE275" s="1206"/>
      <c r="AF275" s="1207"/>
      <c r="AG275" s="1166"/>
      <c r="AH275" s="1206"/>
      <c r="AI275" s="1206"/>
      <c r="AJ275" s="1207"/>
      <c r="AK275" s="1203">
        <f t="shared" si="68"/>
        <v>0</v>
      </c>
      <c r="AL275" s="1166"/>
      <c r="AM275" s="1168"/>
      <c r="AN275" s="1169"/>
      <c r="AO275" s="1175" t="s">
        <v>213</v>
      </c>
      <c r="AP275" s="1176">
        <f>AA289</f>
        <v>19.5</v>
      </c>
      <c r="AQ275" s="1177">
        <v>53.05</v>
      </c>
      <c r="AR275" s="1177">
        <f t="shared" si="67"/>
        <v>1034.4749999999999</v>
      </c>
      <c r="AU275" s="1169"/>
      <c r="AV275" s="1169"/>
      <c r="AW275" s="1169"/>
      <c r="AX275" s="1169"/>
      <c r="AY275" s="1169"/>
      <c r="AZ275" s="1169"/>
      <c r="BA275" s="1169"/>
    </row>
    <row r="276" spans="1:53" s="1178" customFormat="1">
      <c r="A276" s="1164"/>
      <c r="B276" s="1210" t="s">
        <v>1447</v>
      </c>
      <c r="C276" s="1206">
        <v>0.52083333333333337</v>
      </c>
      <c r="D276" s="1206">
        <v>0.27083333333333331</v>
      </c>
      <c r="E276" s="1207">
        <v>6</v>
      </c>
      <c r="F276" s="1201"/>
      <c r="G276" s="1206"/>
      <c r="H276" s="1206"/>
      <c r="I276" s="1206"/>
      <c r="J276" s="1207"/>
      <c r="K276" s="1201"/>
      <c r="L276" s="1166"/>
      <c r="M276" s="1206"/>
      <c r="N276" s="1206"/>
      <c r="O276" s="1207"/>
      <c r="P276" s="1201"/>
      <c r="Q276" s="1166"/>
      <c r="R276" s="1206">
        <v>0.16666666666666666</v>
      </c>
      <c r="S276" s="1206">
        <v>0.41666666666666669</v>
      </c>
      <c r="T276" s="1207">
        <v>6</v>
      </c>
      <c r="U276" s="1201"/>
      <c r="V276" s="1166"/>
      <c r="W276" s="1206"/>
      <c r="X276" s="1206"/>
      <c r="Y276" s="1207"/>
      <c r="Z276" s="1201"/>
      <c r="AA276" s="1203">
        <f t="shared" si="69"/>
        <v>12</v>
      </c>
      <c r="AB276" s="1225">
        <f t="shared" si="70"/>
        <v>0</v>
      </c>
      <c r="AC276" s="1166"/>
      <c r="AD276" s="1206">
        <v>0.47916666666666669</v>
      </c>
      <c r="AE276" s="1206">
        <v>0.27083333333333331</v>
      </c>
      <c r="AF276" s="1207">
        <v>7</v>
      </c>
      <c r="AG276" s="1166"/>
      <c r="AH276" s="1226"/>
      <c r="AI276" s="1206"/>
      <c r="AJ276" s="1207"/>
      <c r="AK276" s="1203">
        <f t="shared" si="68"/>
        <v>7</v>
      </c>
      <c r="AL276" s="1166"/>
      <c r="AM276" s="1168"/>
      <c r="AN276" s="1169"/>
      <c r="AO276" s="1175" t="s">
        <v>36</v>
      </c>
      <c r="AP276" s="1176">
        <f>AB289</f>
        <v>0</v>
      </c>
      <c r="AQ276" s="1177">
        <v>79.574999999999989</v>
      </c>
      <c r="AR276" s="1177">
        <f t="shared" si="67"/>
        <v>0</v>
      </c>
      <c r="AU276" s="1169"/>
      <c r="AV276" s="1169"/>
      <c r="AW276" s="1169"/>
      <c r="AX276" s="1169"/>
      <c r="AY276" s="1169"/>
      <c r="AZ276" s="1169"/>
      <c r="BA276" s="1169"/>
    </row>
    <row r="277" spans="1:53" s="1178" customFormat="1">
      <c r="A277" s="1164"/>
      <c r="B277" s="1210" t="s">
        <v>1141</v>
      </c>
      <c r="C277" s="1206">
        <v>0.125</v>
      </c>
      <c r="D277" s="1206">
        <v>0.1875</v>
      </c>
      <c r="E277" s="1207">
        <v>1.5</v>
      </c>
      <c r="F277" s="1201"/>
      <c r="G277" s="1166"/>
      <c r="H277" s="1206" t="s">
        <v>1137</v>
      </c>
      <c r="I277" s="1206"/>
      <c r="J277" s="1207"/>
      <c r="K277" s="1201"/>
      <c r="L277" s="1166"/>
      <c r="M277" s="1206">
        <v>0.16666666666666666</v>
      </c>
      <c r="N277" s="1206">
        <v>0.41666666666666669</v>
      </c>
      <c r="O277" s="1207">
        <v>6</v>
      </c>
      <c r="P277" s="1201"/>
      <c r="Q277" s="1166"/>
      <c r="R277" s="1206">
        <v>0.16666666666666666</v>
      </c>
      <c r="S277" s="1206">
        <v>0.41666666666666669</v>
      </c>
      <c r="T277" s="1207">
        <v>6</v>
      </c>
      <c r="U277" s="1201"/>
      <c r="V277" s="1166"/>
      <c r="W277" s="1206">
        <v>0.36458333333333331</v>
      </c>
      <c r="X277" s="1206">
        <v>0.20833333333333334</v>
      </c>
      <c r="Y277" s="1207">
        <v>8</v>
      </c>
      <c r="Z277" s="1201"/>
      <c r="AA277" s="1203">
        <f>(E277+J277+O277+T277+Y277)</f>
        <v>21.5</v>
      </c>
      <c r="AB277" s="1225">
        <f t="shared" si="70"/>
        <v>0</v>
      </c>
      <c r="AC277" s="1166"/>
      <c r="AD277" s="1206">
        <v>0.5</v>
      </c>
      <c r="AE277" s="1206">
        <v>0.25</v>
      </c>
      <c r="AF277" s="1207">
        <v>6</v>
      </c>
      <c r="AG277" s="1166"/>
      <c r="AH277" s="1206"/>
      <c r="AI277" s="1206"/>
      <c r="AJ277" s="1207"/>
      <c r="AK277" s="1203">
        <f t="shared" si="68"/>
        <v>6</v>
      </c>
      <c r="AL277" s="1166"/>
      <c r="AM277" s="1168"/>
      <c r="AN277" s="1169"/>
      <c r="AO277" s="1175" t="s">
        <v>38</v>
      </c>
      <c r="AP277" s="1176">
        <f>AK289</f>
        <v>7.25</v>
      </c>
      <c r="AQ277" s="1177">
        <v>79.574999999999989</v>
      </c>
      <c r="AR277" s="1177">
        <f t="shared" si="67"/>
        <v>576.91874999999993</v>
      </c>
      <c r="AU277" s="1169"/>
      <c r="AV277" s="1169"/>
      <c r="AW277" s="1169"/>
      <c r="AX277" s="1169"/>
      <c r="AY277" s="1169"/>
      <c r="AZ277" s="1169"/>
      <c r="BA277" s="1169"/>
    </row>
    <row r="278" spans="1:53" s="1178" customFormat="1">
      <c r="A278" s="1164"/>
      <c r="B278" s="1210" t="s">
        <v>1140</v>
      </c>
      <c r="C278" s="1206">
        <v>0.47916666666666669</v>
      </c>
      <c r="D278" s="1206">
        <v>0.22916666666666666</v>
      </c>
      <c r="E278" s="1207">
        <v>6</v>
      </c>
      <c r="F278" s="1201"/>
      <c r="G278" s="1166"/>
      <c r="H278" s="1206"/>
      <c r="I278" s="1206"/>
      <c r="J278" s="1207"/>
      <c r="K278" s="1201"/>
      <c r="L278" s="1166"/>
      <c r="M278" s="1206">
        <v>0.52083333333333337</v>
      </c>
      <c r="N278" s="1206">
        <v>0.3125</v>
      </c>
      <c r="O278" s="1207">
        <v>7</v>
      </c>
      <c r="P278" s="1201"/>
      <c r="Q278" s="1166"/>
      <c r="R278" s="1206">
        <v>0.48958333333333331</v>
      </c>
      <c r="S278" s="1206">
        <v>0.33333333333333331</v>
      </c>
      <c r="T278" s="1207">
        <v>8</v>
      </c>
      <c r="U278" s="1201"/>
      <c r="V278" s="1166"/>
      <c r="W278" s="1206">
        <v>0.16666666666666666</v>
      </c>
      <c r="X278" s="1206">
        <v>0.41666666666666669</v>
      </c>
      <c r="Y278" s="1207">
        <v>6</v>
      </c>
      <c r="Z278" s="1201"/>
      <c r="AA278" s="1203">
        <f t="shared" si="69"/>
        <v>27</v>
      </c>
      <c r="AB278" s="1225">
        <f t="shared" si="70"/>
        <v>0</v>
      </c>
      <c r="AC278" s="1166"/>
      <c r="AD278" s="1206">
        <v>0.5</v>
      </c>
      <c r="AE278" s="1206">
        <v>0.25</v>
      </c>
      <c r="AF278" s="1207">
        <v>6</v>
      </c>
      <c r="AG278" s="1166"/>
      <c r="AH278" s="1206"/>
      <c r="AI278" s="1206"/>
      <c r="AJ278" s="1207"/>
      <c r="AK278" s="1203">
        <f t="shared" si="68"/>
        <v>6</v>
      </c>
      <c r="AL278" s="1166"/>
      <c r="AM278" s="1168"/>
      <c r="AN278" s="1169"/>
      <c r="AP278" s="1176"/>
      <c r="AR278" s="1227">
        <f>SUM(AR272:AR277)</f>
        <v>8524.558750000002</v>
      </c>
      <c r="AU278" s="1169"/>
      <c r="AV278" s="1169"/>
      <c r="AW278" s="1169"/>
      <c r="AX278" s="1169"/>
      <c r="AY278" s="1169"/>
      <c r="AZ278" s="1169"/>
      <c r="BA278" s="1169"/>
    </row>
    <row r="279" spans="1:53" s="1178" customFormat="1">
      <c r="A279" s="1164"/>
      <c r="B279" s="1210" t="s">
        <v>53</v>
      </c>
      <c r="C279" s="1206"/>
      <c r="D279" s="1206"/>
      <c r="E279" s="1207"/>
      <c r="F279" s="1201"/>
      <c r="G279" s="1166"/>
      <c r="H279" s="1206"/>
      <c r="I279" s="1206"/>
      <c r="J279" s="1207"/>
      <c r="K279" s="1201"/>
      <c r="L279" s="1166"/>
      <c r="M279" s="1206"/>
      <c r="N279" s="1206"/>
      <c r="O279" s="1207"/>
      <c r="P279" s="1201"/>
      <c r="Q279" s="1166"/>
      <c r="R279" s="1169"/>
      <c r="S279" s="1206"/>
      <c r="T279" s="1207"/>
      <c r="U279" s="1201"/>
      <c r="V279" s="1166"/>
      <c r="W279" s="1206"/>
      <c r="X279" s="1206"/>
      <c r="Y279" s="1207"/>
      <c r="Z279" s="1201"/>
      <c r="AA279" s="1203">
        <f t="shared" si="69"/>
        <v>0</v>
      </c>
      <c r="AB279" s="1225">
        <f t="shared" si="70"/>
        <v>0</v>
      </c>
      <c r="AC279" s="1166"/>
      <c r="AD279" s="1206"/>
      <c r="AE279" s="1206"/>
      <c r="AF279" s="1207"/>
      <c r="AG279" s="1166"/>
      <c r="AH279" s="1226"/>
      <c r="AI279" s="1206"/>
      <c r="AJ279" s="1207"/>
      <c r="AK279" s="1203">
        <f t="shared" si="68"/>
        <v>0</v>
      </c>
      <c r="AL279" s="1166"/>
      <c r="AM279" s="1168"/>
      <c r="AN279" s="1169"/>
      <c r="AP279" s="1176"/>
      <c r="AU279" s="1169"/>
      <c r="AV279" s="1169"/>
      <c r="AW279" s="1169"/>
      <c r="AX279" s="1169"/>
      <c r="AY279" s="1169"/>
      <c r="AZ279" s="1169"/>
      <c r="BA279" s="1169"/>
    </row>
    <row r="280" spans="1:53" s="1178" customFormat="1">
      <c r="A280" s="1164"/>
      <c r="B280" s="1210" t="s">
        <v>1455</v>
      </c>
      <c r="C280" s="1206"/>
      <c r="D280" s="1206"/>
      <c r="E280" s="1207"/>
      <c r="F280" s="1201"/>
      <c r="G280" s="1166"/>
      <c r="H280" s="1206"/>
      <c r="I280" s="1206"/>
      <c r="J280" s="1207"/>
      <c r="K280" s="1201"/>
      <c r="L280" s="1166"/>
      <c r="M280" s="1206"/>
      <c r="N280" s="1206"/>
      <c r="O280" s="1207"/>
      <c r="P280" s="1201"/>
      <c r="Q280" s="1166"/>
      <c r="R280" s="1206"/>
      <c r="S280" s="1206"/>
      <c r="T280" s="1207"/>
      <c r="U280" s="1201"/>
      <c r="V280" s="1166"/>
      <c r="W280" s="1206"/>
      <c r="X280" s="1206"/>
      <c r="Y280" s="1207"/>
      <c r="Z280" s="1201"/>
      <c r="AA280" s="1203">
        <f t="shared" si="69"/>
        <v>0</v>
      </c>
      <c r="AB280" s="1225">
        <f t="shared" si="70"/>
        <v>0</v>
      </c>
      <c r="AC280" s="1166"/>
      <c r="AD280" s="1206"/>
      <c r="AE280" s="1206"/>
      <c r="AF280" s="1207"/>
      <c r="AG280" s="1166"/>
      <c r="AH280" s="1206"/>
      <c r="AI280" s="1206"/>
      <c r="AJ280" s="1207"/>
      <c r="AK280" s="1203">
        <f t="shared" si="68"/>
        <v>0</v>
      </c>
      <c r="AL280" s="1166"/>
      <c r="AM280" s="1168"/>
      <c r="AN280" s="1169"/>
      <c r="AO280" s="1228" t="s">
        <v>1115</v>
      </c>
      <c r="AP280" s="1176">
        <f>C291</f>
        <v>25</v>
      </c>
      <c r="AU280" s="1169"/>
      <c r="AV280" s="1169"/>
      <c r="AW280" s="1169"/>
      <c r="AX280" s="1169"/>
      <c r="AY280" s="1169"/>
      <c r="AZ280" s="1169"/>
      <c r="BA280" s="1169"/>
    </row>
    <row r="281" spans="1:53" s="1178" customFormat="1">
      <c r="A281" s="1164"/>
      <c r="B281" s="1210" t="s">
        <v>1437</v>
      </c>
      <c r="C281" s="1206"/>
      <c r="D281" s="1206"/>
      <c r="E281" s="1207"/>
      <c r="F281" s="1201"/>
      <c r="G281" s="1166"/>
      <c r="H281" s="1206"/>
      <c r="I281" s="1206"/>
      <c r="J281" s="1207"/>
      <c r="K281" s="1201"/>
      <c r="L281" s="1166"/>
      <c r="M281" s="1206"/>
      <c r="N281" s="1206"/>
      <c r="O281" s="1207"/>
      <c r="P281" s="1201"/>
      <c r="Q281" s="1166"/>
      <c r="R281" s="1206"/>
      <c r="S281" s="1206"/>
      <c r="T281" s="1207"/>
      <c r="U281" s="1201"/>
      <c r="V281" s="1166"/>
      <c r="W281" s="1206"/>
      <c r="X281" s="1206"/>
      <c r="Y281" s="1207"/>
      <c r="Z281" s="1201"/>
      <c r="AA281" s="1203">
        <f t="shared" si="69"/>
        <v>0</v>
      </c>
      <c r="AB281" s="1225">
        <f t="shared" si="70"/>
        <v>0</v>
      </c>
      <c r="AC281" s="1166"/>
      <c r="AD281" s="1206"/>
      <c r="AE281" s="1206"/>
      <c r="AF281" s="1207"/>
      <c r="AG281" s="1166"/>
      <c r="AH281" s="1206"/>
      <c r="AI281" s="1206"/>
      <c r="AJ281" s="1207"/>
      <c r="AK281" s="1203">
        <f t="shared" si="68"/>
        <v>0</v>
      </c>
      <c r="AL281" s="1166"/>
      <c r="AM281" s="1168"/>
      <c r="AN281" s="1169"/>
      <c r="AO281" s="1228"/>
      <c r="AP281" s="1176"/>
      <c r="AU281" s="1169"/>
      <c r="AV281" s="1169"/>
      <c r="AW281" s="1169"/>
      <c r="AX281" s="1169"/>
      <c r="AY281" s="1169"/>
      <c r="AZ281" s="1169"/>
      <c r="BA281" s="1169"/>
    </row>
    <row r="282" spans="1:53" s="1178" customFormat="1">
      <c r="A282" s="1164"/>
      <c r="B282" s="1210" t="s">
        <v>1456</v>
      </c>
      <c r="C282" s="1206"/>
      <c r="D282" s="1206"/>
      <c r="E282" s="1207"/>
      <c r="F282" s="1201"/>
      <c r="G282" s="1166"/>
      <c r="H282" s="1206"/>
      <c r="I282" s="1206"/>
      <c r="J282" s="1207"/>
      <c r="K282" s="1201"/>
      <c r="L282" s="1166"/>
      <c r="M282" s="1206"/>
      <c r="N282" s="1206"/>
      <c r="O282" s="1207"/>
      <c r="P282" s="1201"/>
      <c r="Q282" s="1166"/>
      <c r="R282" s="1206"/>
      <c r="S282" s="1206"/>
      <c r="T282" s="1207"/>
      <c r="U282" s="1201"/>
      <c r="V282" s="1166"/>
      <c r="W282" s="1206"/>
      <c r="X282" s="1206"/>
      <c r="Y282" s="1207"/>
      <c r="Z282" s="1201"/>
      <c r="AA282" s="1203">
        <f t="shared" si="69"/>
        <v>0</v>
      </c>
      <c r="AB282" s="1225">
        <f t="shared" si="70"/>
        <v>0</v>
      </c>
      <c r="AC282" s="1166"/>
      <c r="AD282" s="1206"/>
      <c r="AE282" s="1206"/>
      <c r="AF282" s="1207"/>
      <c r="AG282" s="1166"/>
      <c r="AH282" s="1206"/>
      <c r="AI282" s="1206"/>
      <c r="AJ282" s="1207"/>
      <c r="AK282" s="1203">
        <f t="shared" si="68"/>
        <v>0</v>
      </c>
      <c r="AL282" s="1166"/>
      <c r="AM282" s="1168"/>
      <c r="AN282" s="1169"/>
      <c r="AO282" s="1228"/>
      <c r="AP282" s="1176"/>
      <c r="AU282" s="1169"/>
      <c r="AV282" s="1169"/>
      <c r="AW282" s="1169"/>
      <c r="AX282" s="1169"/>
      <c r="AY282" s="1169"/>
      <c r="AZ282" s="1169"/>
      <c r="BA282" s="1169"/>
    </row>
    <row r="283" spans="1:53" s="1178" customFormat="1">
      <c r="A283" s="1164"/>
      <c r="B283" s="1210" t="s">
        <v>1143</v>
      </c>
      <c r="C283" s="1206"/>
      <c r="D283" s="1206"/>
      <c r="E283" s="1207"/>
      <c r="F283" s="1201"/>
      <c r="G283" s="1166"/>
      <c r="H283" s="1206"/>
      <c r="I283" s="1206"/>
      <c r="J283" s="1207"/>
      <c r="K283" s="1201"/>
      <c r="L283" s="1166"/>
      <c r="M283" s="1206"/>
      <c r="N283" s="1206"/>
      <c r="O283" s="1207"/>
      <c r="P283" s="1201"/>
      <c r="Q283" s="1166"/>
      <c r="R283" s="1206"/>
      <c r="S283" s="1206"/>
      <c r="T283" s="1207"/>
      <c r="U283" s="1201"/>
      <c r="V283" s="1166"/>
      <c r="W283" s="1206"/>
      <c r="X283" s="1206"/>
      <c r="Y283" s="1207"/>
      <c r="Z283" s="1201"/>
      <c r="AA283" s="1203">
        <f t="shared" si="69"/>
        <v>0</v>
      </c>
      <c r="AB283" s="1225">
        <f t="shared" si="70"/>
        <v>0</v>
      </c>
      <c r="AC283" s="1166"/>
      <c r="AD283" s="1206"/>
      <c r="AE283" s="1206"/>
      <c r="AF283" s="1207"/>
      <c r="AG283" s="1166"/>
      <c r="AH283" s="1206"/>
      <c r="AI283" s="1206"/>
      <c r="AJ283" s="1207"/>
      <c r="AK283" s="1203">
        <f t="shared" si="68"/>
        <v>0</v>
      </c>
      <c r="AL283" s="1166"/>
      <c r="AM283" s="1168"/>
      <c r="AN283" s="1169"/>
      <c r="AO283" s="1228"/>
      <c r="AP283" s="1176"/>
      <c r="AU283" s="1169"/>
      <c r="AV283" s="1169"/>
      <c r="AW283" s="1169"/>
      <c r="AX283" s="1169"/>
      <c r="AY283" s="1169"/>
      <c r="AZ283" s="1169"/>
      <c r="BA283" s="1169"/>
    </row>
    <row r="284" spans="1:53" s="1178" customFormat="1">
      <c r="A284" s="1164"/>
      <c r="B284" s="1206" t="s">
        <v>1144</v>
      </c>
      <c r="C284" s="1206"/>
      <c r="D284" s="1206"/>
      <c r="E284" s="1207"/>
      <c r="F284" s="1201"/>
      <c r="G284" s="1166"/>
      <c r="H284" s="1206"/>
      <c r="I284" s="1206"/>
      <c r="J284" s="1207"/>
      <c r="K284" s="1201"/>
      <c r="L284" s="1166"/>
      <c r="M284" s="1206"/>
      <c r="N284" s="1206"/>
      <c r="O284" s="1207"/>
      <c r="P284" s="1201"/>
      <c r="Q284" s="1166"/>
      <c r="R284" s="1206"/>
      <c r="S284" s="1206"/>
      <c r="T284" s="1207"/>
      <c r="U284" s="1201"/>
      <c r="V284" s="1166"/>
      <c r="W284" s="1206"/>
      <c r="X284" s="1206"/>
      <c r="Y284" s="1207"/>
      <c r="Z284" s="1201"/>
      <c r="AA284" s="1203">
        <f t="shared" si="69"/>
        <v>0</v>
      </c>
      <c r="AB284" s="1225">
        <f t="shared" si="70"/>
        <v>0</v>
      </c>
      <c r="AC284" s="1166"/>
      <c r="AD284" s="1206"/>
      <c r="AE284" s="1206"/>
      <c r="AF284" s="1207"/>
      <c r="AG284" s="1166"/>
      <c r="AH284" s="1206"/>
      <c r="AI284" s="1206"/>
      <c r="AJ284" s="1207"/>
      <c r="AK284" s="1203">
        <f t="shared" si="68"/>
        <v>0</v>
      </c>
      <c r="AL284" s="1166"/>
      <c r="AM284" s="1168"/>
      <c r="AN284" s="1169"/>
      <c r="AO284" s="1228"/>
      <c r="AP284" s="1176"/>
      <c r="AU284" s="1169"/>
      <c r="AV284" s="1169"/>
      <c r="AW284" s="1169"/>
      <c r="AX284" s="1169"/>
      <c r="AY284" s="1169"/>
      <c r="AZ284" s="1169"/>
      <c r="BA284" s="1169"/>
    </row>
    <row r="285" spans="1:53" s="1178" customFormat="1">
      <c r="A285" s="1164"/>
      <c r="B285" s="1193" t="s">
        <v>1440</v>
      </c>
      <c r="C285" s="1206"/>
      <c r="D285" s="1206"/>
      <c r="E285" s="1207"/>
      <c r="F285" s="1201"/>
      <c r="G285" s="1166"/>
      <c r="H285" s="1206"/>
      <c r="I285" s="1206"/>
      <c r="J285" s="1207"/>
      <c r="K285" s="1201"/>
      <c r="L285" s="1166"/>
      <c r="M285" s="1206"/>
      <c r="N285" s="1206"/>
      <c r="O285" s="1207"/>
      <c r="P285" s="1201"/>
      <c r="Q285" s="1166"/>
      <c r="R285" s="1206"/>
      <c r="S285" s="1206"/>
      <c r="T285" s="1207"/>
      <c r="U285" s="1201"/>
      <c r="V285" s="1166"/>
      <c r="W285" s="1206"/>
      <c r="X285" s="1206"/>
      <c r="Y285" s="1207"/>
      <c r="Z285" s="1201"/>
      <c r="AA285" s="1203">
        <f t="shared" si="69"/>
        <v>0</v>
      </c>
      <c r="AB285" s="1225">
        <f t="shared" si="70"/>
        <v>0</v>
      </c>
      <c r="AC285" s="1166"/>
      <c r="AD285" s="1206"/>
      <c r="AE285" s="1206"/>
      <c r="AF285" s="1207"/>
      <c r="AG285" s="1166"/>
      <c r="AH285" s="1206"/>
      <c r="AI285" s="1206"/>
      <c r="AJ285" s="1207"/>
      <c r="AK285" s="1203">
        <f t="shared" si="68"/>
        <v>0</v>
      </c>
      <c r="AL285" s="1166"/>
      <c r="AM285" s="1168"/>
      <c r="AN285" s="1169"/>
      <c r="AO285" s="1228"/>
      <c r="AP285" s="1176"/>
      <c r="AU285" s="1169"/>
      <c r="AV285" s="1169"/>
      <c r="AW285" s="1169"/>
      <c r="AX285" s="1169"/>
      <c r="AY285" s="1169"/>
      <c r="AZ285" s="1169"/>
      <c r="BA285" s="1169"/>
    </row>
    <row r="286" spans="1:53" s="1178" customFormat="1">
      <c r="A286" s="1164"/>
      <c r="B286" s="1210" t="s">
        <v>1435</v>
      </c>
      <c r="C286" s="1206"/>
      <c r="D286" s="1206"/>
      <c r="E286" s="1207"/>
      <c r="F286" s="1201"/>
      <c r="G286" s="1166"/>
      <c r="H286" s="1206"/>
      <c r="I286" s="1206"/>
      <c r="J286" s="1207"/>
      <c r="K286" s="1201"/>
      <c r="L286" s="1166"/>
      <c r="M286" s="1206"/>
      <c r="N286" s="1206"/>
      <c r="O286" s="1207"/>
      <c r="P286" s="1201"/>
      <c r="Q286" s="1166"/>
      <c r="R286" s="1206"/>
      <c r="S286" s="1206"/>
      <c r="T286" s="1207"/>
      <c r="U286" s="1201"/>
      <c r="V286" s="1166"/>
      <c r="W286" s="1206"/>
      <c r="X286" s="1206"/>
      <c r="Y286" s="1207"/>
      <c r="Z286" s="1201"/>
      <c r="AA286" s="1203">
        <f t="shared" si="69"/>
        <v>0</v>
      </c>
      <c r="AB286" s="1225">
        <f t="shared" si="70"/>
        <v>0</v>
      </c>
      <c r="AC286" s="1166"/>
      <c r="AD286" s="1206"/>
      <c r="AE286" s="1206"/>
      <c r="AF286" s="1207"/>
      <c r="AG286" s="1166"/>
      <c r="AH286" s="1206"/>
      <c r="AI286" s="1206"/>
      <c r="AJ286" s="1207"/>
      <c r="AK286" s="1203">
        <f t="shared" si="68"/>
        <v>0</v>
      </c>
      <c r="AL286" s="1166"/>
      <c r="AM286" s="1168"/>
      <c r="AN286" s="1169"/>
      <c r="AO286" s="1228"/>
      <c r="AP286" s="1176"/>
      <c r="AU286" s="1169"/>
      <c r="AV286" s="1169"/>
      <c r="AW286" s="1169"/>
      <c r="AX286" s="1169"/>
      <c r="AY286" s="1169"/>
      <c r="AZ286" s="1169"/>
      <c r="BA286" s="1169"/>
    </row>
    <row r="287" spans="1:53" s="1178" customFormat="1">
      <c r="A287" s="1164"/>
      <c r="B287" s="1210" t="s">
        <v>813</v>
      </c>
      <c r="C287" s="1206"/>
      <c r="D287" s="1206"/>
      <c r="E287" s="1207"/>
      <c r="F287" s="1201"/>
      <c r="G287" s="1166"/>
      <c r="H287" s="1206"/>
      <c r="I287" s="1206"/>
      <c r="J287" s="1207"/>
      <c r="K287" s="1201"/>
      <c r="L287" s="1166"/>
      <c r="M287" s="1206"/>
      <c r="N287" s="1206"/>
      <c r="O287" s="1207"/>
      <c r="P287" s="1201"/>
      <c r="Q287" s="1166"/>
      <c r="R287" s="1206"/>
      <c r="S287" s="1206"/>
      <c r="T287" s="1207"/>
      <c r="U287" s="1201"/>
      <c r="V287" s="1166"/>
      <c r="W287" s="1206"/>
      <c r="X287" s="1206"/>
      <c r="Y287" s="1207"/>
      <c r="Z287" s="1201"/>
      <c r="AA287" s="1203">
        <f t="shared" si="69"/>
        <v>0</v>
      </c>
      <c r="AB287" s="1225">
        <f t="shared" si="70"/>
        <v>0</v>
      </c>
      <c r="AC287" s="1166"/>
      <c r="AD287" s="1206"/>
      <c r="AE287" s="1206"/>
      <c r="AF287" s="1207"/>
      <c r="AG287" s="1166"/>
      <c r="AH287" s="1206"/>
      <c r="AI287" s="1206"/>
      <c r="AJ287" s="1207"/>
      <c r="AK287" s="1203">
        <f t="shared" si="68"/>
        <v>0</v>
      </c>
      <c r="AL287" s="1166"/>
      <c r="AM287" s="1168"/>
      <c r="AN287" s="1169"/>
      <c r="AO287" s="1228"/>
      <c r="AP287" s="1176"/>
      <c r="AU287" s="1169"/>
      <c r="AV287" s="1169"/>
      <c r="AW287" s="1169"/>
      <c r="AX287" s="1169"/>
      <c r="AY287" s="1169"/>
      <c r="AZ287" s="1169"/>
      <c r="BA287" s="1169"/>
    </row>
    <row r="288" spans="1:53" s="1169" customFormat="1">
      <c r="A288" s="1164"/>
      <c r="B288" s="1232" t="s">
        <v>61</v>
      </c>
      <c r="C288" s="1232"/>
      <c r="D288" s="1232"/>
      <c r="E288" s="1233">
        <f>SUM(E273:E286)</f>
        <v>27.25</v>
      </c>
      <c r="F288" s="1201"/>
      <c r="G288" s="1232"/>
      <c r="H288" s="1232"/>
      <c r="I288" s="1232"/>
      <c r="J288" s="1233">
        <f>SUM(J273:J286)</f>
        <v>13.75</v>
      </c>
      <c r="K288" s="1201"/>
      <c r="L288" s="1232"/>
      <c r="M288" s="1232"/>
      <c r="N288" s="1232"/>
      <c r="O288" s="1233">
        <f>SUM(O273:O286)</f>
        <v>20</v>
      </c>
      <c r="P288" s="1201"/>
      <c r="Q288" s="1232"/>
      <c r="R288" s="1232"/>
      <c r="S288" s="1232"/>
      <c r="T288" s="1233">
        <f>SUM(T273:T286)</f>
        <v>33</v>
      </c>
      <c r="U288" s="1201"/>
      <c r="V288" s="1232"/>
      <c r="W288" s="1232"/>
      <c r="X288" s="1232"/>
      <c r="Y288" s="1233">
        <f>SUM(Y273:Y286)</f>
        <v>28</v>
      </c>
      <c r="Z288" s="1201"/>
      <c r="AA288" s="1202">
        <f>SUM(AA273:AA286)</f>
        <v>122</v>
      </c>
      <c r="AB288" s="1203">
        <f>SUM(AB273:AB280)</f>
        <v>0</v>
      </c>
      <c r="AC288" s="1166"/>
      <c r="AD288" s="1232"/>
      <c r="AE288" s="1232"/>
      <c r="AF288" s="1203"/>
      <c r="AG288" s="1166"/>
      <c r="AH288" s="1232"/>
      <c r="AI288" s="1232"/>
      <c r="AJ288" s="1203"/>
      <c r="AK288" s="1229">
        <f>SUM(AK273:AK286)</f>
        <v>33</v>
      </c>
      <c r="AL288" s="1166"/>
      <c r="AM288" s="1168"/>
      <c r="AO288" s="1204"/>
      <c r="AP288" s="1178"/>
      <c r="AQ288" s="1178"/>
      <c r="AR288" s="1178"/>
      <c r="AS288" s="1178"/>
      <c r="AT288" s="1178"/>
    </row>
    <row r="289" spans="1:53" s="1169" customFormat="1">
      <c r="A289" s="1164"/>
      <c r="B289" s="1230" t="s">
        <v>64</v>
      </c>
      <c r="C289" s="1206"/>
      <c r="D289" s="1206"/>
      <c r="E289" s="1207">
        <v>4</v>
      </c>
      <c r="F289" s="1207"/>
      <c r="G289" s="1208"/>
      <c r="H289" s="1206"/>
      <c r="I289" s="1206"/>
      <c r="J289" s="1207">
        <v>3.5</v>
      </c>
      <c r="K289" s="1207"/>
      <c r="L289" s="1209"/>
      <c r="M289" s="1206"/>
      <c r="N289" s="1206"/>
      <c r="O289" s="1207">
        <v>4</v>
      </c>
      <c r="P289" s="1207"/>
      <c r="Q289" s="1209"/>
      <c r="R289" s="1206"/>
      <c r="S289" s="1206"/>
      <c r="T289" s="1207">
        <v>4</v>
      </c>
      <c r="U289" s="1207"/>
      <c r="V289" s="1209"/>
      <c r="W289" s="1206"/>
      <c r="X289" s="1206"/>
      <c r="Y289" s="1207">
        <v>4</v>
      </c>
      <c r="Z289" s="1207"/>
      <c r="AA289" s="1203">
        <f>SUM(E289+J289+O289+T289+Y289)</f>
        <v>19.5</v>
      </c>
      <c r="AB289" s="1173">
        <f>Z289+U289+P289+K289+F289</f>
        <v>0</v>
      </c>
      <c r="AC289" s="1166"/>
      <c r="AD289" s="1206"/>
      <c r="AE289" s="1206"/>
      <c r="AF289" s="1207">
        <v>4</v>
      </c>
      <c r="AG289" s="1166"/>
      <c r="AH289" s="1206"/>
      <c r="AI289" s="1206"/>
      <c r="AJ289" s="1207">
        <v>3.25</v>
      </c>
      <c r="AK289" s="1203">
        <f>AJ289+AF289</f>
        <v>7.25</v>
      </c>
      <c r="AL289" s="1166"/>
      <c r="AM289" s="1168"/>
      <c r="AO289" s="1204"/>
      <c r="AP289" s="1178"/>
      <c r="AQ289" s="1178"/>
      <c r="AR289" s="1178"/>
      <c r="AS289" s="1178"/>
      <c r="AT289" s="1178"/>
    </row>
    <row r="290" spans="1:53" s="1169" customFormat="1">
      <c r="A290" s="1164"/>
      <c r="B290" s="1208" t="s">
        <v>66</v>
      </c>
      <c r="C290" s="1210"/>
      <c r="D290" s="1210"/>
      <c r="E290" s="1208"/>
      <c r="F290" s="1208"/>
      <c r="G290" s="1208"/>
      <c r="H290" s="1208"/>
      <c r="I290" s="1208"/>
      <c r="J290" s="1208"/>
      <c r="K290" s="1208"/>
      <c r="L290" s="1208"/>
      <c r="M290" s="1208"/>
      <c r="N290" s="1208"/>
      <c r="O290" s="1208"/>
      <c r="P290" s="1208"/>
      <c r="Q290" s="1208"/>
      <c r="R290" s="1208"/>
      <c r="S290" s="1208"/>
      <c r="T290" s="1208"/>
      <c r="U290" s="1208"/>
      <c r="V290" s="1208"/>
      <c r="W290" s="1208"/>
      <c r="X290" s="1208"/>
      <c r="Y290" s="1208"/>
      <c r="Z290" s="1208"/>
      <c r="AA290" s="1202">
        <f>SUM(AA289:AA289)</f>
        <v>19.5</v>
      </c>
      <c r="AB290" s="1203">
        <f>SUM(AB289:AB289)</f>
        <v>0</v>
      </c>
      <c r="AC290" s="1166"/>
      <c r="AG290" s="1166"/>
      <c r="AK290" s="1229">
        <f>SUM(AK289:AK289)</f>
        <v>7.25</v>
      </c>
      <c r="AL290" s="1166"/>
      <c r="AM290" s="1168"/>
      <c r="AO290" s="1204"/>
      <c r="AP290" s="1178"/>
      <c r="AQ290" s="1178"/>
      <c r="AR290" s="1178"/>
      <c r="AS290" s="1178"/>
      <c r="AT290" s="1178"/>
    </row>
    <row r="291" spans="1:53" s="1169" customFormat="1">
      <c r="A291" s="1164"/>
      <c r="B291" s="1212" t="s">
        <v>67</v>
      </c>
      <c r="C291" s="1213">
        <f>5+3+3+5+4+4+1</f>
        <v>25</v>
      </c>
      <c r="D291" s="1214"/>
      <c r="E291" s="1215"/>
      <c r="F291" s="1215"/>
      <c r="G291" s="1214"/>
      <c r="H291" s="1215"/>
      <c r="I291" s="1215"/>
      <c r="J291" s="1215"/>
      <c r="K291" s="1215"/>
      <c r="L291" s="1214"/>
      <c r="M291" s="1214"/>
      <c r="N291" s="1214"/>
      <c r="O291" s="1214"/>
      <c r="P291" s="1215"/>
      <c r="Q291" s="1214"/>
      <c r="R291" s="1214"/>
      <c r="S291" s="1214"/>
      <c r="T291" s="1214"/>
      <c r="U291" s="1215"/>
      <c r="V291" s="1214"/>
      <c r="W291" s="1214"/>
      <c r="X291" s="1214"/>
      <c r="Y291" s="1216"/>
      <c r="Z291" s="1215"/>
      <c r="AA291" s="1217"/>
      <c r="AB291" s="1215"/>
      <c r="AC291" s="1217"/>
      <c r="AD291" s="1217"/>
      <c r="AE291" s="1217"/>
      <c r="AF291" s="1217"/>
      <c r="AG291" s="1166"/>
      <c r="AH291" s="1217"/>
      <c r="AI291" s="1217"/>
      <c r="AJ291" s="1217"/>
      <c r="AK291" s="1217"/>
      <c r="AL291" s="1166"/>
      <c r="AM291" s="1168"/>
      <c r="AO291" s="1178"/>
      <c r="AP291" s="1178"/>
      <c r="AQ291" s="1178"/>
      <c r="AR291" s="1178"/>
      <c r="AS291" s="1178"/>
      <c r="AT291" s="1178"/>
    </row>
    <row r="292" spans="1:53" s="180" customFormat="1">
      <c r="A292" s="313"/>
      <c r="E292" s="4"/>
      <c r="F292" s="644"/>
      <c r="G292" s="4"/>
      <c r="J292" s="4"/>
      <c r="K292" s="644"/>
      <c r="L292" s="4"/>
      <c r="O292" s="4"/>
      <c r="P292" s="644"/>
      <c r="Q292" s="4"/>
      <c r="T292" s="4"/>
      <c r="U292" s="644"/>
      <c r="V292" s="4"/>
      <c r="Y292" s="4"/>
      <c r="Z292" s="644"/>
      <c r="AA292" s="4"/>
      <c r="AB292" s="4"/>
      <c r="AC292" s="4"/>
      <c r="AG292" s="4"/>
      <c r="AL292" s="4"/>
      <c r="AM292" s="255"/>
      <c r="AO292" s="193"/>
      <c r="AP292" s="193"/>
      <c r="AQ292" s="193"/>
      <c r="AR292" s="193"/>
      <c r="AS292" s="193"/>
      <c r="AT292" s="193"/>
    </row>
    <row r="293" spans="1:53" s="180" customFormat="1">
      <c r="A293" s="313"/>
      <c r="B293" s="229"/>
      <c r="C293" s="230"/>
      <c r="D293" s="230"/>
      <c r="E293" s="232"/>
      <c r="F293" s="232"/>
      <c r="G293" s="230"/>
      <c r="H293" s="232"/>
      <c r="I293" s="232"/>
      <c r="J293" s="232"/>
      <c r="K293" s="232"/>
      <c r="L293" s="230"/>
      <c r="M293" s="230"/>
      <c r="N293" s="230"/>
      <c r="O293" s="230"/>
      <c r="P293" s="232"/>
      <c r="Q293" s="230"/>
      <c r="R293" s="230"/>
      <c r="S293" s="230"/>
      <c r="T293" s="230"/>
      <c r="U293" s="232"/>
      <c r="V293" s="230"/>
      <c r="W293" s="230"/>
      <c r="X293" s="230"/>
      <c r="Y293" s="233"/>
      <c r="Z293" s="232"/>
      <c r="AA293" s="234"/>
      <c r="AB293" s="232"/>
      <c r="AC293" s="373"/>
      <c r="AD293" s="236"/>
      <c r="AE293" s="255"/>
      <c r="AF293" s="255"/>
      <c r="AG293" s="255"/>
      <c r="AH293" s="236"/>
      <c r="AI293" s="255"/>
      <c r="AJ293" s="255"/>
      <c r="AK293" s="255"/>
      <c r="AL293" s="255"/>
      <c r="AM293" s="255"/>
      <c r="AN293" s="255"/>
      <c r="AO293" s="255"/>
      <c r="AP293" s="255"/>
      <c r="AQ293" s="255"/>
      <c r="AR293" s="255"/>
      <c r="AS293" s="255"/>
      <c r="AT293" s="255"/>
    </row>
    <row r="294" spans="1:53" s="180" customFormat="1">
      <c r="A294" s="313"/>
      <c r="E294" s="4"/>
      <c r="F294" s="644"/>
      <c r="G294" s="4"/>
      <c r="J294" s="4"/>
      <c r="K294" s="644"/>
      <c r="L294" s="4"/>
      <c r="O294" s="4"/>
      <c r="P294" s="644"/>
      <c r="Q294" s="4"/>
      <c r="T294" s="4"/>
      <c r="U294" s="644"/>
      <c r="V294" s="4"/>
      <c r="Y294" s="4"/>
      <c r="Z294" s="644"/>
      <c r="AA294" s="4"/>
      <c r="AB294" s="4"/>
      <c r="AC294" s="4"/>
      <c r="AG294" s="4"/>
      <c r="AL294" s="4"/>
      <c r="AM294" s="255"/>
      <c r="AO294" s="193"/>
      <c r="AP294" s="193"/>
      <c r="AQ294" s="193"/>
      <c r="AR294" s="193"/>
      <c r="AS294" s="193"/>
      <c r="AT294" s="193"/>
    </row>
    <row r="295" spans="1:53" s="1169" customFormat="1" ht="13.5" customHeight="1">
      <c r="A295" s="1164"/>
      <c r="B295" s="1608" t="s">
        <v>18</v>
      </c>
      <c r="C295" s="1574">
        <v>45929</v>
      </c>
      <c r="D295" s="1574"/>
      <c r="E295" s="1574" t="s">
        <v>564</v>
      </c>
      <c r="F295" s="1574"/>
      <c r="G295" s="1165"/>
      <c r="H295" s="1574">
        <v>45930</v>
      </c>
      <c r="I295" s="1574"/>
      <c r="J295" s="1574" t="s">
        <v>565</v>
      </c>
      <c r="K295" s="1574"/>
      <c r="L295" s="1165"/>
      <c r="M295" s="1574">
        <v>45931</v>
      </c>
      <c r="N295" s="1574"/>
      <c r="O295" s="1574" t="s">
        <v>566</v>
      </c>
      <c r="P295" s="1574"/>
      <c r="Q295" s="1165"/>
      <c r="R295" s="1574">
        <v>45932</v>
      </c>
      <c r="S295" s="1574"/>
      <c r="T295" s="1574" t="s">
        <v>567</v>
      </c>
      <c r="U295" s="1574"/>
      <c r="V295" s="1165"/>
      <c r="W295" s="1574">
        <v>45933</v>
      </c>
      <c r="X295" s="1574"/>
      <c r="Y295" s="1574" t="s">
        <v>568</v>
      </c>
      <c r="Z295" s="1574"/>
      <c r="AA295" s="1575" t="s">
        <v>19</v>
      </c>
      <c r="AB295" s="1575" t="s">
        <v>20</v>
      </c>
      <c r="AC295" s="1166"/>
      <c r="AD295" s="1574">
        <v>45934</v>
      </c>
      <c r="AE295" s="1574"/>
      <c r="AF295" s="1167" t="s">
        <v>569</v>
      </c>
      <c r="AG295" s="1166"/>
      <c r="AH295" s="1574">
        <v>45935</v>
      </c>
      <c r="AI295" s="1574"/>
      <c r="AJ295" s="1167" t="s">
        <v>570</v>
      </c>
      <c r="AK295" s="1575" t="s">
        <v>1420</v>
      </c>
      <c r="AL295" s="1166"/>
      <c r="AM295" s="1168"/>
      <c r="AO295" s="1170" t="s">
        <v>84</v>
      </c>
      <c r="AP295" s="1171"/>
      <c r="AQ295" s="1171"/>
      <c r="AR295" s="1171"/>
      <c r="AS295" s="1171"/>
      <c r="AT295" s="1171"/>
    </row>
    <row r="296" spans="1:53" s="1169" customFormat="1">
      <c r="A296" s="1164"/>
      <c r="B296" s="1608"/>
      <c r="C296" s="1172" t="s">
        <v>23</v>
      </c>
      <c r="D296" s="1172" t="s">
        <v>24</v>
      </c>
      <c r="E296" s="1173" t="s">
        <v>25</v>
      </c>
      <c r="F296" s="1174" t="s">
        <v>14</v>
      </c>
      <c r="G296" s="1166"/>
      <c r="H296" s="1172" t="s">
        <v>23</v>
      </c>
      <c r="I296" s="1172" t="s">
        <v>24</v>
      </c>
      <c r="J296" s="1174" t="s">
        <v>25</v>
      </c>
      <c r="K296" s="1174" t="s">
        <v>14</v>
      </c>
      <c r="L296" s="1166"/>
      <c r="M296" s="1172" t="s">
        <v>23</v>
      </c>
      <c r="N296" s="1172" t="s">
        <v>24</v>
      </c>
      <c r="O296" s="1174" t="s">
        <v>25</v>
      </c>
      <c r="P296" s="1174" t="s">
        <v>14</v>
      </c>
      <c r="Q296" s="1166"/>
      <c r="R296" s="1172" t="s">
        <v>23</v>
      </c>
      <c r="S296" s="1172" t="s">
        <v>24</v>
      </c>
      <c r="T296" s="1174" t="s">
        <v>25</v>
      </c>
      <c r="U296" s="1174" t="s">
        <v>14</v>
      </c>
      <c r="V296" s="1166"/>
      <c r="W296" s="1172" t="s">
        <v>23</v>
      </c>
      <c r="X296" s="1172" t="s">
        <v>24</v>
      </c>
      <c r="Y296" s="1174" t="s">
        <v>25</v>
      </c>
      <c r="Z296" s="1174" t="s">
        <v>14</v>
      </c>
      <c r="AA296" s="1575"/>
      <c r="AB296" s="1575"/>
      <c r="AC296" s="1166"/>
      <c r="AD296" s="1172" t="s">
        <v>23</v>
      </c>
      <c r="AE296" s="1172" t="s">
        <v>24</v>
      </c>
      <c r="AF296" s="1174" t="s">
        <v>25</v>
      </c>
      <c r="AG296" s="1166"/>
      <c r="AH296" s="1172" t="s">
        <v>23</v>
      </c>
      <c r="AI296" s="1172" t="s">
        <v>24</v>
      </c>
      <c r="AJ296" s="1174" t="s">
        <v>25</v>
      </c>
      <c r="AK296" s="1575"/>
      <c r="AL296" s="1166"/>
      <c r="AM296" s="1168"/>
      <c r="AO296" s="1175" t="s">
        <v>26</v>
      </c>
      <c r="AP296" s="1176">
        <f>AA312</f>
        <v>155.75</v>
      </c>
      <c r="AQ296" s="1177">
        <v>40.31</v>
      </c>
      <c r="AR296" s="1177">
        <f t="shared" ref="AR296:AR301" si="71">AP296*AQ296</f>
        <v>6278.2825000000003</v>
      </c>
      <c r="AS296" s="1178"/>
      <c r="AT296" s="1178"/>
    </row>
    <row r="297" spans="1:53" s="1169" customFormat="1" ht="13.5" customHeight="1">
      <c r="A297" s="1164"/>
      <c r="B297" s="1166" t="s">
        <v>1064</v>
      </c>
      <c r="C297" s="1206"/>
      <c r="D297" s="1206"/>
      <c r="E297" s="1207"/>
      <c r="F297" s="1201"/>
      <c r="G297" s="1166"/>
      <c r="H297" s="1206">
        <v>0.125</v>
      </c>
      <c r="I297" s="1206"/>
      <c r="J297" s="1207">
        <v>6</v>
      </c>
      <c r="K297" s="1201"/>
      <c r="L297" s="1166"/>
      <c r="M297" s="1206">
        <v>0.47916666666666669</v>
      </c>
      <c r="N297" s="1206"/>
      <c r="O297" s="1207">
        <v>6</v>
      </c>
      <c r="P297" s="1201"/>
      <c r="Q297" s="1166"/>
      <c r="R297" s="1206">
        <v>0.41666666666666669</v>
      </c>
      <c r="S297" s="1206"/>
      <c r="T297" s="1207">
        <v>6</v>
      </c>
      <c r="U297" s="1201"/>
      <c r="V297" s="1166"/>
      <c r="W297" s="1206">
        <v>0.52083333333333337</v>
      </c>
      <c r="X297" s="1206"/>
      <c r="Y297" s="1207">
        <v>6</v>
      </c>
      <c r="Z297" s="1201"/>
      <c r="AA297" s="1203">
        <f>(E297+J297+O297+T297+Y297)</f>
        <v>24</v>
      </c>
      <c r="AB297" s="1225">
        <f>Z297+U297+P297+K297+F297</f>
        <v>0</v>
      </c>
      <c r="AC297" s="1166"/>
      <c r="AD297" s="1206">
        <v>0.47916666666666669</v>
      </c>
      <c r="AE297" s="1206">
        <v>0.27083333333333331</v>
      </c>
      <c r="AF297" s="1207">
        <v>7</v>
      </c>
      <c r="AG297" s="1166"/>
      <c r="AH297" s="1206">
        <v>0.5</v>
      </c>
      <c r="AI297" s="1206">
        <v>0.15625</v>
      </c>
      <c r="AJ297" s="1207">
        <v>6</v>
      </c>
      <c r="AK297" s="1203">
        <f t="shared" ref="AK297:AK311" si="72">AJ297+AF297</f>
        <v>13</v>
      </c>
      <c r="AL297" s="1166"/>
      <c r="AM297" s="1168"/>
      <c r="AO297" s="1175" t="s">
        <v>30</v>
      </c>
      <c r="AP297" s="1176">
        <f>AB312</f>
        <v>4.25</v>
      </c>
      <c r="AQ297" s="1177">
        <v>60.465000000000003</v>
      </c>
      <c r="AR297" s="1177">
        <f t="shared" si="71"/>
        <v>256.97624999999999</v>
      </c>
      <c r="AS297" s="1178"/>
      <c r="AT297" s="1178"/>
    </row>
    <row r="298" spans="1:53" s="1169" customFormat="1">
      <c r="A298" s="1164"/>
      <c r="B298" s="1206" t="s">
        <v>1441</v>
      </c>
      <c r="C298" s="1206">
        <v>0.40625</v>
      </c>
      <c r="D298" s="1206">
        <v>0.25</v>
      </c>
      <c r="E298" s="1207">
        <v>8</v>
      </c>
      <c r="F298" s="1201">
        <v>0.25</v>
      </c>
      <c r="G298" s="1166"/>
      <c r="H298" s="1206"/>
      <c r="I298" s="1206">
        <v>0.26041666666666669</v>
      </c>
      <c r="J298" s="1207">
        <v>8</v>
      </c>
      <c r="K298" s="1201"/>
      <c r="L298" s="1166"/>
      <c r="M298" s="1206">
        <v>0.41666666666666669</v>
      </c>
      <c r="N298" s="1206">
        <v>0.25</v>
      </c>
      <c r="O298" s="1207">
        <v>8</v>
      </c>
      <c r="P298" s="1201"/>
      <c r="Q298" s="1166"/>
      <c r="R298" s="1206"/>
      <c r="S298" s="1206"/>
      <c r="T298" s="1207"/>
      <c r="U298" s="1201"/>
      <c r="V298" s="1166"/>
      <c r="W298" s="1206"/>
      <c r="X298" s="1206"/>
      <c r="Y298" s="1207"/>
      <c r="Z298" s="1201"/>
      <c r="AA298" s="1203">
        <f t="shared" ref="AA298:AA311" si="73">(E298+J298+O298+T298+Y298)</f>
        <v>24</v>
      </c>
      <c r="AB298" s="1225">
        <f t="shared" ref="AB298:AB311" si="74">Z298+U298+P298+K298+F298</f>
        <v>0.25</v>
      </c>
      <c r="AC298" s="1166"/>
      <c r="AD298" s="1206"/>
      <c r="AE298" s="1206"/>
      <c r="AF298" s="1207"/>
      <c r="AG298" s="1166"/>
      <c r="AH298" s="1206"/>
      <c r="AI298" s="1206"/>
      <c r="AJ298" s="1207"/>
      <c r="AK298" s="1203">
        <f t="shared" si="72"/>
        <v>0</v>
      </c>
      <c r="AL298" s="1166"/>
      <c r="AM298" s="1168"/>
      <c r="AO298" s="1175" t="s">
        <v>32</v>
      </c>
      <c r="AP298" s="1176">
        <f>AK312</f>
        <v>39.5</v>
      </c>
      <c r="AQ298" s="1177">
        <v>60.465000000000003</v>
      </c>
      <c r="AR298" s="1177">
        <f t="shared" si="71"/>
        <v>2388.3675000000003</v>
      </c>
      <c r="AS298" s="1178"/>
      <c r="AT298" s="1178"/>
    </row>
    <row r="299" spans="1:53" s="1178" customFormat="1">
      <c r="A299" s="1164"/>
      <c r="B299" s="1206" t="s">
        <v>1444</v>
      </c>
      <c r="C299" s="1206">
        <v>0.47916666666666669</v>
      </c>
      <c r="D299" s="1206"/>
      <c r="E299" s="1207"/>
      <c r="F299" s="1201"/>
      <c r="G299" s="1166"/>
      <c r="H299" s="1206">
        <v>0.47916666666666669</v>
      </c>
      <c r="I299" s="1206"/>
      <c r="J299" s="1207">
        <v>6</v>
      </c>
      <c r="K299" s="1201"/>
      <c r="L299" s="1166"/>
      <c r="M299" s="1206"/>
      <c r="N299" s="1206"/>
      <c r="O299" s="1207"/>
      <c r="P299" s="1201"/>
      <c r="Q299" s="1166"/>
      <c r="R299" s="1206"/>
      <c r="S299" s="1206"/>
      <c r="T299" s="1207"/>
      <c r="U299" s="1201"/>
      <c r="V299" s="1166"/>
      <c r="W299" s="1206"/>
      <c r="X299" s="1206"/>
      <c r="Y299" s="1207"/>
      <c r="Z299" s="1201"/>
      <c r="AA299" s="1203">
        <f t="shared" si="73"/>
        <v>6</v>
      </c>
      <c r="AB299" s="1225">
        <f t="shared" si="74"/>
        <v>0</v>
      </c>
      <c r="AC299" s="1166"/>
      <c r="AD299" s="1206"/>
      <c r="AE299" s="1206"/>
      <c r="AF299" s="1207"/>
      <c r="AG299" s="1166"/>
      <c r="AH299" s="1206"/>
      <c r="AI299" s="1206"/>
      <c r="AJ299" s="1207"/>
      <c r="AK299" s="1203">
        <f t="shared" si="72"/>
        <v>0</v>
      </c>
      <c r="AL299" s="1166"/>
      <c r="AM299" s="1168"/>
      <c r="AN299" s="1169"/>
      <c r="AO299" s="1175" t="s">
        <v>213</v>
      </c>
      <c r="AP299" s="1176">
        <f>AA313</f>
        <v>20</v>
      </c>
      <c r="AQ299" s="1177">
        <v>53.05</v>
      </c>
      <c r="AR299" s="1177">
        <f t="shared" si="71"/>
        <v>1061</v>
      </c>
      <c r="AU299" s="1169"/>
      <c r="AV299" s="1169"/>
      <c r="AW299" s="1169"/>
      <c r="AX299" s="1169"/>
      <c r="AY299" s="1169"/>
      <c r="AZ299" s="1169"/>
      <c r="BA299" s="1169"/>
    </row>
    <row r="300" spans="1:53" s="1178" customFormat="1">
      <c r="A300" s="1164"/>
      <c r="B300" s="1210" t="s">
        <v>1447</v>
      </c>
      <c r="C300" s="1206">
        <v>0.47916666666666669</v>
      </c>
      <c r="D300" s="1206">
        <v>0.22916666666666666</v>
      </c>
      <c r="E300" s="1207">
        <v>6</v>
      </c>
      <c r="F300" s="1201"/>
      <c r="G300" s="1206"/>
      <c r="H300" s="1206">
        <v>0.125</v>
      </c>
      <c r="I300" s="1206">
        <v>0.375</v>
      </c>
      <c r="J300" s="1207">
        <v>6</v>
      </c>
      <c r="K300" s="1201"/>
      <c r="L300" s="1166"/>
      <c r="M300" s="1206">
        <v>0.29166666666666669</v>
      </c>
      <c r="N300" s="1206">
        <v>0.22916666666666666</v>
      </c>
      <c r="O300" s="1207">
        <v>8</v>
      </c>
      <c r="P300" s="1201">
        <v>1.5</v>
      </c>
      <c r="Q300" s="1166"/>
      <c r="R300" s="1206">
        <v>0.4375</v>
      </c>
      <c r="S300" s="1206">
        <v>0.41666666666666669</v>
      </c>
      <c r="T300" s="1207">
        <v>8</v>
      </c>
      <c r="U300" s="1201">
        <v>2.5</v>
      </c>
      <c r="V300" s="1166"/>
      <c r="W300" s="1206"/>
      <c r="X300" s="1206"/>
      <c r="Y300" s="1207"/>
      <c r="Z300" s="1201"/>
      <c r="AA300" s="1203">
        <f t="shared" si="73"/>
        <v>28</v>
      </c>
      <c r="AB300" s="1225">
        <f t="shared" si="74"/>
        <v>4</v>
      </c>
      <c r="AC300" s="1166"/>
      <c r="AD300" s="1206">
        <v>0.47916666666666669</v>
      </c>
      <c r="AE300" s="1206">
        <v>0.27083333333333331</v>
      </c>
      <c r="AF300" s="1207">
        <v>7</v>
      </c>
      <c r="AG300" s="1166"/>
      <c r="AH300" s="1226"/>
      <c r="AI300" s="1206"/>
      <c r="AJ300" s="1207"/>
      <c r="AK300" s="1203">
        <f t="shared" si="72"/>
        <v>7</v>
      </c>
      <c r="AL300" s="1166"/>
      <c r="AM300" s="1168"/>
      <c r="AN300" s="1169"/>
      <c r="AO300" s="1175" t="s">
        <v>36</v>
      </c>
      <c r="AP300" s="1176">
        <f>AB313</f>
        <v>0.5</v>
      </c>
      <c r="AQ300" s="1177">
        <v>79.574999999999989</v>
      </c>
      <c r="AR300" s="1177">
        <f t="shared" si="71"/>
        <v>39.787499999999994</v>
      </c>
      <c r="AU300" s="1169"/>
      <c r="AV300" s="1169"/>
      <c r="AW300" s="1169"/>
      <c r="AX300" s="1169"/>
      <c r="AY300" s="1169"/>
      <c r="AZ300" s="1169"/>
      <c r="BA300" s="1169"/>
    </row>
    <row r="301" spans="1:53" s="1178" customFormat="1">
      <c r="A301" s="1164"/>
      <c r="B301" s="1210" t="s">
        <v>1141</v>
      </c>
      <c r="C301" s="1206">
        <v>0.52083333333333337</v>
      </c>
      <c r="D301" s="1206">
        <v>0.28125</v>
      </c>
      <c r="E301" s="1207">
        <v>6.25</v>
      </c>
      <c r="F301" s="1201"/>
      <c r="G301" s="1166"/>
      <c r="H301" s="1206">
        <v>0.125</v>
      </c>
      <c r="I301" s="1206">
        <v>0.25</v>
      </c>
      <c r="J301" s="1207">
        <v>6</v>
      </c>
      <c r="K301" s="1201"/>
      <c r="L301" s="1166"/>
      <c r="M301" s="1206">
        <v>0.5</v>
      </c>
      <c r="N301" s="1206">
        <v>0.25</v>
      </c>
      <c r="O301" s="1207">
        <v>6</v>
      </c>
      <c r="P301" s="1201"/>
      <c r="Q301" s="1166"/>
      <c r="R301" s="1206">
        <v>0.52083333333333337</v>
      </c>
      <c r="S301" s="1206">
        <v>0.25</v>
      </c>
      <c r="T301" s="1207">
        <v>5.5</v>
      </c>
      <c r="U301" s="1201"/>
      <c r="V301" s="1166"/>
      <c r="W301" s="1206">
        <v>0.52083333333333337</v>
      </c>
      <c r="X301" s="1206">
        <v>0.27083333333333331</v>
      </c>
      <c r="Y301" s="1207">
        <v>6</v>
      </c>
      <c r="Z301" s="1201"/>
      <c r="AA301" s="1203">
        <f t="shared" si="73"/>
        <v>29.75</v>
      </c>
      <c r="AB301" s="1225">
        <f t="shared" si="74"/>
        <v>0</v>
      </c>
      <c r="AC301" s="1166"/>
      <c r="AD301" s="1206"/>
      <c r="AE301" s="1206"/>
      <c r="AF301" s="1207"/>
      <c r="AG301" s="1166"/>
      <c r="AH301" s="1206"/>
      <c r="AI301" s="1206"/>
      <c r="AJ301" s="1207"/>
      <c r="AK301" s="1203">
        <f t="shared" si="72"/>
        <v>0</v>
      </c>
      <c r="AL301" s="1166"/>
      <c r="AM301" s="1168"/>
      <c r="AN301" s="1169"/>
      <c r="AO301" s="1175" t="s">
        <v>38</v>
      </c>
      <c r="AP301" s="1176">
        <f>AK313</f>
        <v>11.75</v>
      </c>
      <c r="AQ301" s="1177">
        <v>79.574999999999989</v>
      </c>
      <c r="AR301" s="1177">
        <f t="shared" si="71"/>
        <v>935.00624999999991</v>
      </c>
      <c r="AU301" s="1169"/>
      <c r="AV301" s="1169"/>
      <c r="AW301" s="1169"/>
      <c r="AX301" s="1169"/>
      <c r="AY301" s="1169"/>
      <c r="AZ301" s="1169"/>
      <c r="BA301" s="1169"/>
    </row>
    <row r="302" spans="1:53" s="1178" customFormat="1">
      <c r="A302" s="1164"/>
      <c r="B302" s="1210" t="s">
        <v>1140</v>
      </c>
      <c r="C302" s="1206"/>
      <c r="D302" s="1206"/>
      <c r="E302" s="1207"/>
      <c r="F302" s="1201"/>
      <c r="G302" s="1166"/>
      <c r="H302" s="1206"/>
      <c r="I302" s="1206"/>
      <c r="J302" s="1207"/>
      <c r="K302" s="1201"/>
      <c r="L302" s="1166"/>
      <c r="M302" s="1235"/>
      <c r="N302" s="1235"/>
      <c r="O302" s="1207">
        <v>8</v>
      </c>
      <c r="P302" s="1201"/>
      <c r="Q302" s="1166"/>
      <c r="R302" s="1206">
        <v>0.125</v>
      </c>
      <c r="S302" s="1206">
        <v>0.375</v>
      </c>
      <c r="T302" s="1207">
        <v>6</v>
      </c>
      <c r="U302" s="1201"/>
      <c r="V302" s="1166"/>
      <c r="W302" s="1206">
        <v>0.47916666666666669</v>
      </c>
      <c r="X302" s="1206">
        <v>0.22916666666666666</v>
      </c>
      <c r="Y302" s="1207">
        <v>6</v>
      </c>
      <c r="Z302" s="1201"/>
      <c r="AA302" s="1203">
        <f t="shared" si="73"/>
        <v>20</v>
      </c>
      <c r="AB302" s="1225">
        <f t="shared" si="74"/>
        <v>0</v>
      </c>
      <c r="AC302" s="1166"/>
      <c r="AD302" s="1206">
        <v>0.30208333333333331</v>
      </c>
      <c r="AE302" s="1206">
        <v>0.16666666666666666</v>
      </c>
      <c r="AF302" s="1207">
        <v>9.5</v>
      </c>
      <c r="AG302" s="1166"/>
      <c r="AH302" s="1206"/>
      <c r="AI302" s="1206"/>
      <c r="AJ302" s="1207"/>
      <c r="AK302" s="1203">
        <f t="shared" si="72"/>
        <v>9.5</v>
      </c>
      <c r="AL302" s="1166"/>
      <c r="AM302" s="1168"/>
      <c r="AN302" s="1169"/>
      <c r="AP302" s="1176"/>
      <c r="AR302" s="1227">
        <f>SUM(AR296:AR301)</f>
        <v>10959.420000000002</v>
      </c>
      <c r="AU302" s="1169"/>
      <c r="AV302" s="1169"/>
      <c r="AW302" s="1169"/>
      <c r="AX302" s="1169"/>
      <c r="AY302" s="1169"/>
      <c r="AZ302" s="1169"/>
      <c r="BA302" s="1169"/>
    </row>
    <row r="303" spans="1:53" s="1178" customFormat="1">
      <c r="A303" s="1164"/>
      <c r="B303" s="1210" t="s">
        <v>53</v>
      </c>
      <c r="C303" s="1206"/>
      <c r="D303" s="1206"/>
      <c r="E303" s="1207"/>
      <c r="F303" s="1201"/>
      <c r="G303" s="1166"/>
      <c r="H303" s="1206"/>
      <c r="I303" s="1206"/>
      <c r="J303" s="1207"/>
      <c r="K303" s="1201"/>
      <c r="L303" s="1166"/>
      <c r="M303" s="1206"/>
      <c r="N303" s="1206"/>
      <c r="O303" s="1207"/>
      <c r="P303" s="1201"/>
      <c r="Q303" s="1166"/>
      <c r="R303" s="1169"/>
      <c r="S303" s="1206"/>
      <c r="T303" s="1207"/>
      <c r="U303" s="1201"/>
      <c r="V303" s="1166"/>
      <c r="W303" s="1206"/>
      <c r="X303" s="1206"/>
      <c r="Y303" s="1207"/>
      <c r="Z303" s="1201"/>
      <c r="AA303" s="1203">
        <f t="shared" si="73"/>
        <v>0</v>
      </c>
      <c r="AB303" s="1225">
        <f t="shared" si="74"/>
        <v>0</v>
      </c>
      <c r="AC303" s="1166"/>
      <c r="AD303" s="1206"/>
      <c r="AE303" s="1206"/>
      <c r="AF303" s="1207"/>
      <c r="AG303" s="1166"/>
      <c r="AH303" s="1226"/>
      <c r="AI303" s="1206"/>
      <c r="AJ303" s="1207"/>
      <c r="AK303" s="1203">
        <f t="shared" si="72"/>
        <v>0</v>
      </c>
      <c r="AL303" s="1166"/>
      <c r="AM303" s="1168"/>
      <c r="AN303" s="1169"/>
      <c r="AP303" s="1176"/>
      <c r="AU303" s="1169"/>
      <c r="AV303" s="1169"/>
      <c r="AW303" s="1169"/>
      <c r="AX303" s="1169"/>
      <c r="AY303" s="1169"/>
      <c r="AZ303" s="1169"/>
      <c r="BA303" s="1169"/>
    </row>
    <row r="304" spans="1:53" s="1178" customFormat="1">
      <c r="A304" s="1164"/>
      <c r="B304" s="1210" t="s">
        <v>1455</v>
      </c>
      <c r="C304" s="1206"/>
      <c r="D304" s="1206"/>
      <c r="E304" s="1207"/>
      <c r="F304" s="1201"/>
      <c r="G304" s="1166"/>
      <c r="H304" s="1206"/>
      <c r="I304" s="1206"/>
      <c r="J304" s="1207"/>
      <c r="K304" s="1201"/>
      <c r="L304" s="1166"/>
      <c r="M304" s="1206"/>
      <c r="N304" s="1206"/>
      <c r="O304" s="1207"/>
      <c r="P304" s="1201"/>
      <c r="Q304" s="1166"/>
      <c r="R304" s="1206"/>
      <c r="S304" s="1206"/>
      <c r="T304" s="1207"/>
      <c r="U304" s="1201"/>
      <c r="V304" s="1166"/>
      <c r="W304" s="1206"/>
      <c r="X304" s="1206"/>
      <c r="Y304" s="1207"/>
      <c r="Z304" s="1201"/>
      <c r="AA304" s="1203">
        <f t="shared" si="73"/>
        <v>0</v>
      </c>
      <c r="AB304" s="1225">
        <f t="shared" si="74"/>
        <v>0</v>
      </c>
      <c r="AC304" s="1166"/>
      <c r="AD304" s="1206"/>
      <c r="AE304" s="1206"/>
      <c r="AF304" s="1207"/>
      <c r="AG304" s="1166"/>
      <c r="AH304" s="1206"/>
      <c r="AI304" s="1206"/>
      <c r="AJ304" s="1207"/>
      <c r="AK304" s="1203">
        <f t="shared" si="72"/>
        <v>0</v>
      </c>
      <c r="AL304" s="1166"/>
      <c r="AM304" s="1168"/>
      <c r="AN304" s="1169"/>
      <c r="AO304" s="1228" t="s">
        <v>1115</v>
      </c>
      <c r="AP304" s="1176">
        <f>C315</f>
        <v>20</v>
      </c>
      <c r="AU304" s="1169"/>
      <c r="AV304" s="1169"/>
      <c r="AW304" s="1169"/>
      <c r="AX304" s="1169"/>
      <c r="AY304" s="1169"/>
      <c r="AZ304" s="1169"/>
      <c r="BA304" s="1169"/>
    </row>
    <row r="305" spans="1:53" s="1178" customFormat="1">
      <c r="A305" s="1164"/>
      <c r="B305" s="1210" t="s">
        <v>1437</v>
      </c>
      <c r="C305" s="1206"/>
      <c r="D305" s="1206"/>
      <c r="E305" s="1207"/>
      <c r="F305" s="1201"/>
      <c r="G305" s="1166"/>
      <c r="H305" s="1206"/>
      <c r="I305" s="1206"/>
      <c r="J305" s="1207"/>
      <c r="K305" s="1201"/>
      <c r="L305" s="1166"/>
      <c r="M305" s="1206"/>
      <c r="N305" s="1206"/>
      <c r="O305" s="1207"/>
      <c r="P305" s="1201"/>
      <c r="Q305" s="1166"/>
      <c r="R305" s="1206"/>
      <c r="S305" s="1206"/>
      <c r="T305" s="1207"/>
      <c r="U305" s="1201"/>
      <c r="V305" s="1166"/>
      <c r="W305" s="1206"/>
      <c r="X305" s="1206"/>
      <c r="Y305" s="1207"/>
      <c r="Z305" s="1201"/>
      <c r="AA305" s="1203">
        <f t="shared" si="73"/>
        <v>0</v>
      </c>
      <c r="AB305" s="1225">
        <f t="shared" si="74"/>
        <v>0</v>
      </c>
      <c r="AC305" s="1166"/>
      <c r="AD305" s="1206"/>
      <c r="AE305" s="1206"/>
      <c r="AF305" s="1207"/>
      <c r="AG305" s="1166"/>
      <c r="AH305" s="1206"/>
      <c r="AI305" s="1206"/>
      <c r="AJ305" s="1207"/>
      <c r="AK305" s="1203">
        <f t="shared" si="72"/>
        <v>0</v>
      </c>
      <c r="AL305" s="1166"/>
      <c r="AM305" s="1168"/>
      <c r="AN305" s="1169"/>
      <c r="AO305" s="1228"/>
      <c r="AP305" s="1176"/>
      <c r="AU305" s="1169"/>
      <c r="AV305" s="1169"/>
      <c r="AW305" s="1169"/>
      <c r="AX305" s="1169"/>
      <c r="AY305" s="1169"/>
      <c r="AZ305" s="1169"/>
      <c r="BA305" s="1169"/>
    </row>
    <row r="306" spans="1:53" s="1178" customFormat="1">
      <c r="A306" s="1164"/>
      <c r="B306" s="1210" t="s">
        <v>1456</v>
      </c>
      <c r="C306" s="1206"/>
      <c r="D306" s="1206"/>
      <c r="E306" s="1207"/>
      <c r="F306" s="1201"/>
      <c r="G306" s="1166"/>
      <c r="H306" s="1206"/>
      <c r="I306" s="1206"/>
      <c r="J306" s="1207"/>
      <c r="K306" s="1201"/>
      <c r="L306" s="1166"/>
      <c r="M306" s="1206"/>
      <c r="N306" s="1206"/>
      <c r="O306" s="1207"/>
      <c r="P306" s="1201"/>
      <c r="Q306" s="1166"/>
      <c r="R306" s="1206"/>
      <c r="S306" s="1206"/>
      <c r="T306" s="1207"/>
      <c r="U306" s="1201"/>
      <c r="V306" s="1166"/>
      <c r="W306" s="1206"/>
      <c r="X306" s="1206"/>
      <c r="Y306" s="1207"/>
      <c r="Z306" s="1201"/>
      <c r="AA306" s="1203">
        <f t="shared" si="73"/>
        <v>0</v>
      </c>
      <c r="AB306" s="1225">
        <f t="shared" si="74"/>
        <v>0</v>
      </c>
      <c r="AC306" s="1166"/>
      <c r="AD306" s="1206"/>
      <c r="AE306" s="1206"/>
      <c r="AF306" s="1207"/>
      <c r="AG306" s="1166"/>
      <c r="AH306" s="1206"/>
      <c r="AI306" s="1206"/>
      <c r="AJ306" s="1207"/>
      <c r="AK306" s="1203">
        <f t="shared" si="72"/>
        <v>0</v>
      </c>
      <c r="AL306" s="1166"/>
      <c r="AM306" s="1168"/>
      <c r="AN306" s="1169"/>
      <c r="AO306" s="1228"/>
      <c r="AP306" s="1176"/>
      <c r="AU306" s="1169"/>
      <c r="AV306" s="1169"/>
      <c r="AW306" s="1169"/>
      <c r="AX306" s="1169"/>
      <c r="AY306" s="1169"/>
      <c r="AZ306" s="1169"/>
      <c r="BA306" s="1169"/>
    </row>
    <row r="307" spans="1:53" s="1178" customFormat="1">
      <c r="A307" s="1164"/>
      <c r="B307" s="1210" t="s">
        <v>1143</v>
      </c>
      <c r="C307" s="1206"/>
      <c r="D307" s="1206"/>
      <c r="E307" s="1207"/>
      <c r="F307" s="1201"/>
      <c r="G307" s="1166"/>
      <c r="H307" s="1206"/>
      <c r="I307" s="1206"/>
      <c r="J307" s="1207"/>
      <c r="K307" s="1201"/>
      <c r="L307" s="1166"/>
      <c r="M307" s="1206"/>
      <c r="N307" s="1206"/>
      <c r="O307" s="1207"/>
      <c r="P307" s="1201"/>
      <c r="Q307" s="1166"/>
      <c r="R307" s="1206"/>
      <c r="S307" s="1206"/>
      <c r="T307" s="1207"/>
      <c r="U307" s="1201"/>
      <c r="V307" s="1166"/>
      <c r="W307" s="1206"/>
      <c r="X307" s="1206"/>
      <c r="Y307" s="1207"/>
      <c r="Z307" s="1201"/>
      <c r="AA307" s="1203">
        <f t="shared" si="73"/>
        <v>0</v>
      </c>
      <c r="AB307" s="1225">
        <f t="shared" si="74"/>
        <v>0</v>
      </c>
      <c r="AC307" s="1166"/>
      <c r="AD307" s="1206"/>
      <c r="AE307" s="1206"/>
      <c r="AF307" s="1207"/>
      <c r="AG307" s="1166"/>
      <c r="AH307" s="1206">
        <v>0.29166666666666669</v>
      </c>
      <c r="AI307" s="1206">
        <v>0.14583333333333334</v>
      </c>
      <c r="AJ307" s="1207">
        <v>10</v>
      </c>
      <c r="AK307" s="1203">
        <f t="shared" si="72"/>
        <v>10</v>
      </c>
      <c r="AL307" s="1166"/>
      <c r="AM307" s="1168"/>
      <c r="AN307" s="1169"/>
      <c r="AO307" s="1228"/>
      <c r="AP307" s="1176"/>
      <c r="AU307" s="1169"/>
      <c r="AV307" s="1169"/>
      <c r="AW307" s="1169"/>
      <c r="AX307" s="1169"/>
      <c r="AY307" s="1169"/>
      <c r="AZ307" s="1169"/>
      <c r="BA307" s="1169"/>
    </row>
    <row r="308" spans="1:53" s="1178" customFormat="1">
      <c r="A308" s="1164"/>
      <c r="B308" s="1206" t="s">
        <v>1144</v>
      </c>
      <c r="C308" s="1206"/>
      <c r="D308" s="1206"/>
      <c r="E308" s="1207"/>
      <c r="F308" s="1201"/>
      <c r="G308" s="1166"/>
      <c r="H308" s="1206"/>
      <c r="I308" s="1206"/>
      <c r="J308" s="1207"/>
      <c r="K308" s="1201"/>
      <c r="L308" s="1166"/>
      <c r="M308" s="1206"/>
      <c r="N308" s="1206"/>
      <c r="O308" s="1207"/>
      <c r="P308" s="1201"/>
      <c r="Q308" s="1166"/>
      <c r="R308" s="1206"/>
      <c r="S308" s="1206"/>
      <c r="T308" s="1207"/>
      <c r="U308" s="1201"/>
      <c r="V308" s="1166"/>
      <c r="W308" s="1206"/>
      <c r="X308" s="1206"/>
      <c r="Y308" s="1207"/>
      <c r="Z308" s="1201"/>
      <c r="AA308" s="1203">
        <f t="shared" si="73"/>
        <v>0</v>
      </c>
      <c r="AB308" s="1225">
        <f t="shared" si="74"/>
        <v>0</v>
      </c>
      <c r="AC308" s="1166"/>
      <c r="AD308" s="1206"/>
      <c r="AE308" s="1206"/>
      <c r="AF308" s="1207"/>
      <c r="AG308" s="1166"/>
      <c r="AH308" s="1206"/>
      <c r="AI308" s="1206"/>
      <c r="AJ308" s="1207"/>
      <c r="AK308" s="1203">
        <f t="shared" si="72"/>
        <v>0</v>
      </c>
      <c r="AL308" s="1166"/>
      <c r="AM308" s="1168"/>
      <c r="AN308" s="1169"/>
      <c r="AO308" s="1228"/>
      <c r="AP308" s="1176"/>
      <c r="AU308" s="1169"/>
      <c r="AV308" s="1169"/>
      <c r="AW308" s="1169"/>
      <c r="AX308" s="1169"/>
      <c r="AY308" s="1169"/>
      <c r="AZ308" s="1169"/>
      <c r="BA308" s="1169"/>
    </row>
    <row r="309" spans="1:53" s="1178" customFormat="1">
      <c r="A309" s="1164"/>
      <c r="B309" s="1193" t="s">
        <v>1440</v>
      </c>
      <c r="C309" s="1206"/>
      <c r="D309" s="1206"/>
      <c r="E309" s="1207"/>
      <c r="F309" s="1201"/>
      <c r="G309" s="1166"/>
      <c r="H309" s="1206"/>
      <c r="I309" s="1206"/>
      <c r="J309" s="1207"/>
      <c r="K309" s="1201"/>
      <c r="L309" s="1166"/>
      <c r="M309" s="1206"/>
      <c r="N309" s="1206"/>
      <c r="O309" s="1207"/>
      <c r="P309" s="1201"/>
      <c r="Q309" s="1166"/>
      <c r="R309" s="1206"/>
      <c r="S309" s="1206"/>
      <c r="T309" s="1207"/>
      <c r="U309" s="1201"/>
      <c r="V309" s="1166"/>
      <c r="W309" s="1206"/>
      <c r="X309" s="1206"/>
      <c r="Y309" s="1207"/>
      <c r="Z309" s="1201"/>
      <c r="AA309" s="1203">
        <f t="shared" si="73"/>
        <v>0</v>
      </c>
      <c r="AB309" s="1225">
        <f t="shared" si="74"/>
        <v>0</v>
      </c>
      <c r="AC309" s="1166"/>
      <c r="AD309" s="1206"/>
      <c r="AE309" s="1206"/>
      <c r="AF309" s="1207"/>
      <c r="AG309" s="1166"/>
      <c r="AH309" s="1206"/>
      <c r="AI309" s="1206"/>
      <c r="AJ309" s="1207"/>
      <c r="AK309" s="1203">
        <f t="shared" si="72"/>
        <v>0</v>
      </c>
      <c r="AL309" s="1166"/>
      <c r="AM309" s="1168"/>
      <c r="AN309" s="1169"/>
      <c r="AO309" s="1228"/>
      <c r="AP309" s="1176"/>
      <c r="AU309" s="1169"/>
      <c r="AV309" s="1169"/>
      <c r="AW309" s="1169"/>
      <c r="AX309" s="1169"/>
      <c r="AY309" s="1169"/>
      <c r="AZ309" s="1169"/>
      <c r="BA309" s="1169"/>
    </row>
    <row r="310" spans="1:53" s="1178" customFormat="1">
      <c r="A310" s="1164"/>
      <c r="B310" s="1210" t="s">
        <v>1435</v>
      </c>
      <c r="C310" s="1206"/>
      <c r="D310" s="1206"/>
      <c r="E310" s="1207"/>
      <c r="F310" s="1201"/>
      <c r="G310" s="1166"/>
      <c r="H310" s="1206"/>
      <c r="I310" s="1206"/>
      <c r="J310" s="1207"/>
      <c r="K310" s="1201"/>
      <c r="L310" s="1166"/>
      <c r="M310" s="1206"/>
      <c r="N310" s="1206"/>
      <c r="O310" s="1207"/>
      <c r="P310" s="1201"/>
      <c r="Q310" s="1166"/>
      <c r="R310" s="1206"/>
      <c r="S310" s="1206"/>
      <c r="T310" s="1207"/>
      <c r="U310" s="1201"/>
      <c r="V310" s="1166"/>
      <c r="W310" s="1206"/>
      <c r="X310" s="1206"/>
      <c r="Y310" s="1207"/>
      <c r="Z310" s="1201"/>
      <c r="AA310" s="1203">
        <f t="shared" si="73"/>
        <v>0</v>
      </c>
      <c r="AB310" s="1225">
        <f t="shared" si="74"/>
        <v>0</v>
      </c>
      <c r="AC310" s="1166"/>
      <c r="AD310" s="1206"/>
      <c r="AE310" s="1206"/>
      <c r="AF310" s="1207"/>
      <c r="AG310" s="1166"/>
      <c r="AH310" s="1206"/>
      <c r="AI310" s="1206"/>
      <c r="AJ310" s="1207"/>
      <c r="AK310" s="1203">
        <f t="shared" si="72"/>
        <v>0</v>
      </c>
      <c r="AL310" s="1166"/>
      <c r="AM310" s="1168"/>
      <c r="AN310" s="1169"/>
      <c r="AO310" s="1228"/>
      <c r="AP310" s="1176"/>
      <c r="AU310" s="1169"/>
      <c r="AV310" s="1169"/>
      <c r="AW310" s="1169"/>
      <c r="AX310" s="1169"/>
      <c r="AY310" s="1169"/>
      <c r="AZ310" s="1169"/>
      <c r="BA310" s="1169"/>
    </row>
    <row r="311" spans="1:53" s="1178" customFormat="1">
      <c r="A311" s="1164"/>
      <c r="B311" s="1210" t="s">
        <v>813</v>
      </c>
      <c r="C311" s="1206"/>
      <c r="D311" s="1206"/>
      <c r="E311" s="1207"/>
      <c r="F311" s="1201"/>
      <c r="G311" s="1166"/>
      <c r="H311" s="1206"/>
      <c r="I311" s="1206"/>
      <c r="J311" s="1207"/>
      <c r="K311" s="1201"/>
      <c r="L311" s="1166"/>
      <c r="M311" s="1206"/>
      <c r="N311" s="1206"/>
      <c r="O311" s="1207">
        <v>8</v>
      </c>
      <c r="P311" s="1201"/>
      <c r="Q311" s="1166"/>
      <c r="R311" s="1206"/>
      <c r="S311" s="1206"/>
      <c r="T311" s="1207">
        <v>8</v>
      </c>
      <c r="U311" s="1201"/>
      <c r="V311" s="1166"/>
      <c r="W311" s="1206"/>
      <c r="X311" s="1206"/>
      <c r="Y311" s="1207">
        <v>8</v>
      </c>
      <c r="Z311" s="1201"/>
      <c r="AA311" s="1203">
        <f t="shared" si="73"/>
        <v>24</v>
      </c>
      <c r="AB311" s="1225">
        <f t="shared" si="74"/>
        <v>0</v>
      </c>
      <c r="AC311" s="1166"/>
      <c r="AD311" s="1206"/>
      <c r="AE311" s="1206"/>
      <c r="AF311" s="1207"/>
      <c r="AG311" s="1166"/>
      <c r="AH311" s="1206"/>
      <c r="AI311" s="1206"/>
      <c r="AJ311" s="1207"/>
      <c r="AK311" s="1203">
        <f t="shared" si="72"/>
        <v>0</v>
      </c>
      <c r="AL311" s="1166"/>
      <c r="AM311" s="1168"/>
      <c r="AN311" s="1169"/>
      <c r="AO311" s="1228"/>
      <c r="AP311" s="1176"/>
      <c r="AU311" s="1169"/>
      <c r="AV311" s="1169"/>
      <c r="AW311" s="1169"/>
      <c r="AX311" s="1169"/>
      <c r="AY311" s="1169"/>
      <c r="AZ311" s="1169"/>
      <c r="BA311" s="1169"/>
    </row>
    <row r="312" spans="1:53" s="1169" customFormat="1">
      <c r="A312" s="1164"/>
      <c r="B312" s="1232" t="s">
        <v>61</v>
      </c>
      <c r="C312" s="1232"/>
      <c r="D312" s="1232"/>
      <c r="E312" s="1233">
        <f>SUM(E297:E310)</f>
        <v>20.25</v>
      </c>
      <c r="F312" s="1201"/>
      <c r="G312" s="1232"/>
      <c r="H312" s="1232"/>
      <c r="I312" s="1232"/>
      <c r="J312" s="1233">
        <f>SUM(J297:J310)</f>
        <v>32</v>
      </c>
      <c r="K312" s="1201"/>
      <c r="L312" s="1232"/>
      <c r="M312" s="1232"/>
      <c r="N312" s="1232"/>
      <c r="O312" s="1233">
        <f>SUM(O297:O310)</f>
        <v>36</v>
      </c>
      <c r="P312" s="1201"/>
      <c r="Q312" s="1232"/>
      <c r="R312" s="1232"/>
      <c r="S312" s="1232"/>
      <c r="T312" s="1233">
        <f>SUM(T297:T310)</f>
        <v>25.5</v>
      </c>
      <c r="U312" s="1201"/>
      <c r="V312" s="1232"/>
      <c r="W312" s="1232"/>
      <c r="X312" s="1232"/>
      <c r="Y312" s="1233">
        <f>SUM(Y297:Y310)</f>
        <v>18</v>
      </c>
      <c r="Z312" s="1201"/>
      <c r="AA312" s="1202">
        <f>SUM(AA297:AA311)</f>
        <v>155.75</v>
      </c>
      <c r="AB312" s="1229">
        <f>SUM(AB297:AB304)</f>
        <v>4.25</v>
      </c>
      <c r="AC312" s="1166"/>
      <c r="AD312" s="1232"/>
      <c r="AE312" s="1232"/>
      <c r="AF312" s="1203"/>
      <c r="AG312" s="1166"/>
      <c r="AH312" s="1232"/>
      <c r="AI312" s="1232"/>
      <c r="AJ312" s="1203"/>
      <c r="AK312" s="1229">
        <f>SUM(AK297:AK310)</f>
        <v>39.5</v>
      </c>
      <c r="AL312" s="1166"/>
      <c r="AM312" s="1168"/>
      <c r="AO312" s="1204"/>
      <c r="AP312" s="1178"/>
      <c r="AQ312" s="1178"/>
      <c r="AR312" s="1178"/>
      <c r="AS312" s="1178"/>
      <c r="AT312" s="1178"/>
    </row>
    <row r="313" spans="1:53" s="1169" customFormat="1">
      <c r="A313" s="1164"/>
      <c r="B313" s="1230" t="s">
        <v>64</v>
      </c>
      <c r="C313" s="1206"/>
      <c r="D313" s="1206"/>
      <c r="E313" s="1207">
        <v>4</v>
      </c>
      <c r="F313" s="1207">
        <v>0.5</v>
      </c>
      <c r="G313" s="1208"/>
      <c r="H313" s="1206"/>
      <c r="I313" s="1206"/>
      <c r="J313" s="1207">
        <v>4</v>
      </c>
      <c r="K313" s="1207"/>
      <c r="L313" s="1209"/>
      <c r="M313" s="1206"/>
      <c r="N313" s="1206"/>
      <c r="O313" s="1207">
        <v>4</v>
      </c>
      <c r="P313" s="1207"/>
      <c r="Q313" s="1209"/>
      <c r="R313" s="1206"/>
      <c r="S313" s="1206"/>
      <c r="T313" s="1207">
        <v>4</v>
      </c>
      <c r="U313" s="1207"/>
      <c r="V313" s="1209"/>
      <c r="W313" s="1206"/>
      <c r="X313" s="1206"/>
      <c r="Y313" s="1207">
        <v>4</v>
      </c>
      <c r="Z313" s="1207"/>
      <c r="AA313" s="1203">
        <f>SUM(E313+J313+O313+T313+Y313)</f>
        <v>20</v>
      </c>
      <c r="AB313" s="1173">
        <f>Z313+U313+P313+K313+F313</f>
        <v>0.5</v>
      </c>
      <c r="AC313" s="1166"/>
      <c r="AD313" s="1206"/>
      <c r="AE313" s="1206"/>
      <c r="AF313" s="1207">
        <v>6.75</v>
      </c>
      <c r="AG313" s="1166"/>
      <c r="AH313" s="1206"/>
      <c r="AI313" s="1206"/>
      <c r="AJ313" s="1207">
        <v>5</v>
      </c>
      <c r="AK313" s="1203">
        <f>AJ313+AF313</f>
        <v>11.75</v>
      </c>
      <c r="AL313" s="1166"/>
      <c r="AM313" s="1168"/>
      <c r="AO313" s="1204"/>
      <c r="AP313" s="1178"/>
      <c r="AQ313" s="1178"/>
      <c r="AR313" s="1178"/>
      <c r="AS313" s="1178"/>
      <c r="AT313" s="1178"/>
    </row>
    <row r="314" spans="1:53" s="1169" customFormat="1">
      <c r="A314" s="1164"/>
      <c r="B314" s="1208" t="s">
        <v>66</v>
      </c>
      <c r="C314" s="1210"/>
      <c r="D314" s="1210"/>
      <c r="E314" s="1208"/>
      <c r="F314" s="1208"/>
      <c r="G314" s="1208"/>
      <c r="H314" s="1208"/>
      <c r="I314" s="1208"/>
      <c r="J314" s="1208"/>
      <c r="K314" s="1208"/>
      <c r="L314" s="1208"/>
      <c r="M314" s="1208"/>
      <c r="N314" s="1208"/>
      <c r="O314" s="1208"/>
      <c r="P314" s="1208"/>
      <c r="Q314" s="1208"/>
      <c r="R314" s="1208"/>
      <c r="S314" s="1208"/>
      <c r="T314" s="1208"/>
      <c r="U314" s="1208"/>
      <c r="V314" s="1208"/>
      <c r="W314" s="1208"/>
      <c r="X314" s="1208"/>
      <c r="Y314" s="1208"/>
      <c r="Z314" s="1208"/>
      <c r="AA314" s="1202">
        <f>SUM(AA313:AA313)</f>
        <v>20</v>
      </c>
      <c r="AB314" s="1229">
        <f>SUM(AB313:AB313)</f>
        <v>0.5</v>
      </c>
      <c r="AC314" s="1166"/>
      <c r="AG314" s="1166"/>
      <c r="AK314" s="1229">
        <f>SUM(AK313:AK313)</f>
        <v>11.75</v>
      </c>
      <c r="AL314" s="1166"/>
      <c r="AM314" s="1168"/>
      <c r="AO314" s="1204"/>
      <c r="AP314" s="1178"/>
      <c r="AQ314" s="1178"/>
      <c r="AR314" s="1178"/>
      <c r="AS314" s="1178"/>
      <c r="AT314" s="1178"/>
    </row>
    <row r="315" spans="1:53" s="1169" customFormat="1">
      <c r="A315" s="1164"/>
      <c r="B315" s="1212" t="s">
        <v>67</v>
      </c>
      <c r="C315" s="1213">
        <f>4+5+4+4+3</f>
        <v>20</v>
      </c>
      <c r="D315" s="1214"/>
      <c r="E315" s="1215"/>
      <c r="F315" s="1215"/>
      <c r="G315" s="1214"/>
      <c r="H315" s="1215"/>
      <c r="I315" s="1215"/>
      <c r="J315" s="1215"/>
      <c r="K315" s="1215"/>
      <c r="L315" s="1214"/>
      <c r="M315" s="1214"/>
      <c r="N315" s="1214"/>
      <c r="O315" s="1214"/>
      <c r="P315" s="1215"/>
      <c r="Q315" s="1214"/>
      <c r="R315" s="1214"/>
      <c r="S315" s="1214"/>
      <c r="T315" s="1214"/>
      <c r="U315" s="1215"/>
      <c r="V315" s="1214"/>
      <c r="W315" s="1214"/>
      <c r="X315" s="1214"/>
      <c r="Y315" s="1216"/>
      <c r="Z315" s="1215"/>
      <c r="AA315" s="1217"/>
      <c r="AB315" s="1215"/>
      <c r="AC315" s="1217"/>
      <c r="AD315" s="1217"/>
      <c r="AE315" s="1217"/>
      <c r="AF315" s="1217"/>
      <c r="AG315" s="1166"/>
      <c r="AH315" s="1217"/>
      <c r="AI315" s="1217"/>
      <c r="AJ315" s="1217"/>
      <c r="AK315" s="1217"/>
      <c r="AL315" s="1166"/>
      <c r="AM315" s="1168"/>
      <c r="AO315" s="1178"/>
      <c r="AP315" s="1178"/>
      <c r="AQ315" s="1178"/>
      <c r="AR315" s="1178"/>
      <c r="AS315" s="1178"/>
      <c r="AT315" s="1178"/>
    </row>
    <row r="316" spans="1:53" s="1169" customFormat="1">
      <c r="A316" s="1164"/>
      <c r="E316" s="1166"/>
      <c r="F316" s="1166"/>
      <c r="G316" s="1166"/>
      <c r="J316" s="1166"/>
      <c r="K316" s="1166"/>
      <c r="L316" s="1166"/>
      <c r="O316" s="1166"/>
      <c r="P316" s="1166"/>
      <c r="Q316" s="1166"/>
      <c r="T316" s="1166"/>
      <c r="U316" s="1166"/>
      <c r="V316" s="1166"/>
      <c r="Y316" s="1166"/>
      <c r="Z316" s="1166"/>
      <c r="AA316" s="1166"/>
      <c r="AB316" s="1166"/>
      <c r="AC316" s="1166"/>
      <c r="AG316" s="1166"/>
      <c r="AL316" s="1166"/>
      <c r="AM316" s="1168"/>
      <c r="AO316" s="1178"/>
      <c r="AP316" s="1178"/>
      <c r="AQ316" s="1178"/>
      <c r="AR316" s="1178"/>
      <c r="AS316" s="1178"/>
      <c r="AT316" s="1178"/>
    </row>
    <row r="317" spans="1:53" s="1169" customFormat="1">
      <c r="A317" s="1164"/>
      <c r="B317" s="1218"/>
      <c r="C317" s="1219"/>
      <c r="D317" s="1219"/>
      <c r="E317" s="1220"/>
      <c r="F317" s="1220"/>
      <c r="G317" s="1219"/>
      <c r="H317" s="1220"/>
      <c r="I317" s="1220"/>
      <c r="J317" s="1220"/>
      <c r="K317" s="1220"/>
      <c r="L317" s="1219"/>
      <c r="M317" s="1219"/>
      <c r="N317" s="1219"/>
      <c r="O317" s="1219"/>
      <c r="P317" s="1220"/>
      <c r="Q317" s="1219"/>
      <c r="R317" s="1219"/>
      <c r="S317" s="1219"/>
      <c r="T317" s="1219"/>
      <c r="U317" s="1220"/>
      <c r="V317" s="1219"/>
      <c r="W317" s="1219"/>
      <c r="X317" s="1219"/>
      <c r="Y317" s="1221"/>
      <c r="Z317" s="1220"/>
      <c r="AA317" s="1222"/>
      <c r="AB317" s="1220"/>
      <c r="AC317" s="1223"/>
      <c r="AD317" s="1224"/>
      <c r="AE317" s="1168"/>
      <c r="AF317" s="1168"/>
      <c r="AG317" s="1168"/>
      <c r="AH317" s="1224"/>
      <c r="AI317" s="1168"/>
      <c r="AJ317" s="1168"/>
      <c r="AK317" s="1168"/>
      <c r="AL317" s="1168"/>
      <c r="AM317" s="1168"/>
      <c r="AN317" s="1168"/>
      <c r="AO317" s="1168"/>
      <c r="AP317" s="1168"/>
      <c r="AQ317" s="1168"/>
      <c r="AR317" s="1168"/>
      <c r="AS317" s="1168"/>
      <c r="AT317" s="1168"/>
    </row>
    <row r="318" spans="1:53" s="1169" customFormat="1">
      <c r="A318" s="1164"/>
      <c r="E318" s="1166"/>
      <c r="F318" s="1166"/>
      <c r="G318" s="1166"/>
      <c r="J318" s="1166"/>
      <c r="K318" s="1166"/>
      <c r="L318" s="1166"/>
      <c r="O318" s="1166"/>
      <c r="P318" s="1166"/>
      <c r="Q318" s="1166"/>
      <c r="T318" s="1166"/>
      <c r="U318" s="1166"/>
      <c r="V318" s="1166"/>
      <c r="Y318" s="1166"/>
      <c r="Z318" s="1166"/>
      <c r="AA318" s="1166"/>
      <c r="AB318" s="1166"/>
      <c r="AC318" s="1166"/>
      <c r="AG318" s="1166"/>
      <c r="AL318" s="1166"/>
      <c r="AM318" s="1168"/>
      <c r="AO318" s="1178"/>
      <c r="AP318" s="1178"/>
      <c r="AQ318" s="1178"/>
      <c r="AR318" s="1178"/>
      <c r="AS318" s="1178"/>
      <c r="AT318" s="1178"/>
    </row>
    <row r="319" spans="1:53" s="1169" customFormat="1" ht="13.5" customHeight="1">
      <c r="A319" s="1164"/>
      <c r="B319" s="1608" t="s">
        <v>18</v>
      </c>
      <c r="C319" s="1574">
        <v>45936</v>
      </c>
      <c r="D319" s="1574"/>
      <c r="E319" s="1574" t="s">
        <v>564</v>
      </c>
      <c r="F319" s="1574"/>
      <c r="G319" s="1165"/>
      <c r="H319" s="1574">
        <v>45937</v>
      </c>
      <c r="I319" s="1574"/>
      <c r="J319" s="1574" t="s">
        <v>565</v>
      </c>
      <c r="K319" s="1574"/>
      <c r="L319" s="1165"/>
      <c r="M319" s="1574">
        <v>45938</v>
      </c>
      <c r="N319" s="1574"/>
      <c r="O319" s="1574" t="s">
        <v>566</v>
      </c>
      <c r="P319" s="1574"/>
      <c r="Q319" s="1165"/>
      <c r="R319" s="1574">
        <v>45939</v>
      </c>
      <c r="S319" s="1574"/>
      <c r="T319" s="1574" t="s">
        <v>567</v>
      </c>
      <c r="U319" s="1574"/>
      <c r="V319" s="1165"/>
      <c r="W319" s="1574">
        <v>45940</v>
      </c>
      <c r="X319" s="1574"/>
      <c r="Y319" s="1574" t="s">
        <v>568</v>
      </c>
      <c r="Z319" s="1574"/>
      <c r="AA319" s="1575" t="s">
        <v>19</v>
      </c>
      <c r="AB319" s="1575" t="s">
        <v>20</v>
      </c>
      <c r="AC319" s="1166"/>
      <c r="AD319" s="1574">
        <v>45941</v>
      </c>
      <c r="AE319" s="1574"/>
      <c r="AF319" s="1167" t="s">
        <v>569</v>
      </c>
      <c r="AG319" s="1166"/>
      <c r="AH319" s="1574">
        <v>45942</v>
      </c>
      <c r="AI319" s="1574"/>
      <c r="AJ319" s="1167" t="s">
        <v>570</v>
      </c>
      <c r="AK319" s="1575" t="s">
        <v>1420</v>
      </c>
      <c r="AL319" s="1166"/>
      <c r="AM319" s="1168"/>
      <c r="AO319" s="1170" t="s">
        <v>84</v>
      </c>
      <c r="AP319" s="1171"/>
      <c r="AQ319" s="1171"/>
      <c r="AR319" s="1171"/>
      <c r="AS319" s="1171"/>
      <c r="AT319" s="1171"/>
    </row>
    <row r="320" spans="1:53" s="1169" customFormat="1">
      <c r="A320" s="1164"/>
      <c r="B320" s="1608"/>
      <c r="C320" s="1172" t="s">
        <v>23</v>
      </c>
      <c r="D320" s="1172" t="s">
        <v>24</v>
      </c>
      <c r="E320" s="1173" t="s">
        <v>25</v>
      </c>
      <c r="F320" s="1174" t="s">
        <v>14</v>
      </c>
      <c r="G320" s="1166"/>
      <c r="H320" s="1172" t="s">
        <v>23</v>
      </c>
      <c r="I320" s="1172" t="s">
        <v>24</v>
      </c>
      <c r="J320" s="1174" t="s">
        <v>25</v>
      </c>
      <c r="K320" s="1174" t="s">
        <v>14</v>
      </c>
      <c r="L320" s="1166"/>
      <c r="M320" s="1172" t="s">
        <v>23</v>
      </c>
      <c r="N320" s="1172" t="s">
        <v>24</v>
      </c>
      <c r="O320" s="1174" t="s">
        <v>25</v>
      </c>
      <c r="P320" s="1174" t="s">
        <v>14</v>
      </c>
      <c r="Q320" s="1166"/>
      <c r="R320" s="1172" t="s">
        <v>23</v>
      </c>
      <c r="S320" s="1172" t="s">
        <v>24</v>
      </c>
      <c r="T320" s="1174" t="s">
        <v>25</v>
      </c>
      <c r="U320" s="1174" t="s">
        <v>14</v>
      </c>
      <c r="V320" s="1166"/>
      <c r="W320" s="1172" t="s">
        <v>23</v>
      </c>
      <c r="X320" s="1172" t="s">
        <v>24</v>
      </c>
      <c r="Y320" s="1174" t="s">
        <v>25</v>
      </c>
      <c r="Z320" s="1174" t="s">
        <v>14</v>
      </c>
      <c r="AA320" s="1575"/>
      <c r="AB320" s="1575"/>
      <c r="AC320" s="1166"/>
      <c r="AD320" s="1172" t="s">
        <v>23</v>
      </c>
      <c r="AE320" s="1172" t="s">
        <v>24</v>
      </c>
      <c r="AF320" s="1174" t="s">
        <v>25</v>
      </c>
      <c r="AG320" s="1166"/>
      <c r="AH320" s="1172" t="s">
        <v>23</v>
      </c>
      <c r="AI320" s="1172" t="s">
        <v>24</v>
      </c>
      <c r="AJ320" s="1174" t="s">
        <v>25</v>
      </c>
      <c r="AK320" s="1575"/>
      <c r="AL320" s="1166"/>
      <c r="AM320" s="1168"/>
      <c r="AO320" s="1175" t="s">
        <v>26</v>
      </c>
      <c r="AP320" s="1176">
        <f>AA336</f>
        <v>160</v>
      </c>
      <c r="AQ320" s="1177">
        <v>40.31</v>
      </c>
      <c r="AR320" s="1177">
        <f t="shared" ref="AR320:AR325" si="75">AP320*AQ320</f>
        <v>6449.6</v>
      </c>
      <c r="AS320" s="1178"/>
      <c r="AT320" s="1178"/>
    </row>
    <row r="321" spans="1:53" s="1169" customFormat="1" ht="13.5" customHeight="1">
      <c r="A321" s="1164"/>
      <c r="B321" s="1166" t="s">
        <v>1064</v>
      </c>
      <c r="C321" s="1206">
        <v>0.5</v>
      </c>
      <c r="D321" s="1206"/>
      <c r="E321" s="1207">
        <v>6</v>
      </c>
      <c r="F321" s="1201"/>
      <c r="G321" s="1166"/>
      <c r="H321" s="1206">
        <v>0.47916666666666669</v>
      </c>
      <c r="I321" s="1206"/>
      <c r="J321" s="1207">
        <v>6</v>
      </c>
      <c r="K321" s="1201"/>
      <c r="L321" s="1166"/>
      <c r="M321" s="1206">
        <v>6.25E-2</v>
      </c>
      <c r="N321" s="1206"/>
      <c r="O321" s="1207">
        <v>6</v>
      </c>
      <c r="P321" s="1201"/>
      <c r="Q321" s="1166"/>
      <c r="R321" s="1206">
        <v>0.45833333333333331</v>
      </c>
      <c r="S321" s="1206">
        <v>0.41666666666666669</v>
      </c>
      <c r="T321" s="1207">
        <v>8</v>
      </c>
      <c r="U321" s="1201">
        <v>2</v>
      </c>
      <c r="V321" s="1166"/>
      <c r="W321" s="1206">
        <v>0.5</v>
      </c>
      <c r="X321" s="1206">
        <v>0.22916666666666666</v>
      </c>
      <c r="Y321" s="1207">
        <v>5.5</v>
      </c>
      <c r="Z321" s="1201"/>
      <c r="AA321" s="1203">
        <f>(E321+J321+O321+T321+Y321)</f>
        <v>31.5</v>
      </c>
      <c r="AB321" s="1225">
        <f>Z321+U321+P321+K321+F321</f>
        <v>2</v>
      </c>
      <c r="AC321" s="1166"/>
      <c r="AD321" s="1206">
        <v>0.3125</v>
      </c>
      <c r="AE321" s="1206">
        <v>0.20833333333333334</v>
      </c>
      <c r="AF321" s="1207">
        <v>10.5</v>
      </c>
      <c r="AG321" s="1166"/>
      <c r="AH321" s="1206">
        <v>0.3125</v>
      </c>
      <c r="AI321" s="1206">
        <v>0.23958333333333334</v>
      </c>
      <c r="AJ321" s="1207">
        <v>10</v>
      </c>
      <c r="AK321" s="1203">
        <f t="shared" ref="AK321:AK334" si="76">AJ321+AF321</f>
        <v>20.5</v>
      </c>
      <c r="AL321" s="1166"/>
      <c r="AM321" s="1168"/>
      <c r="AO321" s="1175" t="s">
        <v>30</v>
      </c>
      <c r="AP321" s="1176">
        <f>AB336</f>
        <v>4</v>
      </c>
      <c r="AQ321" s="1177">
        <v>60.465000000000003</v>
      </c>
      <c r="AR321" s="1177">
        <f t="shared" si="75"/>
        <v>241.86</v>
      </c>
      <c r="AS321" s="1178"/>
      <c r="AT321" s="1178"/>
    </row>
    <row r="322" spans="1:53" s="1169" customFormat="1">
      <c r="A322" s="1164"/>
      <c r="B322" s="1206" t="s">
        <v>1441</v>
      </c>
      <c r="C322" s="1206"/>
      <c r="D322" s="1206"/>
      <c r="E322" s="1207"/>
      <c r="F322" s="1201"/>
      <c r="G322" s="1166"/>
      <c r="H322" s="1206"/>
      <c r="I322" s="1206"/>
      <c r="J322" s="1207"/>
      <c r="K322" s="1201"/>
      <c r="L322" s="1166"/>
      <c r="M322" s="1206"/>
      <c r="N322" s="1206"/>
      <c r="O322" s="1207"/>
      <c r="P322" s="1201"/>
      <c r="Q322" s="1166"/>
      <c r="R322" s="1206"/>
      <c r="S322" s="1206"/>
      <c r="T322" s="1207"/>
      <c r="U322" s="1201"/>
      <c r="V322" s="1166"/>
      <c r="W322" s="1206"/>
      <c r="X322" s="1206"/>
      <c r="Y322" s="1207"/>
      <c r="Z322" s="1201"/>
      <c r="AA322" s="1203">
        <f t="shared" ref="AA322:AA334" si="77">(E322+J322+O322+T322+Y322)</f>
        <v>0</v>
      </c>
      <c r="AB322" s="1225">
        <f t="shared" ref="AB322:AB334" si="78">Z322+U322+P322+K322+F322</f>
        <v>0</v>
      </c>
      <c r="AC322" s="1166"/>
      <c r="AD322" s="1206"/>
      <c r="AE322" s="1206"/>
      <c r="AF322" s="1207"/>
      <c r="AG322" s="1166"/>
      <c r="AH322" s="1206"/>
      <c r="AI322" s="1206"/>
      <c r="AJ322" s="1207"/>
      <c r="AK322" s="1203">
        <f t="shared" si="76"/>
        <v>0</v>
      </c>
      <c r="AL322" s="1166"/>
      <c r="AM322" s="1168"/>
      <c r="AO322" s="1175" t="s">
        <v>32</v>
      </c>
      <c r="AP322" s="1176">
        <f>AK336</f>
        <v>47.5</v>
      </c>
      <c r="AQ322" s="1177">
        <v>60.465000000000003</v>
      </c>
      <c r="AR322" s="1177">
        <f t="shared" si="75"/>
        <v>2872.0875000000001</v>
      </c>
      <c r="AS322" s="1178"/>
      <c r="AT322" s="1178"/>
    </row>
    <row r="323" spans="1:53" s="1178" customFormat="1">
      <c r="A323" s="1164"/>
      <c r="B323" s="1206" t="s">
        <v>1444</v>
      </c>
      <c r="C323" s="1206"/>
      <c r="D323" s="1206"/>
      <c r="E323" s="1207"/>
      <c r="F323" s="1201"/>
      <c r="G323" s="1166"/>
      <c r="H323" s="1206">
        <v>0.5</v>
      </c>
      <c r="I323" s="1206"/>
      <c r="J323" s="1207">
        <v>6</v>
      </c>
      <c r="K323" s="1201"/>
      <c r="L323" s="1166"/>
      <c r="M323" s="1206">
        <v>0.47916666666666669</v>
      </c>
      <c r="N323" s="1206">
        <v>0.32291666666666669</v>
      </c>
      <c r="O323" s="1207">
        <v>8</v>
      </c>
      <c r="P323" s="1201"/>
      <c r="Q323" s="1166"/>
      <c r="R323" s="1206">
        <v>0.47916666666666669</v>
      </c>
      <c r="S323" s="1206"/>
      <c r="T323" s="1207">
        <v>6</v>
      </c>
      <c r="U323" s="1201"/>
      <c r="V323" s="1166"/>
      <c r="W323" s="1206"/>
      <c r="X323" s="1206"/>
      <c r="Y323" s="1207"/>
      <c r="Z323" s="1201"/>
      <c r="AA323" s="1203">
        <f t="shared" si="77"/>
        <v>20</v>
      </c>
      <c r="AB323" s="1225">
        <f t="shared" si="78"/>
        <v>0</v>
      </c>
      <c r="AC323" s="1166"/>
      <c r="AD323" s="1206"/>
      <c r="AE323" s="1206"/>
      <c r="AF323" s="1207"/>
      <c r="AG323" s="1166"/>
      <c r="AH323" s="1206"/>
      <c r="AI323" s="1206"/>
      <c r="AJ323" s="1207"/>
      <c r="AK323" s="1203">
        <f t="shared" si="76"/>
        <v>0</v>
      </c>
      <c r="AL323" s="1166"/>
      <c r="AM323" s="1168"/>
      <c r="AN323" s="1169"/>
      <c r="AO323" s="1175" t="s">
        <v>213</v>
      </c>
      <c r="AP323" s="1176">
        <f>AA337</f>
        <v>19.5</v>
      </c>
      <c r="AQ323" s="1177">
        <v>53.05</v>
      </c>
      <c r="AR323" s="1177">
        <f t="shared" si="75"/>
        <v>1034.4749999999999</v>
      </c>
      <c r="AU323" s="1169"/>
      <c r="AV323" s="1169"/>
      <c r="AW323" s="1169"/>
      <c r="AX323" s="1169"/>
      <c r="AY323" s="1169"/>
      <c r="AZ323" s="1169"/>
      <c r="BA323" s="1169"/>
    </row>
    <row r="324" spans="1:53" s="1178" customFormat="1">
      <c r="A324" s="1164"/>
      <c r="B324" s="1210" t="s">
        <v>1447</v>
      </c>
      <c r="C324" s="1206">
        <v>0.5</v>
      </c>
      <c r="D324" s="1206">
        <v>0.27083333333333331</v>
      </c>
      <c r="E324" s="1207">
        <v>6.5</v>
      </c>
      <c r="F324" s="1201"/>
      <c r="G324" s="1206"/>
      <c r="H324" s="1206">
        <v>0.47916666666666669</v>
      </c>
      <c r="I324" s="1206">
        <v>0.22916666666666666</v>
      </c>
      <c r="J324" s="1207">
        <v>6</v>
      </c>
      <c r="K324" s="1201"/>
      <c r="L324" s="1166"/>
      <c r="M324" s="1206">
        <v>0.47916666666666669</v>
      </c>
      <c r="N324" s="1206">
        <v>0.4375</v>
      </c>
      <c r="O324" s="1207">
        <v>8</v>
      </c>
      <c r="P324" s="1201">
        <v>2</v>
      </c>
      <c r="Q324" s="1166"/>
      <c r="R324" s="1206">
        <v>0.5</v>
      </c>
      <c r="S324" s="1206">
        <v>0.29166666666666669</v>
      </c>
      <c r="T324" s="1207">
        <v>7</v>
      </c>
      <c r="U324" s="1201"/>
      <c r="V324" s="1166"/>
      <c r="W324" s="1206">
        <v>0.47916666666666669</v>
      </c>
      <c r="X324" s="1206">
        <v>0.22916666666666666</v>
      </c>
      <c r="Y324" s="1207">
        <v>6</v>
      </c>
      <c r="Z324" s="1201"/>
      <c r="AA324" s="1203">
        <f t="shared" si="77"/>
        <v>33.5</v>
      </c>
      <c r="AB324" s="1225">
        <f t="shared" si="78"/>
        <v>2</v>
      </c>
      <c r="AC324" s="1166"/>
      <c r="AD324" s="1206"/>
      <c r="AE324" s="1206"/>
      <c r="AF324" s="1207"/>
      <c r="AG324" s="1166"/>
      <c r="AH324" s="1226"/>
      <c r="AI324" s="1206"/>
      <c r="AJ324" s="1207"/>
      <c r="AK324" s="1203">
        <f t="shared" si="76"/>
        <v>0</v>
      </c>
      <c r="AL324" s="1166"/>
      <c r="AM324" s="1168"/>
      <c r="AN324" s="1169"/>
      <c r="AO324" s="1175" t="s">
        <v>36</v>
      </c>
      <c r="AP324" s="1176">
        <f>AB337</f>
        <v>0</v>
      </c>
      <c r="AQ324" s="1177">
        <v>79.574999999999989</v>
      </c>
      <c r="AR324" s="1177">
        <f t="shared" si="75"/>
        <v>0</v>
      </c>
      <c r="AU324" s="1169"/>
      <c r="AV324" s="1169"/>
      <c r="AW324" s="1169"/>
      <c r="AX324" s="1169"/>
      <c r="AY324" s="1169"/>
      <c r="AZ324" s="1169"/>
      <c r="BA324" s="1169"/>
    </row>
    <row r="325" spans="1:53" s="1178" customFormat="1">
      <c r="A325" s="1164"/>
      <c r="B325" s="1210" t="s">
        <v>1141</v>
      </c>
      <c r="C325" s="1206">
        <v>0.5</v>
      </c>
      <c r="D325" s="1206">
        <v>0.25</v>
      </c>
      <c r="E325" s="1207">
        <v>6</v>
      </c>
      <c r="F325" s="1201"/>
      <c r="G325" s="1166"/>
      <c r="H325" s="1206"/>
      <c r="I325" s="1206"/>
      <c r="J325" s="1207"/>
      <c r="K325" s="1201"/>
      <c r="L325" s="1166"/>
      <c r="M325" s="1206">
        <v>0.5</v>
      </c>
      <c r="N325" s="1206">
        <v>0.25</v>
      </c>
      <c r="O325" s="1207">
        <v>6</v>
      </c>
      <c r="P325" s="1201"/>
      <c r="Q325" s="1166"/>
      <c r="R325" s="1206">
        <v>0.125</v>
      </c>
      <c r="S325" s="1206">
        <v>0.25</v>
      </c>
      <c r="T325" s="1207">
        <v>3</v>
      </c>
      <c r="U325" s="1201"/>
      <c r="V325" s="1166"/>
      <c r="W325" s="1206">
        <v>0.52083333333333337</v>
      </c>
      <c r="X325" s="1206">
        <v>0.27083333333333331</v>
      </c>
      <c r="Y325" s="1207">
        <v>6</v>
      </c>
      <c r="Z325" s="1201"/>
      <c r="AA325" s="1203">
        <f t="shared" si="77"/>
        <v>21</v>
      </c>
      <c r="AB325" s="1225">
        <f t="shared" si="78"/>
        <v>0</v>
      </c>
      <c r="AC325" s="1166"/>
      <c r="AD325" s="1206"/>
      <c r="AE325" s="1206"/>
      <c r="AF325" s="1207"/>
      <c r="AG325" s="1166"/>
      <c r="AH325" s="1206"/>
      <c r="AI325" s="1206"/>
      <c r="AJ325" s="1207"/>
      <c r="AK325" s="1203">
        <f t="shared" si="76"/>
        <v>0</v>
      </c>
      <c r="AL325" s="1166"/>
      <c r="AM325" s="1168"/>
      <c r="AN325" s="1169"/>
      <c r="AO325" s="1175" t="s">
        <v>38</v>
      </c>
      <c r="AP325" s="1176">
        <f>AK337</f>
        <v>0</v>
      </c>
      <c r="AQ325" s="1177">
        <v>79.574999999999989</v>
      </c>
      <c r="AR325" s="1177">
        <f t="shared" si="75"/>
        <v>0</v>
      </c>
      <c r="AU325" s="1169"/>
      <c r="AV325" s="1169"/>
      <c r="AW325" s="1169"/>
      <c r="AX325" s="1169"/>
      <c r="AY325" s="1169"/>
      <c r="AZ325" s="1169"/>
      <c r="BA325" s="1169"/>
    </row>
    <row r="326" spans="1:53" s="1178" customFormat="1">
      <c r="A326" s="1164"/>
      <c r="B326" s="1210" t="s">
        <v>1140</v>
      </c>
      <c r="C326" s="1206"/>
      <c r="D326" s="1206"/>
      <c r="E326" s="1207"/>
      <c r="F326" s="1201"/>
      <c r="G326" s="1166"/>
      <c r="H326" s="1206">
        <v>7.2916666666666671E-2</v>
      </c>
      <c r="I326" s="1206">
        <v>0.375</v>
      </c>
      <c r="J326" s="1207">
        <v>8</v>
      </c>
      <c r="K326" s="1201"/>
      <c r="L326" s="1166"/>
      <c r="M326" s="1206"/>
      <c r="N326" s="1206"/>
      <c r="O326" s="1207"/>
      <c r="P326" s="1201"/>
      <c r="Q326" s="1166"/>
      <c r="R326" s="1206">
        <v>0.125</v>
      </c>
      <c r="S326" s="1206">
        <v>0.375</v>
      </c>
      <c r="T326" s="1207">
        <v>6</v>
      </c>
      <c r="U326" s="1201"/>
      <c r="V326" s="1166"/>
      <c r="W326" s="1206"/>
      <c r="X326" s="1206"/>
      <c r="Y326" s="1207"/>
      <c r="Z326" s="1201"/>
      <c r="AA326" s="1203">
        <f t="shared" si="77"/>
        <v>14</v>
      </c>
      <c r="AB326" s="1225">
        <f t="shared" si="78"/>
        <v>0</v>
      </c>
      <c r="AC326" s="1166"/>
      <c r="AD326" s="1206"/>
      <c r="AE326" s="1206"/>
      <c r="AF326" s="1207"/>
      <c r="AG326" s="1166"/>
      <c r="AH326" s="1206"/>
      <c r="AI326" s="1206"/>
      <c r="AJ326" s="1207"/>
      <c r="AK326" s="1203">
        <f t="shared" si="76"/>
        <v>0</v>
      </c>
      <c r="AL326" s="1166"/>
      <c r="AM326" s="1168"/>
      <c r="AN326" s="1169"/>
      <c r="AP326" s="1176"/>
      <c r="AR326" s="1227">
        <f>SUM(AR320:AR325)</f>
        <v>10598.022500000001</v>
      </c>
      <c r="AU326" s="1169"/>
      <c r="AV326" s="1169"/>
      <c r="AW326" s="1169"/>
      <c r="AX326" s="1169"/>
      <c r="AY326" s="1169"/>
      <c r="AZ326" s="1169"/>
      <c r="BA326" s="1169"/>
    </row>
    <row r="327" spans="1:53" s="1178" customFormat="1">
      <c r="A327" s="1164"/>
      <c r="B327" s="1210" t="s">
        <v>53</v>
      </c>
      <c r="C327" s="1206"/>
      <c r="D327" s="1206"/>
      <c r="E327" s="1207"/>
      <c r="F327" s="1201"/>
      <c r="G327" s="1166"/>
      <c r="H327" s="1206"/>
      <c r="I327" s="1206"/>
      <c r="J327" s="1207"/>
      <c r="K327" s="1201"/>
      <c r="L327" s="1166"/>
      <c r="M327" s="1206"/>
      <c r="N327" s="1206"/>
      <c r="O327" s="1207"/>
      <c r="P327" s="1201"/>
      <c r="Q327" s="1166"/>
      <c r="R327" s="1169"/>
      <c r="S327" s="1206"/>
      <c r="T327" s="1207"/>
      <c r="U327" s="1201"/>
      <c r="V327" s="1166"/>
      <c r="W327" s="1206"/>
      <c r="X327" s="1206"/>
      <c r="Y327" s="1207"/>
      <c r="Z327" s="1201"/>
      <c r="AA327" s="1203">
        <f t="shared" si="77"/>
        <v>0</v>
      </c>
      <c r="AB327" s="1225">
        <f t="shared" si="78"/>
        <v>0</v>
      </c>
      <c r="AC327" s="1166"/>
      <c r="AD327" s="1206"/>
      <c r="AE327" s="1206"/>
      <c r="AF327" s="1207"/>
      <c r="AG327" s="1166"/>
      <c r="AH327" s="1226"/>
      <c r="AI327" s="1206"/>
      <c r="AJ327" s="1207"/>
      <c r="AK327" s="1203">
        <f t="shared" si="76"/>
        <v>0</v>
      </c>
      <c r="AL327" s="1166"/>
      <c r="AM327" s="1168"/>
      <c r="AN327" s="1169"/>
      <c r="AP327" s="1176"/>
      <c r="AU327" s="1169"/>
      <c r="AV327" s="1169"/>
      <c r="AW327" s="1169"/>
      <c r="AX327" s="1169"/>
      <c r="AY327" s="1169"/>
      <c r="AZ327" s="1169"/>
      <c r="BA327" s="1169"/>
    </row>
    <row r="328" spans="1:53" s="1178" customFormat="1">
      <c r="A328" s="1164"/>
      <c r="B328" s="1210" t="s">
        <v>1455</v>
      </c>
      <c r="C328" s="1206"/>
      <c r="D328" s="1206"/>
      <c r="E328" s="1207"/>
      <c r="F328" s="1201"/>
      <c r="G328" s="1166"/>
      <c r="H328" s="1206"/>
      <c r="I328" s="1206"/>
      <c r="J328" s="1207"/>
      <c r="K328" s="1201"/>
      <c r="L328" s="1166"/>
      <c r="M328" s="1206"/>
      <c r="N328" s="1206"/>
      <c r="O328" s="1207"/>
      <c r="P328" s="1201"/>
      <c r="Q328" s="1166"/>
      <c r="R328" s="1206"/>
      <c r="S328" s="1206"/>
      <c r="T328" s="1207"/>
      <c r="U328" s="1201"/>
      <c r="V328" s="1166"/>
      <c r="W328" s="1206"/>
      <c r="X328" s="1206"/>
      <c r="Y328" s="1207"/>
      <c r="Z328" s="1201"/>
      <c r="AA328" s="1203">
        <f t="shared" si="77"/>
        <v>0</v>
      </c>
      <c r="AB328" s="1225">
        <f t="shared" si="78"/>
        <v>0</v>
      </c>
      <c r="AC328" s="1166"/>
      <c r="AD328" s="1206"/>
      <c r="AE328" s="1206"/>
      <c r="AF328" s="1207"/>
      <c r="AG328" s="1166"/>
      <c r="AH328" s="1206"/>
      <c r="AI328" s="1206"/>
      <c r="AJ328" s="1207"/>
      <c r="AK328" s="1203">
        <f t="shared" si="76"/>
        <v>0</v>
      </c>
      <c r="AL328" s="1166"/>
      <c r="AM328" s="1168"/>
      <c r="AN328" s="1169"/>
      <c r="AO328" s="1228" t="s">
        <v>1115</v>
      </c>
      <c r="AP328" s="1176">
        <f>C339</f>
        <v>19</v>
      </c>
      <c r="AU328" s="1169"/>
      <c r="AV328" s="1169"/>
      <c r="AW328" s="1169"/>
      <c r="AX328" s="1169"/>
      <c r="AY328" s="1169"/>
      <c r="AZ328" s="1169"/>
      <c r="BA328" s="1169"/>
    </row>
    <row r="329" spans="1:53" s="1178" customFormat="1">
      <c r="A329" s="1164"/>
      <c r="B329" s="1210" t="s">
        <v>1437</v>
      </c>
      <c r="C329" s="1206"/>
      <c r="D329" s="1206"/>
      <c r="E329" s="1207"/>
      <c r="F329" s="1201"/>
      <c r="G329" s="1166"/>
      <c r="H329" s="1206"/>
      <c r="I329" s="1206"/>
      <c r="J329" s="1207"/>
      <c r="K329" s="1201"/>
      <c r="L329" s="1166"/>
      <c r="M329" s="1206"/>
      <c r="N329" s="1206"/>
      <c r="O329" s="1207"/>
      <c r="P329" s="1201"/>
      <c r="Q329" s="1166"/>
      <c r="R329" s="1206"/>
      <c r="S329" s="1206"/>
      <c r="T329" s="1207"/>
      <c r="U329" s="1201"/>
      <c r="V329" s="1166"/>
      <c r="W329" s="1206"/>
      <c r="X329" s="1206"/>
      <c r="Y329" s="1207"/>
      <c r="Z329" s="1201"/>
      <c r="AA329" s="1203">
        <f t="shared" si="77"/>
        <v>0</v>
      </c>
      <c r="AB329" s="1225">
        <f t="shared" si="78"/>
        <v>0</v>
      </c>
      <c r="AC329" s="1166"/>
      <c r="AD329" s="1206"/>
      <c r="AE329" s="1206"/>
      <c r="AF329" s="1207"/>
      <c r="AG329" s="1166"/>
      <c r="AH329" s="1206"/>
      <c r="AI329" s="1206"/>
      <c r="AJ329" s="1207"/>
      <c r="AK329" s="1203">
        <f t="shared" si="76"/>
        <v>0</v>
      </c>
      <c r="AL329" s="1166"/>
      <c r="AM329" s="1168"/>
      <c r="AN329" s="1169"/>
      <c r="AO329" s="1228"/>
      <c r="AP329" s="1176"/>
      <c r="AU329" s="1169"/>
      <c r="AV329" s="1169"/>
      <c r="AW329" s="1169"/>
      <c r="AX329" s="1169"/>
      <c r="AY329" s="1169"/>
      <c r="AZ329" s="1169"/>
      <c r="BA329" s="1169"/>
    </row>
    <row r="330" spans="1:53" s="1178" customFormat="1">
      <c r="A330" s="1164"/>
      <c r="B330" s="1210" t="s">
        <v>1456</v>
      </c>
      <c r="C330" s="1206"/>
      <c r="D330" s="1206"/>
      <c r="E330" s="1207"/>
      <c r="F330" s="1201"/>
      <c r="G330" s="1166"/>
      <c r="H330" s="1206"/>
      <c r="I330" s="1206"/>
      <c r="J330" s="1207"/>
      <c r="K330" s="1201"/>
      <c r="L330" s="1166"/>
      <c r="M330" s="1206"/>
      <c r="N330" s="1206"/>
      <c r="O330" s="1207"/>
      <c r="P330" s="1201"/>
      <c r="Q330" s="1166"/>
      <c r="R330" s="1206"/>
      <c r="S330" s="1206"/>
      <c r="T330" s="1207"/>
      <c r="U330" s="1201"/>
      <c r="V330" s="1166"/>
      <c r="W330" s="1206"/>
      <c r="X330" s="1206"/>
      <c r="Y330" s="1207"/>
      <c r="Z330" s="1201"/>
      <c r="AA330" s="1203">
        <f t="shared" si="77"/>
        <v>0</v>
      </c>
      <c r="AB330" s="1225">
        <f t="shared" si="78"/>
        <v>0</v>
      </c>
      <c r="AC330" s="1166"/>
      <c r="AD330" s="1206"/>
      <c r="AE330" s="1206"/>
      <c r="AF330" s="1207"/>
      <c r="AG330" s="1166"/>
      <c r="AH330" s="1206"/>
      <c r="AI330" s="1206"/>
      <c r="AJ330" s="1207"/>
      <c r="AK330" s="1203">
        <f t="shared" si="76"/>
        <v>0</v>
      </c>
      <c r="AL330" s="1166"/>
      <c r="AM330" s="1168"/>
      <c r="AN330" s="1169"/>
      <c r="AO330" s="1228"/>
      <c r="AP330" s="1176"/>
      <c r="AU330" s="1169"/>
      <c r="AV330" s="1169"/>
      <c r="AW330" s="1169"/>
      <c r="AX330" s="1169"/>
      <c r="AY330" s="1169"/>
      <c r="AZ330" s="1169"/>
      <c r="BA330" s="1169"/>
    </row>
    <row r="331" spans="1:53" s="1178" customFormat="1">
      <c r="A331" s="1164"/>
      <c r="B331" s="1210" t="s">
        <v>1143</v>
      </c>
      <c r="C331" s="1206"/>
      <c r="D331" s="1206"/>
      <c r="E331" s="1207"/>
      <c r="F331" s="1201"/>
      <c r="G331" s="1166"/>
      <c r="H331" s="1206"/>
      <c r="I331" s="1206"/>
      <c r="J331" s="1207"/>
      <c r="K331" s="1201"/>
      <c r="L331" s="1166"/>
      <c r="M331" s="1206"/>
      <c r="N331" s="1206"/>
      <c r="O331" s="1207"/>
      <c r="P331" s="1201"/>
      <c r="Q331" s="1166"/>
      <c r="R331" s="1206"/>
      <c r="S331" s="1206"/>
      <c r="T331" s="1207"/>
      <c r="U331" s="1201"/>
      <c r="V331" s="1166"/>
      <c r="W331" s="1206"/>
      <c r="X331" s="1206"/>
      <c r="Y331" s="1207"/>
      <c r="Z331" s="1201"/>
      <c r="AA331" s="1203">
        <f t="shared" si="77"/>
        <v>0</v>
      </c>
      <c r="AB331" s="1225">
        <f t="shared" si="78"/>
        <v>0</v>
      </c>
      <c r="AC331" s="1166"/>
      <c r="AD331" s="1206">
        <v>0.27083333333333331</v>
      </c>
      <c r="AE331" s="1206">
        <v>0.3125</v>
      </c>
      <c r="AF331" s="1207">
        <v>12</v>
      </c>
      <c r="AG331" s="1166"/>
      <c r="AH331" s="1206">
        <v>0.3125</v>
      </c>
      <c r="AI331" s="1206">
        <v>0.1875</v>
      </c>
      <c r="AJ331" s="1207">
        <v>8</v>
      </c>
      <c r="AK331" s="1203">
        <f t="shared" si="76"/>
        <v>20</v>
      </c>
      <c r="AL331" s="1166"/>
      <c r="AM331" s="1168"/>
      <c r="AN331" s="1169"/>
      <c r="AO331" s="1228"/>
      <c r="AP331" s="1176"/>
      <c r="AU331" s="1169"/>
      <c r="AV331" s="1169"/>
      <c r="AW331" s="1169"/>
      <c r="AX331" s="1169"/>
      <c r="AY331" s="1169"/>
      <c r="AZ331" s="1169"/>
      <c r="BA331" s="1169"/>
    </row>
    <row r="332" spans="1:53" s="1178" customFormat="1">
      <c r="A332" s="1164"/>
      <c r="B332" s="1206" t="s">
        <v>1144</v>
      </c>
      <c r="C332" s="1206"/>
      <c r="D332" s="1206"/>
      <c r="E332" s="1207"/>
      <c r="F332" s="1201"/>
      <c r="G332" s="1166"/>
      <c r="H332" s="1206"/>
      <c r="I332" s="1206"/>
      <c r="J332" s="1207"/>
      <c r="K332" s="1201"/>
      <c r="L332" s="1166"/>
      <c r="M332" s="1206"/>
      <c r="N332" s="1206"/>
      <c r="O332" s="1207"/>
      <c r="P332" s="1201"/>
      <c r="Q332" s="1166"/>
      <c r="R332" s="1206"/>
      <c r="S332" s="1206"/>
      <c r="T332" s="1207"/>
      <c r="U332" s="1201"/>
      <c r="V332" s="1166"/>
      <c r="W332" s="1206"/>
      <c r="X332" s="1206"/>
      <c r="Y332" s="1207"/>
      <c r="Z332" s="1201"/>
      <c r="AA332" s="1203">
        <f t="shared" si="77"/>
        <v>0</v>
      </c>
      <c r="AB332" s="1225">
        <f t="shared" si="78"/>
        <v>0</v>
      </c>
      <c r="AC332" s="1166"/>
      <c r="AD332" s="1206"/>
      <c r="AE332" s="1206"/>
      <c r="AF332" s="1207"/>
      <c r="AG332" s="1166"/>
      <c r="AH332" s="1206"/>
      <c r="AI332" s="1206"/>
      <c r="AJ332" s="1207"/>
      <c r="AK332" s="1203">
        <f t="shared" si="76"/>
        <v>0</v>
      </c>
      <c r="AL332" s="1166"/>
      <c r="AM332" s="1168"/>
      <c r="AN332" s="1169"/>
      <c r="AO332" s="1228"/>
      <c r="AP332" s="1176"/>
      <c r="AU332" s="1169"/>
      <c r="AV332" s="1169"/>
      <c r="AW332" s="1169"/>
      <c r="AX332" s="1169"/>
      <c r="AY332" s="1169"/>
      <c r="AZ332" s="1169"/>
      <c r="BA332" s="1169"/>
    </row>
    <row r="333" spans="1:53" s="1178" customFormat="1">
      <c r="A333" s="1164"/>
      <c r="B333" s="1193" t="s">
        <v>1440</v>
      </c>
      <c r="C333" s="1206"/>
      <c r="D333" s="1206"/>
      <c r="E333" s="1207"/>
      <c r="F333" s="1201"/>
      <c r="G333" s="1166"/>
      <c r="H333" s="1206"/>
      <c r="I333" s="1206"/>
      <c r="J333" s="1207"/>
      <c r="K333" s="1201"/>
      <c r="L333" s="1166"/>
      <c r="M333" s="1206"/>
      <c r="N333" s="1206"/>
      <c r="O333" s="1207"/>
      <c r="P333" s="1201"/>
      <c r="Q333" s="1166"/>
      <c r="R333" s="1206"/>
      <c r="S333" s="1206"/>
      <c r="T333" s="1207"/>
      <c r="U333" s="1201"/>
      <c r="V333" s="1166"/>
      <c r="W333" s="1206"/>
      <c r="X333" s="1206"/>
      <c r="Y333" s="1207"/>
      <c r="Z333" s="1201"/>
      <c r="AA333" s="1203">
        <f t="shared" si="77"/>
        <v>0</v>
      </c>
      <c r="AB333" s="1225">
        <f t="shared" si="78"/>
        <v>0</v>
      </c>
      <c r="AC333" s="1166"/>
      <c r="AD333" s="1206"/>
      <c r="AE333" s="1206"/>
      <c r="AF333" s="1207"/>
      <c r="AG333" s="1166"/>
      <c r="AH333" s="1206"/>
      <c r="AI333" s="1206"/>
      <c r="AJ333" s="1207"/>
      <c r="AK333" s="1203">
        <f t="shared" si="76"/>
        <v>0</v>
      </c>
      <c r="AL333" s="1166"/>
      <c r="AM333" s="1168"/>
      <c r="AN333" s="1169"/>
      <c r="AO333" s="1228"/>
      <c r="AP333" s="1176"/>
      <c r="AU333" s="1169"/>
      <c r="AV333" s="1169"/>
      <c r="AW333" s="1169"/>
      <c r="AX333" s="1169"/>
      <c r="AY333" s="1169"/>
      <c r="AZ333" s="1169"/>
      <c r="BA333" s="1169"/>
    </row>
    <row r="334" spans="1:53" s="1178" customFormat="1">
      <c r="A334" s="1164"/>
      <c r="B334" s="1210" t="s">
        <v>1435</v>
      </c>
      <c r="C334" s="1206"/>
      <c r="D334" s="1206"/>
      <c r="E334" s="1207"/>
      <c r="F334" s="1201"/>
      <c r="G334" s="1166"/>
      <c r="H334" s="1206"/>
      <c r="I334" s="1206"/>
      <c r="J334" s="1207"/>
      <c r="K334" s="1201"/>
      <c r="L334" s="1166"/>
      <c r="M334" s="1206"/>
      <c r="N334" s="1206"/>
      <c r="O334" s="1207"/>
      <c r="P334" s="1201"/>
      <c r="Q334" s="1166"/>
      <c r="R334" s="1206"/>
      <c r="S334" s="1206"/>
      <c r="T334" s="1207"/>
      <c r="U334" s="1201"/>
      <c r="V334" s="1166"/>
      <c r="W334" s="1206"/>
      <c r="X334" s="1206"/>
      <c r="Y334" s="1207"/>
      <c r="Z334" s="1201"/>
      <c r="AA334" s="1203">
        <f t="shared" si="77"/>
        <v>0</v>
      </c>
      <c r="AB334" s="1225">
        <f t="shared" si="78"/>
        <v>0</v>
      </c>
      <c r="AC334" s="1166"/>
      <c r="AD334" s="1206">
        <v>0.47916666666666669</v>
      </c>
      <c r="AE334" s="1206">
        <v>0.15625</v>
      </c>
      <c r="AF334" s="1207">
        <v>7</v>
      </c>
      <c r="AG334" s="1166"/>
      <c r="AH334" s="1206"/>
      <c r="AI334" s="1206"/>
      <c r="AJ334" s="1207"/>
      <c r="AK334" s="1203">
        <f t="shared" si="76"/>
        <v>7</v>
      </c>
      <c r="AL334" s="1166"/>
      <c r="AM334" s="1168"/>
      <c r="AN334" s="1169"/>
      <c r="AO334" s="1228"/>
      <c r="AP334" s="1176"/>
      <c r="AU334" s="1169"/>
      <c r="AV334" s="1169"/>
      <c r="AW334" s="1169"/>
      <c r="AX334" s="1169"/>
      <c r="AY334" s="1169"/>
      <c r="AZ334" s="1169"/>
      <c r="BA334" s="1169"/>
    </row>
    <row r="335" spans="1:53" s="1178" customFormat="1">
      <c r="A335" s="1164"/>
      <c r="B335" s="1210" t="s">
        <v>813</v>
      </c>
      <c r="C335" s="1206"/>
      <c r="D335" s="1206"/>
      <c r="E335" s="1207">
        <v>8</v>
      </c>
      <c r="F335" s="1201"/>
      <c r="G335" s="1166"/>
      <c r="H335" s="1206"/>
      <c r="I335" s="1206"/>
      <c r="J335" s="1207">
        <v>8</v>
      </c>
      <c r="K335" s="1201"/>
      <c r="L335" s="1166"/>
      <c r="M335" s="1206"/>
      <c r="N335" s="1206"/>
      <c r="O335" s="1207">
        <v>8</v>
      </c>
      <c r="P335" s="1201"/>
      <c r="Q335" s="1166"/>
      <c r="R335" s="1206"/>
      <c r="S335" s="1206"/>
      <c r="T335" s="1207">
        <v>8</v>
      </c>
      <c r="U335" s="1201"/>
      <c r="V335" s="1166"/>
      <c r="W335" s="1206"/>
      <c r="X335" s="1206"/>
      <c r="Y335" s="1207">
        <v>8</v>
      </c>
      <c r="Z335" s="1201"/>
      <c r="AA335" s="1203">
        <f t="shared" ref="AA335" si="79">(E335+J335+O335+T335+Y335)</f>
        <v>40</v>
      </c>
      <c r="AB335" s="1225">
        <f t="shared" ref="AB335" si="80">Z335+U335+P335+K335+F335</f>
        <v>0</v>
      </c>
      <c r="AC335" s="1166"/>
      <c r="AD335" s="1206"/>
      <c r="AE335" s="1206"/>
      <c r="AF335" s="1207"/>
      <c r="AG335" s="1166"/>
      <c r="AH335" s="1206"/>
      <c r="AI335" s="1206"/>
      <c r="AJ335" s="1207"/>
      <c r="AK335" s="1203">
        <f t="shared" ref="AK335" si="81">AJ335+AF335</f>
        <v>0</v>
      </c>
      <c r="AL335" s="1166"/>
      <c r="AM335" s="1168"/>
      <c r="AN335" s="1169"/>
      <c r="AO335" s="1228"/>
      <c r="AP335" s="1176"/>
      <c r="AU335" s="1169"/>
      <c r="AV335" s="1169"/>
      <c r="AW335" s="1169"/>
      <c r="AX335" s="1169"/>
      <c r="AY335" s="1169"/>
      <c r="AZ335" s="1169"/>
      <c r="BA335" s="1169"/>
    </row>
    <row r="336" spans="1:53" s="1169" customFormat="1">
      <c r="A336" s="1164"/>
      <c r="B336" s="1232" t="s">
        <v>61</v>
      </c>
      <c r="C336" s="1232"/>
      <c r="D336" s="1232"/>
      <c r="E336" s="1233">
        <f>SUM(E321:E334)</f>
        <v>18.5</v>
      </c>
      <c r="F336" s="1201"/>
      <c r="G336" s="1232"/>
      <c r="H336" s="1232"/>
      <c r="I336" s="1232"/>
      <c r="J336" s="1233">
        <f>SUM(J321:J334)</f>
        <v>26</v>
      </c>
      <c r="K336" s="1201"/>
      <c r="L336" s="1232"/>
      <c r="M336" s="1232"/>
      <c r="N336" s="1232"/>
      <c r="O336" s="1233">
        <f>SUM(O321:O334)</f>
        <v>28</v>
      </c>
      <c r="P336" s="1201"/>
      <c r="Q336" s="1232"/>
      <c r="R336" s="1232"/>
      <c r="S336" s="1232"/>
      <c r="T336" s="1233">
        <f>SUM(T321:T334)</f>
        <v>30</v>
      </c>
      <c r="U336" s="1201"/>
      <c r="V336" s="1232"/>
      <c r="W336" s="1232"/>
      <c r="X336" s="1232"/>
      <c r="Y336" s="1233">
        <f>SUM(Y321:Y334)</f>
        <v>17.5</v>
      </c>
      <c r="Z336" s="1201"/>
      <c r="AA336" s="1202">
        <f>SUM(AA321:AA335)</f>
        <v>160</v>
      </c>
      <c r="AB336" s="1229">
        <f>SUM(AB321:AB328)</f>
        <v>4</v>
      </c>
      <c r="AC336" s="1166"/>
      <c r="AD336" s="1232"/>
      <c r="AE336" s="1232"/>
      <c r="AF336" s="1203"/>
      <c r="AG336" s="1166"/>
      <c r="AH336" s="1232"/>
      <c r="AI336" s="1232"/>
      <c r="AJ336" s="1203"/>
      <c r="AK336" s="1229">
        <f>SUM(AK321:AK334)</f>
        <v>47.5</v>
      </c>
      <c r="AL336" s="1166"/>
      <c r="AM336" s="1168"/>
      <c r="AO336" s="1204"/>
      <c r="AP336" s="1178"/>
      <c r="AQ336" s="1178"/>
      <c r="AR336" s="1178"/>
      <c r="AS336" s="1178"/>
      <c r="AT336" s="1178"/>
    </row>
    <row r="337" spans="1:53" s="1169" customFormat="1">
      <c r="A337" s="1164"/>
      <c r="B337" s="1230" t="s">
        <v>64</v>
      </c>
      <c r="C337" s="1206"/>
      <c r="D337" s="1206"/>
      <c r="E337" s="1207">
        <v>4</v>
      </c>
      <c r="F337" s="1207"/>
      <c r="G337" s="1208"/>
      <c r="H337" s="1206"/>
      <c r="I337" s="1206"/>
      <c r="J337" s="1207">
        <v>4</v>
      </c>
      <c r="K337" s="1207"/>
      <c r="L337" s="1209"/>
      <c r="M337" s="1206"/>
      <c r="N337" s="1206"/>
      <c r="O337" s="1207">
        <v>4</v>
      </c>
      <c r="P337" s="1207"/>
      <c r="Q337" s="1209"/>
      <c r="R337" s="1206"/>
      <c r="S337" s="1206"/>
      <c r="T337" s="1207">
        <v>3.5</v>
      </c>
      <c r="U337" s="1207"/>
      <c r="V337" s="1209"/>
      <c r="W337" s="1206"/>
      <c r="X337" s="1206"/>
      <c r="Y337" s="1207">
        <v>4</v>
      </c>
      <c r="Z337" s="1207"/>
      <c r="AA337" s="1203">
        <f>SUM(E337+J337+O337+T337+Y337)</f>
        <v>19.5</v>
      </c>
      <c r="AB337" s="1173">
        <f>Z337+U337+P337+K337+F337</f>
        <v>0</v>
      </c>
      <c r="AC337" s="1166"/>
      <c r="AD337" s="1206"/>
      <c r="AE337" s="1206"/>
      <c r="AF337" s="1207"/>
      <c r="AG337" s="1166"/>
      <c r="AH337" s="1206"/>
      <c r="AI337" s="1206"/>
      <c r="AJ337" s="1207"/>
      <c r="AK337" s="1203">
        <f>AJ337+AF337</f>
        <v>0</v>
      </c>
      <c r="AL337" s="1166"/>
      <c r="AM337" s="1168"/>
      <c r="AO337" s="1204"/>
      <c r="AP337" s="1178"/>
      <c r="AQ337" s="1178"/>
      <c r="AR337" s="1178"/>
      <c r="AS337" s="1178"/>
      <c r="AT337" s="1178"/>
    </row>
    <row r="338" spans="1:53" s="1169" customFormat="1">
      <c r="A338" s="1164"/>
      <c r="B338" s="1208" t="s">
        <v>66</v>
      </c>
      <c r="C338" s="1210"/>
      <c r="D338" s="1210"/>
      <c r="E338" s="1208"/>
      <c r="F338" s="1208"/>
      <c r="G338" s="1208"/>
      <c r="H338" s="1208"/>
      <c r="I338" s="1208"/>
      <c r="J338" s="1208"/>
      <c r="K338" s="1208"/>
      <c r="L338" s="1208"/>
      <c r="M338" s="1208"/>
      <c r="N338" s="1208"/>
      <c r="O338" s="1208"/>
      <c r="P338" s="1208"/>
      <c r="Q338" s="1208"/>
      <c r="R338" s="1208"/>
      <c r="S338" s="1208"/>
      <c r="T338" s="1208"/>
      <c r="U338" s="1208"/>
      <c r="V338" s="1208"/>
      <c r="W338" s="1208"/>
      <c r="X338" s="1208"/>
      <c r="Y338" s="1208"/>
      <c r="Z338" s="1208"/>
      <c r="AA338" s="1202">
        <f>SUM(AA337:AA337)</f>
        <v>19.5</v>
      </c>
      <c r="AB338" s="1203">
        <f>SUM(AB337:AB337)</f>
        <v>0</v>
      </c>
      <c r="AC338" s="1166"/>
      <c r="AG338" s="1166"/>
      <c r="AK338" s="1203">
        <f>SUM(AK337:AK337)</f>
        <v>0</v>
      </c>
      <c r="AL338" s="1166"/>
      <c r="AM338" s="1168"/>
      <c r="AO338" s="1204"/>
      <c r="AP338" s="1178"/>
      <c r="AQ338" s="1178"/>
      <c r="AR338" s="1178"/>
      <c r="AS338" s="1178"/>
      <c r="AT338" s="1178"/>
    </row>
    <row r="339" spans="1:53" s="1169" customFormat="1">
      <c r="A339" s="1164"/>
      <c r="B339" s="1212" t="s">
        <v>67</v>
      </c>
      <c r="C339" s="1213">
        <f>3+4+4+5+3</f>
        <v>19</v>
      </c>
      <c r="D339" s="1214"/>
      <c r="E339" s="1215"/>
      <c r="F339" s="1215"/>
      <c r="G339" s="1214"/>
      <c r="H339" s="1215"/>
      <c r="I339" s="1215"/>
      <c r="J339" s="1215"/>
      <c r="K339" s="1215"/>
      <c r="L339" s="1214"/>
      <c r="M339" s="1214"/>
      <c r="N339" s="1214"/>
      <c r="O339" s="1214"/>
      <c r="P339" s="1215"/>
      <c r="Q339" s="1214"/>
      <c r="R339" s="1214"/>
      <c r="S339" s="1214"/>
      <c r="T339" s="1214"/>
      <c r="U339" s="1215"/>
      <c r="V339" s="1214"/>
      <c r="W339" s="1214"/>
      <c r="X339" s="1214"/>
      <c r="Y339" s="1216"/>
      <c r="Z339" s="1215"/>
      <c r="AA339" s="1217"/>
      <c r="AB339" s="1215"/>
      <c r="AC339" s="1217"/>
      <c r="AD339" s="1217"/>
      <c r="AE339" s="1217"/>
      <c r="AF339" s="1217"/>
      <c r="AG339" s="1166"/>
      <c r="AH339" s="1217"/>
      <c r="AI339" s="1217"/>
      <c r="AJ339" s="1217"/>
      <c r="AK339" s="1217"/>
      <c r="AL339" s="1166"/>
      <c r="AM339" s="1168"/>
      <c r="AO339" s="1178"/>
      <c r="AP339" s="1178"/>
      <c r="AQ339" s="1178"/>
      <c r="AR339" s="1178"/>
      <c r="AS339" s="1178"/>
      <c r="AT339" s="1178"/>
    </row>
    <row r="340" spans="1:53" s="1169" customFormat="1">
      <c r="A340" s="1164"/>
      <c r="E340" s="1166"/>
      <c r="F340" s="1166"/>
      <c r="G340" s="1166"/>
      <c r="J340" s="1166"/>
      <c r="K340" s="1166"/>
      <c r="L340" s="1166"/>
      <c r="O340" s="1166"/>
      <c r="P340" s="1166"/>
      <c r="Q340" s="1166"/>
      <c r="T340" s="1166"/>
      <c r="U340" s="1166"/>
      <c r="V340" s="1166"/>
      <c r="Y340" s="1166"/>
      <c r="Z340" s="1166"/>
      <c r="AA340" s="1166"/>
      <c r="AB340" s="1166"/>
      <c r="AC340" s="1166"/>
      <c r="AG340" s="1166"/>
      <c r="AL340" s="1166"/>
      <c r="AM340" s="1168"/>
      <c r="AO340" s="1178"/>
      <c r="AP340" s="1178"/>
      <c r="AQ340" s="1178"/>
      <c r="AR340" s="1178"/>
      <c r="AS340" s="1178"/>
      <c r="AT340" s="1178"/>
    </row>
    <row r="341" spans="1:53" s="1169" customFormat="1">
      <c r="A341" s="1164"/>
      <c r="B341" s="1218"/>
      <c r="C341" s="1219"/>
      <c r="D341" s="1219"/>
      <c r="E341" s="1220"/>
      <c r="F341" s="1220"/>
      <c r="G341" s="1219"/>
      <c r="H341" s="1220"/>
      <c r="I341" s="1220"/>
      <c r="J341" s="1220"/>
      <c r="K341" s="1220"/>
      <c r="L341" s="1219"/>
      <c r="M341" s="1219"/>
      <c r="N341" s="1219"/>
      <c r="O341" s="1219"/>
      <c r="P341" s="1220"/>
      <c r="Q341" s="1219"/>
      <c r="R341" s="1219"/>
      <c r="S341" s="1219"/>
      <c r="T341" s="1219"/>
      <c r="U341" s="1220"/>
      <c r="V341" s="1219"/>
      <c r="W341" s="1219"/>
      <c r="X341" s="1219"/>
      <c r="Y341" s="1221"/>
      <c r="Z341" s="1220"/>
      <c r="AA341" s="1222"/>
      <c r="AB341" s="1220"/>
      <c r="AC341" s="1223"/>
      <c r="AD341" s="1224"/>
      <c r="AE341" s="1168"/>
      <c r="AF341" s="1168"/>
      <c r="AG341" s="1168"/>
      <c r="AH341" s="1224"/>
      <c r="AI341" s="1168"/>
      <c r="AJ341" s="1168"/>
      <c r="AK341" s="1168"/>
      <c r="AL341" s="1168"/>
      <c r="AM341" s="1168"/>
      <c r="AN341" s="1168"/>
      <c r="AO341" s="1168"/>
      <c r="AP341" s="1168"/>
      <c r="AQ341" s="1168"/>
      <c r="AR341" s="1168"/>
      <c r="AS341" s="1168"/>
      <c r="AT341" s="1168"/>
    </row>
    <row r="342" spans="1:53" s="1169" customFormat="1">
      <c r="A342" s="1164"/>
      <c r="E342" s="1166"/>
      <c r="F342" s="1166"/>
      <c r="G342" s="1166"/>
      <c r="J342" s="1166"/>
      <c r="K342" s="1166"/>
      <c r="L342" s="1166"/>
      <c r="O342" s="1166"/>
      <c r="P342" s="1166"/>
      <c r="Q342" s="1166"/>
      <c r="T342" s="1166"/>
      <c r="U342" s="1166"/>
      <c r="V342" s="1166"/>
      <c r="Y342" s="1166"/>
      <c r="Z342" s="1166"/>
      <c r="AA342" s="1166"/>
      <c r="AB342" s="1166"/>
      <c r="AC342" s="1166"/>
      <c r="AG342" s="1166"/>
      <c r="AL342" s="1166"/>
      <c r="AM342" s="1168"/>
      <c r="AO342" s="1178"/>
      <c r="AP342" s="1178"/>
      <c r="AQ342" s="1178"/>
      <c r="AR342" s="1178"/>
      <c r="AS342" s="1178"/>
      <c r="AT342" s="1178"/>
    </row>
    <row r="343" spans="1:53" s="1169" customFormat="1" ht="13.5" customHeight="1">
      <c r="A343" s="1164"/>
      <c r="B343" s="1608" t="s">
        <v>18</v>
      </c>
      <c r="C343" s="1574">
        <v>45943</v>
      </c>
      <c r="D343" s="1574"/>
      <c r="E343" s="1574" t="s">
        <v>564</v>
      </c>
      <c r="F343" s="1574"/>
      <c r="G343" s="1165"/>
      <c r="H343" s="1574">
        <v>45944</v>
      </c>
      <c r="I343" s="1574"/>
      <c r="J343" s="1574" t="s">
        <v>565</v>
      </c>
      <c r="K343" s="1574"/>
      <c r="L343" s="1165"/>
      <c r="M343" s="1574">
        <v>45945</v>
      </c>
      <c r="N343" s="1574"/>
      <c r="O343" s="1574" t="s">
        <v>566</v>
      </c>
      <c r="P343" s="1574"/>
      <c r="Q343" s="1165"/>
      <c r="R343" s="1574">
        <v>45946</v>
      </c>
      <c r="S343" s="1574"/>
      <c r="T343" s="1574" t="s">
        <v>567</v>
      </c>
      <c r="U343" s="1574"/>
      <c r="V343" s="1165"/>
      <c r="W343" s="1574">
        <v>45947</v>
      </c>
      <c r="X343" s="1574"/>
      <c r="Y343" s="1574" t="s">
        <v>568</v>
      </c>
      <c r="Z343" s="1574"/>
      <c r="AA343" s="1575" t="s">
        <v>19</v>
      </c>
      <c r="AB343" s="1575" t="s">
        <v>20</v>
      </c>
      <c r="AC343" s="1166"/>
      <c r="AD343" s="1574">
        <v>45948</v>
      </c>
      <c r="AE343" s="1574"/>
      <c r="AF343" s="1167" t="s">
        <v>569</v>
      </c>
      <c r="AG343" s="1166"/>
      <c r="AH343" s="1574">
        <v>45949</v>
      </c>
      <c r="AI343" s="1574"/>
      <c r="AJ343" s="1167" t="s">
        <v>570</v>
      </c>
      <c r="AK343" s="1575" t="s">
        <v>1420</v>
      </c>
      <c r="AL343" s="1166"/>
      <c r="AM343" s="1168"/>
      <c r="AO343" s="1170" t="s">
        <v>84</v>
      </c>
      <c r="AP343" s="1171"/>
      <c r="AQ343" s="1171"/>
      <c r="AR343" s="1171"/>
      <c r="AS343" s="1171"/>
      <c r="AT343" s="1171"/>
    </row>
    <row r="344" spans="1:53" s="1169" customFormat="1">
      <c r="A344" s="1164"/>
      <c r="B344" s="1608"/>
      <c r="C344" s="1172" t="s">
        <v>23</v>
      </c>
      <c r="D344" s="1172" t="s">
        <v>24</v>
      </c>
      <c r="E344" s="1173" t="s">
        <v>25</v>
      </c>
      <c r="F344" s="1174" t="s">
        <v>14</v>
      </c>
      <c r="G344" s="1166"/>
      <c r="H344" s="1172" t="s">
        <v>23</v>
      </c>
      <c r="I344" s="1172" t="s">
        <v>24</v>
      </c>
      <c r="J344" s="1174" t="s">
        <v>25</v>
      </c>
      <c r="K344" s="1174" t="s">
        <v>14</v>
      </c>
      <c r="L344" s="1166"/>
      <c r="M344" s="1172" t="s">
        <v>23</v>
      </c>
      <c r="N344" s="1172" t="s">
        <v>24</v>
      </c>
      <c r="O344" s="1174" t="s">
        <v>25</v>
      </c>
      <c r="P344" s="1174" t="s">
        <v>14</v>
      </c>
      <c r="Q344" s="1166"/>
      <c r="R344" s="1172" t="s">
        <v>23</v>
      </c>
      <c r="S344" s="1172" t="s">
        <v>24</v>
      </c>
      <c r="T344" s="1174" t="s">
        <v>25</v>
      </c>
      <c r="U344" s="1174" t="s">
        <v>14</v>
      </c>
      <c r="V344" s="1166"/>
      <c r="W344" s="1172" t="s">
        <v>23</v>
      </c>
      <c r="X344" s="1172" t="s">
        <v>24</v>
      </c>
      <c r="Y344" s="1174" t="s">
        <v>25</v>
      </c>
      <c r="Z344" s="1174" t="s">
        <v>14</v>
      </c>
      <c r="AA344" s="1575"/>
      <c r="AB344" s="1575"/>
      <c r="AC344" s="1166"/>
      <c r="AD344" s="1172" t="s">
        <v>23</v>
      </c>
      <c r="AE344" s="1172" t="s">
        <v>24</v>
      </c>
      <c r="AF344" s="1174" t="s">
        <v>25</v>
      </c>
      <c r="AG344" s="1166"/>
      <c r="AH344" s="1172" t="s">
        <v>23</v>
      </c>
      <c r="AI344" s="1172" t="s">
        <v>24</v>
      </c>
      <c r="AJ344" s="1174" t="s">
        <v>25</v>
      </c>
      <c r="AK344" s="1575"/>
      <c r="AL344" s="1166"/>
      <c r="AM344" s="1168"/>
      <c r="AO344" s="1175" t="s">
        <v>26</v>
      </c>
      <c r="AP344" s="1176">
        <f>AA360</f>
        <v>151.75</v>
      </c>
      <c r="AQ344" s="1177">
        <v>40.31</v>
      </c>
      <c r="AR344" s="1177">
        <f t="shared" ref="AR344:AR349" si="82">AP344*AQ344</f>
        <v>6117.0425000000005</v>
      </c>
      <c r="AS344" s="1178"/>
      <c r="AT344" s="1178"/>
    </row>
    <row r="345" spans="1:53" s="1169" customFormat="1" ht="13.5" customHeight="1">
      <c r="A345" s="1164"/>
      <c r="B345" s="1166" t="s">
        <v>1064</v>
      </c>
      <c r="C345" s="1206"/>
      <c r="D345" s="1206"/>
      <c r="E345" s="1207"/>
      <c r="F345" s="1201"/>
      <c r="G345" s="1166"/>
      <c r="H345" s="1206">
        <v>0.51041666666666663</v>
      </c>
      <c r="I345" s="1206">
        <v>0.41666666666666669</v>
      </c>
      <c r="J345" s="1207">
        <v>8</v>
      </c>
      <c r="K345" s="1201">
        <v>1</v>
      </c>
      <c r="L345" s="1166"/>
      <c r="M345" s="1206">
        <v>0.52083333333333337</v>
      </c>
      <c r="N345" s="1206">
        <v>0.27083333333333331</v>
      </c>
      <c r="O345" s="1207">
        <v>6</v>
      </c>
      <c r="P345" s="1201"/>
      <c r="Q345" s="1166"/>
      <c r="R345" s="1206">
        <v>0.52083333333333337</v>
      </c>
      <c r="S345" s="1206"/>
      <c r="T345" s="1207">
        <v>6</v>
      </c>
      <c r="U345" s="1201"/>
      <c r="V345" s="1166"/>
      <c r="W345" s="1206"/>
      <c r="X345" s="1206"/>
      <c r="Y345" s="1207"/>
      <c r="Z345" s="1201"/>
      <c r="AA345" s="1203">
        <f>(E345+J345+O345+T345+Y345)</f>
        <v>20</v>
      </c>
      <c r="AB345" s="1225">
        <f>Z345+U345+P345+K345+F345</f>
        <v>1</v>
      </c>
      <c r="AC345" s="1166"/>
      <c r="AD345" s="1206"/>
      <c r="AE345" s="1206"/>
      <c r="AF345" s="1207"/>
      <c r="AG345" s="1166"/>
      <c r="AH345" s="1206"/>
      <c r="AI345" s="1206"/>
      <c r="AJ345" s="1207"/>
      <c r="AK345" s="1203">
        <f t="shared" ref="AK345:AK359" si="83">AJ345+AF345</f>
        <v>0</v>
      </c>
      <c r="AL345" s="1166"/>
      <c r="AM345" s="1168"/>
      <c r="AO345" s="1175" t="s">
        <v>30</v>
      </c>
      <c r="AP345" s="1176">
        <f>AB360</f>
        <v>1</v>
      </c>
      <c r="AQ345" s="1177">
        <v>60.465000000000003</v>
      </c>
      <c r="AR345" s="1177">
        <f t="shared" si="82"/>
        <v>60.465000000000003</v>
      </c>
      <c r="AS345" s="1178"/>
      <c r="AT345" s="1178"/>
    </row>
    <row r="346" spans="1:53" s="1169" customFormat="1">
      <c r="A346" s="1164"/>
      <c r="B346" s="1206" t="s">
        <v>1441</v>
      </c>
      <c r="C346" s="1206"/>
      <c r="D346" s="1206"/>
      <c r="E346" s="1207"/>
      <c r="F346" s="1201"/>
      <c r="G346" s="1166"/>
      <c r="H346" s="1206">
        <v>0.33333333333333331</v>
      </c>
      <c r="I346" s="1206">
        <v>0.16666666666666666</v>
      </c>
      <c r="J346" s="1207">
        <v>8</v>
      </c>
      <c r="K346" s="1201"/>
      <c r="L346" s="1166"/>
      <c r="M346" s="1206">
        <v>0.33333333333333331</v>
      </c>
      <c r="N346" s="1206">
        <v>0.16666666666666666</v>
      </c>
      <c r="O346" s="1207">
        <v>8</v>
      </c>
      <c r="P346" s="1201"/>
      <c r="Q346" s="1166"/>
      <c r="R346" s="1206"/>
      <c r="S346" s="1206"/>
      <c r="T346" s="1207"/>
      <c r="U346" s="1201"/>
      <c r="V346" s="1166"/>
      <c r="W346" s="1206"/>
      <c r="X346" s="1206"/>
      <c r="Y346" s="1207"/>
      <c r="Z346" s="1201"/>
      <c r="AA346" s="1203">
        <f t="shared" ref="AA346:AA359" si="84">(E346+J346+O346+T346+Y346)</f>
        <v>16</v>
      </c>
      <c r="AB346" s="1225">
        <f t="shared" ref="AB346:AB359" si="85">Z346+U346+P346+K346+F346</f>
        <v>0</v>
      </c>
      <c r="AC346" s="1166"/>
      <c r="AD346" s="1206"/>
      <c r="AE346" s="1206"/>
      <c r="AF346" s="1207"/>
      <c r="AG346" s="1166"/>
      <c r="AH346" s="1206"/>
      <c r="AI346" s="1206"/>
      <c r="AJ346" s="1207"/>
      <c r="AK346" s="1203">
        <f t="shared" si="83"/>
        <v>0</v>
      </c>
      <c r="AL346" s="1166"/>
      <c r="AM346" s="1168"/>
      <c r="AO346" s="1175" t="s">
        <v>32</v>
      </c>
      <c r="AP346" s="1176">
        <f>AK360</f>
        <v>0</v>
      </c>
      <c r="AQ346" s="1177">
        <v>60.465000000000003</v>
      </c>
      <c r="AR346" s="1177">
        <f t="shared" si="82"/>
        <v>0</v>
      </c>
      <c r="AS346" s="1178"/>
      <c r="AT346" s="1178"/>
    </row>
    <row r="347" spans="1:53" s="1178" customFormat="1">
      <c r="A347" s="1164"/>
      <c r="B347" s="1206" t="s">
        <v>1444</v>
      </c>
      <c r="C347" s="1206"/>
      <c r="D347" s="1206"/>
      <c r="E347" s="1207"/>
      <c r="F347" s="1201"/>
      <c r="G347" s="1166"/>
      <c r="H347" s="1206">
        <v>0.5</v>
      </c>
      <c r="I347" s="1206">
        <v>0.25</v>
      </c>
      <c r="J347" s="1207">
        <v>6</v>
      </c>
      <c r="K347" s="1201"/>
      <c r="L347" s="1166"/>
      <c r="M347" s="1206">
        <v>9.375E-2</v>
      </c>
      <c r="N347" s="1206"/>
      <c r="O347" s="1207">
        <v>5.25</v>
      </c>
      <c r="P347" s="1201"/>
      <c r="Q347" s="1166"/>
      <c r="R347" s="1206">
        <v>0.5</v>
      </c>
      <c r="S347" s="1206">
        <v>0.25</v>
      </c>
      <c r="T347" s="1207">
        <v>6</v>
      </c>
      <c r="U347" s="1201"/>
      <c r="V347" s="1166"/>
      <c r="W347" s="1235"/>
      <c r="X347" s="1235"/>
      <c r="Y347" s="1207">
        <v>8</v>
      </c>
      <c r="Z347" s="1201"/>
      <c r="AA347" s="1203">
        <f t="shared" si="84"/>
        <v>25.25</v>
      </c>
      <c r="AB347" s="1225">
        <f t="shared" si="85"/>
        <v>0</v>
      </c>
      <c r="AC347" s="1166"/>
      <c r="AD347" s="1206"/>
      <c r="AE347" s="1206"/>
      <c r="AF347" s="1207"/>
      <c r="AG347" s="1166"/>
      <c r="AH347" s="1206"/>
      <c r="AI347" s="1206"/>
      <c r="AJ347" s="1207"/>
      <c r="AK347" s="1203">
        <f t="shared" si="83"/>
        <v>0</v>
      </c>
      <c r="AL347" s="1166"/>
      <c r="AM347" s="1168"/>
      <c r="AN347" s="1169"/>
      <c r="AO347" s="1175" t="s">
        <v>213</v>
      </c>
      <c r="AP347" s="1176">
        <f>AA361</f>
        <v>20</v>
      </c>
      <c r="AQ347" s="1177">
        <v>53.05</v>
      </c>
      <c r="AR347" s="1177">
        <f t="shared" si="82"/>
        <v>1061</v>
      </c>
      <c r="AU347" s="1169"/>
      <c r="AV347" s="1169"/>
      <c r="AW347" s="1169"/>
      <c r="AX347" s="1169"/>
      <c r="AY347" s="1169"/>
      <c r="AZ347" s="1169"/>
      <c r="BA347" s="1169"/>
    </row>
    <row r="348" spans="1:53" s="1178" customFormat="1">
      <c r="A348" s="1164"/>
      <c r="B348" s="1210" t="s">
        <v>1447</v>
      </c>
      <c r="C348" s="1206"/>
      <c r="D348" s="1206"/>
      <c r="E348" s="1207"/>
      <c r="F348" s="1201"/>
      <c r="G348" s="1206"/>
      <c r="H348" s="1206">
        <v>0.16666666666666666</v>
      </c>
      <c r="I348" s="1206">
        <v>0.41666666666666669</v>
      </c>
      <c r="J348" s="1207">
        <v>6</v>
      </c>
      <c r="K348" s="1201"/>
      <c r="L348" s="1166"/>
      <c r="M348" s="1206"/>
      <c r="N348" s="1206"/>
      <c r="O348" s="1207"/>
      <c r="P348" s="1201"/>
      <c r="Q348" s="1166"/>
      <c r="R348" s="1206">
        <v>0.16666666666666666</v>
      </c>
      <c r="S348" s="1206">
        <v>0.39583333333333331</v>
      </c>
      <c r="T348" s="1207">
        <v>5.5</v>
      </c>
      <c r="U348" s="1201"/>
      <c r="V348" s="1166"/>
      <c r="W348" s="1206"/>
      <c r="X348" s="1206"/>
      <c r="Y348" s="1207"/>
      <c r="Z348" s="1201"/>
      <c r="AA348" s="1203">
        <f t="shared" si="84"/>
        <v>11.5</v>
      </c>
      <c r="AB348" s="1225">
        <f t="shared" si="85"/>
        <v>0</v>
      </c>
      <c r="AC348" s="1166"/>
      <c r="AD348" s="1206"/>
      <c r="AE348" s="1206"/>
      <c r="AF348" s="1207"/>
      <c r="AG348" s="1166"/>
      <c r="AH348" s="1226"/>
      <c r="AI348" s="1206"/>
      <c r="AJ348" s="1207"/>
      <c r="AK348" s="1203">
        <f t="shared" si="83"/>
        <v>0</v>
      </c>
      <c r="AL348" s="1166"/>
      <c r="AM348" s="1168"/>
      <c r="AN348" s="1169"/>
      <c r="AO348" s="1175" t="s">
        <v>36</v>
      </c>
      <c r="AP348" s="1176">
        <f>AB361</f>
        <v>0.5</v>
      </c>
      <c r="AQ348" s="1177">
        <v>79.574999999999989</v>
      </c>
      <c r="AR348" s="1177">
        <f t="shared" si="82"/>
        <v>39.787499999999994</v>
      </c>
      <c r="AU348" s="1169"/>
      <c r="AV348" s="1169"/>
      <c r="AW348" s="1169"/>
      <c r="AX348" s="1169"/>
      <c r="AY348" s="1169"/>
      <c r="AZ348" s="1169"/>
      <c r="BA348" s="1169"/>
    </row>
    <row r="349" spans="1:53" s="1178" customFormat="1">
      <c r="A349" s="1164"/>
      <c r="B349" s="1210" t="s">
        <v>1141</v>
      </c>
      <c r="C349" s="1206">
        <v>0.52083333333333337</v>
      </c>
      <c r="D349" s="1206">
        <v>0.25</v>
      </c>
      <c r="E349" s="1207">
        <v>5.5</v>
      </c>
      <c r="F349" s="1201"/>
      <c r="G349" s="1166"/>
      <c r="H349" s="1206">
        <v>0.16666666666666666</v>
      </c>
      <c r="I349" s="1206">
        <v>0.41666666666666669</v>
      </c>
      <c r="J349" s="1207">
        <v>6</v>
      </c>
      <c r="K349" s="1201"/>
      <c r="L349" s="1166"/>
      <c r="M349" s="1206"/>
      <c r="N349" s="1206"/>
      <c r="O349" s="1207"/>
      <c r="P349" s="1201"/>
      <c r="Q349" s="1166"/>
      <c r="R349" s="1206">
        <v>0.28125</v>
      </c>
      <c r="S349" s="1206">
        <v>0.125</v>
      </c>
      <c r="T349" s="1207">
        <v>8</v>
      </c>
      <c r="U349" s="1201"/>
      <c r="V349" s="1166"/>
      <c r="W349" s="1206">
        <v>0.29166666666666669</v>
      </c>
      <c r="X349" s="1206">
        <v>0.125</v>
      </c>
      <c r="Y349" s="1207">
        <v>8</v>
      </c>
      <c r="Z349" s="1201"/>
      <c r="AA349" s="1203">
        <f t="shared" si="84"/>
        <v>27.5</v>
      </c>
      <c r="AB349" s="1225">
        <f t="shared" si="85"/>
        <v>0</v>
      </c>
      <c r="AC349" s="1166"/>
      <c r="AD349" s="1206"/>
      <c r="AE349" s="1206"/>
      <c r="AF349" s="1207"/>
      <c r="AG349" s="1166"/>
      <c r="AH349" s="1206"/>
      <c r="AI349" s="1206"/>
      <c r="AJ349" s="1207"/>
      <c r="AK349" s="1203">
        <f t="shared" si="83"/>
        <v>0</v>
      </c>
      <c r="AL349" s="1166"/>
      <c r="AM349" s="1168"/>
      <c r="AN349" s="1169"/>
      <c r="AO349" s="1175" t="s">
        <v>38</v>
      </c>
      <c r="AP349" s="1176">
        <f>AK361</f>
        <v>0</v>
      </c>
      <c r="AQ349" s="1177">
        <v>79.574999999999989</v>
      </c>
      <c r="AR349" s="1177">
        <f t="shared" si="82"/>
        <v>0</v>
      </c>
      <c r="AU349" s="1169"/>
      <c r="AV349" s="1169"/>
      <c r="AW349" s="1169"/>
      <c r="AX349" s="1169"/>
      <c r="AY349" s="1169"/>
      <c r="AZ349" s="1169"/>
      <c r="BA349" s="1169"/>
    </row>
    <row r="350" spans="1:53" s="1178" customFormat="1">
      <c r="A350" s="1164"/>
      <c r="B350" s="1210" t="s">
        <v>1140</v>
      </c>
      <c r="C350" s="1206"/>
      <c r="D350" s="1206"/>
      <c r="E350" s="1207"/>
      <c r="F350" s="1201"/>
      <c r="G350" s="1166"/>
      <c r="H350" s="1206">
        <v>0.3125</v>
      </c>
      <c r="I350" s="1206">
        <v>4.1666666666666664E-2</v>
      </c>
      <c r="J350" s="1207">
        <v>5.5</v>
      </c>
      <c r="K350" s="1201"/>
      <c r="L350" s="1166"/>
      <c r="M350" s="1206">
        <v>0.47916666666666669</v>
      </c>
      <c r="N350" s="1206">
        <v>0.22916666666666666</v>
      </c>
      <c r="O350" s="1207">
        <v>6</v>
      </c>
      <c r="P350" s="1201"/>
      <c r="Q350" s="1166"/>
      <c r="R350" s="1206"/>
      <c r="S350" s="1206"/>
      <c r="T350" s="1207"/>
      <c r="U350" s="1201"/>
      <c r="V350" s="1166"/>
      <c r="W350" s="1206"/>
      <c r="X350" s="1206"/>
      <c r="Y350" s="1207"/>
      <c r="Z350" s="1201"/>
      <c r="AA350" s="1203">
        <f t="shared" si="84"/>
        <v>11.5</v>
      </c>
      <c r="AB350" s="1225">
        <f t="shared" si="85"/>
        <v>0</v>
      </c>
      <c r="AC350" s="1166"/>
      <c r="AD350" s="1206"/>
      <c r="AE350" s="1206"/>
      <c r="AF350" s="1207"/>
      <c r="AG350" s="1166"/>
      <c r="AH350" s="1206"/>
      <c r="AI350" s="1206"/>
      <c r="AJ350" s="1207"/>
      <c r="AK350" s="1203">
        <f t="shared" si="83"/>
        <v>0</v>
      </c>
      <c r="AL350" s="1166"/>
      <c r="AM350" s="1168"/>
      <c r="AN350" s="1169"/>
      <c r="AP350" s="1176"/>
      <c r="AR350" s="1227">
        <f>SUM(AR344:AR349)</f>
        <v>7278.295000000001</v>
      </c>
      <c r="AU350" s="1169"/>
      <c r="AV350" s="1169"/>
      <c r="AW350" s="1169"/>
      <c r="AX350" s="1169"/>
      <c r="AY350" s="1169"/>
      <c r="AZ350" s="1169"/>
      <c r="BA350" s="1169"/>
    </row>
    <row r="351" spans="1:53" s="1178" customFormat="1">
      <c r="A351" s="1164"/>
      <c r="B351" s="1210" t="s">
        <v>53</v>
      </c>
      <c r="C351" s="1206"/>
      <c r="D351" s="1206"/>
      <c r="E351" s="1207"/>
      <c r="F351" s="1201"/>
      <c r="G351" s="1166"/>
      <c r="H351" s="1206"/>
      <c r="I351" s="1206"/>
      <c r="J351" s="1207"/>
      <c r="K351" s="1201"/>
      <c r="L351" s="1166"/>
      <c r="M351" s="1206"/>
      <c r="N351" s="1206"/>
      <c r="O351" s="1207"/>
      <c r="P351" s="1201"/>
      <c r="Q351" s="1166"/>
      <c r="R351" s="1169"/>
      <c r="S351" s="1206"/>
      <c r="T351" s="1207"/>
      <c r="U351" s="1201"/>
      <c r="V351" s="1166"/>
      <c r="W351" s="1206"/>
      <c r="X351" s="1206"/>
      <c r="Y351" s="1207"/>
      <c r="Z351" s="1201"/>
      <c r="AA351" s="1203">
        <f t="shared" si="84"/>
        <v>0</v>
      </c>
      <c r="AB351" s="1225">
        <f t="shared" si="85"/>
        <v>0</v>
      </c>
      <c r="AC351" s="1166"/>
      <c r="AD351" s="1206"/>
      <c r="AE351" s="1206"/>
      <c r="AF351" s="1207"/>
      <c r="AG351" s="1166"/>
      <c r="AH351" s="1226"/>
      <c r="AI351" s="1206"/>
      <c r="AJ351" s="1207"/>
      <c r="AK351" s="1203">
        <f t="shared" si="83"/>
        <v>0</v>
      </c>
      <c r="AL351" s="1166"/>
      <c r="AM351" s="1168"/>
      <c r="AN351" s="1169"/>
      <c r="AP351" s="1176"/>
      <c r="AU351" s="1169"/>
      <c r="AV351" s="1169"/>
      <c r="AW351" s="1169"/>
      <c r="AX351" s="1169"/>
      <c r="AY351" s="1169"/>
      <c r="AZ351" s="1169"/>
      <c r="BA351" s="1169"/>
    </row>
    <row r="352" spans="1:53" s="1178" customFormat="1">
      <c r="A352" s="1164"/>
      <c r="B352" s="1210" t="s">
        <v>1455</v>
      </c>
      <c r="C352" s="1206"/>
      <c r="D352" s="1206"/>
      <c r="E352" s="1207"/>
      <c r="F352" s="1201"/>
      <c r="G352" s="1166"/>
      <c r="H352" s="1206"/>
      <c r="I352" s="1206"/>
      <c r="J352" s="1207"/>
      <c r="K352" s="1201"/>
      <c r="L352" s="1166"/>
      <c r="M352" s="1206"/>
      <c r="N352" s="1206"/>
      <c r="O352" s="1207"/>
      <c r="P352" s="1201"/>
      <c r="Q352" s="1166"/>
      <c r="R352" s="1206"/>
      <c r="S352" s="1206"/>
      <c r="T352" s="1207"/>
      <c r="U352" s="1201"/>
      <c r="V352" s="1166"/>
      <c r="W352" s="1206"/>
      <c r="X352" s="1206"/>
      <c r="Y352" s="1207"/>
      <c r="Z352" s="1201"/>
      <c r="AA352" s="1203">
        <f t="shared" si="84"/>
        <v>0</v>
      </c>
      <c r="AB352" s="1225">
        <f t="shared" si="85"/>
        <v>0</v>
      </c>
      <c r="AC352" s="1166"/>
      <c r="AD352" s="1206"/>
      <c r="AE352" s="1206"/>
      <c r="AF352" s="1207"/>
      <c r="AG352" s="1166"/>
      <c r="AH352" s="1206"/>
      <c r="AI352" s="1206"/>
      <c r="AJ352" s="1207"/>
      <c r="AK352" s="1203">
        <f t="shared" si="83"/>
        <v>0</v>
      </c>
      <c r="AL352" s="1166"/>
      <c r="AM352" s="1168"/>
      <c r="AN352" s="1169"/>
      <c r="AO352" s="1228" t="s">
        <v>1115</v>
      </c>
      <c r="AP352" s="1176">
        <f>C363</f>
        <v>16</v>
      </c>
      <c r="AU352" s="1169"/>
      <c r="AV352" s="1169"/>
      <c r="AW352" s="1169"/>
      <c r="AX352" s="1169"/>
      <c r="AY352" s="1169"/>
      <c r="AZ352" s="1169"/>
      <c r="BA352" s="1169"/>
    </row>
    <row r="353" spans="1:53" s="1178" customFormat="1">
      <c r="A353" s="1164"/>
      <c r="B353" s="1210" t="s">
        <v>1437</v>
      </c>
      <c r="C353" s="1206"/>
      <c r="D353" s="1206"/>
      <c r="E353" s="1207"/>
      <c r="F353" s="1201"/>
      <c r="G353" s="1166"/>
      <c r="H353" s="1206"/>
      <c r="I353" s="1206"/>
      <c r="J353" s="1207"/>
      <c r="K353" s="1201"/>
      <c r="L353" s="1166"/>
      <c r="M353" s="1206"/>
      <c r="N353" s="1206"/>
      <c r="O353" s="1207"/>
      <c r="P353" s="1201"/>
      <c r="Q353" s="1166"/>
      <c r="R353" s="1206"/>
      <c r="S353" s="1206"/>
      <c r="T353" s="1207"/>
      <c r="U353" s="1201"/>
      <c r="V353" s="1166"/>
      <c r="W353" s="1206"/>
      <c r="X353" s="1206"/>
      <c r="Y353" s="1207"/>
      <c r="Z353" s="1201"/>
      <c r="AA353" s="1203">
        <f t="shared" si="84"/>
        <v>0</v>
      </c>
      <c r="AB353" s="1225">
        <f t="shared" si="85"/>
        <v>0</v>
      </c>
      <c r="AC353" s="1166"/>
      <c r="AD353" s="1206"/>
      <c r="AE353" s="1206"/>
      <c r="AF353" s="1207"/>
      <c r="AG353" s="1166"/>
      <c r="AH353" s="1206"/>
      <c r="AI353" s="1206"/>
      <c r="AJ353" s="1207"/>
      <c r="AK353" s="1203">
        <f t="shared" si="83"/>
        <v>0</v>
      </c>
      <c r="AL353" s="1166"/>
      <c r="AM353" s="1168"/>
      <c r="AN353" s="1169"/>
      <c r="AO353" s="1228"/>
      <c r="AP353" s="1176"/>
      <c r="AU353" s="1169"/>
      <c r="AV353" s="1169"/>
      <c r="AW353" s="1169"/>
      <c r="AX353" s="1169"/>
      <c r="AY353" s="1169"/>
      <c r="AZ353" s="1169"/>
      <c r="BA353" s="1169"/>
    </row>
    <row r="354" spans="1:53" s="1178" customFormat="1">
      <c r="A354" s="1164"/>
      <c r="B354" s="1210" t="s">
        <v>1456</v>
      </c>
      <c r="C354" s="1206"/>
      <c r="D354" s="1206"/>
      <c r="E354" s="1207"/>
      <c r="F354" s="1201"/>
      <c r="G354" s="1166"/>
      <c r="H354" s="1206"/>
      <c r="I354" s="1206"/>
      <c r="J354" s="1207"/>
      <c r="K354" s="1201"/>
      <c r="L354" s="1166"/>
      <c r="M354" s="1206"/>
      <c r="N354" s="1206"/>
      <c r="O354" s="1207"/>
      <c r="P354" s="1201"/>
      <c r="Q354" s="1166"/>
      <c r="R354" s="1206"/>
      <c r="S354" s="1206"/>
      <c r="T354" s="1207"/>
      <c r="U354" s="1201"/>
      <c r="V354" s="1166"/>
      <c r="W354" s="1206"/>
      <c r="X354" s="1206"/>
      <c r="Y354" s="1207"/>
      <c r="Z354" s="1201"/>
      <c r="AA354" s="1203">
        <f t="shared" si="84"/>
        <v>0</v>
      </c>
      <c r="AB354" s="1225">
        <f t="shared" si="85"/>
        <v>0</v>
      </c>
      <c r="AC354" s="1166"/>
      <c r="AD354" s="1206"/>
      <c r="AE354" s="1206"/>
      <c r="AF354" s="1207"/>
      <c r="AG354" s="1166"/>
      <c r="AH354" s="1206"/>
      <c r="AI354" s="1206"/>
      <c r="AJ354" s="1207"/>
      <c r="AK354" s="1203">
        <f t="shared" si="83"/>
        <v>0</v>
      </c>
      <c r="AL354" s="1166"/>
      <c r="AM354" s="1168"/>
      <c r="AN354" s="1169"/>
      <c r="AO354" s="1228"/>
      <c r="AP354" s="1176"/>
      <c r="AU354" s="1169"/>
      <c r="AV354" s="1169"/>
      <c r="AW354" s="1169"/>
      <c r="AX354" s="1169"/>
      <c r="AY354" s="1169"/>
      <c r="AZ354" s="1169"/>
      <c r="BA354" s="1169"/>
    </row>
    <row r="355" spans="1:53" s="1178" customFormat="1">
      <c r="A355" s="1164"/>
      <c r="B355" s="1210" t="s">
        <v>1143</v>
      </c>
      <c r="C355" s="1206"/>
      <c r="D355" s="1206"/>
      <c r="E355" s="1207"/>
      <c r="F355" s="1201"/>
      <c r="G355" s="1166"/>
      <c r="H355" s="1206"/>
      <c r="I355" s="1206"/>
      <c r="J355" s="1207"/>
      <c r="K355" s="1201"/>
      <c r="L355" s="1166"/>
      <c r="M355" s="1206"/>
      <c r="N355" s="1206"/>
      <c r="O355" s="1207"/>
      <c r="P355" s="1201"/>
      <c r="Q355" s="1166"/>
      <c r="R355" s="1206"/>
      <c r="S355" s="1206"/>
      <c r="T355" s="1207"/>
      <c r="U355" s="1201"/>
      <c r="V355" s="1166"/>
      <c r="W355" s="1206"/>
      <c r="X355" s="1206"/>
      <c r="Y355" s="1207"/>
      <c r="Z355" s="1201"/>
      <c r="AA355" s="1203">
        <f t="shared" si="84"/>
        <v>0</v>
      </c>
      <c r="AB355" s="1225">
        <f t="shared" si="85"/>
        <v>0</v>
      </c>
      <c r="AC355" s="1166"/>
      <c r="AD355" s="1206"/>
      <c r="AE355" s="1206"/>
      <c r="AF355" s="1207"/>
      <c r="AG355" s="1166"/>
      <c r="AH355" s="1206"/>
      <c r="AI355" s="1206"/>
      <c r="AJ355" s="1207"/>
      <c r="AK355" s="1203">
        <f t="shared" si="83"/>
        <v>0</v>
      </c>
      <c r="AL355" s="1166"/>
      <c r="AM355" s="1168"/>
      <c r="AN355" s="1169"/>
      <c r="AO355" s="1228"/>
      <c r="AP355" s="1176"/>
      <c r="AU355" s="1169"/>
      <c r="AV355" s="1169"/>
      <c r="AW355" s="1169"/>
      <c r="AX355" s="1169"/>
      <c r="AY355" s="1169"/>
      <c r="AZ355" s="1169"/>
      <c r="BA355" s="1169"/>
    </row>
    <row r="356" spans="1:53" s="1178" customFormat="1">
      <c r="A356" s="1164"/>
      <c r="B356" s="1206" t="s">
        <v>1144</v>
      </c>
      <c r="C356" s="1206"/>
      <c r="D356" s="1206"/>
      <c r="E356" s="1207"/>
      <c r="F356" s="1201"/>
      <c r="G356" s="1166"/>
      <c r="H356" s="1206"/>
      <c r="I356" s="1206"/>
      <c r="J356" s="1207"/>
      <c r="K356" s="1201"/>
      <c r="L356" s="1166"/>
      <c r="M356" s="1206"/>
      <c r="N356" s="1206"/>
      <c r="O356" s="1207"/>
      <c r="P356" s="1201"/>
      <c r="Q356" s="1166"/>
      <c r="R356" s="1206"/>
      <c r="S356" s="1206"/>
      <c r="T356" s="1207"/>
      <c r="U356" s="1201"/>
      <c r="V356" s="1166"/>
      <c r="W356" s="1206"/>
      <c r="X356" s="1206"/>
      <c r="Y356" s="1207"/>
      <c r="Z356" s="1201"/>
      <c r="AA356" s="1203">
        <f t="shared" si="84"/>
        <v>0</v>
      </c>
      <c r="AB356" s="1225">
        <f t="shared" si="85"/>
        <v>0</v>
      </c>
      <c r="AC356" s="1166"/>
      <c r="AD356" s="1206"/>
      <c r="AE356" s="1206"/>
      <c r="AF356" s="1207"/>
      <c r="AG356" s="1166"/>
      <c r="AH356" s="1206"/>
      <c r="AI356" s="1206"/>
      <c r="AJ356" s="1207"/>
      <c r="AK356" s="1203">
        <f t="shared" si="83"/>
        <v>0</v>
      </c>
      <c r="AL356" s="1166"/>
      <c r="AM356" s="1168"/>
      <c r="AN356" s="1169"/>
      <c r="AO356" s="1228"/>
      <c r="AP356" s="1176"/>
      <c r="AU356" s="1169"/>
      <c r="AV356" s="1169"/>
      <c r="AW356" s="1169"/>
      <c r="AX356" s="1169"/>
      <c r="AY356" s="1169"/>
      <c r="AZ356" s="1169"/>
      <c r="BA356" s="1169"/>
    </row>
    <row r="357" spans="1:53" s="1178" customFormat="1">
      <c r="A357" s="1164"/>
      <c r="B357" s="1193" t="s">
        <v>1440</v>
      </c>
      <c r="C357" s="1206"/>
      <c r="D357" s="1206"/>
      <c r="E357" s="1207"/>
      <c r="F357" s="1201"/>
      <c r="G357" s="1166"/>
      <c r="H357" s="1206"/>
      <c r="I357" s="1206"/>
      <c r="J357" s="1207"/>
      <c r="K357" s="1201"/>
      <c r="L357" s="1166"/>
      <c r="M357" s="1206"/>
      <c r="N357" s="1206"/>
      <c r="O357" s="1207"/>
      <c r="P357" s="1201"/>
      <c r="Q357" s="1166"/>
      <c r="R357" s="1206"/>
      <c r="S357" s="1206"/>
      <c r="T357" s="1207"/>
      <c r="U357" s="1201"/>
      <c r="V357" s="1166"/>
      <c r="W357" s="1206"/>
      <c r="X357" s="1206"/>
      <c r="Y357" s="1207"/>
      <c r="Z357" s="1201"/>
      <c r="AA357" s="1203">
        <f t="shared" si="84"/>
        <v>0</v>
      </c>
      <c r="AB357" s="1225">
        <f t="shared" si="85"/>
        <v>0</v>
      </c>
      <c r="AC357" s="1166"/>
      <c r="AD357" s="1206"/>
      <c r="AE357" s="1206"/>
      <c r="AF357" s="1207"/>
      <c r="AG357" s="1166"/>
      <c r="AH357" s="1206"/>
      <c r="AI357" s="1206"/>
      <c r="AJ357" s="1207"/>
      <c r="AK357" s="1203">
        <f t="shared" si="83"/>
        <v>0</v>
      </c>
      <c r="AL357" s="1166"/>
      <c r="AM357" s="1168"/>
      <c r="AN357" s="1169"/>
      <c r="AO357" s="1228"/>
      <c r="AP357" s="1176"/>
      <c r="AU357" s="1169"/>
      <c r="AV357" s="1169"/>
      <c r="AW357" s="1169"/>
      <c r="AX357" s="1169"/>
      <c r="AY357" s="1169"/>
      <c r="AZ357" s="1169"/>
      <c r="BA357" s="1169"/>
    </row>
    <row r="358" spans="1:53" s="1178" customFormat="1">
      <c r="A358" s="1164"/>
      <c r="B358" s="1210" t="s">
        <v>1435</v>
      </c>
      <c r="C358" s="1206"/>
      <c r="D358" s="1206"/>
      <c r="E358" s="1207"/>
      <c r="F358" s="1201"/>
      <c r="G358" s="1166"/>
      <c r="H358" s="1206"/>
      <c r="I358" s="1206"/>
      <c r="J358" s="1207"/>
      <c r="K358" s="1201"/>
      <c r="L358" s="1166"/>
      <c r="M358" s="1206"/>
      <c r="N358" s="1206"/>
      <c r="O358" s="1207"/>
      <c r="P358" s="1201"/>
      <c r="Q358" s="1166"/>
      <c r="R358" s="1206"/>
      <c r="S358" s="1206"/>
      <c r="T358" s="1207"/>
      <c r="U358" s="1201"/>
      <c r="V358" s="1166"/>
      <c r="W358" s="1206"/>
      <c r="X358" s="1206"/>
      <c r="Y358" s="1207"/>
      <c r="Z358" s="1201"/>
      <c r="AA358" s="1203">
        <f t="shared" si="84"/>
        <v>0</v>
      </c>
      <c r="AB358" s="1225">
        <f t="shared" si="85"/>
        <v>0</v>
      </c>
      <c r="AC358" s="1166"/>
      <c r="AD358" s="1206"/>
      <c r="AE358" s="1206"/>
      <c r="AF358" s="1207"/>
      <c r="AG358" s="1166"/>
      <c r="AH358" s="1206"/>
      <c r="AI358" s="1206"/>
      <c r="AJ358" s="1207"/>
      <c r="AK358" s="1203">
        <f t="shared" si="83"/>
        <v>0</v>
      </c>
      <c r="AL358" s="1166"/>
      <c r="AM358" s="1168"/>
      <c r="AN358" s="1169"/>
      <c r="AO358" s="1228"/>
      <c r="AP358" s="1176"/>
      <c r="AU358" s="1169"/>
      <c r="AV358" s="1169"/>
      <c r="AW358" s="1169"/>
      <c r="AX358" s="1169"/>
      <c r="AY358" s="1169"/>
      <c r="AZ358" s="1169"/>
      <c r="BA358" s="1169"/>
    </row>
    <row r="359" spans="1:53" s="1178" customFormat="1">
      <c r="A359" s="1164"/>
      <c r="B359" s="1210" t="s">
        <v>813</v>
      </c>
      <c r="C359" s="1206"/>
      <c r="D359" s="1206"/>
      <c r="E359" s="1207">
        <v>8</v>
      </c>
      <c r="F359" s="1201"/>
      <c r="G359" s="1166"/>
      <c r="H359" s="1206"/>
      <c r="I359" s="1206"/>
      <c r="J359" s="1207">
        <v>8</v>
      </c>
      <c r="K359" s="1201"/>
      <c r="L359" s="1166"/>
      <c r="M359" s="1206"/>
      <c r="N359" s="1206"/>
      <c r="O359" s="1207">
        <v>8</v>
      </c>
      <c r="P359" s="1201"/>
      <c r="Q359" s="1166"/>
      <c r="R359" s="1206"/>
      <c r="S359" s="1206"/>
      <c r="T359" s="1207">
        <v>8</v>
      </c>
      <c r="U359" s="1201"/>
      <c r="V359" s="1166"/>
      <c r="W359" s="1206"/>
      <c r="X359" s="1206"/>
      <c r="Y359" s="1207">
        <v>8</v>
      </c>
      <c r="Z359" s="1201"/>
      <c r="AA359" s="1203">
        <f t="shared" si="84"/>
        <v>40</v>
      </c>
      <c r="AB359" s="1225">
        <f t="shared" si="85"/>
        <v>0</v>
      </c>
      <c r="AC359" s="1166"/>
      <c r="AD359" s="1206"/>
      <c r="AE359" s="1206"/>
      <c r="AF359" s="1207"/>
      <c r="AG359" s="1166"/>
      <c r="AH359" s="1206"/>
      <c r="AI359" s="1206"/>
      <c r="AJ359" s="1207"/>
      <c r="AK359" s="1203">
        <f t="shared" si="83"/>
        <v>0</v>
      </c>
      <c r="AL359" s="1166"/>
      <c r="AM359" s="1168"/>
      <c r="AN359" s="1169"/>
      <c r="AO359" s="1228"/>
      <c r="AP359" s="1176"/>
      <c r="AU359" s="1169"/>
      <c r="AV359" s="1169"/>
      <c r="AW359" s="1169"/>
      <c r="AX359" s="1169"/>
      <c r="AY359" s="1169"/>
      <c r="AZ359" s="1169"/>
      <c r="BA359" s="1169"/>
    </row>
    <row r="360" spans="1:53" s="1169" customFormat="1">
      <c r="A360" s="1164"/>
      <c r="B360" s="1232" t="s">
        <v>61</v>
      </c>
      <c r="C360" s="1232"/>
      <c r="D360" s="1232"/>
      <c r="E360" s="1233">
        <f>SUM(E345:E358)</f>
        <v>5.5</v>
      </c>
      <c r="F360" s="1201"/>
      <c r="G360" s="1232"/>
      <c r="H360" s="1232"/>
      <c r="I360" s="1232"/>
      <c r="J360" s="1233">
        <f>SUM(J345:J358)</f>
        <v>39.5</v>
      </c>
      <c r="K360" s="1201">
        <f>SUM(K345:K358)</f>
        <v>1</v>
      </c>
      <c r="L360" s="1232"/>
      <c r="M360" s="1232"/>
      <c r="N360" s="1232"/>
      <c r="O360" s="1233">
        <f>SUM(O345:O358)</f>
        <v>25.25</v>
      </c>
      <c r="P360" s="1201"/>
      <c r="Q360" s="1232"/>
      <c r="R360" s="1232"/>
      <c r="S360" s="1232"/>
      <c r="T360" s="1233">
        <f>SUM(T345:T358)</f>
        <v>25.5</v>
      </c>
      <c r="U360" s="1201"/>
      <c r="V360" s="1232"/>
      <c r="W360" s="1232"/>
      <c r="X360" s="1232"/>
      <c r="Y360" s="1233">
        <f>SUM(Y345:Y358)</f>
        <v>16</v>
      </c>
      <c r="Z360" s="1201"/>
      <c r="AA360" s="1202">
        <f>SUM(AA345:AA359)</f>
        <v>151.75</v>
      </c>
      <c r="AB360" s="1229">
        <f>SUM(AB345:AB352)</f>
        <v>1</v>
      </c>
      <c r="AC360" s="1166"/>
      <c r="AD360" s="1232"/>
      <c r="AE360" s="1232"/>
      <c r="AF360" s="1203"/>
      <c r="AG360" s="1166"/>
      <c r="AH360" s="1232"/>
      <c r="AI360" s="1232"/>
      <c r="AJ360" s="1203"/>
      <c r="AK360" s="1203">
        <f>SUM(AK345:AK358)</f>
        <v>0</v>
      </c>
      <c r="AL360" s="1166"/>
      <c r="AM360" s="1168"/>
      <c r="AO360" s="1204"/>
      <c r="AP360" s="1178"/>
      <c r="AQ360" s="1178"/>
      <c r="AR360" s="1178"/>
      <c r="AS360" s="1178"/>
      <c r="AT360" s="1178"/>
    </row>
    <row r="361" spans="1:53" s="1169" customFormat="1">
      <c r="A361" s="1164"/>
      <c r="B361" s="1230" t="s">
        <v>64</v>
      </c>
      <c r="C361" s="1206"/>
      <c r="D361" s="1206"/>
      <c r="E361" s="1207">
        <v>4</v>
      </c>
      <c r="F361" s="1207">
        <v>0.5</v>
      </c>
      <c r="G361" s="1208"/>
      <c r="H361" s="1206"/>
      <c r="I361" s="1206"/>
      <c r="J361" s="1207">
        <v>4</v>
      </c>
      <c r="K361" s="1207"/>
      <c r="L361" s="1209"/>
      <c r="M361" s="1206"/>
      <c r="N361" s="1206"/>
      <c r="O361" s="1207">
        <v>4</v>
      </c>
      <c r="P361" s="1207"/>
      <c r="Q361" s="1209"/>
      <c r="R361" s="1206"/>
      <c r="S361" s="1206"/>
      <c r="T361" s="1207">
        <v>4</v>
      </c>
      <c r="U361" s="1207"/>
      <c r="V361" s="1209"/>
      <c r="W361" s="1206"/>
      <c r="X361" s="1206"/>
      <c r="Y361" s="1207">
        <v>4</v>
      </c>
      <c r="Z361" s="1207"/>
      <c r="AA361" s="1203">
        <f>SUM(E361+J361+O361+T361+Y361)</f>
        <v>20</v>
      </c>
      <c r="AB361" s="1173">
        <f>Z361+U361+P361+K361+F361</f>
        <v>0.5</v>
      </c>
      <c r="AC361" s="1166"/>
      <c r="AD361" s="1206"/>
      <c r="AE361" s="1206"/>
      <c r="AF361" s="1207"/>
      <c r="AG361" s="1166"/>
      <c r="AH361" s="1206"/>
      <c r="AI361" s="1206"/>
      <c r="AJ361" s="1207"/>
      <c r="AK361" s="1203">
        <f>AJ361+AF361</f>
        <v>0</v>
      </c>
      <c r="AL361" s="1166"/>
      <c r="AM361" s="1168"/>
      <c r="AO361" s="1204"/>
      <c r="AP361" s="1178"/>
      <c r="AQ361" s="1178"/>
      <c r="AR361" s="1178"/>
      <c r="AS361" s="1178"/>
      <c r="AT361" s="1178"/>
    </row>
    <row r="362" spans="1:53" s="1169" customFormat="1">
      <c r="A362" s="1164"/>
      <c r="B362" s="1208" t="s">
        <v>66</v>
      </c>
      <c r="C362" s="1210"/>
      <c r="D362" s="1210"/>
      <c r="E362" s="1208"/>
      <c r="F362" s="1208"/>
      <c r="G362" s="1208"/>
      <c r="H362" s="1208"/>
      <c r="I362" s="1208"/>
      <c r="J362" s="1208"/>
      <c r="K362" s="1208"/>
      <c r="L362" s="1208"/>
      <c r="M362" s="1208"/>
      <c r="N362" s="1208"/>
      <c r="O362" s="1208"/>
      <c r="P362" s="1208"/>
      <c r="Q362" s="1208"/>
      <c r="R362" s="1208"/>
      <c r="S362" s="1208"/>
      <c r="T362" s="1208"/>
      <c r="U362" s="1208"/>
      <c r="V362" s="1208"/>
      <c r="W362" s="1208"/>
      <c r="X362" s="1208"/>
      <c r="Y362" s="1208"/>
      <c r="Z362" s="1208"/>
      <c r="AA362" s="1202">
        <f>SUM(AA361:AA361)</f>
        <v>20</v>
      </c>
      <c r="AB362" s="1229">
        <f>SUM(AB361:AB361)</f>
        <v>0.5</v>
      </c>
      <c r="AC362" s="1166"/>
      <c r="AG362" s="1166"/>
      <c r="AK362" s="1203">
        <f>SUM(AK361:AK361)</f>
        <v>0</v>
      </c>
      <c r="AL362" s="1166"/>
      <c r="AM362" s="1168"/>
      <c r="AO362" s="1204"/>
      <c r="AP362" s="1178"/>
      <c r="AQ362" s="1178"/>
      <c r="AR362" s="1178"/>
      <c r="AS362" s="1178"/>
      <c r="AT362" s="1178"/>
    </row>
    <row r="363" spans="1:53" s="1169" customFormat="1">
      <c r="A363" s="1164"/>
      <c r="B363" s="1212" t="s">
        <v>67</v>
      </c>
      <c r="C363" s="1213">
        <f>1+6+4+4+1</f>
        <v>16</v>
      </c>
      <c r="D363" s="1214"/>
      <c r="E363" s="1215"/>
      <c r="F363" s="1215"/>
      <c r="G363" s="1214"/>
      <c r="H363" s="1215"/>
      <c r="I363" s="1215"/>
      <c r="J363" s="1215"/>
      <c r="K363" s="1215"/>
      <c r="L363" s="1214"/>
      <c r="M363" s="1214"/>
      <c r="N363" s="1214"/>
      <c r="O363" s="1214"/>
      <c r="P363" s="1215"/>
      <c r="Q363" s="1214"/>
      <c r="R363" s="1214"/>
      <c r="S363" s="1214"/>
      <c r="T363" s="1214"/>
      <c r="U363" s="1215"/>
      <c r="V363" s="1214"/>
      <c r="W363" s="1214"/>
      <c r="X363" s="1214"/>
      <c r="Y363" s="1216"/>
      <c r="Z363" s="1215"/>
      <c r="AA363" s="1217"/>
      <c r="AB363" s="1215"/>
      <c r="AC363" s="1217"/>
      <c r="AD363" s="1217"/>
      <c r="AE363" s="1217"/>
      <c r="AF363" s="1217"/>
      <c r="AG363" s="1166"/>
      <c r="AH363" s="1217"/>
      <c r="AI363" s="1217"/>
      <c r="AJ363" s="1217"/>
      <c r="AK363" s="1217"/>
      <c r="AL363" s="1166"/>
      <c r="AM363" s="1168"/>
      <c r="AO363" s="1178"/>
      <c r="AP363" s="1178"/>
      <c r="AQ363" s="1178"/>
      <c r="AR363" s="1178"/>
      <c r="AS363" s="1178"/>
      <c r="AT363" s="1178"/>
    </row>
    <row r="364" spans="1:53" s="1169" customFormat="1">
      <c r="A364" s="1164"/>
      <c r="E364" s="1166"/>
      <c r="F364" s="1166"/>
      <c r="G364" s="1166"/>
      <c r="J364" s="1166"/>
      <c r="K364" s="1166"/>
      <c r="L364" s="1166"/>
      <c r="O364" s="1166"/>
      <c r="P364" s="1166"/>
      <c r="Q364" s="1166"/>
      <c r="T364" s="1166"/>
      <c r="U364" s="1166"/>
      <c r="V364" s="1166"/>
      <c r="Y364" s="1166"/>
      <c r="Z364" s="1166"/>
      <c r="AA364" s="1166"/>
      <c r="AB364" s="1166"/>
      <c r="AC364" s="1166"/>
      <c r="AG364" s="1166"/>
      <c r="AL364" s="1166"/>
      <c r="AM364" s="1168"/>
      <c r="AO364" s="1178"/>
      <c r="AP364" s="1178"/>
      <c r="AQ364" s="1178"/>
      <c r="AR364" s="1178"/>
      <c r="AS364" s="1178"/>
      <c r="AT364" s="1178"/>
    </row>
    <row r="365" spans="1:53" s="1169" customFormat="1">
      <c r="A365" s="1164"/>
      <c r="B365" s="1218"/>
      <c r="C365" s="1219"/>
      <c r="D365" s="1219"/>
      <c r="E365" s="1220"/>
      <c r="F365" s="1220"/>
      <c r="G365" s="1219"/>
      <c r="H365" s="1220"/>
      <c r="I365" s="1220"/>
      <c r="J365" s="1220"/>
      <c r="K365" s="1220"/>
      <c r="L365" s="1219"/>
      <c r="M365" s="1219"/>
      <c r="N365" s="1219"/>
      <c r="O365" s="1219"/>
      <c r="P365" s="1220"/>
      <c r="Q365" s="1219"/>
      <c r="R365" s="1219"/>
      <c r="S365" s="1219"/>
      <c r="T365" s="1219"/>
      <c r="U365" s="1220"/>
      <c r="V365" s="1219"/>
      <c r="W365" s="1219"/>
      <c r="X365" s="1219"/>
      <c r="Y365" s="1221"/>
      <c r="Z365" s="1220"/>
      <c r="AA365" s="1222"/>
      <c r="AB365" s="1220"/>
      <c r="AC365" s="1223"/>
      <c r="AD365" s="1224"/>
      <c r="AE365" s="1168"/>
      <c r="AF365" s="1168"/>
      <c r="AG365" s="1168"/>
      <c r="AH365" s="1224"/>
      <c r="AI365" s="1168"/>
      <c r="AJ365" s="1168"/>
      <c r="AK365" s="1168"/>
      <c r="AL365" s="1168"/>
      <c r="AM365" s="1168"/>
      <c r="AN365" s="1168"/>
      <c r="AO365" s="1168"/>
      <c r="AP365" s="1168"/>
      <c r="AQ365" s="1168"/>
      <c r="AR365" s="1168"/>
      <c r="AS365" s="1168"/>
      <c r="AT365" s="1168"/>
    </row>
    <row r="366" spans="1:53" s="1169" customFormat="1">
      <c r="A366" s="1164"/>
      <c r="E366" s="1166"/>
      <c r="F366" s="1166"/>
      <c r="G366" s="1166"/>
      <c r="J366" s="1166"/>
      <c r="K366" s="1166"/>
      <c r="L366" s="1166"/>
      <c r="O366" s="1166"/>
      <c r="P366" s="1166"/>
      <c r="Q366" s="1166"/>
      <c r="T366" s="1166"/>
      <c r="U366" s="1166"/>
      <c r="V366" s="1166"/>
      <c r="Y366" s="1166"/>
      <c r="Z366" s="1166"/>
      <c r="AA366" s="1166"/>
      <c r="AB366" s="1166"/>
      <c r="AC366" s="1166"/>
      <c r="AG366" s="1166"/>
      <c r="AL366" s="1166"/>
      <c r="AM366" s="1168"/>
      <c r="AO366" s="1178"/>
      <c r="AP366" s="1178"/>
      <c r="AQ366" s="1178"/>
      <c r="AR366" s="1178"/>
      <c r="AS366" s="1178"/>
      <c r="AT366" s="1178"/>
    </row>
    <row r="367" spans="1:53" s="1169" customFormat="1" ht="13.5" customHeight="1">
      <c r="A367" s="1164"/>
      <c r="B367" s="1608" t="s">
        <v>18</v>
      </c>
      <c r="C367" s="1574">
        <v>45950</v>
      </c>
      <c r="D367" s="1574"/>
      <c r="E367" s="1574" t="s">
        <v>564</v>
      </c>
      <c r="F367" s="1574"/>
      <c r="G367" s="1165"/>
      <c r="H367" s="1574">
        <v>45951</v>
      </c>
      <c r="I367" s="1574"/>
      <c r="J367" s="1574" t="s">
        <v>565</v>
      </c>
      <c r="K367" s="1574"/>
      <c r="L367" s="1165"/>
      <c r="M367" s="1574">
        <v>45952</v>
      </c>
      <c r="N367" s="1574"/>
      <c r="O367" s="1574" t="s">
        <v>566</v>
      </c>
      <c r="P367" s="1574"/>
      <c r="Q367" s="1165"/>
      <c r="R367" s="1574">
        <v>45953</v>
      </c>
      <c r="S367" s="1574"/>
      <c r="T367" s="1574" t="s">
        <v>567</v>
      </c>
      <c r="U367" s="1574"/>
      <c r="V367" s="1165"/>
      <c r="W367" s="1574">
        <v>45954</v>
      </c>
      <c r="X367" s="1574"/>
      <c r="Y367" s="1574" t="s">
        <v>568</v>
      </c>
      <c r="Z367" s="1574"/>
      <c r="AA367" s="1575" t="s">
        <v>19</v>
      </c>
      <c r="AB367" s="1575" t="s">
        <v>20</v>
      </c>
      <c r="AC367" s="1166"/>
      <c r="AD367" s="1574">
        <v>45955</v>
      </c>
      <c r="AE367" s="1574"/>
      <c r="AF367" s="1167" t="s">
        <v>569</v>
      </c>
      <c r="AG367" s="1166"/>
      <c r="AH367" s="1574">
        <v>45956</v>
      </c>
      <c r="AI367" s="1574"/>
      <c r="AJ367" s="1167" t="s">
        <v>570</v>
      </c>
      <c r="AK367" s="1575" t="s">
        <v>1420</v>
      </c>
      <c r="AL367" s="1166"/>
      <c r="AM367" s="1168"/>
      <c r="AO367" s="1170" t="s">
        <v>84</v>
      </c>
      <c r="AP367" s="1171"/>
      <c r="AQ367" s="1171"/>
      <c r="AR367" s="1171"/>
      <c r="AS367" s="1171"/>
      <c r="AT367" s="1171"/>
    </row>
    <row r="368" spans="1:53" s="1169" customFormat="1">
      <c r="A368" s="1164"/>
      <c r="B368" s="1608"/>
      <c r="C368" s="1172" t="s">
        <v>23</v>
      </c>
      <c r="D368" s="1172" t="s">
        <v>24</v>
      </c>
      <c r="E368" s="1173" t="s">
        <v>25</v>
      </c>
      <c r="F368" s="1174" t="s">
        <v>14</v>
      </c>
      <c r="G368" s="1166"/>
      <c r="H368" s="1172" t="s">
        <v>23</v>
      </c>
      <c r="I368" s="1172" t="s">
        <v>24</v>
      </c>
      <c r="J368" s="1174" t="s">
        <v>25</v>
      </c>
      <c r="K368" s="1174" t="s">
        <v>14</v>
      </c>
      <c r="L368" s="1166"/>
      <c r="M368" s="1172" t="s">
        <v>23</v>
      </c>
      <c r="N368" s="1172" t="s">
        <v>24</v>
      </c>
      <c r="O368" s="1174" t="s">
        <v>25</v>
      </c>
      <c r="P368" s="1174" t="s">
        <v>14</v>
      </c>
      <c r="Q368" s="1166"/>
      <c r="R368" s="1172" t="s">
        <v>23</v>
      </c>
      <c r="S368" s="1172" t="s">
        <v>24</v>
      </c>
      <c r="T368" s="1174" t="s">
        <v>25</v>
      </c>
      <c r="U368" s="1174" t="s">
        <v>14</v>
      </c>
      <c r="V368" s="1166"/>
      <c r="W368" s="1172" t="s">
        <v>23</v>
      </c>
      <c r="X368" s="1172" t="s">
        <v>24</v>
      </c>
      <c r="Y368" s="1174" t="s">
        <v>25</v>
      </c>
      <c r="Z368" s="1174" t="s">
        <v>14</v>
      </c>
      <c r="AA368" s="1575"/>
      <c r="AB368" s="1575"/>
      <c r="AC368" s="1166"/>
      <c r="AD368" s="1172" t="s">
        <v>23</v>
      </c>
      <c r="AE368" s="1172" t="s">
        <v>24</v>
      </c>
      <c r="AF368" s="1174" t="s">
        <v>25</v>
      </c>
      <c r="AG368" s="1166"/>
      <c r="AH368" s="1172" t="s">
        <v>23</v>
      </c>
      <c r="AI368" s="1172" t="s">
        <v>24</v>
      </c>
      <c r="AJ368" s="1174" t="s">
        <v>25</v>
      </c>
      <c r="AK368" s="1575"/>
      <c r="AL368" s="1166"/>
      <c r="AM368" s="1168"/>
      <c r="AO368" s="1175" t="s">
        <v>26</v>
      </c>
      <c r="AP368" s="1176">
        <f>AA384</f>
        <v>149.5</v>
      </c>
      <c r="AQ368" s="1177">
        <v>40.31</v>
      </c>
      <c r="AR368" s="1177">
        <f t="shared" ref="AR368:AR373" si="86">AP368*AQ368</f>
        <v>6026.3450000000003</v>
      </c>
      <c r="AS368" s="1178"/>
      <c r="AT368" s="1178"/>
    </row>
    <row r="369" spans="1:53" s="1169" customFormat="1" ht="13.5" customHeight="1">
      <c r="A369" s="1164"/>
      <c r="B369" s="1166" t="s">
        <v>1064</v>
      </c>
      <c r="C369" s="1206"/>
      <c r="D369" s="1206"/>
      <c r="E369" s="1207"/>
      <c r="F369" s="1201"/>
      <c r="G369" s="1166"/>
      <c r="H369" s="1206">
        <v>0.15625</v>
      </c>
      <c r="I369" s="1206">
        <v>0.41666666666666669</v>
      </c>
      <c r="J369" s="1207">
        <v>5.75</v>
      </c>
      <c r="K369" s="1201"/>
      <c r="L369" s="1166"/>
      <c r="M369" s="1206"/>
      <c r="N369" s="1206"/>
      <c r="O369" s="1207"/>
      <c r="P369" s="1201"/>
      <c r="Q369" s="1166"/>
      <c r="R369" s="1206">
        <v>0.14583333333333334</v>
      </c>
      <c r="S369" s="1206">
        <v>0.39583333333333331</v>
      </c>
      <c r="T369" s="1207">
        <v>6</v>
      </c>
      <c r="U369" s="1201"/>
      <c r="V369" s="1166"/>
      <c r="W369" s="1206">
        <v>0.29166666666666669</v>
      </c>
      <c r="X369" s="1206">
        <v>4.1666666666666664E-2</v>
      </c>
      <c r="Y369" s="1207">
        <v>6</v>
      </c>
      <c r="Z369" s="1201"/>
      <c r="AA369" s="1203">
        <f>(E369+J369+O369+T369+Y369)</f>
        <v>17.75</v>
      </c>
      <c r="AB369" s="1225">
        <f>Z369+U369+P369+K369+F369</f>
        <v>0</v>
      </c>
      <c r="AC369" s="1166"/>
      <c r="AD369" s="1206"/>
      <c r="AE369" s="1206"/>
      <c r="AF369" s="1207"/>
      <c r="AG369" s="1166"/>
      <c r="AH369" s="1206"/>
      <c r="AI369" s="1206"/>
      <c r="AJ369" s="1207"/>
      <c r="AK369" s="1203">
        <f t="shared" ref="AK369:AK383" si="87">AJ369+AF369</f>
        <v>0</v>
      </c>
      <c r="AL369" s="1166"/>
      <c r="AM369" s="1168"/>
      <c r="AO369" s="1175" t="s">
        <v>30</v>
      </c>
      <c r="AP369" s="1176">
        <f>AB384</f>
        <v>0</v>
      </c>
      <c r="AQ369" s="1177">
        <v>60.465000000000003</v>
      </c>
      <c r="AR369" s="1177">
        <f t="shared" si="86"/>
        <v>0</v>
      </c>
      <c r="AS369" s="1178"/>
      <c r="AT369" s="1178"/>
    </row>
    <row r="370" spans="1:53" s="1169" customFormat="1">
      <c r="A370" s="1164"/>
      <c r="B370" s="1206" t="s">
        <v>1441</v>
      </c>
      <c r="C370" s="1235"/>
      <c r="D370" s="1235"/>
      <c r="E370" s="1207">
        <v>8</v>
      </c>
      <c r="F370" s="1201"/>
      <c r="G370" s="1166"/>
      <c r="H370" s="1206">
        <v>0.29166666666666669</v>
      </c>
      <c r="I370" s="1206">
        <v>0.16666666666666666</v>
      </c>
      <c r="J370" s="1207">
        <v>8</v>
      </c>
      <c r="K370" s="1201"/>
      <c r="L370" s="1166"/>
      <c r="M370" s="1235"/>
      <c r="N370" s="1235"/>
      <c r="O370" s="1207">
        <v>2</v>
      </c>
      <c r="P370" s="1201"/>
      <c r="Q370" s="1166"/>
      <c r="R370" s="1206"/>
      <c r="S370" s="1206"/>
      <c r="T370" s="1207"/>
      <c r="U370" s="1201"/>
      <c r="V370" s="1166"/>
      <c r="W370" s="1206"/>
      <c r="X370" s="1206"/>
      <c r="Y370" s="1207"/>
      <c r="Z370" s="1201"/>
      <c r="AA370" s="1203">
        <f t="shared" ref="AA370:AA383" si="88">(E370+J370+O370+T370+Y370)</f>
        <v>18</v>
      </c>
      <c r="AB370" s="1225">
        <f t="shared" ref="AB370:AB383" si="89">Z370+U370+P370+K370+F370</f>
        <v>0</v>
      </c>
      <c r="AC370" s="1166"/>
      <c r="AD370" s="1206"/>
      <c r="AE370" s="1206"/>
      <c r="AF370" s="1207"/>
      <c r="AG370" s="1166"/>
      <c r="AH370" s="1206"/>
      <c r="AI370" s="1206"/>
      <c r="AJ370" s="1207"/>
      <c r="AK370" s="1203">
        <f t="shared" si="87"/>
        <v>0</v>
      </c>
      <c r="AL370" s="1166"/>
      <c r="AM370" s="1168"/>
      <c r="AO370" s="1175" t="s">
        <v>32</v>
      </c>
      <c r="AP370" s="1176">
        <f>AK384</f>
        <v>6</v>
      </c>
      <c r="AQ370" s="1177">
        <v>60.465000000000003</v>
      </c>
      <c r="AR370" s="1177">
        <f t="shared" si="86"/>
        <v>362.79</v>
      </c>
      <c r="AS370" s="1178"/>
      <c r="AT370" s="1178"/>
    </row>
    <row r="371" spans="1:53" s="1178" customFormat="1">
      <c r="A371" s="1164"/>
      <c r="B371" s="1206" t="s">
        <v>1444</v>
      </c>
      <c r="C371" s="1206">
        <v>0.47916666666666669</v>
      </c>
      <c r="D371" s="1206">
        <v>0.23958333333333334</v>
      </c>
      <c r="E371" s="1207">
        <v>6.25</v>
      </c>
      <c r="F371" s="1201"/>
      <c r="G371" s="1166"/>
      <c r="H371" s="1206">
        <v>4.1666666666666664E-2</v>
      </c>
      <c r="I371" s="1206"/>
      <c r="J371" s="1207">
        <v>6</v>
      </c>
      <c r="K371" s="1201"/>
      <c r="L371" s="1166"/>
      <c r="M371" s="1206">
        <v>8.3333333333333329E-2</v>
      </c>
      <c r="N371" s="1206"/>
      <c r="O371" s="1207">
        <v>6</v>
      </c>
      <c r="P371" s="1201"/>
      <c r="Q371" s="1166"/>
      <c r="R371" s="1206"/>
      <c r="S371" s="1206"/>
      <c r="T371" s="1207"/>
      <c r="U371" s="1201"/>
      <c r="V371" s="1166"/>
      <c r="W371" s="1235"/>
      <c r="X371" s="1235"/>
      <c r="Y371" s="1207">
        <v>8</v>
      </c>
      <c r="Z371" s="1201"/>
      <c r="AA371" s="1203">
        <f t="shared" si="88"/>
        <v>26.25</v>
      </c>
      <c r="AB371" s="1225">
        <f t="shared" si="89"/>
        <v>0</v>
      </c>
      <c r="AC371" s="1166"/>
      <c r="AD371" s="1206"/>
      <c r="AE371" s="1206"/>
      <c r="AF371" s="1207"/>
      <c r="AG371" s="1166"/>
      <c r="AH371" s="1206"/>
      <c r="AI371" s="1206"/>
      <c r="AJ371" s="1207"/>
      <c r="AK371" s="1203">
        <f t="shared" si="87"/>
        <v>0</v>
      </c>
      <c r="AL371" s="1166"/>
      <c r="AM371" s="1168"/>
      <c r="AN371" s="1169"/>
      <c r="AO371" s="1175" t="s">
        <v>213</v>
      </c>
      <c r="AP371" s="1176">
        <f>AA385</f>
        <v>20</v>
      </c>
      <c r="AQ371" s="1177">
        <v>53.05</v>
      </c>
      <c r="AR371" s="1177">
        <f t="shared" si="86"/>
        <v>1061</v>
      </c>
      <c r="AU371" s="1169"/>
      <c r="AV371" s="1169"/>
      <c r="AW371" s="1169"/>
      <c r="AX371" s="1169"/>
      <c r="AY371" s="1169"/>
      <c r="AZ371" s="1169"/>
      <c r="BA371" s="1169"/>
    </row>
    <row r="372" spans="1:53" s="1178" customFormat="1">
      <c r="A372" s="1164"/>
      <c r="B372" s="1210" t="s">
        <v>1447</v>
      </c>
      <c r="C372" s="1206"/>
      <c r="D372" s="1206"/>
      <c r="E372" s="1207"/>
      <c r="F372" s="1201"/>
      <c r="G372" s="1206"/>
      <c r="H372" s="1206">
        <v>0.52083333333333337</v>
      </c>
      <c r="I372" s="1206">
        <v>0.27083333333333331</v>
      </c>
      <c r="J372" s="1207">
        <v>6</v>
      </c>
      <c r="K372" s="1201"/>
      <c r="L372" s="1166"/>
      <c r="M372" s="1206"/>
      <c r="N372" s="1206"/>
      <c r="O372" s="1207"/>
      <c r="P372" s="1201"/>
      <c r="Q372" s="1166"/>
      <c r="R372" s="1206">
        <v>0.5</v>
      </c>
      <c r="S372" s="1206">
        <v>0.25</v>
      </c>
      <c r="T372" s="1207">
        <v>6</v>
      </c>
      <c r="U372" s="1201"/>
      <c r="V372" s="1166"/>
      <c r="W372" s="1206">
        <v>0.5</v>
      </c>
      <c r="X372" s="1206">
        <v>0.25</v>
      </c>
      <c r="Y372" s="1207">
        <v>6</v>
      </c>
      <c r="Z372" s="1201"/>
      <c r="AA372" s="1203">
        <f t="shared" si="88"/>
        <v>18</v>
      </c>
      <c r="AB372" s="1225">
        <f t="shared" si="89"/>
        <v>0</v>
      </c>
      <c r="AC372" s="1166"/>
      <c r="AD372" s="1206">
        <v>0.5</v>
      </c>
      <c r="AE372" s="1206">
        <v>0.14583333333333334</v>
      </c>
      <c r="AF372" s="1207">
        <v>6</v>
      </c>
      <c r="AG372" s="1166"/>
      <c r="AH372" s="1226"/>
      <c r="AI372" s="1206"/>
      <c r="AJ372" s="1207"/>
      <c r="AK372" s="1203">
        <f t="shared" si="87"/>
        <v>6</v>
      </c>
      <c r="AL372" s="1166"/>
      <c r="AM372" s="1168"/>
      <c r="AN372" s="1169"/>
      <c r="AO372" s="1175" t="s">
        <v>36</v>
      </c>
      <c r="AP372" s="1176">
        <f>AB385</f>
        <v>0</v>
      </c>
      <c r="AQ372" s="1177">
        <v>79.574999999999989</v>
      </c>
      <c r="AR372" s="1177">
        <f t="shared" si="86"/>
        <v>0</v>
      </c>
      <c r="AU372" s="1169"/>
      <c r="AV372" s="1169"/>
      <c r="AW372" s="1169"/>
      <c r="AX372" s="1169"/>
      <c r="AY372" s="1169"/>
      <c r="AZ372" s="1169"/>
      <c r="BA372" s="1169"/>
    </row>
    <row r="373" spans="1:53" s="1178" customFormat="1">
      <c r="A373" s="1164"/>
      <c r="B373" s="1210" t="s">
        <v>1141</v>
      </c>
      <c r="C373" s="1206">
        <v>0.52083333333333337</v>
      </c>
      <c r="D373" s="1206">
        <v>0.27083333333333331</v>
      </c>
      <c r="E373" s="1207">
        <v>6</v>
      </c>
      <c r="F373" s="1201"/>
      <c r="G373" s="1166"/>
      <c r="H373" s="1206">
        <v>0.125</v>
      </c>
      <c r="I373" s="1206">
        <v>0.3125</v>
      </c>
      <c r="J373" s="1207">
        <v>4.5</v>
      </c>
      <c r="K373" s="1201"/>
      <c r="L373" s="1166"/>
      <c r="M373" s="1206"/>
      <c r="N373" s="1206"/>
      <c r="O373" s="1207"/>
      <c r="P373" s="1201"/>
      <c r="Q373" s="1166"/>
      <c r="R373" s="1206"/>
      <c r="S373" s="1206"/>
      <c r="T373" s="1207"/>
      <c r="U373" s="1201"/>
      <c r="V373" s="1166"/>
      <c r="W373" s="1206">
        <v>0.20833333333333334</v>
      </c>
      <c r="X373" s="1206">
        <v>0.33333333333333331</v>
      </c>
      <c r="Y373" s="1207">
        <v>6</v>
      </c>
      <c r="Z373" s="1201"/>
      <c r="AA373" s="1203">
        <f t="shared" si="88"/>
        <v>16.5</v>
      </c>
      <c r="AB373" s="1225">
        <f t="shared" si="89"/>
        <v>0</v>
      </c>
      <c r="AC373" s="1166"/>
      <c r="AD373" s="1206"/>
      <c r="AE373" s="1206"/>
      <c r="AF373" s="1207"/>
      <c r="AG373" s="1166"/>
      <c r="AH373" s="1206"/>
      <c r="AI373" s="1206"/>
      <c r="AJ373" s="1207"/>
      <c r="AK373" s="1203">
        <f t="shared" si="87"/>
        <v>0</v>
      </c>
      <c r="AL373" s="1166"/>
      <c r="AM373" s="1168"/>
      <c r="AN373" s="1169"/>
      <c r="AO373" s="1175" t="s">
        <v>38</v>
      </c>
      <c r="AP373" s="1176">
        <f>AK385</f>
        <v>0</v>
      </c>
      <c r="AQ373" s="1177">
        <v>79.574999999999989</v>
      </c>
      <c r="AR373" s="1177">
        <f t="shared" si="86"/>
        <v>0</v>
      </c>
      <c r="AU373" s="1169"/>
      <c r="AV373" s="1169"/>
      <c r="AW373" s="1169"/>
      <c r="AX373" s="1169"/>
      <c r="AY373" s="1169"/>
      <c r="AZ373" s="1169"/>
      <c r="BA373" s="1169"/>
    </row>
    <row r="374" spans="1:53" s="1178" customFormat="1">
      <c r="A374" s="1164"/>
      <c r="B374" s="1210" t="s">
        <v>1140</v>
      </c>
      <c r="C374" s="1206"/>
      <c r="D374" s="1206"/>
      <c r="E374" s="1207"/>
      <c r="F374" s="1201"/>
      <c r="G374" s="1166"/>
      <c r="H374" s="1206">
        <v>0.29166666666666669</v>
      </c>
      <c r="I374" s="1206">
        <v>8.3333333333333329E-2</v>
      </c>
      <c r="J374" s="1207">
        <v>7</v>
      </c>
      <c r="K374" s="1201"/>
      <c r="L374" s="1166"/>
      <c r="M374" s="1206"/>
      <c r="N374" s="1206"/>
      <c r="O374" s="1207"/>
      <c r="P374" s="1201"/>
      <c r="Q374" s="1166"/>
      <c r="R374" s="1206"/>
      <c r="S374" s="1206"/>
      <c r="T374" s="1207"/>
      <c r="U374" s="1201"/>
      <c r="V374" s="1166"/>
      <c r="W374" s="1206">
        <v>0.16666666666666666</v>
      </c>
      <c r="X374" s="1206">
        <v>0.29166666666666669</v>
      </c>
      <c r="Y374" s="1207">
        <v>6</v>
      </c>
      <c r="Z374" s="1201"/>
      <c r="AA374" s="1203">
        <f t="shared" si="88"/>
        <v>13</v>
      </c>
      <c r="AB374" s="1225">
        <f t="shared" si="89"/>
        <v>0</v>
      </c>
      <c r="AC374" s="1166"/>
      <c r="AD374" s="1206"/>
      <c r="AE374" s="1206"/>
      <c r="AF374" s="1207"/>
      <c r="AG374" s="1166"/>
      <c r="AH374" s="1206"/>
      <c r="AI374" s="1206"/>
      <c r="AJ374" s="1207"/>
      <c r="AK374" s="1203">
        <f t="shared" si="87"/>
        <v>0</v>
      </c>
      <c r="AL374" s="1166"/>
      <c r="AM374" s="1168"/>
      <c r="AN374" s="1169"/>
      <c r="AP374" s="1176"/>
      <c r="AR374" s="1227">
        <f>SUM(AR368:AR373)</f>
        <v>7450.1350000000002</v>
      </c>
      <c r="AU374" s="1169"/>
      <c r="AV374" s="1169"/>
      <c r="AW374" s="1169"/>
      <c r="AX374" s="1169"/>
      <c r="AY374" s="1169"/>
      <c r="AZ374" s="1169"/>
      <c r="BA374" s="1169"/>
    </row>
    <row r="375" spans="1:53" s="1178" customFormat="1">
      <c r="A375" s="1164"/>
      <c r="B375" s="1210" t="s">
        <v>53</v>
      </c>
      <c r="C375" s="1206"/>
      <c r="D375" s="1206"/>
      <c r="E375" s="1207"/>
      <c r="F375" s="1201"/>
      <c r="G375" s="1166"/>
      <c r="H375" s="1206"/>
      <c r="I375" s="1206"/>
      <c r="J375" s="1207"/>
      <c r="K375" s="1201"/>
      <c r="L375" s="1166"/>
      <c r="M375" s="1206"/>
      <c r="N375" s="1206"/>
      <c r="O375" s="1207"/>
      <c r="P375" s="1201"/>
      <c r="Q375" s="1166"/>
      <c r="R375" s="1169"/>
      <c r="S375" s="1206"/>
      <c r="T375" s="1207"/>
      <c r="U375" s="1201"/>
      <c r="V375" s="1166"/>
      <c r="W375" s="1206"/>
      <c r="X375" s="1206"/>
      <c r="Y375" s="1207"/>
      <c r="Z375" s="1201"/>
      <c r="AA375" s="1203">
        <f t="shared" si="88"/>
        <v>0</v>
      </c>
      <c r="AB375" s="1225">
        <f t="shared" si="89"/>
        <v>0</v>
      </c>
      <c r="AC375" s="1166"/>
      <c r="AD375" s="1206"/>
      <c r="AE375" s="1206"/>
      <c r="AF375" s="1207"/>
      <c r="AG375" s="1166"/>
      <c r="AH375" s="1226"/>
      <c r="AI375" s="1206"/>
      <c r="AJ375" s="1207"/>
      <c r="AK375" s="1203">
        <f t="shared" si="87"/>
        <v>0</v>
      </c>
      <c r="AL375" s="1166"/>
      <c r="AM375" s="1168"/>
      <c r="AN375" s="1169"/>
      <c r="AP375" s="1176"/>
      <c r="AU375" s="1169"/>
      <c r="AV375" s="1169"/>
      <c r="AW375" s="1169"/>
      <c r="AX375" s="1169"/>
      <c r="AY375" s="1169"/>
      <c r="AZ375" s="1169"/>
      <c r="BA375" s="1169"/>
    </row>
    <row r="376" spans="1:53" s="1178" customFormat="1">
      <c r="A376" s="1164"/>
      <c r="B376" s="1210" t="s">
        <v>1455</v>
      </c>
      <c r="C376" s="1206"/>
      <c r="D376" s="1206"/>
      <c r="E376" s="1207"/>
      <c r="F376" s="1201"/>
      <c r="G376" s="1166"/>
      <c r="H376" s="1206"/>
      <c r="I376" s="1206"/>
      <c r="J376" s="1207"/>
      <c r="K376" s="1201"/>
      <c r="L376" s="1166"/>
      <c r="M376" s="1206"/>
      <c r="N376" s="1206"/>
      <c r="O376" s="1207"/>
      <c r="P376" s="1201"/>
      <c r="Q376" s="1166"/>
      <c r="R376" s="1206"/>
      <c r="S376" s="1206"/>
      <c r="T376" s="1207"/>
      <c r="U376" s="1201"/>
      <c r="V376" s="1166"/>
      <c r="W376" s="1206"/>
      <c r="X376" s="1206"/>
      <c r="Y376" s="1207"/>
      <c r="Z376" s="1201"/>
      <c r="AA376" s="1203">
        <f t="shared" si="88"/>
        <v>0</v>
      </c>
      <c r="AB376" s="1225">
        <f t="shared" si="89"/>
        <v>0</v>
      </c>
      <c r="AC376" s="1166"/>
      <c r="AD376" s="1206"/>
      <c r="AE376" s="1206"/>
      <c r="AF376" s="1207"/>
      <c r="AG376" s="1166"/>
      <c r="AH376" s="1206"/>
      <c r="AI376" s="1206"/>
      <c r="AJ376" s="1207"/>
      <c r="AK376" s="1203">
        <f t="shared" si="87"/>
        <v>0</v>
      </c>
      <c r="AL376" s="1166"/>
      <c r="AM376" s="1168"/>
      <c r="AN376" s="1169"/>
      <c r="AO376" s="1228" t="s">
        <v>1115</v>
      </c>
      <c r="AP376" s="1176">
        <f>C387</f>
        <v>16</v>
      </c>
      <c r="AU376" s="1169"/>
      <c r="AV376" s="1169"/>
      <c r="AW376" s="1169"/>
      <c r="AX376" s="1169"/>
      <c r="AY376" s="1169"/>
      <c r="AZ376" s="1169"/>
      <c r="BA376" s="1169"/>
    </row>
    <row r="377" spans="1:53" s="1178" customFormat="1">
      <c r="A377" s="1164"/>
      <c r="B377" s="1210" t="s">
        <v>1437</v>
      </c>
      <c r="C377" s="1206"/>
      <c r="D377" s="1206"/>
      <c r="E377" s="1207"/>
      <c r="F377" s="1201"/>
      <c r="G377" s="1166"/>
      <c r="H377" s="1206"/>
      <c r="I377" s="1206"/>
      <c r="J377" s="1207"/>
      <c r="K377" s="1201"/>
      <c r="L377" s="1166"/>
      <c r="M377" s="1206"/>
      <c r="N377" s="1206"/>
      <c r="O377" s="1207"/>
      <c r="P377" s="1201"/>
      <c r="Q377" s="1166"/>
      <c r="R377" s="1206"/>
      <c r="S377" s="1206"/>
      <c r="T377" s="1207"/>
      <c r="U377" s="1201"/>
      <c r="V377" s="1166"/>
      <c r="W377" s="1206"/>
      <c r="X377" s="1206"/>
      <c r="Y377" s="1207"/>
      <c r="Z377" s="1201"/>
      <c r="AA377" s="1203">
        <f t="shared" si="88"/>
        <v>0</v>
      </c>
      <c r="AB377" s="1225">
        <f t="shared" si="89"/>
        <v>0</v>
      </c>
      <c r="AC377" s="1166"/>
      <c r="AD377" s="1206"/>
      <c r="AE377" s="1206"/>
      <c r="AF377" s="1207"/>
      <c r="AG377" s="1166"/>
      <c r="AH377" s="1206"/>
      <c r="AI377" s="1206"/>
      <c r="AJ377" s="1207"/>
      <c r="AK377" s="1203">
        <f t="shared" si="87"/>
        <v>0</v>
      </c>
      <c r="AL377" s="1166"/>
      <c r="AM377" s="1168"/>
      <c r="AN377" s="1169"/>
      <c r="AO377" s="1228"/>
      <c r="AP377" s="1176"/>
      <c r="AU377" s="1169"/>
      <c r="AV377" s="1169"/>
      <c r="AW377" s="1169"/>
      <c r="AX377" s="1169"/>
      <c r="AY377" s="1169"/>
      <c r="AZ377" s="1169"/>
      <c r="BA377" s="1169"/>
    </row>
    <row r="378" spans="1:53" s="1178" customFormat="1">
      <c r="A378" s="1164"/>
      <c r="B378" s="1210" t="s">
        <v>1456</v>
      </c>
      <c r="C378" s="1206"/>
      <c r="D378" s="1206"/>
      <c r="E378" s="1207"/>
      <c r="F378" s="1201"/>
      <c r="G378" s="1166"/>
      <c r="H378" s="1206"/>
      <c r="I378" s="1206"/>
      <c r="J378" s="1207"/>
      <c r="K378" s="1201"/>
      <c r="L378" s="1166"/>
      <c r="M378" s="1206"/>
      <c r="N378" s="1206"/>
      <c r="O378" s="1207"/>
      <c r="P378" s="1201"/>
      <c r="Q378" s="1166"/>
      <c r="R378" s="1206"/>
      <c r="S378" s="1206"/>
      <c r="T378" s="1207"/>
      <c r="U378" s="1201"/>
      <c r="V378" s="1166"/>
      <c r="W378" s="1206"/>
      <c r="X378" s="1206"/>
      <c r="Y378" s="1207"/>
      <c r="Z378" s="1201"/>
      <c r="AA378" s="1203">
        <f t="shared" si="88"/>
        <v>0</v>
      </c>
      <c r="AB378" s="1225">
        <f t="shared" si="89"/>
        <v>0</v>
      </c>
      <c r="AC378" s="1166"/>
      <c r="AD378" s="1206"/>
      <c r="AE378" s="1206"/>
      <c r="AF378" s="1207"/>
      <c r="AG378" s="1166"/>
      <c r="AH378" s="1206"/>
      <c r="AI378" s="1206"/>
      <c r="AJ378" s="1207"/>
      <c r="AK378" s="1203">
        <f t="shared" si="87"/>
        <v>0</v>
      </c>
      <c r="AL378" s="1166"/>
      <c r="AM378" s="1168"/>
      <c r="AN378" s="1169"/>
      <c r="AO378" s="1228"/>
      <c r="AP378" s="1176"/>
      <c r="AU378" s="1169"/>
      <c r="AV378" s="1169"/>
      <c r="AW378" s="1169"/>
      <c r="AX378" s="1169"/>
      <c r="AY378" s="1169"/>
      <c r="AZ378" s="1169"/>
      <c r="BA378" s="1169"/>
    </row>
    <row r="379" spans="1:53" s="1178" customFormat="1">
      <c r="A379" s="1164"/>
      <c r="B379" s="1210" t="s">
        <v>1143</v>
      </c>
      <c r="C379" s="1206"/>
      <c r="D379" s="1206"/>
      <c r="E379" s="1207"/>
      <c r="F379" s="1201"/>
      <c r="G379" s="1166"/>
      <c r="H379" s="1206"/>
      <c r="I379" s="1206"/>
      <c r="J379" s="1207"/>
      <c r="K379" s="1201"/>
      <c r="L379" s="1166"/>
      <c r="M379" s="1206"/>
      <c r="N379" s="1206"/>
      <c r="O379" s="1207"/>
      <c r="P379" s="1201"/>
      <c r="Q379" s="1166"/>
      <c r="R379" s="1206"/>
      <c r="S379" s="1206"/>
      <c r="T379" s="1207"/>
      <c r="U379" s="1201"/>
      <c r="V379" s="1166"/>
      <c r="W379" s="1206"/>
      <c r="X379" s="1206"/>
      <c r="Y379" s="1207"/>
      <c r="Z379" s="1201"/>
      <c r="AA379" s="1203">
        <f t="shared" si="88"/>
        <v>0</v>
      </c>
      <c r="AB379" s="1225">
        <f t="shared" si="89"/>
        <v>0</v>
      </c>
      <c r="AC379" s="1166"/>
      <c r="AD379" s="1206"/>
      <c r="AE379" s="1206"/>
      <c r="AF379" s="1207"/>
      <c r="AG379" s="1166"/>
      <c r="AH379" s="1206"/>
      <c r="AI379" s="1206"/>
      <c r="AJ379" s="1207"/>
      <c r="AK379" s="1203">
        <f t="shared" si="87"/>
        <v>0</v>
      </c>
      <c r="AL379" s="1166"/>
      <c r="AM379" s="1168"/>
      <c r="AN379" s="1169"/>
      <c r="AO379" s="1228"/>
      <c r="AP379" s="1176"/>
      <c r="AU379" s="1169"/>
      <c r="AV379" s="1169"/>
      <c r="AW379" s="1169"/>
      <c r="AX379" s="1169"/>
      <c r="AY379" s="1169"/>
      <c r="AZ379" s="1169"/>
      <c r="BA379" s="1169"/>
    </row>
    <row r="380" spans="1:53" s="1178" customFormat="1">
      <c r="A380" s="1164"/>
      <c r="B380" s="1206" t="s">
        <v>1144</v>
      </c>
      <c r="C380" s="1206"/>
      <c r="D380" s="1206"/>
      <c r="E380" s="1207"/>
      <c r="F380" s="1201"/>
      <c r="G380" s="1166"/>
      <c r="H380" s="1206"/>
      <c r="I380" s="1206"/>
      <c r="J380" s="1207"/>
      <c r="K380" s="1201"/>
      <c r="L380" s="1166"/>
      <c r="M380" s="1206"/>
      <c r="N380" s="1206"/>
      <c r="O380" s="1207"/>
      <c r="P380" s="1201"/>
      <c r="Q380" s="1166"/>
      <c r="R380" s="1206"/>
      <c r="S380" s="1206"/>
      <c r="T380" s="1207"/>
      <c r="U380" s="1201"/>
      <c r="V380" s="1166"/>
      <c r="W380" s="1206"/>
      <c r="X380" s="1206"/>
      <c r="Y380" s="1207"/>
      <c r="Z380" s="1201"/>
      <c r="AA380" s="1203">
        <f t="shared" si="88"/>
        <v>0</v>
      </c>
      <c r="AB380" s="1225">
        <f t="shared" si="89"/>
        <v>0</v>
      </c>
      <c r="AC380" s="1166"/>
      <c r="AD380" s="1206"/>
      <c r="AE380" s="1206"/>
      <c r="AF380" s="1207"/>
      <c r="AG380" s="1166"/>
      <c r="AH380" s="1206"/>
      <c r="AI380" s="1206"/>
      <c r="AJ380" s="1207"/>
      <c r="AK380" s="1203">
        <f t="shared" si="87"/>
        <v>0</v>
      </c>
      <c r="AL380" s="1166"/>
      <c r="AM380" s="1168"/>
      <c r="AN380" s="1169"/>
      <c r="AO380" s="1228"/>
      <c r="AP380" s="1176"/>
      <c r="AU380" s="1169"/>
      <c r="AV380" s="1169"/>
      <c r="AW380" s="1169"/>
      <c r="AX380" s="1169"/>
      <c r="AY380" s="1169"/>
      <c r="AZ380" s="1169"/>
      <c r="BA380" s="1169"/>
    </row>
    <row r="381" spans="1:53" s="1178" customFormat="1">
      <c r="A381" s="1164"/>
      <c r="B381" s="1193" t="s">
        <v>1440</v>
      </c>
      <c r="C381" s="1206"/>
      <c r="D381" s="1206"/>
      <c r="E381" s="1207"/>
      <c r="F381" s="1201"/>
      <c r="G381" s="1166"/>
      <c r="H381" s="1206"/>
      <c r="I381" s="1206"/>
      <c r="J381" s="1207"/>
      <c r="K381" s="1201"/>
      <c r="L381" s="1166"/>
      <c r="M381" s="1206"/>
      <c r="N381" s="1206"/>
      <c r="O381" s="1207"/>
      <c r="P381" s="1201"/>
      <c r="Q381" s="1166"/>
      <c r="R381" s="1206"/>
      <c r="S381" s="1206"/>
      <c r="T381" s="1207"/>
      <c r="U381" s="1201"/>
      <c r="V381" s="1166"/>
      <c r="W381" s="1206"/>
      <c r="X381" s="1206"/>
      <c r="Y381" s="1207"/>
      <c r="Z381" s="1201"/>
      <c r="AA381" s="1203">
        <f t="shared" si="88"/>
        <v>0</v>
      </c>
      <c r="AB381" s="1225">
        <f t="shared" si="89"/>
        <v>0</v>
      </c>
      <c r="AC381" s="1166"/>
      <c r="AD381" s="1206"/>
      <c r="AE381" s="1206"/>
      <c r="AF381" s="1207"/>
      <c r="AG381" s="1166"/>
      <c r="AH381" s="1206"/>
      <c r="AI381" s="1206"/>
      <c r="AJ381" s="1207"/>
      <c r="AK381" s="1203">
        <f t="shared" si="87"/>
        <v>0</v>
      </c>
      <c r="AL381" s="1166"/>
      <c r="AM381" s="1168"/>
      <c r="AN381" s="1169"/>
      <c r="AO381" s="1228"/>
      <c r="AP381" s="1176"/>
      <c r="AU381" s="1169"/>
      <c r="AV381" s="1169"/>
      <c r="AW381" s="1169"/>
      <c r="AX381" s="1169"/>
      <c r="AY381" s="1169"/>
      <c r="AZ381" s="1169"/>
      <c r="BA381" s="1169"/>
    </row>
    <row r="382" spans="1:53" s="1178" customFormat="1">
      <c r="A382" s="1164"/>
      <c r="B382" s="1210" t="s">
        <v>1435</v>
      </c>
      <c r="C382" s="1206"/>
      <c r="D382" s="1206"/>
      <c r="E382" s="1207"/>
      <c r="F382" s="1201"/>
      <c r="G382" s="1166"/>
      <c r="H382" s="1206"/>
      <c r="I382" s="1206"/>
      <c r="J382" s="1207"/>
      <c r="K382" s="1201"/>
      <c r="L382" s="1166"/>
      <c r="M382" s="1206"/>
      <c r="N382" s="1206"/>
      <c r="O382" s="1207"/>
      <c r="P382" s="1201"/>
      <c r="Q382" s="1166"/>
      <c r="R382" s="1206"/>
      <c r="S382" s="1206"/>
      <c r="T382" s="1207"/>
      <c r="U382" s="1201"/>
      <c r="V382" s="1166"/>
      <c r="W382" s="1206"/>
      <c r="X382" s="1206"/>
      <c r="Y382" s="1207"/>
      <c r="Z382" s="1201"/>
      <c r="AA382" s="1203">
        <f t="shared" si="88"/>
        <v>0</v>
      </c>
      <c r="AB382" s="1225">
        <f t="shared" si="89"/>
        <v>0</v>
      </c>
      <c r="AC382" s="1166"/>
      <c r="AD382" s="1206"/>
      <c r="AE382" s="1206"/>
      <c r="AF382" s="1207"/>
      <c r="AG382" s="1166"/>
      <c r="AH382" s="1206"/>
      <c r="AI382" s="1206"/>
      <c r="AJ382" s="1207"/>
      <c r="AK382" s="1203">
        <f t="shared" si="87"/>
        <v>0</v>
      </c>
      <c r="AL382" s="1166"/>
      <c r="AM382" s="1168"/>
      <c r="AN382" s="1169"/>
      <c r="AO382" s="1228"/>
      <c r="AP382" s="1176"/>
      <c r="AU382" s="1169"/>
      <c r="AV382" s="1169"/>
      <c r="AW382" s="1169"/>
      <c r="AX382" s="1169"/>
      <c r="AY382" s="1169"/>
      <c r="AZ382" s="1169"/>
      <c r="BA382" s="1169"/>
    </row>
    <row r="383" spans="1:53" s="1178" customFormat="1">
      <c r="A383" s="1164"/>
      <c r="B383" s="1210" t="s">
        <v>813</v>
      </c>
      <c r="C383" s="1206"/>
      <c r="D383" s="1206"/>
      <c r="E383" s="1207">
        <v>8</v>
      </c>
      <c r="F383" s="1201"/>
      <c r="G383" s="1166"/>
      <c r="H383" s="1206"/>
      <c r="I383" s="1206"/>
      <c r="J383" s="1207">
        <v>8</v>
      </c>
      <c r="K383" s="1201"/>
      <c r="L383" s="1166"/>
      <c r="M383" s="1206"/>
      <c r="N383" s="1206"/>
      <c r="O383" s="1207">
        <v>8</v>
      </c>
      <c r="P383" s="1201"/>
      <c r="Q383" s="1166"/>
      <c r="R383" s="1206"/>
      <c r="S383" s="1206"/>
      <c r="T383" s="1207">
        <v>8</v>
      </c>
      <c r="U383" s="1201"/>
      <c r="V383" s="1166"/>
      <c r="W383" s="1206"/>
      <c r="X383" s="1206"/>
      <c r="Y383" s="1207">
        <v>8</v>
      </c>
      <c r="Z383" s="1201"/>
      <c r="AA383" s="1203">
        <f t="shared" si="88"/>
        <v>40</v>
      </c>
      <c r="AB383" s="1225">
        <f t="shared" si="89"/>
        <v>0</v>
      </c>
      <c r="AC383" s="1166"/>
      <c r="AD383" s="1206"/>
      <c r="AE383" s="1206"/>
      <c r="AF383" s="1207"/>
      <c r="AG383" s="1166"/>
      <c r="AH383" s="1206"/>
      <c r="AI383" s="1206"/>
      <c r="AJ383" s="1207"/>
      <c r="AK383" s="1203">
        <f t="shared" si="87"/>
        <v>0</v>
      </c>
      <c r="AL383" s="1166"/>
      <c r="AM383" s="1168"/>
      <c r="AN383" s="1169"/>
      <c r="AO383" s="1228"/>
      <c r="AP383" s="1176"/>
      <c r="AU383" s="1169"/>
      <c r="AV383" s="1169"/>
      <c r="AW383" s="1169"/>
      <c r="AX383" s="1169"/>
      <c r="AY383" s="1169"/>
      <c r="AZ383" s="1169"/>
      <c r="BA383" s="1169"/>
    </row>
    <row r="384" spans="1:53" s="1169" customFormat="1">
      <c r="A384" s="1164"/>
      <c r="B384" s="1232" t="s">
        <v>61</v>
      </c>
      <c r="C384" s="1232"/>
      <c r="D384" s="1232"/>
      <c r="E384" s="1233">
        <f>SUM(E369:E382)</f>
        <v>20.25</v>
      </c>
      <c r="F384" s="1201"/>
      <c r="G384" s="1232"/>
      <c r="H384" s="1232"/>
      <c r="I384" s="1232"/>
      <c r="J384" s="1233">
        <f>SUM(J369:J382)</f>
        <v>37.25</v>
      </c>
      <c r="K384" s="1201">
        <f>SUM(K369:K382)</f>
        <v>0</v>
      </c>
      <c r="L384" s="1232"/>
      <c r="M384" s="1232"/>
      <c r="N384" s="1232"/>
      <c r="O384" s="1233">
        <f>SUM(O369:O382)</f>
        <v>8</v>
      </c>
      <c r="P384" s="1201"/>
      <c r="Q384" s="1232"/>
      <c r="R384" s="1232"/>
      <c r="S384" s="1232"/>
      <c r="T384" s="1233">
        <f>SUM(T369:T382)</f>
        <v>12</v>
      </c>
      <c r="U384" s="1201"/>
      <c r="V384" s="1232"/>
      <c r="W384" s="1232"/>
      <c r="X384" s="1232"/>
      <c r="Y384" s="1233">
        <f>SUM(Y369:Y382)</f>
        <v>32</v>
      </c>
      <c r="Z384" s="1201"/>
      <c r="AA384" s="1202">
        <f>SUM(AA369:AA383)</f>
        <v>149.5</v>
      </c>
      <c r="AB384" s="1203">
        <f>SUM(AB369:AB376)</f>
        <v>0</v>
      </c>
      <c r="AC384" s="1166"/>
      <c r="AD384" s="1232"/>
      <c r="AE384" s="1232"/>
      <c r="AF384" s="1203"/>
      <c r="AG384" s="1166"/>
      <c r="AH384" s="1232"/>
      <c r="AI384" s="1232"/>
      <c r="AJ384" s="1203"/>
      <c r="AK384" s="1229">
        <f>SUM(AK369:AK382)</f>
        <v>6</v>
      </c>
      <c r="AL384" s="1166"/>
      <c r="AM384" s="1168"/>
      <c r="AO384" s="1204"/>
      <c r="AP384" s="1178"/>
      <c r="AQ384" s="1178"/>
      <c r="AR384" s="1178"/>
      <c r="AS384" s="1178"/>
      <c r="AT384" s="1178"/>
    </row>
    <row r="385" spans="1:53" s="1169" customFormat="1">
      <c r="A385" s="1164"/>
      <c r="B385" s="1230" t="s">
        <v>64</v>
      </c>
      <c r="C385" s="1206"/>
      <c r="D385" s="1206"/>
      <c r="E385" s="1207">
        <v>4</v>
      </c>
      <c r="F385" s="1207"/>
      <c r="G385" s="1208"/>
      <c r="H385" s="1206"/>
      <c r="I385" s="1206"/>
      <c r="J385" s="1207">
        <v>4</v>
      </c>
      <c r="K385" s="1207"/>
      <c r="L385" s="1209"/>
      <c r="M385" s="1206"/>
      <c r="N385" s="1206"/>
      <c r="O385" s="1207">
        <v>4</v>
      </c>
      <c r="P385" s="1207"/>
      <c r="Q385" s="1209"/>
      <c r="R385" s="1206"/>
      <c r="S385" s="1206"/>
      <c r="T385" s="1207">
        <v>4</v>
      </c>
      <c r="U385" s="1207"/>
      <c r="V385" s="1209"/>
      <c r="W385" s="1206"/>
      <c r="X385" s="1206"/>
      <c r="Y385" s="1207">
        <v>4</v>
      </c>
      <c r="Z385" s="1207"/>
      <c r="AA385" s="1203">
        <f>SUM(E385+J385+O385+T385+Y385)</f>
        <v>20</v>
      </c>
      <c r="AB385" s="1173">
        <f>Z385+U385+P385+K385+F385</f>
        <v>0</v>
      </c>
      <c r="AC385" s="1166"/>
      <c r="AD385" s="1206"/>
      <c r="AE385" s="1206"/>
      <c r="AF385" s="1207"/>
      <c r="AG385" s="1166"/>
      <c r="AH385" s="1206"/>
      <c r="AI385" s="1206"/>
      <c r="AJ385" s="1207"/>
      <c r="AK385" s="1203">
        <f>AJ385+AF385</f>
        <v>0</v>
      </c>
      <c r="AL385" s="1166"/>
      <c r="AM385" s="1168"/>
      <c r="AO385" s="1204"/>
      <c r="AP385" s="1178"/>
      <c r="AQ385" s="1178"/>
      <c r="AR385" s="1178"/>
      <c r="AS385" s="1178"/>
      <c r="AT385" s="1178"/>
    </row>
    <row r="386" spans="1:53" s="1169" customFormat="1">
      <c r="A386" s="1164"/>
      <c r="B386" s="1208" t="s">
        <v>66</v>
      </c>
      <c r="C386" s="1210"/>
      <c r="D386" s="1210"/>
      <c r="E386" s="1208"/>
      <c r="F386" s="1208"/>
      <c r="G386" s="1208"/>
      <c r="H386" s="1208"/>
      <c r="I386" s="1208"/>
      <c r="J386" s="1208"/>
      <c r="K386" s="1208"/>
      <c r="L386" s="1208"/>
      <c r="M386" s="1208"/>
      <c r="N386" s="1208"/>
      <c r="O386" s="1208"/>
      <c r="P386" s="1208"/>
      <c r="Q386" s="1208"/>
      <c r="R386" s="1208"/>
      <c r="S386" s="1208"/>
      <c r="T386" s="1208"/>
      <c r="U386" s="1208"/>
      <c r="V386" s="1208"/>
      <c r="W386" s="1208"/>
      <c r="X386" s="1208"/>
      <c r="Y386" s="1208"/>
      <c r="Z386" s="1208"/>
      <c r="AA386" s="1229">
        <f>SUM(AA385:AA385)</f>
        <v>20</v>
      </c>
      <c r="AB386" s="1203">
        <f>SUM(AB385:AB385)</f>
        <v>0</v>
      </c>
      <c r="AC386" s="1166"/>
      <c r="AG386" s="1166"/>
      <c r="AK386" s="1203">
        <f>SUM(AK385:AK385)</f>
        <v>0</v>
      </c>
      <c r="AL386" s="1166"/>
      <c r="AM386" s="1168"/>
      <c r="AO386" s="1204"/>
      <c r="AP386" s="1178"/>
      <c r="AQ386" s="1178"/>
      <c r="AR386" s="1178"/>
      <c r="AS386" s="1178"/>
      <c r="AT386" s="1178"/>
    </row>
    <row r="387" spans="1:53" s="1169" customFormat="1">
      <c r="A387" s="1164"/>
      <c r="B387" s="1212" t="s">
        <v>67</v>
      </c>
      <c r="C387" s="1213">
        <f>2+6+1+2+4+1</f>
        <v>16</v>
      </c>
      <c r="D387" s="1214"/>
      <c r="E387" s="1215"/>
      <c r="F387" s="1215"/>
      <c r="G387" s="1214"/>
      <c r="H387" s="1215"/>
      <c r="I387" s="1215"/>
      <c r="J387" s="1215"/>
      <c r="K387" s="1215"/>
      <c r="L387" s="1214"/>
      <c r="M387" s="1214"/>
      <c r="N387" s="1214"/>
      <c r="O387" s="1214"/>
      <c r="P387" s="1215"/>
      <c r="Q387" s="1214"/>
      <c r="R387" s="1214"/>
      <c r="S387" s="1214"/>
      <c r="T387" s="1214"/>
      <c r="U387" s="1215"/>
      <c r="V387" s="1214"/>
      <c r="W387" s="1214"/>
      <c r="X387" s="1214"/>
      <c r="Y387" s="1216"/>
      <c r="Z387" s="1215"/>
      <c r="AA387" s="1217"/>
      <c r="AB387" s="1215"/>
      <c r="AC387" s="1217"/>
      <c r="AD387" s="1217"/>
      <c r="AE387" s="1217"/>
      <c r="AF387" s="1217"/>
      <c r="AG387" s="1166"/>
      <c r="AH387" s="1217"/>
      <c r="AI387" s="1217"/>
      <c r="AJ387" s="1217"/>
      <c r="AK387" s="1217"/>
      <c r="AL387" s="1166"/>
      <c r="AM387" s="1168"/>
      <c r="AO387" s="1178"/>
      <c r="AP387" s="1178"/>
      <c r="AQ387" s="1178"/>
      <c r="AR387" s="1178"/>
      <c r="AS387" s="1178"/>
      <c r="AT387" s="1178"/>
    </row>
    <row r="388" spans="1:53" s="1169" customFormat="1">
      <c r="A388" s="1164"/>
      <c r="E388" s="1166"/>
      <c r="F388" s="1166"/>
      <c r="G388" s="1166"/>
      <c r="J388" s="1166"/>
      <c r="K388" s="1166"/>
      <c r="L388" s="1166"/>
      <c r="O388" s="1166"/>
      <c r="P388" s="1166"/>
      <c r="Q388" s="1166"/>
      <c r="T388" s="1166"/>
      <c r="U388" s="1166"/>
      <c r="V388" s="1166"/>
      <c r="Y388" s="1166"/>
      <c r="Z388" s="1166"/>
      <c r="AA388" s="1166"/>
      <c r="AB388" s="1166"/>
      <c r="AC388" s="1166"/>
      <c r="AG388" s="1166"/>
      <c r="AL388" s="1166"/>
      <c r="AM388" s="1168"/>
      <c r="AO388" s="1178"/>
      <c r="AP388" s="1178"/>
      <c r="AQ388" s="1178"/>
      <c r="AR388" s="1178"/>
      <c r="AS388" s="1178"/>
      <c r="AT388" s="1178"/>
    </row>
    <row r="389" spans="1:53" s="1169" customFormat="1">
      <c r="A389" s="1164"/>
      <c r="B389" s="1218"/>
      <c r="C389" s="1219"/>
      <c r="D389" s="1219"/>
      <c r="E389" s="1220"/>
      <c r="F389" s="1220"/>
      <c r="G389" s="1219"/>
      <c r="H389" s="1220"/>
      <c r="I389" s="1220"/>
      <c r="J389" s="1220"/>
      <c r="K389" s="1220"/>
      <c r="L389" s="1219"/>
      <c r="M389" s="1219"/>
      <c r="N389" s="1219"/>
      <c r="O389" s="1219"/>
      <c r="P389" s="1220"/>
      <c r="Q389" s="1219"/>
      <c r="R389" s="1219"/>
      <c r="S389" s="1219"/>
      <c r="T389" s="1219"/>
      <c r="U389" s="1220"/>
      <c r="V389" s="1219"/>
      <c r="W389" s="1219"/>
      <c r="X389" s="1219"/>
      <c r="Y389" s="1221"/>
      <c r="Z389" s="1220"/>
      <c r="AA389" s="1222"/>
      <c r="AB389" s="1220"/>
      <c r="AC389" s="1223"/>
      <c r="AD389" s="1224"/>
      <c r="AE389" s="1168"/>
      <c r="AF389" s="1168"/>
      <c r="AG389" s="1168"/>
      <c r="AH389" s="1224"/>
      <c r="AI389" s="1168"/>
      <c r="AJ389" s="1168"/>
      <c r="AK389" s="1168"/>
      <c r="AL389" s="1168"/>
      <c r="AM389" s="1168"/>
      <c r="AN389" s="1168"/>
      <c r="AO389" s="1168"/>
      <c r="AP389" s="1168"/>
      <c r="AQ389" s="1168"/>
      <c r="AR389" s="1168"/>
      <c r="AS389" s="1168"/>
      <c r="AT389" s="1168"/>
    </row>
    <row r="390" spans="1:53" s="1169" customFormat="1">
      <c r="A390" s="1164"/>
      <c r="E390" s="1166"/>
      <c r="F390" s="1166"/>
      <c r="G390" s="1166"/>
      <c r="J390" s="1166"/>
      <c r="K390" s="1166"/>
      <c r="L390" s="1166"/>
      <c r="O390" s="1166"/>
      <c r="P390" s="1166"/>
      <c r="Q390" s="1166"/>
      <c r="T390" s="1166"/>
      <c r="U390" s="1166"/>
      <c r="V390" s="1166"/>
      <c r="Y390" s="1166"/>
      <c r="Z390" s="1166"/>
      <c r="AA390" s="1166"/>
      <c r="AB390" s="1166"/>
      <c r="AC390" s="1166"/>
      <c r="AG390" s="1166"/>
      <c r="AL390" s="1166"/>
      <c r="AM390" s="1168"/>
      <c r="AO390" s="1178"/>
      <c r="AP390" s="1178"/>
      <c r="AQ390" s="1178"/>
      <c r="AR390" s="1178"/>
      <c r="AS390" s="1178"/>
      <c r="AT390" s="1178"/>
    </row>
    <row r="391" spans="1:53" s="180" customFormat="1" ht="13.5" customHeight="1">
      <c r="A391" s="313"/>
      <c r="B391" s="1612" t="s">
        <v>18</v>
      </c>
      <c r="C391" s="1610">
        <v>45957</v>
      </c>
      <c r="D391" s="1610"/>
      <c r="E391" s="1610" t="s">
        <v>564</v>
      </c>
      <c r="F391" s="1610"/>
      <c r="G391" s="1236"/>
      <c r="H391" s="1610">
        <v>45958</v>
      </c>
      <c r="I391" s="1610"/>
      <c r="J391" s="1610" t="s">
        <v>565</v>
      </c>
      <c r="K391" s="1610"/>
      <c r="L391" s="1236"/>
      <c r="M391" s="1610">
        <v>45959</v>
      </c>
      <c r="N391" s="1610"/>
      <c r="O391" s="1610" t="s">
        <v>566</v>
      </c>
      <c r="P391" s="1610"/>
      <c r="Q391" s="1236"/>
      <c r="R391" s="1610">
        <v>45960</v>
      </c>
      <c r="S391" s="1610"/>
      <c r="T391" s="1610" t="s">
        <v>567</v>
      </c>
      <c r="U391" s="1610"/>
      <c r="V391" s="1236"/>
      <c r="W391" s="1610">
        <v>45961</v>
      </c>
      <c r="X391" s="1610"/>
      <c r="Y391" s="1610" t="s">
        <v>568</v>
      </c>
      <c r="Z391" s="1610"/>
      <c r="AA391" s="1611" t="s">
        <v>19</v>
      </c>
      <c r="AB391" s="1611" t="s">
        <v>20</v>
      </c>
      <c r="AC391" s="4"/>
      <c r="AD391" s="1519">
        <v>45962</v>
      </c>
      <c r="AE391" s="1519"/>
      <c r="AF391" s="735" t="s">
        <v>569</v>
      </c>
      <c r="AG391" s="4"/>
      <c r="AH391" s="1519">
        <v>45963</v>
      </c>
      <c r="AI391" s="1519"/>
      <c r="AJ391" s="735" t="s">
        <v>570</v>
      </c>
      <c r="AK391" s="1517" t="s">
        <v>1420</v>
      </c>
      <c r="AL391" s="4"/>
      <c r="AM391" s="368"/>
      <c r="AO391" s="194" t="s">
        <v>84</v>
      </c>
      <c r="AP391" s="366"/>
      <c r="AQ391" s="366"/>
      <c r="AR391" s="366"/>
      <c r="AS391" s="366"/>
      <c r="AT391" s="366"/>
    </row>
    <row r="392" spans="1:53" s="180" customFormat="1">
      <c r="A392" s="313"/>
      <c r="B392" s="1612"/>
      <c r="C392" s="1237" t="s">
        <v>23</v>
      </c>
      <c r="D392" s="1237" t="s">
        <v>24</v>
      </c>
      <c r="E392" s="1238" t="s">
        <v>25</v>
      </c>
      <c r="F392" s="1239" t="s">
        <v>14</v>
      </c>
      <c r="G392" s="834"/>
      <c r="H392" s="1237" t="s">
        <v>23</v>
      </c>
      <c r="I392" s="1237" t="s">
        <v>24</v>
      </c>
      <c r="J392" s="1239" t="s">
        <v>25</v>
      </c>
      <c r="K392" s="1239" t="s">
        <v>14</v>
      </c>
      <c r="L392" s="834"/>
      <c r="M392" s="1237" t="s">
        <v>23</v>
      </c>
      <c r="N392" s="1237" t="s">
        <v>24</v>
      </c>
      <c r="O392" s="1239" t="s">
        <v>25</v>
      </c>
      <c r="P392" s="1239" t="s">
        <v>14</v>
      </c>
      <c r="Q392" s="834"/>
      <c r="R392" s="1237" t="s">
        <v>23</v>
      </c>
      <c r="S392" s="1237" t="s">
        <v>24</v>
      </c>
      <c r="T392" s="1239" t="s">
        <v>25</v>
      </c>
      <c r="U392" s="1239" t="s">
        <v>14</v>
      </c>
      <c r="V392" s="834"/>
      <c r="W392" s="1237" t="s">
        <v>23</v>
      </c>
      <c r="X392" s="1237" t="s">
        <v>24</v>
      </c>
      <c r="Y392" s="1239" t="s">
        <v>25</v>
      </c>
      <c r="Z392" s="1239" t="s">
        <v>14</v>
      </c>
      <c r="AA392" s="1611"/>
      <c r="AB392" s="1611"/>
      <c r="AC392" s="4"/>
      <c r="AD392" s="21" t="s">
        <v>23</v>
      </c>
      <c r="AE392" s="21" t="s">
        <v>24</v>
      </c>
      <c r="AF392" s="18" t="s">
        <v>25</v>
      </c>
      <c r="AG392" s="4"/>
      <c r="AH392" s="21" t="s">
        <v>23</v>
      </c>
      <c r="AI392" s="21" t="s">
        <v>24</v>
      </c>
      <c r="AJ392" s="18" t="s">
        <v>25</v>
      </c>
      <c r="AK392" s="1517"/>
      <c r="AL392" s="4"/>
      <c r="AM392" s="368"/>
      <c r="AN392" s="367"/>
      <c r="AO392" s="188" t="s">
        <v>26</v>
      </c>
      <c r="AP392" s="404">
        <f>AA408</f>
        <v>54.25</v>
      </c>
      <c r="AQ392" s="510">
        <v>40.31</v>
      </c>
      <c r="AR392" s="510">
        <f t="shared" ref="AR392:AR397" si="90">AP392*AQ392</f>
        <v>2186.8175000000001</v>
      </c>
      <c r="AS392" s="193"/>
      <c r="AT392" s="193"/>
    </row>
    <row r="393" spans="1:53" s="180" customFormat="1" ht="13.5" customHeight="1">
      <c r="A393" s="313"/>
      <c r="B393" s="834" t="s">
        <v>1064</v>
      </c>
      <c r="C393" s="1240"/>
      <c r="D393" s="1240"/>
      <c r="E393" s="1241"/>
      <c r="F393" s="1242"/>
      <c r="G393" s="834"/>
      <c r="H393" s="1240"/>
      <c r="I393" s="1240"/>
      <c r="J393" s="1241"/>
      <c r="K393" s="1242"/>
      <c r="L393" s="834"/>
      <c r="M393" s="1240"/>
      <c r="N393" s="1240"/>
      <c r="O393" s="1241"/>
      <c r="P393" s="1242"/>
      <c r="Q393" s="834"/>
      <c r="R393" s="1240"/>
      <c r="S393" s="1240"/>
      <c r="T393" s="1241"/>
      <c r="U393" s="1242"/>
      <c r="V393" s="834"/>
      <c r="W393" s="1240"/>
      <c r="X393" s="1240"/>
      <c r="Y393" s="1241"/>
      <c r="Z393" s="1242"/>
      <c r="AA393" s="1243">
        <f>(E393+J393+O393+T393+Y393)</f>
        <v>0</v>
      </c>
      <c r="AB393" s="1244">
        <f>Z393+U393+P393+K393+F393</f>
        <v>0</v>
      </c>
      <c r="AC393" s="4"/>
      <c r="AD393" s="47"/>
      <c r="AE393" s="326"/>
      <c r="AF393" s="319"/>
      <c r="AG393" s="4"/>
      <c r="AH393" s="47"/>
      <c r="AI393" s="326"/>
      <c r="AJ393" s="319"/>
      <c r="AK393" s="328">
        <f t="shared" ref="AK393:AK407" si="91">AJ393+AF393</f>
        <v>0</v>
      </c>
      <c r="AL393" s="4"/>
      <c r="AM393" s="368"/>
      <c r="AN393" s="367"/>
      <c r="AO393" s="188" t="s">
        <v>30</v>
      </c>
      <c r="AP393" s="196">
        <f>AB408</f>
        <v>1.5</v>
      </c>
      <c r="AQ393" s="511">
        <v>60.465000000000003</v>
      </c>
      <c r="AR393" s="510">
        <f t="shared" si="90"/>
        <v>90.697500000000005</v>
      </c>
      <c r="AS393" s="193"/>
      <c r="AT393" s="193"/>
    </row>
    <row r="394" spans="1:53" s="180" customFormat="1">
      <c r="A394" s="313"/>
      <c r="B394" s="1240" t="s">
        <v>1441</v>
      </c>
      <c r="C394" s="1245"/>
      <c r="D394" s="1245"/>
      <c r="E394" s="1241">
        <v>8</v>
      </c>
      <c r="F394" s="1242"/>
      <c r="G394" s="834"/>
      <c r="H394" s="1240"/>
      <c r="I394" s="1240"/>
      <c r="J394" s="1241"/>
      <c r="K394" s="1242"/>
      <c r="L394" s="834"/>
      <c r="M394" s="1240"/>
      <c r="N394" s="1240"/>
      <c r="O394" s="1241"/>
      <c r="P394" s="1242"/>
      <c r="Q394" s="834"/>
      <c r="R394" s="1240"/>
      <c r="S394" s="1240"/>
      <c r="T394" s="1241"/>
      <c r="U394" s="1242"/>
      <c r="V394" s="834"/>
      <c r="W394" s="1240"/>
      <c r="X394" s="1240"/>
      <c r="Y394" s="1241"/>
      <c r="Z394" s="1242"/>
      <c r="AA394" s="1243">
        <f t="shared" ref="AA394:AA407" si="92">(E394+J394+O394+T394+Y394)</f>
        <v>8</v>
      </c>
      <c r="AB394" s="1244">
        <f t="shared" ref="AB394:AB407" si="93">Z394+U394+P394+K394+F394</f>
        <v>0</v>
      </c>
      <c r="AC394" s="4"/>
      <c r="AD394" s="47"/>
      <c r="AE394" s="47"/>
      <c r="AF394" s="319"/>
      <c r="AG394" s="4"/>
      <c r="AH394" s="47"/>
      <c r="AI394" s="47"/>
      <c r="AJ394" s="319"/>
      <c r="AK394" s="328">
        <f t="shared" si="91"/>
        <v>0</v>
      </c>
      <c r="AL394" s="4"/>
      <c r="AM394" s="255"/>
      <c r="AO394" s="188" t="s">
        <v>32</v>
      </c>
      <c r="AP394" s="196">
        <f>AK408</f>
        <v>16</v>
      </c>
      <c r="AQ394" s="510">
        <v>60.465000000000003</v>
      </c>
      <c r="AR394" s="510">
        <f t="shared" si="90"/>
        <v>967.44</v>
      </c>
      <c r="AS394" s="193"/>
      <c r="AT394" s="193"/>
    </row>
    <row r="395" spans="1:53" s="193" customFormat="1">
      <c r="A395" s="313"/>
      <c r="B395" s="1240" t="s">
        <v>1444</v>
      </c>
      <c r="C395" s="1240"/>
      <c r="D395" s="1240"/>
      <c r="E395" s="1241"/>
      <c r="F395" s="1242"/>
      <c r="G395" s="834"/>
      <c r="H395" s="1240"/>
      <c r="I395" s="1240"/>
      <c r="J395" s="1241"/>
      <c r="K395" s="1242"/>
      <c r="L395" s="834"/>
      <c r="M395" s="1240"/>
      <c r="N395" s="1240"/>
      <c r="O395" s="1241"/>
      <c r="P395" s="1242"/>
      <c r="Q395" s="834"/>
      <c r="R395" s="1240"/>
      <c r="S395" s="1240"/>
      <c r="T395" s="1241"/>
      <c r="U395" s="1242"/>
      <c r="V395" s="834"/>
      <c r="W395" s="1245"/>
      <c r="X395" s="1245"/>
      <c r="Y395" s="1241">
        <v>8</v>
      </c>
      <c r="Z395" s="1242"/>
      <c r="AA395" s="1243">
        <f t="shared" si="92"/>
        <v>8</v>
      </c>
      <c r="AB395" s="1244">
        <f t="shared" si="93"/>
        <v>0</v>
      </c>
      <c r="AC395" s="4"/>
      <c r="AD395" s="47"/>
      <c r="AE395" s="47"/>
      <c r="AF395" s="319"/>
      <c r="AG395" s="4"/>
      <c r="AH395" s="47"/>
      <c r="AI395" s="47"/>
      <c r="AJ395" s="319"/>
      <c r="AK395" s="328">
        <f t="shared" si="91"/>
        <v>0</v>
      </c>
      <c r="AL395" s="4"/>
      <c r="AM395" s="255"/>
      <c r="AN395" s="180"/>
      <c r="AO395" s="403" t="s">
        <v>213</v>
      </c>
      <c r="AP395" s="404">
        <f>AA409</f>
        <v>10</v>
      </c>
      <c r="AQ395" s="510">
        <v>53.05</v>
      </c>
      <c r="AR395" s="510">
        <f t="shared" si="90"/>
        <v>530.5</v>
      </c>
      <c r="AS395" s="405"/>
      <c r="AT395" s="405"/>
      <c r="AU395" s="180"/>
      <c r="AV395" s="180"/>
      <c r="AW395" s="180"/>
      <c r="AX395" s="180"/>
      <c r="AY395" s="180"/>
      <c r="AZ395" s="180"/>
      <c r="BA395" s="180"/>
    </row>
    <row r="396" spans="1:53" s="193" customFormat="1">
      <c r="A396" s="313"/>
      <c r="B396" s="1246" t="s">
        <v>1447</v>
      </c>
      <c r="C396" s="1240"/>
      <c r="D396" s="1240"/>
      <c r="E396" s="1241"/>
      <c r="F396" s="1242"/>
      <c r="G396" s="1240"/>
      <c r="H396" s="1240"/>
      <c r="I396" s="1240"/>
      <c r="J396" s="1241"/>
      <c r="K396" s="1242"/>
      <c r="L396" s="834"/>
      <c r="M396" s="1240"/>
      <c r="N396" s="1240"/>
      <c r="O396" s="1241"/>
      <c r="P396" s="1242"/>
      <c r="Q396" s="834"/>
      <c r="R396" s="1240"/>
      <c r="S396" s="1240"/>
      <c r="T396" s="1241"/>
      <c r="U396" s="1242"/>
      <c r="V396" s="834"/>
      <c r="W396" s="1240"/>
      <c r="X396" s="1240"/>
      <c r="Y396" s="1241"/>
      <c r="Z396" s="1242"/>
      <c r="AA396" s="1243">
        <f t="shared" si="92"/>
        <v>0</v>
      </c>
      <c r="AB396" s="1244">
        <f t="shared" si="93"/>
        <v>0</v>
      </c>
      <c r="AC396" s="4"/>
      <c r="AD396" s="47"/>
      <c r="AE396" s="47"/>
      <c r="AF396" s="319"/>
      <c r="AG396" s="4"/>
      <c r="AH396" s="436"/>
      <c r="AI396" s="47"/>
      <c r="AJ396" s="319"/>
      <c r="AK396" s="328">
        <f t="shared" si="91"/>
        <v>0</v>
      </c>
      <c r="AL396" s="4"/>
      <c r="AM396" s="255"/>
      <c r="AN396" s="180"/>
      <c r="AO396" s="188" t="s">
        <v>36</v>
      </c>
      <c r="AP396" s="196">
        <f>AB409</f>
        <v>0</v>
      </c>
      <c r="AQ396" s="510">
        <v>79.574999999999989</v>
      </c>
      <c r="AR396" s="510">
        <f t="shared" si="90"/>
        <v>0</v>
      </c>
      <c r="AU396" s="180"/>
      <c r="AV396" s="180"/>
      <c r="AW396" s="180"/>
      <c r="AX396" s="180"/>
      <c r="AY396" s="180"/>
      <c r="AZ396" s="180"/>
      <c r="BA396" s="180"/>
    </row>
    <row r="397" spans="1:53" s="193" customFormat="1">
      <c r="A397" s="313"/>
      <c r="B397" s="1246" t="s">
        <v>1141</v>
      </c>
      <c r="C397" s="1240">
        <v>0.5</v>
      </c>
      <c r="D397" s="1240">
        <v>0.26041666666666669</v>
      </c>
      <c r="E397" s="1241">
        <v>6.25</v>
      </c>
      <c r="F397" s="1242"/>
      <c r="G397" s="834"/>
      <c r="H397" s="1240"/>
      <c r="I397" s="1240"/>
      <c r="J397" s="1241"/>
      <c r="K397" s="1242"/>
      <c r="L397" s="834"/>
      <c r="M397" s="1240"/>
      <c r="N397" s="1240"/>
      <c r="O397" s="1241"/>
      <c r="P397" s="1242"/>
      <c r="Q397" s="834"/>
      <c r="R397" s="1240"/>
      <c r="S397" s="1240"/>
      <c r="T397" s="1241"/>
      <c r="U397" s="1242"/>
      <c r="V397" s="834"/>
      <c r="W397" s="1240"/>
      <c r="X397" s="1240"/>
      <c r="Y397" s="1241"/>
      <c r="Z397" s="1242"/>
      <c r="AA397" s="1243">
        <f t="shared" si="92"/>
        <v>6.25</v>
      </c>
      <c r="AB397" s="1244">
        <f t="shared" si="93"/>
        <v>0</v>
      </c>
      <c r="AC397" s="4"/>
      <c r="AD397" s="47"/>
      <c r="AE397" s="47"/>
      <c r="AF397" s="319"/>
      <c r="AG397" s="4"/>
      <c r="AH397" s="47"/>
      <c r="AI397" s="47"/>
      <c r="AJ397" s="319"/>
      <c r="AK397" s="328">
        <f t="shared" si="91"/>
        <v>0</v>
      </c>
      <c r="AL397" s="4"/>
      <c r="AM397" s="255"/>
      <c r="AN397" s="180"/>
      <c r="AO397" s="188" t="s">
        <v>38</v>
      </c>
      <c r="AP397" s="196">
        <f>AK409</f>
        <v>0</v>
      </c>
      <c r="AQ397" s="510">
        <v>79.574999999999989</v>
      </c>
      <c r="AR397" s="510">
        <f t="shared" si="90"/>
        <v>0</v>
      </c>
      <c r="AU397" s="180"/>
      <c r="AV397" s="180"/>
      <c r="AW397" s="180"/>
      <c r="AX397" s="180"/>
      <c r="AY397" s="180"/>
      <c r="AZ397" s="180"/>
      <c r="BA397" s="180"/>
    </row>
    <row r="398" spans="1:53" s="193" customFormat="1">
      <c r="A398" s="313"/>
      <c r="B398" s="1246" t="s">
        <v>1140</v>
      </c>
      <c r="C398" s="1240"/>
      <c r="D398" s="1240"/>
      <c r="E398" s="1241"/>
      <c r="F398" s="1242"/>
      <c r="G398" s="834"/>
      <c r="H398" s="1240">
        <v>0.29166666666666669</v>
      </c>
      <c r="I398" s="1240">
        <v>0.1875</v>
      </c>
      <c r="J398" s="1241">
        <v>8</v>
      </c>
      <c r="K398" s="1242">
        <v>1.5</v>
      </c>
      <c r="L398" s="834"/>
      <c r="M398" s="1240"/>
      <c r="N398" s="1240"/>
      <c r="O398" s="1241"/>
      <c r="P398" s="1242"/>
      <c r="Q398" s="834"/>
      <c r="R398" s="1240"/>
      <c r="S398" s="1240"/>
      <c r="T398" s="1241"/>
      <c r="U398" s="1242"/>
      <c r="V398" s="834"/>
      <c r="W398" s="1240"/>
      <c r="X398" s="1240"/>
      <c r="Y398" s="1241"/>
      <c r="Z398" s="1242"/>
      <c r="AA398" s="1243">
        <f t="shared" si="92"/>
        <v>8</v>
      </c>
      <c r="AB398" s="1244">
        <f t="shared" si="93"/>
        <v>1.5</v>
      </c>
      <c r="AC398" s="4"/>
      <c r="AD398" s="47"/>
      <c r="AE398" s="47"/>
      <c r="AF398" s="319"/>
      <c r="AG398" s="4"/>
      <c r="AH398" s="47"/>
      <c r="AI398" s="47"/>
      <c r="AJ398" s="319"/>
      <c r="AK398" s="328">
        <f t="shared" si="91"/>
        <v>0</v>
      </c>
      <c r="AL398" s="4"/>
      <c r="AM398" s="255"/>
      <c r="AN398" s="180"/>
      <c r="AP398" s="196"/>
      <c r="AR398" s="786">
        <f>SUM(AR392:AR397)</f>
        <v>3775.4550000000004</v>
      </c>
      <c r="AU398" s="180"/>
      <c r="AV398" s="180"/>
      <c r="AW398" s="180"/>
      <c r="AX398" s="180"/>
      <c r="AY398" s="180"/>
      <c r="AZ398" s="180"/>
      <c r="BA398" s="180"/>
    </row>
    <row r="399" spans="1:53" s="193" customFormat="1">
      <c r="A399" s="313"/>
      <c r="B399" s="1246" t="s">
        <v>53</v>
      </c>
      <c r="C399" s="1240"/>
      <c r="D399" s="1240"/>
      <c r="E399" s="1241"/>
      <c r="F399" s="1242"/>
      <c r="G399" s="834"/>
      <c r="H399" s="1240"/>
      <c r="I399" s="1240"/>
      <c r="J399" s="1241"/>
      <c r="K399" s="1242"/>
      <c r="L399" s="834"/>
      <c r="M399" s="1240"/>
      <c r="N399" s="1240"/>
      <c r="O399" s="1241"/>
      <c r="P399" s="1242"/>
      <c r="Q399" s="834"/>
      <c r="R399" s="835"/>
      <c r="S399" s="1240"/>
      <c r="T399" s="1241"/>
      <c r="U399" s="1242"/>
      <c r="V399" s="834"/>
      <c r="W399" s="1240"/>
      <c r="X399" s="1240"/>
      <c r="Y399" s="1241"/>
      <c r="Z399" s="1242"/>
      <c r="AA399" s="1243">
        <f t="shared" si="92"/>
        <v>0</v>
      </c>
      <c r="AB399" s="1244">
        <f t="shared" si="93"/>
        <v>0</v>
      </c>
      <c r="AC399" s="4"/>
      <c r="AD399" s="47"/>
      <c r="AE399" s="47"/>
      <c r="AF399" s="319"/>
      <c r="AG399" s="4"/>
      <c r="AH399" s="436"/>
      <c r="AI399" s="47"/>
      <c r="AJ399" s="319"/>
      <c r="AK399" s="328">
        <f t="shared" si="91"/>
        <v>0</v>
      </c>
      <c r="AL399" s="4"/>
      <c r="AM399" s="255"/>
      <c r="AN399" s="180"/>
      <c r="AP399" s="196"/>
      <c r="AU399" s="180"/>
      <c r="AV399" s="180"/>
      <c r="AW399" s="180"/>
      <c r="AX399" s="180"/>
      <c r="AY399" s="180"/>
      <c r="AZ399" s="180"/>
      <c r="BA399" s="180"/>
    </row>
    <row r="400" spans="1:53" s="193" customFormat="1">
      <c r="A400" s="313"/>
      <c r="B400" s="1246" t="s">
        <v>1455</v>
      </c>
      <c r="C400" s="1240"/>
      <c r="D400" s="1240"/>
      <c r="E400" s="1241"/>
      <c r="F400" s="1242"/>
      <c r="G400" s="834"/>
      <c r="H400" s="1240"/>
      <c r="I400" s="1240"/>
      <c r="J400" s="1241"/>
      <c r="K400" s="1242"/>
      <c r="L400" s="834"/>
      <c r="M400" s="1240"/>
      <c r="N400" s="1240"/>
      <c r="O400" s="1241"/>
      <c r="P400" s="1242"/>
      <c r="Q400" s="834"/>
      <c r="R400" s="1240"/>
      <c r="S400" s="1240"/>
      <c r="T400" s="1241"/>
      <c r="U400" s="1242"/>
      <c r="V400" s="834"/>
      <c r="W400" s="1240"/>
      <c r="X400" s="1240"/>
      <c r="Y400" s="1241"/>
      <c r="Z400" s="1242"/>
      <c r="AA400" s="1243">
        <f t="shared" si="92"/>
        <v>0</v>
      </c>
      <c r="AB400" s="1244">
        <f t="shared" si="93"/>
        <v>0</v>
      </c>
      <c r="AC400" s="4"/>
      <c r="AD400" s="47"/>
      <c r="AE400" s="47"/>
      <c r="AF400" s="319"/>
      <c r="AG400" s="4"/>
      <c r="AH400" s="47"/>
      <c r="AI400" s="47"/>
      <c r="AJ400" s="319"/>
      <c r="AK400" s="328">
        <f t="shared" si="91"/>
        <v>0</v>
      </c>
      <c r="AL400" s="4"/>
      <c r="AM400" s="255"/>
      <c r="AN400" s="180"/>
      <c r="AO400" s="192" t="s">
        <v>1115</v>
      </c>
      <c r="AP400" s="196">
        <f>C411</f>
        <v>2</v>
      </c>
      <c r="AQ400" s="510">
        <v>47.74</v>
      </c>
      <c r="AU400" s="180"/>
      <c r="AV400" s="180"/>
      <c r="AW400" s="180"/>
      <c r="AX400" s="180"/>
      <c r="AY400" s="180"/>
      <c r="AZ400" s="180"/>
      <c r="BA400" s="180"/>
    </row>
    <row r="401" spans="1:53" s="193" customFormat="1">
      <c r="A401" s="313"/>
      <c r="B401" s="1246" t="s">
        <v>1437</v>
      </c>
      <c r="C401" s="1240"/>
      <c r="D401" s="1240"/>
      <c r="E401" s="1241"/>
      <c r="F401" s="1242"/>
      <c r="G401" s="834"/>
      <c r="H401" s="1240"/>
      <c r="I401" s="1240"/>
      <c r="J401" s="1241"/>
      <c r="K401" s="1242"/>
      <c r="L401" s="834"/>
      <c r="M401" s="1240"/>
      <c r="N401" s="1240"/>
      <c r="O401" s="1241"/>
      <c r="P401" s="1242"/>
      <c r="Q401" s="834"/>
      <c r="R401" s="1240"/>
      <c r="S401" s="1240"/>
      <c r="T401" s="1241"/>
      <c r="U401" s="1242"/>
      <c r="V401" s="834"/>
      <c r="W401" s="1240"/>
      <c r="X401" s="1240"/>
      <c r="Y401" s="1241"/>
      <c r="Z401" s="1242"/>
      <c r="AA401" s="1243">
        <f t="shared" si="92"/>
        <v>0</v>
      </c>
      <c r="AB401" s="1244">
        <f t="shared" si="93"/>
        <v>0</v>
      </c>
      <c r="AC401" s="4"/>
      <c r="AD401" s="47"/>
      <c r="AE401" s="47"/>
      <c r="AF401" s="319"/>
      <c r="AG401" s="4"/>
      <c r="AH401" s="47"/>
      <c r="AI401" s="47"/>
      <c r="AJ401" s="319"/>
      <c r="AK401" s="328">
        <f t="shared" si="91"/>
        <v>0</v>
      </c>
      <c r="AL401" s="4"/>
      <c r="AM401" s="255"/>
      <c r="AN401" s="180"/>
      <c r="AO401" s="192"/>
      <c r="AP401" s="196"/>
      <c r="AU401" s="180"/>
      <c r="AV401" s="180"/>
      <c r="AW401" s="180"/>
      <c r="AX401" s="180"/>
      <c r="AY401" s="180"/>
      <c r="AZ401" s="180"/>
      <c r="BA401" s="180"/>
    </row>
    <row r="402" spans="1:53" s="193" customFormat="1">
      <c r="A402" s="313"/>
      <c r="B402" s="1246" t="s">
        <v>1456</v>
      </c>
      <c r="C402" s="1240"/>
      <c r="D402" s="1240"/>
      <c r="E402" s="1241"/>
      <c r="F402" s="1242"/>
      <c r="G402" s="834"/>
      <c r="H402" s="1240"/>
      <c r="I402" s="1240"/>
      <c r="J402" s="1241"/>
      <c r="K402" s="1242"/>
      <c r="L402" s="834"/>
      <c r="M402" s="1240"/>
      <c r="N402" s="1240"/>
      <c r="O402" s="1241"/>
      <c r="P402" s="1242"/>
      <c r="Q402" s="834"/>
      <c r="R402" s="1240"/>
      <c r="S402" s="1240"/>
      <c r="T402" s="1241"/>
      <c r="U402" s="1242"/>
      <c r="V402" s="834"/>
      <c r="W402" s="1240"/>
      <c r="X402" s="1240"/>
      <c r="Y402" s="1241"/>
      <c r="Z402" s="1242"/>
      <c r="AA402" s="1243">
        <f t="shared" si="92"/>
        <v>0</v>
      </c>
      <c r="AB402" s="1244">
        <f t="shared" si="93"/>
        <v>0</v>
      </c>
      <c r="AC402" s="4"/>
      <c r="AD402" s="47"/>
      <c r="AE402" s="47"/>
      <c r="AF402" s="319"/>
      <c r="AG402" s="4"/>
      <c r="AH402" s="47"/>
      <c r="AI402" s="47"/>
      <c r="AJ402" s="319"/>
      <c r="AK402" s="328">
        <f t="shared" si="91"/>
        <v>0</v>
      </c>
      <c r="AL402" s="4"/>
      <c r="AM402" s="255"/>
      <c r="AN402" s="180"/>
      <c r="AO402" s="192"/>
      <c r="AP402" s="196"/>
      <c r="AU402" s="180"/>
      <c r="AV402" s="180"/>
      <c r="AW402" s="180"/>
      <c r="AX402" s="180"/>
      <c r="AY402" s="180"/>
      <c r="AZ402" s="180"/>
      <c r="BA402" s="180"/>
    </row>
    <row r="403" spans="1:53" s="193" customFormat="1">
      <c r="A403" s="313"/>
      <c r="B403" s="1246" t="s">
        <v>1143</v>
      </c>
      <c r="C403" s="1240"/>
      <c r="D403" s="1240"/>
      <c r="E403" s="1241"/>
      <c r="F403" s="1242"/>
      <c r="G403" s="834"/>
      <c r="H403" s="1240"/>
      <c r="I403" s="1240"/>
      <c r="J403" s="1241"/>
      <c r="K403" s="1242"/>
      <c r="L403" s="834"/>
      <c r="M403" s="1240"/>
      <c r="N403" s="1240"/>
      <c r="O403" s="1241"/>
      <c r="P403" s="1242"/>
      <c r="Q403" s="834"/>
      <c r="R403" s="1240"/>
      <c r="S403" s="1240"/>
      <c r="T403" s="1241"/>
      <c r="U403" s="1242"/>
      <c r="V403" s="834"/>
      <c r="W403" s="1240"/>
      <c r="X403" s="1240"/>
      <c r="Y403" s="1241"/>
      <c r="Z403" s="1242"/>
      <c r="AA403" s="1243">
        <f t="shared" si="92"/>
        <v>0</v>
      </c>
      <c r="AB403" s="1244">
        <f t="shared" si="93"/>
        <v>0</v>
      </c>
      <c r="AC403" s="4"/>
      <c r="AD403" s="47"/>
      <c r="AE403" s="47"/>
      <c r="AF403" s="319"/>
      <c r="AG403" s="4"/>
      <c r="AH403" s="47"/>
      <c r="AI403" s="47"/>
      <c r="AJ403" s="319"/>
      <c r="AK403" s="328">
        <f t="shared" si="91"/>
        <v>0</v>
      </c>
      <c r="AL403" s="4"/>
      <c r="AM403" s="255"/>
      <c r="AN403" s="180"/>
      <c r="AO403" s="192"/>
      <c r="AP403" s="196"/>
      <c r="AU403" s="180"/>
      <c r="AV403" s="180"/>
      <c r="AW403" s="180"/>
      <c r="AX403" s="180"/>
      <c r="AY403" s="180"/>
      <c r="AZ403" s="180"/>
      <c r="BA403" s="180"/>
    </row>
    <row r="404" spans="1:53" s="193" customFormat="1">
      <c r="A404" s="313"/>
      <c r="B404" s="1240" t="s">
        <v>1144</v>
      </c>
      <c r="C404" s="1240"/>
      <c r="D404" s="1240"/>
      <c r="E404" s="1241"/>
      <c r="F404" s="1242"/>
      <c r="G404" s="834"/>
      <c r="H404" s="1240"/>
      <c r="I404" s="1240"/>
      <c r="J404" s="1241"/>
      <c r="K404" s="1242"/>
      <c r="L404" s="834"/>
      <c r="M404" s="1240"/>
      <c r="N404" s="1240"/>
      <c r="O404" s="1241"/>
      <c r="P404" s="1242"/>
      <c r="Q404" s="834"/>
      <c r="R404" s="1240"/>
      <c r="S404" s="1240"/>
      <c r="T404" s="1241"/>
      <c r="U404" s="1242"/>
      <c r="V404" s="834"/>
      <c r="W404" s="1240"/>
      <c r="X404" s="1240"/>
      <c r="Y404" s="1241"/>
      <c r="Z404" s="1242"/>
      <c r="AA404" s="1243">
        <f t="shared" si="92"/>
        <v>0</v>
      </c>
      <c r="AB404" s="1244">
        <f t="shared" si="93"/>
        <v>0</v>
      </c>
      <c r="AC404" s="4"/>
      <c r="AD404" s="47"/>
      <c r="AE404" s="47"/>
      <c r="AF404" s="319"/>
      <c r="AG404" s="4"/>
      <c r="AH404" s="47"/>
      <c r="AI404" s="326"/>
      <c r="AJ404" s="319"/>
      <c r="AK404" s="328">
        <f t="shared" si="91"/>
        <v>0</v>
      </c>
      <c r="AL404" s="4"/>
      <c r="AM404" s="255"/>
      <c r="AN404" s="180"/>
      <c r="AO404" s="192"/>
      <c r="AP404" s="196"/>
      <c r="AU404" s="180"/>
      <c r="AV404" s="180"/>
      <c r="AW404" s="180"/>
      <c r="AX404" s="180"/>
      <c r="AY404" s="180"/>
      <c r="AZ404" s="180"/>
      <c r="BA404" s="180"/>
    </row>
    <row r="405" spans="1:53" s="193" customFormat="1">
      <c r="A405" s="313"/>
      <c r="B405" s="1247" t="s">
        <v>1440</v>
      </c>
      <c r="C405" s="1240"/>
      <c r="D405" s="1240"/>
      <c r="E405" s="1241"/>
      <c r="F405" s="1242"/>
      <c r="G405" s="834"/>
      <c r="H405" s="1240"/>
      <c r="I405" s="1240"/>
      <c r="J405" s="1241"/>
      <c r="K405" s="1242"/>
      <c r="L405" s="834"/>
      <c r="M405" s="1240"/>
      <c r="N405" s="1240"/>
      <c r="O405" s="1241"/>
      <c r="P405" s="1242"/>
      <c r="Q405" s="834"/>
      <c r="R405" s="1240"/>
      <c r="S405" s="1240"/>
      <c r="T405" s="1241"/>
      <c r="U405" s="1242"/>
      <c r="V405" s="834"/>
      <c r="W405" s="1240"/>
      <c r="X405" s="1240"/>
      <c r="Y405" s="1241"/>
      <c r="Z405" s="1242"/>
      <c r="AA405" s="1243">
        <f t="shared" si="92"/>
        <v>0</v>
      </c>
      <c r="AB405" s="1244">
        <f t="shared" si="93"/>
        <v>0</v>
      </c>
      <c r="AC405" s="4"/>
      <c r="AD405" s="47"/>
      <c r="AE405" s="47"/>
      <c r="AF405" s="319"/>
      <c r="AG405" s="4"/>
      <c r="AH405" s="47"/>
      <c r="AI405" s="326"/>
      <c r="AJ405" s="319"/>
      <c r="AK405" s="328">
        <f t="shared" si="91"/>
        <v>0</v>
      </c>
      <c r="AL405" s="4"/>
      <c r="AM405" s="255"/>
      <c r="AN405" s="180"/>
      <c r="AO405" s="192"/>
      <c r="AP405" s="196"/>
      <c r="AU405" s="180"/>
      <c r="AV405" s="180"/>
      <c r="AW405" s="180"/>
      <c r="AX405" s="180"/>
      <c r="AY405" s="180"/>
      <c r="AZ405" s="180"/>
      <c r="BA405" s="180"/>
    </row>
    <row r="406" spans="1:53" s="193" customFormat="1">
      <c r="A406" s="313"/>
      <c r="B406" s="1246" t="s">
        <v>1435</v>
      </c>
      <c r="C406" s="1240"/>
      <c r="D406" s="1240"/>
      <c r="E406" s="1241"/>
      <c r="F406" s="1242"/>
      <c r="G406" s="834"/>
      <c r="H406" s="1240"/>
      <c r="I406" s="1240"/>
      <c r="J406" s="1241"/>
      <c r="K406" s="1242"/>
      <c r="L406" s="834"/>
      <c r="M406" s="1240"/>
      <c r="N406" s="1240"/>
      <c r="O406" s="1241"/>
      <c r="P406" s="1242"/>
      <c r="Q406" s="834"/>
      <c r="R406" s="1240"/>
      <c r="S406" s="1240"/>
      <c r="T406" s="1241"/>
      <c r="U406" s="1242"/>
      <c r="V406" s="834"/>
      <c r="W406" s="1240"/>
      <c r="X406" s="1240"/>
      <c r="Y406" s="1241"/>
      <c r="Z406" s="1242"/>
      <c r="AA406" s="1243">
        <f t="shared" si="92"/>
        <v>0</v>
      </c>
      <c r="AB406" s="1244">
        <f t="shared" si="93"/>
        <v>0</v>
      </c>
      <c r="AC406" s="4"/>
      <c r="AD406" s="47"/>
      <c r="AE406" s="326"/>
      <c r="AF406" s="319"/>
      <c r="AG406" s="4"/>
      <c r="AH406" s="47"/>
      <c r="AI406" s="47"/>
      <c r="AJ406" s="319"/>
      <c r="AK406" s="328">
        <f t="shared" si="91"/>
        <v>0</v>
      </c>
      <c r="AL406" s="4"/>
      <c r="AM406" s="255"/>
      <c r="AN406" s="180"/>
      <c r="AO406" s="192"/>
      <c r="AP406" s="196"/>
      <c r="AU406" s="180"/>
      <c r="AV406" s="180"/>
      <c r="AW406" s="180"/>
      <c r="AX406" s="180"/>
      <c r="AY406" s="180"/>
      <c r="AZ406" s="180"/>
      <c r="BA406" s="180"/>
    </row>
    <row r="407" spans="1:53" s="193" customFormat="1">
      <c r="A407" s="313"/>
      <c r="B407" s="1246" t="s">
        <v>813</v>
      </c>
      <c r="C407" s="1240"/>
      <c r="D407" s="1240"/>
      <c r="E407" s="1241"/>
      <c r="F407" s="1242"/>
      <c r="G407" s="834"/>
      <c r="H407" s="1240"/>
      <c r="I407" s="1240"/>
      <c r="J407" s="1241">
        <v>8</v>
      </c>
      <c r="K407" s="1242"/>
      <c r="L407" s="834"/>
      <c r="M407" s="1240"/>
      <c r="N407" s="1240"/>
      <c r="O407" s="1241">
        <v>8</v>
      </c>
      <c r="P407" s="1242"/>
      <c r="Q407" s="834"/>
      <c r="R407" s="1240"/>
      <c r="S407" s="1240"/>
      <c r="T407" s="1241">
        <v>8</v>
      </c>
      <c r="U407" s="1242"/>
      <c r="V407" s="834"/>
      <c r="W407" s="1240"/>
      <c r="X407" s="1240"/>
      <c r="Y407" s="1241"/>
      <c r="Z407" s="1242"/>
      <c r="AA407" s="1243">
        <f t="shared" si="92"/>
        <v>24</v>
      </c>
      <c r="AB407" s="1244">
        <f t="shared" si="93"/>
        <v>0</v>
      </c>
      <c r="AC407" s="4"/>
      <c r="AD407" s="47">
        <v>0.29166666666666669</v>
      </c>
      <c r="AE407" s="47">
        <v>0.16666666666666666</v>
      </c>
      <c r="AF407" s="319">
        <v>8</v>
      </c>
      <c r="AG407" s="4"/>
      <c r="AH407" s="47">
        <v>0.29166666666666669</v>
      </c>
      <c r="AI407" s="47">
        <v>0.16666666666666666</v>
      </c>
      <c r="AJ407" s="319">
        <v>8</v>
      </c>
      <c r="AK407" s="328">
        <f t="shared" si="91"/>
        <v>16</v>
      </c>
      <c r="AL407" s="4"/>
      <c r="AM407" s="255"/>
      <c r="AN407" s="180"/>
      <c r="AO407" s="192"/>
      <c r="AP407" s="196"/>
      <c r="AU407" s="180"/>
      <c r="AV407" s="180"/>
      <c r="AW407" s="180"/>
      <c r="AX407" s="180"/>
      <c r="AY407" s="180"/>
      <c r="AZ407" s="180"/>
      <c r="BA407" s="180"/>
    </row>
    <row r="408" spans="1:53" s="180" customFormat="1">
      <c r="A408" s="313"/>
      <c r="B408" s="1248" t="s">
        <v>61</v>
      </c>
      <c r="C408" s="1248"/>
      <c r="D408" s="1248"/>
      <c r="E408" s="1249">
        <f>SUM(E393:E407)</f>
        <v>14.25</v>
      </c>
      <c r="F408" s="1242"/>
      <c r="G408" s="1248"/>
      <c r="H408" s="1248"/>
      <c r="I408" s="1248"/>
      <c r="J408" s="1249">
        <f>SUM(J393:J407)</f>
        <v>16</v>
      </c>
      <c r="K408" s="1242">
        <f>SUM(K393:K406)</f>
        <v>1.5</v>
      </c>
      <c r="L408" s="1248"/>
      <c r="M408" s="1248"/>
      <c r="N408" s="1248"/>
      <c r="O408" s="1249">
        <f>SUM(O393:O407)</f>
        <v>8</v>
      </c>
      <c r="P408" s="1242"/>
      <c r="Q408" s="1248"/>
      <c r="R408" s="1248"/>
      <c r="S408" s="1248"/>
      <c r="T408" s="1249">
        <f>SUM(T393:T407)</f>
        <v>8</v>
      </c>
      <c r="U408" s="1242"/>
      <c r="V408" s="1248"/>
      <c r="W408" s="1248"/>
      <c r="X408" s="1248"/>
      <c r="Y408" s="1249">
        <f>SUM(Y393:Y407)</f>
        <v>8</v>
      </c>
      <c r="Z408" s="1242"/>
      <c r="AA408" s="1250">
        <f>SUM(AA393:AA407)</f>
        <v>54.25</v>
      </c>
      <c r="AB408" s="1250">
        <f>SUM(AB393:AB400)</f>
        <v>1.5</v>
      </c>
      <c r="AC408" s="4"/>
      <c r="AD408" s="738"/>
      <c r="AE408" s="738"/>
      <c r="AF408" s="370"/>
      <c r="AG408" s="4"/>
      <c r="AH408" s="738"/>
      <c r="AI408" s="738"/>
      <c r="AJ408" s="370"/>
      <c r="AK408" s="370">
        <f>SUM(AK393:AK407)</f>
        <v>16</v>
      </c>
      <c r="AL408" s="4"/>
      <c r="AM408" s="255"/>
      <c r="AO408" s="407"/>
      <c r="AP408" s="193"/>
      <c r="AQ408" s="193"/>
      <c r="AR408" s="193"/>
      <c r="AS408" s="193"/>
      <c r="AT408" s="193"/>
    </row>
    <row r="409" spans="1:53" s="180" customFormat="1">
      <c r="A409" s="313"/>
      <c r="B409" s="1251" t="s">
        <v>64</v>
      </c>
      <c r="C409" s="1240"/>
      <c r="D409" s="1240"/>
      <c r="E409" s="1241">
        <v>4</v>
      </c>
      <c r="F409" s="1241"/>
      <c r="G409" s="1252"/>
      <c r="H409" s="1240"/>
      <c r="I409" s="1240"/>
      <c r="J409" s="1241">
        <v>4</v>
      </c>
      <c r="K409" s="1241"/>
      <c r="L409" s="1253"/>
      <c r="M409" s="1240"/>
      <c r="N409" s="1240"/>
      <c r="O409" s="1241">
        <v>2</v>
      </c>
      <c r="P409" s="1241"/>
      <c r="Q409" s="1253"/>
      <c r="R409" s="1240"/>
      <c r="S409" s="1240"/>
      <c r="T409" s="1241">
        <v>3</v>
      </c>
      <c r="U409" s="1241"/>
      <c r="V409" s="1253"/>
      <c r="W409" s="1240"/>
      <c r="X409" s="1240"/>
      <c r="Y409" s="1241">
        <v>0</v>
      </c>
      <c r="Z409" s="1241"/>
      <c r="AA409" s="1243">
        <f>SUM(E409+J409+O409)</f>
        <v>10</v>
      </c>
      <c r="AB409" s="1238">
        <f>Z409+U409+P409+K409+F409</f>
        <v>0</v>
      </c>
      <c r="AC409" s="4"/>
      <c r="AD409" s="47"/>
      <c r="AE409" s="47"/>
      <c r="AF409" s="319"/>
      <c r="AG409" s="4"/>
      <c r="AH409" s="47"/>
      <c r="AI409" s="47"/>
      <c r="AJ409" s="319"/>
      <c r="AK409" s="29">
        <f>AJ409+AF409</f>
        <v>0</v>
      </c>
      <c r="AL409" s="4"/>
      <c r="AM409" s="255"/>
      <c r="AO409" s="407"/>
      <c r="AP409" s="193"/>
      <c r="AQ409" s="193"/>
      <c r="AR409" s="193"/>
      <c r="AS409" s="193"/>
      <c r="AT409" s="193"/>
    </row>
    <row r="410" spans="1:53" s="180" customFormat="1">
      <c r="A410" s="313"/>
      <c r="B410" s="1252" t="s">
        <v>66</v>
      </c>
      <c r="C410" s="1246"/>
      <c r="D410" s="1246"/>
      <c r="E410" s="1252"/>
      <c r="F410" s="1252"/>
      <c r="G410" s="1252"/>
      <c r="H410" s="1252"/>
      <c r="I410" s="1252"/>
      <c r="J410" s="1252"/>
      <c r="K410" s="1252"/>
      <c r="L410" s="1252"/>
      <c r="M410" s="1252"/>
      <c r="N410" s="1252"/>
      <c r="O410" s="1252"/>
      <c r="P410" s="1252"/>
      <c r="Q410" s="1252"/>
      <c r="R410" s="1252"/>
      <c r="S410" s="1252"/>
      <c r="T410" s="1252"/>
      <c r="U410" s="1252"/>
      <c r="V410" s="1252"/>
      <c r="W410" s="1252"/>
      <c r="X410" s="1252"/>
      <c r="Y410" s="1252"/>
      <c r="Z410" s="1252"/>
      <c r="AA410" s="1250">
        <f>SUM(AA409)</f>
        <v>10</v>
      </c>
      <c r="AB410" s="1243">
        <f>SUM(AB409:AB409)</f>
        <v>0</v>
      </c>
      <c r="AC410" s="4"/>
      <c r="AG410" s="4"/>
      <c r="AK410" s="370">
        <f>SUM(AK409:AK409)</f>
        <v>0</v>
      </c>
      <c r="AL410" s="4"/>
      <c r="AM410" s="255"/>
      <c r="AO410" s="407"/>
      <c r="AP410" s="193"/>
      <c r="AQ410" s="193"/>
      <c r="AR410" s="193"/>
      <c r="AS410" s="193"/>
      <c r="AT410" s="193"/>
    </row>
    <row r="411" spans="1:53" s="180" customFormat="1">
      <c r="A411" s="313"/>
      <c r="B411" s="836" t="s">
        <v>67</v>
      </c>
      <c r="C411" s="1254">
        <f>1+1</f>
        <v>2</v>
      </c>
      <c r="D411" s="837"/>
      <c r="E411" s="838"/>
      <c r="F411" s="838"/>
      <c r="G411" s="837"/>
      <c r="H411" s="838"/>
      <c r="I411" s="838"/>
      <c r="J411" s="838"/>
      <c r="K411" s="838"/>
      <c r="L411" s="837"/>
      <c r="M411" s="837"/>
      <c r="N411" s="837"/>
      <c r="O411" s="837"/>
      <c r="P411" s="838"/>
      <c r="Q411" s="837"/>
      <c r="R411" s="837"/>
      <c r="S411" s="837"/>
      <c r="T411" s="837"/>
      <c r="U411" s="838"/>
      <c r="V411" s="837"/>
      <c r="W411" s="837"/>
      <c r="X411" s="837"/>
      <c r="Y411" s="839"/>
      <c r="Z411" s="838"/>
      <c r="AA411" s="840"/>
      <c r="AB411" s="838"/>
      <c r="AC411" s="211"/>
      <c r="AD411" s="211"/>
      <c r="AE411" s="211"/>
      <c r="AF411" s="211"/>
      <c r="AG411" s="4"/>
      <c r="AH411" s="211"/>
      <c r="AI411" s="211"/>
      <c r="AJ411" s="211"/>
      <c r="AK411" s="211"/>
      <c r="AL411" s="4"/>
      <c r="AM411" s="255"/>
      <c r="AO411" s="193"/>
      <c r="AP411" s="193"/>
      <c r="AQ411" s="193"/>
      <c r="AR411" s="193"/>
      <c r="AS411" s="193"/>
      <c r="AT411" s="193"/>
    </row>
    <row r="412" spans="1:53" s="180" customFormat="1">
      <c r="A412" s="313"/>
      <c r="E412" s="4"/>
      <c r="F412" s="644"/>
      <c r="G412" s="4"/>
      <c r="J412" s="4"/>
      <c r="K412" s="644"/>
      <c r="L412" s="4"/>
      <c r="O412" s="4"/>
      <c r="P412" s="644"/>
      <c r="Q412" s="4"/>
      <c r="T412" s="4"/>
      <c r="U412" s="644"/>
      <c r="V412" s="4"/>
      <c r="Y412" s="4"/>
      <c r="Z412" s="644"/>
      <c r="AA412" s="4"/>
      <c r="AB412" s="4"/>
      <c r="AC412" s="4"/>
      <c r="AG412" s="4"/>
      <c r="AL412" s="4"/>
      <c r="AM412" s="255"/>
      <c r="AO412" s="193"/>
      <c r="AP412" s="193"/>
      <c r="AQ412" s="193"/>
      <c r="AR412" s="193"/>
      <c r="AS412" s="193"/>
      <c r="AT412" s="193"/>
    </row>
    <row r="413" spans="1:53" s="180" customFormat="1">
      <c r="A413" s="313"/>
      <c r="B413" s="229"/>
      <c r="C413" s="230"/>
      <c r="D413" s="230"/>
      <c r="E413" s="232"/>
      <c r="F413" s="232"/>
      <c r="G413" s="230"/>
      <c r="H413" s="232"/>
      <c r="I413" s="232"/>
      <c r="J413" s="232"/>
      <c r="K413" s="232"/>
      <c r="L413" s="230"/>
      <c r="M413" s="230"/>
      <c r="N413" s="230"/>
      <c r="O413" s="230"/>
      <c r="P413" s="232"/>
      <c r="Q413" s="230"/>
      <c r="R413" s="230"/>
      <c r="S413" s="230"/>
      <c r="T413" s="230"/>
      <c r="U413" s="232"/>
      <c r="V413" s="230"/>
      <c r="W413" s="230"/>
      <c r="X413" s="230"/>
      <c r="Y413" s="233"/>
      <c r="Z413" s="232"/>
      <c r="AA413" s="234"/>
      <c r="AB413" s="232"/>
      <c r="AC413" s="373"/>
      <c r="AD413" s="236"/>
      <c r="AE413" s="255"/>
      <c r="AF413" s="255"/>
      <c r="AG413" s="255"/>
      <c r="AH413" s="236"/>
      <c r="AI413" s="255"/>
      <c r="AJ413" s="255"/>
      <c r="AK413" s="255"/>
      <c r="AL413" s="255"/>
      <c r="AM413" s="255"/>
      <c r="AN413" s="255"/>
      <c r="AO413" s="255"/>
      <c r="AP413" s="255"/>
      <c r="AQ413" s="255"/>
      <c r="AR413" s="255"/>
      <c r="AS413" s="255"/>
      <c r="AT413" s="255"/>
    </row>
    <row r="414" spans="1:53" s="180" customFormat="1">
      <c r="A414" s="313"/>
      <c r="E414" s="4"/>
      <c r="F414" s="644"/>
      <c r="G414" s="4"/>
      <c r="J414" s="4"/>
      <c r="K414" s="644"/>
      <c r="L414" s="4"/>
      <c r="O414" s="4"/>
      <c r="P414" s="644"/>
      <c r="Q414" s="4"/>
      <c r="T414" s="4"/>
      <c r="U414" s="644"/>
      <c r="V414" s="4"/>
      <c r="Y414" s="4"/>
      <c r="Z414" s="644"/>
      <c r="AA414" s="4"/>
      <c r="AB414" s="4"/>
      <c r="AC414" s="4"/>
      <c r="AG414" s="4"/>
      <c r="AL414" s="4"/>
      <c r="AM414" s="255"/>
      <c r="AO414" s="193"/>
      <c r="AP414" s="193"/>
      <c r="AQ414" s="193"/>
      <c r="AR414" s="193"/>
      <c r="AS414" s="193"/>
      <c r="AT414" s="193"/>
    </row>
    <row r="415" spans="1:53" s="180" customFormat="1" ht="13.5" customHeight="1">
      <c r="A415" s="313"/>
      <c r="B415" s="1518" t="s">
        <v>18</v>
      </c>
      <c r="C415" s="1519">
        <v>45964</v>
      </c>
      <c r="D415" s="1519"/>
      <c r="E415" s="1519" t="s">
        <v>564</v>
      </c>
      <c r="F415" s="1519"/>
      <c r="G415" s="365"/>
      <c r="H415" s="1519">
        <v>45965</v>
      </c>
      <c r="I415" s="1519"/>
      <c r="J415" s="1519" t="s">
        <v>565</v>
      </c>
      <c r="K415" s="1519"/>
      <c r="L415" s="365"/>
      <c r="M415" s="1519">
        <v>45966</v>
      </c>
      <c r="N415" s="1519"/>
      <c r="O415" s="1519" t="s">
        <v>566</v>
      </c>
      <c r="P415" s="1519"/>
      <c r="Q415" s="365"/>
      <c r="R415" s="1519">
        <v>45967</v>
      </c>
      <c r="S415" s="1519"/>
      <c r="T415" s="1519" t="s">
        <v>567</v>
      </c>
      <c r="U415" s="1519"/>
      <c r="V415" s="365"/>
      <c r="W415" s="1519">
        <v>45968</v>
      </c>
      <c r="X415" s="1519"/>
      <c r="Y415" s="1519" t="s">
        <v>568</v>
      </c>
      <c r="Z415" s="1519"/>
      <c r="AA415" s="1517" t="s">
        <v>19</v>
      </c>
      <c r="AB415" s="1517" t="s">
        <v>20</v>
      </c>
      <c r="AC415" s="4"/>
      <c r="AD415" s="1519">
        <v>45969</v>
      </c>
      <c r="AE415" s="1519"/>
      <c r="AF415" s="735" t="s">
        <v>569</v>
      </c>
      <c r="AG415" s="4"/>
      <c r="AH415" s="1519">
        <v>45970</v>
      </c>
      <c r="AI415" s="1519"/>
      <c r="AJ415" s="735" t="s">
        <v>570</v>
      </c>
      <c r="AK415" s="1517" t="s">
        <v>1420</v>
      </c>
      <c r="AL415" s="4"/>
      <c r="AM415" s="368"/>
      <c r="AO415" s="194" t="s">
        <v>84</v>
      </c>
      <c r="AP415" s="366"/>
      <c r="AQ415" s="366"/>
      <c r="AR415" s="366"/>
      <c r="AS415" s="366"/>
      <c r="AT415" s="366"/>
    </row>
    <row r="416" spans="1:53" s="180" customFormat="1">
      <c r="A416" s="313"/>
      <c r="B416" s="1518"/>
      <c r="C416" s="21" t="s">
        <v>23</v>
      </c>
      <c r="D416" s="21" t="s">
        <v>24</v>
      </c>
      <c r="E416" s="205" t="s">
        <v>25</v>
      </c>
      <c r="F416" s="645" t="s">
        <v>14</v>
      </c>
      <c r="G416" s="4"/>
      <c r="H416" s="21" t="s">
        <v>23</v>
      </c>
      <c r="I416" s="21" t="s">
        <v>24</v>
      </c>
      <c r="J416" s="18" t="s">
        <v>25</v>
      </c>
      <c r="K416" s="645" t="s">
        <v>14</v>
      </c>
      <c r="L416" s="4"/>
      <c r="M416" s="21" t="s">
        <v>23</v>
      </c>
      <c r="N416" s="21" t="s">
        <v>24</v>
      </c>
      <c r="O416" s="18" t="s">
        <v>25</v>
      </c>
      <c r="P416" s="645" t="s">
        <v>14</v>
      </c>
      <c r="Q416" s="4"/>
      <c r="R416" s="21" t="s">
        <v>23</v>
      </c>
      <c r="S416" s="21" t="s">
        <v>24</v>
      </c>
      <c r="T416" s="18" t="s">
        <v>25</v>
      </c>
      <c r="U416" s="645" t="s">
        <v>14</v>
      </c>
      <c r="V416" s="4"/>
      <c r="W416" s="21" t="s">
        <v>23</v>
      </c>
      <c r="X416" s="21" t="s">
        <v>24</v>
      </c>
      <c r="Y416" s="18" t="s">
        <v>25</v>
      </c>
      <c r="Z416" s="645" t="s">
        <v>14</v>
      </c>
      <c r="AA416" s="1517"/>
      <c r="AB416" s="1517"/>
      <c r="AC416" s="4"/>
      <c r="AD416" s="21" t="s">
        <v>23</v>
      </c>
      <c r="AE416" s="21" t="s">
        <v>24</v>
      </c>
      <c r="AF416" s="18" t="s">
        <v>25</v>
      </c>
      <c r="AG416" s="4"/>
      <c r="AH416" s="21" t="s">
        <v>23</v>
      </c>
      <c r="AI416" s="21" t="s">
        <v>24</v>
      </c>
      <c r="AJ416" s="18" t="s">
        <v>25</v>
      </c>
      <c r="AK416" s="1517"/>
      <c r="AL416" s="4"/>
      <c r="AM416" s="368"/>
      <c r="AN416" s="367"/>
      <c r="AO416" s="188" t="s">
        <v>26</v>
      </c>
      <c r="AP416" s="404">
        <f>AA432</f>
        <v>142.75</v>
      </c>
      <c r="AQ416" s="510">
        <v>40.31</v>
      </c>
      <c r="AR416" s="510">
        <f t="shared" ref="AR416:AR421" si="94">AP416*AQ416</f>
        <v>5754.2525000000005</v>
      </c>
      <c r="AS416" s="193"/>
      <c r="AT416" s="193"/>
    </row>
    <row r="417" spans="1:53" s="180" customFormat="1" ht="13.5" customHeight="1">
      <c r="A417" s="313"/>
      <c r="B417" s="4" t="s">
        <v>1064</v>
      </c>
      <c r="C417" s="935"/>
      <c r="D417" s="935"/>
      <c r="E417" s="319">
        <v>1</v>
      </c>
      <c r="F417" s="646"/>
      <c r="G417" s="4"/>
      <c r="H417" s="47"/>
      <c r="I417" s="47"/>
      <c r="J417" s="319"/>
      <c r="K417" s="646"/>
      <c r="L417" s="4"/>
      <c r="M417" s="935">
        <v>0.29166666666666669</v>
      </c>
      <c r="N417" s="935">
        <v>0.45833333333333331</v>
      </c>
      <c r="O417" s="319">
        <v>8</v>
      </c>
      <c r="P417" s="646">
        <v>7</v>
      </c>
      <c r="Q417" s="4"/>
      <c r="R417" s="935">
        <v>0.125</v>
      </c>
      <c r="S417" s="935">
        <v>0.45833333333333331</v>
      </c>
      <c r="T417" s="319">
        <v>8</v>
      </c>
      <c r="U417" s="646"/>
      <c r="V417" s="4"/>
      <c r="W417" s="935">
        <v>0.30208333333333331</v>
      </c>
      <c r="X417" s="935">
        <v>0.125</v>
      </c>
      <c r="Y417" s="319">
        <v>7.75</v>
      </c>
      <c r="Z417" s="646"/>
      <c r="AA417" s="328">
        <f>(E417+J417+O417+T417+Y417)</f>
        <v>24.75</v>
      </c>
      <c r="AB417" s="298">
        <f>Z417+U417+P417+K417+F417</f>
        <v>7</v>
      </c>
      <c r="AC417" s="4"/>
      <c r="AD417" s="47"/>
      <c r="AE417" s="326"/>
      <c r="AF417" s="319"/>
      <c r="AG417" s="4"/>
      <c r="AH417" s="47"/>
      <c r="AI417" s="326"/>
      <c r="AJ417" s="319"/>
      <c r="AK417" s="328">
        <f t="shared" ref="AK417:AK431" si="95">AJ417+AF417</f>
        <v>0</v>
      </c>
      <c r="AL417" s="4"/>
      <c r="AM417" s="368"/>
      <c r="AN417" s="367"/>
      <c r="AO417" s="188" t="s">
        <v>30</v>
      </c>
      <c r="AP417" s="196">
        <f>AB432</f>
        <v>14</v>
      </c>
      <c r="AQ417" s="511">
        <v>60.465000000000003</v>
      </c>
      <c r="AR417" s="510">
        <f t="shared" si="94"/>
        <v>846.51</v>
      </c>
      <c r="AS417" s="193"/>
      <c r="AT417" s="193"/>
    </row>
    <row r="418" spans="1:53" s="180" customFormat="1">
      <c r="A418" s="313"/>
      <c r="B418" s="47" t="s">
        <v>1441</v>
      </c>
      <c r="C418" s="935">
        <v>0.375</v>
      </c>
      <c r="D418" s="935">
        <v>0.20833333333333334</v>
      </c>
      <c r="E418" s="319">
        <v>8</v>
      </c>
      <c r="F418" s="646"/>
      <c r="G418" s="4"/>
      <c r="H418" s="935">
        <v>0.29166666666666669</v>
      </c>
      <c r="I418" s="935">
        <v>0.125</v>
      </c>
      <c r="J418" s="319">
        <v>8</v>
      </c>
      <c r="K418" s="646"/>
      <c r="L418" s="4"/>
      <c r="M418" s="935">
        <v>0.29166666666666669</v>
      </c>
      <c r="N418" s="935">
        <v>0.125</v>
      </c>
      <c r="O418" s="319">
        <v>8</v>
      </c>
      <c r="P418" s="646"/>
      <c r="Q418" s="4"/>
      <c r="R418" s="47"/>
      <c r="S418" s="47"/>
      <c r="T418" s="319"/>
      <c r="U418" s="646"/>
      <c r="V418" s="4"/>
      <c r="W418" s="47"/>
      <c r="X418" s="47"/>
      <c r="Y418" s="319"/>
      <c r="Z418" s="646"/>
      <c r="AA418" s="328">
        <f t="shared" ref="AA418:AA431" si="96">(E418+J418+O418+T418+Y418)</f>
        <v>24</v>
      </c>
      <c r="AB418" s="298">
        <f t="shared" ref="AB418:AB431" si="97">Z418+U418+P418+K418+F418</f>
        <v>0</v>
      </c>
      <c r="AC418" s="4"/>
      <c r="AD418" s="47"/>
      <c r="AE418" s="47"/>
      <c r="AF418" s="319"/>
      <c r="AG418" s="4"/>
      <c r="AH418" s="47"/>
      <c r="AI418" s="47"/>
      <c r="AJ418" s="319"/>
      <c r="AK418" s="328">
        <f t="shared" si="95"/>
        <v>0</v>
      </c>
      <c r="AL418" s="4"/>
      <c r="AM418" s="255"/>
      <c r="AO418" s="188" t="s">
        <v>32</v>
      </c>
      <c r="AP418" s="196">
        <f>AK432</f>
        <v>0</v>
      </c>
      <c r="AQ418" s="510">
        <v>60.465000000000003</v>
      </c>
      <c r="AR418" s="510">
        <f t="shared" si="94"/>
        <v>0</v>
      </c>
      <c r="AS418" s="193"/>
      <c r="AT418" s="193"/>
    </row>
    <row r="419" spans="1:53" s="193" customFormat="1">
      <c r="A419" s="313"/>
      <c r="B419" s="47" t="s">
        <v>1444</v>
      </c>
      <c r="C419" s="47"/>
      <c r="D419" s="47"/>
      <c r="E419" s="319"/>
      <c r="F419" s="646"/>
      <c r="G419" s="4"/>
      <c r="H419" s="47"/>
      <c r="I419" s="47"/>
      <c r="J419" s="319"/>
      <c r="K419" s="646"/>
      <c r="L419" s="4"/>
      <c r="M419" s="47"/>
      <c r="N419" s="47"/>
      <c r="O419" s="319"/>
      <c r="P419" s="646"/>
      <c r="Q419" s="4"/>
      <c r="R419" s="935">
        <v>0.29166666666666669</v>
      </c>
      <c r="S419" s="935">
        <v>0.125</v>
      </c>
      <c r="T419" s="319">
        <v>8</v>
      </c>
      <c r="U419" s="646"/>
      <c r="V419" s="4"/>
      <c r="W419" s="935">
        <v>0.375</v>
      </c>
      <c r="X419" s="935">
        <v>0.20833333333333334</v>
      </c>
      <c r="Y419" s="319">
        <v>8</v>
      </c>
      <c r="Z419" s="646"/>
      <c r="AA419" s="328">
        <f t="shared" si="96"/>
        <v>16</v>
      </c>
      <c r="AB419" s="298">
        <f t="shared" si="97"/>
        <v>0</v>
      </c>
      <c r="AC419" s="4"/>
      <c r="AD419" s="47"/>
      <c r="AE419" s="47"/>
      <c r="AF419" s="319"/>
      <c r="AG419" s="4"/>
      <c r="AH419" s="47"/>
      <c r="AI419" s="47"/>
      <c r="AJ419" s="319"/>
      <c r="AK419" s="328">
        <f t="shared" si="95"/>
        <v>0</v>
      </c>
      <c r="AL419" s="4"/>
      <c r="AM419" s="255"/>
      <c r="AN419" s="180"/>
      <c r="AO419" s="403" t="s">
        <v>213</v>
      </c>
      <c r="AP419" s="404">
        <f>AA433</f>
        <v>13</v>
      </c>
      <c r="AQ419" s="510">
        <v>53.05</v>
      </c>
      <c r="AR419" s="510">
        <f t="shared" si="94"/>
        <v>689.65</v>
      </c>
      <c r="AS419" s="405"/>
      <c r="AT419" s="405"/>
      <c r="AU419" s="180"/>
      <c r="AV419" s="180"/>
      <c r="AW419" s="180"/>
      <c r="AX419" s="180"/>
      <c r="AY419" s="180"/>
      <c r="AZ419" s="180"/>
      <c r="BA419" s="180"/>
    </row>
    <row r="420" spans="1:53" s="193" customFormat="1">
      <c r="A420" s="313"/>
      <c r="B420" s="371" t="s">
        <v>1447</v>
      </c>
      <c r="C420" s="935"/>
      <c r="D420" s="935"/>
      <c r="E420" s="319">
        <v>1</v>
      </c>
      <c r="F420" s="646"/>
      <c r="G420" s="47"/>
      <c r="H420" s="47">
        <v>0.1875</v>
      </c>
      <c r="I420" s="47">
        <v>0.375</v>
      </c>
      <c r="J420" s="319">
        <v>4.5</v>
      </c>
      <c r="K420" s="646"/>
      <c r="L420" s="4"/>
      <c r="M420" s="935">
        <v>0.125</v>
      </c>
      <c r="N420" s="935">
        <v>0.45833333333333331</v>
      </c>
      <c r="O420" s="319">
        <v>8</v>
      </c>
      <c r="P420" s="646"/>
      <c r="Q420" s="4"/>
      <c r="R420" s="935">
        <v>0.125</v>
      </c>
      <c r="S420" s="935">
        <v>0.45833333333333331</v>
      </c>
      <c r="T420" s="319">
        <v>8</v>
      </c>
      <c r="U420" s="646"/>
      <c r="V420" s="4"/>
      <c r="W420" s="935">
        <v>0.125</v>
      </c>
      <c r="X420" s="935">
        <v>0.45833333333333331</v>
      </c>
      <c r="Y420" s="319">
        <v>8</v>
      </c>
      <c r="Z420" s="646"/>
      <c r="AA420" s="328">
        <f t="shared" si="96"/>
        <v>29.5</v>
      </c>
      <c r="AB420" s="298">
        <f t="shared" si="97"/>
        <v>0</v>
      </c>
      <c r="AC420" s="4"/>
      <c r="AD420" s="47"/>
      <c r="AE420" s="47"/>
      <c r="AF420" s="319"/>
      <c r="AG420" s="4"/>
      <c r="AH420" s="436"/>
      <c r="AI420" s="47"/>
      <c r="AJ420" s="319"/>
      <c r="AK420" s="328">
        <f t="shared" si="95"/>
        <v>0</v>
      </c>
      <c r="AL420" s="4"/>
      <c r="AM420" s="255"/>
      <c r="AN420" s="180"/>
      <c r="AO420" s="188" t="s">
        <v>36</v>
      </c>
      <c r="AP420" s="196">
        <f>AB433</f>
        <v>0</v>
      </c>
      <c r="AQ420" s="510">
        <v>79.574999999999989</v>
      </c>
      <c r="AR420" s="510">
        <f t="shared" si="94"/>
        <v>0</v>
      </c>
      <c r="AU420" s="180"/>
      <c r="AV420" s="180"/>
      <c r="AW420" s="180"/>
      <c r="AX420" s="180"/>
      <c r="AY420" s="180"/>
      <c r="AZ420" s="180"/>
      <c r="BA420" s="180"/>
    </row>
    <row r="421" spans="1:53" s="193" customFormat="1">
      <c r="A421" s="313"/>
      <c r="B421" s="371" t="s">
        <v>1141</v>
      </c>
      <c r="C421" s="935"/>
      <c r="D421" s="935"/>
      <c r="E421" s="319">
        <v>1</v>
      </c>
      <c r="F421" s="646"/>
      <c r="G421" s="4"/>
      <c r="H421" s="47"/>
      <c r="I421" s="47"/>
      <c r="J421" s="319"/>
      <c r="K421" s="646"/>
      <c r="L421" s="4"/>
      <c r="M421" s="47"/>
      <c r="N421" s="47"/>
      <c r="O421" s="319"/>
      <c r="P421" s="646"/>
      <c r="Q421" s="4"/>
      <c r="R421" s="935">
        <v>0.29166666666666669</v>
      </c>
      <c r="S421" s="935">
        <v>0.125</v>
      </c>
      <c r="T421" s="319">
        <v>8</v>
      </c>
      <c r="U421" s="646"/>
      <c r="V421" s="4"/>
      <c r="W421" s="935">
        <v>0.29166666666666669</v>
      </c>
      <c r="X421" s="935">
        <v>0.45833333333333331</v>
      </c>
      <c r="Y421" s="319">
        <v>8</v>
      </c>
      <c r="Z421" s="646">
        <v>7</v>
      </c>
      <c r="AA421" s="328">
        <f t="shared" si="96"/>
        <v>17</v>
      </c>
      <c r="AB421" s="298">
        <f t="shared" si="97"/>
        <v>7</v>
      </c>
      <c r="AC421" s="4"/>
      <c r="AD421" s="47"/>
      <c r="AE421" s="47"/>
      <c r="AF421" s="319"/>
      <c r="AG421" s="4"/>
      <c r="AH421" s="47"/>
      <c r="AI421" s="47"/>
      <c r="AJ421" s="319"/>
      <c r="AK421" s="328">
        <f t="shared" si="95"/>
        <v>0</v>
      </c>
      <c r="AL421" s="4"/>
      <c r="AM421" s="255"/>
      <c r="AN421" s="180"/>
      <c r="AO421" s="188" t="s">
        <v>38</v>
      </c>
      <c r="AP421" s="196">
        <f>AK433</f>
        <v>0</v>
      </c>
      <c r="AQ421" s="510">
        <v>79.574999999999989</v>
      </c>
      <c r="AR421" s="510">
        <f t="shared" si="94"/>
        <v>0</v>
      </c>
      <c r="AU421" s="180"/>
      <c r="AV421" s="180"/>
      <c r="AW421" s="180"/>
      <c r="AX421" s="180"/>
      <c r="AY421" s="180"/>
      <c r="AZ421" s="180"/>
      <c r="BA421" s="180"/>
    </row>
    <row r="422" spans="1:53" s="193" customFormat="1">
      <c r="A422" s="313"/>
      <c r="B422" s="371" t="s">
        <v>1140</v>
      </c>
      <c r="C422" s="47"/>
      <c r="D422" s="47"/>
      <c r="E422" s="319"/>
      <c r="F422" s="646"/>
      <c r="G422" s="4"/>
      <c r="H422" s="47">
        <v>0.1875</v>
      </c>
      <c r="I422" s="47">
        <v>0.375</v>
      </c>
      <c r="J422" s="319">
        <v>4.5</v>
      </c>
      <c r="K422" s="646"/>
      <c r="L422" s="4"/>
      <c r="M422" s="47"/>
      <c r="N422" s="47"/>
      <c r="O422" s="319"/>
      <c r="P422" s="646"/>
      <c r="Q422" s="4"/>
      <c r="R422" s="47"/>
      <c r="S422" s="47"/>
      <c r="T422" s="319"/>
      <c r="U422" s="646"/>
      <c r="V422" s="4"/>
      <c r="W422" s="47"/>
      <c r="X422" s="47"/>
      <c r="Y422" s="319"/>
      <c r="Z422" s="646"/>
      <c r="AA422" s="328">
        <f t="shared" si="96"/>
        <v>4.5</v>
      </c>
      <c r="AB422" s="298">
        <f t="shared" si="97"/>
        <v>0</v>
      </c>
      <c r="AC422" s="4"/>
      <c r="AD422" s="47"/>
      <c r="AE422" s="47"/>
      <c r="AF422" s="319"/>
      <c r="AG422" s="4"/>
      <c r="AH422" s="47"/>
      <c r="AI422" s="47"/>
      <c r="AJ422" s="319"/>
      <c r="AK422" s="328">
        <f t="shared" si="95"/>
        <v>0</v>
      </c>
      <c r="AL422" s="4"/>
      <c r="AM422" s="255"/>
      <c r="AN422" s="180"/>
      <c r="AP422" s="196"/>
      <c r="AR422" s="786">
        <f>SUM(AR416:AR421)</f>
        <v>7290.4125000000004</v>
      </c>
      <c r="AU422" s="180"/>
      <c r="AV422" s="180"/>
      <c r="AW422" s="180"/>
      <c r="AX422" s="180"/>
      <c r="AY422" s="180"/>
      <c r="AZ422" s="180"/>
      <c r="BA422" s="180"/>
    </row>
    <row r="423" spans="1:53" s="193" customFormat="1">
      <c r="A423" s="313"/>
      <c r="B423" s="371" t="s">
        <v>53</v>
      </c>
      <c r="C423" s="47"/>
      <c r="D423" s="47"/>
      <c r="E423" s="319"/>
      <c r="F423" s="646"/>
      <c r="G423" s="4"/>
      <c r="H423" s="47"/>
      <c r="I423" s="47"/>
      <c r="J423" s="319"/>
      <c r="K423" s="646"/>
      <c r="L423" s="4"/>
      <c r="M423" s="47"/>
      <c r="N423" s="47"/>
      <c r="O423" s="319"/>
      <c r="P423" s="646"/>
      <c r="Q423" s="4"/>
      <c r="R423" s="180"/>
      <c r="S423" s="47"/>
      <c r="T423" s="319"/>
      <c r="U423" s="646"/>
      <c r="V423" s="4"/>
      <c r="W423" s="47"/>
      <c r="X423" s="47"/>
      <c r="Y423" s="319"/>
      <c r="Z423" s="646"/>
      <c r="AA423" s="328">
        <f t="shared" si="96"/>
        <v>0</v>
      </c>
      <c r="AB423" s="298">
        <f t="shared" si="97"/>
        <v>0</v>
      </c>
      <c r="AC423" s="4"/>
      <c r="AD423" s="47"/>
      <c r="AE423" s="47"/>
      <c r="AF423" s="319"/>
      <c r="AG423" s="4"/>
      <c r="AH423" s="436"/>
      <c r="AI423" s="47"/>
      <c r="AJ423" s="319"/>
      <c r="AK423" s="328">
        <f t="shared" si="95"/>
        <v>0</v>
      </c>
      <c r="AL423" s="4"/>
      <c r="AM423" s="255"/>
      <c r="AN423" s="180"/>
      <c r="AP423" s="196"/>
      <c r="AU423" s="180"/>
      <c r="AV423" s="180"/>
      <c r="AW423" s="180"/>
      <c r="AX423" s="180"/>
      <c r="AY423" s="180"/>
      <c r="AZ423" s="180"/>
      <c r="BA423" s="180"/>
    </row>
    <row r="424" spans="1:53" s="193" customFormat="1">
      <c r="A424" s="313"/>
      <c r="B424" s="371" t="s">
        <v>1455</v>
      </c>
      <c r="C424" s="47"/>
      <c r="D424" s="47"/>
      <c r="E424" s="319"/>
      <c r="F424" s="646"/>
      <c r="G424" s="4"/>
      <c r="H424" s="47"/>
      <c r="I424" s="47"/>
      <c r="J424" s="319"/>
      <c r="K424" s="646"/>
      <c r="L424" s="4"/>
      <c r="M424" s="47"/>
      <c r="N424" s="47"/>
      <c r="O424" s="319"/>
      <c r="P424" s="646"/>
      <c r="Q424" s="4"/>
      <c r="R424" s="47"/>
      <c r="S424" s="47"/>
      <c r="T424" s="319"/>
      <c r="U424" s="646"/>
      <c r="V424" s="4"/>
      <c r="W424" s="47"/>
      <c r="X424" s="47"/>
      <c r="Y424" s="319"/>
      <c r="Z424" s="646"/>
      <c r="AA424" s="328">
        <f t="shared" si="96"/>
        <v>0</v>
      </c>
      <c r="AB424" s="298">
        <f t="shared" si="97"/>
        <v>0</v>
      </c>
      <c r="AC424" s="4"/>
      <c r="AD424" s="47"/>
      <c r="AE424" s="47"/>
      <c r="AF424" s="319"/>
      <c r="AG424" s="4"/>
      <c r="AH424" s="47"/>
      <c r="AI424" s="47"/>
      <c r="AJ424" s="319"/>
      <c r="AK424" s="328">
        <f t="shared" si="95"/>
        <v>0</v>
      </c>
      <c r="AL424" s="4"/>
      <c r="AM424" s="255"/>
      <c r="AN424" s="180"/>
      <c r="AO424" s="192" t="s">
        <v>1115</v>
      </c>
      <c r="AP424" s="196">
        <f>C435</f>
        <v>2</v>
      </c>
      <c r="AQ424" s="510">
        <v>47.74</v>
      </c>
      <c r="AU424" s="180"/>
      <c r="AV424" s="180"/>
      <c r="AW424" s="180"/>
      <c r="AX424" s="180"/>
      <c r="AY424" s="180"/>
      <c r="AZ424" s="180"/>
      <c r="BA424" s="180"/>
    </row>
    <row r="425" spans="1:53" s="193" customFormat="1">
      <c r="A425" s="313"/>
      <c r="B425" s="371" t="s">
        <v>1437</v>
      </c>
      <c r="C425" s="47"/>
      <c r="D425" s="47"/>
      <c r="E425" s="319"/>
      <c r="F425" s="646"/>
      <c r="G425" s="4"/>
      <c r="H425" s="47"/>
      <c r="I425" s="47"/>
      <c r="J425" s="319"/>
      <c r="K425" s="646"/>
      <c r="L425" s="4"/>
      <c r="M425" s="47"/>
      <c r="N425" s="47"/>
      <c r="O425" s="319"/>
      <c r="P425" s="646"/>
      <c r="Q425" s="4"/>
      <c r="R425" s="47"/>
      <c r="S425" s="47"/>
      <c r="T425" s="319"/>
      <c r="U425" s="646"/>
      <c r="V425" s="4"/>
      <c r="W425" s="47"/>
      <c r="X425" s="47"/>
      <c r="Y425" s="319"/>
      <c r="Z425" s="646"/>
      <c r="AA425" s="328">
        <f t="shared" si="96"/>
        <v>0</v>
      </c>
      <c r="AB425" s="298">
        <f t="shared" si="97"/>
        <v>0</v>
      </c>
      <c r="AC425" s="4"/>
      <c r="AD425" s="47"/>
      <c r="AE425" s="47"/>
      <c r="AF425" s="319"/>
      <c r="AG425" s="4"/>
      <c r="AH425" s="47"/>
      <c r="AI425" s="47"/>
      <c r="AJ425" s="319"/>
      <c r="AK425" s="328">
        <f t="shared" si="95"/>
        <v>0</v>
      </c>
      <c r="AL425" s="4"/>
      <c r="AM425" s="255"/>
      <c r="AN425" s="180"/>
      <c r="AO425" s="192"/>
      <c r="AP425" s="196"/>
      <c r="AU425" s="180"/>
      <c r="AV425" s="180"/>
      <c r="AW425" s="180"/>
      <c r="AX425" s="180"/>
      <c r="AY425" s="180"/>
      <c r="AZ425" s="180"/>
      <c r="BA425" s="180"/>
    </row>
    <row r="426" spans="1:53" s="193" customFormat="1">
      <c r="A426" s="313"/>
      <c r="B426" s="371" t="s">
        <v>1456</v>
      </c>
      <c r="C426" s="47"/>
      <c r="D426" s="47"/>
      <c r="E426" s="319"/>
      <c r="F426" s="646"/>
      <c r="G426" s="4"/>
      <c r="H426" s="47"/>
      <c r="I426" s="47"/>
      <c r="J426" s="319"/>
      <c r="K426" s="646"/>
      <c r="L426" s="4"/>
      <c r="M426" s="47"/>
      <c r="N426" s="47"/>
      <c r="O426" s="319"/>
      <c r="P426" s="646"/>
      <c r="Q426" s="4"/>
      <c r="R426" s="47"/>
      <c r="S426" s="47"/>
      <c r="T426" s="319"/>
      <c r="U426" s="646"/>
      <c r="V426" s="4"/>
      <c r="W426" s="47"/>
      <c r="X426" s="47"/>
      <c r="Y426" s="319"/>
      <c r="Z426" s="646"/>
      <c r="AA426" s="328">
        <f t="shared" si="96"/>
        <v>0</v>
      </c>
      <c r="AB426" s="298">
        <f t="shared" si="97"/>
        <v>0</v>
      </c>
      <c r="AC426" s="4"/>
      <c r="AD426" s="47"/>
      <c r="AE426" s="47"/>
      <c r="AF426" s="319"/>
      <c r="AG426" s="4"/>
      <c r="AH426" s="47"/>
      <c r="AI426" s="47"/>
      <c r="AJ426" s="319"/>
      <c r="AK426" s="328">
        <f t="shared" si="95"/>
        <v>0</v>
      </c>
      <c r="AL426" s="4"/>
      <c r="AM426" s="255"/>
      <c r="AN426" s="180"/>
      <c r="AO426" s="192"/>
      <c r="AP426" s="196"/>
      <c r="AU426" s="180"/>
      <c r="AV426" s="180"/>
      <c r="AW426" s="180"/>
      <c r="AX426" s="180"/>
      <c r="AY426" s="180"/>
      <c r="AZ426" s="180"/>
      <c r="BA426" s="180"/>
    </row>
    <row r="427" spans="1:53" s="193" customFormat="1">
      <c r="A427" s="313"/>
      <c r="B427" s="371" t="s">
        <v>1143</v>
      </c>
      <c r="C427" s="47"/>
      <c r="D427" s="47"/>
      <c r="E427" s="319"/>
      <c r="F427" s="646"/>
      <c r="G427" s="4"/>
      <c r="H427" s="47"/>
      <c r="I427" s="47"/>
      <c r="J427" s="319"/>
      <c r="K427" s="646"/>
      <c r="L427" s="4"/>
      <c r="M427" s="47"/>
      <c r="N427" s="47"/>
      <c r="O427" s="319"/>
      <c r="P427" s="646"/>
      <c r="Q427" s="4"/>
      <c r="R427" s="47"/>
      <c r="S427" s="47"/>
      <c r="T427" s="319"/>
      <c r="U427" s="646"/>
      <c r="V427" s="4"/>
      <c r="W427" s="47"/>
      <c r="X427" s="47"/>
      <c r="Y427" s="319"/>
      <c r="Z427" s="646"/>
      <c r="AA427" s="328">
        <f t="shared" si="96"/>
        <v>0</v>
      </c>
      <c r="AB427" s="298">
        <f t="shared" si="97"/>
        <v>0</v>
      </c>
      <c r="AC427" s="4"/>
      <c r="AD427" s="47"/>
      <c r="AE427" s="47"/>
      <c r="AF427" s="319"/>
      <c r="AG427" s="4"/>
      <c r="AH427" s="47"/>
      <c r="AI427" s="47"/>
      <c r="AJ427" s="319"/>
      <c r="AK427" s="328">
        <f t="shared" si="95"/>
        <v>0</v>
      </c>
      <c r="AL427" s="4"/>
      <c r="AM427" s="255"/>
      <c r="AN427" s="180"/>
      <c r="AO427" s="192"/>
      <c r="AP427" s="196"/>
      <c r="AU427" s="180"/>
      <c r="AV427" s="180"/>
      <c r="AW427" s="180"/>
      <c r="AX427" s="180"/>
      <c r="AY427" s="180"/>
      <c r="AZ427" s="180"/>
      <c r="BA427" s="180"/>
    </row>
    <row r="428" spans="1:53" s="193" customFormat="1">
      <c r="A428" s="313"/>
      <c r="B428" s="47" t="s">
        <v>1144</v>
      </c>
      <c r="C428" s="47"/>
      <c r="D428" s="47"/>
      <c r="E428" s="319"/>
      <c r="F428" s="646"/>
      <c r="G428" s="4"/>
      <c r="H428" s="47"/>
      <c r="I428" s="47"/>
      <c r="J428" s="319"/>
      <c r="K428" s="646"/>
      <c r="L428" s="4"/>
      <c r="M428" s="47"/>
      <c r="N428" s="47"/>
      <c r="O428" s="319"/>
      <c r="P428" s="646"/>
      <c r="Q428" s="4"/>
      <c r="R428" s="47"/>
      <c r="S428" s="47"/>
      <c r="T428" s="319"/>
      <c r="U428" s="646"/>
      <c r="V428" s="4"/>
      <c r="W428" s="47"/>
      <c r="X428" s="47"/>
      <c r="Y428" s="319"/>
      <c r="Z428" s="646"/>
      <c r="AA428" s="328">
        <f t="shared" si="96"/>
        <v>0</v>
      </c>
      <c r="AB428" s="298">
        <f t="shared" si="97"/>
        <v>0</v>
      </c>
      <c r="AC428" s="4"/>
      <c r="AD428" s="47"/>
      <c r="AE428" s="47"/>
      <c r="AF428" s="319"/>
      <c r="AG428" s="4"/>
      <c r="AH428" s="47"/>
      <c r="AI428" s="326"/>
      <c r="AJ428" s="319"/>
      <c r="AK428" s="328">
        <f t="shared" si="95"/>
        <v>0</v>
      </c>
      <c r="AL428" s="4"/>
      <c r="AM428" s="255"/>
      <c r="AN428" s="180"/>
      <c r="AO428" s="192"/>
      <c r="AP428" s="196"/>
      <c r="AU428" s="180"/>
      <c r="AV428" s="180"/>
      <c r="AW428" s="180"/>
      <c r="AX428" s="180"/>
      <c r="AY428" s="180"/>
      <c r="AZ428" s="180"/>
      <c r="BA428" s="180"/>
    </row>
    <row r="429" spans="1:53" s="193" customFormat="1">
      <c r="A429" s="313"/>
      <c r="B429" s="523" t="s">
        <v>1440</v>
      </c>
      <c r="C429" s="47"/>
      <c r="D429" s="47"/>
      <c r="E429" s="319"/>
      <c r="F429" s="646"/>
      <c r="G429" s="4"/>
      <c r="H429" s="47"/>
      <c r="I429" s="47"/>
      <c r="J429" s="319"/>
      <c r="K429" s="646"/>
      <c r="L429" s="4"/>
      <c r="M429" s="47"/>
      <c r="N429" s="47"/>
      <c r="O429" s="319"/>
      <c r="P429" s="646"/>
      <c r="Q429" s="4"/>
      <c r="R429" s="47"/>
      <c r="S429" s="47"/>
      <c r="T429" s="319"/>
      <c r="U429" s="646"/>
      <c r="V429" s="4"/>
      <c r="W429" s="47"/>
      <c r="X429" s="47"/>
      <c r="Y429" s="319"/>
      <c r="Z429" s="646"/>
      <c r="AA429" s="328">
        <f t="shared" si="96"/>
        <v>0</v>
      </c>
      <c r="AB429" s="298">
        <f t="shared" si="97"/>
        <v>0</v>
      </c>
      <c r="AC429" s="4"/>
      <c r="AD429" s="47"/>
      <c r="AE429" s="47"/>
      <c r="AF429" s="319"/>
      <c r="AG429" s="4"/>
      <c r="AH429" s="47"/>
      <c r="AI429" s="326"/>
      <c r="AJ429" s="319"/>
      <c r="AK429" s="328">
        <f t="shared" si="95"/>
        <v>0</v>
      </c>
      <c r="AL429" s="4"/>
      <c r="AM429" s="255"/>
      <c r="AN429" s="180"/>
      <c r="AO429" s="192"/>
      <c r="AP429" s="196"/>
      <c r="AU429" s="180"/>
      <c r="AV429" s="180"/>
      <c r="AW429" s="180"/>
      <c r="AX429" s="180"/>
      <c r="AY429" s="180"/>
      <c r="AZ429" s="180"/>
      <c r="BA429" s="180"/>
    </row>
    <row r="430" spans="1:53" s="193" customFormat="1">
      <c r="A430" s="313"/>
      <c r="B430" s="371" t="s">
        <v>1435</v>
      </c>
      <c r="C430" s="47"/>
      <c r="D430" s="47"/>
      <c r="E430" s="319"/>
      <c r="F430" s="646"/>
      <c r="G430" s="4"/>
      <c r="H430" s="47"/>
      <c r="I430" s="47"/>
      <c r="J430" s="319"/>
      <c r="K430" s="646"/>
      <c r="L430" s="4"/>
      <c r="M430" s="47"/>
      <c r="N430" s="47"/>
      <c r="O430" s="319"/>
      <c r="P430" s="646"/>
      <c r="Q430" s="4"/>
      <c r="R430" s="47"/>
      <c r="S430" s="47"/>
      <c r="T430" s="319"/>
      <c r="U430" s="646"/>
      <c r="V430" s="4"/>
      <c r="W430" s="47"/>
      <c r="X430" s="47"/>
      <c r="Y430" s="319"/>
      <c r="Z430" s="646"/>
      <c r="AA430" s="328">
        <f t="shared" si="96"/>
        <v>0</v>
      </c>
      <c r="AB430" s="298">
        <f t="shared" si="97"/>
        <v>0</v>
      </c>
      <c r="AC430" s="4"/>
      <c r="AD430" s="47"/>
      <c r="AE430" s="326"/>
      <c r="AF430" s="319"/>
      <c r="AG430" s="4"/>
      <c r="AH430" s="47"/>
      <c r="AI430" s="47"/>
      <c r="AJ430" s="319"/>
      <c r="AK430" s="328">
        <f t="shared" si="95"/>
        <v>0</v>
      </c>
      <c r="AL430" s="4"/>
      <c r="AM430" s="255"/>
      <c r="AN430" s="180"/>
      <c r="AO430" s="192"/>
      <c r="AP430" s="196"/>
      <c r="AU430" s="180"/>
      <c r="AV430" s="180"/>
      <c r="AW430" s="180"/>
      <c r="AX430" s="180"/>
      <c r="AY430" s="180"/>
      <c r="AZ430" s="180"/>
      <c r="BA430" s="180"/>
    </row>
    <row r="431" spans="1:53" s="193" customFormat="1">
      <c r="A431" s="313"/>
      <c r="B431" s="371" t="s">
        <v>813</v>
      </c>
      <c r="C431" s="47"/>
      <c r="D431" s="47"/>
      <c r="E431" s="319">
        <v>3</v>
      </c>
      <c r="F431" s="646"/>
      <c r="G431" s="4"/>
      <c r="H431" s="935">
        <v>0.375</v>
      </c>
      <c r="I431" s="935">
        <v>0.20833333333333334</v>
      </c>
      <c r="J431" s="319">
        <v>8</v>
      </c>
      <c r="K431" s="646"/>
      <c r="L431" s="4"/>
      <c r="M431" s="935">
        <v>0.375</v>
      </c>
      <c r="N431" s="935">
        <v>0.20833333333333334</v>
      </c>
      <c r="O431" s="319">
        <v>8</v>
      </c>
      <c r="P431" s="646"/>
      <c r="Q431" s="4"/>
      <c r="R431" s="935">
        <v>0.375</v>
      </c>
      <c r="S431" s="935">
        <v>0.20833333333333334</v>
      </c>
      <c r="T431" s="319">
        <v>8</v>
      </c>
      <c r="U431" s="646"/>
      <c r="V431" s="4"/>
      <c r="W431" s="47"/>
      <c r="X431" s="47"/>
      <c r="Y431" s="319"/>
      <c r="Z431" s="646"/>
      <c r="AA431" s="328">
        <f t="shared" si="96"/>
        <v>27</v>
      </c>
      <c r="AB431" s="298">
        <f t="shared" si="97"/>
        <v>0</v>
      </c>
      <c r="AC431" s="4"/>
      <c r="AD431" s="47"/>
      <c r="AE431" s="47"/>
      <c r="AF431" s="319"/>
      <c r="AG431" s="4"/>
      <c r="AH431" s="47"/>
      <c r="AI431" s="47"/>
      <c r="AJ431" s="319"/>
      <c r="AK431" s="328">
        <f t="shared" si="95"/>
        <v>0</v>
      </c>
      <c r="AL431" s="4"/>
      <c r="AM431" s="255"/>
      <c r="AN431" s="180"/>
      <c r="AO431" s="192"/>
      <c r="AP431" s="196"/>
      <c r="AU431" s="180"/>
      <c r="AV431" s="180"/>
      <c r="AW431" s="180"/>
      <c r="AX431" s="180"/>
      <c r="AY431" s="180"/>
      <c r="AZ431" s="180"/>
      <c r="BA431" s="180"/>
    </row>
    <row r="432" spans="1:53" s="180" customFormat="1">
      <c r="A432" s="313"/>
      <c r="B432" s="738" t="s">
        <v>61</v>
      </c>
      <c r="C432" s="739"/>
      <c r="D432" s="739"/>
      <c r="E432" s="740"/>
      <c r="F432" s="646"/>
      <c r="G432" s="739"/>
      <c r="H432" s="739"/>
      <c r="I432" s="739"/>
      <c r="J432" s="740"/>
      <c r="K432" s="646"/>
      <c r="L432" s="739"/>
      <c r="M432" s="739"/>
      <c r="N432" s="739"/>
      <c r="O432" s="740"/>
      <c r="P432" s="646"/>
      <c r="Q432" s="739"/>
      <c r="R432" s="739"/>
      <c r="S432" s="739"/>
      <c r="T432" s="740"/>
      <c r="U432" s="646"/>
      <c r="V432" s="739"/>
      <c r="W432" s="739"/>
      <c r="X432" s="739"/>
      <c r="Y432" s="740"/>
      <c r="Z432" s="646"/>
      <c r="AA432" s="370">
        <f>SUM(AA417:AA431)</f>
        <v>142.75</v>
      </c>
      <c r="AB432" s="608">
        <f>SUM(AB417:AB424)</f>
        <v>14</v>
      </c>
      <c r="AC432" s="4"/>
      <c r="AD432" s="738"/>
      <c r="AE432" s="738"/>
      <c r="AF432" s="370"/>
      <c r="AG432" s="4"/>
      <c r="AH432" s="738"/>
      <c r="AI432" s="738"/>
      <c r="AJ432" s="370"/>
      <c r="AK432" s="370">
        <f>SUM(AK417:AK430)</f>
        <v>0</v>
      </c>
      <c r="AL432" s="4"/>
      <c r="AM432" s="255"/>
      <c r="AO432" s="407"/>
      <c r="AP432" s="193"/>
      <c r="AQ432" s="193"/>
      <c r="AR432" s="193"/>
      <c r="AS432" s="193"/>
      <c r="AT432" s="193"/>
    </row>
    <row r="433" spans="1:53" s="180" customFormat="1">
      <c r="A433" s="313"/>
      <c r="B433" s="741" t="s">
        <v>64</v>
      </c>
      <c r="C433" s="47"/>
      <c r="D433" s="47"/>
      <c r="E433" s="319">
        <v>4</v>
      </c>
      <c r="F433" s="346"/>
      <c r="G433" s="613"/>
      <c r="H433" s="47"/>
      <c r="I433" s="47"/>
      <c r="J433" s="319">
        <v>4</v>
      </c>
      <c r="K433" s="346"/>
      <c r="L433" s="60"/>
      <c r="M433" s="47"/>
      <c r="N433" s="47"/>
      <c r="O433" s="319">
        <v>2</v>
      </c>
      <c r="P433" s="346"/>
      <c r="Q433" s="60"/>
      <c r="R433" s="47"/>
      <c r="S433" s="47"/>
      <c r="T433" s="319">
        <v>1</v>
      </c>
      <c r="U433" s="346"/>
      <c r="V433" s="60"/>
      <c r="W433" s="47"/>
      <c r="X433" s="47"/>
      <c r="Y433" s="319">
        <v>2</v>
      </c>
      <c r="Z433" s="346"/>
      <c r="AA433" s="28">
        <f>SUM(E433+J433+O433+T433+Y433)</f>
        <v>13</v>
      </c>
      <c r="AB433" s="296">
        <f>Z433+U433+P433+K433+F433</f>
        <v>0</v>
      </c>
      <c r="AC433" s="4"/>
      <c r="AD433" s="47"/>
      <c r="AE433" s="47"/>
      <c r="AF433" s="319"/>
      <c r="AG433" s="4"/>
      <c r="AH433" s="47"/>
      <c r="AI433" s="47"/>
      <c r="AJ433" s="319"/>
      <c r="AK433" s="29">
        <f>AJ433+AF433</f>
        <v>0</v>
      </c>
      <c r="AL433" s="4"/>
      <c r="AM433" s="255"/>
      <c r="AO433" s="407"/>
      <c r="AP433" s="193"/>
      <c r="AQ433" s="193"/>
      <c r="AR433" s="193"/>
      <c r="AS433" s="193"/>
      <c r="AT433" s="193"/>
    </row>
    <row r="434" spans="1:53" s="180" customFormat="1">
      <c r="A434" s="313"/>
      <c r="B434" s="71" t="s">
        <v>66</v>
      </c>
      <c r="C434" s="371"/>
      <c r="D434" s="371"/>
      <c r="E434" s="71"/>
      <c r="F434" s="613"/>
      <c r="G434" s="71"/>
      <c r="H434" s="71"/>
      <c r="I434" s="71"/>
      <c r="J434" s="71"/>
      <c r="K434" s="613"/>
      <c r="L434" s="71"/>
      <c r="M434" s="71"/>
      <c r="N434" s="71"/>
      <c r="O434" s="71"/>
      <c r="P434" s="613"/>
      <c r="Q434" s="71"/>
      <c r="R434" s="71"/>
      <c r="S434" s="71"/>
      <c r="T434" s="71"/>
      <c r="U434" s="613"/>
      <c r="V434" s="71"/>
      <c r="W434" s="71"/>
      <c r="X434" s="71"/>
      <c r="Y434" s="71"/>
      <c r="Z434" s="613"/>
      <c r="AA434" s="370">
        <f>SUM(AA433)</f>
        <v>13</v>
      </c>
      <c r="AB434" s="370">
        <f>SUM(AB433:AB433)</f>
        <v>0</v>
      </c>
      <c r="AC434" s="4"/>
      <c r="AG434" s="4"/>
      <c r="AK434" s="370">
        <f>SUM(AK433:AK433)</f>
        <v>0</v>
      </c>
      <c r="AL434" s="4"/>
      <c r="AM434" s="255"/>
      <c r="AO434" s="407"/>
      <c r="AP434" s="193"/>
      <c r="AQ434" s="193"/>
      <c r="AR434" s="193"/>
      <c r="AS434" s="193"/>
      <c r="AT434" s="193"/>
    </row>
    <row r="435" spans="1:53" s="180" customFormat="1">
      <c r="A435" s="313"/>
      <c r="B435" s="217" t="s">
        <v>67</v>
      </c>
      <c r="C435" s="207">
        <v>2</v>
      </c>
      <c r="D435" s="207"/>
      <c r="E435" s="209"/>
      <c r="F435" s="209"/>
      <c r="G435" s="207"/>
      <c r="H435" s="209"/>
      <c r="I435" s="209"/>
      <c r="J435" s="209"/>
      <c r="K435" s="209"/>
      <c r="L435" s="207"/>
      <c r="M435" s="207"/>
      <c r="N435" s="207"/>
      <c r="O435" s="207"/>
      <c r="P435" s="209"/>
      <c r="Q435" s="207"/>
      <c r="R435" s="207"/>
      <c r="S435" s="207"/>
      <c r="T435" s="207"/>
      <c r="U435" s="209"/>
      <c r="V435" s="207"/>
      <c r="W435" s="207"/>
      <c r="X435" s="207"/>
      <c r="Y435" s="210"/>
      <c r="Z435" s="209"/>
      <c r="AA435" s="211"/>
      <c r="AB435" s="209"/>
      <c r="AC435" s="211"/>
      <c r="AD435" s="211"/>
      <c r="AE435" s="211"/>
      <c r="AF435" s="211"/>
      <c r="AG435" s="4"/>
      <c r="AH435" s="211"/>
      <c r="AI435" s="211"/>
      <c r="AJ435" s="211"/>
      <c r="AK435" s="211"/>
      <c r="AL435" s="4"/>
      <c r="AM435" s="255"/>
      <c r="AO435" s="193"/>
      <c r="AP435" s="193"/>
      <c r="AQ435" s="193"/>
      <c r="AR435" s="193"/>
      <c r="AS435" s="193"/>
      <c r="AT435" s="193"/>
    </row>
    <row r="436" spans="1:53" s="180" customFormat="1">
      <c r="A436" s="313"/>
      <c r="E436" s="4"/>
      <c r="F436" s="644"/>
      <c r="G436" s="4"/>
      <c r="J436" s="4"/>
      <c r="K436" s="644"/>
      <c r="L436" s="4"/>
      <c r="O436" s="4"/>
      <c r="P436" s="644"/>
      <c r="Q436" s="4"/>
      <c r="T436" s="4"/>
      <c r="U436" s="644"/>
      <c r="V436" s="4"/>
      <c r="Y436" s="4"/>
      <c r="Z436" s="644"/>
      <c r="AA436" s="4"/>
      <c r="AB436" s="4"/>
      <c r="AC436" s="4"/>
      <c r="AG436" s="4"/>
      <c r="AL436" s="4"/>
      <c r="AM436" s="255"/>
      <c r="AO436" s="193"/>
      <c r="AP436" s="193"/>
      <c r="AQ436" s="193"/>
      <c r="AR436" s="193"/>
      <c r="AS436" s="193"/>
      <c r="AT436" s="193"/>
    </row>
    <row r="437" spans="1:53" s="180" customFormat="1">
      <c r="A437" s="313"/>
      <c r="B437" s="229"/>
      <c r="C437" s="230"/>
      <c r="D437" s="230"/>
      <c r="E437" s="232"/>
      <c r="F437" s="232"/>
      <c r="G437" s="230"/>
      <c r="H437" s="232"/>
      <c r="I437" s="232"/>
      <c r="J437" s="232"/>
      <c r="K437" s="232"/>
      <c r="L437" s="230"/>
      <c r="M437" s="230"/>
      <c r="N437" s="230"/>
      <c r="O437" s="230"/>
      <c r="P437" s="232"/>
      <c r="Q437" s="230"/>
      <c r="R437" s="230"/>
      <c r="S437" s="230"/>
      <c r="T437" s="230"/>
      <c r="U437" s="232"/>
      <c r="V437" s="230"/>
      <c r="W437" s="230"/>
      <c r="X437" s="230"/>
      <c r="Y437" s="233"/>
      <c r="Z437" s="232"/>
      <c r="AA437" s="234"/>
      <c r="AB437" s="232"/>
      <c r="AC437" s="373"/>
      <c r="AD437" s="236"/>
      <c r="AE437" s="255"/>
      <c r="AF437" s="255"/>
      <c r="AG437" s="255"/>
      <c r="AH437" s="236"/>
      <c r="AI437" s="255"/>
      <c r="AJ437" s="255"/>
      <c r="AK437" s="255"/>
      <c r="AL437" s="255"/>
      <c r="AM437" s="255"/>
      <c r="AN437" s="255"/>
      <c r="AO437" s="255"/>
      <c r="AP437" s="255"/>
      <c r="AQ437" s="255"/>
      <c r="AR437" s="255"/>
      <c r="AS437" s="255"/>
      <c r="AT437" s="255"/>
    </row>
    <row r="438" spans="1:53" s="180" customFormat="1">
      <c r="A438" s="313"/>
      <c r="E438" s="4"/>
      <c r="F438" s="644"/>
      <c r="G438" s="4"/>
      <c r="J438" s="4"/>
      <c r="K438" s="644"/>
      <c r="L438" s="4"/>
      <c r="O438" s="4"/>
      <c r="P438" s="644"/>
      <c r="Q438" s="4"/>
      <c r="T438" s="4"/>
      <c r="U438" s="644"/>
      <c r="V438" s="4"/>
      <c r="Y438" s="4"/>
      <c r="Z438" s="644"/>
      <c r="AA438" s="4"/>
      <c r="AB438" s="4"/>
      <c r="AC438" s="4"/>
      <c r="AG438" s="4"/>
      <c r="AL438" s="4"/>
      <c r="AM438" s="255"/>
      <c r="AO438" s="193"/>
      <c r="AP438" s="193"/>
      <c r="AQ438" s="193"/>
      <c r="AR438" s="193"/>
      <c r="AS438" s="193"/>
      <c r="AT438" s="193"/>
    </row>
    <row r="439" spans="1:53" s="180" customFormat="1" ht="13.5" customHeight="1">
      <c r="A439" s="313"/>
      <c r="B439" s="1518" t="s">
        <v>18</v>
      </c>
      <c r="C439" s="1519">
        <v>45971</v>
      </c>
      <c r="D439" s="1519"/>
      <c r="E439" s="1519" t="s">
        <v>564</v>
      </c>
      <c r="F439" s="1519"/>
      <c r="G439" s="365"/>
      <c r="H439" s="1519">
        <v>45972</v>
      </c>
      <c r="I439" s="1519"/>
      <c r="J439" s="1519" t="s">
        <v>565</v>
      </c>
      <c r="K439" s="1519"/>
      <c r="L439" s="365"/>
      <c r="M439" s="1519">
        <v>45973</v>
      </c>
      <c r="N439" s="1519"/>
      <c r="O439" s="1519" t="s">
        <v>566</v>
      </c>
      <c r="P439" s="1519"/>
      <c r="Q439" s="365"/>
      <c r="R439" s="1519">
        <v>45974</v>
      </c>
      <c r="S439" s="1519"/>
      <c r="T439" s="1519" t="s">
        <v>567</v>
      </c>
      <c r="U439" s="1519"/>
      <c r="V439" s="365"/>
      <c r="W439" s="1519">
        <v>45975</v>
      </c>
      <c r="X439" s="1519"/>
      <c r="Y439" s="1519" t="s">
        <v>568</v>
      </c>
      <c r="Z439" s="1519"/>
      <c r="AA439" s="1517" t="s">
        <v>19</v>
      </c>
      <c r="AB439" s="1517" t="s">
        <v>20</v>
      </c>
      <c r="AC439" s="4"/>
      <c r="AD439" s="1519">
        <v>45976</v>
      </c>
      <c r="AE439" s="1519"/>
      <c r="AF439" s="735" t="s">
        <v>569</v>
      </c>
      <c r="AG439" s="4"/>
      <c r="AH439" s="1519">
        <v>45977</v>
      </c>
      <c r="AI439" s="1519"/>
      <c r="AJ439" s="735" t="s">
        <v>570</v>
      </c>
      <c r="AK439" s="1517" t="s">
        <v>1420</v>
      </c>
      <c r="AL439" s="4"/>
      <c r="AM439" s="368"/>
      <c r="AO439" s="194" t="s">
        <v>84</v>
      </c>
      <c r="AP439" s="366"/>
      <c r="AQ439" s="366"/>
      <c r="AR439" s="366"/>
      <c r="AS439" s="366"/>
      <c r="AT439" s="366"/>
    </row>
    <row r="440" spans="1:53" s="180" customFormat="1">
      <c r="A440" s="313"/>
      <c r="B440" s="1518"/>
      <c r="C440" s="21" t="s">
        <v>23</v>
      </c>
      <c r="D440" s="21" t="s">
        <v>24</v>
      </c>
      <c r="E440" s="205" t="s">
        <v>25</v>
      </c>
      <c r="F440" s="645" t="s">
        <v>14</v>
      </c>
      <c r="G440" s="4"/>
      <c r="H440" s="21" t="s">
        <v>23</v>
      </c>
      <c r="I440" s="21" t="s">
        <v>24</v>
      </c>
      <c r="J440" s="18" t="s">
        <v>25</v>
      </c>
      <c r="K440" s="645" t="s">
        <v>14</v>
      </c>
      <c r="L440" s="4"/>
      <c r="M440" s="21" t="s">
        <v>23</v>
      </c>
      <c r="N440" s="21" t="s">
        <v>24</v>
      </c>
      <c r="O440" s="18" t="s">
        <v>25</v>
      </c>
      <c r="P440" s="645" t="s">
        <v>14</v>
      </c>
      <c r="Q440" s="4"/>
      <c r="R440" s="21" t="s">
        <v>23</v>
      </c>
      <c r="S440" s="21" t="s">
        <v>24</v>
      </c>
      <c r="T440" s="18" t="s">
        <v>25</v>
      </c>
      <c r="U440" s="645" t="s">
        <v>14</v>
      </c>
      <c r="V440" s="4"/>
      <c r="W440" s="21" t="s">
        <v>23</v>
      </c>
      <c r="X440" s="21" t="s">
        <v>24</v>
      </c>
      <c r="Y440" s="18" t="s">
        <v>25</v>
      </c>
      <c r="Z440" s="645" t="s">
        <v>14</v>
      </c>
      <c r="AA440" s="1517"/>
      <c r="AB440" s="1517"/>
      <c r="AC440" s="4"/>
      <c r="AD440" s="21" t="s">
        <v>23</v>
      </c>
      <c r="AE440" s="21" t="s">
        <v>24</v>
      </c>
      <c r="AF440" s="18" t="s">
        <v>25</v>
      </c>
      <c r="AG440" s="4"/>
      <c r="AH440" s="21" t="s">
        <v>23</v>
      </c>
      <c r="AI440" s="21" t="s">
        <v>24</v>
      </c>
      <c r="AJ440" s="18" t="s">
        <v>25</v>
      </c>
      <c r="AK440" s="1517"/>
      <c r="AL440" s="4"/>
      <c r="AM440" s="368"/>
      <c r="AN440" s="367"/>
      <c r="AO440" s="188" t="s">
        <v>26</v>
      </c>
      <c r="AP440" s="404">
        <f>AA456</f>
        <v>175</v>
      </c>
      <c r="AQ440" s="510">
        <v>40.31</v>
      </c>
      <c r="AR440" s="510">
        <f t="shared" ref="AR440:AR445" si="98">AP440*AQ440</f>
        <v>7054.25</v>
      </c>
      <c r="AS440" s="193"/>
      <c r="AT440" s="193"/>
    </row>
    <row r="441" spans="1:53" s="180" customFormat="1" ht="13.5" customHeight="1">
      <c r="A441" s="313"/>
      <c r="B441" s="4" t="s">
        <v>1064</v>
      </c>
      <c r="C441" s="935">
        <v>0.16666666666666666</v>
      </c>
      <c r="D441" s="935">
        <v>0.45833333333333331</v>
      </c>
      <c r="E441" s="319">
        <v>7</v>
      </c>
      <c r="F441" s="646"/>
      <c r="G441" s="4"/>
      <c r="H441" s="935">
        <v>0.29166666666666669</v>
      </c>
      <c r="I441" s="935">
        <v>0.125</v>
      </c>
      <c r="J441" s="319">
        <v>8</v>
      </c>
      <c r="K441" s="646"/>
      <c r="L441" s="4"/>
      <c r="M441" s="935">
        <v>0.29166666666666669</v>
      </c>
      <c r="N441" s="935">
        <v>0.125</v>
      </c>
      <c r="O441" s="319">
        <v>8</v>
      </c>
      <c r="P441" s="646"/>
      <c r="Q441" s="4"/>
      <c r="R441" s="935">
        <v>0.29166666666666669</v>
      </c>
      <c r="S441" s="935">
        <v>0.125</v>
      </c>
      <c r="T441" s="319">
        <v>8</v>
      </c>
      <c r="U441" s="646"/>
      <c r="V441" s="4"/>
      <c r="W441" s="935">
        <v>0.29166666666666669</v>
      </c>
      <c r="X441" s="935">
        <v>0.125</v>
      </c>
      <c r="Y441" s="319">
        <v>8</v>
      </c>
      <c r="Z441" s="646"/>
      <c r="AA441" s="328">
        <f>(E441+J441+O441+T441+Y441)</f>
        <v>39</v>
      </c>
      <c r="AB441" s="298">
        <f>Z441+U441+P441+K441+F441</f>
        <v>0</v>
      </c>
      <c r="AC441" s="4"/>
      <c r="AD441" s="47"/>
      <c r="AE441" s="326"/>
      <c r="AF441" s="319"/>
      <c r="AG441" s="4"/>
      <c r="AH441" s="47"/>
      <c r="AI441" s="326"/>
      <c r="AJ441" s="319"/>
      <c r="AK441" s="328">
        <f t="shared" ref="AK441:AK455" si="99">AJ441+AF441</f>
        <v>0</v>
      </c>
      <c r="AL441" s="4"/>
      <c r="AM441" s="368"/>
      <c r="AN441" s="367"/>
      <c r="AO441" s="188" t="s">
        <v>30</v>
      </c>
      <c r="AP441" s="196">
        <f>AB456</f>
        <v>7</v>
      </c>
      <c r="AQ441" s="511">
        <v>60.465000000000003</v>
      </c>
      <c r="AR441" s="510">
        <f t="shared" si="98"/>
        <v>423.255</v>
      </c>
      <c r="AS441" s="193"/>
      <c r="AT441" s="193"/>
    </row>
    <row r="442" spans="1:53" s="180" customFormat="1">
      <c r="A442" s="313"/>
      <c r="B442" s="47" t="s">
        <v>1441</v>
      </c>
      <c r="C442" s="935">
        <v>0.375</v>
      </c>
      <c r="D442" s="935">
        <v>0.20833333333333334</v>
      </c>
      <c r="E442" s="319">
        <v>8</v>
      </c>
      <c r="F442" s="646"/>
      <c r="G442" s="4"/>
      <c r="H442" s="935">
        <v>0.29166666666666669</v>
      </c>
      <c r="I442" s="935">
        <v>0.125</v>
      </c>
      <c r="J442" s="319">
        <v>8</v>
      </c>
      <c r="K442" s="646"/>
      <c r="L442" s="4"/>
      <c r="M442" s="935">
        <v>0.29166666666666669</v>
      </c>
      <c r="N442" s="935">
        <v>0.125</v>
      </c>
      <c r="O442" s="319">
        <v>8</v>
      </c>
      <c r="P442" s="646"/>
      <c r="Q442" s="4"/>
      <c r="R442" s="47"/>
      <c r="S442" s="47"/>
      <c r="T442" s="319"/>
      <c r="U442" s="646"/>
      <c r="V442" s="4"/>
      <c r="W442" s="47"/>
      <c r="X442" s="47"/>
      <c r="Y442" s="319"/>
      <c r="Z442" s="646"/>
      <c r="AA442" s="328">
        <f t="shared" ref="AA442:AA455" si="100">(E442+J442+O442+T442+Y442)</f>
        <v>24</v>
      </c>
      <c r="AB442" s="298">
        <f t="shared" ref="AB442:AB455" si="101">Z442+U442+P442+K442+F442</f>
        <v>0</v>
      </c>
      <c r="AC442" s="4"/>
      <c r="AD442" s="47"/>
      <c r="AE442" s="47"/>
      <c r="AF442" s="319"/>
      <c r="AG442" s="4"/>
      <c r="AH442" s="47"/>
      <c r="AI442" s="47"/>
      <c r="AJ442" s="319"/>
      <c r="AK442" s="328">
        <f t="shared" si="99"/>
        <v>0</v>
      </c>
      <c r="AL442" s="4"/>
      <c r="AM442" s="255"/>
      <c r="AO442" s="188" t="s">
        <v>32</v>
      </c>
      <c r="AP442" s="196">
        <f>AK456</f>
        <v>0</v>
      </c>
      <c r="AQ442" s="510">
        <v>60.465000000000003</v>
      </c>
      <c r="AR442" s="510">
        <f t="shared" si="98"/>
        <v>0</v>
      </c>
      <c r="AS442" s="193"/>
      <c r="AT442" s="193"/>
    </row>
    <row r="443" spans="1:53" s="193" customFormat="1">
      <c r="A443" s="313"/>
      <c r="B443" s="47" t="s">
        <v>1444</v>
      </c>
      <c r="C443" s="935">
        <v>0.29166666666666669</v>
      </c>
      <c r="D443" s="935">
        <v>0.125</v>
      </c>
      <c r="E443" s="319">
        <v>8</v>
      </c>
      <c r="F443" s="646"/>
      <c r="G443" s="4"/>
      <c r="H443" s="47"/>
      <c r="I443" s="47"/>
      <c r="J443" s="319"/>
      <c r="K443" s="646"/>
      <c r="L443" s="4"/>
      <c r="M443" s="47"/>
      <c r="N443" s="47"/>
      <c r="O443" s="319"/>
      <c r="P443" s="646"/>
      <c r="Q443" s="4"/>
      <c r="R443" s="935">
        <v>0.29166666666666669</v>
      </c>
      <c r="S443" s="935">
        <v>0.125</v>
      </c>
      <c r="T443" s="319">
        <v>8</v>
      </c>
      <c r="U443" s="646"/>
      <c r="V443" s="4"/>
      <c r="W443" s="47"/>
      <c r="X443" s="47"/>
      <c r="Y443" s="319"/>
      <c r="Z443" s="646"/>
      <c r="AA443" s="328">
        <f t="shared" si="100"/>
        <v>16</v>
      </c>
      <c r="AB443" s="298">
        <f t="shared" si="101"/>
        <v>0</v>
      </c>
      <c r="AC443" s="4"/>
      <c r="AD443" s="47"/>
      <c r="AE443" s="47"/>
      <c r="AF443" s="319"/>
      <c r="AG443" s="4"/>
      <c r="AH443" s="47"/>
      <c r="AI443" s="47"/>
      <c r="AJ443" s="319"/>
      <c r="AK443" s="328">
        <f t="shared" si="99"/>
        <v>0</v>
      </c>
      <c r="AL443" s="4"/>
      <c r="AM443" s="255"/>
      <c r="AN443" s="180"/>
      <c r="AO443" s="403" t="s">
        <v>213</v>
      </c>
      <c r="AP443" s="404">
        <f>AA457</f>
        <v>10</v>
      </c>
      <c r="AQ443" s="510">
        <v>53.05</v>
      </c>
      <c r="AR443" s="510">
        <f t="shared" si="98"/>
        <v>530.5</v>
      </c>
      <c r="AS443" s="405"/>
      <c r="AT443" s="405"/>
      <c r="AU443" s="180"/>
      <c r="AV443" s="180"/>
      <c r="AW443" s="180"/>
      <c r="AX443" s="180"/>
      <c r="AY443" s="180"/>
      <c r="AZ443" s="180"/>
      <c r="BA443" s="180"/>
    </row>
    <row r="444" spans="1:53" s="193" customFormat="1">
      <c r="A444" s="313"/>
      <c r="B444" s="371" t="s">
        <v>1447</v>
      </c>
      <c r="C444" s="935">
        <v>0.125</v>
      </c>
      <c r="D444" s="935">
        <v>0.45833333333333331</v>
      </c>
      <c r="E444" s="319">
        <v>8</v>
      </c>
      <c r="F444" s="646"/>
      <c r="G444" s="47"/>
      <c r="H444" s="935">
        <v>0.125</v>
      </c>
      <c r="I444" s="935">
        <v>0.45833333333333331</v>
      </c>
      <c r="J444" s="319">
        <v>8</v>
      </c>
      <c r="K444" s="646"/>
      <c r="L444" s="4"/>
      <c r="M444" s="47"/>
      <c r="N444" s="47"/>
      <c r="O444" s="319"/>
      <c r="P444" s="646"/>
      <c r="Q444" s="4"/>
      <c r="R444" s="47">
        <v>0.1875</v>
      </c>
      <c r="S444" s="47">
        <v>0.375</v>
      </c>
      <c r="T444" s="319">
        <v>4.5</v>
      </c>
      <c r="U444" s="646"/>
      <c r="V444" s="4"/>
      <c r="W444" s="935">
        <v>0.125</v>
      </c>
      <c r="X444" s="935">
        <v>0.45833333333333331</v>
      </c>
      <c r="Y444" s="319">
        <v>8</v>
      </c>
      <c r="Z444" s="646"/>
      <c r="AA444" s="328">
        <f t="shared" si="100"/>
        <v>28.5</v>
      </c>
      <c r="AB444" s="298">
        <f t="shared" si="101"/>
        <v>0</v>
      </c>
      <c r="AC444" s="4"/>
      <c r="AD444" s="47"/>
      <c r="AE444" s="47"/>
      <c r="AF444" s="319"/>
      <c r="AG444" s="4"/>
      <c r="AH444" s="436"/>
      <c r="AI444" s="47"/>
      <c r="AJ444" s="319"/>
      <c r="AK444" s="328">
        <f t="shared" si="99"/>
        <v>0</v>
      </c>
      <c r="AL444" s="4"/>
      <c r="AM444" s="255"/>
      <c r="AN444" s="180"/>
      <c r="AO444" s="188" t="s">
        <v>36</v>
      </c>
      <c r="AP444" s="196">
        <f>AB457</f>
        <v>0</v>
      </c>
      <c r="AQ444" s="510">
        <v>79.574999999999989</v>
      </c>
      <c r="AR444" s="510">
        <f t="shared" si="98"/>
        <v>0</v>
      </c>
      <c r="AU444" s="180"/>
      <c r="AV444" s="180"/>
      <c r="AW444" s="180"/>
      <c r="AX444" s="180"/>
      <c r="AY444" s="180"/>
      <c r="AZ444" s="180"/>
      <c r="BA444" s="180"/>
    </row>
    <row r="445" spans="1:53" s="193" customFormat="1">
      <c r="A445" s="313"/>
      <c r="B445" s="371" t="s">
        <v>1141</v>
      </c>
      <c r="C445" s="935">
        <v>0.29166666666666669</v>
      </c>
      <c r="D445" s="935">
        <v>0.16666666666666666</v>
      </c>
      <c r="E445" s="319">
        <v>8</v>
      </c>
      <c r="F445" s="646"/>
      <c r="G445" s="4"/>
      <c r="H445" s="935">
        <v>0.16666666666666666</v>
      </c>
      <c r="I445" s="935">
        <v>0.45833333333333331</v>
      </c>
      <c r="J445" s="319">
        <v>7</v>
      </c>
      <c r="K445" s="646"/>
      <c r="L445" s="4"/>
      <c r="M445" s="935">
        <v>0.125</v>
      </c>
      <c r="N445" s="935">
        <v>0.45833333333333331</v>
      </c>
      <c r="O445" s="319">
        <v>8</v>
      </c>
      <c r="P445" s="646"/>
      <c r="Q445" s="4"/>
      <c r="R445" s="935">
        <v>0.125</v>
      </c>
      <c r="S445" s="935">
        <v>0.45833333333333331</v>
      </c>
      <c r="T445" s="319">
        <v>8</v>
      </c>
      <c r="U445" s="646"/>
      <c r="V445" s="4"/>
      <c r="W445" s="935">
        <v>0.29166666666666669</v>
      </c>
      <c r="X445" s="935">
        <v>0.45833333333333331</v>
      </c>
      <c r="Y445" s="319">
        <v>8</v>
      </c>
      <c r="Z445" s="646">
        <v>7</v>
      </c>
      <c r="AA445" s="328">
        <f t="shared" si="100"/>
        <v>39</v>
      </c>
      <c r="AB445" s="298">
        <f t="shared" si="101"/>
        <v>7</v>
      </c>
      <c r="AC445" s="4"/>
      <c r="AD445" s="47"/>
      <c r="AE445" s="47"/>
      <c r="AF445" s="319"/>
      <c r="AG445" s="4"/>
      <c r="AH445" s="47"/>
      <c r="AI445" s="47"/>
      <c r="AJ445" s="319"/>
      <c r="AK445" s="328">
        <f t="shared" si="99"/>
        <v>0</v>
      </c>
      <c r="AL445" s="4"/>
      <c r="AM445" s="255"/>
      <c r="AN445" s="180"/>
      <c r="AO445" s="188" t="s">
        <v>38</v>
      </c>
      <c r="AP445" s="196">
        <f>AK457</f>
        <v>0</v>
      </c>
      <c r="AQ445" s="510">
        <v>79.574999999999989</v>
      </c>
      <c r="AR445" s="510">
        <f t="shared" si="98"/>
        <v>0</v>
      </c>
      <c r="AU445" s="180"/>
      <c r="AV445" s="180"/>
      <c r="AW445" s="180"/>
      <c r="AX445" s="180"/>
      <c r="AY445" s="180"/>
      <c r="AZ445" s="180"/>
      <c r="BA445" s="180"/>
    </row>
    <row r="446" spans="1:53" s="193" customFormat="1">
      <c r="A446" s="313"/>
      <c r="B446" s="371" t="s">
        <v>1140</v>
      </c>
      <c r="C446" s="47"/>
      <c r="D446" s="47"/>
      <c r="E446" s="319"/>
      <c r="F446" s="646"/>
      <c r="G446" s="4"/>
      <c r="H446" s="47"/>
      <c r="I446" s="47"/>
      <c r="J446" s="319"/>
      <c r="K446" s="646"/>
      <c r="L446" s="4"/>
      <c r="M446" s="47"/>
      <c r="N446" s="47"/>
      <c r="O446" s="319"/>
      <c r="P446" s="646"/>
      <c r="Q446" s="4"/>
      <c r="R446" s="47">
        <v>0.1875</v>
      </c>
      <c r="S446" s="47">
        <v>0.375</v>
      </c>
      <c r="T446" s="319">
        <v>4.5</v>
      </c>
      <c r="U446" s="646"/>
      <c r="V446" s="4"/>
      <c r="W446" s="47"/>
      <c r="X446" s="47"/>
      <c r="Y446" s="319"/>
      <c r="Z446" s="646"/>
      <c r="AA446" s="328">
        <f t="shared" si="100"/>
        <v>4.5</v>
      </c>
      <c r="AB446" s="298">
        <f t="shared" si="101"/>
        <v>0</v>
      </c>
      <c r="AC446" s="4"/>
      <c r="AD446" s="47"/>
      <c r="AE446" s="47"/>
      <c r="AF446" s="319"/>
      <c r="AG446" s="4"/>
      <c r="AH446" s="47"/>
      <c r="AI446" s="47"/>
      <c r="AJ446" s="319"/>
      <c r="AK446" s="328">
        <f t="shared" si="99"/>
        <v>0</v>
      </c>
      <c r="AL446" s="4"/>
      <c r="AM446" s="255"/>
      <c r="AN446" s="180"/>
      <c r="AP446" s="196"/>
      <c r="AR446" s="786">
        <f>SUM(AR440:AR445)</f>
        <v>8008.0050000000001</v>
      </c>
      <c r="AU446" s="180"/>
      <c r="AV446" s="180"/>
      <c r="AW446" s="180"/>
      <c r="AX446" s="180"/>
      <c r="AY446" s="180"/>
      <c r="AZ446" s="180"/>
      <c r="BA446" s="180"/>
    </row>
    <row r="447" spans="1:53" s="193" customFormat="1">
      <c r="A447" s="313"/>
      <c r="B447" s="371" t="s">
        <v>53</v>
      </c>
      <c r="C447" s="47"/>
      <c r="D447" s="47"/>
      <c r="E447" s="319"/>
      <c r="F447" s="646"/>
      <c r="G447" s="4"/>
      <c r="H447" s="47"/>
      <c r="I447" s="47"/>
      <c r="J447" s="319"/>
      <c r="K447" s="646"/>
      <c r="L447" s="4"/>
      <c r="M447" s="47"/>
      <c r="N447" s="47"/>
      <c r="O447" s="319"/>
      <c r="P447" s="646"/>
      <c r="Q447" s="4"/>
      <c r="R447" s="180"/>
      <c r="S447" s="47"/>
      <c r="T447" s="319"/>
      <c r="U447" s="646"/>
      <c r="V447" s="4"/>
      <c r="W447" s="47"/>
      <c r="X447" s="47"/>
      <c r="Y447" s="319"/>
      <c r="Z447" s="646"/>
      <c r="AA447" s="328">
        <f t="shared" si="100"/>
        <v>0</v>
      </c>
      <c r="AB447" s="298">
        <f t="shared" si="101"/>
        <v>0</v>
      </c>
      <c r="AC447" s="4"/>
      <c r="AD447" s="47"/>
      <c r="AE447" s="47"/>
      <c r="AF447" s="319"/>
      <c r="AG447" s="4"/>
      <c r="AH447" s="436"/>
      <c r="AI447" s="47"/>
      <c r="AJ447" s="319"/>
      <c r="AK447" s="328">
        <f t="shared" si="99"/>
        <v>0</v>
      </c>
      <c r="AL447" s="4"/>
      <c r="AM447" s="255"/>
      <c r="AN447" s="180"/>
      <c r="AP447" s="196"/>
      <c r="AU447" s="180"/>
      <c r="AV447" s="180"/>
      <c r="AW447" s="180"/>
      <c r="AX447" s="180"/>
      <c r="AY447" s="180"/>
      <c r="AZ447" s="180"/>
      <c r="BA447" s="180"/>
    </row>
    <row r="448" spans="1:53" s="193" customFormat="1">
      <c r="A448" s="313"/>
      <c r="B448" s="371" t="s">
        <v>1455</v>
      </c>
      <c r="C448" s="47"/>
      <c r="D448" s="47"/>
      <c r="E448" s="319"/>
      <c r="F448" s="646"/>
      <c r="G448" s="4"/>
      <c r="H448" s="47"/>
      <c r="I448" s="47"/>
      <c r="J448" s="319"/>
      <c r="K448" s="646"/>
      <c r="L448" s="4"/>
      <c r="M448" s="47"/>
      <c r="N448" s="47"/>
      <c r="O448" s="319"/>
      <c r="P448" s="646"/>
      <c r="Q448" s="4"/>
      <c r="R448" s="47"/>
      <c r="S448" s="47"/>
      <c r="T448" s="319"/>
      <c r="U448" s="646"/>
      <c r="V448" s="4"/>
      <c r="W448" s="47"/>
      <c r="X448" s="47"/>
      <c r="Y448" s="319"/>
      <c r="Z448" s="646"/>
      <c r="AA448" s="328">
        <f t="shared" si="100"/>
        <v>0</v>
      </c>
      <c r="AB448" s="298">
        <f t="shared" si="101"/>
        <v>0</v>
      </c>
      <c r="AC448" s="4"/>
      <c r="AD448" s="47"/>
      <c r="AE448" s="47"/>
      <c r="AF448" s="319"/>
      <c r="AG448" s="4"/>
      <c r="AH448" s="47"/>
      <c r="AI448" s="47"/>
      <c r="AJ448" s="319"/>
      <c r="AK448" s="328">
        <f t="shared" si="99"/>
        <v>0</v>
      </c>
      <c r="AL448" s="4"/>
      <c r="AM448" s="255"/>
      <c r="AN448" s="180"/>
      <c r="AO448" s="192" t="s">
        <v>1115</v>
      </c>
      <c r="AP448" s="196">
        <f>C459</f>
        <v>2</v>
      </c>
      <c r="AQ448" s="510">
        <v>47.74</v>
      </c>
      <c r="AU448" s="180"/>
      <c r="AV448" s="180"/>
      <c r="AW448" s="180"/>
      <c r="AX448" s="180"/>
      <c r="AY448" s="180"/>
      <c r="AZ448" s="180"/>
      <c r="BA448" s="180"/>
    </row>
    <row r="449" spans="1:53" s="193" customFormat="1">
      <c r="A449" s="313"/>
      <c r="B449" s="371" t="s">
        <v>1437</v>
      </c>
      <c r="C449" s="47"/>
      <c r="D449" s="47"/>
      <c r="E449" s="319"/>
      <c r="F449" s="646"/>
      <c r="G449" s="4"/>
      <c r="H449" s="47"/>
      <c r="I449" s="47"/>
      <c r="J449" s="319"/>
      <c r="K449" s="646"/>
      <c r="L449" s="4"/>
      <c r="M449" s="47"/>
      <c r="N449" s="47"/>
      <c r="O449" s="319"/>
      <c r="P449" s="646"/>
      <c r="Q449" s="4"/>
      <c r="R449" s="47"/>
      <c r="S449" s="47"/>
      <c r="T449" s="319"/>
      <c r="U449" s="646"/>
      <c r="V449" s="4"/>
      <c r="W449" s="47"/>
      <c r="X449" s="47"/>
      <c r="Y449" s="319"/>
      <c r="Z449" s="646"/>
      <c r="AA449" s="328">
        <f t="shared" si="100"/>
        <v>0</v>
      </c>
      <c r="AB449" s="298">
        <f t="shared" si="101"/>
        <v>0</v>
      </c>
      <c r="AC449" s="4"/>
      <c r="AD449" s="47"/>
      <c r="AE449" s="47"/>
      <c r="AF449" s="319"/>
      <c r="AG449" s="4"/>
      <c r="AH449" s="47"/>
      <c r="AI449" s="47"/>
      <c r="AJ449" s="319"/>
      <c r="AK449" s="328">
        <f t="shared" si="99"/>
        <v>0</v>
      </c>
      <c r="AL449" s="4"/>
      <c r="AM449" s="255"/>
      <c r="AN449" s="180"/>
      <c r="AO449" s="192"/>
      <c r="AP449" s="196"/>
      <c r="AU449" s="180"/>
      <c r="AV449" s="180"/>
      <c r="AW449" s="180"/>
      <c r="AX449" s="180"/>
      <c r="AY449" s="180"/>
      <c r="AZ449" s="180"/>
      <c r="BA449" s="180"/>
    </row>
    <row r="450" spans="1:53" s="193" customFormat="1">
      <c r="A450" s="313"/>
      <c r="B450" s="371" t="s">
        <v>1456</v>
      </c>
      <c r="C450" s="47"/>
      <c r="D450" s="47"/>
      <c r="E450" s="319"/>
      <c r="F450" s="646"/>
      <c r="G450" s="4"/>
      <c r="H450" s="47"/>
      <c r="I450" s="47"/>
      <c r="J450" s="319"/>
      <c r="K450" s="646"/>
      <c r="L450" s="4"/>
      <c r="M450" s="47"/>
      <c r="N450" s="47"/>
      <c r="O450" s="319"/>
      <c r="P450" s="646"/>
      <c r="Q450" s="4"/>
      <c r="R450" s="47"/>
      <c r="S450" s="47"/>
      <c r="T450" s="319"/>
      <c r="U450" s="646"/>
      <c r="V450" s="4"/>
      <c r="W450" s="47"/>
      <c r="X450" s="47"/>
      <c r="Y450" s="319"/>
      <c r="Z450" s="646"/>
      <c r="AA450" s="328">
        <f t="shared" si="100"/>
        <v>0</v>
      </c>
      <c r="AB450" s="298">
        <f t="shared" si="101"/>
        <v>0</v>
      </c>
      <c r="AC450" s="4"/>
      <c r="AD450" s="47"/>
      <c r="AE450" s="47"/>
      <c r="AF450" s="319"/>
      <c r="AG450" s="4"/>
      <c r="AH450" s="47"/>
      <c r="AI450" s="47"/>
      <c r="AJ450" s="319"/>
      <c r="AK450" s="328">
        <f t="shared" si="99"/>
        <v>0</v>
      </c>
      <c r="AL450" s="4"/>
      <c r="AM450" s="255"/>
      <c r="AN450" s="180"/>
      <c r="AO450" s="192"/>
      <c r="AP450" s="196"/>
      <c r="AU450" s="180"/>
      <c r="AV450" s="180"/>
      <c r="AW450" s="180"/>
      <c r="AX450" s="180"/>
      <c r="AY450" s="180"/>
      <c r="AZ450" s="180"/>
      <c r="BA450" s="180"/>
    </row>
    <row r="451" spans="1:53" s="193" customFormat="1">
      <c r="A451" s="313"/>
      <c r="B451" s="371" t="s">
        <v>1143</v>
      </c>
      <c r="C451" s="47"/>
      <c r="D451" s="47"/>
      <c r="E451" s="319"/>
      <c r="F451" s="646"/>
      <c r="G451" s="4"/>
      <c r="H451" s="47"/>
      <c r="I451" s="47"/>
      <c r="J451" s="319"/>
      <c r="K451" s="646"/>
      <c r="L451" s="4"/>
      <c r="M451" s="47"/>
      <c r="N451" s="47"/>
      <c r="O451" s="319"/>
      <c r="P451" s="646"/>
      <c r="Q451" s="4"/>
      <c r="R451" s="47"/>
      <c r="S451" s="47"/>
      <c r="T451" s="319"/>
      <c r="U451" s="646"/>
      <c r="V451" s="4"/>
      <c r="W451" s="47"/>
      <c r="X451" s="47"/>
      <c r="Y451" s="319"/>
      <c r="Z451" s="646"/>
      <c r="AA451" s="328">
        <f t="shared" si="100"/>
        <v>0</v>
      </c>
      <c r="AB451" s="298">
        <f t="shared" si="101"/>
        <v>0</v>
      </c>
      <c r="AC451" s="4"/>
      <c r="AD451" s="47"/>
      <c r="AE451" s="47"/>
      <c r="AF451" s="319"/>
      <c r="AG451" s="4"/>
      <c r="AH451" s="47"/>
      <c r="AI451" s="47"/>
      <c r="AJ451" s="319"/>
      <c r="AK451" s="328">
        <f t="shared" si="99"/>
        <v>0</v>
      </c>
      <c r="AL451" s="4"/>
      <c r="AM451" s="255"/>
      <c r="AN451" s="180"/>
      <c r="AO451" s="192"/>
      <c r="AP451" s="196"/>
      <c r="AU451" s="180"/>
      <c r="AV451" s="180"/>
      <c r="AW451" s="180"/>
      <c r="AX451" s="180"/>
      <c r="AY451" s="180"/>
      <c r="AZ451" s="180"/>
      <c r="BA451" s="180"/>
    </row>
    <row r="452" spans="1:53" s="193" customFormat="1">
      <c r="A452" s="313"/>
      <c r="B452" s="47" t="s">
        <v>1144</v>
      </c>
      <c r="C452" s="47"/>
      <c r="D452" s="47"/>
      <c r="E452" s="319"/>
      <c r="F452" s="646"/>
      <c r="G452" s="4"/>
      <c r="H452" s="47"/>
      <c r="I452" s="47"/>
      <c r="J452" s="319"/>
      <c r="K452" s="646"/>
      <c r="L452" s="4"/>
      <c r="M452" s="47"/>
      <c r="N452" s="47"/>
      <c r="O452" s="319"/>
      <c r="P452" s="646"/>
      <c r="Q452" s="4"/>
      <c r="R452" s="47"/>
      <c r="S452" s="47"/>
      <c r="T452" s="319"/>
      <c r="U452" s="646"/>
      <c r="V452" s="4"/>
      <c r="W452" s="47"/>
      <c r="X452" s="47"/>
      <c r="Y452" s="319"/>
      <c r="Z452" s="646"/>
      <c r="AA452" s="328">
        <f t="shared" si="100"/>
        <v>0</v>
      </c>
      <c r="AB452" s="298">
        <f t="shared" si="101"/>
        <v>0</v>
      </c>
      <c r="AC452" s="4"/>
      <c r="AD452" s="47"/>
      <c r="AE452" s="47"/>
      <c r="AF452" s="319"/>
      <c r="AG452" s="4"/>
      <c r="AH452" s="47"/>
      <c r="AI452" s="326"/>
      <c r="AJ452" s="319"/>
      <c r="AK452" s="328">
        <f t="shared" si="99"/>
        <v>0</v>
      </c>
      <c r="AL452" s="4"/>
      <c r="AM452" s="255"/>
      <c r="AN452" s="180"/>
      <c r="AO452" s="192"/>
      <c r="AP452" s="196"/>
      <c r="AU452" s="180"/>
      <c r="AV452" s="180"/>
      <c r="AW452" s="180"/>
      <c r="AX452" s="180"/>
      <c r="AY452" s="180"/>
      <c r="AZ452" s="180"/>
      <c r="BA452" s="180"/>
    </row>
    <row r="453" spans="1:53" s="193" customFormat="1">
      <c r="A453" s="313"/>
      <c r="B453" s="523" t="s">
        <v>1440</v>
      </c>
      <c r="C453" s="47"/>
      <c r="D453" s="47"/>
      <c r="E453" s="319"/>
      <c r="F453" s="646"/>
      <c r="G453" s="4"/>
      <c r="H453" s="47"/>
      <c r="I453" s="47"/>
      <c r="J453" s="319"/>
      <c r="K453" s="646"/>
      <c r="L453" s="4"/>
      <c r="M453" s="47"/>
      <c r="N453" s="47"/>
      <c r="O453" s="319"/>
      <c r="P453" s="646"/>
      <c r="Q453" s="4"/>
      <c r="R453" s="47"/>
      <c r="S453" s="47"/>
      <c r="T453" s="319"/>
      <c r="U453" s="646"/>
      <c r="V453" s="4"/>
      <c r="W453" s="47"/>
      <c r="X453" s="47"/>
      <c r="Y453" s="319"/>
      <c r="Z453" s="646"/>
      <c r="AA453" s="328">
        <f t="shared" si="100"/>
        <v>0</v>
      </c>
      <c r="AB453" s="298">
        <f t="shared" si="101"/>
        <v>0</v>
      </c>
      <c r="AC453" s="4"/>
      <c r="AD453" s="47"/>
      <c r="AE453" s="47"/>
      <c r="AF453" s="319"/>
      <c r="AG453" s="4"/>
      <c r="AH453" s="47"/>
      <c r="AI453" s="326"/>
      <c r="AJ453" s="319"/>
      <c r="AK453" s="328">
        <f t="shared" si="99"/>
        <v>0</v>
      </c>
      <c r="AL453" s="4"/>
      <c r="AM453" s="255"/>
      <c r="AN453" s="180"/>
      <c r="AO453" s="192"/>
      <c r="AP453" s="196"/>
      <c r="AU453" s="180"/>
      <c r="AV453" s="180"/>
      <c r="AW453" s="180"/>
      <c r="AX453" s="180"/>
      <c r="AY453" s="180"/>
      <c r="AZ453" s="180"/>
      <c r="BA453" s="180"/>
    </row>
    <row r="454" spans="1:53" s="193" customFormat="1">
      <c r="A454" s="313"/>
      <c r="B454" s="371" t="s">
        <v>1435</v>
      </c>
      <c r="C454" s="47"/>
      <c r="D454" s="47"/>
      <c r="E454" s="319"/>
      <c r="F454" s="646"/>
      <c r="G454" s="4"/>
      <c r="H454" s="47"/>
      <c r="I454" s="47"/>
      <c r="J454" s="319"/>
      <c r="K454" s="646"/>
      <c r="L454" s="4"/>
      <c r="M454" s="47"/>
      <c r="N454" s="47"/>
      <c r="O454" s="319"/>
      <c r="P454" s="646"/>
      <c r="Q454" s="4"/>
      <c r="R454" s="47"/>
      <c r="S454" s="47"/>
      <c r="T454" s="319"/>
      <c r="U454" s="646"/>
      <c r="V454" s="4"/>
      <c r="W454" s="47"/>
      <c r="X454" s="47"/>
      <c r="Y454" s="319"/>
      <c r="Z454" s="646"/>
      <c r="AA454" s="328">
        <f t="shared" si="100"/>
        <v>0</v>
      </c>
      <c r="AB454" s="298">
        <f t="shared" si="101"/>
        <v>0</v>
      </c>
      <c r="AC454" s="4"/>
      <c r="AD454" s="47"/>
      <c r="AE454" s="326"/>
      <c r="AF454" s="319"/>
      <c r="AG454" s="4"/>
      <c r="AH454" s="47"/>
      <c r="AI454" s="47"/>
      <c r="AJ454" s="319"/>
      <c r="AK454" s="328">
        <f t="shared" si="99"/>
        <v>0</v>
      </c>
      <c r="AL454" s="4"/>
      <c r="AM454" s="255"/>
      <c r="AN454" s="180"/>
      <c r="AO454" s="192"/>
      <c r="AP454" s="196"/>
      <c r="AU454" s="180"/>
      <c r="AV454" s="180"/>
      <c r="AW454" s="180"/>
      <c r="AX454" s="180"/>
      <c r="AY454" s="180"/>
      <c r="AZ454" s="180"/>
      <c r="BA454" s="180"/>
    </row>
    <row r="455" spans="1:53" s="193" customFormat="1">
      <c r="A455" s="313"/>
      <c r="B455" s="371" t="s">
        <v>813</v>
      </c>
      <c r="C455" s="47"/>
      <c r="D455" s="47"/>
      <c r="E455" s="319"/>
      <c r="F455" s="646"/>
      <c r="G455" s="4"/>
      <c r="H455" s="935">
        <v>0.375</v>
      </c>
      <c r="I455" s="935">
        <v>0.20833333333333334</v>
      </c>
      <c r="J455" s="319">
        <v>8</v>
      </c>
      <c r="K455" s="646"/>
      <c r="L455" s="4"/>
      <c r="M455" s="935">
        <v>0.375</v>
      </c>
      <c r="N455" s="935">
        <v>0.20833333333333334</v>
      </c>
      <c r="O455" s="319">
        <v>8</v>
      </c>
      <c r="P455" s="646"/>
      <c r="Q455" s="4"/>
      <c r="R455" s="935">
        <v>0.375</v>
      </c>
      <c r="S455" s="935">
        <v>0.20833333333333334</v>
      </c>
      <c r="T455" s="319">
        <v>8</v>
      </c>
      <c r="U455" s="646"/>
      <c r="V455" s="4"/>
      <c r="W455" s="47"/>
      <c r="X455" s="47"/>
      <c r="Y455" s="319"/>
      <c r="Z455" s="646"/>
      <c r="AA455" s="328">
        <f t="shared" si="100"/>
        <v>24</v>
      </c>
      <c r="AB455" s="298">
        <f t="shared" si="101"/>
        <v>0</v>
      </c>
      <c r="AC455" s="4"/>
      <c r="AD455" s="47"/>
      <c r="AE455" s="47"/>
      <c r="AF455" s="319"/>
      <c r="AG455" s="4"/>
      <c r="AH455" s="47"/>
      <c r="AI455" s="47"/>
      <c r="AJ455" s="319"/>
      <c r="AK455" s="328">
        <f t="shared" si="99"/>
        <v>0</v>
      </c>
      <c r="AL455" s="4"/>
      <c r="AM455" s="255"/>
      <c r="AN455" s="180"/>
      <c r="AO455" s="192"/>
      <c r="AP455" s="196"/>
      <c r="AU455" s="180"/>
      <c r="AV455" s="180"/>
      <c r="AW455" s="180"/>
      <c r="AX455" s="180"/>
      <c r="AY455" s="180"/>
      <c r="AZ455" s="180"/>
      <c r="BA455" s="180"/>
    </row>
    <row r="456" spans="1:53" s="180" customFormat="1">
      <c r="A456" s="313"/>
      <c r="B456" s="738" t="s">
        <v>61</v>
      </c>
      <c r="C456" s="739"/>
      <c r="D456" s="739"/>
      <c r="E456" s="740"/>
      <c r="F456" s="646"/>
      <c r="G456" s="739"/>
      <c r="H456" s="739"/>
      <c r="I456" s="739"/>
      <c r="J456" s="740"/>
      <c r="K456" s="646"/>
      <c r="L456" s="739"/>
      <c r="M456" s="739"/>
      <c r="N456" s="739"/>
      <c r="O456" s="740"/>
      <c r="P456" s="646"/>
      <c r="Q456" s="739"/>
      <c r="R456" s="739"/>
      <c r="S456" s="739"/>
      <c r="T456" s="740"/>
      <c r="U456" s="646"/>
      <c r="V456" s="739"/>
      <c r="W456" s="739"/>
      <c r="X456" s="739"/>
      <c r="Y456" s="740"/>
      <c r="Z456" s="646"/>
      <c r="AA456" s="370">
        <f>SUM(AA441:AA455)</f>
        <v>175</v>
      </c>
      <c r="AB456" s="608">
        <f>SUM(AB441:AB448)</f>
        <v>7</v>
      </c>
      <c r="AC456" s="4"/>
      <c r="AD456" s="738"/>
      <c r="AE456" s="738"/>
      <c r="AF456" s="370"/>
      <c r="AG456" s="4"/>
      <c r="AH456" s="738"/>
      <c r="AI456" s="738"/>
      <c r="AJ456" s="370"/>
      <c r="AK456" s="370">
        <f>SUM(AK441:AK454)</f>
        <v>0</v>
      </c>
      <c r="AL456" s="4"/>
      <c r="AM456" s="255"/>
      <c r="AO456" s="407"/>
      <c r="AP456" s="193"/>
      <c r="AQ456" s="193"/>
      <c r="AR456" s="193"/>
      <c r="AS456" s="193"/>
      <c r="AT456" s="193"/>
    </row>
    <row r="457" spans="1:53" s="180" customFormat="1">
      <c r="A457" s="313"/>
      <c r="B457" s="741" t="s">
        <v>64</v>
      </c>
      <c r="C457" s="47"/>
      <c r="D457" s="47"/>
      <c r="E457" s="319">
        <v>2</v>
      </c>
      <c r="F457" s="346"/>
      <c r="G457" s="613"/>
      <c r="H457" s="47"/>
      <c r="I457" s="47"/>
      <c r="J457" s="319">
        <v>2</v>
      </c>
      <c r="K457" s="346"/>
      <c r="L457" s="60"/>
      <c r="M457" s="47"/>
      <c r="N457" s="47"/>
      <c r="O457" s="319">
        <v>2</v>
      </c>
      <c r="P457" s="346"/>
      <c r="Q457" s="60"/>
      <c r="R457" s="47"/>
      <c r="S457" s="47"/>
      <c r="T457" s="319">
        <v>2</v>
      </c>
      <c r="U457" s="346"/>
      <c r="V457" s="60"/>
      <c r="W457" s="47"/>
      <c r="X457" s="47"/>
      <c r="Y457" s="319">
        <v>2</v>
      </c>
      <c r="Z457" s="346"/>
      <c r="AA457" s="28">
        <f>SUM(E457+J457+O457+T457+Y457)</f>
        <v>10</v>
      </c>
      <c r="AB457" s="296">
        <f>Z457+U457+P457+K457+F457</f>
        <v>0</v>
      </c>
      <c r="AC457" s="4"/>
      <c r="AD457" s="47"/>
      <c r="AE457" s="47"/>
      <c r="AF457" s="319"/>
      <c r="AG457" s="4"/>
      <c r="AH457" s="47"/>
      <c r="AI457" s="47"/>
      <c r="AJ457" s="319"/>
      <c r="AK457" s="29">
        <f>AJ457+AF457</f>
        <v>0</v>
      </c>
      <c r="AL457" s="4"/>
      <c r="AM457" s="255"/>
      <c r="AO457" s="407"/>
      <c r="AP457" s="193"/>
      <c r="AQ457" s="193"/>
      <c r="AR457" s="193"/>
      <c r="AS457" s="193"/>
      <c r="AT457" s="193"/>
    </row>
    <row r="458" spans="1:53" s="180" customFormat="1">
      <c r="A458" s="313"/>
      <c r="B458" s="71" t="s">
        <v>66</v>
      </c>
      <c r="C458" s="371"/>
      <c r="D458" s="371"/>
      <c r="E458" s="71"/>
      <c r="F458" s="613"/>
      <c r="G458" s="71"/>
      <c r="H458" s="71"/>
      <c r="I458" s="71"/>
      <c r="J458" s="71"/>
      <c r="K458" s="613"/>
      <c r="L458" s="71"/>
      <c r="M458" s="71"/>
      <c r="N458" s="71"/>
      <c r="O458" s="71"/>
      <c r="P458" s="613"/>
      <c r="Q458" s="71"/>
      <c r="R458" s="71"/>
      <c r="S458" s="71"/>
      <c r="T458" s="71"/>
      <c r="U458" s="613"/>
      <c r="V458" s="71"/>
      <c r="W458" s="71"/>
      <c r="X458" s="71"/>
      <c r="Y458" s="71"/>
      <c r="Z458" s="613"/>
      <c r="AA458" s="370">
        <f>SUM(AA457)</f>
        <v>10</v>
      </c>
      <c r="AB458" s="370">
        <f>SUM(AB457:AB457)</f>
        <v>0</v>
      </c>
      <c r="AC458" s="4"/>
      <c r="AG458" s="4"/>
      <c r="AK458" s="370">
        <f>SUM(AK457:AK457)</f>
        <v>0</v>
      </c>
      <c r="AL458" s="4"/>
      <c r="AM458" s="255"/>
      <c r="AO458" s="407"/>
      <c r="AP458" s="193"/>
      <c r="AQ458" s="193"/>
      <c r="AR458" s="193"/>
      <c r="AS458" s="193"/>
      <c r="AT458" s="193"/>
    </row>
    <row r="459" spans="1:53" s="180" customFormat="1">
      <c r="A459" s="313"/>
      <c r="B459" s="217" t="s">
        <v>67</v>
      </c>
      <c r="C459" s="207">
        <v>2</v>
      </c>
      <c r="D459" s="207"/>
      <c r="E459" s="209"/>
      <c r="F459" s="209"/>
      <c r="G459" s="207"/>
      <c r="H459" s="209"/>
      <c r="I459" s="209"/>
      <c r="J459" s="209"/>
      <c r="K459" s="209"/>
      <c r="L459" s="207"/>
      <c r="M459" s="207"/>
      <c r="N459" s="207"/>
      <c r="O459" s="207"/>
      <c r="P459" s="209"/>
      <c r="Q459" s="207"/>
      <c r="R459" s="207"/>
      <c r="S459" s="207"/>
      <c r="T459" s="207"/>
      <c r="U459" s="209"/>
      <c r="V459" s="207"/>
      <c r="W459" s="207"/>
      <c r="X459" s="207"/>
      <c r="Y459" s="210"/>
      <c r="Z459" s="209"/>
      <c r="AA459" s="211"/>
      <c r="AB459" s="209"/>
      <c r="AC459" s="211"/>
      <c r="AD459" s="211"/>
      <c r="AE459" s="211"/>
      <c r="AF459" s="211"/>
      <c r="AG459" s="4"/>
      <c r="AH459" s="211"/>
      <c r="AI459" s="211"/>
      <c r="AJ459" s="211"/>
      <c r="AK459" s="211"/>
      <c r="AL459" s="4"/>
      <c r="AM459" s="255"/>
      <c r="AO459" s="193"/>
      <c r="AP459" s="193"/>
      <c r="AQ459" s="193"/>
      <c r="AR459" s="193"/>
      <c r="AS459" s="193"/>
      <c r="AT459" s="193"/>
    </row>
    <row r="460" spans="1:53" s="180" customFormat="1">
      <c r="A460" s="313"/>
      <c r="E460" s="4"/>
      <c r="F460" s="644"/>
      <c r="G460" s="4"/>
      <c r="J460" s="4"/>
      <c r="K460" s="644"/>
      <c r="L460" s="4"/>
      <c r="O460" s="4"/>
      <c r="P460" s="644"/>
      <c r="Q460" s="4"/>
      <c r="T460" s="4"/>
      <c r="U460" s="644"/>
      <c r="V460" s="4"/>
      <c r="Y460" s="4"/>
      <c r="Z460" s="644"/>
      <c r="AA460" s="4"/>
      <c r="AB460" s="4"/>
      <c r="AC460" s="4"/>
      <c r="AG460" s="4"/>
      <c r="AL460" s="4"/>
      <c r="AM460" s="255"/>
      <c r="AO460" s="193"/>
      <c r="AP460" s="193"/>
      <c r="AQ460" s="193"/>
      <c r="AR460" s="193"/>
      <c r="AS460" s="193"/>
      <c r="AT460" s="193"/>
    </row>
    <row r="461" spans="1:53" s="180" customFormat="1">
      <c r="A461" s="313"/>
      <c r="B461" s="229"/>
      <c r="C461" s="230"/>
      <c r="D461" s="230"/>
      <c r="E461" s="232"/>
      <c r="F461" s="232"/>
      <c r="G461" s="230"/>
      <c r="H461" s="232"/>
      <c r="I461" s="232"/>
      <c r="J461" s="232"/>
      <c r="K461" s="232"/>
      <c r="L461" s="230"/>
      <c r="M461" s="230"/>
      <c r="N461" s="230"/>
      <c r="O461" s="230"/>
      <c r="P461" s="232"/>
      <c r="Q461" s="230"/>
      <c r="R461" s="230"/>
      <c r="S461" s="230"/>
      <c r="T461" s="230"/>
      <c r="U461" s="232"/>
      <c r="V461" s="230"/>
      <c r="W461" s="230"/>
      <c r="X461" s="230"/>
      <c r="Y461" s="233"/>
      <c r="Z461" s="232"/>
      <c r="AA461" s="234"/>
      <c r="AB461" s="232"/>
      <c r="AC461" s="373"/>
      <c r="AD461" s="236"/>
      <c r="AE461" s="255"/>
      <c r="AF461" s="255"/>
      <c r="AG461" s="255"/>
      <c r="AH461" s="236"/>
      <c r="AI461" s="255"/>
      <c r="AJ461" s="255"/>
      <c r="AK461" s="255"/>
      <c r="AL461" s="255"/>
      <c r="AM461" s="255"/>
      <c r="AN461" s="255"/>
      <c r="AO461" s="255"/>
      <c r="AP461" s="255"/>
      <c r="AQ461" s="255"/>
      <c r="AR461" s="255"/>
      <c r="AS461" s="255"/>
      <c r="AT461" s="255"/>
    </row>
    <row r="462" spans="1:53" s="180" customFormat="1">
      <c r="A462" s="313"/>
      <c r="E462" s="4"/>
      <c r="F462" s="644"/>
      <c r="G462" s="4"/>
      <c r="J462" s="4"/>
      <c r="K462" s="644"/>
      <c r="L462" s="4"/>
      <c r="O462" s="4"/>
      <c r="P462" s="644"/>
      <c r="Q462" s="4"/>
      <c r="T462" s="4"/>
      <c r="U462" s="644"/>
      <c r="V462" s="4"/>
      <c r="Y462" s="4"/>
      <c r="Z462" s="644"/>
      <c r="AA462" s="4"/>
      <c r="AB462" s="4"/>
      <c r="AC462" s="4"/>
      <c r="AG462" s="4"/>
      <c r="AL462" s="4"/>
      <c r="AM462" s="255"/>
      <c r="AO462" s="193"/>
      <c r="AP462" s="193"/>
      <c r="AQ462" s="193"/>
      <c r="AR462" s="193"/>
      <c r="AS462" s="193"/>
      <c r="AT462" s="193"/>
    </row>
    <row r="463" spans="1:53" s="180" customFormat="1" ht="13.5" customHeight="1">
      <c r="A463" s="313"/>
      <c r="B463" s="1518" t="s">
        <v>18</v>
      </c>
      <c r="C463" s="1519">
        <v>45978</v>
      </c>
      <c r="D463" s="1519"/>
      <c r="E463" s="1519" t="s">
        <v>564</v>
      </c>
      <c r="F463" s="1519"/>
      <c r="G463" s="365"/>
      <c r="H463" s="1519">
        <v>45979</v>
      </c>
      <c r="I463" s="1519"/>
      <c r="J463" s="1519" t="s">
        <v>565</v>
      </c>
      <c r="K463" s="1519"/>
      <c r="L463" s="365"/>
      <c r="M463" s="1519">
        <v>45980</v>
      </c>
      <c r="N463" s="1519"/>
      <c r="O463" s="1519" t="s">
        <v>566</v>
      </c>
      <c r="P463" s="1519"/>
      <c r="Q463" s="365"/>
      <c r="R463" s="1519">
        <v>45981</v>
      </c>
      <c r="S463" s="1519"/>
      <c r="T463" s="1519" t="s">
        <v>567</v>
      </c>
      <c r="U463" s="1519"/>
      <c r="V463" s="365"/>
      <c r="W463" s="1519">
        <v>45982</v>
      </c>
      <c r="X463" s="1519"/>
      <c r="Y463" s="1519" t="s">
        <v>568</v>
      </c>
      <c r="Z463" s="1519"/>
      <c r="AA463" s="1517" t="s">
        <v>19</v>
      </c>
      <c r="AB463" s="1517" t="s">
        <v>20</v>
      </c>
      <c r="AC463" s="4"/>
      <c r="AD463" s="1519">
        <v>45983</v>
      </c>
      <c r="AE463" s="1519"/>
      <c r="AF463" s="735" t="s">
        <v>569</v>
      </c>
      <c r="AG463" s="4"/>
      <c r="AH463" s="1519">
        <v>45984</v>
      </c>
      <c r="AI463" s="1519"/>
      <c r="AJ463" s="735" t="s">
        <v>570</v>
      </c>
      <c r="AK463" s="1517" t="s">
        <v>1420</v>
      </c>
      <c r="AL463" s="4"/>
      <c r="AM463" s="368"/>
      <c r="AO463" s="194" t="s">
        <v>84</v>
      </c>
      <c r="AP463" s="366"/>
      <c r="AQ463" s="366"/>
      <c r="AR463" s="366"/>
      <c r="AS463" s="366"/>
      <c r="AT463" s="366"/>
    </row>
    <row r="464" spans="1:53" s="180" customFormat="1">
      <c r="A464" s="313"/>
      <c r="B464" s="1518"/>
      <c r="C464" s="21" t="s">
        <v>23</v>
      </c>
      <c r="D464" s="21" t="s">
        <v>24</v>
      </c>
      <c r="E464" s="205" t="s">
        <v>25</v>
      </c>
      <c r="F464" s="645" t="s">
        <v>14</v>
      </c>
      <c r="G464" s="4"/>
      <c r="H464" s="21" t="s">
        <v>23</v>
      </c>
      <c r="I464" s="21" t="s">
        <v>24</v>
      </c>
      <c r="J464" s="18" t="s">
        <v>25</v>
      </c>
      <c r="K464" s="645" t="s">
        <v>14</v>
      </c>
      <c r="L464" s="4"/>
      <c r="M464" s="21" t="s">
        <v>23</v>
      </c>
      <c r="N464" s="21" t="s">
        <v>24</v>
      </c>
      <c r="O464" s="18" t="s">
        <v>25</v>
      </c>
      <c r="P464" s="645" t="s">
        <v>14</v>
      </c>
      <c r="Q464" s="4"/>
      <c r="R464" s="21" t="s">
        <v>23</v>
      </c>
      <c r="S464" s="21" t="s">
        <v>24</v>
      </c>
      <c r="T464" s="18" t="s">
        <v>25</v>
      </c>
      <c r="U464" s="645" t="s">
        <v>14</v>
      </c>
      <c r="V464" s="4"/>
      <c r="W464" s="21" t="s">
        <v>23</v>
      </c>
      <c r="X464" s="21" t="s">
        <v>24</v>
      </c>
      <c r="Y464" s="18" t="s">
        <v>25</v>
      </c>
      <c r="Z464" s="645" t="s">
        <v>14</v>
      </c>
      <c r="AA464" s="1517"/>
      <c r="AB464" s="1517"/>
      <c r="AC464" s="4"/>
      <c r="AD464" s="21" t="s">
        <v>23</v>
      </c>
      <c r="AE464" s="21" t="s">
        <v>24</v>
      </c>
      <c r="AF464" s="18" t="s">
        <v>25</v>
      </c>
      <c r="AG464" s="4"/>
      <c r="AH464" s="21" t="s">
        <v>23</v>
      </c>
      <c r="AI464" s="21" t="s">
        <v>24</v>
      </c>
      <c r="AJ464" s="18" t="s">
        <v>25</v>
      </c>
      <c r="AK464" s="1517"/>
      <c r="AL464" s="4"/>
      <c r="AM464" s="368"/>
      <c r="AN464" s="367"/>
      <c r="AO464" s="188" t="s">
        <v>26</v>
      </c>
      <c r="AP464" s="404">
        <f>AA480</f>
        <v>32</v>
      </c>
      <c r="AQ464" s="510">
        <v>40.31</v>
      </c>
      <c r="AR464" s="510">
        <f t="shared" ref="AR464:AR469" si="102">AP464*AQ464</f>
        <v>1289.92</v>
      </c>
      <c r="AS464" s="193"/>
      <c r="AT464" s="193"/>
    </row>
    <row r="465" spans="1:53" s="180" customFormat="1" ht="13.5" customHeight="1">
      <c r="A465" s="313"/>
      <c r="B465" s="4" t="s">
        <v>1064</v>
      </c>
      <c r="C465" s="47"/>
      <c r="D465" s="47"/>
      <c r="E465" s="319"/>
      <c r="F465" s="646"/>
      <c r="G465" s="4"/>
      <c r="H465" s="47"/>
      <c r="I465" s="47"/>
      <c r="J465" s="319"/>
      <c r="K465" s="646"/>
      <c r="L465" s="4"/>
      <c r="M465" s="47"/>
      <c r="N465" s="47"/>
      <c r="O465" s="319"/>
      <c r="P465" s="646"/>
      <c r="Q465" s="47"/>
      <c r="R465" s="47"/>
      <c r="S465" s="47"/>
      <c r="T465" s="319"/>
      <c r="U465" s="646"/>
      <c r="V465" s="4"/>
      <c r="W465" s="47"/>
      <c r="X465" s="47"/>
      <c r="Y465" s="319"/>
      <c r="Z465" s="646"/>
      <c r="AA465" s="328">
        <f>(E465+J465+O465+T465+Y465)</f>
        <v>0</v>
      </c>
      <c r="AB465" s="298">
        <f>Z465+U465+P465+K465+F465</f>
        <v>0</v>
      </c>
      <c r="AC465" s="4"/>
      <c r="AD465" s="47"/>
      <c r="AE465" s="326"/>
      <c r="AF465" s="319"/>
      <c r="AG465" s="4"/>
      <c r="AH465" s="47"/>
      <c r="AI465" s="326"/>
      <c r="AJ465" s="319"/>
      <c r="AK465" s="328">
        <f t="shared" ref="AK465:AK479" si="103">AJ465+AF465</f>
        <v>0</v>
      </c>
      <c r="AL465" s="4"/>
      <c r="AM465" s="368"/>
      <c r="AN465" s="367"/>
      <c r="AO465" s="188" t="s">
        <v>30</v>
      </c>
      <c r="AP465" s="196">
        <f>AB480</f>
        <v>0</v>
      </c>
      <c r="AQ465" s="511">
        <v>60.465000000000003</v>
      </c>
      <c r="AR465" s="510">
        <f t="shared" si="102"/>
        <v>0</v>
      </c>
      <c r="AS465" s="193"/>
      <c r="AT465" s="193"/>
    </row>
    <row r="466" spans="1:53" s="180" customFormat="1">
      <c r="A466" s="313"/>
      <c r="B466" s="47" t="s">
        <v>1441</v>
      </c>
      <c r="C466" s="935">
        <v>0.375</v>
      </c>
      <c r="D466" s="935">
        <v>0.20833333333333334</v>
      </c>
      <c r="E466" s="319">
        <v>8</v>
      </c>
      <c r="F466" s="646"/>
      <c r="G466" s="4"/>
      <c r="H466" s="47"/>
      <c r="I466" s="47"/>
      <c r="J466" s="319"/>
      <c r="K466" s="646"/>
      <c r="L466" s="4"/>
      <c r="M466" s="47"/>
      <c r="N466" s="47"/>
      <c r="O466" s="319"/>
      <c r="P466" s="646"/>
      <c r="Q466" s="4"/>
      <c r="R466" s="47"/>
      <c r="S466" s="47"/>
      <c r="T466" s="319"/>
      <c r="U466" s="646"/>
      <c r="V466" s="4"/>
      <c r="W466" s="47"/>
      <c r="X466" s="47"/>
      <c r="Y466" s="319"/>
      <c r="Z466" s="646"/>
      <c r="AA466" s="328">
        <f t="shared" ref="AA466:AA479" si="104">(E466+J466+O466+T466+Y466)</f>
        <v>8</v>
      </c>
      <c r="AB466" s="298">
        <f t="shared" ref="AB466:AB479" si="105">Z466+U466+P466+K466+F466</f>
        <v>0</v>
      </c>
      <c r="AC466" s="4"/>
      <c r="AD466" s="47"/>
      <c r="AE466" s="47"/>
      <c r="AF466" s="319"/>
      <c r="AG466" s="4"/>
      <c r="AH466" s="47"/>
      <c r="AI466" s="47"/>
      <c r="AJ466" s="319"/>
      <c r="AK466" s="328">
        <f t="shared" si="103"/>
        <v>0</v>
      </c>
      <c r="AL466" s="4"/>
      <c r="AM466" s="255"/>
      <c r="AO466" s="188" t="s">
        <v>32</v>
      </c>
      <c r="AP466" s="196">
        <f>AK480</f>
        <v>0</v>
      </c>
      <c r="AQ466" s="510">
        <v>60.465000000000003</v>
      </c>
      <c r="AR466" s="510">
        <f t="shared" si="102"/>
        <v>0</v>
      </c>
      <c r="AS466" s="193"/>
      <c r="AT466" s="193"/>
    </row>
    <row r="467" spans="1:53" s="193" customFormat="1">
      <c r="A467" s="313"/>
      <c r="B467" s="47" t="s">
        <v>1444</v>
      </c>
      <c r="C467" s="47"/>
      <c r="D467" s="47"/>
      <c r="E467" s="319"/>
      <c r="F467" s="646"/>
      <c r="G467" s="4"/>
      <c r="H467" s="47"/>
      <c r="I467" s="47"/>
      <c r="J467" s="319"/>
      <c r="K467" s="646"/>
      <c r="L467" s="4"/>
      <c r="M467" s="47"/>
      <c r="N467" s="47"/>
      <c r="O467" s="319"/>
      <c r="P467" s="646"/>
      <c r="Q467" s="4"/>
      <c r="R467" s="47"/>
      <c r="S467" s="47"/>
      <c r="T467" s="319"/>
      <c r="U467" s="646"/>
      <c r="V467" s="4"/>
      <c r="W467" s="47"/>
      <c r="X467" s="47"/>
      <c r="Y467" s="319"/>
      <c r="Z467" s="646"/>
      <c r="AA467" s="328">
        <f t="shared" si="104"/>
        <v>0</v>
      </c>
      <c r="AB467" s="298">
        <f t="shared" si="105"/>
        <v>0</v>
      </c>
      <c r="AC467" s="4"/>
      <c r="AD467" s="47"/>
      <c r="AE467" s="47"/>
      <c r="AF467" s="319"/>
      <c r="AG467" s="4"/>
      <c r="AH467" s="47"/>
      <c r="AI467" s="47"/>
      <c r="AJ467" s="319"/>
      <c r="AK467" s="328">
        <f t="shared" si="103"/>
        <v>0</v>
      </c>
      <c r="AL467" s="4"/>
      <c r="AM467" s="255"/>
      <c r="AN467" s="180"/>
      <c r="AO467" s="403" t="s">
        <v>213</v>
      </c>
      <c r="AP467" s="404">
        <f>AA481</f>
        <v>6</v>
      </c>
      <c r="AQ467" s="510">
        <v>53.05</v>
      </c>
      <c r="AR467" s="510">
        <f t="shared" si="102"/>
        <v>318.29999999999995</v>
      </c>
      <c r="AS467" s="405"/>
      <c r="AT467" s="405"/>
      <c r="AU467" s="180"/>
      <c r="AV467" s="180"/>
      <c r="AW467" s="180"/>
      <c r="AX467" s="180"/>
      <c r="AY467" s="180"/>
      <c r="AZ467" s="180"/>
      <c r="BA467" s="180"/>
    </row>
    <row r="468" spans="1:53" s="193" customFormat="1">
      <c r="A468" s="313"/>
      <c r="B468" s="371" t="s">
        <v>1447</v>
      </c>
      <c r="C468" s="47"/>
      <c r="D468" s="47"/>
      <c r="E468" s="319"/>
      <c r="F468" s="646"/>
      <c r="G468" s="47"/>
      <c r="H468" s="47"/>
      <c r="I468" s="47"/>
      <c r="J468" s="319"/>
      <c r="K468" s="646"/>
      <c r="L468" s="4"/>
      <c r="M468" s="47"/>
      <c r="N468" s="47"/>
      <c r="O468" s="319"/>
      <c r="P468" s="646"/>
      <c r="Q468" s="4"/>
      <c r="R468" s="47"/>
      <c r="S468" s="47"/>
      <c r="T468" s="319"/>
      <c r="U468" s="646"/>
      <c r="V468" s="4"/>
      <c r="W468" s="47"/>
      <c r="X468" s="47"/>
      <c r="Y468" s="319"/>
      <c r="Z468" s="646"/>
      <c r="AA468" s="328">
        <f t="shared" si="104"/>
        <v>0</v>
      </c>
      <c r="AB468" s="298">
        <f t="shared" si="105"/>
        <v>0</v>
      </c>
      <c r="AC468" s="4"/>
      <c r="AD468" s="47"/>
      <c r="AE468" s="47"/>
      <c r="AF468" s="319"/>
      <c r="AG468" s="4"/>
      <c r="AH468" s="436"/>
      <c r="AI468" s="47"/>
      <c r="AJ468" s="319"/>
      <c r="AK468" s="328">
        <f t="shared" si="103"/>
        <v>0</v>
      </c>
      <c r="AL468" s="4"/>
      <c r="AM468" s="255"/>
      <c r="AN468" s="180"/>
      <c r="AO468" s="188" t="s">
        <v>36</v>
      </c>
      <c r="AP468" s="196">
        <f>AB481</f>
        <v>0</v>
      </c>
      <c r="AQ468" s="510">
        <v>79.574999999999989</v>
      </c>
      <c r="AR468" s="510">
        <f t="shared" si="102"/>
        <v>0</v>
      </c>
      <c r="AU468" s="180"/>
      <c r="AV468" s="180"/>
      <c r="AW468" s="180"/>
      <c r="AX468" s="180"/>
      <c r="AY468" s="180"/>
      <c r="AZ468" s="180"/>
      <c r="BA468" s="180"/>
    </row>
    <row r="469" spans="1:53" s="193" customFormat="1">
      <c r="A469" s="313"/>
      <c r="B469" s="371" t="s">
        <v>1141</v>
      </c>
      <c r="C469" s="47"/>
      <c r="D469" s="47"/>
      <c r="E469" s="319"/>
      <c r="F469" s="646"/>
      <c r="G469" s="4"/>
      <c r="H469" s="47"/>
      <c r="I469" s="47"/>
      <c r="J469" s="319"/>
      <c r="K469" s="646"/>
      <c r="L469" s="4"/>
      <c r="M469" s="47"/>
      <c r="N469" s="47"/>
      <c r="O469" s="319"/>
      <c r="P469" s="646"/>
      <c r="Q469" s="4"/>
      <c r="R469" s="47"/>
      <c r="S469" s="47"/>
      <c r="T469" s="319"/>
      <c r="U469" s="646"/>
      <c r="V469" s="4"/>
      <c r="W469" s="47"/>
      <c r="X469" s="47"/>
      <c r="Y469" s="319"/>
      <c r="Z469" s="646"/>
      <c r="AA469" s="328">
        <f t="shared" si="104"/>
        <v>0</v>
      </c>
      <c r="AB469" s="298">
        <f t="shared" si="105"/>
        <v>0</v>
      </c>
      <c r="AC469" s="4"/>
      <c r="AD469" s="47"/>
      <c r="AE469" s="47"/>
      <c r="AF469" s="319"/>
      <c r="AG469" s="4"/>
      <c r="AH469" s="47"/>
      <c r="AI469" s="47"/>
      <c r="AJ469" s="319"/>
      <c r="AK469" s="328">
        <f t="shared" si="103"/>
        <v>0</v>
      </c>
      <c r="AL469" s="4"/>
      <c r="AM469" s="255"/>
      <c r="AN469" s="180"/>
      <c r="AO469" s="188" t="s">
        <v>38</v>
      </c>
      <c r="AP469" s="196">
        <f>AK481</f>
        <v>0</v>
      </c>
      <c r="AQ469" s="510">
        <v>79.574999999999989</v>
      </c>
      <c r="AR469" s="510">
        <f t="shared" si="102"/>
        <v>0</v>
      </c>
      <c r="AU469" s="180"/>
      <c r="AV469" s="180"/>
      <c r="AW469" s="180"/>
      <c r="AX469" s="180"/>
      <c r="AY469" s="180"/>
      <c r="AZ469" s="180"/>
      <c r="BA469" s="180"/>
    </row>
    <row r="470" spans="1:53" s="193" customFormat="1">
      <c r="A470" s="313"/>
      <c r="B470" s="371" t="s">
        <v>1140</v>
      </c>
      <c r="C470" s="47"/>
      <c r="D470" s="47"/>
      <c r="E470" s="319"/>
      <c r="F470" s="646"/>
      <c r="G470" s="4"/>
      <c r="H470" s="47"/>
      <c r="I470" s="47"/>
      <c r="J470" s="319"/>
      <c r="K470" s="646"/>
      <c r="L470" s="4"/>
      <c r="M470" s="47"/>
      <c r="N470" s="47"/>
      <c r="O470" s="319"/>
      <c r="P470" s="646"/>
      <c r="Q470" s="4"/>
      <c r="R470" s="47"/>
      <c r="S470" s="47"/>
      <c r="T470" s="319"/>
      <c r="U470" s="646"/>
      <c r="V470" s="4"/>
      <c r="W470" s="47"/>
      <c r="X470" s="47"/>
      <c r="Y470" s="319"/>
      <c r="Z470" s="646"/>
      <c r="AA470" s="328">
        <f t="shared" si="104"/>
        <v>0</v>
      </c>
      <c r="AB470" s="298">
        <f t="shared" si="105"/>
        <v>0</v>
      </c>
      <c r="AC470" s="4"/>
      <c r="AD470" s="47"/>
      <c r="AE470" s="47"/>
      <c r="AF470" s="319"/>
      <c r="AG470" s="4"/>
      <c r="AH470" s="47"/>
      <c r="AI470" s="47"/>
      <c r="AJ470" s="319"/>
      <c r="AK470" s="328">
        <f t="shared" si="103"/>
        <v>0</v>
      </c>
      <c r="AL470" s="4"/>
      <c r="AM470" s="255"/>
      <c r="AN470" s="180"/>
      <c r="AP470" s="196"/>
      <c r="AR470" s="786">
        <f>SUM(AR464:AR469)</f>
        <v>1608.22</v>
      </c>
      <c r="AU470" s="180"/>
      <c r="AV470" s="180"/>
      <c r="AW470" s="180"/>
      <c r="AX470" s="180"/>
      <c r="AY470" s="180"/>
      <c r="AZ470" s="180"/>
      <c r="BA470" s="180"/>
    </row>
    <row r="471" spans="1:53" s="193" customFormat="1">
      <c r="A471" s="313"/>
      <c r="B471" s="371" t="s">
        <v>53</v>
      </c>
      <c r="C471" s="47"/>
      <c r="D471" s="47"/>
      <c r="E471" s="319"/>
      <c r="F471" s="646"/>
      <c r="G471" s="4"/>
      <c r="H471" s="47"/>
      <c r="I471" s="47"/>
      <c r="J471" s="319"/>
      <c r="K471" s="646"/>
      <c r="L471" s="4"/>
      <c r="M471" s="47"/>
      <c r="N471" s="47"/>
      <c r="O471" s="319"/>
      <c r="P471" s="646"/>
      <c r="Q471" s="4"/>
      <c r="R471" s="180"/>
      <c r="S471" s="47"/>
      <c r="T471" s="319"/>
      <c r="U471" s="646"/>
      <c r="V471" s="4"/>
      <c r="W471" s="47"/>
      <c r="X471" s="47"/>
      <c r="Y471" s="319"/>
      <c r="Z471" s="646"/>
      <c r="AA471" s="328">
        <f t="shared" si="104"/>
        <v>0</v>
      </c>
      <c r="AB471" s="298">
        <f t="shared" si="105"/>
        <v>0</v>
      </c>
      <c r="AC471" s="4"/>
      <c r="AD471" s="47"/>
      <c r="AE471" s="47"/>
      <c r="AF471" s="319"/>
      <c r="AG471" s="4"/>
      <c r="AH471" s="436"/>
      <c r="AI471" s="47"/>
      <c r="AJ471" s="319"/>
      <c r="AK471" s="328">
        <f t="shared" si="103"/>
        <v>0</v>
      </c>
      <c r="AL471" s="4"/>
      <c r="AM471" s="255"/>
      <c r="AN471" s="180"/>
      <c r="AP471" s="196"/>
      <c r="AU471" s="180"/>
      <c r="AV471" s="180"/>
      <c r="AW471" s="180"/>
      <c r="AX471" s="180"/>
      <c r="AY471" s="180"/>
      <c r="AZ471" s="180"/>
      <c r="BA471" s="180"/>
    </row>
    <row r="472" spans="1:53" s="193" customFormat="1">
      <c r="A472" s="313"/>
      <c r="B472" s="371" t="s">
        <v>1455</v>
      </c>
      <c r="C472" s="47"/>
      <c r="D472" s="47"/>
      <c r="E472" s="319"/>
      <c r="F472" s="646"/>
      <c r="G472" s="4"/>
      <c r="H472" s="47"/>
      <c r="I472" s="47"/>
      <c r="J472" s="319"/>
      <c r="K472" s="646"/>
      <c r="L472" s="4"/>
      <c r="M472" s="47"/>
      <c r="N472" s="47"/>
      <c r="O472" s="319"/>
      <c r="P472" s="646"/>
      <c r="Q472" s="4"/>
      <c r="R472" s="47"/>
      <c r="S472" s="47"/>
      <c r="T472" s="319"/>
      <c r="U472" s="646"/>
      <c r="V472" s="4"/>
      <c r="W472" s="47"/>
      <c r="X472" s="47"/>
      <c r="Y472" s="319"/>
      <c r="Z472" s="646"/>
      <c r="AA472" s="328">
        <f t="shared" si="104"/>
        <v>0</v>
      </c>
      <c r="AB472" s="298">
        <f t="shared" si="105"/>
        <v>0</v>
      </c>
      <c r="AC472" s="4"/>
      <c r="AD472" s="47"/>
      <c r="AE472" s="47"/>
      <c r="AF472" s="319"/>
      <c r="AG472" s="4"/>
      <c r="AH472" s="47"/>
      <c r="AI472" s="47"/>
      <c r="AJ472" s="319"/>
      <c r="AK472" s="328">
        <f t="shared" si="103"/>
        <v>0</v>
      </c>
      <c r="AL472" s="4"/>
      <c r="AM472" s="255"/>
      <c r="AN472" s="180"/>
      <c r="AO472" s="192" t="s">
        <v>1115</v>
      </c>
      <c r="AP472" s="196">
        <f>C483</f>
        <v>0</v>
      </c>
      <c r="AQ472" s="510">
        <v>47.74</v>
      </c>
      <c r="AU472" s="180"/>
      <c r="AV472" s="180"/>
      <c r="AW472" s="180"/>
      <c r="AX472" s="180"/>
      <c r="AY472" s="180"/>
      <c r="AZ472" s="180"/>
      <c r="BA472" s="180"/>
    </row>
    <row r="473" spans="1:53" s="193" customFormat="1">
      <c r="A473" s="313"/>
      <c r="B473" s="371" t="s">
        <v>1437</v>
      </c>
      <c r="C473" s="47"/>
      <c r="D473" s="47"/>
      <c r="E473" s="319"/>
      <c r="F473" s="646"/>
      <c r="G473" s="4"/>
      <c r="H473" s="47"/>
      <c r="I473" s="47"/>
      <c r="J473" s="319"/>
      <c r="K473" s="646"/>
      <c r="L473" s="4"/>
      <c r="M473" s="47"/>
      <c r="N473" s="47"/>
      <c r="O473" s="319"/>
      <c r="P473" s="646"/>
      <c r="Q473" s="4"/>
      <c r="R473" s="47"/>
      <c r="S473" s="47"/>
      <c r="T473" s="319"/>
      <c r="U473" s="646"/>
      <c r="V473" s="4"/>
      <c r="W473" s="47"/>
      <c r="X473" s="47"/>
      <c r="Y473" s="319"/>
      <c r="Z473" s="646"/>
      <c r="AA473" s="328">
        <f t="shared" si="104"/>
        <v>0</v>
      </c>
      <c r="AB473" s="298">
        <f t="shared" si="105"/>
        <v>0</v>
      </c>
      <c r="AC473" s="4"/>
      <c r="AD473" s="47"/>
      <c r="AE473" s="47"/>
      <c r="AF473" s="319"/>
      <c r="AG473" s="4"/>
      <c r="AH473" s="47"/>
      <c r="AI473" s="47"/>
      <c r="AJ473" s="319"/>
      <c r="AK473" s="328">
        <f t="shared" si="103"/>
        <v>0</v>
      </c>
      <c r="AL473" s="4"/>
      <c r="AM473" s="255"/>
      <c r="AN473" s="180"/>
      <c r="AO473" s="192"/>
      <c r="AP473" s="196"/>
      <c r="AU473" s="180"/>
      <c r="AV473" s="180"/>
      <c r="AW473" s="180"/>
      <c r="AX473" s="180"/>
      <c r="AY473" s="180"/>
      <c r="AZ473" s="180"/>
      <c r="BA473" s="180"/>
    </row>
    <row r="474" spans="1:53" s="193" customFormat="1">
      <c r="A474" s="313"/>
      <c r="B474" s="371" t="s">
        <v>1456</v>
      </c>
      <c r="C474" s="47"/>
      <c r="D474" s="47"/>
      <c r="E474" s="319"/>
      <c r="F474" s="646"/>
      <c r="G474" s="4"/>
      <c r="H474" s="47"/>
      <c r="I474" s="47"/>
      <c r="J474" s="319"/>
      <c r="K474" s="646"/>
      <c r="L474" s="4"/>
      <c r="M474" s="47"/>
      <c r="N474" s="47"/>
      <c r="O474" s="319"/>
      <c r="P474" s="646"/>
      <c r="Q474" s="4"/>
      <c r="R474" s="47"/>
      <c r="S474" s="47"/>
      <c r="T474" s="319"/>
      <c r="U474" s="646"/>
      <c r="V474" s="4"/>
      <c r="W474" s="47"/>
      <c r="X474" s="47"/>
      <c r="Y474" s="319"/>
      <c r="Z474" s="646"/>
      <c r="AA474" s="328">
        <f t="shared" si="104"/>
        <v>0</v>
      </c>
      <c r="AB474" s="298">
        <f t="shared" si="105"/>
        <v>0</v>
      </c>
      <c r="AC474" s="4"/>
      <c r="AD474" s="47"/>
      <c r="AE474" s="47"/>
      <c r="AF474" s="319"/>
      <c r="AG474" s="4"/>
      <c r="AH474" s="47"/>
      <c r="AI474" s="47"/>
      <c r="AJ474" s="319"/>
      <c r="AK474" s="328">
        <f t="shared" si="103"/>
        <v>0</v>
      </c>
      <c r="AL474" s="4"/>
      <c r="AM474" s="255"/>
      <c r="AN474" s="180"/>
      <c r="AO474" s="192"/>
      <c r="AP474" s="196"/>
      <c r="AU474" s="180"/>
      <c r="AV474" s="180"/>
      <c r="AW474" s="180"/>
      <c r="AX474" s="180"/>
      <c r="AY474" s="180"/>
      <c r="AZ474" s="180"/>
      <c r="BA474" s="180"/>
    </row>
    <row r="475" spans="1:53" s="193" customFormat="1">
      <c r="A475" s="313"/>
      <c r="B475" s="371" t="s">
        <v>1143</v>
      </c>
      <c r="C475" s="47"/>
      <c r="D475" s="47"/>
      <c r="E475" s="319"/>
      <c r="F475" s="646"/>
      <c r="G475" s="4"/>
      <c r="H475" s="47"/>
      <c r="I475" s="47"/>
      <c r="J475" s="319"/>
      <c r="K475" s="646"/>
      <c r="L475" s="4"/>
      <c r="M475" s="47"/>
      <c r="N475" s="47"/>
      <c r="O475" s="319"/>
      <c r="P475" s="646"/>
      <c r="Q475" s="4"/>
      <c r="R475" s="47"/>
      <c r="S475" s="47"/>
      <c r="T475" s="319"/>
      <c r="U475" s="646"/>
      <c r="V475" s="4"/>
      <c r="W475" s="47"/>
      <c r="X475" s="47"/>
      <c r="Y475" s="319"/>
      <c r="Z475" s="646"/>
      <c r="AA475" s="328">
        <f t="shared" si="104"/>
        <v>0</v>
      </c>
      <c r="AB475" s="298">
        <f t="shared" si="105"/>
        <v>0</v>
      </c>
      <c r="AC475" s="4"/>
      <c r="AD475" s="47"/>
      <c r="AE475" s="47"/>
      <c r="AF475" s="319"/>
      <c r="AG475" s="4"/>
      <c r="AH475" s="47"/>
      <c r="AI475" s="47"/>
      <c r="AJ475" s="319"/>
      <c r="AK475" s="328">
        <f t="shared" si="103"/>
        <v>0</v>
      </c>
      <c r="AL475" s="4"/>
      <c r="AM475" s="255"/>
      <c r="AN475" s="180"/>
      <c r="AO475" s="192"/>
      <c r="AP475" s="196"/>
      <c r="AU475" s="180"/>
      <c r="AV475" s="180"/>
      <c r="AW475" s="180"/>
      <c r="AX475" s="180"/>
      <c r="AY475" s="180"/>
      <c r="AZ475" s="180"/>
      <c r="BA475" s="180"/>
    </row>
    <row r="476" spans="1:53" s="193" customFormat="1">
      <c r="A476" s="313"/>
      <c r="B476" s="47" t="s">
        <v>1144</v>
      </c>
      <c r="C476" s="47"/>
      <c r="D476" s="47"/>
      <c r="E476" s="319"/>
      <c r="F476" s="646"/>
      <c r="G476" s="4"/>
      <c r="H476" s="47"/>
      <c r="I476" s="47"/>
      <c r="J476" s="319"/>
      <c r="K476" s="646"/>
      <c r="L476" s="4"/>
      <c r="M476" s="47"/>
      <c r="N476" s="47"/>
      <c r="O476" s="319"/>
      <c r="P476" s="646"/>
      <c r="Q476" s="4"/>
      <c r="R476" s="47"/>
      <c r="S476" s="47"/>
      <c r="T476" s="319"/>
      <c r="U476" s="646"/>
      <c r="V476" s="4"/>
      <c r="W476" s="47"/>
      <c r="X476" s="47"/>
      <c r="Y476" s="319"/>
      <c r="Z476" s="646"/>
      <c r="AA476" s="328">
        <f t="shared" si="104"/>
        <v>0</v>
      </c>
      <c r="AB476" s="298">
        <f t="shared" si="105"/>
        <v>0</v>
      </c>
      <c r="AC476" s="4"/>
      <c r="AD476" s="47"/>
      <c r="AE476" s="47"/>
      <c r="AF476" s="319"/>
      <c r="AG476" s="4"/>
      <c r="AH476" s="47"/>
      <c r="AI476" s="326"/>
      <c r="AJ476" s="319"/>
      <c r="AK476" s="328">
        <f t="shared" si="103"/>
        <v>0</v>
      </c>
      <c r="AL476" s="4"/>
      <c r="AM476" s="255"/>
      <c r="AN476" s="180"/>
      <c r="AO476" s="192"/>
      <c r="AP476" s="196"/>
      <c r="AU476" s="180"/>
      <c r="AV476" s="180"/>
      <c r="AW476" s="180"/>
      <c r="AX476" s="180"/>
      <c r="AY476" s="180"/>
      <c r="AZ476" s="180"/>
      <c r="BA476" s="180"/>
    </row>
    <row r="477" spans="1:53" s="193" customFormat="1">
      <c r="A477" s="313"/>
      <c r="B477" s="523" t="s">
        <v>1440</v>
      </c>
      <c r="C477" s="47"/>
      <c r="D477" s="47"/>
      <c r="E477" s="319"/>
      <c r="F477" s="646"/>
      <c r="G477" s="4"/>
      <c r="H477" s="47"/>
      <c r="I477" s="47"/>
      <c r="J477" s="319"/>
      <c r="K477" s="646"/>
      <c r="L477" s="4"/>
      <c r="M477" s="47"/>
      <c r="N477" s="47"/>
      <c r="O477" s="319"/>
      <c r="P477" s="646"/>
      <c r="Q477" s="4"/>
      <c r="R477" s="47"/>
      <c r="S477" s="47"/>
      <c r="T477" s="319"/>
      <c r="U477" s="646"/>
      <c r="V477" s="4"/>
      <c r="W477" s="47"/>
      <c r="X477" s="47"/>
      <c r="Y477" s="319"/>
      <c r="Z477" s="646"/>
      <c r="AA477" s="328">
        <f t="shared" si="104"/>
        <v>0</v>
      </c>
      <c r="AB477" s="298">
        <f t="shared" si="105"/>
        <v>0</v>
      </c>
      <c r="AC477" s="4"/>
      <c r="AD477" s="47"/>
      <c r="AE477" s="47"/>
      <c r="AF477" s="319"/>
      <c r="AG477" s="4"/>
      <c r="AH477" s="47"/>
      <c r="AI477" s="326"/>
      <c r="AJ477" s="319"/>
      <c r="AK477" s="328">
        <f t="shared" si="103"/>
        <v>0</v>
      </c>
      <c r="AL477" s="4"/>
      <c r="AM477" s="255"/>
      <c r="AN477" s="180"/>
      <c r="AO477" s="192"/>
      <c r="AP477" s="196"/>
      <c r="AU477" s="180"/>
      <c r="AV477" s="180"/>
      <c r="AW477" s="180"/>
      <c r="AX477" s="180"/>
      <c r="AY477" s="180"/>
      <c r="AZ477" s="180"/>
      <c r="BA477" s="180"/>
    </row>
    <row r="478" spans="1:53" s="193" customFormat="1">
      <c r="A478" s="313"/>
      <c r="B478" s="371" t="s">
        <v>1435</v>
      </c>
      <c r="C478" s="47"/>
      <c r="D478" s="47"/>
      <c r="E478" s="319"/>
      <c r="F478" s="646"/>
      <c r="G478" s="4"/>
      <c r="H478" s="47"/>
      <c r="I478" s="47"/>
      <c r="J478" s="319"/>
      <c r="K478" s="646"/>
      <c r="L478" s="4"/>
      <c r="M478" s="47"/>
      <c r="N478" s="47"/>
      <c r="O478" s="319"/>
      <c r="P478" s="646"/>
      <c r="Q478" s="4"/>
      <c r="R478" s="47"/>
      <c r="S478" s="47"/>
      <c r="T478" s="319"/>
      <c r="U478" s="646"/>
      <c r="V478" s="4"/>
      <c r="W478" s="47"/>
      <c r="X478" s="47"/>
      <c r="Y478" s="319"/>
      <c r="Z478" s="646"/>
      <c r="AA478" s="328">
        <f t="shared" si="104"/>
        <v>0</v>
      </c>
      <c r="AB478" s="298">
        <f t="shared" si="105"/>
        <v>0</v>
      </c>
      <c r="AC478" s="4"/>
      <c r="AD478" s="47"/>
      <c r="AE478" s="326"/>
      <c r="AF478" s="319"/>
      <c r="AG478" s="4"/>
      <c r="AH478" s="47"/>
      <c r="AI478" s="47"/>
      <c r="AJ478" s="319"/>
      <c r="AK478" s="328">
        <f t="shared" si="103"/>
        <v>0</v>
      </c>
      <c r="AL478" s="4"/>
      <c r="AM478" s="255"/>
      <c r="AN478" s="180"/>
      <c r="AO478" s="192"/>
      <c r="AP478" s="196"/>
      <c r="AU478" s="180"/>
      <c r="AV478" s="180"/>
      <c r="AW478" s="180"/>
      <c r="AX478" s="180"/>
      <c r="AY478" s="180"/>
      <c r="AZ478" s="180"/>
      <c r="BA478" s="180"/>
    </row>
    <row r="479" spans="1:53" s="193" customFormat="1">
      <c r="A479" s="313"/>
      <c r="B479" s="371" t="s">
        <v>813</v>
      </c>
      <c r="C479" s="47"/>
      <c r="D479" s="47"/>
      <c r="E479" s="319"/>
      <c r="F479" s="646"/>
      <c r="G479" s="4"/>
      <c r="H479" s="935">
        <v>0.375</v>
      </c>
      <c r="I479" s="935">
        <v>0.20833333333333334</v>
      </c>
      <c r="J479" s="319">
        <v>8</v>
      </c>
      <c r="K479" s="646"/>
      <c r="L479" s="4"/>
      <c r="M479" s="935">
        <v>0.375</v>
      </c>
      <c r="N479" s="935">
        <v>0.20833333333333334</v>
      </c>
      <c r="O479" s="319">
        <v>8</v>
      </c>
      <c r="P479" s="646"/>
      <c r="Q479" s="4"/>
      <c r="R479" s="935">
        <v>0.375</v>
      </c>
      <c r="S479" s="935">
        <v>0.20833333333333334</v>
      </c>
      <c r="T479" s="319">
        <v>8</v>
      </c>
      <c r="U479" s="646"/>
      <c r="V479" s="4"/>
      <c r="W479" s="47"/>
      <c r="X479" s="47"/>
      <c r="Y479" s="319"/>
      <c r="Z479" s="646"/>
      <c r="AA479" s="328">
        <f t="shared" si="104"/>
        <v>24</v>
      </c>
      <c r="AB479" s="298">
        <f t="shared" si="105"/>
        <v>0</v>
      </c>
      <c r="AC479" s="4"/>
      <c r="AD479" s="47"/>
      <c r="AE479" s="47"/>
      <c r="AF479" s="319"/>
      <c r="AG479" s="4"/>
      <c r="AH479" s="47"/>
      <c r="AI479" s="47"/>
      <c r="AJ479" s="319"/>
      <c r="AK479" s="328">
        <f t="shared" si="103"/>
        <v>0</v>
      </c>
      <c r="AL479" s="4"/>
      <c r="AM479" s="255"/>
      <c r="AN479" s="180"/>
      <c r="AO479" s="192"/>
      <c r="AP479" s="196"/>
      <c r="AU479" s="180"/>
      <c r="AV479" s="180"/>
      <c r="AW479" s="180"/>
      <c r="AX479" s="180"/>
      <c r="AY479" s="180"/>
      <c r="AZ479" s="180"/>
      <c r="BA479" s="180"/>
    </row>
    <row r="480" spans="1:53" s="180" customFormat="1">
      <c r="A480" s="313"/>
      <c r="B480" s="738" t="s">
        <v>61</v>
      </c>
      <c r="C480" s="739"/>
      <c r="D480" s="739"/>
      <c r="E480" s="740"/>
      <c r="F480" s="646"/>
      <c r="G480" s="739"/>
      <c r="H480" s="739"/>
      <c r="I480" s="739"/>
      <c r="J480" s="740"/>
      <c r="K480" s="646"/>
      <c r="L480" s="739"/>
      <c r="M480" s="739"/>
      <c r="N480" s="739"/>
      <c r="O480" s="740"/>
      <c r="P480" s="646"/>
      <c r="Q480" s="739"/>
      <c r="R480" s="739"/>
      <c r="S480" s="739"/>
      <c r="T480" s="740"/>
      <c r="U480" s="646"/>
      <c r="V480" s="739"/>
      <c r="W480" s="739"/>
      <c r="X480" s="739"/>
      <c r="Y480" s="740"/>
      <c r="Z480" s="646"/>
      <c r="AA480" s="370">
        <f>SUM(AA465:AA479)</f>
        <v>32</v>
      </c>
      <c r="AB480" s="608">
        <f>SUM(AB465:AB472)</f>
        <v>0</v>
      </c>
      <c r="AC480" s="4"/>
      <c r="AD480" s="738"/>
      <c r="AE480" s="738"/>
      <c r="AF480" s="370"/>
      <c r="AG480" s="4"/>
      <c r="AH480" s="738"/>
      <c r="AI480" s="738"/>
      <c r="AJ480" s="370"/>
      <c r="AK480" s="370">
        <f>SUM(AK465:AK478)</f>
        <v>0</v>
      </c>
      <c r="AL480" s="4"/>
      <c r="AM480" s="255"/>
      <c r="AO480" s="407"/>
      <c r="AP480" s="193"/>
      <c r="AQ480" s="193"/>
      <c r="AR480" s="193"/>
      <c r="AS480" s="193"/>
      <c r="AT480" s="193"/>
    </row>
    <row r="481" spans="1:53" s="180" customFormat="1">
      <c r="A481" s="313"/>
      <c r="B481" s="741" t="s">
        <v>64</v>
      </c>
      <c r="C481" s="47"/>
      <c r="D481" s="47"/>
      <c r="E481" s="319">
        <v>2</v>
      </c>
      <c r="F481" s="346"/>
      <c r="G481" s="613"/>
      <c r="H481" s="47"/>
      <c r="I481" s="47"/>
      <c r="J481" s="319">
        <v>2</v>
      </c>
      <c r="K481" s="346"/>
      <c r="L481" s="60"/>
      <c r="M481" s="47"/>
      <c r="N481" s="47"/>
      <c r="O481" s="319">
        <v>2</v>
      </c>
      <c r="P481" s="346"/>
      <c r="Q481" s="60"/>
      <c r="R481" s="47"/>
      <c r="S481" s="47"/>
      <c r="T481" s="319">
        <v>2</v>
      </c>
      <c r="U481" s="346"/>
      <c r="V481" s="60"/>
      <c r="W481" s="47"/>
      <c r="X481" s="47"/>
      <c r="Y481" s="319">
        <v>2</v>
      </c>
      <c r="Z481" s="346"/>
      <c r="AA481" s="28">
        <f>SUM(E481+J481+O481)</f>
        <v>6</v>
      </c>
      <c r="AB481" s="296">
        <f>Z481+U481+P481+K481+F481</f>
        <v>0</v>
      </c>
      <c r="AC481" s="4"/>
      <c r="AD481" s="47"/>
      <c r="AE481" s="47"/>
      <c r="AF481" s="319"/>
      <c r="AG481" s="4"/>
      <c r="AH481" s="47"/>
      <c r="AI481" s="47"/>
      <c r="AJ481" s="319"/>
      <c r="AK481" s="29">
        <f>AJ481+AF481</f>
        <v>0</v>
      </c>
      <c r="AL481" s="4"/>
      <c r="AM481" s="255"/>
      <c r="AO481" s="407"/>
      <c r="AP481" s="193"/>
      <c r="AQ481" s="193"/>
      <c r="AR481" s="193"/>
      <c r="AS481" s="193"/>
      <c r="AT481" s="193"/>
    </row>
    <row r="482" spans="1:53" s="180" customFormat="1">
      <c r="A482" s="313"/>
      <c r="B482" s="71" t="s">
        <v>66</v>
      </c>
      <c r="C482" s="371"/>
      <c r="D482" s="371"/>
      <c r="E482" s="71"/>
      <c r="F482" s="613"/>
      <c r="G482" s="71"/>
      <c r="H482" s="71"/>
      <c r="I482" s="71"/>
      <c r="J482" s="71"/>
      <c r="K482" s="613"/>
      <c r="L482" s="71"/>
      <c r="M482" s="71"/>
      <c r="N482" s="71"/>
      <c r="O482" s="71"/>
      <c r="P482" s="613"/>
      <c r="Q482" s="71"/>
      <c r="R482" s="71"/>
      <c r="S482" s="71"/>
      <c r="T482" s="71"/>
      <c r="U482" s="613"/>
      <c r="V482" s="71"/>
      <c r="W482" s="71"/>
      <c r="X482" s="71"/>
      <c r="Y482" s="71"/>
      <c r="Z482" s="613"/>
      <c r="AA482" s="370">
        <f>SUM(AA481)</f>
        <v>6</v>
      </c>
      <c r="AB482" s="370">
        <f>SUM(AB481:AB481)</f>
        <v>0</v>
      </c>
      <c r="AC482" s="4"/>
      <c r="AG482" s="4"/>
      <c r="AK482" s="370">
        <f>SUM(AK481:AK481)</f>
        <v>0</v>
      </c>
      <c r="AL482" s="4"/>
      <c r="AM482" s="255"/>
      <c r="AO482" s="407"/>
      <c r="AP482" s="193"/>
      <c r="AQ482" s="193"/>
      <c r="AR482" s="193"/>
      <c r="AS482" s="193"/>
      <c r="AT482" s="193"/>
    </row>
    <row r="483" spans="1:53" s="180" customFormat="1">
      <c r="A483" s="313"/>
      <c r="B483" s="217" t="s">
        <v>67</v>
      </c>
      <c r="C483" s="207">
        <v>0</v>
      </c>
      <c r="D483" s="207"/>
      <c r="E483" s="209"/>
      <c r="F483" s="209"/>
      <c r="G483" s="207"/>
      <c r="H483" s="209"/>
      <c r="I483" s="209"/>
      <c r="J483" s="209"/>
      <c r="K483" s="209"/>
      <c r="L483" s="207"/>
      <c r="M483" s="207"/>
      <c r="N483" s="207"/>
      <c r="O483" s="207"/>
      <c r="P483" s="209"/>
      <c r="Q483" s="207"/>
      <c r="R483" s="207"/>
      <c r="S483" s="207"/>
      <c r="T483" s="207"/>
      <c r="U483" s="209"/>
      <c r="V483" s="207"/>
      <c r="W483" s="207"/>
      <c r="X483" s="207"/>
      <c r="Y483" s="210"/>
      <c r="Z483" s="209"/>
      <c r="AA483" s="211"/>
      <c r="AB483" s="209"/>
      <c r="AC483" s="211"/>
      <c r="AD483" s="211"/>
      <c r="AE483" s="211"/>
      <c r="AF483" s="211"/>
      <c r="AG483" s="4"/>
      <c r="AH483" s="211"/>
      <c r="AI483" s="211"/>
      <c r="AJ483" s="211"/>
      <c r="AK483" s="211"/>
      <c r="AL483" s="4"/>
      <c r="AM483" s="255"/>
      <c r="AO483" s="193"/>
      <c r="AP483" s="193"/>
      <c r="AQ483" s="193"/>
      <c r="AR483" s="193"/>
      <c r="AS483" s="193"/>
      <c r="AT483" s="193"/>
    </row>
    <row r="484" spans="1:53" s="180" customFormat="1">
      <c r="A484" s="313"/>
      <c r="E484" s="4"/>
      <c r="F484" s="644"/>
      <c r="G484" s="4"/>
      <c r="J484" s="4"/>
      <c r="K484" s="644"/>
      <c r="L484" s="4"/>
      <c r="O484" s="4"/>
      <c r="P484" s="644"/>
      <c r="Q484" s="4"/>
      <c r="T484" s="4"/>
      <c r="U484" s="644"/>
      <c r="V484" s="4"/>
      <c r="Y484" s="4"/>
      <c r="Z484" s="644"/>
      <c r="AA484" s="4"/>
      <c r="AB484" s="4"/>
      <c r="AC484" s="4"/>
      <c r="AG484" s="4"/>
      <c r="AL484" s="4"/>
      <c r="AM484" s="255"/>
      <c r="AO484" s="193"/>
      <c r="AP484" s="193"/>
      <c r="AQ484" s="193"/>
      <c r="AR484" s="193"/>
      <c r="AS484" s="193"/>
      <c r="AT484" s="193"/>
    </row>
    <row r="485" spans="1:53" s="180" customFormat="1">
      <c r="A485" s="313"/>
      <c r="B485" s="229"/>
      <c r="C485" s="230"/>
      <c r="D485" s="230"/>
      <c r="E485" s="232"/>
      <c r="F485" s="232"/>
      <c r="G485" s="230"/>
      <c r="H485" s="232"/>
      <c r="I485" s="232"/>
      <c r="J485" s="232"/>
      <c r="K485" s="232"/>
      <c r="L485" s="230"/>
      <c r="M485" s="230"/>
      <c r="N485" s="230"/>
      <c r="O485" s="230"/>
      <c r="P485" s="232"/>
      <c r="Q485" s="230"/>
      <c r="R485" s="230"/>
      <c r="S485" s="230"/>
      <c r="T485" s="230"/>
      <c r="U485" s="232"/>
      <c r="V485" s="230"/>
      <c r="W485" s="230"/>
      <c r="X485" s="230"/>
      <c r="Y485" s="233"/>
      <c r="Z485" s="232"/>
      <c r="AA485" s="234"/>
      <c r="AB485" s="232"/>
      <c r="AC485" s="373"/>
      <c r="AD485" s="236"/>
      <c r="AE485" s="255"/>
      <c r="AF485" s="255"/>
      <c r="AG485" s="255"/>
      <c r="AH485" s="236"/>
      <c r="AI485" s="255"/>
      <c r="AJ485" s="255"/>
      <c r="AK485" s="255"/>
      <c r="AL485" s="255"/>
      <c r="AM485" s="255"/>
      <c r="AN485" s="255"/>
      <c r="AO485" s="255"/>
      <c r="AP485" s="255"/>
      <c r="AQ485" s="255"/>
      <c r="AR485" s="255"/>
      <c r="AS485" s="255"/>
      <c r="AT485" s="255"/>
    </row>
    <row r="486" spans="1:53" s="180" customFormat="1">
      <c r="A486" s="313"/>
      <c r="E486" s="4"/>
      <c r="F486" s="644"/>
      <c r="G486" s="4"/>
      <c r="J486" s="4"/>
      <c r="K486" s="644"/>
      <c r="L486" s="4"/>
      <c r="O486" s="4"/>
      <c r="P486" s="644"/>
      <c r="Q486" s="4"/>
      <c r="T486" s="4"/>
      <c r="U486" s="644"/>
      <c r="V486" s="4"/>
      <c r="Y486" s="4"/>
      <c r="Z486" s="644"/>
      <c r="AA486" s="4"/>
      <c r="AB486" s="4"/>
      <c r="AC486" s="4"/>
      <c r="AG486" s="4"/>
      <c r="AL486" s="4"/>
      <c r="AM486" s="255"/>
      <c r="AO486" s="193"/>
      <c r="AP486" s="193"/>
      <c r="AQ486" s="193"/>
      <c r="AR486" s="193"/>
      <c r="AS486" s="193"/>
      <c r="AT486" s="193"/>
    </row>
    <row r="487" spans="1:53" s="180" customFormat="1" ht="13.5" customHeight="1">
      <c r="A487" s="313"/>
      <c r="B487" s="1518" t="s">
        <v>18</v>
      </c>
      <c r="C487" s="1519">
        <v>45985</v>
      </c>
      <c r="D487" s="1519"/>
      <c r="E487" s="1519" t="s">
        <v>564</v>
      </c>
      <c r="F487" s="1519"/>
      <c r="G487" s="365"/>
      <c r="H487" s="1519">
        <v>45986</v>
      </c>
      <c r="I487" s="1519"/>
      <c r="J487" s="1519" t="s">
        <v>565</v>
      </c>
      <c r="K487" s="1519"/>
      <c r="L487" s="365"/>
      <c r="M487" s="1519">
        <v>45987</v>
      </c>
      <c r="N487" s="1519"/>
      <c r="O487" s="1519" t="s">
        <v>566</v>
      </c>
      <c r="P487" s="1519"/>
      <c r="Q487" s="365"/>
      <c r="R487" s="1519">
        <v>45988</v>
      </c>
      <c r="S487" s="1519"/>
      <c r="T487" s="1519" t="s">
        <v>567</v>
      </c>
      <c r="U487" s="1519"/>
      <c r="V487" s="365"/>
      <c r="W487" s="1519">
        <v>45989</v>
      </c>
      <c r="X487" s="1519"/>
      <c r="Y487" s="1519" t="s">
        <v>568</v>
      </c>
      <c r="Z487" s="1519"/>
      <c r="AA487" s="1517" t="s">
        <v>19</v>
      </c>
      <c r="AB487" s="1517" t="s">
        <v>20</v>
      </c>
      <c r="AC487" s="4"/>
      <c r="AD487" s="1519">
        <v>45990</v>
      </c>
      <c r="AE487" s="1519"/>
      <c r="AF487" s="735" t="s">
        <v>569</v>
      </c>
      <c r="AG487" s="4"/>
      <c r="AH487" s="1519">
        <v>45991</v>
      </c>
      <c r="AI487" s="1519"/>
      <c r="AJ487" s="735" t="s">
        <v>570</v>
      </c>
      <c r="AK487" s="1517" t="s">
        <v>1420</v>
      </c>
      <c r="AL487" s="4"/>
      <c r="AM487" s="368"/>
      <c r="AO487" s="194" t="s">
        <v>84</v>
      </c>
      <c r="AP487" s="366"/>
      <c r="AQ487" s="366"/>
      <c r="AR487" s="366"/>
      <c r="AS487" s="366"/>
      <c r="AT487" s="366"/>
    </row>
    <row r="488" spans="1:53" s="180" customFormat="1">
      <c r="A488" s="313"/>
      <c r="B488" s="1518"/>
      <c r="C488" s="21" t="s">
        <v>23</v>
      </c>
      <c r="D488" s="21" t="s">
        <v>24</v>
      </c>
      <c r="E488" s="205" t="s">
        <v>25</v>
      </c>
      <c r="F488" s="645" t="s">
        <v>14</v>
      </c>
      <c r="G488" s="4"/>
      <c r="H488" s="21" t="s">
        <v>23</v>
      </c>
      <c r="I488" s="21" t="s">
        <v>24</v>
      </c>
      <c r="J488" s="18" t="s">
        <v>25</v>
      </c>
      <c r="K488" s="645" t="s">
        <v>14</v>
      </c>
      <c r="L488" s="4"/>
      <c r="M488" s="21" t="s">
        <v>23</v>
      </c>
      <c r="N488" s="21" t="s">
        <v>24</v>
      </c>
      <c r="O488" s="18" t="s">
        <v>25</v>
      </c>
      <c r="P488" s="645" t="s">
        <v>14</v>
      </c>
      <c r="Q488" s="4"/>
      <c r="R488" s="21" t="s">
        <v>23</v>
      </c>
      <c r="S488" s="21" t="s">
        <v>24</v>
      </c>
      <c r="T488" s="18" t="s">
        <v>25</v>
      </c>
      <c r="U488" s="645" t="s">
        <v>14</v>
      </c>
      <c r="V488" s="4"/>
      <c r="W488" s="21" t="s">
        <v>23</v>
      </c>
      <c r="X488" s="21" t="s">
        <v>24</v>
      </c>
      <c r="Y488" s="18" t="s">
        <v>25</v>
      </c>
      <c r="Z488" s="645" t="s">
        <v>14</v>
      </c>
      <c r="AA488" s="1517"/>
      <c r="AB488" s="1517"/>
      <c r="AC488" s="4"/>
      <c r="AD488" s="21" t="s">
        <v>23</v>
      </c>
      <c r="AE488" s="21" t="s">
        <v>24</v>
      </c>
      <c r="AF488" s="18" t="s">
        <v>25</v>
      </c>
      <c r="AG488" s="4"/>
      <c r="AH488" s="21" t="s">
        <v>23</v>
      </c>
      <c r="AI488" s="21" t="s">
        <v>24</v>
      </c>
      <c r="AJ488" s="18" t="s">
        <v>25</v>
      </c>
      <c r="AK488" s="1517"/>
      <c r="AL488" s="4"/>
      <c r="AM488" s="368"/>
      <c r="AN488" s="367"/>
      <c r="AO488" s="188" t="s">
        <v>26</v>
      </c>
      <c r="AP488" s="404">
        <f>AA504</f>
        <v>24</v>
      </c>
      <c r="AQ488" s="510">
        <v>40.31</v>
      </c>
      <c r="AR488" s="510">
        <f t="shared" ref="AR488:AR493" si="106">AP488*AQ488</f>
        <v>967.44</v>
      </c>
      <c r="AS488" s="193"/>
      <c r="AT488" s="193"/>
    </row>
    <row r="489" spans="1:53" s="180" customFormat="1" ht="13.5" customHeight="1">
      <c r="A489" s="313"/>
      <c r="B489" s="4" t="s">
        <v>1064</v>
      </c>
      <c r="C489" s="47"/>
      <c r="D489" s="47"/>
      <c r="E489" s="319"/>
      <c r="F489" s="646"/>
      <c r="G489" s="4"/>
      <c r="H489" s="47"/>
      <c r="I489" s="47"/>
      <c r="J489" s="319"/>
      <c r="K489" s="646"/>
      <c r="L489" s="4"/>
      <c r="M489" s="47"/>
      <c r="N489" s="47"/>
      <c r="O489" s="319"/>
      <c r="P489" s="646"/>
      <c r="Q489" s="47"/>
      <c r="R489" s="1607" t="s">
        <v>1458</v>
      </c>
      <c r="S489" s="1607"/>
      <c r="T489" s="1607"/>
      <c r="U489" s="1607"/>
      <c r="V489" s="4"/>
      <c r="W489" s="1607" t="s">
        <v>1459</v>
      </c>
      <c r="X489" s="1607"/>
      <c r="Y489" s="1607"/>
      <c r="Z489" s="1607"/>
      <c r="AA489" s="328">
        <f>(E489+J489+O489+T489+Y489)</f>
        <v>0</v>
      </c>
      <c r="AB489" s="298">
        <f>Z489+U489+P489+K489+F489</f>
        <v>0</v>
      </c>
      <c r="AC489" s="4"/>
      <c r="AD489" s="47"/>
      <c r="AE489" s="326"/>
      <c r="AF489" s="319"/>
      <c r="AG489" s="4"/>
      <c r="AH489" s="47"/>
      <c r="AI489" s="326"/>
      <c r="AJ489" s="319"/>
      <c r="AK489" s="328">
        <f t="shared" ref="AK489:AK503" si="107">AJ489+AF489</f>
        <v>0</v>
      </c>
      <c r="AL489" s="4"/>
      <c r="AM489" s="368"/>
      <c r="AN489" s="367"/>
      <c r="AO489" s="188" t="s">
        <v>30</v>
      </c>
      <c r="AP489" s="196">
        <f>AB504</f>
        <v>0</v>
      </c>
      <c r="AQ489" s="511">
        <v>60.465000000000003</v>
      </c>
      <c r="AR489" s="510">
        <f t="shared" si="106"/>
        <v>0</v>
      </c>
      <c r="AS489" s="193"/>
      <c r="AT489" s="193"/>
    </row>
    <row r="490" spans="1:53" s="180" customFormat="1">
      <c r="A490" s="313"/>
      <c r="B490" s="47" t="s">
        <v>1441</v>
      </c>
      <c r="C490" s="935">
        <v>0.375</v>
      </c>
      <c r="D490" s="935">
        <v>0.20833333333333334</v>
      </c>
      <c r="E490" s="319">
        <v>8</v>
      </c>
      <c r="F490" s="646"/>
      <c r="G490" s="4"/>
      <c r="H490" s="47"/>
      <c r="I490" s="47"/>
      <c r="J490" s="319"/>
      <c r="K490" s="646"/>
      <c r="L490" s="4"/>
      <c r="M490" s="47"/>
      <c r="N490" s="47"/>
      <c r="O490" s="319"/>
      <c r="P490" s="646"/>
      <c r="Q490" s="4"/>
      <c r="R490" s="1607"/>
      <c r="S490" s="1607"/>
      <c r="T490" s="1607"/>
      <c r="U490" s="1607"/>
      <c r="V490" s="4"/>
      <c r="W490" s="1607"/>
      <c r="X490" s="1607"/>
      <c r="Y490" s="1607"/>
      <c r="Z490" s="1607"/>
      <c r="AA490" s="328">
        <f t="shared" ref="AA490:AA503" si="108">(E490+J490+O490+T490+Y490)</f>
        <v>8</v>
      </c>
      <c r="AB490" s="298">
        <f t="shared" ref="AB490:AB503" si="109">Z490+U490+P490+K490+F490</f>
        <v>0</v>
      </c>
      <c r="AC490" s="4"/>
      <c r="AD490" s="47"/>
      <c r="AE490" s="47"/>
      <c r="AF490" s="319"/>
      <c r="AG490" s="4"/>
      <c r="AH490" s="47"/>
      <c r="AI490" s="47"/>
      <c r="AJ490" s="319"/>
      <c r="AK490" s="328">
        <f t="shared" si="107"/>
        <v>0</v>
      </c>
      <c r="AL490" s="4"/>
      <c r="AM490" s="255"/>
      <c r="AO490" s="188" t="s">
        <v>32</v>
      </c>
      <c r="AP490" s="196">
        <f>AK504</f>
        <v>0</v>
      </c>
      <c r="AQ490" s="510">
        <v>60.465000000000003</v>
      </c>
      <c r="AR490" s="510">
        <f t="shared" si="106"/>
        <v>0</v>
      </c>
      <c r="AS490" s="193"/>
      <c r="AT490" s="193"/>
    </row>
    <row r="491" spans="1:53" s="193" customFormat="1">
      <c r="A491" s="313"/>
      <c r="B491" s="47" t="s">
        <v>1444</v>
      </c>
      <c r="C491" s="47"/>
      <c r="D491" s="47"/>
      <c r="E491" s="319"/>
      <c r="F491" s="646"/>
      <c r="G491" s="4"/>
      <c r="H491" s="47"/>
      <c r="I491" s="47"/>
      <c r="J491" s="319"/>
      <c r="K491" s="646"/>
      <c r="L491" s="4"/>
      <c r="M491" s="47"/>
      <c r="N491" s="47"/>
      <c r="O491" s="319"/>
      <c r="P491" s="646"/>
      <c r="Q491" s="4"/>
      <c r="R491" s="1607"/>
      <c r="S491" s="1607"/>
      <c r="T491" s="1607"/>
      <c r="U491" s="1607"/>
      <c r="V491" s="4"/>
      <c r="W491" s="1607"/>
      <c r="X491" s="1607"/>
      <c r="Y491" s="1607"/>
      <c r="Z491" s="1607"/>
      <c r="AA491" s="328">
        <f t="shared" si="108"/>
        <v>0</v>
      </c>
      <c r="AB491" s="298">
        <f t="shared" si="109"/>
        <v>0</v>
      </c>
      <c r="AC491" s="4"/>
      <c r="AD491" s="47"/>
      <c r="AE491" s="47"/>
      <c r="AF491" s="319"/>
      <c r="AG491" s="4"/>
      <c r="AH491" s="47"/>
      <c r="AI491" s="47"/>
      <c r="AJ491" s="319"/>
      <c r="AK491" s="328">
        <f t="shared" si="107"/>
        <v>0</v>
      </c>
      <c r="AL491" s="4"/>
      <c r="AM491" s="255"/>
      <c r="AN491" s="180"/>
      <c r="AO491" s="403" t="s">
        <v>213</v>
      </c>
      <c r="AP491" s="404">
        <f>AA505</f>
        <v>0</v>
      </c>
      <c r="AQ491" s="510">
        <v>53.05</v>
      </c>
      <c r="AR491" s="510">
        <f t="shared" si="106"/>
        <v>0</v>
      </c>
      <c r="AS491" s="405"/>
      <c r="AT491" s="405"/>
      <c r="AU491" s="180"/>
      <c r="AV491" s="180"/>
      <c r="AW491" s="180"/>
      <c r="AX491" s="180"/>
      <c r="AY491" s="180"/>
      <c r="AZ491" s="180"/>
      <c r="BA491" s="180"/>
    </row>
    <row r="492" spans="1:53" s="193" customFormat="1">
      <c r="A492" s="313"/>
      <c r="B492" s="371" t="s">
        <v>1447</v>
      </c>
      <c r="C492" s="47"/>
      <c r="D492" s="47"/>
      <c r="E492" s="319"/>
      <c r="F492" s="646"/>
      <c r="G492" s="47"/>
      <c r="H492" s="47"/>
      <c r="I492" s="47"/>
      <c r="J492" s="319"/>
      <c r="K492" s="646"/>
      <c r="L492" s="4"/>
      <c r="M492" s="47"/>
      <c r="N492" s="47"/>
      <c r="O492" s="319"/>
      <c r="P492" s="646"/>
      <c r="Q492" s="4"/>
      <c r="R492" s="1607"/>
      <c r="S492" s="1607"/>
      <c r="T492" s="1607"/>
      <c r="U492" s="1607"/>
      <c r="V492" s="4"/>
      <c r="W492" s="1607"/>
      <c r="X492" s="1607"/>
      <c r="Y492" s="1607"/>
      <c r="Z492" s="1607"/>
      <c r="AA492" s="328">
        <f t="shared" si="108"/>
        <v>0</v>
      </c>
      <c r="AB492" s="298">
        <f t="shared" si="109"/>
        <v>0</v>
      </c>
      <c r="AC492" s="4"/>
      <c r="AD492" s="47"/>
      <c r="AE492" s="47"/>
      <c r="AF492" s="319"/>
      <c r="AG492" s="4"/>
      <c r="AH492" s="436"/>
      <c r="AI492" s="47"/>
      <c r="AJ492" s="319"/>
      <c r="AK492" s="328">
        <f t="shared" si="107"/>
        <v>0</v>
      </c>
      <c r="AL492" s="4"/>
      <c r="AM492" s="255"/>
      <c r="AN492" s="180"/>
      <c r="AO492" s="188" t="s">
        <v>36</v>
      </c>
      <c r="AP492" s="196">
        <f>AB505</f>
        <v>0</v>
      </c>
      <c r="AQ492" s="510">
        <v>79.574999999999989</v>
      </c>
      <c r="AR492" s="510">
        <f t="shared" si="106"/>
        <v>0</v>
      </c>
      <c r="AU492" s="180"/>
      <c r="AV492" s="180"/>
      <c r="AW492" s="180"/>
      <c r="AX492" s="180"/>
      <c r="AY492" s="180"/>
      <c r="AZ492" s="180"/>
      <c r="BA492" s="180"/>
    </row>
    <row r="493" spans="1:53" s="193" customFormat="1">
      <c r="A493" s="313"/>
      <c r="B493" s="371" t="s">
        <v>1141</v>
      </c>
      <c r="C493" s="47"/>
      <c r="D493" s="47"/>
      <c r="E493" s="319"/>
      <c r="F493" s="646"/>
      <c r="G493" s="4"/>
      <c r="H493" s="47"/>
      <c r="I493" s="47"/>
      <c r="J493" s="319"/>
      <c r="K493" s="646"/>
      <c r="L493" s="4"/>
      <c r="M493" s="47"/>
      <c r="N493" s="47"/>
      <c r="O493" s="319"/>
      <c r="P493" s="646"/>
      <c r="Q493" s="4"/>
      <c r="R493" s="1607"/>
      <c r="S493" s="1607"/>
      <c r="T493" s="1607"/>
      <c r="U493" s="1607"/>
      <c r="V493" s="4"/>
      <c r="W493" s="1607"/>
      <c r="X493" s="1607"/>
      <c r="Y493" s="1607"/>
      <c r="Z493" s="1607"/>
      <c r="AA493" s="328">
        <f t="shared" si="108"/>
        <v>0</v>
      </c>
      <c r="AB493" s="298">
        <f t="shared" si="109"/>
        <v>0</v>
      </c>
      <c r="AC493" s="4"/>
      <c r="AD493" s="47"/>
      <c r="AE493" s="47"/>
      <c r="AF493" s="319"/>
      <c r="AG493" s="4"/>
      <c r="AH493" s="47"/>
      <c r="AI493" s="47"/>
      <c r="AJ493" s="319"/>
      <c r="AK493" s="328">
        <f t="shared" si="107"/>
        <v>0</v>
      </c>
      <c r="AL493" s="4"/>
      <c r="AM493" s="255"/>
      <c r="AN493" s="180"/>
      <c r="AO493" s="188" t="s">
        <v>38</v>
      </c>
      <c r="AP493" s="196">
        <f>AK505</f>
        <v>0</v>
      </c>
      <c r="AQ493" s="510">
        <v>79.574999999999989</v>
      </c>
      <c r="AR493" s="510">
        <f t="shared" si="106"/>
        <v>0</v>
      </c>
      <c r="AU493" s="180"/>
      <c r="AV493" s="180"/>
      <c r="AW493" s="180"/>
      <c r="AX493" s="180"/>
      <c r="AY493" s="180"/>
      <c r="AZ493" s="180"/>
      <c r="BA493" s="180"/>
    </row>
    <row r="494" spans="1:53" s="193" customFormat="1">
      <c r="A494" s="313"/>
      <c r="B494" s="371" t="s">
        <v>1140</v>
      </c>
      <c r="C494" s="47"/>
      <c r="D494" s="47"/>
      <c r="E494" s="319"/>
      <c r="F494" s="646"/>
      <c r="G494" s="4"/>
      <c r="H494" s="47"/>
      <c r="I494" s="47"/>
      <c r="J494" s="319"/>
      <c r="K494" s="646"/>
      <c r="L494" s="4"/>
      <c r="M494" s="47"/>
      <c r="N494" s="47"/>
      <c r="O494" s="319"/>
      <c r="P494" s="646"/>
      <c r="Q494" s="4"/>
      <c r="R494" s="1607"/>
      <c r="S494" s="1607"/>
      <c r="T494" s="1607"/>
      <c r="U494" s="1607"/>
      <c r="V494" s="4"/>
      <c r="W494" s="1607"/>
      <c r="X494" s="1607"/>
      <c r="Y494" s="1607"/>
      <c r="Z494" s="1607"/>
      <c r="AA494" s="328">
        <f t="shared" si="108"/>
        <v>0</v>
      </c>
      <c r="AB494" s="298">
        <f t="shared" si="109"/>
        <v>0</v>
      </c>
      <c r="AC494" s="4"/>
      <c r="AD494" s="47"/>
      <c r="AE494" s="47"/>
      <c r="AF494" s="319"/>
      <c r="AG494" s="4"/>
      <c r="AH494" s="47"/>
      <c r="AI494" s="47"/>
      <c r="AJ494" s="319"/>
      <c r="AK494" s="328">
        <f t="shared" si="107"/>
        <v>0</v>
      </c>
      <c r="AL494" s="4"/>
      <c r="AM494" s="255"/>
      <c r="AN494" s="180"/>
      <c r="AP494" s="196"/>
      <c r="AR494" s="786">
        <f>SUM(AR488:AR493)</f>
        <v>967.44</v>
      </c>
      <c r="AU494" s="180"/>
      <c r="AV494" s="180"/>
      <c r="AW494" s="180"/>
      <c r="AX494" s="180"/>
      <c r="AY494" s="180"/>
      <c r="AZ494" s="180"/>
      <c r="BA494" s="180"/>
    </row>
    <row r="495" spans="1:53" s="193" customFormat="1">
      <c r="A495" s="313"/>
      <c r="B495" s="371" t="s">
        <v>53</v>
      </c>
      <c r="C495" s="47"/>
      <c r="D495" s="47"/>
      <c r="E495" s="319"/>
      <c r="F495" s="646"/>
      <c r="G495" s="4"/>
      <c r="H495" s="47"/>
      <c r="I495" s="47"/>
      <c r="J495" s="319"/>
      <c r="K495" s="646"/>
      <c r="L495" s="4"/>
      <c r="M495" s="47"/>
      <c r="N495" s="47"/>
      <c r="O495" s="319"/>
      <c r="P495" s="646"/>
      <c r="Q495" s="4"/>
      <c r="R495" s="1607"/>
      <c r="S495" s="1607"/>
      <c r="T495" s="1607"/>
      <c r="U495" s="1607"/>
      <c r="V495" s="4"/>
      <c r="W495" s="1607"/>
      <c r="X495" s="1607"/>
      <c r="Y495" s="1607"/>
      <c r="Z495" s="1607"/>
      <c r="AA495" s="328">
        <f t="shared" si="108"/>
        <v>0</v>
      </c>
      <c r="AB495" s="298">
        <f t="shared" si="109"/>
        <v>0</v>
      </c>
      <c r="AC495" s="4"/>
      <c r="AD495" s="47"/>
      <c r="AE495" s="47"/>
      <c r="AF495" s="319"/>
      <c r="AG495" s="4"/>
      <c r="AH495" s="436"/>
      <c r="AI495" s="47"/>
      <c r="AJ495" s="319"/>
      <c r="AK495" s="328">
        <f t="shared" si="107"/>
        <v>0</v>
      </c>
      <c r="AL495" s="4"/>
      <c r="AM495" s="255"/>
      <c r="AN495" s="180"/>
      <c r="AP495" s="196"/>
      <c r="AU495" s="180"/>
      <c r="AV495" s="180"/>
      <c r="AW495" s="180"/>
      <c r="AX495" s="180"/>
      <c r="AY495" s="180"/>
      <c r="AZ495" s="180"/>
      <c r="BA495" s="180"/>
    </row>
    <row r="496" spans="1:53" s="193" customFormat="1">
      <c r="A496" s="313"/>
      <c r="B496" s="371" t="s">
        <v>1455</v>
      </c>
      <c r="C496" s="47"/>
      <c r="D496" s="47"/>
      <c r="E496" s="319"/>
      <c r="F496" s="646"/>
      <c r="G496" s="4"/>
      <c r="H496" s="47"/>
      <c r="I496" s="47"/>
      <c r="J496" s="319"/>
      <c r="K496" s="646"/>
      <c r="L496" s="4"/>
      <c r="M496" s="47"/>
      <c r="N496" s="47"/>
      <c r="O496" s="319"/>
      <c r="P496" s="646"/>
      <c r="Q496" s="4"/>
      <c r="R496" s="1607"/>
      <c r="S496" s="1607"/>
      <c r="T496" s="1607"/>
      <c r="U496" s="1607"/>
      <c r="V496" s="4"/>
      <c r="W496" s="1607"/>
      <c r="X496" s="1607"/>
      <c r="Y496" s="1607"/>
      <c r="Z496" s="1607"/>
      <c r="AA496" s="328">
        <f t="shared" si="108"/>
        <v>0</v>
      </c>
      <c r="AB496" s="298">
        <f t="shared" si="109"/>
        <v>0</v>
      </c>
      <c r="AC496" s="4"/>
      <c r="AD496" s="47"/>
      <c r="AE496" s="47"/>
      <c r="AF496" s="319"/>
      <c r="AG496" s="4"/>
      <c r="AH496" s="47"/>
      <c r="AI496" s="47"/>
      <c r="AJ496" s="319"/>
      <c r="AK496" s="328">
        <f t="shared" si="107"/>
        <v>0</v>
      </c>
      <c r="AL496" s="4"/>
      <c r="AM496" s="255"/>
      <c r="AN496" s="180"/>
      <c r="AO496" s="192" t="s">
        <v>1115</v>
      </c>
      <c r="AP496" s="196">
        <f>C507</f>
        <v>0</v>
      </c>
      <c r="AQ496" s="510">
        <v>47.74</v>
      </c>
      <c r="AU496" s="180"/>
      <c r="AV496" s="180"/>
      <c r="AW496" s="180"/>
      <c r="AX496" s="180"/>
      <c r="AY496" s="180"/>
      <c r="AZ496" s="180"/>
      <c r="BA496" s="180"/>
    </row>
    <row r="497" spans="1:53" s="193" customFormat="1">
      <c r="A497" s="313"/>
      <c r="B497" s="371" t="s">
        <v>1437</v>
      </c>
      <c r="C497" s="47"/>
      <c r="D497" s="47"/>
      <c r="E497" s="319"/>
      <c r="F497" s="646"/>
      <c r="G497" s="4"/>
      <c r="H497" s="47"/>
      <c r="I497" s="47"/>
      <c r="J497" s="319"/>
      <c r="K497" s="646"/>
      <c r="L497" s="4"/>
      <c r="M497" s="47"/>
      <c r="N497" s="47"/>
      <c r="O497" s="319"/>
      <c r="P497" s="646"/>
      <c r="Q497" s="4"/>
      <c r="R497" s="1607"/>
      <c r="S497" s="1607"/>
      <c r="T497" s="1607"/>
      <c r="U497" s="1607"/>
      <c r="V497" s="4"/>
      <c r="W497" s="1607"/>
      <c r="X497" s="1607"/>
      <c r="Y497" s="1607"/>
      <c r="Z497" s="1607"/>
      <c r="AA497" s="328">
        <f t="shared" si="108"/>
        <v>0</v>
      </c>
      <c r="AB497" s="298">
        <f t="shared" si="109"/>
        <v>0</v>
      </c>
      <c r="AC497" s="4"/>
      <c r="AD497" s="47"/>
      <c r="AE497" s="47"/>
      <c r="AF497" s="319"/>
      <c r="AG497" s="4"/>
      <c r="AH497" s="47"/>
      <c r="AI497" s="47"/>
      <c r="AJ497" s="319"/>
      <c r="AK497" s="328">
        <f t="shared" si="107"/>
        <v>0</v>
      </c>
      <c r="AL497" s="4"/>
      <c r="AM497" s="255"/>
      <c r="AN497" s="180"/>
      <c r="AO497" s="192"/>
      <c r="AP497" s="196"/>
      <c r="AU497" s="180"/>
      <c r="AV497" s="180"/>
      <c r="AW497" s="180"/>
      <c r="AX497" s="180"/>
      <c r="AY497" s="180"/>
      <c r="AZ497" s="180"/>
      <c r="BA497" s="180"/>
    </row>
    <row r="498" spans="1:53" s="193" customFormat="1">
      <c r="A498" s="313"/>
      <c r="B498" s="371" t="s">
        <v>1456</v>
      </c>
      <c r="C498" s="47"/>
      <c r="D498" s="47"/>
      <c r="E498" s="319"/>
      <c r="F498" s="646"/>
      <c r="G498" s="4"/>
      <c r="H498" s="47"/>
      <c r="I498" s="47"/>
      <c r="J498" s="319"/>
      <c r="K498" s="646"/>
      <c r="L498" s="4"/>
      <c r="M498" s="47"/>
      <c r="N498" s="47"/>
      <c r="O498" s="319"/>
      <c r="P498" s="646"/>
      <c r="Q498" s="4"/>
      <c r="R498" s="1607"/>
      <c r="S498" s="1607"/>
      <c r="T498" s="1607"/>
      <c r="U498" s="1607"/>
      <c r="V498" s="4"/>
      <c r="W498" s="1607"/>
      <c r="X498" s="1607"/>
      <c r="Y498" s="1607"/>
      <c r="Z498" s="1607"/>
      <c r="AA498" s="328">
        <f t="shared" si="108"/>
        <v>0</v>
      </c>
      <c r="AB498" s="298">
        <f t="shared" si="109"/>
        <v>0</v>
      </c>
      <c r="AC498" s="4"/>
      <c r="AD498" s="47"/>
      <c r="AE498" s="47"/>
      <c r="AF498" s="319"/>
      <c r="AG498" s="4"/>
      <c r="AH498" s="47"/>
      <c r="AI498" s="47"/>
      <c r="AJ498" s="319"/>
      <c r="AK498" s="328">
        <f t="shared" si="107"/>
        <v>0</v>
      </c>
      <c r="AL498" s="4"/>
      <c r="AM498" s="255"/>
      <c r="AN498" s="180"/>
      <c r="AO498" s="192"/>
      <c r="AP498" s="196"/>
      <c r="AU498" s="180"/>
      <c r="AV498" s="180"/>
      <c r="AW498" s="180"/>
      <c r="AX498" s="180"/>
      <c r="AY498" s="180"/>
      <c r="AZ498" s="180"/>
      <c r="BA498" s="180"/>
    </row>
    <row r="499" spans="1:53" s="193" customFormat="1">
      <c r="A499" s="313"/>
      <c r="B499" s="371" t="s">
        <v>1143</v>
      </c>
      <c r="C499" s="47"/>
      <c r="D499" s="47"/>
      <c r="E499" s="319"/>
      <c r="F499" s="646"/>
      <c r="G499" s="4"/>
      <c r="H499" s="47"/>
      <c r="I499" s="47"/>
      <c r="J499" s="319"/>
      <c r="K499" s="646"/>
      <c r="L499" s="4"/>
      <c r="M499" s="47"/>
      <c r="N499" s="47"/>
      <c r="O499" s="319"/>
      <c r="P499" s="646"/>
      <c r="Q499" s="4"/>
      <c r="R499" s="1607"/>
      <c r="S499" s="1607"/>
      <c r="T499" s="1607"/>
      <c r="U499" s="1607"/>
      <c r="V499" s="4"/>
      <c r="W499" s="1607"/>
      <c r="X499" s="1607"/>
      <c r="Y499" s="1607"/>
      <c r="Z499" s="1607"/>
      <c r="AA499" s="328">
        <f t="shared" si="108"/>
        <v>0</v>
      </c>
      <c r="AB499" s="298">
        <f t="shared" si="109"/>
        <v>0</v>
      </c>
      <c r="AC499" s="4"/>
      <c r="AD499" s="47"/>
      <c r="AE499" s="47"/>
      <c r="AF499" s="319"/>
      <c r="AG499" s="4"/>
      <c r="AH499" s="47"/>
      <c r="AI499" s="47"/>
      <c r="AJ499" s="319"/>
      <c r="AK499" s="328">
        <f t="shared" si="107"/>
        <v>0</v>
      </c>
      <c r="AL499" s="4"/>
      <c r="AM499" s="255"/>
      <c r="AN499" s="180"/>
      <c r="AO499" s="192"/>
      <c r="AP499" s="196"/>
      <c r="AU499" s="180"/>
      <c r="AV499" s="180"/>
      <c r="AW499" s="180"/>
      <c r="AX499" s="180"/>
      <c r="AY499" s="180"/>
      <c r="AZ499" s="180"/>
      <c r="BA499" s="180"/>
    </row>
    <row r="500" spans="1:53" s="193" customFormat="1">
      <c r="A500" s="313"/>
      <c r="B500" s="47" t="s">
        <v>1144</v>
      </c>
      <c r="C500" s="47"/>
      <c r="D500" s="47"/>
      <c r="E500" s="319"/>
      <c r="F500" s="646"/>
      <c r="G500" s="4"/>
      <c r="H500" s="47"/>
      <c r="I500" s="47"/>
      <c r="J500" s="319"/>
      <c r="K500" s="646"/>
      <c r="L500" s="4"/>
      <c r="M500" s="47"/>
      <c r="N500" s="47"/>
      <c r="O500" s="319"/>
      <c r="P500" s="646"/>
      <c r="Q500" s="4"/>
      <c r="R500" s="1607"/>
      <c r="S500" s="1607"/>
      <c r="T500" s="1607"/>
      <c r="U500" s="1607"/>
      <c r="V500" s="4"/>
      <c r="W500" s="1607"/>
      <c r="X500" s="1607"/>
      <c r="Y500" s="1607"/>
      <c r="Z500" s="1607"/>
      <c r="AA500" s="328">
        <f t="shared" si="108"/>
        <v>0</v>
      </c>
      <c r="AB500" s="298">
        <f t="shared" si="109"/>
        <v>0</v>
      </c>
      <c r="AC500" s="4"/>
      <c r="AD500" s="47"/>
      <c r="AE500" s="47"/>
      <c r="AF500" s="319"/>
      <c r="AG500" s="4"/>
      <c r="AH500" s="47"/>
      <c r="AI500" s="326"/>
      <c r="AJ500" s="319"/>
      <c r="AK500" s="328">
        <f t="shared" si="107"/>
        <v>0</v>
      </c>
      <c r="AL500" s="4"/>
      <c r="AM500" s="255"/>
      <c r="AN500" s="180"/>
      <c r="AO500" s="192"/>
      <c r="AP500" s="196"/>
      <c r="AU500" s="180"/>
      <c r="AV500" s="180"/>
      <c r="AW500" s="180"/>
      <c r="AX500" s="180"/>
      <c r="AY500" s="180"/>
      <c r="AZ500" s="180"/>
      <c r="BA500" s="180"/>
    </row>
    <row r="501" spans="1:53" s="193" customFormat="1">
      <c r="A501" s="313"/>
      <c r="B501" s="523" t="s">
        <v>1440</v>
      </c>
      <c r="C501" s="47"/>
      <c r="D501" s="47"/>
      <c r="E501" s="319"/>
      <c r="F501" s="646"/>
      <c r="G501" s="4"/>
      <c r="H501" s="47"/>
      <c r="I501" s="47"/>
      <c r="J501" s="319"/>
      <c r="K501" s="646"/>
      <c r="L501" s="4"/>
      <c r="M501" s="47"/>
      <c r="N501" s="47"/>
      <c r="O501" s="319"/>
      <c r="P501" s="646"/>
      <c r="Q501" s="4"/>
      <c r="R501" s="1607"/>
      <c r="S501" s="1607"/>
      <c r="T501" s="1607"/>
      <c r="U501" s="1607"/>
      <c r="V501" s="4"/>
      <c r="W501" s="1607"/>
      <c r="X501" s="1607"/>
      <c r="Y501" s="1607"/>
      <c r="Z501" s="1607"/>
      <c r="AA501" s="328">
        <f t="shared" si="108"/>
        <v>0</v>
      </c>
      <c r="AB501" s="298">
        <f t="shared" si="109"/>
        <v>0</v>
      </c>
      <c r="AC501" s="4"/>
      <c r="AD501" s="47"/>
      <c r="AE501" s="47"/>
      <c r="AF501" s="319"/>
      <c r="AG501" s="4"/>
      <c r="AH501" s="47"/>
      <c r="AI501" s="326"/>
      <c r="AJ501" s="319"/>
      <c r="AK501" s="328">
        <f t="shared" si="107"/>
        <v>0</v>
      </c>
      <c r="AL501" s="4"/>
      <c r="AM501" s="255"/>
      <c r="AN501" s="180"/>
      <c r="AO501" s="192"/>
      <c r="AP501" s="196"/>
      <c r="AU501" s="180"/>
      <c r="AV501" s="180"/>
      <c r="AW501" s="180"/>
      <c r="AX501" s="180"/>
      <c r="AY501" s="180"/>
      <c r="AZ501" s="180"/>
      <c r="BA501" s="180"/>
    </row>
    <row r="502" spans="1:53" s="193" customFormat="1">
      <c r="A502" s="313"/>
      <c r="B502" s="371" t="s">
        <v>1435</v>
      </c>
      <c r="C502" s="47"/>
      <c r="D502" s="47"/>
      <c r="E502" s="319"/>
      <c r="F502" s="646"/>
      <c r="G502" s="4"/>
      <c r="H502" s="47"/>
      <c r="I502" s="47"/>
      <c r="J502" s="319"/>
      <c r="K502" s="646"/>
      <c r="L502" s="4"/>
      <c r="M502" s="47"/>
      <c r="N502" s="47"/>
      <c r="O502" s="319"/>
      <c r="P502" s="646"/>
      <c r="Q502" s="4"/>
      <c r="R502" s="1607"/>
      <c r="S502" s="1607"/>
      <c r="T502" s="1607"/>
      <c r="U502" s="1607"/>
      <c r="V502" s="4"/>
      <c r="W502" s="1607"/>
      <c r="X502" s="1607"/>
      <c r="Y502" s="1607"/>
      <c r="Z502" s="1607"/>
      <c r="AA502" s="328">
        <f t="shared" si="108"/>
        <v>0</v>
      </c>
      <c r="AB502" s="298">
        <f t="shared" si="109"/>
        <v>0</v>
      </c>
      <c r="AC502" s="4"/>
      <c r="AD502" s="47"/>
      <c r="AE502" s="326"/>
      <c r="AF502" s="319"/>
      <c r="AG502" s="4"/>
      <c r="AH502" s="47"/>
      <c r="AI502" s="47"/>
      <c r="AJ502" s="319"/>
      <c r="AK502" s="328">
        <f t="shared" si="107"/>
        <v>0</v>
      </c>
      <c r="AL502" s="4"/>
      <c r="AM502" s="255"/>
      <c r="AN502" s="180"/>
      <c r="AO502" s="192"/>
      <c r="AP502" s="196"/>
      <c r="AU502" s="180"/>
      <c r="AV502" s="180"/>
      <c r="AW502" s="180"/>
      <c r="AX502" s="180"/>
      <c r="AY502" s="180"/>
      <c r="AZ502" s="180"/>
      <c r="BA502" s="180"/>
    </row>
    <row r="503" spans="1:53" s="193" customFormat="1">
      <c r="A503" s="313"/>
      <c r="B503" s="371" t="s">
        <v>813</v>
      </c>
      <c r="C503" s="47"/>
      <c r="D503" s="47"/>
      <c r="E503" s="319"/>
      <c r="F503" s="646"/>
      <c r="G503" s="4"/>
      <c r="H503" s="935">
        <v>0.375</v>
      </c>
      <c r="I503" s="935">
        <v>0.20833333333333334</v>
      </c>
      <c r="J503" s="319">
        <v>8</v>
      </c>
      <c r="K503" s="646"/>
      <c r="L503" s="4"/>
      <c r="M503" s="935">
        <v>0.375</v>
      </c>
      <c r="N503" s="935">
        <v>0.20833333333333334</v>
      </c>
      <c r="O503" s="319">
        <v>8</v>
      </c>
      <c r="P503" s="646"/>
      <c r="Q503" s="4"/>
      <c r="R503" s="1607"/>
      <c r="S503" s="1607"/>
      <c r="T503" s="1607"/>
      <c r="U503" s="1607"/>
      <c r="V503" s="4"/>
      <c r="W503" s="1607"/>
      <c r="X503" s="1607"/>
      <c r="Y503" s="1607"/>
      <c r="Z503" s="1607"/>
      <c r="AA503" s="328">
        <f t="shared" si="108"/>
        <v>16</v>
      </c>
      <c r="AB503" s="298">
        <f t="shared" si="109"/>
        <v>0</v>
      </c>
      <c r="AC503" s="4"/>
      <c r="AD503" s="47"/>
      <c r="AE503" s="47"/>
      <c r="AF503" s="319"/>
      <c r="AG503" s="4"/>
      <c r="AH503" s="47"/>
      <c r="AI503" s="47"/>
      <c r="AJ503" s="319"/>
      <c r="AK503" s="328">
        <f t="shared" si="107"/>
        <v>0</v>
      </c>
      <c r="AL503" s="4"/>
      <c r="AM503" s="255"/>
      <c r="AN503" s="180"/>
      <c r="AO503" s="192"/>
      <c r="AP503" s="196"/>
      <c r="AU503" s="180"/>
      <c r="AV503" s="180"/>
      <c r="AW503" s="180"/>
      <c r="AX503" s="180"/>
      <c r="AY503" s="180"/>
      <c r="AZ503" s="180"/>
      <c r="BA503" s="180"/>
    </row>
    <row r="504" spans="1:53" s="180" customFormat="1">
      <c r="A504" s="313"/>
      <c r="B504" s="738" t="s">
        <v>61</v>
      </c>
      <c r="C504" s="739"/>
      <c r="D504" s="739"/>
      <c r="E504" s="740"/>
      <c r="F504" s="646"/>
      <c r="G504" s="739"/>
      <c r="H504" s="739"/>
      <c r="I504" s="739"/>
      <c r="J504" s="740"/>
      <c r="K504" s="646"/>
      <c r="L504" s="739"/>
      <c r="M504" s="739"/>
      <c r="N504" s="739"/>
      <c r="O504" s="740"/>
      <c r="P504" s="646"/>
      <c r="Q504" s="739"/>
      <c r="R504" s="739"/>
      <c r="S504" s="739"/>
      <c r="T504" s="740"/>
      <c r="U504" s="646"/>
      <c r="V504" s="739"/>
      <c r="W504" s="739"/>
      <c r="X504" s="739"/>
      <c r="Y504" s="740"/>
      <c r="Z504" s="646"/>
      <c r="AA504" s="370">
        <f>SUM(AA489:AA503)</f>
        <v>24</v>
      </c>
      <c r="AB504" s="608">
        <f>SUM(AB489:AB496)</f>
        <v>0</v>
      </c>
      <c r="AC504" s="4"/>
      <c r="AD504" s="738"/>
      <c r="AE504" s="738"/>
      <c r="AF504" s="370"/>
      <c r="AG504" s="4"/>
      <c r="AH504" s="738"/>
      <c r="AI504" s="738"/>
      <c r="AJ504" s="370"/>
      <c r="AK504" s="370">
        <f>SUM(AK489:AK502)</f>
        <v>0</v>
      </c>
      <c r="AL504" s="4"/>
      <c r="AM504" s="255"/>
      <c r="AO504" s="407"/>
      <c r="AP504" s="193"/>
      <c r="AQ504" s="193"/>
      <c r="AR504" s="193"/>
      <c r="AS504" s="193"/>
      <c r="AT504" s="193"/>
    </row>
    <row r="505" spans="1:53" s="180" customFormat="1">
      <c r="A505" s="313"/>
      <c r="B505" s="741" t="s">
        <v>64</v>
      </c>
      <c r="C505" s="47"/>
      <c r="D505" s="47"/>
      <c r="E505" s="319"/>
      <c r="F505" s="346"/>
      <c r="G505" s="613"/>
      <c r="H505" s="47"/>
      <c r="I505" s="47"/>
      <c r="J505" s="319"/>
      <c r="K505" s="346"/>
      <c r="L505" s="60"/>
      <c r="M505" s="47"/>
      <c r="N505" s="47"/>
      <c r="O505" s="319"/>
      <c r="P505" s="346"/>
      <c r="Q505" s="60"/>
      <c r="R505" s="47"/>
      <c r="S505" s="47"/>
      <c r="T505" s="319"/>
      <c r="U505" s="346"/>
      <c r="V505" s="60"/>
      <c r="W505" s="47"/>
      <c r="X505" s="47"/>
      <c r="Y505" s="319"/>
      <c r="Z505" s="346"/>
      <c r="AA505" s="28">
        <f>SUM(E505+J505+O505)</f>
        <v>0</v>
      </c>
      <c r="AB505" s="296">
        <f>Z505+U505+P505+K505+F505</f>
        <v>0</v>
      </c>
      <c r="AC505" s="4"/>
      <c r="AD505" s="47"/>
      <c r="AE505" s="47"/>
      <c r="AF505" s="319"/>
      <c r="AG505" s="4"/>
      <c r="AH505" s="47"/>
      <c r="AI505" s="47"/>
      <c r="AJ505" s="319"/>
      <c r="AK505" s="29">
        <f>AJ505+AF505</f>
        <v>0</v>
      </c>
      <c r="AL505" s="4"/>
      <c r="AM505" s="255"/>
      <c r="AO505" s="407"/>
      <c r="AP505" s="193"/>
      <c r="AQ505" s="193"/>
      <c r="AR505" s="193"/>
      <c r="AS505" s="193"/>
      <c r="AT505" s="193"/>
    </row>
    <row r="506" spans="1:53" s="180" customFormat="1">
      <c r="A506" s="313"/>
      <c r="B506" s="71" t="s">
        <v>66</v>
      </c>
      <c r="C506" s="371"/>
      <c r="D506" s="371"/>
      <c r="E506" s="71"/>
      <c r="F506" s="613"/>
      <c r="G506" s="71"/>
      <c r="H506" s="71"/>
      <c r="I506" s="71"/>
      <c r="J506" s="71"/>
      <c r="K506" s="613"/>
      <c r="L506" s="71"/>
      <c r="M506" s="71"/>
      <c r="N506" s="71"/>
      <c r="O506" s="71"/>
      <c r="P506" s="613"/>
      <c r="Q506" s="71"/>
      <c r="R506" s="71"/>
      <c r="S506" s="71"/>
      <c r="T506" s="71"/>
      <c r="U506" s="613"/>
      <c r="V506" s="71"/>
      <c r="W506" s="71"/>
      <c r="X506" s="71"/>
      <c r="Y506" s="71"/>
      <c r="Z506" s="613"/>
      <c r="AA506" s="370">
        <f>SUM(AA505)</f>
        <v>0</v>
      </c>
      <c r="AB506" s="370">
        <f>SUM(AB505:AB505)</f>
        <v>0</v>
      </c>
      <c r="AC506" s="4"/>
      <c r="AG506" s="4"/>
      <c r="AK506" s="370">
        <f>SUM(AK505:AK505)</f>
        <v>0</v>
      </c>
      <c r="AL506" s="4"/>
      <c r="AM506" s="255"/>
      <c r="AO506" s="407"/>
      <c r="AP506" s="193"/>
      <c r="AQ506" s="193"/>
      <c r="AR506" s="193"/>
      <c r="AS506" s="193"/>
      <c r="AT506" s="193"/>
    </row>
    <row r="507" spans="1:53" s="180" customFormat="1">
      <c r="A507" s="313"/>
      <c r="B507" s="217" t="s">
        <v>67</v>
      </c>
      <c r="C507" s="207">
        <v>0</v>
      </c>
      <c r="D507" s="207"/>
      <c r="E507" s="209"/>
      <c r="F507" s="209"/>
      <c r="G507" s="207"/>
      <c r="H507" s="209"/>
      <c r="I507" s="209"/>
      <c r="J507" s="209"/>
      <c r="K507" s="209"/>
      <c r="L507" s="207"/>
      <c r="M507" s="207"/>
      <c r="N507" s="207"/>
      <c r="O507" s="207"/>
      <c r="P507" s="209"/>
      <c r="Q507" s="207"/>
      <c r="R507" s="207"/>
      <c r="S507" s="207"/>
      <c r="T507" s="207"/>
      <c r="U507" s="209"/>
      <c r="V507" s="207"/>
      <c r="W507" s="207"/>
      <c r="X507" s="207"/>
      <c r="Y507" s="210"/>
      <c r="Z507" s="209"/>
      <c r="AA507" s="211"/>
      <c r="AB507" s="209"/>
      <c r="AC507" s="211"/>
      <c r="AD507" s="211"/>
      <c r="AE507" s="211"/>
      <c r="AF507" s="211"/>
      <c r="AG507" s="4"/>
      <c r="AH507" s="211"/>
      <c r="AI507" s="211"/>
      <c r="AJ507" s="211"/>
      <c r="AK507" s="211"/>
      <c r="AL507" s="4"/>
      <c r="AM507" s="255"/>
      <c r="AO507" s="193"/>
      <c r="AP507" s="193"/>
      <c r="AQ507" s="193"/>
      <c r="AR507" s="193"/>
      <c r="AS507" s="193"/>
      <c r="AT507" s="193"/>
    </row>
    <row r="508" spans="1:53">
      <c r="B508" s="180"/>
      <c r="E508" s="4"/>
      <c r="F508" s="644"/>
      <c r="G508" s="4"/>
      <c r="J508" s="4"/>
      <c r="K508" s="644"/>
      <c r="L508" s="4"/>
      <c r="O508" s="4"/>
      <c r="P508" s="644"/>
      <c r="T508" s="4"/>
      <c r="U508" s="644"/>
      <c r="Y508" s="4"/>
      <c r="Z508" s="644"/>
      <c r="AA508" s="4"/>
      <c r="AB508" s="4"/>
      <c r="AC508" s="4"/>
    </row>
    <row r="509" spans="1:53">
      <c r="B509" s="180"/>
      <c r="E509" s="4"/>
      <c r="F509" s="644"/>
      <c r="G509" s="4"/>
      <c r="J509" s="4"/>
      <c r="K509" s="644"/>
      <c r="L509" s="4"/>
      <c r="O509" s="4"/>
      <c r="P509" s="644"/>
      <c r="T509" s="4"/>
      <c r="U509" s="644"/>
      <c r="Y509" s="4"/>
      <c r="Z509" s="644"/>
      <c r="AA509" s="4"/>
      <c r="AB509" s="4"/>
      <c r="AC509" s="4"/>
    </row>
    <row r="510" spans="1:53">
      <c r="B510" s="180"/>
      <c r="E510" s="4"/>
      <c r="F510" s="644"/>
      <c r="G510" s="4"/>
      <c r="J510" s="4"/>
      <c r="K510" s="644"/>
      <c r="L510" s="4"/>
      <c r="O510" s="4"/>
      <c r="P510" s="644"/>
      <c r="T510" s="4"/>
      <c r="U510" s="644"/>
      <c r="Y510" s="4"/>
      <c r="Z510" s="644"/>
      <c r="AA510" s="4"/>
      <c r="AB510" s="4"/>
      <c r="AC510" s="4"/>
    </row>
    <row r="511" spans="1:53">
      <c r="B511" s="180"/>
      <c r="E511" s="4"/>
      <c r="F511" s="644"/>
      <c r="G511" s="4"/>
      <c r="J511" s="4"/>
      <c r="K511" s="644"/>
      <c r="L511" s="4"/>
      <c r="O511" s="4"/>
      <c r="P511" s="644"/>
      <c r="T511" s="4"/>
      <c r="U511" s="644"/>
      <c r="Y511" s="4"/>
      <c r="Z511" s="644"/>
      <c r="AA511" s="4"/>
      <c r="AB511" s="4"/>
      <c r="AC511" s="4"/>
    </row>
    <row r="512" spans="1:53">
      <c r="B512" s="180"/>
      <c r="E512" s="4"/>
      <c r="F512" s="644"/>
      <c r="G512" s="4"/>
      <c r="J512" s="4"/>
      <c r="K512" s="644"/>
      <c r="L512" s="4"/>
      <c r="O512" s="4"/>
      <c r="P512" s="644"/>
      <c r="T512" s="4"/>
      <c r="U512" s="644"/>
      <c r="Y512" s="4"/>
      <c r="Z512" s="644"/>
      <c r="AA512" s="4"/>
      <c r="AB512" s="4"/>
      <c r="AC512" s="4"/>
    </row>
    <row r="513" spans="2:34">
      <c r="B513" s="180"/>
      <c r="C513" s="939" t="s">
        <v>14</v>
      </c>
      <c r="E513" s="4"/>
      <c r="F513" s="644"/>
      <c r="G513" s="4"/>
      <c r="J513" s="4"/>
      <c r="K513" s="644"/>
      <c r="L513" s="4"/>
      <c r="O513" s="4"/>
      <c r="P513" s="644"/>
      <c r="T513" s="4"/>
      <c r="U513" s="644"/>
      <c r="Y513" s="4"/>
      <c r="Z513" s="644"/>
      <c r="AA513" s="4"/>
      <c r="AB513" s="4"/>
      <c r="AC513" s="4"/>
    </row>
    <row r="514" spans="2:34">
      <c r="B514" s="180"/>
      <c r="E514" s="4"/>
      <c r="F514" s="644"/>
      <c r="G514" s="4"/>
      <c r="J514" s="4"/>
      <c r="K514" s="644"/>
      <c r="L514" s="4"/>
      <c r="O514" s="4"/>
      <c r="P514" s="644"/>
      <c r="T514" s="4"/>
      <c r="U514" s="644"/>
      <c r="Y514" s="4" t="s">
        <v>1460</v>
      </c>
      <c r="Z514" s="644"/>
      <c r="AA514" s="4" t="s">
        <v>1461</v>
      </c>
      <c r="AB514" s="4"/>
      <c r="AC514" s="4"/>
    </row>
    <row r="515" spans="2:34">
      <c r="B515" s="180"/>
      <c r="C515" s="67" t="s">
        <v>1462</v>
      </c>
      <c r="D515" s="67" t="s">
        <v>1463</v>
      </c>
      <c r="E515" s="594" t="s">
        <v>1464</v>
      </c>
      <c r="F515" s="67"/>
      <c r="G515" s="4"/>
      <c r="H515" s="737"/>
      <c r="J515" s="4"/>
      <c r="K515" s="644"/>
      <c r="L515" s="4"/>
      <c r="O515" s="4"/>
      <c r="P515" s="644"/>
      <c r="T515" s="4"/>
      <c r="U515" s="644"/>
      <c r="Y515" s="4" t="s">
        <v>1465</v>
      </c>
      <c r="Z515" s="644"/>
      <c r="AA515" s="4" t="s">
        <v>1466</v>
      </c>
      <c r="AB515" s="4"/>
      <c r="AC515" s="4"/>
    </row>
    <row r="516" spans="2:34">
      <c r="B516" s="937">
        <v>45978</v>
      </c>
      <c r="C516" s="4">
        <f>E481+F481</f>
        <v>2</v>
      </c>
      <c r="D516" s="4"/>
      <c r="E516" s="4"/>
      <c r="F516" s="644"/>
      <c r="G516" s="4"/>
      <c r="J516" s="4"/>
      <c r="K516" s="644"/>
      <c r="L516" s="4"/>
      <c r="O516" s="4"/>
      <c r="P516" s="644"/>
      <c r="T516" s="4"/>
      <c r="U516" s="644"/>
      <c r="Y516" s="4" t="s">
        <v>1467</v>
      </c>
      <c r="Z516" s="644"/>
      <c r="AA516" s="4" t="s">
        <v>1468</v>
      </c>
      <c r="AB516" s="4"/>
      <c r="AC516" s="4"/>
    </row>
    <row r="517" spans="2:34">
      <c r="B517" s="937">
        <v>45979</v>
      </c>
      <c r="C517" s="4">
        <f>J481+K481</f>
        <v>2</v>
      </c>
      <c r="D517" s="938">
        <v>1</v>
      </c>
      <c r="E517" s="4"/>
      <c r="F517" s="644"/>
      <c r="G517" s="4"/>
      <c r="J517" s="4"/>
      <c r="K517" s="644"/>
      <c r="L517" s="4"/>
      <c r="O517" s="4"/>
      <c r="P517" s="644"/>
      <c r="T517" s="4"/>
      <c r="U517" s="644"/>
      <c r="Y517" s="4" t="s">
        <v>1469</v>
      </c>
      <c r="Z517" s="644"/>
      <c r="AA517" s="4" t="s">
        <v>1470</v>
      </c>
      <c r="AB517" s="4"/>
      <c r="AC517" s="4"/>
    </row>
    <row r="518" spans="2:34">
      <c r="B518" s="937">
        <v>45980</v>
      </c>
      <c r="C518" s="4">
        <f>O481+P481</f>
        <v>2</v>
      </c>
      <c r="D518" s="4"/>
      <c r="E518" s="4"/>
      <c r="F518" s="644"/>
      <c r="G518" s="4"/>
      <c r="J518" s="4"/>
      <c r="K518" s="644"/>
      <c r="L518" s="4"/>
      <c r="O518" s="4"/>
      <c r="P518" s="644"/>
      <c r="S518" s="4"/>
      <c r="T518" s="4"/>
      <c r="U518" s="644"/>
      <c r="Y518" s="4"/>
      <c r="Z518" s="644"/>
      <c r="AA518" s="4"/>
      <c r="AB518" s="4"/>
      <c r="AC518" s="4"/>
    </row>
    <row r="519" spans="2:34">
      <c r="B519" s="937">
        <v>45981</v>
      </c>
      <c r="C519" s="4">
        <f>T481+U481</f>
        <v>2</v>
      </c>
      <c r="D519" s="4"/>
      <c r="E519" s="4"/>
      <c r="F519" s="644"/>
      <c r="G519" s="4"/>
      <c r="J519" s="4"/>
      <c r="K519" s="644"/>
      <c r="L519" s="4"/>
      <c r="O519" s="4"/>
      <c r="P519" s="644"/>
      <c r="T519" s="4"/>
      <c r="U519" s="644"/>
      <c r="Y519" s="4"/>
      <c r="Z519" s="644"/>
      <c r="AA519" s="4"/>
      <c r="AB519" s="4"/>
      <c r="AC519" s="4"/>
    </row>
    <row r="520" spans="2:34">
      <c r="B520" s="937">
        <v>45982</v>
      </c>
      <c r="C520" s="4">
        <f>Y481+Z481</f>
        <v>2</v>
      </c>
      <c r="D520" s="4"/>
      <c r="E520" s="4"/>
      <c r="F520" s="644"/>
      <c r="G520" s="4"/>
      <c r="J520" s="4"/>
      <c r="K520" s="644"/>
      <c r="L520" s="4"/>
      <c r="O520" s="4"/>
      <c r="P520" s="644"/>
      <c r="T520" s="4"/>
      <c r="U520" s="644"/>
      <c r="Y520" s="4"/>
      <c r="Z520" s="644"/>
      <c r="AA520" s="4"/>
      <c r="AB520" s="4"/>
      <c r="AC520" s="4"/>
    </row>
    <row r="521" spans="2:34">
      <c r="B521" s="937">
        <v>45983</v>
      </c>
      <c r="C521" s="4">
        <f>AF481</f>
        <v>0</v>
      </c>
      <c r="D521" s="67"/>
      <c r="E521" s="67"/>
      <c r="F521" s="644"/>
      <c r="G521" s="4"/>
      <c r="J521" s="4"/>
      <c r="K521" s="644"/>
      <c r="L521" s="4"/>
      <c r="O521" s="4"/>
      <c r="P521" s="644"/>
      <c r="T521" s="4"/>
      <c r="U521" s="644"/>
      <c r="Z521" s="644"/>
      <c r="AA521" s="4"/>
      <c r="AB521" s="4"/>
      <c r="AC521" s="4"/>
    </row>
    <row r="522" spans="2:34">
      <c r="B522" s="937">
        <v>45984</v>
      </c>
      <c r="C522" s="4">
        <f>AJ481</f>
        <v>0</v>
      </c>
      <c r="D522" s="911"/>
      <c r="E522" s="67"/>
      <c r="F522" s="644"/>
      <c r="G522" s="4"/>
      <c r="J522" s="4"/>
      <c r="K522" s="644"/>
      <c r="L522" s="4"/>
      <c r="O522" s="4"/>
      <c r="P522" s="644"/>
      <c r="T522" s="4"/>
      <c r="U522" s="4"/>
      <c r="X522" s="933"/>
      <c r="Y522" s="441"/>
      <c r="Z522" s="441"/>
      <c r="AA522" s="441"/>
      <c r="AB522" s="441"/>
      <c r="AC522" s="441"/>
      <c r="AD522" s="933"/>
      <c r="AE522" s="933"/>
      <c r="AF522" s="933"/>
      <c r="AG522" s="441"/>
      <c r="AH522" s="933"/>
    </row>
    <row r="523" spans="2:34">
      <c r="B523" s="937">
        <v>45985</v>
      </c>
      <c r="C523" s="4"/>
      <c r="D523" s="4"/>
      <c r="E523" s="4"/>
      <c r="F523" s="644"/>
      <c r="G523" s="4"/>
      <c r="J523" s="4"/>
      <c r="K523" s="644"/>
      <c r="L523" s="4"/>
      <c r="O523" s="4"/>
      <c r="P523" s="644"/>
      <c r="T523" s="180"/>
      <c r="U523" s="180"/>
      <c r="Y523" s="180"/>
      <c r="Z523" s="180"/>
      <c r="AA523" s="180"/>
      <c r="AB523" s="441"/>
      <c r="AC523" s="441"/>
      <c r="AD523" s="933"/>
      <c r="AE523" s="933"/>
      <c r="AF523" s="933"/>
      <c r="AG523" s="441"/>
      <c r="AH523" s="933"/>
    </row>
    <row r="524" spans="2:34">
      <c r="B524" s="937">
        <v>45986</v>
      </c>
      <c r="C524" s="4"/>
      <c r="D524" s="4"/>
      <c r="E524" s="4"/>
      <c r="F524" s="644"/>
      <c r="G524" s="4"/>
      <c r="J524" s="4"/>
      <c r="K524" s="644"/>
      <c r="L524" s="4"/>
      <c r="O524" s="4"/>
      <c r="P524" s="644"/>
      <c r="T524" s="4"/>
      <c r="U524" s="4"/>
      <c r="W524" s="4"/>
      <c r="X524" s="4"/>
      <c r="Y524" s="4"/>
      <c r="Z524" s="441"/>
      <c r="AA524" s="441"/>
      <c r="AB524" s="441"/>
      <c r="AC524" s="441"/>
      <c r="AD524" s="933"/>
      <c r="AE524" s="933"/>
      <c r="AF524" s="933"/>
      <c r="AG524" s="441"/>
      <c r="AH524" s="933"/>
    </row>
    <row r="525" spans="2:34">
      <c r="B525" s="937">
        <v>45987</v>
      </c>
      <c r="C525" s="4"/>
      <c r="D525" s="4"/>
      <c r="E525" s="4"/>
      <c r="F525" s="644"/>
      <c r="G525" s="4"/>
      <c r="J525" s="4"/>
      <c r="K525" s="644"/>
      <c r="L525" s="4"/>
      <c r="O525" s="4"/>
      <c r="P525" s="644"/>
      <c r="T525" s="4"/>
      <c r="U525" s="4"/>
      <c r="W525" s="4"/>
      <c r="X525" s="4"/>
      <c r="Y525" s="4"/>
      <c r="Z525" s="441"/>
      <c r="AA525" s="441"/>
      <c r="AB525" s="4"/>
      <c r="AC525" s="441"/>
      <c r="AD525" s="4"/>
      <c r="AF525" s="933"/>
      <c r="AG525" s="441"/>
      <c r="AH525" s="933"/>
    </row>
    <row r="526" spans="2:34">
      <c r="B526" s="937">
        <v>45988</v>
      </c>
      <c r="C526" s="4"/>
      <c r="D526" s="4"/>
      <c r="E526" s="4"/>
      <c r="F526" s="644"/>
      <c r="G526" s="4"/>
      <c r="J526" s="4"/>
      <c r="K526" s="644"/>
      <c r="L526" s="4"/>
      <c r="O526" s="4"/>
      <c r="P526" s="644"/>
      <c r="T526" s="4"/>
      <c r="U526" s="4"/>
      <c r="X526" s="933"/>
      <c r="Y526" s="441"/>
      <c r="Z526" s="441"/>
      <c r="AA526" s="441"/>
      <c r="AB526" s="4"/>
      <c r="AC526" s="455"/>
      <c r="AD526" s="4"/>
      <c r="AF526" s="933"/>
      <c r="AG526" s="441"/>
      <c r="AH526" s="933"/>
    </row>
    <row r="527" spans="2:34">
      <c r="B527" s="937">
        <v>45989</v>
      </c>
      <c r="C527" s="4"/>
      <c r="D527" s="4"/>
      <c r="E527" s="4"/>
      <c r="F527" s="644"/>
      <c r="G527" s="4"/>
      <c r="J527" s="4"/>
      <c r="K527" s="644"/>
      <c r="L527" s="4"/>
      <c r="O527" s="4"/>
      <c r="P527" s="644"/>
      <c r="S527" s="47"/>
      <c r="T527" s="47"/>
      <c r="U527" s="47"/>
      <c r="W527" s="936"/>
      <c r="X527" s="933"/>
      <c r="Y527" s="441"/>
      <c r="Z527" s="441"/>
      <c r="AA527" s="441"/>
      <c r="AB527" s="4"/>
      <c r="AC527" s="441"/>
      <c r="AD527" s="4"/>
      <c r="AF527" s="933"/>
      <c r="AG527" s="441"/>
      <c r="AH527" s="933"/>
    </row>
    <row r="528" spans="2:34">
      <c r="B528" s="937">
        <v>45990</v>
      </c>
      <c r="C528" s="4"/>
      <c r="D528" s="67"/>
      <c r="E528" s="67"/>
      <c r="F528" s="644"/>
      <c r="G528" s="4"/>
      <c r="J528" s="4"/>
      <c r="K528" s="644"/>
      <c r="L528" s="4"/>
      <c r="O528" s="4"/>
      <c r="P528" s="644"/>
      <c r="T528" s="4"/>
      <c r="U528" s="441"/>
      <c r="X528" s="933"/>
      <c r="Y528" s="441"/>
      <c r="Z528" s="441"/>
      <c r="AA528" s="441"/>
      <c r="AB528" s="441"/>
      <c r="AC528" s="441"/>
      <c r="AD528" s="933"/>
      <c r="AE528" s="933"/>
      <c r="AF528" s="933"/>
      <c r="AG528" s="441"/>
      <c r="AH528" s="933"/>
    </row>
    <row r="529" spans="2:34">
      <c r="B529" s="937">
        <v>45991</v>
      </c>
      <c r="C529" s="4"/>
      <c r="D529" s="67"/>
      <c r="E529" s="67"/>
      <c r="F529" s="644"/>
      <c r="G529" s="4"/>
      <c r="J529" s="4"/>
      <c r="K529" s="644"/>
      <c r="L529" s="4"/>
      <c r="O529" s="4"/>
      <c r="P529" s="644"/>
      <c r="T529" s="4"/>
      <c r="U529" s="4"/>
      <c r="X529" s="933"/>
      <c r="Y529" s="441"/>
      <c r="Z529" s="441"/>
      <c r="AA529" s="441"/>
      <c r="AB529" s="441"/>
      <c r="AC529" s="441"/>
      <c r="AD529" s="933"/>
      <c r="AE529" s="933"/>
      <c r="AF529" s="933"/>
      <c r="AG529" s="441"/>
      <c r="AH529" s="933"/>
    </row>
    <row r="530" spans="2:34">
      <c r="B530" s="737"/>
      <c r="C530" s="4"/>
      <c r="D530" s="4"/>
      <c r="E530" s="4"/>
      <c r="F530" s="644"/>
      <c r="G530" s="4"/>
      <c r="H530" s="737"/>
      <c r="J530" s="4"/>
      <c r="K530" s="644"/>
      <c r="L530" s="4"/>
      <c r="O530" s="4"/>
      <c r="P530" s="644"/>
      <c r="T530" s="4"/>
      <c r="U530" s="441"/>
      <c r="X530" s="933"/>
      <c r="Y530" s="441"/>
      <c r="Z530" s="441"/>
      <c r="AA530" s="441"/>
      <c r="AB530" s="441"/>
      <c r="AC530" s="441"/>
      <c r="AD530" s="933"/>
      <c r="AE530" s="933"/>
      <c r="AF530" s="933"/>
      <c r="AG530" s="441"/>
      <c r="AH530" s="933"/>
    </row>
    <row r="531" spans="2:34">
      <c r="B531" s="180"/>
      <c r="D531" s="4"/>
      <c r="E531" s="644"/>
      <c r="F531" s="644"/>
      <c r="G531" s="4"/>
      <c r="I531" s="4"/>
      <c r="J531" s="644"/>
      <c r="K531" s="644"/>
      <c r="L531" s="4"/>
      <c r="O531" s="4"/>
      <c r="P531" s="644"/>
      <c r="T531" s="4"/>
      <c r="U531" s="441"/>
      <c r="X531" s="933"/>
      <c r="Y531" s="441"/>
      <c r="Z531" s="934"/>
      <c r="AA531" s="441"/>
      <c r="AB531" s="441"/>
      <c r="AC531" s="441"/>
      <c r="AD531" s="933"/>
      <c r="AE531" s="933"/>
      <c r="AF531" s="933"/>
      <c r="AG531" s="441"/>
      <c r="AH531" s="933"/>
    </row>
    <row r="532" spans="2:34">
      <c r="B532" s="180"/>
      <c r="E532" s="4"/>
      <c r="F532" s="644"/>
      <c r="G532" s="4"/>
      <c r="J532" s="4"/>
      <c r="K532" s="644"/>
      <c r="L532" s="4"/>
      <c r="O532" s="4"/>
      <c r="P532" s="644"/>
      <c r="T532" s="4"/>
      <c r="U532" s="644"/>
      <c r="X532" s="933"/>
      <c r="Y532" s="441"/>
      <c r="Z532" s="934"/>
      <c r="AA532" s="441"/>
      <c r="AB532" s="441"/>
      <c r="AC532" s="441"/>
      <c r="AD532" s="933"/>
      <c r="AE532" s="933"/>
      <c r="AF532" s="933"/>
      <c r="AG532" s="441"/>
      <c r="AH532" s="933"/>
    </row>
    <row r="533" spans="2:34">
      <c r="B533" s="180"/>
      <c r="E533" s="4"/>
      <c r="F533" s="644"/>
      <c r="G533" s="4"/>
      <c r="J533" s="4"/>
      <c r="K533" s="644"/>
      <c r="L533" s="4"/>
      <c r="O533" s="4"/>
      <c r="P533" s="644"/>
      <c r="T533" s="4"/>
      <c r="U533" s="441"/>
      <c r="X533" s="933"/>
      <c r="Y533" s="441"/>
      <c r="Z533" s="934"/>
      <c r="AA533" s="441"/>
      <c r="AB533" s="441"/>
      <c r="AC533" s="441"/>
      <c r="AD533" s="933"/>
      <c r="AE533" s="933"/>
      <c r="AF533" s="933"/>
      <c r="AG533" s="441"/>
      <c r="AH533" s="933"/>
    </row>
    <row r="534" spans="2:34">
      <c r="B534" s="180"/>
      <c r="E534" s="4"/>
      <c r="F534" s="644"/>
      <c r="G534" s="4"/>
      <c r="J534" s="4"/>
      <c r="K534" s="644"/>
      <c r="L534" s="4"/>
      <c r="O534" s="4"/>
      <c r="P534" s="644"/>
      <c r="T534" s="4"/>
      <c r="U534" s="441"/>
      <c r="X534" s="933"/>
      <c r="Y534" s="441"/>
      <c r="Z534" s="934"/>
      <c r="AA534" s="441"/>
      <c r="AB534" s="441"/>
      <c r="AC534" s="441"/>
      <c r="AD534" s="933"/>
      <c r="AE534" s="933"/>
      <c r="AF534" s="933"/>
      <c r="AG534" s="441"/>
      <c r="AH534" s="933"/>
    </row>
    <row r="535" spans="2:34">
      <c r="B535" s="180"/>
      <c r="E535" s="4"/>
      <c r="F535" s="644"/>
      <c r="G535" s="4"/>
      <c r="J535" s="4"/>
      <c r="K535" s="644"/>
      <c r="L535" s="4"/>
      <c r="O535" s="4"/>
      <c r="P535" s="644"/>
      <c r="T535" s="4"/>
      <c r="U535" s="644"/>
      <c r="X535" s="933"/>
      <c r="Y535" s="441"/>
      <c r="Z535" s="934"/>
      <c r="AA535" s="441"/>
      <c r="AB535" s="441"/>
      <c r="AC535" s="441"/>
      <c r="AD535" s="933"/>
      <c r="AE535" s="933"/>
      <c r="AF535" s="933"/>
      <c r="AG535" s="441"/>
      <c r="AH535" s="933"/>
    </row>
    <row r="536" spans="2:34">
      <c r="B536" s="180"/>
      <c r="E536" s="4"/>
      <c r="F536" s="644"/>
      <c r="G536" s="4"/>
      <c r="J536" s="4"/>
      <c r="K536" s="644"/>
      <c r="L536" s="4"/>
      <c r="O536" s="4"/>
      <c r="P536" s="644"/>
      <c r="T536" s="4"/>
      <c r="U536" s="644"/>
      <c r="Y536" s="4"/>
      <c r="Z536" s="644"/>
      <c r="AA536" s="4"/>
      <c r="AB536" s="4"/>
      <c r="AC536" s="4"/>
    </row>
    <row r="537" spans="2:34">
      <c r="B537" s="180"/>
      <c r="E537" s="4"/>
      <c r="F537" s="644"/>
      <c r="G537" s="4"/>
      <c r="J537" s="4"/>
      <c r="K537" s="644"/>
      <c r="L537" s="4"/>
      <c r="O537" s="4"/>
      <c r="P537" s="644"/>
      <c r="T537" s="4"/>
      <c r="U537" s="644"/>
      <c r="Y537" s="4"/>
      <c r="Z537" s="644"/>
      <c r="AA537" s="4"/>
      <c r="AB537" s="4"/>
      <c r="AC537" s="4"/>
    </row>
    <row r="538" spans="2:34">
      <c r="B538" s="180"/>
      <c r="E538" s="4"/>
      <c r="F538" s="644"/>
      <c r="G538" s="4"/>
      <c r="J538" s="4"/>
      <c r="K538" s="644"/>
      <c r="L538" s="4"/>
      <c r="O538" s="4"/>
      <c r="P538" s="644"/>
      <c r="T538" s="4"/>
      <c r="U538" s="644"/>
      <c r="Y538" s="4"/>
      <c r="Z538" s="644"/>
      <c r="AA538" s="4"/>
      <c r="AB538" s="4"/>
      <c r="AC538" s="4"/>
    </row>
    <row r="539" spans="2:34">
      <c r="B539" s="180"/>
      <c r="E539" s="4"/>
      <c r="F539" s="644"/>
      <c r="G539" s="4"/>
      <c r="J539" s="4"/>
      <c r="K539" s="644"/>
      <c r="L539" s="4"/>
      <c r="O539" s="4"/>
      <c r="P539" s="644"/>
      <c r="T539" s="4"/>
      <c r="U539" s="644"/>
      <c r="Y539" s="4"/>
      <c r="Z539" s="644"/>
      <c r="AA539" s="4"/>
      <c r="AB539" s="4"/>
      <c r="AC539" s="4"/>
    </row>
    <row r="540" spans="2:34">
      <c r="B540" s="180"/>
      <c r="E540" s="4"/>
      <c r="F540" s="644"/>
      <c r="G540" s="4"/>
      <c r="J540" s="4"/>
      <c r="K540" s="644"/>
      <c r="L540" s="4"/>
      <c r="O540" s="4"/>
      <c r="P540" s="644"/>
      <c r="T540" s="4"/>
      <c r="U540" s="644"/>
      <c r="Y540" s="4"/>
      <c r="Z540" s="644"/>
      <c r="AA540" s="4"/>
      <c r="AB540" s="4"/>
      <c r="AC540" s="4"/>
    </row>
    <row r="541" spans="2:34">
      <c r="B541" s="180"/>
      <c r="E541" s="4"/>
      <c r="F541" s="644"/>
      <c r="G541" s="4"/>
      <c r="J541" s="4"/>
      <c r="K541" s="644"/>
      <c r="L541" s="4"/>
      <c r="O541" s="4"/>
      <c r="P541" s="644"/>
      <c r="T541" s="4"/>
      <c r="U541" s="644"/>
      <c r="Y541" s="4"/>
      <c r="Z541" s="644"/>
      <c r="AA541" s="4"/>
      <c r="AB541" s="4"/>
      <c r="AC541" s="4"/>
    </row>
    <row r="542" spans="2:34">
      <c r="B542" s="180"/>
      <c r="E542" s="4"/>
      <c r="F542" s="644"/>
      <c r="G542" s="4"/>
      <c r="J542" s="4"/>
      <c r="K542" s="644"/>
      <c r="L542" s="4"/>
      <c r="O542" s="4"/>
      <c r="P542" s="644"/>
      <c r="T542" s="4"/>
      <c r="U542" s="644"/>
      <c r="Y542" s="4"/>
      <c r="Z542" s="644"/>
      <c r="AA542" s="4"/>
      <c r="AB542" s="4"/>
      <c r="AC542" s="4"/>
    </row>
    <row r="543" spans="2:34">
      <c r="B543" s="180"/>
      <c r="E543" s="4"/>
      <c r="F543" s="644"/>
      <c r="G543" s="4"/>
      <c r="J543" s="4"/>
      <c r="K543" s="644"/>
      <c r="L543" s="4"/>
      <c r="O543" s="4"/>
      <c r="P543" s="644"/>
      <c r="T543" s="4"/>
      <c r="U543" s="644"/>
      <c r="Y543" s="4"/>
      <c r="Z543" s="644"/>
      <c r="AA543" s="4"/>
      <c r="AB543" s="4"/>
      <c r="AC543" s="4"/>
    </row>
  </sheetData>
  <mergeCells count="363">
    <mergeCell ref="W463:X463"/>
    <mergeCell ref="Y463:Z463"/>
    <mergeCell ref="AA463:AA464"/>
    <mergeCell ref="AB463:AB464"/>
    <mergeCell ref="AD463:AE463"/>
    <mergeCell ref="AH463:AI463"/>
    <mergeCell ref="AK463:AK464"/>
    <mergeCell ref="B463:B464"/>
    <mergeCell ref="C463:D463"/>
    <mergeCell ref="E463:F463"/>
    <mergeCell ref="H463:I463"/>
    <mergeCell ref="J463:K463"/>
    <mergeCell ref="M463:N463"/>
    <mergeCell ref="O463:P463"/>
    <mergeCell ref="R463:S463"/>
    <mergeCell ref="T463:U463"/>
    <mergeCell ref="W439:X439"/>
    <mergeCell ref="Y439:Z439"/>
    <mergeCell ref="AA439:AA440"/>
    <mergeCell ref="AB439:AB440"/>
    <mergeCell ref="AD439:AE439"/>
    <mergeCell ref="AH439:AI439"/>
    <mergeCell ref="AK439:AK440"/>
    <mergeCell ref="B439:B440"/>
    <mergeCell ref="C439:D439"/>
    <mergeCell ref="E439:F439"/>
    <mergeCell ref="H439:I439"/>
    <mergeCell ref="J439:K439"/>
    <mergeCell ref="M439:N439"/>
    <mergeCell ref="O439:P439"/>
    <mergeCell ref="R439:S439"/>
    <mergeCell ref="T439:U439"/>
    <mergeCell ref="W415:X415"/>
    <mergeCell ref="Y415:Z415"/>
    <mergeCell ref="AA415:AA416"/>
    <mergeCell ref="AB415:AB416"/>
    <mergeCell ref="AD415:AE415"/>
    <mergeCell ref="AH415:AI415"/>
    <mergeCell ref="AK415:AK416"/>
    <mergeCell ref="B415:B416"/>
    <mergeCell ref="C415:D415"/>
    <mergeCell ref="E415:F415"/>
    <mergeCell ref="H415:I415"/>
    <mergeCell ref="J415:K415"/>
    <mergeCell ref="M415:N415"/>
    <mergeCell ref="O415:P415"/>
    <mergeCell ref="R415:S415"/>
    <mergeCell ref="T415:U415"/>
    <mergeCell ref="W391:X391"/>
    <mergeCell ref="Y391:Z391"/>
    <mergeCell ref="AA391:AA392"/>
    <mergeCell ref="AB391:AB392"/>
    <mergeCell ref="AD391:AE391"/>
    <mergeCell ref="AH391:AI391"/>
    <mergeCell ref="AK391:AK392"/>
    <mergeCell ref="B391:B392"/>
    <mergeCell ref="C391:D391"/>
    <mergeCell ref="E391:F391"/>
    <mergeCell ref="H391:I391"/>
    <mergeCell ref="J391:K391"/>
    <mergeCell ref="M391:N391"/>
    <mergeCell ref="O391:P391"/>
    <mergeCell ref="R391:S391"/>
    <mergeCell ref="T391:U391"/>
    <mergeCell ref="W343:X343"/>
    <mergeCell ref="Y343:Z343"/>
    <mergeCell ref="AA343:AA344"/>
    <mergeCell ref="AB343:AB344"/>
    <mergeCell ref="AD343:AE343"/>
    <mergeCell ref="AH343:AI343"/>
    <mergeCell ref="AK343:AK344"/>
    <mergeCell ref="B343:B344"/>
    <mergeCell ref="C343:D343"/>
    <mergeCell ref="E343:F343"/>
    <mergeCell ref="H343:I343"/>
    <mergeCell ref="J343:K343"/>
    <mergeCell ref="M343:N343"/>
    <mergeCell ref="O343:P343"/>
    <mergeCell ref="R343:S343"/>
    <mergeCell ref="T343:U343"/>
    <mergeCell ref="W319:X319"/>
    <mergeCell ref="Y319:Z319"/>
    <mergeCell ref="AA319:AA320"/>
    <mergeCell ref="AB319:AB320"/>
    <mergeCell ref="AD319:AE319"/>
    <mergeCell ref="AH319:AI319"/>
    <mergeCell ref="AK319:AK320"/>
    <mergeCell ref="B319:B320"/>
    <mergeCell ref="C319:D319"/>
    <mergeCell ref="E319:F319"/>
    <mergeCell ref="H319:I319"/>
    <mergeCell ref="J319:K319"/>
    <mergeCell ref="M319:N319"/>
    <mergeCell ref="O319:P319"/>
    <mergeCell ref="R319:S319"/>
    <mergeCell ref="T319:U319"/>
    <mergeCell ref="W295:X295"/>
    <mergeCell ref="Y295:Z295"/>
    <mergeCell ref="AA295:AA296"/>
    <mergeCell ref="AB295:AB296"/>
    <mergeCell ref="AD295:AE295"/>
    <mergeCell ref="AH295:AI295"/>
    <mergeCell ref="AK295:AK296"/>
    <mergeCell ref="B295:B296"/>
    <mergeCell ref="C295:D295"/>
    <mergeCell ref="E295:F295"/>
    <mergeCell ref="H295:I295"/>
    <mergeCell ref="J295:K295"/>
    <mergeCell ref="M295:N295"/>
    <mergeCell ref="O295:P295"/>
    <mergeCell ref="R295:S295"/>
    <mergeCell ref="T295:U295"/>
    <mergeCell ref="W223:X223"/>
    <mergeCell ref="Y223:Z223"/>
    <mergeCell ref="AA223:AA224"/>
    <mergeCell ref="AB223:AB224"/>
    <mergeCell ref="AD223:AE223"/>
    <mergeCell ref="AH223:AI223"/>
    <mergeCell ref="AK223:AK224"/>
    <mergeCell ref="B223:B224"/>
    <mergeCell ref="C223:D223"/>
    <mergeCell ref="E223:F223"/>
    <mergeCell ref="H223:I223"/>
    <mergeCell ref="J223:K223"/>
    <mergeCell ref="M223:N223"/>
    <mergeCell ref="O223:P223"/>
    <mergeCell ref="R223:S223"/>
    <mergeCell ref="T223:U223"/>
    <mergeCell ref="AB115:AB116"/>
    <mergeCell ref="AD115:AE115"/>
    <mergeCell ref="AH115:AI115"/>
    <mergeCell ref="M115:N115"/>
    <mergeCell ref="O115:P115"/>
    <mergeCell ref="R115:S115"/>
    <mergeCell ref="T115:U115"/>
    <mergeCell ref="W115:X115"/>
    <mergeCell ref="B115:B116"/>
    <mergeCell ref="C115:D115"/>
    <mergeCell ref="E115:F115"/>
    <mergeCell ref="H115:I115"/>
    <mergeCell ref="J115:K115"/>
    <mergeCell ref="AK94:AK95"/>
    <mergeCell ref="Y94:Z94"/>
    <mergeCell ref="AA94:AA95"/>
    <mergeCell ref="AB94:AB95"/>
    <mergeCell ref="AD94:AE94"/>
    <mergeCell ref="AH94:AI94"/>
    <mergeCell ref="M94:N94"/>
    <mergeCell ref="O94:P94"/>
    <mergeCell ref="R94:S94"/>
    <mergeCell ref="T94:U94"/>
    <mergeCell ref="W94:X94"/>
    <mergeCell ref="B94:B95"/>
    <mergeCell ref="C94:D94"/>
    <mergeCell ref="E94:F94"/>
    <mergeCell ref="H94:I94"/>
    <mergeCell ref="J94:K94"/>
    <mergeCell ref="AK115:AK116"/>
    <mergeCell ref="Y115:Z115"/>
    <mergeCell ref="AA115:AA116"/>
    <mergeCell ref="AK74:AK75"/>
    <mergeCell ref="Y74:Z74"/>
    <mergeCell ref="AA74:AA75"/>
    <mergeCell ref="AB74:AB75"/>
    <mergeCell ref="AD74:AE74"/>
    <mergeCell ref="AH74:AI74"/>
    <mergeCell ref="M74:N74"/>
    <mergeCell ref="O74:P74"/>
    <mergeCell ref="R74:S74"/>
    <mergeCell ref="T74:U74"/>
    <mergeCell ref="W74:X74"/>
    <mergeCell ref="B74:B75"/>
    <mergeCell ref="C74:D74"/>
    <mergeCell ref="E74:F74"/>
    <mergeCell ref="H74:I74"/>
    <mergeCell ref="J74:K74"/>
    <mergeCell ref="AK37:AK38"/>
    <mergeCell ref="AH55:AI55"/>
    <mergeCell ref="AK55:AK56"/>
    <mergeCell ref="AB37:AB38"/>
    <mergeCell ref="AD37:AE37"/>
    <mergeCell ref="AD55:AE55"/>
    <mergeCell ref="AB14:AB15"/>
    <mergeCell ref="AD14:AE14"/>
    <mergeCell ref="R55:S55"/>
    <mergeCell ref="T55:U55"/>
    <mergeCell ref="W55:X55"/>
    <mergeCell ref="Y55:Z55"/>
    <mergeCell ref="AA55:AA56"/>
    <mergeCell ref="R37:S37"/>
    <mergeCell ref="T37:U37"/>
    <mergeCell ref="AB55:AB56"/>
    <mergeCell ref="AH14:AI14"/>
    <mergeCell ref="AH37:AI37"/>
    <mergeCell ref="B14:B15"/>
    <mergeCell ref="C14:D14"/>
    <mergeCell ref="W37:X37"/>
    <mergeCell ref="Y37:Z37"/>
    <mergeCell ref="AA37:AA38"/>
    <mergeCell ref="AI5:AJ5"/>
    <mergeCell ref="AI6:AJ6"/>
    <mergeCell ref="B37:B38"/>
    <mergeCell ref="C37:D37"/>
    <mergeCell ref="E14:F14"/>
    <mergeCell ref="H14:I14"/>
    <mergeCell ref="J14:K14"/>
    <mergeCell ref="M14:N14"/>
    <mergeCell ref="O14:P14"/>
    <mergeCell ref="M55:N55"/>
    <mergeCell ref="O55:P55"/>
    <mergeCell ref="O37:P37"/>
    <mergeCell ref="E37:F37"/>
    <mergeCell ref="H37:I37"/>
    <mergeCell ref="J37:K37"/>
    <mergeCell ref="B55:B56"/>
    <mergeCell ref="C55:D55"/>
    <mergeCell ref="E55:F55"/>
    <mergeCell ref="H55:I55"/>
    <mergeCell ref="J55:K55"/>
    <mergeCell ref="M37:N37"/>
    <mergeCell ref="S1:AF1"/>
    <mergeCell ref="AO1:AT1"/>
    <mergeCell ref="AO2:AT2"/>
    <mergeCell ref="AI2:AJ2"/>
    <mergeCell ref="AI3:AJ3"/>
    <mergeCell ref="W16:Z30"/>
    <mergeCell ref="Y14:Z14"/>
    <mergeCell ref="AA14:AA15"/>
    <mergeCell ref="W14:X14"/>
    <mergeCell ref="R14:S14"/>
    <mergeCell ref="T14:U14"/>
    <mergeCell ref="AK14:AK15"/>
    <mergeCell ref="W136:X136"/>
    <mergeCell ref="Y136:Z136"/>
    <mergeCell ref="AA136:AA137"/>
    <mergeCell ref="AB136:AB137"/>
    <mergeCell ref="AD136:AE136"/>
    <mergeCell ref="AH136:AI136"/>
    <mergeCell ref="AK136:AK137"/>
    <mergeCell ref="B136:B137"/>
    <mergeCell ref="C136:D136"/>
    <mergeCell ref="E136:F136"/>
    <mergeCell ref="H136:I136"/>
    <mergeCell ref="J136:K136"/>
    <mergeCell ref="M136:N136"/>
    <mergeCell ref="O136:P136"/>
    <mergeCell ref="R136:S136"/>
    <mergeCell ref="T136:U136"/>
    <mergeCell ref="W157:X157"/>
    <mergeCell ref="Y157:Z157"/>
    <mergeCell ref="AA157:AA158"/>
    <mergeCell ref="AB157:AB158"/>
    <mergeCell ref="AD157:AE157"/>
    <mergeCell ref="AH157:AI157"/>
    <mergeCell ref="AK157:AK158"/>
    <mergeCell ref="B157:B158"/>
    <mergeCell ref="C157:D157"/>
    <mergeCell ref="E157:F157"/>
    <mergeCell ref="H157:I157"/>
    <mergeCell ref="J157:K157"/>
    <mergeCell ref="M157:N157"/>
    <mergeCell ref="O157:P157"/>
    <mergeCell ref="R157:S157"/>
    <mergeCell ref="T157:U157"/>
    <mergeCell ref="C201:E215"/>
    <mergeCell ref="W178:X178"/>
    <mergeCell ref="Y178:Z178"/>
    <mergeCell ref="AA178:AA179"/>
    <mergeCell ref="AB178:AB179"/>
    <mergeCell ref="AD178:AE178"/>
    <mergeCell ref="AH178:AI178"/>
    <mergeCell ref="AK178:AK179"/>
    <mergeCell ref="B178:B179"/>
    <mergeCell ref="C178:D178"/>
    <mergeCell ref="E178:F178"/>
    <mergeCell ref="H178:I178"/>
    <mergeCell ref="J178:K178"/>
    <mergeCell ref="M178:N178"/>
    <mergeCell ref="O178:P178"/>
    <mergeCell ref="R178:S178"/>
    <mergeCell ref="T178:U178"/>
    <mergeCell ref="W199:X199"/>
    <mergeCell ref="Y199:Z199"/>
    <mergeCell ref="AA199:AA200"/>
    <mergeCell ref="AB199:AB200"/>
    <mergeCell ref="AD199:AE199"/>
    <mergeCell ref="AH199:AI199"/>
    <mergeCell ref="AK199:AK200"/>
    <mergeCell ref="B199:B200"/>
    <mergeCell ref="C199:D199"/>
    <mergeCell ref="E199:F199"/>
    <mergeCell ref="H199:I199"/>
    <mergeCell ref="J199:K199"/>
    <mergeCell ref="M199:N199"/>
    <mergeCell ref="O199:P199"/>
    <mergeCell ref="R199:S199"/>
    <mergeCell ref="T199:U199"/>
    <mergeCell ref="W247:X247"/>
    <mergeCell ref="Y247:Z247"/>
    <mergeCell ref="AA247:AA248"/>
    <mergeCell ref="AB247:AB248"/>
    <mergeCell ref="AD247:AE247"/>
    <mergeCell ref="AH247:AI247"/>
    <mergeCell ref="AK247:AK248"/>
    <mergeCell ref="B247:B248"/>
    <mergeCell ref="C247:D247"/>
    <mergeCell ref="E247:F247"/>
    <mergeCell ref="H247:I247"/>
    <mergeCell ref="J247:K247"/>
    <mergeCell ref="M247:N247"/>
    <mergeCell ref="O247:P247"/>
    <mergeCell ref="R247:S247"/>
    <mergeCell ref="T247:U247"/>
    <mergeCell ref="W271:X271"/>
    <mergeCell ref="Y271:Z271"/>
    <mergeCell ref="AA271:AA272"/>
    <mergeCell ref="AB271:AB272"/>
    <mergeCell ref="AD271:AE271"/>
    <mergeCell ref="AH271:AI271"/>
    <mergeCell ref="AK271:AK272"/>
    <mergeCell ref="B271:B272"/>
    <mergeCell ref="C271:D271"/>
    <mergeCell ref="E271:F271"/>
    <mergeCell ref="H271:I271"/>
    <mergeCell ref="J271:K271"/>
    <mergeCell ref="M271:N271"/>
    <mergeCell ref="O271:P271"/>
    <mergeCell ref="R271:S271"/>
    <mergeCell ref="T271:U271"/>
    <mergeCell ref="W367:X367"/>
    <mergeCell ref="Y367:Z367"/>
    <mergeCell ref="AA367:AA368"/>
    <mergeCell ref="AB367:AB368"/>
    <mergeCell ref="AD367:AE367"/>
    <mergeCell ref="AH367:AI367"/>
    <mergeCell ref="AK367:AK368"/>
    <mergeCell ref="B367:B368"/>
    <mergeCell ref="C367:D367"/>
    <mergeCell ref="E367:F367"/>
    <mergeCell ref="H367:I367"/>
    <mergeCell ref="J367:K367"/>
    <mergeCell ref="M367:N367"/>
    <mergeCell ref="O367:P367"/>
    <mergeCell ref="R367:S367"/>
    <mergeCell ref="T367:U367"/>
    <mergeCell ref="B487:B488"/>
    <mergeCell ref="C487:D487"/>
    <mergeCell ref="E487:F487"/>
    <mergeCell ref="H487:I487"/>
    <mergeCell ref="J487:K487"/>
    <mergeCell ref="M487:N487"/>
    <mergeCell ref="O487:P487"/>
    <mergeCell ref="R487:S487"/>
    <mergeCell ref="T487:U487"/>
    <mergeCell ref="W487:X487"/>
    <mergeCell ref="Y487:Z487"/>
    <mergeCell ref="AA487:AA488"/>
    <mergeCell ref="AB487:AB488"/>
    <mergeCell ref="AD487:AE487"/>
    <mergeCell ref="AH487:AI487"/>
    <mergeCell ref="AK487:AK488"/>
    <mergeCell ref="R489:U503"/>
    <mergeCell ref="W489:Z503"/>
  </mergeCells>
  <conditionalFormatting sqref="AE2:AE4">
    <cfRule type="cellIs" dxfId="4" priority="2" operator="lessThan">
      <formula>0</formula>
    </cfRule>
  </conditionalFormatting>
  <conditionalFormatting sqref="AI2:AI3">
    <cfRule type="cellIs" dxfId="3" priority="1" operator="lessThan">
      <formula>0</formula>
    </cfRule>
  </conditionalFormatting>
  <pageMargins left="0.7" right="0.7" top="0.75" bottom="0.75" header="0.3" footer="0.3"/>
  <pageSetup orientation="portrait"/>
  <drawing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4F49C-664F-4663-A5AD-37D399E1A240}">
  <sheetPr>
    <tabColor rgb="FF92D050"/>
  </sheetPr>
  <dimension ref="A1:BE510"/>
  <sheetViews>
    <sheetView topLeftCell="A358" zoomScale="90" zoomScaleNormal="90" workbookViewId="0">
      <pane xSplit="1" topLeftCell="B512" activePane="topRight" state="frozen"/>
      <selection pane="topRight" activeCell="V501" sqref="V501"/>
      <selection activeCell="A109" sqref="A109"/>
    </sheetView>
  </sheetViews>
  <sheetFormatPr defaultColWidth="9.140625" defaultRowHeight="15"/>
  <cols>
    <col min="1" max="1" width="27.7109375" style="944" bestFit="1" customWidth="1"/>
    <col min="2" max="4" width="9" style="944" customWidth="1"/>
    <col min="5" max="5" width="7.7109375" style="944" customWidth="1"/>
    <col min="6" max="6" width="1" style="944" customWidth="1"/>
    <col min="7" max="10" width="7.7109375" style="944" customWidth="1"/>
    <col min="11" max="11" width="1" style="944" customWidth="1"/>
    <col min="12" max="15" width="7.7109375" style="944" customWidth="1"/>
    <col min="16" max="16" width="1" style="944" customWidth="1"/>
    <col min="17" max="20" width="7.7109375" style="944" customWidth="1"/>
    <col min="21" max="21" width="1" style="944" customWidth="1"/>
    <col min="22" max="25" width="7.7109375" style="944" customWidth="1"/>
    <col min="26" max="26" width="8.140625" style="944" bestFit="1" customWidth="1"/>
    <col min="27" max="27" width="7.7109375" style="944" customWidth="1"/>
    <col min="28" max="28" width="1" style="944" customWidth="1"/>
    <col min="29" max="30" width="7.7109375" style="944" customWidth="1"/>
    <col min="31" max="31" width="8.28515625" style="944" customWidth="1"/>
    <col min="32" max="32" width="1" style="944" customWidth="1"/>
    <col min="33" max="36" width="7.7109375" style="944" customWidth="1"/>
    <col min="37" max="37" width="1" style="944" customWidth="1"/>
    <col min="38" max="38" width="9.140625" style="944"/>
    <col min="39" max="39" width="1" style="944" customWidth="1"/>
    <col min="40" max="40" width="22.5703125" style="944" customWidth="1"/>
    <col min="41" max="41" width="11.85546875" style="944" bestFit="1" customWidth="1"/>
    <col min="42" max="42" width="9.28515625" style="944" bestFit="1" customWidth="1"/>
    <col min="43" max="43" width="12.85546875" style="944" bestFit="1" customWidth="1"/>
    <col min="44" max="45" width="9.140625" style="944"/>
    <col min="46" max="46" width="2" style="1265" customWidth="1"/>
    <col min="47" max="47" width="2.140625" style="944" customWidth="1"/>
    <col min="48" max="48" width="13.7109375" style="944" bestFit="1" customWidth="1"/>
    <col min="49" max="49" width="11" style="944" bestFit="1" customWidth="1"/>
    <col min="50" max="50" width="2.28515625" style="944" customWidth="1"/>
    <col min="51" max="16384" width="9.140625" style="944"/>
  </cols>
  <sheetData>
    <row r="1" spans="1:57" ht="15.75">
      <c r="A1" s="940"/>
      <c r="B1" s="940"/>
      <c r="C1" s="940"/>
      <c r="D1" s="941"/>
      <c r="E1" s="942"/>
      <c r="F1" s="941"/>
      <c r="G1" s="940"/>
      <c r="H1" s="940"/>
      <c r="I1" s="941"/>
      <c r="J1" s="942"/>
      <c r="K1" s="941"/>
      <c r="L1" s="940"/>
      <c r="M1" s="940"/>
      <c r="N1" s="941"/>
      <c r="O1" s="942"/>
      <c r="P1" s="941"/>
      <c r="Q1" s="940"/>
      <c r="R1" s="1605" t="s">
        <v>1471</v>
      </c>
      <c r="S1" s="1605"/>
      <c r="T1" s="1605"/>
      <c r="U1" s="1605"/>
      <c r="V1" s="1605"/>
      <c r="W1" s="1605"/>
      <c r="X1" s="1605"/>
      <c r="Y1" s="1605"/>
      <c r="Z1" s="1605"/>
      <c r="AA1" s="1605"/>
      <c r="AB1" s="1605"/>
      <c r="AC1" s="1605"/>
      <c r="AD1" s="1605"/>
      <c r="AE1" s="1605"/>
      <c r="AF1" s="1605"/>
      <c r="AG1" s="1605"/>
      <c r="AH1" s="1605"/>
      <c r="AI1" s="1605"/>
      <c r="AJ1" s="1605"/>
      <c r="AK1" s="941"/>
      <c r="AL1" s="943"/>
      <c r="AM1" s="940"/>
      <c r="AN1" s="1589" t="s">
        <v>1109</v>
      </c>
      <c r="AO1" s="1589"/>
      <c r="AP1" s="1589"/>
      <c r="AQ1" s="1589"/>
      <c r="AR1" s="1589"/>
      <c r="AS1" s="1589"/>
      <c r="AT1" s="1348"/>
      <c r="AU1" s="1265"/>
      <c r="AV1" s="1265"/>
      <c r="AW1" s="1265"/>
      <c r="AX1" s="1265"/>
      <c r="AY1" s="1265"/>
      <c r="AZ1" s="1265"/>
      <c r="BA1" s="1265"/>
      <c r="BB1" s="1265"/>
      <c r="BC1" s="1265"/>
      <c r="BD1" s="1265"/>
      <c r="BE1" s="1265"/>
    </row>
    <row r="2" spans="1:57" ht="15.75">
      <c r="A2" s="940"/>
      <c r="B2" s="940"/>
      <c r="C2" s="940"/>
      <c r="D2" s="941"/>
      <c r="E2" s="942"/>
      <c r="F2" s="941"/>
      <c r="G2" s="940"/>
      <c r="H2" s="940"/>
      <c r="I2" s="941"/>
      <c r="J2" s="942"/>
      <c r="K2" s="941"/>
      <c r="L2" s="940"/>
      <c r="M2" s="940"/>
      <c r="N2" s="941"/>
      <c r="O2" s="941"/>
      <c r="P2" s="941"/>
      <c r="Q2" s="940"/>
      <c r="R2" s="945"/>
      <c r="S2" s="945"/>
      <c r="T2" s="942"/>
      <c r="U2" s="945"/>
      <c r="V2" s="945"/>
      <c r="W2" s="946"/>
      <c r="X2" s="946" t="s">
        <v>2</v>
      </c>
      <c r="Y2" s="1621">
        <v>20496</v>
      </c>
      <c r="Z2" s="1621"/>
      <c r="AA2" s="1622" t="s">
        <v>942</v>
      </c>
      <c r="AB2" s="1622"/>
      <c r="AC2" s="1622"/>
      <c r="AD2" s="1622"/>
      <c r="AE2" s="1622"/>
      <c r="AF2" s="1623">
        <f>Y2-Z5</f>
        <v>12014.75</v>
      </c>
      <c r="AG2" s="1623"/>
      <c r="AI2" s="1432" t="s">
        <v>1472</v>
      </c>
      <c r="AJ2" s="1433">
        <f>Z5/Y2</f>
        <v>0.41380025370804058</v>
      </c>
      <c r="AK2" s="941"/>
      <c r="AL2" s="943"/>
      <c r="AM2" s="940"/>
      <c r="AN2" s="1606" t="s">
        <v>1110</v>
      </c>
      <c r="AO2" s="1606"/>
      <c r="AP2" s="1606"/>
      <c r="AQ2" s="1606"/>
      <c r="AR2" s="1606"/>
      <c r="AS2" s="1606"/>
      <c r="AT2" s="1349"/>
      <c r="AU2" s="1265"/>
      <c r="AV2" s="1265"/>
      <c r="AW2" s="1265"/>
      <c r="AX2" s="1265"/>
      <c r="AY2" s="1265"/>
      <c r="AZ2" s="1265"/>
      <c r="BA2" s="1265"/>
      <c r="BB2" s="1265"/>
      <c r="BC2" s="1265"/>
      <c r="BD2" s="1265"/>
      <c r="BE2" s="1265"/>
    </row>
    <row r="3" spans="1:57" ht="15.75">
      <c r="A3" s="940"/>
      <c r="B3" s="940"/>
      <c r="C3" s="940"/>
      <c r="D3" s="941"/>
      <c r="E3" s="942"/>
      <c r="F3" s="941"/>
      <c r="G3" s="940"/>
      <c r="H3" s="940"/>
      <c r="I3" s="941"/>
      <c r="J3" s="942"/>
      <c r="K3" s="941"/>
      <c r="L3" s="940"/>
      <c r="M3" s="940"/>
      <c r="N3" s="941"/>
      <c r="O3" s="941"/>
      <c r="P3" s="941"/>
      <c r="Q3" s="940"/>
      <c r="R3" s="945"/>
      <c r="S3" s="945"/>
      <c r="T3" s="942"/>
      <c r="U3" s="945"/>
      <c r="V3" s="945"/>
      <c r="W3" s="946"/>
      <c r="X3" s="946" t="s">
        <v>1416</v>
      </c>
      <c r="Y3" s="1621">
        <v>8390</v>
      </c>
      <c r="Z3" s="1621"/>
      <c r="AA3" s="1622" t="s">
        <v>1417</v>
      </c>
      <c r="AB3" s="1622"/>
      <c r="AC3" s="1622"/>
      <c r="AD3" s="1622"/>
      <c r="AE3" s="1622"/>
      <c r="AF3" s="1263"/>
      <c r="AG3" s="1264">
        <f>Y3-Z6</f>
        <v>5633.5</v>
      </c>
      <c r="AH3" s="1263"/>
      <c r="AI3" s="1432" t="s">
        <v>1472</v>
      </c>
      <c r="AJ3" s="1433">
        <f>Z6/Y3</f>
        <v>0.32854588796185935</v>
      </c>
      <c r="AK3" s="941"/>
      <c r="AL3" s="943"/>
      <c r="AM3" s="940"/>
      <c r="AN3" s="950"/>
      <c r="AO3" s="950"/>
      <c r="AP3" s="950"/>
      <c r="AQ3" s="950"/>
      <c r="AR3" s="950"/>
      <c r="AS3" s="950"/>
      <c r="AT3" s="1349"/>
      <c r="AU3" s="1265"/>
      <c r="AV3" s="1265"/>
      <c r="AW3" s="1265"/>
      <c r="AX3" s="1265"/>
      <c r="AY3" s="1265"/>
      <c r="AZ3" s="1265"/>
      <c r="BA3" s="1265"/>
      <c r="BB3" s="1265"/>
      <c r="BC3" s="1265"/>
      <c r="BD3" s="1265"/>
      <c r="BE3" s="1265"/>
    </row>
    <row r="4" spans="1:57" ht="15.75">
      <c r="A4" s="940"/>
      <c r="B4" s="940"/>
      <c r="C4" s="940"/>
      <c r="D4" s="941"/>
      <c r="E4" s="942"/>
      <c r="F4" s="941"/>
      <c r="G4" s="940"/>
      <c r="H4" s="940"/>
      <c r="I4" s="941"/>
      <c r="J4" s="942"/>
      <c r="K4" s="941"/>
      <c r="L4" s="940"/>
      <c r="M4" s="940"/>
      <c r="N4" s="941"/>
      <c r="O4" s="941"/>
      <c r="P4" s="941"/>
      <c r="Q4" s="952"/>
      <c r="R4" s="945"/>
      <c r="S4" s="945"/>
      <c r="T4" s="942"/>
      <c r="U4" s="945"/>
      <c r="V4" s="945"/>
      <c r="W4" s="946"/>
      <c r="X4" s="946" t="s">
        <v>5</v>
      </c>
      <c r="Y4" s="1621">
        <v>2436</v>
      </c>
      <c r="Z4" s="1621"/>
      <c r="AA4" s="1622" t="s">
        <v>944</v>
      </c>
      <c r="AB4" s="1622"/>
      <c r="AC4" s="1622"/>
      <c r="AD4" s="1622"/>
      <c r="AE4" s="1622"/>
      <c r="AF4" s="1624">
        <f>Y4-Z7</f>
        <v>1655.875</v>
      </c>
      <c r="AG4" s="1624"/>
      <c r="AH4" s="965"/>
      <c r="AI4" s="1432" t="s">
        <v>1472</v>
      </c>
      <c r="AJ4" s="1433">
        <f>Z7/Y4</f>
        <v>0.32024835796387519</v>
      </c>
      <c r="AK4" s="941"/>
      <c r="AL4" s="943"/>
      <c r="AM4" s="940"/>
      <c r="AN4" s="953" t="s">
        <v>6</v>
      </c>
      <c r="AO4" s="954"/>
      <c r="AP4" s="954"/>
      <c r="AQ4" s="954"/>
      <c r="AR4" s="954"/>
      <c r="AS4" s="954"/>
      <c r="AT4" s="940"/>
      <c r="AU4" s="1265"/>
      <c r="AV4" s="1265"/>
      <c r="AW4" s="1265"/>
      <c r="AX4" s="1265"/>
      <c r="AY4" s="1265"/>
      <c r="AZ4" s="1265"/>
      <c r="BA4" s="1265"/>
      <c r="BB4" s="1265"/>
      <c r="BC4" s="1265"/>
      <c r="BD4" s="1265"/>
      <c r="BE4" s="1265"/>
    </row>
    <row r="5" spans="1:57" ht="15.75">
      <c r="A5" s="940"/>
      <c r="B5" s="940"/>
      <c r="C5" s="940"/>
      <c r="D5" s="941"/>
      <c r="E5" s="942"/>
      <c r="F5" s="941"/>
      <c r="G5" s="940"/>
      <c r="H5" s="940"/>
      <c r="I5" s="941"/>
      <c r="J5" s="942"/>
      <c r="K5" s="941"/>
      <c r="L5" s="940"/>
      <c r="M5" s="940"/>
      <c r="N5" s="940"/>
      <c r="O5" s="941"/>
      <c r="P5" s="941"/>
      <c r="Q5" s="940"/>
      <c r="R5" s="945"/>
      <c r="S5" s="945"/>
      <c r="T5" s="942"/>
      <c r="U5" s="945"/>
      <c r="V5" s="1426"/>
      <c r="W5" s="1427"/>
      <c r="X5" s="1428" t="s">
        <v>9</v>
      </c>
      <c r="Y5" s="1429"/>
      <c r="Z5" s="1430">
        <f>Z38+Z69+Z101+Z133+Z165+Z197+Z229+Z261+Z294+Z326+Z358+Z388+Z417+Z446+Z477</f>
        <v>8481.25</v>
      </c>
      <c r="AA5" s="1622"/>
      <c r="AB5" s="1622"/>
      <c r="AC5" s="1622"/>
      <c r="AD5" s="1622"/>
      <c r="AE5" s="1622"/>
      <c r="AF5" s="1625"/>
      <c r="AG5" s="1625"/>
      <c r="AH5" s="1625"/>
      <c r="AI5" s="1625"/>
      <c r="AJ5" s="1493">
        <f>AVERAGE(AJ2:AJ4)</f>
        <v>0.35419816654459169</v>
      </c>
      <c r="AK5" s="941"/>
      <c r="AL5" s="943"/>
      <c r="AM5" s="940"/>
      <c r="AN5" s="954" t="s">
        <v>8</v>
      </c>
      <c r="AO5" s="954"/>
      <c r="AP5" s="954"/>
      <c r="AQ5" s="954"/>
      <c r="AR5" s="954"/>
      <c r="AS5" s="954"/>
      <c r="AT5" s="940"/>
      <c r="AU5" s="1265"/>
      <c r="AV5" s="1265"/>
      <c r="AW5" s="1265"/>
      <c r="AX5" s="1265"/>
      <c r="AY5" s="1265"/>
      <c r="AZ5" s="1265"/>
      <c r="BA5" s="1265"/>
      <c r="BB5" s="1265"/>
      <c r="BC5" s="1265"/>
      <c r="BD5" s="1265"/>
      <c r="BE5" s="1265"/>
    </row>
    <row r="6" spans="1:57" ht="15.75">
      <c r="A6" s="940"/>
      <c r="B6" s="940"/>
      <c r="C6" s="940"/>
      <c r="D6" s="941"/>
      <c r="E6" s="942"/>
      <c r="F6" s="941"/>
      <c r="G6" s="940"/>
      <c r="H6" s="940"/>
      <c r="I6" s="941"/>
      <c r="J6" s="942"/>
      <c r="K6" s="941"/>
      <c r="L6" s="940"/>
      <c r="M6" s="940"/>
      <c r="N6" s="941"/>
      <c r="O6" s="955"/>
      <c r="P6" s="941"/>
      <c r="Q6" s="940"/>
      <c r="R6" s="945"/>
      <c r="S6" s="945"/>
      <c r="T6" s="942"/>
      <c r="U6" s="945"/>
      <c r="V6" s="1426"/>
      <c r="W6" s="1427"/>
      <c r="X6" s="1428" t="s">
        <v>1419</v>
      </c>
      <c r="Y6" s="1431"/>
      <c r="Z6" s="1430">
        <f>Z39+AA38+AJ38+Z70+AA69+AJ69+Z102+AA101+AJ101+Z134+AA133+AJ133+Z166+AA165+AJ165+Z198+AA197+AJ197+Z230+AA229+AJ229+Z262+AA261+AJ261+Z295+AA294+AJ294+Z327+AA326+AJ326+Z359+AA358+Z389+AA388+Z418+AA417+AJ358+AJ388+AJ417+AJ446+Z447+AA446+Z478+AA477+AJ477+((1.5*(AA39+AJ39+AA70+AJ70+AA102+AJ102+AA134+AJ134+AA166+AJ166+AA389)))</f>
        <v>2756.5</v>
      </c>
      <c r="AA6" s="1594"/>
      <c r="AB6" s="1594"/>
      <c r="AC6" s="1594"/>
      <c r="AD6" s="1594"/>
      <c r="AE6" s="1594"/>
      <c r="AF6" s="1595"/>
      <c r="AG6" s="1595"/>
      <c r="AH6" s="1595"/>
      <c r="AI6" s="1595"/>
      <c r="AJ6" s="940"/>
      <c r="AK6" s="941"/>
      <c r="AL6" s="943"/>
      <c r="AM6" s="940"/>
      <c r="AN6" s="954" t="s">
        <v>11</v>
      </c>
      <c r="AO6" s="954"/>
      <c r="AP6" s="954"/>
      <c r="AQ6" s="954"/>
      <c r="AR6" s="954"/>
      <c r="AS6" s="954"/>
      <c r="AT6" s="940"/>
      <c r="AU6" s="1265"/>
      <c r="AV6" s="1265"/>
      <c r="AW6" s="1265"/>
      <c r="AX6" s="1265"/>
      <c r="AY6" s="1265"/>
      <c r="AZ6" s="1265"/>
      <c r="BA6" s="1265"/>
      <c r="BB6" s="1265"/>
      <c r="BC6" s="1265"/>
      <c r="BD6" s="1265"/>
      <c r="BE6" s="1265"/>
    </row>
    <row r="7" spans="1:57" ht="15.75">
      <c r="A7" s="940"/>
      <c r="B7" s="940"/>
      <c r="C7" s="940"/>
      <c r="D7" s="941"/>
      <c r="E7" s="942"/>
      <c r="F7" s="941"/>
      <c r="G7" s="940"/>
      <c r="H7" s="940"/>
      <c r="I7" s="941"/>
      <c r="J7" s="942"/>
      <c r="K7" s="941"/>
      <c r="L7" s="940"/>
      <c r="M7" s="940"/>
      <c r="N7" s="941"/>
      <c r="O7" s="942"/>
      <c r="P7" s="941"/>
      <c r="Q7" s="940"/>
      <c r="R7" s="945"/>
      <c r="S7" s="940"/>
      <c r="T7" s="942"/>
      <c r="U7" s="945"/>
      <c r="V7" s="1431"/>
      <c r="W7" s="1427"/>
      <c r="X7" s="1428" t="s">
        <v>12</v>
      </c>
      <c r="Y7" s="1427"/>
      <c r="Z7" s="1430">
        <f>Z40+Z71+Z103+Z135+Z167+Z199+Z231+Z263+Z296+Z328+Z360+Z390+Z419+Z448+Z479+((AA40+AJ40+AA135+AJ135+AA103+AJ103+AJ71+AA71+AA167+AJ167+AJ199+AA231+AJ231+AA263+AJ263+AA296+AJ296+AA328+AJ328+AA360+AJ360+AA390+AJ390+AA419+AJ419+AA448+AJ448+AA479+AJ479)*1.5)</f>
        <v>780.125</v>
      </c>
      <c r="AA7" s="1594"/>
      <c r="AB7" s="1594"/>
      <c r="AC7" s="1594"/>
      <c r="AD7" s="1594"/>
      <c r="AE7" s="1594"/>
      <c r="AF7" s="940"/>
      <c r="AG7" s="964"/>
      <c r="AH7" s="940"/>
      <c r="AI7" s="965"/>
      <c r="AJ7" s="965"/>
      <c r="AK7" s="941"/>
      <c r="AL7" s="943"/>
      <c r="AM7" s="940"/>
      <c r="AN7" s="966" t="s">
        <v>14</v>
      </c>
      <c r="AO7" s="967" t="s">
        <v>1473</v>
      </c>
      <c r="AP7" s="954"/>
      <c r="AQ7" s="954"/>
      <c r="AR7" s="954"/>
      <c r="AS7" s="954"/>
      <c r="AT7" s="940"/>
      <c r="AU7" s="1265"/>
      <c r="AV7" s="1265"/>
      <c r="AW7" s="1265"/>
      <c r="AX7" s="1265"/>
      <c r="AY7" s="1265"/>
      <c r="AZ7" s="1265"/>
      <c r="BA7" s="1265"/>
      <c r="BB7" s="1265"/>
      <c r="BC7" s="1265"/>
      <c r="BD7" s="1265"/>
      <c r="BE7" s="1265"/>
    </row>
    <row r="8" spans="1:57" ht="15.75">
      <c r="A8" s="940"/>
      <c r="B8" s="940"/>
      <c r="C8" s="940"/>
      <c r="D8" s="941"/>
      <c r="E8" s="942"/>
      <c r="F8" s="941"/>
      <c r="G8" s="940"/>
      <c r="H8" s="940"/>
      <c r="I8" s="941"/>
      <c r="J8" s="942"/>
      <c r="K8" s="941"/>
      <c r="L8" s="940"/>
      <c r="M8" s="940"/>
      <c r="N8" s="941"/>
      <c r="O8" s="942"/>
      <c r="P8" s="941"/>
      <c r="Q8" s="940"/>
      <c r="R8" s="945"/>
      <c r="S8" s="940"/>
      <c r="T8" s="942"/>
      <c r="U8" s="945"/>
      <c r="V8" s="1265"/>
      <c r="W8" s="1265"/>
      <c r="X8" s="1265"/>
      <c r="Y8" s="1265"/>
      <c r="Z8" s="1265"/>
      <c r="AA8" s="1594"/>
      <c r="AB8" s="1594"/>
      <c r="AC8" s="1594"/>
      <c r="AD8" s="1594"/>
      <c r="AE8" s="1594"/>
      <c r="AF8" s="1595"/>
      <c r="AG8" s="1595"/>
      <c r="AH8" s="1595"/>
      <c r="AI8" s="1595"/>
      <c r="AJ8" s="940"/>
      <c r="AK8" s="941"/>
      <c r="AL8" s="943"/>
      <c r="AM8" s="940"/>
      <c r="AN8" s="969" t="s">
        <v>16</v>
      </c>
      <c r="AO8" s="1397" t="s">
        <v>1474</v>
      </c>
      <c r="AP8" s="954"/>
      <c r="AQ8" s="954"/>
      <c r="AR8" s="954"/>
      <c r="AS8" s="954"/>
      <c r="AT8" s="940"/>
      <c r="AU8" s="1265"/>
      <c r="AV8" s="1265"/>
      <c r="AW8" s="1265"/>
      <c r="AX8" s="1265"/>
      <c r="AY8" s="1265"/>
      <c r="AZ8" s="1265"/>
      <c r="BA8" s="1265"/>
      <c r="BB8" s="1265"/>
      <c r="BC8" s="1265"/>
      <c r="BD8" s="1265"/>
      <c r="BE8" s="1265"/>
    </row>
    <row r="9" spans="1:57" ht="15.75">
      <c r="A9" s="940"/>
      <c r="B9" s="940"/>
      <c r="C9" s="940"/>
      <c r="D9" s="941"/>
      <c r="E9" s="942"/>
      <c r="F9" s="941"/>
      <c r="G9" s="940"/>
      <c r="H9" s="940"/>
      <c r="I9" s="941"/>
      <c r="J9" s="942"/>
      <c r="K9" s="941"/>
      <c r="L9" s="940"/>
      <c r="M9" s="940"/>
      <c r="N9" s="941"/>
      <c r="O9" s="942"/>
      <c r="P9" s="941"/>
      <c r="Q9" s="940"/>
      <c r="R9" s="945"/>
      <c r="S9" s="940"/>
      <c r="T9" s="942"/>
      <c r="U9" s="945"/>
      <c r="V9" s="940"/>
      <c r="W9" s="956"/>
      <c r="X9" s="946"/>
      <c r="Y9" s="968"/>
      <c r="Z9" s="947"/>
      <c r="AA9" s="970"/>
      <c r="AB9" s="956"/>
      <c r="AC9" s="956"/>
      <c r="AD9" s="956"/>
      <c r="AE9" s="956"/>
      <c r="AF9" s="956"/>
      <c r="AG9" s="956"/>
      <c r="AH9" s="956"/>
      <c r="AI9" s="956"/>
      <c r="AJ9" s="940"/>
      <c r="AK9" s="941"/>
      <c r="AL9" s="943"/>
      <c r="AM9" s="940"/>
      <c r="AN9" s="962" t="s">
        <v>17</v>
      </c>
      <c r="AO9" s="954"/>
      <c r="AP9" s="954"/>
      <c r="AQ9" s="954"/>
      <c r="AR9" s="954"/>
      <c r="AS9" s="954"/>
      <c r="AT9" s="940"/>
      <c r="AU9" s="1265"/>
      <c r="AV9" s="1265"/>
      <c r="AW9" s="1265"/>
      <c r="AX9" s="1265"/>
      <c r="AY9" s="1265"/>
      <c r="AZ9" s="1265"/>
      <c r="BA9" s="1265"/>
      <c r="BB9" s="1265"/>
      <c r="BC9" s="1265"/>
      <c r="BD9" s="1265"/>
      <c r="BE9" s="1265"/>
    </row>
    <row r="10" spans="1:57" ht="15.75">
      <c r="A10" s="940"/>
      <c r="B10" s="940"/>
      <c r="C10" s="940"/>
      <c r="D10" s="941"/>
      <c r="E10" s="942"/>
      <c r="F10" s="941"/>
      <c r="G10" s="940"/>
      <c r="H10" s="940"/>
      <c r="I10" s="941"/>
      <c r="J10" s="942"/>
      <c r="K10" s="941"/>
      <c r="L10" s="940"/>
      <c r="M10" s="940"/>
      <c r="N10" s="941"/>
      <c r="O10" s="942"/>
      <c r="P10" s="941"/>
      <c r="Q10" s="940"/>
      <c r="R10" s="945"/>
      <c r="S10" s="945"/>
      <c r="T10" s="942"/>
      <c r="U10" s="945"/>
      <c r="V10" s="940"/>
      <c r="W10" s="945"/>
      <c r="X10" s="945"/>
      <c r="Y10" s="942"/>
      <c r="Z10" s="971"/>
      <c r="AA10" s="941"/>
      <c r="AB10" s="945"/>
      <c r="AC10" s="972"/>
      <c r="AD10" s="940"/>
      <c r="AE10" s="940"/>
      <c r="AF10" s="945"/>
      <c r="AG10" s="972"/>
      <c r="AH10" s="940"/>
      <c r="AI10" s="940"/>
      <c r="AJ10" s="973"/>
      <c r="AK10" s="941"/>
      <c r="AL10" s="943"/>
      <c r="AM10" s="940"/>
      <c r="AN10" s="954"/>
      <c r="AO10" s="954"/>
      <c r="AP10" s="954"/>
      <c r="AQ10" s="954"/>
      <c r="AR10" s="954"/>
      <c r="AS10" s="954"/>
      <c r="AT10" s="940"/>
      <c r="AU10" s="1265"/>
      <c r="AV10" s="1265"/>
      <c r="AW10" s="1265"/>
      <c r="AX10" s="1265"/>
      <c r="AY10" s="1265"/>
      <c r="AZ10" s="1265"/>
      <c r="BA10" s="1265"/>
      <c r="BB10" s="1265"/>
      <c r="BC10" s="1265"/>
      <c r="BD10" s="1265"/>
      <c r="BE10" s="1265"/>
    </row>
    <row r="11" spans="1:57" ht="13.5" customHeight="1">
      <c r="A11" s="940"/>
      <c r="B11" s="940"/>
      <c r="C11" s="940"/>
      <c r="D11" s="941"/>
      <c r="E11" s="942"/>
      <c r="F11" s="941"/>
      <c r="G11" s="940"/>
      <c r="H11" s="940"/>
      <c r="I11" s="941"/>
      <c r="J11" s="942"/>
      <c r="K11" s="941"/>
      <c r="L11" s="940"/>
      <c r="M11" s="940"/>
      <c r="N11" s="941"/>
      <c r="O11" s="942"/>
      <c r="P11" s="941"/>
      <c r="Q11" s="940"/>
      <c r="R11" s="940"/>
      <c r="S11" s="941"/>
      <c r="T11" s="942"/>
      <c r="U11" s="941"/>
      <c r="V11" s="940"/>
      <c r="W11" s="940"/>
      <c r="X11" s="941"/>
      <c r="Y11" s="942"/>
      <c r="Z11" s="941"/>
      <c r="AA11" s="941"/>
      <c r="AB11" s="941"/>
      <c r="AC11" s="940"/>
      <c r="AD11" s="940"/>
      <c r="AE11" s="940"/>
      <c r="AF11" s="941"/>
      <c r="AG11" s="940"/>
      <c r="AH11" s="940"/>
      <c r="AI11" s="940"/>
      <c r="AJ11" s="940"/>
      <c r="AK11" s="941"/>
      <c r="AL11" s="943"/>
      <c r="AM11" s="940"/>
      <c r="AN11" s="940"/>
      <c r="AO11" s="940"/>
      <c r="AP11" s="940"/>
      <c r="AQ11" s="940"/>
      <c r="AR11" s="940"/>
      <c r="AS11" s="940"/>
      <c r="AT11" s="940"/>
      <c r="AU11" s="1265"/>
      <c r="AV11" s="1265"/>
      <c r="AW11" s="1265"/>
      <c r="AX11" s="1265"/>
      <c r="AY11" s="1265"/>
      <c r="AZ11" s="1265"/>
      <c r="BA11" s="1265"/>
      <c r="BB11" s="1265"/>
      <c r="BC11" s="1265"/>
      <c r="BD11" s="1265"/>
      <c r="BE11" s="1265"/>
    </row>
    <row r="12" spans="1:57" ht="13.5" hidden="1" customHeight="1">
      <c r="A12" s="974"/>
      <c r="B12" s="975"/>
      <c r="C12" s="975"/>
      <c r="D12" s="976"/>
      <c r="E12" s="976"/>
      <c r="F12" s="975"/>
      <c r="G12" s="976"/>
      <c r="H12" s="976"/>
      <c r="I12" s="976"/>
      <c r="J12" s="976"/>
      <c r="K12" s="975"/>
      <c r="L12" s="975"/>
      <c r="M12" s="975"/>
      <c r="N12" s="975"/>
      <c r="O12" s="976"/>
      <c r="P12" s="975"/>
      <c r="Q12" s="975"/>
      <c r="R12" s="975"/>
      <c r="S12" s="975"/>
      <c r="T12" s="976"/>
      <c r="U12" s="975"/>
      <c r="V12" s="975"/>
      <c r="W12" s="975"/>
      <c r="X12" s="977"/>
      <c r="Y12" s="976"/>
      <c r="Z12" s="978"/>
      <c r="AA12" s="976"/>
      <c r="AB12" s="979"/>
      <c r="AC12" s="980"/>
      <c r="AD12" s="943"/>
      <c r="AE12" s="943"/>
      <c r="AF12" s="979"/>
      <c r="AG12" s="980"/>
      <c r="AH12" s="943"/>
      <c r="AI12" s="943"/>
      <c r="AJ12" s="943"/>
      <c r="AK12" s="979"/>
      <c r="AL12" s="943"/>
      <c r="AM12" s="943"/>
      <c r="AN12" s="943"/>
      <c r="AO12" s="943"/>
      <c r="AP12" s="943"/>
      <c r="AQ12" s="943"/>
      <c r="AR12" s="943"/>
      <c r="AS12" s="943"/>
      <c r="AT12" s="940"/>
      <c r="AU12" s="1265"/>
      <c r="AV12" s="1265"/>
      <c r="AW12" s="1265"/>
      <c r="AX12" s="1265"/>
      <c r="AY12" s="1265"/>
      <c r="AZ12" s="1265"/>
      <c r="BA12" s="1265"/>
      <c r="BB12" s="1265"/>
      <c r="BC12" s="1265"/>
      <c r="BD12" s="1265"/>
      <c r="BE12" s="1265"/>
    </row>
    <row r="13" spans="1:57" ht="13.5" hidden="1" customHeight="1">
      <c r="A13" s="940"/>
      <c r="B13" s="940"/>
      <c r="C13" s="940"/>
      <c r="D13" s="941"/>
      <c r="E13" s="942"/>
      <c r="F13" s="941"/>
      <c r="G13" s="940"/>
      <c r="H13" s="940"/>
      <c r="I13" s="941"/>
      <c r="J13" s="942"/>
      <c r="K13" s="941"/>
      <c r="L13" s="940"/>
      <c r="M13" s="940"/>
      <c r="N13" s="941"/>
      <c r="O13" s="942"/>
      <c r="P13" s="941"/>
      <c r="Q13" s="940"/>
      <c r="R13" s="940"/>
      <c r="S13" s="941"/>
      <c r="T13" s="942"/>
      <c r="U13" s="941"/>
      <c r="V13" s="940"/>
      <c r="W13" s="940"/>
      <c r="X13" s="941"/>
      <c r="Y13" s="942"/>
      <c r="Z13" s="941"/>
      <c r="AA13" s="941"/>
      <c r="AB13" s="941"/>
      <c r="AC13" s="940"/>
      <c r="AD13" s="940"/>
      <c r="AE13" s="940"/>
      <c r="AF13" s="941"/>
      <c r="AG13" s="940"/>
      <c r="AH13" s="940"/>
      <c r="AI13" s="940"/>
      <c r="AJ13" s="940"/>
      <c r="AK13" s="941"/>
      <c r="AL13" s="943"/>
      <c r="AM13" s="940"/>
      <c r="AN13" s="954"/>
      <c r="AO13" s="954"/>
      <c r="AP13" s="954"/>
      <c r="AQ13" s="954"/>
      <c r="AR13" s="954"/>
      <c r="AS13" s="954"/>
      <c r="AT13" s="940"/>
      <c r="AU13" s="1265"/>
      <c r="AV13" s="1265"/>
      <c r="AW13" s="1265"/>
      <c r="AX13" s="1265"/>
      <c r="AY13" s="1265"/>
      <c r="AZ13" s="1265"/>
      <c r="BA13" s="1265"/>
      <c r="BB13" s="1265"/>
      <c r="BC13" s="1265"/>
      <c r="BD13" s="1265"/>
      <c r="BE13" s="1265"/>
    </row>
    <row r="14" spans="1:57" ht="13.5" hidden="1" customHeight="1">
      <c r="A14" s="1615" t="s">
        <v>18</v>
      </c>
      <c r="B14" s="1616">
        <v>46034</v>
      </c>
      <c r="C14" s="1616"/>
      <c r="D14" s="1616" t="s">
        <v>564</v>
      </c>
      <c r="E14" s="1616"/>
      <c r="F14" s="1308"/>
      <c r="G14" s="1616">
        <v>46035</v>
      </c>
      <c r="H14" s="1616"/>
      <c r="I14" s="1616" t="s">
        <v>565</v>
      </c>
      <c r="J14" s="1616"/>
      <c r="K14" s="1308"/>
      <c r="L14" s="1616">
        <v>46036</v>
      </c>
      <c r="M14" s="1616"/>
      <c r="N14" s="1616" t="s">
        <v>566</v>
      </c>
      <c r="O14" s="1616"/>
      <c r="P14" s="1308"/>
      <c r="Q14" s="1616">
        <v>46037</v>
      </c>
      <c r="R14" s="1616"/>
      <c r="S14" s="1616" t="s">
        <v>567</v>
      </c>
      <c r="T14" s="1616"/>
      <c r="U14" s="1308"/>
      <c r="V14" s="1616">
        <v>46038</v>
      </c>
      <c r="W14" s="1616"/>
      <c r="X14" s="1616" t="s">
        <v>568</v>
      </c>
      <c r="Y14" s="1616"/>
      <c r="Z14" s="1617" t="s">
        <v>19</v>
      </c>
      <c r="AA14" s="1617" t="s">
        <v>20</v>
      </c>
      <c r="AB14" s="1310"/>
      <c r="AC14" s="1616">
        <v>46039</v>
      </c>
      <c r="AD14" s="1616"/>
      <c r="AE14" s="1311" t="s">
        <v>569</v>
      </c>
      <c r="AF14" s="1310"/>
      <c r="AG14" s="1616">
        <v>46040</v>
      </c>
      <c r="AH14" s="1616"/>
      <c r="AI14" s="1311" t="s">
        <v>570</v>
      </c>
      <c r="AJ14" s="1617" t="s">
        <v>1420</v>
      </c>
      <c r="AK14" s="941"/>
      <c r="AL14" s="943"/>
      <c r="AM14" s="940"/>
      <c r="AN14" s="1316" t="s">
        <v>84</v>
      </c>
      <c r="AO14" s="967"/>
      <c r="AP14" s="967"/>
      <c r="AQ14" s="967"/>
      <c r="AR14" s="967"/>
      <c r="AS14" s="967"/>
      <c r="AT14" s="1350"/>
      <c r="AU14" s="1265"/>
      <c r="AV14" s="1265"/>
      <c r="AW14" s="1265"/>
      <c r="AX14" s="1265"/>
      <c r="AY14" s="1265"/>
      <c r="AZ14" s="1265"/>
      <c r="BA14" s="1265"/>
      <c r="BB14" s="1265"/>
      <c r="BC14" s="1265"/>
      <c r="BD14" s="1265"/>
      <c r="BE14" s="1265"/>
    </row>
    <row r="15" spans="1:57" ht="13.5" hidden="1" customHeight="1">
      <c r="A15" s="1615"/>
      <c r="B15" s="1309" t="s">
        <v>23</v>
      </c>
      <c r="C15" s="1309" t="s">
        <v>24</v>
      </c>
      <c r="D15" s="1312" t="s">
        <v>25</v>
      </c>
      <c r="E15" s="1313" t="s">
        <v>14</v>
      </c>
      <c r="F15" s="1310"/>
      <c r="G15" s="1309" t="s">
        <v>23</v>
      </c>
      <c r="H15" s="1309" t="s">
        <v>24</v>
      </c>
      <c r="I15" s="1313" t="s">
        <v>25</v>
      </c>
      <c r="J15" s="1313" t="s">
        <v>14</v>
      </c>
      <c r="K15" s="1310"/>
      <c r="L15" s="1309" t="s">
        <v>23</v>
      </c>
      <c r="M15" s="1309" t="s">
        <v>24</v>
      </c>
      <c r="N15" s="1313" t="s">
        <v>25</v>
      </c>
      <c r="O15" s="1313" t="s">
        <v>14</v>
      </c>
      <c r="P15" s="1310"/>
      <c r="Q15" s="1309" t="s">
        <v>23</v>
      </c>
      <c r="R15" s="1309" t="s">
        <v>24</v>
      </c>
      <c r="S15" s="1313" t="s">
        <v>25</v>
      </c>
      <c r="T15" s="1313" t="s">
        <v>14</v>
      </c>
      <c r="U15" s="1310"/>
      <c r="V15" s="1309" t="s">
        <v>23</v>
      </c>
      <c r="W15" s="1309" t="s">
        <v>24</v>
      </c>
      <c r="X15" s="1313" t="s">
        <v>25</v>
      </c>
      <c r="Y15" s="1313" t="s">
        <v>14</v>
      </c>
      <c r="Z15" s="1617"/>
      <c r="AA15" s="1617"/>
      <c r="AB15" s="1310"/>
      <c r="AC15" s="1309" t="s">
        <v>23</v>
      </c>
      <c r="AD15" s="1309" t="s">
        <v>24</v>
      </c>
      <c r="AE15" s="1313" t="s">
        <v>25</v>
      </c>
      <c r="AF15" s="1310"/>
      <c r="AG15" s="1309" t="s">
        <v>23</v>
      </c>
      <c r="AH15" s="1309" t="s">
        <v>24</v>
      </c>
      <c r="AI15" s="1313" t="s">
        <v>25</v>
      </c>
      <c r="AJ15" s="1617"/>
      <c r="AK15" s="941"/>
      <c r="AL15" s="943"/>
      <c r="AM15" s="940"/>
      <c r="AN15" s="1316" t="s">
        <v>26</v>
      </c>
      <c r="AO15" s="1329">
        <f>Z38</f>
        <v>550</v>
      </c>
      <c r="AP15" s="1330">
        <v>40.31</v>
      </c>
      <c r="AQ15" s="1330">
        <f>AP15*AO15</f>
        <v>22170.5</v>
      </c>
      <c r="AR15" s="967"/>
      <c r="AS15" s="967"/>
      <c r="AT15" s="1350"/>
      <c r="AU15" s="1265"/>
      <c r="AV15" s="1265"/>
      <c r="AW15" s="1265"/>
      <c r="AX15" s="1265"/>
      <c r="AY15" s="1265"/>
      <c r="AZ15" s="1265"/>
      <c r="BA15" s="1265"/>
      <c r="BB15" s="1265"/>
      <c r="BC15" s="1265"/>
      <c r="BD15" s="1265"/>
      <c r="BE15" s="1265"/>
    </row>
    <row r="16" spans="1:57" ht="13.5" hidden="1" customHeight="1">
      <c r="A16" s="1315" t="s">
        <v>72</v>
      </c>
      <c r="B16" s="1315">
        <v>0.29166666666666669</v>
      </c>
      <c r="C16" s="1315">
        <v>0.125</v>
      </c>
      <c r="D16" s="1312">
        <v>8</v>
      </c>
      <c r="E16" s="1312"/>
      <c r="F16" s="1310"/>
      <c r="G16" s="1315">
        <v>0.29166666666666669</v>
      </c>
      <c r="H16" s="1315">
        <v>0.125</v>
      </c>
      <c r="I16" s="1312">
        <v>8</v>
      </c>
      <c r="J16" s="1312"/>
      <c r="K16" s="1310"/>
      <c r="L16" s="1315">
        <v>0.29166666666666669</v>
      </c>
      <c r="M16" s="1315">
        <v>0.125</v>
      </c>
      <c r="N16" s="1312">
        <v>8</v>
      </c>
      <c r="O16" s="1312"/>
      <c r="P16" s="1310"/>
      <c r="Q16" s="1315">
        <v>0.29166666666666669</v>
      </c>
      <c r="R16" s="1315">
        <v>0.125</v>
      </c>
      <c r="S16" s="1312">
        <v>8</v>
      </c>
      <c r="T16" s="1312"/>
      <c r="U16" s="1310"/>
      <c r="V16" s="1315">
        <v>0.29166666666666669</v>
      </c>
      <c r="W16" s="1315">
        <v>0.125</v>
      </c>
      <c r="X16" s="1312">
        <v>8</v>
      </c>
      <c r="Y16" s="1312"/>
      <c r="Z16" s="1314">
        <f>D16+I16+N16+S16+X16</f>
        <v>40</v>
      </c>
      <c r="AA16" s="1316">
        <f>E16+J16+O16+T16+Y16</f>
        <v>0</v>
      </c>
      <c r="AB16" s="1310"/>
      <c r="AC16" s="1317"/>
      <c r="AD16" s="1317"/>
      <c r="AE16" s="1312"/>
      <c r="AF16" s="1310"/>
      <c r="AG16" s="1317"/>
      <c r="AH16" s="1317"/>
      <c r="AI16" s="1312"/>
      <c r="AJ16" s="1314">
        <f>SUM(AE16+AI16)</f>
        <v>0</v>
      </c>
      <c r="AK16" s="941"/>
      <c r="AL16" s="943"/>
      <c r="AM16" s="940"/>
      <c r="AN16" s="1316" t="s">
        <v>1421</v>
      </c>
      <c r="AO16" s="1329">
        <f>Z39</f>
        <v>183.75</v>
      </c>
      <c r="AP16" s="1330">
        <v>60.47</v>
      </c>
      <c r="AQ16" s="1330">
        <f>AP16*AO16</f>
        <v>11111.362499999999</v>
      </c>
      <c r="AR16" s="967"/>
      <c r="AS16" s="967"/>
      <c r="AT16" s="1350"/>
      <c r="AU16" s="1265"/>
      <c r="AV16" s="1265"/>
      <c r="AW16" s="1265"/>
      <c r="AX16" s="1265"/>
      <c r="AY16" s="1265"/>
      <c r="AZ16" s="1265"/>
      <c r="BA16" s="1265"/>
      <c r="BB16" s="1265"/>
      <c r="BC16" s="1265"/>
      <c r="BD16" s="1265"/>
      <c r="BE16" s="1265"/>
    </row>
    <row r="17" spans="1:57" ht="13.5" hidden="1" customHeight="1">
      <c r="A17" s="1318" t="s">
        <v>1166</v>
      </c>
      <c r="B17" s="1315">
        <v>0.29166666666666669</v>
      </c>
      <c r="C17" s="1315">
        <v>0.125</v>
      </c>
      <c r="D17" s="1312">
        <v>8</v>
      </c>
      <c r="E17" s="1312"/>
      <c r="F17" s="1310"/>
      <c r="G17" s="1315">
        <v>0.29166666666666669</v>
      </c>
      <c r="H17" s="1315">
        <v>0.125</v>
      </c>
      <c r="I17" s="1312">
        <v>8</v>
      </c>
      <c r="J17" s="1312"/>
      <c r="K17" s="1310"/>
      <c r="L17" s="1315">
        <v>0.29166666666666669</v>
      </c>
      <c r="M17" s="1315">
        <v>0.125</v>
      </c>
      <c r="N17" s="1312">
        <v>8</v>
      </c>
      <c r="O17" s="1312"/>
      <c r="P17" s="1310"/>
      <c r="Q17" s="1315">
        <v>0.29166666666666669</v>
      </c>
      <c r="R17" s="1315">
        <v>0.125</v>
      </c>
      <c r="S17" s="1312">
        <v>8</v>
      </c>
      <c r="T17" s="1312">
        <v>2</v>
      </c>
      <c r="U17" s="1310"/>
      <c r="V17" s="1315">
        <v>0.29166666666666669</v>
      </c>
      <c r="W17" s="1315">
        <v>0.125</v>
      </c>
      <c r="X17" s="1312">
        <v>8</v>
      </c>
      <c r="Y17" s="1312"/>
      <c r="Z17" s="1314">
        <f t="shared" ref="Z17:Z32" si="0">D17+I17+N17+S17+X17</f>
        <v>40</v>
      </c>
      <c r="AA17" s="1316">
        <f t="shared" ref="AA17:AA32" si="1">E17+J17+O17+T17+Y17</f>
        <v>2</v>
      </c>
      <c r="AB17" s="1310"/>
      <c r="AC17" s="1315"/>
      <c r="AD17" s="1315"/>
      <c r="AE17" s="1312"/>
      <c r="AF17" s="1310"/>
      <c r="AG17" s="1315"/>
      <c r="AH17" s="1315"/>
      <c r="AI17" s="1312"/>
      <c r="AJ17" s="1314">
        <f t="shared" ref="AJ17:AJ37" si="2">SUM(AE17+AI17)</f>
        <v>0</v>
      </c>
      <c r="AK17" s="941"/>
      <c r="AL17" s="943"/>
      <c r="AM17" s="940"/>
      <c r="AN17" s="1316" t="s">
        <v>30</v>
      </c>
      <c r="AO17" s="1329">
        <f>AA38</f>
        <v>6.75</v>
      </c>
      <c r="AP17" s="1330">
        <v>60.465000000000003</v>
      </c>
      <c r="AQ17" s="1330">
        <f>AP17*AO17</f>
        <v>408.13875000000002</v>
      </c>
      <c r="AR17" s="967"/>
      <c r="AS17" s="967"/>
      <c r="AT17" s="1350"/>
      <c r="AU17" s="1265"/>
      <c r="AV17" s="1265"/>
      <c r="AW17" s="1265"/>
      <c r="AX17" s="1265"/>
      <c r="AY17" s="1265"/>
      <c r="AZ17" s="1265"/>
      <c r="BA17" s="1265"/>
      <c r="BB17" s="1265"/>
      <c r="BC17" s="1265"/>
      <c r="BD17" s="1265"/>
      <c r="BE17" s="1265"/>
    </row>
    <row r="18" spans="1:57" ht="13.5" hidden="1" customHeight="1">
      <c r="A18" s="1318" t="s">
        <v>1426</v>
      </c>
      <c r="B18" s="1315">
        <v>0.29166666666666669</v>
      </c>
      <c r="C18" s="1315">
        <v>0.125</v>
      </c>
      <c r="D18" s="1312">
        <v>8</v>
      </c>
      <c r="E18" s="1312"/>
      <c r="F18" s="1310"/>
      <c r="G18" s="1315">
        <v>0.29166666666666669</v>
      </c>
      <c r="H18" s="1315">
        <v>0.125</v>
      </c>
      <c r="I18" s="1312">
        <v>8</v>
      </c>
      <c r="J18" s="1312"/>
      <c r="K18" s="1310"/>
      <c r="L18" s="1315">
        <v>0.29166666666666669</v>
      </c>
      <c r="M18" s="1315">
        <v>0.125</v>
      </c>
      <c r="N18" s="1312">
        <v>8</v>
      </c>
      <c r="O18" s="1312"/>
      <c r="P18" s="1310"/>
      <c r="Q18" s="1315">
        <v>0.29166666666666669</v>
      </c>
      <c r="R18" s="1315">
        <v>0.125</v>
      </c>
      <c r="S18" s="1312">
        <v>8</v>
      </c>
      <c r="T18" s="1312"/>
      <c r="U18" s="1310"/>
      <c r="V18" s="1315">
        <v>0.29166666666666669</v>
      </c>
      <c r="W18" s="1315"/>
      <c r="X18" s="1312">
        <v>7.75</v>
      </c>
      <c r="Y18" s="1312"/>
      <c r="Z18" s="1314">
        <f t="shared" si="0"/>
        <v>39.75</v>
      </c>
      <c r="AA18" s="1316">
        <f t="shared" si="1"/>
        <v>0</v>
      </c>
      <c r="AB18" s="1310"/>
      <c r="AC18" s="1315"/>
      <c r="AD18" s="1315"/>
      <c r="AE18" s="1312"/>
      <c r="AF18" s="1310"/>
      <c r="AG18" s="1315"/>
      <c r="AH18" s="1315"/>
      <c r="AI18" s="1312"/>
      <c r="AJ18" s="1314">
        <f t="shared" si="2"/>
        <v>0</v>
      </c>
      <c r="AK18" s="941"/>
      <c r="AL18" s="943"/>
      <c r="AM18" s="940"/>
      <c r="AN18" s="1316" t="s">
        <v>32</v>
      </c>
      <c r="AO18" s="1329">
        <f>AJ38</f>
        <v>17.5</v>
      </c>
      <c r="AP18" s="1330">
        <v>60.465000000000003</v>
      </c>
      <c r="AQ18" s="1330">
        <f>AP18*AO18</f>
        <v>1058.1375</v>
      </c>
      <c r="AR18" s="967"/>
      <c r="AS18" s="967"/>
      <c r="AT18" s="1350"/>
      <c r="AU18" s="1265"/>
      <c r="AV18" s="1265"/>
      <c r="AW18" s="1265"/>
      <c r="AX18" s="1265"/>
      <c r="AY18" s="1265"/>
      <c r="AZ18" s="1265"/>
      <c r="BA18" s="1265"/>
      <c r="BB18" s="1265"/>
      <c r="BC18" s="1265"/>
      <c r="BD18" s="1265"/>
      <c r="BE18" s="1265"/>
    </row>
    <row r="19" spans="1:57" ht="13.5" hidden="1" customHeight="1">
      <c r="A19" s="1318" t="s">
        <v>1060</v>
      </c>
      <c r="B19" s="1315">
        <v>0.29166666666666669</v>
      </c>
      <c r="C19" s="1315">
        <v>0.125</v>
      </c>
      <c r="D19" s="1312">
        <v>8</v>
      </c>
      <c r="E19" s="1312"/>
      <c r="F19" s="1310"/>
      <c r="G19" s="1315">
        <v>0.29166666666666669</v>
      </c>
      <c r="H19" s="1315">
        <v>0.13541666666666666</v>
      </c>
      <c r="I19" s="1312">
        <v>8</v>
      </c>
      <c r="J19" s="1312">
        <v>0.25</v>
      </c>
      <c r="K19" s="1310"/>
      <c r="L19" s="1315">
        <v>0.29166666666666669</v>
      </c>
      <c r="M19" s="1315">
        <v>0.125</v>
      </c>
      <c r="N19" s="1312">
        <v>8</v>
      </c>
      <c r="O19" s="1312"/>
      <c r="P19" s="1310"/>
      <c r="Q19" s="1315">
        <v>0.29166666666666669</v>
      </c>
      <c r="R19" s="1315">
        <v>0.125</v>
      </c>
      <c r="S19" s="1312">
        <v>8</v>
      </c>
      <c r="T19" s="1312"/>
      <c r="U19" s="1310"/>
      <c r="V19" s="1315">
        <v>0.29166666666666669</v>
      </c>
      <c r="W19" s="1315">
        <v>0.125</v>
      </c>
      <c r="X19" s="1312">
        <v>8</v>
      </c>
      <c r="Y19" s="1312"/>
      <c r="Z19" s="1314">
        <f t="shared" si="0"/>
        <v>40</v>
      </c>
      <c r="AA19" s="1316">
        <f t="shared" si="1"/>
        <v>0.25</v>
      </c>
      <c r="AB19" s="1310"/>
      <c r="AC19" s="1315"/>
      <c r="AD19" s="1315"/>
      <c r="AE19" s="1312"/>
      <c r="AF19" s="1310"/>
      <c r="AG19" s="1315"/>
      <c r="AH19" s="1315"/>
      <c r="AI19" s="1312"/>
      <c r="AJ19" s="1314">
        <f t="shared" si="2"/>
        <v>0</v>
      </c>
      <c r="AK19" s="941"/>
      <c r="AL19" s="943"/>
      <c r="AM19" s="940"/>
      <c r="AN19" s="1316" t="s">
        <v>1475</v>
      </c>
      <c r="AO19" s="1329">
        <f>AA39+AJ39</f>
        <v>0</v>
      </c>
      <c r="AP19" s="1330">
        <f>(60.47*1.5)</f>
        <v>90.704999999999998</v>
      </c>
      <c r="AQ19" s="1330">
        <f t="shared" ref="AQ19" si="3">AP19*AO19</f>
        <v>0</v>
      </c>
      <c r="AR19" s="967"/>
      <c r="AS19" s="967"/>
      <c r="AT19" s="1350"/>
      <c r="AU19" s="1265"/>
      <c r="AV19" s="1265"/>
      <c r="AW19" s="1265"/>
      <c r="AX19" s="1265"/>
      <c r="AY19" s="1265"/>
      <c r="AZ19" s="1265"/>
      <c r="BA19" s="1265"/>
      <c r="BB19" s="1265"/>
      <c r="BC19" s="1265"/>
      <c r="BD19" s="1265"/>
      <c r="BE19" s="1265"/>
    </row>
    <row r="20" spans="1:57" ht="13.5" hidden="1" customHeight="1">
      <c r="A20" s="1318" t="s">
        <v>1438</v>
      </c>
      <c r="B20" s="1315">
        <v>0.29166666666666669</v>
      </c>
      <c r="C20" s="1315">
        <v>0.125</v>
      </c>
      <c r="D20" s="1312">
        <v>8</v>
      </c>
      <c r="E20" s="1312"/>
      <c r="F20" s="1310"/>
      <c r="G20" s="1315">
        <v>0.29166666666666669</v>
      </c>
      <c r="H20" s="1315">
        <v>0.125</v>
      </c>
      <c r="I20" s="1312">
        <v>8</v>
      </c>
      <c r="J20" s="1312"/>
      <c r="K20" s="1310"/>
      <c r="L20" s="1315">
        <v>0.29166666666666669</v>
      </c>
      <c r="M20" s="1315">
        <v>0.13541666666666666</v>
      </c>
      <c r="N20" s="1312">
        <v>8</v>
      </c>
      <c r="O20" s="1312">
        <v>0.25</v>
      </c>
      <c r="P20" s="1310"/>
      <c r="Q20" s="1315">
        <v>0.29166666666666669</v>
      </c>
      <c r="R20" s="1315">
        <v>0.125</v>
      </c>
      <c r="S20" s="1312">
        <v>8</v>
      </c>
      <c r="T20" s="1312"/>
      <c r="U20" s="1310"/>
      <c r="V20" s="1315">
        <v>0.29166666666666669</v>
      </c>
      <c r="W20" s="1315">
        <v>0.125</v>
      </c>
      <c r="X20" s="1312">
        <v>8</v>
      </c>
      <c r="Y20" s="1312"/>
      <c r="Z20" s="1314">
        <f t="shared" si="0"/>
        <v>40</v>
      </c>
      <c r="AA20" s="1316">
        <f t="shared" si="1"/>
        <v>0.25</v>
      </c>
      <c r="AB20" s="1310"/>
      <c r="AC20" s="1315"/>
      <c r="AD20" s="1315"/>
      <c r="AE20" s="1312"/>
      <c r="AF20" s="1310"/>
      <c r="AG20" s="1315"/>
      <c r="AH20" s="1315"/>
      <c r="AI20" s="1312"/>
      <c r="AJ20" s="1314">
        <f t="shared" si="2"/>
        <v>0</v>
      </c>
      <c r="AK20" s="941"/>
      <c r="AL20" s="943"/>
      <c r="AM20" s="940"/>
      <c r="AN20" s="1316" t="s">
        <v>213</v>
      </c>
      <c r="AO20" s="1329">
        <f>Z40</f>
        <v>40</v>
      </c>
      <c r="AP20" s="1330">
        <v>53.05</v>
      </c>
      <c r="AQ20" s="1330">
        <f>AP20*AO20</f>
        <v>2122</v>
      </c>
      <c r="AR20" s="967"/>
      <c r="AS20" s="967"/>
      <c r="AT20" s="1350"/>
      <c r="AU20" s="1265"/>
      <c r="AV20" s="1265"/>
      <c r="AW20" s="1265"/>
      <c r="AX20" s="1265"/>
      <c r="AY20" s="1265"/>
      <c r="AZ20" s="1265"/>
      <c r="BA20" s="1265"/>
      <c r="BB20" s="1265"/>
      <c r="BC20" s="1265"/>
      <c r="BD20" s="1265"/>
      <c r="BE20" s="1265"/>
    </row>
    <row r="21" spans="1:57" ht="13.5" hidden="1" customHeight="1">
      <c r="A21" s="1318" t="s">
        <v>1142</v>
      </c>
      <c r="B21" s="1315">
        <v>0.125</v>
      </c>
      <c r="C21" s="1315">
        <v>0.45833333333333331</v>
      </c>
      <c r="D21" s="1312">
        <v>8</v>
      </c>
      <c r="E21" s="1312"/>
      <c r="F21" s="1310"/>
      <c r="G21" s="1315">
        <v>0.125</v>
      </c>
      <c r="H21" s="1315">
        <v>0.45833333333333331</v>
      </c>
      <c r="I21" s="1312">
        <v>8</v>
      </c>
      <c r="J21" s="1312"/>
      <c r="K21" s="1312"/>
      <c r="L21" s="1315">
        <v>0.125</v>
      </c>
      <c r="M21" s="1315">
        <v>0.45833333333333331</v>
      </c>
      <c r="N21" s="1312">
        <v>8</v>
      </c>
      <c r="O21" s="1312"/>
      <c r="P21" s="1312"/>
      <c r="Q21" s="1315">
        <v>0.125</v>
      </c>
      <c r="R21" s="1315">
        <v>0.45833333333333331</v>
      </c>
      <c r="S21" s="1312">
        <v>8</v>
      </c>
      <c r="T21" s="1312"/>
      <c r="U21" s="1312"/>
      <c r="V21" s="1315">
        <v>0.125</v>
      </c>
      <c r="W21" s="1315">
        <v>0.45833333333333331</v>
      </c>
      <c r="X21" s="1312">
        <v>8</v>
      </c>
      <c r="Y21" s="1312"/>
      <c r="Z21" s="1314">
        <f t="shared" si="0"/>
        <v>40</v>
      </c>
      <c r="AA21" s="1316">
        <f t="shared" si="1"/>
        <v>0</v>
      </c>
      <c r="AB21" s="1310"/>
      <c r="AC21" s="1315"/>
      <c r="AD21" s="1315"/>
      <c r="AE21" s="1312"/>
      <c r="AF21" s="1310"/>
      <c r="AG21" s="1315"/>
      <c r="AH21" s="1315"/>
      <c r="AI21" s="1312"/>
      <c r="AJ21" s="1314">
        <f t="shared" si="2"/>
        <v>0</v>
      </c>
      <c r="AK21" s="941"/>
      <c r="AL21" s="943"/>
      <c r="AM21" s="940"/>
      <c r="AN21" s="1316" t="s">
        <v>36</v>
      </c>
      <c r="AO21" s="1329">
        <f>AA40+AJ40</f>
        <v>6.75</v>
      </c>
      <c r="AP21" s="1330">
        <f>53.05*1.5</f>
        <v>79.574999999999989</v>
      </c>
      <c r="AQ21" s="1330">
        <f>AP21*AO21</f>
        <v>537.13124999999991</v>
      </c>
      <c r="AR21" s="967"/>
      <c r="AS21" s="967"/>
      <c r="AT21" s="1350"/>
      <c r="AU21" s="1265"/>
      <c r="AV21" s="1265"/>
      <c r="AW21" s="1265"/>
      <c r="AX21" s="1265"/>
      <c r="AY21" s="1265"/>
      <c r="AZ21" s="1265"/>
      <c r="BA21" s="1265"/>
      <c r="BB21" s="1265"/>
      <c r="BC21" s="1265"/>
      <c r="BD21" s="1265"/>
      <c r="BE21" s="1265"/>
    </row>
    <row r="22" spans="1:57" ht="13.5" hidden="1" customHeight="1">
      <c r="A22" s="1318" t="s">
        <v>1447</v>
      </c>
      <c r="B22" s="1315">
        <v>0.125</v>
      </c>
      <c r="C22" s="1315">
        <v>0.45833333333333331</v>
      </c>
      <c r="D22" s="1312">
        <v>8</v>
      </c>
      <c r="E22" s="1312"/>
      <c r="F22" s="1310"/>
      <c r="G22" s="1315">
        <v>0.125</v>
      </c>
      <c r="H22" s="1315"/>
      <c r="I22" s="1312">
        <v>8</v>
      </c>
      <c r="J22" s="1312"/>
      <c r="K22" s="1312"/>
      <c r="L22" s="1315"/>
      <c r="M22" s="1315">
        <v>0.45833333333333331</v>
      </c>
      <c r="N22" s="1312">
        <v>7.75</v>
      </c>
      <c r="O22" s="1312"/>
      <c r="P22" s="1312"/>
      <c r="Q22" s="1315">
        <v>0.125</v>
      </c>
      <c r="R22" s="1315">
        <v>0.45833333333333331</v>
      </c>
      <c r="S22" s="1312">
        <v>8</v>
      </c>
      <c r="T22" s="1312"/>
      <c r="U22" s="1312"/>
      <c r="V22" s="1315">
        <v>0.125</v>
      </c>
      <c r="W22" s="1315">
        <v>0.45833333333333331</v>
      </c>
      <c r="X22" s="1312">
        <v>8</v>
      </c>
      <c r="Y22" s="1312"/>
      <c r="Z22" s="1314">
        <f t="shared" si="0"/>
        <v>39.75</v>
      </c>
      <c r="AA22" s="1316">
        <f t="shared" si="1"/>
        <v>0</v>
      </c>
      <c r="AB22" s="1310"/>
      <c r="AC22" s="1315"/>
      <c r="AD22" s="1315"/>
      <c r="AE22" s="1312"/>
      <c r="AF22" s="1310"/>
      <c r="AG22" s="1315"/>
      <c r="AH22" s="1315"/>
      <c r="AI22" s="1312"/>
      <c r="AJ22" s="1314">
        <f t="shared" si="2"/>
        <v>0</v>
      </c>
      <c r="AK22" s="941"/>
      <c r="AL22" s="943"/>
      <c r="AM22" s="940"/>
      <c r="AN22" s="967"/>
      <c r="AO22" s="967"/>
      <c r="AP22" s="967"/>
      <c r="AQ22" s="1331">
        <f>SUM(AQ15:AQ21)</f>
        <v>37407.269999999997</v>
      </c>
      <c r="AR22" s="967"/>
      <c r="AS22" s="967"/>
      <c r="AT22" s="1350"/>
      <c r="AU22" s="1265"/>
      <c r="AV22" s="1265"/>
      <c r="AW22" s="1265"/>
      <c r="AX22" s="1265"/>
      <c r="AY22" s="1265"/>
      <c r="AZ22" s="1265"/>
      <c r="BA22" s="1265"/>
      <c r="BB22" s="1265"/>
      <c r="BC22" s="1265"/>
      <c r="BD22" s="1265"/>
      <c r="BE22" s="1265"/>
    </row>
    <row r="23" spans="1:57" ht="13.5" hidden="1" customHeight="1">
      <c r="A23" s="1310" t="s">
        <v>327</v>
      </c>
      <c r="B23" s="1315">
        <v>0.125</v>
      </c>
      <c r="C23" s="1315">
        <v>0.45833333333333331</v>
      </c>
      <c r="D23" s="1312">
        <v>8</v>
      </c>
      <c r="E23" s="1312"/>
      <c r="F23" s="1312"/>
      <c r="G23" s="1315">
        <v>0.125</v>
      </c>
      <c r="H23" s="1315">
        <v>0.45833333333333331</v>
      </c>
      <c r="I23" s="1312">
        <v>8</v>
      </c>
      <c r="J23" s="1312"/>
      <c r="K23" s="1312"/>
      <c r="L23" s="1315">
        <v>0.125</v>
      </c>
      <c r="M23" s="1315">
        <v>0.45833333333333331</v>
      </c>
      <c r="N23" s="1312">
        <v>8</v>
      </c>
      <c r="O23" s="1312"/>
      <c r="P23" s="1312"/>
      <c r="Q23" s="1315">
        <v>0.125</v>
      </c>
      <c r="R23" s="1315">
        <v>0.45833333333333331</v>
      </c>
      <c r="S23" s="1312">
        <v>8</v>
      </c>
      <c r="T23" s="1312"/>
      <c r="U23" s="1312"/>
      <c r="V23" s="1315">
        <v>0.125</v>
      </c>
      <c r="W23" s="1315">
        <v>0.45833333333333331</v>
      </c>
      <c r="X23" s="1312">
        <v>8</v>
      </c>
      <c r="Y23" s="1312"/>
      <c r="Z23" s="1314">
        <f t="shared" si="0"/>
        <v>40</v>
      </c>
      <c r="AA23" s="1316">
        <f t="shared" si="1"/>
        <v>0</v>
      </c>
      <c r="AB23" s="1310"/>
      <c r="AC23" s="1315"/>
      <c r="AD23" s="1315"/>
      <c r="AE23" s="1312"/>
      <c r="AF23" s="1310"/>
      <c r="AG23" s="1315"/>
      <c r="AH23" s="1315"/>
      <c r="AI23" s="1312"/>
      <c r="AJ23" s="1314">
        <f t="shared" si="2"/>
        <v>0</v>
      </c>
      <c r="AK23" s="941"/>
      <c r="AL23" s="943"/>
      <c r="AM23" s="940"/>
      <c r="AN23" s="967"/>
      <c r="AO23" s="967"/>
      <c r="AP23" s="967"/>
      <c r="AQ23" s="967"/>
      <c r="AR23" s="967"/>
      <c r="AS23" s="967"/>
      <c r="AT23" s="1350"/>
      <c r="AU23" s="1265"/>
      <c r="AV23" s="1265"/>
      <c r="AW23" s="1265"/>
      <c r="AX23" s="1265"/>
      <c r="AY23" s="1265"/>
      <c r="AZ23" s="1265"/>
      <c r="BA23" s="1265"/>
      <c r="BB23" s="1265"/>
      <c r="BC23" s="1265"/>
      <c r="BD23" s="1265"/>
      <c r="BE23" s="1265"/>
    </row>
    <row r="24" spans="1:57" ht="13.5" hidden="1" customHeight="1">
      <c r="A24" s="1310" t="s">
        <v>1436</v>
      </c>
      <c r="B24" s="1315">
        <v>0.125</v>
      </c>
      <c r="C24" s="1315">
        <v>0.45833333333333331</v>
      </c>
      <c r="D24" s="1312">
        <v>8</v>
      </c>
      <c r="E24" s="1312"/>
      <c r="F24" s="1312"/>
      <c r="G24" s="1315">
        <v>0.41666666666666669</v>
      </c>
      <c r="H24" s="1315">
        <v>0.45833333333333331</v>
      </c>
      <c r="I24" s="1312">
        <v>8</v>
      </c>
      <c r="J24" s="1312">
        <v>4</v>
      </c>
      <c r="K24" s="1312"/>
      <c r="L24" s="1315" t="s">
        <v>1476</v>
      </c>
      <c r="M24" s="1315">
        <v>0.45833333333333331</v>
      </c>
      <c r="N24" s="1312">
        <v>8</v>
      </c>
      <c r="O24" s="1312"/>
      <c r="P24" s="1312"/>
      <c r="Q24" s="1315">
        <v>0.125</v>
      </c>
      <c r="R24" s="1315">
        <v>0.45833333333333331</v>
      </c>
      <c r="S24" s="1312">
        <v>8</v>
      </c>
      <c r="T24" s="1312"/>
      <c r="U24" s="1312"/>
      <c r="V24" s="1315">
        <v>0.125</v>
      </c>
      <c r="W24" s="1315">
        <v>0.45833333333333331</v>
      </c>
      <c r="X24" s="1312">
        <v>8</v>
      </c>
      <c r="Y24" s="1312"/>
      <c r="Z24" s="1314">
        <f t="shared" si="0"/>
        <v>40</v>
      </c>
      <c r="AA24" s="1316">
        <f t="shared" si="1"/>
        <v>4</v>
      </c>
      <c r="AB24" s="1310"/>
      <c r="AC24" s="1315"/>
      <c r="AD24" s="1315"/>
      <c r="AE24" s="1312"/>
      <c r="AF24" s="1310"/>
      <c r="AG24" s="1315"/>
      <c r="AH24" s="1315"/>
      <c r="AI24" s="1312"/>
      <c r="AJ24" s="1314">
        <f t="shared" si="2"/>
        <v>0</v>
      </c>
      <c r="AK24" s="941"/>
      <c r="AL24" s="943"/>
      <c r="AM24" s="940"/>
      <c r="AN24" s="967"/>
      <c r="AO24" s="967"/>
      <c r="AP24" s="967"/>
      <c r="AQ24" s="967"/>
      <c r="AR24" s="967"/>
      <c r="AS24" s="967"/>
      <c r="AT24" s="1350"/>
      <c r="AU24" s="1265"/>
      <c r="AV24" s="1265"/>
      <c r="AW24" s="1265"/>
      <c r="AX24" s="1265"/>
      <c r="AY24" s="1265"/>
      <c r="AZ24" s="1265"/>
      <c r="BA24" s="1265"/>
      <c r="BB24" s="1265"/>
      <c r="BC24" s="1265"/>
      <c r="BD24" s="1265"/>
      <c r="BE24" s="1265"/>
    </row>
    <row r="25" spans="1:57" ht="13.5" hidden="1" customHeight="1">
      <c r="A25" s="1318" t="s">
        <v>1140</v>
      </c>
      <c r="B25" s="1315">
        <v>0.125</v>
      </c>
      <c r="C25" s="1315">
        <v>0.45833333333333331</v>
      </c>
      <c r="D25" s="1312">
        <v>8</v>
      </c>
      <c r="E25" s="1312"/>
      <c r="F25" s="1310"/>
      <c r="G25" s="1315">
        <v>0.125</v>
      </c>
      <c r="H25" s="1315">
        <v>0.45833333333333331</v>
      </c>
      <c r="I25" s="1312">
        <v>8</v>
      </c>
      <c r="J25" s="1312"/>
      <c r="K25" s="1310"/>
      <c r="L25" s="1315">
        <v>0.125</v>
      </c>
      <c r="M25" s="1315">
        <v>0.45833333333333331</v>
      </c>
      <c r="N25" s="1312">
        <v>8</v>
      </c>
      <c r="O25" s="1312"/>
      <c r="P25" s="1310"/>
      <c r="Q25" s="1315">
        <v>0.125</v>
      </c>
      <c r="R25" s="1315">
        <v>0.45833333333333331</v>
      </c>
      <c r="S25" s="1312">
        <v>8</v>
      </c>
      <c r="T25" s="1312"/>
      <c r="U25" s="1310"/>
      <c r="V25" s="1315">
        <v>0.125</v>
      </c>
      <c r="W25" s="1315">
        <v>0.45833333333333331</v>
      </c>
      <c r="X25" s="1312">
        <v>8</v>
      </c>
      <c r="Y25" s="1312"/>
      <c r="Z25" s="1314">
        <f t="shared" ref="Z25:Z31" si="4">D25+I25+N25+S25+X25</f>
        <v>40</v>
      </c>
      <c r="AA25" s="1316">
        <f t="shared" ref="AA25:AA31" si="5">E25+J25+O25+T25+Y25</f>
        <v>0</v>
      </c>
      <c r="AB25" s="1310"/>
      <c r="AC25" s="1315"/>
      <c r="AD25" s="1315"/>
      <c r="AE25" s="1312"/>
      <c r="AF25" s="1310"/>
      <c r="AG25" s="1315"/>
      <c r="AH25" s="1315"/>
      <c r="AI25" s="1312"/>
      <c r="AJ25" s="1314">
        <f t="shared" si="2"/>
        <v>0</v>
      </c>
      <c r="AK25" s="941"/>
      <c r="AL25" s="943"/>
      <c r="AM25" s="940"/>
      <c r="AN25" s="1316"/>
      <c r="AO25" s="1329"/>
      <c r="AP25" s="1330"/>
      <c r="AQ25" s="1330"/>
      <c r="AR25" s="967"/>
      <c r="AS25" s="967"/>
      <c r="AT25" s="1350"/>
      <c r="AU25" s="1265"/>
      <c r="AV25" s="1265"/>
      <c r="AW25" s="1265"/>
      <c r="AX25" s="1265"/>
      <c r="AY25" s="1265"/>
      <c r="AZ25" s="1265"/>
      <c r="BA25" s="1265"/>
      <c r="BB25" s="1265"/>
      <c r="BC25" s="1265"/>
      <c r="BD25" s="1265"/>
      <c r="BE25" s="1265"/>
    </row>
    <row r="26" spans="1:57" ht="13.5" hidden="1" customHeight="1">
      <c r="A26" s="1318" t="s">
        <v>1141</v>
      </c>
      <c r="B26" s="1315">
        <v>0.29166666666666669</v>
      </c>
      <c r="C26" s="1315">
        <v>8.3333333333333329E-2</v>
      </c>
      <c r="D26" s="1312">
        <v>7</v>
      </c>
      <c r="E26" s="1312"/>
      <c r="F26" s="1312"/>
      <c r="G26" s="1315">
        <v>0</v>
      </c>
      <c r="H26" s="1315">
        <v>0</v>
      </c>
      <c r="I26" s="1312">
        <v>0</v>
      </c>
      <c r="J26" s="1312"/>
      <c r="K26" s="1312"/>
      <c r="L26" s="1315">
        <v>0.29166666666666669</v>
      </c>
      <c r="M26" s="1315"/>
      <c r="N26" s="1312">
        <v>6</v>
      </c>
      <c r="O26" s="1312"/>
      <c r="P26" s="1312"/>
      <c r="Q26" s="1315">
        <v>0.29166666666666669</v>
      </c>
      <c r="R26" s="1315">
        <v>0.125</v>
      </c>
      <c r="S26" s="1312">
        <v>8</v>
      </c>
      <c r="T26" s="1312"/>
      <c r="U26" s="1312"/>
      <c r="V26" s="1315">
        <v>0.29166666666666669</v>
      </c>
      <c r="W26" s="1315">
        <v>0.15625</v>
      </c>
      <c r="X26" s="1312">
        <v>8</v>
      </c>
      <c r="Y26" s="1312">
        <v>0.25</v>
      </c>
      <c r="Z26" s="1314">
        <f t="shared" si="4"/>
        <v>29</v>
      </c>
      <c r="AA26" s="1316">
        <f t="shared" si="5"/>
        <v>0.25</v>
      </c>
      <c r="AB26" s="1310"/>
      <c r="AC26" s="1315">
        <v>0.29166666666666669</v>
      </c>
      <c r="AD26" s="1315">
        <v>0.22916666666666666</v>
      </c>
      <c r="AE26" s="1312">
        <v>9.5</v>
      </c>
      <c r="AF26" s="1310"/>
      <c r="AG26" s="1315"/>
      <c r="AH26" s="1315"/>
      <c r="AI26" s="1312"/>
      <c r="AJ26" s="1314">
        <f t="shared" si="2"/>
        <v>9.5</v>
      </c>
      <c r="AK26" s="941"/>
      <c r="AL26" s="943"/>
      <c r="AM26" s="940"/>
      <c r="AN26" s="967"/>
      <c r="AO26" s="967"/>
      <c r="AP26" s="967"/>
      <c r="AQ26" s="967"/>
      <c r="AR26" s="967"/>
      <c r="AS26" s="967"/>
      <c r="AT26" s="1350"/>
      <c r="AU26" s="1265"/>
      <c r="AV26" s="1265"/>
      <c r="AW26" s="1265"/>
      <c r="AX26" s="1265"/>
      <c r="AY26" s="1265"/>
      <c r="AZ26" s="1265"/>
      <c r="BA26" s="1265"/>
      <c r="BB26" s="1265"/>
      <c r="BC26" s="1265"/>
      <c r="BD26" s="1265"/>
      <c r="BE26" s="1265"/>
    </row>
    <row r="27" spans="1:57" ht="13.5" hidden="1" customHeight="1">
      <c r="A27" s="1346" t="s">
        <v>241</v>
      </c>
      <c r="B27" s="1315">
        <v>0.33333333333333331</v>
      </c>
      <c r="C27" s="1315"/>
      <c r="D27" s="1312">
        <v>7</v>
      </c>
      <c r="E27" s="1312"/>
      <c r="F27" s="1312"/>
      <c r="G27" s="1315">
        <v>0.29166666666666669</v>
      </c>
      <c r="H27" s="1315">
        <v>0.14583333333333334</v>
      </c>
      <c r="I27" s="1312">
        <v>8</v>
      </c>
      <c r="J27" s="1312"/>
      <c r="K27" s="1312"/>
      <c r="L27" s="1315">
        <v>0.20833333333333334</v>
      </c>
      <c r="M27" s="1315">
        <v>0.51041666666666663</v>
      </c>
      <c r="N27" s="1312">
        <v>7.25</v>
      </c>
      <c r="O27" s="1312"/>
      <c r="P27" s="1312"/>
      <c r="Q27" s="1315"/>
      <c r="R27" s="1315">
        <v>0.41666666666666669</v>
      </c>
      <c r="S27" s="1312">
        <v>6.5</v>
      </c>
      <c r="T27" s="1312"/>
      <c r="U27" s="1312"/>
      <c r="V27" s="1315">
        <v>0.125</v>
      </c>
      <c r="W27" s="1315">
        <v>0.41666666666666669</v>
      </c>
      <c r="X27" s="1312">
        <v>7</v>
      </c>
      <c r="Y27" s="1312"/>
      <c r="Z27" s="1314">
        <f t="shared" si="4"/>
        <v>35.75</v>
      </c>
      <c r="AA27" s="1316">
        <f t="shared" si="5"/>
        <v>0</v>
      </c>
      <c r="AB27" s="1310"/>
      <c r="AC27" s="1315">
        <v>0.29166666666666669</v>
      </c>
      <c r="AD27" s="1315">
        <v>0.125</v>
      </c>
      <c r="AE27" s="1312">
        <v>8</v>
      </c>
      <c r="AF27" s="1310"/>
      <c r="AG27" s="1315"/>
      <c r="AH27" s="1315"/>
      <c r="AI27" s="1312"/>
      <c r="AJ27" s="1314">
        <f t="shared" si="2"/>
        <v>8</v>
      </c>
      <c r="AK27" s="941"/>
      <c r="AL27" s="943"/>
      <c r="AM27" s="940"/>
      <c r="AN27" s="967"/>
      <c r="AO27" s="967"/>
      <c r="AP27" s="967"/>
      <c r="AQ27" s="967"/>
      <c r="AR27" s="967"/>
      <c r="AS27" s="967"/>
      <c r="AT27" s="1350"/>
      <c r="AU27" s="1265"/>
      <c r="AV27" s="1265"/>
      <c r="AW27" s="1265"/>
      <c r="AX27" s="1265"/>
      <c r="AY27" s="1265"/>
      <c r="AZ27" s="1265"/>
      <c r="BA27" s="1265"/>
      <c r="BB27" s="1265"/>
      <c r="BC27" s="1265"/>
      <c r="BD27" s="1265"/>
      <c r="BE27" s="1265"/>
    </row>
    <row r="28" spans="1:57" ht="13.5" hidden="1" customHeight="1">
      <c r="A28" s="1318" t="s">
        <v>1477</v>
      </c>
      <c r="B28" s="1315">
        <v>0.375</v>
      </c>
      <c r="C28" s="1315">
        <v>0.20833333333333334</v>
      </c>
      <c r="D28" s="1312">
        <v>7.5</v>
      </c>
      <c r="E28" s="1312"/>
      <c r="F28" s="1312"/>
      <c r="G28" s="1315">
        <v>0.375</v>
      </c>
      <c r="H28" s="1315">
        <v>0.20833333333333334</v>
      </c>
      <c r="I28" s="1312">
        <v>7.5</v>
      </c>
      <c r="J28" s="1312"/>
      <c r="K28" s="1312"/>
      <c r="L28" s="1315">
        <v>0.375</v>
      </c>
      <c r="M28" s="1315">
        <v>0.20833333333333334</v>
      </c>
      <c r="N28" s="1312">
        <v>7.5</v>
      </c>
      <c r="O28" s="1312"/>
      <c r="P28" s="1312"/>
      <c r="Q28" s="1315">
        <v>0.375</v>
      </c>
      <c r="R28" s="1315">
        <v>0.20833333333333334</v>
      </c>
      <c r="S28" s="1312">
        <v>7.5</v>
      </c>
      <c r="T28" s="1312"/>
      <c r="U28" s="1312"/>
      <c r="V28" s="1315">
        <v>0.375</v>
      </c>
      <c r="W28" s="1315">
        <v>0.22916666666666666</v>
      </c>
      <c r="X28" s="1312">
        <v>8</v>
      </c>
      <c r="Y28" s="1312"/>
      <c r="Z28" s="1314">
        <f t="shared" ref="Z28:Z29" si="6">D28+I28+N28+S28+X28</f>
        <v>38</v>
      </c>
      <c r="AA28" s="1316">
        <f t="shared" ref="AA28:AA29" si="7">E28+J28+O28+T28+Y28</f>
        <v>0</v>
      </c>
      <c r="AB28" s="1310"/>
      <c r="AC28" s="1315"/>
      <c r="AD28" s="1315"/>
      <c r="AE28" s="1312"/>
      <c r="AF28" s="1310"/>
      <c r="AG28" s="1315"/>
      <c r="AH28" s="1315"/>
      <c r="AI28" s="1312"/>
      <c r="AJ28" s="1314">
        <f t="shared" ref="AJ28:AJ29" si="8">SUM(AE28+AI28)</f>
        <v>0</v>
      </c>
      <c r="AK28" s="941"/>
      <c r="AL28" s="943"/>
      <c r="AM28" s="940"/>
      <c r="AN28" s="967"/>
      <c r="AO28" s="967"/>
      <c r="AP28" s="967"/>
      <c r="AQ28" s="967"/>
      <c r="AR28" s="967"/>
      <c r="AS28" s="967"/>
      <c r="AT28" s="1350"/>
      <c r="AU28" s="1265"/>
      <c r="AV28" s="1265"/>
      <c r="AW28" s="1265"/>
      <c r="AX28" s="1265"/>
      <c r="AY28" s="1265"/>
      <c r="AZ28" s="1265"/>
      <c r="BA28" s="1265"/>
      <c r="BB28" s="1265"/>
      <c r="BC28" s="1265"/>
      <c r="BD28" s="1265"/>
      <c r="BE28" s="1265"/>
    </row>
    <row r="29" spans="1:57" ht="13.5" hidden="1" customHeight="1">
      <c r="A29" s="1318" t="s">
        <v>1444</v>
      </c>
      <c r="B29" s="1315">
        <v>0.375</v>
      </c>
      <c r="C29" s="1315">
        <v>0.20833333333333334</v>
      </c>
      <c r="D29" s="1312">
        <v>7.5</v>
      </c>
      <c r="E29" s="1312"/>
      <c r="F29" s="1312"/>
      <c r="G29" s="1315">
        <v>0.375</v>
      </c>
      <c r="H29" s="1315"/>
      <c r="I29" s="1312">
        <v>7.5</v>
      </c>
      <c r="J29" s="1312"/>
      <c r="K29" s="1312"/>
      <c r="L29" s="1315">
        <v>0.375</v>
      </c>
      <c r="M29" s="1315"/>
      <c r="N29" s="1312">
        <v>7.25</v>
      </c>
      <c r="O29" s="1312"/>
      <c r="P29" s="1312"/>
      <c r="Q29" s="1315">
        <v>0.375</v>
      </c>
      <c r="R29" s="1315"/>
      <c r="S29" s="1312">
        <v>7.25</v>
      </c>
      <c r="T29" s="1312"/>
      <c r="U29" s="1312"/>
      <c r="V29" s="1315">
        <v>0.375</v>
      </c>
      <c r="W29" s="1315"/>
      <c r="X29" s="1312">
        <v>7.25</v>
      </c>
      <c r="Y29" s="1312"/>
      <c r="Z29" s="1314">
        <f t="shared" si="6"/>
        <v>36.75</v>
      </c>
      <c r="AA29" s="1316">
        <f t="shared" si="7"/>
        <v>0</v>
      </c>
      <c r="AB29" s="1310"/>
      <c r="AC29" s="1315"/>
      <c r="AD29" s="1315"/>
      <c r="AE29" s="1312"/>
      <c r="AF29" s="1310"/>
      <c r="AG29" s="1315"/>
      <c r="AH29" s="1315"/>
      <c r="AI29" s="1312"/>
      <c r="AJ29" s="1314">
        <f t="shared" si="8"/>
        <v>0</v>
      </c>
      <c r="AK29" s="941"/>
      <c r="AL29" s="943"/>
      <c r="AM29" s="940"/>
      <c r="AN29" s="967"/>
      <c r="AO29" s="967"/>
      <c r="AP29" s="967"/>
      <c r="AQ29" s="967"/>
      <c r="AR29" s="967"/>
      <c r="AS29" s="967"/>
      <c r="AT29" s="1350"/>
      <c r="AU29" s="1265"/>
      <c r="AV29" s="1265"/>
      <c r="AW29" s="1265"/>
      <c r="AX29" s="1265"/>
      <c r="AY29" s="1265"/>
      <c r="AZ29" s="1265"/>
      <c r="BA29" s="1265"/>
      <c r="BB29" s="1265"/>
      <c r="BC29" s="1265"/>
      <c r="BD29" s="1265"/>
      <c r="BE29" s="1265"/>
    </row>
    <row r="30" spans="1:57" ht="13.5" hidden="1" customHeight="1">
      <c r="A30" s="1318" t="s">
        <v>1143</v>
      </c>
      <c r="B30" s="1315"/>
      <c r="C30" s="1315"/>
      <c r="D30" s="1312">
        <v>0</v>
      </c>
      <c r="E30" s="1312"/>
      <c r="F30" s="1312"/>
      <c r="G30" s="1315"/>
      <c r="H30" s="1315"/>
      <c r="I30" s="1312">
        <v>0</v>
      </c>
      <c r="J30" s="1312"/>
      <c r="K30" s="1312"/>
      <c r="L30" s="1315"/>
      <c r="M30" s="1315"/>
      <c r="N30" s="1312">
        <v>0</v>
      </c>
      <c r="O30" s="1312"/>
      <c r="P30" s="1312"/>
      <c r="Q30" s="1315"/>
      <c r="R30" s="1315"/>
      <c r="S30" s="1312">
        <v>0</v>
      </c>
      <c r="T30" s="1312"/>
      <c r="U30" s="1312"/>
      <c r="V30" s="1315"/>
      <c r="W30" s="1315"/>
      <c r="X30" s="1312">
        <v>0</v>
      </c>
      <c r="Y30" s="1312"/>
      <c r="Z30" s="1314">
        <f t="shared" si="4"/>
        <v>0</v>
      </c>
      <c r="AA30" s="1316">
        <f t="shared" si="5"/>
        <v>0</v>
      </c>
      <c r="AB30" s="1310"/>
      <c r="AC30" s="1315"/>
      <c r="AD30" s="1315"/>
      <c r="AE30" s="1312"/>
      <c r="AF30" s="1310"/>
      <c r="AG30" s="1315"/>
      <c r="AH30" s="1315"/>
      <c r="AI30" s="1312"/>
      <c r="AJ30" s="1314">
        <f t="shared" si="2"/>
        <v>0</v>
      </c>
      <c r="AK30" s="941"/>
      <c r="AL30" s="943"/>
      <c r="AM30" s="940"/>
      <c r="AN30" s="967"/>
      <c r="AO30" s="967"/>
      <c r="AP30" s="967"/>
      <c r="AQ30" s="967"/>
      <c r="AR30" s="967"/>
      <c r="AS30" s="967"/>
      <c r="AT30" s="1350"/>
      <c r="AU30" s="1265"/>
      <c r="AV30" s="1265"/>
      <c r="AW30" s="1265"/>
      <c r="AX30" s="1265"/>
      <c r="AY30" s="1265"/>
      <c r="AZ30" s="1265"/>
      <c r="BA30" s="1265"/>
      <c r="BB30" s="1265"/>
      <c r="BC30" s="1265"/>
      <c r="BD30" s="1265"/>
      <c r="BE30" s="1265"/>
    </row>
    <row r="31" spans="1:57" ht="13.5" hidden="1" customHeight="1">
      <c r="A31" s="1318" t="s">
        <v>813</v>
      </c>
      <c r="B31" s="1315"/>
      <c r="C31" s="1315"/>
      <c r="D31" s="1312">
        <v>3</v>
      </c>
      <c r="E31" s="1312"/>
      <c r="F31" s="1310"/>
      <c r="G31" s="1315"/>
      <c r="H31" s="1315"/>
      <c r="I31" s="1312">
        <v>2</v>
      </c>
      <c r="J31" s="1312"/>
      <c r="K31" s="1310"/>
      <c r="L31" s="1315"/>
      <c r="M31" s="1315"/>
      <c r="N31" s="1312">
        <v>2</v>
      </c>
      <c r="O31" s="1312"/>
      <c r="P31" s="1310"/>
      <c r="Q31" s="1315"/>
      <c r="R31" s="1315"/>
      <c r="S31" s="1312">
        <v>2</v>
      </c>
      <c r="T31" s="1312"/>
      <c r="U31" s="1310"/>
      <c r="V31" s="1315"/>
      <c r="W31" s="1315"/>
      <c r="X31" s="1312">
        <v>2</v>
      </c>
      <c r="Y31" s="1312"/>
      <c r="Z31" s="1314">
        <f t="shared" si="4"/>
        <v>11</v>
      </c>
      <c r="AA31" s="1316">
        <f t="shared" si="5"/>
        <v>0</v>
      </c>
      <c r="AB31" s="1310"/>
      <c r="AC31" s="1315"/>
      <c r="AD31" s="1315"/>
      <c r="AE31" s="1312"/>
      <c r="AF31" s="1310"/>
      <c r="AG31" s="1315"/>
      <c r="AH31" s="1315"/>
      <c r="AI31" s="1312"/>
      <c r="AJ31" s="1314">
        <f t="shared" ref="AJ31" si="9">SUM(AE31+AI31)</f>
        <v>0</v>
      </c>
      <c r="AK31" s="941"/>
      <c r="AL31" s="943"/>
      <c r="AM31" s="940"/>
      <c r="AN31" s="1316"/>
      <c r="AO31" s="1329"/>
      <c r="AP31" s="1330"/>
      <c r="AQ31" s="1330"/>
      <c r="AR31" s="967"/>
      <c r="AS31" s="967"/>
      <c r="AT31" s="1350"/>
      <c r="AU31" s="1265"/>
      <c r="AV31" s="1265"/>
      <c r="AW31" s="1265"/>
      <c r="AX31" s="1265"/>
      <c r="AY31" s="1265"/>
      <c r="AZ31" s="1265"/>
      <c r="BA31" s="1265"/>
      <c r="BB31" s="1265"/>
      <c r="BC31" s="1265"/>
      <c r="BD31" s="1265"/>
      <c r="BE31" s="1265"/>
    </row>
    <row r="32" spans="1:57" ht="13.5" hidden="1" customHeight="1">
      <c r="A32" s="1318" t="s">
        <v>1431</v>
      </c>
      <c r="B32" s="1315"/>
      <c r="C32" s="1315"/>
      <c r="D32" s="1312">
        <v>0</v>
      </c>
      <c r="E32" s="1312"/>
      <c r="F32" s="1310"/>
      <c r="G32" s="1315"/>
      <c r="H32" s="1315"/>
      <c r="I32" s="1312">
        <v>0</v>
      </c>
      <c r="J32" s="1312"/>
      <c r="K32" s="1310"/>
      <c r="L32" s="1315"/>
      <c r="M32" s="1315"/>
      <c r="N32" s="1312">
        <v>0</v>
      </c>
      <c r="O32" s="1312"/>
      <c r="P32" s="1310"/>
      <c r="Q32" s="1315"/>
      <c r="R32" s="1315"/>
      <c r="S32" s="1312">
        <v>0</v>
      </c>
      <c r="T32" s="1312"/>
      <c r="U32" s="1310"/>
      <c r="V32" s="1315"/>
      <c r="W32" s="1315"/>
      <c r="X32" s="1312">
        <v>0</v>
      </c>
      <c r="Y32" s="1312"/>
      <c r="Z32" s="1314">
        <f t="shared" si="0"/>
        <v>0</v>
      </c>
      <c r="AA32" s="1316">
        <f t="shared" si="1"/>
        <v>0</v>
      </c>
      <c r="AB32" s="1310"/>
      <c r="AC32" s="1315"/>
      <c r="AD32" s="1315"/>
      <c r="AE32" s="1312"/>
      <c r="AF32" s="1310"/>
      <c r="AG32" s="1315"/>
      <c r="AH32" s="1315"/>
      <c r="AI32" s="1312"/>
      <c r="AJ32" s="1314">
        <f t="shared" si="2"/>
        <v>0</v>
      </c>
      <c r="AK32" s="941"/>
      <c r="AL32" s="943"/>
      <c r="AM32" s="940"/>
      <c r="AN32" s="1316"/>
      <c r="AO32" s="1329"/>
      <c r="AP32" s="1330"/>
      <c r="AQ32" s="1330"/>
      <c r="AR32" s="967"/>
      <c r="AS32" s="967"/>
      <c r="AT32" s="1350"/>
      <c r="AU32" s="1265"/>
      <c r="AV32" s="1265"/>
      <c r="AW32" s="1265"/>
      <c r="AX32" s="1265"/>
      <c r="AY32" s="1265"/>
      <c r="AZ32" s="1265"/>
      <c r="BA32" s="1265"/>
      <c r="BB32" s="1265"/>
      <c r="BC32" s="1265"/>
      <c r="BD32" s="1265"/>
      <c r="BE32" s="1265"/>
    </row>
    <row r="33" spans="1:57" ht="13.5" hidden="1" customHeight="1">
      <c r="A33" s="1318" t="s">
        <v>1439</v>
      </c>
      <c r="B33" s="1315">
        <v>0</v>
      </c>
      <c r="C33" s="1319">
        <v>0</v>
      </c>
      <c r="D33" s="1312">
        <v>0</v>
      </c>
      <c r="E33" s="1312"/>
      <c r="F33" s="1312"/>
      <c r="G33" s="1315">
        <v>0</v>
      </c>
      <c r="H33" s="1319">
        <v>0</v>
      </c>
      <c r="I33" s="1312">
        <v>8</v>
      </c>
      <c r="J33" s="1312"/>
      <c r="K33" s="1312"/>
      <c r="L33" s="1315"/>
      <c r="M33" s="1319"/>
      <c r="N33" s="1312">
        <v>8</v>
      </c>
      <c r="O33" s="1312"/>
      <c r="P33" s="1312"/>
      <c r="Q33" s="1315"/>
      <c r="R33" s="1319"/>
      <c r="S33" s="1312">
        <v>0</v>
      </c>
      <c r="T33" s="1312"/>
      <c r="U33" s="1312"/>
      <c r="V33" s="1315"/>
      <c r="W33" s="1319"/>
      <c r="X33" s="1312">
        <v>8</v>
      </c>
      <c r="Y33" s="1312"/>
      <c r="Z33" s="1314">
        <f t="shared" ref="Z33:Z35" si="10">D33+I33+N33+S33+X33</f>
        <v>24</v>
      </c>
      <c r="AA33" s="1316">
        <f t="shared" ref="AA33:AA37" si="11">E33+J33+O33+T33+Y33</f>
        <v>0</v>
      </c>
      <c r="AB33" s="1310"/>
      <c r="AC33" s="1315"/>
      <c r="AD33" s="1319"/>
      <c r="AE33" s="1312"/>
      <c r="AF33" s="1315"/>
      <c r="AG33" s="1319"/>
      <c r="AH33" s="1312"/>
      <c r="AI33" s="1315"/>
      <c r="AJ33" s="1314">
        <f t="shared" si="2"/>
        <v>0</v>
      </c>
      <c r="AK33" s="941"/>
      <c r="AL33" s="943"/>
      <c r="AM33" s="940"/>
      <c r="AN33" s="967"/>
      <c r="AO33" s="967"/>
      <c r="AP33" s="967"/>
      <c r="AQ33" s="967"/>
      <c r="AR33" s="967"/>
      <c r="AS33" s="967"/>
      <c r="AT33" s="1350"/>
      <c r="AU33" s="1265"/>
      <c r="AV33" s="1265"/>
      <c r="AW33" s="1265"/>
      <c r="AX33" s="1265"/>
      <c r="AY33" s="1265"/>
      <c r="AZ33" s="1265"/>
      <c r="BA33" s="1265"/>
      <c r="BB33" s="1265"/>
      <c r="BC33" s="1265"/>
      <c r="BD33" s="1265"/>
      <c r="BE33" s="1265"/>
    </row>
    <row r="34" spans="1:57" ht="13.5" hidden="1" customHeight="1">
      <c r="A34" s="1318" t="s">
        <v>1427</v>
      </c>
      <c r="B34" s="1315">
        <v>0.45833333333333331</v>
      </c>
      <c r="C34" s="1319">
        <v>0.29166666666666669</v>
      </c>
      <c r="D34" s="1312">
        <v>8</v>
      </c>
      <c r="E34" s="1312"/>
      <c r="F34" s="1312"/>
      <c r="G34" s="1315">
        <v>0.45833333333333331</v>
      </c>
      <c r="H34" s="1319">
        <v>0.29166666666666669</v>
      </c>
      <c r="I34" s="1312">
        <v>8</v>
      </c>
      <c r="J34" s="1312"/>
      <c r="K34" s="1312"/>
      <c r="L34" s="1315">
        <v>0.45833333333333331</v>
      </c>
      <c r="M34" s="1319">
        <v>0.29166666666666669</v>
      </c>
      <c r="N34" s="1312">
        <v>8</v>
      </c>
      <c r="O34" s="1312"/>
      <c r="P34" s="1312"/>
      <c r="Q34" s="1315">
        <v>0.45833333333333331</v>
      </c>
      <c r="R34" s="1315">
        <v>0.29166666666666669</v>
      </c>
      <c r="S34" s="1312">
        <v>8</v>
      </c>
      <c r="T34" s="1312"/>
      <c r="U34" s="1312"/>
      <c r="V34" s="1315">
        <v>0.45833333333333331</v>
      </c>
      <c r="W34" s="1319"/>
      <c r="X34" s="1312">
        <v>7.75</v>
      </c>
      <c r="Y34" s="1312"/>
      <c r="Z34" s="1314">
        <f t="shared" si="10"/>
        <v>39.75</v>
      </c>
      <c r="AA34" s="1316">
        <f t="shared" si="11"/>
        <v>0</v>
      </c>
      <c r="AB34" s="1310"/>
      <c r="AC34" s="1315"/>
      <c r="AD34" s="1319"/>
      <c r="AE34" s="1312"/>
      <c r="AF34" s="1315"/>
      <c r="AG34" s="1319"/>
      <c r="AH34" s="1312"/>
      <c r="AI34" s="1315"/>
      <c r="AJ34" s="1314">
        <f t="shared" si="2"/>
        <v>0</v>
      </c>
      <c r="AK34" s="941"/>
      <c r="AL34" s="943"/>
      <c r="AM34" s="940"/>
      <c r="AN34" s="967"/>
      <c r="AO34" s="967"/>
      <c r="AP34" s="967"/>
      <c r="AQ34" s="967"/>
      <c r="AR34" s="967"/>
      <c r="AS34" s="967"/>
      <c r="AT34" s="1350"/>
      <c r="AU34" s="1265"/>
      <c r="AV34" s="1265"/>
      <c r="AW34" s="1265"/>
      <c r="AX34" s="1265"/>
      <c r="AY34" s="1265"/>
      <c r="AZ34" s="1265"/>
      <c r="BA34" s="1265"/>
      <c r="BB34" s="1265"/>
      <c r="BC34" s="1265"/>
      <c r="BD34" s="1265"/>
      <c r="BE34" s="1265"/>
    </row>
    <row r="35" spans="1:57" ht="13.5" hidden="1" customHeight="1">
      <c r="A35" s="1318" t="s">
        <v>1064</v>
      </c>
      <c r="B35" s="1315">
        <v>0.45833333333333331</v>
      </c>
      <c r="C35" s="1319">
        <v>0.29166666666666669</v>
      </c>
      <c r="D35" s="1312">
        <v>8</v>
      </c>
      <c r="E35" s="1312"/>
      <c r="F35" s="1312"/>
      <c r="G35" s="1315">
        <v>0.45833333333333331</v>
      </c>
      <c r="H35" s="1319">
        <v>0.29166666666666669</v>
      </c>
      <c r="I35" s="1312">
        <v>8</v>
      </c>
      <c r="J35" s="1312"/>
      <c r="K35" s="1312"/>
      <c r="L35" s="1315">
        <v>0.45833333333333331</v>
      </c>
      <c r="M35" s="1319">
        <v>0.29166666666666669</v>
      </c>
      <c r="N35" s="1312">
        <v>8</v>
      </c>
      <c r="O35" s="1312"/>
      <c r="P35" s="1312"/>
      <c r="Q35" s="1315">
        <v>0.45833333333333331</v>
      </c>
      <c r="R35" s="1315">
        <v>0.29166666666666669</v>
      </c>
      <c r="S35" s="1312">
        <v>8</v>
      </c>
      <c r="T35" s="1312"/>
      <c r="U35" s="1312"/>
      <c r="V35" s="1315">
        <v>0.45833333333333331</v>
      </c>
      <c r="W35" s="1315">
        <v>0.29166666666666669</v>
      </c>
      <c r="X35" s="1312">
        <v>8</v>
      </c>
      <c r="Y35" s="1312"/>
      <c r="Z35" s="1314">
        <f t="shared" si="10"/>
        <v>40</v>
      </c>
      <c r="AA35" s="1316">
        <f t="shared" si="11"/>
        <v>0</v>
      </c>
      <c r="AB35" s="1310"/>
      <c r="AC35" s="1315"/>
      <c r="AD35" s="1319"/>
      <c r="AE35" s="1312"/>
      <c r="AF35" s="1315"/>
      <c r="AG35" s="1319"/>
      <c r="AH35" s="1312"/>
      <c r="AI35" s="1315"/>
      <c r="AJ35" s="1314">
        <f t="shared" si="2"/>
        <v>0</v>
      </c>
      <c r="AK35" s="941"/>
      <c r="AL35" s="943"/>
      <c r="AM35" s="940"/>
      <c r="AN35" s="967"/>
      <c r="AO35" s="967"/>
      <c r="AP35" s="967"/>
      <c r="AQ35" s="967"/>
      <c r="AR35" s="967"/>
      <c r="AS35" s="967"/>
      <c r="AT35" s="1350"/>
      <c r="AU35" s="1265"/>
      <c r="AV35" s="1265"/>
      <c r="AW35" s="1265"/>
      <c r="AX35" s="1265"/>
      <c r="AY35" s="1265"/>
      <c r="AZ35" s="1265"/>
      <c r="BA35" s="1265"/>
      <c r="BB35" s="1265"/>
      <c r="BC35" s="1265"/>
      <c r="BD35" s="1265"/>
      <c r="BE35" s="1265"/>
    </row>
    <row r="36" spans="1:57" ht="13.5" hidden="1" customHeight="1">
      <c r="A36" s="1318" t="s">
        <v>1144</v>
      </c>
      <c r="B36" s="1315">
        <v>0.45833333333333331</v>
      </c>
      <c r="C36" s="1319">
        <v>0.29166666666666669</v>
      </c>
      <c r="D36" s="1312">
        <v>8</v>
      </c>
      <c r="E36" s="1312"/>
      <c r="F36" s="1312"/>
      <c r="G36" s="1315">
        <v>0.45833333333333331</v>
      </c>
      <c r="H36" s="1319">
        <v>0.29166666666666669</v>
      </c>
      <c r="I36" s="1312">
        <v>8</v>
      </c>
      <c r="J36" s="1312"/>
      <c r="K36" s="1312"/>
      <c r="L36" s="1315">
        <v>0.45833333333333331</v>
      </c>
      <c r="M36" s="1319">
        <v>0.29166666666666669</v>
      </c>
      <c r="N36" s="1312">
        <v>8</v>
      </c>
      <c r="O36" s="1312"/>
      <c r="P36" s="1312"/>
      <c r="Q36" s="1315">
        <v>0.45833333333333331</v>
      </c>
      <c r="R36" s="1315">
        <v>0.29166666666666669</v>
      </c>
      <c r="S36" s="1312">
        <v>8</v>
      </c>
      <c r="T36" s="1312"/>
      <c r="U36" s="1312"/>
      <c r="V36" s="1315">
        <v>0.45833333333333331</v>
      </c>
      <c r="W36" s="1315">
        <v>0.29166666666666669</v>
      </c>
      <c r="X36" s="1312">
        <v>8</v>
      </c>
      <c r="Y36" s="1312"/>
      <c r="Z36" s="1314">
        <f>D36+I36+N36+S36+X36</f>
        <v>40</v>
      </c>
      <c r="AA36" s="1316">
        <f t="shared" si="11"/>
        <v>0</v>
      </c>
      <c r="AB36" s="1310"/>
      <c r="AC36" s="1315"/>
      <c r="AD36" s="1319"/>
      <c r="AE36" s="1312"/>
      <c r="AF36" s="1315"/>
      <c r="AG36" s="1319"/>
      <c r="AH36" s="1312"/>
      <c r="AI36" s="1315"/>
      <c r="AJ36" s="1314">
        <f t="shared" si="2"/>
        <v>0</v>
      </c>
      <c r="AK36" s="941"/>
      <c r="AL36" s="943"/>
      <c r="AM36" s="940"/>
      <c r="AN36" s="967"/>
      <c r="AO36" s="967"/>
      <c r="AP36" s="967"/>
      <c r="AQ36" s="967"/>
      <c r="AR36" s="967"/>
      <c r="AS36" s="967"/>
      <c r="AT36" s="1350"/>
      <c r="AU36" s="1265"/>
      <c r="AV36" s="1265"/>
      <c r="AW36" s="1265"/>
      <c r="AX36" s="1265"/>
      <c r="AY36" s="1265"/>
      <c r="AZ36" s="1265"/>
      <c r="BA36" s="1265"/>
      <c r="BB36" s="1265"/>
      <c r="BC36" s="1265"/>
      <c r="BD36" s="1265"/>
      <c r="BE36" s="1265"/>
    </row>
    <row r="37" spans="1:57" ht="13.5" hidden="1" customHeight="1" thickBot="1">
      <c r="A37" s="1320" t="s">
        <v>1433</v>
      </c>
      <c r="B37" s="1321">
        <v>0.45833333333333331</v>
      </c>
      <c r="C37" s="1322">
        <v>0.29166666666666669</v>
      </c>
      <c r="D37" s="1323">
        <v>8</v>
      </c>
      <c r="E37" s="1323"/>
      <c r="F37" s="1323"/>
      <c r="G37" s="1321">
        <v>0.45833333333333331</v>
      </c>
      <c r="H37" s="1322">
        <v>0.29166666666666669</v>
      </c>
      <c r="I37" s="1323">
        <v>8</v>
      </c>
      <c r="J37" s="1323"/>
      <c r="K37" s="1323"/>
      <c r="L37" s="1321">
        <v>0.45833333333333331</v>
      </c>
      <c r="M37" s="1322"/>
      <c r="N37" s="1323">
        <v>8</v>
      </c>
      <c r="O37" s="1323"/>
      <c r="P37" s="1323"/>
      <c r="Q37" s="1321">
        <v>0.45833333333333331</v>
      </c>
      <c r="R37" s="1322">
        <v>0.29166666666666669</v>
      </c>
      <c r="S37" s="1323">
        <v>8</v>
      </c>
      <c r="T37" s="1323"/>
      <c r="U37" s="1323"/>
      <c r="V37" s="1321">
        <v>0.45833333333333331</v>
      </c>
      <c r="W37" s="1322">
        <v>0.29166666666666669</v>
      </c>
      <c r="X37" s="1323">
        <v>8</v>
      </c>
      <c r="Y37" s="1323"/>
      <c r="Z37" s="1324">
        <f>D37+I37+N37+S37+X37</f>
        <v>40</v>
      </c>
      <c r="AA37" s="1325">
        <f t="shared" si="11"/>
        <v>0</v>
      </c>
      <c r="AB37" s="1326"/>
      <c r="AC37" s="1321"/>
      <c r="AD37" s="1321"/>
      <c r="AE37" s="1323"/>
      <c r="AF37" s="1321"/>
      <c r="AG37" s="1322"/>
      <c r="AH37" s="1323"/>
      <c r="AI37" s="1321"/>
      <c r="AJ37" s="1324">
        <f t="shared" si="2"/>
        <v>0</v>
      </c>
      <c r="AK37" s="941"/>
      <c r="AL37" s="943"/>
      <c r="AM37" s="940"/>
      <c r="AN37" s="967"/>
      <c r="AO37" s="967"/>
      <c r="AP37" s="967"/>
      <c r="AQ37" s="967"/>
      <c r="AR37" s="967"/>
      <c r="AS37" s="967"/>
      <c r="AT37" s="1350"/>
      <c r="AU37" s="1265"/>
      <c r="AV37" s="1265"/>
      <c r="AW37" s="1265"/>
      <c r="AX37" s="1265"/>
      <c r="AY37" s="1265"/>
      <c r="AZ37" s="1265"/>
      <c r="BA37" s="1265"/>
      <c r="BB37" s="1265"/>
      <c r="BC37" s="1265"/>
      <c r="BD37" s="1265"/>
      <c r="BE37" s="1265"/>
    </row>
    <row r="38" spans="1:57" ht="13.5" hidden="1" customHeight="1" thickTop="1">
      <c r="A38" s="1327" t="s">
        <v>61</v>
      </c>
      <c r="B38" s="1327"/>
      <c r="C38" s="1327"/>
      <c r="D38" s="1328">
        <f>SUM(D16:D32)</f>
        <v>112</v>
      </c>
      <c r="E38" s="1312"/>
      <c r="F38" s="1327"/>
      <c r="G38" s="1327"/>
      <c r="H38" s="1327"/>
      <c r="I38" s="1328">
        <f>SUM(I16:I32)</f>
        <v>105</v>
      </c>
      <c r="J38" s="1312">
        <f>SUM(J16:J32)</f>
        <v>4.25</v>
      </c>
      <c r="K38" s="1327"/>
      <c r="L38" s="1327"/>
      <c r="M38" s="1327"/>
      <c r="N38" s="1328">
        <f>SUM(N16:N32)</f>
        <v>109.75</v>
      </c>
      <c r="O38" s="1312">
        <f>SUM(O16:O32)</f>
        <v>0.25</v>
      </c>
      <c r="P38" s="1327"/>
      <c r="Q38" s="1327"/>
      <c r="R38" s="1327"/>
      <c r="S38" s="1328">
        <f>SUM(S16:S32)</f>
        <v>111.25</v>
      </c>
      <c r="T38" s="1312">
        <f>SUM(T16:T32)</f>
        <v>2</v>
      </c>
      <c r="U38" s="1327"/>
      <c r="V38" s="1327"/>
      <c r="W38" s="1327"/>
      <c r="X38" s="1328">
        <f>SUM(X16:X32)</f>
        <v>112</v>
      </c>
      <c r="Y38" s="1312"/>
      <c r="Z38" s="1314">
        <f>SUM(Z16:Z32)</f>
        <v>550</v>
      </c>
      <c r="AA38" s="1314">
        <f>SUM(AA16:AA32)</f>
        <v>6.75</v>
      </c>
      <c r="AB38" s="1310"/>
      <c r="AC38" s="1327"/>
      <c r="AD38" s="1327"/>
      <c r="AE38" s="1314">
        <f>SUM(AE16:AE37)</f>
        <v>17.5</v>
      </c>
      <c r="AF38" s="1310"/>
      <c r="AG38" s="1327"/>
      <c r="AH38" s="1327"/>
      <c r="AI38" s="1314">
        <f>SUM(AI16:AI37)</f>
        <v>0</v>
      </c>
      <c r="AJ38" s="1314">
        <f>SUM(AJ16:AJ37)</f>
        <v>17.5</v>
      </c>
      <c r="AK38" s="941"/>
      <c r="AL38" s="943"/>
      <c r="AM38" s="940"/>
      <c r="AN38" s="967"/>
      <c r="AO38" s="967"/>
      <c r="AP38" s="967"/>
      <c r="AQ38" s="967"/>
      <c r="AR38" s="967"/>
      <c r="AS38" s="967"/>
      <c r="AT38" s="1350"/>
      <c r="AU38" s="1265"/>
      <c r="AV38" s="1265"/>
      <c r="AW38" s="1265"/>
      <c r="AX38" s="1265"/>
      <c r="AY38" s="1265"/>
      <c r="AZ38" s="1265"/>
      <c r="BA38" s="1265"/>
      <c r="BB38" s="1265"/>
      <c r="BC38" s="1265"/>
      <c r="BD38" s="1265"/>
      <c r="BE38" s="1265"/>
    </row>
    <row r="39" spans="1:57" ht="13.5" hidden="1" customHeight="1">
      <c r="A39" s="1313" t="s">
        <v>1434</v>
      </c>
      <c r="B39" s="1327"/>
      <c r="C39" s="1327"/>
      <c r="D39" s="1328">
        <f>SUM(D33:D37)</f>
        <v>32</v>
      </c>
      <c r="E39" s="1312"/>
      <c r="F39" s="1327"/>
      <c r="G39" s="1327"/>
      <c r="H39" s="1327"/>
      <c r="I39" s="1328">
        <f>SUM(I33:I37)</f>
        <v>40</v>
      </c>
      <c r="J39" s="1312"/>
      <c r="K39" s="1327"/>
      <c r="L39" s="1327"/>
      <c r="M39" s="1327"/>
      <c r="N39" s="1328">
        <f>SUM(N33:N37)</f>
        <v>40</v>
      </c>
      <c r="O39" s="1312"/>
      <c r="P39" s="1327"/>
      <c r="Q39" s="1327"/>
      <c r="R39" s="1327"/>
      <c r="S39" s="1328">
        <f>SUM(S33:S37)</f>
        <v>32</v>
      </c>
      <c r="T39" s="1312"/>
      <c r="U39" s="1327"/>
      <c r="V39" s="1327"/>
      <c r="W39" s="1327"/>
      <c r="X39" s="1328">
        <f>SUM(X33:X37)</f>
        <v>39.75</v>
      </c>
      <c r="Y39" s="1312"/>
      <c r="Z39" s="1314">
        <f>SUM(Z33:Z37)</f>
        <v>183.75</v>
      </c>
      <c r="AA39" s="1314">
        <f>SUM(AA33:AA37)</f>
        <v>0</v>
      </c>
      <c r="AB39" s="1310"/>
      <c r="AC39" s="1327"/>
      <c r="AD39" s="1327"/>
      <c r="AE39" s="1314">
        <f>SUM(0)</f>
        <v>0</v>
      </c>
      <c r="AF39" s="1310"/>
      <c r="AG39" s="1327"/>
      <c r="AH39" s="1327"/>
      <c r="AI39" s="1314">
        <f>SUM(AI17:AI38)</f>
        <v>0</v>
      </c>
      <c r="AJ39" s="1314">
        <f>SUM(AE39+AI39)</f>
        <v>0</v>
      </c>
      <c r="AK39" s="941"/>
      <c r="AL39" s="943"/>
      <c r="AM39" s="940"/>
      <c r="AN39" s="967"/>
      <c r="AO39" s="967"/>
      <c r="AP39" s="967"/>
      <c r="AQ39" s="967"/>
      <c r="AR39" s="967"/>
      <c r="AS39" s="967"/>
      <c r="AT39" s="1350"/>
      <c r="AU39" s="1265"/>
      <c r="AV39" s="1265"/>
      <c r="AW39" s="1265"/>
      <c r="AX39" s="1265"/>
      <c r="AY39" s="1265"/>
      <c r="AZ39" s="1265"/>
      <c r="BA39" s="1265"/>
      <c r="BB39" s="1265"/>
      <c r="BC39" s="1265"/>
      <c r="BD39" s="1265"/>
      <c r="BE39" s="1265"/>
    </row>
    <row r="40" spans="1:57" ht="13.5" hidden="1" customHeight="1">
      <c r="A40" s="1327" t="s">
        <v>64</v>
      </c>
      <c r="B40" s="1315"/>
      <c r="C40" s="1315"/>
      <c r="D40" s="1312">
        <v>8</v>
      </c>
      <c r="E40" s="1312">
        <v>1.5</v>
      </c>
      <c r="F40" s="1312"/>
      <c r="G40" s="1315"/>
      <c r="H40" s="1315"/>
      <c r="I40" s="1312">
        <v>8</v>
      </c>
      <c r="J40" s="1312">
        <v>0.5</v>
      </c>
      <c r="K40" s="1312"/>
      <c r="L40" s="1315"/>
      <c r="M40" s="1315"/>
      <c r="N40" s="1312">
        <v>8</v>
      </c>
      <c r="O40" s="1312">
        <v>0.5</v>
      </c>
      <c r="P40" s="1312"/>
      <c r="Q40" s="1315"/>
      <c r="R40" s="1315"/>
      <c r="S40" s="1312">
        <v>8</v>
      </c>
      <c r="T40" s="1312"/>
      <c r="U40" s="1312"/>
      <c r="V40" s="1315"/>
      <c r="W40" s="1315"/>
      <c r="X40" s="1312">
        <v>8</v>
      </c>
      <c r="Y40" s="1312"/>
      <c r="Z40" s="1314">
        <f>D40+I40+N40+S40+X40</f>
        <v>40</v>
      </c>
      <c r="AA40" s="1312">
        <f>E40+J40+O40+T40+Y40</f>
        <v>2.5</v>
      </c>
      <c r="AB40" s="1310"/>
      <c r="AC40" s="1315"/>
      <c r="AD40" s="1315"/>
      <c r="AE40" s="1312">
        <f>2+1+1.25</f>
        <v>4.25</v>
      </c>
      <c r="AF40" s="1310"/>
      <c r="AG40" s="1315"/>
      <c r="AH40" s="1315"/>
      <c r="AI40" s="1312"/>
      <c r="AJ40" s="1314">
        <f>AE40+AI40</f>
        <v>4.25</v>
      </c>
      <c r="AK40" s="941"/>
      <c r="AL40" s="943"/>
      <c r="AM40" s="940"/>
      <c r="AN40" s="967"/>
      <c r="AO40" s="967"/>
      <c r="AP40" s="967"/>
      <c r="AQ40" s="967"/>
      <c r="AR40" s="967"/>
      <c r="AS40" s="967"/>
      <c r="AT40" s="1350"/>
      <c r="AU40" s="1265"/>
      <c r="AV40" s="1265"/>
      <c r="AW40" s="1265"/>
      <c r="AX40" s="1265"/>
      <c r="AY40" s="1265"/>
      <c r="AZ40" s="1265"/>
      <c r="BA40" s="1265"/>
      <c r="BB40" s="1265"/>
      <c r="BC40" s="1265"/>
      <c r="BD40" s="1265"/>
      <c r="BE40" s="1265"/>
    </row>
    <row r="41" spans="1:57" ht="13.5" hidden="1" customHeight="1">
      <c r="A41" s="940"/>
      <c r="B41" s="940"/>
      <c r="C41" s="940"/>
      <c r="D41" s="941"/>
      <c r="E41" s="942"/>
      <c r="F41" s="941"/>
      <c r="G41" s="940"/>
      <c r="H41" s="940"/>
      <c r="I41" s="941"/>
      <c r="J41" s="942"/>
      <c r="K41" s="941"/>
      <c r="L41" s="940"/>
      <c r="M41" s="940"/>
      <c r="N41" s="941"/>
      <c r="O41" s="942"/>
      <c r="P41" s="941"/>
      <c r="Q41" s="940"/>
      <c r="R41" s="940"/>
      <c r="S41" s="941"/>
      <c r="T41" s="942"/>
      <c r="U41" s="941"/>
      <c r="V41" s="940"/>
      <c r="W41" s="940"/>
      <c r="X41" s="941"/>
      <c r="Y41" s="942"/>
      <c r="Z41" s="941"/>
      <c r="AA41" s="941"/>
      <c r="AB41" s="941"/>
      <c r="AC41" s="940"/>
      <c r="AD41" s="940"/>
      <c r="AE41" s="940"/>
      <c r="AF41" s="941"/>
      <c r="AG41" s="940"/>
      <c r="AH41" s="940"/>
      <c r="AI41" s="940"/>
      <c r="AJ41" s="940"/>
      <c r="AK41" s="941"/>
      <c r="AL41" s="943"/>
      <c r="AM41" s="940"/>
      <c r="AN41" s="940"/>
      <c r="AO41" s="940"/>
      <c r="AP41" s="940"/>
      <c r="AQ41" s="940"/>
      <c r="AR41" s="940"/>
      <c r="AS41" s="940"/>
      <c r="AT41" s="940"/>
      <c r="AU41" s="1265"/>
      <c r="AV41" s="1265"/>
      <c r="AW41" s="1265"/>
      <c r="AX41" s="1265"/>
      <c r="AY41" s="1265"/>
      <c r="AZ41" s="1265"/>
      <c r="BA41" s="1265"/>
      <c r="BB41" s="1265"/>
      <c r="BC41" s="1265"/>
      <c r="BD41" s="1265"/>
      <c r="BE41" s="1265"/>
    </row>
    <row r="42" spans="1:57" ht="13.5" hidden="1" customHeight="1">
      <c r="A42" s="974"/>
      <c r="B42" s="975"/>
      <c r="C42" s="975"/>
      <c r="D42" s="976"/>
      <c r="E42" s="976"/>
      <c r="F42" s="975"/>
      <c r="G42" s="976"/>
      <c r="H42" s="976"/>
      <c r="I42" s="976"/>
      <c r="J42" s="976"/>
      <c r="K42" s="975"/>
      <c r="L42" s="975"/>
      <c r="M42" s="975"/>
      <c r="N42" s="975"/>
      <c r="O42" s="976"/>
      <c r="P42" s="975"/>
      <c r="Q42" s="975"/>
      <c r="R42" s="975"/>
      <c r="S42" s="975"/>
      <c r="T42" s="976"/>
      <c r="U42" s="975"/>
      <c r="V42" s="975"/>
      <c r="W42" s="975"/>
      <c r="X42" s="977"/>
      <c r="Y42" s="976"/>
      <c r="Z42" s="978"/>
      <c r="AA42" s="976"/>
      <c r="AB42" s="979"/>
      <c r="AC42" s="980"/>
      <c r="AD42" s="943"/>
      <c r="AE42" s="943"/>
      <c r="AF42" s="979"/>
      <c r="AG42" s="980"/>
      <c r="AH42" s="943"/>
      <c r="AI42" s="943"/>
      <c r="AJ42" s="943"/>
      <c r="AK42" s="979"/>
      <c r="AL42" s="943"/>
      <c r="AM42" s="943"/>
      <c r="AN42" s="943"/>
      <c r="AO42" s="943"/>
      <c r="AP42" s="943"/>
      <c r="AQ42" s="943"/>
      <c r="AR42" s="943"/>
      <c r="AS42" s="943"/>
      <c r="AT42" s="940"/>
      <c r="AU42" s="1265"/>
      <c r="AV42" s="1265"/>
      <c r="AW42" s="1265"/>
      <c r="AX42" s="1265"/>
      <c r="AY42" s="1265"/>
      <c r="AZ42" s="1265"/>
      <c r="BA42" s="1265"/>
      <c r="BB42" s="1265"/>
      <c r="BC42" s="1265"/>
      <c r="BD42" s="1265"/>
      <c r="BE42" s="1265"/>
    </row>
    <row r="43" spans="1:57" ht="13.5" hidden="1" customHeight="1">
      <c r="A43" s="940"/>
      <c r="B43" s="940"/>
      <c r="C43" s="940"/>
      <c r="D43" s="941"/>
      <c r="E43" s="942"/>
      <c r="F43" s="941"/>
      <c r="G43" s="940"/>
      <c r="H43" s="940"/>
      <c r="I43" s="941"/>
      <c r="J43" s="942"/>
      <c r="K43" s="941"/>
      <c r="L43" s="940"/>
      <c r="M43" s="940"/>
      <c r="N43" s="941"/>
      <c r="O43" s="942"/>
      <c r="P43" s="941"/>
      <c r="Q43" s="940"/>
      <c r="R43" s="940"/>
      <c r="S43" s="941"/>
      <c r="T43" s="942"/>
      <c r="U43" s="941"/>
      <c r="V43" s="940"/>
      <c r="W43" s="940"/>
      <c r="X43" s="941"/>
      <c r="Y43" s="942"/>
      <c r="Z43" s="941"/>
      <c r="AA43" s="941"/>
      <c r="AB43" s="941"/>
      <c r="AC43" s="940"/>
      <c r="AD43" s="940"/>
      <c r="AE43" s="940"/>
      <c r="AF43" s="941"/>
      <c r="AG43" s="940"/>
      <c r="AH43" s="940"/>
      <c r="AI43" s="940"/>
      <c r="AJ43" s="940"/>
      <c r="AK43" s="941"/>
      <c r="AL43" s="943"/>
      <c r="AM43" s="940"/>
      <c r="AN43" s="954"/>
      <c r="AO43" s="954"/>
      <c r="AP43" s="954"/>
      <c r="AQ43" s="954"/>
      <c r="AR43" s="954"/>
      <c r="AS43" s="954"/>
      <c r="AT43" s="940"/>
      <c r="AU43" s="1265"/>
      <c r="AV43" s="1265"/>
      <c r="AW43" s="1265"/>
      <c r="AX43" s="1265"/>
      <c r="AY43" s="1265"/>
      <c r="AZ43" s="1265"/>
      <c r="BA43" s="1265"/>
      <c r="BB43" s="1265"/>
      <c r="BC43" s="1265"/>
      <c r="BD43" s="1265"/>
      <c r="BE43" s="1265"/>
    </row>
    <row r="44" spans="1:57" ht="13.5" hidden="1" customHeight="1">
      <c r="A44" s="1615" t="s">
        <v>18</v>
      </c>
      <c r="B44" s="1616">
        <v>46041</v>
      </c>
      <c r="C44" s="1616"/>
      <c r="D44" s="1616" t="s">
        <v>564</v>
      </c>
      <c r="E44" s="1616"/>
      <c r="F44" s="1308"/>
      <c r="G44" s="1616">
        <v>46042</v>
      </c>
      <c r="H44" s="1616"/>
      <c r="I44" s="1616" t="s">
        <v>565</v>
      </c>
      <c r="J44" s="1616"/>
      <c r="K44" s="1308"/>
      <c r="L44" s="1616">
        <v>46043</v>
      </c>
      <c r="M44" s="1616"/>
      <c r="N44" s="1616" t="s">
        <v>566</v>
      </c>
      <c r="O44" s="1616"/>
      <c r="P44" s="1308"/>
      <c r="Q44" s="1616">
        <v>46044</v>
      </c>
      <c r="R44" s="1616"/>
      <c r="S44" s="1616" t="s">
        <v>567</v>
      </c>
      <c r="T44" s="1616"/>
      <c r="U44" s="1308"/>
      <c r="V44" s="1616">
        <v>46045</v>
      </c>
      <c r="W44" s="1616"/>
      <c r="X44" s="1616" t="s">
        <v>568</v>
      </c>
      <c r="Y44" s="1616"/>
      <c r="Z44" s="1617" t="s">
        <v>19</v>
      </c>
      <c r="AA44" s="1617" t="s">
        <v>20</v>
      </c>
      <c r="AB44" s="1310"/>
      <c r="AC44" s="1616">
        <v>46046</v>
      </c>
      <c r="AD44" s="1616"/>
      <c r="AE44" s="1311" t="s">
        <v>569</v>
      </c>
      <c r="AF44" s="1310"/>
      <c r="AG44" s="1616">
        <v>46047</v>
      </c>
      <c r="AH44" s="1616"/>
      <c r="AI44" s="1311" t="s">
        <v>570</v>
      </c>
      <c r="AJ44" s="1617" t="s">
        <v>1420</v>
      </c>
      <c r="AK44" s="941"/>
      <c r="AL44" s="943"/>
      <c r="AM44" s="940"/>
      <c r="AN44" s="1316" t="s">
        <v>84</v>
      </c>
      <c r="AO44" s="967"/>
      <c r="AP44" s="967"/>
      <c r="AQ44" s="967"/>
      <c r="AR44" s="967"/>
      <c r="AS44" s="967"/>
      <c r="AT44" s="1350"/>
      <c r="AU44" s="1265"/>
      <c r="AV44" s="1265"/>
      <c r="AW44" s="1265"/>
      <c r="AX44" s="1265"/>
      <c r="AY44" s="1265"/>
      <c r="AZ44" s="1265"/>
      <c r="BA44" s="1265"/>
      <c r="BB44" s="1265"/>
      <c r="BC44" s="1265"/>
      <c r="BD44" s="1265"/>
      <c r="BE44" s="1265"/>
    </row>
    <row r="45" spans="1:57" ht="13.5" hidden="1" customHeight="1">
      <c r="A45" s="1615"/>
      <c r="B45" s="1309" t="s">
        <v>23</v>
      </c>
      <c r="C45" s="1309" t="s">
        <v>24</v>
      </c>
      <c r="D45" s="1312" t="s">
        <v>25</v>
      </c>
      <c r="E45" s="1313" t="s">
        <v>14</v>
      </c>
      <c r="F45" s="1310"/>
      <c r="G45" s="1309" t="s">
        <v>23</v>
      </c>
      <c r="H45" s="1309" t="s">
        <v>24</v>
      </c>
      <c r="I45" s="1313" t="s">
        <v>25</v>
      </c>
      <c r="J45" s="1313" t="s">
        <v>14</v>
      </c>
      <c r="K45" s="1310"/>
      <c r="L45" s="1309" t="s">
        <v>23</v>
      </c>
      <c r="M45" s="1309" t="s">
        <v>24</v>
      </c>
      <c r="N45" s="1313" t="s">
        <v>25</v>
      </c>
      <c r="O45" s="1313" t="s">
        <v>14</v>
      </c>
      <c r="P45" s="1310"/>
      <c r="Q45" s="1309" t="s">
        <v>23</v>
      </c>
      <c r="R45" s="1309" t="s">
        <v>24</v>
      </c>
      <c r="S45" s="1313" t="s">
        <v>25</v>
      </c>
      <c r="T45" s="1313" t="s">
        <v>14</v>
      </c>
      <c r="U45" s="1310"/>
      <c r="V45" s="1309" t="s">
        <v>23</v>
      </c>
      <c r="W45" s="1309" t="s">
        <v>24</v>
      </c>
      <c r="X45" s="1313" t="s">
        <v>25</v>
      </c>
      <c r="Y45" s="1313" t="s">
        <v>14</v>
      </c>
      <c r="Z45" s="1617"/>
      <c r="AA45" s="1617"/>
      <c r="AB45" s="1310"/>
      <c r="AC45" s="1309" t="s">
        <v>23</v>
      </c>
      <c r="AD45" s="1309" t="s">
        <v>24</v>
      </c>
      <c r="AE45" s="1313" t="s">
        <v>25</v>
      </c>
      <c r="AF45" s="1310"/>
      <c r="AG45" s="1309" t="s">
        <v>23</v>
      </c>
      <c r="AH45" s="1309" t="s">
        <v>24</v>
      </c>
      <c r="AI45" s="1313" t="s">
        <v>25</v>
      </c>
      <c r="AJ45" s="1617"/>
      <c r="AK45" s="941"/>
      <c r="AL45" s="943"/>
      <c r="AM45" s="940"/>
      <c r="AN45" s="1316" t="s">
        <v>26</v>
      </c>
      <c r="AO45" s="1329">
        <f>Z69</f>
        <v>461.75</v>
      </c>
      <c r="AP45" s="1330">
        <v>40.31</v>
      </c>
      <c r="AQ45" s="1330">
        <f>AP45*AO45</f>
        <v>18613.142500000002</v>
      </c>
      <c r="AR45" s="967"/>
      <c r="AS45" s="967"/>
      <c r="AT45" s="1350"/>
      <c r="AU45" s="1265"/>
      <c r="AV45" s="1265"/>
      <c r="AW45" s="1265"/>
      <c r="AX45" s="1265"/>
      <c r="AY45" s="1265"/>
      <c r="AZ45" s="1265"/>
      <c r="BA45" s="1265"/>
      <c r="BB45" s="1265"/>
      <c r="BC45" s="1265"/>
      <c r="BD45" s="1265"/>
      <c r="BE45" s="1265"/>
    </row>
    <row r="46" spans="1:57" ht="13.5" hidden="1" customHeight="1">
      <c r="A46" s="1315" t="s">
        <v>72</v>
      </c>
      <c r="B46" s="1315" t="s">
        <v>1478</v>
      </c>
      <c r="C46" s="1315"/>
      <c r="D46" s="1312"/>
      <c r="E46" s="1312"/>
      <c r="F46" s="1310"/>
      <c r="G46" s="1315">
        <v>0.29166666666666669</v>
      </c>
      <c r="H46" s="1315">
        <v>0.125</v>
      </c>
      <c r="I46" s="1312">
        <v>8</v>
      </c>
      <c r="J46" s="1312"/>
      <c r="K46" s="1310"/>
      <c r="L46" s="1315">
        <v>0.29166666666666669</v>
      </c>
      <c r="M46" s="1315">
        <v>0.125</v>
      </c>
      <c r="N46" s="1312">
        <v>8</v>
      </c>
      <c r="O46" s="1312"/>
      <c r="P46" s="1310"/>
      <c r="Q46" s="1315">
        <v>0.29166666666666669</v>
      </c>
      <c r="R46" s="1315">
        <v>0.125</v>
      </c>
      <c r="S46" s="1312">
        <v>8</v>
      </c>
      <c r="T46" s="1312"/>
      <c r="U46" s="1310"/>
      <c r="V46" s="1315">
        <v>0.29166666666666669</v>
      </c>
      <c r="W46" s="1315">
        <v>0.125</v>
      </c>
      <c r="X46" s="1312">
        <v>8</v>
      </c>
      <c r="Y46" s="1312"/>
      <c r="Z46" s="1314">
        <f>D46+I46+N46+S46+X46</f>
        <v>32</v>
      </c>
      <c r="AA46" s="1316">
        <f>E46+J46+O46+T46+Y46</f>
        <v>0</v>
      </c>
      <c r="AB46" s="1310"/>
      <c r="AC46" s="1317"/>
      <c r="AD46" s="1317"/>
      <c r="AE46" s="1312"/>
      <c r="AF46" s="1310"/>
      <c r="AG46" s="1317"/>
      <c r="AH46" s="1317"/>
      <c r="AI46" s="1312"/>
      <c r="AJ46" s="1314">
        <f>SUM(AE46+AI46)</f>
        <v>0</v>
      </c>
      <c r="AK46" s="941"/>
      <c r="AL46" s="943"/>
      <c r="AM46" s="940"/>
      <c r="AN46" s="1316" t="s">
        <v>1421</v>
      </c>
      <c r="AO46" s="1329">
        <f>Z70</f>
        <v>159.5</v>
      </c>
      <c r="AP46" s="1330">
        <v>60.47</v>
      </c>
      <c r="AQ46" s="1330">
        <f>AP46*AO46</f>
        <v>9644.9650000000001</v>
      </c>
      <c r="AR46" s="967"/>
      <c r="AS46" s="967"/>
      <c r="AT46" s="1350"/>
      <c r="AU46" s="1265"/>
      <c r="AV46" s="1265"/>
      <c r="AW46" s="1265"/>
      <c r="AX46" s="1265"/>
      <c r="AY46" s="1265"/>
      <c r="AZ46" s="1265"/>
      <c r="BA46" s="1265"/>
      <c r="BB46" s="1265"/>
      <c r="BC46" s="1265"/>
      <c r="BD46" s="1265"/>
      <c r="BE46" s="1265"/>
    </row>
    <row r="47" spans="1:57" ht="13.5" hidden="1" customHeight="1">
      <c r="A47" s="1318" t="s">
        <v>1166</v>
      </c>
      <c r="B47" s="1315"/>
      <c r="C47" s="1315"/>
      <c r="D47" s="1312"/>
      <c r="E47" s="1312"/>
      <c r="F47" s="1310"/>
      <c r="G47" s="1315">
        <v>0.29166666666666669</v>
      </c>
      <c r="H47" s="1315">
        <v>0.125</v>
      </c>
      <c r="I47" s="1312">
        <v>8</v>
      </c>
      <c r="J47" s="1312"/>
      <c r="K47" s="1310"/>
      <c r="L47" s="1315">
        <v>0.29166666666666669</v>
      </c>
      <c r="M47" s="1315">
        <v>0.125</v>
      </c>
      <c r="N47" s="1312">
        <v>8</v>
      </c>
      <c r="O47" s="1312"/>
      <c r="P47" s="1310"/>
      <c r="Q47" s="1315">
        <v>0.29166666666666669</v>
      </c>
      <c r="R47" s="1315">
        <v>0.125</v>
      </c>
      <c r="S47" s="1312">
        <v>8</v>
      </c>
      <c r="T47" s="1312"/>
      <c r="U47" s="1310"/>
      <c r="V47" s="1315">
        <v>0.29166666666666669</v>
      </c>
      <c r="W47" s="1315">
        <v>0.125</v>
      </c>
      <c r="X47" s="1312">
        <v>8</v>
      </c>
      <c r="Y47" s="1312"/>
      <c r="Z47" s="1314">
        <f t="shared" ref="Z47:Z62" si="12">D47+I47+N47+S47+X47</f>
        <v>32</v>
      </c>
      <c r="AA47" s="1316">
        <f t="shared" ref="AA47:AA63" si="13">E47+J47+O47+T47+Y47</f>
        <v>0</v>
      </c>
      <c r="AB47" s="1310"/>
      <c r="AC47" s="1315"/>
      <c r="AD47" s="1315"/>
      <c r="AE47" s="1312"/>
      <c r="AF47" s="1310"/>
      <c r="AG47" s="1315"/>
      <c r="AH47" s="1315"/>
      <c r="AI47" s="1312"/>
      <c r="AJ47" s="1314">
        <f t="shared" ref="AJ47:AJ63" si="14">SUM(AE47+AI47)</f>
        <v>0</v>
      </c>
      <c r="AK47" s="941"/>
      <c r="AL47" s="943"/>
      <c r="AM47" s="940"/>
      <c r="AN47" s="1316" t="s">
        <v>30</v>
      </c>
      <c r="AO47" s="1329">
        <f>AA69</f>
        <v>0</v>
      </c>
      <c r="AP47" s="1330">
        <v>60.465000000000003</v>
      </c>
      <c r="AQ47" s="1330">
        <f>AP47*AO47</f>
        <v>0</v>
      </c>
      <c r="AR47" s="967"/>
      <c r="AS47" s="967"/>
      <c r="AT47" s="1350"/>
      <c r="AU47" s="1265"/>
      <c r="AV47" s="1265"/>
      <c r="AW47" s="1265"/>
      <c r="AX47" s="1265"/>
      <c r="AY47" s="1265"/>
      <c r="AZ47" s="1265"/>
      <c r="BA47" s="1265"/>
      <c r="BB47" s="1265"/>
      <c r="BC47" s="1265"/>
      <c r="BD47" s="1265"/>
      <c r="BE47" s="1265"/>
    </row>
    <row r="48" spans="1:57" ht="13.5" hidden="1" customHeight="1">
      <c r="A48" s="1318" t="s">
        <v>1426</v>
      </c>
      <c r="B48" s="1315"/>
      <c r="C48" s="1315"/>
      <c r="D48" s="1312"/>
      <c r="E48" s="1312"/>
      <c r="F48" s="1310"/>
      <c r="G48" s="1315">
        <v>0.29166666666666669</v>
      </c>
      <c r="H48" s="1315">
        <v>0.125</v>
      </c>
      <c r="I48" s="1312">
        <v>8</v>
      </c>
      <c r="J48" s="1312"/>
      <c r="K48" s="1310"/>
      <c r="L48" s="1315">
        <v>0.29166666666666669</v>
      </c>
      <c r="M48" s="1315">
        <v>0.125</v>
      </c>
      <c r="N48" s="1312">
        <v>8</v>
      </c>
      <c r="O48" s="1312"/>
      <c r="P48" s="1310"/>
      <c r="Q48" s="1315">
        <v>0.29166666666666669</v>
      </c>
      <c r="R48" s="1315">
        <v>0.125</v>
      </c>
      <c r="S48" s="1312">
        <v>8</v>
      </c>
      <c r="T48" s="1312"/>
      <c r="U48" s="1310"/>
      <c r="V48" s="1315">
        <v>0.29166666666666669</v>
      </c>
      <c r="W48" s="1315">
        <v>0.125</v>
      </c>
      <c r="X48" s="1312">
        <v>8</v>
      </c>
      <c r="Y48" s="1312"/>
      <c r="Z48" s="1314">
        <f t="shared" si="12"/>
        <v>32</v>
      </c>
      <c r="AA48" s="1316">
        <f t="shared" si="13"/>
        <v>0</v>
      </c>
      <c r="AB48" s="1310"/>
      <c r="AC48" s="1315"/>
      <c r="AD48" s="1315"/>
      <c r="AE48" s="1312"/>
      <c r="AF48" s="1310"/>
      <c r="AG48" s="1315"/>
      <c r="AH48" s="1315"/>
      <c r="AI48" s="1312"/>
      <c r="AJ48" s="1314">
        <f t="shared" si="14"/>
        <v>0</v>
      </c>
      <c r="AK48" s="941"/>
      <c r="AL48" s="943"/>
      <c r="AM48" s="940"/>
      <c r="AN48" s="1316" t="s">
        <v>32</v>
      </c>
      <c r="AO48" s="1329">
        <f>AJ69</f>
        <v>16</v>
      </c>
      <c r="AP48" s="1330">
        <v>60.465000000000003</v>
      </c>
      <c r="AQ48" s="1330">
        <f>AP48*AO48</f>
        <v>967.44</v>
      </c>
      <c r="AR48" s="967"/>
      <c r="AS48" s="967"/>
      <c r="AT48" s="1350"/>
      <c r="AU48" s="1265"/>
      <c r="AV48" s="1265"/>
      <c r="AW48" s="1265"/>
      <c r="AX48" s="1265"/>
      <c r="AY48" s="1265"/>
      <c r="AZ48" s="1265"/>
      <c r="BA48" s="1265"/>
      <c r="BB48" s="1265"/>
      <c r="BC48" s="1265"/>
      <c r="BD48" s="1265"/>
      <c r="BE48" s="1265"/>
    </row>
    <row r="49" spans="1:57" ht="13.5" hidden="1" customHeight="1">
      <c r="A49" s="1318" t="s">
        <v>1060</v>
      </c>
      <c r="B49" s="1315"/>
      <c r="C49" s="1315"/>
      <c r="D49" s="1312"/>
      <c r="E49" s="1312"/>
      <c r="F49" s="1310"/>
      <c r="G49" s="1315">
        <v>0.29166666666666669</v>
      </c>
      <c r="H49" s="1315">
        <v>0.125</v>
      </c>
      <c r="I49" s="1312">
        <v>8</v>
      </c>
      <c r="J49" s="1312"/>
      <c r="K49" s="1310"/>
      <c r="L49" s="1315">
        <v>0.29166666666666669</v>
      </c>
      <c r="M49" s="1315">
        <v>0.125</v>
      </c>
      <c r="N49" s="1312">
        <v>8</v>
      </c>
      <c r="O49" s="1312"/>
      <c r="P49" s="1310"/>
      <c r="Q49" s="1315">
        <v>0.29166666666666669</v>
      </c>
      <c r="R49" s="1315"/>
      <c r="S49" s="1312">
        <v>7.75</v>
      </c>
      <c r="T49" s="1312"/>
      <c r="U49" s="1310"/>
      <c r="V49" s="1315">
        <v>0.29166666666666669</v>
      </c>
      <c r="W49" s="1315">
        <v>0.13541666666666666</v>
      </c>
      <c r="X49" s="1312">
        <v>8.25</v>
      </c>
      <c r="Y49" s="1312"/>
      <c r="Z49" s="1314">
        <f t="shared" si="12"/>
        <v>32</v>
      </c>
      <c r="AA49" s="1316">
        <f t="shared" si="13"/>
        <v>0</v>
      </c>
      <c r="AB49" s="1310"/>
      <c r="AC49" s="1315"/>
      <c r="AD49" s="1315"/>
      <c r="AE49" s="1312"/>
      <c r="AF49" s="1310"/>
      <c r="AG49" s="1315"/>
      <c r="AH49" s="1315"/>
      <c r="AI49" s="1312"/>
      <c r="AJ49" s="1314">
        <f t="shared" si="14"/>
        <v>0</v>
      </c>
      <c r="AK49" s="941"/>
      <c r="AL49" s="943"/>
      <c r="AM49" s="940"/>
      <c r="AN49" s="1316" t="s">
        <v>1475</v>
      </c>
      <c r="AO49" s="1329">
        <f>AA70+AJ70</f>
        <v>0</v>
      </c>
      <c r="AP49" s="1330">
        <f>(60.47*1.5)</f>
        <v>90.704999999999998</v>
      </c>
      <c r="AQ49" s="1330">
        <f t="shared" ref="AQ49" si="15">AP49*AO49</f>
        <v>0</v>
      </c>
      <c r="AR49" s="967"/>
      <c r="AS49" s="967"/>
      <c r="AT49" s="1350"/>
      <c r="AU49" s="1265"/>
      <c r="AV49" s="1265"/>
      <c r="AW49" s="1265"/>
      <c r="AX49" s="1265"/>
      <c r="AY49" s="1265"/>
      <c r="AZ49" s="1265"/>
      <c r="BA49" s="1265"/>
      <c r="BB49" s="1265"/>
      <c r="BC49" s="1265"/>
      <c r="BD49" s="1265"/>
      <c r="BE49" s="1265"/>
    </row>
    <row r="50" spans="1:57" ht="13.5" hidden="1" customHeight="1">
      <c r="A50" s="1318" t="s">
        <v>1438</v>
      </c>
      <c r="B50" s="1315"/>
      <c r="C50" s="1315"/>
      <c r="D50" s="1312"/>
      <c r="E50" s="1312"/>
      <c r="F50" s="1310"/>
      <c r="G50" s="1315">
        <v>0.29166666666666669</v>
      </c>
      <c r="H50" s="1315">
        <v>0.15625</v>
      </c>
      <c r="I50" s="1312">
        <v>8.75</v>
      </c>
      <c r="J50" s="1312"/>
      <c r="K50" s="1310"/>
      <c r="L50" s="1315">
        <v>0.29166666666666669</v>
      </c>
      <c r="M50" s="1315">
        <v>0.16666666666666666</v>
      </c>
      <c r="N50" s="1312">
        <v>9</v>
      </c>
      <c r="O50" s="1312"/>
      <c r="P50" s="1310"/>
      <c r="Q50" s="1315">
        <v>0.29166666666666669</v>
      </c>
      <c r="R50" s="1315">
        <v>0.125</v>
      </c>
      <c r="S50" s="1312">
        <v>8</v>
      </c>
      <c r="T50" s="1312"/>
      <c r="U50" s="1310"/>
      <c r="V50" s="1315">
        <v>0.29166666666666669</v>
      </c>
      <c r="W50" s="1315">
        <v>0.14583333333333334</v>
      </c>
      <c r="X50" s="1312">
        <v>8.5</v>
      </c>
      <c r="Y50" s="1312"/>
      <c r="Z50" s="1314">
        <f t="shared" si="12"/>
        <v>34.25</v>
      </c>
      <c r="AA50" s="1316">
        <f t="shared" si="13"/>
        <v>0</v>
      </c>
      <c r="AB50" s="1310"/>
      <c r="AC50" s="1315"/>
      <c r="AD50" s="1315"/>
      <c r="AE50" s="1312"/>
      <c r="AF50" s="1310"/>
      <c r="AG50" s="1315"/>
      <c r="AH50" s="1315"/>
      <c r="AI50" s="1312"/>
      <c r="AJ50" s="1314">
        <f t="shared" si="14"/>
        <v>0</v>
      </c>
      <c r="AK50" s="941"/>
      <c r="AL50" s="943"/>
      <c r="AM50" s="940"/>
      <c r="AN50" s="1316" t="s">
        <v>213</v>
      </c>
      <c r="AO50" s="1329">
        <f>Z71</f>
        <v>28.5</v>
      </c>
      <c r="AP50" s="1330">
        <v>53.05</v>
      </c>
      <c r="AQ50" s="1330">
        <f>AP50*AO50</f>
        <v>1511.925</v>
      </c>
      <c r="AR50" s="967"/>
      <c r="AS50" s="967"/>
      <c r="AT50" s="1350"/>
      <c r="AU50" s="1265"/>
      <c r="AV50" s="1265"/>
      <c r="AW50" s="1265"/>
      <c r="AX50" s="1265"/>
      <c r="AY50" s="1265"/>
      <c r="AZ50" s="1265"/>
      <c r="BA50" s="1265"/>
      <c r="BB50" s="1265"/>
      <c r="BC50" s="1265"/>
      <c r="BD50" s="1265"/>
      <c r="BE50" s="1265"/>
    </row>
    <row r="51" spans="1:57" ht="13.5" hidden="1" customHeight="1">
      <c r="A51" s="1318" t="s">
        <v>1142</v>
      </c>
      <c r="B51" s="1315"/>
      <c r="C51" s="1315"/>
      <c r="D51" s="1312"/>
      <c r="E51" s="1312"/>
      <c r="F51" s="1310"/>
      <c r="G51" s="1315">
        <v>0.125</v>
      </c>
      <c r="H51" s="1315">
        <v>0.45833333333333331</v>
      </c>
      <c r="I51" s="1312">
        <v>8</v>
      </c>
      <c r="J51" s="1312"/>
      <c r="K51" s="1312"/>
      <c r="L51" s="1315">
        <v>0.125</v>
      </c>
      <c r="M51" s="1315">
        <v>0.45833333333333331</v>
      </c>
      <c r="N51" s="1312">
        <v>8</v>
      </c>
      <c r="O51" s="1312"/>
      <c r="P51" s="1312"/>
      <c r="Q51" s="1315">
        <v>0.125</v>
      </c>
      <c r="R51" s="1315">
        <v>0.45833333333333331</v>
      </c>
      <c r="S51" s="1312">
        <v>8</v>
      </c>
      <c r="T51" s="1312"/>
      <c r="U51" s="1312"/>
      <c r="V51" s="1315">
        <v>0.125</v>
      </c>
      <c r="W51" s="1315">
        <v>0.45833333333333331</v>
      </c>
      <c r="X51" s="1312">
        <v>8</v>
      </c>
      <c r="Y51" s="1312"/>
      <c r="Z51" s="1314">
        <f t="shared" si="12"/>
        <v>32</v>
      </c>
      <c r="AA51" s="1316">
        <f t="shared" si="13"/>
        <v>0</v>
      </c>
      <c r="AB51" s="1310"/>
      <c r="AC51" s="1315"/>
      <c r="AD51" s="1315"/>
      <c r="AE51" s="1312"/>
      <c r="AF51" s="1310"/>
      <c r="AG51" s="1315"/>
      <c r="AH51" s="1315"/>
      <c r="AI51" s="1312"/>
      <c r="AJ51" s="1314">
        <f t="shared" si="14"/>
        <v>0</v>
      </c>
      <c r="AK51" s="941"/>
      <c r="AL51" s="943"/>
      <c r="AM51" s="940"/>
      <c r="AN51" s="1316" t="s">
        <v>36</v>
      </c>
      <c r="AO51" s="1329">
        <f>AA71+AJ71</f>
        <v>4.25</v>
      </c>
      <c r="AP51" s="1330">
        <f>53.05*1.5</f>
        <v>79.574999999999989</v>
      </c>
      <c r="AQ51" s="1330">
        <f>AP51*AO51</f>
        <v>338.19374999999997</v>
      </c>
      <c r="AR51" s="967"/>
      <c r="AS51" s="967"/>
      <c r="AT51" s="1350"/>
      <c r="AU51" s="1265"/>
      <c r="AV51" s="1265"/>
      <c r="AW51" s="1265"/>
      <c r="AX51" s="1265"/>
      <c r="AY51" s="1265"/>
      <c r="AZ51" s="1265"/>
      <c r="BA51" s="1265"/>
      <c r="BB51" s="1265"/>
      <c r="BC51" s="1265"/>
      <c r="BD51" s="1265"/>
      <c r="BE51" s="1265"/>
    </row>
    <row r="52" spans="1:57" ht="13.5" hidden="1" customHeight="1">
      <c r="A52" s="1318" t="s">
        <v>1447</v>
      </c>
      <c r="B52" s="1315"/>
      <c r="C52" s="1315"/>
      <c r="D52" s="1312"/>
      <c r="E52" s="1312"/>
      <c r="F52" s="1310"/>
      <c r="G52" s="1315">
        <v>0.125</v>
      </c>
      <c r="H52" s="1315">
        <v>0.45833333333333331</v>
      </c>
      <c r="I52" s="1312">
        <v>8</v>
      </c>
      <c r="J52" s="1312"/>
      <c r="K52" s="1312"/>
      <c r="L52" s="1315">
        <v>0.125</v>
      </c>
      <c r="M52" s="1315">
        <v>0.45833333333333331</v>
      </c>
      <c r="N52" s="1312">
        <v>8</v>
      </c>
      <c r="O52" s="1312"/>
      <c r="P52" s="1312"/>
      <c r="Q52" s="1315">
        <v>0.125</v>
      </c>
      <c r="R52" s="1315">
        <v>0.45833333333333331</v>
      </c>
      <c r="S52" s="1312">
        <v>8</v>
      </c>
      <c r="T52" s="1312"/>
      <c r="U52" s="1312"/>
      <c r="V52" s="1315">
        <v>0.125</v>
      </c>
      <c r="W52" s="1315">
        <v>0.45833333333333331</v>
      </c>
      <c r="X52" s="1312">
        <v>8</v>
      </c>
      <c r="Y52" s="1312"/>
      <c r="Z52" s="1314">
        <f t="shared" si="12"/>
        <v>32</v>
      </c>
      <c r="AA52" s="1316">
        <f t="shared" si="13"/>
        <v>0</v>
      </c>
      <c r="AB52" s="1310"/>
      <c r="AC52" s="1315"/>
      <c r="AD52" s="1315"/>
      <c r="AE52" s="1312"/>
      <c r="AF52" s="1310"/>
      <c r="AG52" s="1315"/>
      <c r="AH52" s="1315"/>
      <c r="AI52" s="1312"/>
      <c r="AJ52" s="1314">
        <f t="shared" si="14"/>
        <v>0</v>
      </c>
      <c r="AK52" s="941"/>
      <c r="AL52" s="943"/>
      <c r="AM52" s="940"/>
      <c r="AN52" s="967"/>
      <c r="AO52" s="967"/>
      <c r="AP52" s="967"/>
      <c r="AQ52" s="1331">
        <f>SUM(AQ45:AQ51)</f>
        <v>31075.666249999998</v>
      </c>
      <c r="AR52" s="967"/>
      <c r="AS52" s="967"/>
      <c r="AT52" s="1350"/>
      <c r="AU52" s="1265"/>
      <c r="AV52" s="1265"/>
      <c r="AW52" s="1265"/>
      <c r="AX52" s="1265"/>
      <c r="AY52" s="1265"/>
      <c r="AZ52" s="1265"/>
      <c r="BA52" s="1265"/>
      <c r="BB52" s="1265"/>
      <c r="BC52" s="1265"/>
      <c r="BD52" s="1265"/>
      <c r="BE52" s="1265"/>
    </row>
    <row r="53" spans="1:57" ht="13.5" hidden="1" customHeight="1">
      <c r="A53" s="1310" t="s">
        <v>327</v>
      </c>
      <c r="B53" s="1315"/>
      <c r="C53" s="1315"/>
      <c r="D53" s="1312"/>
      <c r="E53" s="1312"/>
      <c r="F53" s="1312"/>
      <c r="G53" s="1315">
        <v>0.125</v>
      </c>
      <c r="H53" s="1315">
        <v>0.45833333333333331</v>
      </c>
      <c r="I53" s="1312">
        <v>8</v>
      </c>
      <c r="J53" s="1312"/>
      <c r="K53" s="1312"/>
      <c r="L53" s="1315">
        <v>0.125</v>
      </c>
      <c r="M53" s="1315">
        <v>0.45833333333333331</v>
      </c>
      <c r="N53" s="1312">
        <v>8</v>
      </c>
      <c r="O53" s="1312"/>
      <c r="P53" s="1312"/>
      <c r="Q53" s="1315">
        <v>0.125</v>
      </c>
      <c r="R53" s="1315">
        <v>0.45833333333333331</v>
      </c>
      <c r="S53" s="1312">
        <v>8</v>
      </c>
      <c r="T53" s="1312"/>
      <c r="U53" s="1312"/>
      <c r="V53" s="1315">
        <v>0.125</v>
      </c>
      <c r="W53" s="1315">
        <v>0.45833333333333331</v>
      </c>
      <c r="X53" s="1312">
        <v>8</v>
      </c>
      <c r="Y53" s="1312"/>
      <c r="Z53" s="1314">
        <f t="shared" si="12"/>
        <v>32</v>
      </c>
      <c r="AA53" s="1316">
        <f t="shared" si="13"/>
        <v>0</v>
      </c>
      <c r="AB53" s="1310"/>
      <c r="AC53" s="1315"/>
      <c r="AD53" s="1315"/>
      <c r="AE53" s="1312"/>
      <c r="AF53" s="1310"/>
      <c r="AG53" s="1315"/>
      <c r="AH53" s="1315"/>
      <c r="AI53" s="1312"/>
      <c r="AJ53" s="1314">
        <f t="shared" si="14"/>
        <v>0</v>
      </c>
      <c r="AK53" s="941"/>
      <c r="AL53" s="943"/>
      <c r="AM53" s="940"/>
      <c r="AN53" s="967"/>
      <c r="AO53" s="967"/>
      <c r="AP53" s="967"/>
      <c r="AQ53" s="967"/>
      <c r="AR53" s="967"/>
      <c r="AS53" s="967"/>
      <c r="AT53" s="1350"/>
      <c r="AU53" s="1265"/>
      <c r="AV53" s="1265"/>
      <c r="AW53" s="1265"/>
      <c r="AX53" s="1265"/>
      <c r="AY53" s="1265"/>
      <c r="AZ53" s="1265"/>
      <c r="BA53" s="1265"/>
      <c r="BB53" s="1265"/>
      <c r="BC53" s="1265"/>
      <c r="BD53" s="1265"/>
      <c r="BE53" s="1265"/>
    </row>
    <row r="54" spans="1:57" ht="13.5" hidden="1" customHeight="1">
      <c r="A54" s="1310" t="s">
        <v>1436</v>
      </c>
      <c r="B54" s="1315"/>
      <c r="C54" s="1315"/>
      <c r="D54" s="1312"/>
      <c r="E54" s="1312"/>
      <c r="F54" s="1312"/>
      <c r="G54" s="1315">
        <v>0.125</v>
      </c>
      <c r="H54" s="1315">
        <v>0.45833333333333331</v>
      </c>
      <c r="I54" s="1312">
        <v>8</v>
      </c>
      <c r="J54" s="1312"/>
      <c r="K54" s="1312"/>
      <c r="L54" s="1315">
        <v>0.125</v>
      </c>
      <c r="M54" s="1315">
        <v>0.45833333333333331</v>
      </c>
      <c r="N54" s="1312">
        <v>8</v>
      </c>
      <c r="O54" s="1312"/>
      <c r="P54" s="1312"/>
      <c r="Q54" s="1315">
        <v>0.125</v>
      </c>
      <c r="R54" s="1315">
        <v>0.45833333333333331</v>
      </c>
      <c r="S54" s="1312">
        <v>8</v>
      </c>
      <c r="T54" s="1312"/>
      <c r="U54" s="1312"/>
      <c r="V54" s="1315">
        <v>0.125</v>
      </c>
      <c r="W54" s="1315">
        <v>0.45833333333333331</v>
      </c>
      <c r="X54" s="1312">
        <v>8</v>
      </c>
      <c r="Y54" s="1312"/>
      <c r="Z54" s="1314">
        <f t="shared" si="12"/>
        <v>32</v>
      </c>
      <c r="AA54" s="1316">
        <f t="shared" si="13"/>
        <v>0</v>
      </c>
      <c r="AB54" s="1310"/>
      <c r="AC54" s="1315"/>
      <c r="AD54" s="1315"/>
      <c r="AE54" s="1312"/>
      <c r="AF54" s="1310"/>
      <c r="AG54" s="1315"/>
      <c r="AH54" s="1315"/>
      <c r="AI54" s="1312"/>
      <c r="AJ54" s="1314">
        <f t="shared" si="14"/>
        <v>0</v>
      </c>
      <c r="AK54" s="941"/>
      <c r="AL54" s="943"/>
      <c r="AM54" s="940"/>
      <c r="AN54" s="967"/>
      <c r="AO54" s="967"/>
      <c r="AP54" s="967"/>
      <c r="AQ54" s="967"/>
      <c r="AR54" s="967"/>
      <c r="AS54" s="967"/>
      <c r="AT54" s="1350"/>
      <c r="AU54" s="1265"/>
      <c r="AV54" s="1265"/>
      <c r="AW54" s="1265"/>
      <c r="AX54" s="1265"/>
      <c r="AY54" s="1265"/>
      <c r="AZ54" s="1265"/>
      <c r="BA54" s="1265"/>
      <c r="BB54" s="1265"/>
      <c r="BC54" s="1265"/>
      <c r="BD54" s="1265"/>
      <c r="BE54" s="1265"/>
    </row>
    <row r="55" spans="1:57" ht="13.5" hidden="1" customHeight="1">
      <c r="A55" s="1318" t="s">
        <v>1140</v>
      </c>
      <c r="B55" s="1315"/>
      <c r="C55" s="1315"/>
      <c r="D55" s="1312"/>
      <c r="E55" s="1312"/>
      <c r="F55" s="1310"/>
      <c r="G55" s="1315">
        <v>0.125</v>
      </c>
      <c r="H55" s="1315">
        <v>0.45833333333333331</v>
      </c>
      <c r="I55" s="1312">
        <v>8</v>
      </c>
      <c r="J55" s="1312"/>
      <c r="K55" s="1310"/>
      <c r="L55" s="1315">
        <v>0.125</v>
      </c>
      <c r="M55" s="1315">
        <v>0.45833333333333331</v>
      </c>
      <c r="N55" s="1312">
        <v>8</v>
      </c>
      <c r="O55" s="1312"/>
      <c r="P55" s="1310"/>
      <c r="Q55" s="1315">
        <v>0.125</v>
      </c>
      <c r="R55" s="1315">
        <v>0.45833333333333331</v>
      </c>
      <c r="S55" s="1312">
        <v>8</v>
      </c>
      <c r="T55" s="1312"/>
      <c r="U55" s="1310"/>
      <c r="V55" s="1315">
        <v>0.125</v>
      </c>
      <c r="W55" s="1315">
        <v>0.45833333333333331</v>
      </c>
      <c r="X55" s="1312">
        <v>8</v>
      </c>
      <c r="Y55" s="1312"/>
      <c r="Z55" s="1314">
        <f t="shared" si="12"/>
        <v>32</v>
      </c>
      <c r="AA55" s="1316">
        <f t="shared" si="13"/>
        <v>0</v>
      </c>
      <c r="AB55" s="1310"/>
      <c r="AC55" s="1315"/>
      <c r="AD55" s="1315"/>
      <c r="AE55" s="1312"/>
      <c r="AF55" s="1310"/>
      <c r="AG55" s="1315"/>
      <c r="AH55" s="1315"/>
      <c r="AI55" s="1312"/>
      <c r="AJ55" s="1314">
        <f t="shared" si="14"/>
        <v>0</v>
      </c>
      <c r="AK55" s="941"/>
      <c r="AL55" s="943"/>
      <c r="AM55" s="940"/>
      <c r="AN55" s="1316"/>
      <c r="AO55" s="1329"/>
      <c r="AP55" s="1330"/>
      <c r="AQ55" s="1330"/>
      <c r="AR55" s="967"/>
      <c r="AS55" s="967"/>
      <c r="AT55" s="1350"/>
      <c r="AU55" s="1265"/>
      <c r="AV55" s="1265"/>
      <c r="AW55" s="1265"/>
      <c r="AX55" s="1265"/>
      <c r="AY55" s="1265"/>
      <c r="AZ55" s="1265"/>
      <c r="BA55" s="1265"/>
      <c r="BB55" s="1265"/>
      <c r="BC55" s="1265"/>
      <c r="BD55" s="1265"/>
      <c r="BE55" s="1265"/>
    </row>
    <row r="56" spans="1:57" ht="13.5" hidden="1" customHeight="1">
      <c r="A56" s="1318" t="s">
        <v>1141</v>
      </c>
      <c r="B56" s="1315"/>
      <c r="C56" s="1315"/>
      <c r="D56" s="1312"/>
      <c r="E56" s="1312"/>
      <c r="F56" s="1312"/>
      <c r="G56" s="1315">
        <v>0.29166666666666669</v>
      </c>
      <c r="H56" s="1315"/>
      <c r="I56" s="1312">
        <v>6</v>
      </c>
      <c r="J56" s="1312"/>
      <c r="K56" s="1312"/>
      <c r="L56" s="1315">
        <v>0.29166666666666669</v>
      </c>
      <c r="M56" s="1315">
        <v>0.17708333333333334</v>
      </c>
      <c r="N56" s="1312">
        <v>8.5</v>
      </c>
      <c r="O56" s="1312"/>
      <c r="P56" s="1312"/>
      <c r="Q56" s="1315">
        <v>0.29166666666666669</v>
      </c>
      <c r="R56" s="1315">
        <v>0.17708333333333334</v>
      </c>
      <c r="S56" s="1312">
        <v>8.5</v>
      </c>
      <c r="T56" s="1312"/>
      <c r="U56" s="1312"/>
      <c r="V56" s="1315">
        <v>0.29166666666666669</v>
      </c>
      <c r="W56" s="1315">
        <v>0.16666666666666666</v>
      </c>
      <c r="X56" s="1312">
        <v>8</v>
      </c>
      <c r="Y56" s="1312"/>
      <c r="Z56" s="1314">
        <f>D56+I56+N56+S56+X56</f>
        <v>31</v>
      </c>
      <c r="AA56" s="1316">
        <f t="shared" si="13"/>
        <v>0</v>
      </c>
      <c r="AB56" s="1310"/>
      <c r="AC56" s="1315">
        <v>0.29166666666666669</v>
      </c>
      <c r="AD56" s="1315">
        <v>0.22916666666666666</v>
      </c>
      <c r="AE56" s="1312">
        <v>9.5</v>
      </c>
      <c r="AF56" s="1310"/>
      <c r="AG56" s="1315"/>
      <c r="AH56" s="1315"/>
      <c r="AI56" s="1312"/>
      <c r="AJ56" s="1314">
        <f t="shared" si="14"/>
        <v>9.5</v>
      </c>
      <c r="AK56" s="941"/>
      <c r="AL56" s="943"/>
      <c r="AM56" s="940"/>
      <c r="AN56" s="967"/>
      <c r="AO56" s="967"/>
      <c r="AP56" s="967"/>
      <c r="AQ56" s="967"/>
      <c r="AR56" s="967"/>
      <c r="AS56" s="967"/>
      <c r="AT56" s="1350"/>
      <c r="AU56" s="1265"/>
      <c r="AV56" s="1265"/>
      <c r="AW56" s="1265"/>
      <c r="AX56" s="1265"/>
      <c r="AY56" s="1265"/>
      <c r="AZ56" s="1265"/>
      <c r="BA56" s="1265"/>
      <c r="BB56" s="1265"/>
      <c r="BC56" s="1265"/>
      <c r="BD56" s="1265"/>
      <c r="BE56" s="1265"/>
    </row>
    <row r="57" spans="1:57" ht="13.5" hidden="1" customHeight="1">
      <c r="A57" s="1318" t="s">
        <v>241</v>
      </c>
      <c r="B57" s="1315"/>
      <c r="C57" s="1315"/>
      <c r="D57" s="1312"/>
      <c r="E57" s="1312"/>
      <c r="F57" s="1312"/>
      <c r="G57" s="1315">
        <v>0.29166666666666669</v>
      </c>
      <c r="H57" s="1315">
        <v>9.375E-2</v>
      </c>
      <c r="I57" s="1312">
        <v>7</v>
      </c>
      <c r="J57" s="1312"/>
      <c r="K57" s="1312"/>
      <c r="L57" s="1315">
        <v>0.29166666666666669</v>
      </c>
      <c r="M57" s="1315">
        <v>0.125</v>
      </c>
      <c r="N57" s="1312">
        <v>7.5</v>
      </c>
      <c r="O57" s="1312"/>
      <c r="P57" s="1312"/>
      <c r="Q57" s="1315">
        <v>0.33333333333333331</v>
      </c>
      <c r="R57" s="1315"/>
      <c r="S57" s="1312">
        <v>6</v>
      </c>
      <c r="T57" s="1312"/>
      <c r="U57" s="1312"/>
      <c r="V57" s="1315">
        <v>8.3333333333333329E-2</v>
      </c>
      <c r="W57" s="1315">
        <v>0.41666666666666669</v>
      </c>
      <c r="X57" s="1312">
        <v>7.75</v>
      </c>
      <c r="Y57" s="1312"/>
      <c r="Z57" s="1314">
        <f t="shared" si="12"/>
        <v>28.25</v>
      </c>
      <c r="AA57" s="1316">
        <f t="shared" si="13"/>
        <v>0</v>
      </c>
      <c r="AB57" s="1310"/>
      <c r="AC57" s="1315"/>
      <c r="AD57" s="1315"/>
      <c r="AE57" s="1312"/>
      <c r="AF57" s="1310"/>
      <c r="AG57" s="1315"/>
      <c r="AH57" s="1315"/>
      <c r="AI57" s="1312"/>
      <c r="AJ57" s="1314">
        <f t="shared" si="14"/>
        <v>0</v>
      </c>
      <c r="AK57" s="941"/>
      <c r="AL57" s="943"/>
      <c r="AM57" s="940"/>
      <c r="AN57" s="967"/>
      <c r="AO57" s="967"/>
      <c r="AP57" s="967"/>
      <c r="AQ57" s="967"/>
      <c r="AR57" s="967"/>
      <c r="AS57" s="967"/>
      <c r="AT57" s="1350"/>
      <c r="AU57" s="1265"/>
      <c r="AV57" s="1265"/>
      <c r="AW57" s="1265"/>
      <c r="AX57" s="1265"/>
      <c r="AY57" s="1265"/>
      <c r="AZ57" s="1265"/>
      <c r="BA57" s="1265"/>
      <c r="BB57" s="1265"/>
      <c r="BC57" s="1265"/>
      <c r="BD57" s="1265"/>
      <c r="BE57" s="1265"/>
    </row>
    <row r="58" spans="1:57" ht="13.5" hidden="1" customHeight="1">
      <c r="A58" s="1318" t="s">
        <v>1477</v>
      </c>
      <c r="B58" s="1315"/>
      <c r="C58" s="1315"/>
      <c r="D58" s="1312"/>
      <c r="E58" s="1312"/>
      <c r="F58" s="1312"/>
      <c r="G58" s="1315">
        <v>0.375</v>
      </c>
      <c r="H58" s="1315">
        <v>0.20833333333333334</v>
      </c>
      <c r="I58" s="1312">
        <v>7</v>
      </c>
      <c r="J58" s="1312"/>
      <c r="K58" s="1312"/>
      <c r="L58" s="1315">
        <v>0.375</v>
      </c>
      <c r="M58" s="1315">
        <v>0.20833333333333334</v>
      </c>
      <c r="N58" s="1312">
        <v>7</v>
      </c>
      <c r="O58" s="1312"/>
      <c r="P58" s="1312"/>
      <c r="Q58" s="1315"/>
      <c r="R58" s="1315">
        <v>0.20833333333333334</v>
      </c>
      <c r="S58" s="1312">
        <v>6.75</v>
      </c>
      <c r="T58" s="1312"/>
      <c r="U58" s="1312"/>
      <c r="V58" s="1315">
        <v>0.375</v>
      </c>
      <c r="W58" s="1315">
        <v>0.22916666666666666</v>
      </c>
      <c r="X58" s="1312">
        <v>8</v>
      </c>
      <c r="Y58" s="1312"/>
      <c r="Z58" s="1314">
        <f t="shared" si="12"/>
        <v>28.75</v>
      </c>
      <c r="AA58" s="1316">
        <f t="shared" si="13"/>
        <v>0</v>
      </c>
      <c r="AB58" s="1310"/>
      <c r="AC58" s="1315"/>
      <c r="AD58" s="1315"/>
      <c r="AE58" s="1312"/>
      <c r="AF58" s="1310"/>
      <c r="AG58" s="1315"/>
      <c r="AH58" s="1315"/>
      <c r="AI58" s="1312"/>
      <c r="AJ58" s="1314">
        <f t="shared" si="14"/>
        <v>0</v>
      </c>
      <c r="AK58" s="941"/>
      <c r="AL58" s="943"/>
      <c r="AM58" s="940"/>
      <c r="AN58" s="967"/>
      <c r="AO58" s="967"/>
      <c r="AP58" s="967"/>
      <c r="AQ58" s="967"/>
      <c r="AR58" s="967"/>
      <c r="AS58" s="967"/>
      <c r="AT58" s="1350"/>
      <c r="AU58" s="1265"/>
      <c r="AV58" s="1265"/>
      <c r="AW58" s="1265"/>
      <c r="AX58" s="1265"/>
      <c r="AY58" s="1265"/>
      <c r="AZ58" s="1265"/>
      <c r="BA58" s="1265"/>
      <c r="BB58" s="1265"/>
      <c r="BC58" s="1265"/>
      <c r="BD58" s="1265"/>
      <c r="BE58" s="1265"/>
    </row>
    <row r="59" spans="1:57" ht="13.5" hidden="1" customHeight="1">
      <c r="A59" s="1318" t="s">
        <v>1444</v>
      </c>
      <c r="B59" s="1315"/>
      <c r="C59" s="1315"/>
      <c r="D59" s="1312"/>
      <c r="E59" s="1312"/>
      <c r="F59" s="1312"/>
      <c r="G59" s="1315"/>
      <c r="H59" s="1315"/>
      <c r="I59" s="1312"/>
      <c r="J59" s="1312"/>
      <c r="K59" s="1312"/>
      <c r="L59" s="1315">
        <v>0.375</v>
      </c>
      <c r="M59" s="1315"/>
      <c r="N59" s="1312">
        <v>6.75</v>
      </c>
      <c r="O59" s="1312"/>
      <c r="P59" s="1312"/>
      <c r="Q59" s="1315">
        <v>0.375</v>
      </c>
      <c r="R59" s="1315"/>
      <c r="S59" s="1312">
        <v>6.75</v>
      </c>
      <c r="T59" s="1312"/>
      <c r="U59" s="1312"/>
      <c r="V59" s="1315"/>
      <c r="W59" s="1315"/>
      <c r="X59" s="1312"/>
      <c r="Y59" s="1312"/>
      <c r="Z59" s="1314">
        <f t="shared" si="12"/>
        <v>13.5</v>
      </c>
      <c r="AA59" s="1316">
        <f t="shared" si="13"/>
        <v>0</v>
      </c>
      <c r="AB59" s="1310"/>
      <c r="AC59" s="1315"/>
      <c r="AD59" s="1315"/>
      <c r="AE59" s="1312"/>
      <c r="AF59" s="1310"/>
      <c r="AG59" s="1315"/>
      <c r="AH59" s="1315"/>
      <c r="AI59" s="1312"/>
      <c r="AJ59" s="1314">
        <f t="shared" si="14"/>
        <v>0</v>
      </c>
      <c r="AK59" s="941"/>
      <c r="AL59" s="943"/>
      <c r="AM59" s="940"/>
      <c r="AN59" s="967"/>
      <c r="AO59" s="967"/>
      <c r="AP59" s="967"/>
      <c r="AQ59" s="967"/>
      <c r="AR59" s="967"/>
      <c r="AS59" s="967"/>
      <c r="AT59" s="1350"/>
      <c r="AU59" s="1265"/>
      <c r="AV59" s="1265"/>
      <c r="AW59" s="1265"/>
      <c r="AX59" s="1265"/>
      <c r="AY59" s="1265"/>
      <c r="AZ59" s="1265"/>
      <c r="BA59" s="1265"/>
      <c r="BB59" s="1265"/>
      <c r="BC59" s="1265"/>
      <c r="BD59" s="1265"/>
      <c r="BE59" s="1265"/>
    </row>
    <row r="60" spans="1:57" ht="13.5" hidden="1" customHeight="1">
      <c r="A60" s="1318" t="s">
        <v>1479</v>
      </c>
      <c r="B60" s="1315"/>
      <c r="C60" s="1315"/>
      <c r="D60" s="1312"/>
      <c r="E60" s="1312"/>
      <c r="F60" s="1312"/>
      <c r="G60" s="1315">
        <v>0.33333333333333331</v>
      </c>
      <c r="H60" s="1315">
        <v>0.16666666666666666</v>
      </c>
      <c r="I60" s="1312">
        <v>8</v>
      </c>
      <c r="J60" s="1312"/>
      <c r="K60" s="1312"/>
      <c r="L60" s="1315"/>
      <c r="M60" s="1315"/>
      <c r="N60" s="1312">
        <v>8</v>
      </c>
      <c r="O60" s="1312"/>
      <c r="P60" s="1312"/>
      <c r="Q60" s="1315"/>
      <c r="R60" s="1315"/>
      <c r="S60" s="1312">
        <v>8</v>
      </c>
      <c r="T60" s="1312"/>
      <c r="U60" s="1312"/>
      <c r="V60" s="1315"/>
      <c r="W60" s="1315"/>
      <c r="X60" s="1312">
        <v>8</v>
      </c>
      <c r="Y60" s="1312"/>
      <c r="Z60" s="1314">
        <f t="shared" ref="Z60" si="16">D60+I60+N60+S60+X60</f>
        <v>32</v>
      </c>
      <c r="AA60" s="1316">
        <f t="shared" ref="AA60" si="17">E60+J60+O60+T60+Y60</f>
        <v>0</v>
      </c>
      <c r="AB60" s="1310"/>
      <c r="AC60" s="1315"/>
      <c r="AD60" s="1315"/>
      <c r="AE60" s="1312"/>
      <c r="AF60" s="1310"/>
      <c r="AG60" s="1315"/>
      <c r="AH60" s="1315"/>
      <c r="AI60" s="1312"/>
      <c r="AJ60" s="1314">
        <f t="shared" ref="AJ60" si="18">SUM(AE60+AI60)</f>
        <v>0</v>
      </c>
      <c r="AK60" s="941"/>
      <c r="AL60" s="943"/>
      <c r="AM60" s="940"/>
      <c r="AN60" s="967"/>
      <c r="AO60" s="967"/>
      <c r="AP60" s="967"/>
      <c r="AQ60" s="967"/>
      <c r="AR60" s="967"/>
      <c r="AS60" s="967"/>
      <c r="AT60" s="1350"/>
      <c r="AU60" s="1265"/>
      <c r="AV60" s="1265"/>
      <c r="AW60" s="1265"/>
      <c r="AX60" s="1265"/>
      <c r="AY60" s="1265"/>
      <c r="AZ60" s="1265"/>
      <c r="BA60" s="1265"/>
      <c r="BB60" s="1265"/>
      <c r="BC60" s="1265"/>
      <c r="BD60" s="1265"/>
      <c r="BE60" s="1265"/>
    </row>
    <row r="61" spans="1:57" ht="13.5" hidden="1" customHeight="1">
      <c r="A61" s="1318" t="s">
        <v>1143</v>
      </c>
      <c r="B61" s="1315"/>
      <c r="C61" s="1315"/>
      <c r="D61" s="1312"/>
      <c r="E61" s="1312"/>
      <c r="F61" s="1310"/>
      <c r="G61" s="1315"/>
      <c r="H61" s="1315"/>
      <c r="I61" s="1312"/>
      <c r="J61" s="1312"/>
      <c r="K61" s="1310"/>
      <c r="L61" s="1315"/>
      <c r="M61" s="1315"/>
      <c r="N61" s="1312"/>
      <c r="O61" s="1312"/>
      <c r="P61" s="1310"/>
      <c r="Q61" s="1315"/>
      <c r="R61" s="1315"/>
      <c r="S61" s="1312"/>
      <c r="T61" s="1312"/>
      <c r="U61" s="1310"/>
      <c r="V61" s="1315"/>
      <c r="W61" s="1315"/>
      <c r="X61" s="1312"/>
      <c r="Y61" s="1312"/>
      <c r="Z61" s="1314">
        <f t="shared" si="12"/>
        <v>0</v>
      </c>
      <c r="AA61" s="1316">
        <f t="shared" si="13"/>
        <v>0</v>
      </c>
      <c r="AB61" s="1310"/>
      <c r="AC61" s="1315">
        <v>0.29166666666666669</v>
      </c>
      <c r="AD61" s="1315">
        <v>6.25E-2</v>
      </c>
      <c r="AE61" s="1312">
        <v>6.5</v>
      </c>
      <c r="AF61" s="1310"/>
      <c r="AG61" s="1315"/>
      <c r="AH61" s="1315"/>
      <c r="AI61" s="1312"/>
      <c r="AJ61" s="1314">
        <f t="shared" si="14"/>
        <v>6.5</v>
      </c>
      <c r="AK61" s="941"/>
      <c r="AL61" s="943"/>
      <c r="AM61" s="940"/>
      <c r="AN61" s="1316"/>
      <c r="AO61" s="1329"/>
      <c r="AP61" s="1330"/>
      <c r="AQ61" s="1330"/>
      <c r="AR61" s="967"/>
      <c r="AS61" s="967"/>
      <c r="AT61" s="1350"/>
      <c r="AU61" s="1265"/>
      <c r="AV61" s="1265"/>
      <c r="AW61" s="1265"/>
      <c r="AX61" s="1265"/>
      <c r="AY61" s="1265"/>
      <c r="AZ61" s="1265"/>
      <c r="BA61" s="1265"/>
      <c r="BB61" s="1265"/>
      <c r="BC61" s="1265"/>
      <c r="BD61" s="1265"/>
      <c r="BE61" s="1265"/>
    </row>
    <row r="62" spans="1:57" ht="13.5" hidden="1" customHeight="1">
      <c r="A62" s="1318" t="s">
        <v>813</v>
      </c>
      <c r="B62" s="1315"/>
      <c r="C62" s="1315"/>
      <c r="D62" s="1312"/>
      <c r="E62" s="1312"/>
      <c r="F62" s="1310"/>
      <c r="G62" s="1315"/>
      <c r="H62" s="1315"/>
      <c r="I62" s="1312">
        <v>2</v>
      </c>
      <c r="J62" s="1312"/>
      <c r="K62" s="1310"/>
      <c r="L62" s="1315"/>
      <c r="M62" s="1315"/>
      <c r="N62" s="1312">
        <v>1</v>
      </c>
      <c r="O62" s="1312"/>
      <c r="P62" s="1310"/>
      <c r="Q62" s="1315"/>
      <c r="R62" s="1315"/>
      <c r="S62" s="1312">
        <v>2</v>
      </c>
      <c r="T62" s="1312"/>
      <c r="U62" s="1310"/>
      <c r="V62" s="1315"/>
      <c r="W62" s="1315"/>
      <c r="X62" s="1312">
        <v>1</v>
      </c>
      <c r="Y62" s="1312"/>
      <c r="Z62" s="1314">
        <f t="shared" si="12"/>
        <v>6</v>
      </c>
      <c r="AA62" s="1316">
        <f t="shared" si="13"/>
        <v>0</v>
      </c>
      <c r="AB62" s="1310"/>
      <c r="AC62" s="1315"/>
      <c r="AD62" s="1315"/>
      <c r="AE62" s="1312"/>
      <c r="AF62" s="1310"/>
      <c r="AG62" s="1315"/>
      <c r="AH62" s="1315"/>
      <c r="AI62" s="1312"/>
      <c r="AJ62" s="1314">
        <f t="shared" si="14"/>
        <v>0</v>
      </c>
      <c r="AK62" s="941"/>
      <c r="AL62" s="943"/>
      <c r="AM62" s="940"/>
      <c r="AN62" s="1316"/>
      <c r="AO62" s="1329"/>
      <c r="AP62" s="1330"/>
      <c r="AQ62" s="1330"/>
      <c r="AR62" s="967"/>
      <c r="AS62" s="967"/>
      <c r="AT62" s="1350"/>
      <c r="AU62" s="1265"/>
      <c r="AV62" s="1265"/>
      <c r="AW62" s="1265"/>
      <c r="AX62" s="1265"/>
      <c r="AY62" s="1265"/>
      <c r="AZ62" s="1265"/>
      <c r="BA62" s="1265"/>
      <c r="BB62" s="1265"/>
      <c r="BC62" s="1265"/>
      <c r="BD62" s="1265"/>
      <c r="BE62" s="1265"/>
    </row>
    <row r="63" spans="1:57" ht="13.5" hidden="1" customHeight="1">
      <c r="A63" s="1318" t="s">
        <v>1431</v>
      </c>
      <c r="B63" s="1315"/>
      <c r="C63" s="1319"/>
      <c r="D63" s="1312"/>
      <c r="E63" s="1312"/>
      <c r="F63" s="1312"/>
      <c r="G63" s="1315"/>
      <c r="H63" s="1319"/>
      <c r="I63" s="1312"/>
      <c r="J63" s="1312"/>
      <c r="K63" s="1312"/>
      <c r="L63" s="1315"/>
      <c r="M63" s="1319"/>
      <c r="N63" s="1312"/>
      <c r="O63" s="1312"/>
      <c r="P63" s="1312"/>
      <c r="Q63" s="1315"/>
      <c r="R63" s="1319"/>
      <c r="S63" s="1312"/>
      <c r="T63" s="1312"/>
      <c r="U63" s="1312"/>
      <c r="V63" s="1315"/>
      <c r="W63" s="1319"/>
      <c r="X63" s="1312"/>
      <c r="Y63" s="1312"/>
      <c r="Z63" s="1314">
        <f>D63+I63+N63+S63+X63</f>
        <v>0</v>
      </c>
      <c r="AA63" s="1316">
        <f t="shared" si="13"/>
        <v>0</v>
      </c>
      <c r="AB63" s="1310"/>
      <c r="AC63" s="1315"/>
      <c r="AD63" s="1319"/>
      <c r="AE63" s="1312"/>
      <c r="AF63" s="1315"/>
      <c r="AG63" s="1319"/>
      <c r="AH63" s="1312"/>
      <c r="AI63" s="1315"/>
      <c r="AJ63" s="1314">
        <f t="shared" si="14"/>
        <v>0</v>
      </c>
      <c r="AK63" s="941"/>
      <c r="AL63" s="943"/>
      <c r="AM63" s="940"/>
      <c r="AN63" s="967"/>
      <c r="AO63" s="967"/>
      <c r="AP63" s="967"/>
      <c r="AQ63" s="967"/>
      <c r="AR63" s="967"/>
      <c r="AS63" s="967"/>
      <c r="AT63" s="1350"/>
      <c r="AU63" s="1265"/>
      <c r="AV63" s="1265"/>
      <c r="AW63" s="1265"/>
      <c r="AX63" s="1265"/>
      <c r="AY63" s="1265"/>
      <c r="AZ63" s="1265"/>
      <c r="BA63" s="1265"/>
      <c r="BB63" s="1265"/>
      <c r="BC63" s="1265"/>
      <c r="BD63" s="1265"/>
      <c r="BE63" s="1265"/>
    </row>
    <row r="64" spans="1:57" ht="13.5" hidden="1" customHeight="1">
      <c r="A64" s="1318" t="s">
        <v>1439</v>
      </c>
      <c r="B64" s="1315"/>
      <c r="C64" s="1319"/>
      <c r="D64" s="1312"/>
      <c r="E64" s="1312"/>
      <c r="F64" s="1312"/>
      <c r="G64" s="1315">
        <v>0.45833333333333331</v>
      </c>
      <c r="H64" s="1319">
        <v>0.22916666666666666</v>
      </c>
      <c r="I64" s="1312">
        <v>8</v>
      </c>
      <c r="J64" s="1312"/>
      <c r="K64" s="1312"/>
      <c r="L64" s="1315">
        <v>0.45833333333333331</v>
      </c>
      <c r="M64" s="1319"/>
      <c r="N64" s="1312">
        <v>7.75</v>
      </c>
      <c r="O64" s="1312"/>
      <c r="P64" s="1312"/>
      <c r="Q64" s="1315"/>
      <c r="R64" s="1315">
        <v>0.13541666666666666</v>
      </c>
      <c r="S64" s="1312">
        <v>7.75</v>
      </c>
      <c r="T64" s="1312"/>
      <c r="U64" s="1312"/>
      <c r="V64" s="1315" t="s">
        <v>29</v>
      </c>
      <c r="W64" s="1319" t="s">
        <v>29</v>
      </c>
      <c r="X64" s="1312">
        <v>8</v>
      </c>
      <c r="Y64" s="1312"/>
      <c r="Z64" s="1314">
        <f t="shared" ref="Z64:Z67" si="19">D64+I64+N64+S64+X64</f>
        <v>31.5</v>
      </c>
      <c r="AA64" s="1316">
        <f t="shared" ref="AA64:AA68" si="20">E64+J64+O64+T64+Y64</f>
        <v>0</v>
      </c>
      <c r="AB64" s="1310"/>
      <c r="AC64" s="1315"/>
      <c r="AD64" s="1319"/>
      <c r="AE64" s="1312"/>
      <c r="AF64" s="1315"/>
      <c r="AG64" s="1319"/>
      <c r="AH64" s="1312"/>
      <c r="AI64" s="1315"/>
      <c r="AJ64" s="1314">
        <f t="shared" ref="AJ64:AJ68" si="21">SUM(AE64+AI64)</f>
        <v>0</v>
      </c>
      <c r="AK64" s="941"/>
      <c r="AL64" s="943"/>
      <c r="AM64" s="940"/>
      <c r="AN64" s="967"/>
      <c r="AO64" s="967"/>
      <c r="AP64" s="967"/>
      <c r="AQ64" s="967"/>
      <c r="AR64" s="967"/>
      <c r="AS64" s="967"/>
      <c r="AT64" s="1350"/>
      <c r="AU64" s="1265"/>
      <c r="AV64" s="1265"/>
      <c r="AW64" s="1265"/>
      <c r="AX64" s="1265"/>
      <c r="AY64" s="1265"/>
      <c r="AZ64" s="1265"/>
      <c r="BA64" s="1265"/>
      <c r="BB64" s="1265"/>
      <c r="BC64" s="1265"/>
      <c r="BD64" s="1265"/>
      <c r="BE64" s="1265"/>
    </row>
    <row r="65" spans="1:57" ht="13.5" hidden="1" customHeight="1">
      <c r="A65" s="1318" t="s">
        <v>1427</v>
      </c>
      <c r="B65" s="1315"/>
      <c r="C65" s="1319"/>
      <c r="D65" s="1312"/>
      <c r="E65" s="1312"/>
      <c r="F65" s="1312"/>
      <c r="G65" s="1315">
        <v>0.45833333333333331</v>
      </c>
      <c r="H65" s="1319">
        <v>0.29166666666666669</v>
      </c>
      <c r="I65" s="1312">
        <v>8</v>
      </c>
      <c r="J65" s="1312"/>
      <c r="K65" s="1312"/>
      <c r="L65" s="1315">
        <v>0.45833333333333331</v>
      </c>
      <c r="M65" s="1319">
        <v>0.29166666666666669</v>
      </c>
      <c r="N65" s="1312">
        <v>8</v>
      </c>
      <c r="O65" s="1312"/>
      <c r="P65" s="1312"/>
      <c r="Q65" s="1315">
        <v>0.45833333333333331</v>
      </c>
      <c r="R65" s="1315">
        <v>0.29166666666666669</v>
      </c>
      <c r="S65" s="1312">
        <v>8</v>
      </c>
      <c r="T65" s="1312"/>
      <c r="U65" s="1312"/>
      <c r="V65" s="1315">
        <v>0.45833333333333331</v>
      </c>
      <c r="W65" s="1315" t="s">
        <v>29</v>
      </c>
      <c r="X65" s="1312">
        <v>8</v>
      </c>
      <c r="Y65" s="1312"/>
      <c r="Z65" s="1314">
        <f t="shared" si="19"/>
        <v>32</v>
      </c>
      <c r="AA65" s="1316">
        <f t="shared" si="20"/>
        <v>0</v>
      </c>
      <c r="AB65" s="1310"/>
      <c r="AC65" s="1315"/>
      <c r="AD65" s="1319"/>
      <c r="AE65" s="1312"/>
      <c r="AF65" s="1315"/>
      <c r="AG65" s="1319"/>
      <c r="AH65" s="1312"/>
      <c r="AI65" s="1315"/>
      <c r="AJ65" s="1314">
        <f t="shared" si="21"/>
        <v>0</v>
      </c>
      <c r="AK65" s="941"/>
      <c r="AL65" s="943"/>
      <c r="AM65" s="940"/>
      <c r="AN65" s="967"/>
      <c r="AO65" s="967"/>
      <c r="AP65" s="967"/>
      <c r="AQ65" s="967"/>
      <c r="AR65" s="967"/>
      <c r="AS65" s="967"/>
      <c r="AT65" s="1350"/>
      <c r="AU65" s="1265"/>
      <c r="AV65" s="1265"/>
      <c r="AW65" s="1265"/>
      <c r="AX65" s="1265"/>
      <c r="AY65" s="1265"/>
      <c r="AZ65" s="1265"/>
      <c r="BA65" s="1265"/>
      <c r="BB65" s="1265"/>
      <c r="BC65" s="1265"/>
      <c r="BD65" s="1265"/>
      <c r="BE65" s="1265"/>
    </row>
    <row r="66" spans="1:57" ht="13.5" hidden="1" customHeight="1">
      <c r="A66" s="1318" t="s">
        <v>1064</v>
      </c>
      <c r="B66" s="1315"/>
      <c r="C66" s="1319"/>
      <c r="D66" s="1312"/>
      <c r="E66" s="1312"/>
      <c r="F66" s="1312"/>
      <c r="G66" s="1315">
        <v>0.45833333333333331</v>
      </c>
      <c r="H66" s="1319">
        <v>0.29166666666666669</v>
      </c>
      <c r="I66" s="1312">
        <v>8</v>
      </c>
      <c r="J66" s="1312"/>
      <c r="K66" s="1312"/>
      <c r="L66" s="1315">
        <v>0.45833333333333331</v>
      </c>
      <c r="M66" s="1319">
        <v>0.29166666666666669</v>
      </c>
      <c r="N66" s="1312">
        <v>8</v>
      </c>
      <c r="O66" s="1312"/>
      <c r="P66" s="1312"/>
      <c r="Q66" s="1315">
        <v>0.45833333333333331</v>
      </c>
      <c r="R66" s="1315">
        <v>0.29166666666666669</v>
      </c>
      <c r="S66" s="1312">
        <v>8</v>
      </c>
      <c r="T66" s="1312"/>
      <c r="U66" s="1312"/>
      <c r="V66" s="1315">
        <v>0.45833333333333331</v>
      </c>
      <c r="W66" s="1315">
        <v>0.29166666666666669</v>
      </c>
      <c r="X66" s="1312">
        <v>8</v>
      </c>
      <c r="Y66" s="1312"/>
      <c r="Z66" s="1314">
        <f t="shared" si="19"/>
        <v>32</v>
      </c>
      <c r="AA66" s="1316">
        <f t="shared" si="20"/>
        <v>0</v>
      </c>
      <c r="AB66" s="1310"/>
      <c r="AC66" s="1315"/>
      <c r="AD66" s="1319"/>
      <c r="AE66" s="1312"/>
      <c r="AF66" s="1315"/>
      <c r="AG66" s="1319"/>
      <c r="AH66" s="1312"/>
      <c r="AI66" s="1315"/>
      <c r="AJ66" s="1314">
        <f t="shared" si="21"/>
        <v>0</v>
      </c>
      <c r="AK66" s="941"/>
      <c r="AL66" s="943"/>
      <c r="AM66" s="940"/>
      <c r="AN66" s="967"/>
      <c r="AO66" s="967"/>
      <c r="AP66" s="967"/>
      <c r="AQ66" s="967"/>
      <c r="AR66" s="967"/>
      <c r="AS66" s="967"/>
      <c r="AT66" s="1350"/>
      <c r="AU66" s="1265"/>
      <c r="AV66" s="1265"/>
      <c r="AW66" s="1265"/>
      <c r="AX66" s="1265"/>
      <c r="AY66" s="1265"/>
      <c r="AZ66" s="1265"/>
      <c r="BA66" s="1265"/>
      <c r="BB66" s="1265"/>
      <c r="BC66" s="1265"/>
      <c r="BD66" s="1265"/>
      <c r="BE66" s="1265"/>
    </row>
    <row r="67" spans="1:57" ht="13.5" hidden="1" customHeight="1" thickBot="1">
      <c r="A67" s="1320" t="s">
        <v>1144</v>
      </c>
      <c r="B67" s="1321"/>
      <c r="C67" s="1322"/>
      <c r="D67" s="1323"/>
      <c r="E67" s="1323"/>
      <c r="F67" s="1323"/>
      <c r="G67" s="1321">
        <v>0.45833333333333331</v>
      </c>
      <c r="H67" s="1322">
        <v>0.29166666666666669</v>
      </c>
      <c r="I67" s="1323">
        <v>8</v>
      </c>
      <c r="J67" s="1323"/>
      <c r="K67" s="1323"/>
      <c r="L67" s="1321">
        <v>0.45833333333333331</v>
      </c>
      <c r="M67" s="1322">
        <v>0.29166666666666669</v>
      </c>
      <c r="N67" s="1323">
        <v>8</v>
      </c>
      <c r="O67" s="1323"/>
      <c r="P67" s="1323"/>
      <c r="Q67" s="1321">
        <v>0.45833333333333331</v>
      </c>
      <c r="R67" s="1322">
        <v>0.29166666666666669</v>
      </c>
      <c r="S67" s="1323">
        <v>8</v>
      </c>
      <c r="T67" s="1323"/>
      <c r="U67" s="1323"/>
      <c r="V67" s="1321" t="s">
        <v>29</v>
      </c>
      <c r="W67" s="1322" t="s">
        <v>29</v>
      </c>
      <c r="X67" s="1323">
        <v>8</v>
      </c>
      <c r="Y67" s="1323"/>
      <c r="Z67" s="1324">
        <f t="shared" si="19"/>
        <v>32</v>
      </c>
      <c r="AA67" s="1325">
        <f t="shared" si="20"/>
        <v>0</v>
      </c>
      <c r="AB67" s="1326"/>
      <c r="AC67" s="1321"/>
      <c r="AD67" s="1321"/>
      <c r="AE67" s="1323"/>
      <c r="AF67" s="1321"/>
      <c r="AG67" s="1322"/>
      <c r="AH67" s="1323"/>
      <c r="AI67" s="1321"/>
      <c r="AJ67" s="1324">
        <f t="shared" si="21"/>
        <v>0</v>
      </c>
      <c r="AK67" s="941"/>
      <c r="AL67" s="943"/>
      <c r="AM67" s="940"/>
      <c r="AN67" s="967"/>
      <c r="AO67" s="967"/>
      <c r="AP67" s="967"/>
      <c r="AQ67" s="967"/>
      <c r="AR67" s="967"/>
      <c r="AS67" s="967"/>
      <c r="AT67" s="1350"/>
      <c r="AU67" s="1265"/>
      <c r="AV67" s="1265"/>
      <c r="AW67" s="1265"/>
      <c r="AX67" s="1265"/>
      <c r="AY67" s="1265"/>
      <c r="AZ67" s="1265"/>
      <c r="BA67" s="1265"/>
      <c r="BB67" s="1265"/>
      <c r="BC67" s="1265"/>
      <c r="BD67" s="1265"/>
      <c r="BE67" s="1265"/>
    </row>
    <row r="68" spans="1:57" ht="13.5" hidden="1" customHeight="1" thickTop="1">
      <c r="A68" s="1327" t="s">
        <v>1433</v>
      </c>
      <c r="B68" s="1327"/>
      <c r="C68" s="1327"/>
      <c r="D68" s="1328"/>
      <c r="E68" s="1312"/>
      <c r="F68" s="1327"/>
      <c r="G68" s="1327">
        <v>0.45833333333333331</v>
      </c>
      <c r="H68" s="1327">
        <v>0.29166666666666669</v>
      </c>
      <c r="I68" s="1328">
        <v>8</v>
      </c>
      <c r="J68" s="1312"/>
      <c r="K68" s="1327"/>
      <c r="L68" s="1327">
        <v>0.45833333333333331</v>
      </c>
      <c r="M68" s="1327">
        <v>0.29166666666666669</v>
      </c>
      <c r="N68" s="1328">
        <v>8</v>
      </c>
      <c r="O68" s="1312"/>
      <c r="P68" s="1327"/>
      <c r="Q68" s="1327">
        <v>0.45833333333333331</v>
      </c>
      <c r="R68" s="1327">
        <v>0.29166666666666669</v>
      </c>
      <c r="S68" s="1328">
        <v>8</v>
      </c>
      <c r="T68" s="1312"/>
      <c r="U68" s="1327"/>
      <c r="V68" s="1327">
        <v>0.45833333333333331</v>
      </c>
      <c r="W68" s="1327" t="s">
        <v>29</v>
      </c>
      <c r="X68" s="1328">
        <v>8</v>
      </c>
      <c r="Y68" s="1312"/>
      <c r="Z68" s="1314">
        <f>D68+I68+N68+S68+X68</f>
        <v>32</v>
      </c>
      <c r="AA68" s="1314">
        <f t="shared" si="20"/>
        <v>0</v>
      </c>
      <c r="AB68" s="1310"/>
      <c r="AC68" s="1327"/>
      <c r="AD68" s="1327"/>
      <c r="AE68" s="1314"/>
      <c r="AF68" s="1310"/>
      <c r="AG68" s="1327"/>
      <c r="AH68" s="1327"/>
      <c r="AI68" s="1314"/>
      <c r="AJ68" s="1314">
        <f t="shared" si="21"/>
        <v>0</v>
      </c>
      <c r="AK68" s="941"/>
      <c r="AL68" s="943"/>
      <c r="AM68" s="940"/>
      <c r="AN68" s="967"/>
      <c r="AO68" s="967"/>
      <c r="AP68" s="967"/>
      <c r="AQ68" s="967"/>
      <c r="AR68" s="967"/>
      <c r="AS68" s="967"/>
      <c r="AT68" s="1350"/>
      <c r="AU68" s="1265"/>
      <c r="AV68" s="1265"/>
      <c r="AW68" s="1265"/>
      <c r="AX68" s="1265"/>
      <c r="AY68" s="1265"/>
      <c r="AZ68" s="1265"/>
      <c r="BA68" s="1265"/>
      <c r="BB68" s="1265"/>
      <c r="BC68" s="1265"/>
      <c r="BD68" s="1265"/>
      <c r="BE68" s="1265"/>
    </row>
    <row r="69" spans="1:57" ht="13.5" hidden="1" customHeight="1">
      <c r="A69" s="1327" t="s">
        <v>61</v>
      </c>
      <c r="B69" s="1327"/>
      <c r="C69" s="1327"/>
      <c r="D69" s="1328"/>
      <c r="E69" s="1312"/>
      <c r="F69" s="1327"/>
      <c r="G69" s="1327"/>
      <c r="H69" s="1327"/>
      <c r="I69" s="1328">
        <f>SUM(I46:I63)</f>
        <v>110.75</v>
      </c>
      <c r="J69" s="1312">
        <f>SUM(J46:J63)</f>
        <v>0</v>
      </c>
      <c r="K69" s="1327"/>
      <c r="L69" s="1327"/>
      <c r="M69" s="1327"/>
      <c r="N69" s="1328">
        <f>SUM(N46:N63)</f>
        <v>119.75</v>
      </c>
      <c r="O69" s="1312">
        <f>SUM(O46:O63)</f>
        <v>0</v>
      </c>
      <c r="P69" s="1327"/>
      <c r="Q69" s="1327"/>
      <c r="R69" s="1327"/>
      <c r="S69" s="1328">
        <f>SUM(S46:S63)</f>
        <v>117.75</v>
      </c>
      <c r="T69" s="1312">
        <f>SUM(T46:T63)</f>
        <v>0</v>
      </c>
      <c r="U69" s="1327"/>
      <c r="V69" s="1327"/>
      <c r="W69" s="1327"/>
      <c r="X69" s="1328">
        <f>SUM(X46:X63)</f>
        <v>113.5</v>
      </c>
      <c r="Y69" s="1312">
        <f>SUM(Y46:Y63)</f>
        <v>0</v>
      </c>
      <c r="Z69" s="1314">
        <f>SUM(Z46:Z63)</f>
        <v>461.75</v>
      </c>
      <c r="AA69" s="1314">
        <f>SUM(AA46:AA62)</f>
        <v>0</v>
      </c>
      <c r="AB69" s="1310"/>
      <c r="AC69" s="1327"/>
      <c r="AD69" s="1327"/>
      <c r="AE69" s="1314">
        <f>SUM(AE46:AE67)</f>
        <v>16</v>
      </c>
      <c r="AF69" s="1310"/>
      <c r="AG69" s="1327"/>
      <c r="AH69" s="1327"/>
      <c r="AI69" s="1314">
        <f>SUM(AI46:AI67)</f>
        <v>0</v>
      </c>
      <c r="AJ69" s="1314">
        <f>SUM(AJ46:AJ67)</f>
        <v>16</v>
      </c>
      <c r="AK69" s="941"/>
      <c r="AL69" s="943"/>
      <c r="AM69" s="940"/>
      <c r="AN69" s="967"/>
      <c r="AO69" s="967"/>
      <c r="AP69" s="967"/>
      <c r="AQ69" s="967"/>
      <c r="AR69" s="967"/>
      <c r="AS69" s="967"/>
      <c r="AT69" s="1350"/>
      <c r="AU69" s="1265"/>
      <c r="AV69" s="1265"/>
      <c r="AW69" s="1265"/>
      <c r="AX69" s="1265"/>
      <c r="AY69" s="1265"/>
      <c r="AZ69" s="1265"/>
      <c r="BA69" s="1265"/>
      <c r="BB69" s="1265"/>
      <c r="BC69" s="1265"/>
      <c r="BD69" s="1265"/>
      <c r="BE69" s="1265"/>
    </row>
    <row r="70" spans="1:57" ht="13.5" hidden="1" customHeight="1">
      <c r="A70" s="1327" t="s">
        <v>1434</v>
      </c>
      <c r="B70" s="1315"/>
      <c r="C70" s="1315"/>
      <c r="D70" s="1312"/>
      <c r="E70" s="1312"/>
      <c r="F70" s="1312"/>
      <c r="G70" s="1315"/>
      <c r="H70" s="1315"/>
      <c r="I70" s="1312">
        <f>SUM(I64:I68)</f>
        <v>40</v>
      </c>
      <c r="J70" s="1312"/>
      <c r="K70" s="1312"/>
      <c r="L70" s="1315"/>
      <c r="M70" s="1315"/>
      <c r="N70" s="1312">
        <f>SUM(N64:N68)</f>
        <v>39.75</v>
      </c>
      <c r="O70" s="1312"/>
      <c r="P70" s="1312"/>
      <c r="Q70" s="1315"/>
      <c r="R70" s="1315"/>
      <c r="S70" s="1312">
        <f>SUM(S64:S68)</f>
        <v>39.75</v>
      </c>
      <c r="T70" s="1312"/>
      <c r="U70" s="1312"/>
      <c r="V70" s="1315"/>
      <c r="W70" s="1315"/>
      <c r="X70" s="1312">
        <f>SUM(X64:X68)</f>
        <v>40</v>
      </c>
      <c r="Y70" s="1312"/>
      <c r="Z70" s="1314">
        <f>SUM(Z64:Z68)</f>
        <v>159.5</v>
      </c>
      <c r="AA70" s="1312">
        <f>SUM(AA63:AA67)</f>
        <v>0</v>
      </c>
      <c r="AB70" s="1310"/>
      <c r="AC70" s="1315"/>
      <c r="AD70" s="1315"/>
      <c r="AE70" s="1312">
        <f>SUM(0)</f>
        <v>0</v>
      </c>
      <c r="AF70" s="1310"/>
      <c r="AG70" s="1315"/>
      <c r="AH70" s="1315"/>
      <c r="AI70" s="1312">
        <f>SUM(AI47:AI69)</f>
        <v>0</v>
      </c>
      <c r="AJ70" s="1314">
        <f>SUM(AE70+AI70)</f>
        <v>0</v>
      </c>
      <c r="AK70" s="941"/>
      <c r="AL70" s="943"/>
      <c r="AM70" s="940"/>
      <c r="AN70" s="967"/>
      <c r="AO70" s="967"/>
      <c r="AP70" s="967"/>
      <c r="AQ70" s="967"/>
      <c r="AR70" s="967"/>
      <c r="AS70" s="967"/>
      <c r="AT70" s="1350"/>
      <c r="AU70" s="1265"/>
      <c r="AV70" s="1265"/>
      <c r="AW70" s="1265"/>
      <c r="AX70" s="1265"/>
      <c r="AY70" s="1265"/>
      <c r="AZ70" s="1265"/>
      <c r="BA70" s="1265"/>
      <c r="BB70" s="1265"/>
      <c r="BC70" s="1265"/>
      <c r="BD70" s="1265"/>
      <c r="BE70" s="1265"/>
    </row>
    <row r="71" spans="1:57" ht="13.5" hidden="1" customHeight="1">
      <c r="A71" s="1307" t="s">
        <v>64</v>
      </c>
      <c r="B71" s="1616"/>
      <c r="C71" s="1616"/>
      <c r="D71" s="1616"/>
      <c r="E71" s="1616"/>
      <c r="F71" s="1308"/>
      <c r="G71" s="1616"/>
      <c r="H71" s="1616"/>
      <c r="I71" s="1620">
        <v>7</v>
      </c>
      <c r="J71" s="1620"/>
      <c r="K71" s="1334"/>
      <c r="L71" s="1620"/>
      <c r="M71" s="1620"/>
      <c r="N71" s="1620">
        <v>5</v>
      </c>
      <c r="O71" s="1620"/>
      <c r="P71" s="1334"/>
      <c r="Q71" s="1620"/>
      <c r="R71" s="1620"/>
      <c r="S71" s="1620">
        <v>8</v>
      </c>
      <c r="T71" s="1620"/>
      <c r="U71" s="1334"/>
      <c r="V71" s="1620"/>
      <c r="W71" s="1620"/>
      <c r="X71" s="1619">
        <v>8.5</v>
      </c>
      <c r="Y71" s="1619"/>
      <c r="Z71" s="1309">
        <f>D71+I71+N71+S71+X71</f>
        <v>28.5</v>
      </c>
      <c r="AA71" s="1309">
        <f>E71+J71+O71+T71+Y71</f>
        <v>0</v>
      </c>
      <c r="AB71" s="1310"/>
      <c r="AC71" s="1616"/>
      <c r="AD71" s="1616"/>
      <c r="AE71" s="1618">
        <f>2+1+1.25</f>
        <v>4.25</v>
      </c>
      <c r="AF71" s="1618"/>
      <c r="AG71" s="1616"/>
      <c r="AH71" s="1616"/>
      <c r="AI71" s="1311"/>
      <c r="AJ71" s="1309">
        <f>AE71+AI71</f>
        <v>4.25</v>
      </c>
      <c r="AK71" s="941"/>
      <c r="AL71" s="943"/>
      <c r="AM71" s="940"/>
      <c r="AN71" s="1316"/>
      <c r="AO71" s="967"/>
      <c r="AP71" s="967"/>
      <c r="AQ71" s="967"/>
      <c r="AR71" s="967"/>
      <c r="AS71" s="967"/>
      <c r="AT71" s="1350"/>
      <c r="AU71" s="1265"/>
      <c r="AV71" s="1265"/>
      <c r="AW71" s="1265"/>
      <c r="AX71" s="1265"/>
      <c r="AY71" s="1265"/>
      <c r="AZ71" s="1265"/>
      <c r="BA71" s="1265"/>
      <c r="BB71" s="1265"/>
      <c r="BC71" s="1265"/>
      <c r="BD71" s="1265"/>
      <c r="BE71" s="1265"/>
    </row>
    <row r="72" spans="1:57" ht="13.5" hidden="1" customHeight="1">
      <c r="A72" s="940"/>
      <c r="B72" s="940"/>
      <c r="C72" s="940"/>
      <c r="D72" s="941"/>
      <c r="E72" s="942"/>
      <c r="F72" s="941"/>
      <c r="G72" s="940"/>
      <c r="H72" s="940"/>
      <c r="I72" s="941"/>
      <c r="J72" s="942"/>
      <c r="K72" s="941"/>
      <c r="L72" s="940"/>
      <c r="M72" s="940"/>
      <c r="N72" s="941"/>
      <c r="O72" s="942"/>
      <c r="P72" s="941"/>
      <c r="Q72" s="940"/>
      <c r="R72" s="940"/>
      <c r="S72" s="941"/>
      <c r="T72" s="942"/>
      <c r="U72" s="941"/>
      <c r="V72" s="940"/>
      <c r="W72" s="940"/>
      <c r="X72" s="941"/>
      <c r="Y72" s="942"/>
      <c r="Z72" s="941"/>
      <c r="AA72" s="941"/>
      <c r="AB72" s="941"/>
      <c r="AC72" s="940"/>
      <c r="AD72" s="940"/>
      <c r="AE72" s="940"/>
      <c r="AF72" s="941"/>
      <c r="AG72" s="940"/>
      <c r="AH72" s="940"/>
      <c r="AI72" s="940"/>
      <c r="AJ72" s="940"/>
      <c r="AK72" s="941"/>
      <c r="AL72" s="943"/>
      <c r="AM72" s="940"/>
      <c r="AN72" s="940"/>
      <c r="AO72" s="940"/>
      <c r="AP72" s="940"/>
      <c r="AQ72" s="940"/>
      <c r="AR72" s="940"/>
      <c r="AS72" s="940"/>
      <c r="AT72" s="940"/>
      <c r="AU72" s="1265"/>
      <c r="AV72" s="1265"/>
      <c r="AW72" s="1265"/>
      <c r="AX72" s="1265"/>
      <c r="AY72" s="1265"/>
      <c r="AZ72" s="1265"/>
      <c r="BA72" s="1265"/>
      <c r="BB72" s="1265"/>
      <c r="BC72" s="1265"/>
      <c r="BD72" s="1265"/>
      <c r="BE72" s="1265"/>
    </row>
    <row r="73" spans="1:57" ht="13.5" hidden="1" customHeight="1">
      <c r="A73" s="974"/>
      <c r="B73" s="975"/>
      <c r="C73" s="975"/>
      <c r="D73" s="976"/>
      <c r="E73" s="976"/>
      <c r="F73" s="975"/>
      <c r="G73" s="976"/>
      <c r="H73" s="976"/>
      <c r="I73" s="976"/>
      <c r="J73" s="976"/>
      <c r="K73" s="975"/>
      <c r="L73" s="975"/>
      <c r="M73" s="975"/>
      <c r="N73" s="975"/>
      <c r="O73" s="976"/>
      <c r="P73" s="975"/>
      <c r="Q73" s="975"/>
      <c r="R73" s="975"/>
      <c r="S73" s="975"/>
      <c r="T73" s="976"/>
      <c r="U73" s="975"/>
      <c r="V73" s="975"/>
      <c r="W73" s="975"/>
      <c r="X73" s="977"/>
      <c r="Y73" s="976"/>
      <c r="Z73" s="978"/>
      <c r="AA73" s="976"/>
      <c r="AB73" s="979"/>
      <c r="AC73" s="980"/>
      <c r="AD73" s="943"/>
      <c r="AE73" s="943"/>
      <c r="AF73" s="979"/>
      <c r="AG73" s="980"/>
      <c r="AH73" s="943"/>
      <c r="AI73" s="943"/>
      <c r="AJ73" s="943"/>
      <c r="AK73" s="979"/>
      <c r="AL73" s="943"/>
      <c r="AM73" s="943"/>
      <c r="AN73" s="943"/>
      <c r="AO73" s="943"/>
      <c r="AP73" s="943"/>
      <c r="AQ73" s="943"/>
      <c r="AR73" s="943"/>
      <c r="AS73" s="943"/>
      <c r="AT73" s="940"/>
      <c r="AU73" s="1265"/>
      <c r="AV73" s="1265"/>
      <c r="AW73" s="1265"/>
      <c r="AX73" s="1265"/>
      <c r="AY73" s="1265"/>
      <c r="AZ73" s="1265"/>
      <c r="BA73" s="1265"/>
      <c r="BB73" s="1265"/>
      <c r="BC73" s="1265"/>
      <c r="BD73" s="1265"/>
      <c r="BE73" s="1265"/>
    </row>
    <row r="74" spans="1:57" ht="13.5" hidden="1" customHeight="1">
      <c r="A74" s="940"/>
      <c r="B74" s="940"/>
      <c r="C74" s="940"/>
      <c r="D74" s="941"/>
      <c r="E74" s="942"/>
      <c r="F74" s="941"/>
      <c r="G74" s="940"/>
      <c r="H74" s="940"/>
      <c r="I74" s="941"/>
      <c r="J74" s="942"/>
      <c r="K74" s="941"/>
      <c r="L74" s="940"/>
      <c r="M74" s="940"/>
      <c r="N74" s="941"/>
      <c r="O74" s="942"/>
      <c r="P74" s="941"/>
      <c r="Q74" s="940"/>
      <c r="R74" s="940"/>
      <c r="S74" s="941"/>
      <c r="T74" s="942"/>
      <c r="U74" s="941"/>
      <c r="V74" s="940"/>
      <c r="W74" s="940"/>
      <c r="X74" s="941"/>
      <c r="Y74" s="942"/>
      <c r="Z74" s="941"/>
      <c r="AA74" s="941"/>
      <c r="AB74" s="941"/>
      <c r="AC74" s="940"/>
      <c r="AD74" s="940"/>
      <c r="AE74" s="940"/>
      <c r="AF74" s="941"/>
      <c r="AG74" s="940"/>
      <c r="AH74" s="940"/>
      <c r="AI74" s="940"/>
      <c r="AJ74" s="940"/>
      <c r="AK74" s="941"/>
      <c r="AL74" s="943"/>
      <c r="AM74" s="940"/>
      <c r="AN74" s="954"/>
      <c r="AO74" s="954"/>
      <c r="AP74" s="954"/>
      <c r="AQ74" s="954"/>
      <c r="AR74" s="954"/>
      <c r="AS74" s="954"/>
      <c r="AT74" s="940"/>
      <c r="AU74" s="1265"/>
      <c r="AV74" s="1265"/>
      <c r="AW74" s="1265"/>
      <c r="AX74" s="1265"/>
      <c r="AY74" s="1265"/>
      <c r="AZ74" s="1265"/>
      <c r="BA74" s="1265"/>
      <c r="BB74" s="1265"/>
      <c r="BC74" s="1265"/>
      <c r="BD74" s="1265"/>
      <c r="BE74" s="1265"/>
    </row>
    <row r="75" spans="1:57" ht="13.5" hidden="1" customHeight="1">
      <c r="A75" s="1615" t="s">
        <v>18</v>
      </c>
      <c r="B75" s="1616">
        <v>46048</v>
      </c>
      <c r="C75" s="1616"/>
      <c r="D75" s="1616" t="s">
        <v>564</v>
      </c>
      <c r="E75" s="1616"/>
      <c r="F75" s="1308"/>
      <c r="G75" s="1616">
        <v>46049</v>
      </c>
      <c r="H75" s="1616"/>
      <c r="I75" s="1616" t="s">
        <v>565</v>
      </c>
      <c r="J75" s="1616"/>
      <c r="K75" s="1308"/>
      <c r="L75" s="1616">
        <v>46050</v>
      </c>
      <c r="M75" s="1616"/>
      <c r="N75" s="1616" t="s">
        <v>566</v>
      </c>
      <c r="O75" s="1616"/>
      <c r="P75" s="1308"/>
      <c r="Q75" s="1616">
        <v>46051</v>
      </c>
      <c r="R75" s="1616"/>
      <c r="S75" s="1616" t="s">
        <v>567</v>
      </c>
      <c r="T75" s="1616"/>
      <c r="U75" s="1308"/>
      <c r="V75" s="1616">
        <v>46052</v>
      </c>
      <c r="W75" s="1616"/>
      <c r="X75" s="1616" t="s">
        <v>568</v>
      </c>
      <c r="Y75" s="1616"/>
      <c r="Z75" s="1617" t="s">
        <v>19</v>
      </c>
      <c r="AA75" s="1617" t="s">
        <v>20</v>
      </c>
      <c r="AB75" s="1310"/>
      <c r="AC75" s="1616">
        <v>46053</v>
      </c>
      <c r="AD75" s="1616"/>
      <c r="AE75" s="1311" t="s">
        <v>569</v>
      </c>
      <c r="AF75" s="1310"/>
      <c r="AG75" s="1616">
        <v>46054</v>
      </c>
      <c r="AH75" s="1616"/>
      <c r="AI75" s="1311" t="s">
        <v>570</v>
      </c>
      <c r="AJ75" s="1617" t="s">
        <v>1420</v>
      </c>
      <c r="AK75" s="941"/>
      <c r="AL75" s="943"/>
      <c r="AM75" s="940"/>
      <c r="AN75" s="1316" t="s">
        <v>84</v>
      </c>
      <c r="AO75" s="967"/>
      <c r="AP75" s="967"/>
      <c r="AQ75" s="967"/>
      <c r="AR75" s="967"/>
      <c r="AS75" s="1337"/>
      <c r="AT75" s="940"/>
      <c r="AU75" s="1265"/>
      <c r="AV75" s="1265"/>
      <c r="AW75" s="1265"/>
      <c r="AX75" s="1265"/>
      <c r="AY75" s="1265"/>
      <c r="AZ75" s="1265"/>
      <c r="BA75" s="1265"/>
      <c r="BB75" s="1265"/>
      <c r="BC75" s="1265"/>
      <c r="BD75" s="1265"/>
      <c r="BE75" s="1265"/>
    </row>
    <row r="76" spans="1:57" ht="13.5" hidden="1" customHeight="1">
      <c r="A76" s="1615"/>
      <c r="B76" s="1309" t="s">
        <v>23</v>
      </c>
      <c r="C76" s="1309" t="s">
        <v>24</v>
      </c>
      <c r="D76" s="1312" t="s">
        <v>25</v>
      </c>
      <c r="E76" s="1313" t="s">
        <v>14</v>
      </c>
      <c r="F76" s="1310"/>
      <c r="G76" s="1309" t="s">
        <v>23</v>
      </c>
      <c r="H76" s="1309" t="s">
        <v>24</v>
      </c>
      <c r="I76" s="1313" t="s">
        <v>25</v>
      </c>
      <c r="J76" s="1313" t="s">
        <v>14</v>
      </c>
      <c r="K76" s="1310"/>
      <c r="L76" s="1309" t="s">
        <v>23</v>
      </c>
      <c r="M76" s="1309" t="s">
        <v>24</v>
      </c>
      <c r="N76" s="1313" t="s">
        <v>25</v>
      </c>
      <c r="O76" s="1313" t="s">
        <v>14</v>
      </c>
      <c r="P76" s="1310"/>
      <c r="Q76" s="1309" t="s">
        <v>23</v>
      </c>
      <c r="R76" s="1309" t="s">
        <v>24</v>
      </c>
      <c r="S76" s="1313" t="s">
        <v>25</v>
      </c>
      <c r="T76" s="1313" t="s">
        <v>14</v>
      </c>
      <c r="U76" s="1310"/>
      <c r="V76" s="1309" t="s">
        <v>23</v>
      </c>
      <c r="W76" s="1309" t="s">
        <v>24</v>
      </c>
      <c r="X76" s="1313" t="s">
        <v>25</v>
      </c>
      <c r="Y76" s="1313" t="s">
        <v>14</v>
      </c>
      <c r="Z76" s="1617"/>
      <c r="AA76" s="1617"/>
      <c r="AB76" s="1310"/>
      <c r="AC76" s="1309" t="s">
        <v>23</v>
      </c>
      <c r="AD76" s="1309" t="s">
        <v>24</v>
      </c>
      <c r="AE76" s="1313" t="s">
        <v>25</v>
      </c>
      <c r="AF76" s="1310"/>
      <c r="AG76" s="1309" t="s">
        <v>23</v>
      </c>
      <c r="AH76" s="1309" t="s">
        <v>24</v>
      </c>
      <c r="AI76" s="1313" t="s">
        <v>25</v>
      </c>
      <c r="AJ76" s="1617"/>
      <c r="AK76" s="941"/>
      <c r="AL76" s="943"/>
      <c r="AM76" s="940"/>
      <c r="AN76" s="1316" t="s">
        <v>26</v>
      </c>
      <c r="AO76" s="1329">
        <f>Z101</f>
        <v>527</v>
      </c>
      <c r="AP76" s="1330">
        <v>40.31</v>
      </c>
      <c r="AQ76" s="1330">
        <f>AP76*AO76</f>
        <v>21243.370000000003</v>
      </c>
      <c r="AR76" s="967"/>
      <c r="AS76" s="1337"/>
      <c r="AT76" s="940"/>
      <c r="AU76" s="1265"/>
      <c r="AV76" s="1265"/>
      <c r="AW76" s="1265"/>
      <c r="AX76" s="1265"/>
      <c r="AY76" s="1265"/>
      <c r="AZ76" s="1265"/>
      <c r="BA76" s="1265"/>
      <c r="BB76" s="1265"/>
      <c r="BC76" s="1265"/>
      <c r="BD76" s="1265"/>
      <c r="BE76" s="1265"/>
    </row>
    <row r="77" spans="1:57" ht="13.5" hidden="1" customHeight="1">
      <c r="A77" s="1315" t="s">
        <v>72</v>
      </c>
      <c r="B77" s="1332" t="s">
        <v>29</v>
      </c>
      <c r="C77" s="1332" t="s">
        <v>29</v>
      </c>
      <c r="D77" s="1312">
        <v>8</v>
      </c>
      <c r="E77" s="1312"/>
      <c r="F77" s="1310"/>
      <c r="G77" s="1315">
        <v>0.29166666666666669</v>
      </c>
      <c r="H77" s="1315">
        <v>0.125</v>
      </c>
      <c r="I77" s="1312">
        <v>8</v>
      </c>
      <c r="J77" s="1312"/>
      <c r="K77" s="1310"/>
      <c r="L77" s="1315">
        <v>0.29166666666666669</v>
      </c>
      <c r="M77" s="1315">
        <v>0.125</v>
      </c>
      <c r="N77" s="1312">
        <v>8</v>
      </c>
      <c r="O77" s="1312"/>
      <c r="P77" s="1310"/>
      <c r="Q77" s="1315">
        <v>0.29166666666666669</v>
      </c>
      <c r="R77" s="1315">
        <v>0.125</v>
      </c>
      <c r="S77" s="1312">
        <v>8</v>
      </c>
      <c r="T77" s="1312"/>
      <c r="U77" s="1310"/>
      <c r="V77" s="1315">
        <v>0.29166666666666669</v>
      </c>
      <c r="W77" s="1315">
        <v>0.125</v>
      </c>
      <c r="X77" s="1312">
        <v>8</v>
      </c>
      <c r="Y77" s="1312"/>
      <c r="Z77" s="1314">
        <f>D77+I77+N77+S77+X77</f>
        <v>40</v>
      </c>
      <c r="AA77" s="1316">
        <f>E77+J77+O77+T77+Y77</f>
        <v>0</v>
      </c>
      <c r="AB77" s="1310"/>
      <c r="AC77" s="1317"/>
      <c r="AD77" s="1317"/>
      <c r="AE77" s="1312"/>
      <c r="AF77" s="1310"/>
      <c r="AG77" s="1317"/>
      <c r="AH77" s="1317"/>
      <c r="AI77" s="1312"/>
      <c r="AJ77" s="1314">
        <f>SUM(AE77+AI77)</f>
        <v>0</v>
      </c>
      <c r="AK77" s="941"/>
      <c r="AL77" s="943"/>
      <c r="AM77" s="940"/>
      <c r="AN77" s="1316" t="s">
        <v>1421</v>
      </c>
      <c r="AO77" s="1329">
        <f>Z102</f>
        <v>191.75</v>
      </c>
      <c r="AP77" s="1330">
        <v>60.47</v>
      </c>
      <c r="AQ77" s="1330">
        <f>AP77*AO77</f>
        <v>11595.122499999999</v>
      </c>
      <c r="AR77" s="967"/>
      <c r="AS77" s="1337"/>
      <c r="AT77" s="940"/>
      <c r="AU77" s="1265"/>
      <c r="AV77" s="1265"/>
      <c r="AW77" s="1265"/>
      <c r="AX77" s="1265"/>
      <c r="AY77" s="1265"/>
      <c r="AZ77" s="1265"/>
      <c r="BA77" s="1265"/>
      <c r="BB77" s="1265"/>
      <c r="BC77" s="1265"/>
      <c r="BD77" s="1265"/>
      <c r="BE77" s="1265"/>
    </row>
    <row r="78" spans="1:57" ht="13.5" hidden="1" customHeight="1">
      <c r="A78" s="1318" t="s">
        <v>1166</v>
      </c>
      <c r="B78" s="1332" t="s">
        <v>29</v>
      </c>
      <c r="C78" s="1332" t="s">
        <v>29</v>
      </c>
      <c r="D78" s="1312">
        <v>8</v>
      </c>
      <c r="E78" s="1312"/>
      <c r="F78" s="1310"/>
      <c r="G78" s="1315">
        <v>0.29166666666666669</v>
      </c>
      <c r="H78" s="1315">
        <v>0.125</v>
      </c>
      <c r="I78" s="1312">
        <v>8</v>
      </c>
      <c r="J78" s="1312"/>
      <c r="K78" s="1310"/>
      <c r="L78" s="1315">
        <v>0.29166666666666669</v>
      </c>
      <c r="M78" s="1315">
        <v>0.125</v>
      </c>
      <c r="N78" s="1312">
        <v>8</v>
      </c>
      <c r="O78" s="1312"/>
      <c r="P78" s="1310"/>
      <c r="Q78" s="1315">
        <v>0.29166666666666669</v>
      </c>
      <c r="R78" s="1315">
        <v>0.125</v>
      </c>
      <c r="S78" s="1312">
        <v>8</v>
      </c>
      <c r="T78" s="1312"/>
      <c r="U78" s="1310"/>
      <c r="V78" s="1315">
        <v>0.29166666666666669</v>
      </c>
      <c r="W78" s="1315">
        <v>0.125</v>
      </c>
      <c r="X78" s="1312">
        <v>8</v>
      </c>
      <c r="Y78" s="1312"/>
      <c r="Z78" s="1314">
        <f t="shared" ref="Z78:Z94" si="22">D78+I78+N78+S78+X78</f>
        <v>40</v>
      </c>
      <c r="AA78" s="1316">
        <f t="shared" ref="AA78:AA100" si="23">E78+J78+O78+T78+Y78</f>
        <v>0</v>
      </c>
      <c r="AB78" s="1310"/>
      <c r="AC78" s="1315"/>
      <c r="AD78" s="1315"/>
      <c r="AE78" s="1312"/>
      <c r="AF78" s="1310"/>
      <c r="AG78" s="1315"/>
      <c r="AH78" s="1315"/>
      <c r="AI78" s="1312"/>
      <c r="AJ78" s="1314">
        <f t="shared" ref="AJ78:AJ100" si="24">SUM(AE78+AI78)</f>
        <v>0</v>
      </c>
      <c r="AK78" s="941"/>
      <c r="AL78" s="943"/>
      <c r="AM78" s="940"/>
      <c r="AN78" s="1316" t="s">
        <v>30</v>
      </c>
      <c r="AO78" s="1329">
        <f>AA101</f>
        <v>13.5</v>
      </c>
      <c r="AP78" s="1330">
        <v>60.465000000000003</v>
      </c>
      <c r="AQ78" s="1330">
        <f>AP78*AO78</f>
        <v>816.27750000000003</v>
      </c>
      <c r="AR78" s="967"/>
      <c r="AS78" s="1337"/>
      <c r="AT78" s="940"/>
      <c r="AU78" s="1265"/>
      <c r="AV78" s="1265"/>
      <c r="AW78" s="1265"/>
      <c r="AX78" s="1265"/>
      <c r="AY78" s="1265"/>
      <c r="AZ78" s="1265"/>
      <c r="BA78" s="1265"/>
      <c r="BB78" s="1265"/>
      <c r="BC78" s="1265"/>
      <c r="BD78" s="1265"/>
      <c r="BE78" s="1265"/>
    </row>
    <row r="79" spans="1:57" ht="13.5" hidden="1" customHeight="1">
      <c r="A79" s="1318" t="s">
        <v>1426</v>
      </c>
      <c r="B79" s="1332" t="s">
        <v>29</v>
      </c>
      <c r="C79" s="1332" t="s">
        <v>29</v>
      </c>
      <c r="D79" s="1312">
        <v>8</v>
      </c>
      <c r="E79" s="1312"/>
      <c r="F79" s="1310"/>
      <c r="G79" s="1315">
        <v>0.29166666666666669</v>
      </c>
      <c r="H79" s="1315">
        <v>0.125</v>
      </c>
      <c r="I79" s="1312">
        <v>8</v>
      </c>
      <c r="J79" s="1312"/>
      <c r="K79" s="1310"/>
      <c r="L79" s="1315">
        <v>0.29166666666666669</v>
      </c>
      <c r="M79" s="1315">
        <v>0.125</v>
      </c>
      <c r="N79" s="1312">
        <v>8</v>
      </c>
      <c r="O79" s="1312"/>
      <c r="P79" s="1310"/>
      <c r="Q79" s="1315">
        <v>0.29166666666666669</v>
      </c>
      <c r="R79" s="1315">
        <v>0.125</v>
      </c>
      <c r="S79" s="1312">
        <v>8</v>
      </c>
      <c r="T79" s="1312"/>
      <c r="U79" s="1310"/>
      <c r="V79" s="1315">
        <v>0.29166666666666669</v>
      </c>
      <c r="W79" s="1315">
        <v>0.125</v>
      </c>
      <c r="X79" s="1312">
        <v>8</v>
      </c>
      <c r="Y79" s="1312"/>
      <c r="Z79" s="1314">
        <f t="shared" si="22"/>
        <v>40</v>
      </c>
      <c r="AA79" s="1316">
        <f t="shared" si="23"/>
        <v>0</v>
      </c>
      <c r="AB79" s="1310"/>
      <c r="AC79" s="1315"/>
      <c r="AD79" s="1315"/>
      <c r="AE79" s="1312"/>
      <c r="AF79" s="1310"/>
      <c r="AG79" s="1315"/>
      <c r="AH79" s="1315"/>
      <c r="AI79" s="1312"/>
      <c r="AJ79" s="1314">
        <f t="shared" si="24"/>
        <v>0</v>
      </c>
      <c r="AK79" s="941"/>
      <c r="AL79" s="943"/>
      <c r="AM79" s="940"/>
      <c r="AN79" s="1316" t="s">
        <v>32</v>
      </c>
      <c r="AO79" s="1329">
        <f>AJ101</f>
        <v>59</v>
      </c>
      <c r="AP79" s="1330">
        <v>60.465000000000003</v>
      </c>
      <c r="AQ79" s="1330">
        <f>AP79*AO79</f>
        <v>3567.4350000000004</v>
      </c>
      <c r="AR79" s="967"/>
      <c r="AS79" s="1337"/>
      <c r="AT79" s="940"/>
      <c r="AU79" s="1265"/>
      <c r="AV79" s="1265"/>
      <c r="AW79" s="1265"/>
      <c r="AX79" s="1265"/>
      <c r="AY79" s="1265"/>
      <c r="AZ79" s="1265"/>
      <c r="BA79" s="1265"/>
      <c r="BB79" s="1265"/>
      <c r="BC79" s="1265"/>
      <c r="BD79" s="1265"/>
      <c r="BE79" s="1265"/>
    </row>
    <row r="80" spans="1:57" ht="13.5" hidden="1" customHeight="1">
      <c r="A80" s="1318" t="s">
        <v>1060</v>
      </c>
      <c r="B80" s="1332" t="s">
        <v>29</v>
      </c>
      <c r="C80" s="1332" t="s">
        <v>29</v>
      </c>
      <c r="D80" s="1312">
        <v>8</v>
      </c>
      <c r="E80" s="1312"/>
      <c r="F80" s="1310"/>
      <c r="G80" s="1315">
        <v>0.29166666666666669</v>
      </c>
      <c r="H80" s="1315">
        <v>0.125</v>
      </c>
      <c r="I80" s="1312">
        <v>8</v>
      </c>
      <c r="J80" s="1312"/>
      <c r="K80" s="1310"/>
      <c r="L80" s="1315">
        <v>0.29166666666666669</v>
      </c>
      <c r="M80" s="1315">
        <v>0.13541666666666666</v>
      </c>
      <c r="N80" s="1312">
        <v>8</v>
      </c>
      <c r="O80" s="1312">
        <v>0.25</v>
      </c>
      <c r="P80" s="1310"/>
      <c r="Q80" s="1315">
        <v>0.29166666666666669</v>
      </c>
      <c r="R80" s="1315">
        <v>0.125</v>
      </c>
      <c r="S80" s="1312">
        <v>8</v>
      </c>
      <c r="T80" s="1312"/>
      <c r="U80" s="1310"/>
      <c r="V80" s="1315">
        <v>0.29166666666666669</v>
      </c>
      <c r="W80" s="1315">
        <v>0.125</v>
      </c>
      <c r="X80" s="1312">
        <v>8</v>
      </c>
      <c r="Y80" s="1312"/>
      <c r="Z80" s="1314">
        <f t="shared" si="22"/>
        <v>40</v>
      </c>
      <c r="AA80" s="1316">
        <f t="shared" si="23"/>
        <v>0.25</v>
      </c>
      <c r="AB80" s="1310"/>
      <c r="AC80" s="1315"/>
      <c r="AD80" s="1315"/>
      <c r="AE80" s="1312"/>
      <c r="AF80" s="1310"/>
      <c r="AG80" s="1315"/>
      <c r="AH80" s="1315"/>
      <c r="AI80" s="1312"/>
      <c r="AJ80" s="1314">
        <f t="shared" si="24"/>
        <v>0</v>
      </c>
      <c r="AK80" s="941"/>
      <c r="AL80" s="943"/>
      <c r="AM80" s="940"/>
      <c r="AN80" s="1316" t="s">
        <v>1475</v>
      </c>
      <c r="AO80" s="1329">
        <f>AA102+AJ102</f>
        <v>0</v>
      </c>
      <c r="AP80" s="1330">
        <f>(60.47*1.5)</f>
        <v>90.704999999999998</v>
      </c>
      <c r="AQ80" s="1330">
        <f t="shared" ref="AQ80" si="25">AP80*AO80</f>
        <v>0</v>
      </c>
      <c r="AR80" s="967"/>
      <c r="AS80" s="1337"/>
      <c r="AT80" s="940"/>
      <c r="AU80" s="1265"/>
      <c r="AV80" s="1265"/>
      <c r="AW80" s="1265"/>
      <c r="AX80" s="1265"/>
      <c r="AY80" s="1265"/>
      <c r="AZ80" s="1265"/>
      <c r="BA80" s="1265"/>
      <c r="BB80" s="1265"/>
      <c r="BC80" s="1265"/>
      <c r="BD80" s="1265"/>
      <c r="BE80" s="1265"/>
    </row>
    <row r="81" spans="1:57" ht="13.5" hidden="1" customHeight="1">
      <c r="A81" s="1318" t="s">
        <v>1438</v>
      </c>
      <c r="B81" s="1332" t="s">
        <v>29</v>
      </c>
      <c r="C81" s="1332" t="s">
        <v>29</v>
      </c>
      <c r="D81" s="1312">
        <v>8</v>
      </c>
      <c r="E81" s="1312"/>
      <c r="F81" s="1310"/>
      <c r="G81" s="1315">
        <v>0.29166666666666669</v>
      </c>
      <c r="H81" s="1315">
        <v>0.14583333333333334</v>
      </c>
      <c r="I81" s="1312">
        <v>8</v>
      </c>
      <c r="J81" s="1312">
        <v>0.5</v>
      </c>
      <c r="K81" s="1310"/>
      <c r="L81" s="1315">
        <v>0.29166666666666669</v>
      </c>
      <c r="M81" s="1315">
        <v>0.125</v>
      </c>
      <c r="N81" s="1312">
        <v>8</v>
      </c>
      <c r="O81" s="1312"/>
      <c r="P81" s="1310"/>
      <c r="Q81" s="1315">
        <v>0.29166666666666669</v>
      </c>
      <c r="R81" s="1315">
        <v>0.125</v>
      </c>
      <c r="S81" s="1312">
        <v>8</v>
      </c>
      <c r="T81" s="1312"/>
      <c r="U81" s="1310"/>
      <c r="V81" s="1315">
        <v>0.29166666666666669</v>
      </c>
      <c r="W81" s="1315">
        <v>0.1875</v>
      </c>
      <c r="X81" s="1312">
        <v>8</v>
      </c>
      <c r="Y81" s="1312">
        <v>1</v>
      </c>
      <c r="Z81" s="1314">
        <f t="shared" si="22"/>
        <v>40</v>
      </c>
      <c r="AA81" s="1316">
        <f t="shared" si="23"/>
        <v>1.5</v>
      </c>
      <c r="AB81" s="1310"/>
      <c r="AC81" s="1315"/>
      <c r="AD81" s="1315"/>
      <c r="AE81" s="1312"/>
      <c r="AF81" s="1310"/>
      <c r="AG81" s="1315"/>
      <c r="AH81" s="1315"/>
      <c r="AI81" s="1312"/>
      <c r="AJ81" s="1314">
        <f t="shared" si="24"/>
        <v>0</v>
      </c>
      <c r="AK81" s="941"/>
      <c r="AL81" s="943"/>
      <c r="AM81" s="940"/>
      <c r="AN81" s="1316" t="s">
        <v>213</v>
      </c>
      <c r="AO81" s="1329">
        <f>Z103</f>
        <v>40</v>
      </c>
      <c r="AP81" s="1330">
        <v>53.05</v>
      </c>
      <c r="AQ81" s="1330">
        <f>AP81*AO81</f>
        <v>2122</v>
      </c>
      <c r="AR81" s="967"/>
      <c r="AS81" s="1337"/>
      <c r="AT81" s="940"/>
      <c r="AU81" s="1265"/>
      <c r="AV81" s="1265"/>
      <c r="AW81" s="1265"/>
      <c r="AX81" s="1265"/>
      <c r="AY81" s="1265"/>
      <c r="AZ81" s="1265"/>
      <c r="BA81" s="1265"/>
      <c r="BB81" s="1265"/>
      <c r="BC81" s="1265"/>
      <c r="BD81" s="1265"/>
      <c r="BE81" s="1265"/>
    </row>
    <row r="82" spans="1:57" ht="13.5" hidden="1" customHeight="1">
      <c r="A82" s="1318" t="s">
        <v>1142</v>
      </c>
      <c r="B82" s="1332">
        <v>6.25E-2</v>
      </c>
      <c r="C82" s="1332">
        <v>6.25E-2</v>
      </c>
      <c r="D82" s="1312">
        <v>8</v>
      </c>
      <c r="E82" s="1312">
        <v>4</v>
      </c>
      <c r="F82" s="1310"/>
      <c r="G82" s="1315">
        <v>0.125</v>
      </c>
      <c r="H82" s="1315">
        <v>0.45833333333333331</v>
      </c>
      <c r="I82" s="1312">
        <v>8</v>
      </c>
      <c r="J82" s="1312"/>
      <c r="K82" s="1312"/>
      <c r="L82" s="1315">
        <v>0.125</v>
      </c>
      <c r="M82" s="1315">
        <v>0.45833333333333331</v>
      </c>
      <c r="N82" s="1312">
        <v>8</v>
      </c>
      <c r="O82" s="1312"/>
      <c r="P82" s="1312"/>
      <c r="Q82" s="1315">
        <v>0.125</v>
      </c>
      <c r="R82" s="1315">
        <v>0.45833333333333331</v>
      </c>
      <c r="S82" s="1312">
        <v>8</v>
      </c>
      <c r="T82" s="1312"/>
      <c r="U82" s="1312"/>
      <c r="V82" s="1315">
        <v>0.125</v>
      </c>
      <c r="W82" s="1315">
        <v>0.45833333333333331</v>
      </c>
      <c r="X82" s="1312">
        <v>8</v>
      </c>
      <c r="Y82" s="1312"/>
      <c r="Z82" s="1314">
        <f t="shared" si="22"/>
        <v>40</v>
      </c>
      <c r="AA82" s="1316">
        <f t="shared" si="23"/>
        <v>4</v>
      </c>
      <c r="AB82" s="1310"/>
      <c r="AC82" s="1315"/>
      <c r="AD82" s="1315"/>
      <c r="AE82" s="1312"/>
      <c r="AF82" s="1310"/>
      <c r="AG82" s="1315"/>
      <c r="AH82" s="1315"/>
      <c r="AI82" s="1312"/>
      <c r="AJ82" s="1314">
        <f t="shared" si="24"/>
        <v>0</v>
      </c>
      <c r="AK82" s="941"/>
      <c r="AL82" s="943"/>
      <c r="AM82" s="940"/>
      <c r="AN82" s="1316" t="s">
        <v>36</v>
      </c>
      <c r="AO82" s="1329">
        <f>AA103+AJ103</f>
        <v>5.5</v>
      </c>
      <c r="AP82" s="1330">
        <f>53.05*1.5</f>
        <v>79.574999999999989</v>
      </c>
      <c r="AQ82" s="1330">
        <f>AP82*AO82</f>
        <v>437.66249999999991</v>
      </c>
      <c r="AR82" s="967"/>
      <c r="AS82" s="1337"/>
      <c r="AT82" s="940"/>
      <c r="AU82" s="1265"/>
      <c r="AV82" s="1265"/>
      <c r="AW82" s="1265"/>
      <c r="AX82" s="1265"/>
      <c r="AY82" s="1265"/>
      <c r="AZ82" s="1265"/>
      <c r="BA82" s="1265"/>
      <c r="BB82" s="1265"/>
      <c r="BC82" s="1265"/>
      <c r="BD82" s="1265"/>
      <c r="BE82" s="1265"/>
    </row>
    <row r="83" spans="1:57" ht="13.5" hidden="1" customHeight="1">
      <c r="A83" s="1318" t="s">
        <v>1447</v>
      </c>
      <c r="B83" s="1332">
        <v>0.125</v>
      </c>
      <c r="C83" s="1332">
        <v>0.45833333333333331</v>
      </c>
      <c r="D83" s="1312">
        <v>8</v>
      </c>
      <c r="E83" s="1312"/>
      <c r="F83" s="1310"/>
      <c r="G83" s="1315">
        <v>0.125</v>
      </c>
      <c r="H83" s="1315">
        <v>0.45833333333333331</v>
      </c>
      <c r="I83" s="1312">
        <v>8</v>
      </c>
      <c r="J83" s="1312"/>
      <c r="K83" s="1312"/>
      <c r="L83" s="1315">
        <v>0.125</v>
      </c>
      <c r="M83" s="1315">
        <v>0.45833333333333331</v>
      </c>
      <c r="N83" s="1312">
        <v>8</v>
      </c>
      <c r="O83" s="1312"/>
      <c r="P83" s="1312"/>
      <c r="Q83" s="1315">
        <v>0.125</v>
      </c>
      <c r="R83" s="1315">
        <v>0.45833333333333331</v>
      </c>
      <c r="S83" s="1312">
        <v>8</v>
      </c>
      <c r="T83" s="1312"/>
      <c r="U83" s="1312"/>
      <c r="V83" s="1315">
        <v>0.125</v>
      </c>
      <c r="W83" s="1315">
        <v>0.45833333333333331</v>
      </c>
      <c r="X83" s="1312">
        <v>8</v>
      </c>
      <c r="Y83" s="1312"/>
      <c r="Z83" s="1314">
        <f t="shared" si="22"/>
        <v>40</v>
      </c>
      <c r="AA83" s="1316">
        <f t="shared" si="23"/>
        <v>0</v>
      </c>
      <c r="AB83" s="1310"/>
      <c r="AC83" s="1315"/>
      <c r="AD83" s="1315"/>
      <c r="AE83" s="1312"/>
      <c r="AF83" s="1310"/>
      <c r="AG83" s="1315"/>
      <c r="AH83" s="1315"/>
      <c r="AI83" s="1312"/>
      <c r="AJ83" s="1314">
        <f t="shared" si="24"/>
        <v>0</v>
      </c>
      <c r="AK83" s="941"/>
      <c r="AL83" s="943"/>
      <c r="AM83" s="940"/>
      <c r="AN83" s="967"/>
      <c r="AO83" s="967"/>
      <c r="AP83" s="967"/>
      <c r="AQ83" s="1331">
        <f>SUM(AQ76:AQ82)</f>
        <v>39781.867499999993</v>
      </c>
      <c r="AR83" s="967"/>
      <c r="AS83" s="1337"/>
      <c r="AT83" s="940"/>
      <c r="AU83" s="1265"/>
      <c r="AV83" s="1265"/>
      <c r="AW83" s="1265"/>
      <c r="AX83" s="1265"/>
      <c r="AY83" s="1265"/>
      <c r="AZ83" s="1265"/>
      <c r="BA83" s="1265"/>
      <c r="BB83" s="1265"/>
      <c r="BC83" s="1265"/>
      <c r="BD83" s="1265"/>
      <c r="BE83" s="1265"/>
    </row>
    <row r="84" spans="1:57" ht="13.5" hidden="1" customHeight="1">
      <c r="A84" s="1310" t="s">
        <v>327</v>
      </c>
      <c r="B84" s="1332" t="s">
        <v>29</v>
      </c>
      <c r="C84" s="1332" t="s">
        <v>29</v>
      </c>
      <c r="D84" s="1312">
        <v>8</v>
      </c>
      <c r="E84" s="1312"/>
      <c r="F84" s="1312"/>
      <c r="G84" s="1315">
        <v>0.125</v>
      </c>
      <c r="H84" s="1315">
        <v>0.45833333333333331</v>
      </c>
      <c r="I84" s="1312">
        <v>8</v>
      </c>
      <c r="J84" s="1312"/>
      <c r="K84" s="1312"/>
      <c r="L84" s="1315">
        <v>0.125</v>
      </c>
      <c r="M84" s="1315">
        <v>0.45833333333333331</v>
      </c>
      <c r="N84" s="1312">
        <v>8</v>
      </c>
      <c r="O84" s="1312"/>
      <c r="P84" s="1312"/>
      <c r="Q84" s="1315">
        <v>0.125</v>
      </c>
      <c r="R84" s="1315">
        <v>0.45833333333333331</v>
      </c>
      <c r="S84" s="1312">
        <v>8</v>
      </c>
      <c r="T84" s="1312"/>
      <c r="U84" s="1312"/>
      <c r="V84" s="1315">
        <v>0.125</v>
      </c>
      <c r="W84" s="1315">
        <v>0.45833333333333331</v>
      </c>
      <c r="X84" s="1312">
        <v>8</v>
      </c>
      <c r="Y84" s="1312"/>
      <c r="Z84" s="1314">
        <f t="shared" si="22"/>
        <v>40</v>
      </c>
      <c r="AA84" s="1316">
        <f t="shared" si="23"/>
        <v>0</v>
      </c>
      <c r="AB84" s="1310"/>
      <c r="AC84" s="1315"/>
      <c r="AD84" s="1315"/>
      <c r="AE84" s="1312"/>
      <c r="AF84" s="1310"/>
      <c r="AG84" s="1315"/>
      <c r="AH84" s="1315"/>
      <c r="AI84" s="1312"/>
      <c r="AJ84" s="1314">
        <f t="shared" si="24"/>
        <v>0</v>
      </c>
      <c r="AK84" s="941"/>
      <c r="AL84" s="943"/>
      <c r="AM84" s="940"/>
      <c r="AN84" s="967"/>
      <c r="AO84" s="967"/>
      <c r="AP84" s="967"/>
      <c r="AQ84" s="967"/>
      <c r="AR84" s="967"/>
      <c r="AS84" s="1337"/>
      <c r="AT84" s="940"/>
      <c r="AU84" s="1265"/>
      <c r="AV84" s="1265"/>
      <c r="AW84" s="1265"/>
      <c r="AX84" s="1265"/>
      <c r="AY84" s="1265"/>
      <c r="AZ84" s="1265"/>
      <c r="BA84" s="1265"/>
      <c r="BB84" s="1265"/>
      <c r="BC84" s="1265"/>
      <c r="BD84" s="1265"/>
      <c r="BE84" s="1265"/>
    </row>
    <row r="85" spans="1:57" ht="13.5" hidden="1" customHeight="1">
      <c r="A85" s="1310" t="s">
        <v>1436</v>
      </c>
      <c r="B85" s="1332" t="s">
        <v>29</v>
      </c>
      <c r="C85" s="1332" t="s">
        <v>29</v>
      </c>
      <c r="D85" s="1312">
        <v>0</v>
      </c>
      <c r="E85" s="1312"/>
      <c r="F85" s="1312"/>
      <c r="G85" s="1315">
        <v>0.125</v>
      </c>
      <c r="H85" s="1315"/>
      <c r="I85" s="1312">
        <v>7.5</v>
      </c>
      <c r="J85" s="1312"/>
      <c r="K85" s="1312"/>
      <c r="L85" s="1315">
        <v>0.125</v>
      </c>
      <c r="M85" s="1315">
        <v>0.45833333333333331</v>
      </c>
      <c r="N85" s="1312">
        <v>8</v>
      </c>
      <c r="O85" s="1312"/>
      <c r="P85" s="1312"/>
      <c r="Q85" s="1315">
        <v>0.125</v>
      </c>
      <c r="R85" s="1315">
        <v>0.45833333333333331</v>
      </c>
      <c r="S85" s="1312">
        <v>8</v>
      </c>
      <c r="T85" s="1312"/>
      <c r="U85" s="1312"/>
      <c r="V85" s="1315">
        <v>0.125</v>
      </c>
      <c r="W85" s="1315">
        <v>0.45833333333333331</v>
      </c>
      <c r="X85" s="1312">
        <v>8</v>
      </c>
      <c r="Y85" s="1312"/>
      <c r="Z85" s="1314">
        <f t="shared" si="22"/>
        <v>31.5</v>
      </c>
      <c r="AA85" s="1316">
        <f t="shared" si="23"/>
        <v>0</v>
      </c>
      <c r="AB85" s="1310"/>
      <c r="AC85" s="1315"/>
      <c r="AD85" s="1315"/>
      <c r="AE85" s="1312"/>
      <c r="AF85" s="1310"/>
      <c r="AG85" s="1315"/>
      <c r="AH85" s="1315"/>
      <c r="AI85" s="1312"/>
      <c r="AJ85" s="1314">
        <f t="shared" si="24"/>
        <v>0</v>
      </c>
      <c r="AK85" s="941"/>
      <c r="AL85" s="943"/>
      <c r="AM85" s="940"/>
      <c r="AN85" s="967"/>
      <c r="AO85" s="967"/>
      <c r="AP85" s="967"/>
      <c r="AQ85" s="967"/>
      <c r="AR85" s="967"/>
      <c r="AS85" s="1337"/>
      <c r="AT85" s="940"/>
      <c r="AU85" s="1265"/>
      <c r="AV85" s="1265"/>
      <c r="AW85" s="1265"/>
      <c r="AX85" s="1265"/>
      <c r="AY85" s="1265"/>
      <c r="AZ85" s="1265"/>
      <c r="BA85" s="1265"/>
      <c r="BB85" s="1265"/>
      <c r="BC85" s="1265"/>
      <c r="BD85" s="1265"/>
      <c r="BE85" s="1265"/>
    </row>
    <row r="86" spans="1:57" ht="13.5" hidden="1" customHeight="1">
      <c r="A86" s="1318" t="s">
        <v>1140</v>
      </c>
      <c r="B86" s="1332" t="s">
        <v>29</v>
      </c>
      <c r="C86" s="1332" t="s">
        <v>29</v>
      </c>
      <c r="D86" s="1312">
        <v>8</v>
      </c>
      <c r="E86" s="1312"/>
      <c r="F86" s="1310"/>
      <c r="G86" s="1315">
        <v>0.125</v>
      </c>
      <c r="H86" s="1315">
        <v>0.5625</v>
      </c>
      <c r="I86" s="1312">
        <v>8</v>
      </c>
      <c r="J86" s="1312">
        <v>1.5</v>
      </c>
      <c r="K86" s="1310"/>
      <c r="L86" s="1315">
        <v>0.125</v>
      </c>
      <c r="M86" s="1315">
        <v>0.45833333333333331</v>
      </c>
      <c r="N86" s="1312">
        <v>8</v>
      </c>
      <c r="O86" s="1312"/>
      <c r="P86" s="1310"/>
      <c r="Q86" s="1315">
        <v>0.125</v>
      </c>
      <c r="R86" s="1315">
        <v>0.45833333333333331</v>
      </c>
      <c r="S86" s="1312">
        <v>8</v>
      </c>
      <c r="T86" s="1312"/>
      <c r="U86" s="1310"/>
      <c r="V86" s="1315">
        <v>0.125</v>
      </c>
      <c r="W86" s="1315">
        <v>0.45833333333333331</v>
      </c>
      <c r="X86" s="1312">
        <v>8</v>
      </c>
      <c r="Y86" s="1312"/>
      <c r="Z86" s="1314">
        <f t="shared" si="22"/>
        <v>40</v>
      </c>
      <c r="AA86" s="1316">
        <f t="shared" si="23"/>
        <v>1.5</v>
      </c>
      <c r="AB86" s="1310"/>
      <c r="AC86" s="1315"/>
      <c r="AD86" s="1315"/>
      <c r="AE86" s="1312"/>
      <c r="AF86" s="1310"/>
      <c r="AG86" s="1315"/>
      <c r="AH86" s="1315"/>
      <c r="AI86" s="1312"/>
      <c r="AJ86" s="1314">
        <f t="shared" si="24"/>
        <v>0</v>
      </c>
      <c r="AK86" s="941"/>
      <c r="AL86" s="943"/>
      <c r="AM86" s="940"/>
      <c r="AN86" s="1316"/>
      <c r="AO86" s="1329"/>
      <c r="AP86" s="1330"/>
      <c r="AQ86" s="1330"/>
      <c r="AR86" s="967"/>
      <c r="AS86" s="1337"/>
      <c r="AT86" s="940"/>
      <c r="AU86" s="1265"/>
      <c r="AV86" s="1265"/>
      <c r="AW86" s="1265"/>
      <c r="AX86" s="1265"/>
      <c r="AY86" s="1265"/>
      <c r="AZ86" s="1265"/>
      <c r="BA86" s="1265"/>
      <c r="BB86" s="1265"/>
      <c r="BC86" s="1265"/>
      <c r="BD86" s="1265"/>
      <c r="BE86" s="1265"/>
    </row>
    <row r="87" spans="1:57" ht="13.5" hidden="1" customHeight="1">
      <c r="A87" s="1318" t="s">
        <v>1141</v>
      </c>
      <c r="B87" s="1332" t="s">
        <v>29</v>
      </c>
      <c r="C87" s="1332" t="s">
        <v>29</v>
      </c>
      <c r="D87" s="1312">
        <v>0</v>
      </c>
      <c r="E87" s="1312"/>
      <c r="F87" s="1312"/>
      <c r="G87" s="1315">
        <v>0.30208333333333331</v>
      </c>
      <c r="H87" s="1315"/>
      <c r="I87" s="1312">
        <v>6</v>
      </c>
      <c r="J87" s="1312"/>
      <c r="K87" s="1312"/>
      <c r="L87" s="1315">
        <v>0.29166666666666669</v>
      </c>
      <c r="M87" s="1315">
        <v>0.13541666666666666</v>
      </c>
      <c r="N87" s="1312">
        <v>8</v>
      </c>
      <c r="O87" s="1312">
        <v>0.25</v>
      </c>
      <c r="P87" s="1312"/>
      <c r="Q87" s="1315">
        <v>0.29166666666666669</v>
      </c>
      <c r="R87" s="1315">
        <v>0.1875</v>
      </c>
      <c r="S87" s="1312">
        <v>8</v>
      </c>
      <c r="T87" s="1312">
        <v>0.5</v>
      </c>
      <c r="U87" s="1312"/>
      <c r="V87" s="1315"/>
      <c r="W87" s="1315">
        <v>0.14583333333333334</v>
      </c>
      <c r="X87" s="1312">
        <v>6</v>
      </c>
      <c r="Y87" s="1312"/>
      <c r="Z87" s="1314">
        <f>D87+I87+N87+S87+X87</f>
        <v>28</v>
      </c>
      <c r="AA87" s="1316">
        <f t="shared" si="23"/>
        <v>0.75</v>
      </c>
      <c r="AB87" s="1310"/>
      <c r="AC87" s="1315">
        <v>0.33333333333333331</v>
      </c>
      <c r="AD87" s="1315">
        <v>0.22916666666666666</v>
      </c>
      <c r="AE87" s="1312">
        <v>8</v>
      </c>
      <c r="AF87" s="1310"/>
      <c r="AG87" s="1315">
        <v>0.29166666666666669</v>
      </c>
      <c r="AH87" s="1315">
        <v>0.22916666666666666</v>
      </c>
      <c r="AI87" s="1312">
        <v>9.5</v>
      </c>
      <c r="AJ87" s="1314">
        <f t="shared" si="24"/>
        <v>17.5</v>
      </c>
      <c r="AK87" s="941"/>
      <c r="AL87" s="943"/>
      <c r="AM87" s="940"/>
      <c r="AN87" s="967"/>
      <c r="AO87" s="967"/>
      <c r="AP87" s="967"/>
      <c r="AQ87" s="967"/>
      <c r="AR87" s="967"/>
      <c r="AS87" s="1337"/>
      <c r="AT87" s="940"/>
      <c r="AU87" s="1265"/>
      <c r="AV87" s="1265"/>
      <c r="AW87" s="1265"/>
      <c r="AX87" s="1265"/>
      <c r="AY87" s="1265"/>
      <c r="AZ87" s="1265"/>
      <c r="BA87" s="1265"/>
      <c r="BB87" s="1265"/>
      <c r="BC87" s="1265"/>
      <c r="BD87" s="1265"/>
      <c r="BE87" s="1265"/>
    </row>
    <row r="88" spans="1:57" ht="13.5" hidden="1" customHeight="1">
      <c r="A88" s="1318" t="s">
        <v>241</v>
      </c>
      <c r="B88" s="1332" t="s">
        <v>29</v>
      </c>
      <c r="C88" s="1332" t="s">
        <v>29</v>
      </c>
      <c r="D88" s="1312">
        <v>0</v>
      </c>
      <c r="E88" s="1312"/>
      <c r="F88" s="1312"/>
      <c r="G88" s="1315">
        <v>0.33333333333333331</v>
      </c>
      <c r="H88" s="1315">
        <v>0.41666666666666669</v>
      </c>
      <c r="I88" s="1312">
        <v>8</v>
      </c>
      <c r="J88" s="1312">
        <v>5</v>
      </c>
      <c r="K88" s="1312"/>
      <c r="L88" s="1315">
        <v>0.125</v>
      </c>
      <c r="M88" s="1315">
        <v>0.41666666666666669</v>
      </c>
      <c r="N88" s="1312">
        <v>6.5</v>
      </c>
      <c r="O88" s="1312"/>
      <c r="P88" s="1312"/>
      <c r="Q88" s="1315"/>
      <c r="R88" s="1315"/>
      <c r="S88" s="1312">
        <v>0</v>
      </c>
      <c r="T88" s="1312"/>
      <c r="U88" s="1312"/>
      <c r="V88" s="1315">
        <v>0.29166666666666669</v>
      </c>
      <c r="W88" s="1315">
        <v>0.1875</v>
      </c>
      <c r="X88" s="1312">
        <v>8</v>
      </c>
      <c r="Y88" s="1312">
        <v>0.5</v>
      </c>
      <c r="Z88" s="1314">
        <f>D88+I88+N88+S88+X88</f>
        <v>22.5</v>
      </c>
      <c r="AA88" s="1316">
        <f t="shared" si="23"/>
        <v>5.5</v>
      </c>
      <c r="AB88" s="1310"/>
      <c r="AC88" s="1315">
        <v>0.125</v>
      </c>
      <c r="AD88" s="1315">
        <v>0.29166666666666669</v>
      </c>
      <c r="AE88" s="1312">
        <v>14</v>
      </c>
      <c r="AF88" s="1310"/>
      <c r="AG88" s="1315"/>
      <c r="AH88" s="1315"/>
      <c r="AI88" s="1312"/>
      <c r="AJ88" s="1314">
        <f t="shared" si="24"/>
        <v>14</v>
      </c>
      <c r="AK88" s="941"/>
      <c r="AL88" s="943"/>
      <c r="AM88" s="940"/>
      <c r="AN88" s="967"/>
      <c r="AO88" s="967"/>
      <c r="AP88" s="967"/>
      <c r="AQ88" s="967"/>
      <c r="AR88" s="967"/>
      <c r="AS88" s="1337"/>
      <c r="AT88" s="940"/>
      <c r="AU88" s="1265"/>
      <c r="AV88" s="1265"/>
      <c r="AW88" s="1265"/>
      <c r="AX88" s="1265"/>
      <c r="AY88" s="1265"/>
      <c r="AZ88" s="1265"/>
      <c r="BA88" s="1265"/>
      <c r="BB88" s="1265"/>
      <c r="BC88" s="1265"/>
      <c r="BD88" s="1265"/>
      <c r="BE88" s="1265"/>
    </row>
    <row r="89" spans="1:57" ht="13.5" hidden="1" customHeight="1">
      <c r="A89" s="1318" t="s">
        <v>1477</v>
      </c>
      <c r="B89" s="1332">
        <v>0.375</v>
      </c>
      <c r="C89" s="1332">
        <v>0.20833333333333334</v>
      </c>
      <c r="D89" s="1312">
        <v>7</v>
      </c>
      <c r="E89" s="1312"/>
      <c r="F89" s="1312"/>
      <c r="G89" s="1315">
        <v>0.375</v>
      </c>
      <c r="H89" s="1315">
        <v>0.20833333333333334</v>
      </c>
      <c r="I89" s="1312">
        <v>7</v>
      </c>
      <c r="J89" s="1312"/>
      <c r="K89" s="1312"/>
      <c r="L89" s="1315">
        <v>0.375</v>
      </c>
      <c r="M89" s="1315">
        <v>0.20833333333333334</v>
      </c>
      <c r="N89" s="1312">
        <v>7</v>
      </c>
      <c r="O89" s="1312"/>
      <c r="P89" s="1312"/>
      <c r="Q89" s="1315">
        <v>0.375</v>
      </c>
      <c r="R89" s="1315">
        <v>0.20833333333333334</v>
      </c>
      <c r="S89" s="1312">
        <v>7</v>
      </c>
      <c r="T89" s="1312"/>
      <c r="U89" s="1312"/>
      <c r="V89" s="1315">
        <v>0.375</v>
      </c>
      <c r="W89" s="1315">
        <v>0.20833333333333334</v>
      </c>
      <c r="X89" s="1312">
        <v>7</v>
      </c>
      <c r="Y89" s="1312"/>
      <c r="Z89" s="1314">
        <f>D89+I89+N89+S89+X89</f>
        <v>35</v>
      </c>
      <c r="AA89" s="1316">
        <f t="shared" si="23"/>
        <v>0</v>
      </c>
      <c r="AB89" s="1310"/>
      <c r="AC89" s="1315"/>
      <c r="AD89" s="1315"/>
      <c r="AE89" s="1312"/>
      <c r="AF89" s="1310"/>
      <c r="AG89" s="1315"/>
      <c r="AH89" s="1315"/>
      <c r="AI89" s="1312"/>
      <c r="AJ89" s="1314">
        <f t="shared" si="24"/>
        <v>0</v>
      </c>
      <c r="AK89" s="941"/>
      <c r="AL89" s="943"/>
      <c r="AM89" s="940"/>
      <c r="AN89" s="967"/>
      <c r="AO89" s="967"/>
      <c r="AP89" s="967"/>
      <c r="AQ89" s="967"/>
      <c r="AR89" s="967"/>
      <c r="AS89" s="1337"/>
      <c r="AT89" s="940"/>
      <c r="AU89" s="1265"/>
      <c r="AV89" s="1265"/>
      <c r="AW89" s="1265"/>
      <c r="AX89" s="1265"/>
      <c r="AY89" s="1265"/>
      <c r="AZ89" s="1265"/>
      <c r="BA89" s="1265"/>
      <c r="BB89" s="1265"/>
      <c r="BC89" s="1265"/>
      <c r="BD89" s="1265"/>
      <c r="BE89" s="1265"/>
    </row>
    <row r="90" spans="1:57" ht="13.5" hidden="1" customHeight="1">
      <c r="A90" s="1318" t="s">
        <v>1444</v>
      </c>
      <c r="B90" s="1332" t="s">
        <v>29</v>
      </c>
      <c r="C90" s="1332" t="s">
        <v>29</v>
      </c>
      <c r="D90" s="1312">
        <v>0</v>
      </c>
      <c r="E90" s="1312"/>
      <c r="F90" s="1312"/>
      <c r="G90" s="1315"/>
      <c r="H90" s="1315"/>
      <c r="I90" s="1312">
        <v>0</v>
      </c>
      <c r="J90" s="1312"/>
      <c r="K90" s="1312"/>
      <c r="L90" s="1315"/>
      <c r="M90" s="1315"/>
      <c r="N90" s="1312">
        <v>0</v>
      </c>
      <c r="O90" s="1312"/>
      <c r="P90" s="1312"/>
      <c r="Q90" s="1315"/>
      <c r="R90" s="1315"/>
      <c r="S90" s="1312">
        <v>0</v>
      </c>
      <c r="T90" s="1312"/>
      <c r="U90" s="1312"/>
      <c r="V90" s="1315"/>
      <c r="W90" s="1315"/>
      <c r="X90" s="1312">
        <v>0</v>
      </c>
      <c r="Y90" s="1312"/>
      <c r="Z90" s="1314">
        <f t="shared" si="22"/>
        <v>0</v>
      </c>
      <c r="AA90" s="1316">
        <f t="shared" si="23"/>
        <v>0</v>
      </c>
      <c r="AB90" s="1310"/>
      <c r="AC90" s="1315"/>
      <c r="AD90" s="1315"/>
      <c r="AE90" s="1312"/>
      <c r="AF90" s="1310"/>
      <c r="AG90" s="1315"/>
      <c r="AH90" s="1315"/>
      <c r="AI90" s="1312"/>
      <c r="AJ90" s="1314">
        <f t="shared" si="24"/>
        <v>0</v>
      </c>
      <c r="AK90" s="941"/>
      <c r="AL90" s="943"/>
      <c r="AM90" s="940"/>
      <c r="AN90" s="967"/>
      <c r="AO90" s="967"/>
      <c r="AP90" s="967"/>
      <c r="AQ90" s="967"/>
      <c r="AR90" s="967"/>
      <c r="AS90" s="1337"/>
      <c r="AT90" s="940"/>
      <c r="AU90" s="1265"/>
      <c r="AV90" s="1265"/>
      <c r="AW90" s="1265"/>
      <c r="AX90" s="1265"/>
      <c r="AY90" s="1265"/>
      <c r="AZ90" s="1265"/>
      <c r="BA90" s="1265"/>
      <c r="BB90" s="1265"/>
      <c r="BC90" s="1265"/>
      <c r="BD90" s="1265"/>
      <c r="BE90" s="1265"/>
    </row>
    <row r="91" spans="1:57" ht="13.5" hidden="1" customHeight="1">
      <c r="A91" s="1318" t="s">
        <v>1479</v>
      </c>
      <c r="B91" s="1315">
        <v>0.33333333333333331</v>
      </c>
      <c r="C91" s="1315">
        <v>0.16666666666666666</v>
      </c>
      <c r="D91" s="1312">
        <v>8</v>
      </c>
      <c r="E91" s="1312"/>
      <c r="F91" s="1312"/>
      <c r="G91" s="1315">
        <v>0.33333333333333331</v>
      </c>
      <c r="H91" s="1315">
        <v>0.16666666666666666</v>
      </c>
      <c r="I91" s="1312">
        <v>8</v>
      </c>
      <c r="J91" s="1312"/>
      <c r="K91" s="1312"/>
      <c r="L91" s="1315">
        <v>0.33333333333333331</v>
      </c>
      <c r="M91" s="1315">
        <v>0.16666666666666666</v>
      </c>
      <c r="N91" s="1312">
        <v>8</v>
      </c>
      <c r="O91" s="1312"/>
      <c r="P91" s="1312"/>
      <c r="Q91" s="1315">
        <v>0.33333333333333331</v>
      </c>
      <c r="R91" s="1315">
        <v>0.16666666666666666</v>
      </c>
      <c r="S91" s="1312">
        <v>8</v>
      </c>
      <c r="T91" s="1312"/>
      <c r="U91" s="1312"/>
      <c r="V91" s="1315">
        <v>0.33333333333333331</v>
      </c>
      <c r="W91" s="1315">
        <v>0.16666666666666666</v>
      </c>
      <c r="X91" s="1312">
        <v>8</v>
      </c>
      <c r="Y91" s="1312"/>
      <c r="Z91" s="1314">
        <f t="shared" ref="Z91:Z93" si="26">D91+I91+N91+S91+X91</f>
        <v>40</v>
      </c>
      <c r="AA91" s="1316">
        <f t="shared" ref="AA91:AA93" si="27">E91+J91+O91+T91+Y91</f>
        <v>0</v>
      </c>
      <c r="AB91" s="1310"/>
      <c r="AC91" s="1315">
        <v>0.35416666666666669</v>
      </c>
      <c r="AD91" s="1315">
        <v>0.22916666666666666</v>
      </c>
      <c r="AE91" s="1312">
        <v>8</v>
      </c>
      <c r="AF91" s="1310"/>
      <c r="AG91" s="1315"/>
      <c r="AH91" s="1315"/>
      <c r="AI91" s="1312"/>
      <c r="AJ91" s="1314">
        <f t="shared" si="24"/>
        <v>8</v>
      </c>
      <c r="AK91" s="941"/>
      <c r="AL91" s="943"/>
      <c r="AM91" s="940"/>
      <c r="AN91" s="967"/>
      <c r="AO91" s="967"/>
      <c r="AP91" s="967"/>
      <c r="AQ91" s="967"/>
      <c r="AR91" s="967"/>
      <c r="AS91" s="1337"/>
      <c r="AT91" s="940"/>
      <c r="AU91" s="1265"/>
      <c r="AV91" s="1265"/>
      <c r="AW91" s="1265"/>
      <c r="AX91" s="1265"/>
      <c r="AY91" s="1265"/>
      <c r="AZ91" s="1265"/>
      <c r="BA91" s="1265"/>
      <c r="BB91" s="1265"/>
      <c r="BC91" s="1265"/>
      <c r="BD91" s="1265"/>
      <c r="BE91" s="1265"/>
    </row>
    <row r="92" spans="1:57" ht="13.5" hidden="1" customHeight="1">
      <c r="A92" s="1318" t="s">
        <v>1480</v>
      </c>
      <c r="B92" s="1332"/>
      <c r="C92" s="1332"/>
      <c r="D92" s="1312">
        <v>0</v>
      </c>
      <c r="E92" s="1312"/>
      <c r="F92" s="1312"/>
      <c r="G92" s="1315"/>
      <c r="H92" s="1315"/>
      <c r="I92" s="1312">
        <v>0</v>
      </c>
      <c r="J92" s="1312"/>
      <c r="K92" s="1312"/>
      <c r="L92" s="1315"/>
      <c r="M92" s="1315"/>
      <c r="N92" s="1312">
        <v>0</v>
      </c>
      <c r="O92" s="1312"/>
      <c r="P92" s="1312"/>
      <c r="Q92" s="1315"/>
      <c r="R92" s="1315"/>
      <c r="S92" s="1312">
        <v>0</v>
      </c>
      <c r="T92" s="1312"/>
      <c r="U92" s="1312"/>
      <c r="V92" s="1315"/>
      <c r="W92" s="1315"/>
      <c r="X92" s="1312">
        <v>0</v>
      </c>
      <c r="Y92" s="1312"/>
      <c r="Z92" s="1314">
        <f t="shared" si="26"/>
        <v>0</v>
      </c>
      <c r="AA92" s="1316">
        <f t="shared" si="27"/>
        <v>0</v>
      </c>
      <c r="AB92" s="1310"/>
      <c r="AC92" s="1315"/>
      <c r="AD92" s="1315"/>
      <c r="AE92" s="1312"/>
      <c r="AF92" s="1310"/>
      <c r="AG92" s="1315"/>
      <c r="AH92" s="1315"/>
      <c r="AI92" s="1312"/>
      <c r="AJ92" s="1314">
        <f t="shared" si="24"/>
        <v>0</v>
      </c>
      <c r="AK92" s="941"/>
      <c r="AL92" s="943"/>
      <c r="AM92" s="940"/>
      <c r="AN92" s="967"/>
      <c r="AO92" s="967"/>
      <c r="AP92" s="967"/>
      <c r="AQ92" s="967"/>
      <c r="AR92" s="967"/>
      <c r="AS92" s="1337"/>
      <c r="AT92" s="940"/>
      <c r="AU92" s="1265"/>
      <c r="AV92" s="1265"/>
      <c r="AW92" s="1265"/>
      <c r="AX92" s="1265"/>
      <c r="AY92" s="1265"/>
      <c r="AZ92" s="1265"/>
      <c r="BA92" s="1265"/>
      <c r="BB92" s="1265"/>
      <c r="BC92" s="1265"/>
      <c r="BD92" s="1265"/>
      <c r="BE92" s="1265"/>
    </row>
    <row r="93" spans="1:57" ht="13.5" hidden="1" customHeight="1">
      <c r="A93" s="1318" t="s">
        <v>1143</v>
      </c>
      <c r="B93" s="1315"/>
      <c r="C93" s="1315"/>
      <c r="D93" s="1312">
        <v>0</v>
      </c>
      <c r="E93" s="1312"/>
      <c r="F93" s="1312"/>
      <c r="G93" s="1315"/>
      <c r="H93" s="1315"/>
      <c r="I93" s="1312">
        <v>0</v>
      </c>
      <c r="J93" s="1312"/>
      <c r="K93" s="1312"/>
      <c r="L93" s="1315"/>
      <c r="M93" s="1315"/>
      <c r="N93" s="1312">
        <v>0</v>
      </c>
      <c r="O93" s="1312"/>
      <c r="P93" s="1312"/>
      <c r="Q93" s="1315"/>
      <c r="R93" s="1315"/>
      <c r="S93" s="1312">
        <v>0</v>
      </c>
      <c r="T93" s="1312"/>
      <c r="U93" s="1312"/>
      <c r="V93" s="1315"/>
      <c r="W93" s="1315"/>
      <c r="X93" s="1312">
        <v>0</v>
      </c>
      <c r="Y93" s="1312"/>
      <c r="Z93" s="1314">
        <f t="shared" si="26"/>
        <v>0</v>
      </c>
      <c r="AA93" s="1316">
        <f t="shared" si="27"/>
        <v>0</v>
      </c>
      <c r="AB93" s="1310"/>
      <c r="AC93" s="1315">
        <v>0.29166666666666669</v>
      </c>
      <c r="AD93" s="1315">
        <v>0.25</v>
      </c>
      <c r="AE93" s="1312">
        <v>10</v>
      </c>
      <c r="AF93" s="1310"/>
      <c r="AG93" s="1315"/>
      <c r="AH93" s="1315"/>
      <c r="AI93" s="1312"/>
      <c r="AJ93" s="1314">
        <f t="shared" si="24"/>
        <v>10</v>
      </c>
      <c r="AK93" s="941"/>
      <c r="AL93" s="943"/>
      <c r="AM93" s="940"/>
      <c r="AN93" s="967"/>
      <c r="AO93" s="967"/>
      <c r="AP93" s="967"/>
      <c r="AQ93" s="967"/>
      <c r="AR93" s="967"/>
      <c r="AS93" s="1337"/>
      <c r="AT93" s="940"/>
      <c r="AU93" s="1265"/>
      <c r="AV93" s="1265"/>
      <c r="AW93" s="1265"/>
      <c r="AX93" s="1265"/>
      <c r="AY93" s="1265"/>
      <c r="AZ93" s="1265"/>
      <c r="BA93" s="1265"/>
      <c r="BB93" s="1265"/>
      <c r="BC93" s="1265"/>
      <c r="BD93" s="1265"/>
      <c r="BE93" s="1265"/>
    </row>
    <row r="94" spans="1:57" ht="13.5" hidden="1" customHeight="1">
      <c r="A94" s="1318" t="s">
        <v>813</v>
      </c>
      <c r="B94" s="1315"/>
      <c r="C94" s="1315"/>
      <c r="D94" s="1312">
        <v>2</v>
      </c>
      <c r="E94" s="1312"/>
      <c r="F94" s="1310"/>
      <c r="G94" s="1315"/>
      <c r="H94" s="1315"/>
      <c r="I94" s="1312">
        <v>2</v>
      </c>
      <c r="J94" s="1312"/>
      <c r="K94" s="1310"/>
      <c r="L94" s="1315"/>
      <c r="M94" s="1315"/>
      <c r="N94" s="1312">
        <v>2</v>
      </c>
      <c r="O94" s="1312"/>
      <c r="P94" s="1310"/>
      <c r="Q94" s="1315"/>
      <c r="R94" s="1315"/>
      <c r="S94" s="1312">
        <v>2</v>
      </c>
      <c r="T94" s="1312"/>
      <c r="U94" s="1310"/>
      <c r="V94" s="1315"/>
      <c r="W94" s="1315"/>
      <c r="X94" s="1312">
        <v>2</v>
      </c>
      <c r="Y94" s="1312"/>
      <c r="Z94" s="1314">
        <f t="shared" si="22"/>
        <v>10</v>
      </c>
      <c r="AA94" s="1316">
        <f t="shared" si="23"/>
        <v>0</v>
      </c>
      <c r="AB94" s="1310"/>
      <c r="AC94" s="1315"/>
      <c r="AD94" s="1315"/>
      <c r="AE94" s="1312"/>
      <c r="AF94" s="1310"/>
      <c r="AG94" s="1315"/>
      <c r="AH94" s="1315"/>
      <c r="AI94" s="1312"/>
      <c r="AJ94" s="1314">
        <f t="shared" si="24"/>
        <v>0</v>
      </c>
      <c r="AK94" s="941"/>
      <c r="AL94" s="943"/>
      <c r="AM94" s="940"/>
      <c r="AN94" s="1316"/>
      <c r="AO94" s="1329"/>
      <c r="AP94" s="1330"/>
      <c r="AQ94" s="1330"/>
      <c r="AR94" s="967"/>
      <c r="AS94" s="1337"/>
      <c r="AT94" s="940"/>
      <c r="AU94" s="1265"/>
      <c r="AV94" s="1265"/>
      <c r="AW94" s="1265"/>
      <c r="AX94" s="1265"/>
      <c r="AY94" s="1265"/>
      <c r="AZ94" s="1265"/>
      <c r="BA94" s="1265"/>
      <c r="BB94" s="1265"/>
      <c r="BC94" s="1265"/>
      <c r="BD94" s="1265"/>
      <c r="BE94" s="1265"/>
    </row>
    <row r="95" spans="1:57" ht="13.5" hidden="1" customHeight="1">
      <c r="A95" s="1318" t="s">
        <v>1431</v>
      </c>
      <c r="B95" s="1315"/>
      <c r="C95" s="1315"/>
      <c r="D95" s="1312">
        <v>0</v>
      </c>
      <c r="E95" s="1312"/>
      <c r="F95" s="1310"/>
      <c r="G95" s="1315"/>
      <c r="H95" s="1315"/>
      <c r="I95" s="1312">
        <v>0</v>
      </c>
      <c r="J95" s="1312"/>
      <c r="K95" s="1310"/>
      <c r="L95" s="1315"/>
      <c r="M95" s="1315"/>
      <c r="N95" s="1312">
        <v>0</v>
      </c>
      <c r="O95" s="1312"/>
      <c r="P95" s="1310"/>
      <c r="Q95" s="1315"/>
      <c r="R95" s="1315"/>
      <c r="S95" s="1312">
        <v>0</v>
      </c>
      <c r="T95" s="1312"/>
      <c r="U95" s="1310"/>
      <c r="V95" s="1315"/>
      <c r="W95" s="1315"/>
      <c r="X95" s="1312">
        <v>0</v>
      </c>
      <c r="Y95" s="1312"/>
      <c r="Z95" s="1314">
        <f>D95+I95+N95+S95+X95</f>
        <v>0</v>
      </c>
      <c r="AA95" s="1316">
        <f t="shared" si="23"/>
        <v>0</v>
      </c>
      <c r="AB95" s="1310"/>
      <c r="AC95" s="1315"/>
      <c r="AD95" s="1315"/>
      <c r="AE95" s="1312"/>
      <c r="AF95" s="1310"/>
      <c r="AG95" s="1315"/>
      <c r="AH95" s="1315"/>
      <c r="AI95" s="1312"/>
      <c r="AJ95" s="1314">
        <f t="shared" si="24"/>
        <v>0</v>
      </c>
      <c r="AK95" s="941"/>
      <c r="AL95" s="943"/>
      <c r="AM95" s="940"/>
      <c r="AN95" s="967"/>
      <c r="AO95" s="967"/>
      <c r="AP95" s="967"/>
      <c r="AQ95" s="967"/>
      <c r="AR95" s="967"/>
      <c r="AS95" s="1337"/>
      <c r="AT95" s="940"/>
      <c r="AU95" s="1265"/>
      <c r="AV95" s="1265"/>
      <c r="AW95" s="1265"/>
      <c r="AX95" s="1265"/>
      <c r="AY95" s="1265"/>
      <c r="AZ95" s="1265"/>
      <c r="BA95" s="1265"/>
      <c r="BB95" s="1265"/>
      <c r="BC95" s="1265"/>
      <c r="BD95" s="1265"/>
      <c r="BE95" s="1265"/>
    </row>
    <row r="96" spans="1:57" ht="13.5" hidden="1" customHeight="1">
      <c r="A96" s="1318" t="s">
        <v>1439</v>
      </c>
      <c r="B96" s="1315"/>
      <c r="C96" s="1319"/>
      <c r="D96" s="1312">
        <v>8</v>
      </c>
      <c r="E96" s="1312"/>
      <c r="F96" s="1312"/>
      <c r="G96" s="1332" t="s">
        <v>29</v>
      </c>
      <c r="H96" s="1332" t="s">
        <v>29</v>
      </c>
      <c r="I96" s="1312">
        <v>0</v>
      </c>
      <c r="J96" s="1312"/>
      <c r="K96" s="1312"/>
      <c r="L96" s="1315">
        <v>0.46875</v>
      </c>
      <c r="M96" s="1319">
        <v>0.125</v>
      </c>
      <c r="N96" s="1312">
        <v>7.75</v>
      </c>
      <c r="O96" s="1312"/>
      <c r="P96" s="1312"/>
      <c r="Q96" s="1315">
        <v>0.45833333333333331</v>
      </c>
      <c r="R96" s="1319">
        <v>0.125</v>
      </c>
      <c r="S96" s="1312">
        <v>8</v>
      </c>
      <c r="T96" s="1312"/>
      <c r="U96" s="1312"/>
      <c r="V96" s="1332" t="s">
        <v>29</v>
      </c>
      <c r="W96" s="1332" t="s">
        <v>29</v>
      </c>
      <c r="X96" s="1312">
        <v>8</v>
      </c>
      <c r="Y96" s="1312"/>
      <c r="Z96" s="1314">
        <f t="shared" ref="Z96:Z98" si="28">D96+I96+N96+S96+X96</f>
        <v>31.75</v>
      </c>
      <c r="AA96" s="1316">
        <f t="shared" si="23"/>
        <v>0</v>
      </c>
      <c r="AB96" s="1310"/>
      <c r="AC96" s="1315"/>
      <c r="AD96" s="1319"/>
      <c r="AE96" s="1312"/>
      <c r="AF96" s="1315"/>
      <c r="AG96" s="1319"/>
      <c r="AH96" s="1312"/>
      <c r="AI96" s="1315"/>
      <c r="AJ96" s="1314">
        <f t="shared" si="24"/>
        <v>0</v>
      </c>
      <c r="AK96" s="941"/>
      <c r="AL96" s="943"/>
      <c r="AM96" s="940"/>
      <c r="AN96" s="967"/>
      <c r="AO96" s="967"/>
      <c r="AP96" s="967"/>
      <c r="AQ96" s="967"/>
      <c r="AR96" s="967"/>
      <c r="AS96" s="1337"/>
      <c r="AT96" s="940"/>
      <c r="AU96" s="1265"/>
      <c r="AV96" s="1265"/>
      <c r="AW96" s="1265"/>
      <c r="AX96" s="1265"/>
      <c r="AY96" s="1265"/>
      <c r="AZ96" s="1265"/>
      <c r="BA96" s="1265"/>
      <c r="BB96" s="1265"/>
      <c r="BC96" s="1265"/>
      <c r="BD96" s="1265"/>
      <c r="BE96" s="1265"/>
    </row>
    <row r="97" spans="1:57" ht="13.5" hidden="1" customHeight="1">
      <c r="A97" s="1318" t="s">
        <v>1427</v>
      </c>
      <c r="B97" s="1315"/>
      <c r="C97" s="1319"/>
      <c r="D97" s="1312">
        <v>8</v>
      </c>
      <c r="E97" s="1312"/>
      <c r="F97" s="1312"/>
      <c r="G97" s="1315">
        <v>0.45833333333333331</v>
      </c>
      <c r="H97" s="1319">
        <v>0.29166666666666669</v>
      </c>
      <c r="I97" s="1312">
        <v>8</v>
      </c>
      <c r="J97" s="1312"/>
      <c r="K97" s="1312"/>
      <c r="L97" s="1315">
        <v>0.45833333333333331</v>
      </c>
      <c r="M97" s="1319">
        <v>0.29166666666666669</v>
      </c>
      <c r="N97" s="1312">
        <v>8</v>
      </c>
      <c r="O97" s="1312"/>
      <c r="P97" s="1312"/>
      <c r="Q97" s="1315">
        <v>0.45833333333333331</v>
      </c>
      <c r="R97" s="1319">
        <v>0.29166666666666669</v>
      </c>
      <c r="S97" s="1312">
        <v>8</v>
      </c>
      <c r="T97" s="1312"/>
      <c r="U97" s="1312"/>
      <c r="V97" s="1315">
        <v>0.45833333333333331</v>
      </c>
      <c r="W97" s="1319">
        <v>0.29166666666666669</v>
      </c>
      <c r="X97" s="1312">
        <v>8</v>
      </c>
      <c r="Y97" s="1312"/>
      <c r="Z97" s="1314">
        <f t="shared" si="28"/>
        <v>40</v>
      </c>
      <c r="AA97" s="1316">
        <f t="shared" si="23"/>
        <v>0</v>
      </c>
      <c r="AB97" s="1310"/>
      <c r="AC97" s="1315"/>
      <c r="AD97" s="1319"/>
      <c r="AE97" s="1312"/>
      <c r="AF97" s="1315"/>
      <c r="AG97" s="1319"/>
      <c r="AH97" s="1312"/>
      <c r="AI97" s="1315"/>
      <c r="AJ97" s="1314">
        <f t="shared" si="24"/>
        <v>0</v>
      </c>
      <c r="AK97" s="941"/>
      <c r="AL97" s="943"/>
      <c r="AM97" s="940"/>
      <c r="AN97" s="967"/>
      <c r="AO97" s="967"/>
      <c r="AP97" s="967"/>
      <c r="AQ97" s="967"/>
      <c r="AR97" s="967"/>
      <c r="AS97" s="1337"/>
      <c r="AT97" s="940"/>
      <c r="AU97" s="1265"/>
      <c r="AV97" s="1265"/>
      <c r="AW97" s="1265"/>
      <c r="AX97" s="1265"/>
      <c r="AY97" s="1265"/>
      <c r="AZ97" s="1265"/>
      <c r="BA97" s="1265"/>
      <c r="BB97" s="1265"/>
      <c r="BC97" s="1265"/>
      <c r="BD97" s="1265"/>
      <c r="BE97" s="1265"/>
    </row>
    <row r="98" spans="1:57" ht="13.5" hidden="1" customHeight="1">
      <c r="A98" s="1318" t="s">
        <v>1064</v>
      </c>
      <c r="B98" s="1315"/>
      <c r="C98" s="1319"/>
      <c r="D98" s="1312">
        <v>8</v>
      </c>
      <c r="E98" s="1312"/>
      <c r="F98" s="1312"/>
      <c r="G98" s="1315">
        <v>0.45833333333333331</v>
      </c>
      <c r="H98" s="1319">
        <v>0.29166666666666669</v>
      </c>
      <c r="I98" s="1312">
        <v>8</v>
      </c>
      <c r="J98" s="1312"/>
      <c r="K98" s="1312"/>
      <c r="L98" s="1315">
        <v>0.45833333333333331</v>
      </c>
      <c r="M98" s="1319">
        <v>0.29166666666666669</v>
      </c>
      <c r="N98" s="1312">
        <v>8</v>
      </c>
      <c r="O98" s="1312"/>
      <c r="P98" s="1312"/>
      <c r="Q98" s="1332" t="s">
        <v>29</v>
      </c>
      <c r="R98" s="1332" t="s">
        <v>29</v>
      </c>
      <c r="S98" s="1312">
        <v>8</v>
      </c>
      <c r="T98" s="1312"/>
      <c r="U98" s="1312"/>
      <c r="V98" s="1315">
        <v>0.45833333333333331</v>
      </c>
      <c r="W98" s="1319">
        <v>0.29166666666666669</v>
      </c>
      <c r="X98" s="1312">
        <v>8</v>
      </c>
      <c r="Y98" s="1312"/>
      <c r="Z98" s="1314">
        <f t="shared" si="28"/>
        <v>40</v>
      </c>
      <c r="AA98" s="1316">
        <f t="shared" si="23"/>
        <v>0</v>
      </c>
      <c r="AB98" s="1310"/>
      <c r="AC98" s="1315">
        <v>0.3125</v>
      </c>
      <c r="AD98" s="1319">
        <v>0.22916666666666666</v>
      </c>
      <c r="AE98" s="1312">
        <v>9.5</v>
      </c>
      <c r="AF98" s="1315"/>
      <c r="AG98" s="1319"/>
      <c r="AH98" s="1312"/>
      <c r="AI98" s="1315"/>
      <c r="AJ98" s="1314">
        <f t="shared" si="24"/>
        <v>9.5</v>
      </c>
      <c r="AK98" s="941"/>
      <c r="AL98" s="943"/>
      <c r="AM98" s="940"/>
      <c r="AN98" s="967"/>
      <c r="AO98" s="967"/>
      <c r="AP98" s="967"/>
      <c r="AQ98" s="967"/>
      <c r="AR98" s="967"/>
      <c r="AS98" s="1337"/>
      <c r="AT98" s="940"/>
      <c r="AU98" s="1265"/>
      <c r="AV98" s="1265"/>
      <c r="AW98" s="1265"/>
      <c r="AX98" s="1265"/>
      <c r="AY98" s="1265"/>
      <c r="AZ98" s="1265"/>
      <c r="BA98" s="1265"/>
      <c r="BB98" s="1265"/>
      <c r="BC98" s="1265"/>
      <c r="BD98" s="1265"/>
      <c r="BE98" s="1265"/>
    </row>
    <row r="99" spans="1:57" ht="13.5" hidden="1" customHeight="1">
      <c r="A99" s="1318" t="s">
        <v>1144</v>
      </c>
      <c r="B99" s="1315"/>
      <c r="C99" s="1319"/>
      <c r="D99" s="1312">
        <v>8</v>
      </c>
      <c r="E99" s="1312"/>
      <c r="F99" s="1312"/>
      <c r="G99" s="1315">
        <v>0.45833333333333331</v>
      </c>
      <c r="H99" s="1319">
        <v>0.29166666666666669</v>
      </c>
      <c r="I99" s="1312">
        <v>8</v>
      </c>
      <c r="J99" s="1312"/>
      <c r="K99" s="1312"/>
      <c r="L99" s="1315">
        <v>0.45833333333333331</v>
      </c>
      <c r="M99" s="1319">
        <v>0.29166666666666669</v>
      </c>
      <c r="N99" s="1312">
        <v>8</v>
      </c>
      <c r="O99" s="1312"/>
      <c r="P99" s="1312"/>
      <c r="Q99" s="1315">
        <v>0.45833333333333331</v>
      </c>
      <c r="R99" s="1319">
        <v>0.29166666666666669</v>
      </c>
      <c r="S99" s="1312">
        <v>8</v>
      </c>
      <c r="T99" s="1312"/>
      <c r="U99" s="1312"/>
      <c r="V99" s="1315">
        <v>0.45833333333333331</v>
      </c>
      <c r="W99" s="1319">
        <v>0.29166666666666669</v>
      </c>
      <c r="X99" s="1312">
        <v>8</v>
      </c>
      <c r="Y99" s="1312"/>
      <c r="Z99" s="1314">
        <f>D99+I100+N99+S99+X99</f>
        <v>40</v>
      </c>
      <c r="AA99" s="1316">
        <f t="shared" si="23"/>
        <v>0</v>
      </c>
      <c r="AB99" s="1310"/>
      <c r="AC99" s="1315"/>
      <c r="AD99" s="1319"/>
      <c r="AE99" s="1312"/>
      <c r="AF99" s="1315"/>
      <c r="AG99" s="1319"/>
      <c r="AH99" s="1312"/>
      <c r="AI99" s="1315"/>
      <c r="AJ99" s="1314">
        <f t="shared" si="24"/>
        <v>0</v>
      </c>
      <c r="AK99" s="941"/>
      <c r="AL99" s="943"/>
      <c r="AM99" s="940"/>
      <c r="AN99" s="967"/>
      <c r="AO99" s="967"/>
      <c r="AP99" s="967"/>
      <c r="AQ99" s="967"/>
      <c r="AR99" s="967"/>
      <c r="AS99" s="1337"/>
      <c r="AT99" s="940"/>
      <c r="AU99" s="1265"/>
      <c r="AV99" s="1265"/>
      <c r="AW99" s="1265"/>
      <c r="AX99" s="1265"/>
      <c r="AY99" s="1265"/>
      <c r="AZ99" s="1265"/>
      <c r="BA99" s="1265"/>
      <c r="BB99" s="1265"/>
      <c r="BC99" s="1265"/>
      <c r="BD99" s="1265"/>
      <c r="BE99" s="1265"/>
    </row>
    <row r="100" spans="1:57" ht="13.5" hidden="1" customHeight="1" thickBot="1">
      <c r="A100" s="1320" t="s">
        <v>1433</v>
      </c>
      <c r="B100" s="1321"/>
      <c r="C100" s="1322"/>
      <c r="D100" s="1323">
        <v>8</v>
      </c>
      <c r="E100" s="1323"/>
      <c r="F100" s="1323"/>
      <c r="G100" s="1321">
        <v>0.45833333333333331</v>
      </c>
      <c r="H100" s="1322">
        <v>0.29166666666666669</v>
      </c>
      <c r="I100" s="1323">
        <v>8</v>
      </c>
      <c r="J100" s="1323"/>
      <c r="K100" s="1323"/>
      <c r="L100" s="1321">
        <v>0.45833333333333331</v>
      </c>
      <c r="M100" s="1322">
        <v>0.29166666666666669</v>
      </c>
      <c r="N100" s="1323">
        <v>8</v>
      </c>
      <c r="O100" s="1323"/>
      <c r="P100" s="1323"/>
      <c r="Q100" s="1321">
        <v>0.45833333333333331</v>
      </c>
      <c r="R100" s="1322">
        <v>0.29166666666666669</v>
      </c>
      <c r="S100" s="1323">
        <v>8</v>
      </c>
      <c r="T100" s="1323"/>
      <c r="U100" s="1323"/>
      <c r="V100" s="1321">
        <v>0.45833333333333331</v>
      </c>
      <c r="W100" s="1333" t="s">
        <v>29</v>
      </c>
      <c r="X100" s="1323">
        <v>8</v>
      </c>
      <c r="Y100" s="1323"/>
      <c r="Z100" s="1324">
        <f>D100+I100+N100+S100+X100</f>
        <v>40</v>
      </c>
      <c r="AA100" s="1325">
        <f t="shared" si="23"/>
        <v>0</v>
      </c>
      <c r="AB100" s="1326"/>
      <c r="AC100" s="1321"/>
      <c r="AD100" s="1321"/>
      <c r="AE100" s="1323"/>
      <c r="AF100" s="1321"/>
      <c r="AG100" s="1322"/>
      <c r="AH100" s="1323"/>
      <c r="AI100" s="1321"/>
      <c r="AJ100" s="1324">
        <f t="shared" si="24"/>
        <v>0</v>
      </c>
      <c r="AK100" s="941"/>
      <c r="AL100" s="943"/>
      <c r="AM100" s="940"/>
      <c r="AN100" s="967"/>
      <c r="AO100" s="967"/>
      <c r="AP100" s="967"/>
      <c r="AQ100" s="967"/>
      <c r="AR100" s="967"/>
      <c r="AS100" s="1337"/>
      <c r="AT100" s="940"/>
      <c r="AU100" s="1265"/>
      <c r="AV100" s="1265"/>
      <c r="AW100" s="1265"/>
      <c r="AX100" s="1265"/>
      <c r="AY100" s="1265"/>
      <c r="AZ100" s="1265"/>
      <c r="BA100" s="1265"/>
      <c r="BB100" s="1265"/>
      <c r="BC100" s="1265"/>
      <c r="BD100" s="1265"/>
      <c r="BE100" s="1265"/>
    </row>
    <row r="101" spans="1:57" ht="13.5" hidden="1" customHeight="1" thickTop="1">
      <c r="A101" s="1327" t="s">
        <v>61</v>
      </c>
      <c r="B101" s="1327"/>
      <c r="C101" s="1327"/>
      <c r="D101" s="1328">
        <f>SUM(D77:D95)</f>
        <v>89</v>
      </c>
      <c r="E101" s="1312">
        <f>SUM(E78:E95)</f>
        <v>4</v>
      </c>
      <c r="F101" s="1327"/>
      <c r="G101" s="1327"/>
      <c r="H101" s="1327"/>
      <c r="I101" s="1328">
        <f>SUM(I77:I95)</f>
        <v>110.5</v>
      </c>
      <c r="J101" s="1312">
        <f>SUM(J78:J95)</f>
        <v>7</v>
      </c>
      <c r="K101" s="1327"/>
      <c r="L101" s="1327"/>
      <c r="M101" s="1327"/>
      <c r="N101" s="1328">
        <f>SUM(N77:N95)</f>
        <v>111.5</v>
      </c>
      <c r="O101" s="1312">
        <f>SUM(O78:O95)</f>
        <v>0.5</v>
      </c>
      <c r="P101" s="1327"/>
      <c r="Q101" s="1327"/>
      <c r="R101" s="1327"/>
      <c r="S101" s="1328">
        <f>SUM(S77:S95)</f>
        <v>105</v>
      </c>
      <c r="T101" s="1312">
        <f>SUM(T78:T95)</f>
        <v>0.5</v>
      </c>
      <c r="U101" s="1327"/>
      <c r="V101" s="1327"/>
      <c r="W101" s="1327"/>
      <c r="X101" s="1328">
        <f>SUM(X77:X95)</f>
        <v>111</v>
      </c>
      <c r="Y101" s="1312">
        <f>SUM(Y78:Y95)</f>
        <v>1.5</v>
      </c>
      <c r="Z101" s="1314">
        <f>SUM(Z77:Z95)</f>
        <v>527</v>
      </c>
      <c r="AA101" s="1314">
        <f>SUM(AA77:AA94)</f>
        <v>13.5</v>
      </c>
      <c r="AB101" s="1310"/>
      <c r="AC101" s="1327"/>
      <c r="AD101" s="1327"/>
      <c r="AE101" s="1314">
        <f>SUM(AE77:AE99)</f>
        <v>49.5</v>
      </c>
      <c r="AF101" s="1310"/>
      <c r="AG101" s="1327"/>
      <c r="AH101" s="1327"/>
      <c r="AI101" s="1314">
        <f>SUM(AI77:AI99)</f>
        <v>9.5</v>
      </c>
      <c r="AJ101" s="1314">
        <f>SUM(AJ77:AJ99)</f>
        <v>59</v>
      </c>
      <c r="AK101" s="941"/>
      <c r="AL101" s="943"/>
      <c r="AM101" s="940"/>
      <c r="AN101" s="967"/>
      <c r="AO101" s="967"/>
      <c r="AP101" s="967"/>
      <c r="AQ101" s="967"/>
      <c r="AR101" s="967"/>
      <c r="AS101" s="1337"/>
      <c r="AT101" s="940"/>
      <c r="AU101" s="1265"/>
      <c r="AV101" s="1265"/>
      <c r="AW101" s="1265"/>
      <c r="AX101" s="1265"/>
      <c r="AY101" s="1265"/>
      <c r="AZ101" s="1265"/>
      <c r="BA101" s="1265"/>
      <c r="BB101" s="1265"/>
      <c r="BC101" s="1265"/>
      <c r="BD101" s="1265"/>
      <c r="BE101" s="1265"/>
    </row>
    <row r="102" spans="1:57" ht="13.5" hidden="1" customHeight="1">
      <c r="A102" s="1327" t="s">
        <v>1434</v>
      </c>
      <c r="B102" s="1327"/>
      <c r="C102" s="1327"/>
      <c r="D102" s="1328">
        <f>SUM(D96:D100)</f>
        <v>40</v>
      </c>
      <c r="E102" s="1312"/>
      <c r="F102" s="1327"/>
      <c r="G102" s="1327"/>
      <c r="H102" s="1327"/>
      <c r="I102" s="1328">
        <f>SUM(I96:I100)</f>
        <v>32</v>
      </c>
      <c r="J102" s="1312"/>
      <c r="K102" s="1327"/>
      <c r="L102" s="1327"/>
      <c r="M102" s="1327"/>
      <c r="N102" s="1328">
        <f>SUM(N96:N100)</f>
        <v>39.75</v>
      </c>
      <c r="O102" s="1312"/>
      <c r="P102" s="1327"/>
      <c r="Q102" s="1327"/>
      <c r="R102" s="1327"/>
      <c r="S102" s="1328">
        <f>SUM(S96:S100)</f>
        <v>40</v>
      </c>
      <c r="T102" s="1312"/>
      <c r="U102" s="1327"/>
      <c r="V102" s="1327"/>
      <c r="W102" s="1327"/>
      <c r="X102" s="1328">
        <f>SUM(X96:X100)</f>
        <v>40</v>
      </c>
      <c r="Y102" s="1312"/>
      <c r="Z102" s="1314">
        <f>SUM(Z96:Z100)</f>
        <v>191.75</v>
      </c>
      <c r="AA102" s="1314">
        <f>SUM(AA95:AA99)</f>
        <v>0</v>
      </c>
      <c r="AB102" s="1310"/>
      <c r="AC102" s="1327"/>
      <c r="AD102" s="1327"/>
      <c r="AE102" s="1314">
        <f>SUM(0)</f>
        <v>0</v>
      </c>
      <c r="AF102" s="1310"/>
      <c r="AG102" s="1327"/>
      <c r="AH102" s="1327"/>
      <c r="AI102" s="1314">
        <f>SUM(0)</f>
        <v>0</v>
      </c>
      <c r="AJ102" s="1314">
        <f>SUM(AE102+AI102)</f>
        <v>0</v>
      </c>
      <c r="AK102" s="941"/>
      <c r="AL102" s="943"/>
      <c r="AM102" s="940"/>
      <c r="AN102" s="967"/>
      <c r="AO102" s="967"/>
      <c r="AP102" s="967"/>
      <c r="AQ102" s="967"/>
      <c r="AR102" s="967"/>
      <c r="AS102" s="1337"/>
      <c r="AT102" s="940"/>
      <c r="AU102" s="1265"/>
      <c r="AV102" s="1265"/>
      <c r="AW102" s="1265"/>
      <c r="AX102" s="1265"/>
      <c r="AY102" s="1265"/>
      <c r="AZ102" s="1265"/>
      <c r="BA102" s="1265"/>
      <c r="BB102" s="1265"/>
      <c r="BC102" s="1265"/>
      <c r="BD102" s="1265"/>
      <c r="BE102" s="1265"/>
    </row>
    <row r="103" spans="1:57" ht="13.5" hidden="1" customHeight="1">
      <c r="A103" s="1327" t="s">
        <v>64</v>
      </c>
      <c r="B103" s="1315"/>
      <c r="C103" s="1315"/>
      <c r="D103" s="1312">
        <v>8</v>
      </c>
      <c r="E103" s="1312"/>
      <c r="F103" s="1312"/>
      <c r="G103" s="1315"/>
      <c r="H103" s="1315"/>
      <c r="I103" s="1312">
        <v>8</v>
      </c>
      <c r="J103" s="1312">
        <v>1</v>
      </c>
      <c r="K103" s="1312"/>
      <c r="L103" s="1315"/>
      <c r="M103" s="1315"/>
      <c r="N103" s="1312">
        <v>8</v>
      </c>
      <c r="O103" s="1312">
        <v>0.5</v>
      </c>
      <c r="P103" s="1312"/>
      <c r="Q103" s="1315"/>
      <c r="R103" s="1315"/>
      <c r="S103" s="1312">
        <v>8</v>
      </c>
      <c r="T103" s="1312"/>
      <c r="U103" s="1312"/>
      <c r="V103" s="1315"/>
      <c r="W103" s="1315"/>
      <c r="X103" s="1312">
        <v>8</v>
      </c>
      <c r="Y103" s="1312"/>
      <c r="Z103" s="1314">
        <f>D103+I103+N103+S103+X103</f>
        <v>40</v>
      </c>
      <c r="AA103" s="1312">
        <f>E103+J103+O103+T103+Y103</f>
        <v>1.5</v>
      </c>
      <c r="AB103" s="1310"/>
      <c r="AC103" s="1315"/>
      <c r="AD103" s="1315"/>
      <c r="AE103" s="1312">
        <f>1+1+1+1</f>
        <v>4</v>
      </c>
      <c r="AF103" s="1310"/>
      <c r="AG103" s="1315"/>
      <c r="AH103" s="1315"/>
      <c r="AI103" s="1312"/>
      <c r="AJ103" s="1314">
        <f>AE103+AI103</f>
        <v>4</v>
      </c>
      <c r="AK103" s="941"/>
      <c r="AL103" s="943"/>
      <c r="AM103" s="940"/>
      <c r="AN103" s="967"/>
      <c r="AO103" s="967"/>
      <c r="AP103" s="967"/>
      <c r="AQ103" s="967"/>
      <c r="AR103" s="967"/>
      <c r="AS103" s="1337"/>
      <c r="AT103" s="940"/>
      <c r="AU103" s="1265"/>
      <c r="AV103" s="1265"/>
      <c r="AW103" s="1265"/>
      <c r="AX103" s="1265"/>
      <c r="AY103" s="1265"/>
      <c r="AZ103" s="1265"/>
      <c r="BA103" s="1265"/>
      <c r="BB103" s="1265"/>
      <c r="BC103" s="1265"/>
      <c r="BD103" s="1265"/>
      <c r="BE103" s="1265"/>
    </row>
    <row r="104" spans="1:57" ht="13.5" hidden="1" customHeight="1">
      <c r="A104" s="940"/>
      <c r="B104" s="940"/>
      <c r="C104" s="940"/>
      <c r="D104" s="941"/>
      <c r="E104" s="942"/>
      <c r="F104" s="941"/>
      <c r="G104" s="940"/>
      <c r="H104" s="940"/>
      <c r="I104" s="941"/>
      <c r="J104" s="942"/>
      <c r="K104" s="941"/>
      <c r="L104" s="940"/>
      <c r="M104" s="940"/>
      <c r="N104" s="941"/>
      <c r="O104" s="942"/>
      <c r="P104" s="941"/>
      <c r="Q104" s="940"/>
      <c r="R104" s="940"/>
      <c r="S104" s="941"/>
      <c r="T104" s="942"/>
      <c r="U104" s="941"/>
      <c r="V104" s="940"/>
      <c r="W104" s="940"/>
      <c r="X104" s="941"/>
      <c r="Y104" s="942"/>
      <c r="Z104" s="941"/>
      <c r="AA104" s="941"/>
      <c r="AB104" s="941"/>
      <c r="AC104" s="940"/>
      <c r="AD104" s="940"/>
      <c r="AE104" s="940"/>
      <c r="AF104" s="941"/>
      <c r="AG104" s="940"/>
      <c r="AH104" s="940"/>
      <c r="AI104" s="940"/>
      <c r="AJ104" s="940"/>
      <c r="AK104" s="941"/>
      <c r="AL104" s="943"/>
      <c r="AM104" s="940"/>
      <c r="AN104" s="940"/>
      <c r="AO104" s="940"/>
      <c r="AP104" s="940"/>
      <c r="AQ104" s="940"/>
      <c r="AR104" s="940"/>
      <c r="AS104" s="940"/>
      <c r="AT104" s="940"/>
      <c r="AU104" s="1265"/>
      <c r="AV104" s="1265"/>
      <c r="AW104" s="1265"/>
      <c r="AX104" s="1265"/>
      <c r="AY104" s="1265"/>
      <c r="AZ104" s="1265"/>
      <c r="BA104" s="1265"/>
      <c r="BB104" s="1265"/>
      <c r="BC104" s="1265"/>
      <c r="BD104" s="1265"/>
      <c r="BE104" s="1265"/>
    </row>
    <row r="105" spans="1:57" ht="13.5" hidden="1" customHeight="1">
      <c r="A105" s="974"/>
      <c r="B105" s="975"/>
      <c r="C105" s="975"/>
      <c r="D105" s="976"/>
      <c r="E105" s="976"/>
      <c r="F105" s="975"/>
      <c r="G105" s="976"/>
      <c r="H105" s="976"/>
      <c r="I105" s="976"/>
      <c r="J105" s="976"/>
      <c r="K105" s="975"/>
      <c r="L105" s="975"/>
      <c r="M105" s="975"/>
      <c r="N105" s="975"/>
      <c r="O105" s="976"/>
      <c r="P105" s="975"/>
      <c r="Q105" s="975"/>
      <c r="R105" s="975"/>
      <c r="S105" s="975"/>
      <c r="T105" s="976"/>
      <c r="U105" s="975"/>
      <c r="V105" s="975"/>
      <c r="W105" s="975"/>
      <c r="X105" s="977"/>
      <c r="Y105" s="976"/>
      <c r="Z105" s="978"/>
      <c r="AA105" s="976"/>
      <c r="AB105" s="979"/>
      <c r="AC105" s="980"/>
      <c r="AD105" s="943"/>
      <c r="AE105" s="943"/>
      <c r="AF105" s="979"/>
      <c r="AG105" s="980"/>
      <c r="AH105" s="943"/>
      <c r="AI105" s="943"/>
      <c r="AJ105" s="943"/>
      <c r="AK105" s="941"/>
      <c r="AL105" s="943"/>
      <c r="AM105" s="940"/>
      <c r="AN105" s="943"/>
      <c r="AO105" s="943"/>
      <c r="AP105" s="943"/>
      <c r="AQ105" s="943"/>
      <c r="AR105" s="943"/>
      <c r="AS105" s="943"/>
      <c r="AT105" s="940"/>
      <c r="AU105" s="1265"/>
      <c r="AV105" s="1265"/>
      <c r="AW105" s="1265"/>
      <c r="AX105" s="1265"/>
      <c r="AY105" s="1265"/>
      <c r="AZ105" s="1265"/>
      <c r="BA105" s="1265"/>
      <c r="BB105" s="1265"/>
      <c r="BC105" s="1265"/>
      <c r="BD105" s="1265"/>
      <c r="BE105" s="1265"/>
    </row>
    <row r="106" spans="1:57" ht="13.5" hidden="1" customHeight="1">
      <c r="A106" s="940"/>
      <c r="B106" s="940"/>
      <c r="C106" s="940"/>
      <c r="D106" s="941"/>
      <c r="E106" s="942"/>
      <c r="F106" s="941"/>
      <c r="G106" s="940"/>
      <c r="H106" s="940"/>
      <c r="I106" s="941"/>
      <c r="J106" s="942"/>
      <c r="K106" s="941"/>
      <c r="L106" s="940"/>
      <c r="M106" s="940"/>
      <c r="N106" s="941"/>
      <c r="O106" s="942"/>
      <c r="P106" s="941"/>
      <c r="Q106" s="940"/>
      <c r="R106" s="940"/>
      <c r="S106" s="941"/>
      <c r="T106" s="942"/>
      <c r="U106" s="941"/>
      <c r="V106" s="940"/>
      <c r="W106" s="940"/>
      <c r="X106" s="941"/>
      <c r="Y106" s="942"/>
      <c r="Z106" s="941"/>
      <c r="AA106" s="941"/>
      <c r="AB106" s="941"/>
      <c r="AC106" s="940"/>
      <c r="AD106" s="940"/>
      <c r="AE106" s="940"/>
      <c r="AF106" s="941"/>
      <c r="AG106" s="940"/>
      <c r="AH106" s="940"/>
      <c r="AI106" s="940"/>
      <c r="AJ106" s="940"/>
      <c r="AK106" s="941"/>
      <c r="AL106" s="943"/>
      <c r="AM106" s="940"/>
      <c r="AN106" s="954"/>
      <c r="AO106" s="954"/>
      <c r="AP106" s="954"/>
      <c r="AQ106" s="954"/>
      <c r="AR106" s="954"/>
      <c r="AS106" s="954"/>
      <c r="AT106" s="940"/>
      <c r="AU106" s="1265"/>
      <c r="AV106" s="1265"/>
      <c r="AW106" s="1265"/>
      <c r="AX106" s="1265"/>
      <c r="AY106" s="1265"/>
      <c r="AZ106" s="1265"/>
      <c r="BA106" s="1265"/>
      <c r="BB106" s="1265"/>
      <c r="BC106" s="1265"/>
      <c r="BD106" s="1265"/>
      <c r="BE106" s="1265"/>
    </row>
    <row r="107" spans="1:57" ht="13.5" hidden="1" customHeight="1">
      <c r="A107" s="1615" t="s">
        <v>18</v>
      </c>
      <c r="B107" s="1616">
        <v>46055</v>
      </c>
      <c r="C107" s="1616"/>
      <c r="D107" s="1616" t="s">
        <v>564</v>
      </c>
      <c r="E107" s="1616"/>
      <c r="F107" s="1308"/>
      <c r="G107" s="1616">
        <v>46056</v>
      </c>
      <c r="H107" s="1616"/>
      <c r="I107" s="1616" t="s">
        <v>565</v>
      </c>
      <c r="J107" s="1616"/>
      <c r="K107" s="1308"/>
      <c r="L107" s="1616">
        <v>46057</v>
      </c>
      <c r="M107" s="1616"/>
      <c r="N107" s="1616" t="s">
        <v>566</v>
      </c>
      <c r="O107" s="1616"/>
      <c r="P107" s="1308"/>
      <c r="Q107" s="1616">
        <v>46058</v>
      </c>
      <c r="R107" s="1616"/>
      <c r="S107" s="1616" t="s">
        <v>567</v>
      </c>
      <c r="T107" s="1616"/>
      <c r="U107" s="1308"/>
      <c r="V107" s="1616">
        <v>46059</v>
      </c>
      <c r="W107" s="1616"/>
      <c r="X107" s="1616" t="s">
        <v>568</v>
      </c>
      <c r="Y107" s="1616"/>
      <c r="Z107" s="1617" t="s">
        <v>19</v>
      </c>
      <c r="AA107" s="1617" t="s">
        <v>20</v>
      </c>
      <c r="AB107" s="1310"/>
      <c r="AC107" s="1616">
        <v>46060</v>
      </c>
      <c r="AD107" s="1616"/>
      <c r="AE107" s="1311" t="s">
        <v>569</v>
      </c>
      <c r="AF107" s="1310"/>
      <c r="AG107" s="1616">
        <v>46061</v>
      </c>
      <c r="AH107" s="1616"/>
      <c r="AI107" s="1311" t="s">
        <v>570</v>
      </c>
      <c r="AJ107" s="1617" t="s">
        <v>1420</v>
      </c>
      <c r="AK107" s="941"/>
      <c r="AL107" s="943"/>
      <c r="AM107" s="940"/>
      <c r="AN107" s="1316" t="s">
        <v>84</v>
      </c>
      <c r="AO107" s="967"/>
      <c r="AP107" s="967"/>
      <c r="AQ107" s="967"/>
      <c r="AR107" s="967"/>
      <c r="AS107" s="967"/>
      <c r="AT107" s="1350"/>
      <c r="AU107" s="1265"/>
      <c r="AV107" s="1265"/>
      <c r="AW107" s="1265"/>
      <c r="AX107" s="1265"/>
      <c r="AY107" s="1265"/>
      <c r="AZ107" s="1265"/>
      <c r="BA107" s="1265"/>
      <c r="BB107" s="1265"/>
      <c r="BC107" s="1265"/>
      <c r="BD107" s="1265"/>
      <c r="BE107" s="1265"/>
    </row>
    <row r="108" spans="1:57" ht="13.5" hidden="1" customHeight="1">
      <c r="A108" s="1615"/>
      <c r="B108" s="1309" t="s">
        <v>23</v>
      </c>
      <c r="C108" s="1309" t="s">
        <v>24</v>
      </c>
      <c r="D108" s="1312" t="s">
        <v>25</v>
      </c>
      <c r="E108" s="1313" t="s">
        <v>14</v>
      </c>
      <c r="F108" s="1310"/>
      <c r="G108" s="1309" t="s">
        <v>23</v>
      </c>
      <c r="H108" s="1309" t="s">
        <v>24</v>
      </c>
      <c r="I108" s="1313" t="s">
        <v>25</v>
      </c>
      <c r="J108" s="1313" t="s">
        <v>14</v>
      </c>
      <c r="K108" s="1310"/>
      <c r="L108" s="1309" t="s">
        <v>23</v>
      </c>
      <c r="M108" s="1309" t="s">
        <v>24</v>
      </c>
      <c r="N108" s="1313" t="s">
        <v>25</v>
      </c>
      <c r="O108" s="1313" t="s">
        <v>14</v>
      </c>
      <c r="P108" s="1310"/>
      <c r="Q108" s="1309" t="s">
        <v>23</v>
      </c>
      <c r="R108" s="1309" t="s">
        <v>24</v>
      </c>
      <c r="S108" s="1313" t="s">
        <v>25</v>
      </c>
      <c r="T108" s="1313" t="s">
        <v>14</v>
      </c>
      <c r="U108" s="1310"/>
      <c r="V108" s="1309" t="s">
        <v>23</v>
      </c>
      <c r="W108" s="1309" t="s">
        <v>24</v>
      </c>
      <c r="X108" s="1313" t="s">
        <v>25</v>
      </c>
      <c r="Y108" s="1313" t="s">
        <v>14</v>
      </c>
      <c r="Z108" s="1617"/>
      <c r="AA108" s="1617"/>
      <c r="AB108" s="1310"/>
      <c r="AC108" s="1309" t="s">
        <v>23</v>
      </c>
      <c r="AD108" s="1309" t="s">
        <v>24</v>
      </c>
      <c r="AE108" s="1313" t="s">
        <v>25</v>
      </c>
      <c r="AF108" s="1310"/>
      <c r="AG108" s="1309" t="s">
        <v>23</v>
      </c>
      <c r="AH108" s="1309" t="s">
        <v>24</v>
      </c>
      <c r="AI108" s="1313" t="s">
        <v>25</v>
      </c>
      <c r="AJ108" s="1617"/>
      <c r="AK108" s="941"/>
      <c r="AL108" s="943"/>
      <c r="AM108" s="940"/>
      <c r="AN108" s="1316" t="s">
        <v>26</v>
      </c>
      <c r="AO108" s="1329">
        <f>Z133</f>
        <v>596.75</v>
      </c>
      <c r="AP108" s="1330">
        <v>40.31</v>
      </c>
      <c r="AQ108" s="1330">
        <f>AP108*AO108</f>
        <v>24054.9925</v>
      </c>
      <c r="AR108" s="967"/>
      <c r="AS108" s="967"/>
      <c r="AT108" s="1350"/>
      <c r="AU108" s="1265"/>
      <c r="AV108" s="1265"/>
      <c r="AW108" s="1265"/>
      <c r="AX108" s="1265"/>
      <c r="AY108" s="1265"/>
      <c r="AZ108" s="1265"/>
      <c r="BA108" s="1265"/>
      <c r="BB108" s="1265"/>
      <c r="BC108" s="1265"/>
      <c r="BD108" s="1265"/>
      <c r="BE108" s="1265"/>
    </row>
    <row r="109" spans="1:57" ht="13.5" hidden="1" customHeight="1">
      <c r="A109" s="1315" t="s">
        <v>72</v>
      </c>
      <c r="B109" s="1315">
        <v>0.29166666666666669</v>
      </c>
      <c r="C109" s="1332">
        <v>0.125</v>
      </c>
      <c r="D109" s="1312">
        <v>8</v>
      </c>
      <c r="E109" s="1312"/>
      <c r="F109" s="1310"/>
      <c r="G109" s="1315">
        <v>0.29166666666666669</v>
      </c>
      <c r="H109" s="1315">
        <v>0.125</v>
      </c>
      <c r="I109" s="1312">
        <v>8</v>
      </c>
      <c r="J109" s="1312"/>
      <c r="K109" s="1310"/>
      <c r="L109" s="1315">
        <v>0.29166666666666669</v>
      </c>
      <c r="M109" s="1315">
        <v>0.125</v>
      </c>
      <c r="N109" s="1312">
        <v>8</v>
      </c>
      <c r="O109" s="1312"/>
      <c r="P109" s="1310"/>
      <c r="Q109" s="1315">
        <v>0.29166666666666669</v>
      </c>
      <c r="R109" s="1315">
        <v>0.125</v>
      </c>
      <c r="S109" s="1312">
        <v>8</v>
      </c>
      <c r="T109" s="1312"/>
      <c r="U109" s="1310"/>
      <c r="V109" s="1315">
        <v>0.29166666666666669</v>
      </c>
      <c r="W109" s="1315">
        <v>0.125</v>
      </c>
      <c r="X109" s="1312">
        <v>8</v>
      </c>
      <c r="Y109" s="1312"/>
      <c r="Z109" s="1314">
        <f>D109+I109+N109+S109+X109</f>
        <v>40</v>
      </c>
      <c r="AA109" s="1316">
        <f>E109+J109+O109+T109+Y109</f>
        <v>0</v>
      </c>
      <c r="AB109" s="1310"/>
      <c r="AC109" s="1317"/>
      <c r="AD109" s="1317"/>
      <c r="AE109" s="1312"/>
      <c r="AF109" s="1310"/>
      <c r="AG109" s="1317"/>
      <c r="AH109" s="1317"/>
      <c r="AI109" s="1312"/>
      <c r="AJ109" s="1314">
        <f>SUM(AE109+AI109)</f>
        <v>0</v>
      </c>
      <c r="AK109" s="941"/>
      <c r="AL109" s="943"/>
      <c r="AM109" s="940"/>
      <c r="AN109" s="1316" t="s">
        <v>1421</v>
      </c>
      <c r="AO109" s="1329">
        <f>Z134</f>
        <v>199</v>
      </c>
      <c r="AP109" s="1330">
        <v>60.47</v>
      </c>
      <c r="AQ109" s="1330">
        <f>AP109*AO109</f>
        <v>12033.53</v>
      </c>
      <c r="AR109" s="967"/>
      <c r="AS109" s="967"/>
      <c r="AT109" s="1350"/>
      <c r="AU109" s="1265"/>
      <c r="AV109" s="1265"/>
      <c r="AW109" s="1265"/>
      <c r="AX109" s="1265"/>
      <c r="AY109" s="1265"/>
      <c r="AZ109" s="1265"/>
      <c r="BA109" s="1265"/>
      <c r="BB109" s="1265"/>
      <c r="BC109" s="1265"/>
      <c r="BD109" s="1265"/>
      <c r="BE109" s="1265"/>
    </row>
    <row r="110" spans="1:57" ht="13.5" hidden="1" customHeight="1">
      <c r="A110" s="1318" t="s">
        <v>1166</v>
      </c>
      <c r="B110" s="1315">
        <v>0.29166666666666669</v>
      </c>
      <c r="C110" s="1332">
        <v>0.125</v>
      </c>
      <c r="D110" s="1312">
        <v>8</v>
      </c>
      <c r="E110" s="1312"/>
      <c r="F110" s="1310"/>
      <c r="G110" s="1315">
        <v>0.29166666666666669</v>
      </c>
      <c r="H110" s="1315">
        <v>0.125</v>
      </c>
      <c r="I110" s="1312">
        <v>8</v>
      </c>
      <c r="J110" s="1312"/>
      <c r="K110" s="1310"/>
      <c r="L110" s="1315">
        <v>0.29166666666666669</v>
      </c>
      <c r="M110" s="1315">
        <v>0.125</v>
      </c>
      <c r="N110" s="1312">
        <v>8</v>
      </c>
      <c r="O110" s="1312"/>
      <c r="P110" s="1310"/>
      <c r="Q110" s="1315">
        <v>0.29166666666666669</v>
      </c>
      <c r="R110" s="1315">
        <v>0.125</v>
      </c>
      <c r="S110" s="1312">
        <v>8</v>
      </c>
      <c r="T110" s="1312"/>
      <c r="U110" s="1310"/>
      <c r="V110" s="1315">
        <v>0.29166666666666669</v>
      </c>
      <c r="W110" s="1315">
        <v>0.125</v>
      </c>
      <c r="X110" s="1312">
        <v>8</v>
      </c>
      <c r="Y110" s="1312"/>
      <c r="Z110" s="1314">
        <f t="shared" ref="Z110:Z118" si="29">D110+I110+N110+S110+X110</f>
        <v>40</v>
      </c>
      <c r="AA110" s="1316">
        <f t="shared" ref="AA110:AA122" si="30">E110+J110+O110+T110+Y110</f>
        <v>0</v>
      </c>
      <c r="AB110" s="1310"/>
      <c r="AC110" s="1315"/>
      <c r="AD110" s="1315"/>
      <c r="AE110" s="1312"/>
      <c r="AF110" s="1310"/>
      <c r="AG110" s="1315"/>
      <c r="AH110" s="1315"/>
      <c r="AI110" s="1312"/>
      <c r="AJ110" s="1314">
        <f t="shared" ref="AJ110:AJ125" si="31">SUM(AE110+AI110)</f>
        <v>0</v>
      </c>
      <c r="AK110" s="941"/>
      <c r="AL110" s="943"/>
      <c r="AM110" s="940"/>
      <c r="AN110" s="1316" t="s">
        <v>30</v>
      </c>
      <c r="AO110" s="1329">
        <f>AA133</f>
        <v>6.5</v>
      </c>
      <c r="AP110" s="1330">
        <v>60.465000000000003</v>
      </c>
      <c r="AQ110" s="1330">
        <f>AP110*AO110</f>
        <v>393.02250000000004</v>
      </c>
      <c r="AR110" s="967"/>
      <c r="AS110" s="967"/>
      <c r="AT110" s="1350"/>
      <c r="AU110" s="1265"/>
      <c r="AV110" s="1265"/>
      <c r="AW110" s="1265"/>
      <c r="AX110" s="1265"/>
      <c r="AY110" s="1265"/>
      <c r="AZ110" s="1265"/>
      <c r="BA110" s="1265"/>
      <c r="BB110" s="1265"/>
      <c r="BC110" s="1265"/>
      <c r="BD110" s="1265"/>
      <c r="BE110" s="1265"/>
    </row>
    <row r="111" spans="1:57" ht="13.5" hidden="1" customHeight="1">
      <c r="A111" s="1318" t="s">
        <v>1426</v>
      </c>
      <c r="B111" s="1315">
        <v>0.29166666666666669</v>
      </c>
      <c r="C111" s="1332">
        <v>0.125</v>
      </c>
      <c r="D111" s="1312">
        <v>8</v>
      </c>
      <c r="E111" s="1312"/>
      <c r="F111" s="1310"/>
      <c r="G111" s="1315">
        <v>0.29166666666666669</v>
      </c>
      <c r="H111" s="1315">
        <v>0.125</v>
      </c>
      <c r="I111" s="1312">
        <v>8</v>
      </c>
      <c r="J111" s="1312"/>
      <c r="K111" s="1310"/>
      <c r="L111" s="1315">
        <v>0.29166666666666669</v>
      </c>
      <c r="M111" s="1315">
        <v>0.125</v>
      </c>
      <c r="N111" s="1312">
        <v>8</v>
      </c>
      <c r="O111" s="1312"/>
      <c r="P111" s="1310"/>
      <c r="Q111" s="1315">
        <v>0.29166666666666669</v>
      </c>
      <c r="R111" s="1315">
        <v>0.125</v>
      </c>
      <c r="S111" s="1312">
        <v>8</v>
      </c>
      <c r="T111" s="1312"/>
      <c r="U111" s="1310"/>
      <c r="V111" s="1315">
        <v>0.29166666666666669</v>
      </c>
      <c r="W111" s="1315">
        <v>0.125</v>
      </c>
      <c r="X111" s="1312">
        <v>8</v>
      </c>
      <c r="Y111" s="1312"/>
      <c r="Z111" s="1314">
        <f t="shared" si="29"/>
        <v>40</v>
      </c>
      <c r="AA111" s="1316">
        <f t="shared" si="30"/>
        <v>0</v>
      </c>
      <c r="AB111" s="1310"/>
      <c r="AC111" s="1315"/>
      <c r="AD111" s="1315"/>
      <c r="AE111" s="1312"/>
      <c r="AF111" s="1310"/>
      <c r="AG111" s="1315"/>
      <c r="AH111" s="1315"/>
      <c r="AI111" s="1312"/>
      <c r="AJ111" s="1314">
        <f t="shared" si="31"/>
        <v>0</v>
      </c>
      <c r="AK111" s="941"/>
      <c r="AL111" s="943"/>
      <c r="AM111" s="940"/>
      <c r="AN111" s="1316" t="s">
        <v>32</v>
      </c>
      <c r="AO111" s="1329">
        <f>AJ133</f>
        <v>23.5</v>
      </c>
      <c r="AP111" s="1330">
        <v>60.465000000000003</v>
      </c>
      <c r="AQ111" s="1330">
        <f>AP111*AO111</f>
        <v>1420.9275</v>
      </c>
      <c r="AR111" s="967"/>
      <c r="AS111" s="967"/>
      <c r="AT111" s="1350"/>
      <c r="AU111" s="1265"/>
      <c r="AV111" s="1265"/>
      <c r="AW111" s="1265"/>
      <c r="AX111" s="1265"/>
      <c r="AY111" s="1265"/>
      <c r="AZ111" s="1265"/>
      <c r="BA111" s="1265"/>
      <c r="BB111" s="1265"/>
      <c r="BC111" s="1265"/>
      <c r="BD111" s="1265"/>
      <c r="BE111" s="1265"/>
    </row>
    <row r="112" spans="1:57" ht="13.5" hidden="1" customHeight="1">
      <c r="A112" s="1318" t="s">
        <v>1060</v>
      </c>
      <c r="B112" s="1315">
        <v>0.29166666666666669</v>
      </c>
      <c r="C112" s="1332">
        <v>0.125</v>
      </c>
      <c r="D112" s="1312">
        <v>8</v>
      </c>
      <c r="E112" s="1312"/>
      <c r="F112" s="1310"/>
      <c r="G112" s="1315">
        <v>0.29166666666666669</v>
      </c>
      <c r="H112" s="1315">
        <v>0.125</v>
      </c>
      <c r="I112" s="1312">
        <v>8</v>
      </c>
      <c r="J112" s="1312"/>
      <c r="K112" s="1310"/>
      <c r="L112" s="1315">
        <v>0.29166666666666669</v>
      </c>
      <c r="M112" s="1315">
        <v>0.125</v>
      </c>
      <c r="N112" s="1312">
        <v>8</v>
      </c>
      <c r="O112" s="1312"/>
      <c r="P112" s="1310"/>
      <c r="Q112" s="1315">
        <v>0.29166666666666669</v>
      </c>
      <c r="R112" s="1315">
        <v>0.125</v>
      </c>
      <c r="S112" s="1312">
        <v>8</v>
      </c>
      <c r="T112" s="1312"/>
      <c r="U112" s="1310"/>
      <c r="V112" s="1315">
        <v>0.29166666666666669</v>
      </c>
      <c r="W112" s="1315">
        <v>0.125</v>
      </c>
      <c r="X112" s="1312">
        <v>8</v>
      </c>
      <c r="Y112" s="1312"/>
      <c r="Z112" s="1314">
        <f t="shared" si="29"/>
        <v>40</v>
      </c>
      <c r="AA112" s="1316">
        <f t="shared" si="30"/>
        <v>0</v>
      </c>
      <c r="AB112" s="1310"/>
      <c r="AC112" s="1315"/>
      <c r="AD112" s="1315"/>
      <c r="AE112" s="1312"/>
      <c r="AF112" s="1310"/>
      <c r="AG112" s="1315"/>
      <c r="AH112" s="1315"/>
      <c r="AI112" s="1312"/>
      <c r="AJ112" s="1314">
        <f t="shared" si="31"/>
        <v>0</v>
      </c>
      <c r="AK112" s="941"/>
      <c r="AL112" s="943"/>
      <c r="AM112" s="940"/>
      <c r="AN112" s="1316" t="s">
        <v>1475</v>
      </c>
      <c r="AO112" s="1329">
        <f>AA134+AJ134</f>
        <v>0</v>
      </c>
      <c r="AP112" s="1330">
        <f>(60.47*1.5)</f>
        <v>90.704999999999998</v>
      </c>
      <c r="AQ112" s="1330">
        <f t="shared" ref="AQ112" si="32">AP112*AO112</f>
        <v>0</v>
      </c>
      <c r="AR112" s="967"/>
      <c r="AS112" s="967"/>
      <c r="AT112" s="1350"/>
      <c r="AU112" s="1265"/>
      <c r="AV112" s="1265"/>
      <c r="AW112" s="1265"/>
      <c r="AX112" s="1265"/>
      <c r="AY112" s="1265"/>
      <c r="AZ112" s="1265"/>
      <c r="BA112" s="1265"/>
      <c r="BB112" s="1265"/>
      <c r="BC112" s="1265"/>
      <c r="BD112" s="1265"/>
      <c r="BE112" s="1265"/>
    </row>
    <row r="113" spans="1:57" ht="13.5" hidden="1" customHeight="1">
      <c r="A113" s="1318" t="s">
        <v>1438</v>
      </c>
      <c r="B113" s="1315">
        <v>0.29166666666666669</v>
      </c>
      <c r="C113" s="1332">
        <v>0.15625</v>
      </c>
      <c r="D113" s="1312">
        <v>8</v>
      </c>
      <c r="E113" s="1312">
        <v>0.75</v>
      </c>
      <c r="F113" s="1310"/>
      <c r="G113" s="1315">
        <v>0.29166666666666669</v>
      </c>
      <c r="H113" s="1315">
        <v>0.14583333333333334</v>
      </c>
      <c r="I113" s="1312">
        <v>8</v>
      </c>
      <c r="J113" s="1312">
        <v>0.5</v>
      </c>
      <c r="K113" s="1310"/>
      <c r="L113" s="1315">
        <v>0.29166666666666669</v>
      </c>
      <c r="M113" s="1315">
        <v>0.125</v>
      </c>
      <c r="N113" s="1312">
        <v>8</v>
      </c>
      <c r="O113" s="1312"/>
      <c r="P113" s="1310"/>
      <c r="Q113" s="1315">
        <v>0.29166666666666669</v>
      </c>
      <c r="R113" s="1315">
        <v>0.125</v>
      </c>
      <c r="S113" s="1312">
        <v>8</v>
      </c>
      <c r="T113" s="1312"/>
      <c r="U113" s="1310"/>
      <c r="V113" s="1315">
        <v>0.29166666666666669</v>
      </c>
      <c r="W113" s="1315">
        <v>0.125</v>
      </c>
      <c r="X113" s="1312">
        <v>8</v>
      </c>
      <c r="Y113" s="1312"/>
      <c r="Z113" s="1314">
        <f t="shared" si="29"/>
        <v>40</v>
      </c>
      <c r="AA113" s="1316">
        <f t="shared" si="30"/>
        <v>1.25</v>
      </c>
      <c r="AB113" s="1310"/>
      <c r="AC113" s="1315"/>
      <c r="AD113" s="1315"/>
      <c r="AE113" s="1312"/>
      <c r="AF113" s="1310"/>
      <c r="AG113" s="1315"/>
      <c r="AH113" s="1315"/>
      <c r="AI113" s="1312"/>
      <c r="AJ113" s="1314">
        <f t="shared" si="31"/>
        <v>0</v>
      </c>
      <c r="AK113" s="941"/>
      <c r="AL113" s="943"/>
      <c r="AM113" s="940"/>
      <c r="AN113" s="1316" t="s">
        <v>213</v>
      </c>
      <c r="AO113" s="1329">
        <f>Z135</f>
        <v>40</v>
      </c>
      <c r="AP113" s="1330">
        <v>53.05</v>
      </c>
      <c r="AQ113" s="1330">
        <f>AP113*AO113</f>
        <v>2122</v>
      </c>
      <c r="AR113" s="967"/>
      <c r="AS113" s="967"/>
      <c r="AT113" s="1350"/>
      <c r="AU113" s="1265"/>
      <c r="AV113" s="1265"/>
      <c r="AW113" s="1265"/>
      <c r="AX113" s="1265"/>
      <c r="AY113" s="1265"/>
      <c r="AZ113" s="1265"/>
      <c r="BA113" s="1265"/>
      <c r="BB113" s="1265"/>
      <c r="BC113" s="1265"/>
      <c r="BD113" s="1265"/>
      <c r="BE113" s="1265"/>
    </row>
    <row r="114" spans="1:57" ht="13.5" hidden="1" customHeight="1">
      <c r="A114" s="1318" t="s">
        <v>1142</v>
      </c>
      <c r="B114" s="1332">
        <v>0.125</v>
      </c>
      <c r="C114" s="1332">
        <v>0.45833333333333331</v>
      </c>
      <c r="D114" s="1312">
        <v>8</v>
      </c>
      <c r="E114" s="1312"/>
      <c r="F114" s="1310"/>
      <c r="G114" s="1315">
        <v>0.125</v>
      </c>
      <c r="H114" s="1315">
        <v>0.45833333333333331</v>
      </c>
      <c r="I114" s="1312">
        <v>8</v>
      </c>
      <c r="J114" s="1312"/>
      <c r="K114" s="1312"/>
      <c r="L114" s="1315">
        <v>0.125</v>
      </c>
      <c r="M114" s="1315">
        <v>0.45833333333333331</v>
      </c>
      <c r="N114" s="1312">
        <v>8</v>
      </c>
      <c r="O114" s="1312"/>
      <c r="P114" s="1312"/>
      <c r="Q114" s="1315">
        <v>0.125</v>
      </c>
      <c r="R114" s="1315">
        <v>0.45833333333333331</v>
      </c>
      <c r="S114" s="1312">
        <v>8</v>
      </c>
      <c r="T114" s="1312"/>
      <c r="U114" s="1312"/>
      <c r="V114" s="1315">
        <v>0.125</v>
      </c>
      <c r="W114" s="1315">
        <v>0.45833333333333331</v>
      </c>
      <c r="X114" s="1312">
        <v>8</v>
      </c>
      <c r="Y114" s="1312"/>
      <c r="Z114" s="1314">
        <f t="shared" si="29"/>
        <v>40</v>
      </c>
      <c r="AA114" s="1316">
        <f t="shared" si="30"/>
        <v>0</v>
      </c>
      <c r="AB114" s="1310"/>
      <c r="AC114" s="1315"/>
      <c r="AD114" s="1315"/>
      <c r="AE114" s="1312"/>
      <c r="AF114" s="1310"/>
      <c r="AG114" s="1315"/>
      <c r="AH114" s="1315"/>
      <c r="AI114" s="1312"/>
      <c r="AJ114" s="1314">
        <f t="shared" si="31"/>
        <v>0</v>
      </c>
      <c r="AK114" s="941"/>
      <c r="AL114" s="943"/>
      <c r="AM114" s="940"/>
      <c r="AN114" s="1316" t="s">
        <v>36</v>
      </c>
      <c r="AO114" s="1329">
        <f>AA135+AJ135</f>
        <v>4.5</v>
      </c>
      <c r="AP114" s="1330">
        <f>53.05*1.5</f>
        <v>79.574999999999989</v>
      </c>
      <c r="AQ114" s="1330">
        <f>AP114*AO114</f>
        <v>358.08749999999998</v>
      </c>
      <c r="AR114" s="967"/>
      <c r="AS114" s="967"/>
      <c r="AT114" s="1350"/>
      <c r="AU114" s="1265"/>
      <c r="AV114" s="1265"/>
      <c r="AW114" s="1265"/>
      <c r="AX114" s="1265"/>
      <c r="AY114" s="1265"/>
      <c r="AZ114" s="1265"/>
      <c r="BA114" s="1265"/>
      <c r="BB114" s="1265"/>
      <c r="BC114" s="1265"/>
      <c r="BD114" s="1265"/>
      <c r="BE114" s="1265"/>
    </row>
    <row r="115" spans="1:57" ht="13.5" hidden="1" customHeight="1">
      <c r="A115" s="1318" t="s">
        <v>1447</v>
      </c>
      <c r="B115" s="1332">
        <v>0.125</v>
      </c>
      <c r="C115" s="1332">
        <v>0.45833333333333331</v>
      </c>
      <c r="D115" s="1312">
        <v>8</v>
      </c>
      <c r="E115" s="1312"/>
      <c r="F115" s="1310"/>
      <c r="G115" s="1315">
        <v>0.125</v>
      </c>
      <c r="H115" s="1315">
        <v>0.45833333333333331</v>
      </c>
      <c r="I115" s="1312">
        <v>8</v>
      </c>
      <c r="J115" s="1312"/>
      <c r="K115" s="1312"/>
      <c r="L115" s="1315">
        <v>0.125</v>
      </c>
      <c r="M115" s="1315">
        <v>0.45833333333333331</v>
      </c>
      <c r="N115" s="1312">
        <v>8</v>
      </c>
      <c r="O115" s="1312"/>
      <c r="P115" s="1312"/>
      <c r="Q115" s="1315">
        <v>0.125</v>
      </c>
      <c r="R115" s="1315">
        <v>0.45833333333333331</v>
      </c>
      <c r="S115" s="1312">
        <v>8</v>
      </c>
      <c r="T115" s="1312"/>
      <c r="U115" s="1312"/>
      <c r="V115" s="1315">
        <v>0.125</v>
      </c>
      <c r="W115" s="1315">
        <v>0.45833333333333331</v>
      </c>
      <c r="X115" s="1312">
        <v>8</v>
      </c>
      <c r="Y115" s="1312"/>
      <c r="Z115" s="1314">
        <f t="shared" si="29"/>
        <v>40</v>
      </c>
      <c r="AA115" s="1316">
        <f t="shared" si="30"/>
        <v>0</v>
      </c>
      <c r="AB115" s="1310"/>
      <c r="AC115" s="1315"/>
      <c r="AD115" s="1315"/>
      <c r="AE115" s="1312"/>
      <c r="AF115" s="1310"/>
      <c r="AG115" s="1315"/>
      <c r="AH115" s="1315"/>
      <c r="AI115" s="1312"/>
      <c r="AJ115" s="1314">
        <f t="shared" si="31"/>
        <v>0</v>
      </c>
      <c r="AK115" s="941"/>
      <c r="AL115" s="943"/>
      <c r="AM115" s="940"/>
      <c r="AN115" s="967"/>
      <c r="AO115" s="967"/>
      <c r="AP115" s="967"/>
      <c r="AQ115" s="1331">
        <f>SUM(AQ108:AQ114)</f>
        <v>40382.559999999998</v>
      </c>
      <c r="AR115" s="967"/>
      <c r="AS115" s="967"/>
      <c r="AT115" s="1350"/>
      <c r="AU115" s="1265"/>
      <c r="AV115" s="1265"/>
      <c r="AW115" s="1265"/>
      <c r="AX115" s="1265"/>
      <c r="AY115" s="1265"/>
      <c r="AZ115" s="1265"/>
      <c r="BA115" s="1265"/>
      <c r="BB115" s="1265"/>
      <c r="BC115" s="1265"/>
      <c r="BD115" s="1265"/>
      <c r="BE115" s="1265"/>
    </row>
    <row r="116" spans="1:57" ht="13.5" hidden="1" customHeight="1">
      <c r="A116" s="1310" t="s">
        <v>327</v>
      </c>
      <c r="B116" s="1332">
        <v>0.125</v>
      </c>
      <c r="C116" s="1332">
        <v>0.45833333333333331</v>
      </c>
      <c r="D116" s="1312">
        <v>8</v>
      </c>
      <c r="E116" s="1312"/>
      <c r="F116" s="1312"/>
      <c r="G116" s="1315">
        <v>0.125</v>
      </c>
      <c r="H116" s="1315">
        <v>0.45833333333333331</v>
      </c>
      <c r="I116" s="1312">
        <v>8</v>
      </c>
      <c r="J116" s="1312"/>
      <c r="K116" s="1312"/>
      <c r="L116" s="1315">
        <v>0.125</v>
      </c>
      <c r="M116" s="1315"/>
      <c r="N116" s="1312">
        <v>7.75</v>
      </c>
      <c r="O116" s="1312"/>
      <c r="P116" s="1312"/>
      <c r="Q116" s="1315">
        <v>0.125</v>
      </c>
      <c r="R116" s="1315">
        <v>0.45833333333333331</v>
      </c>
      <c r="S116" s="1312">
        <v>8</v>
      </c>
      <c r="T116" s="1312"/>
      <c r="U116" s="1312"/>
      <c r="V116" s="1315">
        <v>0.125</v>
      </c>
      <c r="W116" s="1315">
        <v>0.45833333333333331</v>
      </c>
      <c r="X116" s="1312">
        <v>8</v>
      </c>
      <c r="Y116" s="1312"/>
      <c r="Z116" s="1314">
        <f t="shared" si="29"/>
        <v>39.75</v>
      </c>
      <c r="AA116" s="1316">
        <f t="shared" si="30"/>
        <v>0</v>
      </c>
      <c r="AB116" s="1310"/>
      <c r="AC116" s="1315"/>
      <c r="AD116" s="1315"/>
      <c r="AE116" s="1312"/>
      <c r="AF116" s="1310"/>
      <c r="AG116" s="1315"/>
      <c r="AH116" s="1315"/>
      <c r="AI116" s="1312"/>
      <c r="AJ116" s="1314">
        <f t="shared" si="31"/>
        <v>0</v>
      </c>
      <c r="AK116" s="941"/>
      <c r="AL116" s="943"/>
      <c r="AM116" s="940"/>
      <c r="AN116" s="967"/>
      <c r="AO116" s="967"/>
      <c r="AP116" s="967"/>
      <c r="AQ116" s="967"/>
      <c r="AR116" s="967"/>
      <c r="AS116" s="967"/>
      <c r="AT116" s="1350"/>
      <c r="AU116" s="1265"/>
      <c r="AV116" s="1265"/>
      <c r="AW116" s="1265"/>
      <c r="AX116" s="1265"/>
      <c r="AY116" s="1265"/>
      <c r="AZ116" s="1265"/>
      <c r="BA116" s="1265"/>
      <c r="BB116" s="1265"/>
      <c r="BC116" s="1265"/>
      <c r="BD116" s="1265"/>
      <c r="BE116" s="1265"/>
    </row>
    <row r="117" spans="1:57" ht="13.5" hidden="1" customHeight="1">
      <c r="A117" s="1310" t="s">
        <v>1436</v>
      </c>
      <c r="B117" s="1332">
        <v>0.125</v>
      </c>
      <c r="C117" s="1332">
        <v>0.45833333333333331</v>
      </c>
      <c r="D117" s="1312">
        <v>8</v>
      </c>
      <c r="E117" s="1312"/>
      <c r="F117" s="1312"/>
      <c r="G117" s="1315">
        <v>0.125</v>
      </c>
      <c r="H117" s="1315">
        <v>0.45833333333333331</v>
      </c>
      <c r="I117" s="1312">
        <v>8</v>
      </c>
      <c r="J117" s="1312"/>
      <c r="K117" s="1312"/>
      <c r="L117" s="1315">
        <v>0.125</v>
      </c>
      <c r="M117" s="1315">
        <v>0.45833333333333331</v>
      </c>
      <c r="N117" s="1312">
        <v>8</v>
      </c>
      <c r="O117" s="1312"/>
      <c r="P117" s="1312"/>
      <c r="Q117" s="1315">
        <v>0.125</v>
      </c>
      <c r="R117" s="1315">
        <v>0.45833333333333331</v>
      </c>
      <c r="S117" s="1312">
        <v>8</v>
      </c>
      <c r="T117" s="1312"/>
      <c r="U117" s="1312"/>
      <c r="V117" s="1315">
        <v>0.125</v>
      </c>
      <c r="W117" s="1315">
        <v>0.45833333333333331</v>
      </c>
      <c r="X117" s="1312">
        <v>8</v>
      </c>
      <c r="Y117" s="1312"/>
      <c r="Z117" s="1314">
        <f t="shared" si="29"/>
        <v>40</v>
      </c>
      <c r="AA117" s="1316">
        <f t="shared" si="30"/>
        <v>0</v>
      </c>
      <c r="AB117" s="1310"/>
      <c r="AC117" s="1315"/>
      <c r="AD117" s="1315"/>
      <c r="AE117" s="1312"/>
      <c r="AF117" s="1310"/>
      <c r="AG117" s="1315"/>
      <c r="AH117" s="1315"/>
      <c r="AI117" s="1312"/>
      <c r="AJ117" s="1314">
        <f t="shared" si="31"/>
        <v>0</v>
      </c>
      <c r="AK117" s="941"/>
      <c r="AL117" s="943"/>
      <c r="AM117" s="940"/>
      <c r="AN117" s="967"/>
      <c r="AO117" s="967"/>
      <c r="AP117" s="967"/>
      <c r="AQ117" s="967"/>
      <c r="AR117" s="967"/>
      <c r="AS117" s="967"/>
      <c r="AT117" s="1350"/>
      <c r="AU117" s="1265"/>
      <c r="AV117" s="1265"/>
      <c r="AW117" s="1265"/>
      <c r="AX117" s="1265"/>
      <c r="AY117" s="1265"/>
      <c r="AZ117" s="1265"/>
      <c r="BA117" s="1265"/>
      <c r="BB117" s="1265"/>
      <c r="BC117" s="1265"/>
      <c r="BD117" s="1265"/>
      <c r="BE117" s="1265"/>
    </row>
    <row r="118" spans="1:57" ht="13.5" hidden="1" customHeight="1">
      <c r="A118" s="1318" t="s">
        <v>1140</v>
      </c>
      <c r="B118" s="1332">
        <v>0.125</v>
      </c>
      <c r="C118" s="1332">
        <v>0.45833333333333331</v>
      </c>
      <c r="D118" s="1312">
        <v>8</v>
      </c>
      <c r="E118" s="1312"/>
      <c r="F118" s="1310"/>
      <c r="G118" s="1315">
        <v>0.125</v>
      </c>
      <c r="H118" s="1315">
        <v>0.45833333333333331</v>
      </c>
      <c r="I118" s="1312">
        <v>8</v>
      </c>
      <c r="J118" s="1312"/>
      <c r="K118" s="1310"/>
      <c r="L118" s="1315">
        <v>0.125</v>
      </c>
      <c r="M118" s="1315">
        <v>0.45833333333333331</v>
      </c>
      <c r="N118" s="1312">
        <v>8</v>
      </c>
      <c r="O118" s="1312"/>
      <c r="P118" s="1310"/>
      <c r="Q118" s="1315">
        <v>0.125</v>
      </c>
      <c r="R118" s="1315">
        <v>0.45833333333333331</v>
      </c>
      <c r="S118" s="1312">
        <v>8</v>
      </c>
      <c r="T118" s="1312"/>
      <c r="U118" s="1310"/>
      <c r="V118" s="1315">
        <v>0.125</v>
      </c>
      <c r="W118" s="1315">
        <v>0.45833333333333331</v>
      </c>
      <c r="X118" s="1312">
        <v>8</v>
      </c>
      <c r="Y118" s="1312"/>
      <c r="Z118" s="1314">
        <f t="shared" si="29"/>
        <v>40</v>
      </c>
      <c r="AA118" s="1316">
        <f t="shared" si="30"/>
        <v>0</v>
      </c>
      <c r="AB118" s="1310"/>
      <c r="AC118" s="1315"/>
      <c r="AD118" s="1315"/>
      <c r="AE118" s="1312"/>
      <c r="AF118" s="1310"/>
      <c r="AG118" s="1315"/>
      <c r="AH118" s="1315"/>
      <c r="AI118" s="1312"/>
      <c r="AJ118" s="1314">
        <f t="shared" si="31"/>
        <v>0</v>
      </c>
      <c r="AK118" s="941"/>
      <c r="AL118" s="943"/>
      <c r="AM118" s="940"/>
      <c r="AN118" s="1316"/>
      <c r="AO118" s="1329"/>
      <c r="AP118" s="1330"/>
      <c r="AQ118" s="1330"/>
      <c r="AR118" s="967"/>
      <c r="AS118" s="967"/>
      <c r="AT118" s="1350"/>
      <c r="AU118" s="1265"/>
      <c r="AV118" s="1265"/>
      <c r="AW118" s="1265"/>
      <c r="AX118" s="1265"/>
      <c r="AY118" s="1265"/>
      <c r="AZ118" s="1265"/>
      <c r="BA118" s="1265"/>
      <c r="BB118" s="1265"/>
      <c r="BC118" s="1265"/>
      <c r="BD118" s="1265"/>
      <c r="BE118" s="1265"/>
    </row>
    <row r="119" spans="1:57" ht="13.5" hidden="1" customHeight="1">
      <c r="A119" s="1318" t="s">
        <v>1141</v>
      </c>
      <c r="B119" s="1315">
        <v>0.29166666666666669</v>
      </c>
      <c r="C119" s="1332">
        <v>0.16666666666666666</v>
      </c>
      <c r="D119" s="1312">
        <v>8</v>
      </c>
      <c r="E119" s="1312"/>
      <c r="F119" s="1312"/>
      <c r="G119" s="1315"/>
      <c r="H119" s="1315"/>
      <c r="I119" s="1312">
        <v>0</v>
      </c>
      <c r="J119" s="1312"/>
      <c r="K119" s="1312"/>
      <c r="L119" s="1315">
        <v>0.25</v>
      </c>
      <c r="M119" s="1315">
        <v>8.3333333333333329E-2</v>
      </c>
      <c r="N119" s="1312">
        <v>7.5</v>
      </c>
      <c r="O119" s="1312"/>
      <c r="P119" s="1312"/>
      <c r="Q119" s="1315">
        <v>0.29166666666666669</v>
      </c>
      <c r="R119" s="1315">
        <v>0.14583333333333334</v>
      </c>
      <c r="S119" s="1312">
        <v>7.5</v>
      </c>
      <c r="T119" s="1312"/>
      <c r="U119" s="1312"/>
      <c r="V119" s="1315">
        <v>0.41666666666666669</v>
      </c>
      <c r="W119" s="1315">
        <v>0.20833333333333334</v>
      </c>
      <c r="X119" s="1312">
        <v>6.5</v>
      </c>
      <c r="Y119" s="1312"/>
      <c r="Z119" s="1314">
        <f>D119+I119+N119+S119+X119</f>
        <v>29.5</v>
      </c>
      <c r="AA119" s="1316">
        <f t="shared" si="30"/>
        <v>0</v>
      </c>
      <c r="AB119" s="1310"/>
      <c r="AC119" s="1315">
        <v>0.29166666666666669</v>
      </c>
      <c r="AD119" s="1315">
        <v>0.22916666666666666</v>
      </c>
      <c r="AE119" s="1312">
        <v>9.5</v>
      </c>
      <c r="AF119" s="1310"/>
      <c r="AG119" s="1315"/>
      <c r="AH119" s="1315"/>
      <c r="AI119" s="1312"/>
      <c r="AJ119" s="1314">
        <f t="shared" si="31"/>
        <v>9.5</v>
      </c>
      <c r="AK119" s="941"/>
      <c r="AL119" s="943"/>
      <c r="AM119" s="940"/>
      <c r="AN119" s="967"/>
      <c r="AO119" s="967"/>
      <c r="AP119" s="967"/>
      <c r="AQ119" s="967"/>
      <c r="AR119" s="967"/>
      <c r="AS119" s="967"/>
      <c r="AT119" s="1350"/>
      <c r="AU119" s="1265"/>
      <c r="AV119" s="1265"/>
      <c r="AW119" s="1265"/>
      <c r="AX119" s="1265"/>
      <c r="AY119" s="1265"/>
      <c r="AZ119" s="1265"/>
      <c r="BA119" s="1265"/>
      <c r="BB119" s="1265"/>
      <c r="BC119" s="1265"/>
      <c r="BD119" s="1265"/>
      <c r="BE119" s="1265"/>
    </row>
    <row r="120" spans="1:57" ht="13.5" hidden="1" customHeight="1">
      <c r="A120" s="1318" t="s">
        <v>241</v>
      </c>
      <c r="B120" s="1332">
        <v>0.45833333333333331</v>
      </c>
      <c r="C120" s="1332">
        <v>0.45833333333333331</v>
      </c>
      <c r="D120" s="1312">
        <v>8</v>
      </c>
      <c r="E120" s="1312">
        <v>3</v>
      </c>
      <c r="F120" s="1312"/>
      <c r="G120" s="1315">
        <v>0.41666666666666669</v>
      </c>
      <c r="H120" s="1315">
        <v>0.20833333333333334</v>
      </c>
      <c r="I120" s="1312">
        <v>6.5</v>
      </c>
      <c r="J120" s="1312"/>
      <c r="K120" s="1312"/>
      <c r="L120" s="1315">
        <v>0.25</v>
      </c>
      <c r="M120" s="1315">
        <v>8.3333333333333329E-2</v>
      </c>
      <c r="N120" s="1312">
        <v>7.5</v>
      </c>
      <c r="O120" s="1312"/>
      <c r="P120" s="1312"/>
      <c r="Q120" s="1315">
        <v>0.41666666666666669</v>
      </c>
      <c r="R120" s="1315">
        <v>0.20833333333333334</v>
      </c>
      <c r="S120" s="1312">
        <v>6.5</v>
      </c>
      <c r="T120" s="1312"/>
      <c r="U120" s="1312"/>
      <c r="V120" s="1315">
        <v>0.41666666666666669</v>
      </c>
      <c r="W120" s="1315">
        <v>0.20833333333333334</v>
      </c>
      <c r="X120" s="1312">
        <v>6.5</v>
      </c>
      <c r="Y120" s="1312"/>
      <c r="Z120" s="1314">
        <f>D120+I120+N120+S120+X120</f>
        <v>35</v>
      </c>
      <c r="AA120" s="1316">
        <f t="shared" si="30"/>
        <v>3</v>
      </c>
      <c r="AB120" s="1310"/>
      <c r="AC120" s="1315">
        <v>0.45833333333333331</v>
      </c>
      <c r="AD120" s="1315">
        <v>0.20833333333333334</v>
      </c>
      <c r="AE120" s="1312">
        <v>6</v>
      </c>
      <c r="AF120" s="1310"/>
      <c r="AG120" s="1315"/>
      <c r="AH120" s="1315"/>
      <c r="AI120" s="1312"/>
      <c r="AJ120" s="1314">
        <f t="shared" si="31"/>
        <v>6</v>
      </c>
      <c r="AK120" s="941"/>
      <c r="AL120" s="943"/>
      <c r="AM120" s="940"/>
      <c r="AN120" s="967"/>
      <c r="AO120" s="967"/>
      <c r="AP120" s="967"/>
      <c r="AQ120" s="967"/>
      <c r="AR120" s="967"/>
      <c r="AS120" s="967"/>
      <c r="AT120" s="1350"/>
      <c r="AU120" s="1265"/>
      <c r="AV120" s="1265"/>
      <c r="AW120" s="1265"/>
      <c r="AX120" s="1265"/>
      <c r="AY120" s="1265"/>
      <c r="AZ120" s="1265"/>
      <c r="BA120" s="1265"/>
      <c r="BB120" s="1265"/>
      <c r="BC120" s="1265"/>
      <c r="BD120" s="1265"/>
      <c r="BE120" s="1265"/>
    </row>
    <row r="121" spans="1:57" ht="13.5" hidden="1" customHeight="1">
      <c r="A121" s="1318" t="s">
        <v>1477</v>
      </c>
      <c r="B121" s="1332">
        <v>0.375</v>
      </c>
      <c r="C121" s="1332">
        <v>0.20833333333333334</v>
      </c>
      <c r="D121" s="1312">
        <v>7</v>
      </c>
      <c r="E121" s="1312"/>
      <c r="F121" s="1312"/>
      <c r="G121" s="1315">
        <v>0.375</v>
      </c>
      <c r="H121" s="1315">
        <v>0.20833333333333334</v>
      </c>
      <c r="I121" s="1312">
        <v>7</v>
      </c>
      <c r="J121" s="1312"/>
      <c r="K121" s="1312"/>
      <c r="L121" s="1315">
        <v>0.375</v>
      </c>
      <c r="M121" s="1315">
        <v>0.27083333333333331</v>
      </c>
      <c r="N121" s="1312">
        <v>8</v>
      </c>
      <c r="O121" s="1312">
        <v>0.5</v>
      </c>
      <c r="P121" s="1312"/>
      <c r="Q121" s="1315">
        <v>0.375</v>
      </c>
      <c r="R121" s="1315">
        <v>0.20833333333333334</v>
      </c>
      <c r="S121" s="1312">
        <v>7</v>
      </c>
      <c r="T121" s="1312"/>
      <c r="U121" s="1312"/>
      <c r="V121" s="1315">
        <v>0.375</v>
      </c>
      <c r="W121" s="1315">
        <v>0.20833333333333334</v>
      </c>
      <c r="X121" s="1312">
        <v>7</v>
      </c>
      <c r="Y121" s="1312"/>
      <c r="Z121" s="1314">
        <f>D121+I121+N121+S121+X121</f>
        <v>36</v>
      </c>
      <c r="AA121" s="1316">
        <f t="shared" si="30"/>
        <v>0.5</v>
      </c>
      <c r="AB121" s="1310"/>
      <c r="AC121" s="1315"/>
      <c r="AD121" s="1315"/>
      <c r="AE121" s="1312"/>
      <c r="AF121" s="1310"/>
      <c r="AG121" s="1315"/>
      <c r="AH121" s="1315"/>
      <c r="AI121" s="1312"/>
      <c r="AJ121" s="1314">
        <f t="shared" si="31"/>
        <v>0</v>
      </c>
      <c r="AK121" s="941"/>
      <c r="AL121" s="943"/>
      <c r="AM121" s="940"/>
      <c r="AN121" s="967"/>
      <c r="AO121" s="967"/>
      <c r="AP121" s="967"/>
      <c r="AQ121" s="967"/>
      <c r="AR121" s="967"/>
      <c r="AS121" s="967"/>
      <c r="AT121" s="1350"/>
      <c r="AU121" s="1265"/>
      <c r="AV121" s="1265"/>
      <c r="AW121" s="1265"/>
      <c r="AX121" s="1265"/>
      <c r="AY121" s="1265"/>
      <c r="AZ121" s="1265"/>
      <c r="BA121" s="1265"/>
      <c r="BB121" s="1265"/>
      <c r="BC121" s="1265"/>
      <c r="BD121" s="1265"/>
      <c r="BE121" s="1265"/>
    </row>
    <row r="122" spans="1:57" ht="13.5" hidden="1" customHeight="1">
      <c r="A122" s="1318" t="s">
        <v>1444</v>
      </c>
      <c r="B122" s="1332"/>
      <c r="C122" s="1332"/>
      <c r="D122" s="1312">
        <v>5</v>
      </c>
      <c r="E122" s="1312"/>
      <c r="F122" s="1312"/>
      <c r="G122" s="1315">
        <v>0.375</v>
      </c>
      <c r="H122" s="1315"/>
      <c r="I122" s="1312">
        <v>5</v>
      </c>
      <c r="J122" s="1312"/>
      <c r="K122" s="1312"/>
      <c r="L122" s="1315">
        <v>0.375</v>
      </c>
      <c r="M122" s="1315"/>
      <c r="N122" s="1312">
        <v>5</v>
      </c>
      <c r="O122" s="1312"/>
      <c r="P122" s="1312"/>
      <c r="Q122" s="1315"/>
      <c r="R122" s="1315"/>
      <c r="S122" s="1312">
        <v>5</v>
      </c>
      <c r="T122" s="1312"/>
      <c r="U122" s="1312"/>
      <c r="V122" s="1315"/>
      <c r="W122" s="1315"/>
      <c r="X122" s="1312">
        <v>5</v>
      </c>
      <c r="Y122" s="1312"/>
      <c r="Z122" s="1314">
        <f t="shared" ref="Z122" si="33">D122+I122+N122+S122+X122</f>
        <v>25</v>
      </c>
      <c r="AA122" s="1316">
        <f t="shared" si="30"/>
        <v>0</v>
      </c>
      <c r="AB122" s="1310"/>
      <c r="AC122" s="1315"/>
      <c r="AD122" s="1315"/>
      <c r="AE122" s="1312"/>
      <c r="AF122" s="1310"/>
      <c r="AG122" s="1315"/>
      <c r="AH122" s="1315"/>
      <c r="AI122" s="1312"/>
      <c r="AJ122" s="1314">
        <f t="shared" si="31"/>
        <v>0</v>
      </c>
      <c r="AK122" s="941"/>
      <c r="AL122" s="943"/>
      <c r="AM122" s="940"/>
      <c r="AN122" s="967"/>
      <c r="AO122" s="967"/>
      <c r="AP122" s="967"/>
      <c r="AQ122" s="967"/>
      <c r="AR122" s="967"/>
      <c r="AS122" s="967"/>
      <c r="AT122" s="1350"/>
      <c r="AU122" s="1265"/>
      <c r="AV122" s="1265"/>
      <c r="AW122" s="1265"/>
      <c r="AX122" s="1265"/>
      <c r="AY122" s="1265"/>
      <c r="AZ122" s="1265"/>
      <c r="BA122" s="1265"/>
      <c r="BB122" s="1265"/>
      <c r="BC122" s="1265"/>
      <c r="BD122" s="1265"/>
      <c r="BE122" s="1265"/>
    </row>
    <row r="123" spans="1:57" ht="13.5" hidden="1" customHeight="1">
      <c r="A123" s="1318" t="s">
        <v>1479</v>
      </c>
      <c r="B123" s="1315"/>
      <c r="C123" s="1315"/>
      <c r="D123" s="1312">
        <v>0</v>
      </c>
      <c r="E123" s="1312"/>
      <c r="F123" s="1312"/>
      <c r="G123" s="1315">
        <v>0.33333333333333331</v>
      </c>
      <c r="H123" s="1315">
        <v>0.20833333333333334</v>
      </c>
      <c r="I123" s="1312">
        <v>8</v>
      </c>
      <c r="J123" s="1312"/>
      <c r="K123" s="1312"/>
      <c r="L123" s="1315"/>
      <c r="M123" s="1315"/>
      <c r="N123" s="1312">
        <v>0</v>
      </c>
      <c r="O123" s="1312"/>
      <c r="P123" s="1312"/>
      <c r="Q123" s="1315"/>
      <c r="R123" s="1315"/>
      <c r="S123" s="1312">
        <v>0</v>
      </c>
      <c r="T123" s="1312"/>
      <c r="U123" s="1312"/>
      <c r="V123" s="1315">
        <v>0.29166666666666669</v>
      </c>
      <c r="W123" s="1315">
        <v>0.125</v>
      </c>
      <c r="X123" s="1312">
        <v>7</v>
      </c>
      <c r="Y123" s="1312"/>
      <c r="Z123" s="1314">
        <f t="shared" ref="Z123:Z125" si="34">D123+I123+N123+S123+X123</f>
        <v>15</v>
      </c>
      <c r="AA123" s="1316">
        <f t="shared" ref="AA123:AA125" si="35">E123+J123+O123+T123+Y123</f>
        <v>0</v>
      </c>
      <c r="AB123" s="1310"/>
      <c r="AC123" s="1315">
        <v>0.29166666666666669</v>
      </c>
      <c r="AD123" s="1315">
        <v>0.16666666666666666</v>
      </c>
      <c r="AE123" s="1312">
        <v>8</v>
      </c>
      <c r="AF123" s="1310"/>
      <c r="AG123" s="1315"/>
      <c r="AH123" s="1315"/>
      <c r="AI123" s="1312"/>
      <c r="AJ123" s="1314">
        <f t="shared" si="31"/>
        <v>8</v>
      </c>
      <c r="AK123" s="941"/>
      <c r="AL123" s="943"/>
      <c r="AM123" s="940"/>
      <c r="AN123" s="967"/>
      <c r="AO123" s="967"/>
      <c r="AP123" s="967"/>
      <c r="AQ123" s="967"/>
      <c r="AR123" s="967"/>
      <c r="AS123" s="967"/>
      <c r="AT123" s="1350"/>
      <c r="AU123" s="1265"/>
      <c r="AV123" s="1265"/>
      <c r="AW123" s="1265"/>
      <c r="AX123" s="1265"/>
      <c r="AY123" s="1265"/>
      <c r="AZ123" s="1265"/>
      <c r="BA123" s="1265"/>
      <c r="BB123" s="1265"/>
      <c r="BC123" s="1265"/>
      <c r="BD123" s="1265"/>
      <c r="BE123" s="1265"/>
    </row>
    <row r="124" spans="1:57" ht="13.5" hidden="1" customHeight="1">
      <c r="A124" s="1318" t="s">
        <v>1480</v>
      </c>
      <c r="B124" s="1332"/>
      <c r="C124" s="1332"/>
      <c r="D124" s="1312">
        <v>0</v>
      </c>
      <c r="E124" s="1312"/>
      <c r="F124" s="1312"/>
      <c r="G124" s="1315">
        <v>0.29166666666666669</v>
      </c>
      <c r="H124" s="1315">
        <v>0.125</v>
      </c>
      <c r="I124" s="1312">
        <v>7.5</v>
      </c>
      <c r="J124" s="1312"/>
      <c r="K124" s="1312"/>
      <c r="L124" s="1315">
        <v>4.1666666666666664E-2</v>
      </c>
      <c r="M124" s="1315">
        <v>0.33333333333333331</v>
      </c>
      <c r="N124" s="1312">
        <v>7.5</v>
      </c>
      <c r="O124" s="1312"/>
      <c r="P124" s="1312"/>
      <c r="Q124" s="1315">
        <v>0.29166666666666669</v>
      </c>
      <c r="R124" s="1315">
        <v>0.20833333333333334</v>
      </c>
      <c r="S124" s="1312">
        <v>8</v>
      </c>
      <c r="T124" s="1312">
        <v>1</v>
      </c>
      <c r="U124" s="1312"/>
      <c r="V124" s="1315">
        <v>0.29166666666666669</v>
      </c>
      <c r="W124" s="1315">
        <v>0.19791666666666666</v>
      </c>
      <c r="X124" s="1312">
        <v>8</v>
      </c>
      <c r="Y124" s="1312">
        <v>0.75</v>
      </c>
      <c r="Z124" s="1314">
        <f t="shared" si="34"/>
        <v>31</v>
      </c>
      <c r="AA124" s="1316">
        <f t="shared" si="35"/>
        <v>1.75</v>
      </c>
      <c r="AB124" s="1310"/>
      <c r="AC124" s="1315"/>
      <c r="AD124" s="1315"/>
      <c r="AE124" s="1312"/>
      <c r="AF124" s="1310"/>
      <c r="AG124" s="1315"/>
      <c r="AH124" s="1315"/>
      <c r="AI124" s="1312"/>
      <c r="AJ124" s="1314">
        <f t="shared" si="31"/>
        <v>0</v>
      </c>
      <c r="AK124" s="941"/>
      <c r="AL124" s="943"/>
      <c r="AM124" s="940"/>
      <c r="AN124" s="967"/>
      <c r="AO124" s="967"/>
      <c r="AP124" s="967"/>
      <c r="AQ124" s="967"/>
      <c r="AR124" s="967"/>
      <c r="AS124" s="967"/>
      <c r="AT124" s="1350"/>
      <c r="AU124" s="1265"/>
      <c r="AV124" s="1265"/>
      <c r="AW124" s="1265"/>
      <c r="AX124" s="1265"/>
      <c r="AY124" s="1265"/>
      <c r="AZ124" s="1265"/>
      <c r="BA124" s="1265"/>
      <c r="BB124" s="1265"/>
      <c r="BC124" s="1265"/>
      <c r="BD124" s="1265"/>
      <c r="BE124" s="1265"/>
    </row>
    <row r="125" spans="1:57" ht="13.5" hidden="1" customHeight="1">
      <c r="A125" s="1318" t="s">
        <v>1143</v>
      </c>
      <c r="B125" s="1315"/>
      <c r="C125" s="1315"/>
      <c r="D125" s="1312">
        <v>0</v>
      </c>
      <c r="E125" s="1312"/>
      <c r="F125" s="1312"/>
      <c r="G125" s="1315"/>
      <c r="H125" s="1315"/>
      <c r="I125" s="1312">
        <v>0</v>
      </c>
      <c r="J125" s="1312"/>
      <c r="K125" s="1312"/>
      <c r="L125" s="1315">
        <v>0.29166666666666669</v>
      </c>
      <c r="M125" s="1315">
        <v>0.16666666666666666</v>
      </c>
      <c r="N125" s="1312">
        <v>8</v>
      </c>
      <c r="O125" s="1312"/>
      <c r="P125" s="1312"/>
      <c r="Q125" s="1315">
        <v>0.5</v>
      </c>
      <c r="R125" s="1315"/>
      <c r="S125" s="1312">
        <v>5</v>
      </c>
      <c r="T125" s="1312"/>
      <c r="U125" s="1312"/>
      <c r="V125" s="1315">
        <v>0.41666666666666669</v>
      </c>
      <c r="W125" s="1315">
        <v>0.20833333333333334</v>
      </c>
      <c r="X125" s="1312">
        <v>6.5</v>
      </c>
      <c r="Y125" s="1312"/>
      <c r="Z125" s="1314">
        <f t="shared" si="34"/>
        <v>19.5</v>
      </c>
      <c r="AA125" s="1316">
        <f t="shared" si="35"/>
        <v>0</v>
      </c>
      <c r="AB125" s="1310"/>
      <c r="AC125" s="1315"/>
      <c r="AD125" s="1315"/>
      <c r="AE125" s="1312"/>
      <c r="AF125" s="1310"/>
      <c r="AG125" s="1315"/>
      <c r="AH125" s="1315"/>
      <c r="AI125" s="1312"/>
      <c r="AJ125" s="1314">
        <f t="shared" si="31"/>
        <v>0</v>
      </c>
      <c r="AK125" s="941"/>
      <c r="AL125" s="943"/>
      <c r="AM125" s="940"/>
      <c r="AN125" s="967"/>
      <c r="AO125" s="967"/>
      <c r="AP125" s="967"/>
      <c r="AQ125" s="967"/>
      <c r="AR125" s="967"/>
      <c r="AS125" s="967"/>
      <c r="AT125" s="1350"/>
      <c r="AU125" s="1265"/>
      <c r="AV125" s="1265"/>
      <c r="AW125" s="1265"/>
      <c r="AX125" s="1265"/>
      <c r="AY125" s="1265"/>
      <c r="AZ125" s="1265"/>
      <c r="BA125" s="1265"/>
      <c r="BB125" s="1265"/>
      <c r="BC125" s="1265"/>
      <c r="BD125" s="1265"/>
      <c r="BE125" s="1265"/>
    </row>
    <row r="126" spans="1:57" ht="13.5" hidden="1" customHeight="1">
      <c r="A126" s="1318" t="s">
        <v>813</v>
      </c>
      <c r="B126" s="1315"/>
      <c r="C126" s="1315"/>
      <c r="D126" s="1312">
        <v>2</v>
      </c>
      <c r="E126" s="1312"/>
      <c r="F126" s="1310"/>
      <c r="G126" s="1315"/>
      <c r="H126" s="1315"/>
      <c r="I126" s="1312">
        <v>1</v>
      </c>
      <c r="J126" s="1312"/>
      <c r="K126" s="1310"/>
      <c r="L126" s="1315"/>
      <c r="M126" s="1315"/>
      <c r="N126" s="1312">
        <v>1</v>
      </c>
      <c r="O126" s="1312"/>
      <c r="P126" s="1310"/>
      <c r="Q126" s="1315"/>
      <c r="R126" s="1315"/>
      <c r="S126" s="1312">
        <v>1</v>
      </c>
      <c r="T126" s="1312"/>
      <c r="U126" s="1310"/>
      <c r="V126" s="1315"/>
      <c r="W126" s="1315"/>
      <c r="X126" s="1312">
        <v>0</v>
      </c>
      <c r="Y126" s="1312"/>
      <c r="Z126" s="1314">
        <f t="shared" ref="Z126" si="36">D126+I126+N126+S126+X126</f>
        <v>5</v>
      </c>
      <c r="AA126" s="1316">
        <f t="shared" ref="AA126:AA132" si="37">E126+J126+O126+T126+Y126</f>
        <v>0</v>
      </c>
      <c r="AB126" s="1310"/>
      <c r="AC126" s="1315"/>
      <c r="AD126" s="1315"/>
      <c r="AE126" s="1312"/>
      <c r="AF126" s="1310"/>
      <c r="AG126" s="1315"/>
      <c r="AH126" s="1315"/>
      <c r="AI126" s="1312"/>
      <c r="AJ126" s="1314">
        <f t="shared" ref="AJ126:AJ132" si="38">SUM(AE126+AI126)</f>
        <v>0</v>
      </c>
      <c r="AK126" s="941"/>
      <c r="AL126" s="943"/>
      <c r="AM126" s="940"/>
      <c r="AN126" s="1316"/>
      <c r="AO126" s="1329"/>
      <c r="AP126" s="1330"/>
      <c r="AQ126" s="1330"/>
      <c r="AR126" s="967"/>
      <c r="AS126" s="967"/>
      <c r="AT126" s="1350"/>
      <c r="AU126" s="1265"/>
      <c r="AV126" s="1265"/>
      <c r="AW126" s="1265"/>
      <c r="AX126" s="1265"/>
      <c r="AY126" s="1265"/>
      <c r="AZ126" s="1265"/>
      <c r="BA126" s="1265"/>
      <c r="BB126" s="1265"/>
      <c r="BC126" s="1265"/>
      <c r="BD126" s="1265"/>
      <c r="BE126" s="1265"/>
    </row>
    <row r="127" spans="1:57" ht="13.5" hidden="1" customHeight="1">
      <c r="A127" s="1318" t="s">
        <v>1431</v>
      </c>
      <c r="B127" s="1315"/>
      <c r="C127" s="1315"/>
      <c r="D127" s="1312">
        <v>1</v>
      </c>
      <c r="E127" s="1312"/>
      <c r="F127" s="1310"/>
      <c r="G127" s="1315"/>
      <c r="H127" s="1315"/>
      <c r="I127" s="1312">
        <v>0</v>
      </c>
      <c r="J127" s="1312"/>
      <c r="K127" s="1310"/>
      <c r="L127" s="1315"/>
      <c r="M127" s="1315"/>
      <c r="N127" s="1312">
        <v>0</v>
      </c>
      <c r="O127" s="1312"/>
      <c r="P127" s="1310"/>
      <c r="Q127" s="1315"/>
      <c r="R127" s="1315"/>
      <c r="S127" s="1312">
        <v>0</v>
      </c>
      <c r="T127" s="1312"/>
      <c r="U127" s="1310"/>
      <c r="V127" s="1315"/>
      <c r="W127" s="1315"/>
      <c r="X127" s="1312">
        <v>0</v>
      </c>
      <c r="Y127" s="1312"/>
      <c r="Z127" s="1314">
        <f>D127+I127+N127+S127+X127</f>
        <v>1</v>
      </c>
      <c r="AA127" s="1316">
        <f t="shared" si="37"/>
        <v>0</v>
      </c>
      <c r="AB127" s="1310"/>
      <c r="AC127" s="1315"/>
      <c r="AD127" s="1315"/>
      <c r="AE127" s="1312"/>
      <c r="AF127" s="1310"/>
      <c r="AG127" s="1315"/>
      <c r="AH127" s="1315"/>
      <c r="AI127" s="1312"/>
      <c r="AJ127" s="1314">
        <f t="shared" si="38"/>
        <v>0</v>
      </c>
      <c r="AK127" s="941"/>
      <c r="AL127" s="943"/>
      <c r="AM127" s="940"/>
      <c r="AN127" s="967"/>
      <c r="AO127" s="967"/>
      <c r="AP127" s="967"/>
      <c r="AQ127" s="967"/>
      <c r="AR127" s="967"/>
      <c r="AS127" s="967"/>
      <c r="AT127" s="1350"/>
      <c r="AU127" s="1265"/>
      <c r="AV127" s="1265"/>
      <c r="AW127" s="1265"/>
      <c r="AX127" s="1265"/>
      <c r="AY127" s="1265"/>
      <c r="AZ127" s="1265"/>
      <c r="BA127" s="1265"/>
      <c r="BB127" s="1265"/>
      <c r="BC127" s="1265"/>
      <c r="BD127" s="1265"/>
      <c r="BE127" s="1265"/>
    </row>
    <row r="128" spans="1:57" ht="13.5" hidden="1" customHeight="1">
      <c r="A128" s="1318" t="s">
        <v>1439</v>
      </c>
      <c r="B128" s="1315">
        <v>0.45833333333333331</v>
      </c>
      <c r="C128" s="1319"/>
      <c r="D128" s="1312">
        <v>7.5</v>
      </c>
      <c r="E128" s="1312"/>
      <c r="F128" s="1312"/>
      <c r="G128" s="1332" t="s">
        <v>29</v>
      </c>
      <c r="H128" s="1332" t="s">
        <v>29</v>
      </c>
      <c r="I128" s="1312">
        <v>8</v>
      </c>
      <c r="J128" s="1312"/>
      <c r="K128" s="1312"/>
      <c r="L128" s="1315">
        <v>0.45833333333333331</v>
      </c>
      <c r="M128" s="1319">
        <v>0.16666666666666666</v>
      </c>
      <c r="N128" s="1312">
        <v>8</v>
      </c>
      <c r="O128" s="1312"/>
      <c r="P128" s="1312"/>
      <c r="Q128" s="1332" t="s">
        <v>29</v>
      </c>
      <c r="R128" s="1332" t="s">
        <v>29</v>
      </c>
      <c r="S128" s="1312">
        <v>8</v>
      </c>
      <c r="T128" s="1312"/>
      <c r="U128" s="1312"/>
      <c r="V128" s="1332" t="s">
        <v>29</v>
      </c>
      <c r="W128" s="1332" t="s">
        <v>29</v>
      </c>
      <c r="X128" s="1312">
        <v>8</v>
      </c>
      <c r="Y128" s="1312"/>
      <c r="Z128" s="1314">
        <f t="shared" ref="Z128:Z130" si="39">D128+I128+N128+S128+X128</f>
        <v>39.5</v>
      </c>
      <c r="AA128" s="1316">
        <f t="shared" si="37"/>
        <v>0</v>
      </c>
      <c r="AB128" s="1310"/>
      <c r="AC128" s="1315"/>
      <c r="AD128" s="1319"/>
      <c r="AE128" s="1312"/>
      <c r="AF128" s="1315"/>
      <c r="AG128" s="1319"/>
      <c r="AH128" s="1312"/>
      <c r="AI128" s="1315"/>
      <c r="AJ128" s="1314">
        <f t="shared" si="38"/>
        <v>0</v>
      </c>
      <c r="AK128" s="941"/>
      <c r="AL128" s="943"/>
      <c r="AM128" s="940"/>
      <c r="AN128" s="967"/>
      <c r="AO128" s="967"/>
      <c r="AP128" s="967"/>
      <c r="AQ128" s="967"/>
      <c r="AR128" s="967"/>
      <c r="AS128" s="967"/>
      <c r="AT128" s="1350"/>
      <c r="AU128" s="1265"/>
      <c r="AV128" s="1265"/>
      <c r="AW128" s="1265"/>
      <c r="AX128" s="1265"/>
      <c r="AY128" s="1265"/>
      <c r="AZ128" s="1265"/>
      <c r="BA128" s="1265"/>
      <c r="BB128" s="1265"/>
      <c r="BC128" s="1265"/>
      <c r="BD128" s="1265"/>
      <c r="BE128" s="1265"/>
    </row>
    <row r="129" spans="1:57" ht="13.5" hidden="1" customHeight="1">
      <c r="A129" s="1318" t="s">
        <v>1427</v>
      </c>
      <c r="B129" s="1315">
        <v>0.45833333333333331</v>
      </c>
      <c r="C129" s="1319">
        <v>0.29166666666666669</v>
      </c>
      <c r="D129" s="1312">
        <v>8</v>
      </c>
      <c r="E129" s="1312"/>
      <c r="F129" s="1312"/>
      <c r="G129" s="1315">
        <v>0.45833333333333331</v>
      </c>
      <c r="H129" s="1319">
        <v>0.29166666666666669</v>
      </c>
      <c r="I129" s="1312">
        <v>8</v>
      </c>
      <c r="J129" s="1312"/>
      <c r="K129" s="1312"/>
      <c r="L129" s="1315">
        <v>0.45833333333333331</v>
      </c>
      <c r="M129" s="1319">
        <v>0.29166666666666669</v>
      </c>
      <c r="N129" s="1312">
        <v>8</v>
      </c>
      <c r="O129" s="1312"/>
      <c r="P129" s="1312"/>
      <c r="Q129" s="1315">
        <v>0.45833333333333331</v>
      </c>
      <c r="R129" s="1319">
        <v>0.29166666666666669</v>
      </c>
      <c r="S129" s="1312">
        <v>8</v>
      </c>
      <c r="T129" s="1312"/>
      <c r="U129" s="1312"/>
      <c r="V129" s="1315">
        <v>0.45833333333333331</v>
      </c>
      <c r="W129" s="1319">
        <v>0.29166666666666669</v>
      </c>
      <c r="X129" s="1312">
        <v>8</v>
      </c>
      <c r="Y129" s="1312"/>
      <c r="Z129" s="1314">
        <f t="shared" si="39"/>
        <v>40</v>
      </c>
      <c r="AA129" s="1316">
        <f t="shared" si="37"/>
        <v>0</v>
      </c>
      <c r="AB129" s="1310"/>
      <c r="AC129" s="1315"/>
      <c r="AD129" s="1319"/>
      <c r="AE129" s="1312"/>
      <c r="AF129" s="1315"/>
      <c r="AG129" s="1319"/>
      <c r="AH129" s="1312"/>
      <c r="AI129" s="1315"/>
      <c r="AJ129" s="1314">
        <f t="shared" si="38"/>
        <v>0</v>
      </c>
      <c r="AK129" s="941"/>
      <c r="AL129" s="943"/>
      <c r="AM129" s="940"/>
      <c r="AN129" s="967"/>
      <c r="AO129" s="967"/>
      <c r="AP129" s="967"/>
      <c r="AQ129" s="967"/>
      <c r="AR129" s="967"/>
      <c r="AS129" s="967"/>
      <c r="AT129" s="1350"/>
      <c r="AU129" s="1265"/>
      <c r="AV129" s="1265"/>
      <c r="AW129" s="1265"/>
      <c r="AX129" s="1265"/>
      <c r="AY129" s="1265"/>
      <c r="AZ129" s="1265"/>
      <c r="BA129" s="1265"/>
      <c r="BB129" s="1265"/>
      <c r="BC129" s="1265"/>
      <c r="BD129" s="1265"/>
      <c r="BE129" s="1265"/>
    </row>
    <row r="130" spans="1:57" ht="13.5" hidden="1" customHeight="1">
      <c r="A130" s="1318" t="s">
        <v>1064</v>
      </c>
      <c r="B130" s="1315">
        <v>0.45833333333333331</v>
      </c>
      <c r="C130" s="1319">
        <v>0.29166666666666669</v>
      </c>
      <c r="D130" s="1312">
        <v>8</v>
      </c>
      <c r="E130" s="1312"/>
      <c r="F130" s="1312"/>
      <c r="G130" s="1315">
        <v>0.45833333333333331</v>
      </c>
      <c r="H130" s="1319">
        <v>0.29166666666666669</v>
      </c>
      <c r="I130" s="1312">
        <v>8</v>
      </c>
      <c r="J130" s="1312"/>
      <c r="K130" s="1312"/>
      <c r="L130" s="1315">
        <v>0.45833333333333331</v>
      </c>
      <c r="M130" s="1319">
        <v>0.29166666666666669</v>
      </c>
      <c r="N130" s="1312">
        <v>8</v>
      </c>
      <c r="O130" s="1312"/>
      <c r="P130" s="1312"/>
      <c r="Q130" s="1332"/>
      <c r="R130" s="1332">
        <v>0.29166666666666669</v>
      </c>
      <c r="S130" s="1312">
        <v>8</v>
      </c>
      <c r="T130" s="1312"/>
      <c r="U130" s="1312"/>
      <c r="V130" s="1315">
        <v>0.45833333333333331</v>
      </c>
      <c r="W130" s="1319">
        <v>0.29166666666666669</v>
      </c>
      <c r="X130" s="1312">
        <v>8</v>
      </c>
      <c r="Y130" s="1312"/>
      <c r="Z130" s="1314">
        <f t="shared" si="39"/>
        <v>40</v>
      </c>
      <c r="AA130" s="1316">
        <f t="shared" si="37"/>
        <v>0</v>
      </c>
      <c r="AB130" s="1310"/>
      <c r="AC130" s="1315"/>
      <c r="AD130" s="1319"/>
      <c r="AE130" s="1312"/>
      <c r="AF130" s="1315"/>
      <c r="AG130" s="1319"/>
      <c r="AH130" s="1312"/>
      <c r="AI130" s="1315"/>
      <c r="AJ130" s="1314">
        <f t="shared" si="38"/>
        <v>0</v>
      </c>
      <c r="AK130" s="941"/>
      <c r="AL130" s="943"/>
      <c r="AM130" s="940"/>
      <c r="AN130" s="967"/>
      <c r="AO130" s="967"/>
      <c r="AP130" s="967"/>
      <c r="AQ130" s="967"/>
      <c r="AR130" s="967"/>
      <c r="AS130" s="967"/>
      <c r="AT130" s="1350"/>
      <c r="AU130" s="1265"/>
      <c r="AV130" s="1265"/>
      <c r="AW130" s="1265"/>
      <c r="AX130" s="1265"/>
      <c r="AY130" s="1265"/>
      <c r="AZ130" s="1265"/>
      <c r="BA130" s="1265"/>
      <c r="BB130" s="1265"/>
      <c r="BC130" s="1265"/>
      <c r="BD130" s="1265"/>
      <c r="BE130" s="1265"/>
    </row>
    <row r="131" spans="1:57" ht="13.5" hidden="1" customHeight="1">
      <c r="A131" s="1318" t="s">
        <v>1144</v>
      </c>
      <c r="B131" s="1315">
        <v>0.45833333333333331</v>
      </c>
      <c r="C131" s="1319">
        <v>0.29166666666666669</v>
      </c>
      <c r="D131" s="1312">
        <v>8</v>
      </c>
      <c r="E131" s="1312"/>
      <c r="F131" s="1312"/>
      <c r="G131" s="1315">
        <v>0.45833333333333331</v>
      </c>
      <c r="H131" s="1319"/>
      <c r="I131" s="1312">
        <v>7.5</v>
      </c>
      <c r="J131" s="1312"/>
      <c r="K131" s="1312"/>
      <c r="L131" s="1315">
        <v>0.45833333333333331</v>
      </c>
      <c r="M131" s="1319">
        <v>0.29166666666666669</v>
      </c>
      <c r="N131" s="1312">
        <v>8</v>
      </c>
      <c r="O131" s="1312"/>
      <c r="P131" s="1312"/>
      <c r="Q131" s="1315">
        <v>0.45833333333333331</v>
      </c>
      <c r="R131" s="1332">
        <v>0.29166666666666669</v>
      </c>
      <c r="S131" s="1312">
        <v>8</v>
      </c>
      <c r="T131" s="1312"/>
      <c r="U131" s="1312"/>
      <c r="V131" s="1315">
        <v>0.45833333333333331</v>
      </c>
      <c r="W131" s="1319">
        <v>0.29166666666666669</v>
      </c>
      <c r="X131" s="1312">
        <v>8</v>
      </c>
      <c r="Y131" s="1312"/>
      <c r="Z131" s="1314">
        <f>D131+I131+N131+S131+X131</f>
        <v>39.5</v>
      </c>
      <c r="AA131" s="1316">
        <f t="shared" si="37"/>
        <v>0</v>
      </c>
      <c r="AB131" s="1310"/>
      <c r="AC131" s="1315"/>
      <c r="AD131" s="1319"/>
      <c r="AE131" s="1312"/>
      <c r="AF131" s="1315"/>
      <c r="AG131" s="1319"/>
      <c r="AH131" s="1312"/>
      <c r="AI131" s="1315"/>
      <c r="AJ131" s="1314">
        <f t="shared" si="38"/>
        <v>0</v>
      </c>
      <c r="AK131" s="941"/>
      <c r="AL131" s="943"/>
      <c r="AM131" s="940"/>
      <c r="AN131" s="967"/>
      <c r="AO131" s="967"/>
      <c r="AP131" s="967"/>
      <c r="AQ131" s="967"/>
      <c r="AR131" s="967"/>
      <c r="AS131" s="967"/>
      <c r="AT131" s="1350"/>
      <c r="AU131" s="1265"/>
      <c r="AV131" s="1265"/>
      <c r="AW131" s="1265"/>
      <c r="AX131" s="1265"/>
      <c r="AY131" s="1265"/>
      <c r="AZ131" s="1265"/>
      <c r="BA131" s="1265"/>
      <c r="BB131" s="1265"/>
      <c r="BC131" s="1265"/>
      <c r="BD131" s="1265"/>
      <c r="BE131" s="1265"/>
    </row>
    <row r="132" spans="1:57" ht="13.5" hidden="1" customHeight="1" thickBot="1">
      <c r="A132" s="1320" t="s">
        <v>1433</v>
      </c>
      <c r="B132" s="1321">
        <v>0.45833333333333331</v>
      </c>
      <c r="C132" s="1322">
        <v>0.29166666666666669</v>
      </c>
      <c r="D132" s="1323">
        <v>8</v>
      </c>
      <c r="E132" s="1323"/>
      <c r="F132" s="1323"/>
      <c r="G132" s="1321">
        <v>0.45833333333333331</v>
      </c>
      <c r="H132" s="1322">
        <v>0.29166666666666669</v>
      </c>
      <c r="I132" s="1323">
        <v>8</v>
      </c>
      <c r="J132" s="1323"/>
      <c r="K132" s="1323"/>
      <c r="L132" s="1321">
        <v>0.45833333333333331</v>
      </c>
      <c r="M132" s="1322">
        <v>0.29166666666666669</v>
      </c>
      <c r="N132" s="1323">
        <v>8</v>
      </c>
      <c r="O132" s="1323"/>
      <c r="P132" s="1323"/>
      <c r="Q132" s="1321">
        <v>0.45833333333333331</v>
      </c>
      <c r="R132" s="1333" t="s">
        <v>29</v>
      </c>
      <c r="S132" s="1323">
        <v>8</v>
      </c>
      <c r="T132" s="1323"/>
      <c r="U132" s="1323"/>
      <c r="V132" s="1321">
        <v>0.45833333333333331</v>
      </c>
      <c r="W132" s="1333" t="s">
        <v>29</v>
      </c>
      <c r="X132" s="1323">
        <v>8</v>
      </c>
      <c r="Y132" s="1323"/>
      <c r="Z132" s="1324">
        <f>D132+I132+N132+S132+X132</f>
        <v>40</v>
      </c>
      <c r="AA132" s="1325">
        <f t="shared" si="37"/>
        <v>0</v>
      </c>
      <c r="AB132" s="1326"/>
      <c r="AC132" s="1321"/>
      <c r="AD132" s="1321"/>
      <c r="AE132" s="1323"/>
      <c r="AF132" s="1321"/>
      <c r="AG132" s="1322"/>
      <c r="AH132" s="1323"/>
      <c r="AI132" s="1321"/>
      <c r="AJ132" s="1324">
        <f t="shared" si="38"/>
        <v>0</v>
      </c>
      <c r="AK132" s="941"/>
      <c r="AL132" s="943"/>
      <c r="AM132" s="940"/>
      <c r="AN132" s="967"/>
      <c r="AO132" s="967"/>
      <c r="AP132" s="967"/>
      <c r="AQ132" s="967"/>
      <c r="AR132" s="967"/>
      <c r="AS132" s="967"/>
      <c r="AT132" s="1350"/>
      <c r="AU132" s="1265"/>
      <c r="AV132" s="1265"/>
      <c r="AW132" s="1265"/>
      <c r="AX132" s="1265"/>
      <c r="AY132" s="1265"/>
      <c r="AZ132" s="1265"/>
      <c r="BA132" s="1265"/>
      <c r="BB132" s="1265"/>
      <c r="BC132" s="1265"/>
      <c r="BD132" s="1265"/>
      <c r="BE132" s="1265"/>
    </row>
    <row r="133" spans="1:57" ht="13.5" hidden="1" customHeight="1" thickTop="1">
      <c r="A133" s="1327" t="s">
        <v>61</v>
      </c>
      <c r="B133" s="1327"/>
      <c r="C133" s="1327"/>
      <c r="D133" s="1328">
        <f>SUM(D109:D127)</f>
        <v>111</v>
      </c>
      <c r="E133" s="1312">
        <f>SUM(E110:E127)</f>
        <v>3.75</v>
      </c>
      <c r="F133" s="1327"/>
      <c r="G133" s="1327"/>
      <c r="H133" s="1327"/>
      <c r="I133" s="1328">
        <f>SUM(I109:I127)</f>
        <v>115</v>
      </c>
      <c r="J133" s="1312">
        <f>SUM(J110:J127)</f>
        <v>0.5</v>
      </c>
      <c r="K133" s="1327"/>
      <c r="L133" s="1327"/>
      <c r="M133" s="1327"/>
      <c r="N133" s="1328">
        <f>SUM(N109:N127)</f>
        <v>124.25</v>
      </c>
      <c r="O133" s="1312">
        <f>SUM(O110:O127)</f>
        <v>0.5</v>
      </c>
      <c r="P133" s="1327"/>
      <c r="Q133" s="1327"/>
      <c r="R133" s="1327"/>
      <c r="S133" s="1328">
        <f>SUM(S109:S127)</f>
        <v>120</v>
      </c>
      <c r="T133" s="1312">
        <f>SUM(T110:T127)</f>
        <v>1</v>
      </c>
      <c r="U133" s="1327"/>
      <c r="V133" s="1327"/>
      <c r="W133" s="1327"/>
      <c r="X133" s="1328">
        <f>SUM(X109:X127)</f>
        <v>126.5</v>
      </c>
      <c r="Y133" s="1312">
        <f>SUM(Y110:Y127)</f>
        <v>0.75</v>
      </c>
      <c r="Z133" s="1314">
        <f>SUM(Z109:Z127)</f>
        <v>596.75</v>
      </c>
      <c r="AA133" s="1314">
        <f>SUM(AA109:AA126)</f>
        <v>6.5</v>
      </c>
      <c r="AB133" s="1310"/>
      <c r="AC133" s="1327"/>
      <c r="AD133" s="1327"/>
      <c r="AE133" s="1314">
        <f>SUM(AE109:AE131)</f>
        <v>23.5</v>
      </c>
      <c r="AF133" s="1310"/>
      <c r="AG133" s="1327"/>
      <c r="AH133" s="1327"/>
      <c r="AI133" s="1314">
        <f>SUM(AI109:AI131)</f>
        <v>0</v>
      </c>
      <c r="AJ133" s="1314">
        <f>SUM(AJ109:AJ127)</f>
        <v>23.5</v>
      </c>
      <c r="AK133" s="941"/>
      <c r="AL133" s="943"/>
      <c r="AM133" s="940"/>
      <c r="AN133" s="967"/>
      <c r="AO133" s="967"/>
      <c r="AP133" s="967"/>
      <c r="AQ133" s="967"/>
      <c r="AR133" s="967"/>
      <c r="AS133" s="967"/>
      <c r="AT133" s="1350"/>
      <c r="AU133" s="1265"/>
      <c r="AV133" s="1265"/>
      <c r="AW133" s="1265"/>
      <c r="AX133" s="1265"/>
      <c r="AY133" s="1265"/>
      <c r="AZ133" s="1265"/>
      <c r="BA133" s="1265"/>
      <c r="BB133" s="1265"/>
      <c r="BC133" s="1265"/>
      <c r="BD133" s="1265"/>
      <c r="BE133" s="1265"/>
    </row>
    <row r="134" spans="1:57" ht="13.5" hidden="1" customHeight="1">
      <c r="A134" s="1313" t="s">
        <v>1434</v>
      </c>
      <c r="B134" s="1327"/>
      <c r="C134" s="1327"/>
      <c r="D134" s="1328">
        <f>SUM(D128:D132)</f>
        <v>39.5</v>
      </c>
      <c r="E134" s="1312"/>
      <c r="F134" s="1327"/>
      <c r="G134" s="1327"/>
      <c r="H134" s="1327"/>
      <c r="I134" s="1328">
        <f>SUM(I128:I132)</f>
        <v>39.5</v>
      </c>
      <c r="J134" s="1312"/>
      <c r="K134" s="1327"/>
      <c r="L134" s="1327"/>
      <c r="M134" s="1327"/>
      <c r="N134" s="1328">
        <f>SUM(N128:N132)</f>
        <v>40</v>
      </c>
      <c r="O134" s="1312"/>
      <c r="P134" s="1327"/>
      <c r="Q134" s="1327"/>
      <c r="R134" s="1327"/>
      <c r="S134" s="1328">
        <f>SUM(S128:S132)</f>
        <v>40</v>
      </c>
      <c r="T134" s="1312"/>
      <c r="U134" s="1327"/>
      <c r="V134" s="1327"/>
      <c r="W134" s="1327"/>
      <c r="X134" s="1328">
        <f>SUM(X128:X132)</f>
        <v>40</v>
      </c>
      <c r="Y134" s="1312"/>
      <c r="Z134" s="1314">
        <f>SUM(Z128:Z132)</f>
        <v>199</v>
      </c>
      <c r="AA134" s="1314">
        <f>SUM(AA127:AA131)</f>
        <v>0</v>
      </c>
      <c r="AB134" s="1310"/>
      <c r="AC134" s="1327"/>
      <c r="AD134" s="1327"/>
      <c r="AE134" s="1314">
        <f>SUM(AE128:AE132)</f>
        <v>0</v>
      </c>
      <c r="AF134" s="1310"/>
      <c r="AG134" s="1327"/>
      <c r="AH134" s="1327"/>
      <c r="AI134" s="1314">
        <f>SUM(AI128:AI132)</f>
        <v>0</v>
      </c>
      <c r="AJ134" s="1314">
        <f>SUM(AE134+AI134)</f>
        <v>0</v>
      </c>
      <c r="AK134" s="941"/>
      <c r="AL134" s="943"/>
      <c r="AM134" s="940"/>
      <c r="AN134" s="967"/>
      <c r="AO134" s="967"/>
      <c r="AP134" s="967"/>
      <c r="AQ134" s="967"/>
      <c r="AR134" s="967"/>
      <c r="AS134" s="967"/>
      <c r="AT134" s="1350"/>
      <c r="AU134" s="1265"/>
      <c r="AV134" s="1265"/>
      <c r="AW134" s="1265"/>
      <c r="AX134" s="1265"/>
      <c r="AY134" s="1265"/>
      <c r="AZ134" s="1265"/>
      <c r="BA134" s="1265"/>
      <c r="BB134" s="1265"/>
      <c r="BC134" s="1265"/>
      <c r="BD134" s="1265"/>
      <c r="BE134" s="1265"/>
    </row>
    <row r="135" spans="1:57" ht="13.5" hidden="1" customHeight="1">
      <c r="A135" s="1327" t="s">
        <v>64</v>
      </c>
      <c r="B135" s="1315"/>
      <c r="C135" s="1315"/>
      <c r="D135" s="1312">
        <v>8</v>
      </c>
      <c r="E135" s="1312"/>
      <c r="F135" s="1312"/>
      <c r="G135" s="1315"/>
      <c r="H135" s="1315"/>
      <c r="I135" s="1312">
        <v>8</v>
      </c>
      <c r="J135" s="1312">
        <v>0.5</v>
      </c>
      <c r="K135" s="1312"/>
      <c r="L135" s="1315"/>
      <c r="M135" s="1315"/>
      <c r="N135" s="1312">
        <v>8</v>
      </c>
      <c r="O135" s="1312"/>
      <c r="P135" s="1312"/>
      <c r="Q135" s="1315"/>
      <c r="R135" s="1315"/>
      <c r="S135" s="1312">
        <v>8</v>
      </c>
      <c r="T135" s="1312"/>
      <c r="U135" s="1312"/>
      <c r="V135" s="1315"/>
      <c r="W135" s="1315"/>
      <c r="X135" s="1312">
        <v>8</v>
      </c>
      <c r="Y135" s="1312">
        <v>1</v>
      </c>
      <c r="Z135" s="1314">
        <f>D135+I135+N135+S135+X135</f>
        <v>40</v>
      </c>
      <c r="AA135" s="1312">
        <f>E135+J135+O135+T135+Y135</f>
        <v>1.5</v>
      </c>
      <c r="AB135" s="1310"/>
      <c r="AC135" s="1315"/>
      <c r="AD135" s="1315"/>
      <c r="AE135" s="1312">
        <f>1+1+1</f>
        <v>3</v>
      </c>
      <c r="AF135" s="1310"/>
      <c r="AG135" s="1315"/>
      <c r="AH135" s="1315"/>
      <c r="AI135" s="1312"/>
      <c r="AJ135" s="1314">
        <f>AE135+AI135</f>
        <v>3</v>
      </c>
      <c r="AK135" s="941"/>
      <c r="AL135" s="943"/>
      <c r="AM135" s="940"/>
      <c r="AN135" s="967"/>
      <c r="AO135" s="967"/>
      <c r="AP135" s="967"/>
      <c r="AQ135" s="967"/>
      <c r="AR135" s="967"/>
      <c r="AS135" s="967"/>
      <c r="AT135" s="1350"/>
      <c r="AU135" s="1265"/>
      <c r="AV135" s="1265"/>
      <c r="AW135" s="1265"/>
      <c r="AX135" s="1265"/>
      <c r="AY135" s="1265"/>
      <c r="AZ135" s="1265"/>
      <c r="BA135" s="1265"/>
      <c r="BB135" s="1265"/>
      <c r="BC135" s="1265"/>
      <c r="BD135" s="1265"/>
      <c r="BE135" s="1265"/>
    </row>
    <row r="136" spans="1:57" ht="13.5" hidden="1" customHeight="1">
      <c r="A136" s="940"/>
      <c r="B136" s="940"/>
      <c r="C136" s="940"/>
      <c r="D136" s="941"/>
      <c r="E136" s="942"/>
      <c r="F136" s="941"/>
      <c r="G136" s="940"/>
      <c r="H136" s="940"/>
      <c r="I136" s="941"/>
      <c r="J136" s="942"/>
      <c r="K136" s="941"/>
      <c r="L136" s="940"/>
      <c r="M136" s="940"/>
      <c r="N136" s="941"/>
      <c r="O136" s="942"/>
      <c r="P136" s="941"/>
      <c r="Q136" s="940"/>
      <c r="R136" s="940"/>
      <c r="S136" s="941"/>
      <c r="T136" s="942"/>
      <c r="U136" s="941"/>
      <c r="V136" s="940"/>
      <c r="W136" s="940"/>
      <c r="X136" s="941"/>
      <c r="Y136" s="942"/>
      <c r="Z136" s="941"/>
      <c r="AA136" s="941"/>
      <c r="AB136" s="941"/>
      <c r="AC136" s="940"/>
      <c r="AD136" s="940"/>
      <c r="AE136" s="940"/>
      <c r="AF136" s="941"/>
      <c r="AG136" s="940"/>
      <c r="AH136" s="940"/>
      <c r="AI136" s="940"/>
      <c r="AJ136" s="940"/>
      <c r="AK136" s="941"/>
      <c r="AL136" s="943"/>
      <c r="AM136" s="940"/>
      <c r="AN136" s="940"/>
      <c r="AO136" s="940"/>
      <c r="AP136" s="940"/>
      <c r="AQ136" s="940"/>
      <c r="AR136" s="940"/>
      <c r="AS136" s="940"/>
      <c r="AT136" s="940"/>
      <c r="AU136" s="1265"/>
      <c r="AV136" s="1265"/>
      <c r="AW136" s="1265"/>
      <c r="AX136" s="1265"/>
      <c r="AY136" s="1265"/>
      <c r="AZ136" s="1265"/>
      <c r="BA136" s="1265"/>
      <c r="BB136" s="1265"/>
      <c r="BC136" s="1265"/>
      <c r="BD136" s="1265"/>
      <c r="BE136" s="1265"/>
    </row>
    <row r="137" spans="1:57" ht="13.5" hidden="1" customHeight="1">
      <c r="A137" s="974"/>
      <c r="B137" s="975"/>
      <c r="C137" s="975"/>
      <c r="D137" s="976"/>
      <c r="E137" s="976"/>
      <c r="F137" s="975"/>
      <c r="G137" s="976"/>
      <c r="H137" s="976"/>
      <c r="I137" s="976"/>
      <c r="J137" s="976"/>
      <c r="K137" s="975"/>
      <c r="L137" s="975"/>
      <c r="M137" s="975"/>
      <c r="N137" s="975"/>
      <c r="O137" s="976"/>
      <c r="P137" s="975"/>
      <c r="Q137" s="975"/>
      <c r="R137" s="975"/>
      <c r="S137" s="975"/>
      <c r="T137" s="976"/>
      <c r="U137" s="975"/>
      <c r="V137" s="975"/>
      <c r="W137" s="975"/>
      <c r="X137" s="977"/>
      <c r="Y137" s="976"/>
      <c r="Z137" s="978"/>
      <c r="AA137" s="976"/>
      <c r="AB137" s="979"/>
      <c r="AC137" s="980"/>
      <c r="AD137" s="943"/>
      <c r="AE137" s="943"/>
      <c r="AF137" s="979"/>
      <c r="AG137" s="980"/>
      <c r="AH137" s="943"/>
      <c r="AI137" s="943"/>
      <c r="AJ137" s="943"/>
      <c r="AK137" s="941"/>
      <c r="AL137" s="943"/>
      <c r="AM137" s="940"/>
      <c r="AN137" s="943"/>
      <c r="AO137" s="943"/>
      <c r="AP137" s="943"/>
      <c r="AQ137" s="943"/>
      <c r="AR137" s="943"/>
      <c r="AS137" s="943"/>
      <c r="AT137" s="940"/>
      <c r="AU137" s="1265"/>
      <c r="AV137" s="1265"/>
      <c r="AW137" s="1265"/>
      <c r="AX137" s="1265"/>
      <c r="AY137" s="1265"/>
      <c r="AZ137" s="1265"/>
      <c r="BA137" s="1265"/>
      <c r="BB137" s="1265"/>
      <c r="BC137" s="1265"/>
      <c r="BD137" s="1265"/>
      <c r="BE137" s="1265"/>
    </row>
    <row r="138" spans="1:57" ht="13.5" hidden="1" customHeight="1">
      <c r="A138" s="940"/>
      <c r="B138" s="940"/>
      <c r="C138" s="940"/>
      <c r="D138" s="941"/>
      <c r="E138" s="942"/>
      <c r="F138" s="941"/>
      <c r="G138" s="940"/>
      <c r="H138" s="940"/>
      <c r="I138" s="941"/>
      <c r="J138" s="942"/>
      <c r="K138" s="941"/>
      <c r="L138" s="940"/>
      <c r="M138" s="940"/>
      <c r="N138" s="941"/>
      <c r="O138" s="942"/>
      <c r="P138" s="941"/>
      <c r="Q138" s="940"/>
      <c r="R138" s="940"/>
      <c r="S138" s="941"/>
      <c r="T138" s="942"/>
      <c r="U138" s="941"/>
      <c r="V138" s="940"/>
      <c r="W138" s="940"/>
      <c r="X138" s="941"/>
      <c r="Y138" s="942"/>
      <c r="Z138" s="941"/>
      <c r="AA138" s="941"/>
      <c r="AB138" s="941"/>
      <c r="AC138" s="940"/>
      <c r="AD138" s="940"/>
      <c r="AE138" s="940"/>
      <c r="AF138" s="941"/>
      <c r="AG138" s="940"/>
      <c r="AH138" s="940"/>
      <c r="AI138" s="940"/>
      <c r="AJ138" s="940"/>
      <c r="AK138" s="941"/>
      <c r="AL138" s="943"/>
      <c r="AM138" s="940"/>
      <c r="AN138" s="954"/>
      <c r="AO138" s="954"/>
      <c r="AP138" s="954"/>
      <c r="AQ138" s="954"/>
      <c r="AR138" s="954"/>
      <c r="AS138" s="954"/>
      <c r="AT138" s="940"/>
      <c r="AU138" s="1265"/>
      <c r="AV138" s="1265"/>
      <c r="AW138" s="1265"/>
      <c r="AX138" s="1265"/>
      <c r="AY138" s="1265"/>
      <c r="AZ138" s="1265"/>
      <c r="BA138" s="1265"/>
      <c r="BB138" s="1265"/>
      <c r="BC138" s="1265"/>
      <c r="BD138" s="1265"/>
      <c r="BE138" s="1265"/>
    </row>
    <row r="139" spans="1:57" ht="13.5" hidden="1" customHeight="1">
      <c r="A139" s="1615" t="s">
        <v>18</v>
      </c>
      <c r="B139" s="1616">
        <v>46062</v>
      </c>
      <c r="C139" s="1616"/>
      <c r="D139" s="1616" t="s">
        <v>564</v>
      </c>
      <c r="E139" s="1616"/>
      <c r="F139" s="1308"/>
      <c r="G139" s="1616">
        <v>46063</v>
      </c>
      <c r="H139" s="1616"/>
      <c r="I139" s="1616" t="s">
        <v>565</v>
      </c>
      <c r="J139" s="1616"/>
      <c r="K139" s="1308"/>
      <c r="L139" s="1616">
        <v>46064</v>
      </c>
      <c r="M139" s="1616"/>
      <c r="N139" s="1616" t="s">
        <v>566</v>
      </c>
      <c r="O139" s="1616"/>
      <c r="P139" s="1308"/>
      <c r="Q139" s="1616">
        <v>46065</v>
      </c>
      <c r="R139" s="1616"/>
      <c r="S139" s="1616" t="s">
        <v>567</v>
      </c>
      <c r="T139" s="1616"/>
      <c r="U139" s="1308"/>
      <c r="V139" s="1616">
        <v>46066</v>
      </c>
      <c r="W139" s="1616"/>
      <c r="X139" s="1616" t="s">
        <v>568</v>
      </c>
      <c r="Y139" s="1616"/>
      <c r="Z139" s="1617" t="s">
        <v>19</v>
      </c>
      <c r="AA139" s="1617" t="s">
        <v>20</v>
      </c>
      <c r="AB139" s="1310"/>
      <c r="AC139" s="1616">
        <v>46067</v>
      </c>
      <c r="AD139" s="1616"/>
      <c r="AE139" s="1311" t="s">
        <v>569</v>
      </c>
      <c r="AF139" s="1310"/>
      <c r="AG139" s="1616">
        <v>46068</v>
      </c>
      <c r="AH139" s="1616"/>
      <c r="AI139" s="1311" t="s">
        <v>570</v>
      </c>
      <c r="AJ139" s="1617" t="s">
        <v>1420</v>
      </c>
      <c r="AK139" s="941"/>
      <c r="AL139" s="943"/>
      <c r="AM139" s="940"/>
      <c r="AN139" s="1316" t="s">
        <v>84</v>
      </c>
      <c r="AO139" s="967"/>
      <c r="AP139" s="967"/>
      <c r="AQ139" s="967"/>
      <c r="AR139" s="967"/>
      <c r="AS139" s="1615"/>
      <c r="AT139" s="1351"/>
      <c r="AU139" s="1265"/>
      <c r="AV139" s="1265"/>
      <c r="AW139" s="1265"/>
      <c r="AX139" s="1265"/>
      <c r="AY139" s="1265"/>
      <c r="AZ139" s="1265"/>
      <c r="BA139" s="1265"/>
      <c r="BB139" s="1265"/>
      <c r="BC139" s="1265"/>
      <c r="BD139" s="1265"/>
      <c r="BE139" s="1265"/>
    </row>
    <row r="140" spans="1:57" ht="13.5" hidden="1" customHeight="1">
      <c r="A140" s="1615"/>
      <c r="B140" s="1309" t="s">
        <v>23</v>
      </c>
      <c r="C140" s="1309" t="s">
        <v>24</v>
      </c>
      <c r="D140" s="1312" t="s">
        <v>25</v>
      </c>
      <c r="E140" s="1313" t="s">
        <v>14</v>
      </c>
      <c r="F140" s="1310"/>
      <c r="G140" s="1309" t="s">
        <v>23</v>
      </c>
      <c r="H140" s="1309" t="s">
        <v>24</v>
      </c>
      <c r="I140" s="1313" t="s">
        <v>25</v>
      </c>
      <c r="J140" s="1313" t="s">
        <v>14</v>
      </c>
      <c r="K140" s="1310"/>
      <c r="L140" s="1309" t="s">
        <v>23</v>
      </c>
      <c r="M140" s="1309" t="s">
        <v>24</v>
      </c>
      <c r="N140" s="1313" t="s">
        <v>25</v>
      </c>
      <c r="O140" s="1313" t="s">
        <v>14</v>
      </c>
      <c r="P140" s="1310"/>
      <c r="Q140" s="1309" t="s">
        <v>23</v>
      </c>
      <c r="R140" s="1309" t="s">
        <v>24</v>
      </c>
      <c r="S140" s="1313" t="s">
        <v>25</v>
      </c>
      <c r="T140" s="1313" t="s">
        <v>14</v>
      </c>
      <c r="U140" s="1310"/>
      <c r="V140" s="1309" t="s">
        <v>23</v>
      </c>
      <c r="W140" s="1309" t="s">
        <v>24</v>
      </c>
      <c r="X140" s="1313" t="s">
        <v>25</v>
      </c>
      <c r="Y140" s="1313" t="s">
        <v>14</v>
      </c>
      <c r="Z140" s="1617"/>
      <c r="AA140" s="1617"/>
      <c r="AB140" s="1310"/>
      <c r="AC140" s="1309" t="s">
        <v>23</v>
      </c>
      <c r="AD140" s="1309" t="s">
        <v>24</v>
      </c>
      <c r="AE140" s="1313" t="s">
        <v>25</v>
      </c>
      <c r="AF140" s="1310"/>
      <c r="AG140" s="1309" t="s">
        <v>23</v>
      </c>
      <c r="AH140" s="1309" t="s">
        <v>24</v>
      </c>
      <c r="AI140" s="1313" t="s">
        <v>25</v>
      </c>
      <c r="AJ140" s="1617"/>
      <c r="AK140" s="941"/>
      <c r="AL140" s="943"/>
      <c r="AM140" s="940"/>
      <c r="AN140" s="1316" t="s">
        <v>26</v>
      </c>
      <c r="AO140" s="1329">
        <f>Z165</f>
        <v>580.25</v>
      </c>
      <c r="AP140" s="1330">
        <v>40.31</v>
      </c>
      <c r="AQ140" s="1330">
        <f>AP140*AO140</f>
        <v>23389.877500000002</v>
      </c>
      <c r="AR140" s="967"/>
      <c r="AS140" s="1615"/>
      <c r="AT140" s="1351"/>
      <c r="AU140" s="1265"/>
      <c r="AV140" s="1265"/>
      <c r="AW140" s="1265"/>
      <c r="AX140" s="1265"/>
      <c r="AY140" s="1265"/>
      <c r="AZ140" s="1265"/>
      <c r="BA140" s="1265"/>
      <c r="BB140" s="1265"/>
      <c r="BC140" s="1265"/>
      <c r="BD140" s="1265"/>
      <c r="BE140" s="1265"/>
    </row>
    <row r="141" spans="1:57" ht="13.5" hidden="1" customHeight="1">
      <c r="A141" s="1315" t="s">
        <v>72</v>
      </c>
      <c r="B141" s="1315">
        <v>0.29166666666666669</v>
      </c>
      <c r="C141" s="1332">
        <v>0.125</v>
      </c>
      <c r="D141" s="1312">
        <v>8</v>
      </c>
      <c r="E141" s="1312"/>
      <c r="F141" s="1310"/>
      <c r="G141" s="1315">
        <v>0.29166666666666669</v>
      </c>
      <c r="H141" s="1315">
        <v>0.125</v>
      </c>
      <c r="I141" s="1312">
        <v>8</v>
      </c>
      <c r="J141" s="1312"/>
      <c r="K141" s="1310"/>
      <c r="L141" s="1315">
        <v>0.29166666666666669</v>
      </c>
      <c r="M141" s="1315">
        <v>0.125</v>
      </c>
      <c r="N141" s="1312">
        <v>8</v>
      </c>
      <c r="O141" s="1312"/>
      <c r="P141" s="1310"/>
      <c r="Q141" s="1315">
        <v>0.29166666666666669</v>
      </c>
      <c r="R141" s="1315">
        <v>0.125</v>
      </c>
      <c r="S141" s="1312">
        <v>8</v>
      </c>
      <c r="T141" s="1312"/>
      <c r="U141" s="1310"/>
      <c r="V141" s="1315">
        <v>0.29166666666666669</v>
      </c>
      <c r="W141" s="1315">
        <v>0.125</v>
      </c>
      <c r="X141" s="1312">
        <v>8</v>
      </c>
      <c r="Y141" s="1312"/>
      <c r="Z141" s="1314">
        <f>D141+I141+N141+S141+X141</f>
        <v>40</v>
      </c>
      <c r="AA141" s="1316">
        <f>E141+J141+O141+T141+Y141</f>
        <v>0</v>
      </c>
      <c r="AB141" s="1310"/>
      <c r="AC141" s="1317"/>
      <c r="AD141" s="1317"/>
      <c r="AE141" s="1312"/>
      <c r="AF141" s="1310"/>
      <c r="AG141" s="1317"/>
      <c r="AH141" s="1317"/>
      <c r="AI141" s="1312"/>
      <c r="AJ141" s="1314">
        <f>SUM(AE141+AI141)</f>
        <v>0</v>
      </c>
      <c r="AK141" s="941"/>
      <c r="AL141" s="943"/>
      <c r="AM141" s="940"/>
      <c r="AN141" s="1316" t="s">
        <v>1421</v>
      </c>
      <c r="AO141" s="1329">
        <f>Z166</f>
        <v>199.5</v>
      </c>
      <c r="AP141" s="1330">
        <v>60.47</v>
      </c>
      <c r="AQ141" s="1330">
        <f>AP141*AO141</f>
        <v>12063.764999999999</v>
      </c>
      <c r="AR141" s="967"/>
      <c r="AS141" s="1315"/>
      <c r="AT141" s="1352"/>
      <c r="AU141" s="1265"/>
      <c r="AV141" s="1265"/>
      <c r="AW141" s="1265"/>
      <c r="AX141" s="1265"/>
      <c r="AY141" s="1265"/>
      <c r="AZ141" s="1265"/>
      <c r="BA141" s="1265"/>
      <c r="BB141" s="1265"/>
      <c r="BC141" s="1265"/>
      <c r="BD141" s="1265"/>
      <c r="BE141" s="1265"/>
    </row>
    <row r="142" spans="1:57" ht="13.5" hidden="1" customHeight="1">
      <c r="A142" s="1318" t="s">
        <v>1166</v>
      </c>
      <c r="B142" s="1315">
        <v>0.29166666666666669</v>
      </c>
      <c r="C142" s="1332">
        <v>0.125</v>
      </c>
      <c r="D142" s="1312">
        <v>8</v>
      </c>
      <c r="E142" s="1312"/>
      <c r="F142" s="1310"/>
      <c r="G142" s="1315">
        <v>0.29166666666666669</v>
      </c>
      <c r="H142" s="1315">
        <v>0.125</v>
      </c>
      <c r="I142" s="1312">
        <v>8</v>
      </c>
      <c r="J142" s="1312"/>
      <c r="K142" s="1310"/>
      <c r="L142" s="1315">
        <v>0.29166666666666669</v>
      </c>
      <c r="M142" s="1315">
        <v>0.125</v>
      </c>
      <c r="N142" s="1312">
        <v>8</v>
      </c>
      <c r="O142" s="1312"/>
      <c r="P142" s="1310"/>
      <c r="Q142" s="1315">
        <v>0.29166666666666669</v>
      </c>
      <c r="R142" s="1315">
        <v>0.125</v>
      </c>
      <c r="S142" s="1312">
        <v>8</v>
      </c>
      <c r="T142" s="1312"/>
      <c r="U142" s="1310"/>
      <c r="V142" s="1315">
        <v>0.29166666666666669</v>
      </c>
      <c r="W142" s="1315">
        <v>0.125</v>
      </c>
      <c r="X142" s="1312">
        <v>8</v>
      </c>
      <c r="Y142" s="1312"/>
      <c r="Z142" s="1314">
        <f t="shared" ref="Z142:Z150" si="40">D142+I142+N142+S142+X142</f>
        <v>40</v>
      </c>
      <c r="AA142" s="1316">
        <f t="shared" ref="AA142:AA164" si="41">E142+J142+O142+T142+Y142</f>
        <v>0</v>
      </c>
      <c r="AB142" s="1310"/>
      <c r="AC142" s="1315"/>
      <c r="AD142" s="1315"/>
      <c r="AE142" s="1312"/>
      <c r="AF142" s="1310"/>
      <c r="AG142" s="1315"/>
      <c r="AH142" s="1315"/>
      <c r="AI142" s="1312"/>
      <c r="AJ142" s="1314">
        <f t="shared" ref="AJ142:AJ164" si="42">SUM(AE142+AI142)</f>
        <v>0</v>
      </c>
      <c r="AK142" s="941"/>
      <c r="AL142" s="943"/>
      <c r="AM142" s="940"/>
      <c r="AN142" s="1316" t="s">
        <v>30</v>
      </c>
      <c r="AO142" s="1329">
        <f>AA165</f>
        <v>10</v>
      </c>
      <c r="AP142" s="1330">
        <v>60.465000000000003</v>
      </c>
      <c r="AQ142" s="1330">
        <f>AP142*AO142</f>
        <v>604.65000000000009</v>
      </c>
      <c r="AR142" s="967"/>
      <c r="AS142" s="1318"/>
      <c r="AT142" s="1353"/>
      <c r="AU142" s="1265"/>
      <c r="AV142" s="1265"/>
      <c r="AW142" s="1265"/>
      <c r="AX142" s="1265"/>
      <c r="AY142" s="1265"/>
      <c r="AZ142" s="1265"/>
      <c r="BA142" s="1265"/>
      <c r="BB142" s="1265"/>
      <c r="BC142" s="1265"/>
      <c r="BD142" s="1265"/>
      <c r="BE142" s="1265"/>
    </row>
    <row r="143" spans="1:57" ht="13.5" hidden="1" customHeight="1">
      <c r="A143" s="1318" t="s">
        <v>1426</v>
      </c>
      <c r="B143" s="1315" t="s">
        <v>29</v>
      </c>
      <c r="C143" s="1332" t="s">
        <v>29</v>
      </c>
      <c r="D143" s="1312">
        <v>0</v>
      </c>
      <c r="E143" s="1312"/>
      <c r="F143" s="1310"/>
      <c r="G143" s="1315">
        <v>0.29166666666666669</v>
      </c>
      <c r="H143" s="1315">
        <v>0.125</v>
      </c>
      <c r="I143" s="1312">
        <v>8</v>
      </c>
      <c r="J143" s="1312"/>
      <c r="K143" s="1310"/>
      <c r="L143" s="1315">
        <v>0.29166666666666669</v>
      </c>
      <c r="M143" s="1315">
        <v>0.125</v>
      </c>
      <c r="N143" s="1312">
        <v>8</v>
      </c>
      <c r="O143" s="1312"/>
      <c r="P143" s="1310"/>
      <c r="Q143" s="1315">
        <v>0.29166666666666669</v>
      </c>
      <c r="R143" s="1315">
        <v>0.125</v>
      </c>
      <c r="S143" s="1312">
        <v>8</v>
      </c>
      <c r="T143" s="1312"/>
      <c r="U143" s="1310"/>
      <c r="V143" s="1315">
        <v>0</v>
      </c>
      <c r="W143" s="1315">
        <v>0</v>
      </c>
      <c r="X143" s="1312">
        <v>0</v>
      </c>
      <c r="Y143" s="1312"/>
      <c r="Z143" s="1314">
        <f t="shared" si="40"/>
        <v>24</v>
      </c>
      <c r="AA143" s="1316">
        <f t="shared" si="41"/>
        <v>0</v>
      </c>
      <c r="AB143" s="1310"/>
      <c r="AC143" s="1315"/>
      <c r="AD143" s="1315"/>
      <c r="AE143" s="1312"/>
      <c r="AF143" s="1310"/>
      <c r="AG143" s="1315"/>
      <c r="AH143" s="1315"/>
      <c r="AI143" s="1312"/>
      <c r="AJ143" s="1314">
        <f t="shared" si="42"/>
        <v>0</v>
      </c>
      <c r="AK143" s="941"/>
      <c r="AL143" s="943"/>
      <c r="AM143" s="940"/>
      <c r="AN143" s="1316" t="s">
        <v>32</v>
      </c>
      <c r="AO143" s="1329">
        <f>AJ165</f>
        <v>22</v>
      </c>
      <c r="AP143" s="1330">
        <v>60.465000000000003</v>
      </c>
      <c r="AQ143" s="1330">
        <f>AP143*AO143</f>
        <v>1330.23</v>
      </c>
      <c r="AR143" s="967"/>
      <c r="AS143" s="1318"/>
      <c r="AT143" s="1353"/>
      <c r="AU143" s="1265"/>
      <c r="AV143" s="1265"/>
      <c r="AW143" s="1265"/>
      <c r="AX143" s="1265"/>
      <c r="AY143" s="1265"/>
      <c r="AZ143" s="1265"/>
      <c r="BA143" s="1265"/>
      <c r="BB143" s="1265"/>
      <c r="BC143" s="1265"/>
      <c r="BD143" s="1265"/>
      <c r="BE143" s="1265"/>
    </row>
    <row r="144" spans="1:57" ht="13.5" hidden="1" customHeight="1">
      <c r="A144" s="1318" t="s">
        <v>1060</v>
      </c>
      <c r="B144" s="1315">
        <v>0.29166666666666669</v>
      </c>
      <c r="C144" s="1332">
        <v>0.125</v>
      </c>
      <c r="D144" s="1312">
        <v>8</v>
      </c>
      <c r="E144" s="1312"/>
      <c r="F144" s="1310"/>
      <c r="G144" s="1315">
        <v>0.29166666666666669</v>
      </c>
      <c r="H144" s="1315">
        <v>0.125</v>
      </c>
      <c r="I144" s="1312">
        <v>8</v>
      </c>
      <c r="J144" s="1312"/>
      <c r="K144" s="1310"/>
      <c r="L144" s="1315">
        <v>0.29166666666666669</v>
      </c>
      <c r="M144" s="1315">
        <v>0.125</v>
      </c>
      <c r="N144" s="1312">
        <v>8</v>
      </c>
      <c r="O144" s="1312"/>
      <c r="P144" s="1310"/>
      <c r="Q144" s="1315">
        <v>0.29166666666666669</v>
      </c>
      <c r="R144" s="1315">
        <v>0.125</v>
      </c>
      <c r="S144" s="1312">
        <v>8</v>
      </c>
      <c r="T144" s="1312"/>
      <c r="U144" s="1310"/>
      <c r="V144" s="1315">
        <v>0.29166666666666669</v>
      </c>
      <c r="W144" s="1315">
        <v>0.125</v>
      </c>
      <c r="X144" s="1312">
        <v>8</v>
      </c>
      <c r="Y144" s="1312"/>
      <c r="Z144" s="1314">
        <f t="shared" si="40"/>
        <v>40</v>
      </c>
      <c r="AA144" s="1316">
        <f t="shared" si="41"/>
        <v>0</v>
      </c>
      <c r="AB144" s="1310"/>
      <c r="AC144" s="1315"/>
      <c r="AD144" s="1315"/>
      <c r="AE144" s="1312"/>
      <c r="AF144" s="1310"/>
      <c r="AG144" s="1315"/>
      <c r="AH144" s="1315"/>
      <c r="AI144" s="1312"/>
      <c r="AJ144" s="1314">
        <f t="shared" si="42"/>
        <v>0</v>
      </c>
      <c r="AK144" s="941"/>
      <c r="AL144" s="943"/>
      <c r="AM144" s="940"/>
      <c r="AN144" s="1316" t="s">
        <v>1475</v>
      </c>
      <c r="AO144" s="1329">
        <f>AA166+AJ166</f>
        <v>7.5</v>
      </c>
      <c r="AP144" s="1330">
        <f>(60.47*1.5)</f>
        <v>90.704999999999998</v>
      </c>
      <c r="AQ144" s="1330">
        <f t="shared" ref="AQ144" si="43">AP144*AO144</f>
        <v>680.28750000000002</v>
      </c>
      <c r="AR144" s="967"/>
      <c r="AS144" s="1318"/>
      <c r="AT144" s="1353"/>
      <c r="AU144" s="1265"/>
      <c r="AV144" s="1265"/>
      <c r="AW144" s="1265"/>
      <c r="AX144" s="1265"/>
      <c r="AY144" s="1265"/>
      <c r="AZ144" s="1265"/>
      <c r="BA144" s="1265"/>
      <c r="BB144" s="1265"/>
      <c r="BC144" s="1265"/>
      <c r="BD144" s="1265"/>
      <c r="BE144" s="1265"/>
    </row>
    <row r="145" spans="1:57" ht="13.5" hidden="1" customHeight="1">
      <c r="A145" s="1318" t="s">
        <v>1438</v>
      </c>
      <c r="B145" s="1315">
        <v>0.29166666666666669</v>
      </c>
      <c r="C145" s="1332">
        <v>0.125</v>
      </c>
      <c r="D145" s="1312">
        <v>8</v>
      </c>
      <c r="E145" s="1312"/>
      <c r="F145" s="1310"/>
      <c r="G145" s="1315">
        <v>0.29166666666666669</v>
      </c>
      <c r="H145" s="1315">
        <v>0.125</v>
      </c>
      <c r="I145" s="1312">
        <v>8</v>
      </c>
      <c r="J145" s="1312"/>
      <c r="K145" s="1310"/>
      <c r="L145" s="1315">
        <v>0.29166666666666669</v>
      </c>
      <c r="M145" s="1315">
        <v>0.14583333333333334</v>
      </c>
      <c r="N145" s="1312">
        <v>8</v>
      </c>
      <c r="O145" s="1312">
        <v>0.5</v>
      </c>
      <c r="P145" s="1310"/>
      <c r="Q145" s="1315">
        <v>0.29166666666666669</v>
      </c>
      <c r="R145" s="1315">
        <v>0.125</v>
      </c>
      <c r="S145" s="1312">
        <v>8</v>
      </c>
      <c r="T145" s="1312"/>
      <c r="U145" s="1310"/>
      <c r="V145" s="1315">
        <v>0</v>
      </c>
      <c r="W145" s="1315">
        <v>0</v>
      </c>
      <c r="X145" s="1312">
        <v>0</v>
      </c>
      <c r="Y145" s="1312"/>
      <c r="Z145" s="1314">
        <f t="shared" si="40"/>
        <v>32</v>
      </c>
      <c r="AA145" s="1316">
        <f t="shared" si="41"/>
        <v>0.5</v>
      </c>
      <c r="AB145" s="1310"/>
      <c r="AC145" s="1315"/>
      <c r="AD145" s="1315"/>
      <c r="AE145" s="1312"/>
      <c r="AF145" s="1310"/>
      <c r="AG145" s="1315"/>
      <c r="AH145" s="1315"/>
      <c r="AI145" s="1312"/>
      <c r="AJ145" s="1314">
        <f t="shared" si="42"/>
        <v>0</v>
      </c>
      <c r="AK145" s="941"/>
      <c r="AL145" s="943"/>
      <c r="AM145" s="940"/>
      <c r="AN145" s="1316" t="s">
        <v>213</v>
      </c>
      <c r="AO145" s="1329">
        <f>Z167</f>
        <v>40</v>
      </c>
      <c r="AP145" s="1330">
        <v>53.05</v>
      </c>
      <c r="AQ145" s="1330">
        <f>AP145*AO145</f>
        <v>2122</v>
      </c>
      <c r="AR145" s="967"/>
      <c r="AS145" s="1318"/>
      <c r="AT145" s="1353"/>
      <c r="AU145" s="1265"/>
      <c r="AV145" s="1265"/>
      <c r="AW145" s="1265"/>
      <c r="AX145" s="1265"/>
      <c r="AY145" s="1265"/>
      <c r="AZ145" s="1265"/>
      <c r="BA145" s="1265"/>
      <c r="BB145" s="1265"/>
      <c r="BC145" s="1265"/>
      <c r="BD145" s="1265"/>
      <c r="BE145" s="1265"/>
    </row>
    <row r="146" spans="1:57" ht="13.5" hidden="1" customHeight="1">
      <c r="A146" s="1318" t="s">
        <v>1142</v>
      </c>
      <c r="B146" s="1332">
        <v>0.39583333333333331</v>
      </c>
      <c r="C146" s="1332">
        <v>0.45833333333333331</v>
      </c>
      <c r="D146" s="1312">
        <v>8</v>
      </c>
      <c r="E146" s="1312">
        <v>3.5</v>
      </c>
      <c r="F146" s="1310"/>
      <c r="G146" s="1315">
        <v>0.125</v>
      </c>
      <c r="H146" s="1315">
        <v>0.45833333333333331</v>
      </c>
      <c r="I146" s="1312">
        <v>8</v>
      </c>
      <c r="J146" s="1312"/>
      <c r="K146" s="1312"/>
      <c r="L146" s="1315">
        <v>0.125</v>
      </c>
      <c r="M146" s="1315">
        <v>0.45833333333333331</v>
      </c>
      <c r="N146" s="1312">
        <v>8</v>
      </c>
      <c r="O146" s="1312"/>
      <c r="P146" s="1312"/>
      <c r="Q146" s="1315">
        <v>0.125</v>
      </c>
      <c r="R146" s="1315">
        <v>0.45833333333333331</v>
      </c>
      <c r="S146" s="1312">
        <v>8</v>
      </c>
      <c r="T146" s="1312"/>
      <c r="U146" s="1312"/>
      <c r="V146" s="1315">
        <v>0.125</v>
      </c>
      <c r="W146" s="1315">
        <v>0.45833333333333331</v>
      </c>
      <c r="X146" s="1312">
        <v>8</v>
      </c>
      <c r="Y146" s="1312"/>
      <c r="Z146" s="1314">
        <f t="shared" si="40"/>
        <v>40</v>
      </c>
      <c r="AA146" s="1316">
        <f t="shared" si="41"/>
        <v>3.5</v>
      </c>
      <c r="AB146" s="1310"/>
      <c r="AC146" s="1315"/>
      <c r="AD146" s="1315"/>
      <c r="AE146" s="1312"/>
      <c r="AF146" s="1310"/>
      <c r="AG146" s="1315"/>
      <c r="AH146" s="1315"/>
      <c r="AI146" s="1312"/>
      <c r="AJ146" s="1314">
        <f t="shared" si="42"/>
        <v>0</v>
      </c>
      <c r="AK146" s="941"/>
      <c r="AL146" s="943"/>
      <c r="AM146" s="940"/>
      <c r="AN146" s="1316" t="s">
        <v>36</v>
      </c>
      <c r="AO146" s="1329">
        <f>AA167+AJ167</f>
        <v>10</v>
      </c>
      <c r="AP146" s="1330">
        <f>53.05*1.5</f>
        <v>79.574999999999989</v>
      </c>
      <c r="AQ146" s="1330">
        <f>AP146*AO146</f>
        <v>795.74999999999989</v>
      </c>
      <c r="AR146" s="967"/>
      <c r="AS146" s="1318"/>
      <c r="AT146" s="1353"/>
      <c r="AU146" s="1265"/>
      <c r="AV146" s="1265"/>
      <c r="AW146" s="1265"/>
      <c r="AX146" s="1265"/>
      <c r="AY146" s="1265"/>
      <c r="AZ146" s="1265"/>
      <c r="BA146" s="1265"/>
      <c r="BB146" s="1265"/>
      <c r="BC146" s="1265"/>
      <c r="BD146" s="1265"/>
      <c r="BE146" s="1265"/>
    </row>
    <row r="147" spans="1:57" ht="13.5" hidden="1" customHeight="1">
      <c r="A147" s="1318" t="s">
        <v>1447</v>
      </c>
      <c r="B147" s="1332">
        <v>8.3333333333333329E-2</v>
      </c>
      <c r="C147" s="1332">
        <v>0.45833333333333331</v>
      </c>
      <c r="D147" s="1312">
        <v>8</v>
      </c>
      <c r="E147" s="1312">
        <v>1</v>
      </c>
      <c r="F147" s="1310"/>
      <c r="G147" s="1315">
        <v>0.125</v>
      </c>
      <c r="H147" s="1315">
        <v>0.45833333333333331</v>
      </c>
      <c r="I147" s="1312">
        <v>8</v>
      </c>
      <c r="J147" s="1312"/>
      <c r="K147" s="1312"/>
      <c r="L147" s="1315">
        <v>0.125</v>
      </c>
      <c r="M147" s="1315">
        <v>0.45833333333333331</v>
      </c>
      <c r="N147" s="1312">
        <v>8</v>
      </c>
      <c r="O147" s="1312"/>
      <c r="P147" s="1312"/>
      <c r="Q147" s="1315">
        <v>0.125</v>
      </c>
      <c r="R147" s="1315">
        <v>0.45833333333333331</v>
      </c>
      <c r="S147" s="1312">
        <v>8</v>
      </c>
      <c r="T147" s="1312"/>
      <c r="U147" s="1312"/>
      <c r="V147" s="1315">
        <v>0.125</v>
      </c>
      <c r="W147" s="1315">
        <v>0.45833333333333331</v>
      </c>
      <c r="X147" s="1312">
        <v>8</v>
      </c>
      <c r="Y147" s="1312"/>
      <c r="Z147" s="1314">
        <f t="shared" si="40"/>
        <v>40</v>
      </c>
      <c r="AA147" s="1316">
        <f t="shared" si="41"/>
        <v>1</v>
      </c>
      <c r="AB147" s="1310"/>
      <c r="AC147" s="1315"/>
      <c r="AD147" s="1315"/>
      <c r="AE147" s="1312"/>
      <c r="AF147" s="1310"/>
      <c r="AG147" s="1315"/>
      <c r="AH147" s="1315"/>
      <c r="AI147" s="1312"/>
      <c r="AJ147" s="1314">
        <f t="shared" si="42"/>
        <v>0</v>
      </c>
      <c r="AK147" s="941"/>
      <c r="AL147" s="943"/>
      <c r="AM147" s="940"/>
      <c r="AN147" s="967"/>
      <c r="AO147" s="967"/>
      <c r="AP147" s="967"/>
      <c r="AQ147" s="1331">
        <f>SUM(AQ140:AQ146)</f>
        <v>40986.560000000005</v>
      </c>
      <c r="AR147" s="967"/>
      <c r="AS147" s="1318"/>
      <c r="AT147" s="1353"/>
      <c r="AU147" s="1265"/>
      <c r="AV147" s="1265"/>
      <c r="AW147" s="1265"/>
      <c r="AX147" s="1265"/>
      <c r="AY147" s="1265"/>
      <c r="AZ147" s="1265"/>
      <c r="BA147" s="1265"/>
      <c r="BB147" s="1265"/>
      <c r="BC147" s="1265"/>
      <c r="BD147" s="1265"/>
      <c r="BE147" s="1265"/>
    </row>
    <row r="148" spans="1:57" ht="13.5" hidden="1" customHeight="1">
      <c r="A148" s="1310" t="s">
        <v>327</v>
      </c>
      <c r="B148" s="1332">
        <v>0.125</v>
      </c>
      <c r="C148" s="1332">
        <v>0.45833333333333331</v>
      </c>
      <c r="D148" s="1312">
        <v>8</v>
      </c>
      <c r="E148" s="1312"/>
      <c r="F148" s="1312"/>
      <c r="G148" s="1315">
        <v>0.125</v>
      </c>
      <c r="H148" s="1315">
        <v>0.45833333333333331</v>
      </c>
      <c r="I148" s="1312">
        <v>8</v>
      </c>
      <c r="J148" s="1312"/>
      <c r="K148" s="1312"/>
      <c r="L148" s="1315">
        <v>0.125</v>
      </c>
      <c r="M148" s="1315">
        <v>0.45833333333333331</v>
      </c>
      <c r="N148" s="1312">
        <v>8</v>
      </c>
      <c r="O148" s="1312"/>
      <c r="P148" s="1312"/>
      <c r="Q148" s="1315">
        <v>0.125</v>
      </c>
      <c r="R148" s="1315">
        <v>0.45833333333333331</v>
      </c>
      <c r="S148" s="1312">
        <v>8</v>
      </c>
      <c r="T148" s="1312"/>
      <c r="U148" s="1312"/>
      <c r="V148" s="1315">
        <v>0.125</v>
      </c>
      <c r="W148" s="1315">
        <v>0.45833333333333331</v>
      </c>
      <c r="X148" s="1312">
        <v>8</v>
      </c>
      <c r="Y148" s="1312"/>
      <c r="Z148" s="1314">
        <f t="shared" si="40"/>
        <v>40</v>
      </c>
      <c r="AA148" s="1316">
        <f t="shared" si="41"/>
        <v>0</v>
      </c>
      <c r="AB148" s="1310"/>
      <c r="AC148" s="1315"/>
      <c r="AD148" s="1315"/>
      <c r="AE148" s="1312"/>
      <c r="AF148" s="1310"/>
      <c r="AG148" s="1315"/>
      <c r="AH148" s="1315"/>
      <c r="AI148" s="1312"/>
      <c r="AJ148" s="1314">
        <f t="shared" si="42"/>
        <v>0</v>
      </c>
      <c r="AK148" s="941"/>
      <c r="AL148" s="943"/>
      <c r="AM148" s="940"/>
      <c r="AN148" s="967"/>
      <c r="AO148" s="967"/>
      <c r="AP148" s="967"/>
      <c r="AQ148" s="967"/>
      <c r="AR148" s="967"/>
      <c r="AS148" s="1310"/>
      <c r="AT148" s="942"/>
      <c r="AU148" s="1265"/>
      <c r="AV148" s="1265"/>
      <c r="AW148" s="1265"/>
      <c r="AX148" s="1265"/>
      <c r="AY148" s="1265"/>
      <c r="AZ148" s="1265"/>
      <c r="BA148" s="1265"/>
      <c r="BB148" s="1265"/>
      <c r="BC148" s="1265"/>
      <c r="BD148" s="1265"/>
      <c r="BE148" s="1265"/>
    </row>
    <row r="149" spans="1:57" ht="13.5" hidden="1" customHeight="1">
      <c r="A149" s="1310" t="s">
        <v>1436</v>
      </c>
      <c r="B149" s="1332">
        <v>0.125</v>
      </c>
      <c r="C149" s="1332">
        <v>0.45833333333333331</v>
      </c>
      <c r="D149" s="1312">
        <v>8</v>
      </c>
      <c r="E149" s="1312"/>
      <c r="F149" s="1312"/>
      <c r="G149" s="1315">
        <v>0.125</v>
      </c>
      <c r="H149" s="1315">
        <v>0.45833333333333331</v>
      </c>
      <c r="I149" s="1312">
        <v>8</v>
      </c>
      <c r="J149" s="1312"/>
      <c r="K149" s="1312"/>
      <c r="L149" s="1315">
        <v>0.125</v>
      </c>
      <c r="M149" s="1315">
        <v>0.45833333333333331</v>
      </c>
      <c r="N149" s="1312">
        <v>8</v>
      </c>
      <c r="O149" s="1312"/>
      <c r="P149" s="1312"/>
      <c r="Q149" s="1315">
        <v>0.125</v>
      </c>
      <c r="R149" s="1315">
        <v>0.45833333333333331</v>
      </c>
      <c r="S149" s="1312">
        <v>8</v>
      </c>
      <c r="T149" s="1312"/>
      <c r="U149" s="1312"/>
      <c r="V149" s="1315">
        <v>0.125</v>
      </c>
      <c r="W149" s="1315">
        <v>0.45833333333333331</v>
      </c>
      <c r="X149" s="1312">
        <v>8</v>
      </c>
      <c r="Y149" s="1312"/>
      <c r="Z149" s="1314">
        <f t="shared" si="40"/>
        <v>40</v>
      </c>
      <c r="AA149" s="1316">
        <f t="shared" si="41"/>
        <v>0</v>
      </c>
      <c r="AB149" s="1310"/>
      <c r="AC149" s="1315"/>
      <c r="AD149" s="1315"/>
      <c r="AE149" s="1312"/>
      <c r="AF149" s="1310"/>
      <c r="AG149" s="1315"/>
      <c r="AH149" s="1315"/>
      <c r="AI149" s="1312"/>
      <c r="AJ149" s="1314">
        <f t="shared" si="42"/>
        <v>0</v>
      </c>
      <c r="AK149" s="941"/>
      <c r="AL149" s="943"/>
      <c r="AM149" s="940"/>
      <c r="AN149" s="967"/>
      <c r="AO149" s="967"/>
      <c r="AP149" s="967"/>
      <c r="AQ149" s="967"/>
      <c r="AR149" s="967"/>
      <c r="AS149" s="1310"/>
      <c r="AT149" s="942"/>
      <c r="AU149" s="1265"/>
      <c r="AV149" s="1265"/>
      <c r="AW149" s="1265"/>
      <c r="AX149" s="1265"/>
      <c r="AY149" s="1265"/>
      <c r="AZ149" s="1265"/>
      <c r="BA149" s="1265"/>
      <c r="BB149" s="1265"/>
      <c r="BC149" s="1265"/>
      <c r="BD149" s="1265"/>
      <c r="BE149" s="1265"/>
    </row>
    <row r="150" spans="1:57" ht="13.5" hidden="1" customHeight="1">
      <c r="A150" s="1318" t="s">
        <v>1140</v>
      </c>
      <c r="B150" s="1332">
        <v>0.125</v>
      </c>
      <c r="C150" s="1332">
        <v>0.45833333333333331</v>
      </c>
      <c r="D150" s="1312">
        <v>8</v>
      </c>
      <c r="E150" s="1312"/>
      <c r="F150" s="1310"/>
      <c r="G150" s="1315">
        <v>0.125</v>
      </c>
      <c r="H150" s="1315">
        <v>0.45833333333333331</v>
      </c>
      <c r="I150" s="1312">
        <v>8</v>
      </c>
      <c r="J150" s="1312"/>
      <c r="K150" s="1310"/>
      <c r="L150" s="1315">
        <v>0.125</v>
      </c>
      <c r="M150" s="1315">
        <v>0.45833333333333331</v>
      </c>
      <c r="N150" s="1312">
        <v>8</v>
      </c>
      <c r="O150" s="1312"/>
      <c r="P150" s="1310"/>
      <c r="Q150" s="1315">
        <v>0.13541666666666666</v>
      </c>
      <c r="R150" s="1315">
        <v>0.45833333333333331</v>
      </c>
      <c r="S150" s="1312">
        <v>7.75</v>
      </c>
      <c r="T150" s="1312"/>
      <c r="U150" s="1310"/>
      <c r="V150" s="1315">
        <v>0.125</v>
      </c>
      <c r="W150" s="1315">
        <v>0.45833333333333331</v>
      </c>
      <c r="X150" s="1312">
        <v>8</v>
      </c>
      <c r="Y150" s="1312"/>
      <c r="Z150" s="1314">
        <f t="shared" si="40"/>
        <v>39.75</v>
      </c>
      <c r="AA150" s="1316">
        <f t="shared" si="41"/>
        <v>0</v>
      </c>
      <c r="AB150" s="1310"/>
      <c r="AC150" s="1315"/>
      <c r="AD150" s="1315"/>
      <c r="AE150" s="1312"/>
      <c r="AF150" s="1310"/>
      <c r="AG150" s="1315"/>
      <c r="AH150" s="1315"/>
      <c r="AI150" s="1312"/>
      <c r="AJ150" s="1314">
        <f t="shared" si="42"/>
        <v>0</v>
      </c>
      <c r="AK150" s="941"/>
      <c r="AL150" s="943"/>
      <c r="AM150" s="940"/>
      <c r="AN150" s="1316"/>
      <c r="AO150" s="1329"/>
      <c r="AP150" s="1330"/>
      <c r="AQ150" s="1330"/>
      <c r="AR150" s="967"/>
      <c r="AS150" s="1318"/>
      <c r="AT150" s="1353"/>
      <c r="AU150" s="1265"/>
      <c r="AV150" s="1265"/>
      <c r="AW150" s="1265"/>
      <c r="AX150" s="1265"/>
      <c r="AY150" s="1265"/>
      <c r="AZ150" s="1265"/>
      <c r="BA150" s="1265"/>
      <c r="BB150" s="1265"/>
      <c r="BC150" s="1265"/>
      <c r="BD150" s="1265"/>
      <c r="BE150" s="1265"/>
    </row>
    <row r="151" spans="1:57" ht="13.5" hidden="1" customHeight="1">
      <c r="A151" s="1318" t="s">
        <v>1141</v>
      </c>
      <c r="B151" s="1315">
        <v>4.1666666666666664E-2</v>
      </c>
      <c r="C151" s="1332">
        <v>0.41666666666666669</v>
      </c>
      <c r="D151" s="1312">
        <v>8</v>
      </c>
      <c r="E151" s="1312"/>
      <c r="F151" s="1312"/>
      <c r="G151" s="1315"/>
      <c r="H151" s="1315"/>
      <c r="I151" s="1312">
        <v>0</v>
      </c>
      <c r="J151" s="1312"/>
      <c r="K151" s="1312"/>
      <c r="L151" s="1315">
        <v>0.29166666666666669</v>
      </c>
      <c r="M151" s="1315">
        <v>0.20833333333333334</v>
      </c>
      <c r="N151" s="1312">
        <v>8</v>
      </c>
      <c r="O151" s="1312">
        <v>1</v>
      </c>
      <c r="P151" s="1312"/>
      <c r="Q151" s="1315">
        <v>0.29166666666666669</v>
      </c>
      <c r="R151" s="1315">
        <v>0.16666666666666666</v>
      </c>
      <c r="S151" s="1312">
        <v>8</v>
      </c>
      <c r="T151" s="1312"/>
      <c r="U151" s="1312"/>
      <c r="V151" s="1315">
        <v>0.41666666666666669</v>
      </c>
      <c r="W151" s="1315">
        <v>0.20833333333333334</v>
      </c>
      <c r="X151" s="1312">
        <v>7</v>
      </c>
      <c r="Y151" s="1312"/>
      <c r="Z151" s="1314">
        <f>D151+I151+N151+S151+X151</f>
        <v>31</v>
      </c>
      <c r="AA151" s="1316">
        <f t="shared" si="41"/>
        <v>1</v>
      </c>
      <c r="AB151" s="1310"/>
      <c r="AC151" s="1315">
        <v>0.29166666666666669</v>
      </c>
      <c r="AD151" s="1315">
        <v>0.1875</v>
      </c>
      <c r="AE151" s="1312">
        <v>8.5</v>
      </c>
      <c r="AF151" s="1310"/>
      <c r="AG151" s="1315">
        <v>0.29166666666666669</v>
      </c>
      <c r="AH151" s="1315">
        <v>0.22916666666666666</v>
      </c>
      <c r="AI151" s="1312">
        <v>9.5</v>
      </c>
      <c r="AJ151" s="1314">
        <f t="shared" si="42"/>
        <v>18</v>
      </c>
      <c r="AK151" s="941"/>
      <c r="AL151" s="943"/>
      <c r="AM151" s="940"/>
      <c r="AN151" s="967"/>
      <c r="AO151" s="967"/>
      <c r="AP151" s="967"/>
      <c r="AQ151" s="967"/>
      <c r="AR151" s="967"/>
      <c r="AS151" s="1318"/>
      <c r="AT151" s="1353"/>
      <c r="AU151" s="1265"/>
      <c r="AV151" s="1265"/>
      <c r="AW151" s="1265"/>
      <c r="AX151" s="1265"/>
      <c r="AY151" s="1265"/>
      <c r="AZ151" s="1265"/>
      <c r="BA151" s="1265"/>
      <c r="BB151" s="1265"/>
      <c r="BC151" s="1265"/>
      <c r="BD151" s="1265"/>
      <c r="BE151" s="1265"/>
    </row>
    <row r="152" spans="1:57" ht="13.5" hidden="1" customHeight="1">
      <c r="A152" s="1318" t="s">
        <v>241</v>
      </c>
      <c r="B152" s="1332">
        <v>0.41666666666666669</v>
      </c>
      <c r="C152" s="1332">
        <v>0.20833333333333334</v>
      </c>
      <c r="D152" s="1312">
        <v>6.5</v>
      </c>
      <c r="E152" s="1312"/>
      <c r="F152" s="1312"/>
      <c r="G152" s="1315">
        <v>0.5</v>
      </c>
      <c r="H152" s="1315">
        <v>0.41666666666666669</v>
      </c>
      <c r="I152" s="1312">
        <v>8</v>
      </c>
      <c r="J152" s="1312">
        <v>1</v>
      </c>
      <c r="K152" s="1312"/>
      <c r="L152" s="1315">
        <v>0.41666666666666669</v>
      </c>
      <c r="M152" s="1315">
        <v>0.20833333333333334</v>
      </c>
      <c r="N152" s="1312">
        <v>6.5</v>
      </c>
      <c r="O152" s="1312"/>
      <c r="P152" s="1312"/>
      <c r="Q152" s="1315">
        <v>0.41666666666666669</v>
      </c>
      <c r="R152" s="1315">
        <v>0.20833333333333334</v>
      </c>
      <c r="S152" s="1312">
        <v>6.5</v>
      </c>
      <c r="T152" s="1312"/>
      <c r="U152" s="1312"/>
      <c r="V152" s="1315">
        <v>0.41666666666666669</v>
      </c>
      <c r="W152" s="1315">
        <v>0.20833333333333334</v>
      </c>
      <c r="X152" s="1312">
        <v>7</v>
      </c>
      <c r="Y152" s="1312"/>
      <c r="Z152" s="1314">
        <f>D152+I152+N152+S152+X152</f>
        <v>34.5</v>
      </c>
      <c r="AA152" s="1316">
        <f t="shared" si="41"/>
        <v>1</v>
      </c>
      <c r="AB152" s="1310"/>
      <c r="AC152" s="1315"/>
      <c r="AD152" s="1315"/>
      <c r="AE152" s="1312"/>
      <c r="AF152" s="1310"/>
      <c r="AG152" s="1315"/>
      <c r="AH152" s="1315"/>
      <c r="AI152" s="1312"/>
      <c r="AJ152" s="1314">
        <f t="shared" si="42"/>
        <v>0</v>
      </c>
      <c r="AK152" s="941"/>
      <c r="AL152" s="943"/>
      <c r="AM152" s="940"/>
      <c r="AN152" s="967"/>
      <c r="AO152" s="967"/>
      <c r="AP152" s="967"/>
      <c r="AQ152" s="967"/>
      <c r="AR152" s="967"/>
      <c r="AS152" s="1318"/>
      <c r="AT152" s="1353"/>
      <c r="AU152" s="1265"/>
      <c r="AV152" s="1265"/>
      <c r="AW152" s="1265"/>
      <c r="AX152" s="1265"/>
      <c r="AY152" s="1265"/>
      <c r="AZ152" s="1265"/>
      <c r="BA152" s="1265"/>
      <c r="BB152" s="1265"/>
      <c r="BC152" s="1265"/>
      <c r="BD152" s="1265"/>
      <c r="BE152" s="1265"/>
    </row>
    <row r="153" spans="1:57" ht="13.5" hidden="1" customHeight="1">
      <c r="A153" s="1318" t="s">
        <v>1477</v>
      </c>
      <c r="B153" s="1332">
        <v>0.375</v>
      </c>
      <c r="C153" s="1332">
        <v>0.20833333333333334</v>
      </c>
      <c r="D153" s="1312">
        <v>7</v>
      </c>
      <c r="E153" s="1312"/>
      <c r="F153" s="1312"/>
      <c r="G153" s="1315">
        <v>0.375</v>
      </c>
      <c r="H153" s="1315">
        <v>0.20833333333333334</v>
      </c>
      <c r="I153" s="1312">
        <v>7</v>
      </c>
      <c r="J153" s="1312"/>
      <c r="K153" s="1312"/>
      <c r="L153" s="1315">
        <v>0.375</v>
      </c>
      <c r="M153" s="1315">
        <v>0.20833333333333334</v>
      </c>
      <c r="N153" s="1312">
        <v>7.5</v>
      </c>
      <c r="O153" s="1312"/>
      <c r="P153" s="1312"/>
      <c r="Q153" s="1315">
        <v>0.375</v>
      </c>
      <c r="R153" s="1315">
        <v>0.20833333333333334</v>
      </c>
      <c r="S153" s="1312">
        <v>7.5</v>
      </c>
      <c r="T153" s="1312"/>
      <c r="U153" s="1312"/>
      <c r="V153" s="1315">
        <v>0.375</v>
      </c>
      <c r="W153" s="1315">
        <v>0.20833333333333334</v>
      </c>
      <c r="X153" s="1312">
        <v>7</v>
      </c>
      <c r="Y153" s="1312"/>
      <c r="Z153" s="1314">
        <f>D153+I153+N153+S153+X153</f>
        <v>36</v>
      </c>
      <c r="AA153" s="1316">
        <f t="shared" si="41"/>
        <v>0</v>
      </c>
      <c r="AB153" s="1310"/>
      <c r="AC153" s="1315"/>
      <c r="AD153" s="1315"/>
      <c r="AE153" s="1312"/>
      <c r="AF153" s="1310"/>
      <c r="AG153" s="1315"/>
      <c r="AH153" s="1315"/>
      <c r="AI153" s="1312"/>
      <c r="AJ153" s="1314">
        <f t="shared" si="42"/>
        <v>0</v>
      </c>
      <c r="AK153" s="941"/>
      <c r="AL153" s="943"/>
      <c r="AM153" s="940"/>
      <c r="AN153" s="967"/>
      <c r="AO153" s="967"/>
      <c r="AP153" s="967"/>
      <c r="AQ153" s="967"/>
      <c r="AR153" s="967"/>
      <c r="AS153" s="1318"/>
      <c r="AT153" s="1353"/>
      <c r="AU153" s="1265"/>
      <c r="AV153" s="1265"/>
      <c r="AW153" s="1265"/>
      <c r="AX153" s="1265"/>
      <c r="AY153" s="1265"/>
      <c r="AZ153" s="1265"/>
      <c r="BA153" s="1265"/>
      <c r="BB153" s="1265"/>
      <c r="BC153" s="1265"/>
      <c r="BD153" s="1265"/>
      <c r="BE153" s="1265"/>
    </row>
    <row r="154" spans="1:57" ht="13.5" hidden="1" customHeight="1">
      <c r="A154" s="1318" t="s">
        <v>1444</v>
      </c>
      <c r="B154" s="1332"/>
      <c r="C154" s="1332"/>
      <c r="D154" s="1312">
        <v>5</v>
      </c>
      <c r="E154" s="1312"/>
      <c r="F154" s="1312"/>
      <c r="G154" s="1315"/>
      <c r="H154" s="1315">
        <v>0.125</v>
      </c>
      <c r="I154" s="1312">
        <v>5</v>
      </c>
      <c r="J154" s="1312"/>
      <c r="K154" s="1312"/>
      <c r="L154" s="1315">
        <v>0.375</v>
      </c>
      <c r="M154" s="1315">
        <v>0.125</v>
      </c>
      <c r="N154" s="1312">
        <v>5.5</v>
      </c>
      <c r="O154" s="1312"/>
      <c r="P154" s="1312"/>
      <c r="Q154" s="1315">
        <v>0.375</v>
      </c>
      <c r="R154" s="1315">
        <v>0.125</v>
      </c>
      <c r="S154" s="1312">
        <v>5.5</v>
      </c>
      <c r="T154" s="1312"/>
      <c r="U154" s="1312"/>
      <c r="V154" s="1315">
        <v>0.375</v>
      </c>
      <c r="W154" s="1315"/>
      <c r="X154" s="1312">
        <v>5</v>
      </c>
      <c r="Y154" s="1312"/>
      <c r="Z154" s="1314">
        <f t="shared" ref="Z154:Z158" si="44">D154+I154+N154+S154+X154</f>
        <v>26</v>
      </c>
      <c r="AA154" s="1316">
        <f t="shared" si="41"/>
        <v>0</v>
      </c>
      <c r="AB154" s="1310"/>
      <c r="AC154" s="1315"/>
      <c r="AD154" s="1315"/>
      <c r="AE154" s="1312"/>
      <c r="AF154" s="1310"/>
      <c r="AG154" s="1315"/>
      <c r="AH154" s="1315"/>
      <c r="AI154" s="1312"/>
      <c r="AJ154" s="1314">
        <f t="shared" si="42"/>
        <v>0</v>
      </c>
      <c r="AK154" s="941"/>
      <c r="AL154" s="943"/>
      <c r="AM154" s="940"/>
      <c r="AN154" s="967"/>
      <c r="AO154" s="967"/>
      <c r="AP154" s="967"/>
      <c r="AQ154" s="967"/>
      <c r="AR154" s="967"/>
      <c r="AS154" s="1318"/>
      <c r="AT154" s="1353"/>
      <c r="AU154" s="1265"/>
      <c r="AV154" s="1265"/>
      <c r="AW154" s="1265"/>
      <c r="AX154" s="1265"/>
      <c r="AY154" s="1265"/>
      <c r="AZ154" s="1265"/>
      <c r="BA154" s="1265"/>
      <c r="BB154" s="1265"/>
      <c r="BC154" s="1265"/>
      <c r="BD154" s="1265"/>
      <c r="BE154" s="1265"/>
    </row>
    <row r="155" spans="1:57" ht="13.5" hidden="1" customHeight="1">
      <c r="A155" s="1318" t="s">
        <v>1479</v>
      </c>
      <c r="B155" s="1315"/>
      <c r="C155" s="1315"/>
      <c r="D155" s="1312">
        <v>0</v>
      </c>
      <c r="E155" s="1312"/>
      <c r="F155" s="1312"/>
      <c r="G155" s="1315">
        <v>0.5</v>
      </c>
      <c r="H155" s="1315">
        <v>0.41666666666666669</v>
      </c>
      <c r="I155" s="1312">
        <v>8</v>
      </c>
      <c r="J155" s="1312">
        <v>1</v>
      </c>
      <c r="K155" s="1312"/>
      <c r="L155" s="1315">
        <v>0.29166666666666669</v>
      </c>
      <c r="M155" s="1315">
        <v>0.16666666666666666</v>
      </c>
      <c r="N155" s="1312">
        <v>8</v>
      </c>
      <c r="O155" s="1312"/>
      <c r="P155" s="1312"/>
      <c r="Q155" s="1315">
        <v>0.16666666666666666</v>
      </c>
      <c r="R155" s="1315">
        <v>0.41666666666666669</v>
      </c>
      <c r="S155" s="1312">
        <v>5.5</v>
      </c>
      <c r="T155" s="1312"/>
      <c r="U155" s="1312"/>
      <c r="V155" s="1315">
        <v>0.375</v>
      </c>
      <c r="W155" s="1315">
        <v>0.20833333333333334</v>
      </c>
      <c r="X155" s="1312">
        <v>8</v>
      </c>
      <c r="Y155" s="1312"/>
      <c r="Z155" s="1314">
        <f t="shared" si="44"/>
        <v>29.5</v>
      </c>
      <c r="AA155" s="1316">
        <f t="shared" si="41"/>
        <v>1</v>
      </c>
      <c r="AB155" s="1310"/>
      <c r="AC155" s="1315">
        <v>0.1875</v>
      </c>
      <c r="AD155" s="1315">
        <v>0.20833333333333334</v>
      </c>
      <c r="AE155" s="1312">
        <v>4</v>
      </c>
      <c r="AF155" s="1310"/>
      <c r="AG155" s="1315"/>
      <c r="AH155" s="1315"/>
      <c r="AI155" s="1312"/>
      <c r="AJ155" s="1314">
        <f t="shared" si="42"/>
        <v>4</v>
      </c>
      <c r="AK155" s="941"/>
      <c r="AL155" s="943"/>
      <c r="AM155" s="940"/>
      <c r="AN155" s="967"/>
      <c r="AO155" s="967"/>
      <c r="AP155" s="967"/>
      <c r="AQ155" s="967"/>
      <c r="AR155" s="967"/>
      <c r="AS155" s="1318"/>
      <c r="AT155" s="1353"/>
      <c r="AU155" s="1265"/>
      <c r="AV155" s="1265"/>
      <c r="AW155" s="1265"/>
      <c r="AX155" s="1265"/>
      <c r="AY155" s="1265"/>
      <c r="AZ155" s="1265"/>
      <c r="BA155" s="1265"/>
      <c r="BB155" s="1265"/>
      <c r="BC155" s="1265"/>
      <c r="BD155" s="1265"/>
      <c r="BE155" s="1265"/>
    </row>
    <row r="156" spans="1:57" ht="13.5" hidden="1" customHeight="1">
      <c r="A156" s="1318" t="s">
        <v>1480</v>
      </c>
      <c r="B156" s="1332">
        <v>0.29166666666666669</v>
      </c>
      <c r="C156" s="1332">
        <v>0.16666666666666666</v>
      </c>
      <c r="D156" s="1312">
        <v>8</v>
      </c>
      <c r="E156" s="1312"/>
      <c r="F156" s="1312"/>
      <c r="G156" s="1315">
        <v>0.5</v>
      </c>
      <c r="H156" s="1315">
        <v>0.41666666666666669</v>
      </c>
      <c r="I156" s="1312">
        <v>8</v>
      </c>
      <c r="J156" s="1312">
        <v>1</v>
      </c>
      <c r="K156" s="1312"/>
      <c r="L156" s="1315">
        <v>0.375</v>
      </c>
      <c r="M156" s="1315">
        <v>0.16666666666666666</v>
      </c>
      <c r="N156" s="1312">
        <v>6.5</v>
      </c>
      <c r="O156" s="1312"/>
      <c r="P156" s="1312"/>
      <c r="Q156" s="1315">
        <v>0.29166666666666669</v>
      </c>
      <c r="R156" s="1315">
        <v>0.20833333333333334</v>
      </c>
      <c r="S156" s="1312">
        <v>8</v>
      </c>
      <c r="T156" s="1312">
        <v>1</v>
      </c>
      <c r="U156" s="1312"/>
      <c r="V156" s="1315">
        <v>0.29166666666666669</v>
      </c>
      <c r="W156" s="1315">
        <v>0.125</v>
      </c>
      <c r="X156" s="1312">
        <v>8</v>
      </c>
      <c r="Y156" s="1312"/>
      <c r="Z156" s="1314">
        <f t="shared" si="44"/>
        <v>38.5</v>
      </c>
      <c r="AA156" s="1316">
        <f t="shared" si="41"/>
        <v>2</v>
      </c>
      <c r="AB156" s="1310"/>
      <c r="AC156" s="1315"/>
      <c r="AD156" s="1315"/>
      <c r="AE156" s="1312"/>
      <c r="AF156" s="1310"/>
      <c r="AG156" s="1315"/>
      <c r="AH156" s="1315"/>
      <c r="AI156" s="1312"/>
      <c r="AJ156" s="1314">
        <f t="shared" si="42"/>
        <v>0</v>
      </c>
      <c r="AK156" s="941"/>
      <c r="AL156" s="943"/>
      <c r="AM156" s="940"/>
      <c r="AN156" s="967"/>
      <c r="AO156" s="967"/>
      <c r="AP156" s="967"/>
      <c r="AQ156" s="967"/>
      <c r="AR156" s="967"/>
      <c r="AS156" s="1318"/>
      <c r="AT156" s="1353"/>
      <c r="AU156" s="1265"/>
      <c r="AV156" s="1265"/>
      <c r="AW156" s="1265"/>
      <c r="AX156" s="1265"/>
      <c r="AY156" s="1265"/>
      <c r="AZ156" s="1265"/>
      <c r="BA156" s="1265"/>
      <c r="BB156" s="1265"/>
      <c r="BC156" s="1265"/>
      <c r="BD156" s="1265"/>
      <c r="BE156" s="1265"/>
    </row>
    <row r="157" spans="1:57" ht="13.5" hidden="1" customHeight="1">
      <c r="A157" s="1318" t="s">
        <v>1143</v>
      </c>
      <c r="B157" s="1315"/>
      <c r="C157" s="1315"/>
      <c r="D157" s="1312">
        <v>0</v>
      </c>
      <c r="E157" s="1312"/>
      <c r="F157" s="1312"/>
      <c r="G157" s="1315"/>
      <c r="H157" s="1315"/>
      <c r="I157" s="1312">
        <v>0</v>
      </c>
      <c r="J157" s="1312"/>
      <c r="K157" s="1312"/>
      <c r="L157" s="1315"/>
      <c r="M157" s="1315"/>
      <c r="N157" s="1312"/>
      <c r="O157" s="1312"/>
      <c r="P157" s="1312"/>
      <c r="Q157" s="1315"/>
      <c r="R157" s="1315"/>
      <c r="S157" s="1312">
        <v>0</v>
      </c>
      <c r="T157" s="1312"/>
      <c r="U157" s="1312"/>
      <c r="V157" s="1315">
        <v>0.41666666666666669</v>
      </c>
      <c r="W157" s="1315">
        <v>0.20833333333333334</v>
      </c>
      <c r="X157" s="1312">
        <v>7</v>
      </c>
      <c r="Y157" s="1312"/>
      <c r="Z157" s="1314">
        <f t="shared" si="44"/>
        <v>7</v>
      </c>
      <c r="AA157" s="1316">
        <f t="shared" si="41"/>
        <v>0</v>
      </c>
      <c r="AB157" s="1310"/>
      <c r="AC157" s="1315"/>
      <c r="AD157" s="1315"/>
      <c r="AE157" s="1312"/>
      <c r="AF157" s="1310"/>
      <c r="AG157" s="1315"/>
      <c r="AH157" s="1315"/>
      <c r="AI157" s="1312"/>
      <c r="AJ157" s="1314">
        <f t="shared" si="42"/>
        <v>0</v>
      </c>
      <c r="AK157" s="941"/>
      <c r="AL157" s="943"/>
      <c r="AM157" s="940"/>
      <c r="AN157" s="967"/>
      <c r="AO157" s="967"/>
      <c r="AP157" s="967"/>
      <c r="AQ157" s="967"/>
      <c r="AR157" s="967"/>
      <c r="AS157" s="1318"/>
      <c r="AT157" s="1353"/>
      <c r="AU157" s="1265"/>
      <c r="AV157" s="1265"/>
      <c r="AW157" s="1265"/>
      <c r="AX157" s="1265"/>
      <c r="AY157" s="1265"/>
      <c r="AZ157" s="1265"/>
      <c r="BA157" s="1265"/>
      <c r="BB157" s="1265"/>
      <c r="BC157" s="1265"/>
      <c r="BD157" s="1265"/>
      <c r="BE157" s="1265"/>
    </row>
    <row r="158" spans="1:57" ht="13.5" hidden="1" customHeight="1">
      <c r="A158" s="1318" t="s">
        <v>813</v>
      </c>
      <c r="B158" s="1315"/>
      <c r="C158" s="1315"/>
      <c r="D158" s="1312">
        <v>0</v>
      </c>
      <c r="E158" s="1312"/>
      <c r="F158" s="1310"/>
      <c r="G158" s="1315"/>
      <c r="H158" s="1315"/>
      <c r="I158" s="1312">
        <v>0</v>
      </c>
      <c r="J158" s="1312"/>
      <c r="K158" s="1310"/>
      <c r="L158" s="1315"/>
      <c r="M158" s="1315"/>
      <c r="N158" s="1312"/>
      <c r="O158" s="1312"/>
      <c r="P158" s="1310"/>
      <c r="Q158" s="1315"/>
      <c r="R158" s="1315"/>
      <c r="S158" s="1312">
        <v>0</v>
      </c>
      <c r="T158" s="1312"/>
      <c r="U158" s="1310"/>
      <c r="V158" s="1315"/>
      <c r="W158" s="1315"/>
      <c r="X158" s="1312">
        <v>2</v>
      </c>
      <c r="Y158" s="1312"/>
      <c r="Z158" s="1314">
        <f t="shared" si="44"/>
        <v>2</v>
      </c>
      <c r="AA158" s="1316">
        <f t="shared" si="41"/>
        <v>0</v>
      </c>
      <c r="AB158" s="1310"/>
      <c r="AC158" s="1315"/>
      <c r="AD158" s="1315"/>
      <c r="AE158" s="1312"/>
      <c r="AF158" s="1310"/>
      <c r="AG158" s="1315"/>
      <c r="AH158" s="1315"/>
      <c r="AI158" s="1312"/>
      <c r="AJ158" s="1314">
        <f t="shared" si="42"/>
        <v>0</v>
      </c>
      <c r="AK158" s="941"/>
      <c r="AL158" s="943"/>
      <c r="AM158" s="940"/>
      <c r="AN158" s="1316"/>
      <c r="AO158" s="1329"/>
      <c r="AP158" s="1330"/>
      <c r="AQ158" s="1330"/>
      <c r="AR158" s="967"/>
      <c r="AS158" s="1318"/>
      <c r="AT158" s="1353"/>
      <c r="AU158" s="1265"/>
      <c r="AV158" s="1265"/>
      <c r="AW158" s="1265"/>
      <c r="AX158" s="1265"/>
      <c r="AY158" s="1265"/>
      <c r="AZ158" s="1265"/>
      <c r="BA158" s="1265"/>
      <c r="BB158" s="1265"/>
      <c r="BC158" s="1265"/>
      <c r="BD158" s="1265"/>
      <c r="BE158" s="1265"/>
    </row>
    <row r="159" spans="1:57" ht="13.5" hidden="1" customHeight="1">
      <c r="A159" s="1318" t="s">
        <v>1431</v>
      </c>
      <c r="B159" s="1315"/>
      <c r="C159" s="1315"/>
      <c r="D159" s="1312">
        <v>0</v>
      </c>
      <c r="E159" s="1312"/>
      <c r="F159" s="1310"/>
      <c r="G159" s="1315"/>
      <c r="H159" s="1315"/>
      <c r="I159" s="1312">
        <v>0</v>
      </c>
      <c r="J159" s="1312"/>
      <c r="K159" s="1310"/>
      <c r="L159" s="1315"/>
      <c r="M159" s="1315"/>
      <c r="N159" s="1312"/>
      <c r="O159" s="1312"/>
      <c r="P159" s="1310"/>
      <c r="Q159" s="1315"/>
      <c r="R159" s="1315"/>
      <c r="S159" s="1312">
        <v>0</v>
      </c>
      <c r="T159" s="1312"/>
      <c r="U159" s="1310"/>
      <c r="V159" s="1315"/>
      <c r="W159" s="1315"/>
      <c r="X159" s="1312">
        <v>0</v>
      </c>
      <c r="Y159" s="1312"/>
      <c r="Z159" s="1314">
        <f>D159+I159+N159+S159+X159</f>
        <v>0</v>
      </c>
      <c r="AA159" s="1316">
        <f t="shared" si="41"/>
        <v>0</v>
      </c>
      <c r="AB159" s="1310"/>
      <c r="AC159" s="1315"/>
      <c r="AD159" s="1315"/>
      <c r="AE159" s="1312"/>
      <c r="AF159" s="1310"/>
      <c r="AG159" s="1315"/>
      <c r="AH159" s="1315"/>
      <c r="AI159" s="1312"/>
      <c r="AJ159" s="1314">
        <f t="shared" si="42"/>
        <v>0</v>
      </c>
      <c r="AK159" s="941"/>
      <c r="AL159" s="943"/>
      <c r="AM159" s="940"/>
      <c r="AN159" s="967"/>
      <c r="AO159" s="967"/>
      <c r="AP159" s="967"/>
      <c r="AQ159" s="967"/>
      <c r="AR159" s="967"/>
      <c r="AS159" s="1318"/>
      <c r="AT159" s="1353"/>
      <c r="AU159" s="1265"/>
      <c r="AV159" s="1265"/>
      <c r="AW159" s="1265"/>
      <c r="AX159" s="1265"/>
      <c r="AY159" s="1265"/>
      <c r="AZ159" s="1265"/>
      <c r="BA159" s="1265"/>
      <c r="BB159" s="1265"/>
      <c r="BC159" s="1265"/>
      <c r="BD159" s="1265"/>
      <c r="BE159" s="1265"/>
    </row>
    <row r="160" spans="1:57" ht="13.5" hidden="1" customHeight="1">
      <c r="A160" s="1318" t="s">
        <v>1439</v>
      </c>
      <c r="B160" s="1315" t="s">
        <v>29</v>
      </c>
      <c r="C160" s="1319" t="s">
        <v>29</v>
      </c>
      <c r="D160" s="1312">
        <v>8</v>
      </c>
      <c r="E160" s="1312"/>
      <c r="F160" s="1312"/>
      <c r="G160" s="1332" t="s">
        <v>29</v>
      </c>
      <c r="H160" s="1332" t="s">
        <v>29</v>
      </c>
      <c r="I160" s="1312">
        <v>8</v>
      </c>
      <c r="J160" s="1312"/>
      <c r="K160" s="1312"/>
      <c r="L160" s="1315">
        <v>0.45833333333333331</v>
      </c>
      <c r="M160" s="1319"/>
      <c r="N160" s="1312">
        <v>7.5</v>
      </c>
      <c r="O160" s="1312"/>
      <c r="P160" s="1312"/>
      <c r="Q160" s="1332" t="s">
        <v>29</v>
      </c>
      <c r="R160" s="1332" t="s">
        <v>29</v>
      </c>
      <c r="S160" s="1312">
        <v>8</v>
      </c>
      <c r="T160" s="1312"/>
      <c r="U160" s="1312"/>
      <c r="V160" s="1332" t="s">
        <v>29</v>
      </c>
      <c r="W160" s="1332" t="s">
        <v>29</v>
      </c>
      <c r="X160" s="1312">
        <v>8</v>
      </c>
      <c r="Y160" s="1312"/>
      <c r="Z160" s="1314">
        <f t="shared" ref="Z160:Z162" si="45">D160+I160+N160+S160+X160</f>
        <v>39.5</v>
      </c>
      <c r="AA160" s="1316">
        <f t="shared" si="41"/>
        <v>0</v>
      </c>
      <c r="AB160" s="1310"/>
      <c r="AC160" s="1315"/>
      <c r="AD160" s="1319"/>
      <c r="AE160" s="1312"/>
      <c r="AF160" s="1315"/>
      <c r="AG160" s="1319"/>
      <c r="AH160" s="1312"/>
      <c r="AI160" s="1315"/>
      <c r="AJ160" s="1314">
        <f t="shared" si="42"/>
        <v>0</v>
      </c>
      <c r="AK160" s="941"/>
      <c r="AL160" s="943"/>
      <c r="AM160" s="940"/>
      <c r="AN160" s="967"/>
      <c r="AO160" s="967"/>
      <c r="AP160" s="967"/>
      <c r="AQ160" s="967"/>
      <c r="AR160" s="967"/>
      <c r="AS160" s="1318"/>
      <c r="AT160" s="1353"/>
      <c r="AU160" s="1265"/>
      <c r="AV160" s="1265"/>
      <c r="AW160" s="1265"/>
      <c r="AX160" s="1265"/>
      <c r="AY160" s="1265"/>
      <c r="AZ160" s="1265"/>
      <c r="BA160" s="1265"/>
      <c r="BB160" s="1265"/>
      <c r="BC160" s="1265"/>
      <c r="BD160" s="1265"/>
      <c r="BE160" s="1265"/>
    </row>
    <row r="161" spans="1:57" ht="13.5" hidden="1" customHeight="1">
      <c r="A161" s="1318" t="s">
        <v>1427</v>
      </c>
      <c r="B161" s="1315">
        <v>0.45833333333333331</v>
      </c>
      <c r="C161" s="1319">
        <v>0.29166666666666669</v>
      </c>
      <c r="D161" s="1312">
        <v>8</v>
      </c>
      <c r="E161" s="1312"/>
      <c r="F161" s="1312"/>
      <c r="G161" s="1315">
        <v>0.45833333333333331</v>
      </c>
      <c r="H161" s="1319">
        <v>0.29166666666666669</v>
      </c>
      <c r="I161" s="1312">
        <v>8</v>
      </c>
      <c r="J161" s="1312"/>
      <c r="K161" s="1312"/>
      <c r="L161" s="1315">
        <v>0.45833333333333331</v>
      </c>
      <c r="M161" s="1319">
        <v>0.29166666666666669</v>
      </c>
      <c r="N161" s="1312">
        <v>8</v>
      </c>
      <c r="O161" s="1312"/>
      <c r="P161" s="1312"/>
      <c r="Q161" s="1315">
        <v>0.45833333333333331</v>
      </c>
      <c r="R161" s="1319">
        <v>0.29166666666666669</v>
      </c>
      <c r="S161" s="1312">
        <v>8</v>
      </c>
      <c r="T161" s="1312"/>
      <c r="U161" s="1312"/>
      <c r="V161" s="1315">
        <v>0.45833333333333331</v>
      </c>
      <c r="W161" s="1319">
        <v>0.29166666666666669</v>
      </c>
      <c r="X161" s="1312">
        <v>8</v>
      </c>
      <c r="Y161" s="1312"/>
      <c r="Z161" s="1314">
        <f t="shared" si="45"/>
        <v>40</v>
      </c>
      <c r="AA161" s="1316">
        <f t="shared" si="41"/>
        <v>0</v>
      </c>
      <c r="AB161" s="1310"/>
      <c r="AC161" s="1315"/>
      <c r="AD161" s="1319"/>
      <c r="AE161" s="1312"/>
      <c r="AF161" s="1315"/>
      <c r="AG161" s="1319"/>
      <c r="AH161" s="1312"/>
      <c r="AI161" s="1315"/>
      <c r="AJ161" s="1314">
        <f t="shared" si="42"/>
        <v>0</v>
      </c>
      <c r="AK161" s="941"/>
      <c r="AL161" s="943"/>
      <c r="AM161" s="940"/>
      <c r="AN161" s="967"/>
      <c r="AO161" s="967"/>
      <c r="AP161" s="967"/>
      <c r="AQ161" s="967"/>
      <c r="AR161" s="967"/>
      <c r="AS161" s="1318"/>
      <c r="AT161" s="1353"/>
      <c r="AU161" s="1265"/>
      <c r="AV161" s="1265"/>
      <c r="AW161" s="1265"/>
      <c r="AX161" s="1265"/>
      <c r="AY161" s="1265"/>
      <c r="AZ161" s="1265"/>
      <c r="BA161" s="1265"/>
      <c r="BB161" s="1265"/>
      <c r="BC161" s="1265"/>
      <c r="BD161" s="1265"/>
      <c r="BE161" s="1265"/>
    </row>
    <row r="162" spans="1:57" ht="13.5" hidden="1" customHeight="1">
      <c r="A162" s="1318" t="s">
        <v>1064</v>
      </c>
      <c r="B162" s="1315">
        <v>0.45833333333333331</v>
      </c>
      <c r="C162" s="1319">
        <v>0.29166666666666669</v>
      </c>
      <c r="D162" s="1312">
        <v>8</v>
      </c>
      <c r="E162" s="1312"/>
      <c r="F162" s="1312"/>
      <c r="G162" s="1315">
        <v>0.45833333333333331</v>
      </c>
      <c r="H162" s="1319">
        <v>0.29166666666666669</v>
      </c>
      <c r="I162" s="1312">
        <v>8</v>
      </c>
      <c r="J162" s="1312"/>
      <c r="K162" s="1312"/>
      <c r="L162" s="1315">
        <v>0.45833333333333331</v>
      </c>
      <c r="M162" s="1319">
        <v>0.29166666666666669</v>
      </c>
      <c r="N162" s="1312">
        <v>8</v>
      </c>
      <c r="O162" s="1312"/>
      <c r="P162" s="1312"/>
      <c r="Q162" s="1332">
        <v>0.45833333333333331</v>
      </c>
      <c r="R162" s="1332">
        <v>0.29166666666666669</v>
      </c>
      <c r="S162" s="1312">
        <v>8</v>
      </c>
      <c r="T162" s="1312"/>
      <c r="U162" s="1312"/>
      <c r="V162" s="1315">
        <v>0.45833333333333331</v>
      </c>
      <c r="W162" s="1319">
        <v>0.29166666666666669</v>
      </c>
      <c r="X162" s="1312">
        <v>8</v>
      </c>
      <c r="Y162" s="1312"/>
      <c r="Z162" s="1314">
        <f t="shared" si="45"/>
        <v>40</v>
      </c>
      <c r="AA162" s="1316">
        <f t="shared" si="41"/>
        <v>0</v>
      </c>
      <c r="AB162" s="1310"/>
      <c r="AC162" s="1315">
        <v>0.30208333333333331</v>
      </c>
      <c r="AD162" s="1319">
        <v>0.15625</v>
      </c>
      <c r="AE162" s="1312">
        <v>7.5</v>
      </c>
      <c r="AF162" s="1315"/>
      <c r="AG162" s="1319"/>
      <c r="AH162" s="1312"/>
      <c r="AI162" s="1315"/>
      <c r="AJ162" s="1314">
        <f t="shared" si="42"/>
        <v>7.5</v>
      </c>
      <c r="AK162" s="941"/>
      <c r="AL162" s="943"/>
      <c r="AM162" s="940"/>
      <c r="AN162" s="967"/>
      <c r="AO162" s="967"/>
      <c r="AP162" s="967"/>
      <c r="AQ162" s="967"/>
      <c r="AR162" s="967"/>
      <c r="AS162" s="1318"/>
      <c r="AT162" s="1353"/>
      <c r="AU162" s="1265"/>
      <c r="AV162" s="1265"/>
      <c r="AW162" s="1265"/>
      <c r="AX162" s="1265"/>
      <c r="AY162" s="1265"/>
      <c r="AZ162" s="1265"/>
      <c r="BA162" s="1265"/>
      <c r="BB162" s="1265"/>
      <c r="BC162" s="1265"/>
      <c r="BD162" s="1265"/>
      <c r="BE162" s="1265"/>
    </row>
    <row r="163" spans="1:57" ht="13.5" hidden="1" customHeight="1">
      <c r="A163" s="1318" t="s">
        <v>1144</v>
      </c>
      <c r="B163" s="1315">
        <v>0.45833333333333331</v>
      </c>
      <c r="C163" s="1319">
        <v>0.29166666666666669</v>
      </c>
      <c r="D163" s="1312">
        <v>8</v>
      </c>
      <c r="E163" s="1312"/>
      <c r="F163" s="1312"/>
      <c r="G163" s="1315">
        <v>0.45833333333333331</v>
      </c>
      <c r="H163" s="1319">
        <v>0.29166666666666669</v>
      </c>
      <c r="I163" s="1312">
        <v>8</v>
      </c>
      <c r="J163" s="1312"/>
      <c r="K163" s="1312"/>
      <c r="L163" s="1315">
        <v>0.45833333333333331</v>
      </c>
      <c r="M163" s="1319">
        <v>0.29166666666666669</v>
      </c>
      <c r="N163" s="1312">
        <v>8</v>
      </c>
      <c r="O163" s="1312"/>
      <c r="P163" s="1312"/>
      <c r="Q163" s="1315">
        <v>0.45833333333333331</v>
      </c>
      <c r="R163" s="1332">
        <v>0.29166666666666669</v>
      </c>
      <c r="S163" s="1312">
        <v>8</v>
      </c>
      <c r="T163" s="1312"/>
      <c r="U163" s="1312"/>
      <c r="V163" s="1315" t="s">
        <v>29</v>
      </c>
      <c r="W163" s="1319" t="s">
        <v>29</v>
      </c>
      <c r="X163" s="1312">
        <v>8</v>
      </c>
      <c r="Y163" s="1312"/>
      <c r="Z163" s="1314">
        <f>D163+I164+N163+S163+X163</f>
        <v>40</v>
      </c>
      <c r="AA163" s="1316">
        <f t="shared" si="41"/>
        <v>0</v>
      </c>
      <c r="AB163" s="1310"/>
      <c r="AC163" s="1315"/>
      <c r="AD163" s="1319"/>
      <c r="AE163" s="1312"/>
      <c r="AF163" s="1315"/>
      <c r="AG163" s="1319"/>
      <c r="AH163" s="1312"/>
      <c r="AI163" s="1315"/>
      <c r="AJ163" s="1314">
        <f t="shared" si="42"/>
        <v>0</v>
      </c>
      <c r="AK163" s="941"/>
      <c r="AL163" s="943"/>
      <c r="AM163" s="940"/>
      <c r="AN163" s="967"/>
      <c r="AO163" s="967"/>
      <c r="AP163" s="967"/>
      <c r="AQ163" s="967"/>
      <c r="AR163" s="967"/>
      <c r="AS163" s="1318"/>
      <c r="AT163" s="1353"/>
      <c r="AU163" s="1265"/>
      <c r="AV163" s="1265"/>
      <c r="AW163" s="1265"/>
      <c r="AX163" s="1265"/>
      <c r="AY163" s="1265"/>
      <c r="AZ163" s="1265"/>
      <c r="BA163" s="1265"/>
      <c r="BB163" s="1265"/>
      <c r="BC163" s="1265"/>
      <c r="BD163" s="1265"/>
      <c r="BE163" s="1265"/>
    </row>
    <row r="164" spans="1:57" ht="13.5" hidden="1" customHeight="1" thickBot="1">
      <c r="A164" s="1320" t="s">
        <v>1433</v>
      </c>
      <c r="B164" s="1321">
        <v>0.45833333333333331</v>
      </c>
      <c r="C164" s="1322">
        <v>5.2083333333333336E-2</v>
      </c>
      <c r="D164" s="1323">
        <v>8</v>
      </c>
      <c r="E164" s="1323"/>
      <c r="F164" s="1323"/>
      <c r="G164" s="1321">
        <v>0.45833333333333331</v>
      </c>
      <c r="H164" s="1322">
        <v>0.10416666666666667</v>
      </c>
      <c r="I164" s="1323">
        <v>8</v>
      </c>
      <c r="J164" s="1323"/>
      <c r="K164" s="1323"/>
      <c r="L164" s="1321">
        <v>0.45833333333333331</v>
      </c>
      <c r="M164" s="1322">
        <v>0.29166666666666669</v>
      </c>
      <c r="N164" s="1323">
        <v>8</v>
      </c>
      <c r="O164" s="1323"/>
      <c r="P164" s="1323"/>
      <c r="Q164" s="1321" t="s">
        <v>29</v>
      </c>
      <c r="R164" s="1333" t="s">
        <v>29</v>
      </c>
      <c r="S164" s="1323">
        <v>8</v>
      </c>
      <c r="T164" s="1323"/>
      <c r="U164" s="1323"/>
      <c r="V164" s="1321" t="s">
        <v>29</v>
      </c>
      <c r="W164" s="1333" t="s">
        <v>29</v>
      </c>
      <c r="X164" s="1323">
        <v>8</v>
      </c>
      <c r="Y164" s="1323"/>
      <c r="Z164" s="1324">
        <f>D164+I164+N164+S164+X164</f>
        <v>40</v>
      </c>
      <c r="AA164" s="1325">
        <f t="shared" si="41"/>
        <v>0</v>
      </c>
      <c r="AB164" s="1326"/>
      <c r="AC164" s="1321"/>
      <c r="AD164" s="1321"/>
      <c r="AE164" s="1323"/>
      <c r="AF164" s="1321"/>
      <c r="AG164" s="1322"/>
      <c r="AH164" s="1323"/>
      <c r="AI164" s="1321"/>
      <c r="AJ164" s="1324">
        <f t="shared" si="42"/>
        <v>0</v>
      </c>
      <c r="AK164" s="941"/>
      <c r="AL164" s="943"/>
      <c r="AM164" s="940"/>
      <c r="AN164" s="967"/>
      <c r="AO164" s="967"/>
      <c r="AP164" s="967"/>
      <c r="AQ164" s="967"/>
      <c r="AR164" s="967"/>
      <c r="AS164" s="1320"/>
      <c r="AT164" s="1353"/>
      <c r="AU164" s="1265"/>
      <c r="AV164" s="1265"/>
      <c r="AW164" s="1265"/>
      <c r="AX164" s="1265"/>
      <c r="AY164" s="1265"/>
      <c r="AZ164" s="1265"/>
      <c r="BA164" s="1265"/>
      <c r="BB164" s="1265"/>
      <c r="BC164" s="1265"/>
      <c r="BD164" s="1265"/>
      <c r="BE164" s="1265"/>
    </row>
    <row r="165" spans="1:57" ht="13.5" hidden="1" customHeight="1" thickTop="1">
      <c r="A165" s="1327" t="s">
        <v>61</v>
      </c>
      <c r="B165" s="1327"/>
      <c r="C165" s="1327"/>
      <c r="D165" s="1328">
        <f>SUM(D141:D159)</f>
        <v>106.5</v>
      </c>
      <c r="E165" s="1312">
        <f>SUM(E142:E159)</f>
        <v>4.5</v>
      </c>
      <c r="F165" s="1327"/>
      <c r="G165" s="1327"/>
      <c r="H165" s="1327"/>
      <c r="I165" s="1328">
        <f>SUM(I141:I159)</f>
        <v>116</v>
      </c>
      <c r="J165" s="1312">
        <f>SUM(J142:J159)</f>
        <v>3</v>
      </c>
      <c r="K165" s="1327"/>
      <c r="L165" s="1327"/>
      <c r="M165" s="1327"/>
      <c r="N165" s="1328">
        <f>SUM(N141:N159)</f>
        <v>122</v>
      </c>
      <c r="O165" s="1312">
        <f>SUM(O142:O159)</f>
        <v>1.5</v>
      </c>
      <c r="P165" s="1327"/>
      <c r="Q165" s="1327"/>
      <c r="R165" s="1327"/>
      <c r="S165" s="1328">
        <f>SUM(S141:S159)</f>
        <v>120.75</v>
      </c>
      <c r="T165" s="1312">
        <f>SUM(T142:T159)</f>
        <v>1</v>
      </c>
      <c r="U165" s="1327"/>
      <c r="V165" s="1327"/>
      <c r="W165" s="1327"/>
      <c r="X165" s="1328">
        <f>SUM(X141:X159)</f>
        <v>115</v>
      </c>
      <c r="Y165" s="1312">
        <f>SUM(Y142:Y159)</f>
        <v>0</v>
      </c>
      <c r="Z165" s="1314">
        <f>SUM(Z141:Z159)</f>
        <v>580.25</v>
      </c>
      <c r="AA165" s="1314">
        <f>SUM(AA141:AA158)</f>
        <v>10</v>
      </c>
      <c r="AB165" s="1310"/>
      <c r="AC165" s="1327"/>
      <c r="AD165" s="1327"/>
      <c r="AE165" s="1314">
        <f>SUM(AE141:AE163)</f>
        <v>20</v>
      </c>
      <c r="AF165" s="1310"/>
      <c r="AG165" s="1327"/>
      <c r="AH165" s="1327"/>
      <c r="AI165" s="1314">
        <f>SUM(AI141:AI163)</f>
        <v>9.5</v>
      </c>
      <c r="AJ165" s="1314">
        <f>SUM(AJ141:AJ159)</f>
        <v>22</v>
      </c>
      <c r="AK165" s="941"/>
      <c r="AL165" s="943"/>
      <c r="AM165" s="940"/>
      <c r="AN165" s="967"/>
      <c r="AO165" s="967"/>
      <c r="AP165" s="967"/>
      <c r="AQ165" s="967"/>
      <c r="AR165" s="967"/>
      <c r="AS165" s="1327"/>
      <c r="AT165" s="1354"/>
      <c r="AU165" s="1265"/>
      <c r="AV165" s="1265"/>
      <c r="AW165" s="1265"/>
      <c r="AX165" s="1265"/>
      <c r="AY165" s="1265"/>
      <c r="AZ165" s="1265"/>
      <c r="BA165" s="1265"/>
      <c r="BB165" s="1265"/>
      <c r="BC165" s="1265"/>
      <c r="BD165" s="1265"/>
      <c r="BE165" s="1265"/>
    </row>
    <row r="166" spans="1:57" ht="13.5" hidden="1" customHeight="1">
      <c r="A166" s="1313" t="s">
        <v>1434</v>
      </c>
      <c r="B166" s="1327"/>
      <c r="C166" s="1327"/>
      <c r="D166" s="1328">
        <f>SUM(D160:D164)</f>
        <v>40</v>
      </c>
      <c r="E166" s="1312"/>
      <c r="F166" s="1327"/>
      <c r="G166" s="1327"/>
      <c r="H166" s="1327"/>
      <c r="I166" s="1328">
        <f>SUM(I160:I164)</f>
        <v>40</v>
      </c>
      <c r="J166" s="1312"/>
      <c r="K166" s="1327"/>
      <c r="L166" s="1327"/>
      <c r="M166" s="1327"/>
      <c r="N166" s="1328">
        <f>SUM(N160:N164)</f>
        <v>39.5</v>
      </c>
      <c r="O166" s="1312"/>
      <c r="P166" s="1327"/>
      <c r="Q166" s="1327"/>
      <c r="R166" s="1327"/>
      <c r="S166" s="1328">
        <f>SUM(S160:S164)</f>
        <v>40</v>
      </c>
      <c r="T166" s="1312"/>
      <c r="U166" s="1327"/>
      <c r="V166" s="1327"/>
      <c r="W166" s="1327"/>
      <c r="X166" s="1328">
        <f>SUM(X160:X164)</f>
        <v>40</v>
      </c>
      <c r="Y166" s="1312"/>
      <c r="Z166" s="1314">
        <f>SUM(Z160:Z164)</f>
        <v>199.5</v>
      </c>
      <c r="AA166" s="1314">
        <f>SUM(AA159:AA163)</f>
        <v>0</v>
      </c>
      <c r="AB166" s="1310"/>
      <c r="AC166" s="1327"/>
      <c r="AD166" s="1327"/>
      <c r="AE166" s="1314">
        <f>SUM(AE160:AE164)</f>
        <v>7.5</v>
      </c>
      <c r="AF166" s="1310"/>
      <c r="AG166" s="1327"/>
      <c r="AH166" s="1327"/>
      <c r="AI166" s="1314">
        <f>SUM(AI160:AI164)</f>
        <v>0</v>
      </c>
      <c r="AJ166" s="1314">
        <f>SUM(AE166+AI166)</f>
        <v>7.5</v>
      </c>
      <c r="AK166" s="941"/>
      <c r="AL166" s="943"/>
      <c r="AM166" s="940"/>
      <c r="AN166" s="967"/>
      <c r="AO166" s="967"/>
      <c r="AP166" s="967"/>
      <c r="AQ166" s="967"/>
      <c r="AR166" s="967"/>
      <c r="AS166" s="1313"/>
      <c r="AT166" s="1355"/>
      <c r="AU166" s="1265"/>
      <c r="AV166" s="1265"/>
      <c r="AW166" s="1265"/>
      <c r="AX166" s="1265"/>
      <c r="AY166" s="1265"/>
      <c r="AZ166" s="1265"/>
      <c r="BA166" s="1265"/>
      <c r="BB166" s="1265"/>
      <c r="BC166" s="1265"/>
      <c r="BD166" s="1265"/>
      <c r="BE166" s="1265"/>
    </row>
    <row r="167" spans="1:57" ht="13.5" hidden="1" customHeight="1">
      <c r="A167" s="1327" t="s">
        <v>64</v>
      </c>
      <c r="B167" s="1315"/>
      <c r="C167" s="1315"/>
      <c r="D167" s="1312">
        <v>8</v>
      </c>
      <c r="E167" s="1312">
        <v>1</v>
      </c>
      <c r="F167" s="1312"/>
      <c r="G167" s="1315"/>
      <c r="H167" s="1315"/>
      <c r="I167" s="1312">
        <v>8</v>
      </c>
      <c r="J167" s="1312">
        <v>1</v>
      </c>
      <c r="K167" s="1312"/>
      <c r="L167" s="1315"/>
      <c r="M167" s="1315"/>
      <c r="N167" s="1312">
        <v>8</v>
      </c>
      <c r="O167" s="1312">
        <v>0.5</v>
      </c>
      <c r="P167" s="1312"/>
      <c r="Q167" s="1315"/>
      <c r="R167" s="1315"/>
      <c r="S167" s="1312">
        <v>8</v>
      </c>
      <c r="T167" s="1312">
        <v>0.5</v>
      </c>
      <c r="U167" s="1312"/>
      <c r="V167" s="1315"/>
      <c r="W167" s="1315"/>
      <c r="X167" s="1312">
        <v>8</v>
      </c>
      <c r="Y167" s="1312">
        <f>0.25+0.5</f>
        <v>0.75</v>
      </c>
      <c r="Z167" s="1314">
        <f>D167+I167+N167+S167+X167</f>
        <v>40</v>
      </c>
      <c r="AA167" s="1312">
        <f>E167+J167+O167+T167+Y167</f>
        <v>3.75</v>
      </c>
      <c r="AB167" s="1310"/>
      <c r="AC167" s="1315"/>
      <c r="AD167" s="1315"/>
      <c r="AE167" s="1312">
        <f>1+1.25+1</f>
        <v>3.25</v>
      </c>
      <c r="AF167" s="1310"/>
      <c r="AG167" s="1315"/>
      <c r="AH167" s="1315"/>
      <c r="AI167" s="1312">
        <f>1+1+1</f>
        <v>3</v>
      </c>
      <c r="AJ167" s="1314">
        <f>AE167+AI167</f>
        <v>6.25</v>
      </c>
      <c r="AK167" s="941"/>
      <c r="AL167" s="943"/>
      <c r="AM167" s="940"/>
      <c r="AN167" s="967"/>
      <c r="AO167" s="967"/>
      <c r="AP167" s="967"/>
      <c r="AQ167" s="967"/>
      <c r="AR167" s="967"/>
      <c r="AS167" s="1327"/>
      <c r="AT167" s="1354"/>
      <c r="AU167" s="1265"/>
      <c r="AV167" s="1265"/>
      <c r="AW167" s="1265"/>
      <c r="AX167" s="1265"/>
      <c r="AY167" s="1265"/>
      <c r="AZ167" s="1265"/>
      <c r="BA167" s="1265"/>
      <c r="BB167" s="1265"/>
      <c r="BC167" s="1265"/>
      <c r="BD167" s="1265"/>
      <c r="BE167" s="1265"/>
    </row>
    <row r="168" spans="1:57" ht="13.5" hidden="1" customHeight="1">
      <c r="A168" s="940"/>
      <c r="B168" s="940"/>
      <c r="C168" s="940"/>
      <c r="D168" s="941"/>
      <c r="E168" s="942"/>
      <c r="F168" s="941"/>
      <c r="G168" s="940"/>
      <c r="H168" s="940"/>
      <c r="I168" s="941"/>
      <c r="J168" s="942"/>
      <c r="K168" s="941"/>
      <c r="L168" s="940"/>
      <c r="M168" s="940"/>
      <c r="N168" s="941"/>
      <c r="O168" s="942"/>
      <c r="P168" s="941"/>
      <c r="Q168" s="940"/>
      <c r="R168" s="940"/>
      <c r="S168" s="941"/>
      <c r="T168" s="942"/>
      <c r="U168" s="941"/>
      <c r="V168" s="940"/>
      <c r="W168" s="940"/>
      <c r="X168" s="941"/>
      <c r="Y168" s="942"/>
      <c r="Z168" s="941"/>
      <c r="AA168" s="941"/>
      <c r="AB168" s="941"/>
      <c r="AC168" s="940"/>
      <c r="AD168" s="940"/>
      <c r="AE168" s="940"/>
      <c r="AF168" s="941"/>
      <c r="AG168" s="940"/>
      <c r="AH168" s="940"/>
      <c r="AI168" s="940"/>
      <c r="AJ168" s="940"/>
      <c r="AK168" s="941"/>
      <c r="AL168" s="943"/>
      <c r="AM168" s="940"/>
      <c r="AN168" s="940"/>
      <c r="AO168" s="940"/>
      <c r="AP168" s="940"/>
      <c r="AQ168" s="940"/>
      <c r="AR168" s="940"/>
      <c r="AS168" s="940"/>
      <c r="AT168" s="940"/>
      <c r="AU168" s="1265"/>
      <c r="AV168" s="1265"/>
      <c r="AW168" s="1265"/>
      <c r="AX168" s="1265"/>
      <c r="AY168" s="1265"/>
      <c r="AZ168" s="1265"/>
      <c r="BA168" s="1265"/>
      <c r="BB168" s="1265"/>
      <c r="BC168" s="1265"/>
      <c r="BD168" s="1265"/>
      <c r="BE168" s="1265"/>
    </row>
    <row r="169" spans="1:57" ht="13.5" hidden="1" customHeight="1">
      <c r="A169" s="974"/>
      <c r="B169" s="975"/>
      <c r="C169" s="975"/>
      <c r="D169" s="976"/>
      <c r="E169" s="976"/>
      <c r="F169" s="975"/>
      <c r="G169" s="976"/>
      <c r="H169" s="976"/>
      <c r="I169" s="976"/>
      <c r="J169" s="976"/>
      <c r="K169" s="975"/>
      <c r="L169" s="975"/>
      <c r="M169" s="975"/>
      <c r="N169" s="975"/>
      <c r="O169" s="976"/>
      <c r="P169" s="975"/>
      <c r="Q169" s="975"/>
      <c r="R169" s="975"/>
      <c r="S169" s="975"/>
      <c r="T169" s="976"/>
      <c r="U169" s="975"/>
      <c r="V169" s="975"/>
      <c r="W169" s="975"/>
      <c r="X169" s="977"/>
      <c r="Y169" s="976"/>
      <c r="Z169" s="978"/>
      <c r="AA169" s="976"/>
      <c r="AB169" s="979"/>
      <c r="AC169" s="980"/>
      <c r="AD169" s="943"/>
      <c r="AE169" s="943"/>
      <c r="AF169" s="979"/>
      <c r="AG169" s="980"/>
      <c r="AH169" s="943"/>
      <c r="AI169" s="943"/>
      <c r="AJ169" s="943"/>
      <c r="AK169" s="941"/>
      <c r="AL169" s="943"/>
      <c r="AM169" s="940"/>
      <c r="AN169" s="943"/>
      <c r="AO169" s="943"/>
      <c r="AP169" s="943"/>
      <c r="AQ169" s="943"/>
      <c r="AR169" s="943"/>
      <c r="AS169" s="943"/>
      <c r="AT169" s="940"/>
      <c r="AU169" s="1265"/>
      <c r="AV169" s="1265"/>
      <c r="AW169" s="1265"/>
      <c r="AX169" s="1265"/>
      <c r="AY169" s="1265"/>
      <c r="AZ169" s="1265"/>
      <c r="BA169" s="1265"/>
      <c r="BB169" s="1265"/>
      <c r="BC169" s="1265"/>
      <c r="BD169" s="1265"/>
      <c r="BE169" s="1265"/>
    </row>
    <row r="170" spans="1:57" ht="13.5" hidden="1" customHeight="1">
      <c r="A170" s="940"/>
      <c r="B170" s="940"/>
      <c r="C170" s="940"/>
      <c r="D170" s="941"/>
      <c r="E170" s="942"/>
      <c r="F170" s="941"/>
      <c r="G170" s="940"/>
      <c r="H170" s="940"/>
      <c r="I170" s="941"/>
      <c r="J170" s="942"/>
      <c r="K170" s="941"/>
      <c r="L170" s="940"/>
      <c r="M170" s="940"/>
      <c r="N170" s="941"/>
      <c r="O170" s="942"/>
      <c r="P170" s="941"/>
      <c r="Q170" s="940"/>
      <c r="R170" s="940"/>
      <c r="S170" s="941"/>
      <c r="T170" s="942"/>
      <c r="U170" s="941"/>
      <c r="V170" s="940"/>
      <c r="W170" s="940"/>
      <c r="X170" s="941"/>
      <c r="Y170" s="942"/>
      <c r="Z170" s="941"/>
      <c r="AA170" s="941"/>
      <c r="AB170" s="941"/>
      <c r="AC170" s="940"/>
      <c r="AD170" s="940"/>
      <c r="AE170" s="940"/>
      <c r="AF170" s="941"/>
      <c r="AG170" s="940"/>
      <c r="AH170" s="940"/>
      <c r="AI170" s="940"/>
      <c r="AJ170" s="940"/>
      <c r="AK170" s="941"/>
      <c r="AL170" s="943"/>
      <c r="AM170" s="940"/>
      <c r="AN170" s="954"/>
      <c r="AO170" s="954"/>
      <c r="AP170" s="954"/>
      <c r="AQ170" s="954"/>
      <c r="AR170" s="954"/>
      <c r="AS170" s="954"/>
      <c r="AT170" s="940"/>
      <c r="AU170" s="1265"/>
      <c r="AV170" s="1265"/>
      <c r="AW170" s="1265"/>
      <c r="AX170" s="1265"/>
      <c r="AY170" s="1265"/>
      <c r="AZ170" s="1265"/>
      <c r="BA170" s="1265"/>
      <c r="BB170" s="1265"/>
      <c r="BC170" s="1265"/>
      <c r="BD170" s="1265"/>
      <c r="BE170" s="1265"/>
    </row>
    <row r="171" spans="1:57" ht="13.5" hidden="1" customHeight="1">
      <c r="A171" s="1615" t="s">
        <v>18</v>
      </c>
      <c r="B171" s="1616">
        <v>46069</v>
      </c>
      <c r="C171" s="1616"/>
      <c r="D171" s="1616" t="s">
        <v>564</v>
      </c>
      <c r="E171" s="1616"/>
      <c r="F171" s="1308"/>
      <c r="G171" s="1616">
        <v>46070</v>
      </c>
      <c r="H171" s="1616"/>
      <c r="I171" s="1616" t="s">
        <v>565</v>
      </c>
      <c r="J171" s="1616"/>
      <c r="K171" s="1308"/>
      <c r="L171" s="1616">
        <v>46071</v>
      </c>
      <c r="M171" s="1616"/>
      <c r="N171" s="1616" t="s">
        <v>566</v>
      </c>
      <c r="O171" s="1616"/>
      <c r="P171" s="1308"/>
      <c r="Q171" s="1616">
        <v>46072</v>
      </c>
      <c r="R171" s="1616"/>
      <c r="S171" s="1616" t="s">
        <v>567</v>
      </c>
      <c r="T171" s="1616"/>
      <c r="U171" s="1308"/>
      <c r="V171" s="1616">
        <v>46073</v>
      </c>
      <c r="W171" s="1616"/>
      <c r="X171" s="1616" t="s">
        <v>568</v>
      </c>
      <c r="Y171" s="1616"/>
      <c r="Z171" s="1617" t="s">
        <v>19</v>
      </c>
      <c r="AA171" s="1617" t="s">
        <v>20</v>
      </c>
      <c r="AB171" s="1310"/>
      <c r="AC171" s="1616">
        <v>46074</v>
      </c>
      <c r="AD171" s="1616"/>
      <c r="AE171" s="1311" t="s">
        <v>569</v>
      </c>
      <c r="AF171" s="1310"/>
      <c r="AG171" s="1616">
        <v>46075</v>
      </c>
      <c r="AH171" s="1616"/>
      <c r="AI171" s="1311" t="s">
        <v>570</v>
      </c>
      <c r="AJ171" s="1617" t="s">
        <v>1420</v>
      </c>
      <c r="AK171" s="941"/>
      <c r="AL171" s="943"/>
      <c r="AM171" s="940"/>
      <c r="AN171" s="1316" t="s">
        <v>84</v>
      </c>
      <c r="AO171" s="967"/>
      <c r="AP171" s="967"/>
      <c r="AQ171" s="967"/>
      <c r="AR171" s="967"/>
      <c r="AS171" s="986"/>
      <c r="AT171" s="940"/>
      <c r="AU171" s="1265"/>
      <c r="AV171" s="1265"/>
      <c r="AW171" s="1265"/>
      <c r="AX171" s="1265"/>
      <c r="AY171" s="1265"/>
      <c r="AZ171" s="1265"/>
      <c r="BA171" s="1265"/>
      <c r="BB171" s="1265"/>
      <c r="BC171" s="1265"/>
      <c r="BD171" s="1265"/>
      <c r="BE171" s="1265"/>
    </row>
    <row r="172" spans="1:57" ht="13.5" hidden="1" customHeight="1">
      <c r="A172" s="1615"/>
      <c r="B172" s="1309" t="s">
        <v>23</v>
      </c>
      <c r="C172" s="1309" t="s">
        <v>24</v>
      </c>
      <c r="D172" s="1312" t="s">
        <v>25</v>
      </c>
      <c r="E172" s="1313" t="s">
        <v>14</v>
      </c>
      <c r="F172" s="1310"/>
      <c r="G172" s="1309" t="s">
        <v>23</v>
      </c>
      <c r="H172" s="1309" t="s">
        <v>24</v>
      </c>
      <c r="I172" s="1313" t="s">
        <v>25</v>
      </c>
      <c r="J172" s="1313" t="s">
        <v>14</v>
      </c>
      <c r="K172" s="1310"/>
      <c r="L172" s="1309" t="s">
        <v>23</v>
      </c>
      <c r="M172" s="1309" t="s">
        <v>24</v>
      </c>
      <c r="N172" s="1313" t="s">
        <v>25</v>
      </c>
      <c r="O172" s="1313" t="s">
        <v>14</v>
      </c>
      <c r="P172" s="1310"/>
      <c r="Q172" s="1309" t="s">
        <v>23</v>
      </c>
      <c r="R172" s="1309" t="s">
        <v>24</v>
      </c>
      <c r="S172" s="1313" t="s">
        <v>25</v>
      </c>
      <c r="T172" s="1313" t="s">
        <v>14</v>
      </c>
      <c r="U172" s="1310"/>
      <c r="V172" s="1309" t="s">
        <v>23</v>
      </c>
      <c r="W172" s="1309" t="s">
        <v>24</v>
      </c>
      <c r="X172" s="1313" t="s">
        <v>25</v>
      </c>
      <c r="Y172" s="1313" t="s">
        <v>14</v>
      </c>
      <c r="Z172" s="1617"/>
      <c r="AA172" s="1617"/>
      <c r="AB172" s="1310"/>
      <c r="AC172" s="1309" t="s">
        <v>23</v>
      </c>
      <c r="AD172" s="1309" t="s">
        <v>24</v>
      </c>
      <c r="AE172" s="1313" t="s">
        <v>25</v>
      </c>
      <c r="AF172" s="1310"/>
      <c r="AG172" s="1309" t="s">
        <v>23</v>
      </c>
      <c r="AH172" s="1309" t="s">
        <v>24</v>
      </c>
      <c r="AI172" s="1313" t="s">
        <v>25</v>
      </c>
      <c r="AJ172" s="1617"/>
      <c r="AK172" s="941"/>
      <c r="AL172" s="943"/>
      <c r="AM172" s="940"/>
      <c r="AN172" s="1316" t="s">
        <v>26</v>
      </c>
      <c r="AO172" s="1329">
        <f>Z197</f>
        <v>466.5</v>
      </c>
      <c r="AP172" s="1330">
        <v>40.31</v>
      </c>
      <c r="AQ172" s="1330">
        <f>AP172*AO172</f>
        <v>18804.615000000002</v>
      </c>
      <c r="AR172" s="967"/>
      <c r="AS172" s="954"/>
      <c r="AT172" s="940"/>
      <c r="AU172" s="1265"/>
      <c r="AV172" s="1265"/>
      <c r="AW172" s="1265"/>
      <c r="AX172" s="1265"/>
      <c r="AY172" s="1265"/>
      <c r="AZ172" s="1265"/>
      <c r="BA172" s="1265"/>
      <c r="BB172" s="1265"/>
      <c r="BC172" s="1265"/>
      <c r="BD172" s="1265"/>
      <c r="BE172" s="1265"/>
    </row>
    <row r="173" spans="1:57" ht="13.5" hidden="1" customHeight="1">
      <c r="A173" s="1315" t="s">
        <v>72</v>
      </c>
      <c r="B173" s="1315" t="s">
        <v>1044</v>
      </c>
      <c r="C173" s="1332"/>
      <c r="D173" s="1312"/>
      <c r="E173" s="1312"/>
      <c r="F173" s="1310"/>
      <c r="G173" s="1315">
        <v>0.29166666666666669</v>
      </c>
      <c r="H173" s="1315">
        <v>0.125</v>
      </c>
      <c r="I173" s="1312">
        <v>8</v>
      </c>
      <c r="J173" s="1312"/>
      <c r="K173" s="1310"/>
      <c r="L173" s="1315">
        <v>0.29166666666666669</v>
      </c>
      <c r="M173" s="1315">
        <v>0.125</v>
      </c>
      <c r="N173" s="1312">
        <v>8</v>
      </c>
      <c r="O173" s="1312"/>
      <c r="P173" s="1310"/>
      <c r="Q173" s="1315">
        <v>0.29166666666666669</v>
      </c>
      <c r="R173" s="1315">
        <v>0.125</v>
      </c>
      <c r="S173" s="1312">
        <v>8</v>
      </c>
      <c r="T173" s="1312"/>
      <c r="U173" s="1310"/>
      <c r="V173" s="1315">
        <v>0.29166666666666669</v>
      </c>
      <c r="W173" s="1315">
        <v>0.125</v>
      </c>
      <c r="X173" s="1312">
        <v>8</v>
      </c>
      <c r="Y173" s="1312"/>
      <c r="Z173" s="1314">
        <f>D173+I173+N173+S173+X173</f>
        <v>32</v>
      </c>
      <c r="AA173" s="1316">
        <f>E173+J173+O173+T173+Y173</f>
        <v>0</v>
      </c>
      <c r="AB173" s="1310"/>
      <c r="AC173" s="1317"/>
      <c r="AD173" s="1317"/>
      <c r="AE173" s="1312"/>
      <c r="AF173" s="1310"/>
      <c r="AG173" s="1317"/>
      <c r="AH173" s="1317"/>
      <c r="AI173" s="1312"/>
      <c r="AJ173" s="1314">
        <f>SUM(AE173+AI173)</f>
        <v>0</v>
      </c>
      <c r="AK173" s="941"/>
      <c r="AL173" s="943"/>
      <c r="AM173" s="940"/>
      <c r="AN173" s="1316" t="s">
        <v>1421</v>
      </c>
      <c r="AO173" s="1329">
        <f>Z198</f>
        <v>135.75</v>
      </c>
      <c r="AP173" s="1330">
        <v>60.47</v>
      </c>
      <c r="AQ173" s="1330">
        <f>AP173*AO173</f>
        <v>8208.8024999999998</v>
      </c>
      <c r="AR173" s="967"/>
      <c r="AS173" s="954"/>
      <c r="AT173" s="940"/>
      <c r="AU173" s="1265"/>
      <c r="AV173" s="1265"/>
      <c r="AW173" s="1265"/>
      <c r="AX173" s="1265"/>
      <c r="AY173" s="1265"/>
      <c r="AZ173" s="1265"/>
      <c r="BA173" s="1265"/>
      <c r="BB173" s="1265"/>
      <c r="BC173" s="1265"/>
      <c r="BD173" s="1265"/>
      <c r="BE173" s="1265"/>
    </row>
    <row r="174" spans="1:57" ht="13.5" hidden="1" customHeight="1">
      <c r="A174" s="1318" t="s">
        <v>1166</v>
      </c>
      <c r="B174" s="1315"/>
      <c r="C174" s="1332"/>
      <c r="D174" s="1312"/>
      <c r="E174" s="1312"/>
      <c r="F174" s="1310"/>
      <c r="G174" s="1315">
        <v>0.29166666666666669</v>
      </c>
      <c r="H174" s="1315">
        <v>0.125</v>
      </c>
      <c r="I174" s="1312">
        <v>8</v>
      </c>
      <c r="J174" s="1312"/>
      <c r="K174" s="1310"/>
      <c r="L174" s="1315">
        <v>0.29166666666666669</v>
      </c>
      <c r="M174" s="1315">
        <v>0.125</v>
      </c>
      <c r="N174" s="1312">
        <v>8</v>
      </c>
      <c r="O174" s="1312"/>
      <c r="P174" s="1310"/>
      <c r="Q174" s="1315">
        <v>0.29166666666666669</v>
      </c>
      <c r="R174" s="1315">
        <v>0.125</v>
      </c>
      <c r="S174" s="1312">
        <v>8</v>
      </c>
      <c r="T174" s="1312"/>
      <c r="U174" s="1310"/>
      <c r="V174" s="1315">
        <v>0.29166666666666669</v>
      </c>
      <c r="W174" s="1315">
        <v>0.125</v>
      </c>
      <c r="X174" s="1312">
        <v>8</v>
      </c>
      <c r="Y174" s="1312"/>
      <c r="Z174" s="1314">
        <f t="shared" ref="Z174:Z182" si="46">D174+I174+N174+S174+X174</f>
        <v>32</v>
      </c>
      <c r="AA174" s="1316">
        <f t="shared" ref="AA174:AA196" si="47">E174+J174+O174+T174+Y174</f>
        <v>0</v>
      </c>
      <c r="AB174" s="1310"/>
      <c r="AC174" s="1315"/>
      <c r="AD174" s="1315"/>
      <c r="AE174" s="1312"/>
      <c r="AF174" s="1310"/>
      <c r="AG174" s="1315"/>
      <c r="AH174" s="1315"/>
      <c r="AI174" s="1312"/>
      <c r="AJ174" s="1314">
        <f t="shared" ref="AJ174:AJ196" si="48">SUM(AE174+AI174)</f>
        <v>0</v>
      </c>
      <c r="AK174" s="941"/>
      <c r="AL174" s="943"/>
      <c r="AM174" s="940"/>
      <c r="AN174" s="1316" t="s">
        <v>30</v>
      </c>
      <c r="AO174" s="1329">
        <f>AA197</f>
        <v>4.5</v>
      </c>
      <c r="AP174" s="1330">
        <v>60.465000000000003</v>
      </c>
      <c r="AQ174" s="1330">
        <f>AP174*AO174</f>
        <v>272.09250000000003</v>
      </c>
      <c r="AR174" s="967"/>
      <c r="AS174" s="954"/>
      <c r="AT174" s="940"/>
      <c r="AU174" s="1265"/>
      <c r="AV174" s="1265"/>
      <c r="AW174" s="1265"/>
      <c r="AX174" s="1265"/>
      <c r="AY174" s="1265"/>
      <c r="AZ174" s="1265"/>
      <c r="BA174" s="1265"/>
      <c r="BB174" s="1265"/>
      <c r="BC174" s="1265"/>
      <c r="BD174" s="1265"/>
      <c r="BE174" s="1265"/>
    </row>
    <row r="175" spans="1:57" ht="13.5" hidden="1" customHeight="1">
      <c r="A175" s="1318" t="s">
        <v>1426</v>
      </c>
      <c r="B175" s="1315"/>
      <c r="C175" s="1332"/>
      <c r="D175" s="1312"/>
      <c r="E175" s="1312"/>
      <c r="F175" s="1310"/>
      <c r="G175" s="1315">
        <v>0.29166666666666669</v>
      </c>
      <c r="H175" s="1315">
        <v>0.125</v>
      </c>
      <c r="I175" s="1312">
        <v>8</v>
      </c>
      <c r="J175" s="1312"/>
      <c r="K175" s="1310"/>
      <c r="L175" s="1315">
        <v>0.29166666666666669</v>
      </c>
      <c r="M175" s="1315">
        <v>0.125</v>
      </c>
      <c r="N175" s="1312">
        <v>8</v>
      </c>
      <c r="O175" s="1312"/>
      <c r="P175" s="1310"/>
      <c r="Q175" s="1315">
        <v>0.29166666666666669</v>
      </c>
      <c r="R175" s="1315">
        <v>0.125</v>
      </c>
      <c r="S175" s="1312">
        <v>8</v>
      </c>
      <c r="T175" s="1312"/>
      <c r="U175" s="1310"/>
      <c r="V175" s="1315">
        <v>0.29166666666666669</v>
      </c>
      <c r="W175" s="1315">
        <v>0.125</v>
      </c>
      <c r="X175" s="1312">
        <v>8</v>
      </c>
      <c r="Y175" s="1312"/>
      <c r="Z175" s="1314">
        <f t="shared" si="46"/>
        <v>32</v>
      </c>
      <c r="AA175" s="1316">
        <f t="shared" si="47"/>
        <v>0</v>
      </c>
      <c r="AB175" s="1310"/>
      <c r="AC175" s="1315"/>
      <c r="AD175" s="1315"/>
      <c r="AE175" s="1312"/>
      <c r="AF175" s="1310"/>
      <c r="AG175" s="1315"/>
      <c r="AH175" s="1315"/>
      <c r="AI175" s="1312"/>
      <c r="AJ175" s="1314">
        <f t="shared" si="48"/>
        <v>0</v>
      </c>
      <c r="AK175" s="941"/>
      <c r="AL175" s="943"/>
      <c r="AM175" s="940"/>
      <c r="AN175" s="1316" t="s">
        <v>32</v>
      </c>
      <c r="AO175" s="1329">
        <f>AJ197</f>
        <v>28.5</v>
      </c>
      <c r="AP175" s="1330">
        <v>60.465000000000003</v>
      </c>
      <c r="AQ175" s="1330">
        <f>AP175*AO175</f>
        <v>1723.2525000000001</v>
      </c>
      <c r="AR175" s="967"/>
      <c r="AS175" s="954"/>
      <c r="AT175" s="940"/>
      <c r="AU175" s="1265"/>
      <c r="AV175" s="1265"/>
      <c r="AW175" s="1265"/>
      <c r="AX175" s="1265"/>
      <c r="AY175" s="1265"/>
      <c r="AZ175" s="1265"/>
      <c r="BA175" s="1265"/>
      <c r="BB175" s="1265"/>
      <c r="BC175" s="1265"/>
      <c r="BD175" s="1265"/>
      <c r="BE175" s="1265"/>
    </row>
    <row r="176" spans="1:57" ht="13.5" hidden="1" customHeight="1">
      <c r="A176" s="1318" t="s">
        <v>1060</v>
      </c>
      <c r="B176" s="1315"/>
      <c r="C176" s="1332"/>
      <c r="D176" s="1312"/>
      <c r="E176" s="1312"/>
      <c r="F176" s="1310"/>
      <c r="G176" s="1315">
        <v>0.29166666666666669</v>
      </c>
      <c r="H176" s="1315">
        <v>0.125</v>
      </c>
      <c r="I176" s="1312">
        <v>8</v>
      </c>
      <c r="J176" s="1312"/>
      <c r="K176" s="1310"/>
      <c r="L176" s="1315">
        <v>0.29166666666666669</v>
      </c>
      <c r="M176" s="1315">
        <v>0.125</v>
      </c>
      <c r="N176" s="1312">
        <v>8</v>
      </c>
      <c r="O176" s="1312"/>
      <c r="P176" s="1310"/>
      <c r="Q176" s="1315">
        <v>0.29166666666666669</v>
      </c>
      <c r="R176" s="1315">
        <v>0.125</v>
      </c>
      <c r="S176" s="1312">
        <v>8</v>
      </c>
      <c r="T176" s="1312"/>
      <c r="U176" s="1310"/>
      <c r="V176" s="1315">
        <v>0.29166666666666669</v>
      </c>
      <c r="W176" s="1315">
        <v>0.125</v>
      </c>
      <c r="X176" s="1312">
        <v>8</v>
      </c>
      <c r="Y176" s="1312"/>
      <c r="Z176" s="1314">
        <f t="shared" si="46"/>
        <v>32</v>
      </c>
      <c r="AA176" s="1316">
        <f t="shared" si="47"/>
        <v>0</v>
      </c>
      <c r="AB176" s="1310"/>
      <c r="AC176" s="1315"/>
      <c r="AD176" s="1315"/>
      <c r="AE176" s="1312"/>
      <c r="AF176" s="1310"/>
      <c r="AG176" s="1315"/>
      <c r="AH176" s="1315"/>
      <c r="AI176" s="1312"/>
      <c r="AJ176" s="1314">
        <f t="shared" si="48"/>
        <v>0</v>
      </c>
      <c r="AK176" s="941"/>
      <c r="AL176" s="943"/>
      <c r="AM176" s="940"/>
      <c r="AN176" s="1316" t="s">
        <v>1475</v>
      </c>
      <c r="AO176" s="1329">
        <f>AA198+AJ198</f>
        <v>0</v>
      </c>
      <c r="AP176" s="1330">
        <f>(60.47*1.5)</f>
        <v>90.704999999999998</v>
      </c>
      <c r="AQ176" s="1330">
        <f t="shared" ref="AQ176" si="49">AP176*AO176</f>
        <v>0</v>
      </c>
      <c r="AR176" s="967"/>
      <c r="AS176" s="954"/>
      <c r="AT176" s="940"/>
      <c r="AU176" s="1265"/>
      <c r="AV176" s="1265"/>
      <c r="AW176" s="1265"/>
      <c r="AX176" s="1265"/>
      <c r="AY176" s="1265"/>
      <c r="AZ176" s="1265"/>
      <c r="BA176" s="1265"/>
      <c r="BB176" s="1265"/>
      <c r="BC176" s="1265"/>
      <c r="BD176" s="1265"/>
      <c r="BE176" s="1265"/>
    </row>
    <row r="177" spans="1:57" ht="13.5" hidden="1" customHeight="1">
      <c r="A177" s="1318" t="s">
        <v>1438</v>
      </c>
      <c r="B177" s="1315"/>
      <c r="C177" s="1332"/>
      <c r="D177" s="1312"/>
      <c r="E177" s="1312"/>
      <c r="F177" s="1310"/>
      <c r="G177" s="1315">
        <v>0.29166666666666669</v>
      </c>
      <c r="H177" s="1315">
        <v>0.125</v>
      </c>
      <c r="I177" s="1312">
        <v>8</v>
      </c>
      <c r="J177" s="1312"/>
      <c r="K177" s="1310"/>
      <c r="L177" s="1315">
        <v>0.29166666666666669</v>
      </c>
      <c r="M177" s="1315">
        <v>0.125</v>
      </c>
      <c r="N177" s="1312">
        <v>8</v>
      </c>
      <c r="O177" s="1312"/>
      <c r="P177" s="1310"/>
      <c r="Q177" s="1315">
        <v>0.29166666666666669</v>
      </c>
      <c r="R177" s="1315">
        <v>0.125</v>
      </c>
      <c r="S177" s="1312">
        <v>8</v>
      </c>
      <c r="T177" s="1312"/>
      <c r="U177" s="1310"/>
      <c r="V177" s="1315">
        <v>0.29166666666666669</v>
      </c>
      <c r="W177" s="1315">
        <v>0.125</v>
      </c>
      <c r="X177" s="1312">
        <v>8</v>
      </c>
      <c r="Y177" s="1312"/>
      <c r="Z177" s="1314">
        <f t="shared" si="46"/>
        <v>32</v>
      </c>
      <c r="AA177" s="1316">
        <f t="shared" si="47"/>
        <v>0</v>
      </c>
      <c r="AB177" s="1310"/>
      <c r="AC177" s="1315"/>
      <c r="AD177" s="1315"/>
      <c r="AE177" s="1312"/>
      <c r="AF177" s="1310"/>
      <c r="AG177" s="1315"/>
      <c r="AH177" s="1315"/>
      <c r="AI177" s="1312"/>
      <c r="AJ177" s="1314">
        <f t="shared" si="48"/>
        <v>0</v>
      </c>
      <c r="AK177" s="941"/>
      <c r="AL177" s="943"/>
      <c r="AM177" s="940"/>
      <c r="AN177" s="1316" t="s">
        <v>213</v>
      </c>
      <c r="AO177" s="1329">
        <f>Z199</f>
        <v>32.5</v>
      </c>
      <c r="AP177" s="1330">
        <v>53.05</v>
      </c>
      <c r="AQ177" s="1330">
        <f>AP177*AO177</f>
        <v>1724.125</v>
      </c>
      <c r="AR177" s="967"/>
      <c r="AS177" s="954"/>
      <c r="AT177" s="940"/>
      <c r="AU177" s="1265"/>
      <c r="AV177" s="1265"/>
      <c r="AW177" s="1265"/>
      <c r="AX177" s="1265"/>
      <c r="AY177" s="1265"/>
      <c r="AZ177" s="1265"/>
      <c r="BA177" s="1265"/>
      <c r="BB177" s="1265"/>
      <c r="BC177" s="1265"/>
      <c r="BD177" s="1265"/>
      <c r="BE177" s="1265"/>
    </row>
    <row r="178" spans="1:57" ht="13.5" hidden="1" customHeight="1">
      <c r="A178" s="1318" t="s">
        <v>1142</v>
      </c>
      <c r="B178" s="1332"/>
      <c r="C178" s="1332"/>
      <c r="D178" s="1312"/>
      <c r="E178" s="1312"/>
      <c r="F178" s="1310"/>
      <c r="G178" s="1315">
        <v>0.125</v>
      </c>
      <c r="H178" s="1315">
        <v>0.45833333333333331</v>
      </c>
      <c r="I178" s="1312">
        <v>8</v>
      </c>
      <c r="J178" s="1312"/>
      <c r="K178" s="1312"/>
      <c r="L178" s="1315">
        <v>0.125</v>
      </c>
      <c r="M178" s="1315">
        <v>0.45833333333333331</v>
      </c>
      <c r="N178" s="1312">
        <v>8</v>
      </c>
      <c r="O178" s="1312"/>
      <c r="P178" s="1312"/>
      <c r="Q178" s="1315">
        <v>0.125</v>
      </c>
      <c r="R178" s="1315">
        <v>0.45833333333333331</v>
      </c>
      <c r="S178" s="1312">
        <v>8</v>
      </c>
      <c r="T178" s="1312"/>
      <c r="U178" s="1312"/>
      <c r="V178" s="1315">
        <v>0.125</v>
      </c>
      <c r="W178" s="1315">
        <v>0.45833333333333331</v>
      </c>
      <c r="X178" s="1312">
        <v>8</v>
      </c>
      <c r="Y178" s="1312"/>
      <c r="Z178" s="1314">
        <f t="shared" si="46"/>
        <v>32</v>
      </c>
      <c r="AA178" s="1316">
        <f t="shared" si="47"/>
        <v>0</v>
      </c>
      <c r="AB178" s="1310"/>
      <c r="AC178" s="1315"/>
      <c r="AD178" s="1315"/>
      <c r="AE178" s="1312"/>
      <c r="AF178" s="1310"/>
      <c r="AG178" s="1315"/>
      <c r="AH178" s="1315"/>
      <c r="AI178" s="1312"/>
      <c r="AJ178" s="1314">
        <f t="shared" si="48"/>
        <v>0</v>
      </c>
      <c r="AK178" s="941"/>
      <c r="AL178" s="943"/>
      <c r="AM178" s="940"/>
      <c r="AN178" s="1316" t="s">
        <v>36</v>
      </c>
      <c r="AO178" s="1329">
        <f>AA199+AJ199</f>
        <v>7</v>
      </c>
      <c r="AP178" s="1330">
        <f>53.05*1.5</f>
        <v>79.574999999999989</v>
      </c>
      <c r="AQ178" s="1330">
        <f>AP178*AO178</f>
        <v>557.02499999999986</v>
      </c>
      <c r="AR178" s="967"/>
      <c r="AS178" s="954"/>
      <c r="AT178" s="940"/>
      <c r="AU178" s="1265"/>
      <c r="AV178" s="1265"/>
      <c r="AW178" s="1265"/>
      <c r="AX178" s="1265"/>
      <c r="AY178" s="1265"/>
      <c r="AZ178" s="1265"/>
      <c r="BA178" s="1265"/>
      <c r="BB178" s="1265"/>
      <c r="BC178" s="1265"/>
      <c r="BD178" s="1265"/>
      <c r="BE178" s="1265"/>
    </row>
    <row r="179" spans="1:57" ht="13.5" hidden="1" customHeight="1">
      <c r="A179" s="1318" t="s">
        <v>1447</v>
      </c>
      <c r="B179" s="1332"/>
      <c r="C179" s="1332"/>
      <c r="D179" s="1312"/>
      <c r="E179" s="1312"/>
      <c r="F179" s="1310"/>
      <c r="G179" s="1315">
        <v>0.125</v>
      </c>
      <c r="H179" s="1315">
        <v>0.45833333333333331</v>
      </c>
      <c r="I179" s="1312">
        <v>8</v>
      </c>
      <c r="J179" s="1312"/>
      <c r="K179" s="1312"/>
      <c r="L179" s="1315">
        <v>0.125</v>
      </c>
      <c r="M179" s="1315">
        <v>0.45833333333333331</v>
      </c>
      <c r="N179" s="1312">
        <v>8</v>
      </c>
      <c r="O179" s="1312"/>
      <c r="P179" s="1312"/>
      <c r="Q179" s="1315">
        <v>0.125</v>
      </c>
      <c r="R179" s="1315">
        <v>0.45833333333333331</v>
      </c>
      <c r="S179" s="1312">
        <v>8</v>
      </c>
      <c r="T179" s="1312"/>
      <c r="U179" s="1312"/>
      <c r="V179" s="1315">
        <v>0.125</v>
      </c>
      <c r="W179" s="1315">
        <v>0.45833333333333331</v>
      </c>
      <c r="X179" s="1312">
        <v>8</v>
      </c>
      <c r="Y179" s="1312"/>
      <c r="Z179" s="1314">
        <f t="shared" si="46"/>
        <v>32</v>
      </c>
      <c r="AA179" s="1316">
        <f t="shared" si="47"/>
        <v>0</v>
      </c>
      <c r="AB179" s="1310"/>
      <c r="AC179" s="1315"/>
      <c r="AD179" s="1315"/>
      <c r="AE179" s="1312"/>
      <c r="AF179" s="1310"/>
      <c r="AG179" s="1315"/>
      <c r="AH179" s="1315"/>
      <c r="AI179" s="1312"/>
      <c r="AJ179" s="1314">
        <f t="shared" si="48"/>
        <v>0</v>
      </c>
      <c r="AK179" s="941"/>
      <c r="AL179" s="943"/>
      <c r="AM179" s="940"/>
      <c r="AN179" s="967"/>
      <c r="AO179" s="967"/>
      <c r="AP179" s="967"/>
      <c r="AQ179" s="1331">
        <f>SUM(AQ172:AQ178)</f>
        <v>31289.912500000002</v>
      </c>
      <c r="AR179" s="967"/>
      <c r="AS179" s="954"/>
      <c r="AT179" s="940"/>
      <c r="AU179" s="1265"/>
      <c r="AV179" s="1265"/>
      <c r="AW179" s="1265"/>
      <c r="AX179" s="1265"/>
      <c r="AY179" s="1265"/>
      <c r="AZ179" s="1265"/>
      <c r="BA179" s="1265"/>
      <c r="BB179" s="1265"/>
      <c r="BC179" s="1265"/>
      <c r="BD179" s="1265"/>
      <c r="BE179" s="1265"/>
    </row>
    <row r="180" spans="1:57" ht="13.5" hidden="1" customHeight="1">
      <c r="A180" s="1310" t="s">
        <v>327</v>
      </c>
      <c r="B180" s="1332"/>
      <c r="C180" s="1332"/>
      <c r="D180" s="1312"/>
      <c r="E180" s="1312"/>
      <c r="F180" s="1312"/>
      <c r="G180" s="1315">
        <v>0.125</v>
      </c>
      <c r="H180" s="1315">
        <v>0.45833333333333331</v>
      </c>
      <c r="I180" s="1312">
        <v>8</v>
      </c>
      <c r="J180" s="1312"/>
      <c r="K180" s="1312"/>
      <c r="L180" s="1315">
        <v>0.125</v>
      </c>
      <c r="M180" s="1315">
        <v>0.45833333333333331</v>
      </c>
      <c r="N180" s="1312">
        <v>8</v>
      </c>
      <c r="O180" s="1312"/>
      <c r="P180" s="1312"/>
      <c r="Q180" s="1315">
        <v>0.125</v>
      </c>
      <c r="R180" s="1315">
        <v>0.45833333333333331</v>
      </c>
      <c r="S180" s="1312">
        <v>8</v>
      </c>
      <c r="T180" s="1312"/>
      <c r="U180" s="1312"/>
      <c r="V180" s="1315">
        <v>0.125</v>
      </c>
      <c r="W180" s="1315">
        <v>0.45833333333333331</v>
      </c>
      <c r="X180" s="1312">
        <v>8</v>
      </c>
      <c r="Y180" s="1312"/>
      <c r="Z180" s="1314">
        <f t="shared" si="46"/>
        <v>32</v>
      </c>
      <c r="AA180" s="1316">
        <f t="shared" si="47"/>
        <v>0</v>
      </c>
      <c r="AB180" s="1310"/>
      <c r="AC180" s="1315"/>
      <c r="AD180" s="1315"/>
      <c r="AE180" s="1312"/>
      <c r="AF180" s="1310"/>
      <c r="AG180" s="1315"/>
      <c r="AH180" s="1315"/>
      <c r="AI180" s="1312"/>
      <c r="AJ180" s="1314">
        <f t="shared" si="48"/>
        <v>0</v>
      </c>
      <c r="AK180" s="941"/>
      <c r="AL180" s="943"/>
      <c r="AM180" s="940"/>
      <c r="AN180" s="967"/>
      <c r="AO180" s="967"/>
      <c r="AP180" s="967"/>
      <c r="AQ180" s="967"/>
      <c r="AR180" s="967"/>
      <c r="AS180" s="954"/>
      <c r="AT180" s="940"/>
      <c r="AU180" s="1265"/>
      <c r="AV180" s="1265"/>
      <c r="AW180" s="1265"/>
      <c r="AX180" s="1265"/>
      <c r="AY180" s="1265"/>
      <c r="AZ180" s="1265"/>
      <c r="BA180" s="1265"/>
      <c r="BB180" s="1265"/>
      <c r="BC180" s="1265"/>
      <c r="BD180" s="1265"/>
      <c r="BE180" s="1265"/>
    </row>
    <row r="181" spans="1:57" ht="13.5" hidden="1" customHeight="1">
      <c r="A181" s="1310" t="s">
        <v>1436</v>
      </c>
      <c r="B181" s="1332"/>
      <c r="C181" s="1332"/>
      <c r="D181" s="1312"/>
      <c r="E181" s="1312"/>
      <c r="F181" s="1312"/>
      <c r="G181" s="1315">
        <v>0.125</v>
      </c>
      <c r="H181" s="1315">
        <v>0.45833333333333331</v>
      </c>
      <c r="I181" s="1312">
        <v>8</v>
      </c>
      <c r="J181" s="1312"/>
      <c r="K181" s="1312"/>
      <c r="L181" s="1315">
        <v>0.125</v>
      </c>
      <c r="M181" s="1315">
        <v>0.45833333333333331</v>
      </c>
      <c r="N181" s="1312">
        <v>8</v>
      </c>
      <c r="O181" s="1312"/>
      <c r="P181" s="1312"/>
      <c r="Q181" s="1315">
        <v>0.125</v>
      </c>
      <c r="R181" s="1315">
        <v>0.45833333333333331</v>
      </c>
      <c r="S181" s="1312">
        <v>8</v>
      </c>
      <c r="T181" s="1312"/>
      <c r="U181" s="1312"/>
      <c r="V181" s="1315">
        <v>0.125</v>
      </c>
      <c r="W181" s="1315">
        <v>0.45833333333333331</v>
      </c>
      <c r="X181" s="1312">
        <v>8</v>
      </c>
      <c r="Y181" s="1312"/>
      <c r="Z181" s="1314">
        <f t="shared" si="46"/>
        <v>32</v>
      </c>
      <c r="AA181" s="1316">
        <f t="shared" si="47"/>
        <v>0</v>
      </c>
      <c r="AB181" s="1310"/>
      <c r="AC181" s="1315"/>
      <c r="AD181" s="1315"/>
      <c r="AE181" s="1312"/>
      <c r="AF181" s="1310"/>
      <c r="AG181" s="1315"/>
      <c r="AH181" s="1315"/>
      <c r="AI181" s="1312"/>
      <c r="AJ181" s="1314">
        <f t="shared" si="48"/>
        <v>0</v>
      </c>
      <c r="AK181" s="941"/>
      <c r="AL181" s="943"/>
      <c r="AM181" s="940"/>
      <c r="AN181" s="967"/>
      <c r="AO181" s="967"/>
      <c r="AP181" s="967"/>
      <c r="AQ181" s="967"/>
      <c r="AR181" s="967"/>
      <c r="AS181" s="954"/>
      <c r="AT181" s="940"/>
      <c r="AU181" s="1265"/>
      <c r="AV181" s="1265"/>
      <c r="AW181" s="1265"/>
      <c r="AX181" s="1265"/>
      <c r="AY181" s="1265"/>
      <c r="AZ181" s="1265"/>
      <c r="BA181" s="1265"/>
      <c r="BB181" s="1265"/>
      <c r="BC181" s="1265"/>
      <c r="BD181" s="1265"/>
      <c r="BE181" s="1265"/>
    </row>
    <row r="182" spans="1:57" ht="13.5" hidden="1" customHeight="1">
      <c r="A182" s="1318" t="s">
        <v>1140</v>
      </c>
      <c r="B182" s="1332"/>
      <c r="C182" s="1332"/>
      <c r="D182" s="1312"/>
      <c r="E182" s="1312"/>
      <c r="F182" s="1310"/>
      <c r="G182" s="1315">
        <v>0.125</v>
      </c>
      <c r="H182" s="1315">
        <v>0.45833333333333331</v>
      </c>
      <c r="I182" s="1312">
        <v>8</v>
      </c>
      <c r="J182" s="1312"/>
      <c r="K182" s="1310"/>
      <c r="L182" s="1315">
        <v>0.125</v>
      </c>
      <c r="M182" s="1315">
        <v>0.45833333333333331</v>
      </c>
      <c r="N182" s="1312">
        <v>8</v>
      </c>
      <c r="O182" s="1312"/>
      <c r="P182" s="1310"/>
      <c r="Q182" s="1315">
        <v>0.125</v>
      </c>
      <c r="R182" s="1315">
        <v>0.45833333333333331</v>
      </c>
      <c r="S182" s="1312">
        <v>8</v>
      </c>
      <c r="T182" s="1312"/>
      <c r="U182" s="1310"/>
      <c r="V182" s="1315">
        <v>0.125</v>
      </c>
      <c r="W182" s="1315">
        <v>0.45833333333333331</v>
      </c>
      <c r="X182" s="1312">
        <v>8</v>
      </c>
      <c r="Y182" s="1312"/>
      <c r="Z182" s="1314">
        <f t="shared" si="46"/>
        <v>32</v>
      </c>
      <c r="AA182" s="1316">
        <f t="shared" si="47"/>
        <v>0</v>
      </c>
      <c r="AB182" s="1310"/>
      <c r="AC182" s="1315"/>
      <c r="AD182" s="1315"/>
      <c r="AE182" s="1312"/>
      <c r="AF182" s="1310"/>
      <c r="AG182" s="1315"/>
      <c r="AH182" s="1315"/>
      <c r="AI182" s="1312"/>
      <c r="AJ182" s="1314">
        <f t="shared" si="48"/>
        <v>0</v>
      </c>
      <c r="AK182" s="941"/>
      <c r="AL182" s="943"/>
      <c r="AM182" s="940"/>
      <c r="AN182" s="1316"/>
      <c r="AO182" s="1329"/>
      <c r="AP182" s="1330"/>
      <c r="AQ182" s="1330"/>
      <c r="AR182" s="967"/>
      <c r="AS182" s="954"/>
      <c r="AT182" s="940"/>
      <c r="AU182" s="1265"/>
      <c r="AV182" s="1265"/>
      <c r="AW182" s="1265"/>
      <c r="AX182" s="1265"/>
      <c r="AY182" s="1265"/>
      <c r="AZ182" s="1265"/>
      <c r="BA182" s="1265"/>
      <c r="BB182" s="1265"/>
      <c r="BC182" s="1265"/>
      <c r="BD182" s="1265"/>
      <c r="BE182" s="1265"/>
    </row>
    <row r="183" spans="1:57" ht="13.5" hidden="1" customHeight="1">
      <c r="A183" s="1318" t="s">
        <v>1141</v>
      </c>
      <c r="B183" s="1315"/>
      <c r="C183" s="1332"/>
      <c r="D183" s="1312"/>
      <c r="E183" s="1312"/>
      <c r="F183" s="1312"/>
      <c r="G183" s="1315"/>
      <c r="H183" s="1315"/>
      <c r="I183" s="1312">
        <v>0</v>
      </c>
      <c r="J183" s="1312"/>
      <c r="K183" s="1312"/>
      <c r="L183" s="1315">
        <v>0.29166666666666669</v>
      </c>
      <c r="M183" s="1315">
        <v>0.1875</v>
      </c>
      <c r="N183" s="1312">
        <v>8</v>
      </c>
      <c r="O183" s="1312">
        <v>0.5</v>
      </c>
      <c r="P183" s="1312"/>
      <c r="Q183" s="1315">
        <v>0.33333333333333331</v>
      </c>
      <c r="R183" s="1315">
        <v>0.16666666666666666</v>
      </c>
      <c r="S183" s="1312">
        <v>7.5</v>
      </c>
      <c r="T183" s="1312"/>
      <c r="U183" s="1312"/>
      <c r="V183" s="1315">
        <v>0.29166666666666669</v>
      </c>
      <c r="W183" s="1315">
        <v>0.16666666666666666</v>
      </c>
      <c r="X183" s="1312">
        <v>8</v>
      </c>
      <c r="Y183" s="1312"/>
      <c r="Z183" s="1314">
        <f>D183+I183+N183+S183+X183</f>
        <v>23.5</v>
      </c>
      <c r="AA183" s="1316">
        <f t="shared" si="47"/>
        <v>0.5</v>
      </c>
      <c r="AB183" s="1310"/>
      <c r="AC183" s="1315"/>
      <c r="AD183" s="1315"/>
      <c r="AE183" s="1312"/>
      <c r="AF183" s="1310"/>
      <c r="AG183" s="1315">
        <v>0.29166666666666669</v>
      </c>
      <c r="AH183" s="1315">
        <v>0.22916666666666666</v>
      </c>
      <c r="AI183" s="1312">
        <v>9.5</v>
      </c>
      <c r="AJ183" s="1314">
        <f t="shared" si="48"/>
        <v>9.5</v>
      </c>
      <c r="AK183" s="941"/>
      <c r="AL183" s="943"/>
      <c r="AM183" s="940"/>
      <c r="AN183" s="967"/>
      <c r="AO183" s="967"/>
      <c r="AP183" s="967"/>
      <c r="AQ183" s="967"/>
      <c r="AR183" s="967"/>
      <c r="AS183" s="954"/>
      <c r="AT183" s="940"/>
      <c r="AU183" s="1265"/>
      <c r="AV183" s="1265"/>
      <c r="AW183" s="1265"/>
      <c r="AX183" s="1265"/>
      <c r="AY183" s="1265"/>
      <c r="AZ183" s="1265"/>
      <c r="BA183" s="1265"/>
      <c r="BB183" s="1265"/>
      <c r="BC183" s="1265"/>
      <c r="BD183" s="1265"/>
      <c r="BE183" s="1265"/>
    </row>
    <row r="184" spans="1:57" ht="13.5" hidden="1" customHeight="1">
      <c r="A184" s="1318" t="s">
        <v>241</v>
      </c>
      <c r="B184" s="1332"/>
      <c r="C184" s="1332"/>
      <c r="D184" s="1312"/>
      <c r="E184" s="1312"/>
      <c r="F184" s="1312"/>
      <c r="G184" s="1315">
        <v>0.16666666666666666</v>
      </c>
      <c r="H184" s="1315">
        <v>0.45833333333333331</v>
      </c>
      <c r="I184" s="1312">
        <v>6.5</v>
      </c>
      <c r="J184" s="1312"/>
      <c r="K184" s="1312"/>
      <c r="L184" s="1315">
        <v>4.1666666666666664E-2</v>
      </c>
      <c r="M184" s="1315">
        <v>0.375</v>
      </c>
      <c r="N184" s="1312">
        <v>7.5</v>
      </c>
      <c r="O184" s="1312"/>
      <c r="P184" s="1312"/>
      <c r="Q184" s="1315">
        <v>0.41666666666666669</v>
      </c>
      <c r="R184" s="1315">
        <v>0.20833333333333334</v>
      </c>
      <c r="S184" s="1312">
        <v>6.5</v>
      </c>
      <c r="T184" s="1312"/>
      <c r="U184" s="1312"/>
      <c r="V184" s="1315"/>
      <c r="W184" s="1315"/>
      <c r="X184" s="1312">
        <v>0</v>
      </c>
      <c r="Y184" s="1312"/>
      <c r="Z184" s="1314">
        <f>D184+I184+N184+S184+X184</f>
        <v>20.5</v>
      </c>
      <c r="AA184" s="1316">
        <f t="shared" si="47"/>
        <v>0</v>
      </c>
      <c r="AB184" s="1310"/>
      <c r="AC184" s="1315">
        <v>0.33333333333333331</v>
      </c>
      <c r="AD184" s="1315">
        <v>8.3333333333333329E-2</v>
      </c>
      <c r="AE184" s="1312">
        <v>5.5</v>
      </c>
      <c r="AF184" s="1310"/>
      <c r="AG184" s="1315"/>
      <c r="AH184" s="1315"/>
      <c r="AI184" s="1312"/>
      <c r="AJ184" s="1314">
        <f t="shared" si="48"/>
        <v>5.5</v>
      </c>
      <c r="AK184" s="941"/>
      <c r="AL184" s="943"/>
      <c r="AM184" s="940"/>
      <c r="AN184" s="967"/>
      <c r="AO184" s="967"/>
      <c r="AP184" s="967"/>
      <c r="AQ184" s="967"/>
      <c r="AR184" s="967"/>
      <c r="AS184" s="954"/>
      <c r="AT184" s="940"/>
      <c r="AU184" s="1265"/>
      <c r="AV184" s="1265"/>
      <c r="AW184" s="1265"/>
      <c r="AX184" s="1265"/>
      <c r="AY184" s="1265"/>
      <c r="AZ184" s="1265"/>
      <c r="BA184" s="1265"/>
      <c r="BB184" s="1265"/>
      <c r="BC184" s="1265"/>
      <c r="BD184" s="1265"/>
      <c r="BE184" s="1265"/>
    </row>
    <row r="185" spans="1:57" ht="13.5" hidden="1" customHeight="1">
      <c r="A185" s="1318" t="s">
        <v>1477</v>
      </c>
      <c r="B185" s="1332"/>
      <c r="C185" s="1332"/>
      <c r="D185" s="1312"/>
      <c r="E185" s="1312"/>
      <c r="F185" s="1312"/>
      <c r="G185" s="1315">
        <v>0.375</v>
      </c>
      <c r="H185" s="1315">
        <v>0.20833333333333334</v>
      </c>
      <c r="I185" s="1312">
        <v>7</v>
      </c>
      <c r="J185" s="1312"/>
      <c r="K185" s="1312"/>
      <c r="L185" s="1315">
        <v>0.375</v>
      </c>
      <c r="M185" s="1315">
        <v>0.20833333333333334</v>
      </c>
      <c r="N185" s="1312">
        <v>7</v>
      </c>
      <c r="O185" s="1312"/>
      <c r="P185" s="1312"/>
      <c r="Q185" s="1315">
        <v>0.375</v>
      </c>
      <c r="R185" s="1315"/>
      <c r="S185" s="1312">
        <v>5</v>
      </c>
      <c r="T185" s="1312"/>
      <c r="U185" s="1312"/>
      <c r="V185" s="1315">
        <v>0.375</v>
      </c>
      <c r="W185" s="1315">
        <v>0.20833333333333334</v>
      </c>
      <c r="X185" s="1312">
        <v>7</v>
      </c>
      <c r="Y185" s="1312"/>
      <c r="Z185" s="1314">
        <f>D185+I185+N185+S185+X185</f>
        <v>26</v>
      </c>
      <c r="AA185" s="1316">
        <f t="shared" si="47"/>
        <v>0</v>
      </c>
      <c r="AB185" s="1310"/>
      <c r="AC185" s="1315"/>
      <c r="AD185" s="1315"/>
      <c r="AE185" s="1312"/>
      <c r="AF185" s="1310"/>
      <c r="AG185" s="1315"/>
      <c r="AH185" s="1315"/>
      <c r="AI185" s="1312"/>
      <c r="AJ185" s="1314">
        <f t="shared" si="48"/>
        <v>0</v>
      </c>
      <c r="AK185" s="941"/>
      <c r="AL185" s="943"/>
      <c r="AM185" s="940"/>
      <c r="AN185" s="967"/>
      <c r="AO185" s="967"/>
      <c r="AP185" s="967"/>
      <c r="AQ185" s="967"/>
      <c r="AR185" s="967"/>
      <c r="AS185" s="954"/>
      <c r="AT185" s="940"/>
      <c r="AU185" s="1265"/>
      <c r="AV185" s="1265"/>
      <c r="AW185" s="1265"/>
      <c r="AX185" s="1265"/>
      <c r="AY185" s="1265"/>
      <c r="AZ185" s="1265"/>
      <c r="BA185" s="1265"/>
      <c r="BB185" s="1265"/>
      <c r="BC185" s="1265"/>
      <c r="BD185" s="1265"/>
      <c r="BE185" s="1265"/>
    </row>
    <row r="186" spans="1:57" ht="13.5" hidden="1" customHeight="1">
      <c r="A186" s="1318" t="s">
        <v>1444</v>
      </c>
      <c r="B186" s="1332"/>
      <c r="C186" s="1332"/>
      <c r="D186" s="1312"/>
      <c r="E186" s="1312"/>
      <c r="F186" s="1312"/>
      <c r="G186" s="1315">
        <v>0.375</v>
      </c>
      <c r="H186" s="1315">
        <v>0.125</v>
      </c>
      <c r="I186" s="1312">
        <v>5.5</v>
      </c>
      <c r="J186" s="1312"/>
      <c r="K186" s="1312"/>
      <c r="L186" s="1315">
        <v>0.375</v>
      </c>
      <c r="M186" s="1315">
        <v>0.125</v>
      </c>
      <c r="N186" s="1312">
        <v>5.5</v>
      </c>
      <c r="O186" s="1312"/>
      <c r="P186" s="1312"/>
      <c r="Q186" s="1315">
        <v>0.375</v>
      </c>
      <c r="R186" s="1315">
        <v>0.20833333333333334</v>
      </c>
      <c r="S186" s="1312">
        <v>7</v>
      </c>
      <c r="T186" s="1312"/>
      <c r="U186" s="1312"/>
      <c r="V186" s="1315">
        <v>0.375</v>
      </c>
      <c r="W186" s="1315">
        <v>0.20833333333333334</v>
      </c>
      <c r="X186" s="1312">
        <v>7</v>
      </c>
      <c r="Y186" s="1312"/>
      <c r="Z186" s="1314">
        <f t="shared" ref="Z186:Z190" si="50">D186+I186+N186+S186+X186</f>
        <v>25</v>
      </c>
      <c r="AA186" s="1316">
        <f t="shared" si="47"/>
        <v>0</v>
      </c>
      <c r="AB186" s="1310"/>
      <c r="AC186" s="1315"/>
      <c r="AD186" s="1315"/>
      <c r="AE186" s="1312"/>
      <c r="AF186" s="1310"/>
      <c r="AG186" s="1315"/>
      <c r="AH186" s="1315"/>
      <c r="AI186" s="1312"/>
      <c r="AJ186" s="1314">
        <f t="shared" si="48"/>
        <v>0</v>
      </c>
      <c r="AK186" s="941"/>
      <c r="AL186" s="943"/>
      <c r="AM186" s="940"/>
      <c r="AN186" s="967"/>
      <c r="AO186" s="967"/>
      <c r="AP186" s="967"/>
      <c r="AQ186" s="967"/>
      <c r="AR186" s="967"/>
      <c r="AS186" s="954"/>
      <c r="AT186" s="940"/>
      <c r="AU186" s="1265"/>
      <c r="AV186" s="1265"/>
      <c r="AW186" s="1265"/>
      <c r="AX186" s="1265"/>
      <c r="AY186" s="1265"/>
      <c r="AZ186" s="1265"/>
      <c r="BA186" s="1265"/>
      <c r="BB186" s="1265"/>
      <c r="BC186" s="1265"/>
      <c r="BD186" s="1265"/>
      <c r="BE186" s="1265"/>
    </row>
    <row r="187" spans="1:57" ht="13.5" hidden="1" customHeight="1">
      <c r="A187" s="1318" t="s">
        <v>1479</v>
      </c>
      <c r="B187" s="1315"/>
      <c r="C187" s="1315"/>
      <c r="D187" s="1312"/>
      <c r="E187" s="1312"/>
      <c r="F187" s="1312"/>
      <c r="G187" s="1315">
        <v>0.29166666666666669</v>
      </c>
      <c r="H187" s="1315">
        <v>0.16666666666666666</v>
      </c>
      <c r="I187" s="1312">
        <v>8</v>
      </c>
      <c r="J187" s="1312"/>
      <c r="K187" s="1312"/>
      <c r="L187" s="1315"/>
      <c r="M187" s="1315"/>
      <c r="N187" s="1312">
        <v>0</v>
      </c>
      <c r="O187" s="1312"/>
      <c r="P187" s="1312"/>
      <c r="Q187" s="1315">
        <v>0.29166666666666669</v>
      </c>
      <c r="R187" s="1315">
        <v>0.20833333333333334</v>
      </c>
      <c r="S187" s="1312">
        <v>8</v>
      </c>
      <c r="T187" s="1312">
        <v>1</v>
      </c>
      <c r="U187" s="1312"/>
      <c r="V187" s="1315">
        <v>0.29166666666666669</v>
      </c>
      <c r="W187" s="1315">
        <v>0.20833333333333334</v>
      </c>
      <c r="X187" s="1312">
        <v>8</v>
      </c>
      <c r="Y187" s="1312">
        <v>1</v>
      </c>
      <c r="Z187" s="1314">
        <f t="shared" si="50"/>
        <v>24</v>
      </c>
      <c r="AA187" s="1316">
        <f t="shared" si="47"/>
        <v>2</v>
      </c>
      <c r="AB187" s="1310"/>
      <c r="AC187" s="1315">
        <v>0.29166666666666669</v>
      </c>
      <c r="AD187" s="1315">
        <v>0.125</v>
      </c>
      <c r="AE187" s="1312">
        <v>7</v>
      </c>
      <c r="AF187" s="1310"/>
      <c r="AG187" s="1315"/>
      <c r="AH187" s="1315"/>
      <c r="AI187" s="1312"/>
      <c r="AJ187" s="1314">
        <f t="shared" si="48"/>
        <v>7</v>
      </c>
      <c r="AK187" s="941"/>
      <c r="AL187" s="943"/>
      <c r="AM187" s="940"/>
      <c r="AN187" s="967"/>
      <c r="AO187" s="967"/>
      <c r="AP187" s="967"/>
      <c r="AQ187" s="967"/>
      <c r="AR187" s="967"/>
      <c r="AS187" s="954"/>
      <c r="AT187" s="940"/>
      <c r="AU187" s="1265"/>
      <c r="AV187" s="1265"/>
      <c r="AW187" s="1265"/>
      <c r="AX187" s="1265"/>
      <c r="AY187" s="1265"/>
      <c r="AZ187" s="1265"/>
      <c r="BA187" s="1265"/>
      <c r="BB187" s="1265"/>
      <c r="BC187" s="1265"/>
      <c r="BD187" s="1265"/>
      <c r="BE187" s="1265"/>
    </row>
    <row r="188" spans="1:57" ht="13.5" hidden="1" customHeight="1">
      <c r="A188" s="1318" t="s">
        <v>1480</v>
      </c>
      <c r="B188" s="1332"/>
      <c r="C188" s="1332"/>
      <c r="D188" s="1312"/>
      <c r="E188" s="1312"/>
      <c r="F188" s="1312"/>
      <c r="G188" s="1315">
        <v>0.29166666666666669</v>
      </c>
      <c r="H188" s="1315"/>
      <c r="I188" s="1312">
        <v>7.5</v>
      </c>
      <c r="J188" s="1312"/>
      <c r="K188" s="1312"/>
      <c r="L188" s="1315">
        <v>0.29166666666666669</v>
      </c>
      <c r="M188" s="1315">
        <v>0.20833333333333334</v>
      </c>
      <c r="N188" s="1312">
        <v>8</v>
      </c>
      <c r="O188" s="1312">
        <v>1</v>
      </c>
      <c r="P188" s="1312"/>
      <c r="Q188" s="1315">
        <v>0.29166666666666669</v>
      </c>
      <c r="R188" s="1315">
        <v>0.20833333333333334</v>
      </c>
      <c r="S188" s="1312">
        <v>8</v>
      </c>
      <c r="T188" s="1312">
        <v>1</v>
      </c>
      <c r="U188" s="1312"/>
      <c r="V188" s="1315"/>
      <c r="W188" s="1315"/>
      <c r="X188" s="1312">
        <v>0</v>
      </c>
      <c r="Y188" s="1312"/>
      <c r="Z188" s="1314">
        <f t="shared" si="50"/>
        <v>23.5</v>
      </c>
      <c r="AA188" s="1316">
        <f t="shared" si="47"/>
        <v>2</v>
      </c>
      <c r="AB188" s="1310"/>
      <c r="AC188" s="1315"/>
      <c r="AD188" s="1315"/>
      <c r="AE188" s="1312"/>
      <c r="AF188" s="1310"/>
      <c r="AG188" s="1315"/>
      <c r="AH188" s="1315"/>
      <c r="AI188" s="1312"/>
      <c r="AJ188" s="1314">
        <f t="shared" si="48"/>
        <v>0</v>
      </c>
      <c r="AK188" s="941"/>
      <c r="AL188" s="943"/>
      <c r="AM188" s="940"/>
      <c r="AN188" s="967"/>
      <c r="AO188" s="967"/>
      <c r="AP188" s="967"/>
      <c r="AQ188" s="967"/>
      <c r="AR188" s="967"/>
      <c r="AS188" s="954"/>
      <c r="AT188" s="940"/>
      <c r="AU188" s="1265"/>
      <c r="AV188" s="1265"/>
      <c r="AW188" s="1265"/>
      <c r="AX188" s="1265"/>
      <c r="AY188" s="1265"/>
      <c r="AZ188" s="1265"/>
      <c r="BA188" s="1265"/>
      <c r="BB188" s="1265"/>
      <c r="BC188" s="1265"/>
      <c r="BD188" s="1265"/>
      <c r="BE188" s="1265"/>
    </row>
    <row r="189" spans="1:57" ht="13.5" hidden="1" customHeight="1">
      <c r="A189" s="1318" t="s">
        <v>1143</v>
      </c>
      <c r="B189" s="1315"/>
      <c r="C189" s="1315"/>
      <c r="D189" s="1312"/>
      <c r="E189" s="1312"/>
      <c r="F189" s="1312"/>
      <c r="G189" s="1315"/>
      <c r="H189" s="1315"/>
      <c r="I189" s="1312">
        <v>0</v>
      </c>
      <c r="J189" s="1312"/>
      <c r="K189" s="1312"/>
      <c r="L189" s="1315"/>
      <c r="M189" s="1315"/>
      <c r="N189" s="1312">
        <v>0</v>
      </c>
      <c r="O189" s="1312"/>
      <c r="P189" s="1312"/>
      <c r="Q189" s="1315"/>
      <c r="R189" s="1315"/>
      <c r="S189" s="1312">
        <v>0</v>
      </c>
      <c r="T189" s="1312"/>
      <c r="U189" s="1312"/>
      <c r="V189" s="1315"/>
      <c r="W189" s="1315"/>
      <c r="X189" s="1312">
        <v>0</v>
      </c>
      <c r="Y189" s="1312"/>
      <c r="Z189" s="1314">
        <f t="shared" si="50"/>
        <v>0</v>
      </c>
      <c r="AA189" s="1316">
        <f t="shared" si="47"/>
        <v>0</v>
      </c>
      <c r="AB189" s="1310"/>
      <c r="AC189" s="1315">
        <v>0.125</v>
      </c>
      <c r="AD189" s="1315">
        <v>0.41666666666666669</v>
      </c>
      <c r="AE189" s="1312">
        <v>6.5</v>
      </c>
      <c r="AF189" s="1310"/>
      <c r="AG189" s="1315"/>
      <c r="AH189" s="1315"/>
      <c r="AI189" s="1312"/>
      <c r="AJ189" s="1314">
        <f t="shared" si="48"/>
        <v>6.5</v>
      </c>
      <c r="AK189" s="941"/>
      <c r="AL189" s="943"/>
      <c r="AM189" s="940"/>
      <c r="AN189" s="967"/>
      <c r="AO189" s="967"/>
      <c r="AP189" s="967"/>
      <c r="AQ189" s="967"/>
      <c r="AR189" s="967"/>
      <c r="AS189" s="954"/>
      <c r="AT189" s="940"/>
      <c r="AU189" s="1265"/>
      <c r="AV189" s="1265"/>
      <c r="AW189" s="1265"/>
      <c r="AX189" s="1265"/>
      <c r="AY189" s="1265"/>
      <c r="AZ189" s="1265"/>
      <c r="BA189" s="1265"/>
      <c r="BB189" s="1265"/>
      <c r="BC189" s="1265"/>
      <c r="BD189" s="1265"/>
      <c r="BE189" s="1265"/>
    </row>
    <row r="190" spans="1:57" ht="13.5" hidden="1" customHeight="1">
      <c r="A190" s="1318" t="s">
        <v>813</v>
      </c>
      <c r="B190" s="1315"/>
      <c r="C190" s="1315"/>
      <c r="D190" s="1312"/>
      <c r="E190" s="1312"/>
      <c r="F190" s="1310"/>
      <c r="G190" s="1315"/>
      <c r="H190" s="1315"/>
      <c r="I190" s="1312">
        <v>1</v>
      </c>
      <c r="J190" s="1312"/>
      <c r="K190" s="1310"/>
      <c r="L190" s="1315"/>
      <c r="M190" s="1315"/>
      <c r="N190" s="1312">
        <v>1</v>
      </c>
      <c r="O190" s="1312"/>
      <c r="P190" s="1310"/>
      <c r="Q190" s="1315"/>
      <c r="R190" s="1315"/>
      <c r="S190" s="1312">
        <v>1</v>
      </c>
      <c r="T190" s="1312"/>
      <c r="U190" s="1310"/>
      <c r="V190" s="1315"/>
      <c r="W190" s="1315"/>
      <c r="X190" s="1312">
        <v>1</v>
      </c>
      <c r="Y190" s="1312"/>
      <c r="Z190" s="1314">
        <f t="shared" si="50"/>
        <v>4</v>
      </c>
      <c r="AA190" s="1316">
        <f t="shared" si="47"/>
        <v>0</v>
      </c>
      <c r="AB190" s="1310"/>
      <c r="AC190" s="1315"/>
      <c r="AD190" s="1315"/>
      <c r="AE190" s="1312"/>
      <c r="AF190" s="1310"/>
      <c r="AG190" s="1315"/>
      <c r="AH190" s="1315"/>
      <c r="AI190" s="1312"/>
      <c r="AJ190" s="1314">
        <f t="shared" si="48"/>
        <v>0</v>
      </c>
      <c r="AK190" s="941"/>
      <c r="AL190" s="943"/>
      <c r="AM190" s="940"/>
      <c r="AN190" s="1316"/>
      <c r="AO190" s="1329"/>
      <c r="AP190" s="1330"/>
      <c r="AQ190" s="1330"/>
      <c r="AR190" s="967"/>
      <c r="AS190" s="954"/>
      <c r="AT190" s="940"/>
      <c r="AU190" s="1265"/>
      <c r="AV190" s="1265"/>
      <c r="AW190" s="1265"/>
      <c r="AX190" s="1265"/>
      <c r="AY190" s="1265"/>
      <c r="AZ190" s="1265"/>
      <c r="BA190" s="1265"/>
      <c r="BB190" s="1265"/>
      <c r="BC190" s="1265"/>
      <c r="BD190" s="1265"/>
      <c r="BE190" s="1265"/>
    </row>
    <row r="191" spans="1:57" ht="13.5" hidden="1" customHeight="1">
      <c r="A191" s="1318" t="s">
        <v>1431</v>
      </c>
      <c r="B191" s="1315"/>
      <c r="C191" s="1315"/>
      <c r="D191" s="1312"/>
      <c r="E191" s="1312"/>
      <c r="F191" s="1310"/>
      <c r="G191" s="1315"/>
      <c r="H191" s="1315"/>
      <c r="I191" s="1312">
        <v>0</v>
      </c>
      <c r="J191" s="1312"/>
      <c r="K191" s="1310"/>
      <c r="L191" s="1315"/>
      <c r="M191" s="1315"/>
      <c r="N191" s="1312">
        <v>0</v>
      </c>
      <c r="O191" s="1312"/>
      <c r="P191" s="1310"/>
      <c r="Q191" s="1315"/>
      <c r="R191" s="1315"/>
      <c r="S191" s="1312">
        <v>0</v>
      </c>
      <c r="T191" s="1312"/>
      <c r="U191" s="1310"/>
      <c r="V191" s="1315"/>
      <c r="W191" s="1315"/>
      <c r="X191" s="1312">
        <v>0</v>
      </c>
      <c r="Y191" s="1312"/>
      <c r="Z191" s="1314">
        <f>D191+I191+N191+S191+X191</f>
        <v>0</v>
      </c>
      <c r="AA191" s="1316">
        <f t="shared" si="47"/>
        <v>0</v>
      </c>
      <c r="AB191" s="1310"/>
      <c r="AC191" s="1315"/>
      <c r="AD191" s="1315"/>
      <c r="AE191" s="1312"/>
      <c r="AF191" s="1310"/>
      <c r="AG191" s="1315"/>
      <c r="AH191" s="1315"/>
      <c r="AI191" s="1312"/>
      <c r="AJ191" s="1314">
        <f t="shared" si="48"/>
        <v>0</v>
      </c>
      <c r="AK191" s="941"/>
      <c r="AL191" s="943"/>
      <c r="AM191" s="940"/>
      <c r="AN191" s="967"/>
      <c r="AO191" s="967"/>
      <c r="AP191" s="967"/>
      <c r="AQ191" s="967"/>
      <c r="AR191" s="967"/>
      <c r="AS191" s="954"/>
      <c r="AT191" s="940"/>
      <c r="AU191" s="1265"/>
      <c r="AV191" s="1265"/>
      <c r="AW191" s="1265"/>
      <c r="AX191" s="1265"/>
      <c r="AY191" s="1265"/>
      <c r="AZ191" s="1265"/>
      <c r="BA191" s="1265"/>
      <c r="BB191" s="1265"/>
      <c r="BC191" s="1265"/>
      <c r="BD191" s="1265"/>
      <c r="BE191" s="1265"/>
    </row>
    <row r="192" spans="1:57" ht="13.5" hidden="1" customHeight="1">
      <c r="A192" s="1318" t="s">
        <v>1439</v>
      </c>
      <c r="B192" s="1315"/>
      <c r="C192" s="1319"/>
      <c r="D192" s="1312"/>
      <c r="E192" s="1312"/>
      <c r="F192" s="1312"/>
      <c r="G192" s="1332">
        <v>0.45833333333333331</v>
      </c>
      <c r="H192" s="1332">
        <v>0.25</v>
      </c>
      <c r="I192" s="1312">
        <v>8</v>
      </c>
      <c r="J192" s="1312"/>
      <c r="K192" s="1312"/>
      <c r="L192" s="1315"/>
      <c r="M192" s="1319"/>
      <c r="N192" s="1312">
        <v>0</v>
      </c>
      <c r="O192" s="1312"/>
      <c r="P192" s="1312"/>
      <c r="Q192" s="1332"/>
      <c r="R192" s="1332"/>
      <c r="S192" s="1312">
        <v>0</v>
      </c>
      <c r="T192" s="1312"/>
      <c r="U192" s="1312"/>
      <c r="V192" s="1332"/>
      <c r="W192" s="1332"/>
      <c r="X192" s="1312">
        <v>0</v>
      </c>
      <c r="Y192" s="1312"/>
      <c r="Z192" s="1314">
        <f t="shared" ref="Z192:Z194" si="51">D192+I192+N192+S192+X192</f>
        <v>8</v>
      </c>
      <c r="AA192" s="1316">
        <f t="shared" si="47"/>
        <v>0</v>
      </c>
      <c r="AB192" s="1310"/>
      <c r="AC192" s="1315"/>
      <c r="AD192" s="1319"/>
      <c r="AE192" s="1312"/>
      <c r="AF192" s="1315"/>
      <c r="AG192" s="1319"/>
      <c r="AH192" s="1312"/>
      <c r="AI192" s="1315"/>
      <c r="AJ192" s="1314">
        <f t="shared" si="48"/>
        <v>0</v>
      </c>
      <c r="AK192" s="941"/>
      <c r="AL192" s="943"/>
      <c r="AM192" s="940"/>
      <c r="AN192" s="967"/>
      <c r="AO192" s="967"/>
      <c r="AP192" s="967"/>
      <c r="AQ192" s="967"/>
      <c r="AR192" s="967"/>
      <c r="AS192" s="954"/>
      <c r="AT192" s="940"/>
      <c r="AU192" s="1265"/>
      <c r="AV192" s="1265"/>
      <c r="AW192" s="1265"/>
      <c r="AX192" s="1265"/>
      <c r="AY192" s="1265"/>
      <c r="AZ192" s="1265"/>
      <c r="BA192" s="1265"/>
      <c r="BB192" s="1265"/>
      <c r="BC192" s="1265"/>
      <c r="BD192" s="1265"/>
      <c r="BE192" s="1265"/>
    </row>
    <row r="193" spans="1:57" ht="13.5" hidden="1" customHeight="1">
      <c r="A193" s="1318" t="s">
        <v>1427</v>
      </c>
      <c r="B193" s="1315"/>
      <c r="C193" s="1319"/>
      <c r="D193" s="1312"/>
      <c r="E193" s="1312"/>
      <c r="F193" s="1312"/>
      <c r="G193" s="1315">
        <v>0.45833333333333331</v>
      </c>
      <c r="H193" s="1319"/>
      <c r="I193" s="1312">
        <v>7.75</v>
      </c>
      <c r="J193" s="1312"/>
      <c r="K193" s="1312"/>
      <c r="L193" s="1315">
        <v>0.45833333333333331</v>
      </c>
      <c r="M193" s="1319">
        <v>0.29166666666666669</v>
      </c>
      <c r="N193" s="1312">
        <v>8</v>
      </c>
      <c r="O193" s="1312"/>
      <c r="P193" s="1312"/>
      <c r="Q193" s="1315">
        <v>0.45833333333333331</v>
      </c>
      <c r="R193" s="1319">
        <v>0.29166666666666669</v>
      </c>
      <c r="S193" s="1312">
        <v>8</v>
      </c>
      <c r="T193" s="1312"/>
      <c r="U193" s="1312"/>
      <c r="V193" s="1315">
        <v>0.45833333333333331</v>
      </c>
      <c r="W193" s="1319">
        <v>0.29166666666666669</v>
      </c>
      <c r="X193" s="1312">
        <v>8</v>
      </c>
      <c r="Y193" s="1312"/>
      <c r="Z193" s="1314">
        <f t="shared" si="51"/>
        <v>31.75</v>
      </c>
      <c r="AA193" s="1316">
        <f t="shared" si="47"/>
        <v>0</v>
      </c>
      <c r="AB193" s="1310"/>
      <c r="AC193" s="1315"/>
      <c r="AD193" s="1319"/>
      <c r="AE193" s="1312"/>
      <c r="AF193" s="1315"/>
      <c r="AG193" s="1319"/>
      <c r="AH193" s="1312"/>
      <c r="AI193" s="1315"/>
      <c r="AJ193" s="1314">
        <f t="shared" si="48"/>
        <v>0</v>
      </c>
      <c r="AK193" s="941"/>
      <c r="AL193" s="943"/>
      <c r="AM193" s="940"/>
      <c r="AN193" s="967"/>
      <c r="AO193" s="967"/>
      <c r="AP193" s="967"/>
      <c r="AQ193" s="967"/>
      <c r="AR193" s="967"/>
      <c r="AS193" s="954"/>
      <c r="AT193" s="940"/>
      <c r="AU193" s="1265"/>
      <c r="AV193" s="1265"/>
      <c r="AW193" s="1265"/>
      <c r="AX193" s="1265"/>
      <c r="AY193" s="1265"/>
      <c r="AZ193" s="1265"/>
      <c r="BA193" s="1265"/>
      <c r="BB193" s="1265"/>
      <c r="BC193" s="1265"/>
      <c r="BD193" s="1265"/>
      <c r="BE193" s="1265"/>
    </row>
    <row r="194" spans="1:57" ht="13.5" hidden="1" customHeight="1">
      <c r="A194" s="1318" t="s">
        <v>1064</v>
      </c>
      <c r="B194" s="1315"/>
      <c r="C194" s="1319"/>
      <c r="D194" s="1312"/>
      <c r="E194" s="1312"/>
      <c r="F194" s="1312"/>
      <c r="G194" s="1315">
        <v>0.45833333333333331</v>
      </c>
      <c r="H194" s="1319">
        <v>0.29166666666666669</v>
      </c>
      <c r="I194" s="1312">
        <v>8</v>
      </c>
      <c r="J194" s="1312"/>
      <c r="K194" s="1312"/>
      <c r="L194" s="1315">
        <v>0.45833333333333331</v>
      </c>
      <c r="M194" s="1319">
        <v>0.29166666666666669</v>
      </c>
      <c r="N194" s="1312">
        <v>8</v>
      </c>
      <c r="O194" s="1312"/>
      <c r="P194" s="1312"/>
      <c r="Q194" s="1332">
        <v>0.45833333333333331</v>
      </c>
      <c r="R194" s="1332">
        <v>0.29166666666666669</v>
      </c>
      <c r="S194" s="1312">
        <v>8</v>
      </c>
      <c r="T194" s="1312"/>
      <c r="U194" s="1312"/>
      <c r="V194" s="1315">
        <v>0.45833333333333331</v>
      </c>
      <c r="W194" s="1319">
        <v>0.29166666666666669</v>
      </c>
      <c r="X194" s="1312">
        <v>8</v>
      </c>
      <c r="Y194" s="1312"/>
      <c r="Z194" s="1314">
        <f t="shared" si="51"/>
        <v>32</v>
      </c>
      <c r="AA194" s="1316">
        <f t="shared" si="47"/>
        <v>0</v>
      </c>
      <c r="AB194" s="1310"/>
      <c r="AC194" s="1315"/>
      <c r="AD194" s="1319"/>
      <c r="AE194" s="1312"/>
      <c r="AF194" s="1315"/>
      <c r="AG194" s="1319"/>
      <c r="AH194" s="1312"/>
      <c r="AI194" s="1315"/>
      <c r="AJ194" s="1314">
        <f t="shared" si="48"/>
        <v>0</v>
      </c>
      <c r="AK194" s="941"/>
      <c r="AL194" s="943"/>
      <c r="AM194" s="940"/>
      <c r="AN194" s="967"/>
      <c r="AO194" s="967"/>
      <c r="AP194" s="967"/>
      <c r="AQ194" s="967"/>
      <c r="AR194" s="967"/>
      <c r="AS194" s="954"/>
      <c r="AT194" s="940"/>
      <c r="AU194" s="1265"/>
      <c r="AV194" s="1265"/>
      <c r="AW194" s="1265"/>
      <c r="AX194" s="1265"/>
      <c r="AY194" s="1265"/>
      <c r="AZ194" s="1265"/>
      <c r="BA194" s="1265"/>
      <c r="BB194" s="1265"/>
      <c r="BC194" s="1265"/>
      <c r="BD194" s="1265"/>
      <c r="BE194" s="1265"/>
    </row>
    <row r="195" spans="1:57" ht="13.5" hidden="1" customHeight="1">
      <c r="A195" s="1318" t="s">
        <v>1144</v>
      </c>
      <c r="B195" s="1315"/>
      <c r="C195" s="1319"/>
      <c r="D195" s="1312"/>
      <c r="E195" s="1312"/>
      <c r="F195" s="1312"/>
      <c r="G195" s="1315">
        <v>0.45833333333333331</v>
      </c>
      <c r="H195" s="1319">
        <v>0.29166666666666669</v>
      </c>
      <c r="I195" s="1312">
        <v>8</v>
      </c>
      <c r="J195" s="1312"/>
      <c r="K195" s="1312"/>
      <c r="L195" s="1315">
        <v>0.45833333333333331</v>
      </c>
      <c r="M195" s="1319">
        <v>0.29166666666666669</v>
      </c>
      <c r="N195" s="1312">
        <v>8</v>
      </c>
      <c r="O195" s="1312"/>
      <c r="P195" s="1312"/>
      <c r="Q195" s="1315">
        <v>0.45833333333333331</v>
      </c>
      <c r="R195" s="1332">
        <v>0.29166666666666669</v>
      </c>
      <c r="S195" s="1312">
        <v>8</v>
      </c>
      <c r="T195" s="1312"/>
      <c r="U195" s="1312"/>
      <c r="V195" s="1315">
        <v>0.45833333333333331</v>
      </c>
      <c r="W195" s="1319">
        <v>0.29166666666666669</v>
      </c>
      <c r="X195" s="1312">
        <v>8</v>
      </c>
      <c r="Y195" s="1312"/>
      <c r="Z195" s="1314">
        <f>D195+I196+N195+S195+X195</f>
        <v>32</v>
      </c>
      <c r="AA195" s="1316">
        <f t="shared" si="47"/>
        <v>0</v>
      </c>
      <c r="AB195" s="1310"/>
      <c r="AC195" s="1315"/>
      <c r="AD195" s="1319"/>
      <c r="AE195" s="1312"/>
      <c r="AF195" s="1315"/>
      <c r="AG195" s="1319"/>
      <c r="AH195" s="1312"/>
      <c r="AI195" s="1315"/>
      <c r="AJ195" s="1314">
        <f t="shared" si="48"/>
        <v>0</v>
      </c>
      <c r="AK195" s="941"/>
      <c r="AL195" s="943"/>
      <c r="AM195" s="940"/>
      <c r="AN195" s="967"/>
      <c r="AO195" s="967"/>
      <c r="AP195" s="967"/>
      <c r="AQ195" s="967"/>
      <c r="AR195" s="967"/>
      <c r="AS195" s="954"/>
      <c r="AT195" s="940"/>
      <c r="AU195" s="1265"/>
      <c r="AV195" s="1265"/>
      <c r="AW195" s="1265"/>
      <c r="AX195" s="1265"/>
      <c r="AY195" s="1265"/>
      <c r="AZ195" s="1265"/>
      <c r="BA195" s="1265"/>
      <c r="BB195" s="1265"/>
      <c r="BC195" s="1265"/>
      <c r="BD195" s="1265"/>
      <c r="BE195" s="1265"/>
    </row>
    <row r="196" spans="1:57" ht="13.5" hidden="1" customHeight="1" thickBot="1">
      <c r="A196" s="1320" t="s">
        <v>1433</v>
      </c>
      <c r="B196" s="1321"/>
      <c r="C196" s="1322"/>
      <c r="D196" s="1323"/>
      <c r="E196" s="1323"/>
      <c r="F196" s="1323"/>
      <c r="G196" s="1321">
        <v>0.45833333333333331</v>
      </c>
      <c r="H196" s="1322">
        <v>4.1666666666666664E-2</v>
      </c>
      <c r="I196" s="1323">
        <v>8</v>
      </c>
      <c r="J196" s="1323"/>
      <c r="K196" s="1323"/>
      <c r="L196" s="1321">
        <v>0.45833333333333331</v>
      </c>
      <c r="M196" s="1322" t="s">
        <v>29</v>
      </c>
      <c r="N196" s="1323">
        <v>8</v>
      </c>
      <c r="O196" s="1323"/>
      <c r="P196" s="1323"/>
      <c r="Q196" s="1321">
        <v>0.45833333333333331</v>
      </c>
      <c r="R196" s="1333">
        <v>4.1666666666666664E-2</v>
      </c>
      <c r="S196" s="1323">
        <v>8</v>
      </c>
      <c r="T196" s="1323"/>
      <c r="U196" s="1323"/>
      <c r="V196" s="1321">
        <v>0.45833333333333331</v>
      </c>
      <c r="W196" s="1333">
        <v>0.45833333333333331</v>
      </c>
      <c r="X196" s="1323">
        <v>8</v>
      </c>
      <c r="Y196" s="1323"/>
      <c r="Z196" s="1324">
        <f>D196+I196+N196+S196+X196</f>
        <v>32</v>
      </c>
      <c r="AA196" s="1325">
        <f t="shared" si="47"/>
        <v>0</v>
      </c>
      <c r="AB196" s="1326"/>
      <c r="AC196" s="1321"/>
      <c r="AD196" s="1321"/>
      <c r="AE196" s="1323"/>
      <c r="AF196" s="1321"/>
      <c r="AG196" s="1322"/>
      <c r="AH196" s="1323"/>
      <c r="AI196" s="1321"/>
      <c r="AJ196" s="1324">
        <f t="shared" si="48"/>
        <v>0</v>
      </c>
      <c r="AK196" s="941"/>
      <c r="AL196" s="943"/>
      <c r="AM196" s="940"/>
      <c r="AN196" s="967"/>
      <c r="AO196" s="967"/>
      <c r="AP196" s="967"/>
      <c r="AQ196" s="967"/>
      <c r="AR196" s="967"/>
      <c r="AS196" s="954"/>
      <c r="AT196" s="940"/>
      <c r="AU196" s="1265"/>
      <c r="AV196" s="1265"/>
      <c r="AW196" s="1265"/>
      <c r="AX196" s="1265"/>
      <c r="AY196" s="1265"/>
      <c r="AZ196" s="1265"/>
      <c r="BA196" s="1265"/>
      <c r="BB196" s="1265"/>
      <c r="BC196" s="1265"/>
      <c r="BD196" s="1265"/>
      <c r="BE196" s="1265"/>
    </row>
    <row r="197" spans="1:57" ht="13.5" hidden="1" customHeight="1" thickTop="1">
      <c r="A197" s="1327" t="s">
        <v>61</v>
      </c>
      <c r="B197" s="1327"/>
      <c r="C197" s="1327"/>
      <c r="D197" s="1328">
        <f>SUM(D173:D191)</f>
        <v>0</v>
      </c>
      <c r="E197" s="1312">
        <f>SUM(E174:E191)</f>
        <v>0</v>
      </c>
      <c r="F197" s="1327"/>
      <c r="G197" s="1327"/>
      <c r="H197" s="1327"/>
      <c r="I197" s="1328">
        <f>SUM(I173:I191)</f>
        <v>115.5</v>
      </c>
      <c r="J197" s="1312">
        <f>SUM(J174:J191)</f>
        <v>0</v>
      </c>
      <c r="K197" s="1327"/>
      <c r="L197" s="1327"/>
      <c r="M197" s="1327"/>
      <c r="N197" s="1328">
        <f>SUM(N173:N191)</f>
        <v>117</v>
      </c>
      <c r="O197" s="1312">
        <f>SUM(O174:O191)</f>
        <v>1.5</v>
      </c>
      <c r="P197" s="1327"/>
      <c r="Q197" s="1327"/>
      <c r="R197" s="1327"/>
      <c r="S197" s="1328">
        <f>SUM(S173:S191)</f>
        <v>123</v>
      </c>
      <c r="T197" s="1312">
        <f>SUM(T174:T191)</f>
        <v>2</v>
      </c>
      <c r="U197" s="1327"/>
      <c r="V197" s="1327"/>
      <c r="W197" s="1327"/>
      <c r="X197" s="1328">
        <f>SUM(X173:X191)</f>
        <v>111</v>
      </c>
      <c r="Y197" s="1312">
        <f>SUM(Y174:Y191)</f>
        <v>1</v>
      </c>
      <c r="Z197" s="1314">
        <f>SUM(Z173:Z191)</f>
        <v>466.5</v>
      </c>
      <c r="AA197" s="1314">
        <f>SUM(AA173:AA190)</f>
        <v>4.5</v>
      </c>
      <c r="AB197" s="1310"/>
      <c r="AC197" s="1327"/>
      <c r="AD197" s="1327"/>
      <c r="AE197" s="1314">
        <f>SUM(AE173:AE195)</f>
        <v>19</v>
      </c>
      <c r="AF197" s="1310"/>
      <c r="AG197" s="1327"/>
      <c r="AH197" s="1327"/>
      <c r="AI197" s="1314">
        <f>SUM(AI173:AI195)</f>
        <v>9.5</v>
      </c>
      <c r="AJ197" s="1314">
        <f>SUM(AJ173:AJ195)</f>
        <v>28.5</v>
      </c>
      <c r="AK197" s="941"/>
      <c r="AL197" s="943"/>
      <c r="AM197" s="940"/>
      <c r="AN197" s="967"/>
      <c r="AO197" s="967"/>
      <c r="AP197" s="967"/>
      <c r="AQ197" s="967"/>
      <c r="AR197" s="967"/>
      <c r="AS197" s="954"/>
      <c r="AT197" s="940"/>
      <c r="AU197" s="1265"/>
      <c r="AV197" s="1265"/>
      <c r="AW197" s="1265"/>
      <c r="AX197" s="1265"/>
      <c r="AY197" s="1265"/>
      <c r="AZ197" s="1265"/>
      <c r="BA197" s="1265"/>
      <c r="BB197" s="1265"/>
      <c r="BC197" s="1265"/>
      <c r="BD197" s="1265"/>
      <c r="BE197" s="1265"/>
    </row>
    <row r="198" spans="1:57" ht="13.5" hidden="1" customHeight="1">
      <c r="A198" s="1313" t="s">
        <v>1434</v>
      </c>
      <c r="B198" s="1327"/>
      <c r="C198" s="1327"/>
      <c r="D198" s="1328">
        <f>SUM(D192:D196)</f>
        <v>0</v>
      </c>
      <c r="E198" s="1312"/>
      <c r="F198" s="1327"/>
      <c r="G198" s="1327"/>
      <c r="H198" s="1327"/>
      <c r="I198" s="1328">
        <f>SUM(I192:I196)</f>
        <v>39.75</v>
      </c>
      <c r="J198" s="1312"/>
      <c r="K198" s="1327"/>
      <c r="L198" s="1327"/>
      <c r="M198" s="1327"/>
      <c r="N198" s="1328">
        <f>SUM(N192:N196)</f>
        <v>32</v>
      </c>
      <c r="O198" s="1312"/>
      <c r="P198" s="1327"/>
      <c r="Q198" s="1327"/>
      <c r="R198" s="1327"/>
      <c r="S198" s="1328">
        <f>SUM(S192:S196)</f>
        <v>32</v>
      </c>
      <c r="T198" s="1312"/>
      <c r="U198" s="1327"/>
      <c r="V198" s="1327"/>
      <c r="W198" s="1327"/>
      <c r="X198" s="1328">
        <f>SUM(X192:X196)</f>
        <v>32</v>
      </c>
      <c r="Y198" s="1312"/>
      <c r="Z198" s="1314">
        <f>SUM(Z192:Z196)</f>
        <v>135.75</v>
      </c>
      <c r="AA198" s="1314">
        <f>SUM(AA191:AA195)</f>
        <v>0</v>
      </c>
      <c r="AB198" s="1310"/>
      <c r="AC198" s="1327"/>
      <c r="AD198" s="1327"/>
      <c r="AE198" s="1314">
        <f>SUM(AE192:AE196)</f>
        <v>0</v>
      </c>
      <c r="AF198" s="1310"/>
      <c r="AG198" s="1327"/>
      <c r="AH198" s="1327"/>
      <c r="AI198" s="1314">
        <f>SUM(AI192:AI196)</f>
        <v>0</v>
      </c>
      <c r="AJ198" s="1314">
        <f>SUM(AE198+AI198)</f>
        <v>0</v>
      </c>
      <c r="AK198" s="941"/>
      <c r="AL198" s="943"/>
      <c r="AM198" s="940"/>
      <c r="AN198" s="967"/>
      <c r="AO198" s="967"/>
      <c r="AP198" s="967"/>
      <c r="AQ198" s="967"/>
      <c r="AR198" s="967"/>
      <c r="AS198" s="954"/>
      <c r="AT198" s="940"/>
      <c r="AU198" s="1265"/>
      <c r="AV198" s="1265"/>
      <c r="AW198" s="1265"/>
      <c r="AX198" s="1265"/>
      <c r="AY198" s="1265"/>
      <c r="AZ198" s="1265"/>
      <c r="BA198" s="1265"/>
      <c r="BB198" s="1265"/>
      <c r="BC198" s="1265"/>
      <c r="BD198" s="1265"/>
      <c r="BE198" s="1265"/>
    </row>
    <row r="199" spans="1:57" ht="13.5" hidden="1" customHeight="1">
      <c r="A199" s="1327" t="s">
        <v>64</v>
      </c>
      <c r="B199" s="1315"/>
      <c r="C199" s="1315"/>
      <c r="D199" s="1312"/>
      <c r="E199" s="1312"/>
      <c r="F199" s="1312"/>
      <c r="G199" s="1315"/>
      <c r="H199" s="1315"/>
      <c r="I199" s="1312">
        <v>8</v>
      </c>
      <c r="J199" s="1312"/>
      <c r="K199" s="1312"/>
      <c r="L199" s="1315"/>
      <c r="M199" s="1315"/>
      <c r="N199" s="1312">
        <v>8.5</v>
      </c>
      <c r="O199" s="1312"/>
      <c r="P199" s="1312"/>
      <c r="Q199" s="1315"/>
      <c r="R199" s="1315"/>
      <c r="S199" s="1312">
        <v>8</v>
      </c>
      <c r="T199" s="1312"/>
      <c r="U199" s="1312"/>
      <c r="V199" s="1315"/>
      <c r="W199" s="1315"/>
      <c r="X199" s="1312">
        <v>8</v>
      </c>
      <c r="Y199" s="1312"/>
      <c r="Z199" s="1314">
        <f>D199+I199+N199+S199+X199</f>
        <v>32.5</v>
      </c>
      <c r="AA199" s="1312">
        <f>E199+J199+O199+T199+Y199</f>
        <v>0</v>
      </c>
      <c r="AB199" s="1310"/>
      <c r="AC199" s="1315"/>
      <c r="AD199" s="1315"/>
      <c r="AE199" s="1312">
        <f>2+1+1</f>
        <v>4</v>
      </c>
      <c r="AF199" s="1310"/>
      <c r="AG199" s="1315"/>
      <c r="AH199" s="1315"/>
      <c r="AI199" s="1312">
        <f>1+1+1</f>
        <v>3</v>
      </c>
      <c r="AJ199" s="1314">
        <f>AE199+AI199</f>
        <v>7</v>
      </c>
      <c r="AK199" s="941"/>
      <c r="AL199" s="943"/>
      <c r="AM199" s="940"/>
      <c r="AN199" s="967"/>
      <c r="AO199" s="967"/>
      <c r="AP199" s="967"/>
      <c r="AQ199" s="967"/>
      <c r="AR199" s="967"/>
      <c r="AS199" s="954"/>
      <c r="AT199" s="940"/>
      <c r="AU199" s="1265"/>
      <c r="AV199" s="1265"/>
      <c r="AW199" s="1265"/>
      <c r="AX199" s="1265"/>
      <c r="AY199" s="1265"/>
      <c r="AZ199" s="1265"/>
      <c r="BA199" s="1265"/>
      <c r="BB199" s="1265"/>
      <c r="BC199" s="1265"/>
      <c r="BD199" s="1265"/>
      <c r="BE199" s="1265"/>
    </row>
    <row r="200" spans="1:57" ht="13.5" hidden="1" customHeight="1">
      <c r="A200" s="940"/>
      <c r="B200" s="940"/>
      <c r="C200" s="940"/>
      <c r="D200" s="941"/>
      <c r="E200" s="942"/>
      <c r="F200" s="941"/>
      <c r="G200" s="940"/>
      <c r="H200" s="940"/>
      <c r="I200" s="941"/>
      <c r="J200" s="942"/>
      <c r="K200" s="941"/>
      <c r="L200" s="940"/>
      <c r="M200" s="940"/>
      <c r="N200" s="941"/>
      <c r="O200" s="942"/>
      <c r="P200" s="941"/>
      <c r="Q200" s="940"/>
      <c r="R200" s="940"/>
      <c r="S200" s="941"/>
      <c r="T200" s="942"/>
      <c r="U200" s="941"/>
      <c r="V200" s="940"/>
      <c r="W200" s="940"/>
      <c r="X200" s="941"/>
      <c r="Y200" s="942"/>
      <c r="Z200" s="941"/>
      <c r="AA200" s="941"/>
      <c r="AB200" s="941"/>
      <c r="AC200" s="940"/>
      <c r="AD200" s="940"/>
      <c r="AE200" s="940"/>
      <c r="AF200" s="941"/>
      <c r="AG200" s="940"/>
      <c r="AH200" s="940"/>
      <c r="AI200" s="940"/>
      <c r="AJ200" s="940"/>
      <c r="AK200" s="941"/>
      <c r="AL200" s="943"/>
      <c r="AM200" s="940"/>
      <c r="AN200" s="940"/>
      <c r="AO200" s="940"/>
      <c r="AP200" s="940"/>
      <c r="AQ200" s="940"/>
      <c r="AR200" s="940"/>
      <c r="AS200" s="940"/>
      <c r="AT200" s="940"/>
      <c r="AU200" s="1265"/>
      <c r="AV200" s="1265"/>
      <c r="AW200" s="1265"/>
      <c r="AX200" s="1265"/>
      <c r="AY200" s="1265"/>
      <c r="AZ200" s="1265"/>
      <c r="BA200" s="1265"/>
      <c r="BB200" s="1265"/>
      <c r="BC200" s="1265"/>
      <c r="BD200" s="1265"/>
      <c r="BE200" s="1265"/>
    </row>
    <row r="201" spans="1:57" ht="13.5" hidden="1" customHeight="1">
      <c r="A201" s="974"/>
      <c r="B201" s="975"/>
      <c r="C201" s="975"/>
      <c r="D201" s="976"/>
      <c r="E201" s="976"/>
      <c r="F201" s="975"/>
      <c r="G201" s="976"/>
      <c r="H201" s="976"/>
      <c r="I201" s="976"/>
      <c r="J201" s="976"/>
      <c r="K201" s="975"/>
      <c r="L201" s="975"/>
      <c r="M201" s="975"/>
      <c r="N201" s="975"/>
      <c r="O201" s="976"/>
      <c r="P201" s="975"/>
      <c r="Q201" s="975"/>
      <c r="R201" s="975"/>
      <c r="S201" s="975"/>
      <c r="T201" s="976"/>
      <c r="U201" s="975"/>
      <c r="V201" s="975"/>
      <c r="W201" s="975"/>
      <c r="X201" s="977"/>
      <c r="Y201" s="976"/>
      <c r="Z201" s="978"/>
      <c r="AA201" s="976"/>
      <c r="AB201" s="979"/>
      <c r="AC201" s="980"/>
      <c r="AD201" s="943"/>
      <c r="AE201" s="943"/>
      <c r="AF201" s="979"/>
      <c r="AG201" s="980"/>
      <c r="AH201" s="943"/>
      <c r="AI201" s="943"/>
      <c r="AJ201" s="943"/>
      <c r="AK201" s="941"/>
      <c r="AL201" s="943"/>
      <c r="AM201" s="940"/>
      <c r="AN201" s="943"/>
      <c r="AO201" s="943"/>
      <c r="AP201" s="943"/>
      <c r="AQ201" s="943"/>
      <c r="AR201" s="943"/>
      <c r="AS201" s="943"/>
      <c r="AT201" s="940"/>
      <c r="AU201" s="1265"/>
      <c r="AV201" s="1265"/>
      <c r="AW201" s="1265"/>
      <c r="AX201" s="1265"/>
      <c r="AY201" s="1265"/>
      <c r="AZ201" s="1265"/>
      <c r="BA201" s="1265"/>
      <c r="BB201" s="1265"/>
      <c r="BC201" s="1265"/>
      <c r="BD201" s="1265"/>
      <c r="BE201" s="1265"/>
    </row>
    <row r="202" spans="1:57" ht="13.5" hidden="1" customHeight="1">
      <c r="A202" s="940"/>
      <c r="B202" s="940"/>
      <c r="C202" s="940"/>
      <c r="D202" s="941"/>
      <c r="E202" s="942"/>
      <c r="F202" s="941"/>
      <c r="G202" s="940"/>
      <c r="H202" s="940"/>
      <c r="I202" s="941"/>
      <c r="J202" s="942"/>
      <c r="K202" s="941"/>
      <c r="L202" s="940"/>
      <c r="M202" s="940"/>
      <c r="N202" s="941"/>
      <c r="O202" s="942"/>
      <c r="P202" s="941"/>
      <c r="Q202" s="940"/>
      <c r="R202" s="940"/>
      <c r="S202" s="941"/>
      <c r="T202" s="942"/>
      <c r="U202" s="941"/>
      <c r="V202" s="940"/>
      <c r="W202" s="940"/>
      <c r="X202" s="941"/>
      <c r="Y202" s="942"/>
      <c r="Z202" s="941"/>
      <c r="AA202" s="941"/>
      <c r="AB202" s="941"/>
      <c r="AC202" s="940"/>
      <c r="AD202" s="940"/>
      <c r="AE202" s="940"/>
      <c r="AF202" s="941"/>
      <c r="AG202" s="940"/>
      <c r="AH202" s="940"/>
      <c r="AI202" s="940"/>
      <c r="AJ202" s="940"/>
      <c r="AK202" s="941"/>
      <c r="AL202" s="943"/>
      <c r="AM202" s="940"/>
      <c r="AN202" s="954"/>
      <c r="AO202" s="954"/>
      <c r="AP202" s="954"/>
      <c r="AQ202" s="954"/>
      <c r="AR202" s="954"/>
      <c r="AS202" s="954"/>
      <c r="AT202" s="940"/>
      <c r="AU202" s="1265"/>
      <c r="AV202" s="1265"/>
      <c r="AW202" s="1265"/>
      <c r="AX202" s="1265"/>
      <c r="AY202" s="1265"/>
      <c r="AZ202" s="1265"/>
      <c r="BA202" s="1265"/>
      <c r="BB202" s="1265"/>
      <c r="BC202" s="1265"/>
      <c r="BD202" s="1265"/>
      <c r="BE202" s="1265"/>
    </row>
    <row r="203" spans="1:57" ht="13.5" hidden="1" customHeight="1">
      <c r="A203" s="1615" t="s">
        <v>18</v>
      </c>
      <c r="B203" s="1616">
        <v>46076</v>
      </c>
      <c r="C203" s="1616"/>
      <c r="D203" s="1616" t="s">
        <v>564</v>
      </c>
      <c r="E203" s="1616"/>
      <c r="F203" s="1308"/>
      <c r="G203" s="1616">
        <v>46077</v>
      </c>
      <c r="H203" s="1616"/>
      <c r="I203" s="1616" t="s">
        <v>565</v>
      </c>
      <c r="J203" s="1616"/>
      <c r="K203" s="1308"/>
      <c r="L203" s="1616">
        <v>46078</v>
      </c>
      <c r="M203" s="1616"/>
      <c r="N203" s="1616" t="s">
        <v>566</v>
      </c>
      <c r="O203" s="1616"/>
      <c r="P203" s="1308"/>
      <c r="Q203" s="1616">
        <v>46079</v>
      </c>
      <c r="R203" s="1616"/>
      <c r="S203" s="1616" t="s">
        <v>567</v>
      </c>
      <c r="T203" s="1616"/>
      <c r="U203" s="1308"/>
      <c r="V203" s="1616">
        <v>46080</v>
      </c>
      <c r="W203" s="1616"/>
      <c r="X203" s="1616" t="s">
        <v>568</v>
      </c>
      <c r="Y203" s="1616"/>
      <c r="Z203" s="1617" t="s">
        <v>19</v>
      </c>
      <c r="AA203" s="1617" t="s">
        <v>20</v>
      </c>
      <c r="AB203" s="1310"/>
      <c r="AC203" s="1616">
        <v>46081</v>
      </c>
      <c r="AD203" s="1616"/>
      <c r="AE203" s="1311" t="s">
        <v>569</v>
      </c>
      <c r="AF203" s="1310"/>
      <c r="AG203" s="1616">
        <v>46082</v>
      </c>
      <c r="AH203" s="1616"/>
      <c r="AI203" s="1311" t="s">
        <v>570</v>
      </c>
      <c r="AJ203" s="1617" t="s">
        <v>1420</v>
      </c>
      <c r="AK203" s="941"/>
      <c r="AL203" s="943"/>
      <c r="AM203" s="940"/>
      <c r="AN203" s="985" t="s">
        <v>84</v>
      </c>
      <c r="AO203" s="986"/>
      <c r="AP203" s="986"/>
      <c r="AQ203" s="986"/>
      <c r="AR203" s="986"/>
      <c r="AS203" s="986"/>
      <c r="AT203" s="940"/>
      <c r="AU203" s="1265"/>
      <c r="AV203" s="1265"/>
      <c r="AW203" s="1265"/>
      <c r="AX203" s="1265"/>
      <c r="AY203" s="1265"/>
      <c r="AZ203" s="1265"/>
      <c r="BA203" s="1265"/>
      <c r="BB203" s="1265"/>
      <c r="BC203" s="1265"/>
      <c r="BD203" s="1265"/>
      <c r="BE203" s="1265"/>
    </row>
    <row r="204" spans="1:57" ht="13.5" hidden="1" customHeight="1">
      <c r="A204" s="1615"/>
      <c r="B204" s="1309" t="s">
        <v>23</v>
      </c>
      <c r="C204" s="1309" t="s">
        <v>24</v>
      </c>
      <c r="D204" s="1312" t="s">
        <v>25</v>
      </c>
      <c r="E204" s="1313" t="s">
        <v>14</v>
      </c>
      <c r="F204" s="1310"/>
      <c r="G204" s="1309" t="s">
        <v>23</v>
      </c>
      <c r="H204" s="1309" t="s">
        <v>24</v>
      </c>
      <c r="I204" s="1313" t="s">
        <v>25</v>
      </c>
      <c r="J204" s="1313" t="s">
        <v>14</v>
      </c>
      <c r="K204" s="1310"/>
      <c r="L204" s="1309" t="s">
        <v>23</v>
      </c>
      <c r="M204" s="1309" t="s">
        <v>24</v>
      </c>
      <c r="N204" s="1313" t="s">
        <v>25</v>
      </c>
      <c r="O204" s="1313" t="s">
        <v>14</v>
      </c>
      <c r="P204" s="1310"/>
      <c r="Q204" s="1309" t="s">
        <v>23</v>
      </c>
      <c r="R204" s="1309" t="s">
        <v>24</v>
      </c>
      <c r="S204" s="1313" t="s">
        <v>25</v>
      </c>
      <c r="T204" s="1313" t="s">
        <v>14</v>
      </c>
      <c r="U204" s="1310"/>
      <c r="V204" s="1309" t="s">
        <v>23</v>
      </c>
      <c r="W204" s="1309" t="s">
        <v>24</v>
      </c>
      <c r="X204" s="1313" t="s">
        <v>25</v>
      </c>
      <c r="Y204" s="1313" t="s">
        <v>14</v>
      </c>
      <c r="Z204" s="1617"/>
      <c r="AA204" s="1617"/>
      <c r="AB204" s="1310"/>
      <c r="AC204" s="1309" t="s">
        <v>23</v>
      </c>
      <c r="AD204" s="1309" t="s">
        <v>24</v>
      </c>
      <c r="AE204" s="1313" t="s">
        <v>25</v>
      </c>
      <c r="AF204" s="1310"/>
      <c r="AG204" s="1309" t="s">
        <v>23</v>
      </c>
      <c r="AH204" s="1309" t="s">
        <v>24</v>
      </c>
      <c r="AI204" s="1313" t="s">
        <v>25</v>
      </c>
      <c r="AJ204" s="1617"/>
      <c r="AK204" s="941"/>
      <c r="AL204" s="943"/>
      <c r="AM204" s="940"/>
      <c r="AN204" s="992" t="s">
        <v>26</v>
      </c>
      <c r="AO204" s="1005">
        <f>Z229</f>
        <v>541.75</v>
      </c>
      <c r="AP204" s="994">
        <v>40.31</v>
      </c>
      <c r="AQ204" s="994">
        <f>AP204*AO204</f>
        <v>21837.942500000001</v>
      </c>
      <c r="AR204" s="954"/>
      <c r="AS204" s="954"/>
      <c r="AT204" s="940"/>
      <c r="AU204" s="1265"/>
      <c r="AV204" s="1265"/>
      <c r="AW204" s="1265"/>
      <c r="AX204" s="1265"/>
      <c r="AY204" s="1265"/>
      <c r="AZ204" s="1265"/>
      <c r="BA204" s="1265"/>
      <c r="BB204" s="1265"/>
      <c r="BC204" s="1265"/>
      <c r="BD204" s="1265"/>
      <c r="BE204" s="1265"/>
    </row>
    <row r="205" spans="1:57" ht="13.5" hidden="1" customHeight="1">
      <c r="A205" s="1315" t="s">
        <v>72</v>
      </c>
      <c r="B205" s="1315" t="s">
        <v>29</v>
      </c>
      <c r="C205" s="1332" t="s">
        <v>29</v>
      </c>
      <c r="D205" s="1312">
        <v>8</v>
      </c>
      <c r="E205" s="1312"/>
      <c r="F205" s="1310"/>
      <c r="G205" s="1315" t="s">
        <v>29</v>
      </c>
      <c r="H205" s="1315" t="s">
        <v>29</v>
      </c>
      <c r="I205" s="1312">
        <v>8</v>
      </c>
      <c r="J205" s="1312"/>
      <c r="K205" s="1310"/>
      <c r="L205" s="1315">
        <v>0.29166666666666669</v>
      </c>
      <c r="M205" s="1315">
        <v>0.125</v>
      </c>
      <c r="N205" s="1312">
        <v>8</v>
      </c>
      <c r="O205" s="1312"/>
      <c r="P205" s="1310"/>
      <c r="Q205" s="1315">
        <v>0.29166666666666669</v>
      </c>
      <c r="R205" s="1315">
        <v>0.125</v>
      </c>
      <c r="S205" s="1312">
        <v>8</v>
      </c>
      <c r="T205" s="1312"/>
      <c r="U205" s="1310"/>
      <c r="V205" s="1315">
        <v>0.29166666666666669</v>
      </c>
      <c r="W205" s="1315">
        <v>0.125</v>
      </c>
      <c r="X205" s="1312">
        <v>8</v>
      </c>
      <c r="Y205" s="1312"/>
      <c r="Z205" s="1314">
        <f>D205+I205+N205+S205+X205</f>
        <v>40</v>
      </c>
      <c r="AA205" s="1316">
        <f>E205+J205+O205+T205+Y205</f>
        <v>0</v>
      </c>
      <c r="AB205" s="1310"/>
      <c r="AC205" s="1317"/>
      <c r="AD205" s="1317"/>
      <c r="AE205" s="1312"/>
      <c r="AF205" s="1310"/>
      <c r="AG205" s="1317"/>
      <c r="AH205" s="1317"/>
      <c r="AI205" s="1312"/>
      <c r="AJ205" s="1314">
        <f>SUM(AE205+AI205)</f>
        <v>0</v>
      </c>
      <c r="AK205" s="941"/>
      <c r="AL205" s="943"/>
      <c r="AM205" s="940"/>
      <c r="AN205" s="992" t="s">
        <v>1421</v>
      </c>
      <c r="AO205" s="1005">
        <f>Z230</f>
        <v>160</v>
      </c>
      <c r="AP205" s="994">
        <v>60.47</v>
      </c>
      <c r="AQ205" s="994">
        <f>AP205*AO205</f>
        <v>9675.2000000000007</v>
      </c>
      <c r="AR205" s="954"/>
      <c r="AS205" s="954"/>
      <c r="AT205" s="940"/>
      <c r="AU205" s="1265"/>
      <c r="AV205" s="1265"/>
      <c r="AW205" s="1265"/>
      <c r="AX205" s="1265"/>
      <c r="AY205" s="1265"/>
      <c r="AZ205" s="1265"/>
      <c r="BA205" s="1265"/>
      <c r="BB205" s="1265"/>
      <c r="BC205" s="1265"/>
      <c r="BD205" s="1265"/>
      <c r="BE205" s="1265"/>
    </row>
    <row r="206" spans="1:57" ht="13.5" hidden="1" customHeight="1">
      <c r="A206" s="1318" t="s">
        <v>1166</v>
      </c>
      <c r="B206" s="1315" t="s">
        <v>29</v>
      </c>
      <c r="C206" s="1332" t="s">
        <v>29</v>
      </c>
      <c r="D206" s="1312">
        <v>8</v>
      </c>
      <c r="E206" s="1312"/>
      <c r="F206" s="1310"/>
      <c r="G206" s="1315" t="s">
        <v>29</v>
      </c>
      <c r="H206" s="1315" t="s">
        <v>29</v>
      </c>
      <c r="I206" s="1312">
        <v>8</v>
      </c>
      <c r="J206" s="1312"/>
      <c r="K206" s="1310"/>
      <c r="L206" s="1315">
        <v>0.29166666666666669</v>
      </c>
      <c r="M206" s="1315">
        <v>0.125</v>
      </c>
      <c r="N206" s="1312">
        <v>8</v>
      </c>
      <c r="O206" s="1312"/>
      <c r="P206" s="1310"/>
      <c r="Q206" s="1315">
        <v>0.29166666666666669</v>
      </c>
      <c r="R206" s="1315">
        <v>0.125</v>
      </c>
      <c r="S206" s="1312">
        <v>8</v>
      </c>
      <c r="T206" s="1312"/>
      <c r="U206" s="1310"/>
      <c r="V206" s="1315">
        <v>0.29166666666666669</v>
      </c>
      <c r="W206" s="1315">
        <v>0.125</v>
      </c>
      <c r="X206" s="1312">
        <v>8</v>
      </c>
      <c r="Y206" s="1312"/>
      <c r="Z206" s="1314">
        <f t="shared" ref="Z206:Z214" si="52">D206+I206+N206+S206+X206</f>
        <v>40</v>
      </c>
      <c r="AA206" s="1316">
        <f t="shared" ref="AA206:AA228" si="53">E206+J206+O206+T206+Y206</f>
        <v>0</v>
      </c>
      <c r="AB206" s="1310"/>
      <c r="AC206" s="1315"/>
      <c r="AD206" s="1315"/>
      <c r="AE206" s="1312"/>
      <c r="AF206" s="1310"/>
      <c r="AG206" s="1315"/>
      <c r="AH206" s="1315"/>
      <c r="AI206" s="1312"/>
      <c r="AJ206" s="1314">
        <f t="shared" ref="AJ206:AJ228" si="54">SUM(AE206+AI206)</f>
        <v>0</v>
      </c>
      <c r="AK206" s="941"/>
      <c r="AL206" s="943"/>
      <c r="AM206" s="940"/>
      <c r="AN206" s="992" t="s">
        <v>30</v>
      </c>
      <c r="AO206" s="1005">
        <f>AA229</f>
        <v>1</v>
      </c>
      <c r="AP206" s="994">
        <v>60.465000000000003</v>
      </c>
      <c r="AQ206" s="994">
        <f>AP206*AO206</f>
        <v>60.465000000000003</v>
      </c>
      <c r="AR206" s="954"/>
      <c r="AS206" s="954"/>
      <c r="AT206" s="940"/>
      <c r="AU206" s="1265"/>
      <c r="AV206" s="1265"/>
      <c r="AW206" s="1265"/>
      <c r="AX206" s="1265"/>
      <c r="AY206" s="1265"/>
      <c r="AZ206" s="1265"/>
      <c r="BA206" s="1265"/>
      <c r="BB206" s="1265"/>
      <c r="BC206" s="1265"/>
      <c r="BD206" s="1265"/>
      <c r="BE206" s="1265"/>
    </row>
    <row r="207" spans="1:57" ht="13.5" hidden="1" customHeight="1">
      <c r="A207" s="1318" t="s">
        <v>1426</v>
      </c>
      <c r="B207" s="1315" t="s">
        <v>29</v>
      </c>
      <c r="C207" s="1332" t="s">
        <v>29</v>
      </c>
      <c r="D207" s="1312">
        <v>8</v>
      </c>
      <c r="E207" s="1312"/>
      <c r="F207" s="1310"/>
      <c r="G207" s="1315" t="s">
        <v>29</v>
      </c>
      <c r="H207" s="1315" t="s">
        <v>29</v>
      </c>
      <c r="I207" s="1312">
        <v>8</v>
      </c>
      <c r="J207" s="1312"/>
      <c r="K207" s="1310"/>
      <c r="L207" s="1315">
        <v>0.29166666666666669</v>
      </c>
      <c r="M207" s="1315">
        <v>0.125</v>
      </c>
      <c r="N207" s="1312">
        <v>8</v>
      </c>
      <c r="O207" s="1312"/>
      <c r="P207" s="1310"/>
      <c r="Q207" s="1315">
        <v>0.29166666666666669</v>
      </c>
      <c r="R207" s="1315">
        <v>0.125</v>
      </c>
      <c r="S207" s="1312">
        <v>8</v>
      </c>
      <c r="T207" s="1312"/>
      <c r="U207" s="1310"/>
      <c r="V207" s="1315">
        <v>0.29166666666666669</v>
      </c>
      <c r="W207" s="1315">
        <v>0.125</v>
      </c>
      <c r="X207" s="1312">
        <v>8</v>
      </c>
      <c r="Y207" s="1312"/>
      <c r="Z207" s="1314">
        <f t="shared" si="52"/>
        <v>40</v>
      </c>
      <c r="AA207" s="1316">
        <f t="shared" si="53"/>
        <v>0</v>
      </c>
      <c r="AB207" s="1310"/>
      <c r="AC207" s="1315"/>
      <c r="AD207" s="1315"/>
      <c r="AE207" s="1312"/>
      <c r="AF207" s="1310"/>
      <c r="AG207" s="1315"/>
      <c r="AH207" s="1315"/>
      <c r="AI207" s="1312"/>
      <c r="AJ207" s="1314">
        <f t="shared" si="54"/>
        <v>0</v>
      </c>
      <c r="AK207" s="941"/>
      <c r="AL207" s="943"/>
      <c r="AM207" s="940"/>
      <c r="AN207" s="992" t="s">
        <v>32</v>
      </c>
      <c r="AO207" s="1005">
        <f>AJ229</f>
        <v>25.5</v>
      </c>
      <c r="AP207" s="994">
        <v>60.465000000000003</v>
      </c>
      <c r="AQ207" s="994">
        <f>AP207*AO207</f>
        <v>1541.8575000000001</v>
      </c>
      <c r="AR207" s="954"/>
      <c r="AS207" s="954"/>
      <c r="AT207" s="940"/>
      <c r="AU207" s="1265"/>
      <c r="AV207" s="1265"/>
      <c r="AW207" s="1265"/>
      <c r="AX207" s="1265"/>
      <c r="AY207" s="1265"/>
      <c r="AZ207" s="1265"/>
      <c r="BA207" s="1265"/>
      <c r="BB207" s="1265"/>
      <c r="BC207" s="1265"/>
      <c r="BD207" s="1265"/>
      <c r="BE207" s="1265"/>
    </row>
    <row r="208" spans="1:57" ht="13.5" hidden="1" customHeight="1">
      <c r="A208" s="1318" t="s">
        <v>1060</v>
      </c>
      <c r="B208" s="1315" t="s">
        <v>29</v>
      </c>
      <c r="C208" s="1332" t="s">
        <v>29</v>
      </c>
      <c r="D208" s="1312">
        <v>8</v>
      </c>
      <c r="E208" s="1312"/>
      <c r="F208" s="1310"/>
      <c r="G208" s="1315" t="s">
        <v>29</v>
      </c>
      <c r="H208" s="1315" t="s">
        <v>29</v>
      </c>
      <c r="I208" s="1312">
        <v>8</v>
      </c>
      <c r="J208" s="1312"/>
      <c r="K208" s="1310"/>
      <c r="L208" s="1315">
        <v>0.29166666666666669</v>
      </c>
      <c r="M208" s="1315">
        <v>0.125</v>
      </c>
      <c r="N208" s="1312">
        <v>8</v>
      </c>
      <c r="O208" s="1312"/>
      <c r="P208" s="1310"/>
      <c r="Q208" s="1315">
        <v>0.29166666666666669</v>
      </c>
      <c r="R208" s="1315">
        <v>0.125</v>
      </c>
      <c r="S208" s="1312">
        <v>8</v>
      </c>
      <c r="T208" s="1312"/>
      <c r="U208" s="1310"/>
      <c r="V208" s="1315">
        <v>0.29166666666666669</v>
      </c>
      <c r="W208" s="1315">
        <v>0.125</v>
      </c>
      <c r="X208" s="1312">
        <v>8</v>
      </c>
      <c r="Y208" s="1312"/>
      <c r="Z208" s="1314">
        <f t="shared" si="52"/>
        <v>40</v>
      </c>
      <c r="AA208" s="1316">
        <f t="shared" si="53"/>
        <v>0</v>
      </c>
      <c r="AB208" s="1310"/>
      <c r="AC208" s="1315"/>
      <c r="AD208" s="1315"/>
      <c r="AE208" s="1312"/>
      <c r="AF208" s="1310"/>
      <c r="AG208" s="1315"/>
      <c r="AH208" s="1315"/>
      <c r="AI208" s="1312"/>
      <c r="AJ208" s="1314">
        <f t="shared" si="54"/>
        <v>0</v>
      </c>
      <c r="AK208" s="941"/>
      <c r="AL208" s="943"/>
      <c r="AM208" s="940"/>
      <c r="AN208" s="1260" t="s">
        <v>1475</v>
      </c>
      <c r="AO208" s="1261">
        <f>AA230+AJ230</f>
        <v>0</v>
      </c>
      <c r="AP208" s="1262">
        <f>(60.47*1.5)</f>
        <v>90.704999999999998</v>
      </c>
      <c r="AQ208" s="1262">
        <f t="shared" ref="AQ208" si="55">AP208*AO208</f>
        <v>0</v>
      </c>
      <c r="AR208" s="954"/>
      <c r="AS208" s="954"/>
      <c r="AT208" s="940"/>
      <c r="AU208" s="1265"/>
      <c r="AV208" s="1265"/>
      <c r="AW208" s="1265"/>
      <c r="AX208" s="1265"/>
      <c r="AY208" s="1265"/>
      <c r="AZ208" s="1265"/>
      <c r="BA208" s="1265"/>
      <c r="BB208" s="1265"/>
      <c r="BC208" s="1265"/>
      <c r="BD208" s="1265"/>
      <c r="BE208" s="1265"/>
    </row>
    <row r="209" spans="1:57" ht="13.5" hidden="1" customHeight="1">
      <c r="A209" s="1318" t="s">
        <v>1438</v>
      </c>
      <c r="B209" s="1315" t="s">
        <v>29</v>
      </c>
      <c r="C209" s="1332" t="s">
        <v>29</v>
      </c>
      <c r="D209" s="1312">
        <v>8</v>
      </c>
      <c r="E209" s="1312"/>
      <c r="F209" s="1310"/>
      <c r="G209" s="1315" t="s">
        <v>29</v>
      </c>
      <c r="H209" s="1315" t="s">
        <v>29</v>
      </c>
      <c r="I209" s="1312">
        <v>8</v>
      </c>
      <c r="J209" s="1312"/>
      <c r="K209" s="1310"/>
      <c r="L209" s="1315">
        <v>0.29166666666666669</v>
      </c>
      <c r="M209" s="1315">
        <v>0.125</v>
      </c>
      <c r="N209" s="1312">
        <v>8</v>
      </c>
      <c r="O209" s="1312"/>
      <c r="P209" s="1310"/>
      <c r="Q209" s="1315">
        <v>0.29166666666666669</v>
      </c>
      <c r="R209" s="1315">
        <v>0.125</v>
      </c>
      <c r="S209" s="1312">
        <v>8</v>
      </c>
      <c r="T209" s="1312"/>
      <c r="U209" s="1310"/>
      <c r="V209" s="1315">
        <v>0.29166666666666669</v>
      </c>
      <c r="W209" s="1315">
        <v>0.125</v>
      </c>
      <c r="X209" s="1312">
        <v>8</v>
      </c>
      <c r="Y209" s="1312"/>
      <c r="Z209" s="1314">
        <f t="shared" si="52"/>
        <v>40</v>
      </c>
      <c r="AA209" s="1316">
        <f t="shared" si="53"/>
        <v>0</v>
      </c>
      <c r="AB209" s="1310"/>
      <c r="AC209" s="1315"/>
      <c r="AD209" s="1315"/>
      <c r="AE209" s="1312"/>
      <c r="AF209" s="1310"/>
      <c r="AG209" s="1315"/>
      <c r="AH209" s="1315"/>
      <c r="AI209" s="1312"/>
      <c r="AJ209" s="1314">
        <f t="shared" si="54"/>
        <v>0</v>
      </c>
      <c r="AK209" s="941"/>
      <c r="AL209" s="943"/>
      <c r="AM209" s="940"/>
      <c r="AN209" s="992" t="s">
        <v>213</v>
      </c>
      <c r="AO209" s="1005">
        <f>Z231</f>
        <v>40</v>
      </c>
      <c r="AP209" s="994">
        <v>53.05</v>
      </c>
      <c r="AQ209" s="994">
        <f>AP209*AO209</f>
        <v>2122</v>
      </c>
      <c r="AR209" s="954"/>
      <c r="AS209" s="954"/>
      <c r="AT209" s="940"/>
      <c r="AU209" s="1265"/>
      <c r="AV209" s="1265"/>
      <c r="AW209" s="1265"/>
      <c r="AX209" s="1265"/>
      <c r="AY209" s="1265"/>
      <c r="AZ209" s="1265"/>
      <c r="BA209" s="1265"/>
      <c r="BB209" s="1265"/>
      <c r="BC209" s="1265"/>
      <c r="BD209" s="1265"/>
      <c r="BE209" s="1265"/>
    </row>
    <row r="210" spans="1:57" ht="13.5" hidden="1" customHeight="1">
      <c r="A210" s="1318" t="s">
        <v>1142</v>
      </c>
      <c r="B210" s="1332" t="s">
        <v>29</v>
      </c>
      <c r="C210" s="1332" t="s">
        <v>29</v>
      </c>
      <c r="D210" s="1312">
        <v>8</v>
      </c>
      <c r="E210" s="1312"/>
      <c r="F210" s="1310"/>
      <c r="G210" s="1315" t="s">
        <v>29</v>
      </c>
      <c r="H210" s="1315" t="s">
        <v>29</v>
      </c>
      <c r="I210" s="1312">
        <v>8</v>
      </c>
      <c r="J210" s="1312"/>
      <c r="K210" s="1312"/>
      <c r="L210" s="1315">
        <v>0.125</v>
      </c>
      <c r="M210" s="1315">
        <v>0.45833333333333331</v>
      </c>
      <c r="N210" s="1312">
        <v>8</v>
      </c>
      <c r="O210" s="1312"/>
      <c r="P210" s="1312"/>
      <c r="Q210" s="1315">
        <v>0.125</v>
      </c>
      <c r="R210" s="1315">
        <v>0.45833333333333331</v>
      </c>
      <c r="S210" s="1312">
        <v>8</v>
      </c>
      <c r="T210" s="1312"/>
      <c r="U210" s="1312"/>
      <c r="V210" s="1315">
        <v>0.125</v>
      </c>
      <c r="W210" s="1315">
        <v>0.45833333333333331</v>
      </c>
      <c r="X210" s="1312">
        <v>8</v>
      </c>
      <c r="Y210" s="1312"/>
      <c r="Z210" s="1314">
        <f t="shared" si="52"/>
        <v>40</v>
      </c>
      <c r="AA210" s="1316">
        <f t="shared" si="53"/>
        <v>0</v>
      </c>
      <c r="AB210" s="1310"/>
      <c r="AC210" s="1315"/>
      <c r="AD210" s="1315"/>
      <c r="AE210" s="1312"/>
      <c r="AF210" s="1310"/>
      <c r="AG210" s="1315"/>
      <c r="AH210" s="1315"/>
      <c r="AI210" s="1312"/>
      <c r="AJ210" s="1314">
        <f t="shared" si="54"/>
        <v>0</v>
      </c>
      <c r="AK210" s="941"/>
      <c r="AL210" s="943"/>
      <c r="AM210" s="940"/>
      <c r="AN210" s="992" t="s">
        <v>36</v>
      </c>
      <c r="AO210" s="1005">
        <f>AA231+AJ231</f>
        <v>8.5</v>
      </c>
      <c r="AP210" s="994">
        <f>53.05*1.5</f>
        <v>79.574999999999989</v>
      </c>
      <c r="AQ210" s="994">
        <f>AP210*AO210</f>
        <v>676.38749999999993</v>
      </c>
      <c r="AR210" s="954"/>
      <c r="AS210" s="954"/>
      <c r="AT210" s="940"/>
      <c r="AU210" s="1265"/>
      <c r="AV210" s="1265"/>
      <c r="AW210" s="1265"/>
      <c r="AX210" s="1265"/>
      <c r="AY210" s="1265"/>
      <c r="AZ210" s="1265"/>
      <c r="BA210" s="1265"/>
      <c r="BB210" s="1265"/>
      <c r="BC210" s="1265"/>
      <c r="BD210" s="1265"/>
      <c r="BE210" s="1265"/>
    </row>
    <row r="211" spans="1:57" ht="13.5" hidden="1" customHeight="1">
      <c r="A211" s="1318" t="s">
        <v>1447</v>
      </c>
      <c r="B211" s="1332" t="s">
        <v>29</v>
      </c>
      <c r="C211" s="1332" t="s">
        <v>29</v>
      </c>
      <c r="D211" s="1312">
        <v>8</v>
      </c>
      <c r="E211" s="1312"/>
      <c r="F211" s="1310"/>
      <c r="G211" s="1315" t="s">
        <v>29</v>
      </c>
      <c r="H211" s="1315" t="s">
        <v>29</v>
      </c>
      <c r="I211" s="1312">
        <v>8</v>
      </c>
      <c r="J211" s="1312"/>
      <c r="K211" s="1312"/>
      <c r="L211" s="1315">
        <v>0.125</v>
      </c>
      <c r="M211" s="1315">
        <v>0.45833333333333331</v>
      </c>
      <c r="N211" s="1312">
        <v>8</v>
      </c>
      <c r="O211" s="1312"/>
      <c r="P211" s="1312"/>
      <c r="Q211" s="1315">
        <v>0.125</v>
      </c>
      <c r="R211" s="1315">
        <v>0.45833333333333331</v>
      </c>
      <c r="S211" s="1312">
        <v>8</v>
      </c>
      <c r="T211" s="1312"/>
      <c r="U211" s="1312"/>
      <c r="V211" s="1315">
        <v>0.125</v>
      </c>
      <c r="W211" s="1315">
        <v>0.45833333333333331</v>
      </c>
      <c r="X211" s="1312">
        <v>8</v>
      </c>
      <c r="Y211" s="1312"/>
      <c r="Z211" s="1314">
        <f t="shared" si="52"/>
        <v>40</v>
      </c>
      <c r="AA211" s="1316">
        <f t="shared" si="53"/>
        <v>0</v>
      </c>
      <c r="AB211" s="1310"/>
      <c r="AC211" s="1315"/>
      <c r="AD211" s="1315"/>
      <c r="AE211" s="1312"/>
      <c r="AF211" s="1310"/>
      <c r="AG211" s="1315"/>
      <c r="AH211" s="1315"/>
      <c r="AI211" s="1312"/>
      <c r="AJ211" s="1314">
        <f t="shared" si="54"/>
        <v>0</v>
      </c>
      <c r="AK211" s="941"/>
      <c r="AL211" s="943"/>
      <c r="AM211" s="940"/>
      <c r="AN211" s="954"/>
      <c r="AO211" s="954"/>
      <c r="AP211" s="954"/>
      <c r="AQ211" s="1094">
        <f>SUM(AQ204:AQ210)</f>
        <v>35913.852500000001</v>
      </c>
      <c r="AR211" s="954"/>
      <c r="AS211" s="954"/>
      <c r="AT211" s="940"/>
      <c r="AU211" s="1265"/>
      <c r="AV211" s="1265"/>
      <c r="AW211" s="1265"/>
      <c r="AX211" s="1265"/>
      <c r="AY211" s="1265"/>
      <c r="AZ211" s="1265"/>
      <c r="BA211" s="1265"/>
      <c r="BB211" s="1265"/>
      <c r="BC211" s="1265"/>
      <c r="BD211" s="1265"/>
      <c r="BE211" s="1265"/>
    </row>
    <row r="212" spans="1:57" ht="13.5" hidden="1" customHeight="1">
      <c r="A212" s="1310" t="s">
        <v>327</v>
      </c>
      <c r="B212" s="1332" t="s">
        <v>29</v>
      </c>
      <c r="C212" s="1332" t="s">
        <v>29</v>
      </c>
      <c r="D212" s="1312">
        <v>8</v>
      </c>
      <c r="E212" s="1312"/>
      <c r="F212" s="1312"/>
      <c r="G212" s="1315" t="s">
        <v>29</v>
      </c>
      <c r="H212" s="1315" t="s">
        <v>29</v>
      </c>
      <c r="I212" s="1312">
        <v>8</v>
      </c>
      <c r="J212" s="1312"/>
      <c r="K212" s="1312"/>
      <c r="L212" s="1315">
        <v>0.125</v>
      </c>
      <c r="M212" s="1315">
        <v>0.45833333333333331</v>
      </c>
      <c r="N212" s="1312">
        <v>8</v>
      </c>
      <c r="O212" s="1312"/>
      <c r="P212" s="1312"/>
      <c r="Q212" s="1315">
        <v>0.125</v>
      </c>
      <c r="R212" s="1315">
        <v>0.45833333333333331</v>
      </c>
      <c r="S212" s="1312">
        <v>8</v>
      </c>
      <c r="T212" s="1312"/>
      <c r="U212" s="1312"/>
      <c r="V212" s="1315">
        <v>0.125</v>
      </c>
      <c r="W212" s="1315">
        <v>0.45833333333333331</v>
      </c>
      <c r="X212" s="1312">
        <v>8</v>
      </c>
      <c r="Y212" s="1312"/>
      <c r="Z212" s="1314">
        <f t="shared" si="52"/>
        <v>40</v>
      </c>
      <c r="AA212" s="1316">
        <f t="shared" si="53"/>
        <v>0</v>
      </c>
      <c r="AB212" s="1310"/>
      <c r="AC212" s="1315"/>
      <c r="AD212" s="1315"/>
      <c r="AE212" s="1312"/>
      <c r="AF212" s="1310"/>
      <c r="AG212" s="1315"/>
      <c r="AH212" s="1315"/>
      <c r="AI212" s="1312"/>
      <c r="AJ212" s="1314">
        <f t="shared" si="54"/>
        <v>0</v>
      </c>
      <c r="AK212" s="941"/>
      <c r="AL212" s="943"/>
      <c r="AM212" s="940"/>
      <c r="AN212" s="954"/>
      <c r="AO212" s="954"/>
      <c r="AP212" s="954"/>
      <c r="AQ212" s="954"/>
      <c r="AR212" s="954"/>
      <c r="AS212" s="954"/>
      <c r="AT212" s="940"/>
      <c r="AU212" s="1265"/>
      <c r="AV212" s="1265"/>
      <c r="AW212" s="1265"/>
      <c r="AX212" s="1265"/>
      <c r="AY212" s="1265"/>
      <c r="AZ212" s="1265"/>
      <c r="BA212" s="1265"/>
      <c r="BB212" s="1265"/>
      <c r="BC212" s="1265"/>
      <c r="BD212" s="1265"/>
      <c r="BE212" s="1265"/>
    </row>
    <row r="213" spans="1:57" ht="13.5" hidden="1" customHeight="1">
      <c r="A213" s="1310" t="s">
        <v>1436</v>
      </c>
      <c r="B213" s="1332" t="s">
        <v>29</v>
      </c>
      <c r="C213" s="1332" t="s">
        <v>29</v>
      </c>
      <c r="D213" s="1312">
        <v>8</v>
      </c>
      <c r="E213" s="1312"/>
      <c r="F213" s="1312"/>
      <c r="G213" s="1315" t="s">
        <v>29</v>
      </c>
      <c r="H213" s="1315" t="s">
        <v>29</v>
      </c>
      <c r="I213" s="1312">
        <v>8</v>
      </c>
      <c r="J213" s="1312"/>
      <c r="K213" s="1312"/>
      <c r="L213" s="1315">
        <v>0.125</v>
      </c>
      <c r="M213" s="1315">
        <v>0.45833333333333331</v>
      </c>
      <c r="N213" s="1312">
        <v>8</v>
      </c>
      <c r="O213" s="1312"/>
      <c r="P213" s="1312"/>
      <c r="Q213" s="1315">
        <v>0.125</v>
      </c>
      <c r="R213" s="1315">
        <v>0.45833333333333331</v>
      </c>
      <c r="S213" s="1312">
        <v>8</v>
      </c>
      <c r="T213" s="1312"/>
      <c r="U213" s="1312"/>
      <c r="V213" s="1315">
        <v>0.125</v>
      </c>
      <c r="W213" s="1315">
        <v>0.45833333333333331</v>
      </c>
      <c r="X213" s="1312">
        <v>8</v>
      </c>
      <c r="Y213" s="1312"/>
      <c r="Z213" s="1314">
        <f t="shared" si="52"/>
        <v>40</v>
      </c>
      <c r="AA213" s="1316">
        <f t="shared" si="53"/>
        <v>0</v>
      </c>
      <c r="AB213" s="1310"/>
      <c r="AC213" s="1315"/>
      <c r="AD213" s="1315"/>
      <c r="AE213" s="1312"/>
      <c r="AF213" s="1310"/>
      <c r="AG213" s="1315"/>
      <c r="AH213" s="1315"/>
      <c r="AI213" s="1312"/>
      <c r="AJ213" s="1314">
        <f t="shared" si="54"/>
        <v>0</v>
      </c>
      <c r="AK213" s="941"/>
      <c r="AL213" s="943"/>
      <c r="AM213" s="940"/>
      <c r="AN213" s="954"/>
      <c r="AO213" s="954"/>
      <c r="AP213" s="954"/>
      <c r="AQ213" s="954"/>
      <c r="AR213" s="954"/>
      <c r="AS213" s="954"/>
      <c r="AT213" s="940"/>
      <c r="AU213" s="1265"/>
      <c r="AV213" s="1265"/>
      <c r="AW213" s="1265"/>
      <c r="AX213" s="1265"/>
      <c r="AY213" s="1265"/>
      <c r="AZ213" s="1265"/>
      <c r="BA213" s="1265"/>
      <c r="BB213" s="1265"/>
      <c r="BC213" s="1265"/>
      <c r="BD213" s="1265"/>
      <c r="BE213" s="1265"/>
    </row>
    <row r="214" spans="1:57" ht="13.5" hidden="1" customHeight="1">
      <c r="A214" s="1318" t="s">
        <v>1140</v>
      </c>
      <c r="B214" s="1332" t="s">
        <v>29</v>
      </c>
      <c r="C214" s="1332" t="s">
        <v>29</v>
      </c>
      <c r="D214" s="1312">
        <v>8</v>
      </c>
      <c r="E214" s="1312"/>
      <c r="F214" s="1310"/>
      <c r="G214" s="1315" t="s">
        <v>29</v>
      </c>
      <c r="H214" s="1315" t="s">
        <v>29</v>
      </c>
      <c r="I214" s="1312">
        <v>8</v>
      </c>
      <c r="J214" s="1312"/>
      <c r="K214" s="1310"/>
      <c r="L214" s="1315">
        <v>0.125</v>
      </c>
      <c r="M214" s="1315">
        <v>0.45833333333333331</v>
      </c>
      <c r="N214" s="1312">
        <v>8</v>
      </c>
      <c r="O214" s="1312"/>
      <c r="P214" s="1310"/>
      <c r="Q214" s="1315">
        <v>0.125</v>
      </c>
      <c r="R214" s="1315">
        <v>0.45833333333333331</v>
      </c>
      <c r="S214" s="1312">
        <v>8</v>
      </c>
      <c r="T214" s="1312"/>
      <c r="U214" s="1310"/>
      <c r="V214" s="1315">
        <v>0.125</v>
      </c>
      <c r="W214" s="1315">
        <v>0.45833333333333331</v>
      </c>
      <c r="X214" s="1312">
        <v>8</v>
      </c>
      <c r="Y214" s="1312"/>
      <c r="Z214" s="1314">
        <f t="shared" si="52"/>
        <v>40</v>
      </c>
      <c r="AA214" s="1316">
        <f t="shared" si="53"/>
        <v>0</v>
      </c>
      <c r="AB214" s="1310"/>
      <c r="AC214" s="1315"/>
      <c r="AD214" s="1315"/>
      <c r="AE214" s="1312"/>
      <c r="AF214" s="1310"/>
      <c r="AG214" s="1315"/>
      <c r="AH214" s="1315"/>
      <c r="AI214" s="1312"/>
      <c r="AJ214" s="1314">
        <f t="shared" si="54"/>
        <v>0</v>
      </c>
      <c r="AK214" s="941"/>
      <c r="AL214" s="943"/>
      <c r="AM214" s="940"/>
      <c r="AN214" s="992"/>
      <c r="AO214" s="1005"/>
      <c r="AP214" s="994"/>
      <c r="AQ214" s="994"/>
      <c r="AR214" s="954"/>
      <c r="AS214" s="954"/>
      <c r="AT214" s="940"/>
      <c r="AU214" s="1265"/>
      <c r="AV214" s="1265"/>
      <c r="AW214" s="1265"/>
      <c r="AX214" s="1265"/>
      <c r="AY214" s="1265"/>
      <c r="AZ214" s="1265"/>
      <c r="BA214" s="1265"/>
      <c r="BB214" s="1265"/>
      <c r="BC214" s="1265"/>
      <c r="BD214" s="1265"/>
      <c r="BE214" s="1265"/>
    </row>
    <row r="215" spans="1:57" ht="13.5" hidden="1" customHeight="1">
      <c r="A215" s="1318" t="s">
        <v>1141</v>
      </c>
      <c r="B215" s="1315" t="s">
        <v>29</v>
      </c>
      <c r="C215" s="1332" t="s">
        <v>29</v>
      </c>
      <c r="D215" s="1312">
        <v>0</v>
      </c>
      <c r="E215" s="1312"/>
      <c r="F215" s="1312"/>
      <c r="G215" s="1315" t="s">
        <v>29</v>
      </c>
      <c r="H215" s="1315" t="s">
        <v>29</v>
      </c>
      <c r="I215" s="1312">
        <v>0</v>
      </c>
      <c r="J215" s="1312"/>
      <c r="K215" s="1312"/>
      <c r="L215" s="1315">
        <v>0.41666666666666669</v>
      </c>
      <c r="M215" s="1315">
        <v>0.33333333333333331</v>
      </c>
      <c r="N215" s="1312">
        <v>8</v>
      </c>
      <c r="O215" s="1312">
        <v>1</v>
      </c>
      <c r="P215" s="1312"/>
      <c r="Q215" s="1315">
        <v>0.29166666666666669</v>
      </c>
      <c r="R215" s="1315">
        <v>0.125</v>
      </c>
      <c r="S215" s="1312">
        <v>7</v>
      </c>
      <c r="T215" s="1312"/>
      <c r="U215" s="1312"/>
      <c r="V215" s="1315">
        <v>0.45833333333333331</v>
      </c>
      <c r="W215" s="1315">
        <v>0.25</v>
      </c>
      <c r="X215" s="1312">
        <v>6.5</v>
      </c>
      <c r="Y215" s="1312"/>
      <c r="Z215" s="1314">
        <f>D215+I215+N215+S215+X215</f>
        <v>21.5</v>
      </c>
      <c r="AA215" s="1316">
        <f t="shared" si="53"/>
        <v>1</v>
      </c>
      <c r="AB215" s="1310"/>
      <c r="AC215" s="1315">
        <v>0.29166666666666669</v>
      </c>
      <c r="AD215" s="1315">
        <v>0.22916666666666666</v>
      </c>
      <c r="AE215" s="1312">
        <v>9.5</v>
      </c>
      <c r="AF215" s="1310"/>
      <c r="AG215" s="1315"/>
      <c r="AH215" s="1315"/>
      <c r="AI215" s="1312"/>
      <c r="AJ215" s="1314">
        <f t="shared" si="54"/>
        <v>9.5</v>
      </c>
      <c r="AK215" s="941"/>
      <c r="AL215" s="943"/>
      <c r="AM215" s="940"/>
      <c r="AN215" s="954"/>
      <c r="AO215" s="954"/>
      <c r="AP215" s="954"/>
      <c r="AQ215" s="954"/>
      <c r="AR215" s="954"/>
      <c r="AS215" s="954"/>
      <c r="AT215" s="940"/>
      <c r="AU215" s="1265"/>
      <c r="AV215" s="1265"/>
      <c r="AW215" s="1265"/>
      <c r="AX215" s="1265"/>
      <c r="AY215" s="1265"/>
      <c r="AZ215" s="1265"/>
      <c r="BA215" s="1265"/>
      <c r="BB215" s="1265"/>
      <c r="BC215" s="1265"/>
      <c r="BD215" s="1265"/>
      <c r="BE215" s="1265"/>
    </row>
    <row r="216" spans="1:57" ht="13.5" hidden="1" customHeight="1">
      <c r="A216" s="1318" t="s">
        <v>241</v>
      </c>
      <c r="B216" s="1332" t="s">
        <v>29</v>
      </c>
      <c r="C216" s="1332" t="s">
        <v>29</v>
      </c>
      <c r="D216" s="1312">
        <v>0</v>
      </c>
      <c r="E216" s="1312"/>
      <c r="F216" s="1312"/>
      <c r="G216" s="1315" t="s">
        <v>29</v>
      </c>
      <c r="H216" s="1315" t="s">
        <v>29</v>
      </c>
      <c r="I216" s="1312">
        <v>0</v>
      </c>
      <c r="J216" s="1312"/>
      <c r="K216" s="1312"/>
      <c r="L216" s="1315">
        <v>0.125</v>
      </c>
      <c r="M216" s="1315">
        <v>0.41666666666666669</v>
      </c>
      <c r="N216" s="1312">
        <v>6.5</v>
      </c>
      <c r="O216" s="1312"/>
      <c r="P216" s="1312"/>
      <c r="Q216" s="1315">
        <v>0.29166666666666669</v>
      </c>
      <c r="R216" s="1315">
        <v>8.3333333333333329E-2</v>
      </c>
      <c r="S216" s="1312">
        <v>6.5</v>
      </c>
      <c r="T216" s="1312"/>
      <c r="U216" s="1312"/>
      <c r="V216" s="1315">
        <v>0.41666666666666669</v>
      </c>
      <c r="W216" s="1315">
        <v>0.20833333333333334</v>
      </c>
      <c r="X216" s="1312">
        <v>6.5</v>
      </c>
      <c r="Y216" s="1312"/>
      <c r="Z216" s="1314">
        <f>D216+I216+N216+S216+X216</f>
        <v>19.5</v>
      </c>
      <c r="AA216" s="1316">
        <f t="shared" si="53"/>
        <v>0</v>
      </c>
      <c r="AB216" s="1310"/>
      <c r="AC216" s="1315"/>
      <c r="AD216" s="1315"/>
      <c r="AE216" s="1312"/>
      <c r="AF216" s="1310"/>
      <c r="AG216" s="1315"/>
      <c r="AH216" s="1315"/>
      <c r="AI216" s="1312"/>
      <c r="AJ216" s="1314">
        <f t="shared" si="54"/>
        <v>0</v>
      </c>
      <c r="AK216" s="941"/>
      <c r="AL216" s="943"/>
      <c r="AM216" s="940"/>
      <c r="AN216" s="954"/>
      <c r="AO216" s="954"/>
      <c r="AP216" s="954"/>
      <c r="AQ216" s="954"/>
      <c r="AR216" s="954"/>
      <c r="AS216" s="954"/>
      <c r="AT216" s="940"/>
      <c r="AU216" s="1265"/>
      <c r="AV216" s="1265"/>
      <c r="AW216" s="1265"/>
      <c r="AX216" s="1265"/>
      <c r="AY216" s="1265"/>
      <c r="AZ216" s="1265"/>
      <c r="BA216" s="1265"/>
      <c r="BB216" s="1265"/>
      <c r="BC216" s="1265"/>
      <c r="BD216" s="1265"/>
      <c r="BE216" s="1265"/>
    </row>
    <row r="217" spans="1:57" ht="13.5" hidden="1" customHeight="1">
      <c r="A217" s="1318" t="s">
        <v>1477</v>
      </c>
      <c r="B217" s="1332">
        <v>0.375</v>
      </c>
      <c r="C217" s="1332">
        <v>0.20833333333333334</v>
      </c>
      <c r="D217" s="1312">
        <v>7</v>
      </c>
      <c r="E217" s="1312"/>
      <c r="F217" s="1312"/>
      <c r="G217" s="1315">
        <v>0.375</v>
      </c>
      <c r="H217" s="1315">
        <v>0.20833333333333334</v>
      </c>
      <c r="I217" s="1312">
        <v>7</v>
      </c>
      <c r="J217" s="1312"/>
      <c r="K217" s="1312"/>
      <c r="L217" s="1315">
        <v>0.375</v>
      </c>
      <c r="M217" s="1315">
        <v>0.20833333333333334</v>
      </c>
      <c r="N217" s="1312">
        <v>7</v>
      </c>
      <c r="O217" s="1312"/>
      <c r="P217" s="1312"/>
      <c r="Q217" s="1315">
        <v>0.375</v>
      </c>
      <c r="R217" s="1315">
        <v>0.20833333333333334</v>
      </c>
      <c r="S217" s="1312">
        <v>7</v>
      </c>
      <c r="T217" s="1312"/>
      <c r="U217" s="1312"/>
      <c r="V217" s="1315">
        <v>0.375</v>
      </c>
      <c r="W217" s="1315">
        <v>0.20833333333333334</v>
      </c>
      <c r="X217" s="1312">
        <v>7</v>
      </c>
      <c r="Y217" s="1312"/>
      <c r="Z217" s="1314">
        <f>D217+I217+N217+S217+X217</f>
        <v>35</v>
      </c>
      <c r="AA217" s="1316">
        <f t="shared" si="53"/>
        <v>0</v>
      </c>
      <c r="AB217" s="1310"/>
      <c r="AC217" s="1315"/>
      <c r="AD217" s="1315"/>
      <c r="AE217" s="1312"/>
      <c r="AF217" s="1310"/>
      <c r="AG217" s="1315"/>
      <c r="AH217" s="1315"/>
      <c r="AI217" s="1312"/>
      <c r="AJ217" s="1314">
        <f t="shared" si="54"/>
        <v>0</v>
      </c>
      <c r="AK217" s="941"/>
      <c r="AL217" s="943"/>
      <c r="AM217" s="940"/>
      <c r="AN217" s="954"/>
      <c r="AO217" s="954"/>
      <c r="AP217" s="954"/>
      <c r="AQ217" s="954"/>
      <c r="AR217" s="954"/>
      <c r="AS217" s="954"/>
      <c r="AT217" s="940"/>
      <c r="AU217" s="1265"/>
      <c r="AV217" s="1265"/>
      <c r="AW217" s="1265"/>
      <c r="AX217" s="1265"/>
      <c r="AY217" s="1265"/>
      <c r="AZ217" s="1265"/>
      <c r="BA217" s="1265"/>
      <c r="BB217" s="1265"/>
      <c r="BC217" s="1265"/>
      <c r="BD217" s="1265"/>
      <c r="BE217" s="1265"/>
    </row>
    <row r="218" spans="1:57" ht="13.5" hidden="1" customHeight="1">
      <c r="A218" s="1318" t="s">
        <v>1444</v>
      </c>
      <c r="B218" s="1332"/>
      <c r="C218" s="1332"/>
      <c r="D218" s="1312">
        <v>0</v>
      </c>
      <c r="E218" s="1312"/>
      <c r="F218" s="1312"/>
      <c r="G218" s="1315"/>
      <c r="H218" s="1315"/>
      <c r="I218" s="1312">
        <v>0</v>
      </c>
      <c r="J218" s="1312"/>
      <c r="K218" s="1312"/>
      <c r="L218" s="1315">
        <v>0.375</v>
      </c>
      <c r="M218" s="1315">
        <v>0.125</v>
      </c>
      <c r="N218" s="1312">
        <v>5.5</v>
      </c>
      <c r="O218" s="1312"/>
      <c r="P218" s="1312"/>
      <c r="Q218" s="1315">
        <v>0.375</v>
      </c>
      <c r="R218" s="1315">
        <v>0.125</v>
      </c>
      <c r="S218" s="1312">
        <v>5.5</v>
      </c>
      <c r="T218" s="1312"/>
      <c r="U218" s="1312"/>
      <c r="V218" s="1315">
        <v>0.375</v>
      </c>
      <c r="W218" s="1315">
        <v>0.20833333333333334</v>
      </c>
      <c r="X218" s="1312">
        <v>5.5</v>
      </c>
      <c r="Y218" s="1312"/>
      <c r="Z218" s="1314">
        <f t="shared" ref="Z218:Z222" si="56">D218+I218+N218+S218+X218</f>
        <v>16.5</v>
      </c>
      <c r="AA218" s="1316">
        <f t="shared" si="53"/>
        <v>0</v>
      </c>
      <c r="AB218" s="1310"/>
      <c r="AC218" s="1315"/>
      <c r="AD218" s="1315"/>
      <c r="AE218" s="1312"/>
      <c r="AF218" s="1310"/>
      <c r="AG218" s="1315"/>
      <c r="AH218" s="1315"/>
      <c r="AI218" s="1312"/>
      <c r="AJ218" s="1314">
        <f t="shared" si="54"/>
        <v>0</v>
      </c>
      <c r="AK218" s="941"/>
      <c r="AL218" s="943"/>
      <c r="AM218" s="940"/>
      <c r="AN218" s="954"/>
      <c r="AO218" s="954"/>
      <c r="AP218" s="954"/>
      <c r="AQ218" s="954"/>
      <c r="AR218" s="954"/>
      <c r="AS218" s="954"/>
      <c r="AT218" s="940"/>
      <c r="AU218" s="1265"/>
      <c r="AV218" s="1265"/>
      <c r="AW218" s="1265"/>
      <c r="AX218" s="1265"/>
      <c r="AY218" s="1265"/>
      <c r="AZ218" s="1265"/>
      <c r="BA218" s="1265"/>
      <c r="BB218" s="1265"/>
      <c r="BC218" s="1265"/>
      <c r="BD218" s="1265"/>
      <c r="BE218" s="1265"/>
    </row>
    <row r="219" spans="1:57" ht="13.5" hidden="1" customHeight="1">
      <c r="A219" s="1318" t="s">
        <v>1479</v>
      </c>
      <c r="B219" s="1315"/>
      <c r="C219" s="1315"/>
      <c r="D219" s="1312">
        <v>0</v>
      </c>
      <c r="E219" s="1312"/>
      <c r="F219" s="1312"/>
      <c r="G219" s="1315"/>
      <c r="H219" s="1315"/>
      <c r="I219" s="1312">
        <v>0</v>
      </c>
      <c r="J219" s="1312"/>
      <c r="K219" s="1312"/>
      <c r="L219" s="1315">
        <v>0.29166666666666669</v>
      </c>
      <c r="M219" s="1315">
        <v>0.16666666666666666</v>
      </c>
      <c r="N219" s="1312">
        <v>8</v>
      </c>
      <c r="O219" s="1312"/>
      <c r="P219" s="1312"/>
      <c r="Q219" s="1315">
        <v>0.125</v>
      </c>
      <c r="R219" s="1315">
        <v>0.375</v>
      </c>
      <c r="S219" s="1312">
        <v>5.5</v>
      </c>
      <c r="T219" s="1312"/>
      <c r="U219" s="1312"/>
      <c r="V219" s="1315">
        <v>0.29166666666666669</v>
      </c>
      <c r="W219" s="1315">
        <v>0.16666666666666666</v>
      </c>
      <c r="X219" s="1312">
        <v>8</v>
      </c>
      <c r="Y219" s="1312"/>
      <c r="Z219" s="1314">
        <f t="shared" si="56"/>
        <v>21.5</v>
      </c>
      <c r="AA219" s="1316">
        <f t="shared" si="53"/>
        <v>0</v>
      </c>
      <c r="AB219" s="1310"/>
      <c r="AC219" s="1315"/>
      <c r="AD219" s="1315"/>
      <c r="AE219" s="1312"/>
      <c r="AF219" s="1310"/>
      <c r="AG219" s="1315"/>
      <c r="AH219" s="1315"/>
      <c r="AI219" s="1312"/>
      <c r="AJ219" s="1314">
        <f t="shared" si="54"/>
        <v>0</v>
      </c>
      <c r="AK219" s="941"/>
      <c r="AL219" s="943"/>
      <c r="AM219" s="940"/>
      <c r="AN219" s="954"/>
      <c r="AO219" s="954"/>
      <c r="AP219" s="954"/>
      <c r="AQ219" s="954"/>
      <c r="AR219" s="954"/>
      <c r="AS219" s="954"/>
      <c r="AT219" s="940"/>
      <c r="AU219" s="1265"/>
      <c r="AV219" s="1265"/>
      <c r="AW219" s="1265"/>
      <c r="AX219" s="1265"/>
      <c r="AY219" s="1265"/>
      <c r="AZ219" s="1265"/>
      <c r="BA219" s="1265"/>
      <c r="BB219" s="1265"/>
      <c r="BC219" s="1265"/>
      <c r="BD219" s="1265"/>
      <c r="BE219" s="1265"/>
    </row>
    <row r="220" spans="1:57" ht="13.5" hidden="1" customHeight="1">
      <c r="A220" s="1318" t="s">
        <v>1480</v>
      </c>
      <c r="B220" s="1332"/>
      <c r="C220" s="1332"/>
      <c r="D220" s="1312">
        <v>0</v>
      </c>
      <c r="E220" s="1312"/>
      <c r="F220" s="1312"/>
      <c r="G220" s="1315"/>
      <c r="H220" s="1315"/>
      <c r="I220" s="1312">
        <v>0</v>
      </c>
      <c r="J220" s="1312"/>
      <c r="K220" s="1312"/>
      <c r="L220" s="1315">
        <v>0.125</v>
      </c>
      <c r="M220" s="1315">
        <v>0.42708333333333331</v>
      </c>
      <c r="N220" s="1312">
        <v>6.75</v>
      </c>
      <c r="O220" s="1312"/>
      <c r="P220" s="1312"/>
      <c r="Q220" s="1315">
        <v>0.33333333333333331</v>
      </c>
      <c r="R220" s="1315">
        <v>0.125</v>
      </c>
      <c r="S220" s="1312">
        <v>6.5</v>
      </c>
      <c r="T220" s="1312"/>
      <c r="U220" s="1312"/>
      <c r="V220" s="1315">
        <v>8.3333333333333329E-2</v>
      </c>
      <c r="W220" s="1315"/>
      <c r="X220" s="1312">
        <v>7</v>
      </c>
      <c r="Y220" s="1312"/>
      <c r="Z220" s="1314">
        <f t="shared" si="56"/>
        <v>20.25</v>
      </c>
      <c r="AA220" s="1316">
        <f t="shared" si="53"/>
        <v>0</v>
      </c>
      <c r="AB220" s="1310"/>
      <c r="AC220" s="1315"/>
      <c r="AD220" s="1315"/>
      <c r="AE220" s="1312"/>
      <c r="AF220" s="1310"/>
      <c r="AG220" s="1315"/>
      <c r="AH220" s="1315"/>
      <c r="AI220" s="1312"/>
      <c r="AJ220" s="1314">
        <f t="shared" si="54"/>
        <v>0</v>
      </c>
      <c r="AK220" s="941"/>
      <c r="AL220" s="943"/>
      <c r="AM220" s="940"/>
      <c r="AN220" s="954"/>
      <c r="AO220" s="954"/>
      <c r="AP220" s="954"/>
      <c r="AQ220" s="954"/>
      <c r="AR220" s="954"/>
      <c r="AS220" s="954"/>
      <c r="AT220" s="940"/>
      <c r="AU220" s="1265"/>
      <c r="AV220" s="1265"/>
      <c r="AW220" s="1265"/>
      <c r="AX220" s="1265"/>
      <c r="AY220" s="1265"/>
      <c r="AZ220" s="1265"/>
      <c r="BA220" s="1265"/>
      <c r="BB220" s="1265"/>
      <c r="BC220" s="1265"/>
      <c r="BD220" s="1265"/>
      <c r="BE220" s="1265"/>
    </row>
    <row r="221" spans="1:57" ht="13.5" hidden="1" customHeight="1">
      <c r="A221" s="1318" t="s">
        <v>1143</v>
      </c>
      <c r="B221" s="1315"/>
      <c r="C221" s="1315"/>
      <c r="D221" s="1312">
        <v>0</v>
      </c>
      <c r="E221" s="1312"/>
      <c r="F221" s="1312"/>
      <c r="G221" s="1315"/>
      <c r="H221" s="1315"/>
      <c r="I221" s="1312">
        <v>0</v>
      </c>
      <c r="J221" s="1312"/>
      <c r="K221" s="1312"/>
      <c r="L221" s="1315"/>
      <c r="M221" s="1315"/>
      <c r="N221" s="1312">
        <v>0</v>
      </c>
      <c r="O221" s="1312"/>
      <c r="P221" s="1312"/>
      <c r="Q221" s="1315"/>
      <c r="R221" s="1315"/>
      <c r="S221" s="1312">
        <v>0</v>
      </c>
      <c r="T221" s="1312"/>
      <c r="U221" s="1312"/>
      <c r="V221" s="1315">
        <v>0.41666666666666669</v>
      </c>
      <c r="W221" s="1315">
        <v>0.20833333333333334</v>
      </c>
      <c r="X221" s="1312">
        <v>6.5</v>
      </c>
      <c r="Y221" s="1312"/>
      <c r="Z221" s="1314">
        <f t="shared" si="56"/>
        <v>6.5</v>
      </c>
      <c r="AA221" s="1316">
        <f t="shared" si="53"/>
        <v>0</v>
      </c>
      <c r="AB221" s="1310"/>
      <c r="AC221" s="1315">
        <v>0.29166666666666669</v>
      </c>
      <c r="AD221" s="1315">
        <v>0.22916666666666666</v>
      </c>
      <c r="AE221" s="1312">
        <v>9.5</v>
      </c>
      <c r="AF221" s="1310"/>
      <c r="AG221" s="1315">
        <v>0.29166666666666669</v>
      </c>
      <c r="AH221" s="1315">
        <v>8.3333333333333329E-2</v>
      </c>
      <c r="AI221" s="1312">
        <v>6.5</v>
      </c>
      <c r="AJ221" s="1314">
        <f t="shared" si="54"/>
        <v>16</v>
      </c>
      <c r="AK221" s="941"/>
      <c r="AL221" s="943"/>
      <c r="AM221" s="940"/>
      <c r="AN221" s="954"/>
      <c r="AO221" s="954"/>
      <c r="AP221" s="954"/>
      <c r="AQ221" s="954"/>
      <c r="AR221" s="954"/>
      <c r="AS221" s="954"/>
      <c r="AT221" s="940"/>
      <c r="AU221" s="1265"/>
      <c r="AV221" s="1265"/>
      <c r="AW221" s="1265"/>
      <c r="AX221" s="1265"/>
      <c r="AY221" s="1265"/>
      <c r="AZ221" s="1265"/>
      <c r="BA221" s="1265"/>
      <c r="BB221" s="1265"/>
      <c r="BC221" s="1265"/>
      <c r="BD221" s="1265"/>
      <c r="BE221" s="1265"/>
    </row>
    <row r="222" spans="1:57" ht="13.5" hidden="1" customHeight="1">
      <c r="A222" s="1318" t="s">
        <v>813</v>
      </c>
      <c r="B222" s="1315"/>
      <c r="C222" s="1315"/>
      <c r="D222" s="1312">
        <v>0</v>
      </c>
      <c r="E222" s="1312"/>
      <c r="F222" s="1310"/>
      <c r="G222" s="1315"/>
      <c r="H222" s="1315"/>
      <c r="I222" s="1312">
        <v>0</v>
      </c>
      <c r="J222" s="1312"/>
      <c r="K222" s="1310"/>
      <c r="L222" s="1315"/>
      <c r="M222" s="1315"/>
      <c r="N222" s="1312">
        <v>0</v>
      </c>
      <c r="O222" s="1312"/>
      <c r="P222" s="1310"/>
      <c r="Q222" s="1315"/>
      <c r="R222" s="1315"/>
      <c r="S222" s="1312">
        <v>0</v>
      </c>
      <c r="T222" s="1312"/>
      <c r="U222" s="1310"/>
      <c r="V222" s="1315"/>
      <c r="W222" s="1315"/>
      <c r="X222" s="1312">
        <v>0</v>
      </c>
      <c r="Y222" s="1312"/>
      <c r="Z222" s="1314">
        <f t="shared" si="56"/>
        <v>0</v>
      </c>
      <c r="AA222" s="1316">
        <f t="shared" si="53"/>
        <v>0</v>
      </c>
      <c r="AB222" s="1310"/>
      <c r="AC222" s="1315"/>
      <c r="AD222" s="1315"/>
      <c r="AE222" s="1312"/>
      <c r="AF222" s="1310"/>
      <c r="AG222" s="1315"/>
      <c r="AH222" s="1315"/>
      <c r="AI222" s="1312"/>
      <c r="AJ222" s="1314">
        <f t="shared" si="54"/>
        <v>0</v>
      </c>
      <c r="AK222" s="941"/>
      <c r="AL222" s="943"/>
      <c r="AM222" s="940"/>
      <c r="AN222" s="992"/>
      <c r="AO222" s="1005"/>
      <c r="AP222" s="994"/>
      <c r="AQ222" s="994"/>
      <c r="AR222" s="954"/>
      <c r="AS222" s="954"/>
      <c r="AT222" s="940"/>
      <c r="AU222" s="1265"/>
      <c r="AV222" s="1265"/>
      <c r="AW222" s="1265"/>
      <c r="AX222" s="1265"/>
      <c r="AY222" s="1265"/>
      <c r="AZ222" s="1265"/>
      <c r="BA222" s="1265"/>
      <c r="BB222" s="1265"/>
      <c r="BC222" s="1265"/>
      <c r="BD222" s="1265"/>
      <c r="BE222" s="1265"/>
    </row>
    <row r="223" spans="1:57" ht="13.5" hidden="1" customHeight="1">
      <c r="A223" s="1318" t="s">
        <v>1431</v>
      </c>
      <c r="B223" s="1315"/>
      <c r="C223" s="1315"/>
      <c r="D223" s="1312">
        <v>0</v>
      </c>
      <c r="E223" s="1312"/>
      <c r="F223" s="1310"/>
      <c r="G223" s="1315"/>
      <c r="H223" s="1315"/>
      <c r="I223" s="1312">
        <v>0</v>
      </c>
      <c r="J223" s="1312"/>
      <c r="K223" s="1310"/>
      <c r="L223" s="1315"/>
      <c r="M223" s="1315"/>
      <c r="N223" s="1312">
        <v>0</v>
      </c>
      <c r="O223" s="1312"/>
      <c r="P223" s="1310"/>
      <c r="Q223" s="1315"/>
      <c r="R223" s="1315"/>
      <c r="S223" s="1312">
        <v>1</v>
      </c>
      <c r="T223" s="1312"/>
      <c r="U223" s="1310"/>
      <c r="V223" s="1315"/>
      <c r="W223" s="1315"/>
      <c r="X223" s="1312">
        <v>0</v>
      </c>
      <c r="Y223" s="1312"/>
      <c r="Z223" s="1314">
        <f>D223+I223+N223+S223+X223</f>
        <v>1</v>
      </c>
      <c r="AA223" s="1316">
        <f t="shared" si="53"/>
        <v>0</v>
      </c>
      <c r="AB223" s="1310"/>
      <c r="AC223" s="1315"/>
      <c r="AD223" s="1315"/>
      <c r="AE223" s="1312"/>
      <c r="AF223" s="1310"/>
      <c r="AG223" s="1315"/>
      <c r="AH223" s="1315"/>
      <c r="AI223" s="1312"/>
      <c r="AJ223" s="1314">
        <f t="shared" si="54"/>
        <v>0</v>
      </c>
      <c r="AK223" s="941"/>
      <c r="AL223" s="943"/>
      <c r="AM223" s="940"/>
      <c r="AN223" s="954"/>
      <c r="AO223" s="954"/>
      <c r="AP223" s="954"/>
      <c r="AQ223" s="954"/>
      <c r="AR223" s="954"/>
      <c r="AS223" s="954"/>
      <c r="AT223" s="940"/>
      <c r="AU223" s="1265"/>
      <c r="AV223" s="1265"/>
      <c r="AW223" s="1265"/>
      <c r="AX223" s="1265"/>
      <c r="AY223" s="1265"/>
      <c r="AZ223" s="1265"/>
      <c r="BA223" s="1265"/>
      <c r="BB223" s="1265"/>
      <c r="BC223" s="1265"/>
      <c r="BD223" s="1265"/>
      <c r="BE223" s="1265"/>
    </row>
    <row r="224" spans="1:57" ht="13.5" hidden="1" customHeight="1">
      <c r="A224" s="1318" t="s">
        <v>1481</v>
      </c>
      <c r="B224" s="1315"/>
      <c r="C224" s="1319"/>
      <c r="D224" s="1312">
        <v>0</v>
      </c>
      <c r="E224" s="1312"/>
      <c r="F224" s="1312"/>
      <c r="G224" s="1332"/>
      <c r="H224" s="1332"/>
      <c r="I224" s="1312">
        <v>0</v>
      </c>
      <c r="J224" s="1312"/>
      <c r="K224" s="1312"/>
      <c r="L224" s="1315"/>
      <c r="M224" s="1319"/>
      <c r="N224" s="1312">
        <v>0</v>
      </c>
      <c r="O224" s="1312"/>
      <c r="P224" s="1312"/>
      <c r="Q224" s="1332"/>
      <c r="R224" s="1332"/>
      <c r="S224" s="1312">
        <v>0</v>
      </c>
      <c r="T224" s="1312"/>
      <c r="U224" s="1312"/>
      <c r="V224" s="1332"/>
      <c r="W224" s="1332"/>
      <c r="X224" s="1312">
        <v>0</v>
      </c>
      <c r="Y224" s="1312"/>
      <c r="Z224" s="1314">
        <f t="shared" ref="Z224:Z226" si="57">D224+I224+N224+S224+X224</f>
        <v>0</v>
      </c>
      <c r="AA224" s="1316">
        <f t="shared" si="53"/>
        <v>0</v>
      </c>
      <c r="AB224" s="1310"/>
      <c r="AC224" s="1315"/>
      <c r="AD224" s="1319"/>
      <c r="AE224" s="1312"/>
      <c r="AF224" s="1315"/>
      <c r="AG224" s="1319"/>
      <c r="AH224" s="1312"/>
      <c r="AI224" s="1315"/>
      <c r="AJ224" s="1314">
        <f t="shared" si="54"/>
        <v>0</v>
      </c>
      <c r="AK224" s="941"/>
      <c r="AL224" s="943"/>
      <c r="AM224" s="940"/>
      <c r="AN224" s="954"/>
      <c r="AO224" s="954"/>
      <c r="AP224" s="954"/>
      <c r="AQ224" s="954"/>
      <c r="AR224" s="954"/>
      <c r="AS224" s="954"/>
      <c r="AT224" s="940"/>
      <c r="AU224" s="1265"/>
      <c r="AV224" s="1265"/>
      <c r="AW224" s="1265"/>
      <c r="AX224" s="1265"/>
      <c r="AY224" s="1265"/>
      <c r="AZ224" s="1265"/>
      <c r="BA224" s="1265"/>
      <c r="BB224" s="1265"/>
      <c r="BC224" s="1265"/>
      <c r="BD224" s="1265"/>
      <c r="BE224" s="1265"/>
    </row>
    <row r="225" spans="1:57" ht="13.5" hidden="1" customHeight="1">
      <c r="A225" s="1318" t="s">
        <v>1427</v>
      </c>
      <c r="B225" s="1315"/>
      <c r="C225" s="1319"/>
      <c r="D225" s="1312">
        <v>8</v>
      </c>
      <c r="E225" s="1312"/>
      <c r="F225" s="1312"/>
      <c r="G225" s="1315"/>
      <c r="H225" s="1319"/>
      <c r="I225" s="1312">
        <v>8</v>
      </c>
      <c r="J225" s="1312"/>
      <c r="K225" s="1312"/>
      <c r="L225" s="1315">
        <v>0.45833333333333331</v>
      </c>
      <c r="M225" s="1319">
        <v>0.29166666666666669</v>
      </c>
      <c r="N225" s="1312">
        <v>8</v>
      </c>
      <c r="O225" s="1312"/>
      <c r="P225" s="1312"/>
      <c r="Q225" s="1315">
        <v>0.45833333333333331</v>
      </c>
      <c r="R225" s="1319">
        <v>0.29166666666666669</v>
      </c>
      <c r="S225" s="1312">
        <v>8</v>
      </c>
      <c r="T225" s="1312"/>
      <c r="U225" s="1312"/>
      <c r="V225" s="1315"/>
      <c r="W225" s="1319"/>
      <c r="X225" s="1312">
        <v>8</v>
      </c>
      <c r="Y225" s="1312"/>
      <c r="Z225" s="1314">
        <f t="shared" si="57"/>
        <v>40</v>
      </c>
      <c r="AA225" s="1316">
        <f t="shared" si="53"/>
        <v>0</v>
      </c>
      <c r="AB225" s="1310"/>
      <c r="AC225" s="1315"/>
      <c r="AD225" s="1319"/>
      <c r="AE225" s="1312"/>
      <c r="AF225" s="1315"/>
      <c r="AG225" s="1319"/>
      <c r="AH225" s="1312"/>
      <c r="AI225" s="1315"/>
      <c r="AJ225" s="1314">
        <f t="shared" si="54"/>
        <v>0</v>
      </c>
      <c r="AK225" s="941"/>
      <c r="AL225" s="943"/>
      <c r="AM225" s="940"/>
      <c r="AN225" s="954"/>
      <c r="AO225" s="954"/>
      <c r="AP225" s="954"/>
      <c r="AQ225" s="954"/>
      <c r="AR225" s="954"/>
      <c r="AS225" s="954"/>
      <c r="AT225" s="940"/>
      <c r="AU225" s="1265"/>
      <c r="AV225" s="1265"/>
      <c r="AW225" s="1265"/>
      <c r="AX225" s="1265"/>
      <c r="AY225" s="1265"/>
      <c r="AZ225" s="1265"/>
      <c r="BA225" s="1265"/>
      <c r="BB225" s="1265"/>
      <c r="BC225" s="1265"/>
      <c r="BD225" s="1265"/>
      <c r="BE225" s="1265"/>
    </row>
    <row r="226" spans="1:57" ht="13.5" hidden="1" customHeight="1">
      <c r="A226" s="1318" t="s">
        <v>1064</v>
      </c>
      <c r="B226" s="1315"/>
      <c r="C226" s="1319"/>
      <c r="D226" s="1312">
        <v>8</v>
      </c>
      <c r="E226" s="1312"/>
      <c r="F226" s="1312"/>
      <c r="G226" s="1315"/>
      <c r="H226" s="1319"/>
      <c r="I226" s="1312">
        <v>8</v>
      </c>
      <c r="J226" s="1312"/>
      <c r="K226" s="1312"/>
      <c r="L226" s="1315">
        <v>0.45833333333333331</v>
      </c>
      <c r="M226" s="1319">
        <v>0.29166666666666669</v>
      </c>
      <c r="N226" s="1312">
        <v>8</v>
      </c>
      <c r="O226" s="1312"/>
      <c r="P226" s="1312"/>
      <c r="Q226" s="1332">
        <v>0.45833333333333331</v>
      </c>
      <c r="R226" s="1332">
        <v>0.29166666666666669</v>
      </c>
      <c r="S226" s="1312">
        <v>8</v>
      </c>
      <c r="T226" s="1312"/>
      <c r="U226" s="1312"/>
      <c r="V226" s="1315">
        <v>0.45833333333333331</v>
      </c>
      <c r="W226" s="1319">
        <v>0.29166666666666669</v>
      </c>
      <c r="X226" s="1312">
        <v>8</v>
      </c>
      <c r="Y226" s="1312"/>
      <c r="Z226" s="1314">
        <f t="shared" si="57"/>
        <v>40</v>
      </c>
      <c r="AA226" s="1316">
        <f t="shared" si="53"/>
        <v>0</v>
      </c>
      <c r="AB226" s="1310"/>
      <c r="AC226" s="1315"/>
      <c r="AD226" s="1319"/>
      <c r="AE226" s="1312"/>
      <c r="AF226" s="1315"/>
      <c r="AG226" s="1319"/>
      <c r="AH226" s="1312"/>
      <c r="AI226" s="1315"/>
      <c r="AJ226" s="1314">
        <f t="shared" si="54"/>
        <v>0</v>
      </c>
      <c r="AK226" s="941"/>
      <c r="AL226" s="943"/>
      <c r="AM226" s="940"/>
      <c r="AN226" s="954"/>
      <c r="AO226" s="954"/>
      <c r="AP226" s="954"/>
      <c r="AQ226" s="954"/>
      <c r="AR226" s="954"/>
      <c r="AS226" s="954"/>
      <c r="AT226" s="940"/>
      <c r="AU226" s="1265"/>
      <c r="AV226" s="1265"/>
      <c r="AW226" s="1265"/>
      <c r="AX226" s="1265"/>
      <c r="AY226" s="1265"/>
      <c r="AZ226" s="1265"/>
      <c r="BA226" s="1265"/>
      <c r="BB226" s="1265"/>
      <c r="BC226" s="1265"/>
      <c r="BD226" s="1265"/>
      <c r="BE226" s="1265"/>
    </row>
    <row r="227" spans="1:57" ht="13.5" hidden="1" customHeight="1">
      <c r="A227" s="1318" t="s">
        <v>1144</v>
      </c>
      <c r="B227" s="1315"/>
      <c r="C227" s="1319"/>
      <c r="D227" s="1312">
        <v>8</v>
      </c>
      <c r="E227" s="1312"/>
      <c r="F227" s="1312"/>
      <c r="G227" s="1315"/>
      <c r="H227" s="1319"/>
      <c r="I227" s="1312">
        <v>8</v>
      </c>
      <c r="J227" s="1312"/>
      <c r="K227" s="1312"/>
      <c r="L227" s="1315">
        <v>0.45833333333333331</v>
      </c>
      <c r="M227" s="1319">
        <v>0.29166666666666669</v>
      </c>
      <c r="N227" s="1312">
        <v>8</v>
      </c>
      <c r="O227" s="1312"/>
      <c r="P227" s="1312"/>
      <c r="Q227" s="1315">
        <v>0.45833333333333331</v>
      </c>
      <c r="R227" s="1332">
        <v>0.29166666666666669</v>
      </c>
      <c r="S227" s="1312">
        <v>8</v>
      </c>
      <c r="T227" s="1312"/>
      <c r="U227" s="1312"/>
      <c r="V227" s="1315">
        <v>0.45833333333333331</v>
      </c>
      <c r="W227" s="1319">
        <v>0.29166666666666669</v>
      </c>
      <c r="X227" s="1312">
        <v>8</v>
      </c>
      <c r="Y227" s="1312"/>
      <c r="Z227" s="1314">
        <f>D227+I228+N227+S227+X227</f>
        <v>40</v>
      </c>
      <c r="AA227" s="1316">
        <f t="shared" si="53"/>
        <v>0</v>
      </c>
      <c r="AB227" s="1310"/>
      <c r="AC227" s="1315"/>
      <c r="AD227" s="1319"/>
      <c r="AE227" s="1312"/>
      <c r="AF227" s="1315"/>
      <c r="AG227" s="1319"/>
      <c r="AH227" s="1312"/>
      <c r="AI227" s="1315"/>
      <c r="AJ227" s="1314">
        <f t="shared" si="54"/>
        <v>0</v>
      </c>
      <c r="AK227" s="941"/>
      <c r="AL227" s="943"/>
      <c r="AM227" s="940"/>
      <c r="AN227" s="954"/>
      <c r="AO227" s="954"/>
      <c r="AP227" s="954"/>
      <c r="AQ227" s="954"/>
      <c r="AR227" s="954"/>
      <c r="AS227" s="954"/>
      <c r="AT227" s="940"/>
      <c r="AU227" s="1265"/>
      <c r="AV227" s="1265"/>
      <c r="AW227" s="1265"/>
      <c r="AX227" s="1265"/>
      <c r="AY227" s="1265"/>
      <c r="AZ227" s="1265"/>
      <c r="BA227" s="1265"/>
      <c r="BB227" s="1265"/>
      <c r="BC227" s="1265"/>
      <c r="BD227" s="1265"/>
      <c r="BE227" s="1265"/>
    </row>
    <row r="228" spans="1:57" ht="13.5" hidden="1" customHeight="1" thickBot="1">
      <c r="A228" s="1320" t="s">
        <v>1433</v>
      </c>
      <c r="B228" s="1321"/>
      <c r="C228" s="1322"/>
      <c r="D228" s="1323">
        <v>8</v>
      </c>
      <c r="E228" s="1323"/>
      <c r="F228" s="1323"/>
      <c r="G228" s="1321"/>
      <c r="H228" s="1322"/>
      <c r="I228" s="1323">
        <v>8</v>
      </c>
      <c r="J228" s="1323"/>
      <c r="K228" s="1323"/>
      <c r="L228" s="1321">
        <v>0.45833333333333331</v>
      </c>
      <c r="M228" s="1322">
        <v>6.25E-2</v>
      </c>
      <c r="N228" s="1323">
        <v>8</v>
      </c>
      <c r="O228" s="1323"/>
      <c r="P228" s="1323"/>
      <c r="Q228" s="1321">
        <v>0.45833333333333331</v>
      </c>
      <c r="R228" s="1333">
        <v>0.29166666666666669</v>
      </c>
      <c r="S228" s="1323">
        <v>8</v>
      </c>
      <c r="T228" s="1323"/>
      <c r="U228" s="1323"/>
      <c r="V228" s="1321">
        <v>0.45833333333333331</v>
      </c>
      <c r="W228" s="1333">
        <v>0.29166666666666669</v>
      </c>
      <c r="X228" s="1323">
        <v>8</v>
      </c>
      <c r="Y228" s="1323"/>
      <c r="Z228" s="1324">
        <f>D228+I228+N228+S228+X228</f>
        <v>40</v>
      </c>
      <c r="AA228" s="1325">
        <f t="shared" si="53"/>
        <v>0</v>
      </c>
      <c r="AB228" s="1326"/>
      <c r="AC228" s="1321"/>
      <c r="AD228" s="1321"/>
      <c r="AE228" s="1323"/>
      <c r="AF228" s="1321"/>
      <c r="AG228" s="1322"/>
      <c r="AH228" s="1323"/>
      <c r="AI228" s="1321"/>
      <c r="AJ228" s="1324">
        <f t="shared" si="54"/>
        <v>0</v>
      </c>
      <c r="AK228" s="941"/>
      <c r="AL228" s="943"/>
      <c r="AM228" s="940"/>
      <c r="AN228" s="954"/>
      <c r="AO228" s="954"/>
      <c r="AP228" s="954"/>
      <c r="AQ228" s="954"/>
      <c r="AR228" s="954"/>
      <c r="AS228" s="954"/>
      <c r="AT228" s="940"/>
      <c r="AU228" s="1265"/>
      <c r="AV228" s="1265"/>
      <c r="AW228" s="1265"/>
      <c r="AX228" s="1265"/>
      <c r="AY228" s="1265"/>
      <c r="AZ228" s="1265"/>
      <c r="BA228" s="1265"/>
      <c r="BB228" s="1265"/>
      <c r="BC228" s="1265"/>
      <c r="BD228" s="1265"/>
      <c r="BE228" s="1265"/>
    </row>
    <row r="229" spans="1:57" ht="13.5" hidden="1" customHeight="1" thickTop="1">
      <c r="A229" s="1327" t="s">
        <v>61</v>
      </c>
      <c r="B229" s="1327"/>
      <c r="C229" s="1327"/>
      <c r="D229" s="1328">
        <f>SUM(D205:D223)</f>
        <v>87</v>
      </c>
      <c r="E229" s="1312">
        <f>SUM(E206:E223)</f>
        <v>0</v>
      </c>
      <c r="F229" s="1327"/>
      <c r="G229" s="1327"/>
      <c r="H229" s="1327"/>
      <c r="I229" s="1328">
        <f>SUM(I205:I223)</f>
        <v>87</v>
      </c>
      <c r="J229" s="1312">
        <f>SUM(J206:J223)</f>
        <v>0</v>
      </c>
      <c r="K229" s="1327"/>
      <c r="L229" s="1327"/>
      <c r="M229" s="1327"/>
      <c r="N229" s="1328">
        <f>SUM(N205:N223)</f>
        <v>121.75</v>
      </c>
      <c r="O229" s="1312">
        <f>SUM(O206:O223)</f>
        <v>1</v>
      </c>
      <c r="P229" s="1327"/>
      <c r="Q229" s="1327"/>
      <c r="R229" s="1327"/>
      <c r="S229" s="1328">
        <f>SUM(S205:S223)</f>
        <v>119</v>
      </c>
      <c r="T229" s="1312">
        <f>SUM(T206:T223)</f>
        <v>0</v>
      </c>
      <c r="U229" s="1327"/>
      <c r="V229" s="1327"/>
      <c r="W229" s="1327"/>
      <c r="X229" s="1328">
        <f>SUM(X205:X223)</f>
        <v>127</v>
      </c>
      <c r="Y229" s="1312">
        <f>SUM(Y206:Y223)</f>
        <v>0</v>
      </c>
      <c r="Z229" s="1314">
        <f>SUM(Z205:Z223)</f>
        <v>541.75</v>
      </c>
      <c r="AA229" s="1314">
        <f>SUM(AA205:AA223)</f>
        <v>1</v>
      </c>
      <c r="AB229" s="1310"/>
      <c r="AC229" s="1327"/>
      <c r="AD229" s="1327"/>
      <c r="AE229" s="1314">
        <f>SUM(AE205:AE227)</f>
        <v>19</v>
      </c>
      <c r="AF229" s="1310"/>
      <c r="AG229" s="1327"/>
      <c r="AH229" s="1327"/>
      <c r="AI229" s="1314">
        <f>SUM(AI205:AI227)</f>
        <v>6.5</v>
      </c>
      <c r="AJ229" s="1314">
        <f>SUM(AJ205:AJ223)</f>
        <v>25.5</v>
      </c>
      <c r="AK229" s="941"/>
      <c r="AL229" s="943"/>
      <c r="AM229" s="940"/>
      <c r="AN229" s="954"/>
      <c r="AO229" s="954"/>
      <c r="AP229" s="954"/>
      <c r="AQ229" s="954"/>
      <c r="AR229" s="954"/>
      <c r="AS229" s="954"/>
      <c r="AT229" s="940"/>
      <c r="AU229" s="1265"/>
      <c r="AV229" s="1265"/>
      <c r="AW229" s="1265"/>
      <c r="AX229" s="1265"/>
      <c r="AY229" s="1265"/>
      <c r="AZ229" s="1265"/>
      <c r="BA229" s="1265"/>
      <c r="BB229" s="1265"/>
      <c r="BC229" s="1265"/>
      <c r="BD229" s="1265"/>
      <c r="BE229" s="1265"/>
    </row>
    <row r="230" spans="1:57" ht="13.5" hidden="1" customHeight="1">
      <c r="A230" s="1313" t="s">
        <v>1434</v>
      </c>
      <c r="B230" s="1327"/>
      <c r="C230" s="1327"/>
      <c r="D230" s="1328">
        <f>SUM(D224:D228)</f>
        <v>32</v>
      </c>
      <c r="E230" s="1312"/>
      <c r="F230" s="1327"/>
      <c r="G230" s="1327"/>
      <c r="H230" s="1327"/>
      <c r="I230" s="1328">
        <f>SUM(I224:I228)</f>
        <v>32</v>
      </c>
      <c r="J230" s="1312"/>
      <c r="K230" s="1327"/>
      <c r="L230" s="1327"/>
      <c r="M230" s="1327"/>
      <c r="N230" s="1328">
        <f>SUM(N224:N228)</f>
        <v>32</v>
      </c>
      <c r="O230" s="1312"/>
      <c r="P230" s="1327"/>
      <c r="Q230" s="1327"/>
      <c r="R230" s="1327"/>
      <c r="S230" s="1328">
        <f>SUM(S224:S228)</f>
        <v>32</v>
      </c>
      <c r="T230" s="1312"/>
      <c r="U230" s="1327"/>
      <c r="V230" s="1327"/>
      <c r="W230" s="1327"/>
      <c r="X230" s="1328">
        <f>SUM(X224:X228)</f>
        <v>32</v>
      </c>
      <c r="Y230" s="1312"/>
      <c r="Z230" s="1314">
        <f>SUM(Z224:Z228)</f>
        <v>160</v>
      </c>
      <c r="AA230" s="1314">
        <f>SUM(AA224:AA228)</f>
        <v>0</v>
      </c>
      <c r="AB230" s="1310"/>
      <c r="AC230" s="1327"/>
      <c r="AD230" s="1327"/>
      <c r="AE230" s="1314">
        <f>SUM(AE224:AE228)</f>
        <v>0</v>
      </c>
      <c r="AF230" s="1310"/>
      <c r="AG230" s="1327"/>
      <c r="AH230" s="1327"/>
      <c r="AI230" s="1314">
        <f>SUM(AI224:AI228)</f>
        <v>0</v>
      </c>
      <c r="AJ230" s="1314">
        <f>SUM(AE230+AI230)</f>
        <v>0</v>
      </c>
      <c r="AK230" s="941"/>
      <c r="AL230" s="943"/>
      <c r="AM230" s="940"/>
      <c r="AN230" s="954"/>
      <c r="AO230" s="954"/>
      <c r="AP230" s="954"/>
      <c r="AQ230" s="954"/>
      <c r="AR230" s="954"/>
      <c r="AS230" s="954"/>
      <c r="AT230" s="940"/>
      <c r="AU230" s="1265"/>
      <c r="AV230" s="1265"/>
      <c r="AW230" s="1265"/>
      <c r="AX230" s="1265"/>
      <c r="AY230" s="1265"/>
      <c r="AZ230" s="1265"/>
      <c r="BA230" s="1265"/>
      <c r="BB230" s="1265"/>
      <c r="BC230" s="1265"/>
      <c r="BD230" s="1265"/>
      <c r="BE230" s="1265"/>
    </row>
    <row r="231" spans="1:57" ht="13.5" hidden="1" customHeight="1">
      <c r="A231" s="1327" t="s">
        <v>64</v>
      </c>
      <c r="B231" s="1315"/>
      <c r="C231" s="1315"/>
      <c r="D231" s="1312">
        <v>8</v>
      </c>
      <c r="E231" s="1312"/>
      <c r="F231" s="1312"/>
      <c r="G231" s="1315"/>
      <c r="H231" s="1315"/>
      <c r="I231" s="1312">
        <v>8</v>
      </c>
      <c r="J231" s="1312"/>
      <c r="K231" s="1312"/>
      <c r="L231" s="1315"/>
      <c r="M231" s="1315"/>
      <c r="N231" s="1312">
        <v>8</v>
      </c>
      <c r="O231" s="1312"/>
      <c r="P231" s="1312"/>
      <c r="Q231" s="1315"/>
      <c r="R231" s="1315"/>
      <c r="S231" s="1312">
        <v>8</v>
      </c>
      <c r="T231" s="1312"/>
      <c r="U231" s="1312"/>
      <c r="V231" s="1315"/>
      <c r="W231" s="1315"/>
      <c r="X231" s="1312">
        <v>8</v>
      </c>
      <c r="Y231" s="1312">
        <v>0.5</v>
      </c>
      <c r="Z231" s="1314">
        <f>D231+I231+N231+S231+X231</f>
        <v>40</v>
      </c>
      <c r="AA231" s="1312">
        <f>E231+J231+O231+T231+Y231</f>
        <v>0.5</v>
      </c>
      <c r="AB231" s="1310"/>
      <c r="AC231" s="1315"/>
      <c r="AD231" s="1315"/>
      <c r="AE231" s="1312">
        <f>2+1+1+1</f>
        <v>5</v>
      </c>
      <c r="AF231" s="1310"/>
      <c r="AG231" s="1315"/>
      <c r="AH231" s="1315"/>
      <c r="AI231" s="1312">
        <f>1+1+1</f>
        <v>3</v>
      </c>
      <c r="AJ231" s="1314">
        <f>AE231+AI231</f>
        <v>8</v>
      </c>
      <c r="AK231" s="941"/>
      <c r="AL231" s="943"/>
      <c r="AM231" s="940"/>
      <c r="AN231" s="954"/>
      <c r="AO231" s="954"/>
      <c r="AP231" s="954"/>
      <c r="AQ231" s="954"/>
      <c r="AR231" s="954"/>
      <c r="AS231" s="954"/>
      <c r="AT231" s="940"/>
      <c r="AU231" s="1265"/>
      <c r="AV231" s="1265"/>
      <c r="AW231" s="1265"/>
      <c r="AX231" s="1265"/>
      <c r="AY231" s="1265"/>
      <c r="AZ231" s="1265"/>
      <c r="BA231" s="1265"/>
      <c r="BB231" s="1265"/>
      <c r="BC231" s="1265"/>
      <c r="BD231" s="1265"/>
      <c r="BE231" s="1265"/>
    </row>
    <row r="232" spans="1:57" ht="13.5" hidden="1" customHeight="1">
      <c r="A232" s="940"/>
      <c r="B232" s="940"/>
      <c r="C232" s="940"/>
      <c r="D232" s="941"/>
      <c r="E232" s="942"/>
      <c r="F232" s="941"/>
      <c r="G232" s="940"/>
      <c r="H232" s="940"/>
      <c r="I232" s="941"/>
      <c r="J232" s="942"/>
      <c r="K232" s="941"/>
      <c r="L232" s="940"/>
      <c r="M232" s="940"/>
      <c r="N232" s="941"/>
      <c r="O232" s="942"/>
      <c r="P232" s="941"/>
      <c r="Q232" s="940"/>
      <c r="R232" s="940"/>
      <c r="S232" s="941"/>
      <c r="T232" s="942"/>
      <c r="U232" s="941"/>
      <c r="V232" s="940"/>
      <c r="W232" s="940"/>
      <c r="X232" s="941"/>
      <c r="Y232" s="942"/>
      <c r="Z232" s="941"/>
      <c r="AA232" s="941"/>
      <c r="AB232" s="941"/>
      <c r="AC232" s="940"/>
      <c r="AD232" s="940"/>
      <c r="AE232" s="940"/>
      <c r="AF232" s="941"/>
      <c r="AG232" s="940"/>
      <c r="AH232" s="940"/>
      <c r="AI232" s="940"/>
      <c r="AJ232" s="940"/>
      <c r="AK232" s="941"/>
      <c r="AL232" s="943"/>
      <c r="AM232" s="940"/>
      <c r="AN232" s="940"/>
      <c r="AO232" s="940"/>
      <c r="AP232" s="940"/>
      <c r="AQ232" s="940"/>
      <c r="AR232" s="940"/>
      <c r="AS232" s="940"/>
      <c r="AT232" s="940"/>
      <c r="AU232" s="1265"/>
      <c r="AV232" s="1265"/>
      <c r="AW232" s="1265"/>
      <c r="AX232" s="1265"/>
      <c r="AY232" s="1265"/>
      <c r="AZ232" s="1265"/>
      <c r="BA232" s="1265"/>
      <c r="BB232" s="1265"/>
      <c r="BC232" s="1265"/>
      <c r="BD232" s="1265"/>
      <c r="BE232" s="1265"/>
    </row>
    <row r="233" spans="1:57" ht="13.5" hidden="1" customHeight="1">
      <c r="A233" s="974"/>
      <c r="B233" s="975"/>
      <c r="C233" s="975"/>
      <c r="D233" s="976"/>
      <c r="E233" s="976"/>
      <c r="F233" s="975"/>
      <c r="G233" s="976"/>
      <c r="H233" s="976"/>
      <c r="I233" s="976"/>
      <c r="J233" s="976"/>
      <c r="K233" s="975"/>
      <c r="L233" s="975"/>
      <c r="M233" s="975"/>
      <c r="N233" s="975"/>
      <c r="O233" s="976"/>
      <c r="P233" s="975"/>
      <c r="Q233" s="975"/>
      <c r="R233" s="975"/>
      <c r="S233" s="975"/>
      <c r="T233" s="976"/>
      <c r="U233" s="975"/>
      <c r="V233" s="975"/>
      <c r="W233" s="975"/>
      <c r="X233" s="977"/>
      <c r="Y233" s="976"/>
      <c r="Z233" s="978"/>
      <c r="AA233" s="976"/>
      <c r="AB233" s="979"/>
      <c r="AC233" s="980"/>
      <c r="AD233" s="943"/>
      <c r="AE233" s="943"/>
      <c r="AF233" s="979"/>
      <c r="AG233" s="980"/>
      <c r="AH233" s="943"/>
      <c r="AI233" s="943"/>
      <c r="AJ233" s="943"/>
      <c r="AK233" s="941"/>
      <c r="AL233" s="943"/>
      <c r="AM233" s="940"/>
      <c r="AN233" s="943"/>
      <c r="AO233" s="943"/>
      <c r="AP233" s="943"/>
      <c r="AQ233" s="943"/>
      <c r="AR233" s="943"/>
      <c r="AS233" s="943"/>
      <c r="AT233" s="940"/>
      <c r="AU233" s="1265"/>
      <c r="AV233" s="1265"/>
      <c r="AW233" s="1265"/>
      <c r="AX233" s="1265"/>
      <c r="AY233" s="1265"/>
      <c r="AZ233" s="1265"/>
      <c r="BA233" s="1265"/>
      <c r="BB233" s="1265"/>
      <c r="BC233" s="1265"/>
      <c r="BD233" s="1265"/>
      <c r="BE233" s="1265"/>
    </row>
    <row r="234" spans="1:57" ht="13.5" hidden="1" customHeight="1">
      <c r="A234" s="940"/>
      <c r="B234" s="940"/>
      <c r="C234" s="940"/>
      <c r="D234" s="941"/>
      <c r="E234" s="942"/>
      <c r="F234" s="941"/>
      <c r="G234" s="940"/>
      <c r="H234" s="940"/>
      <c r="I234" s="941"/>
      <c r="J234" s="942"/>
      <c r="K234" s="941"/>
      <c r="L234" s="940"/>
      <c r="M234" s="940"/>
      <c r="N234" s="941"/>
      <c r="O234" s="942"/>
      <c r="P234" s="941"/>
      <c r="Q234" s="940"/>
      <c r="R234" s="940"/>
      <c r="S234" s="941"/>
      <c r="T234" s="942"/>
      <c r="U234" s="941"/>
      <c r="V234" s="940"/>
      <c r="W234" s="940"/>
      <c r="X234" s="941"/>
      <c r="Y234" s="942"/>
      <c r="Z234" s="941"/>
      <c r="AA234" s="941"/>
      <c r="AB234" s="941"/>
      <c r="AC234" s="940"/>
      <c r="AD234" s="940"/>
      <c r="AE234" s="940"/>
      <c r="AF234" s="941"/>
      <c r="AG234" s="940"/>
      <c r="AH234" s="940"/>
      <c r="AI234" s="940"/>
      <c r="AJ234" s="940"/>
      <c r="AK234" s="941"/>
      <c r="AL234" s="943"/>
      <c r="AM234" s="940"/>
      <c r="AN234" s="954"/>
      <c r="AO234" s="954"/>
      <c r="AP234" s="954"/>
      <c r="AQ234" s="954"/>
      <c r="AR234" s="954"/>
      <c r="AS234" s="954"/>
      <c r="AT234" s="940"/>
      <c r="AU234" s="1265"/>
      <c r="AV234" s="1265"/>
      <c r="AW234" s="1265"/>
      <c r="AX234" s="1265"/>
      <c r="AY234" s="1265"/>
      <c r="AZ234" s="1265"/>
      <c r="BA234" s="1265"/>
      <c r="BB234" s="1265"/>
      <c r="BC234" s="1265"/>
      <c r="BD234" s="1265"/>
      <c r="BE234" s="1265"/>
    </row>
    <row r="235" spans="1:57" ht="13.5" hidden="1" customHeight="1">
      <c r="A235" s="1615" t="s">
        <v>18</v>
      </c>
      <c r="B235" s="1616">
        <v>46083</v>
      </c>
      <c r="C235" s="1616"/>
      <c r="D235" s="1616" t="s">
        <v>564</v>
      </c>
      <c r="E235" s="1616"/>
      <c r="F235" s="1308"/>
      <c r="G235" s="1616">
        <v>46084</v>
      </c>
      <c r="H235" s="1616"/>
      <c r="I235" s="1616" t="s">
        <v>565</v>
      </c>
      <c r="J235" s="1616"/>
      <c r="K235" s="1308"/>
      <c r="L235" s="1616">
        <v>46085</v>
      </c>
      <c r="M235" s="1616"/>
      <c r="N235" s="1616" t="s">
        <v>566</v>
      </c>
      <c r="O235" s="1616"/>
      <c r="P235" s="1308"/>
      <c r="Q235" s="1616">
        <v>46086</v>
      </c>
      <c r="R235" s="1616"/>
      <c r="S235" s="1616" t="s">
        <v>567</v>
      </c>
      <c r="T235" s="1616"/>
      <c r="U235" s="1308"/>
      <c r="V235" s="1616">
        <v>46087</v>
      </c>
      <c r="W235" s="1616"/>
      <c r="X235" s="1616" t="s">
        <v>568</v>
      </c>
      <c r="Y235" s="1616"/>
      <c r="Z235" s="1617" t="s">
        <v>19</v>
      </c>
      <c r="AA235" s="1617" t="s">
        <v>20</v>
      </c>
      <c r="AB235" s="1310"/>
      <c r="AC235" s="1616">
        <v>46088</v>
      </c>
      <c r="AD235" s="1616"/>
      <c r="AE235" s="1311" t="s">
        <v>569</v>
      </c>
      <c r="AF235" s="1310"/>
      <c r="AG235" s="1616">
        <v>46089</v>
      </c>
      <c r="AH235" s="1616"/>
      <c r="AI235" s="1311" t="s">
        <v>570</v>
      </c>
      <c r="AJ235" s="1617" t="s">
        <v>1420</v>
      </c>
      <c r="AK235" s="941"/>
      <c r="AL235" s="943"/>
      <c r="AM235" s="940"/>
      <c r="AN235" s="985" t="s">
        <v>84</v>
      </c>
      <c r="AO235" s="986"/>
      <c r="AP235" s="986"/>
      <c r="AQ235" s="986"/>
      <c r="AR235" s="986"/>
      <c r="AS235" s="986"/>
      <c r="AT235" s="940"/>
      <c r="AU235" s="1265"/>
      <c r="AV235" s="1265"/>
      <c r="AW235" s="1265"/>
      <c r="AX235" s="1265"/>
      <c r="AY235" s="1265"/>
      <c r="AZ235" s="1265"/>
      <c r="BA235" s="1265"/>
      <c r="BB235" s="1265"/>
      <c r="BC235" s="1265"/>
      <c r="BD235" s="1265"/>
      <c r="BE235" s="1265"/>
    </row>
    <row r="236" spans="1:57" ht="13.5" hidden="1" customHeight="1">
      <c r="A236" s="1615"/>
      <c r="B236" s="1309" t="s">
        <v>23</v>
      </c>
      <c r="C236" s="1309" t="s">
        <v>24</v>
      </c>
      <c r="D236" s="1312" t="s">
        <v>25</v>
      </c>
      <c r="E236" s="1313" t="s">
        <v>14</v>
      </c>
      <c r="F236" s="1310"/>
      <c r="G236" s="1309" t="s">
        <v>23</v>
      </c>
      <c r="H236" s="1309" t="s">
        <v>24</v>
      </c>
      <c r="I236" s="1313" t="s">
        <v>25</v>
      </c>
      <c r="J236" s="1313" t="s">
        <v>14</v>
      </c>
      <c r="K236" s="1310"/>
      <c r="L236" s="1309" t="s">
        <v>23</v>
      </c>
      <c r="M236" s="1309" t="s">
        <v>24</v>
      </c>
      <c r="N236" s="1313" t="s">
        <v>25</v>
      </c>
      <c r="O236" s="1313" t="s">
        <v>14</v>
      </c>
      <c r="P236" s="1310"/>
      <c r="Q236" s="1309" t="s">
        <v>23</v>
      </c>
      <c r="R236" s="1309" t="s">
        <v>24</v>
      </c>
      <c r="S236" s="1313" t="s">
        <v>25</v>
      </c>
      <c r="T236" s="1313" t="s">
        <v>14</v>
      </c>
      <c r="U236" s="1310"/>
      <c r="V236" s="1309" t="s">
        <v>23</v>
      </c>
      <c r="W236" s="1309" t="s">
        <v>24</v>
      </c>
      <c r="X236" s="1313" t="s">
        <v>25</v>
      </c>
      <c r="Y236" s="1313" t="s">
        <v>14</v>
      </c>
      <c r="Z236" s="1617"/>
      <c r="AA236" s="1617"/>
      <c r="AB236" s="1310"/>
      <c r="AC236" s="1309" t="s">
        <v>23</v>
      </c>
      <c r="AD236" s="1309" t="s">
        <v>24</v>
      </c>
      <c r="AE236" s="1313" t="s">
        <v>25</v>
      </c>
      <c r="AF236" s="1310"/>
      <c r="AG236" s="1309" t="s">
        <v>23</v>
      </c>
      <c r="AH236" s="1309" t="s">
        <v>24</v>
      </c>
      <c r="AI236" s="1313" t="s">
        <v>25</v>
      </c>
      <c r="AJ236" s="1617"/>
      <c r="AK236" s="941"/>
      <c r="AL236" s="943"/>
      <c r="AM236" s="940"/>
      <c r="AN236" s="992" t="s">
        <v>26</v>
      </c>
      <c r="AO236" s="1005">
        <f>Z261</f>
        <v>630</v>
      </c>
      <c r="AP236" s="994">
        <v>40.31</v>
      </c>
      <c r="AQ236" s="994">
        <f>AP236*AO236</f>
        <v>25395.300000000003</v>
      </c>
      <c r="AR236" s="954"/>
      <c r="AS236" s="954"/>
      <c r="AT236" s="940"/>
      <c r="AU236" s="1265"/>
      <c r="AV236" s="1265"/>
      <c r="AW236" s="1265"/>
      <c r="AX236" s="1265"/>
      <c r="AY236" s="1265"/>
      <c r="AZ236" s="1265"/>
      <c r="BA236" s="1265"/>
      <c r="BB236" s="1265"/>
      <c r="BC236" s="1265"/>
      <c r="BD236" s="1265"/>
      <c r="BE236" s="1265"/>
    </row>
    <row r="237" spans="1:57" ht="13.5" hidden="1" customHeight="1">
      <c r="A237" s="1315" t="s">
        <v>72</v>
      </c>
      <c r="B237" s="1315">
        <v>0.29166666666666669</v>
      </c>
      <c r="C237" s="1332">
        <v>0.125</v>
      </c>
      <c r="D237" s="1312">
        <v>8</v>
      </c>
      <c r="E237" s="1312"/>
      <c r="F237" s="1310"/>
      <c r="G237" s="1332">
        <v>0.29166666666666669</v>
      </c>
      <c r="H237" s="1315">
        <v>0.125</v>
      </c>
      <c r="I237" s="1312">
        <v>8</v>
      </c>
      <c r="J237" s="1312"/>
      <c r="K237" s="1310"/>
      <c r="L237" s="1315">
        <v>0.29166666666666669</v>
      </c>
      <c r="M237" s="1315">
        <v>0.125</v>
      </c>
      <c r="N237" s="1312">
        <v>8</v>
      </c>
      <c r="O237" s="1312"/>
      <c r="P237" s="1310"/>
      <c r="Q237" s="1315">
        <v>0.29166666666666669</v>
      </c>
      <c r="R237" s="1315">
        <v>0.125</v>
      </c>
      <c r="S237" s="1312">
        <v>8</v>
      </c>
      <c r="T237" s="1312"/>
      <c r="U237" s="1310"/>
      <c r="V237" s="1315">
        <v>0.29166666666666669</v>
      </c>
      <c r="W237" s="1315">
        <v>0.125</v>
      </c>
      <c r="X237" s="1312">
        <v>8</v>
      </c>
      <c r="Y237" s="1312"/>
      <c r="Z237" s="1314">
        <f>D237+I237+N237+S237+X237</f>
        <v>40</v>
      </c>
      <c r="AA237" s="1316">
        <f>E237+J237+O237+T237+Y237</f>
        <v>0</v>
      </c>
      <c r="AB237" s="1310"/>
      <c r="AC237" s="1317"/>
      <c r="AD237" s="1317"/>
      <c r="AE237" s="1312"/>
      <c r="AF237" s="1310"/>
      <c r="AG237" s="1317"/>
      <c r="AH237" s="1317"/>
      <c r="AI237" s="1312"/>
      <c r="AJ237" s="1314">
        <f>SUM(AE237+AI237)</f>
        <v>0</v>
      </c>
      <c r="AK237" s="941"/>
      <c r="AL237" s="943"/>
      <c r="AM237" s="940"/>
      <c r="AN237" s="992" t="s">
        <v>1421</v>
      </c>
      <c r="AO237" s="1005">
        <f>Z262</f>
        <v>135.75</v>
      </c>
      <c r="AP237" s="994">
        <v>60.47</v>
      </c>
      <c r="AQ237" s="994">
        <f>AP237*AO237</f>
        <v>8208.8024999999998</v>
      </c>
      <c r="AR237" s="954"/>
      <c r="AS237" s="954"/>
      <c r="AT237" s="940"/>
      <c r="AU237" s="1265"/>
      <c r="AV237" s="1265"/>
      <c r="AW237" s="1265"/>
      <c r="AX237" s="1265"/>
      <c r="AY237" s="1265"/>
      <c r="AZ237" s="1265"/>
      <c r="BA237" s="1265"/>
      <c r="BB237" s="1265"/>
      <c r="BC237" s="1265"/>
      <c r="BD237" s="1265"/>
      <c r="BE237" s="1265"/>
    </row>
    <row r="238" spans="1:57" ht="13.5" hidden="1" customHeight="1">
      <c r="A238" s="1318" t="s">
        <v>1166</v>
      </c>
      <c r="B238" s="1315">
        <v>0.29166666666666669</v>
      </c>
      <c r="C238" s="1332">
        <v>0.125</v>
      </c>
      <c r="D238" s="1312">
        <v>8</v>
      </c>
      <c r="E238" s="1312"/>
      <c r="F238" s="1310"/>
      <c r="G238" s="1332">
        <v>0.29166666666666669</v>
      </c>
      <c r="H238" s="1315">
        <v>0.125</v>
      </c>
      <c r="I238" s="1312">
        <v>8</v>
      </c>
      <c r="J238" s="1312"/>
      <c r="K238" s="1310"/>
      <c r="L238" s="1315">
        <v>0.29166666666666669</v>
      </c>
      <c r="M238" s="1315">
        <v>0.125</v>
      </c>
      <c r="N238" s="1312">
        <v>8</v>
      </c>
      <c r="O238" s="1312"/>
      <c r="P238" s="1310"/>
      <c r="Q238" s="1315">
        <v>0.29166666666666669</v>
      </c>
      <c r="R238" s="1315">
        <v>0.125</v>
      </c>
      <c r="S238" s="1312">
        <v>8</v>
      </c>
      <c r="T238" s="1312"/>
      <c r="U238" s="1310"/>
      <c r="V238" s="1315">
        <v>0.29166666666666669</v>
      </c>
      <c r="W238" s="1315">
        <v>0.125</v>
      </c>
      <c r="X238" s="1312">
        <v>8</v>
      </c>
      <c r="Y238" s="1312"/>
      <c r="Z238" s="1314">
        <f t="shared" ref="Z238:Z246" si="58">D238+I238+N238+S238+X238</f>
        <v>40</v>
      </c>
      <c r="AA238" s="1316">
        <f t="shared" ref="AA238:AA260" si="59">E238+J238+O238+T238+Y238</f>
        <v>0</v>
      </c>
      <c r="AB238" s="1310"/>
      <c r="AC238" s="1315"/>
      <c r="AD238" s="1315"/>
      <c r="AE238" s="1312"/>
      <c r="AF238" s="1310"/>
      <c r="AG238" s="1315"/>
      <c r="AH238" s="1315"/>
      <c r="AI238" s="1312"/>
      <c r="AJ238" s="1314">
        <f t="shared" ref="AJ238:AJ260" si="60">SUM(AE238+AI238)</f>
        <v>0</v>
      </c>
      <c r="AK238" s="941"/>
      <c r="AL238" s="943"/>
      <c r="AM238" s="940"/>
      <c r="AN238" s="992" t="s">
        <v>30</v>
      </c>
      <c r="AO238" s="1005">
        <f>AA261</f>
        <v>10.5</v>
      </c>
      <c r="AP238" s="994">
        <v>60.465000000000003</v>
      </c>
      <c r="AQ238" s="994">
        <f>AP238*AO238</f>
        <v>634.88250000000005</v>
      </c>
      <c r="AR238" s="954"/>
      <c r="AS238" s="954"/>
      <c r="AT238" s="940"/>
      <c r="AU238" s="1265"/>
      <c r="AV238" s="1265"/>
      <c r="AW238" s="1265"/>
      <c r="AX238" s="1265"/>
      <c r="AY238" s="1265"/>
      <c r="AZ238" s="1265"/>
      <c r="BA238" s="1265"/>
      <c r="BB238" s="1265"/>
      <c r="BC238" s="1265"/>
      <c r="BD238" s="1265"/>
      <c r="BE238" s="1265"/>
    </row>
    <row r="239" spans="1:57" ht="13.5" hidden="1" customHeight="1">
      <c r="A239" s="1318" t="s">
        <v>1426</v>
      </c>
      <c r="B239" s="1315">
        <v>0.29166666666666669</v>
      </c>
      <c r="C239" s="1332">
        <v>0.125</v>
      </c>
      <c r="D239" s="1312">
        <v>8</v>
      </c>
      <c r="E239" s="1312"/>
      <c r="F239" s="1310"/>
      <c r="G239" s="1332">
        <v>0.29166666666666669</v>
      </c>
      <c r="H239" s="1315">
        <v>0.125</v>
      </c>
      <c r="I239" s="1312">
        <v>8</v>
      </c>
      <c r="J239" s="1312"/>
      <c r="K239" s="1310"/>
      <c r="L239" s="1315">
        <v>0.29166666666666669</v>
      </c>
      <c r="M239" s="1315">
        <v>0.125</v>
      </c>
      <c r="N239" s="1312">
        <v>8</v>
      </c>
      <c r="O239" s="1312"/>
      <c r="P239" s="1310"/>
      <c r="Q239" s="1315">
        <v>0.29166666666666669</v>
      </c>
      <c r="R239" s="1315">
        <v>0.125</v>
      </c>
      <c r="S239" s="1312">
        <v>8</v>
      </c>
      <c r="T239" s="1312"/>
      <c r="U239" s="1310"/>
      <c r="V239" s="1315">
        <v>0.29166666666666669</v>
      </c>
      <c r="W239" s="1315">
        <v>0.125</v>
      </c>
      <c r="X239" s="1312">
        <v>8</v>
      </c>
      <c r="Y239" s="1312"/>
      <c r="Z239" s="1314">
        <f t="shared" si="58"/>
        <v>40</v>
      </c>
      <c r="AA239" s="1316">
        <f t="shared" si="59"/>
        <v>0</v>
      </c>
      <c r="AB239" s="1310"/>
      <c r="AC239" s="1315"/>
      <c r="AD239" s="1315"/>
      <c r="AE239" s="1312"/>
      <c r="AF239" s="1310"/>
      <c r="AG239" s="1315"/>
      <c r="AH239" s="1315"/>
      <c r="AI239" s="1312"/>
      <c r="AJ239" s="1314">
        <f t="shared" si="60"/>
        <v>0</v>
      </c>
      <c r="AK239" s="941"/>
      <c r="AL239" s="943"/>
      <c r="AM239" s="940"/>
      <c r="AN239" s="992" t="s">
        <v>32</v>
      </c>
      <c r="AO239" s="1005">
        <f>AJ261</f>
        <v>19</v>
      </c>
      <c r="AP239" s="994">
        <v>60.465000000000003</v>
      </c>
      <c r="AQ239" s="994">
        <f>AP239*AO239</f>
        <v>1148.835</v>
      </c>
      <c r="AR239" s="954"/>
      <c r="AS239" s="954"/>
      <c r="AT239" s="940"/>
      <c r="AU239" s="1265"/>
      <c r="AV239" s="1265"/>
      <c r="AW239" s="1265"/>
      <c r="AX239" s="1265"/>
      <c r="AY239" s="1265"/>
      <c r="AZ239" s="1265"/>
      <c r="BA239" s="1265"/>
      <c r="BB239" s="1265"/>
      <c r="BC239" s="1265"/>
      <c r="BD239" s="1265"/>
      <c r="BE239" s="1265"/>
    </row>
    <row r="240" spans="1:57" ht="13.5" hidden="1" customHeight="1">
      <c r="A240" s="1318" t="s">
        <v>1060</v>
      </c>
      <c r="B240" s="1315">
        <v>0.29166666666666669</v>
      </c>
      <c r="C240" s="1332">
        <v>0.125</v>
      </c>
      <c r="D240" s="1312">
        <v>8</v>
      </c>
      <c r="E240" s="1312"/>
      <c r="F240" s="1310"/>
      <c r="G240" s="1332">
        <v>0.29166666666666669</v>
      </c>
      <c r="H240" s="1315">
        <v>0.125</v>
      </c>
      <c r="I240" s="1312">
        <v>8</v>
      </c>
      <c r="J240" s="1312"/>
      <c r="K240" s="1310"/>
      <c r="L240" s="1315">
        <v>0.29166666666666669</v>
      </c>
      <c r="M240" s="1315">
        <v>0.125</v>
      </c>
      <c r="N240" s="1312">
        <v>8</v>
      </c>
      <c r="O240" s="1312"/>
      <c r="P240" s="1310"/>
      <c r="Q240" s="1315">
        <v>0.29166666666666669</v>
      </c>
      <c r="R240" s="1315">
        <v>0.125</v>
      </c>
      <c r="S240" s="1312">
        <v>8</v>
      </c>
      <c r="T240" s="1312"/>
      <c r="U240" s="1310"/>
      <c r="V240" s="1315">
        <v>0.29166666666666669</v>
      </c>
      <c r="W240" s="1315">
        <v>0.125</v>
      </c>
      <c r="X240" s="1312">
        <v>8</v>
      </c>
      <c r="Y240" s="1312"/>
      <c r="Z240" s="1314">
        <f t="shared" si="58"/>
        <v>40</v>
      </c>
      <c r="AA240" s="1316">
        <f t="shared" si="59"/>
        <v>0</v>
      </c>
      <c r="AB240" s="1310"/>
      <c r="AC240" s="1315"/>
      <c r="AD240" s="1315"/>
      <c r="AE240" s="1312"/>
      <c r="AF240" s="1310"/>
      <c r="AG240" s="1315"/>
      <c r="AH240" s="1315"/>
      <c r="AI240" s="1312"/>
      <c r="AJ240" s="1314">
        <f t="shared" si="60"/>
        <v>0</v>
      </c>
      <c r="AK240" s="941"/>
      <c r="AL240" s="943"/>
      <c r="AM240" s="940"/>
      <c r="AN240" s="1260" t="s">
        <v>1475</v>
      </c>
      <c r="AO240" s="1261">
        <f>AA262+AJ262</f>
        <v>0</v>
      </c>
      <c r="AP240" s="1262">
        <f>(60.47*1.5)</f>
        <v>90.704999999999998</v>
      </c>
      <c r="AQ240" s="1262">
        <f t="shared" ref="AQ240" si="61">AP240*AO240</f>
        <v>0</v>
      </c>
      <c r="AR240" s="954"/>
      <c r="AS240" s="954"/>
      <c r="AT240" s="940"/>
      <c r="AU240" s="1265"/>
      <c r="AV240" s="1265"/>
      <c r="AW240" s="1265"/>
      <c r="AX240" s="1265"/>
      <c r="AY240" s="1265"/>
      <c r="AZ240" s="1265"/>
      <c r="BA240" s="1265"/>
      <c r="BB240" s="1265"/>
      <c r="BC240" s="1265"/>
      <c r="BD240" s="1265"/>
      <c r="BE240" s="1265"/>
    </row>
    <row r="241" spans="1:57" ht="13.5" hidden="1" customHeight="1">
      <c r="A241" s="1318" t="s">
        <v>1438</v>
      </c>
      <c r="B241" s="1315">
        <v>0.29166666666666669</v>
      </c>
      <c r="C241" s="1332">
        <v>0.125</v>
      </c>
      <c r="D241" s="1312">
        <v>8</v>
      </c>
      <c r="E241" s="1312"/>
      <c r="F241" s="1310"/>
      <c r="G241" s="1332">
        <v>0.29166666666666669</v>
      </c>
      <c r="H241" s="1315">
        <v>0.125</v>
      </c>
      <c r="I241" s="1312">
        <v>8</v>
      </c>
      <c r="J241" s="1312"/>
      <c r="K241" s="1310"/>
      <c r="L241" s="1315">
        <v>0.29166666666666669</v>
      </c>
      <c r="M241" s="1315">
        <v>0.125</v>
      </c>
      <c r="N241" s="1312">
        <v>8</v>
      </c>
      <c r="O241" s="1312"/>
      <c r="P241" s="1310"/>
      <c r="Q241" s="1315">
        <v>0.29166666666666669</v>
      </c>
      <c r="R241" s="1315"/>
      <c r="S241" s="1312">
        <v>7.5</v>
      </c>
      <c r="T241" s="1312"/>
      <c r="U241" s="1310"/>
      <c r="V241" s="1315">
        <v>0.29166666666666669</v>
      </c>
      <c r="W241" s="1315">
        <v>0.125</v>
      </c>
      <c r="X241" s="1312">
        <v>8</v>
      </c>
      <c r="Y241" s="1312"/>
      <c r="Z241" s="1314">
        <f t="shared" si="58"/>
        <v>39.5</v>
      </c>
      <c r="AA241" s="1316">
        <f t="shared" si="59"/>
        <v>0</v>
      </c>
      <c r="AB241" s="1310"/>
      <c r="AC241" s="1315"/>
      <c r="AD241" s="1315"/>
      <c r="AE241" s="1312"/>
      <c r="AF241" s="1310"/>
      <c r="AG241" s="1315"/>
      <c r="AH241" s="1315"/>
      <c r="AI241" s="1312"/>
      <c r="AJ241" s="1314">
        <f t="shared" si="60"/>
        <v>0</v>
      </c>
      <c r="AK241" s="941"/>
      <c r="AL241" s="943"/>
      <c r="AM241" s="940"/>
      <c r="AN241" s="992" t="s">
        <v>213</v>
      </c>
      <c r="AO241" s="1005">
        <f>Z263</f>
        <v>39.5</v>
      </c>
      <c r="AP241" s="994">
        <v>53.05</v>
      </c>
      <c r="AQ241" s="994">
        <f>AP241*AO241</f>
        <v>2095.4749999999999</v>
      </c>
      <c r="AR241" s="954"/>
      <c r="AS241" s="954"/>
      <c r="AT241" s="940"/>
      <c r="AU241" s="1265"/>
      <c r="AV241" s="1265"/>
      <c r="AW241" s="1265"/>
      <c r="AX241" s="1265"/>
      <c r="AY241" s="1265"/>
      <c r="AZ241" s="1265"/>
      <c r="BA241" s="1265"/>
      <c r="BB241" s="1265"/>
      <c r="BC241" s="1265"/>
      <c r="BD241" s="1265"/>
      <c r="BE241" s="1265"/>
    </row>
    <row r="242" spans="1:57" ht="13.5" hidden="1" customHeight="1">
      <c r="A242" s="1318" t="s">
        <v>1142</v>
      </c>
      <c r="B242" s="1332">
        <v>0.125</v>
      </c>
      <c r="C242" s="1332">
        <v>0.45833333333333331</v>
      </c>
      <c r="D242" s="1312">
        <v>8</v>
      </c>
      <c r="E242" s="1312"/>
      <c r="F242" s="1310"/>
      <c r="G242" s="1315">
        <v>0.125</v>
      </c>
      <c r="H242" s="1332">
        <v>0.45833333333333331</v>
      </c>
      <c r="I242" s="1312">
        <v>8</v>
      </c>
      <c r="J242" s="1312"/>
      <c r="K242" s="1312"/>
      <c r="L242" s="1315">
        <v>0.125</v>
      </c>
      <c r="M242" s="1315">
        <v>0.45833333333333331</v>
      </c>
      <c r="N242" s="1312">
        <v>8</v>
      </c>
      <c r="O242" s="1312"/>
      <c r="P242" s="1312"/>
      <c r="Q242" s="1315">
        <v>0.125</v>
      </c>
      <c r="R242" s="1315">
        <v>0.45833333333333331</v>
      </c>
      <c r="S242" s="1312">
        <v>8</v>
      </c>
      <c r="T242" s="1312"/>
      <c r="U242" s="1312"/>
      <c r="V242" s="1315">
        <v>0.125</v>
      </c>
      <c r="W242" s="1315">
        <v>0.45833333333333331</v>
      </c>
      <c r="X242" s="1312">
        <v>8</v>
      </c>
      <c r="Y242" s="1312"/>
      <c r="Z242" s="1314">
        <f t="shared" si="58"/>
        <v>40</v>
      </c>
      <c r="AA242" s="1316">
        <f t="shared" si="59"/>
        <v>0</v>
      </c>
      <c r="AB242" s="1310"/>
      <c r="AC242" s="1315"/>
      <c r="AD242" s="1315"/>
      <c r="AE242" s="1312"/>
      <c r="AF242" s="1310"/>
      <c r="AG242" s="1315"/>
      <c r="AH242" s="1315"/>
      <c r="AI242" s="1312"/>
      <c r="AJ242" s="1314">
        <f t="shared" si="60"/>
        <v>0</v>
      </c>
      <c r="AK242" s="941"/>
      <c r="AL242" s="943"/>
      <c r="AM242" s="940"/>
      <c r="AN242" s="992" t="s">
        <v>36</v>
      </c>
      <c r="AO242" s="1005">
        <f>AA263+AJ263</f>
        <v>6.5</v>
      </c>
      <c r="AP242" s="994">
        <f>53.05*1.5</f>
        <v>79.574999999999989</v>
      </c>
      <c r="AQ242" s="994">
        <f>AP242*AO242</f>
        <v>517.23749999999995</v>
      </c>
      <c r="AR242" s="954"/>
      <c r="AS242" s="954"/>
      <c r="AT242" s="940"/>
      <c r="AU242" s="1265"/>
      <c r="AV242" s="1265"/>
      <c r="AW242" s="1265"/>
      <c r="AX242" s="1265"/>
      <c r="AY242" s="1265"/>
      <c r="AZ242" s="1265"/>
      <c r="BA242" s="1265"/>
      <c r="BB242" s="1265"/>
      <c r="BC242" s="1265"/>
      <c r="BD242" s="1265"/>
      <c r="BE242" s="1265"/>
    </row>
    <row r="243" spans="1:57" ht="13.5" hidden="1" customHeight="1">
      <c r="A243" s="1318" t="s">
        <v>1447</v>
      </c>
      <c r="B243" s="1332">
        <v>0.125</v>
      </c>
      <c r="C243" s="1332">
        <v>0.45833333333333331</v>
      </c>
      <c r="D243" s="1312">
        <v>8</v>
      </c>
      <c r="E243" s="1312"/>
      <c r="F243" s="1310"/>
      <c r="G243" s="1315">
        <v>0.125</v>
      </c>
      <c r="H243" s="1332">
        <v>0.45833333333333331</v>
      </c>
      <c r="I243" s="1312">
        <v>8</v>
      </c>
      <c r="J243" s="1312"/>
      <c r="K243" s="1312"/>
      <c r="L243" s="1315">
        <v>0.125</v>
      </c>
      <c r="M243" s="1315">
        <v>0.45833333333333331</v>
      </c>
      <c r="N243" s="1312">
        <v>8</v>
      </c>
      <c r="O243" s="1312"/>
      <c r="P243" s="1312"/>
      <c r="Q243" s="1315">
        <v>0.125</v>
      </c>
      <c r="R243" s="1315">
        <v>0.45833333333333331</v>
      </c>
      <c r="S243" s="1312">
        <v>8</v>
      </c>
      <c r="T243" s="1312"/>
      <c r="U243" s="1312"/>
      <c r="V243" s="1315">
        <v>0.125</v>
      </c>
      <c r="W243" s="1315">
        <v>0.45833333333333331</v>
      </c>
      <c r="X243" s="1312">
        <v>8</v>
      </c>
      <c r="Y243" s="1312"/>
      <c r="Z243" s="1314">
        <f t="shared" si="58"/>
        <v>40</v>
      </c>
      <c r="AA243" s="1316">
        <f t="shared" si="59"/>
        <v>0</v>
      </c>
      <c r="AB243" s="1310"/>
      <c r="AC243" s="1315"/>
      <c r="AD243" s="1315"/>
      <c r="AE243" s="1312"/>
      <c r="AF243" s="1310"/>
      <c r="AG243" s="1315"/>
      <c r="AH243" s="1315"/>
      <c r="AI243" s="1312"/>
      <c r="AJ243" s="1314">
        <f t="shared" si="60"/>
        <v>0</v>
      </c>
      <c r="AK243" s="941"/>
      <c r="AL243" s="943"/>
      <c r="AM243" s="940"/>
      <c r="AN243" s="954"/>
      <c r="AO243" s="954"/>
      <c r="AP243" s="954"/>
      <c r="AQ243" s="1094">
        <f>SUM(AQ236:AQ242)</f>
        <v>38000.532500000001</v>
      </c>
      <c r="AR243" s="954"/>
      <c r="AS243" s="954"/>
      <c r="AT243" s="940"/>
      <c r="AU243" s="1265"/>
      <c r="AV243" s="1265"/>
      <c r="AW243" s="1265"/>
      <c r="AX243" s="1265"/>
      <c r="AY243" s="1265"/>
      <c r="AZ243" s="1265"/>
      <c r="BA243" s="1265"/>
      <c r="BB243" s="1265"/>
      <c r="BC243" s="1265"/>
      <c r="BD243" s="1265"/>
      <c r="BE243" s="1265"/>
    </row>
    <row r="244" spans="1:57" ht="13.5" hidden="1" customHeight="1">
      <c r="A244" s="1310" t="s">
        <v>327</v>
      </c>
      <c r="B244" s="1332">
        <v>0.125</v>
      </c>
      <c r="C244" s="1332">
        <v>0.45833333333333331</v>
      </c>
      <c r="D244" s="1312">
        <v>8</v>
      </c>
      <c r="E244" s="1312"/>
      <c r="F244" s="1312"/>
      <c r="G244" s="1315">
        <v>0.125</v>
      </c>
      <c r="H244" s="1332">
        <v>0.45833333333333331</v>
      </c>
      <c r="I244" s="1312">
        <v>8</v>
      </c>
      <c r="J244" s="1312"/>
      <c r="K244" s="1312"/>
      <c r="L244" s="1315">
        <v>0.125</v>
      </c>
      <c r="M244" s="1315">
        <v>0.29166666666666669</v>
      </c>
      <c r="N244" s="1312">
        <v>8</v>
      </c>
      <c r="O244" s="1312">
        <v>7</v>
      </c>
      <c r="P244" s="1312"/>
      <c r="Q244" s="1315">
        <v>0.125</v>
      </c>
      <c r="R244" s="1315">
        <v>0.52083333333333337</v>
      </c>
      <c r="S244" s="1312">
        <v>8</v>
      </c>
      <c r="T244" s="1312">
        <v>0.5</v>
      </c>
      <c r="U244" s="1312"/>
      <c r="V244" s="1315">
        <v>0.125</v>
      </c>
      <c r="W244" s="1315">
        <v>0.45833333333333331</v>
      </c>
      <c r="X244" s="1312">
        <v>8</v>
      </c>
      <c r="Y244" s="1312"/>
      <c r="Z244" s="1314">
        <f t="shared" si="58"/>
        <v>40</v>
      </c>
      <c r="AA244" s="1316">
        <f t="shared" si="59"/>
        <v>7.5</v>
      </c>
      <c r="AB244" s="1310"/>
      <c r="AC244" s="1315"/>
      <c r="AD244" s="1315"/>
      <c r="AE244" s="1312"/>
      <c r="AF244" s="1310"/>
      <c r="AG244" s="1315"/>
      <c r="AH244" s="1315"/>
      <c r="AI244" s="1312"/>
      <c r="AJ244" s="1314">
        <f t="shared" si="60"/>
        <v>0</v>
      </c>
      <c r="AK244" s="941"/>
      <c r="AL244" s="943"/>
      <c r="AM244" s="940"/>
      <c r="AN244" s="954"/>
      <c r="AO244" s="954"/>
      <c r="AP244" s="954"/>
      <c r="AQ244" s="954"/>
      <c r="AR244" s="954"/>
      <c r="AS244" s="954"/>
      <c r="AT244" s="940"/>
      <c r="AU244" s="1265"/>
      <c r="AV244" s="1265"/>
      <c r="AW244" s="1265"/>
      <c r="AX244" s="1265"/>
      <c r="AY244" s="1265"/>
      <c r="AZ244" s="1265"/>
      <c r="BA244" s="1265"/>
      <c r="BB244" s="1265"/>
      <c r="BC244" s="1265"/>
      <c r="BD244" s="1265"/>
      <c r="BE244" s="1265"/>
    </row>
    <row r="245" spans="1:57" ht="13.5" hidden="1" customHeight="1">
      <c r="A245" s="1310" t="s">
        <v>1436</v>
      </c>
      <c r="B245" s="1332">
        <v>0.125</v>
      </c>
      <c r="C245" s="1332">
        <v>0.45833333333333331</v>
      </c>
      <c r="D245" s="1312">
        <v>8</v>
      </c>
      <c r="E245" s="1312"/>
      <c r="F245" s="1312"/>
      <c r="G245" s="1315">
        <v>0.125</v>
      </c>
      <c r="H245" s="1332">
        <v>0.45833333333333331</v>
      </c>
      <c r="I245" s="1312">
        <v>8</v>
      </c>
      <c r="J245" s="1312"/>
      <c r="K245" s="1312"/>
      <c r="L245" s="1315">
        <v>0.125</v>
      </c>
      <c r="M245" s="1315">
        <v>0.45833333333333331</v>
      </c>
      <c r="N245" s="1312">
        <v>8</v>
      </c>
      <c r="O245" s="1312"/>
      <c r="P245" s="1312"/>
      <c r="Q245" s="1315">
        <v>0.125</v>
      </c>
      <c r="R245" s="1315">
        <v>0.45833333333333331</v>
      </c>
      <c r="S245" s="1312">
        <v>8</v>
      </c>
      <c r="T245" s="1312"/>
      <c r="U245" s="1312"/>
      <c r="V245" s="1315">
        <v>0.125</v>
      </c>
      <c r="W245" s="1315">
        <v>0.45833333333333331</v>
      </c>
      <c r="X245" s="1312">
        <v>8</v>
      </c>
      <c r="Y245" s="1312"/>
      <c r="Z245" s="1314">
        <f t="shared" si="58"/>
        <v>40</v>
      </c>
      <c r="AA245" s="1316">
        <f t="shared" si="59"/>
        <v>0</v>
      </c>
      <c r="AB245" s="1310"/>
      <c r="AC245" s="1315"/>
      <c r="AD245" s="1315"/>
      <c r="AE245" s="1312"/>
      <c r="AF245" s="1310"/>
      <c r="AG245" s="1315"/>
      <c r="AH245" s="1315"/>
      <c r="AI245" s="1312"/>
      <c r="AJ245" s="1314">
        <f t="shared" si="60"/>
        <v>0</v>
      </c>
      <c r="AK245" s="941"/>
      <c r="AL245" s="943"/>
      <c r="AM245" s="940"/>
      <c r="AN245" s="954"/>
      <c r="AO245" s="954"/>
      <c r="AP245" s="954"/>
      <c r="AQ245" s="954"/>
      <c r="AR245" s="954"/>
      <c r="AS245" s="954"/>
      <c r="AT245" s="940"/>
      <c r="AU245" s="1265"/>
      <c r="AV245" s="1265"/>
      <c r="AW245" s="1265"/>
      <c r="AX245" s="1265"/>
      <c r="AY245" s="1265"/>
      <c r="AZ245" s="1265"/>
      <c r="BA245" s="1265"/>
      <c r="BB245" s="1265"/>
      <c r="BC245" s="1265"/>
      <c r="BD245" s="1265"/>
      <c r="BE245" s="1265"/>
    </row>
    <row r="246" spans="1:57" ht="13.5" hidden="1" customHeight="1">
      <c r="A246" s="1318" t="s">
        <v>1140</v>
      </c>
      <c r="B246" s="1332">
        <v>0.125</v>
      </c>
      <c r="C246" s="1332">
        <v>0.45833333333333331</v>
      </c>
      <c r="D246" s="1312">
        <v>8</v>
      </c>
      <c r="E246" s="1312"/>
      <c r="F246" s="1310"/>
      <c r="G246" s="1315">
        <v>0.125</v>
      </c>
      <c r="H246" s="1332">
        <v>0.45833333333333331</v>
      </c>
      <c r="I246" s="1312">
        <v>8</v>
      </c>
      <c r="J246" s="1312"/>
      <c r="K246" s="1310"/>
      <c r="L246" s="1315">
        <v>0.125</v>
      </c>
      <c r="M246" s="1315">
        <v>0.45833333333333331</v>
      </c>
      <c r="N246" s="1312">
        <v>8</v>
      </c>
      <c r="O246" s="1312"/>
      <c r="P246" s="1310"/>
      <c r="Q246" s="1315">
        <v>0.125</v>
      </c>
      <c r="R246" s="1315">
        <v>0.45833333333333331</v>
      </c>
      <c r="S246" s="1312">
        <v>8</v>
      </c>
      <c r="T246" s="1312"/>
      <c r="U246" s="1310"/>
      <c r="V246" s="1315">
        <v>0.125</v>
      </c>
      <c r="W246" s="1315">
        <v>0.45833333333333331</v>
      </c>
      <c r="X246" s="1312">
        <v>8</v>
      </c>
      <c r="Y246" s="1312"/>
      <c r="Z246" s="1314">
        <f t="shared" si="58"/>
        <v>40</v>
      </c>
      <c r="AA246" s="1316">
        <f t="shared" si="59"/>
        <v>0</v>
      </c>
      <c r="AB246" s="1310"/>
      <c r="AC246" s="1315"/>
      <c r="AD246" s="1315"/>
      <c r="AE246" s="1312"/>
      <c r="AF246" s="1310"/>
      <c r="AG246" s="1315"/>
      <c r="AH246" s="1315"/>
      <c r="AI246" s="1312"/>
      <c r="AJ246" s="1314">
        <f t="shared" si="60"/>
        <v>0</v>
      </c>
      <c r="AK246" s="941"/>
      <c r="AL246" s="943"/>
      <c r="AM246" s="940"/>
      <c r="AN246" s="992"/>
      <c r="AO246" s="1005"/>
      <c r="AP246" s="994"/>
      <c r="AQ246" s="994"/>
      <c r="AR246" s="954"/>
      <c r="AS246" s="954"/>
      <c r="AT246" s="940"/>
      <c r="AU246" s="1265"/>
      <c r="AV246" s="1265"/>
      <c r="AW246" s="1265"/>
      <c r="AX246" s="1265"/>
      <c r="AY246" s="1265"/>
      <c r="AZ246" s="1265"/>
      <c r="BA246" s="1265"/>
      <c r="BB246" s="1265"/>
      <c r="BC246" s="1265"/>
      <c r="BD246" s="1265"/>
      <c r="BE246" s="1265"/>
    </row>
    <row r="247" spans="1:57" ht="13.5" hidden="1" customHeight="1">
      <c r="A247" s="1318" t="s">
        <v>1141</v>
      </c>
      <c r="B247" s="1332">
        <v>0.41666666666666669</v>
      </c>
      <c r="C247" s="1332">
        <v>0.33333333333333331</v>
      </c>
      <c r="D247" s="1312">
        <v>8</v>
      </c>
      <c r="E247" s="1312">
        <v>1</v>
      </c>
      <c r="F247" s="1312"/>
      <c r="G247" s="1315">
        <v>0</v>
      </c>
      <c r="H247" s="1315">
        <v>0</v>
      </c>
      <c r="I247" s="1312">
        <v>0</v>
      </c>
      <c r="J247" s="1312"/>
      <c r="K247" s="1312"/>
      <c r="L247" s="1315">
        <v>0.25</v>
      </c>
      <c r="M247" s="1315">
        <v>8.3333333333333329E-2</v>
      </c>
      <c r="N247" s="1312">
        <v>7</v>
      </c>
      <c r="O247" s="1312"/>
      <c r="P247" s="1312"/>
      <c r="Q247" s="1315">
        <v>0.125</v>
      </c>
      <c r="R247" s="1315">
        <v>0.41666666666666669</v>
      </c>
      <c r="S247" s="1312">
        <v>6.5</v>
      </c>
      <c r="T247" s="1312"/>
      <c r="U247" s="1312"/>
      <c r="V247" s="1315">
        <v>0.41666666666666669</v>
      </c>
      <c r="W247" s="1315">
        <v>0.20833333333333334</v>
      </c>
      <c r="X247" s="1312">
        <v>6.5</v>
      </c>
      <c r="Y247" s="1312"/>
      <c r="Z247" s="1314">
        <f>D247+I247+N247+S247+X247</f>
        <v>28</v>
      </c>
      <c r="AA247" s="1316">
        <f t="shared" si="59"/>
        <v>1</v>
      </c>
      <c r="AB247" s="1310"/>
      <c r="AC247" s="1315"/>
      <c r="AD247" s="1315"/>
      <c r="AE247" s="1312"/>
      <c r="AF247" s="1310"/>
      <c r="AG247" s="1315"/>
      <c r="AH247" s="1315"/>
      <c r="AI247" s="1312"/>
      <c r="AJ247" s="1314">
        <f t="shared" si="60"/>
        <v>0</v>
      </c>
      <c r="AK247" s="941"/>
      <c r="AL247" s="943"/>
      <c r="AM247" s="940"/>
      <c r="AN247" s="954"/>
      <c r="AO247" s="954"/>
      <c r="AP247" s="954"/>
      <c r="AQ247" s="954"/>
      <c r="AR247" s="954"/>
      <c r="AS247" s="954"/>
      <c r="AT247" s="940"/>
      <c r="AU247" s="1265"/>
      <c r="AV247" s="1265"/>
      <c r="AW247" s="1265"/>
      <c r="AX247" s="1265"/>
      <c r="AY247" s="1265"/>
      <c r="AZ247" s="1265"/>
      <c r="BA247" s="1265"/>
      <c r="BB247" s="1265"/>
      <c r="BC247" s="1265"/>
      <c r="BD247" s="1265"/>
      <c r="BE247" s="1265"/>
    </row>
    <row r="248" spans="1:57" ht="13.5" hidden="1" customHeight="1">
      <c r="A248" s="1318" t="s">
        <v>241</v>
      </c>
      <c r="B248" s="1332">
        <v>0.41666666666666669</v>
      </c>
      <c r="C248" s="1332">
        <v>0.20833333333333334</v>
      </c>
      <c r="D248" s="1312">
        <v>6.5</v>
      </c>
      <c r="E248" s="1312"/>
      <c r="F248" s="1312"/>
      <c r="G248" s="1332">
        <v>0.29166666666666669</v>
      </c>
      <c r="H248" s="1315">
        <v>8.3333333333333329E-2</v>
      </c>
      <c r="I248" s="1312">
        <v>6.5</v>
      </c>
      <c r="J248" s="1312"/>
      <c r="K248" s="1312"/>
      <c r="L248" s="1315">
        <v>0.25</v>
      </c>
      <c r="M248" s="1315">
        <v>8.3333333333333329E-2</v>
      </c>
      <c r="N248" s="1312">
        <v>7</v>
      </c>
      <c r="O248" s="1312"/>
      <c r="P248" s="1312"/>
      <c r="Q248" s="1315">
        <v>0.29166666666666669</v>
      </c>
      <c r="R248" s="1315">
        <v>0.125</v>
      </c>
      <c r="S248" s="1312">
        <v>7.5</v>
      </c>
      <c r="T248" s="1312"/>
      <c r="U248" s="1312"/>
      <c r="V248" s="1315">
        <v>0.41666666666666669</v>
      </c>
      <c r="W248" s="1315"/>
      <c r="X248" s="1312">
        <v>6</v>
      </c>
      <c r="Y248" s="1312"/>
      <c r="Z248" s="1314">
        <f>D248+I248+N248+S248+X248</f>
        <v>33.5</v>
      </c>
      <c r="AA248" s="1316">
        <f t="shared" si="59"/>
        <v>0</v>
      </c>
      <c r="AB248" s="1310"/>
      <c r="AC248" s="1315"/>
      <c r="AD248" s="1315"/>
      <c r="AE248" s="1312"/>
      <c r="AF248" s="1310"/>
      <c r="AG248" s="1315"/>
      <c r="AH248" s="1315"/>
      <c r="AI248" s="1312"/>
      <c r="AJ248" s="1314">
        <f t="shared" si="60"/>
        <v>0</v>
      </c>
      <c r="AK248" s="941"/>
      <c r="AL248" s="943"/>
      <c r="AM248" s="940"/>
      <c r="AN248" s="954"/>
      <c r="AO248" s="954"/>
      <c r="AP248" s="954"/>
      <c r="AQ248" s="954"/>
      <c r="AR248" s="954"/>
      <c r="AS248" s="954"/>
      <c r="AT248" s="940"/>
      <c r="AU248" s="1265"/>
      <c r="AV248" s="1265"/>
      <c r="AW248" s="1265"/>
      <c r="AX248" s="1265"/>
      <c r="AY248" s="1265"/>
      <c r="AZ248" s="1265"/>
      <c r="BA248" s="1265"/>
      <c r="BB248" s="1265"/>
      <c r="BC248" s="1265"/>
      <c r="BD248" s="1265"/>
      <c r="BE248" s="1265"/>
    </row>
    <row r="249" spans="1:57" ht="13.5" hidden="1" customHeight="1">
      <c r="A249" s="1318" t="s">
        <v>1477</v>
      </c>
      <c r="B249" s="1315">
        <v>0.375</v>
      </c>
      <c r="C249" s="1315">
        <v>0.20833333333333334</v>
      </c>
      <c r="D249" s="1312">
        <v>7</v>
      </c>
      <c r="E249" s="1312"/>
      <c r="F249" s="1312"/>
      <c r="G249" s="1315">
        <v>0.375</v>
      </c>
      <c r="H249" s="1315">
        <v>0.20833333333333334</v>
      </c>
      <c r="I249" s="1312">
        <v>7</v>
      </c>
      <c r="J249" s="1312"/>
      <c r="K249" s="1312"/>
      <c r="L249" s="1315">
        <v>0.375</v>
      </c>
      <c r="M249" s="1315">
        <v>0.20833333333333334</v>
      </c>
      <c r="N249" s="1312">
        <v>7</v>
      </c>
      <c r="O249" s="1312"/>
      <c r="P249" s="1312"/>
      <c r="Q249" s="1315">
        <v>0.375</v>
      </c>
      <c r="R249" s="1315">
        <v>0.20833333333333334</v>
      </c>
      <c r="S249" s="1312">
        <v>7</v>
      </c>
      <c r="T249" s="1312"/>
      <c r="U249" s="1312"/>
      <c r="V249" s="1315">
        <v>0.375</v>
      </c>
      <c r="W249" s="1315">
        <v>0.20833333333333334</v>
      </c>
      <c r="X249" s="1312">
        <v>7</v>
      </c>
      <c r="Y249" s="1312"/>
      <c r="Z249" s="1314">
        <f>D249+I249+N249+S249+X249</f>
        <v>35</v>
      </c>
      <c r="AA249" s="1316">
        <f t="shared" si="59"/>
        <v>0</v>
      </c>
      <c r="AB249" s="1310"/>
      <c r="AC249" s="1315"/>
      <c r="AD249" s="1315"/>
      <c r="AE249" s="1312"/>
      <c r="AF249" s="1310"/>
      <c r="AG249" s="1315"/>
      <c r="AH249" s="1315"/>
      <c r="AI249" s="1312"/>
      <c r="AJ249" s="1314">
        <f t="shared" si="60"/>
        <v>0</v>
      </c>
      <c r="AK249" s="941"/>
      <c r="AL249" s="943"/>
      <c r="AM249" s="940"/>
      <c r="AN249" s="954"/>
      <c r="AO249" s="954"/>
      <c r="AP249" s="954"/>
      <c r="AQ249" s="954"/>
      <c r="AR249" s="954"/>
      <c r="AS249" s="954"/>
      <c r="AT249" s="940"/>
      <c r="AU249" s="1265"/>
      <c r="AV249" s="1265"/>
      <c r="AW249" s="1265"/>
      <c r="AX249" s="1265"/>
      <c r="AY249" s="1265"/>
      <c r="AZ249" s="1265"/>
      <c r="BA249" s="1265"/>
      <c r="BB249" s="1265"/>
      <c r="BC249" s="1265"/>
      <c r="BD249" s="1265"/>
      <c r="BE249" s="1265"/>
    </row>
    <row r="250" spans="1:57" ht="13.5" hidden="1" customHeight="1">
      <c r="A250" s="1318" t="s">
        <v>1444</v>
      </c>
      <c r="B250" s="1315">
        <v>0.375</v>
      </c>
      <c r="C250" s="1315">
        <v>0.125</v>
      </c>
      <c r="D250" s="1312">
        <v>5.5</v>
      </c>
      <c r="E250" s="1312"/>
      <c r="F250" s="1312"/>
      <c r="G250" s="1315">
        <v>0.375</v>
      </c>
      <c r="H250" s="1315"/>
      <c r="I250" s="1312">
        <v>5</v>
      </c>
      <c r="J250" s="1312"/>
      <c r="K250" s="1312"/>
      <c r="L250" s="1315">
        <v>0</v>
      </c>
      <c r="M250" s="1315">
        <v>0</v>
      </c>
      <c r="N250" s="1312">
        <v>0</v>
      </c>
      <c r="O250" s="1312"/>
      <c r="P250" s="1312"/>
      <c r="Q250" s="1315">
        <v>0.375</v>
      </c>
      <c r="R250" s="1315"/>
      <c r="S250" s="1312">
        <v>5</v>
      </c>
      <c r="T250" s="1312"/>
      <c r="U250" s="1312"/>
      <c r="V250" s="1315">
        <v>0.375</v>
      </c>
      <c r="W250" s="1315"/>
      <c r="X250" s="1312">
        <v>5</v>
      </c>
      <c r="Y250" s="1312"/>
      <c r="Z250" s="1314">
        <f t="shared" ref="Z250:Z254" si="62">D250+I250+N250+S250+X250</f>
        <v>20.5</v>
      </c>
      <c r="AA250" s="1316">
        <f t="shared" si="59"/>
        <v>0</v>
      </c>
      <c r="AB250" s="1310"/>
      <c r="AC250" s="1315"/>
      <c r="AD250" s="1315"/>
      <c r="AE250" s="1312"/>
      <c r="AF250" s="1310"/>
      <c r="AG250" s="1315"/>
      <c r="AH250" s="1315"/>
      <c r="AI250" s="1312"/>
      <c r="AJ250" s="1314">
        <f t="shared" si="60"/>
        <v>0</v>
      </c>
      <c r="AK250" s="941"/>
      <c r="AL250" s="943"/>
      <c r="AM250" s="940"/>
      <c r="AN250" s="954"/>
      <c r="AO250" s="954"/>
      <c r="AP250" s="954"/>
      <c r="AQ250" s="954"/>
      <c r="AR250" s="954"/>
      <c r="AS250" s="954"/>
      <c r="AT250" s="940"/>
      <c r="AU250" s="1265"/>
      <c r="AV250" s="1265"/>
      <c r="AW250" s="1265"/>
      <c r="AX250" s="1265"/>
      <c r="AY250" s="1265"/>
      <c r="AZ250" s="1265"/>
      <c r="BA250" s="1265"/>
      <c r="BB250" s="1265"/>
      <c r="BC250" s="1265"/>
      <c r="BD250" s="1265"/>
      <c r="BE250" s="1265"/>
    </row>
    <row r="251" spans="1:57" ht="13.5" hidden="1" customHeight="1">
      <c r="A251" s="1318" t="s">
        <v>1479</v>
      </c>
      <c r="B251" s="1315">
        <v>0.125</v>
      </c>
      <c r="C251" s="1315">
        <v>0.41666666666666669</v>
      </c>
      <c r="D251" s="1312">
        <v>6.5</v>
      </c>
      <c r="E251" s="1312"/>
      <c r="F251" s="1312"/>
      <c r="G251" s="1315">
        <v>0.14583333333333334</v>
      </c>
      <c r="H251" s="1315">
        <v>0.41666666666666669</v>
      </c>
      <c r="I251" s="1312">
        <v>6</v>
      </c>
      <c r="J251" s="1312"/>
      <c r="K251" s="1312"/>
      <c r="L251" s="1315">
        <v>0.29166666666666669</v>
      </c>
      <c r="M251" s="1315">
        <v>0.16666666666666666</v>
      </c>
      <c r="N251" s="1312">
        <v>8</v>
      </c>
      <c r="O251" s="1312"/>
      <c r="P251" s="1312"/>
      <c r="Q251" s="1315">
        <v>0.29166666666666669</v>
      </c>
      <c r="R251" s="1315">
        <v>0.125</v>
      </c>
      <c r="S251" s="1312">
        <v>7.5</v>
      </c>
      <c r="T251" s="1312"/>
      <c r="U251" s="1312"/>
      <c r="V251" s="1315">
        <v>0.29166666666666669</v>
      </c>
      <c r="W251" s="1315">
        <v>0.20833333333333334</v>
      </c>
      <c r="X251" s="1312">
        <v>8</v>
      </c>
      <c r="Y251" s="1312">
        <v>1</v>
      </c>
      <c r="Z251" s="1314">
        <f t="shared" si="62"/>
        <v>36</v>
      </c>
      <c r="AA251" s="1316">
        <f t="shared" si="59"/>
        <v>1</v>
      </c>
      <c r="AB251" s="1310"/>
      <c r="AC251" s="1315">
        <v>0.29166666666666669</v>
      </c>
      <c r="AD251" s="1315">
        <v>0.22916666666666666</v>
      </c>
      <c r="AE251" s="1312">
        <v>9.5</v>
      </c>
      <c r="AF251" s="1310"/>
      <c r="AG251" s="1315">
        <v>0.29166666666666669</v>
      </c>
      <c r="AH251" s="1315">
        <v>0.22916666666666666</v>
      </c>
      <c r="AI251" s="1312">
        <v>9.5</v>
      </c>
      <c r="AJ251" s="1314">
        <f t="shared" si="60"/>
        <v>19</v>
      </c>
      <c r="AK251" s="941"/>
      <c r="AL251" s="943"/>
      <c r="AM251" s="940"/>
      <c r="AN251" s="954"/>
      <c r="AO251" s="954"/>
      <c r="AP251" s="954"/>
      <c r="AQ251" s="954"/>
      <c r="AR251" s="954"/>
      <c r="AS251" s="954"/>
      <c r="AT251" s="940"/>
      <c r="AU251" s="1265"/>
      <c r="AV251" s="1265"/>
      <c r="AW251" s="1265"/>
      <c r="AX251" s="1265"/>
      <c r="AY251" s="1265"/>
      <c r="AZ251" s="1265"/>
      <c r="BA251" s="1265"/>
      <c r="BB251" s="1265"/>
      <c r="BC251" s="1265"/>
      <c r="BD251" s="1265"/>
      <c r="BE251" s="1265"/>
    </row>
    <row r="252" spans="1:57" ht="13.5" hidden="1" customHeight="1">
      <c r="A252" s="1318" t="s">
        <v>1480</v>
      </c>
      <c r="B252" s="1315"/>
      <c r="C252" s="1315"/>
      <c r="D252" s="1312">
        <v>0</v>
      </c>
      <c r="E252" s="1312"/>
      <c r="F252" s="1312"/>
      <c r="G252" s="1315">
        <v>0.29166666666666669</v>
      </c>
      <c r="H252" s="1315">
        <v>0.14583333333333334</v>
      </c>
      <c r="I252" s="1312">
        <v>7.5</v>
      </c>
      <c r="J252" s="1312"/>
      <c r="K252" s="1312"/>
      <c r="L252" s="1315">
        <v>8.3333333333333329E-2</v>
      </c>
      <c r="M252" s="1315">
        <v>0.41666666666666669</v>
      </c>
      <c r="N252" s="1312">
        <v>7.5</v>
      </c>
      <c r="O252" s="1312"/>
      <c r="P252" s="1312"/>
      <c r="Q252" s="1315">
        <v>0.29166666666666669</v>
      </c>
      <c r="R252" s="1315"/>
      <c r="S252" s="1312">
        <v>8</v>
      </c>
      <c r="T252" s="1312"/>
      <c r="U252" s="1312"/>
      <c r="V252" s="1315">
        <v>0.29166666666666669</v>
      </c>
      <c r="W252" s="1315">
        <v>0.20833333333333334</v>
      </c>
      <c r="X252" s="1312">
        <v>8</v>
      </c>
      <c r="Y252" s="1312">
        <v>1</v>
      </c>
      <c r="Z252" s="1314">
        <f t="shared" si="62"/>
        <v>31</v>
      </c>
      <c r="AA252" s="1316">
        <f t="shared" si="59"/>
        <v>1</v>
      </c>
      <c r="AB252" s="1310"/>
      <c r="AC252" s="1315"/>
      <c r="AD252" s="1315"/>
      <c r="AE252" s="1312"/>
      <c r="AF252" s="1310"/>
      <c r="AG252" s="1315"/>
      <c r="AH252" s="1315"/>
      <c r="AI252" s="1312"/>
      <c r="AJ252" s="1314">
        <f t="shared" si="60"/>
        <v>0</v>
      </c>
      <c r="AK252" s="941"/>
      <c r="AL252" s="943"/>
      <c r="AM252" s="940"/>
      <c r="AN252" s="954"/>
      <c r="AO252" s="954"/>
      <c r="AP252" s="954"/>
      <c r="AQ252" s="954"/>
      <c r="AR252" s="954"/>
      <c r="AS252" s="954"/>
      <c r="AT252" s="940"/>
      <c r="AU252" s="1265"/>
      <c r="AV252" s="1265"/>
      <c r="AW252" s="1265"/>
      <c r="AX252" s="1265"/>
      <c r="AY252" s="1265"/>
      <c r="AZ252" s="1265"/>
      <c r="BA252" s="1265"/>
      <c r="BB252" s="1265"/>
      <c r="BC252" s="1265"/>
      <c r="BD252" s="1265"/>
      <c r="BE252" s="1265"/>
    </row>
    <row r="253" spans="1:57" ht="13.5" hidden="1" customHeight="1">
      <c r="A253" s="1318" t="s">
        <v>1143</v>
      </c>
      <c r="B253" s="1315"/>
      <c r="C253" s="1315"/>
      <c r="D253" s="1312">
        <v>0</v>
      </c>
      <c r="E253" s="1312"/>
      <c r="F253" s="1312"/>
      <c r="G253" s="1315"/>
      <c r="H253" s="1315"/>
      <c r="I253" s="1312">
        <v>0</v>
      </c>
      <c r="J253" s="1312"/>
      <c r="K253" s="1312"/>
      <c r="L253" s="1315"/>
      <c r="M253" s="1315"/>
      <c r="N253" s="1312">
        <v>0</v>
      </c>
      <c r="O253" s="1312"/>
      <c r="P253" s="1312"/>
      <c r="Q253" s="1315"/>
      <c r="R253" s="1315"/>
      <c r="S253" s="1312">
        <v>0</v>
      </c>
      <c r="T253" s="1312"/>
      <c r="U253" s="1312"/>
      <c r="V253" s="1315">
        <v>0.41666666666666669</v>
      </c>
      <c r="W253" s="1315">
        <v>0.20833333333333334</v>
      </c>
      <c r="X253" s="1312">
        <v>6.5</v>
      </c>
      <c r="Y253" s="1312"/>
      <c r="Z253" s="1314">
        <f t="shared" si="62"/>
        <v>6.5</v>
      </c>
      <c r="AA253" s="1316">
        <f t="shared" si="59"/>
        <v>0</v>
      </c>
      <c r="AB253" s="1310"/>
      <c r="AC253" s="1315"/>
      <c r="AD253" s="1315"/>
      <c r="AE253" s="1312"/>
      <c r="AF253" s="1310"/>
      <c r="AG253" s="1315"/>
      <c r="AH253" s="1315"/>
      <c r="AI253" s="1312"/>
      <c r="AJ253" s="1314">
        <f t="shared" si="60"/>
        <v>0</v>
      </c>
      <c r="AK253" s="941"/>
      <c r="AL253" s="943"/>
      <c r="AM253" s="940"/>
      <c r="AN253" s="954"/>
      <c r="AO253" s="954"/>
      <c r="AP253" s="954"/>
      <c r="AQ253" s="954"/>
      <c r="AR253" s="954"/>
      <c r="AS253" s="954"/>
      <c r="AT253" s="940"/>
      <c r="AU253" s="1265"/>
      <c r="AV253" s="1265"/>
      <c r="AW253" s="1265"/>
      <c r="AX253" s="1265"/>
      <c r="AY253" s="1265"/>
      <c r="AZ253" s="1265"/>
      <c r="BA253" s="1265"/>
      <c r="BB253" s="1265"/>
      <c r="BC253" s="1265"/>
      <c r="BD253" s="1265"/>
      <c r="BE253" s="1265"/>
    </row>
    <row r="254" spans="1:57" ht="13.5" hidden="1" customHeight="1">
      <c r="A254" s="1318" t="s">
        <v>813</v>
      </c>
      <c r="B254" s="1315"/>
      <c r="C254" s="1315"/>
      <c r="D254" s="1312">
        <v>4</v>
      </c>
      <c r="E254" s="1312"/>
      <c r="F254" s="1310"/>
      <c r="G254" s="1315"/>
      <c r="H254" s="1315"/>
      <c r="I254" s="1312">
        <v>4</v>
      </c>
      <c r="J254" s="1312"/>
      <c r="K254" s="1310"/>
      <c r="L254" s="1315"/>
      <c r="M254" s="1315"/>
      <c r="N254" s="1312">
        <v>4</v>
      </c>
      <c r="O254" s="1312"/>
      <c r="P254" s="1310"/>
      <c r="Q254" s="1315"/>
      <c r="R254" s="1315"/>
      <c r="S254" s="1312">
        <v>4</v>
      </c>
      <c r="T254" s="1312"/>
      <c r="U254" s="1310"/>
      <c r="V254" s="1315"/>
      <c r="W254" s="1315"/>
      <c r="X254" s="1312">
        <v>4</v>
      </c>
      <c r="Y254" s="1312"/>
      <c r="Z254" s="1314">
        <f t="shared" si="62"/>
        <v>20</v>
      </c>
      <c r="AA254" s="1316">
        <f t="shared" si="59"/>
        <v>0</v>
      </c>
      <c r="AB254" s="1310"/>
      <c r="AC254" s="1315"/>
      <c r="AD254" s="1315"/>
      <c r="AE254" s="1312"/>
      <c r="AF254" s="1310"/>
      <c r="AG254" s="1315"/>
      <c r="AH254" s="1315"/>
      <c r="AI254" s="1312"/>
      <c r="AJ254" s="1314">
        <f t="shared" si="60"/>
        <v>0</v>
      </c>
      <c r="AK254" s="941"/>
      <c r="AL254" s="943"/>
      <c r="AM254" s="940"/>
      <c r="AN254" s="992"/>
      <c r="AO254" s="1005"/>
      <c r="AP254" s="994"/>
      <c r="AQ254" s="994"/>
      <c r="AR254" s="954"/>
      <c r="AS254" s="954"/>
      <c r="AT254" s="940"/>
      <c r="AU254" s="1265"/>
      <c r="AV254" s="1265"/>
      <c r="AW254" s="1265"/>
      <c r="AX254" s="1265"/>
      <c r="AY254" s="1265"/>
      <c r="AZ254" s="1265"/>
      <c r="BA254" s="1265"/>
      <c r="BB254" s="1265"/>
      <c r="BC254" s="1265"/>
      <c r="BD254" s="1265"/>
      <c r="BE254" s="1265"/>
    </row>
    <row r="255" spans="1:57" ht="13.5" hidden="1" customHeight="1">
      <c r="A255" s="1318" t="s">
        <v>1431</v>
      </c>
      <c r="B255" s="1315"/>
      <c r="C255" s="1315"/>
      <c r="D255" s="1312">
        <v>4</v>
      </c>
      <c r="E255" s="1312"/>
      <c r="F255" s="1310"/>
      <c r="G255" s="1315"/>
      <c r="H255" s="1315"/>
      <c r="I255" s="1312">
        <v>4</v>
      </c>
      <c r="J255" s="1312"/>
      <c r="K255" s="1310"/>
      <c r="L255" s="1315"/>
      <c r="M255" s="1315"/>
      <c r="N255" s="1312">
        <v>4</v>
      </c>
      <c r="O255" s="1312"/>
      <c r="P255" s="1310"/>
      <c r="Q255" s="1315"/>
      <c r="R255" s="1315"/>
      <c r="S255" s="1312">
        <v>4</v>
      </c>
      <c r="T255" s="1312"/>
      <c r="U255" s="1310"/>
      <c r="V255" s="1315"/>
      <c r="W255" s="1315"/>
      <c r="X255" s="1312">
        <v>4</v>
      </c>
      <c r="Y255" s="1312"/>
      <c r="Z255" s="1314">
        <f>D255+I255+N255+S255+X255</f>
        <v>20</v>
      </c>
      <c r="AA255" s="1316">
        <f t="shared" si="59"/>
        <v>0</v>
      </c>
      <c r="AB255" s="1310"/>
      <c r="AC255" s="1315"/>
      <c r="AD255" s="1315"/>
      <c r="AE255" s="1312"/>
      <c r="AF255" s="1310"/>
      <c r="AG255" s="1315"/>
      <c r="AH255" s="1315"/>
      <c r="AI255" s="1312"/>
      <c r="AJ255" s="1314">
        <f t="shared" si="60"/>
        <v>0</v>
      </c>
      <c r="AK255" s="941"/>
      <c r="AL255" s="943"/>
      <c r="AM255" s="940"/>
      <c r="AN255" s="954"/>
      <c r="AO255" s="954"/>
      <c r="AP255" s="954"/>
      <c r="AQ255" s="954"/>
      <c r="AR255" s="954"/>
      <c r="AS255" s="954"/>
      <c r="AT255" s="940"/>
      <c r="AU255" s="1265"/>
      <c r="AV255" s="1265"/>
      <c r="AW255" s="1265"/>
      <c r="AX255" s="1265"/>
      <c r="AY255" s="1265"/>
      <c r="AZ255" s="1265"/>
      <c r="BA255" s="1265"/>
      <c r="BB255" s="1265"/>
      <c r="BC255" s="1265"/>
      <c r="BD255" s="1265"/>
      <c r="BE255" s="1265"/>
    </row>
    <row r="256" spans="1:57" ht="13.5" hidden="1" customHeight="1">
      <c r="A256" s="1318" t="s">
        <v>1481</v>
      </c>
      <c r="B256" s="1315"/>
      <c r="C256" s="1319"/>
      <c r="D256" s="1312">
        <v>0</v>
      </c>
      <c r="E256" s="1312"/>
      <c r="F256" s="1312"/>
      <c r="G256" s="1315">
        <v>0.45833333333333331</v>
      </c>
      <c r="H256" s="1319">
        <v>0.125</v>
      </c>
      <c r="I256" s="1312">
        <v>8</v>
      </c>
      <c r="J256" s="1312"/>
      <c r="K256" s="1312"/>
      <c r="L256" s="1315">
        <v>0.45833333333333331</v>
      </c>
      <c r="M256" s="1319">
        <v>0.14583333333333334</v>
      </c>
      <c r="N256" s="1312">
        <v>8</v>
      </c>
      <c r="O256" s="1312"/>
      <c r="P256" s="1312"/>
      <c r="Q256" s="1332"/>
      <c r="R256" s="1332"/>
      <c r="S256" s="1312">
        <v>0</v>
      </c>
      <c r="T256" s="1312"/>
      <c r="U256" s="1312"/>
      <c r="V256" s="1332"/>
      <c r="W256" s="1332"/>
      <c r="X256" s="1312">
        <v>0</v>
      </c>
      <c r="Y256" s="1312"/>
      <c r="Z256" s="1314">
        <f t="shared" ref="Z256:Z258" si="63">D256+I256+N256+S256+X256</f>
        <v>16</v>
      </c>
      <c r="AA256" s="1316">
        <f t="shared" si="59"/>
        <v>0</v>
      </c>
      <c r="AB256" s="1310"/>
      <c r="AC256" s="1315"/>
      <c r="AD256" s="1319"/>
      <c r="AE256" s="1312"/>
      <c r="AF256" s="1315"/>
      <c r="AG256" s="1319"/>
      <c r="AH256" s="1312"/>
      <c r="AI256" s="1315"/>
      <c r="AJ256" s="1314">
        <f t="shared" si="60"/>
        <v>0</v>
      </c>
      <c r="AK256" s="941"/>
      <c r="AL256" s="943"/>
      <c r="AM256" s="940"/>
      <c r="AN256" s="954"/>
      <c r="AO256" s="954"/>
      <c r="AP256" s="954"/>
      <c r="AQ256" s="954"/>
      <c r="AR256" s="954"/>
      <c r="AS256" s="954"/>
      <c r="AT256" s="940"/>
      <c r="AU256" s="1265"/>
      <c r="AV256" s="1265"/>
      <c r="AW256" s="1265"/>
      <c r="AX256" s="1265"/>
      <c r="AY256" s="1265"/>
      <c r="AZ256" s="1265"/>
      <c r="BA256" s="1265"/>
      <c r="BB256" s="1265"/>
      <c r="BC256" s="1265"/>
      <c r="BD256" s="1265"/>
      <c r="BE256" s="1265"/>
    </row>
    <row r="257" spans="1:57" ht="13.5" hidden="1" customHeight="1">
      <c r="A257" s="1318" t="s">
        <v>1427</v>
      </c>
      <c r="B257" s="1315">
        <v>0.45833333333333331</v>
      </c>
      <c r="C257" s="1319"/>
      <c r="D257" s="1312">
        <v>7.75</v>
      </c>
      <c r="E257" s="1312"/>
      <c r="F257" s="1312"/>
      <c r="G257" s="1315">
        <v>0.45833333333333331</v>
      </c>
      <c r="H257" s="1319">
        <v>0.29166666666666669</v>
      </c>
      <c r="I257" s="1312">
        <v>8</v>
      </c>
      <c r="J257" s="1312"/>
      <c r="K257" s="1312"/>
      <c r="L257" s="1315">
        <v>0.45833333333333331</v>
      </c>
      <c r="M257" s="1319">
        <v>0.29166666666666669</v>
      </c>
      <c r="N257" s="1312">
        <v>8</v>
      </c>
      <c r="O257" s="1312"/>
      <c r="P257" s="1312"/>
      <c r="Q257" s="1315">
        <v>0.45833333333333331</v>
      </c>
      <c r="R257" s="1319">
        <v>0.29166666666666669</v>
      </c>
      <c r="S257" s="1312">
        <v>8</v>
      </c>
      <c r="T257" s="1312"/>
      <c r="U257" s="1312"/>
      <c r="V257" s="1315">
        <v>0.45833333333333331</v>
      </c>
      <c r="W257" s="1319">
        <v>0.29166666666666669</v>
      </c>
      <c r="X257" s="1312">
        <v>8</v>
      </c>
      <c r="Y257" s="1312"/>
      <c r="Z257" s="1314">
        <f t="shared" si="63"/>
        <v>39.75</v>
      </c>
      <c r="AA257" s="1316">
        <f t="shared" si="59"/>
        <v>0</v>
      </c>
      <c r="AB257" s="1310"/>
      <c r="AC257" s="1315"/>
      <c r="AD257" s="1319"/>
      <c r="AE257" s="1312"/>
      <c r="AF257" s="1315"/>
      <c r="AG257" s="1319"/>
      <c r="AH257" s="1312"/>
      <c r="AI257" s="1315"/>
      <c r="AJ257" s="1314">
        <f t="shared" si="60"/>
        <v>0</v>
      </c>
      <c r="AK257" s="941"/>
      <c r="AL257" s="943"/>
      <c r="AM257" s="940"/>
      <c r="AN257" s="954"/>
      <c r="AO257" s="954"/>
      <c r="AP257" s="954"/>
      <c r="AQ257" s="954"/>
      <c r="AR257" s="954"/>
      <c r="AS257" s="954"/>
      <c r="AT257" s="940"/>
      <c r="AU257" s="1265"/>
      <c r="AV257" s="1265"/>
      <c r="AW257" s="1265"/>
      <c r="AX257" s="1265"/>
      <c r="AY257" s="1265"/>
      <c r="AZ257" s="1265"/>
      <c r="BA257" s="1265"/>
      <c r="BB257" s="1265"/>
      <c r="BC257" s="1265"/>
      <c r="BD257" s="1265"/>
      <c r="BE257" s="1265"/>
    </row>
    <row r="258" spans="1:57" ht="13.5" hidden="1" customHeight="1">
      <c r="A258" s="1318" t="s">
        <v>1064</v>
      </c>
      <c r="B258" s="1315">
        <v>0.45833333333333331</v>
      </c>
      <c r="C258" s="1319">
        <v>0.29166666666666669</v>
      </c>
      <c r="D258" s="1312">
        <v>8</v>
      </c>
      <c r="E258" s="1312"/>
      <c r="F258" s="1312"/>
      <c r="G258" s="1315">
        <v>0.45833333333333331</v>
      </c>
      <c r="H258" s="1319">
        <v>0.29166666666666669</v>
      </c>
      <c r="I258" s="1312">
        <v>8</v>
      </c>
      <c r="J258" s="1312"/>
      <c r="K258" s="1312"/>
      <c r="L258" s="1315">
        <v>0.45833333333333331</v>
      </c>
      <c r="M258" s="1319">
        <v>0.29166666666666669</v>
      </c>
      <c r="N258" s="1312">
        <v>8</v>
      </c>
      <c r="O258" s="1312"/>
      <c r="P258" s="1312"/>
      <c r="Q258" s="1332">
        <v>0.45833333333333331</v>
      </c>
      <c r="R258" s="1332">
        <v>0.29166666666666669</v>
      </c>
      <c r="S258" s="1312">
        <v>8</v>
      </c>
      <c r="T258" s="1312"/>
      <c r="U258" s="1312"/>
      <c r="V258" s="1315">
        <v>0.45833333333333331</v>
      </c>
      <c r="W258" s="1319">
        <v>0.29166666666666669</v>
      </c>
      <c r="X258" s="1312">
        <v>8</v>
      </c>
      <c r="Y258" s="1312"/>
      <c r="Z258" s="1314">
        <f t="shared" si="63"/>
        <v>40</v>
      </c>
      <c r="AA258" s="1316">
        <f t="shared" si="59"/>
        <v>0</v>
      </c>
      <c r="AB258" s="1310"/>
      <c r="AC258" s="1315"/>
      <c r="AD258" s="1319"/>
      <c r="AE258" s="1312"/>
      <c r="AF258" s="1315"/>
      <c r="AG258" s="1319"/>
      <c r="AH258" s="1312"/>
      <c r="AI258" s="1315"/>
      <c r="AJ258" s="1314">
        <f t="shared" si="60"/>
        <v>0</v>
      </c>
      <c r="AK258" s="941"/>
      <c r="AL258" s="943"/>
      <c r="AM258" s="940"/>
      <c r="AN258" s="954"/>
      <c r="AO258" s="954"/>
      <c r="AP258" s="954"/>
      <c r="AQ258" s="954"/>
      <c r="AR258" s="954"/>
      <c r="AS258" s="954"/>
      <c r="AT258" s="940"/>
      <c r="AU258" s="1265"/>
      <c r="AV258" s="1265"/>
      <c r="AW258" s="1265"/>
      <c r="AX258" s="1265"/>
      <c r="AY258" s="1265"/>
      <c r="AZ258" s="1265"/>
      <c r="BA258" s="1265"/>
      <c r="BB258" s="1265"/>
      <c r="BC258" s="1265"/>
      <c r="BD258" s="1265"/>
      <c r="BE258" s="1265"/>
    </row>
    <row r="259" spans="1:57" ht="13.5" hidden="1" customHeight="1">
      <c r="A259" s="1318" t="s">
        <v>1144</v>
      </c>
      <c r="B259" s="1315">
        <v>0.45833333333333331</v>
      </c>
      <c r="C259" s="1319">
        <v>0.29166666666666669</v>
      </c>
      <c r="D259" s="1312">
        <v>8</v>
      </c>
      <c r="E259" s="1312"/>
      <c r="F259" s="1312"/>
      <c r="G259" s="1315">
        <v>0.45833333333333331</v>
      </c>
      <c r="H259" s="1319">
        <v>0.29166666666666669</v>
      </c>
      <c r="I259" s="1312">
        <v>8</v>
      </c>
      <c r="J259" s="1312"/>
      <c r="K259" s="1312"/>
      <c r="L259" s="1315">
        <v>0.45833333333333331</v>
      </c>
      <c r="M259" s="1319">
        <v>0.29166666666666669</v>
      </c>
      <c r="N259" s="1312">
        <v>8</v>
      </c>
      <c r="O259" s="1312"/>
      <c r="P259" s="1312"/>
      <c r="Q259" s="1315">
        <v>0.45833333333333331</v>
      </c>
      <c r="R259" s="1332">
        <v>0.29166666666666669</v>
      </c>
      <c r="S259" s="1312">
        <v>8</v>
      </c>
      <c r="T259" s="1312"/>
      <c r="U259" s="1312"/>
      <c r="V259" s="1315">
        <v>0.45833333333333331</v>
      </c>
      <c r="W259" s="1319">
        <v>0.29166666666666669</v>
      </c>
      <c r="X259" s="1312">
        <v>8</v>
      </c>
      <c r="Y259" s="1312"/>
      <c r="Z259" s="1314">
        <f>D259+I259+N259+S259+X259</f>
        <v>40</v>
      </c>
      <c r="AA259" s="1316">
        <f t="shared" si="59"/>
        <v>0</v>
      </c>
      <c r="AB259" s="1310"/>
      <c r="AC259" s="1315"/>
      <c r="AD259" s="1319"/>
      <c r="AE259" s="1312"/>
      <c r="AF259" s="1315"/>
      <c r="AG259" s="1319"/>
      <c r="AH259" s="1312"/>
      <c r="AI259" s="1315"/>
      <c r="AJ259" s="1314">
        <f>SUM(AE259+AI259)</f>
        <v>0</v>
      </c>
      <c r="AK259" s="941"/>
      <c r="AL259" s="943"/>
      <c r="AM259" s="940"/>
      <c r="AN259" s="954"/>
      <c r="AO259" s="954"/>
      <c r="AP259" s="954"/>
      <c r="AQ259" s="954"/>
      <c r="AR259" s="954"/>
      <c r="AS259" s="954"/>
      <c r="AT259" s="940"/>
      <c r="AU259" s="1265"/>
      <c r="AV259" s="1265"/>
      <c r="AW259" s="1265"/>
      <c r="AX259" s="1265"/>
      <c r="AY259" s="1265"/>
      <c r="AZ259" s="1265"/>
      <c r="BA259" s="1265"/>
      <c r="BB259" s="1265"/>
      <c r="BC259" s="1265"/>
      <c r="BD259" s="1265"/>
      <c r="BE259" s="1265"/>
    </row>
    <row r="260" spans="1:57" ht="13.5" hidden="1" customHeight="1" thickBot="1">
      <c r="A260" s="1320" t="s">
        <v>1433</v>
      </c>
      <c r="B260" s="1321"/>
      <c r="C260" s="1322"/>
      <c r="D260" s="1323">
        <v>0</v>
      </c>
      <c r="E260" s="1323"/>
      <c r="F260" s="1323"/>
      <c r="G260" s="1321"/>
      <c r="H260" s="1322"/>
      <c r="I260" s="1323">
        <v>0</v>
      </c>
      <c r="J260" s="1323"/>
      <c r="K260" s="1323"/>
      <c r="L260" s="1321"/>
      <c r="M260" s="1322"/>
      <c r="N260" s="1323">
        <v>0</v>
      </c>
      <c r="O260" s="1323"/>
      <c r="P260" s="1323"/>
      <c r="Q260" s="1321"/>
      <c r="R260" s="1333"/>
      <c r="S260" s="1323">
        <v>0</v>
      </c>
      <c r="T260" s="1323"/>
      <c r="U260" s="1323"/>
      <c r="V260" s="1321"/>
      <c r="W260" s="1333"/>
      <c r="X260" s="1323">
        <v>0</v>
      </c>
      <c r="Y260" s="1323"/>
      <c r="Z260" s="1324">
        <f>D260+I260+N260+S260+X260</f>
        <v>0</v>
      </c>
      <c r="AA260" s="1325">
        <f t="shared" si="59"/>
        <v>0</v>
      </c>
      <c r="AB260" s="1326"/>
      <c r="AC260" s="1321"/>
      <c r="AD260" s="1321"/>
      <c r="AE260" s="1323"/>
      <c r="AF260" s="1321"/>
      <c r="AG260" s="1322"/>
      <c r="AH260" s="1323"/>
      <c r="AI260" s="1321"/>
      <c r="AJ260" s="1324">
        <f t="shared" si="60"/>
        <v>0</v>
      </c>
      <c r="AK260" s="941"/>
      <c r="AL260" s="943"/>
      <c r="AM260" s="940"/>
      <c r="AN260" s="954"/>
      <c r="AO260" s="954"/>
      <c r="AP260" s="954"/>
      <c r="AQ260" s="954"/>
      <c r="AR260" s="954"/>
      <c r="AS260" s="954"/>
      <c r="AT260" s="940"/>
      <c r="AU260" s="1265"/>
      <c r="AV260" s="1265"/>
      <c r="AW260" s="1265"/>
      <c r="AX260" s="1265"/>
      <c r="AY260" s="1265"/>
      <c r="AZ260" s="1265"/>
      <c r="BA260" s="1265"/>
      <c r="BB260" s="1265"/>
      <c r="BC260" s="1265"/>
      <c r="BD260" s="1265"/>
      <c r="BE260" s="1265"/>
    </row>
    <row r="261" spans="1:57" ht="13.5" hidden="1" customHeight="1" thickTop="1">
      <c r="A261" s="1327" t="s">
        <v>61</v>
      </c>
      <c r="B261" s="1327"/>
      <c r="C261" s="1327"/>
      <c r="D261" s="1328">
        <f>SUM(D237:D255)</f>
        <v>121.5</v>
      </c>
      <c r="E261" s="1312">
        <f>SUM(E238:E255)</f>
        <v>1</v>
      </c>
      <c r="F261" s="1327"/>
      <c r="G261" s="1327"/>
      <c r="H261" s="1327"/>
      <c r="I261" s="1328">
        <f>SUM(I237:I255)</f>
        <v>120</v>
      </c>
      <c r="J261" s="1312">
        <f>SUM(J238:J255)</f>
        <v>0</v>
      </c>
      <c r="K261" s="1327"/>
      <c r="L261" s="1327"/>
      <c r="M261" s="1327"/>
      <c r="N261" s="1328">
        <f>SUM(N237:N255)</f>
        <v>124.5</v>
      </c>
      <c r="O261" s="1312">
        <f>SUM(O238:O255)</f>
        <v>7</v>
      </c>
      <c r="P261" s="1327"/>
      <c r="Q261" s="1327"/>
      <c r="R261" s="1327"/>
      <c r="S261" s="1328">
        <f>SUM(S237:S255)</f>
        <v>129</v>
      </c>
      <c r="T261" s="1312">
        <f>SUM(T238:T255)</f>
        <v>0.5</v>
      </c>
      <c r="U261" s="1327"/>
      <c r="V261" s="1327"/>
      <c r="W261" s="1327"/>
      <c r="X261" s="1328">
        <f>SUM(X237:X255)</f>
        <v>135</v>
      </c>
      <c r="Y261" s="1312">
        <f>SUM(Y238:Y255)</f>
        <v>2</v>
      </c>
      <c r="Z261" s="1314">
        <f>SUM(Z237:Z255)</f>
        <v>630</v>
      </c>
      <c r="AA261" s="1314">
        <f>SUM(AA237:AA254)</f>
        <v>10.5</v>
      </c>
      <c r="AB261" s="1310"/>
      <c r="AC261" s="1327"/>
      <c r="AD261" s="1327"/>
      <c r="AE261" s="1314">
        <f>SUM(AE237:AE255)</f>
        <v>9.5</v>
      </c>
      <c r="AF261" s="1310"/>
      <c r="AG261" s="1327"/>
      <c r="AH261" s="1327"/>
      <c r="AI261" s="1314">
        <f>SUM(AI237:AI255)</f>
        <v>9.5</v>
      </c>
      <c r="AJ261" s="1314">
        <f>SUM(AJ237:AJ259)</f>
        <v>19</v>
      </c>
      <c r="AK261" s="941"/>
      <c r="AL261" s="943"/>
      <c r="AM261" s="940"/>
      <c r="AN261" s="954"/>
      <c r="AO261" s="954"/>
      <c r="AP261" s="954"/>
      <c r="AQ261" s="954"/>
      <c r="AR261" s="954"/>
      <c r="AS261" s="954"/>
      <c r="AT261" s="940"/>
      <c r="AU261" s="1265"/>
      <c r="AV261" s="1265"/>
      <c r="AW261" s="1265"/>
      <c r="AX261" s="1265"/>
      <c r="AY261" s="1265"/>
      <c r="AZ261" s="1265"/>
      <c r="BA261" s="1265"/>
      <c r="BB261" s="1265"/>
      <c r="BC261" s="1265"/>
      <c r="BD261" s="1265"/>
      <c r="BE261" s="1265"/>
    </row>
    <row r="262" spans="1:57" ht="13.5" hidden="1" customHeight="1">
      <c r="A262" s="1313" t="s">
        <v>1434</v>
      </c>
      <c r="B262" s="1327"/>
      <c r="C262" s="1327"/>
      <c r="D262" s="1328">
        <f>SUM(D256:D260)</f>
        <v>23.75</v>
      </c>
      <c r="E262" s="1312"/>
      <c r="F262" s="1327"/>
      <c r="G262" s="1327"/>
      <c r="H262" s="1327"/>
      <c r="I262" s="1328">
        <f>SUM(I256:I260)</f>
        <v>32</v>
      </c>
      <c r="J262" s="1312"/>
      <c r="K262" s="1327"/>
      <c r="L262" s="1327"/>
      <c r="M262" s="1327"/>
      <c r="N262" s="1328">
        <f>SUM(N256:N260)</f>
        <v>32</v>
      </c>
      <c r="O262" s="1312"/>
      <c r="P262" s="1327"/>
      <c r="Q262" s="1327"/>
      <c r="R262" s="1327"/>
      <c r="S262" s="1328">
        <f>SUM(S256:S260)</f>
        <v>24</v>
      </c>
      <c r="T262" s="1312"/>
      <c r="U262" s="1327"/>
      <c r="V262" s="1327"/>
      <c r="W262" s="1327"/>
      <c r="X262" s="1328">
        <f>SUM(X256:X260)</f>
        <v>24</v>
      </c>
      <c r="Y262" s="1312"/>
      <c r="Z262" s="1314">
        <f>SUM(Z256:Z260)</f>
        <v>135.75</v>
      </c>
      <c r="AA262" s="1314">
        <f>SUM(AA256:AA260)</f>
        <v>0</v>
      </c>
      <c r="AB262" s="1310"/>
      <c r="AC262" s="1327"/>
      <c r="AD262" s="1327"/>
      <c r="AE262" s="1314">
        <f>SUM(AE256:AE260)</f>
        <v>0</v>
      </c>
      <c r="AF262" s="1310"/>
      <c r="AG262" s="1327"/>
      <c r="AH262" s="1327"/>
      <c r="AI262" s="1314">
        <f>SUM(AI256:AI260)</f>
        <v>0</v>
      </c>
      <c r="AJ262" s="1314">
        <f>SUM(AE262+AI262)</f>
        <v>0</v>
      </c>
      <c r="AK262" s="941"/>
      <c r="AL262" s="943"/>
      <c r="AM262" s="940"/>
      <c r="AN262" s="954"/>
      <c r="AO262" s="954"/>
      <c r="AP262" s="954"/>
      <c r="AQ262" s="954"/>
      <c r="AR262" s="954"/>
      <c r="AS262" s="954"/>
      <c r="AT262" s="940"/>
      <c r="AU262" s="1265"/>
      <c r="AV262" s="1265"/>
      <c r="AW262" s="1265"/>
      <c r="AX262" s="1265"/>
      <c r="AY262" s="1265"/>
      <c r="AZ262" s="1265"/>
      <c r="BA262" s="1265"/>
      <c r="BB262" s="1265"/>
      <c r="BC262" s="1265"/>
      <c r="BD262" s="1265"/>
      <c r="BE262" s="1265"/>
    </row>
    <row r="263" spans="1:57" ht="13.5" hidden="1" customHeight="1">
      <c r="A263" s="1327" t="s">
        <v>64</v>
      </c>
      <c r="B263" s="1315"/>
      <c r="C263" s="1315"/>
      <c r="D263" s="1312">
        <v>8</v>
      </c>
      <c r="E263" s="1312">
        <v>0.5</v>
      </c>
      <c r="F263" s="1312"/>
      <c r="G263" s="1315"/>
      <c r="H263" s="1315"/>
      <c r="I263" s="1312">
        <v>8</v>
      </c>
      <c r="J263" s="1312"/>
      <c r="K263" s="1312"/>
      <c r="L263" s="1315"/>
      <c r="M263" s="1315"/>
      <c r="N263" s="1312">
        <v>8</v>
      </c>
      <c r="O263" s="1312"/>
      <c r="P263" s="1312"/>
      <c r="Q263" s="1315"/>
      <c r="R263" s="1315"/>
      <c r="S263" s="1312">
        <v>7</v>
      </c>
      <c r="T263" s="1312"/>
      <c r="U263" s="1312"/>
      <c r="V263" s="1315"/>
      <c r="W263" s="1315"/>
      <c r="X263" s="1312">
        <v>8.5</v>
      </c>
      <c r="Y263" s="1312"/>
      <c r="Z263" s="1314">
        <f>D263+I263+N263+S263+X263</f>
        <v>39.5</v>
      </c>
      <c r="AA263" s="1312">
        <f>E263+J263+O263+T263+Y263</f>
        <v>0.5</v>
      </c>
      <c r="AB263" s="1310"/>
      <c r="AC263" s="1315"/>
      <c r="AD263" s="1315"/>
      <c r="AE263" s="1312">
        <f>1+1+1</f>
        <v>3</v>
      </c>
      <c r="AF263" s="1310"/>
      <c r="AG263" s="1315"/>
      <c r="AH263" s="1315"/>
      <c r="AI263" s="1312">
        <f>1+1+1</f>
        <v>3</v>
      </c>
      <c r="AJ263" s="1314">
        <f>AE263+AI263</f>
        <v>6</v>
      </c>
      <c r="AK263" s="941"/>
      <c r="AL263" s="943"/>
      <c r="AM263" s="940"/>
      <c r="AN263" s="954"/>
      <c r="AO263" s="954"/>
      <c r="AP263" s="954"/>
      <c r="AQ263" s="954"/>
      <c r="AR263" s="954"/>
      <c r="AS263" s="954"/>
      <c r="AT263" s="940"/>
      <c r="AU263" s="1265"/>
      <c r="AV263" s="1265"/>
      <c r="AW263" s="1265"/>
      <c r="AX263" s="1265"/>
      <c r="AY263" s="1265"/>
      <c r="AZ263" s="1265"/>
      <c r="BA263" s="1265"/>
      <c r="BB263" s="1265"/>
      <c r="BC263" s="1265"/>
      <c r="BD263" s="1265"/>
      <c r="BE263" s="1265"/>
    </row>
    <row r="264" spans="1:57" ht="13.5" hidden="1" customHeight="1">
      <c r="A264" s="940"/>
      <c r="B264" s="940"/>
      <c r="C264" s="940"/>
      <c r="D264" s="941"/>
      <c r="E264" s="942"/>
      <c r="F264" s="941"/>
      <c r="G264" s="940"/>
      <c r="H264" s="940"/>
      <c r="I264" s="941"/>
      <c r="J264" s="942"/>
      <c r="K264" s="941"/>
      <c r="L264" s="940"/>
      <c r="M264" s="940"/>
      <c r="N264" s="941"/>
      <c r="O264" s="942"/>
      <c r="P264" s="941"/>
      <c r="Q264" s="940"/>
      <c r="R264" s="940"/>
      <c r="S264" s="941"/>
      <c r="T264" s="942"/>
      <c r="U264" s="941"/>
      <c r="V264" s="940"/>
      <c r="W264" s="940"/>
      <c r="X264" s="941"/>
      <c r="Y264" s="942"/>
      <c r="Z264" s="941"/>
      <c r="AA264" s="941"/>
      <c r="AB264" s="941"/>
      <c r="AC264" s="940"/>
      <c r="AD264" s="940"/>
      <c r="AE264" s="940"/>
      <c r="AF264" s="941"/>
      <c r="AG264" s="940"/>
      <c r="AH264" s="940"/>
      <c r="AI264" s="940"/>
      <c r="AJ264" s="940"/>
      <c r="AK264" s="941"/>
      <c r="AL264" s="943"/>
      <c r="AM264" s="940"/>
      <c r="AN264" s="940"/>
      <c r="AO264" s="940"/>
      <c r="AP264" s="940"/>
      <c r="AQ264" s="940"/>
      <c r="AR264" s="940"/>
      <c r="AS264" s="940"/>
      <c r="AT264" s="940"/>
      <c r="AU264" s="1265"/>
      <c r="AV264" s="1265"/>
      <c r="AW264" s="1265"/>
      <c r="AX264" s="1265"/>
      <c r="AY264" s="1265"/>
      <c r="AZ264" s="1265"/>
      <c r="BA264" s="1265"/>
      <c r="BB264" s="1265"/>
      <c r="BC264" s="1265"/>
      <c r="BD264" s="1265"/>
      <c r="BE264" s="1265"/>
    </row>
    <row r="265" spans="1:57" ht="13.5" hidden="1" customHeight="1">
      <c r="A265" s="974"/>
      <c r="B265" s="975"/>
      <c r="C265" s="975"/>
      <c r="D265" s="976"/>
      <c r="E265" s="976"/>
      <c r="F265" s="975"/>
      <c r="G265" s="976"/>
      <c r="H265" s="976"/>
      <c r="I265" s="976"/>
      <c r="J265" s="976"/>
      <c r="K265" s="975"/>
      <c r="L265" s="975"/>
      <c r="M265" s="975"/>
      <c r="N265" s="975"/>
      <c r="O265" s="976"/>
      <c r="P265" s="975"/>
      <c r="Q265" s="975"/>
      <c r="R265" s="975"/>
      <c r="S265" s="975"/>
      <c r="T265" s="976"/>
      <c r="U265" s="975"/>
      <c r="V265" s="975"/>
      <c r="W265" s="975"/>
      <c r="X265" s="977"/>
      <c r="Y265" s="976"/>
      <c r="Z265" s="978"/>
      <c r="AA265" s="976"/>
      <c r="AB265" s="979"/>
      <c r="AC265" s="980"/>
      <c r="AD265" s="943"/>
      <c r="AE265" s="943"/>
      <c r="AF265" s="979"/>
      <c r="AG265" s="980"/>
      <c r="AH265" s="943"/>
      <c r="AI265" s="943"/>
      <c r="AJ265" s="943"/>
      <c r="AK265" s="979"/>
      <c r="AL265" s="943"/>
      <c r="AM265" s="943"/>
      <c r="AN265" s="943"/>
      <c r="AO265" s="943"/>
      <c r="AP265" s="943"/>
      <c r="AQ265" s="943"/>
      <c r="AR265" s="943"/>
      <c r="AS265" s="943"/>
      <c r="AT265" s="940"/>
      <c r="AU265" s="1265"/>
      <c r="AV265" s="1265"/>
      <c r="AW265" s="1265"/>
      <c r="AX265" s="1265"/>
      <c r="AY265" s="1265"/>
      <c r="AZ265" s="1265"/>
      <c r="BA265" s="1265"/>
      <c r="BB265" s="1265"/>
      <c r="BC265" s="1265"/>
      <c r="BD265" s="1265"/>
      <c r="BE265" s="1265"/>
    </row>
    <row r="266" spans="1:57" ht="13.5" hidden="1" customHeight="1">
      <c r="A266" s="940"/>
      <c r="B266" s="940"/>
      <c r="C266" s="940"/>
      <c r="D266" s="941"/>
      <c r="E266" s="942"/>
      <c r="F266" s="941"/>
      <c r="G266" s="940"/>
      <c r="H266" s="940"/>
      <c r="I266" s="941"/>
      <c r="J266" s="942"/>
      <c r="K266" s="941"/>
      <c r="L266" s="940"/>
      <c r="M266" s="940"/>
      <c r="N266" s="941"/>
      <c r="O266" s="942"/>
      <c r="P266" s="941"/>
      <c r="Q266" s="940"/>
      <c r="R266" s="940"/>
      <c r="S266" s="941"/>
      <c r="T266" s="942"/>
      <c r="U266" s="941"/>
      <c r="V266" s="940"/>
      <c r="W266" s="940"/>
      <c r="X266" s="941"/>
      <c r="Y266" s="942"/>
      <c r="Z266" s="941"/>
      <c r="AA266" s="941"/>
      <c r="AB266" s="941"/>
      <c r="AC266" s="940"/>
      <c r="AD266" s="940"/>
      <c r="AE266" s="940"/>
      <c r="AF266" s="941"/>
      <c r="AG266" s="940"/>
      <c r="AH266" s="940"/>
      <c r="AI266" s="940"/>
      <c r="AJ266" s="940"/>
      <c r="AK266" s="941"/>
      <c r="AL266" s="943"/>
      <c r="AM266" s="940"/>
      <c r="AN266" s="954"/>
      <c r="AO266" s="954"/>
      <c r="AP266" s="954"/>
      <c r="AQ266" s="954"/>
      <c r="AR266" s="954"/>
      <c r="AS266" s="954"/>
      <c r="AT266" s="940"/>
      <c r="AU266" s="1265"/>
      <c r="AV266" s="1265"/>
      <c r="AW266" s="1265"/>
      <c r="AX266" s="1265"/>
      <c r="AY266" s="1265"/>
      <c r="AZ266" s="1265"/>
      <c r="BA266" s="1265"/>
      <c r="BB266" s="1265"/>
      <c r="BC266" s="1265"/>
      <c r="BD266" s="1265"/>
      <c r="BE266" s="1265"/>
    </row>
    <row r="267" spans="1:57" ht="13.5" hidden="1" customHeight="1">
      <c r="A267" s="1615" t="s">
        <v>18</v>
      </c>
      <c r="B267" s="1616">
        <v>46090</v>
      </c>
      <c r="C267" s="1616"/>
      <c r="D267" s="1616" t="s">
        <v>564</v>
      </c>
      <c r="E267" s="1616"/>
      <c r="F267" s="1308"/>
      <c r="G267" s="1616">
        <v>46091</v>
      </c>
      <c r="H267" s="1616"/>
      <c r="I267" s="1616" t="s">
        <v>565</v>
      </c>
      <c r="J267" s="1616"/>
      <c r="K267" s="1308"/>
      <c r="L267" s="1616">
        <v>46092</v>
      </c>
      <c r="M267" s="1616"/>
      <c r="N267" s="1616" t="s">
        <v>566</v>
      </c>
      <c r="O267" s="1616"/>
      <c r="P267" s="1308"/>
      <c r="Q267" s="1616">
        <v>46093</v>
      </c>
      <c r="R267" s="1616"/>
      <c r="S267" s="1616" t="s">
        <v>567</v>
      </c>
      <c r="T267" s="1616"/>
      <c r="U267" s="1308"/>
      <c r="V267" s="1616">
        <v>46094</v>
      </c>
      <c r="W267" s="1616"/>
      <c r="X267" s="1616" t="s">
        <v>568</v>
      </c>
      <c r="Y267" s="1616"/>
      <c r="Z267" s="1617" t="s">
        <v>19</v>
      </c>
      <c r="AA267" s="1617" t="s">
        <v>20</v>
      </c>
      <c r="AB267" s="1310"/>
      <c r="AC267" s="1616">
        <v>46095</v>
      </c>
      <c r="AD267" s="1616"/>
      <c r="AE267" s="1311" t="s">
        <v>569</v>
      </c>
      <c r="AF267" s="1310"/>
      <c r="AG267" s="1616">
        <v>46096</v>
      </c>
      <c r="AH267" s="1616"/>
      <c r="AI267" s="1311" t="s">
        <v>570</v>
      </c>
      <c r="AJ267" s="1617" t="s">
        <v>1420</v>
      </c>
      <c r="AK267" s="941"/>
      <c r="AL267" s="943"/>
      <c r="AM267" s="940"/>
      <c r="AN267" s="985" t="s">
        <v>84</v>
      </c>
      <c r="AO267" s="986"/>
      <c r="AP267" s="986"/>
      <c r="AQ267" s="986"/>
      <c r="AR267" s="986"/>
      <c r="AS267" s="986"/>
      <c r="AT267" s="940"/>
      <c r="AU267" s="1265"/>
      <c r="AV267" s="1265"/>
      <c r="AW267" s="1265"/>
      <c r="AX267" s="1265"/>
      <c r="AY267" s="1265"/>
      <c r="AZ267" s="1265"/>
      <c r="BA267" s="1265"/>
      <c r="BB267" s="1265"/>
      <c r="BC267" s="1265"/>
      <c r="BD267" s="1265"/>
      <c r="BE267" s="1265"/>
    </row>
    <row r="268" spans="1:57" ht="13.5" hidden="1" customHeight="1">
      <c r="A268" s="1615"/>
      <c r="B268" s="1309" t="s">
        <v>23</v>
      </c>
      <c r="C268" s="1309" t="s">
        <v>24</v>
      </c>
      <c r="D268" s="1312" t="s">
        <v>25</v>
      </c>
      <c r="E268" s="1313" t="s">
        <v>14</v>
      </c>
      <c r="F268" s="1310"/>
      <c r="G268" s="1309" t="s">
        <v>23</v>
      </c>
      <c r="H268" s="1309" t="s">
        <v>24</v>
      </c>
      <c r="I268" s="1313" t="s">
        <v>25</v>
      </c>
      <c r="J268" s="1313" t="s">
        <v>14</v>
      </c>
      <c r="K268" s="1310"/>
      <c r="L268" s="1309" t="s">
        <v>23</v>
      </c>
      <c r="M268" s="1309" t="s">
        <v>24</v>
      </c>
      <c r="N268" s="1313" t="s">
        <v>25</v>
      </c>
      <c r="O268" s="1313" t="s">
        <v>14</v>
      </c>
      <c r="P268" s="1310"/>
      <c r="Q268" s="1309" t="s">
        <v>23</v>
      </c>
      <c r="R268" s="1309" t="s">
        <v>24</v>
      </c>
      <c r="S268" s="1313" t="s">
        <v>25</v>
      </c>
      <c r="T268" s="1313" t="s">
        <v>14</v>
      </c>
      <c r="U268" s="1310"/>
      <c r="V268" s="1309" t="s">
        <v>23</v>
      </c>
      <c r="W268" s="1309" t="s">
        <v>24</v>
      </c>
      <c r="X268" s="1313" t="s">
        <v>25</v>
      </c>
      <c r="Y268" s="1313" t="s">
        <v>14</v>
      </c>
      <c r="Z268" s="1617"/>
      <c r="AA268" s="1617"/>
      <c r="AB268" s="1310"/>
      <c r="AC268" s="1309" t="s">
        <v>23</v>
      </c>
      <c r="AD268" s="1309" t="s">
        <v>24</v>
      </c>
      <c r="AE268" s="1313" t="s">
        <v>25</v>
      </c>
      <c r="AF268" s="1310"/>
      <c r="AG268" s="1309" t="s">
        <v>23</v>
      </c>
      <c r="AH268" s="1309" t="s">
        <v>24</v>
      </c>
      <c r="AI268" s="1313" t="s">
        <v>25</v>
      </c>
      <c r="AJ268" s="1617"/>
      <c r="AK268" s="941"/>
      <c r="AL268" s="943"/>
      <c r="AM268" s="940"/>
      <c r="AN268" s="992" t="s">
        <v>26</v>
      </c>
      <c r="AO268" s="1005">
        <f>Z294</f>
        <v>629.25</v>
      </c>
      <c r="AP268" s="994">
        <v>40.31</v>
      </c>
      <c r="AQ268" s="994">
        <f>AP268*AO268</f>
        <v>25365.067500000001</v>
      </c>
      <c r="AR268" s="954"/>
      <c r="AS268" s="954"/>
      <c r="AT268" s="940"/>
      <c r="AU268" s="1265"/>
      <c r="AV268" s="1265"/>
      <c r="AW268" s="1265"/>
      <c r="AX268" s="1265"/>
      <c r="AY268" s="1265"/>
      <c r="AZ268" s="1265"/>
      <c r="BA268" s="1265"/>
      <c r="BB268" s="1265"/>
      <c r="BC268" s="1265"/>
      <c r="BD268" s="1265"/>
      <c r="BE268" s="1265"/>
    </row>
    <row r="269" spans="1:57" ht="13.5" hidden="1" customHeight="1">
      <c r="A269" s="1315" t="s">
        <v>72</v>
      </c>
      <c r="B269" s="1315">
        <v>0.29166666666666669</v>
      </c>
      <c r="C269" s="1315">
        <v>0.125</v>
      </c>
      <c r="D269" s="1312">
        <v>8</v>
      </c>
      <c r="E269" s="1312"/>
      <c r="F269" s="1310"/>
      <c r="G269" s="1332">
        <v>0.30208333333333331</v>
      </c>
      <c r="H269" s="1315">
        <v>0.125</v>
      </c>
      <c r="I269" s="1312">
        <v>8</v>
      </c>
      <c r="J269" s="1312"/>
      <c r="K269" s="1310"/>
      <c r="L269" s="1315">
        <v>0.29166666666666669</v>
      </c>
      <c r="M269" s="1315">
        <v>0.125</v>
      </c>
      <c r="N269" s="1312">
        <v>8</v>
      </c>
      <c r="O269" s="1312"/>
      <c r="P269" s="1310"/>
      <c r="Q269" s="1315">
        <v>0.29166666666666669</v>
      </c>
      <c r="R269" s="1315">
        <v>0.125</v>
      </c>
      <c r="S269" s="1312">
        <v>8</v>
      </c>
      <c r="T269" s="1312"/>
      <c r="U269" s="1310"/>
      <c r="V269" s="1315">
        <v>0.29166666666666669</v>
      </c>
      <c r="W269" s="1315">
        <v>0.125</v>
      </c>
      <c r="X269" s="1312">
        <v>8</v>
      </c>
      <c r="Y269" s="1312"/>
      <c r="Z269" s="1314">
        <f>D269+I269+N269+S269+X269</f>
        <v>40</v>
      </c>
      <c r="AA269" s="1316">
        <f>E269+J269+O269+T269+Y269</f>
        <v>0</v>
      </c>
      <c r="AB269" s="1310"/>
      <c r="AC269" s="1317"/>
      <c r="AD269" s="1317"/>
      <c r="AE269" s="1312"/>
      <c r="AF269" s="1310"/>
      <c r="AG269" s="1317"/>
      <c r="AH269" s="1317"/>
      <c r="AI269" s="1312"/>
      <c r="AJ269" s="1314">
        <f>SUM(AE269+AI269)</f>
        <v>0</v>
      </c>
      <c r="AK269" s="941"/>
      <c r="AL269" s="943"/>
      <c r="AM269" s="940"/>
      <c r="AN269" s="992" t="s">
        <v>1421</v>
      </c>
      <c r="AO269" s="1005">
        <f>Z295</f>
        <v>119</v>
      </c>
      <c r="AP269" s="994">
        <v>60.47</v>
      </c>
      <c r="AQ269" s="994">
        <f>AP269*AO269</f>
        <v>7195.93</v>
      </c>
      <c r="AR269" s="954"/>
      <c r="AS269" s="954"/>
      <c r="AT269" s="940"/>
      <c r="AU269" s="1265"/>
      <c r="AV269" s="1265"/>
      <c r="AW269" s="1265"/>
      <c r="AX269" s="1265"/>
      <c r="AY269" s="1265"/>
      <c r="AZ269" s="1265"/>
      <c r="BA269" s="1265"/>
      <c r="BB269" s="1265"/>
      <c r="BC269" s="1265"/>
      <c r="BD269" s="1265"/>
      <c r="BE269" s="1265"/>
    </row>
    <row r="270" spans="1:57" ht="13.5" hidden="1" customHeight="1">
      <c r="A270" s="1318" t="s">
        <v>1166</v>
      </c>
      <c r="B270" s="1315">
        <v>0.29166666666666669</v>
      </c>
      <c r="C270" s="1315">
        <v>0.125</v>
      </c>
      <c r="D270" s="1312">
        <v>8</v>
      </c>
      <c r="E270" s="1312"/>
      <c r="F270" s="1310"/>
      <c r="G270" s="1332">
        <v>0.29166666666666669</v>
      </c>
      <c r="H270" s="1315">
        <v>0.125</v>
      </c>
      <c r="I270" s="1312">
        <v>8</v>
      </c>
      <c r="J270" s="1312"/>
      <c r="K270" s="1310"/>
      <c r="L270" s="1315">
        <v>0.29166666666666669</v>
      </c>
      <c r="M270" s="1315">
        <v>0.125</v>
      </c>
      <c r="N270" s="1312">
        <v>8</v>
      </c>
      <c r="O270" s="1312"/>
      <c r="P270" s="1310"/>
      <c r="Q270" s="1315">
        <v>0.29166666666666669</v>
      </c>
      <c r="R270" s="1315">
        <v>0.125</v>
      </c>
      <c r="S270" s="1312">
        <v>8</v>
      </c>
      <c r="T270" s="1312"/>
      <c r="U270" s="1310"/>
      <c r="V270" s="1315">
        <v>0.29166666666666669</v>
      </c>
      <c r="W270" s="1315">
        <v>0.4375</v>
      </c>
      <c r="X270" s="1312">
        <v>3.5</v>
      </c>
      <c r="Y270" s="1312"/>
      <c r="Z270" s="1314">
        <f t="shared" ref="Z270:Z279" si="64">D270+I270+N270+S270+X270</f>
        <v>35.5</v>
      </c>
      <c r="AA270" s="1316">
        <f t="shared" ref="AA270:AA293" si="65">E270+J270+O270+T270+Y270</f>
        <v>0</v>
      </c>
      <c r="AB270" s="1310"/>
      <c r="AC270" s="1315"/>
      <c r="AD270" s="1315"/>
      <c r="AE270" s="1312"/>
      <c r="AF270" s="1310"/>
      <c r="AG270" s="1315"/>
      <c r="AH270" s="1315"/>
      <c r="AI270" s="1312"/>
      <c r="AJ270" s="1314">
        <f t="shared" ref="AJ270:AJ293" si="66">SUM(AE270+AI270)</f>
        <v>0</v>
      </c>
      <c r="AK270" s="941"/>
      <c r="AL270" s="943"/>
      <c r="AM270" s="940"/>
      <c r="AN270" s="992" t="s">
        <v>30</v>
      </c>
      <c r="AO270" s="1005">
        <f>AA294</f>
        <v>12</v>
      </c>
      <c r="AP270" s="994">
        <v>60.465000000000003</v>
      </c>
      <c r="AQ270" s="994">
        <f>AP270*AO270</f>
        <v>725.58</v>
      </c>
      <c r="AR270" s="954"/>
      <c r="AS270" s="954"/>
      <c r="AT270" s="940"/>
      <c r="AU270" s="1265"/>
      <c r="AV270" s="1265"/>
      <c r="AW270" s="1265"/>
      <c r="AX270" s="1265"/>
      <c r="AY270" s="1265"/>
      <c r="AZ270" s="1265"/>
      <c r="BA270" s="1265"/>
      <c r="BB270" s="1265"/>
      <c r="BC270" s="1265"/>
      <c r="BD270" s="1265"/>
      <c r="BE270" s="1265"/>
    </row>
    <row r="271" spans="1:57" ht="13.5" hidden="1" customHeight="1">
      <c r="A271" s="1318" t="s">
        <v>1482</v>
      </c>
      <c r="B271" s="1315"/>
      <c r="C271" s="1315"/>
      <c r="D271" s="1312">
        <v>8</v>
      </c>
      <c r="E271" s="1312"/>
      <c r="F271" s="1310"/>
      <c r="G271" s="1332"/>
      <c r="H271" s="1315"/>
      <c r="I271" s="1312">
        <v>8</v>
      </c>
      <c r="J271" s="1312"/>
      <c r="K271" s="1310"/>
      <c r="L271" s="1315"/>
      <c r="M271" s="1315"/>
      <c r="N271" s="1312">
        <v>8</v>
      </c>
      <c r="O271" s="1312"/>
      <c r="P271" s="1310"/>
      <c r="Q271" s="1315">
        <v>0.29166666666666669</v>
      </c>
      <c r="R271" s="1315">
        <v>0.20833333333333334</v>
      </c>
      <c r="S271" s="1312">
        <v>8</v>
      </c>
      <c r="T271" s="1312">
        <v>1</v>
      </c>
      <c r="U271" s="1310"/>
      <c r="V271" s="1315">
        <v>0.29166666666666669</v>
      </c>
      <c r="W271" s="1315">
        <v>0.125</v>
      </c>
      <c r="X271" s="1312">
        <v>8</v>
      </c>
      <c r="Y271" s="1312"/>
      <c r="Z271" s="1314">
        <f t="shared" ref="Z271" si="67">D271+I271+N271+S271+X271</f>
        <v>40</v>
      </c>
      <c r="AA271" s="1316">
        <f t="shared" ref="AA271" si="68">E271+J271+O271+T271+Y271</f>
        <v>1</v>
      </c>
      <c r="AB271" s="1310"/>
      <c r="AC271" s="1315"/>
      <c r="AD271" s="1315"/>
      <c r="AE271" s="1312"/>
      <c r="AF271" s="1310"/>
      <c r="AG271" s="1315"/>
      <c r="AH271" s="1315"/>
      <c r="AI271" s="1312"/>
      <c r="AJ271" s="1314">
        <f t="shared" si="66"/>
        <v>0</v>
      </c>
      <c r="AK271" s="941"/>
      <c r="AL271" s="943"/>
      <c r="AM271" s="940"/>
      <c r="AN271" s="992" t="s">
        <v>32</v>
      </c>
      <c r="AO271" s="1005">
        <f>AJ294</f>
        <v>19</v>
      </c>
      <c r="AP271" s="994">
        <v>60.465000000000003</v>
      </c>
      <c r="AQ271" s="994">
        <f>AP271*AO271</f>
        <v>1148.835</v>
      </c>
      <c r="AR271" s="954"/>
      <c r="AS271" s="954"/>
      <c r="AT271" s="940"/>
      <c r="AU271" s="1265"/>
      <c r="AV271" s="1265"/>
      <c r="AW271" s="1265"/>
      <c r="AX271" s="1265"/>
      <c r="AY271" s="1265"/>
      <c r="AZ271" s="1265"/>
      <c r="BA271" s="1265"/>
      <c r="BB271" s="1265"/>
      <c r="BC271" s="1265"/>
      <c r="BD271" s="1265"/>
      <c r="BE271" s="1265"/>
    </row>
    <row r="272" spans="1:57" ht="13.5" hidden="1" customHeight="1">
      <c r="A272" s="1318" t="s">
        <v>1426</v>
      </c>
      <c r="B272" s="1315">
        <v>0.29166666666666669</v>
      </c>
      <c r="C272" s="1315">
        <v>0.125</v>
      </c>
      <c r="D272" s="1312">
        <v>8</v>
      </c>
      <c r="E272" s="1312"/>
      <c r="F272" s="1310"/>
      <c r="G272" s="1332">
        <v>0.29166666666666669</v>
      </c>
      <c r="H272" s="1315">
        <v>0.125</v>
      </c>
      <c r="I272" s="1312">
        <v>8</v>
      </c>
      <c r="J272" s="1312"/>
      <c r="K272" s="1310"/>
      <c r="L272" s="1315">
        <v>0.29166666666666669</v>
      </c>
      <c r="M272" s="1315">
        <v>0.125</v>
      </c>
      <c r="N272" s="1312">
        <v>8</v>
      </c>
      <c r="O272" s="1312"/>
      <c r="P272" s="1310"/>
      <c r="Q272" s="1315">
        <v>0.29166666666666669</v>
      </c>
      <c r="R272" s="1315">
        <v>0.125</v>
      </c>
      <c r="S272" s="1312">
        <v>8</v>
      </c>
      <c r="T272" s="1312"/>
      <c r="U272" s="1310"/>
      <c r="V272" s="1315">
        <v>0.29166666666666669</v>
      </c>
      <c r="W272" s="1315">
        <v>0.125</v>
      </c>
      <c r="X272" s="1312">
        <v>8</v>
      </c>
      <c r="Y272" s="1312"/>
      <c r="Z272" s="1314">
        <f t="shared" si="64"/>
        <v>40</v>
      </c>
      <c r="AA272" s="1316">
        <f t="shared" si="65"/>
        <v>0</v>
      </c>
      <c r="AB272" s="1310"/>
      <c r="AC272" s="1315"/>
      <c r="AD272" s="1315"/>
      <c r="AE272" s="1312"/>
      <c r="AF272" s="1310"/>
      <c r="AG272" s="1315"/>
      <c r="AH272" s="1315"/>
      <c r="AI272" s="1312"/>
      <c r="AJ272" s="1314">
        <f t="shared" si="66"/>
        <v>0</v>
      </c>
      <c r="AK272" s="941"/>
      <c r="AL272" s="943"/>
      <c r="AM272" s="940"/>
      <c r="AN272" s="1260" t="s">
        <v>1475</v>
      </c>
      <c r="AO272" s="1261">
        <f>AA295+AJ295</f>
        <v>0</v>
      </c>
      <c r="AP272" s="1262">
        <f>(60.47*1.5)</f>
        <v>90.704999999999998</v>
      </c>
      <c r="AQ272" s="1262">
        <f t="shared" ref="AQ272" si="69">AP272*AO272</f>
        <v>0</v>
      </c>
      <c r="AR272" s="954"/>
      <c r="AS272" s="954"/>
      <c r="AT272" s="940"/>
      <c r="AU272" s="1265"/>
      <c r="AV272" s="1265"/>
      <c r="AW272" s="1265"/>
      <c r="AX272" s="1265"/>
      <c r="AY272" s="1265"/>
      <c r="AZ272" s="1265"/>
      <c r="BA272" s="1265"/>
      <c r="BB272" s="1265"/>
      <c r="BC272" s="1265"/>
      <c r="BD272" s="1265"/>
      <c r="BE272" s="1265"/>
    </row>
    <row r="273" spans="1:57" ht="13.5" hidden="1" customHeight="1">
      <c r="A273" s="1318" t="s">
        <v>1060</v>
      </c>
      <c r="B273" s="1315">
        <v>0.29166666666666669</v>
      </c>
      <c r="C273" s="1315">
        <v>0.125</v>
      </c>
      <c r="D273" s="1312">
        <v>8</v>
      </c>
      <c r="E273" s="1312"/>
      <c r="F273" s="1310"/>
      <c r="G273" s="1332">
        <v>0.29166666666666669</v>
      </c>
      <c r="H273" s="1315">
        <v>0.125</v>
      </c>
      <c r="I273" s="1312">
        <v>8</v>
      </c>
      <c r="J273" s="1312"/>
      <c r="K273" s="1310"/>
      <c r="L273" s="1315">
        <v>0.29166666666666669</v>
      </c>
      <c r="M273" s="1315">
        <v>0.125</v>
      </c>
      <c r="N273" s="1312">
        <v>8</v>
      </c>
      <c r="O273" s="1312"/>
      <c r="P273" s="1310"/>
      <c r="Q273" s="1315">
        <v>0.29166666666666669</v>
      </c>
      <c r="R273" s="1315">
        <v>0.125</v>
      </c>
      <c r="S273" s="1312">
        <v>8</v>
      </c>
      <c r="T273" s="1312"/>
      <c r="U273" s="1310"/>
      <c r="V273" s="1315">
        <v>0.29166666666666669</v>
      </c>
      <c r="W273" s="1315">
        <v>0.125</v>
      </c>
      <c r="X273" s="1312">
        <v>8</v>
      </c>
      <c r="Y273" s="1312"/>
      <c r="Z273" s="1314">
        <f t="shared" si="64"/>
        <v>40</v>
      </c>
      <c r="AA273" s="1316">
        <f t="shared" si="65"/>
        <v>0</v>
      </c>
      <c r="AB273" s="1310"/>
      <c r="AC273" s="1315"/>
      <c r="AD273" s="1315"/>
      <c r="AE273" s="1312"/>
      <c r="AF273" s="1310"/>
      <c r="AG273" s="1315"/>
      <c r="AH273" s="1315"/>
      <c r="AI273" s="1312"/>
      <c r="AJ273" s="1314">
        <f t="shared" si="66"/>
        <v>0</v>
      </c>
      <c r="AK273" s="941"/>
      <c r="AL273" s="943"/>
      <c r="AM273" s="940"/>
      <c r="AN273" s="992" t="s">
        <v>213</v>
      </c>
      <c r="AO273" s="1005">
        <f>Z296</f>
        <v>40</v>
      </c>
      <c r="AP273" s="994">
        <v>53.05</v>
      </c>
      <c r="AQ273" s="994">
        <f>AP273*AO273</f>
        <v>2122</v>
      </c>
      <c r="AR273" s="954"/>
      <c r="AS273" s="954"/>
      <c r="AT273" s="940"/>
      <c r="AU273" s="1265"/>
      <c r="AV273" s="1265"/>
      <c r="AW273" s="1265"/>
      <c r="AX273" s="1265"/>
      <c r="AY273" s="1265"/>
      <c r="AZ273" s="1265"/>
      <c r="BA273" s="1265"/>
      <c r="BB273" s="1265"/>
      <c r="BC273" s="1265"/>
      <c r="BD273" s="1265"/>
      <c r="BE273" s="1265"/>
    </row>
    <row r="274" spans="1:57" ht="13.5" hidden="1" customHeight="1">
      <c r="A274" s="1318" t="s">
        <v>1438</v>
      </c>
      <c r="B274" s="1315">
        <v>0.29166666666666669</v>
      </c>
      <c r="C274" s="1315">
        <v>0.125</v>
      </c>
      <c r="D274" s="1312">
        <v>8</v>
      </c>
      <c r="E274" s="1312"/>
      <c r="F274" s="1310"/>
      <c r="G274" s="1332">
        <v>0.29166666666666669</v>
      </c>
      <c r="H274" s="1332"/>
      <c r="I274" s="1312">
        <v>7.75</v>
      </c>
      <c r="J274" s="1312"/>
      <c r="K274" s="1310"/>
      <c r="L274" s="1315">
        <v>0.29166666666666669</v>
      </c>
      <c r="M274" s="1315">
        <v>0.125</v>
      </c>
      <c r="N274" s="1312">
        <v>8</v>
      </c>
      <c r="O274" s="1312"/>
      <c r="P274" s="1310"/>
      <c r="Q274" s="1315">
        <v>0.29166666666666669</v>
      </c>
      <c r="R274" s="1315"/>
      <c r="S274" s="1312">
        <v>7.75</v>
      </c>
      <c r="T274" s="1312"/>
      <c r="U274" s="1310"/>
      <c r="V274" s="1315">
        <v>0.29166666666666669</v>
      </c>
      <c r="W274" s="1315">
        <v>0.125</v>
      </c>
      <c r="X274" s="1312">
        <v>8</v>
      </c>
      <c r="Y274" s="1312"/>
      <c r="Z274" s="1314">
        <f t="shared" si="64"/>
        <v>39.5</v>
      </c>
      <c r="AA274" s="1316">
        <f t="shared" si="65"/>
        <v>0</v>
      </c>
      <c r="AB274" s="1310"/>
      <c r="AC274" s="1315"/>
      <c r="AD274" s="1315"/>
      <c r="AE274" s="1312"/>
      <c r="AF274" s="1310"/>
      <c r="AG274" s="1315"/>
      <c r="AH274" s="1315"/>
      <c r="AI274" s="1312"/>
      <c r="AJ274" s="1314">
        <f t="shared" si="66"/>
        <v>0</v>
      </c>
      <c r="AK274" s="941"/>
      <c r="AL274" s="943"/>
      <c r="AM274" s="940"/>
      <c r="AN274" s="992" t="s">
        <v>36</v>
      </c>
      <c r="AO274" s="1005">
        <f>AA296+AJ296</f>
        <v>9</v>
      </c>
      <c r="AP274" s="994">
        <f>53.05*1.5</f>
        <v>79.574999999999989</v>
      </c>
      <c r="AQ274" s="994">
        <f>AP274*AO274</f>
        <v>716.17499999999995</v>
      </c>
      <c r="AR274" s="954"/>
      <c r="AS274" s="954"/>
      <c r="AT274" s="940"/>
      <c r="AU274" s="1265"/>
      <c r="AV274" s="1265"/>
      <c r="AW274" s="1265"/>
      <c r="AX274" s="1265"/>
      <c r="AY274" s="1265"/>
      <c r="AZ274" s="1265"/>
      <c r="BA274" s="1265"/>
      <c r="BB274" s="1265"/>
      <c r="BC274" s="1265"/>
      <c r="BD274" s="1265"/>
      <c r="BE274" s="1265"/>
    </row>
    <row r="275" spans="1:57" ht="13.5" hidden="1" customHeight="1">
      <c r="A275" s="1318" t="s">
        <v>1142</v>
      </c>
      <c r="B275" s="1315">
        <v>0.125</v>
      </c>
      <c r="C275" s="1332">
        <v>0.45833333333333331</v>
      </c>
      <c r="D275" s="1312">
        <v>8</v>
      </c>
      <c r="E275" s="1312"/>
      <c r="F275" s="1310"/>
      <c r="G275" s="1315">
        <v>0.125</v>
      </c>
      <c r="H275" s="1332">
        <v>0.45833333333333331</v>
      </c>
      <c r="I275" s="1312">
        <v>8</v>
      </c>
      <c r="J275" s="1312"/>
      <c r="K275" s="1312"/>
      <c r="L275" s="1315">
        <v>0.125</v>
      </c>
      <c r="M275" s="1315">
        <v>0.45833333333333331</v>
      </c>
      <c r="N275" s="1312">
        <v>8</v>
      </c>
      <c r="O275" s="1312"/>
      <c r="P275" s="1312"/>
      <c r="Q275" s="1315">
        <v>0.125</v>
      </c>
      <c r="R275" s="1315">
        <v>0.45833333333333331</v>
      </c>
      <c r="S275" s="1312">
        <v>8</v>
      </c>
      <c r="T275" s="1312"/>
      <c r="U275" s="1312"/>
      <c r="V275" s="1315">
        <v>0.41666666666666669</v>
      </c>
      <c r="W275" s="1315">
        <v>0.45833333333333331</v>
      </c>
      <c r="X275" s="1312">
        <v>8</v>
      </c>
      <c r="Y275" s="1312">
        <v>4</v>
      </c>
      <c r="Z275" s="1314">
        <f t="shared" si="64"/>
        <v>40</v>
      </c>
      <c r="AA275" s="1316">
        <f t="shared" si="65"/>
        <v>4</v>
      </c>
      <c r="AB275" s="1310"/>
      <c r="AC275" s="1315"/>
      <c r="AD275" s="1315"/>
      <c r="AE275" s="1312"/>
      <c r="AF275" s="1310"/>
      <c r="AG275" s="1315"/>
      <c r="AH275" s="1315"/>
      <c r="AI275" s="1312"/>
      <c r="AJ275" s="1314">
        <f t="shared" si="66"/>
        <v>0</v>
      </c>
      <c r="AK275" s="941"/>
      <c r="AL275" s="943"/>
      <c r="AM275" s="940"/>
      <c r="AN275" s="954"/>
      <c r="AO275" s="954"/>
      <c r="AP275" s="954"/>
      <c r="AQ275" s="1094">
        <f>SUM(AQ268:AQ274)</f>
        <v>37273.587500000001</v>
      </c>
      <c r="AR275" s="954"/>
      <c r="AS275" s="954"/>
      <c r="AT275" s="940"/>
      <c r="AU275" s="1265"/>
      <c r="AV275" s="1265"/>
      <c r="AW275" s="1265"/>
      <c r="AX275" s="1265"/>
      <c r="AY275" s="1265"/>
      <c r="AZ275" s="1265"/>
      <c r="BA275" s="1265"/>
      <c r="BB275" s="1265"/>
      <c r="BC275" s="1265"/>
      <c r="BD275" s="1265"/>
      <c r="BE275" s="1265"/>
    </row>
    <row r="276" spans="1:57" ht="13.5" hidden="1" customHeight="1">
      <c r="A276" s="1318" t="s">
        <v>1447</v>
      </c>
      <c r="B276" s="1315">
        <v>0.125</v>
      </c>
      <c r="C276" s="1332">
        <v>0.45833333333333331</v>
      </c>
      <c r="D276" s="1312">
        <v>8</v>
      </c>
      <c r="E276" s="1312"/>
      <c r="F276" s="1310"/>
      <c r="G276" s="1315">
        <v>0.125</v>
      </c>
      <c r="H276" s="1332">
        <v>0.45833333333333331</v>
      </c>
      <c r="I276" s="1312">
        <v>8</v>
      </c>
      <c r="J276" s="1312"/>
      <c r="K276" s="1312"/>
      <c r="L276" s="1315">
        <v>0.125</v>
      </c>
      <c r="M276" s="1315">
        <v>0.45833333333333331</v>
      </c>
      <c r="N276" s="1312">
        <v>8</v>
      </c>
      <c r="O276" s="1312"/>
      <c r="P276" s="1312"/>
      <c r="Q276" s="1315">
        <v>0.125</v>
      </c>
      <c r="R276" s="1315">
        <v>0.45833333333333331</v>
      </c>
      <c r="S276" s="1312">
        <v>8</v>
      </c>
      <c r="T276" s="1312"/>
      <c r="U276" s="1312"/>
      <c r="V276" s="1315">
        <v>0.125</v>
      </c>
      <c r="W276" s="1315">
        <v>0.45833333333333331</v>
      </c>
      <c r="X276" s="1312">
        <v>8</v>
      </c>
      <c r="Y276" s="1312"/>
      <c r="Z276" s="1314">
        <f t="shared" si="64"/>
        <v>40</v>
      </c>
      <c r="AA276" s="1316">
        <f t="shared" si="65"/>
        <v>0</v>
      </c>
      <c r="AB276" s="1310"/>
      <c r="AC276" s="1315"/>
      <c r="AD276" s="1315"/>
      <c r="AE276" s="1312"/>
      <c r="AF276" s="1310"/>
      <c r="AG276" s="1315"/>
      <c r="AH276" s="1315"/>
      <c r="AI276" s="1312"/>
      <c r="AJ276" s="1314">
        <f t="shared" si="66"/>
        <v>0</v>
      </c>
      <c r="AK276" s="941"/>
      <c r="AL276" s="943"/>
      <c r="AM276" s="940"/>
      <c r="AN276" s="954"/>
      <c r="AO276" s="954"/>
      <c r="AP276" s="954"/>
      <c r="AQ276" s="954"/>
      <c r="AR276" s="954"/>
      <c r="AS276" s="954"/>
      <c r="AT276" s="940"/>
      <c r="AU276" s="1265"/>
      <c r="AV276" s="1265"/>
      <c r="AW276" s="1265"/>
      <c r="AX276" s="1265"/>
      <c r="AY276" s="1265"/>
      <c r="AZ276" s="1265"/>
      <c r="BA276" s="1265"/>
      <c r="BB276" s="1265"/>
      <c r="BC276" s="1265"/>
      <c r="BD276" s="1265"/>
      <c r="BE276" s="1265"/>
    </row>
    <row r="277" spans="1:57" ht="13.5" hidden="1" customHeight="1">
      <c r="A277" s="1310" t="s">
        <v>327</v>
      </c>
      <c r="B277" s="1315">
        <v>0.125</v>
      </c>
      <c r="C277" s="1332">
        <v>0.45833333333333331</v>
      </c>
      <c r="D277" s="1312">
        <v>8</v>
      </c>
      <c r="E277" s="1312"/>
      <c r="F277" s="1312"/>
      <c r="G277" s="1315">
        <v>0.125</v>
      </c>
      <c r="H277" s="1332">
        <v>0.45833333333333331</v>
      </c>
      <c r="I277" s="1312">
        <v>8</v>
      </c>
      <c r="J277" s="1312"/>
      <c r="K277" s="1312"/>
      <c r="L277" s="1315">
        <v>0.125</v>
      </c>
      <c r="M277" s="1315">
        <v>4.1666666666666664E-2</v>
      </c>
      <c r="N277" s="1312">
        <v>8</v>
      </c>
      <c r="O277" s="1312">
        <v>1</v>
      </c>
      <c r="P277" s="1312"/>
      <c r="Q277" s="1315">
        <v>0.3125</v>
      </c>
      <c r="R277" s="1315">
        <v>0.45833333333333331</v>
      </c>
      <c r="S277" s="1312">
        <v>3.5</v>
      </c>
      <c r="T277" s="1312"/>
      <c r="U277" s="1312"/>
      <c r="V277" s="1315">
        <v>0.125</v>
      </c>
      <c r="W277" s="1315">
        <v>0.45833333333333331</v>
      </c>
      <c r="X277" s="1312">
        <v>8</v>
      </c>
      <c r="Y277" s="1312"/>
      <c r="Z277" s="1314">
        <f t="shared" si="64"/>
        <v>35.5</v>
      </c>
      <c r="AA277" s="1316">
        <f t="shared" si="65"/>
        <v>1</v>
      </c>
      <c r="AB277" s="1310"/>
      <c r="AC277" s="1315"/>
      <c r="AD277" s="1315"/>
      <c r="AE277" s="1312"/>
      <c r="AF277" s="1310"/>
      <c r="AG277" s="1315"/>
      <c r="AH277" s="1315"/>
      <c r="AI277" s="1312"/>
      <c r="AJ277" s="1314">
        <f t="shared" si="66"/>
        <v>0</v>
      </c>
      <c r="AK277" s="941"/>
      <c r="AL277" s="943"/>
      <c r="AM277" s="940"/>
      <c r="AN277" s="954"/>
      <c r="AO277" s="954"/>
      <c r="AP277" s="954"/>
      <c r="AQ277" s="954"/>
      <c r="AR277" s="954"/>
      <c r="AS277" s="954"/>
      <c r="AT277" s="940"/>
      <c r="AU277" s="1265"/>
      <c r="AV277" s="1265"/>
      <c r="AW277" s="1265"/>
      <c r="AX277" s="1265"/>
      <c r="AY277" s="1265"/>
      <c r="AZ277" s="1265"/>
      <c r="BA277" s="1265"/>
      <c r="BB277" s="1265"/>
      <c r="BC277" s="1265"/>
      <c r="BD277" s="1265"/>
      <c r="BE277" s="1265"/>
    </row>
    <row r="278" spans="1:57" ht="13.5" hidden="1" customHeight="1">
      <c r="A278" s="1310" t="s">
        <v>1436</v>
      </c>
      <c r="B278" s="1315">
        <v>0.13541666666666666</v>
      </c>
      <c r="C278" s="1332">
        <v>0.45833333333333331</v>
      </c>
      <c r="D278" s="1312">
        <v>7.75</v>
      </c>
      <c r="E278" s="1312"/>
      <c r="F278" s="1312"/>
      <c r="G278" s="1315">
        <v>0.125</v>
      </c>
      <c r="H278" s="1332">
        <v>0.45833333333333331</v>
      </c>
      <c r="I278" s="1312">
        <v>8</v>
      </c>
      <c r="J278" s="1312"/>
      <c r="K278" s="1312"/>
      <c r="L278" s="1315">
        <v>0.125</v>
      </c>
      <c r="M278" s="1315">
        <v>0.45833333333333331</v>
      </c>
      <c r="N278" s="1312">
        <v>8</v>
      </c>
      <c r="O278" s="1312"/>
      <c r="P278" s="1312"/>
      <c r="Q278" s="1315">
        <v>0.125</v>
      </c>
      <c r="R278" s="1315">
        <v>0.45833333333333331</v>
      </c>
      <c r="S278" s="1312">
        <v>8</v>
      </c>
      <c r="T278" s="1312"/>
      <c r="U278" s="1312"/>
      <c r="V278" s="1315">
        <v>0.125</v>
      </c>
      <c r="W278" s="1315">
        <v>0.45833333333333331</v>
      </c>
      <c r="X278" s="1312">
        <v>8</v>
      </c>
      <c r="Y278" s="1312"/>
      <c r="Z278" s="1314">
        <f t="shared" si="64"/>
        <v>39.75</v>
      </c>
      <c r="AA278" s="1316">
        <f t="shared" si="65"/>
        <v>0</v>
      </c>
      <c r="AB278" s="1310"/>
      <c r="AC278" s="1315"/>
      <c r="AD278" s="1315"/>
      <c r="AE278" s="1312"/>
      <c r="AF278" s="1310"/>
      <c r="AG278" s="1315"/>
      <c r="AH278" s="1315"/>
      <c r="AI278" s="1312"/>
      <c r="AJ278" s="1314">
        <f t="shared" si="66"/>
        <v>0</v>
      </c>
      <c r="AK278" s="941"/>
      <c r="AL278" s="943"/>
      <c r="AM278" s="940"/>
      <c r="AN278" s="954"/>
      <c r="AO278" s="954"/>
      <c r="AP278" s="954"/>
      <c r="AQ278" s="954"/>
      <c r="AR278" s="954"/>
      <c r="AS278" s="954"/>
      <c r="AT278" s="940"/>
      <c r="AU278" s="1265"/>
      <c r="AV278" s="1265"/>
      <c r="AW278" s="1265"/>
      <c r="AX278" s="1265"/>
      <c r="AY278" s="1265"/>
      <c r="AZ278" s="1265"/>
      <c r="BA278" s="1265"/>
      <c r="BB278" s="1265"/>
      <c r="BC278" s="1265"/>
      <c r="BD278" s="1265"/>
      <c r="BE278" s="1265"/>
    </row>
    <row r="279" spans="1:57" ht="13.5" hidden="1" customHeight="1">
      <c r="A279" s="1318" t="s">
        <v>1140</v>
      </c>
      <c r="B279" s="1315">
        <v>0.125</v>
      </c>
      <c r="C279" s="1332">
        <v>0.45833333333333331</v>
      </c>
      <c r="D279" s="1312">
        <v>8</v>
      </c>
      <c r="E279" s="1312"/>
      <c r="F279" s="1310"/>
      <c r="G279" s="1315">
        <v>0.125</v>
      </c>
      <c r="H279" s="1332">
        <v>0.45833333333333331</v>
      </c>
      <c r="I279" s="1312">
        <v>8</v>
      </c>
      <c r="J279" s="1312"/>
      <c r="K279" s="1310"/>
      <c r="L279" s="1315">
        <v>0.125</v>
      </c>
      <c r="M279" s="1315">
        <v>6.25E-2</v>
      </c>
      <c r="N279" s="1312">
        <v>8</v>
      </c>
      <c r="O279" s="1312">
        <v>1.5</v>
      </c>
      <c r="P279" s="1310"/>
      <c r="Q279" s="1315">
        <v>0.125</v>
      </c>
      <c r="R279" s="1315">
        <v>6.25E-2</v>
      </c>
      <c r="S279" s="1312">
        <v>8</v>
      </c>
      <c r="T279" s="1312">
        <v>1.5</v>
      </c>
      <c r="U279" s="1310"/>
      <c r="V279" s="1315">
        <v>0.125</v>
      </c>
      <c r="W279" s="1315">
        <v>0.45833333333333331</v>
      </c>
      <c r="X279" s="1312">
        <v>8</v>
      </c>
      <c r="Y279" s="1312"/>
      <c r="Z279" s="1314">
        <f t="shared" si="64"/>
        <v>40</v>
      </c>
      <c r="AA279" s="1316">
        <f t="shared" si="65"/>
        <v>3</v>
      </c>
      <c r="AB279" s="1310"/>
      <c r="AC279" s="1315"/>
      <c r="AD279" s="1315"/>
      <c r="AE279" s="1312"/>
      <c r="AF279" s="1310"/>
      <c r="AG279" s="1315"/>
      <c r="AH279" s="1315"/>
      <c r="AI279" s="1312"/>
      <c r="AJ279" s="1314">
        <f t="shared" si="66"/>
        <v>0</v>
      </c>
      <c r="AK279" s="941"/>
      <c r="AL279" s="943"/>
      <c r="AM279" s="940"/>
      <c r="AN279" s="992"/>
      <c r="AO279" s="1005"/>
      <c r="AP279" s="994"/>
      <c r="AQ279" s="994"/>
      <c r="AR279" s="954"/>
      <c r="AS279" s="954"/>
      <c r="AT279" s="940"/>
      <c r="AU279" s="1265"/>
      <c r="AV279" s="1265"/>
      <c r="AW279" s="1265"/>
      <c r="AX279" s="1265"/>
      <c r="AY279" s="1265"/>
      <c r="AZ279" s="1265"/>
      <c r="BA279" s="1265"/>
      <c r="BB279" s="1265"/>
      <c r="BC279" s="1265"/>
      <c r="BD279" s="1265"/>
      <c r="BE279" s="1265"/>
    </row>
    <row r="280" spans="1:57" ht="13.5" hidden="1" customHeight="1">
      <c r="A280" s="1318" t="s">
        <v>1141</v>
      </c>
      <c r="B280" s="1332"/>
      <c r="C280" s="1332"/>
      <c r="D280" s="1312">
        <v>0</v>
      </c>
      <c r="E280" s="1312"/>
      <c r="F280" s="1312"/>
      <c r="G280" s="1332"/>
      <c r="H280" s="1332"/>
      <c r="I280" s="1312">
        <v>0</v>
      </c>
      <c r="J280" s="1312"/>
      <c r="K280" s="1312"/>
      <c r="L280" s="1315"/>
      <c r="M280" s="1315"/>
      <c r="N280" s="1312">
        <v>0</v>
      </c>
      <c r="O280" s="1312"/>
      <c r="P280" s="1312"/>
      <c r="Q280" s="1315"/>
      <c r="R280" s="1315"/>
      <c r="S280" s="1312">
        <v>0</v>
      </c>
      <c r="T280" s="1312"/>
      <c r="U280" s="1312"/>
      <c r="V280" s="1315"/>
      <c r="W280" s="1315"/>
      <c r="X280" s="1312">
        <v>0</v>
      </c>
      <c r="Y280" s="1312"/>
      <c r="Z280" s="1314">
        <f>D280+I280+N280+S280+X280</f>
        <v>0</v>
      </c>
      <c r="AA280" s="1316">
        <f t="shared" si="65"/>
        <v>0</v>
      </c>
      <c r="AB280" s="1310"/>
      <c r="AC280" s="1315"/>
      <c r="AD280" s="1315"/>
      <c r="AE280" s="1312"/>
      <c r="AF280" s="1310"/>
      <c r="AG280" s="1315"/>
      <c r="AH280" s="1315"/>
      <c r="AI280" s="1312"/>
      <c r="AJ280" s="1314">
        <f t="shared" si="66"/>
        <v>0</v>
      </c>
      <c r="AK280" s="941"/>
      <c r="AL280" s="943"/>
      <c r="AM280" s="940"/>
      <c r="AN280" s="954"/>
      <c r="AO280" s="954"/>
      <c r="AP280" s="954"/>
      <c r="AQ280" s="954"/>
      <c r="AR280" s="954"/>
      <c r="AS280" s="954"/>
      <c r="AT280" s="940"/>
      <c r="AU280" s="1265"/>
      <c r="AV280" s="1265"/>
      <c r="AW280" s="1265"/>
      <c r="AX280" s="1265"/>
      <c r="AY280" s="1265"/>
      <c r="AZ280" s="1265"/>
      <c r="BA280" s="1265"/>
      <c r="BB280" s="1265"/>
      <c r="BC280" s="1265"/>
      <c r="BD280" s="1265"/>
      <c r="BE280" s="1265"/>
    </row>
    <row r="281" spans="1:57" ht="13.5" hidden="1" customHeight="1">
      <c r="A281" s="1318" t="s">
        <v>241</v>
      </c>
      <c r="B281" s="1315">
        <v>0.29166666666666669</v>
      </c>
      <c r="C281" s="1315">
        <v>8.3333333333333329E-2</v>
      </c>
      <c r="D281" s="1312">
        <v>6.5</v>
      </c>
      <c r="E281" s="1312"/>
      <c r="F281" s="1312"/>
      <c r="G281" s="1315">
        <v>0.41666666666666669</v>
      </c>
      <c r="H281" s="1332">
        <v>0.20833333333333334</v>
      </c>
      <c r="I281" s="1312">
        <v>6.5</v>
      </c>
      <c r="J281" s="1312"/>
      <c r="K281" s="1312"/>
      <c r="L281" s="1315">
        <v>0.41666666666666669</v>
      </c>
      <c r="M281" s="1315">
        <v>0.20833333333333334</v>
      </c>
      <c r="N281" s="1312">
        <v>6.5</v>
      </c>
      <c r="O281" s="1312"/>
      <c r="P281" s="1312"/>
      <c r="Q281" s="1315">
        <v>0.41666666666666669</v>
      </c>
      <c r="R281" s="1315">
        <v>0.33333333333333331</v>
      </c>
      <c r="S281" s="1312">
        <v>8</v>
      </c>
      <c r="T281" s="1312">
        <v>1</v>
      </c>
      <c r="U281" s="1312"/>
      <c r="V281" s="1315">
        <v>0.41666666666666669</v>
      </c>
      <c r="W281" s="1315">
        <v>0.20833333333333334</v>
      </c>
      <c r="X281" s="1312">
        <v>6.5</v>
      </c>
      <c r="Y281" s="1312"/>
      <c r="Z281" s="1314">
        <f>D281+I281+N281+S281+X281</f>
        <v>34</v>
      </c>
      <c r="AA281" s="1316">
        <f t="shared" si="65"/>
        <v>1</v>
      </c>
      <c r="AB281" s="1310"/>
      <c r="AC281" s="1315">
        <v>0.39583333333333331</v>
      </c>
      <c r="AD281" s="1315">
        <v>4.1666666666666664E-2</v>
      </c>
      <c r="AE281" s="1312">
        <v>3.5</v>
      </c>
      <c r="AF281" s="1310"/>
      <c r="AG281" s="1315"/>
      <c r="AH281" s="1315"/>
      <c r="AI281" s="1312"/>
      <c r="AJ281" s="1314">
        <f>SUM(AE282+AI281)</f>
        <v>0</v>
      </c>
      <c r="AK281" s="941"/>
      <c r="AL281" s="943"/>
      <c r="AM281" s="940"/>
      <c r="AN281" s="954"/>
      <c r="AO281" s="954"/>
      <c r="AP281" s="954"/>
      <c r="AQ281" s="954"/>
      <c r="AR281" s="954"/>
      <c r="AS281" s="954"/>
      <c r="AT281" s="940"/>
      <c r="AU281" s="1265"/>
      <c r="AV281" s="1265"/>
      <c r="AW281" s="1265"/>
      <c r="AX281" s="1265"/>
      <c r="AY281" s="1265"/>
      <c r="AZ281" s="1265"/>
      <c r="BA281" s="1265"/>
      <c r="BB281" s="1265"/>
      <c r="BC281" s="1265"/>
      <c r="BD281" s="1265"/>
      <c r="BE281" s="1265"/>
    </row>
    <row r="282" spans="1:57" ht="13.5" hidden="1" customHeight="1">
      <c r="A282" s="1318" t="s">
        <v>1477</v>
      </c>
      <c r="B282" s="1315">
        <v>0.375</v>
      </c>
      <c r="C282" s="1315">
        <v>0.20833333333333334</v>
      </c>
      <c r="D282" s="1312">
        <v>7</v>
      </c>
      <c r="E282" s="1312"/>
      <c r="F282" s="1312"/>
      <c r="G282" s="1315">
        <v>0.375</v>
      </c>
      <c r="H282" s="1315">
        <v>0.20833333333333334</v>
      </c>
      <c r="I282" s="1312">
        <v>7</v>
      </c>
      <c r="J282" s="1312"/>
      <c r="K282" s="1312"/>
      <c r="L282" s="1315">
        <v>0.375</v>
      </c>
      <c r="M282" s="1315">
        <v>0.20833333333333334</v>
      </c>
      <c r="N282" s="1312">
        <v>7</v>
      </c>
      <c r="O282" s="1312"/>
      <c r="P282" s="1312"/>
      <c r="Q282" s="1315">
        <v>0.375</v>
      </c>
      <c r="R282" s="1315">
        <v>0.20833333333333334</v>
      </c>
      <c r="S282" s="1312">
        <v>7</v>
      </c>
      <c r="T282" s="1312"/>
      <c r="U282" s="1312"/>
      <c r="V282" s="1315">
        <v>0.375</v>
      </c>
      <c r="W282" s="1315">
        <v>0.20833333333333334</v>
      </c>
      <c r="X282" s="1312">
        <v>7</v>
      </c>
      <c r="Y282" s="1312"/>
      <c r="Z282" s="1314">
        <f>D283+I282+N282+S282+X282</f>
        <v>33.5</v>
      </c>
      <c r="AA282" s="1316">
        <f t="shared" si="65"/>
        <v>0</v>
      </c>
      <c r="AB282" s="1310"/>
      <c r="AC282" s="1315"/>
      <c r="AD282" s="1315"/>
      <c r="AE282" s="1312"/>
      <c r="AF282" s="1310"/>
      <c r="AG282" s="1315"/>
      <c r="AH282" s="1315"/>
      <c r="AI282" s="1312"/>
      <c r="AJ282" s="1314">
        <f>SUM(AE283+AI282)</f>
        <v>0</v>
      </c>
      <c r="AK282" s="941"/>
      <c r="AL282" s="943"/>
      <c r="AM282" s="940"/>
      <c r="AN282" s="954"/>
      <c r="AO282" s="954"/>
      <c r="AP282" s="954"/>
      <c r="AQ282" s="954"/>
      <c r="AR282" s="954"/>
      <c r="AS282" s="954"/>
      <c r="AT282" s="940"/>
      <c r="AU282" s="1265"/>
      <c r="AV282" s="1265"/>
      <c r="AW282" s="1265"/>
      <c r="AX282" s="1265"/>
      <c r="AY282" s="1265"/>
      <c r="AZ282" s="1265"/>
      <c r="BA282" s="1265"/>
      <c r="BB282" s="1265"/>
      <c r="BC282" s="1265"/>
      <c r="BD282" s="1265"/>
      <c r="BE282" s="1265"/>
    </row>
    <row r="283" spans="1:57" ht="13.5" hidden="1" customHeight="1">
      <c r="A283" s="1318" t="s">
        <v>1444</v>
      </c>
      <c r="B283" s="1315">
        <v>0.375</v>
      </c>
      <c r="C283" s="1315">
        <v>0.125</v>
      </c>
      <c r="D283" s="1312">
        <v>5.5</v>
      </c>
      <c r="E283" s="1312"/>
      <c r="F283" s="1312"/>
      <c r="G283" s="1315">
        <v>0.375</v>
      </c>
      <c r="H283" s="1315"/>
      <c r="I283" s="1312">
        <v>5</v>
      </c>
      <c r="J283" s="1312"/>
      <c r="K283" s="1312"/>
      <c r="L283" s="1315"/>
      <c r="M283" s="1315"/>
      <c r="N283" s="1312">
        <v>0</v>
      </c>
      <c r="O283" s="1312"/>
      <c r="P283" s="1312"/>
      <c r="Q283" s="1315">
        <v>0.375</v>
      </c>
      <c r="R283" s="1315">
        <v>0.125</v>
      </c>
      <c r="S283" s="1312">
        <v>5.5</v>
      </c>
      <c r="T283" s="1312"/>
      <c r="U283" s="1312"/>
      <c r="V283" s="1315">
        <v>0.375</v>
      </c>
      <c r="W283" s="1315"/>
      <c r="X283" s="1312">
        <v>5</v>
      </c>
      <c r="Y283" s="1312"/>
      <c r="Z283" s="1314">
        <f>D283+I283+N283+S283+X283</f>
        <v>21</v>
      </c>
      <c r="AA283" s="1316">
        <f t="shared" si="65"/>
        <v>0</v>
      </c>
      <c r="AB283" s="1310"/>
      <c r="AC283" s="1315"/>
      <c r="AD283" s="1315"/>
      <c r="AE283" s="1312"/>
      <c r="AF283" s="1310"/>
      <c r="AG283" s="1315"/>
      <c r="AH283" s="1315"/>
      <c r="AI283" s="1312"/>
      <c r="AJ283" s="1314">
        <f t="shared" si="66"/>
        <v>0</v>
      </c>
      <c r="AK283" s="941"/>
      <c r="AL283" s="943"/>
      <c r="AM283" s="940"/>
      <c r="AN283" s="954"/>
      <c r="AO283" s="954"/>
      <c r="AP283" s="954"/>
      <c r="AQ283" s="954"/>
      <c r="AR283" s="954"/>
      <c r="AS283" s="954"/>
      <c r="AT283" s="940"/>
      <c r="AU283" s="1265"/>
      <c r="AV283" s="1265"/>
      <c r="AW283" s="1265"/>
      <c r="AX283" s="1265"/>
      <c r="AY283" s="1265"/>
      <c r="AZ283" s="1265"/>
      <c r="BA283" s="1265"/>
      <c r="BB283" s="1265"/>
      <c r="BC283" s="1265"/>
      <c r="BD283" s="1265"/>
      <c r="BE283" s="1265"/>
    </row>
    <row r="284" spans="1:57" ht="13.5" hidden="1" customHeight="1">
      <c r="A284" s="1318" t="s">
        <v>1479</v>
      </c>
      <c r="B284" s="1315">
        <v>0.29166666666666669</v>
      </c>
      <c r="C284" s="1315">
        <v>0.16666666666666666</v>
      </c>
      <c r="D284" s="1312">
        <v>8</v>
      </c>
      <c r="E284" s="1312"/>
      <c r="F284" s="1312"/>
      <c r="G284" s="1315">
        <v>0.29166666666666669</v>
      </c>
      <c r="H284" s="1315">
        <v>0.20833333333333334</v>
      </c>
      <c r="I284" s="1312">
        <v>8</v>
      </c>
      <c r="J284" s="1312">
        <v>1</v>
      </c>
      <c r="K284" s="1312"/>
      <c r="L284" s="1315">
        <v>0.29166666666666669</v>
      </c>
      <c r="M284" s="1315">
        <v>0.20833333333333334</v>
      </c>
      <c r="N284" s="1312">
        <v>7</v>
      </c>
      <c r="O284" s="1312"/>
      <c r="P284" s="1312"/>
      <c r="Q284" s="1315">
        <v>0.29166666666666669</v>
      </c>
      <c r="R284" s="1315">
        <v>0.125</v>
      </c>
      <c r="S284" s="1312">
        <v>7.5</v>
      </c>
      <c r="T284" s="1312"/>
      <c r="U284" s="1312"/>
      <c r="V284" s="1315">
        <v>0.29166666666666669</v>
      </c>
      <c r="W284" s="1315">
        <v>0.20833333333333334</v>
      </c>
      <c r="X284" s="1312">
        <v>8</v>
      </c>
      <c r="Y284" s="1312">
        <v>1</v>
      </c>
      <c r="Z284" s="1314">
        <f t="shared" ref="Z284:Z287" si="70">D284+I284+N284+S284+X284</f>
        <v>38.5</v>
      </c>
      <c r="AA284" s="1316">
        <f t="shared" si="65"/>
        <v>2</v>
      </c>
      <c r="AB284" s="1310"/>
      <c r="AC284" s="1315">
        <v>0.29166666666666669</v>
      </c>
      <c r="AD284" s="1315">
        <v>0.22916666666666666</v>
      </c>
      <c r="AE284" s="1312">
        <v>9.5</v>
      </c>
      <c r="AF284" s="1310"/>
      <c r="AG284" s="1315"/>
      <c r="AH284" s="1315"/>
      <c r="AI284" s="1312"/>
      <c r="AJ284" s="1314">
        <f t="shared" si="66"/>
        <v>9.5</v>
      </c>
      <c r="AK284" s="941"/>
      <c r="AL284" s="943"/>
      <c r="AM284" s="940"/>
      <c r="AN284" s="954"/>
      <c r="AO284" s="954"/>
      <c r="AP284" s="954"/>
      <c r="AQ284" s="954"/>
      <c r="AR284" s="954"/>
      <c r="AS284" s="954"/>
      <c r="AT284" s="940"/>
      <c r="AU284" s="1265"/>
      <c r="AV284" s="1265"/>
      <c r="AW284" s="1265"/>
      <c r="AX284" s="1265"/>
      <c r="AY284" s="1265"/>
      <c r="AZ284" s="1265"/>
      <c r="BA284" s="1265"/>
      <c r="BB284" s="1265"/>
      <c r="BC284" s="1265"/>
      <c r="BD284" s="1265"/>
      <c r="BE284" s="1265"/>
    </row>
    <row r="285" spans="1:57" ht="13.5" hidden="1" customHeight="1">
      <c r="A285" s="1318" t="s">
        <v>1480</v>
      </c>
      <c r="B285" s="1315"/>
      <c r="C285" s="1315"/>
      <c r="D285" s="1312">
        <v>0</v>
      </c>
      <c r="E285" s="1312"/>
      <c r="F285" s="1312"/>
      <c r="G285" s="1315">
        <v>8.3333333333333329E-2</v>
      </c>
      <c r="H285" s="1315">
        <v>0.41666666666666669</v>
      </c>
      <c r="I285" s="1312">
        <v>7.5</v>
      </c>
      <c r="J285" s="1312"/>
      <c r="K285" s="1312"/>
      <c r="L285" s="1315">
        <v>0.41666666666666669</v>
      </c>
      <c r="M285" s="1315"/>
      <c r="N285" s="1312">
        <v>6</v>
      </c>
      <c r="O285" s="1312"/>
      <c r="P285" s="1312"/>
      <c r="Q285" s="1315">
        <v>0.5</v>
      </c>
      <c r="R285" s="1315">
        <v>0.25</v>
      </c>
      <c r="S285" s="1312">
        <v>5.5</v>
      </c>
      <c r="T285" s="1312"/>
      <c r="U285" s="1312"/>
      <c r="V285" s="1315"/>
      <c r="W285" s="1315"/>
      <c r="X285" s="1312">
        <v>0</v>
      </c>
      <c r="Y285" s="1312"/>
      <c r="Z285" s="1314">
        <f t="shared" si="70"/>
        <v>19</v>
      </c>
      <c r="AA285" s="1316">
        <f t="shared" si="65"/>
        <v>0</v>
      </c>
      <c r="AB285" s="1310"/>
      <c r="AC285" s="1315"/>
      <c r="AD285" s="1315"/>
      <c r="AE285" s="1312"/>
      <c r="AF285" s="1310"/>
      <c r="AG285" s="1315"/>
      <c r="AH285" s="1315"/>
      <c r="AI285" s="1312"/>
      <c r="AJ285" s="1314">
        <f t="shared" si="66"/>
        <v>0</v>
      </c>
      <c r="AK285" s="941"/>
      <c r="AL285" s="943"/>
      <c r="AM285" s="940"/>
      <c r="AN285" s="954"/>
      <c r="AO285" s="954"/>
      <c r="AP285" s="954"/>
      <c r="AQ285" s="954"/>
      <c r="AR285" s="954"/>
      <c r="AS285" s="954"/>
      <c r="AT285" s="940"/>
      <c r="AU285" s="1265"/>
      <c r="AV285" s="1265"/>
      <c r="AW285" s="1265"/>
      <c r="AX285" s="1265"/>
      <c r="AY285" s="1265"/>
      <c r="AZ285" s="1265"/>
      <c r="BA285" s="1265"/>
      <c r="BB285" s="1265"/>
      <c r="BC285" s="1265"/>
      <c r="BD285" s="1265"/>
      <c r="BE285" s="1265"/>
    </row>
    <row r="286" spans="1:57" ht="13.5" hidden="1" customHeight="1">
      <c r="A286" s="1318" t="s">
        <v>1143</v>
      </c>
      <c r="B286" s="1315"/>
      <c r="C286" s="1315"/>
      <c r="D286" s="1312">
        <v>0</v>
      </c>
      <c r="E286" s="1312"/>
      <c r="F286" s="1312"/>
      <c r="G286" s="1315"/>
      <c r="H286" s="1315"/>
      <c r="I286" s="1312">
        <v>0</v>
      </c>
      <c r="J286" s="1312"/>
      <c r="K286" s="1312"/>
      <c r="L286" s="1315">
        <v>0.41666666666666669</v>
      </c>
      <c r="M286" s="1315">
        <v>0.20833333333333334</v>
      </c>
      <c r="N286" s="1312">
        <v>6.5</v>
      </c>
      <c r="O286" s="1312"/>
      <c r="P286" s="1312"/>
      <c r="Q286" s="1315"/>
      <c r="R286" s="1315"/>
      <c r="S286" s="1312">
        <v>0</v>
      </c>
      <c r="T286" s="1312"/>
      <c r="U286" s="1312"/>
      <c r="V286" s="1315">
        <v>0.41666666666666669</v>
      </c>
      <c r="W286" s="1315">
        <v>0.20833333333333334</v>
      </c>
      <c r="X286" s="1312">
        <v>6.5</v>
      </c>
      <c r="Y286" s="1312"/>
      <c r="Z286" s="1314">
        <f t="shared" si="70"/>
        <v>13</v>
      </c>
      <c r="AA286" s="1316">
        <f t="shared" si="65"/>
        <v>0</v>
      </c>
      <c r="AB286" s="1310"/>
      <c r="AC286" s="1315"/>
      <c r="AD286" s="1315"/>
      <c r="AE286" s="1312"/>
      <c r="AF286" s="1310"/>
      <c r="AG286" s="1315">
        <v>0.29166666666666669</v>
      </c>
      <c r="AH286" s="1315">
        <v>0.22916666666666666</v>
      </c>
      <c r="AI286" s="1312">
        <v>9.5</v>
      </c>
      <c r="AJ286" s="1314">
        <f t="shared" si="66"/>
        <v>9.5</v>
      </c>
      <c r="AK286" s="941"/>
      <c r="AL286" s="943"/>
      <c r="AM286" s="940"/>
      <c r="AN286" s="954"/>
      <c r="AO286" s="954"/>
      <c r="AP286" s="954"/>
      <c r="AQ286" s="954"/>
      <c r="AR286" s="954"/>
      <c r="AS286" s="954"/>
      <c r="AT286" s="940"/>
      <c r="AU286" s="1265"/>
      <c r="AV286" s="1265"/>
      <c r="AW286" s="1265"/>
      <c r="AX286" s="1265"/>
      <c r="AY286" s="1265"/>
      <c r="AZ286" s="1265"/>
      <c r="BA286" s="1265"/>
      <c r="BB286" s="1265"/>
      <c r="BC286" s="1265"/>
      <c r="BD286" s="1265"/>
      <c r="BE286" s="1265"/>
    </row>
    <row r="287" spans="1:57" ht="13.5" hidden="1" customHeight="1">
      <c r="A287" s="1318" t="s">
        <v>813</v>
      </c>
      <c r="B287" s="1315"/>
      <c r="C287" s="1315"/>
      <c r="D287" s="1312">
        <v>4</v>
      </c>
      <c r="E287" s="1312"/>
      <c r="F287" s="1310"/>
      <c r="G287" s="1315"/>
      <c r="H287" s="1315"/>
      <c r="I287" s="1312">
        <v>4</v>
      </c>
      <c r="J287" s="1312"/>
      <c r="K287" s="1310"/>
      <c r="L287" s="1315"/>
      <c r="M287" s="1315"/>
      <c r="N287" s="1312">
        <v>4</v>
      </c>
      <c r="O287" s="1312"/>
      <c r="P287" s="1310"/>
      <c r="Q287" s="1315"/>
      <c r="R287" s="1315"/>
      <c r="S287" s="1312">
        <v>4</v>
      </c>
      <c r="T287" s="1312"/>
      <c r="U287" s="1310"/>
      <c r="V287" s="1315"/>
      <c r="W287" s="1315"/>
      <c r="X287" s="1312">
        <v>4</v>
      </c>
      <c r="Y287" s="1312"/>
      <c r="Z287" s="1314">
        <f t="shared" si="70"/>
        <v>20</v>
      </c>
      <c r="AA287" s="1316">
        <f t="shared" si="65"/>
        <v>0</v>
      </c>
      <c r="AB287" s="1310"/>
      <c r="AC287" s="1315"/>
      <c r="AD287" s="1315"/>
      <c r="AE287" s="1312"/>
      <c r="AF287" s="1310"/>
      <c r="AG287" s="1315"/>
      <c r="AH287" s="1315"/>
      <c r="AI287" s="1312"/>
      <c r="AJ287" s="1314">
        <f t="shared" si="66"/>
        <v>0</v>
      </c>
      <c r="AK287" s="941"/>
      <c r="AL287" s="943"/>
      <c r="AM287" s="940"/>
      <c r="AN287" s="992"/>
      <c r="AO287" s="1005"/>
      <c r="AP287" s="994"/>
      <c r="AQ287" s="994"/>
      <c r="AR287" s="954"/>
      <c r="AS287" s="954"/>
      <c r="AT287" s="940"/>
      <c r="AU287" s="1265"/>
      <c r="AV287" s="1265"/>
      <c r="AW287" s="1265"/>
      <c r="AX287" s="1265"/>
      <c r="AY287" s="1265"/>
      <c r="AZ287" s="1265"/>
      <c r="BA287" s="1265"/>
      <c r="BB287" s="1265"/>
      <c r="BC287" s="1265"/>
      <c r="BD287" s="1265"/>
      <c r="BE287" s="1265"/>
    </row>
    <row r="288" spans="1:57" ht="13.5" hidden="1" customHeight="1">
      <c r="A288" s="1318" t="s">
        <v>1431</v>
      </c>
      <c r="B288" s="1315"/>
      <c r="C288" s="1315"/>
      <c r="D288" s="1312">
        <v>4</v>
      </c>
      <c r="E288" s="1312"/>
      <c r="F288" s="1310"/>
      <c r="G288" s="1315"/>
      <c r="H288" s="1315"/>
      <c r="I288" s="1312">
        <v>4</v>
      </c>
      <c r="J288" s="1312"/>
      <c r="K288" s="1310"/>
      <c r="L288" s="1315"/>
      <c r="M288" s="1315"/>
      <c r="N288" s="1312">
        <v>4</v>
      </c>
      <c r="O288" s="1312"/>
      <c r="P288" s="1310"/>
      <c r="Q288" s="1315"/>
      <c r="R288" s="1315"/>
      <c r="S288" s="1312">
        <v>4</v>
      </c>
      <c r="T288" s="1312"/>
      <c r="U288" s="1310"/>
      <c r="V288" s="1315"/>
      <c r="W288" s="1315"/>
      <c r="X288" s="1312">
        <v>4</v>
      </c>
      <c r="Y288" s="1312"/>
      <c r="Z288" s="1314">
        <f>D288+I288+N288+S288+X288</f>
        <v>20</v>
      </c>
      <c r="AA288" s="1316">
        <f t="shared" si="65"/>
        <v>0</v>
      </c>
      <c r="AB288" s="1310"/>
      <c r="AC288" s="1315"/>
      <c r="AD288" s="1315"/>
      <c r="AE288" s="1312"/>
      <c r="AF288" s="1310"/>
      <c r="AG288" s="1315"/>
      <c r="AH288" s="1315"/>
      <c r="AI288" s="1312"/>
      <c r="AJ288" s="1314">
        <f t="shared" si="66"/>
        <v>0</v>
      </c>
      <c r="AK288" s="941"/>
      <c r="AL288" s="943"/>
      <c r="AM288" s="940"/>
      <c r="AN288" s="954"/>
      <c r="AO288" s="954"/>
      <c r="AP288" s="954"/>
      <c r="AQ288" s="954"/>
      <c r="AR288" s="954"/>
      <c r="AS288" s="954"/>
      <c r="AT288" s="940"/>
      <c r="AU288" s="1265"/>
      <c r="AV288" s="1265"/>
      <c r="AW288" s="1265"/>
      <c r="AX288" s="1265"/>
      <c r="AY288" s="1265"/>
      <c r="AZ288" s="1265"/>
      <c r="BA288" s="1265"/>
      <c r="BB288" s="1265"/>
      <c r="BC288" s="1265"/>
      <c r="BD288" s="1265"/>
      <c r="BE288" s="1265"/>
    </row>
    <row r="289" spans="1:57" ht="13.5" hidden="1" customHeight="1">
      <c r="A289" s="1318" t="s">
        <v>1481</v>
      </c>
      <c r="B289" s="1315"/>
      <c r="C289" s="1319"/>
      <c r="D289" s="1312">
        <v>0</v>
      </c>
      <c r="E289" s="1312"/>
      <c r="F289" s="1312"/>
      <c r="G289" s="1332"/>
      <c r="H289" s="1332"/>
      <c r="I289" s="1312">
        <v>0</v>
      </c>
      <c r="J289" s="1312"/>
      <c r="K289" s="1312"/>
      <c r="L289" s="1315"/>
      <c r="M289" s="1319"/>
      <c r="N289" s="1312">
        <v>0</v>
      </c>
      <c r="O289" s="1312"/>
      <c r="P289" s="1312"/>
      <c r="Q289" s="1332"/>
      <c r="R289" s="1332"/>
      <c r="S289" s="1312">
        <v>0</v>
      </c>
      <c r="T289" s="1312"/>
      <c r="U289" s="1312"/>
      <c r="V289" s="1332"/>
      <c r="W289" s="1332"/>
      <c r="X289" s="1312">
        <v>0</v>
      </c>
      <c r="Y289" s="1312"/>
      <c r="Z289" s="1314">
        <f t="shared" ref="Z289:Z291" si="71">D289+I289+N289+S289+X289</f>
        <v>0</v>
      </c>
      <c r="AA289" s="1316">
        <f t="shared" si="65"/>
        <v>0</v>
      </c>
      <c r="AB289" s="1310"/>
      <c r="AC289" s="1315"/>
      <c r="AD289" s="1319"/>
      <c r="AE289" s="1312"/>
      <c r="AF289" s="1315"/>
      <c r="AG289" s="1319"/>
      <c r="AH289" s="1312"/>
      <c r="AI289" s="1315"/>
      <c r="AJ289" s="1314">
        <f t="shared" si="66"/>
        <v>0</v>
      </c>
      <c r="AK289" s="941"/>
      <c r="AL289" s="943"/>
      <c r="AM289" s="940"/>
      <c r="AN289" s="954"/>
      <c r="AO289" s="954"/>
      <c r="AP289" s="954"/>
      <c r="AQ289" s="954"/>
      <c r="AR289" s="954"/>
      <c r="AS289" s="954"/>
      <c r="AT289" s="940"/>
      <c r="AU289" s="1265"/>
      <c r="AV289" s="1265"/>
      <c r="AW289" s="1265"/>
      <c r="AX289" s="1265"/>
      <c r="AY289" s="1265"/>
      <c r="AZ289" s="1265"/>
      <c r="BA289" s="1265"/>
      <c r="BB289" s="1265"/>
      <c r="BC289" s="1265"/>
      <c r="BD289" s="1265"/>
      <c r="BE289" s="1265"/>
    </row>
    <row r="290" spans="1:57" ht="13.5" hidden="1" customHeight="1">
      <c r="A290" s="1318" t="s">
        <v>1427</v>
      </c>
      <c r="B290" s="1315">
        <v>0.45833333333333331</v>
      </c>
      <c r="C290" s="1319">
        <v>0.29166666666666669</v>
      </c>
      <c r="D290" s="1312">
        <v>8</v>
      </c>
      <c r="E290" s="1312"/>
      <c r="F290" s="1312"/>
      <c r="G290" s="1315">
        <v>0.45833333333333331</v>
      </c>
      <c r="H290" s="1319">
        <v>0.29166666666666669</v>
      </c>
      <c r="I290" s="1312">
        <v>8</v>
      </c>
      <c r="J290" s="1312"/>
      <c r="K290" s="1312"/>
      <c r="L290" s="1315">
        <v>0.45833333333333331</v>
      </c>
      <c r="M290" s="1319">
        <v>0.29166666666666669</v>
      </c>
      <c r="N290" s="1312">
        <v>8</v>
      </c>
      <c r="O290" s="1312"/>
      <c r="P290" s="1312"/>
      <c r="Q290" s="1315">
        <v>0.45833333333333331</v>
      </c>
      <c r="R290" s="1319"/>
      <c r="S290" s="1312">
        <v>7.75</v>
      </c>
      <c r="T290" s="1312"/>
      <c r="U290" s="1312"/>
      <c r="V290" s="1315">
        <v>0.45833333333333331</v>
      </c>
      <c r="W290" s="1319">
        <v>0.29166666666666669</v>
      </c>
      <c r="X290" s="1312">
        <v>8</v>
      </c>
      <c r="Y290" s="1312"/>
      <c r="Z290" s="1314">
        <f t="shared" si="71"/>
        <v>39.75</v>
      </c>
      <c r="AA290" s="1316">
        <f t="shared" si="65"/>
        <v>0</v>
      </c>
      <c r="AB290" s="1310"/>
      <c r="AC290" s="1315"/>
      <c r="AD290" s="1319"/>
      <c r="AE290" s="1312"/>
      <c r="AF290" s="1315"/>
      <c r="AG290" s="1319"/>
      <c r="AH290" s="1312"/>
      <c r="AI290" s="1315"/>
      <c r="AJ290" s="1314">
        <f t="shared" si="66"/>
        <v>0</v>
      </c>
      <c r="AK290" s="941"/>
      <c r="AL290" s="943"/>
      <c r="AM290" s="940"/>
      <c r="AN290" s="954"/>
      <c r="AO290" s="954"/>
      <c r="AP290" s="954"/>
      <c r="AQ290" s="954"/>
      <c r="AR290" s="954"/>
      <c r="AS290" s="954"/>
      <c r="AT290" s="940"/>
      <c r="AU290" s="1265"/>
      <c r="AV290" s="1265"/>
      <c r="AW290" s="1265"/>
      <c r="AX290" s="1265"/>
      <c r="AY290" s="1265"/>
      <c r="AZ290" s="1265"/>
      <c r="BA290" s="1265"/>
      <c r="BB290" s="1265"/>
      <c r="BC290" s="1265"/>
      <c r="BD290" s="1265"/>
      <c r="BE290" s="1265"/>
    </row>
    <row r="291" spans="1:57" ht="13.5" hidden="1" customHeight="1">
      <c r="A291" s="1318" t="s">
        <v>1064</v>
      </c>
      <c r="B291" s="1315">
        <v>0.45833333333333331</v>
      </c>
      <c r="C291" s="1319">
        <v>0.29166666666666669</v>
      </c>
      <c r="D291" s="1312">
        <v>8</v>
      </c>
      <c r="E291" s="1312"/>
      <c r="F291" s="1312"/>
      <c r="G291" s="1315">
        <v>0.45833333333333331</v>
      </c>
      <c r="H291" s="1319">
        <v>0.29166666666666669</v>
      </c>
      <c r="I291" s="1312">
        <v>8</v>
      </c>
      <c r="J291" s="1312"/>
      <c r="K291" s="1312"/>
      <c r="L291" s="1315">
        <v>0.45833333333333331</v>
      </c>
      <c r="M291" s="1319">
        <v>0.29166666666666669</v>
      </c>
      <c r="N291" s="1312">
        <v>8</v>
      </c>
      <c r="O291" s="1312"/>
      <c r="P291" s="1312"/>
      <c r="Q291" s="1332">
        <v>0.45833333333333331</v>
      </c>
      <c r="R291" s="1332"/>
      <c r="S291" s="1312">
        <v>7.75</v>
      </c>
      <c r="T291" s="1312"/>
      <c r="U291" s="1312"/>
      <c r="V291" s="1315">
        <v>0.45833333333333331</v>
      </c>
      <c r="W291" s="1319">
        <v>0.29166666666666669</v>
      </c>
      <c r="X291" s="1312">
        <v>8</v>
      </c>
      <c r="Y291" s="1312"/>
      <c r="Z291" s="1314">
        <f t="shared" si="71"/>
        <v>39.75</v>
      </c>
      <c r="AA291" s="1316">
        <f t="shared" si="65"/>
        <v>0</v>
      </c>
      <c r="AB291" s="1310"/>
      <c r="AC291" s="1315"/>
      <c r="AD291" s="1319"/>
      <c r="AE291" s="1312"/>
      <c r="AF291" s="1315"/>
      <c r="AG291" s="1319"/>
      <c r="AH291" s="1312"/>
      <c r="AI291" s="1315"/>
      <c r="AJ291" s="1314">
        <f t="shared" si="66"/>
        <v>0</v>
      </c>
      <c r="AK291" s="941"/>
      <c r="AL291" s="943"/>
      <c r="AM291" s="940"/>
      <c r="AN291" s="954"/>
      <c r="AO291" s="954"/>
      <c r="AP291" s="954"/>
      <c r="AQ291" s="954"/>
      <c r="AR291" s="954"/>
      <c r="AS291" s="954"/>
      <c r="AT291" s="940"/>
      <c r="AU291" s="1265"/>
      <c r="AV291" s="1265"/>
      <c r="AW291" s="1265"/>
      <c r="AX291" s="1265"/>
      <c r="AY291" s="1265"/>
      <c r="AZ291" s="1265"/>
      <c r="BA291" s="1265"/>
      <c r="BB291" s="1265"/>
      <c r="BC291" s="1265"/>
      <c r="BD291" s="1265"/>
      <c r="BE291" s="1265"/>
    </row>
    <row r="292" spans="1:57" ht="13.5" hidden="1" customHeight="1">
      <c r="A292" s="1318" t="s">
        <v>1144</v>
      </c>
      <c r="B292" s="1315">
        <v>0.45833333333333331</v>
      </c>
      <c r="C292" s="1319"/>
      <c r="D292" s="1312">
        <v>7.75</v>
      </c>
      <c r="E292" s="1312"/>
      <c r="F292" s="1312"/>
      <c r="G292" s="1315">
        <v>0.45833333333333331</v>
      </c>
      <c r="H292" s="1319">
        <v>0.29166666666666669</v>
      </c>
      <c r="I292" s="1312">
        <v>8</v>
      </c>
      <c r="J292" s="1312"/>
      <c r="K292" s="1312"/>
      <c r="L292" s="1315">
        <v>0.45833333333333331</v>
      </c>
      <c r="M292" s="1319"/>
      <c r="N292" s="1312">
        <v>7.75</v>
      </c>
      <c r="O292" s="1312"/>
      <c r="P292" s="1312"/>
      <c r="Q292" s="1315">
        <v>0.45833333333333331</v>
      </c>
      <c r="R292" s="1332">
        <v>0.29166666666666669</v>
      </c>
      <c r="S292" s="1312">
        <v>8</v>
      </c>
      <c r="T292" s="1312"/>
      <c r="U292" s="1312"/>
      <c r="V292" s="1315">
        <v>0.45833333333333331</v>
      </c>
      <c r="W292" s="1319">
        <v>0.29166666666666669</v>
      </c>
      <c r="X292" s="1312">
        <v>8</v>
      </c>
      <c r="Y292" s="1312"/>
      <c r="Z292" s="1314">
        <f>D292+I292+N292+S292+X292</f>
        <v>39.5</v>
      </c>
      <c r="AA292" s="1316">
        <f t="shared" si="65"/>
        <v>0</v>
      </c>
      <c r="AB292" s="1310"/>
      <c r="AC292" s="1315"/>
      <c r="AD292" s="1319"/>
      <c r="AE292" s="1312"/>
      <c r="AF292" s="1315"/>
      <c r="AG292" s="1319"/>
      <c r="AH292" s="1312"/>
      <c r="AI292" s="1315"/>
      <c r="AJ292" s="1314">
        <f t="shared" si="66"/>
        <v>0</v>
      </c>
      <c r="AK292" s="941"/>
      <c r="AL292" s="943"/>
      <c r="AM292" s="940"/>
      <c r="AN292" s="954"/>
      <c r="AO292" s="954"/>
      <c r="AP292" s="954"/>
      <c r="AQ292" s="954"/>
      <c r="AR292" s="954"/>
      <c r="AS292" s="954"/>
      <c r="AT292" s="940"/>
      <c r="AU292" s="1265"/>
      <c r="AV292" s="1265"/>
      <c r="AW292" s="1265"/>
      <c r="AX292" s="1265"/>
      <c r="AY292" s="1265"/>
      <c r="AZ292" s="1265"/>
      <c r="BA292" s="1265"/>
      <c r="BB292" s="1265"/>
      <c r="BC292" s="1265"/>
      <c r="BD292" s="1265"/>
      <c r="BE292" s="1265"/>
    </row>
    <row r="293" spans="1:57" ht="13.5" hidden="1" customHeight="1" thickBot="1">
      <c r="A293" s="1320" t="s">
        <v>1433</v>
      </c>
      <c r="B293" s="1321"/>
      <c r="C293" s="1322"/>
      <c r="D293" s="1323">
        <v>0</v>
      </c>
      <c r="E293" s="1323"/>
      <c r="F293" s="1323"/>
      <c r="G293" s="1321"/>
      <c r="H293" s="1322"/>
      <c r="I293" s="1323">
        <v>0</v>
      </c>
      <c r="J293" s="1323"/>
      <c r="K293" s="1323"/>
      <c r="L293" s="1321"/>
      <c r="M293" s="1322"/>
      <c r="N293" s="1323">
        <v>0</v>
      </c>
      <c r="O293" s="1323"/>
      <c r="P293" s="1323"/>
      <c r="Q293" s="1321"/>
      <c r="R293" s="1333"/>
      <c r="S293" s="1323">
        <v>0</v>
      </c>
      <c r="T293" s="1323"/>
      <c r="U293" s="1323"/>
      <c r="V293" s="1321"/>
      <c r="W293" s="1333"/>
      <c r="X293" s="1323">
        <v>0</v>
      </c>
      <c r="Y293" s="1323"/>
      <c r="Z293" s="1324">
        <f>D293+I293+N293+S293+X293</f>
        <v>0</v>
      </c>
      <c r="AA293" s="1325">
        <f t="shared" si="65"/>
        <v>0</v>
      </c>
      <c r="AB293" s="1326"/>
      <c r="AC293" s="1321"/>
      <c r="AD293" s="1321"/>
      <c r="AE293" s="1323"/>
      <c r="AF293" s="1321"/>
      <c r="AG293" s="1322"/>
      <c r="AH293" s="1323"/>
      <c r="AI293" s="1321"/>
      <c r="AJ293" s="1324">
        <f t="shared" si="66"/>
        <v>0</v>
      </c>
      <c r="AK293" s="941"/>
      <c r="AL293" s="943"/>
      <c r="AM293" s="940"/>
      <c r="AN293" s="954"/>
      <c r="AO293" s="954"/>
      <c r="AP293" s="954"/>
      <c r="AQ293" s="954"/>
      <c r="AR293" s="954"/>
      <c r="AS293" s="954"/>
      <c r="AT293" s="940"/>
      <c r="AU293" s="1265"/>
      <c r="AV293" s="1265"/>
      <c r="AW293" s="1265"/>
      <c r="AX293" s="1265"/>
      <c r="AY293" s="1265"/>
      <c r="AZ293" s="1265"/>
      <c r="BA293" s="1265"/>
      <c r="BB293" s="1265"/>
      <c r="BC293" s="1265"/>
      <c r="BD293" s="1265"/>
      <c r="BE293" s="1265"/>
    </row>
    <row r="294" spans="1:57" ht="13.5" hidden="1" customHeight="1" thickTop="1">
      <c r="A294" s="1327" t="s">
        <v>61</v>
      </c>
      <c r="B294" s="1327"/>
      <c r="C294" s="1327"/>
      <c r="D294" s="1328">
        <f>SUM(D269:D288)</f>
        <v>122.75</v>
      </c>
      <c r="E294" s="1312">
        <f>SUM(E270:E288)</f>
        <v>0</v>
      </c>
      <c r="F294" s="1327"/>
      <c r="G294" s="1327"/>
      <c r="H294" s="1327"/>
      <c r="I294" s="1328">
        <f>SUM(I269:I288)</f>
        <v>129.75</v>
      </c>
      <c r="J294" s="1312">
        <f>SUM(J270:J288)</f>
        <v>1</v>
      </c>
      <c r="K294" s="1327"/>
      <c r="L294" s="1327"/>
      <c r="M294" s="1327"/>
      <c r="N294" s="1328">
        <f>SUM(N269:N288)</f>
        <v>129</v>
      </c>
      <c r="O294" s="1312">
        <f>SUM(O270:O288)</f>
        <v>2.5</v>
      </c>
      <c r="P294" s="1327"/>
      <c r="Q294" s="1327"/>
      <c r="R294" s="1327"/>
      <c r="S294" s="1328">
        <f>SUM(S269:S288)</f>
        <v>124.75</v>
      </c>
      <c r="T294" s="1312">
        <f>SUM(T270:T288)</f>
        <v>3.5</v>
      </c>
      <c r="U294" s="1327"/>
      <c r="V294" s="1327"/>
      <c r="W294" s="1327"/>
      <c r="X294" s="1328">
        <f>SUM(X269:X288)</f>
        <v>124.5</v>
      </c>
      <c r="Y294" s="1312">
        <f>SUM(Y270:Y288)</f>
        <v>5</v>
      </c>
      <c r="Z294" s="1314">
        <f>SUM(Z269:Z288)</f>
        <v>629.25</v>
      </c>
      <c r="AA294" s="1314">
        <f>SUM(AA269:AA287)</f>
        <v>12</v>
      </c>
      <c r="AB294" s="1310"/>
      <c r="AC294" s="1327"/>
      <c r="AD294" s="1327"/>
      <c r="AE294" s="1314">
        <f>SUM(AE269:AE288)</f>
        <v>13</v>
      </c>
      <c r="AF294" s="1310"/>
      <c r="AG294" s="1327"/>
      <c r="AH294" s="1327"/>
      <c r="AI294" s="1314">
        <f>SUM(AI269:AI288)</f>
        <v>9.5</v>
      </c>
      <c r="AJ294" s="1314">
        <f>SUM(AJ269:AJ292)</f>
        <v>19</v>
      </c>
      <c r="AK294" s="941"/>
      <c r="AL294" s="943"/>
      <c r="AM294" s="940"/>
      <c r="AN294" s="954"/>
      <c r="AO294" s="954"/>
      <c r="AP294" s="954"/>
      <c r="AQ294" s="954"/>
      <c r="AR294" s="954"/>
      <c r="AS294" s="954"/>
      <c r="AT294" s="940"/>
      <c r="AU294" s="1265"/>
      <c r="AV294" s="1265"/>
      <c r="AW294" s="1265"/>
      <c r="AX294" s="1265"/>
      <c r="AY294" s="1265"/>
      <c r="AZ294" s="1265"/>
      <c r="BA294" s="1265"/>
      <c r="BB294" s="1265"/>
      <c r="BC294" s="1265"/>
      <c r="BD294" s="1265"/>
      <c r="BE294" s="1265"/>
    </row>
    <row r="295" spans="1:57" ht="13.5" hidden="1" customHeight="1">
      <c r="A295" s="1313" t="s">
        <v>1434</v>
      </c>
      <c r="B295" s="1327"/>
      <c r="C295" s="1327"/>
      <c r="D295" s="1328">
        <f>SUM(D289:D293)</f>
        <v>23.75</v>
      </c>
      <c r="E295" s="1312"/>
      <c r="F295" s="1327"/>
      <c r="G295" s="1327"/>
      <c r="H295" s="1327"/>
      <c r="I295" s="1328">
        <f>SUM(I289:I293)</f>
        <v>24</v>
      </c>
      <c r="J295" s="1312"/>
      <c r="K295" s="1327"/>
      <c r="L295" s="1327"/>
      <c r="M295" s="1327"/>
      <c r="N295" s="1328">
        <f>SUM(N289:N293)</f>
        <v>23.75</v>
      </c>
      <c r="O295" s="1312"/>
      <c r="P295" s="1327"/>
      <c r="Q295" s="1327"/>
      <c r="R295" s="1327"/>
      <c r="S295" s="1328">
        <f>SUM(S289:S293)</f>
        <v>23.5</v>
      </c>
      <c r="T295" s="1312"/>
      <c r="U295" s="1327"/>
      <c r="V295" s="1327"/>
      <c r="W295" s="1327"/>
      <c r="X295" s="1328">
        <f>SUM(X289:X293)</f>
        <v>24</v>
      </c>
      <c r="Y295" s="1312"/>
      <c r="Z295" s="1314">
        <f>SUM(Z289:Z293)</f>
        <v>119</v>
      </c>
      <c r="AA295" s="1314">
        <f>SUM(AA289:AA293)</f>
        <v>0</v>
      </c>
      <c r="AB295" s="1310"/>
      <c r="AC295" s="1327"/>
      <c r="AD295" s="1327"/>
      <c r="AE295" s="1314">
        <f>SUM(AE289:AE293)</f>
        <v>0</v>
      </c>
      <c r="AF295" s="1310"/>
      <c r="AG295" s="1327"/>
      <c r="AH295" s="1327"/>
      <c r="AI295" s="1314">
        <f>SUM(AI289:AI293)</f>
        <v>0</v>
      </c>
      <c r="AJ295" s="1314">
        <f>SUM(AE295+AI295)</f>
        <v>0</v>
      </c>
      <c r="AK295" s="941"/>
      <c r="AL295" s="943"/>
      <c r="AM295" s="940"/>
      <c r="AN295" s="954"/>
      <c r="AO295" s="954"/>
      <c r="AP295" s="954"/>
      <c r="AQ295" s="954"/>
      <c r="AR295" s="954"/>
      <c r="AS295" s="954"/>
      <c r="AT295" s="940"/>
      <c r="AU295" s="1265"/>
      <c r="AV295" s="1265"/>
      <c r="AW295" s="1265"/>
      <c r="AX295" s="1265"/>
      <c r="AY295" s="1265"/>
      <c r="AZ295" s="1265"/>
      <c r="BA295" s="1265"/>
      <c r="BB295" s="1265"/>
      <c r="BC295" s="1265"/>
      <c r="BD295" s="1265"/>
      <c r="BE295" s="1265"/>
    </row>
    <row r="296" spans="1:57" ht="13.5" hidden="1" customHeight="1">
      <c r="A296" s="1327" t="s">
        <v>64</v>
      </c>
      <c r="B296" s="1315"/>
      <c r="C296" s="1315"/>
      <c r="D296" s="1312">
        <v>8</v>
      </c>
      <c r="E296" s="1312"/>
      <c r="F296" s="1312"/>
      <c r="G296" s="1315"/>
      <c r="H296" s="1315"/>
      <c r="I296" s="1312">
        <v>8</v>
      </c>
      <c r="J296" s="1312"/>
      <c r="K296" s="1312"/>
      <c r="L296" s="1315"/>
      <c r="M296" s="1315"/>
      <c r="N296" s="1312">
        <v>8</v>
      </c>
      <c r="O296" s="1312"/>
      <c r="P296" s="1312"/>
      <c r="Q296" s="1315"/>
      <c r="R296" s="1315"/>
      <c r="S296" s="1312">
        <v>8</v>
      </c>
      <c r="T296" s="1312">
        <v>0.75</v>
      </c>
      <c r="U296" s="1312"/>
      <c r="V296" s="1315"/>
      <c r="W296" s="1315"/>
      <c r="X296" s="1312">
        <v>8</v>
      </c>
      <c r="Y296" s="1312">
        <v>0.75</v>
      </c>
      <c r="Z296" s="1314">
        <f>D296+I296+N296+S296+X296</f>
        <v>40</v>
      </c>
      <c r="AA296" s="1312">
        <f>E296+J296+O296+T296+Y296</f>
        <v>1.5</v>
      </c>
      <c r="AB296" s="1310"/>
      <c r="AC296" s="1315"/>
      <c r="AD296" s="1315"/>
      <c r="AE296" s="1312">
        <f>1+1.5+1+1</f>
        <v>4.5</v>
      </c>
      <c r="AF296" s="1310"/>
      <c r="AG296" s="1315"/>
      <c r="AH296" s="1315"/>
      <c r="AI296" s="1312">
        <f>1+1+1</f>
        <v>3</v>
      </c>
      <c r="AJ296" s="1314">
        <f>AE296+AI296</f>
        <v>7.5</v>
      </c>
      <c r="AK296" s="941"/>
      <c r="AL296" s="943"/>
      <c r="AM296" s="940"/>
      <c r="AN296" s="954"/>
      <c r="AO296" s="954"/>
      <c r="AP296" s="954"/>
      <c r="AQ296" s="954"/>
      <c r="AR296" s="954"/>
      <c r="AS296" s="954"/>
      <c r="AT296" s="940"/>
      <c r="AU296" s="1265"/>
      <c r="AV296" s="1265"/>
      <c r="AW296" s="1265"/>
      <c r="AX296" s="1265"/>
      <c r="AY296" s="1265"/>
      <c r="AZ296" s="1265"/>
      <c r="BA296" s="1265"/>
      <c r="BB296" s="1265"/>
      <c r="BC296" s="1265"/>
      <c r="BD296" s="1265"/>
      <c r="BE296" s="1265"/>
    </row>
    <row r="297" spans="1:57" ht="15.75" hidden="1">
      <c r="A297" s="940"/>
      <c r="B297" s="940"/>
      <c r="C297" s="940"/>
      <c r="D297" s="941"/>
      <c r="E297" s="942"/>
      <c r="F297" s="941"/>
      <c r="G297" s="940"/>
      <c r="H297" s="940"/>
      <c r="I297" s="941"/>
      <c r="J297" s="942"/>
      <c r="K297" s="941"/>
      <c r="L297" s="940"/>
      <c r="M297" s="940"/>
      <c r="N297" s="941"/>
      <c r="O297" s="942"/>
      <c r="P297" s="941"/>
      <c r="Q297" s="940"/>
      <c r="R297" s="940"/>
      <c r="S297" s="941"/>
      <c r="T297" s="942"/>
      <c r="U297" s="941"/>
      <c r="V297" s="940"/>
      <c r="W297" s="940"/>
      <c r="X297" s="941"/>
      <c r="Y297" s="942"/>
      <c r="Z297" s="941"/>
      <c r="AA297" s="941"/>
      <c r="AB297" s="941"/>
      <c r="AC297" s="940"/>
      <c r="AD297" s="940"/>
      <c r="AE297" s="940"/>
      <c r="AF297" s="941"/>
      <c r="AG297" s="940"/>
      <c r="AH297" s="940"/>
      <c r="AI297" s="940"/>
      <c r="AJ297" s="940"/>
      <c r="AK297" s="941"/>
      <c r="AL297" s="943"/>
      <c r="AM297" s="940"/>
      <c r="AN297" s="940"/>
      <c r="AO297" s="940"/>
      <c r="AP297" s="940"/>
      <c r="AQ297" s="940"/>
      <c r="AR297" s="940"/>
      <c r="AS297" s="940"/>
      <c r="AT297" s="940"/>
      <c r="AU297" s="1265"/>
      <c r="AV297" s="1265"/>
      <c r="AW297" s="1265"/>
      <c r="AX297" s="1265"/>
      <c r="AY297" s="1265"/>
      <c r="AZ297" s="1265"/>
      <c r="BA297" s="1265"/>
      <c r="BB297" s="1265"/>
      <c r="BC297" s="1265"/>
      <c r="BD297" s="1265"/>
      <c r="BE297" s="1265"/>
    </row>
    <row r="298" spans="1:57" ht="15.75" hidden="1">
      <c r="A298" s="974"/>
      <c r="B298" s="975"/>
      <c r="C298" s="975"/>
      <c r="D298" s="976"/>
      <c r="E298" s="976"/>
      <c r="F298" s="975"/>
      <c r="G298" s="976"/>
      <c r="H298" s="976"/>
      <c r="I298" s="976"/>
      <c r="J298" s="976"/>
      <c r="K298" s="975"/>
      <c r="L298" s="975"/>
      <c r="M298" s="975"/>
      <c r="N298" s="975"/>
      <c r="O298" s="976"/>
      <c r="P298" s="975"/>
      <c r="Q298" s="975"/>
      <c r="R298" s="975"/>
      <c r="S298" s="975"/>
      <c r="T298" s="976"/>
      <c r="U298" s="975"/>
      <c r="V298" s="975"/>
      <c r="W298" s="975"/>
      <c r="X298" s="977"/>
      <c r="Y298" s="976"/>
      <c r="Z298" s="978"/>
      <c r="AA298" s="976"/>
      <c r="AB298" s="979"/>
      <c r="AC298" s="980"/>
      <c r="AD298" s="943"/>
      <c r="AE298" s="943"/>
      <c r="AF298" s="979"/>
      <c r="AG298" s="980"/>
      <c r="AH298" s="943"/>
      <c r="AI298" s="943"/>
      <c r="AJ298" s="943"/>
      <c r="AK298" s="979"/>
      <c r="AL298" s="943"/>
      <c r="AM298" s="943"/>
      <c r="AN298" s="943"/>
      <c r="AO298" s="943"/>
      <c r="AP298" s="943"/>
      <c r="AQ298" s="943"/>
      <c r="AR298" s="943"/>
      <c r="AS298" s="943"/>
      <c r="AT298" s="940"/>
      <c r="AU298" s="1265"/>
      <c r="AV298" s="1265"/>
      <c r="AW298" s="1265"/>
      <c r="AX298" s="1265"/>
      <c r="AY298" s="1265"/>
      <c r="AZ298" s="1265"/>
      <c r="BA298" s="1265"/>
      <c r="BB298" s="1265"/>
      <c r="BC298" s="1265"/>
      <c r="BD298" s="1265"/>
      <c r="BE298" s="1265"/>
    </row>
    <row r="299" spans="1:57" ht="15.75" hidden="1">
      <c r="A299" s="940"/>
      <c r="B299" s="940"/>
      <c r="C299" s="940"/>
      <c r="D299" s="941"/>
      <c r="E299" s="942"/>
      <c r="F299" s="941"/>
      <c r="G299" s="940"/>
      <c r="H299" s="940"/>
      <c r="I299" s="941"/>
      <c r="J299" s="942"/>
      <c r="K299" s="941"/>
      <c r="L299" s="940"/>
      <c r="M299" s="940"/>
      <c r="N299" s="941"/>
      <c r="O299" s="942"/>
      <c r="P299" s="941"/>
      <c r="Q299" s="940"/>
      <c r="R299" s="940"/>
      <c r="S299" s="941"/>
      <c r="T299" s="942"/>
      <c r="U299" s="941"/>
      <c r="V299" s="940"/>
      <c r="W299" s="940"/>
      <c r="X299" s="941"/>
      <c r="Y299" s="942"/>
      <c r="Z299" s="941"/>
      <c r="AA299" s="941"/>
      <c r="AB299" s="941"/>
      <c r="AC299" s="940"/>
      <c r="AD299" s="940"/>
      <c r="AE299" s="940"/>
      <c r="AF299" s="941"/>
      <c r="AG299" s="940"/>
      <c r="AH299" s="940"/>
      <c r="AI299" s="940"/>
      <c r="AJ299" s="940"/>
      <c r="AK299" s="941"/>
      <c r="AL299" s="943"/>
      <c r="AM299" s="940"/>
      <c r="AN299" s="954"/>
      <c r="AO299" s="954"/>
      <c r="AP299" s="954"/>
      <c r="AQ299" s="954"/>
      <c r="AR299" s="954"/>
      <c r="AS299" s="954"/>
      <c r="AT299" s="940"/>
      <c r="AU299" s="1265"/>
      <c r="AV299" s="1265"/>
      <c r="AW299" s="1265"/>
      <c r="AX299" s="1265"/>
      <c r="AY299" s="1265"/>
      <c r="AZ299" s="1265"/>
      <c r="BA299" s="1265"/>
      <c r="BB299" s="1265"/>
      <c r="BC299" s="1265"/>
      <c r="BD299" s="1265"/>
      <c r="BE299" s="1265"/>
    </row>
    <row r="300" spans="1:57" ht="15.75" hidden="1">
      <c r="A300" s="1615" t="s">
        <v>18</v>
      </c>
      <c r="B300" s="1616">
        <v>46097</v>
      </c>
      <c r="C300" s="1616"/>
      <c r="D300" s="1616" t="s">
        <v>564</v>
      </c>
      <c r="E300" s="1616"/>
      <c r="F300" s="1308"/>
      <c r="G300" s="1616">
        <v>46098</v>
      </c>
      <c r="H300" s="1616"/>
      <c r="I300" s="1616" t="s">
        <v>565</v>
      </c>
      <c r="J300" s="1616"/>
      <c r="K300" s="1308"/>
      <c r="L300" s="1616">
        <v>46099</v>
      </c>
      <c r="M300" s="1616"/>
      <c r="N300" s="1616" t="s">
        <v>566</v>
      </c>
      <c r="O300" s="1616"/>
      <c r="P300" s="1308"/>
      <c r="Q300" s="1616">
        <v>46100</v>
      </c>
      <c r="R300" s="1616"/>
      <c r="S300" s="1616" t="s">
        <v>567</v>
      </c>
      <c r="T300" s="1616"/>
      <c r="U300" s="1308"/>
      <c r="V300" s="1616">
        <v>46101</v>
      </c>
      <c r="W300" s="1616"/>
      <c r="X300" s="1616" t="s">
        <v>568</v>
      </c>
      <c r="Y300" s="1616"/>
      <c r="Z300" s="1617" t="s">
        <v>19</v>
      </c>
      <c r="AA300" s="1617" t="s">
        <v>20</v>
      </c>
      <c r="AB300" s="1310"/>
      <c r="AC300" s="1616">
        <v>46102</v>
      </c>
      <c r="AD300" s="1616"/>
      <c r="AE300" s="1311" t="s">
        <v>569</v>
      </c>
      <c r="AF300" s="1310"/>
      <c r="AG300" s="1616">
        <v>46103</v>
      </c>
      <c r="AH300" s="1616"/>
      <c r="AI300" s="1311" t="s">
        <v>570</v>
      </c>
      <c r="AJ300" s="1617" t="s">
        <v>1420</v>
      </c>
      <c r="AK300" s="941"/>
      <c r="AL300" s="943"/>
      <c r="AM300" s="940"/>
      <c r="AN300" s="985" t="s">
        <v>84</v>
      </c>
      <c r="AO300" s="986"/>
      <c r="AP300" s="986"/>
      <c r="AQ300" s="986"/>
      <c r="AR300" s="986"/>
      <c r="AS300" s="986"/>
      <c r="AT300" s="940"/>
      <c r="AU300" s="1265"/>
      <c r="AV300" s="1265"/>
      <c r="AW300" s="1265"/>
      <c r="AX300" s="1265"/>
      <c r="AY300" s="1265"/>
      <c r="AZ300" s="1265"/>
      <c r="BA300" s="1265"/>
      <c r="BB300" s="1265"/>
      <c r="BC300" s="1265"/>
      <c r="BD300" s="1265"/>
      <c r="BE300" s="1265"/>
    </row>
    <row r="301" spans="1:57" ht="15.75" hidden="1">
      <c r="A301" s="1615"/>
      <c r="B301" s="1309" t="s">
        <v>23</v>
      </c>
      <c r="C301" s="1309" t="s">
        <v>24</v>
      </c>
      <c r="D301" s="1312" t="s">
        <v>25</v>
      </c>
      <c r="E301" s="1313" t="s">
        <v>14</v>
      </c>
      <c r="F301" s="1310"/>
      <c r="G301" s="1309" t="s">
        <v>23</v>
      </c>
      <c r="H301" s="1309" t="s">
        <v>24</v>
      </c>
      <c r="I301" s="1313" t="s">
        <v>25</v>
      </c>
      <c r="J301" s="1313" t="s">
        <v>14</v>
      </c>
      <c r="K301" s="1310"/>
      <c r="L301" s="1309" t="s">
        <v>23</v>
      </c>
      <c r="M301" s="1309" t="s">
        <v>24</v>
      </c>
      <c r="N301" s="1313" t="s">
        <v>25</v>
      </c>
      <c r="O301" s="1313" t="s">
        <v>14</v>
      </c>
      <c r="P301" s="1310"/>
      <c r="Q301" s="1309" t="s">
        <v>23</v>
      </c>
      <c r="R301" s="1309" t="s">
        <v>24</v>
      </c>
      <c r="S301" s="1313" t="s">
        <v>25</v>
      </c>
      <c r="T301" s="1313" t="s">
        <v>14</v>
      </c>
      <c r="U301" s="1310"/>
      <c r="V301" s="1309" t="s">
        <v>23</v>
      </c>
      <c r="W301" s="1309" t="s">
        <v>24</v>
      </c>
      <c r="X301" s="1313" t="s">
        <v>25</v>
      </c>
      <c r="Y301" s="1313" t="s">
        <v>14</v>
      </c>
      <c r="Z301" s="1617"/>
      <c r="AA301" s="1617"/>
      <c r="AB301" s="1310"/>
      <c r="AC301" s="1309" t="s">
        <v>23</v>
      </c>
      <c r="AD301" s="1309" t="s">
        <v>24</v>
      </c>
      <c r="AE301" s="1313" t="s">
        <v>25</v>
      </c>
      <c r="AF301" s="1310"/>
      <c r="AG301" s="1309" t="s">
        <v>23</v>
      </c>
      <c r="AH301" s="1309" t="s">
        <v>24</v>
      </c>
      <c r="AI301" s="1313" t="s">
        <v>25</v>
      </c>
      <c r="AJ301" s="1617"/>
      <c r="AK301" s="941"/>
      <c r="AL301" s="943"/>
      <c r="AM301" s="940"/>
      <c r="AN301" s="992" t="s">
        <v>26</v>
      </c>
      <c r="AO301" s="1005">
        <f>Z326</f>
        <v>611.75</v>
      </c>
      <c r="AP301" s="994">
        <v>40.31</v>
      </c>
      <c r="AQ301" s="994">
        <f t="shared" ref="AQ301:AQ307" si="72">AP301*AO301</f>
        <v>24659.642500000002</v>
      </c>
      <c r="AR301" s="954"/>
      <c r="AS301" s="954"/>
      <c r="AT301" s="940"/>
      <c r="AU301" s="1265"/>
      <c r="AV301" s="1265"/>
      <c r="AW301" s="1265"/>
      <c r="AX301" s="1265"/>
      <c r="AY301" s="1265"/>
      <c r="AZ301" s="1265"/>
      <c r="BA301" s="1265"/>
      <c r="BB301" s="1265"/>
      <c r="BC301" s="1265"/>
      <c r="BD301" s="1265"/>
      <c r="BE301" s="1265"/>
    </row>
    <row r="302" spans="1:57" ht="15.75" hidden="1">
      <c r="A302" s="1315" t="s">
        <v>72</v>
      </c>
      <c r="B302" s="1315">
        <v>0.29166666666666669</v>
      </c>
      <c r="C302" s="1315">
        <v>0.125</v>
      </c>
      <c r="D302" s="1312">
        <v>8</v>
      </c>
      <c r="E302" s="1312"/>
      <c r="F302" s="1310"/>
      <c r="G302" s="1315">
        <v>0.29166666666666669</v>
      </c>
      <c r="H302" s="1315">
        <v>0.125</v>
      </c>
      <c r="I302" s="1312">
        <v>8</v>
      </c>
      <c r="J302" s="1312"/>
      <c r="K302" s="1310"/>
      <c r="L302" s="1315">
        <v>0.29166666666666669</v>
      </c>
      <c r="M302" s="1315">
        <v>0.125</v>
      </c>
      <c r="N302" s="1312">
        <v>8</v>
      </c>
      <c r="O302" s="1312"/>
      <c r="P302" s="1310"/>
      <c r="Q302" s="1315">
        <v>0.29166666666666669</v>
      </c>
      <c r="R302" s="1315">
        <v>0.125</v>
      </c>
      <c r="S302" s="1312">
        <v>8</v>
      </c>
      <c r="T302" s="1312"/>
      <c r="U302" s="1310"/>
      <c r="V302" s="1315">
        <v>0.29166666666666669</v>
      </c>
      <c r="W302" s="1315">
        <v>0.125</v>
      </c>
      <c r="X302" s="1312">
        <v>8</v>
      </c>
      <c r="Y302" s="1312"/>
      <c r="Z302" s="1314">
        <f t="shared" ref="Z302:Z323" si="73">D302+I302+N302+S302+X302</f>
        <v>40</v>
      </c>
      <c r="AA302" s="1316">
        <f t="shared" ref="AA302:AA323" si="74">E302+J302+O302+T302+Y302</f>
        <v>0</v>
      </c>
      <c r="AB302" s="1310"/>
      <c r="AC302" s="1317"/>
      <c r="AD302" s="1317"/>
      <c r="AE302" s="1312"/>
      <c r="AF302" s="1310"/>
      <c r="AG302" s="1317"/>
      <c r="AH302" s="1317"/>
      <c r="AI302" s="1312"/>
      <c r="AJ302" s="1314">
        <f t="shared" ref="AJ302:AJ325" si="75">SUM(AE302+AI302)</f>
        <v>0</v>
      </c>
      <c r="AK302" s="941"/>
      <c r="AL302" s="943"/>
      <c r="AM302" s="940"/>
      <c r="AN302" s="992" t="s">
        <v>1421</v>
      </c>
      <c r="AO302" s="1005">
        <f>Z327</f>
        <v>119.5</v>
      </c>
      <c r="AP302" s="994">
        <v>60.47</v>
      </c>
      <c r="AQ302" s="994">
        <f t="shared" si="72"/>
        <v>7226.165</v>
      </c>
      <c r="AR302" s="954"/>
      <c r="AS302" s="954"/>
      <c r="AT302" s="940"/>
      <c r="AU302" s="1265"/>
      <c r="AV302" s="1265"/>
      <c r="AW302" s="1265"/>
      <c r="AX302" s="1265"/>
      <c r="AY302" s="1265"/>
      <c r="AZ302" s="1265"/>
      <c r="BA302" s="1265"/>
      <c r="BB302" s="1265"/>
      <c r="BC302" s="1265"/>
      <c r="BD302" s="1265"/>
      <c r="BE302" s="1265"/>
    </row>
    <row r="303" spans="1:57" ht="15.75" hidden="1">
      <c r="A303" s="1318" t="s">
        <v>1482</v>
      </c>
      <c r="B303" s="1315">
        <v>0.29166666666666669</v>
      </c>
      <c r="C303" s="1315">
        <v>0.125</v>
      </c>
      <c r="D303" s="1312">
        <v>8</v>
      </c>
      <c r="E303" s="1312"/>
      <c r="F303" s="1310"/>
      <c r="G303" s="1315">
        <v>0.29166666666666669</v>
      </c>
      <c r="H303" s="1315">
        <v>0.125</v>
      </c>
      <c r="I303" s="1312">
        <v>8</v>
      </c>
      <c r="J303" s="1312"/>
      <c r="K303" s="1310"/>
      <c r="L303" s="1315">
        <v>0.29166666666666669</v>
      </c>
      <c r="M303" s="1315">
        <v>0.125</v>
      </c>
      <c r="N303" s="1312">
        <v>8</v>
      </c>
      <c r="O303" s="1312"/>
      <c r="P303" s="1310"/>
      <c r="Q303" s="1315">
        <v>0.29166666666666669</v>
      </c>
      <c r="R303" s="1315">
        <v>0.125</v>
      </c>
      <c r="S303" s="1312">
        <v>8</v>
      </c>
      <c r="T303" s="1312"/>
      <c r="U303" s="1310"/>
      <c r="V303" s="1315">
        <v>0.29166666666666669</v>
      </c>
      <c r="W303" s="1315">
        <v>0.125</v>
      </c>
      <c r="X303" s="1312">
        <v>8</v>
      </c>
      <c r="Y303" s="1312"/>
      <c r="Z303" s="1314">
        <f t="shared" si="73"/>
        <v>40</v>
      </c>
      <c r="AA303" s="1316">
        <f t="shared" si="74"/>
        <v>0</v>
      </c>
      <c r="AB303" s="1310"/>
      <c r="AC303" s="1315"/>
      <c r="AD303" s="1315"/>
      <c r="AE303" s="1312"/>
      <c r="AF303" s="1310"/>
      <c r="AG303" s="1315"/>
      <c r="AH303" s="1315"/>
      <c r="AI303" s="1312"/>
      <c r="AJ303" s="1314">
        <f t="shared" si="75"/>
        <v>0</v>
      </c>
      <c r="AK303" s="941"/>
      <c r="AL303" s="943"/>
      <c r="AM303" s="940"/>
      <c r="AN303" s="992" t="s">
        <v>30</v>
      </c>
      <c r="AO303" s="1005">
        <f>AA326</f>
        <v>23.75</v>
      </c>
      <c r="AP303" s="994">
        <v>60.465000000000003</v>
      </c>
      <c r="AQ303" s="994">
        <f t="shared" si="72"/>
        <v>1436.04375</v>
      </c>
      <c r="AR303" s="954"/>
      <c r="AS303" s="954"/>
      <c r="AT303" s="940"/>
      <c r="AU303" s="1265"/>
      <c r="AV303" s="1265"/>
      <c r="AW303" s="1265"/>
      <c r="AX303" s="1265"/>
      <c r="AY303" s="1265"/>
      <c r="AZ303" s="1265"/>
      <c r="BA303" s="1265"/>
      <c r="BB303" s="1265"/>
      <c r="BC303" s="1265"/>
      <c r="BD303" s="1265"/>
      <c r="BE303" s="1265"/>
    </row>
    <row r="304" spans="1:57" ht="15.75" hidden="1">
      <c r="A304" s="1318" t="s">
        <v>1426</v>
      </c>
      <c r="B304" s="1315">
        <v>0.29166666666666669</v>
      </c>
      <c r="C304" s="1315">
        <v>0.125</v>
      </c>
      <c r="D304" s="1312">
        <v>8</v>
      </c>
      <c r="E304" s="1312"/>
      <c r="F304" s="1310"/>
      <c r="G304" s="1315">
        <v>0.29166666666666669</v>
      </c>
      <c r="H304" s="1315">
        <v>0.125</v>
      </c>
      <c r="I304" s="1312">
        <v>8</v>
      </c>
      <c r="J304" s="1312"/>
      <c r="K304" s="1310"/>
      <c r="L304" s="1315">
        <v>0.29166666666666669</v>
      </c>
      <c r="M304" s="1315">
        <v>0.125</v>
      </c>
      <c r="N304" s="1312">
        <v>8</v>
      </c>
      <c r="O304" s="1312"/>
      <c r="P304" s="1310"/>
      <c r="Q304" s="1315">
        <v>0.29166666666666669</v>
      </c>
      <c r="R304" s="1315">
        <v>0.125</v>
      </c>
      <c r="S304" s="1312">
        <v>8</v>
      </c>
      <c r="T304" s="1312"/>
      <c r="U304" s="1310"/>
      <c r="V304" s="1315">
        <v>0.29166666666666669</v>
      </c>
      <c r="W304" s="1315">
        <v>0.125</v>
      </c>
      <c r="X304" s="1312">
        <v>8</v>
      </c>
      <c r="Y304" s="1312"/>
      <c r="Z304" s="1314">
        <f t="shared" si="73"/>
        <v>40</v>
      </c>
      <c r="AA304" s="1316">
        <f t="shared" si="74"/>
        <v>0</v>
      </c>
      <c r="AB304" s="1310"/>
      <c r="AC304" s="1315"/>
      <c r="AD304" s="1315"/>
      <c r="AE304" s="1312"/>
      <c r="AF304" s="1310"/>
      <c r="AG304" s="1315"/>
      <c r="AH304" s="1315"/>
      <c r="AI304" s="1312"/>
      <c r="AJ304" s="1314">
        <f t="shared" si="75"/>
        <v>0</v>
      </c>
      <c r="AK304" s="941"/>
      <c r="AL304" s="943"/>
      <c r="AM304" s="940"/>
      <c r="AN304" s="992" t="s">
        <v>32</v>
      </c>
      <c r="AO304" s="1005">
        <f>AJ326</f>
        <v>55.25</v>
      </c>
      <c r="AP304" s="994">
        <v>60.465000000000003</v>
      </c>
      <c r="AQ304" s="994">
        <f t="shared" si="72"/>
        <v>3340.6912500000003</v>
      </c>
      <c r="AR304" s="954"/>
      <c r="AS304" s="954"/>
      <c r="AT304" s="940"/>
      <c r="AU304" s="1265"/>
      <c r="AV304" s="1265"/>
      <c r="AW304" s="1265"/>
      <c r="AX304" s="1265"/>
      <c r="AY304" s="1265"/>
      <c r="AZ304" s="1265"/>
      <c r="BA304" s="1265"/>
      <c r="BB304" s="1265"/>
      <c r="BC304" s="1265"/>
      <c r="BD304" s="1265"/>
      <c r="BE304" s="1265"/>
    </row>
    <row r="305" spans="1:57" ht="15.75" hidden="1">
      <c r="A305" s="1318" t="s">
        <v>1060</v>
      </c>
      <c r="B305" s="1315">
        <v>0.29166666666666669</v>
      </c>
      <c r="C305" s="1315">
        <v>0.125</v>
      </c>
      <c r="D305" s="1312">
        <v>8</v>
      </c>
      <c r="E305" s="1312"/>
      <c r="F305" s="1310"/>
      <c r="G305" s="1315">
        <v>0.29166666666666669</v>
      </c>
      <c r="H305" s="1315"/>
      <c r="I305" s="1312">
        <v>7.75</v>
      </c>
      <c r="J305" s="1312"/>
      <c r="K305" s="1310"/>
      <c r="L305" s="1315"/>
      <c r="M305" s="1315"/>
      <c r="N305" s="1312">
        <v>0</v>
      </c>
      <c r="O305" s="1312"/>
      <c r="P305" s="1310"/>
      <c r="Q305" s="1315">
        <v>0.29166666666666669</v>
      </c>
      <c r="R305" s="1315"/>
      <c r="S305" s="1312">
        <v>7.75</v>
      </c>
      <c r="T305" s="1312"/>
      <c r="U305" s="1310"/>
      <c r="V305" s="1315">
        <v>0.29166666666666669</v>
      </c>
      <c r="W305" s="1315">
        <v>0.125</v>
      </c>
      <c r="X305" s="1312">
        <v>8</v>
      </c>
      <c r="Y305" s="1312"/>
      <c r="Z305" s="1314">
        <f t="shared" si="73"/>
        <v>31.5</v>
      </c>
      <c r="AA305" s="1316">
        <f t="shared" si="74"/>
        <v>0</v>
      </c>
      <c r="AB305" s="1310"/>
      <c r="AC305" s="1315"/>
      <c r="AD305" s="1315"/>
      <c r="AE305" s="1312"/>
      <c r="AF305" s="1310"/>
      <c r="AG305" s="1315"/>
      <c r="AH305" s="1315"/>
      <c r="AI305" s="1312"/>
      <c r="AJ305" s="1314">
        <f t="shared" si="75"/>
        <v>0</v>
      </c>
      <c r="AK305" s="941"/>
      <c r="AL305" s="943"/>
      <c r="AM305" s="940"/>
      <c r="AN305" s="1260" t="s">
        <v>1475</v>
      </c>
      <c r="AO305" s="1261">
        <f>AA327+AJ327</f>
        <v>0</v>
      </c>
      <c r="AP305" s="1262">
        <f>(60.47*1.5)</f>
        <v>90.704999999999998</v>
      </c>
      <c r="AQ305" s="1262">
        <f t="shared" si="72"/>
        <v>0</v>
      </c>
      <c r="AR305" s="954"/>
      <c r="AS305" s="954"/>
      <c r="AT305" s="940"/>
      <c r="AU305" s="1265"/>
      <c r="AV305" s="1265"/>
      <c r="AW305" s="1265"/>
      <c r="AX305" s="1265"/>
      <c r="AY305" s="1265"/>
      <c r="AZ305" s="1265"/>
      <c r="BA305" s="1265"/>
      <c r="BB305" s="1265"/>
      <c r="BC305" s="1265"/>
      <c r="BD305" s="1265"/>
      <c r="BE305" s="1265"/>
    </row>
    <row r="306" spans="1:57" ht="15.75" hidden="1">
      <c r="A306" s="1318" t="s">
        <v>1438</v>
      </c>
      <c r="B306" s="1315">
        <v>0.29166666666666669</v>
      </c>
      <c r="C306" s="1315">
        <v>0.125</v>
      </c>
      <c r="D306" s="1312">
        <v>8</v>
      </c>
      <c r="E306" s="1312"/>
      <c r="F306" s="1310"/>
      <c r="G306" s="1315">
        <v>0.29166666666666669</v>
      </c>
      <c r="H306" s="1315"/>
      <c r="I306" s="1312">
        <v>7.75</v>
      </c>
      <c r="J306" s="1312"/>
      <c r="K306" s="1310"/>
      <c r="L306" s="1315">
        <v>0.29166666666666669</v>
      </c>
      <c r="M306" s="1315"/>
      <c r="N306" s="1312">
        <v>7.75</v>
      </c>
      <c r="O306" s="1312"/>
      <c r="P306" s="1310"/>
      <c r="Q306" s="1315">
        <v>0.29166666666666669</v>
      </c>
      <c r="R306" s="1315">
        <v>0.125</v>
      </c>
      <c r="S306" s="1312">
        <v>8</v>
      </c>
      <c r="T306" s="1312"/>
      <c r="U306" s="1310"/>
      <c r="V306" s="1315">
        <v>0.29166666666666669</v>
      </c>
      <c r="W306" s="1315">
        <v>0.125</v>
      </c>
      <c r="X306" s="1312">
        <v>8</v>
      </c>
      <c r="Y306" s="1312"/>
      <c r="Z306" s="1314">
        <f t="shared" si="73"/>
        <v>39.5</v>
      </c>
      <c r="AA306" s="1316">
        <f t="shared" si="74"/>
        <v>0</v>
      </c>
      <c r="AB306" s="1310"/>
      <c r="AC306" s="1315"/>
      <c r="AD306" s="1315"/>
      <c r="AE306" s="1312"/>
      <c r="AF306" s="1310"/>
      <c r="AG306" s="1315"/>
      <c r="AH306" s="1315"/>
      <c r="AI306" s="1312"/>
      <c r="AJ306" s="1314">
        <f t="shared" si="75"/>
        <v>0</v>
      </c>
      <c r="AK306" s="941"/>
      <c r="AL306" s="943"/>
      <c r="AM306" s="940"/>
      <c r="AN306" s="992" t="s">
        <v>213</v>
      </c>
      <c r="AO306" s="1005">
        <f>Z328</f>
        <v>40</v>
      </c>
      <c r="AP306" s="994">
        <v>53.05</v>
      </c>
      <c r="AQ306" s="994">
        <f t="shared" si="72"/>
        <v>2122</v>
      </c>
      <c r="AR306" s="954"/>
      <c r="AS306" s="954"/>
      <c r="AT306" s="940"/>
      <c r="AU306" s="1265"/>
      <c r="AV306" s="1265"/>
      <c r="AW306" s="1265"/>
      <c r="AX306" s="1265"/>
      <c r="AY306" s="1265"/>
      <c r="AZ306" s="1265"/>
      <c r="BA306" s="1265"/>
      <c r="BB306" s="1265"/>
      <c r="BC306" s="1265"/>
      <c r="BD306" s="1265"/>
      <c r="BE306" s="1265"/>
    </row>
    <row r="307" spans="1:57" ht="15.75" hidden="1">
      <c r="A307" s="1318" t="s">
        <v>1142</v>
      </c>
      <c r="B307" s="1315">
        <v>0.125</v>
      </c>
      <c r="C307" s="1315">
        <v>0.45833333333333331</v>
      </c>
      <c r="D307" s="1312">
        <v>8</v>
      </c>
      <c r="E307" s="1312"/>
      <c r="F307" s="1310"/>
      <c r="G307" s="1315">
        <v>0.125</v>
      </c>
      <c r="H307" s="1315">
        <v>0.45833333333333331</v>
      </c>
      <c r="I307" s="1312">
        <v>8</v>
      </c>
      <c r="J307" s="1312"/>
      <c r="K307" s="1312"/>
      <c r="L307" s="1315">
        <v>0.125</v>
      </c>
      <c r="M307" s="1315">
        <v>0.45833333333333331</v>
      </c>
      <c r="N307" s="1312">
        <v>8</v>
      </c>
      <c r="O307" s="1312"/>
      <c r="P307" s="1312"/>
      <c r="Q307" s="1315">
        <v>0.125</v>
      </c>
      <c r="R307" s="1315">
        <v>0.45833333333333331</v>
      </c>
      <c r="S307" s="1312">
        <v>8</v>
      </c>
      <c r="T307" s="1312"/>
      <c r="U307" s="1312"/>
      <c r="V307" s="1315">
        <v>0.125</v>
      </c>
      <c r="W307" s="1315">
        <v>0.45833333333333331</v>
      </c>
      <c r="X307" s="1312">
        <v>8</v>
      </c>
      <c r="Y307" s="1312"/>
      <c r="Z307" s="1314">
        <f t="shared" si="73"/>
        <v>40</v>
      </c>
      <c r="AA307" s="1316">
        <f t="shared" si="74"/>
        <v>0</v>
      </c>
      <c r="AB307" s="1310"/>
      <c r="AC307" s="1315">
        <v>0.125</v>
      </c>
      <c r="AD307" s="1315">
        <v>0.39583333333333331</v>
      </c>
      <c r="AE307" s="1312">
        <v>6</v>
      </c>
      <c r="AF307" s="1310"/>
      <c r="AG307" s="1315"/>
      <c r="AH307" s="1315"/>
      <c r="AI307" s="1312"/>
      <c r="AJ307" s="1314">
        <f t="shared" si="75"/>
        <v>6</v>
      </c>
      <c r="AK307" s="941"/>
      <c r="AL307" s="943"/>
      <c r="AM307" s="940"/>
      <c r="AN307" s="992" t="s">
        <v>36</v>
      </c>
      <c r="AO307" s="1005">
        <f>AA328+AJ328</f>
        <v>11</v>
      </c>
      <c r="AP307" s="994">
        <f>53.05*1.5</f>
        <v>79.574999999999989</v>
      </c>
      <c r="AQ307" s="994">
        <f t="shared" si="72"/>
        <v>875.32499999999982</v>
      </c>
      <c r="AR307" s="954"/>
      <c r="AS307" s="954"/>
      <c r="AT307" s="940"/>
      <c r="AU307" s="1265"/>
      <c r="AV307" s="1265"/>
      <c r="AW307" s="1265"/>
      <c r="AX307" s="1265"/>
      <c r="AY307" s="1265"/>
      <c r="AZ307" s="1265"/>
      <c r="BA307" s="1265"/>
      <c r="BB307" s="1265"/>
      <c r="BC307" s="1265"/>
      <c r="BD307" s="1265"/>
      <c r="BE307" s="1265"/>
    </row>
    <row r="308" spans="1:57" ht="15.75" hidden="1">
      <c r="A308" s="1318" t="s">
        <v>1447</v>
      </c>
      <c r="B308" s="1315">
        <v>0.125</v>
      </c>
      <c r="C308" s="1315">
        <v>0.45833333333333331</v>
      </c>
      <c r="D308" s="1312">
        <v>8</v>
      </c>
      <c r="E308" s="1312"/>
      <c r="F308" s="1310"/>
      <c r="G308" s="1315">
        <v>0.125</v>
      </c>
      <c r="H308" s="1315">
        <v>0.45833333333333331</v>
      </c>
      <c r="I308" s="1312">
        <v>8</v>
      </c>
      <c r="J308" s="1312"/>
      <c r="K308" s="1312"/>
      <c r="L308" s="1315">
        <v>0.125</v>
      </c>
      <c r="M308" s="1315">
        <v>0.45833333333333331</v>
      </c>
      <c r="N308" s="1312">
        <v>8</v>
      </c>
      <c r="O308" s="1312"/>
      <c r="P308" s="1312"/>
      <c r="Q308" s="1315">
        <v>0.125</v>
      </c>
      <c r="R308" s="1315">
        <v>0.45833333333333331</v>
      </c>
      <c r="S308" s="1312">
        <v>8</v>
      </c>
      <c r="T308" s="1312"/>
      <c r="U308" s="1312"/>
      <c r="V308" s="1315">
        <v>0.125</v>
      </c>
      <c r="W308" s="1315">
        <v>0.45833333333333331</v>
      </c>
      <c r="X308" s="1312">
        <v>8</v>
      </c>
      <c r="Y308" s="1312"/>
      <c r="Z308" s="1314">
        <f t="shared" si="73"/>
        <v>40</v>
      </c>
      <c r="AA308" s="1316">
        <f t="shared" si="74"/>
        <v>0</v>
      </c>
      <c r="AB308" s="1310"/>
      <c r="AC308" s="1315"/>
      <c r="AD308" s="1315"/>
      <c r="AE308" s="1312"/>
      <c r="AF308" s="1310"/>
      <c r="AG308" s="1315"/>
      <c r="AH308" s="1315"/>
      <c r="AI308" s="1312"/>
      <c r="AJ308" s="1314">
        <f t="shared" si="75"/>
        <v>0</v>
      </c>
      <c r="AK308" s="941"/>
      <c r="AL308" s="943"/>
      <c r="AM308" s="940"/>
      <c r="AN308" s="954"/>
      <c r="AO308" s="954"/>
      <c r="AP308" s="954"/>
      <c r="AQ308" s="1094">
        <f>SUM(AQ301:AQ307)</f>
        <v>39659.8675</v>
      </c>
      <c r="AR308" s="954"/>
      <c r="AS308" s="954"/>
      <c r="AT308" s="940"/>
      <c r="AU308" s="1265"/>
      <c r="AV308" s="1265"/>
      <c r="AW308" s="1265"/>
      <c r="AX308" s="1265"/>
      <c r="AY308" s="1265"/>
      <c r="AZ308" s="1265"/>
      <c r="BA308" s="1265"/>
      <c r="BB308" s="1265"/>
      <c r="BC308" s="1265"/>
      <c r="BD308" s="1265"/>
      <c r="BE308" s="1265"/>
    </row>
    <row r="309" spans="1:57" ht="15.75" hidden="1">
      <c r="A309" s="1310" t="s">
        <v>327</v>
      </c>
      <c r="B309" s="1315">
        <v>0.125</v>
      </c>
      <c r="C309" s="1315">
        <v>0.48958333333333331</v>
      </c>
      <c r="D309" s="1312">
        <v>8</v>
      </c>
      <c r="E309" s="1312">
        <v>0.75</v>
      </c>
      <c r="F309" s="1312"/>
      <c r="G309" s="1315">
        <v>0.125</v>
      </c>
      <c r="H309" s="1315">
        <v>0.45833333333333331</v>
      </c>
      <c r="I309" s="1312">
        <v>8</v>
      </c>
      <c r="J309" s="1312"/>
      <c r="K309" s="1312"/>
      <c r="L309" s="1315">
        <v>0.125</v>
      </c>
      <c r="M309" s="1315">
        <v>4.1666666666666664E-2</v>
      </c>
      <c r="N309" s="1312">
        <v>8</v>
      </c>
      <c r="O309" s="1312">
        <v>1</v>
      </c>
      <c r="P309" s="1312"/>
      <c r="Q309" s="1315">
        <v>0.125</v>
      </c>
      <c r="R309" s="1315">
        <v>0.45833333333333331</v>
      </c>
      <c r="S309" s="1312">
        <v>8</v>
      </c>
      <c r="T309" s="1312"/>
      <c r="U309" s="1312"/>
      <c r="V309" s="1315">
        <v>0.125</v>
      </c>
      <c r="W309" s="1315">
        <v>0.45833333333333331</v>
      </c>
      <c r="X309" s="1312">
        <v>8</v>
      </c>
      <c r="Y309" s="1312"/>
      <c r="Z309" s="1314">
        <f t="shared" si="73"/>
        <v>40</v>
      </c>
      <c r="AA309" s="1316">
        <f t="shared" si="74"/>
        <v>1.75</v>
      </c>
      <c r="AB309" s="1310"/>
      <c r="AC309" s="1315"/>
      <c r="AD309" s="1315"/>
      <c r="AE309" s="1312"/>
      <c r="AF309" s="1310"/>
      <c r="AG309" s="1315"/>
      <c r="AH309" s="1315"/>
      <c r="AI309" s="1312"/>
      <c r="AJ309" s="1314">
        <f t="shared" si="75"/>
        <v>0</v>
      </c>
      <c r="AK309" s="941"/>
      <c r="AL309" s="943"/>
      <c r="AM309" s="940"/>
      <c r="AN309" s="954"/>
      <c r="AO309" s="954"/>
      <c r="AP309" s="954"/>
      <c r="AQ309" s="954"/>
      <c r="AR309" s="954"/>
      <c r="AS309" s="954"/>
      <c r="AT309" s="940"/>
      <c r="AU309" s="1265"/>
      <c r="AV309" s="1265"/>
      <c r="AW309" s="1265"/>
      <c r="AX309" s="1265"/>
      <c r="AY309" s="1265"/>
      <c r="AZ309" s="1265"/>
      <c r="BA309" s="1265"/>
      <c r="BB309" s="1265"/>
      <c r="BC309" s="1265"/>
      <c r="BD309" s="1265"/>
      <c r="BE309" s="1265"/>
    </row>
    <row r="310" spans="1:57" ht="15.75" hidden="1">
      <c r="A310" s="1310" t="s">
        <v>1436</v>
      </c>
      <c r="B310" s="1315">
        <v>0.125</v>
      </c>
      <c r="C310" s="1315">
        <v>0.45833333333333331</v>
      </c>
      <c r="D310" s="1312">
        <v>8</v>
      </c>
      <c r="E310" s="1312"/>
      <c r="F310" s="1312"/>
      <c r="G310" s="1315">
        <v>0.125</v>
      </c>
      <c r="H310" s="1315">
        <v>0.45833333333333331</v>
      </c>
      <c r="I310" s="1312">
        <v>8</v>
      </c>
      <c r="J310" s="1312"/>
      <c r="K310" s="1312"/>
      <c r="L310" s="1315">
        <v>0.125</v>
      </c>
      <c r="M310" s="1315">
        <v>0.45833333333333331</v>
      </c>
      <c r="N310" s="1312">
        <v>8</v>
      </c>
      <c r="O310" s="1312"/>
      <c r="P310" s="1312"/>
      <c r="Q310" s="1315">
        <v>0.125</v>
      </c>
      <c r="R310" s="1315">
        <v>0.45833333333333331</v>
      </c>
      <c r="S310" s="1312">
        <v>8</v>
      </c>
      <c r="T310" s="1312"/>
      <c r="U310" s="1312"/>
      <c r="V310" s="1315"/>
      <c r="W310" s="1315"/>
      <c r="X310" s="1312">
        <v>0</v>
      </c>
      <c r="Y310" s="1312"/>
      <c r="Z310" s="1314">
        <f t="shared" si="73"/>
        <v>32</v>
      </c>
      <c r="AA310" s="1316">
        <f t="shared" si="74"/>
        <v>0</v>
      </c>
      <c r="AB310" s="1310"/>
      <c r="AC310" s="1315"/>
      <c r="AD310" s="1315"/>
      <c r="AE310" s="1312"/>
      <c r="AF310" s="1310"/>
      <c r="AG310" s="1315"/>
      <c r="AH310" s="1315"/>
      <c r="AI310" s="1312"/>
      <c r="AJ310" s="1314">
        <f t="shared" si="75"/>
        <v>0</v>
      </c>
      <c r="AK310" s="941"/>
      <c r="AL310" s="943"/>
      <c r="AM310" s="940"/>
      <c r="AN310" s="954"/>
      <c r="AO310" s="954"/>
      <c r="AP310" s="954"/>
      <c r="AQ310" s="954"/>
      <c r="AR310" s="954"/>
      <c r="AS310" s="954"/>
      <c r="AT310" s="940"/>
      <c r="AU310" s="1265"/>
      <c r="AV310" s="1265"/>
      <c r="AW310" s="1265"/>
      <c r="AX310" s="1265"/>
      <c r="AY310" s="1265"/>
      <c r="AZ310" s="1265"/>
      <c r="BA310" s="1265"/>
      <c r="BB310" s="1265"/>
      <c r="BC310" s="1265"/>
      <c r="BD310" s="1265"/>
      <c r="BE310" s="1265"/>
    </row>
    <row r="311" spans="1:57" ht="15.75" hidden="1">
      <c r="A311" s="1318" t="s">
        <v>1140</v>
      </c>
      <c r="B311" s="1315">
        <v>0.125</v>
      </c>
      <c r="C311" s="1315">
        <v>0.45833333333333331</v>
      </c>
      <c r="D311" s="1312">
        <v>8</v>
      </c>
      <c r="E311" s="1312"/>
      <c r="F311" s="1310"/>
      <c r="G311" s="1315">
        <v>0.125</v>
      </c>
      <c r="H311" s="1315">
        <v>6.25E-2</v>
      </c>
      <c r="I311" s="1312">
        <v>8</v>
      </c>
      <c r="J311" s="1312">
        <v>1.5</v>
      </c>
      <c r="K311" s="1310"/>
      <c r="L311" s="1315">
        <v>0.125</v>
      </c>
      <c r="M311" s="1315">
        <v>6.25E-2</v>
      </c>
      <c r="N311" s="1312">
        <v>8</v>
      </c>
      <c r="O311" s="1312">
        <v>1.5</v>
      </c>
      <c r="P311" s="1310"/>
      <c r="Q311" s="1315">
        <v>0.125</v>
      </c>
      <c r="R311" s="1315">
        <v>0.45833333333333331</v>
      </c>
      <c r="S311" s="1312">
        <v>8</v>
      </c>
      <c r="T311" s="1312"/>
      <c r="U311" s="1310"/>
      <c r="V311" s="1315">
        <v>0.125</v>
      </c>
      <c r="W311" s="1315">
        <v>0.29166666666666669</v>
      </c>
      <c r="X311" s="1312">
        <v>8</v>
      </c>
      <c r="Y311" s="1312">
        <v>7</v>
      </c>
      <c r="Z311" s="1314">
        <f t="shared" si="73"/>
        <v>40</v>
      </c>
      <c r="AA311" s="1316">
        <f t="shared" si="74"/>
        <v>10</v>
      </c>
      <c r="AB311" s="1310"/>
      <c r="AC311" s="1315"/>
      <c r="AD311" s="1315"/>
      <c r="AE311" s="1312"/>
      <c r="AF311" s="1310"/>
      <c r="AG311" s="1315"/>
      <c r="AH311" s="1315"/>
      <c r="AI311" s="1312"/>
      <c r="AJ311" s="1314">
        <f t="shared" si="75"/>
        <v>0</v>
      </c>
      <c r="AK311" s="941"/>
      <c r="AL311" s="943"/>
      <c r="AM311" s="940"/>
      <c r="AN311" s="992"/>
      <c r="AO311" s="1005"/>
      <c r="AP311" s="994"/>
      <c r="AQ311" s="994"/>
      <c r="AR311" s="954"/>
      <c r="AS311" s="954"/>
      <c r="AT311" s="940"/>
      <c r="AU311" s="1265"/>
      <c r="AV311" s="1265"/>
      <c r="AW311" s="1265"/>
      <c r="AX311" s="1265"/>
      <c r="AY311" s="1265"/>
      <c r="AZ311" s="1265"/>
      <c r="BA311" s="1265"/>
      <c r="BB311" s="1265"/>
      <c r="BC311" s="1265"/>
      <c r="BD311" s="1265"/>
      <c r="BE311" s="1265"/>
    </row>
    <row r="312" spans="1:57" ht="15.75" hidden="1">
      <c r="A312" s="1318" t="s">
        <v>1141</v>
      </c>
      <c r="B312" s="1315">
        <v>0.29166666666666669</v>
      </c>
      <c r="C312" s="1315">
        <v>0.125</v>
      </c>
      <c r="D312" s="1312">
        <v>7</v>
      </c>
      <c r="E312" s="1312"/>
      <c r="F312" s="1312"/>
      <c r="G312" s="1315"/>
      <c r="H312" s="1315"/>
      <c r="I312" s="1312">
        <v>0</v>
      </c>
      <c r="J312" s="1312"/>
      <c r="K312" s="1312"/>
      <c r="L312" s="1315">
        <v>0.29166666666666669</v>
      </c>
      <c r="M312" s="1315">
        <v>0.125</v>
      </c>
      <c r="N312" s="1312">
        <v>7</v>
      </c>
      <c r="O312" s="1312"/>
      <c r="P312" s="1312"/>
      <c r="Q312" s="1315">
        <v>8.3333333333333329E-2</v>
      </c>
      <c r="R312" s="1315">
        <v>0.41666666666666669</v>
      </c>
      <c r="S312" s="1312">
        <v>7</v>
      </c>
      <c r="T312" s="1312"/>
      <c r="U312" s="1312"/>
      <c r="V312" s="1315">
        <v>0.125</v>
      </c>
      <c r="W312" s="1315">
        <v>0.45833333333333331</v>
      </c>
      <c r="X312" s="1312">
        <v>7.5</v>
      </c>
      <c r="Y312" s="1312"/>
      <c r="Z312" s="1314">
        <f t="shared" si="73"/>
        <v>28.5</v>
      </c>
      <c r="AA312" s="1316">
        <f t="shared" si="74"/>
        <v>0</v>
      </c>
      <c r="AB312" s="1310"/>
      <c r="AC312" s="1315">
        <v>0.29166666666666669</v>
      </c>
      <c r="AD312" s="1315">
        <v>0.125</v>
      </c>
      <c r="AE312" s="1312">
        <v>7.5</v>
      </c>
      <c r="AF312" s="1310"/>
      <c r="AG312" s="1315"/>
      <c r="AH312" s="1315"/>
      <c r="AI312" s="1312"/>
      <c r="AJ312" s="1314">
        <f t="shared" si="75"/>
        <v>7.5</v>
      </c>
      <c r="AK312" s="941"/>
      <c r="AL312" s="943"/>
      <c r="AM312" s="940"/>
      <c r="AN312" s="954"/>
      <c r="AO312" s="954"/>
      <c r="AP312" s="954"/>
      <c r="AQ312" s="954"/>
      <c r="AR312" s="954"/>
      <c r="AS312" s="954"/>
      <c r="AT312" s="940"/>
      <c r="AU312" s="1265"/>
      <c r="AV312" s="1265"/>
      <c r="AW312" s="1265"/>
      <c r="AX312" s="1265"/>
      <c r="AY312" s="1265"/>
      <c r="AZ312" s="1265"/>
      <c r="BA312" s="1265"/>
      <c r="BB312" s="1265"/>
      <c r="BC312" s="1265"/>
      <c r="BD312" s="1265"/>
      <c r="BE312" s="1265"/>
    </row>
    <row r="313" spans="1:57" ht="15.75" hidden="1">
      <c r="A313" s="1318" t="s">
        <v>241</v>
      </c>
      <c r="B313" s="1315">
        <v>0.29166666666666669</v>
      </c>
      <c r="C313" s="1315">
        <v>0.20833333333333334</v>
      </c>
      <c r="D313" s="1312">
        <v>8</v>
      </c>
      <c r="E313" s="1312">
        <v>1</v>
      </c>
      <c r="F313" s="1312"/>
      <c r="G313" s="1315">
        <v>0.375</v>
      </c>
      <c r="H313" s="1315">
        <v>0.25</v>
      </c>
      <c r="I313" s="1312">
        <v>8</v>
      </c>
      <c r="J313" s="1312"/>
      <c r="K313" s="1312"/>
      <c r="L313" s="1315">
        <v>0.29166666666666669</v>
      </c>
      <c r="M313" s="1315">
        <v>0.20833333333333334</v>
      </c>
      <c r="N313" s="1312">
        <v>8</v>
      </c>
      <c r="O313" s="1312">
        <v>1</v>
      </c>
      <c r="P313" s="1312"/>
      <c r="Q313" s="1315">
        <v>0.41666666666666669</v>
      </c>
      <c r="R313" s="1315">
        <v>0.20833333333333334</v>
      </c>
      <c r="S313" s="1312">
        <v>6.5</v>
      </c>
      <c r="T313" s="1312"/>
      <c r="U313" s="1312"/>
      <c r="V313" s="1315">
        <v>0.29166666666666669</v>
      </c>
      <c r="W313" s="1315">
        <v>0.20833333333333334</v>
      </c>
      <c r="X313" s="1312">
        <v>8</v>
      </c>
      <c r="Y313" s="1312">
        <v>1</v>
      </c>
      <c r="Z313" s="1314">
        <f t="shared" si="73"/>
        <v>38.5</v>
      </c>
      <c r="AA313" s="1316">
        <f t="shared" si="74"/>
        <v>3</v>
      </c>
      <c r="AB313" s="1310"/>
      <c r="AC313" s="1315">
        <v>0.29166666666666669</v>
      </c>
      <c r="AD313" s="1315">
        <v>0.20833333333333334</v>
      </c>
      <c r="AE313" s="1312">
        <v>9</v>
      </c>
      <c r="AF313" s="1310"/>
      <c r="AG313" s="1315"/>
      <c r="AH313" s="1315"/>
      <c r="AI313" s="1312"/>
      <c r="AJ313" s="1314">
        <f t="shared" si="75"/>
        <v>9</v>
      </c>
      <c r="AK313" s="941"/>
      <c r="AL313" s="943"/>
      <c r="AM313" s="940"/>
      <c r="AN313" s="954"/>
      <c r="AO313" s="954"/>
      <c r="AP313" s="954"/>
      <c r="AQ313" s="954"/>
      <c r="AR313" s="954"/>
      <c r="AS313" s="954"/>
      <c r="AT313" s="940"/>
      <c r="AU313" s="1265"/>
      <c r="AV313" s="1265"/>
      <c r="AW313" s="1265"/>
      <c r="AX313" s="1265"/>
      <c r="AY313" s="1265"/>
      <c r="AZ313" s="1265"/>
      <c r="BA313" s="1265"/>
      <c r="BB313" s="1265"/>
      <c r="BC313" s="1265"/>
      <c r="BD313" s="1265"/>
      <c r="BE313" s="1265"/>
    </row>
    <row r="314" spans="1:57" ht="15.75" hidden="1">
      <c r="A314" s="1318" t="s">
        <v>1477</v>
      </c>
      <c r="B314" s="1315">
        <v>0.375</v>
      </c>
      <c r="C314" s="1315">
        <v>0.20833333333333334</v>
      </c>
      <c r="D314" s="1312">
        <v>7</v>
      </c>
      <c r="E314" s="1312"/>
      <c r="F314" s="1312"/>
      <c r="G314" s="1315">
        <v>0.375</v>
      </c>
      <c r="H314" s="1315">
        <v>0.20833333333333334</v>
      </c>
      <c r="I314" s="1312">
        <v>7</v>
      </c>
      <c r="J314" s="1312"/>
      <c r="K314" s="1312"/>
      <c r="L314" s="1315">
        <v>0.38541666666666669</v>
      </c>
      <c r="M314" s="1315">
        <v>0.20833333333333334</v>
      </c>
      <c r="N314" s="1312">
        <v>6.75</v>
      </c>
      <c r="O314" s="1312"/>
      <c r="P314" s="1312"/>
      <c r="Q314" s="1315">
        <v>0.375</v>
      </c>
      <c r="R314" s="1315">
        <v>0.20833333333333334</v>
      </c>
      <c r="S314" s="1312">
        <v>7</v>
      </c>
      <c r="T314" s="1312"/>
      <c r="U314" s="1312"/>
      <c r="V314" s="1315"/>
      <c r="W314" s="1315"/>
      <c r="X314" s="1312">
        <v>0</v>
      </c>
      <c r="Y314" s="1312"/>
      <c r="Z314" s="1314">
        <f t="shared" si="73"/>
        <v>27.75</v>
      </c>
      <c r="AA314" s="1316">
        <f t="shared" si="74"/>
        <v>0</v>
      </c>
      <c r="AB314" s="1310"/>
      <c r="AC314" s="1315"/>
      <c r="AD314" s="1315"/>
      <c r="AE314" s="1312"/>
      <c r="AF314" s="1310"/>
      <c r="AG314" s="1315"/>
      <c r="AH314" s="1315"/>
      <c r="AI314" s="1312"/>
      <c r="AJ314" s="1314">
        <f t="shared" si="75"/>
        <v>0</v>
      </c>
      <c r="AK314" s="941"/>
      <c r="AL314" s="943"/>
      <c r="AM314" s="940"/>
      <c r="AN314" s="954"/>
      <c r="AO314" s="954"/>
      <c r="AP314" s="954"/>
      <c r="AQ314" s="954"/>
      <c r="AR314" s="954"/>
      <c r="AS314" s="954"/>
      <c r="AT314" s="940"/>
      <c r="AU314" s="1265"/>
      <c r="AV314" s="1265"/>
      <c r="AW314" s="1265"/>
      <c r="AX314" s="1265"/>
      <c r="AY314" s="1265"/>
      <c r="AZ314" s="1265"/>
      <c r="BA314" s="1265"/>
      <c r="BB314" s="1265"/>
      <c r="BC314" s="1265"/>
      <c r="BD314" s="1265"/>
      <c r="BE314" s="1265"/>
    </row>
    <row r="315" spans="1:57" ht="15.75" hidden="1">
      <c r="A315" s="1318" t="s">
        <v>1444</v>
      </c>
      <c r="B315" s="1315">
        <v>0.38541666666666669</v>
      </c>
      <c r="C315" s="1315">
        <v>0.125</v>
      </c>
      <c r="D315" s="1312">
        <v>5.25</v>
      </c>
      <c r="E315" s="1312"/>
      <c r="F315" s="1312"/>
      <c r="G315" s="1315">
        <v>0.375</v>
      </c>
      <c r="H315" s="1315">
        <v>0.125</v>
      </c>
      <c r="I315" s="1312">
        <v>5.5</v>
      </c>
      <c r="J315" s="1312"/>
      <c r="K315" s="1312"/>
      <c r="L315" s="1315">
        <v>0.375</v>
      </c>
      <c r="M315" s="1315">
        <v>0.125</v>
      </c>
      <c r="N315" s="1312">
        <v>5.5</v>
      </c>
      <c r="O315" s="1312"/>
      <c r="P315" s="1312"/>
      <c r="Q315" s="1315">
        <v>0.375</v>
      </c>
      <c r="R315" s="1315"/>
      <c r="S315" s="1312">
        <v>5.25</v>
      </c>
      <c r="T315" s="1312"/>
      <c r="U315" s="1312"/>
      <c r="V315" s="1315">
        <v>0.375</v>
      </c>
      <c r="W315" s="1315">
        <v>0.20833333333333334</v>
      </c>
      <c r="X315" s="1312">
        <v>7</v>
      </c>
      <c r="Y315" s="1312"/>
      <c r="Z315" s="1314">
        <f t="shared" si="73"/>
        <v>28.5</v>
      </c>
      <c r="AA315" s="1316">
        <f t="shared" si="74"/>
        <v>0</v>
      </c>
      <c r="AB315" s="1310"/>
      <c r="AC315" s="1315"/>
      <c r="AD315" s="1315"/>
      <c r="AE315" s="1312"/>
      <c r="AF315" s="1310"/>
      <c r="AG315" s="1315"/>
      <c r="AH315" s="1315"/>
      <c r="AI315" s="1312"/>
      <c r="AJ315" s="1314">
        <f t="shared" si="75"/>
        <v>0</v>
      </c>
      <c r="AK315" s="941"/>
      <c r="AL315" s="943"/>
      <c r="AM315" s="940"/>
      <c r="AN315" s="954"/>
      <c r="AO315" s="954"/>
      <c r="AP315" s="954"/>
      <c r="AQ315" s="954"/>
      <c r="AR315" s="954"/>
      <c r="AS315" s="954"/>
      <c r="AT315" s="940"/>
      <c r="AU315" s="1265"/>
      <c r="AV315" s="1265"/>
      <c r="AW315" s="1265"/>
      <c r="AX315" s="1265"/>
      <c r="AY315" s="1265"/>
      <c r="AZ315" s="1265"/>
      <c r="BA315" s="1265"/>
      <c r="BB315" s="1265"/>
      <c r="BC315" s="1265"/>
      <c r="BD315" s="1265"/>
      <c r="BE315" s="1265"/>
    </row>
    <row r="316" spans="1:57" ht="15.75" hidden="1">
      <c r="A316" s="1318" t="s">
        <v>1479</v>
      </c>
      <c r="B316" s="1315">
        <v>0.125</v>
      </c>
      <c r="C316" s="1315">
        <v>0.39583333333333331</v>
      </c>
      <c r="D316" s="1312">
        <v>6</v>
      </c>
      <c r="E316" s="1312"/>
      <c r="F316" s="1312"/>
      <c r="G316" s="1315">
        <v>0.29166666666666669</v>
      </c>
      <c r="H316" s="1315">
        <v>0.20833333333333334</v>
      </c>
      <c r="I316" s="1312">
        <v>8</v>
      </c>
      <c r="J316" s="1312">
        <v>1</v>
      </c>
      <c r="K316" s="1312"/>
      <c r="L316" s="1315">
        <v>0.125</v>
      </c>
      <c r="M316" s="1315">
        <v>0.41666666666666669</v>
      </c>
      <c r="N316" s="1312">
        <v>6.5</v>
      </c>
      <c r="O316" s="1312"/>
      <c r="P316" s="1312"/>
      <c r="Q316" s="1315">
        <v>0.29166666666666669</v>
      </c>
      <c r="R316" s="1315">
        <v>0.10416666666666667</v>
      </c>
      <c r="S316" s="1312">
        <v>7</v>
      </c>
      <c r="T316" s="1312"/>
      <c r="U316" s="1312"/>
      <c r="V316" s="1315">
        <v>0.29166666666666669</v>
      </c>
      <c r="W316" s="1315">
        <v>0.125</v>
      </c>
      <c r="X316" s="1312">
        <v>7.5</v>
      </c>
      <c r="Y316" s="1312"/>
      <c r="Z316" s="1314">
        <f t="shared" si="73"/>
        <v>35</v>
      </c>
      <c r="AA316" s="1316">
        <f t="shared" si="74"/>
        <v>1</v>
      </c>
      <c r="AB316" s="1310"/>
      <c r="AC316" s="1315">
        <v>0.125</v>
      </c>
      <c r="AD316" s="1315">
        <v>0.41666666666666669</v>
      </c>
      <c r="AE316" s="1312">
        <v>6.5</v>
      </c>
      <c r="AF316" s="1310"/>
      <c r="AG316" s="1315">
        <v>0.29166666666666669</v>
      </c>
      <c r="AH316" s="1315">
        <v>0.22916666666666666</v>
      </c>
      <c r="AI316" s="1312">
        <v>9.5</v>
      </c>
      <c r="AJ316" s="1314">
        <f t="shared" si="75"/>
        <v>16</v>
      </c>
      <c r="AK316" s="941"/>
      <c r="AL316" s="943"/>
      <c r="AM316" s="940"/>
      <c r="AN316" s="954"/>
      <c r="AO316" s="954"/>
      <c r="AP316" s="954"/>
      <c r="AQ316" s="954"/>
      <c r="AR316" s="954"/>
      <c r="AS316" s="954"/>
      <c r="AT316" s="940"/>
      <c r="AU316" s="1265"/>
      <c r="AV316" s="1265"/>
      <c r="AW316" s="1265"/>
      <c r="AX316" s="1265"/>
      <c r="AY316" s="1265"/>
      <c r="AZ316" s="1265"/>
      <c r="BA316" s="1265"/>
      <c r="BB316" s="1265"/>
      <c r="BC316" s="1265"/>
      <c r="BD316" s="1265"/>
      <c r="BE316" s="1265"/>
    </row>
    <row r="317" spans="1:57" ht="15.75" hidden="1">
      <c r="A317" s="1318" t="s">
        <v>1480</v>
      </c>
      <c r="B317" s="1315">
        <v>0.5</v>
      </c>
      <c r="C317" s="1315">
        <v>0.41666666666666669</v>
      </c>
      <c r="D317" s="1312">
        <v>8</v>
      </c>
      <c r="E317" s="1312">
        <v>1</v>
      </c>
      <c r="F317" s="1312"/>
      <c r="G317" s="1315">
        <v>0.29166666666666669</v>
      </c>
      <c r="H317" s="1315">
        <v>0.20833333333333334</v>
      </c>
      <c r="I317" s="1312">
        <v>8</v>
      </c>
      <c r="J317" s="1312">
        <v>1</v>
      </c>
      <c r="K317" s="1312"/>
      <c r="L317" s="1315">
        <v>0.29166666666666669</v>
      </c>
      <c r="M317" s="1315">
        <v>0.41666666666666669</v>
      </c>
      <c r="N317" s="1312">
        <v>8</v>
      </c>
      <c r="O317" s="1312">
        <v>6</v>
      </c>
      <c r="P317" s="1312"/>
      <c r="Q317" s="1315">
        <v>0.41666666666666669</v>
      </c>
      <c r="R317" s="1315">
        <v>0.20833333333333334</v>
      </c>
      <c r="S317" s="1312">
        <v>6.5</v>
      </c>
      <c r="T317" s="1312"/>
      <c r="U317" s="1312"/>
      <c r="V317" s="1315"/>
      <c r="W317" s="1315"/>
      <c r="X317" s="1312">
        <v>0</v>
      </c>
      <c r="Y317" s="1312"/>
      <c r="Z317" s="1314">
        <f t="shared" si="73"/>
        <v>30.5</v>
      </c>
      <c r="AA317" s="1316">
        <f t="shared" si="74"/>
        <v>8</v>
      </c>
      <c r="AB317" s="1310"/>
      <c r="AC317" s="1315">
        <v>0.29166666666666669</v>
      </c>
      <c r="AD317" s="1315">
        <v>0.20833333333333334</v>
      </c>
      <c r="AE317" s="1312">
        <v>9</v>
      </c>
      <c r="AF317" s="1310"/>
      <c r="AG317" s="1315"/>
      <c r="AH317" s="1315"/>
      <c r="AI317" s="1312"/>
      <c r="AJ317" s="1314">
        <f t="shared" si="75"/>
        <v>9</v>
      </c>
      <c r="AK317" s="941"/>
      <c r="AL317" s="943"/>
      <c r="AM317" s="940"/>
      <c r="AN317" s="954"/>
      <c r="AO317" s="954"/>
      <c r="AP317" s="954"/>
      <c r="AQ317" s="954"/>
      <c r="AR317" s="954"/>
      <c r="AS317" s="954"/>
      <c r="AT317" s="940"/>
      <c r="AU317" s="1265"/>
      <c r="AV317" s="1265"/>
      <c r="AW317" s="1265"/>
      <c r="AX317" s="1265"/>
      <c r="AY317" s="1265"/>
      <c r="AZ317" s="1265"/>
      <c r="BA317" s="1265"/>
      <c r="BB317" s="1265"/>
      <c r="BC317" s="1265"/>
      <c r="BD317" s="1265"/>
      <c r="BE317" s="1265"/>
    </row>
    <row r="318" spans="1:57" ht="15.75" hidden="1">
      <c r="A318" s="1318" t="s">
        <v>1143</v>
      </c>
      <c r="B318" s="1315"/>
      <c r="C318" s="1315"/>
      <c r="D318" s="1312">
        <v>0</v>
      </c>
      <c r="E318" s="1312"/>
      <c r="F318" s="1312"/>
      <c r="G318" s="1315"/>
      <c r="H318" s="1315"/>
      <c r="I318" s="1312">
        <v>0</v>
      </c>
      <c r="J318" s="1312"/>
      <c r="K318" s="1312"/>
      <c r="L318" s="1315"/>
      <c r="M318" s="1315"/>
      <c r="N318" s="1312">
        <v>0</v>
      </c>
      <c r="O318" s="1312"/>
      <c r="P318" s="1312"/>
      <c r="Q318" s="1315"/>
      <c r="R318" s="1315"/>
      <c r="S318" s="1312">
        <v>0</v>
      </c>
      <c r="T318" s="1312"/>
      <c r="U318" s="1312"/>
      <c r="V318" s="1315"/>
      <c r="W318" s="1315"/>
      <c r="X318" s="1312">
        <v>0</v>
      </c>
      <c r="Y318" s="1312"/>
      <c r="Z318" s="1314">
        <f t="shared" si="73"/>
        <v>0</v>
      </c>
      <c r="AA318" s="1316">
        <f t="shared" si="74"/>
        <v>0</v>
      </c>
      <c r="AB318" s="1310"/>
      <c r="AC318" s="1315">
        <v>0.29166666666666669</v>
      </c>
      <c r="AD318" s="1315">
        <v>0.13541666666666666</v>
      </c>
      <c r="AE318" s="1312">
        <v>7.75</v>
      </c>
      <c r="AF318" s="1310"/>
      <c r="AG318" s="1315"/>
      <c r="AH318" s="1315"/>
      <c r="AI318" s="1312"/>
      <c r="AJ318" s="1314">
        <f t="shared" si="75"/>
        <v>7.75</v>
      </c>
      <c r="AK318" s="941"/>
      <c r="AL318" s="943"/>
      <c r="AM318" s="940"/>
      <c r="AN318" s="954"/>
      <c r="AO318" s="954"/>
      <c r="AP318" s="954"/>
      <c r="AQ318" s="954"/>
      <c r="AR318" s="954"/>
      <c r="AS318" s="954"/>
      <c r="AT318" s="940"/>
      <c r="AU318" s="1265"/>
      <c r="AV318" s="1265"/>
      <c r="AW318" s="1265"/>
      <c r="AX318" s="1265"/>
      <c r="AY318" s="1265"/>
      <c r="AZ318" s="1265"/>
      <c r="BA318" s="1265"/>
      <c r="BB318" s="1265"/>
      <c r="BC318" s="1265"/>
      <c r="BD318" s="1265"/>
      <c r="BE318" s="1265"/>
    </row>
    <row r="319" spans="1:57" ht="15.75" hidden="1">
      <c r="A319" s="1318" t="s">
        <v>813</v>
      </c>
      <c r="B319" s="1315"/>
      <c r="C319" s="1315"/>
      <c r="D319" s="1312">
        <v>4</v>
      </c>
      <c r="E319" s="1312"/>
      <c r="F319" s="1310"/>
      <c r="G319" s="1315"/>
      <c r="H319" s="1315"/>
      <c r="I319" s="1312">
        <v>4</v>
      </c>
      <c r="J319" s="1312"/>
      <c r="K319" s="1310"/>
      <c r="L319" s="1315"/>
      <c r="M319" s="1315"/>
      <c r="N319" s="1312">
        <v>4</v>
      </c>
      <c r="O319" s="1312"/>
      <c r="P319" s="1310"/>
      <c r="Q319" s="1315"/>
      <c r="R319" s="1315"/>
      <c r="S319" s="1312">
        <v>4</v>
      </c>
      <c r="T319" s="1312"/>
      <c r="U319" s="1310"/>
      <c r="V319" s="1315"/>
      <c r="W319" s="1315"/>
      <c r="X319" s="1312">
        <v>4</v>
      </c>
      <c r="Y319" s="1312"/>
      <c r="Z319" s="1314">
        <f t="shared" si="73"/>
        <v>20</v>
      </c>
      <c r="AA319" s="1316">
        <f t="shared" si="74"/>
        <v>0</v>
      </c>
      <c r="AB319" s="1310"/>
      <c r="AC319" s="1315"/>
      <c r="AD319" s="1315"/>
      <c r="AE319" s="1312"/>
      <c r="AF319" s="1310"/>
      <c r="AG319" s="1315"/>
      <c r="AH319" s="1315"/>
      <c r="AI319" s="1312"/>
      <c r="AJ319" s="1314">
        <f t="shared" si="75"/>
        <v>0</v>
      </c>
      <c r="AK319" s="941"/>
      <c r="AL319" s="943"/>
      <c r="AM319" s="940"/>
      <c r="AN319" s="992"/>
      <c r="AO319" s="1005"/>
      <c r="AP319" s="994"/>
      <c r="AQ319" s="994"/>
      <c r="AR319" s="954"/>
      <c r="AS319" s="954"/>
      <c r="AT319" s="940"/>
      <c r="AU319" s="1265"/>
      <c r="AV319" s="1265"/>
      <c r="AW319" s="1265"/>
      <c r="AX319" s="1265"/>
      <c r="AY319" s="1265"/>
      <c r="AZ319" s="1265"/>
      <c r="BA319" s="1265"/>
      <c r="BB319" s="1265"/>
      <c r="BC319" s="1265"/>
      <c r="BD319" s="1265"/>
      <c r="BE319" s="1265"/>
    </row>
    <row r="320" spans="1:57" ht="15.75" hidden="1">
      <c r="A320" s="1318" t="s">
        <v>1431</v>
      </c>
      <c r="B320" s="1315"/>
      <c r="C320" s="1315"/>
      <c r="D320" s="1312">
        <v>4</v>
      </c>
      <c r="E320" s="1312"/>
      <c r="F320" s="1310"/>
      <c r="G320" s="1315"/>
      <c r="H320" s="1315"/>
      <c r="I320" s="1312">
        <v>4</v>
      </c>
      <c r="J320" s="1312"/>
      <c r="K320" s="1310"/>
      <c r="L320" s="1315"/>
      <c r="M320" s="1315"/>
      <c r="N320" s="1312">
        <v>4</v>
      </c>
      <c r="O320" s="1312"/>
      <c r="P320" s="1310"/>
      <c r="Q320" s="1315"/>
      <c r="R320" s="1315"/>
      <c r="S320" s="1312">
        <v>4</v>
      </c>
      <c r="T320" s="1312"/>
      <c r="U320" s="1310"/>
      <c r="V320" s="1315"/>
      <c r="W320" s="1315"/>
      <c r="X320" s="1312">
        <v>4</v>
      </c>
      <c r="Y320" s="1312"/>
      <c r="Z320" s="1314">
        <f t="shared" si="73"/>
        <v>20</v>
      </c>
      <c r="AA320" s="1316">
        <f t="shared" si="74"/>
        <v>0</v>
      </c>
      <c r="AB320" s="1310"/>
      <c r="AC320" s="1315"/>
      <c r="AD320" s="1315"/>
      <c r="AE320" s="1312"/>
      <c r="AF320" s="1310"/>
      <c r="AG320" s="1315"/>
      <c r="AH320" s="1315"/>
      <c r="AI320" s="1312"/>
      <c r="AJ320" s="1314">
        <f t="shared" si="75"/>
        <v>0</v>
      </c>
      <c r="AK320" s="941"/>
      <c r="AL320" s="943"/>
      <c r="AM320" s="940"/>
      <c r="AN320" s="954"/>
      <c r="AO320" s="954"/>
      <c r="AP320" s="954"/>
      <c r="AQ320" s="954"/>
      <c r="AR320" s="954"/>
      <c r="AS320" s="954"/>
      <c r="AT320" s="940"/>
      <c r="AU320" s="1265"/>
      <c r="AV320" s="1265"/>
      <c r="AW320" s="1265"/>
      <c r="AX320" s="1265"/>
      <c r="AY320" s="1265"/>
      <c r="AZ320" s="1265"/>
      <c r="BA320" s="1265"/>
      <c r="BB320" s="1265"/>
      <c r="BC320" s="1265"/>
      <c r="BD320" s="1265"/>
      <c r="BE320" s="1265"/>
    </row>
    <row r="321" spans="1:57" ht="15.75" hidden="1">
      <c r="A321" s="1318" t="s">
        <v>1481</v>
      </c>
      <c r="B321" s="1315"/>
      <c r="C321" s="1319"/>
      <c r="D321" s="1312">
        <v>0</v>
      </c>
      <c r="E321" s="1312"/>
      <c r="F321" s="1312"/>
      <c r="G321" s="1315"/>
      <c r="H321" s="1315"/>
      <c r="I321" s="1312">
        <v>0</v>
      </c>
      <c r="J321" s="1312"/>
      <c r="K321" s="1312"/>
      <c r="L321" s="1315"/>
      <c r="M321" s="1319"/>
      <c r="N321" s="1312">
        <v>0</v>
      </c>
      <c r="O321" s="1312"/>
      <c r="P321" s="1312"/>
      <c r="Q321" s="1315"/>
      <c r="R321" s="1315"/>
      <c r="S321" s="1312">
        <v>0</v>
      </c>
      <c r="T321" s="1312"/>
      <c r="U321" s="1312"/>
      <c r="V321" s="1315"/>
      <c r="W321" s="1315"/>
      <c r="X321" s="1312">
        <v>0</v>
      </c>
      <c r="Y321" s="1312"/>
      <c r="Z321" s="1314">
        <f t="shared" si="73"/>
        <v>0</v>
      </c>
      <c r="AA321" s="1316">
        <f t="shared" si="74"/>
        <v>0</v>
      </c>
      <c r="AB321" s="1310"/>
      <c r="AC321" s="1315"/>
      <c r="AD321" s="1319"/>
      <c r="AE321" s="1312"/>
      <c r="AF321" s="1315"/>
      <c r="AG321" s="1319"/>
      <c r="AH321" s="1312"/>
      <c r="AI321" s="1315"/>
      <c r="AJ321" s="1314">
        <f t="shared" si="75"/>
        <v>0</v>
      </c>
      <c r="AK321" s="941"/>
      <c r="AL321" s="943"/>
      <c r="AM321" s="940"/>
      <c r="AN321" s="954"/>
      <c r="AO321" s="954"/>
      <c r="AP321" s="954"/>
      <c r="AQ321" s="954"/>
      <c r="AR321" s="954"/>
      <c r="AS321" s="954"/>
      <c r="AT321" s="940"/>
      <c r="AU321" s="1265"/>
      <c r="AV321" s="1265"/>
      <c r="AW321" s="1265"/>
      <c r="AX321" s="1265"/>
      <c r="AY321" s="1265"/>
      <c r="AZ321" s="1265"/>
      <c r="BA321" s="1265"/>
      <c r="BB321" s="1265"/>
      <c r="BC321" s="1265"/>
      <c r="BD321" s="1265"/>
      <c r="BE321" s="1265"/>
    </row>
    <row r="322" spans="1:57" ht="15.75" hidden="1">
      <c r="A322" s="1318" t="s">
        <v>1427</v>
      </c>
      <c r="B322" s="1315">
        <v>0.45833333333333331</v>
      </c>
      <c r="C322" s="1319">
        <v>0.29166666666666669</v>
      </c>
      <c r="D322" s="1312">
        <v>8</v>
      </c>
      <c r="E322" s="1312"/>
      <c r="F322" s="1312"/>
      <c r="G322" s="1315">
        <v>0.45833333333333331</v>
      </c>
      <c r="H322" s="1319">
        <v>0.29166666666666669</v>
      </c>
      <c r="I322" s="1312">
        <v>8</v>
      </c>
      <c r="J322" s="1312"/>
      <c r="K322" s="1312"/>
      <c r="L322" s="1315">
        <v>0.45833333333333331</v>
      </c>
      <c r="M322" s="1319">
        <v>0.29166666666666669</v>
      </c>
      <c r="N322" s="1312">
        <v>8</v>
      </c>
      <c r="O322" s="1312"/>
      <c r="P322" s="1312"/>
      <c r="Q322" s="1315">
        <v>0.45833333333333331</v>
      </c>
      <c r="R322" s="1319">
        <v>0.29166666666666669</v>
      </c>
      <c r="S322" s="1312">
        <v>8</v>
      </c>
      <c r="T322" s="1312"/>
      <c r="U322" s="1312"/>
      <c r="V322" s="1315">
        <v>0.45833333333333331</v>
      </c>
      <c r="W322" s="1319">
        <v>0.29166666666666669</v>
      </c>
      <c r="X322" s="1312">
        <v>8</v>
      </c>
      <c r="Y322" s="1312"/>
      <c r="Z322" s="1314">
        <f t="shared" si="73"/>
        <v>40</v>
      </c>
      <c r="AA322" s="1316">
        <f t="shared" si="74"/>
        <v>0</v>
      </c>
      <c r="AB322" s="1310"/>
      <c r="AC322" s="1315"/>
      <c r="AD322" s="1319"/>
      <c r="AE322" s="1312"/>
      <c r="AF322" s="1315"/>
      <c r="AG322" s="1319"/>
      <c r="AH322" s="1312"/>
      <c r="AI322" s="1315"/>
      <c r="AJ322" s="1314">
        <f t="shared" si="75"/>
        <v>0</v>
      </c>
      <c r="AK322" s="941"/>
      <c r="AL322" s="943"/>
      <c r="AM322" s="940"/>
      <c r="AN322" s="954"/>
      <c r="AO322" s="954"/>
      <c r="AP322" s="954"/>
      <c r="AQ322" s="954"/>
      <c r="AR322" s="954"/>
      <c r="AS322" s="954"/>
      <c r="AT322" s="940"/>
      <c r="AU322" s="1265"/>
      <c r="AV322" s="1265"/>
      <c r="AW322" s="1265"/>
      <c r="AX322" s="1265"/>
      <c r="AY322" s="1265"/>
      <c r="AZ322" s="1265"/>
      <c r="BA322" s="1265"/>
      <c r="BB322" s="1265"/>
      <c r="BC322" s="1265"/>
      <c r="BD322" s="1265"/>
      <c r="BE322" s="1265"/>
    </row>
    <row r="323" spans="1:57" ht="15.75" hidden="1">
      <c r="A323" s="1318" t="s">
        <v>1064</v>
      </c>
      <c r="B323" s="1315">
        <v>0.45833333333333331</v>
      </c>
      <c r="C323" s="1319">
        <v>0.29166666666666669</v>
      </c>
      <c r="D323" s="1312">
        <v>8</v>
      </c>
      <c r="E323" s="1312"/>
      <c r="F323" s="1312"/>
      <c r="G323" s="1315">
        <v>0.45833333333333331</v>
      </c>
      <c r="H323" s="1319">
        <v>0.29166666666666669</v>
      </c>
      <c r="I323" s="1312">
        <v>8</v>
      </c>
      <c r="J323" s="1312"/>
      <c r="K323" s="1312"/>
      <c r="L323" s="1315">
        <v>0.45833333333333331</v>
      </c>
      <c r="M323" s="1319">
        <v>0.29166666666666669</v>
      </c>
      <c r="N323" s="1312">
        <v>8</v>
      </c>
      <c r="O323" s="1312"/>
      <c r="P323" s="1312"/>
      <c r="Q323" s="1315">
        <v>0.45833333333333331</v>
      </c>
      <c r="R323" s="1315">
        <v>0.29166666666666669</v>
      </c>
      <c r="S323" s="1312">
        <v>8</v>
      </c>
      <c r="T323" s="1312"/>
      <c r="U323" s="1312"/>
      <c r="V323" s="1315">
        <v>0.45833333333333331</v>
      </c>
      <c r="W323" s="1319">
        <v>0.29166666666666669</v>
      </c>
      <c r="X323" s="1312">
        <v>8</v>
      </c>
      <c r="Y323" s="1312"/>
      <c r="Z323" s="1314">
        <f t="shared" si="73"/>
        <v>40</v>
      </c>
      <c r="AA323" s="1316">
        <f t="shared" si="74"/>
        <v>0</v>
      </c>
      <c r="AB323" s="1310"/>
      <c r="AC323" s="1315"/>
      <c r="AD323" s="1319"/>
      <c r="AE323" s="1312"/>
      <c r="AF323" s="1315"/>
      <c r="AG323" s="1319"/>
      <c r="AH323" s="1312"/>
      <c r="AI323" s="1315"/>
      <c r="AJ323" s="1314">
        <f t="shared" si="75"/>
        <v>0</v>
      </c>
      <c r="AK323" s="941"/>
      <c r="AL323" s="943"/>
      <c r="AM323" s="940"/>
      <c r="AN323" s="954"/>
      <c r="AO323" s="954"/>
      <c r="AP323" s="954"/>
      <c r="AQ323" s="954"/>
      <c r="AR323" s="954"/>
      <c r="AS323" s="954"/>
      <c r="AT323" s="940"/>
      <c r="AU323" s="1265"/>
      <c r="AV323" s="1265"/>
      <c r="AW323" s="1265"/>
      <c r="AX323" s="1265"/>
      <c r="AY323" s="1265"/>
      <c r="AZ323" s="1265"/>
      <c r="BA323" s="1265"/>
      <c r="BB323" s="1265"/>
      <c r="BC323" s="1265"/>
      <c r="BD323" s="1265"/>
      <c r="BE323" s="1265"/>
    </row>
    <row r="324" spans="1:57" ht="15.75" hidden="1">
      <c r="A324" s="1318" t="s">
        <v>1144</v>
      </c>
      <c r="B324" s="1315">
        <v>0.45833333333333331</v>
      </c>
      <c r="C324" s="1319"/>
      <c r="D324" s="1312">
        <v>7.75</v>
      </c>
      <c r="E324" s="1312"/>
      <c r="F324" s="1312"/>
      <c r="G324" s="1315">
        <v>0.45833333333333331</v>
      </c>
      <c r="H324" s="1319">
        <v>0.29166666666666669</v>
      </c>
      <c r="I324" s="1312">
        <v>8</v>
      </c>
      <c r="J324" s="1312"/>
      <c r="K324" s="1312"/>
      <c r="L324" s="1315">
        <v>0.45833333333333331</v>
      </c>
      <c r="M324" s="1319">
        <v>0.29166666666666669</v>
      </c>
      <c r="N324" s="1312">
        <v>8</v>
      </c>
      <c r="O324" s="1312"/>
      <c r="P324" s="1312"/>
      <c r="Q324" s="1315">
        <v>0.45833333333333331</v>
      </c>
      <c r="R324" s="1315"/>
      <c r="S324" s="1312">
        <v>7.75</v>
      </c>
      <c r="T324" s="1312"/>
      <c r="U324" s="1312"/>
      <c r="V324" s="1315">
        <v>0.45833333333333331</v>
      </c>
      <c r="W324" s="1319">
        <v>0.29166666666666669</v>
      </c>
      <c r="X324" s="1312">
        <v>8</v>
      </c>
      <c r="Y324" s="1312"/>
      <c r="Z324" s="1314">
        <f>D324+I324+N324+S324+X324</f>
        <v>39.5</v>
      </c>
      <c r="AA324" s="1316">
        <f>E324+J324+O324+T324+Y324</f>
        <v>0</v>
      </c>
      <c r="AB324" s="1310"/>
      <c r="AC324" s="1315"/>
      <c r="AD324" s="1319"/>
      <c r="AE324" s="1312"/>
      <c r="AF324" s="1315"/>
      <c r="AG324" s="1319"/>
      <c r="AH324" s="1312"/>
      <c r="AI324" s="1315"/>
      <c r="AJ324" s="1314">
        <f t="shared" si="75"/>
        <v>0</v>
      </c>
      <c r="AK324" s="941"/>
      <c r="AL324" s="943"/>
      <c r="AM324" s="940"/>
      <c r="AN324" s="954"/>
      <c r="AO324" s="954"/>
      <c r="AP324" s="954"/>
      <c r="AQ324" s="954"/>
      <c r="AR324" s="954"/>
      <c r="AS324" s="954"/>
      <c r="AT324" s="940"/>
      <c r="AU324" s="1265"/>
      <c r="AV324" s="1265"/>
      <c r="AW324" s="1265"/>
      <c r="AX324" s="1265"/>
      <c r="AY324" s="1265"/>
      <c r="AZ324" s="1265"/>
      <c r="BA324" s="1265"/>
      <c r="BB324" s="1265"/>
      <c r="BC324" s="1265"/>
      <c r="BD324" s="1265"/>
      <c r="BE324" s="1265"/>
    </row>
    <row r="325" spans="1:57" ht="16.5" hidden="1" thickBot="1">
      <c r="A325" s="1320" t="s">
        <v>1433</v>
      </c>
      <c r="B325" s="1321"/>
      <c r="C325" s="1322"/>
      <c r="D325" s="1323">
        <v>0</v>
      </c>
      <c r="E325" s="1323"/>
      <c r="F325" s="1323"/>
      <c r="G325" s="1321"/>
      <c r="H325" s="1322"/>
      <c r="I325" s="1323">
        <v>0</v>
      </c>
      <c r="J325" s="1323"/>
      <c r="K325" s="1323"/>
      <c r="L325" s="1321"/>
      <c r="M325" s="1322"/>
      <c r="N325" s="1323">
        <v>0</v>
      </c>
      <c r="O325" s="1323"/>
      <c r="P325" s="1323"/>
      <c r="Q325" s="1321"/>
      <c r="R325" s="1322"/>
      <c r="S325" s="1323">
        <v>0</v>
      </c>
      <c r="T325" s="1323"/>
      <c r="U325" s="1323"/>
      <c r="V325" s="1321"/>
      <c r="W325" s="1322"/>
      <c r="X325" s="1323">
        <v>0</v>
      </c>
      <c r="Y325" s="1323"/>
      <c r="Z325" s="1324">
        <f>D325+I325+N325+S325+X325</f>
        <v>0</v>
      </c>
      <c r="AA325" s="1325">
        <f>E325+J325+O325+T325+Y325</f>
        <v>0</v>
      </c>
      <c r="AB325" s="1310"/>
      <c r="AC325" s="1321"/>
      <c r="AD325" s="1321"/>
      <c r="AE325" s="1323"/>
      <c r="AF325" s="1321"/>
      <c r="AG325" s="1322"/>
      <c r="AH325" s="1323"/>
      <c r="AI325" s="1321"/>
      <c r="AJ325" s="1324">
        <f t="shared" si="75"/>
        <v>0</v>
      </c>
      <c r="AK325" s="941"/>
      <c r="AL325" s="943"/>
      <c r="AM325" s="940"/>
      <c r="AN325" s="954"/>
      <c r="AO325" s="954"/>
      <c r="AP325" s="954"/>
      <c r="AQ325" s="954"/>
      <c r="AR325" s="954"/>
      <c r="AS325" s="954"/>
      <c r="AT325" s="940"/>
      <c r="AU325" s="1265"/>
      <c r="AV325" s="1265"/>
      <c r="AW325" s="1265"/>
      <c r="AX325" s="1265"/>
      <c r="AY325" s="1265"/>
      <c r="AZ325" s="1265"/>
      <c r="BA325" s="1265"/>
      <c r="BB325" s="1265"/>
      <c r="BC325" s="1265"/>
      <c r="BD325" s="1265"/>
      <c r="BE325" s="1265"/>
    </row>
    <row r="326" spans="1:57" ht="16.5" hidden="1" thickTop="1">
      <c r="A326" s="1327" t="s">
        <v>61</v>
      </c>
      <c r="B326" s="1327"/>
      <c r="C326" s="1327"/>
      <c r="D326" s="1328">
        <f>SUM(D302:D320)</f>
        <v>129.25</v>
      </c>
      <c r="E326" s="1312">
        <f>SUM(E303:E320)</f>
        <v>2.75</v>
      </c>
      <c r="F326" s="1327"/>
      <c r="G326" s="1327"/>
      <c r="H326" s="1327"/>
      <c r="I326" s="1328">
        <f>SUM(I302:I320)</f>
        <v>124</v>
      </c>
      <c r="J326" s="1312">
        <f>SUM(J303:J320)</f>
        <v>3.5</v>
      </c>
      <c r="K326" s="1327"/>
      <c r="L326" s="1327"/>
      <c r="M326" s="1327"/>
      <c r="N326" s="1328">
        <f>SUM(N302:N320)</f>
        <v>121.5</v>
      </c>
      <c r="O326" s="1312">
        <f>SUM(O303:O320)</f>
        <v>9.5</v>
      </c>
      <c r="P326" s="1327"/>
      <c r="Q326" s="1327"/>
      <c r="R326" s="1327"/>
      <c r="S326" s="1328">
        <f>SUM(S302:S320)</f>
        <v>127</v>
      </c>
      <c r="T326" s="1312">
        <f>SUM(T303:T320)</f>
        <v>0</v>
      </c>
      <c r="U326" s="1327"/>
      <c r="V326" s="1327"/>
      <c r="W326" s="1327"/>
      <c r="X326" s="1328">
        <f>SUM(X302:X320)</f>
        <v>110</v>
      </c>
      <c r="Y326" s="1312">
        <f>SUM(Y303:Y320)</f>
        <v>8</v>
      </c>
      <c r="Z326" s="1314">
        <f>SUM(Z302:Z320)</f>
        <v>611.75</v>
      </c>
      <c r="AA326" s="1314">
        <f>SUM(AA302:AA319)</f>
        <v>23.75</v>
      </c>
      <c r="AB326" s="1310"/>
      <c r="AC326" s="1327"/>
      <c r="AD326" s="1327"/>
      <c r="AE326" s="1314">
        <f>SUM(AE302:AE320)</f>
        <v>45.75</v>
      </c>
      <c r="AF326" s="1310"/>
      <c r="AG326" s="1327"/>
      <c r="AH326" s="1327"/>
      <c r="AI326" s="1314">
        <f>SUM(AI302:AI320)</f>
        <v>9.5</v>
      </c>
      <c r="AJ326" s="1314">
        <f>SUM(AJ302:AJ324)</f>
        <v>55.25</v>
      </c>
      <c r="AK326" s="941"/>
      <c r="AL326" s="943"/>
      <c r="AM326" s="940"/>
      <c r="AN326" s="954"/>
      <c r="AO326" s="954"/>
      <c r="AP326" s="954"/>
      <c r="AQ326" s="954"/>
      <c r="AR326" s="954"/>
      <c r="AS326" s="954"/>
      <c r="AT326" s="940"/>
      <c r="AU326" s="1265"/>
      <c r="AV326" s="1265"/>
      <c r="AW326" s="1265"/>
      <c r="AX326" s="1265"/>
      <c r="AY326" s="1265"/>
      <c r="AZ326" s="1265"/>
      <c r="BA326" s="1265"/>
      <c r="BB326" s="1265"/>
      <c r="BC326" s="1265"/>
      <c r="BD326" s="1265"/>
      <c r="BE326" s="1265"/>
    </row>
    <row r="327" spans="1:57" ht="15.75" hidden="1">
      <c r="A327" s="1313" t="s">
        <v>1434</v>
      </c>
      <c r="B327" s="1327"/>
      <c r="C327" s="1327"/>
      <c r="D327" s="1328">
        <f>SUM(D321:D325)</f>
        <v>23.75</v>
      </c>
      <c r="E327" s="1312"/>
      <c r="F327" s="1327"/>
      <c r="G327" s="1327"/>
      <c r="H327" s="1327"/>
      <c r="I327" s="1328">
        <f>SUM(I321:I325)</f>
        <v>24</v>
      </c>
      <c r="J327" s="1312"/>
      <c r="K327" s="1327"/>
      <c r="L327" s="1327"/>
      <c r="M327" s="1327"/>
      <c r="N327" s="1328">
        <f>SUM(N321:N325)</f>
        <v>24</v>
      </c>
      <c r="O327" s="1312"/>
      <c r="P327" s="1327"/>
      <c r="Q327" s="1327"/>
      <c r="R327" s="1327"/>
      <c r="S327" s="1328">
        <f>SUM(S321:S325)</f>
        <v>23.75</v>
      </c>
      <c r="T327" s="1312"/>
      <c r="U327" s="1327"/>
      <c r="V327" s="1327"/>
      <c r="W327" s="1327"/>
      <c r="X327" s="1328">
        <f>SUM(X321:X325)</f>
        <v>24</v>
      </c>
      <c r="Y327" s="1312"/>
      <c r="Z327" s="1314">
        <f>SUM(Z321:Z325)</f>
        <v>119.5</v>
      </c>
      <c r="AA327" s="1314">
        <f>SUM(AA321:AA325)</f>
        <v>0</v>
      </c>
      <c r="AB327" s="1310"/>
      <c r="AC327" s="1327"/>
      <c r="AD327" s="1327"/>
      <c r="AE327" s="1314">
        <f>SUM(AE321:AE325)</f>
        <v>0</v>
      </c>
      <c r="AF327" s="1310"/>
      <c r="AG327" s="1327"/>
      <c r="AH327" s="1327"/>
      <c r="AI327" s="1314">
        <f>SUM(AI321:AI325)</f>
        <v>0</v>
      </c>
      <c r="AJ327" s="1314">
        <f>SUM(AE327+AI327)</f>
        <v>0</v>
      </c>
      <c r="AK327" s="941"/>
      <c r="AL327" s="943"/>
      <c r="AM327" s="940"/>
      <c r="AN327" s="954"/>
      <c r="AO327" s="954"/>
      <c r="AP327" s="954"/>
      <c r="AQ327" s="954"/>
      <c r="AR327" s="954"/>
      <c r="AS327" s="954"/>
      <c r="AT327" s="940"/>
      <c r="AU327" s="1265"/>
      <c r="AV327" s="1265"/>
      <c r="AW327" s="1265"/>
      <c r="AX327" s="1265"/>
      <c r="AY327" s="1265"/>
      <c r="AZ327" s="1265"/>
      <c r="BA327" s="1265"/>
      <c r="BB327" s="1265"/>
      <c r="BC327" s="1265"/>
      <c r="BD327" s="1265"/>
      <c r="BE327" s="1265"/>
    </row>
    <row r="328" spans="1:57" ht="15.75" hidden="1">
      <c r="A328" s="1327" t="s">
        <v>64</v>
      </c>
      <c r="B328" s="1315"/>
      <c r="C328" s="1315"/>
      <c r="D328" s="1312">
        <v>8</v>
      </c>
      <c r="E328" s="1312"/>
      <c r="F328" s="1312"/>
      <c r="G328" s="1315"/>
      <c r="H328" s="1315"/>
      <c r="I328" s="1312">
        <v>8</v>
      </c>
      <c r="J328" s="1312">
        <v>0.5</v>
      </c>
      <c r="K328" s="1312"/>
      <c r="L328" s="1315"/>
      <c r="M328" s="1315"/>
      <c r="N328" s="1312">
        <v>8</v>
      </c>
      <c r="O328" s="1312">
        <v>0.5</v>
      </c>
      <c r="P328" s="1312"/>
      <c r="Q328" s="1315"/>
      <c r="R328" s="1315"/>
      <c r="S328" s="1312">
        <v>8</v>
      </c>
      <c r="T328" s="1312">
        <v>0.5</v>
      </c>
      <c r="U328" s="1312"/>
      <c r="V328" s="1315"/>
      <c r="W328" s="1315"/>
      <c r="X328" s="1312">
        <v>8</v>
      </c>
      <c r="Y328" s="1312">
        <v>0.5</v>
      </c>
      <c r="Z328" s="1314">
        <f>D328+I328+N328+S328+X328</f>
        <v>40</v>
      </c>
      <c r="AA328" s="1312">
        <f>E328+J328+O328+T328+Y328</f>
        <v>2</v>
      </c>
      <c r="AB328" s="1310"/>
      <c r="AC328" s="1315"/>
      <c r="AD328" s="1315"/>
      <c r="AE328" s="1312">
        <f>1+1+1+1+1+1</f>
        <v>6</v>
      </c>
      <c r="AF328" s="1310"/>
      <c r="AG328" s="1315"/>
      <c r="AH328" s="1315"/>
      <c r="AI328" s="1312">
        <f>1+1+1</f>
        <v>3</v>
      </c>
      <c r="AJ328" s="1314">
        <f>AE328+AI328</f>
        <v>9</v>
      </c>
      <c r="AK328" s="941"/>
      <c r="AL328" s="943"/>
      <c r="AM328" s="940"/>
      <c r="AN328" s="954"/>
      <c r="AO328" s="954"/>
      <c r="AP328" s="954"/>
      <c r="AQ328" s="954"/>
      <c r="AR328" s="954"/>
      <c r="AS328" s="954"/>
      <c r="AT328" s="940"/>
      <c r="AU328" s="1265"/>
      <c r="AV328" s="1265"/>
      <c r="AW328" s="1265"/>
      <c r="AX328" s="1265"/>
      <c r="AY328" s="1265"/>
      <c r="AZ328" s="1265"/>
      <c r="BA328" s="1265"/>
      <c r="BB328" s="1265"/>
      <c r="BC328" s="1265"/>
      <c r="BD328" s="1265"/>
      <c r="BE328" s="1265"/>
    </row>
    <row r="329" spans="1:57" ht="15.75" hidden="1">
      <c r="A329" s="940"/>
      <c r="B329" s="940"/>
      <c r="C329" s="940"/>
      <c r="D329" s="941"/>
      <c r="E329" s="942"/>
      <c r="F329" s="941"/>
      <c r="G329" s="940"/>
      <c r="H329" s="940"/>
      <c r="I329" s="941"/>
      <c r="J329" s="942"/>
      <c r="K329" s="941"/>
      <c r="L329" s="940"/>
      <c r="M329" s="940"/>
      <c r="N329" s="941"/>
      <c r="O329" s="942"/>
      <c r="P329" s="941"/>
      <c r="Q329" s="940"/>
      <c r="R329" s="940"/>
      <c r="S329" s="941"/>
      <c r="T329" s="942"/>
      <c r="U329" s="941"/>
      <c r="V329" s="940"/>
      <c r="W329" s="940"/>
      <c r="X329" s="941"/>
      <c r="Y329" s="942"/>
      <c r="Z329" s="941"/>
      <c r="AA329" s="941"/>
      <c r="AB329" s="941"/>
      <c r="AC329" s="940"/>
      <c r="AD329" s="940"/>
      <c r="AE329" s="940"/>
      <c r="AF329" s="941"/>
      <c r="AG329" s="940"/>
      <c r="AH329" s="940"/>
      <c r="AI329" s="940"/>
      <c r="AJ329" s="940"/>
      <c r="AK329" s="941"/>
      <c r="AL329" s="943"/>
      <c r="AM329" s="940"/>
      <c r="AN329" s="940"/>
      <c r="AO329" s="940"/>
      <c r="AP329" s="940"/>
      <c r="AQ329" s="940"/>
      <c r="AR329" s="940"/>
      <c r="AS329" s="940"/>
      <c r="AT329" s="940"/>
      <c r="AU329" s="1265"/>
      <c r="AV329" s="1265"/>
      <c r="AW329" s="1265"/>
      <c r="AX329" s="1265"/>
      <c r="AY329" s="1265"/>
      <c r="AZ329" s="1265"/>
      <c r="BA329" s="1265"/>
      <c r="BB329" s="1265"/>
      <c r="BC329" s="1265"/>
      <c r="BD329" s="1265"/>
      <c r="BE329" s="1265"/>
    </row>
    <row r="330" spans="1:57" ht="15.75">
      <c r="A330" s="974"/>
      <c r="B330" s="975"/>
      <c r="C330" s="975"/>
      <c r="D330" s="976"/>
      <c r="E330" s="976"/>
      <c r="F330" s="975"/>
      <c r="G330" s="976"/>
      <c r="H330" s="976"/>
      <c r="I330" s="976"/>
      <c r="J330" s="976"/>
      <c r="K330" s="975"/>
      <c r="L330" s="975"/>
      <c r="M330" s="975"/>
      <c r="N330" s="975"/>
      <c r="O330" s="976"/>
      <c r="P330" s="975"/>
      <c r="Q330" s="975"/>
      <c r="R330" s="975"/>
      <c r="S330" s="975"/>
      <c r="T330" s="976"/>
      <c r="U330" s="975"/>
      <c r="V330" s="975"/>
      <c r="W330" s="975"/>
      <c r="X330" s="977"/>
      <c r="Y330" s="976"/>
      <c r="Z330" s="978"/>
      <c r="AA330" s="976"/>
      <c r="AB330" s="979"/>
      <c r="AC330" s="980"/>
      <c r="AD330" s="943"/>
      <c r="AE330" s="943"/>
      <c r="AF330" s="979"/>
      <c r="AG330" s="980"/>
      <c r="AH330" s="943"/>
      <c r="AI330" s="943"/>
      <c r="AJ330" s="943"/>
      <c r="AK330" s="979"/>
      <c r="AL330" s="943"/>
      <c r="AM330" s="943"/>
      <c r="AN330" s="943"/>
      <c r="AO330" s="943"/>
      <c r="AP330" s="943"/>
      <c r="AQ330" s="943"/>
      <c r="AR330" s="943"/>
      <c r="AS330" s="943"/>
      <c r="AT330" s="943"/>
      <c r="AU330" s="943"/>
      <c r="AV330" s="943"/>
      <c r="AW330" s="943"/>
      <c r="AX330" s="943"/>
      <c r="AY330" s="943"/>
      <c r="AZ330" s="1265"/>
      <c r="BA330" s="1265"/>
      <c r="BB330" s="1265"/>
      <c r="BC330" s="1265"/>
      <c r="BD330" s="1265"/>
      <c r="BE330" s="1265"/>
    </row>
    <row r="331" spans="1:57" ht="15.75">
      <c r="A331" s="940"/>
      <c r="B331" s="940"/>
      <c r="C331" s="940"/>
      <c r="D331" s="941"/>
      <c r="E331" s="942"/>
      <c r="F331" s="941"/>
      <c r="G331" s="940"/>
      <c r="H331" s="940"/>
      <c r="I331" s="941"/>
      <c r="J331" s="942"/>
      <c r="K331" s="941"/>
      <c r="L331" s="940"/>
      <c r="M331" s="940"/>
      <c r="N331" s="941"/>
      <c r="O331" s="942"/>
      <c r="P331" s="941"/>
      <c r="Q331" s="940"/>
      <c r="R331" s="940"/>
      <c r="S331" s="941"/>
      <c r="T331" s="942"/>
      <c r="U331" s="941"/>
      <c r="V331" s="940"/>
      <c r="W331" s="940"/>
      <c r="X331" s="941"/>
      <c r="Y331" s="942"/>
      <c r="Z331" s="941"/>
      <c r="AA331" s="941"/>
      <c r="AB331" s="941"/>
      <c r="AC331" s="940"/>
      <c r="AD331" s="940"/>
      <c r="AE331" s="940"/>
      <c r="AF331" s="941"/>
      <c r="AG331" s="940"/>
      <c r="AH331" s="940"/>
      <c r="AI331" s="940"/>
      <c r="AJ331" s="940"/>
      <c r="AK331" s="941"/>
      <c r="AL331" s="943"/>
      <c r="AM331" s="940"/>
      <c r="AN331" s="954"/>
      <c r="AO331" s="954"/>
      <c r="AP331" s="954"/>
      <c r="AQ331" s="954"/>
      <c r="AR331" s="954"/>
      <c r="AS331" s="954"/>
      <c r="AT331" s="954"/>
      <c r="AU331" s="954"/>
      <c r="AV331" s="954"/>
      <c r="AW331" s="954"/>
      <c r="AX331" s="954"/>
      <c r="AY331" s="954"/>
      <c r="AZ331" s="1265"/>
      <c r="BA331" s="1265"/>
      <c r="BB331" s="1265"/>
      <c r="BC331" s="1265"/>
      <c r="BD331" s="1265"/>
      <c r="BE331" s="1265"/>
    </row>
    <row r="332" spans="1:57" ht="15.75">
      <c r="A332" s="1614" t="s">
        <v>18</v>
      </c>
      <c r="B332" s="1568">
        <v>46104</v>
      </c>
      <c r="C332" s="1568"/>
      <c r="D332" s="1568" t="s">
        <v>564</v>
      </c>
      <c r="E332" s="1568"/>
      <c r="F332" s="1258"/>
      <c r="G332" s="1568">
        <v>46105</v>
      </c>
      <c r="H332" s="1568"/>
      <c r="I332" s="1568" t="s">
        <v>565</v>
      </c>
      <c r="J332" s="1568"/>
      <c r="K332" s="1258"/>
      <c r="L332" s="1568">
        <v>46106</v>
      </c>
      <c r="M332" s="1568"/>
      <c r="N332" s="1568" t="s">
        <v>566</v>
      </c>
      <c r="O332" s="1568"/>
      <c r="P332" s="1258"/>
      <c r="Q332" s="1568">
        <v>46107</v>
      </c>
      <c r="R332" s="1568"/>
      <c r="S332" s="1568" t="s">
        <v>567</v>
      </c>
      <c r="T332" s="1568"/>
      <c r="U332" s="1258"/>
      <c r="V332" s="1568">
        <v>46108</v>
      </c>
      <c r="W332" s="1568"/>
      <c r="X332" s="1568" t="s">
        <v>568</v>
      </c>
      <c r="Y332" s="1568"/>
      <c r="Z332" s="1613" t="s">
        <v>19</v>
      </c>
      <c r="AA332" s="1613" t="s">
        <v>20</v>
      </c>
      <c r="AB332" s="942"/>
      <c r="AC332" s="1568">
        <v>46109</v>
      </c>
      <c r="AD332" s="1568"/>
      <c r="AE332" s="1259" t="s">
        <v>569</v>
      </c>
      <c r="AF332" s="942"/>
      <c r="AG332" s="1568">
        <v>46110</v>
      </c>
      <c r="AH332" s="1568"/>
      <c r="AI332" s="1259" t="s">
        <v>570</v>
      </c>
      <c r="AJ332" s="1613" t="s">
        <v>1420</v>
      </c>
      <c r="AK332" s="941"/>
      <c r="AL332" s="943"/>
      <c r="AM332" s="940"/>
      <c r="AN332" s="985" t="s">
        <v>84</v>
      </c>
      <c r="AO332" s="986"/>
      <c r="AP332" s="986"/>
      <c r="AQ332" s="986"/>
      <c r="AR332" s="986"/>
      <c r="AS332" s="986"/>
      <c r="AT332" s="986"/>
      <c r="AU332" s="986"/>
      <c r="AV332" s="986"/>
      <c r="AW332" s="986"/>
      <c r="AX332" s="986"/>
      <c r="AY332" s="986"/>
      <c r="AZ332" s="1265"/>
      <c r="BA332" s="1265"/>
      <c r="BB332" s="1265"/>
      <c r="BC332" s="1265"/>
      <c r="BD332" s="1265"/>
      <c r="BE332" s="1265"/>
    </row>
    <row r="333" spans="1:57" ht="16.5" thickBot="1">
      <c r="A333" s="1614"/>
      <c r="B333" s="987" t="s">
        <v>23</v>
      </c>
      <c r="C333" s="987" t="s">
        <v>24</v>
      </c>
      <c r="D333" s="1100" t="s">
        <v>25</v>
      </c>
      <c r="E333" s="989" t="s">
        <v>14</v>
      </c>
      <c r="F333" s="942"/>
      <c r="G333" s="987" t="s">
        <v>23</v>
      </c>
      <c r="H333" s="987" t="s">
        <v>24</v>
      </c>
      <c r="I333" s="989" t="s">
        <v>25</v>
      </c>
      <c r="J333" s="989" t="s">
        <v>14</v>
      </c>
      <c r="K333" s="942"/>
      <c r="L333" s="987" t="s">
        <v>23</v>
      </c>
      <c r="M333" s="987" t="s">
        <v>24</v>
      </c>
      <c r="N333" s="989" t="s">
        <v>25</v>
      </c>
      <c r="O333" s="989" t="s">
        <v>14</v>
      </c>
      <c r="P333" s="942"/>
      <c r="Q333" s="987" t="s">
        <v>23</v>
      </c>
      <c r="R333" s="987" t="s">
        <v>24</v>
      </c>
      <c r="S333" s="989" t="s">
        <v>25</v>
      </c>
      <c r="T333" s="989" t="s">
        <v>14</v>
      </c>
      <c r="U333" s="942"/>
      <c r="V333" s="987" t="s">
        <v>23</v>
      </c>
      <c r="W333" s="987" t="s">
        <v>24</v>
      </c>
      <c r="X333" s="989" t="s">
        <v>25</v>
      </c>
      <c r="Y333" s="989" t="s">
        <v>14</v>
      </c>
      <c r="Z333" s="1613"/>
      <c r="AA333" s="1613"/>
      <c r="AB333" s="942"/>
      <c r="AC333" s="987" t="s">
        <v>23</v>
      </c>
      <c r="AD333" s="987" t="s">
        <v>24</v>
      </c>
      <c r="AE333" s="989" t="s">
        <v>25</v>
      </c>
      <c r="AF333" s="942"/>
      <c r="AG333" s="987" t="s">
        <v>23</v>
      </c>
      <c r="AH333" s="987" t="s">
        <v>24</v>
      </c>
      <c r="AI333" s="989" t="s">
        <v>25</v>
      </c>
      <c r="AJ333" s="1613"/>
      <c r="AK333" s="941"/>
      <c r="AL333" s="943"/>
      <c r="AM333" s="940"/>
      <c r="AN333" s="992" t="s">
        <v>26</v>
      </c>
      <c r="AO333" s="1005">
        <f>Z358</f>
        <v>568.5</v>
      </c>
      <c r="AP333" s="994">
        <v>40.31</v>
      </c>
      <c r="AQ333" s="994">
        <f t="shared" ref="AQ333:AQ339" si="76">AP333*AO333</f>
        <v>22916.235000000001</v>
      </c>
      <c r="AR333" s="954"/>
      <c r="AS333" s="954"/>
      <c r="AT333" s="940"/>
      <c r="AU333" s="1265"/>
      <c r="AV333" s="1265"/>
      <c r="AW333" s="1265"/>
      <c r="AX333" s="1265"/>
      <c r="AY333" s="1265"/>
      <c r="AZ333" s="1265"/>
      <c r="BA333" s="1265"/>
      <c r="BB333" s="1265"/>
      <c r="BC333" s="1265"/>
      <c r="BD333" s="1265"/>
      <c r="BE333" s="1265"/>
    </row>
    <row r="334" spans="1:57" ht="15.75">
      <c r="A334" s="1288" t="s">
        <v>72</v>
      </c>
      <c r="B334" s="1006"/>
      <c r="C334" s="1006"/>
      <c r="D334" s="1071">
        <v>0</v>
      </c>
      <c r="E334" s="1255"/>
      <c r="F334" s="941"/>
      <c r="G334" s="1006"/>
      <c r="H334" s="1006"/>
      <c r="I334" s="1071">
        <v>0</v>
      </c>
      <c r="J334" s="1255"/>
      <c r="K334" s="941"/>
      <c r="L334" s="1006"/>
      <c r="M334" s="1006"/>
      <c r="N334" s="1071">
        <v>0</v>
      </c>
      <c r="O334" s="1255"/>
      <c r="P334" s="941"/>
      <c r="Q334" s="1006"/>
      <c r="R334" s="1006"/>
      <c r="S334" s="1071">
        <v>0</v>
      </c>
      <c r="T334" s="1255"/>
      <c r="U334" s="941"/>
      <c r="V334" s="1006"/>
      <c r="W334" s="1006"/>
      <c r="X334" s="1071">
        <v>0</v>
      </c>
      <c r="Y334" s="1255"/>
      <c r="Z334" s="1041">
        <f t="shared" ref="Z334:Z355" si="77">D334+I334+N334+S334+X334</f>
        <v>0</v>
      </c>
      <c r="AA334" s="1077">
        <f t="shared" ref="AA334:AA355" si="78">E334+J334+O334+T334+Y334</f>
        <v>0</v>
      </c>
      <c r="AB334" s="941"/>
      <c r="AC334" s="1289"/>
      <c r="AD334" s="1289"/>
      <c r="AE334" s="1071"/>
      <c r="AF334" s="941"/>
      <c r="AG334" s="1289"/>
      <c r="AH334" s="1289"/>
      <c r="AI334" s="1071"/>
      <c r="AJ334" s="1041">
        <f t="shared" ref="AJ334:AJ357" si="79">SUM(AE334+AI334)</f>
        <v>0</v>
      </c>
      <c r="AK334" s="941"/>
      <c r="AL334" s="943"/>
      <c r="AM334" s="940"/>
      <c r="AN334" s="992" t="s">
        <v>1421</v>
      </c>
      <c r="AO334" s="1005">
        <f>Z359</f>
        <v>128</v>
      </c>
      <c r="AP334" s="994">
        <v>60.47</v>
      </c>
      <c r="AQ334" s="994">
        <f t="shared" si="76"/>
        <v>7740.16</v>
      </c>
      <c r="AR334" s="954"/>
      <c r="AS334" s="954"/>
      <c r="AT334" s="940"/>
      <c r="AU334" s="1356"/>
      <c r="AV334" s="1357"/>
      <c r="AW334" s="1357"/>
      <c r="AX334" s="1358"/>
      <c r="AY334" s="1265"/>
      <c r="AZ334" s="1265"/>
      <c r="BA334" s="1265"/>
      <c r="BB334" s="1265"/>
      <c r="BC334" s="1265"/>
      <c r="BD334" s="1265"/>
      <c r="BE334" s="1265"/>
    </row>
    <row r="335" spans="1:57" ht="15.75">
      <c r="A335" s="1341" t="s">
        <v>1482</v>
      </c>
      <c r="B335" s="1398">
        <v>0.29166666666666669</v>
      </c>
      <c r="C335" s="1398">
        <v>0.125</v>
      </c>
      <c r="D335" s="1396">
        <v>8</v>
      </c>
      <c r="E335" s="1396"/>
      <c r="F335" s="1399"/>
      <c r="G335" s="1398">
        <v>0.29166666666666669</v>
      </c>
      <c r="H335" s="1398">
        <v>0.125</v>
      </c>
      <c r="I335" s="1396">
        <v>8</v>
      </c>
      <c r="J335" s="1396"/>
      <c r="K335" s="1399"/>
      <c r="L335" s="1398">
        <v>0.29166666666666669</v>
      </c>
      <c r="M335" s="1398">
        <v>0.125</v>
      </c>
      <c r="N335" s="1396">
        <v>8</v>
      </c>
      <c r="O335" s="1396"/>
      <c r="P335" s="1399"/>
      <c r="Q335" s="1398">
        <v>0.29166666666666669</v>
      </c>
      <c r="R335" s="1398">
        <v>0.125</v>
      </c>
      <c r="S335" s="1396">
        <v>8</v>
      </c>
      <c r="T335" s="1396"/>
      <c r="U335" s="1399"/>
      <c r="V335" s="1398">
        <v>0.29166666666666669</v>
      </c>
      <c r="W335" s="1398">
        <v>0.125</v>
      </c>
      <c r="X335" s="1396">
        <v>8</v>
      </c>
      <c r="Y335" s="1396"/>
      <c r="Z335" s="1402">
        <f t="shared" si="77"/>
        <v>40</v>
      </c>
      <c r="AA335" s="1077">
        <f t="shared" si="78"/>
        <v>0</v>
      </c>
      <c r="AB335" s="941"/>
      <c r="AC335" s="1006"/>
      <c r="AD335" s="1006"/>
      <c r="AE335" s="1071"/>
      <c r="AF335" s="941"/>
      <c r="AG335" s="1006"/>
      <c r="AH335" s="1006"/>
      <c r="AI335" s="1071"/>
      <c r="AJ335" s="1041">
        <f t="shared" si="79"/>
        <v>0</v>
      </c>
      <c r="AK335" s="941"/>
      <c r="AL335" s="943"/>
      <c r="AM335" s="940"/>
      <c r="AN335" s="992" t="s">
        <v>30</v>
      </c>
      <c r="AO335" s="1005">
        <f>AA358</f>
        <v>39.5</v>
      </c>
      <c r="AP335" s="994">
        <v>60.465000000000003</v>
      </c>
      <c r="AQ335" s="994">
        <f t="shared" si="76"/>
        <v>2388.3675000000003</v>
      </c>
      <c r="AR335" s="954"/>
      <c r="AS335" s="954"/>
      <c r="AT335" s="940"/>
      <c r="AU335" s="1359"/>
      <c r="AV335" s="1365" t="s">
        <v>1483</v>
      </c>
      <c r="AW335" s="1366" t="s">
        <v>1483</v>
      </c>
      <c r="AX335" s="1360"/>
      <c r="AY335" s="1265"/>
      <c r="AZ335" s="1265"/>
      <c r="BA335" s="1265"/>
      <c r="BB335" s="1265"/>
      <c r="BC335" s="1265"/>
      <c r="BD335" s="1265"/>
      <c r="BE335" s="1265"/>
    </row>
    <row r="336" spans="1:57" ht="15.75">
      <c r="A336" s="1290" t="s">
        <v>1426</v>
      </c>
      <c r="B336" s="1006">
        <v>0.29166666666666669</v>
      </c>
      <c r="C336" s="1006">
        <v>0.125</v>
      </c>
      <c r="D336" s="1071">
        <v>8</v>
      </c>
      <c r="E336" s="1255"/>
      <c r="F336" s="941"/>
      <c r="G336" s="1006">
        <v>0.29166666666666669</v>
      </c>
      <c r="H336" s="1006"/>
      <c r="I336" s="1071">
        <v>7.75</v>
      </c>
      <c r="J336" s="1255"/>
      <c r="K336" s="941"/>
      <c r="L336" s="1006">
        <v>0.29166666666666669</v>
      </c>
      <c r="M336" s="1006">
        <v>0.125</v>
      </c>
      <c r="N336" s="1071">
        <v>8</v>
      </c>
      <c r="O336" s="1255"/>
      <c r="P336" s="941"/>
      <c r="Q336" s="1006">
        <v>0.29166666666666669</v>
      </c>
      <c r="R336" s="1006">
        <v>0.125</v>
      </c>
      <c r="S336" s="1071">
        <v>8</v>
      </c>
      <c r="T336" s="1255"/>
      <c r="U336" s="941"/>
      <c r="V336" s="1006">
        <v>0.29166666666666669</v>
      </c>
      <c r="W336" s="1006">
        <v>0.125</v>
      </c>
      <c r="X336" s="1071">
        <v>8</v>
      </c>
      <c r="Y336" s="1255"/>
      <c r="Z336" s="1041">
        <f t="shared" si="77"/>
        <v>39.75</v>
      </c>
      <c r="AA336" s="1077">
        <f t="shared" si="78"/>
        <v>0</v>
      </c>
      <c r="AB336" s="941"/>
      <c r="AC336" s="1006"/>
      <c r="AD336" s="1006"/>
      <c r="AE336" s="1071"/>
      <c r="AF336" s="941"/>
      <c r="AG336" s="1006"/>
      <c r="AH336" s="1006"/>
      <c r="AI336" s="1071"/>
      <c r="AJ336" s="1041">
        <f t="shared" si="79"/>
        <v>0</v>
      </c>
      <c r="AK336" s="941"/>
      <c r="AL336" s="943"/>
      <c r="AM336" s="940"/>
      <c r="AN336" s="992" t="s">
        <v>32</v>
      </c>
      <c r="AO336" s="1005">
        <f>AJ358</f>
        <v>25.25</v>
      </c>
      <c r="AP336" s="994">
        <v>60.465000000000003</v>
      </c>
      <c r="AQ336" s="994">
        <f t="shared" si="76"/>
        <v>1526.74125</v>
      </c>
      <c r="AR336" s="954"/>
      <c r="AS336" s="954"/>
      <c r="AT336" s="940"/>
      <c r="AU336" s="1361"/>
      <c r="AV336" s="1367" t="s">
        <v>1484</v>
      </c>
      <c r="AW336" s="1368"/>
      <c r="AX336" s="1360"/>
      <c r="AY336" s="1265"/>
      <c r="AZ336" s="1265"/>
      <c r="BA336" s="1265"/>
      <c r="BB336" s="1265"/>
      <c r="BC336" s="1265"/>
      <c r="BD336" s="1265"/>
      <c r="BE336" s="1265"/>
    </row>
    <row r="337" spans="1:57" ht="15.75">
      <c r="A337" s="1290" t="s">
        <v>1060</v>
      </c>
      <c r="B337" s="1006">
        <v>0.29166666666666669</v>
      </c>
      <c r="C337" s="1006">
        <v>0.125</v>
      </c>
      <c r="D337" s="1071">
        <v>8</v>
      </c>
      <c r="E337" s="1255"/>
      <c r="F337" s="941"/>
      <c r="G337" s="1006">
        <v>0.29166666666666669</v>
      </c>
      <c r="H337" s="1006">
        <v>0.125</v>
      </c>
      <c r="I337" s="1071">
        <v>8</v>
      </c>
      <c r="J337" s="1255"/>
      <c r="K337" s="941"/>
      <c r="L337" s="1006">
        <v>0.29166666666666669</v>
      </c>
      <c r="M337" s="1006">
        <v>0.125</v>
      </c>
      <c r="N337" s="1071">
        <v>8</v>
      </c>
      <c r="O337" s="1255"/>
      <c r="P337" s="941"/>
      <c r="Q337" s="1006">
        <v>0.29166666666666669</v>
      </c>
      <c r="R337" s="1006">
        <v>0.125</v>
      </c>
      <c r="S337" s="1071">
        <v>8</v>
      </c>
      <c r="T337" s="1255"/>
      <c r="U337" s="941"/>
      <c r="V337" s="1006">
        <v>0.29166666666666669</v>
      </c>
      <c r="W337" s="1006">
        <v>0.125</v>
      </c>
      <c r="X337" s="1071">
        <v>8</v>
      </c>
      <c r="Y337" s="1255"/>
      <c r="Z337" s="1041">
        <f t="shared" si="77"/>
        <v>40</v>
      </c>
      <c r="AA337" s="1077">
        <f t="shared" si="78"/>
        <v>0</v>
      </c>
      <c r="AB337" s="941"/>
      <c r="AC337" s="1006"/>
      <c r="AD337" s="1006"/>
      <c r="AE337" s="1071"/>
      <c r="AF337" s="941"/>
      <c r="AG337" s="1006"/>
      <c r="AH337" s="1006"/>
      <c r="AI337" s="1071"/>
      <c r="AJ337" s="1041">
        <f t="shared" si="79"/>
        <v>0</v>
      </c>
      <c r="AK337" s="941"/>
      <c r="AL337" s="943"/>
      <c r="AM337" s="940"/>
      <c r="AN337" s="1260" t="s">
        <v>1475</v>
      </c>
      <c r="AO337" s="1261">
        <f>AA359+AJ359</f>
        <v>0</v>
      </c>
      <c r="AP337" s="1262">
        <f>(60.47*1.5)</f>
        <v>90.704999999999998</v>
      </c>
      <c r="AQ337" s="1262">
        <f t="shared" si="76"/>
        <v>0</v>
      </c>
      <c r="AR337" s="954"/>
      <c r="AS337" s="954"/>
      <c r="AT337" s="940"/>
      <c r="AU337" s="1361"/>
      <c r="AV337" s="1369" t="s">
        <v>1485</v>
      </c>
      <c r="AW337" s="1370" t="s">
        <v>26</v>
      </c>
      <c r="AX337" s="1360"/>
      <c r="AY337" s="1265"/>
      <c r="AZ337" s="1265"/>
      <c r="BA337" s="1265"/>
      <c r="BB337" s="1265"/>
      <c r="BC337" s="1265"/>
      <c r="BD337" s="1265"/>
      <c r="BE337" s="1265"/>
    </row>
    <row r="338" spans="1:57" ht="15.75">
      <c r="A338" s="1347" t="s">
        <v>1438</v>
      </c>
      <c r="B338" s="1006">
        <v>0.30208333333333331</v>
      </c>
      <c r="C338" s="1006">
        <v>0.125</v>
      </c>
      <c r="D338" s="1071">
        <v>8</v>
      </c>
      <c r="E338" s="1255"/>
      <c r="F338" s="941"/>
      <c r="G338" s="1006">
        <v>0.29166666666666669</v>
      </c>
      <c r="H338" s="1006"/>
      <c r="I338" s="1071">
        <v>7.75</v>
      </c>
      <c r="J338" s="1255"/>
      <c r="K338" s="941"/>
      <c r="L338" s="1006">
        <v>0.29166666666666669</v>
      </c>
      <c r="M338" s="1006"/>
      <c r="N338" s="1071">
        <v>7.75</v>
      </c>
      <c r="O338" s="1255"/>
      <c r="P338" s="941"/>
      <c r="Q338" s="1006">
        <v>0.29166666666666669</v>
      </c>
      <c r="R338" s="1006">
        <v>0.125</v>
      </c>
      <c r="S338" s="1071">
        <v>8</v>
      </c>
      <c r="T338" s="1255"/>
      <c r="U338" s="941"/>
      <c r="V338" s="1006">
        <v>0.29166666666666669</v>
      </c>
      <c r="W338" s="1006">
        <v>0.125</v>
      </c>
      <c r="X338" s="1071">
        <v>8</v>
      </c>
      <c r="Y338" s="1255"/>
      <c r="Z338" s="1041">
        <f t="shared" si="77"/>
        <v>39.5</v>
      </c>
      <c r="AA338" s="1077">
        <f t="shared" si="78"/>
        <v>0</v>
      </c>
      <c r="AB338" s="941"/>
      <c r="AC338" s="1006"/>
      <c r="AD338" s="1006"/>
      <c r="AE338" s="1071"/>
      <c r="AF338" s="941"/>
      <c r="AG338" s="1006"/>
      <c r="AH338" s="1006"/>
      <c r="AI338" s="1071"/>
      <c r="AJ338" s="1041">
        <f t="shared" si="79"/>
        <v>0</v>
      </c>
      <c r="AK338" s="941"/>
      <c r="AL338" s="943"/>
      <c r="AM338" s="940"/>
      <c r="AN338" s="992" t="s">
        <v>213</v>
      </c>
      <c r="AO338" s="1005">
        <f>Z360</f>
        <v>40</v>
      </c>
      <c r="AP338" s="994">
        <v>53.05</v>
      </c>
      <c r="AQ338" s="994">
        <f t="shared" si="76"/>
        <v>2122</v>
      </c>
      <c r="AR338" s="954"/>
      <c r="AS338" s="954"/>
      <c r="AT338" s="940"/>
      <c r="AU338" s="1361"/>
      <c r="AV338" s="1371" t="s">
        <v>1486</v>
      </c>
      <c r="AW338" s="1372" t="s">
        <v>26</v>
      </c>
      <c r="AX338" s="1360"/>
      <c r="AY338" s="1265"/>
      <c r="AZ338" s="1265"/>
      <c r="BA338" s="1265"/>
      <c r="BB338" s="1265"/>
      <c r="BC338" s="1265"/>
      <c r="BD338" s="1265"/>
      <c r="BE338" s="1265"/>
    </row>
    <row r="339" spans="1:57" ht="15.75">
      <c r="A339" s="1291" t="s">
        <v>1142</v>
      </c>
      <c r="B339" s="1006">
        <v>0.29166666666666669</v>
      </c>
      <c r="C339" s="1006">
        <v>0.45833333333333331</v>
      </c>
      <c r="D339" s="1071">
        <v>8</v>
      </c>
      <c r="E339" s="1255">
        <v>7</v>
      </c>
      <c r="F339" s="941"/>
      <c r="G339" s="1006">
        <v>0.29166666666666669</v>
      </c>
      <c r="H339" s="1006">
        <v>0.45833333333333331</v>
      </c>
      <c r="I339" s="1071">
        <v>8</v>
      </c>
      <c r="J339" s="1255">
        <v>7</v>
      </c>
      <c r="K339" s="1013"/>
      <c r="L339" s="1006">
        <v>0.29166666666666669</v>
      </c>
      <c r="M339" s="1006">
        <v>0.45833333333333331</v>
      </c>
      <c r="N339" s="1071">
        <v>8</v>
      </c>
      <c r="O339" s="1255">
        <v>7</v>
      </c>
      <c r="P339" s="1013"/>
      <c r="Q339" s="1006">
        <v>0.29166666666666669</v>
      </c>
      <c r="R339" s="1006">
        <v>0.45833333333333331</v>
      </c>
      <c r="S339" s="1071">
        <v>8</v>
      </c>
      <c r="T339" s="1255">
        <v>7</v>
      </c>
      <c r="U339" s="1013"/>
      <c r="V339" s="1006">
        <v>0.41666666666666669</v>
      </c>
      <c r="W339" s="1006">
        <v>0.45833333333333331</v>
      </c>
      <c r="X339" s="1071">
        <v>8</v>
      </c>
      <c r="Y339" s="1255">
        <v>4</v>
      </c>
      <c r="Z339" s="1041">
        <f t="shared" si="77"/>
        <v>40</v>
      </c>
      <c r="AA339" s="1077">
        <f>E339+J339+O339+T339+Y339</f>
        <v>32</v>
      </c>
      <c r="AB339" s="941"/>
      <c r="AC339" s="1006"/>
      <c r="AD339" s="1006"/>
      <c r="AE339" s="1071"/>
      <c r="AF339" s="941"/>
      <c r="AG339" s="1006"/>
      <c r="AH339" s="1006"/>
      <c r="AI339" s="1071"/>
      <c r="AJ339" s="1041">
        <f t="shared" si="79"/>
        <v>0</v>
      </c>
      <c r="AK339" s="941"/>
      <c r="AL339" s="943"/>
      <c r="AM339" s="940"/>
      <c r="AN339" s="992" t="s">
        <v>36</v>
      </c>
      <c r="AO339" s="1005">
        <f>AA360+AJ360</f>
        <v>14.25</v>
      </c>
      <c r="AP339" s="994">
        <f>53.05*1.5</f>
        <v>79.574999999999989</v>
      </c>
      <c r="AQ339" s="994">
        <f t="shared" si="76"/>
        <v>1133.9437499999999</v>
      </c>
      <c r="AR339" s="954"/>
      <c r="AS339" s="954"/>
      <c r="AT339" s="940"/>
      <c r="AU339" s="1361"/>
      <c r="AV339" s="1373" t="s">
        <v>1487</v>
      </c>
      <c r="AW339" s="1374" t="s">
        <v>26</v>
      </c>
      <c r="AX339" s="1360"/>
      <c r="AY339" s="1265"/>
      <c r="AZ339" s="1265"/>
      <c r="BA339" s="1265"/>
      <c r="BB339" s="1265"/>
      <c r="BC339" s="1265"/>
      <c r="BD339" s="1265"/>
      <c r="BE339" s="1265"/>
    </row>
    <row r="340" spans="1:57" ht="15.75">
      <c r="A340" s="1342" t="s">
        <v>1447</v>
      </c>
      <c r="B340" s="1398">
        <v>0.125</v>
      </c>
      <c r="C340" s="1398">
        <v>0.45833333333333331</v>
      </c>
      <c r="D340" s="1396">
        <v>8</v>
      </c>
      <c r="E340" s="1396"/>
      <c r="F340" s="1399"/>
      <c r="G340" s="1398">
        <v>0.125</v>
      </c>
      <c r="H340" s="1398">
        <v>0.45833333333333331</v>
      </c>
      <c r="I340" s="1396">
        <v>8</v>
      </c>
      <c r="J340" s="1396"/>
      <c r="K340" s="1396"/>
      <c r="L340" s="1398">
        <v>0.125</v>
      </c>
      <c r="M340" s="1398">
        <v>0.45833333333333331</v>
      </c>
      <c r="N340" s="1396">
        <v>8</v>
      </c>
      <c r="O340" s="1396"/>
      <c r="P340" s="1396"/>
      <c r="Q340" s="1398">
        <v>0.125</v>
      </c>
      <c r="R340" s="1398">
        <v>0.45833333333333331</v>
      </c>
      <c r="S340" s="1396">
        <v>8</v>
      </c>
      <c r="T340" s="1396"/>
      <c r="U340" s="1396"/>
      <c r="V340" s="1398">
        <v>0.125</v>
      </c>
      <c r="W340" s="1398">
        <v>0.45833333333333331</v>
      </c>
      <c r="X340" s="1396">
        <v>8</v>
      </c>
      <c r="Y340" s="1396"/>
      <c r="Z340" s="1402">
        <f t="shared" si="77"/>
        <v>40</v>
      </c>
      <c r="AA340" s="1077">
        <f t="shared" si="78"/>
        <v>0</v>
      </c>
      <c r="AB340" s="941"/>
      <c r="AC340" s="1006"/>
      <c r="AD340" s="1006"/>
      <c r="AE340" s="1071"/>
      <c r="AF340" s="941"/>
      <c r="AG340" s="1006"/>
      <c r="AH340" s="1006"/>
      <c r="AI340" s="1071"/>
      <c r="AJ340" s="1041">
        <f t="shared" si="79"/>
        <v>0</v>
      </c>
      <c r="AK340" s="941"/>
      <c r="AL340" s="943"/>
      <c r="AM340" s="940"/>
      <c r="AN340" s="954"/>
      <c r="AO340" s="954"/>
      <c r="AP340" s="954"/>
      <c r="AQ340" s="1094">
        <f>SUM(AQ333:AQ339)</f>
        <v>37827.447499999995</v>
      </c>
      <c r="AR340" s="954"/>
      <c r="AS340" s="954"/>
      <c r="AT340" s="940"/>
      <c r="AU340" s="1361"/>
      <c r="AV340" s="1375" t="s">
        <v>1488</v>
      </c>
      <c r="AW340" s="1376" t="s">
        <v>26</v>
      </c>
      <c r="AX340" s="1360"/>
      <c r="AY340" s="1265"/>
      <c r="AZ340" s="1265"/>
      <c r="BA340" s="1265"/>
      <c r="BB340" s="1265"/>
      <c r="BC340" s="1265"/>
      <c r="BD340" s="1265"/>
      <c r="BE340" s="1265"/>
    </row>
    <row r="341" spans="1:57" ht="15.75">
      <c r="A341" s="1292" t="s">
        <v>327</v>
      </c>
      <c r="B341" s="1006">
        <v>0.125</v>
      </c>
      <c r="C341" s="1006">
        <v>0.45833333333333331</v>
      </c>
      <c r="D341" s="1071">
        <v>8</v>
      </c>
      <c r="E341" s="1255"/>
      <c r="F341" s="1013"/>
      <c r="G341" s="1006">
        <v>0.125</v>
      </c>
      <c r="H341" s="1006">
        <v>0.45833333333333331</v>
      </c>
      <c r="I341" s="1071">
        <v>8</v>
      </c>
      <c r="J341" s="1255"/>
      <c r="K341" s="1013"/>
      <c r="L341" s="1006">
        <v>0.125</v>
      </c>
      <c r="M341" s="1006">
        <v>0.47916666666666669</v>
      </c>
      <c r="N341" s="1071">
        <v>8</v>
      </c>
      <c r="O341" s="1255">
        <v>0.5</v>
      </c>
      <c r="P341" s="1013"/>
      <c r="Q341" s="1006">
        <v>0.125</v>
      </c>
      <c r="R341" s="1006">
        <v>0.45833333333333331</v>
      </c>
      <c r="S341" s="1071">
        <v>8</v>
      </c>
      <c r="T341" s="1255"/>
      <c r="U341" s="1013"/>
      <c r="V341" s="1006">
        <v>0.125</v>
      </c>
      <c r="W341" s="1006">
        <v>0.45833333333333331</v>
      </c>
      <c r="X341" s="1071">
        <v>8</v>
      </c>
      <c r="Y341" s="1255"/>
      <c r="Z341" s="1041">
        <f t="shared" si="77"/>
        <v>40</v>
      </c>
      <c r="AA341" s="1077">
        <f t="shared" si="78"/>
        <v>0.5</v>
      </c>
      <c r="AB341" s="941"/>
      <c r="AC341" s="1006"/>
      <c r="AD341" s="1006"/>
      <c r="AE341" s="1071"/>
      <c r="AF341" s="941"/>
      <c r="AG341" s="1006"/>
      <c r="AH341" s="1006"/>
      <c r="AI341" s="1071"/>
      <c r="AJ341" s="1041">
        <f t="shared" si="79"/>
        <v>0</v>
      </c>
      <c r="AK341" s="941"/>
      <c r="AL341" s="943"/>
      <c r="AM341" s="940"/>
      <c r="AN341" s="954"/>
      <c r="AO341" s="954"/>
      <c r="AP341" s="954"/>
      <c r="AQ341" s="954"/>
      <c r="AR341" s="954"/>
      <c r="AS341" s="954"/>
      <c r="AT341" s="940"/>
      <c r="AU341" s="1361"/>
      <c r="AV341" s="1377" t="s">
        <v>1489</v>
      </c>
      <c r="AW341" s="1378" t="s">
        <v>1421</v>
      </c>
      <c r="AX341" s="1360"/>
      <c r="AY341" s="1265"/>
      <c r="AZ341" s="1265"/>
      <c r="BA341" s="1265"/>
      <c r="BB341" s="1265"/>
      <c r="BC341" s="1265"/>
      <c r="BD341" s="1265"/>
      <c r="BE341" s="1265"/>
    </row>
    <row r="342" spans="1:57" ht="16.5" thickBot="1">
      <c r="A342" s="1292" t="s">
        <v>1436</v>
      </c>
      <c r="B342" s="1006">
        <v>0.125</v>
      </c>
      <c r="C342" s="1006">
        <v>0.45833333333333331</v>
      </c>
      <c r="D342" s="1071">
        <v>8</v>
      </c>
      <c r="E342" s="1255"/>
      <c r="F342" s="1013"/>
      <c r="G342" s="1006">
        <v>0.125</v>
      </c>
      <c r="H342" s="1006">
        <v>0.45833333333333331</v>
      </c>
      <c r="I342" s="1071">
        <v>8</v>
      </c>
      <c r="J342" s="1255"/>
      <c r="K342" s="1013"/>
      <c r="L342" s="1006">
        <v>0.125</v>
      </c>
      <c r="M342" s="1006">
        <v>0.45833333333333331</v>
      </c>
      <c r="N342" s="1071">
        <v>8</v>
      </c>
      <c r="O342" s="1255"/>
      <c r="P342" s="1013"/>
      <c r="Q342" s="1006">
        <v>0.125</v>
      </c>
      <c r="R342" s="1006">
        <v>0.45833333333333331</v>
      </c>
      <c r="S342" s="1071">
        <v>8</v>
      </c>
      <c r="T342" s="1255"/>
      <c r="U342" s="1013"/>
      <c r="V342" s="1006">
        <v>0.125</v>
      </c>
      <c r="W342" s="1006">
        <v>0.45833333333333331</v>
      </c>
      <c r="X342" s="1071">
        <v>8</v>
      </c>
      <c r="Y342" s="1255"/>
      <c r="Z342" s="1041">
        <f t="shared" si="77"/>
        <v>40</v>
      </c>
      <c r="AA342" s="1077">
        <f t="shared" si="78"/>
        <v>0</v>
      </c>
      <c r="AB342" s="941"/>
      <c r="AC342" s="1006"/>
      <c r="AD342" s="1006"/>
      <c r="AE342" s="1071"/>
      <c r="AF342" s="941"/>
      <c r="AG342" s="1006"/>
      <c r="AH342" s="1006"/>
      <c r="AI342" s="1071"/>
      <c r="AJ342" s="1041">
        <f t="shared" si="79"/>
        <v>0</v>
      </c>
      <c r="AK342" s="941"/>
      <c r="AL342" s="943"/>
      <c r="AM342" s="940"/>
      <c r="AN342" s="954"/>
      <c r="AO342" s="954"/>
      <c r="AP342" s="954"/>
      <c r="AQ342" s="954"/>
      <c r="AR342" s="954"/>
      <c r="AS342" s="954"/>
      <c r="AT342" s="940"/>
      <c r="AU342" s="1362"/>
      <c r="AV342" s="1363"/>
      <c r="AW342" s="1363"/>
      <c r="AX342" s="1364"/>
      <c r="AY342" s="1265"/>
      <c r="AZ342" s="1265"/>
      <c r="BA342" s="1265"/>
      <c r="BB342" s="1265"/>
      <c r="BC342" s="1265"/>
      <c r="BD342" s="1265"/>
      <c r="BE342" s="1265"/>
    </row>
    <row r="343" spans="1:57" ht="15.75">
      <c r="A343" s="1291" t="s">
        <v>1140</v>
      </c>
      <c r="B343" s="1006">
        <v>0.125</v>
      </c>
      <c r="C343" s="1006">
        <v>0.45833333333333331</v>
      </c>
      <c r="D343" s="1071">
        <v>8</v>
      </c>
      <c r="E343" s="1255"/>
      <c r="F343" s="941"/>
      <c r="G343" s="1006">
        <v>0.125</v>
      </c>
      <c r="H343" s="1006">
        <v>0.45833333333333331</v>
      </c>
      <c r="I343" s="1071">
        <v>8</v>
      </c>
      <c r="J343" s="1255"/>
      <c r="K343" s="941"/>
      <c r="L343" s="1006">
        <v>0.125</v>
      </c>
      <c r="M343" s="1006">
        <v>6.25E-2</v>
      </c>
      <c r="N343" s="1071">
        <v>8</v>
      </c>
      <c r="O343" s="1255">
        <v>1.5</v>
      </c>
      <c r="P343" s="941"/>
      <c r="Q343" s="1006">
        <v>0.125</v>
      </c>
      <c r="R343" s="1006">
        <v>0.45833333333333331</v>
      </c>
      <c r="S343" s="1071">
        <v>8</v>
      </c>
      <c r="T343" s="1255"/>
      <c r="U343" s="941"/>
      <c r="V343" s="1006">
        <v>0.125</v>
      </c>
      <c r="W343" s="1006">
        <v>0.45833333333333331</v>
      </c>
      <c r="X343" s="1071">
        <v>8</v>
      </c>
      <c r="Y343" s="1255"/>
      <c r="Z343" s="1041">
        <f t="shared" si="77"/>
        <v>40</v>
      </c>
      <c r="AA343" s="1077">
        <f t="shared" si="78"/>
        <v>1.5</v>
      </c>
      <c r="AB343" s="941"/>
      <c r="AC343" s="1006"/>
      <c r="AD343" s="1006"/>
      <c r="AE343" s="1071"/>
      <c r="AF343" s="941"/>
      <c r="AG343" s="1006"/>
      <c r="AH343" s="1006"/>
      <c r="AI343" s="1071"/>
      <c r="AJ343" s="1041">
        <f t="shared" si="79"/>
        <v>0</v>
      </c>
      <c r="AK343" s="941"/>
      <c r="AL343" s="943"/>
      <c r="AM343" s="940"/>
      <c r="AN343" s="992"/>
      <c r="AO343" s="1005"/>
      <c r="AP343" s="994"/>
      <c r="AQ343" s="994"/>
      <c r="AR343" s="954"/>
      <c r="AS343" s="954"/>
      <c r="AT343" s="940"/>
      <c r="AU343" s="1265"/>
      <c r="AV343" s="1265"/>
      <c r="AW343" s="1265"/>
      <c r="AX343" s="1265"/>
      <c r="AY343" s="1265"/>
      <c r="AZ343" s="1265"/>
      <c r="BA343" s="1265"/>
      <c r="BB343" s="1265"/>
      <c r="BC343" s="1265"/>
      <c r="BD343" s="1265"/>
      <c r="BE343" s="1265"/>
    </row>
    <row r="344" spans="1:57" ht="15.75">
      <c r="A344" s="1345" t="s">
        <v>1141</v>
      </c>
      <c r="B344" s="1398">
        <v>0.29166666666666669</v>
      </c>
      <c r="C344" s="1398">
        <v>0.16666666666666666</v>
      </c>
      <c r="D344" s="1396">
        <v>8</v>
      </c>
      <c r="E344" s="1396"/>
      <c r="F344" s="1396"/>
      <c r="G344" s="1398"/>
      <c r="H344" s="1398"/>
      <c r="I344" s="1396">
        <v>0</v>
      </c>
      <c r="J344" s="1396"/>
      <c r="K344" s="1396"/>
      <c r="L344" s="1398">
        <v>0.29166666666666669</v>
      </c>
      <c r="M344" s="1398">
        <v>0.16666666666666666</v>
      </c>
      <c r="N344" s="1396">
        <v>8</v>
      </c>
      <c r="O344" s="1396"/>
      <c r="P344" s="1396"/>
      <c r="Q344" s="1398">
        <v>0.125</v>
      </c>
      <c r="R344" s="1398">
        <v>0.41666666666666669</v>
      </c>
      <c r="S344" s="1396">
        <v>6.5</v>
      </c>
      <c r="T344" s="1396"/>
      <c r="U344" s="1396"/>
      <c r="V344" s="1398">
        <v>0.41666666666666669</v>
      </c>
      <c r="W344" s="1398">
        <v>0.20833333333333334</v>
      </c>
      <c r="X344" s="1396">
        <v>6.5</v>
      </c>
      <c r="Y344" s="1396"/>
      <c r="Z344" s="1402">
        <f t="shared" si="77"/>
        <v>29</v>
      </c>
      <c r="AA344" s="1414">
        <f t="shared" si="78"/>
        <v>0</v>
      </c>
      <c r="AB344" s="1399"/>
      <c r="AC344" s="1398">
        <v>0.32291666666666669</v>
      </c>
      <c r="AD344" s="1398">
        <v>0.125</v>
      </c>
      <c r="AE344" s="1396">
        <v>6.75</v>
      </c>
      <c r="AF344" s="1399"/>
      <c r="AG344" s="1398"/>
      <c r="AH344" s="1398"/>
      <c r="AI344" s="1396"/>
      <c r="AJ344" s="1402">
        <f t="shared" si="79"/>
        <v>6.75</v>
      </c>
      <c r="AK344" s="941"/>
      <c r="AL344" s="943"/>
      <c r="AM344" s="940"/>
      <c r="AN344" s="954"/>
      <c r="AO344" s="954"/>
      <c r="AP344" s="954"/>
      <c r="AQ344" s="954"/>
      <c r="AR344" s="954"/>
      <c r="AS344" s="954"/>
      <c r="AT344" s="940"/>
      <c r="AU344" s="1265"/>
      <c r="AV344" s="1265"/>
      <c r="AW344" s="1265"/>
      <c r="AX344" s="1265"/>
      <c r="AY344" s="1265"/>
      <c r="AZ344" s="1265"/>
      <c r="BA344" s="1265"/>
      <c r="BB344" s="1265"/>
      <c r="BC344" s="1265"/>
      <c r="BD344" s="1265"/>
      <c r="BE344" s="1265"/>
    </row>
    <row r="345" spans="1:57" ht="15.75">
      <c r="A345" s="1293" t="s">
        <v>241</v>
      </c>
      <c r="B345" s="1006">
        <v>0.29166666666666669</v>
      </c>
      <c r="C345" s="1006">
        <v>0.20833333333333334</v>
      </c>
      <c r="D345" s="1071">
        <v>8</v>
      </c>
      <c r="E345" s="1255">
        <v>1</v>
      </c>
      <c r="F345" s="1013"/>
      <c r="G345" s="1006">
        <v>0.29166666666666669</v>
      </c>
      <c r="H345" s="1006">
        <v>0.20833333333333334</v>
      </c>
      <c r="I345" s="1071">
        <v>8</v>
      </c>
      <c r="J345" s="1255">
        <v>1</v>
      </c>
      <c r="K345" s="1013"/>
      <c r="L345" s="1006">
        <v>0.29166666666666669</v>
      </c>
      <c r="M345" s="1006">
        <v>0.20833333333333334</v>
      </c>
      <c r="N345" s="1071">
        <v>8</v>
      </c>
      <c r="O345" s="1255">
        <v>1</v>
      </c>
      <c r="P345" s="1013"/>
      <c r="Q345" s="1006">
        <v>4.1666666666666664E-2</v>
      </c>
      <c r="R345" s="1006">
        <v>0.33333333333333331</v>
      </c>
      <c r="S345" s="1071">
        <v>7</v>
      </c>
      <c r="T345" s="1255"/>
      <c r="U345" s="1013"/>
      <c r="V345" s="1006"/>
      <c r="W345" s="1006"/>
      <c r="X345" s="1071">
        <v>0</v>
      </c>
      <c r="Y345" s="1255"/>
      <c r="Z345" s="1041">
        <f t="shared" si="77"/>
        <v>31</v>
      </c>
      <c r="AA345" s="1077">
        <f t="shared" si="78"/>
        <v>3</v>
      </c>
      <c r="AB345" s="941"/>
      <c r="AC345" s="1006"/>
      <c r="AD345" s="1006"/>
      <c r="AE345" s="1071"/>
      <c r="AF345" s="941"/>
      <c r="AG345" s="1006"/>
      <c r="AH345" s="1006"/>
      <c r="AI345" s="1071"/>
      <c r="AJ345" s="1041">
        <f t="shared" si="79"/>
        <v>0</v>
      </c>
      <c r="AK345" s="941"/>
      <c r="AL345" s="943"/>
      <c r="AM345" s="940"/>
      <c r="AN345" s="954"/>
      <c r="AO345" s="954"/>
      <c r="AP345" s="954"/>
      <c r="AQ345" s="954"/>
      <c r="AR345" s="954"/>
      <c r="AS345" s="954"/>
      <c r="AT345" s="940"/>
      <c r="AU345" s="1265"/>
      <c r="AV345" s="1265"/>
      <c r="AW345" s="1265"/>
      <c r="AX345" s="1265"/>
      <c r="AY345" s="1265"/>
      <c r="AZ345" s="1265"/>
      <c r="BA345" s="1265"/>
      <c r="BB345" s="1265"/>
      <c r="BC345" s="1265"/>
      <c r="BD345" s="1265"/>
      <c r="BE345" s="1265"/>
    </row>
    <row r="346" spans="1:57" ht="15.75">
      <c r="A346" s="1345" t="s">
        <v>1477</v>
      </c>
      <c r="B346" s="1398">
        <v>0.375</v>
      </c>
      <c r="C346" s="1398">
        <v>0.20833333333333334</v>
      </c>
      <c r="D346" s="1396">
        <v>7</v>
      </c>
      <c r="E346" s="1396"/>
      <c r="F346" s="1396"/>
      <c r="G346" s="1398">
        <v>0.375</v>
      </c>
      <c r="H346" s="1398">
        <v>0.20833333333333334</v>
      </c>
      <c r="I346" s="1396">
        <v>7</v>
      </c>
      <c r="J346" s="1396"/>
      <c r="K346" s="1396"/>
      <c r="L346" s="1398">
        <v>0.375</v>
      </c>
      <c r="M346" s="1398">
        <v>0.20833333333333334</v>
      </c>
      <c r="N346" s="1396">
        <v>7</v>
      </c>
      <c r="O346" s="1396"/>
      <c r="P346" s="1396"/>
      <c r="Q346" s="1398">
        <v>0.375</v>
      </c>
      <c r="R346" s="1398">
        <v>0.20833333333333334</v>
      </c>
      <c r="S346" s="1396">
        <v>7</v>
      </c>
      <c r="T346" s="1396"/>
      <c r="U346" s="1396"/>
      <c r="V346" s="1398">
        <v>0.375</v>
      </c>
      <c r="W346" s="1398">
        <v>0.20833333333333334</v>
      </c>
      <c r="X346" s="1396">
        <v>7</v>
      </c>
      <c r="Y346" s="1396"/>
      <c r="Z346" s="1402">
        <f t="shared" si="77"/>
        <v>35</v>
      </c>
      <c r="AA346" s="1077">
        <f t="shared" si="78"/>
        <v>0</v>
      </c>
      <c r="AB346" s="941"/>
      <c r="AC346" s="1006"/>
      <c r="AD346" s="1006"/>
      <c r="AE346" s="1071"/>
      <c r="AF346" s="941"/>
      <c r="AG346" s="1006"/>
      <c r="AH346" s="1006"/>
      <c r="AI346" s="1071"/>
      <c r="AJ346" s="1041">
        <f t="shared" si="79"/>
        <v>0</v>
      </c>
      <c r="AK346" s="941"/>
      <c r="AL346" s="943"/>
      <c r="AM346" s="940"/>
      <c r="AN346" s="954"/>
      <c r="AO346" s="954"/>
      <c r="AP346" s="954"/>
      <c r="AQ346" s="954"/>
      <c r="AR346" s="954"/>
      <c r="AS346" s="954"/>
      <c r="AT346" s="940"/>
      <c r="AU346" s="1265"/>
      <c r="AV346" s="1265"/>
      <c r="AW346" s="1265"/>
      <c r="AX346" s="1265"/>
      <c r="AY346" s="1265"/>
      <c r="AZ346" s="1265"/>
      <c r="BA346" s="1265"/>
      <c r="BB346" s="1265"/>
      <c r="BC346" s="1265"/>
      <c r="BD346" s="1265"/>
      <c r="BE346" s="1265"/>
    </row>
    <row r="347" spans="1:57" ht="15.75">
      <c r="A347" s="1345" t="s">
        <v>1444</v>
      </c>
      <c r="B347" s="1398">
        <v>0.375</v>
      </c>
      <c r="C347" s="1398">
        <v>0.125</v>
      </c>
      <c r="D347" s="1396">
        <v>5.5</v>
      </c>
      <c r="E347" s="1396"/>
      <c r="F347" s="1396"/>
      <c r="G347" s="1398"/>
      <c r="H347" s="1398"/>
      <c r="I347" s="1396">
        <v>0</v>
      </c>
      <c r="J347" s="1396"/>
      <c r="K347" s="1396"/>
      <c r="L347" s="1398">
        <v>0.375</v>
      </c>
      <c r="M347" s="1398">
        <v>0.125</v>
      </c>
      <c r="N347" s="1396">
        <v>5.25</v>
      </c>
      <c r="O347" s="1396"/>
      <c r="P347" s="1396"/>
      <c r="Q347" s="1398">
        <v>0.375</v>
      </c>
      <c r="R347" s="1398">
        <v>0.125</v>
      </c>
      <c r="S347" s="1396">
        <v>5.5</v>
      </c>
      <c r="T347" s="1396"/>
      <c r="U347" s="1396"/>
      <c r="V347" s="1398">
        <v>0.375</v>
      </c>
      <c r="W347" s="1398">
        <v>0.20833333333333334</v>
      </c>
      <c r="X347" s="1396">
        <v>5</v>
      </c>
      <c r="Y347" s="1396"/>
      <c r="Z347" s="1402">
        <f t="shared" si="77"/>
        <v>21.25</v>
      </c>
      <c r="AA347" s="1077">
        <f t="shared" si="78"/>
        <v>0</v>
      </c>
      <c r="AB347" s="941"/>
      <c r="AC347" s="1006"/>
      <c r="AD347" s="1006"/>
      <c r="AE347" s="1071"/>
      <c r="AF347" s="941"/>
      <c r="AG347" s="1006"/>
      <c r="AH347" s="1006"/>
      <c r="AI347" s="1071"/>
      <c r="AJ347" s="1041">
        <f t="shared" si="79"/>
        <v>0</v>
      </c>
      <c r="AK347" s="941"/>
      <c r="AL347" s="943"/>
      <c r="AM347" s="940"/>
      <c r="AN347" s="954"/>
      <c r="AO347" s="954"/>
      <c r="AP347" s="954"/>
      <c r="AQ347" s="954"/>
      <c r="AR347" s="954"/>
      <c r="AS347" s="954"/>
      <c r="AT347" s="940"/>
      <c r="AU347" s="1265"/>
      <c r="AV347" s="1265"/>
      <c r="AW347" s="1265"/>
      <c r="AX347" s="1265"/>
      <c r="AY347" s="1265"/>
      <c r="AZ347" s="1265"/>
      <c r="BA347" s="1265"/>
      <c r="BB347" s="1265"/>
      <c r="BC347" s="1265"/>
      <c r="BD347" s="1265"/>
      <c r="BE347" s="1265"/>
    </row>
    <row r="348" spans="1:57" ht="15.75">
      <c r="A348" s="1293" t="s">
        <v>1479</v>
      </c>
      <c r="B348" s="1006">
        <v>0.16666666666666666</v>
      </c>
      <c r="C348" s="1006">
        <v>0.41666666666666669</v>
      </c>
      <c r="D348" s="1071">
        <v>5.5</v>
      </c>
      <c r="E348" s="1255"/>
      <c r="F348" s="1013"/>
      <c r="G348" s="1006">
        <v>0.29166666666666669</v>
      </c>
      <c r="H348" s="1006">
        <v>0.16666666666666666</v>
      </c>
      <c r="I348" s="1071">
        <v>8</v>
      </c>
      <c r="J348" s="1255"/>
      <c r="K348" s="1013"/>
      <c r="L348" s="1006">
        <v>0.16666666666666666</v>
      </c>
      <c r="M348" s="1006">
        <v>0.39583333333333331</v>
      </c>
      <c r="N348" s="1071">
        <v>5</v>
      </c>
      <c r="O348" s="1255"/>
      <c r="P348" s="1013"/>
      <c r="Q348" s="1006">
        <v>0.29166666666666669</v>
      </c>
      <c r="R348" s="1006">
        <v>0.125</v>
      </c>
      <c r="S348" s="1071">
        <v>7.5</v>
      </c>
      <c r="T348" s="1255"/>
      <c r="U348" s="1013"/>
      <c r="V348" s="1006">
        <v>0.29166666666666669</v>
      </c>
      <c r="W348" s="1006">
        <v>0.27083333333333331</v>
      </c>
      <c r="X348" s="1071">
        <v>8</v>
      </c>
      <c r="Y348" s="1255">
        <v>2.5</v>
      </c>
      <c r="Z348" s="1041">
        <f t="shared" si="77"/>
        <v>34</v>
      </c>
      <c r="AA348" s="1077">
        <f t="shared" si="78"/>
        <v>2.5</v>
      </c>
      <c r="AB348" s="941"/>
      <c r="AC348" s="1006"/>
      <c r="AD348" s="1006"/>
      <c r="AE348" s="1071"/>
      <c r="AF348" s="941"/>
      <c r="AG348" s="1006">
        <v>0.29166666666666669</v>
      </c>
      <c r="AH348" s="1006">
        <v>0.20833333333333334</v>
      </c>
      <c r="AI348" s="1071">
        <v>9</v>
      </c>
      <c r="AJ348" s="1041">
        <f t="shared" si="79"/>
        <v>9</v>
      </c>
      <c r="AK348" s="941"/>
      <c r="AL348" s="943"/>
      <c r="AM348" s="940"/>
      <c r="AN348" s="954"/>
      <c r="AO348" s="954"/>
      <c r="AP348" s="954"/>
      <c r="AQ348" s="954"/>
      <c r="AR348" s="954"/>
      <c r="AS348" s="954"/>
      <c r="AT348" s="940"/>
      <c r="AU348" s="1265"/>
      <c r="AV348" s="1265"/>
      <c r="AW348" s="1265"/>
      <c r="AX348" s="1265"/>
      <c r="AY348" s="1265"/>
      <c r="AZ348" s="1265"/>
      <c r="BA348" s="1265"/>
      <c r="BB348" s="1265"/>
      <c r="BC348" s="1265"/>
      <c r="BD348" s="1265"/>
      <c r="BE348" s="1265"/>
    </row>
    <row r="349" spans="1:57" ht="15.75">
      <c r="A349" s="1345" t="s">
        <v>1480</v>
      </c>
      <c r="B349" s="1398"/>
      <c r="C349" s="1398"/>
      <c r="D349" s="1396">
        <v>0</v>
      </c>
      <c r="E349" s="1396"/>
      <c r="F349" s="1396"/>
      <c r="G349" s="1398"/>
      <c r="H349" s="1398">
        <v>4.1666666666666664E-2</v>
      </c>
      <c r="I349" s="1396">
        <v>5</v>
      </c>
      <c r="J349" s="1396"/>
      <c r="K349" s="1396"/>
      <c r="L349" s="1398"/>
      <c r="M349" s="1398"/>
      <c r="N349" s="1396">
        <v>0</v>
      </c>
      <c r="O349" s="1396"/>
      <c r="P349" s="1396"/>
      <c r="Q349" s="1398">
        <v>4.1666666666666664E-2</v>
      </c>
      <c r="R349" s="1398">
        <v>0.375</v>
      </c>
      <c r="S349" s="1396">
        <v>7.5</v>
      </c>
      <c r="T349" s="1396"/>
      <c r="U349" s="1396"/>
      <c r="V349" s="1398">
        <v>0.41666666666666669</v>
      </c>
      <c r="W349" s="1398">
        <v>0.20833333333333334</v>
      </c>
      <c r="X349" s="1396">
        <v>6.5</v>
      </c>
      <c r="Y349" s="1396"/>
      <c r="Z349" s="1402">
        <f>D349+I349+N349+S349+X349</f>
        <v>19</v>
      </c>
      <c r="AA349" s="1077">
        <f t="shared" si="78"/>
        <v>0</v>
      </c>
      <c r="AB349" s="941"/>
      <c r="AC349" s="1006">
        <v>0.29166666666666669</v>
      </c>
      <c r="AD349" s="1006">
        <v>0.22916666666666666</v>
      </c>
      <c r="AE349" s="1071">
        <v>9.5</v>
      </c>
      <c r="AF349" s="941"/>
      <c r="AG349" s="1006"/>
      <c r="AH349" s="1006"/>
      <c r="AI349" s="1071"/>
      <c r="AJ349" s="1041">
        <f t="shared" si="79"/>
        <v>9.5</v>
      </c>
      <c r="AK349" s="941"/>
      <c r="AL349" s="943"/>
      <c r="AM349" s="940"/>
      <c r="AN349" s="954"/>
      <c r="AO349" s="954"/>
      <c r="AP349" s="954"/>
      <c r="AQ349" s="954"/>
      <c r="AR349" s="954"/>
      <c r="AS349" s="954"/>
      <c r="AT349" s="940"/>
      <c r="AU349" s="1265"/>
      <c r="AV349" s="1265"/>
      <c r="AW349" s="1265"/>
      <c r="AX349" s="1265"/>
      <c r="AY349" s="1265"/>
      <c r="AZ349" s="1265"/>
      <c r="BA349" s="1265"/>
      <c r="BB349" s="1265"/>
      <c r="BC349" s="1265"/>
      <c r="BD349" s="1265"/>
      <c r="BE349" s="1265"/>
    </row>
    <row r="350" spans="1:57" ht="15.75">
      <c r="A350" s="1294" t="s">
        <v>1143</v>
      </c>
      <c r="B350" s="1006"/>
      <c r="C350" s="1006"/>
      <c r="D350" s="1071">
        <v>0</v>
      </c>
      <c r="E350" s="1255"/>
      <c r="F350" s="1013"/>
      <c r="G350" s="1006"/>
      <c r="H350" s="1006"/>
      <c r="I350" s="1071">
        <v>0</v>
      </c>
      <c r="J350" s="1255"/>
      <c r="K350" s="1013"/>
      <c r="L350" s="1006"/>
      <c r="M350" s="1006"/>
      <c r="N350" s="1071">
        <v>0</v>
      </c>
      <c r="O350" s="1255"/>
      <c r="P350" s="1013"/>
      <c r="Q350" s="1006"/>
      <c r="R350" s="1006"/>
      <c r="S350" s="1071">
        <v>0</v>
      </c>
      <c r="T350" s="1255"/>
      <c r="U350" s="1013"/>
      <c r="V350" s="1006"/>
      <c r="W350" s="1006"/>
      <c r="X350" s="1071">
        <v>0</v>
      </c>
      <c r="Y350" s="1255"/>
      <c r="Z350" s="1041">
        <f t="shared" si="77"/>
        <v>0</v>
      </c>
      <c r="AA350" s="1077">
        <f t="shared" si="78"/>
        <v>0</v>
      </c>
      <c r="AB350" s="941"/>
      <c r="AC350" s="1006"/>
      <c r="AD350" s="1006"/>
      <c r="AE350" s="1071"/>
      <c r="AF350" s="941"/>
      <c r="AG350" s="1006"/>
      <c r="AH350" s="1006"/>
      <c r="AI350" s="1071"/>
      <c r="AJ350" s="1041">
        <f t="shared" si="79"/>
        <v>0</v>
      </c>
      <c r="AK350" s="941"/>
      <c r="AL350" s="943"/>
      <c r="AM350" s="940"/>
      <c r="AN350" s="954"/>
      <c r="AO350" s="954"/>
      <c r="AP350" s="954"/>
      <c r="AQ350" s="954"/>
      <c r="AR350" s="954"/>
      <c r="AS350" s="954"/>
      <c r="AT350" s="940"/>
      <c r="AU350" s="1265"/>
      <c r="AV350" s="1265"/>
      <c r="AW350" s="1265"/>
      <c r="AX350" s="1265"/>
      <c r="AY350" s="1265"/>
      <c r="AZ350" s="1265"/>
      <c r="BA350" s="1265"/>
      <c r="BB350" s="1265"/>
      <c r="BC350" s="1265"/>
      <c r="BD350" s="1265"/>
      <c r="BE350" s="1265"/>
    </row>
    <row r="351" spans="1:57" ht="15.75">
      <c r="A351" s="1294" t="s">
        <v>813</v>
      </c>
      <c r="B351" s="1006"/>
      <c r="C351" s="1006"/>
      <c r="D351" s="1071">
        <v>4</v>
      </c>
      <c r="E351" s="1255"/>
      <c r="F351" s="941"/>
      <c r="G351" s="1006"/>
      <c r="H351" s="1006"/>
      <c r="I351" s="1071">
        <v>4</v>
      </c>
      <c r="J351" s="1255"/>
      <c r="K351" s="941"/>
      <c r="L351" s="1006"/>
      <c r="M351" s="1006"/>
      <c r="N351" s="1071">
        <v>4</v>
      </c>
      <c r="O351" s="1255"/>
      <c r="P351" s="941"/>
      <c r="Q351" s="1006"/>
      <c r="R351" s="1006"/>
      <c r="S351" s="1071">
        <v>4</v>
      </c>
      <c r="T351" s="1255"/>
      <c r="U351" s="941"/>
      <c r="V351" s="1006"/>
      <c r="W351" s="1006"/>
      <c r="X351" s="1071">
        <v>4</v>
      </c>
      <c r="Y351" s="1255"/>
      <c r="Z351" s="1041">
        <f t="shared" si="77"/>
        <v>20</v>
      </c>
      <c r="AA351" s="1077">
        <f t="shared" si="78"/>
        <v>0</v>
      </c>
      <c r="AB351" s="941"/>
      <c r="AC351" s="1006"/>
      <c r="AD351" s="1006"/>
      <c r="AE351" s="1071"/>
      <c r="AF351" s="941"/>
      <c r="AG351" s="1006"/>
      <c r="AH351" s="1006"/>
      <c r="AI351" s="1071"/>
      <c r="AJ351" s="1041">
        <f t="shared" si="79"/>
        <v>0</v>
      </c>
      <c r="AK351" s="941"/>
      <c r="AL351" s="943"/>
      <c r="AM351" s="940"/>
      <c r="AN351" s="992"/>
      <c r="AO351" s="1005"/>
      <c r="AP351" s="994"/>
      <c r="AQ351" s="994"/>
      <c r="AR351" s="954"/>
      <c r="AS351" s="954"/>
      <c r="AT351" s="940"/>
      <c r="AU351" s="1265"/>
      <c r="AV351" s="1265"/>
      <c r="AW351" s="1265"/>
      <c r="AX351" s="1265"/>
      <c r="AY351" s="1265"/>
      <c r="AZ351" s="1265"/>
      <c r="BA351" s="1265"/>
      <c r="BB351" s="1265"/>
      <c r="BC351" s="1265"/>
      <c r="BD351" s="1265"/>
      <c r="BE351" s="1265"/>
    </row>
    <row r="352" spans="1:57" ht="15.75">
      <c r="A352" s="1294" t="s">
        <v>1431</v>
      </c>
      <c r="B352" s="1006"/>
      <c r="C352" s="1006"/>
      <c r="D352" s="1071">
        <v>4</v>
      </c>
      <c r="E352" s="1255"/>
      <c r="F352" s="941"/>
      <c r="G352" s="1006"/>
      <c r="H352" s="1006"/>
      <c r="I352" s="1071">
        <v>4</v>
      </c>
      <c r="J352" s="1255"/>
      <c r="K352" s="941"/>
      <c r="L352" s="1006"/>
      <c r="M352" s="1006"/>
      <c r="N352" s="1071">
        <v>4</v>
      </c>
      <c r="O352" s="1255"/>
      <c r="P352" s="941"/>
      <c r="Q352" s="1006"/>
      <c r="R352" s="1006"/>
      <c r="S352" s="1071">
        <v>4</v>
      </c>
      <c r="T352" s="1255"/>
      <c r="U352" s="941"/>
      <c r="V352" s="1006"/>
      <c r="W352" s="1006"/>
      <c r="X352" s="1071">
        <v>4</v>
      </c>
      <c r="Y352" s="1255"/>
      <c r="Z352" s="1041">
        <f t="shared" si="77"/>
        <v>20</v>
      </c>
      <c r="AA352" s="1077">
        <f t="shared" si="78"/>
        <v>0</v>
      </c>
      <c r="AB352" s="941"/>
      <c r="AC352" s="1006"/>
      <c r="AD352" s="1006"/>
      <c r="AE352" s="1071"/>
      <c r="AF352" s="941"/>
      <c r="AG352" s="1006"/>
      <c r="AH352" s="1006"/>
      <c r="AI352" s="1071"/>
      <c r="AJ352" s="1041">
        <f t="shared" si="79"/>
        <v>0</v>
      </c>
      <c r="AK352" s="941"/>
      <c r="AL352" s="943"/>
      <c r="AM352" s="940"/>
      <c r="AN352" s="954"/>
      <c r="AO352" s="954"/>
      <c r="AP352" s="954"/>
      <c r="AQ352" s="954"/>
      <c r="AR352" s="954"/>
      <c r="AS352" s="954"/>
      <c r="AT352" s="940"/>
      <c r="AU352" s="1265"/>
      <c r="AV352" s="1265"/>
      <c r="AW352" s="1265"/>
      <c r="AX352" s="1265"/>
      <c r="AY352" s="1265"/>
      <c r="AZ352" s="1265"/>
      <c r="BA352" s="1265"/>
      <c r="BB352" s="1265"/>
      <c r="BC352" s="1265"/>
      <c r="BD352" s="1265"/>
      <c r="BE352" s="1265"/>
    </row>
    <row r="353" spans="1:57" ht="15.75">
      <c r="A353" s="1043" t="s">
        <v>1439</v>
      </c>
      <c r="B353" s="1076"/>
      <c r="C353" s="1256"/>
      <c r="D353" s="1072">
        <v>0</v>
      </c>
      <c r="E353" s="1072"/>
      <c r="F353" s="1072"/>
      <c r="G353" s="1076"/>
      <c r="H353" s="1076"/>
      <c r="I353" s="1072">
        <v>0</v>
      </c>
      <c r="J353" s="1072"/>
      <c r="K353" s="1072"/>
      <c r="L353" s="1076"/>
      <c r="M353" s="1256"/>
      <c r="N353" s="1339">
        <v>0</v>
      </c>
      <c r="O353" s="1072"/>
      <c r="P353" s="1072"/>
      <c r="Q353" s="1076"/>
      <c r="R353" s="1076"/>
      <c r="S353" s="1072">
        <v>0</v>
      </c>
      <c r="T353" s="1072"/>
      <c r="U353" s="1072"/>
      <c r="V353" s="1076"/>
      <c r="W353" s="1076"/>
      <c r="X353" s="1072">
        <v>0</v>
      </c>
      <c r="Y353" s="1072"/>
      <c r="Z353" s="1041">
        <f t="shared" si="77"/>
        <v>0</v>
      </c>
      <c r="AA353" s="1077">
        <f t="shared" si="78"/>
        <v>0</v>
      </c>
      <c r="AB353" s="941"/>
      <c r="AC353" s="1076"/>
      <c r="AD353" s="1256"/>
      <c r="AE353" s="1072"/>
      <c r="AF353" s="1076"/>
      <c r="AG353" s="1256"/>
      <c r="AH353" s="1072"/>
      <c r="AI353" s="1076"/>
      <c r="AJ353" s="1041">
        <f t="shared" si="79"/>
        <v>0</v>
      </c>
      <c r="AK353" s="941"/>
      <c r="AL353" s="943"/>
      <c r="AM353" s="940"/>
      <c r="AN353" s="954"/>
      <c r="AO353" s="954"/>
      <c r="AP353" s="954"/>
      <c r="AQ353" s="954"/>
      <c r="AR353" s="954"/>
      <c r="AS353" s="954"/>
      <c r="AT353" s="940"/>
      <c r="AU353" s="1265"/>
      <c r="AV353" s="1265"/>
      <c r="AW353" s="1265"/>
      <c r="AX353" s="1265"/>
      <c r="AY353" s="1265"/>
      <c r="AZ353" s="1265"/>
      <c r="BA353" s="1265"/>
      <c r="BB353" s="1265"/>
      <c r="BC353" s="1265"/>
      <c r="BD353" s="1265"/>
      <c r="BE353" s="1265"/>
    </row>
    <row r="354" spans="1:57" ht="15.75">
      <c r="A354" s="1043" t="s">
        <v>1427</v>
      </c>
      <c r="B354" s="1076">
        <v>0.45833333333333331</v>
      </c>
      <c r="C354" s="1256">
        <v>0.29166666666666669</v>
      </c>
      <c r="D354" s="1072">
        <v>8</v>
      </c>
      <c r="E354" s="1072"/>
      <c r="F354" s="1072"/>
      <c r="G354" s="1076">
        <v>0.45833333333333331</v>
      </c>
      <c r="H354" s="1256">
        <v>0.29166666666666669</v>
      </c>
      <c r="I354" s="1072">
        <v>8</v>
      </c>
      <c r="J354" s="1072"/>
      <c r="K354" s="1072"/>
      <c r="L354" s="1076">
        <v>0.45833333333333331</v>
      </c>
      <c r="M354" s="1256">
        <v>0.29166666666666669</v>
      </c>
      <c r="N354" s="1072">
        <v>8</v>
      </c>
      <c r="O354" s="1072"/>
      <c r="P354" s="1072"/>
      <c r="Q354" s="1076">
        <v>0.45833333333333331</v>
      </c>
      <c r="R354" s="1256">
        <v>0.29166666666666669</v>
      </c>
      <c r="S354" s="1072">
        <v>8</v>
      </c>
      <c r="T354" s="1072"/>
      <c r="U354" s="1072"/>
      <c r="V354" s="1076">
        <v>0.45833333333333331</v>
      </c>
      <c r="W354" s="1256">
        <v>0.29166666666666669</v>
      </c>
      <c r="X354" s="1072">
        <v>8</v>
      </c>
      <c r="Y354" s="1072"/>
      <c r="Z354" s="1041">
        <f t="shared" si="77"/>
        <v>40</v>
      </c>
      <c r="AA354" s="1077">
        <f t="shared" si="78"/>
        <v>0</v>
      </c>
      <c r="AB354" s="941"/>
      <c r="AC354" s="1076"/>
      <c r="AD354" s="1256"/>
      <c r="AE354" s="1072"/>
      <c r="AF354" s="1076"/>
      <c r="AG354" s="1256"/>
      <c r="AH354" s="1072"/>
      <c r="AI354" s="1076"/>
      <c r="AJ354" s="1041">
        <f t="shared" si="79"/>
        <v>0</v>
      </c>
      <c r="AK354" s="941"/>
      <c r="AL354" s="943"/>
      <c r="AM354" s="940"/>
      <c r="AN354" s="954"/>
      <c r="AO354" s="954"/>
      <c r="AP354" s="954"/>
      <c r="AQ354" s="954"/>
      <c r="AR354" s="954"/>
      <c r="AS354" s="954"/>
      <c r="AT354" s="940"/>
      <c r="AU354" s="1265"/>
      <c r="AV354" s="1265"/>
      <c r="AW354" s="1265"/>
      <c r="AX354" s="1265"/>
      <c r="AY354" s="1265"/>
      <c r="AZ354" s="1265"/>
      <c r="BA354" s="1265"/>
      <c r="BB354" s="1265"/>
      <c r="BC354" s="1265"/>
      <c r="BD354" s="1265"/>
      <c r="BE354" s="1265"/>
    </row>
    <row r="355" spans="1:57" ht="15.75">
      <c r="A355" s="1344" t="s">
        <v>1064</v>
      </c>
      <c r="B355" s="1398">
        <v>0.45833333333333331</v>
      </c>
      <c r="C355" s="1403">
        <v>0.29166666666666669</v>
      </c>
      <c r="D355" s="1396">
        <v>8</v>
      </c>
      <c r="E355" s="1396"/>
      <c r="F355" s="1396"/>
      <c r="G355" s="1398">
        <v>0.45833333333333331</v>
      </c>
      <c r="H355" s="1403">
        <v>0.29166666666666669</v>
      </c>
      <c r="I355" s="1396">
        <v>8</v>
      </c>
      <c r="J355" s="1396"/>
      <c r="K355" s="1396"/>
      <c r="L355" s="1398">
        <v>0.45833333333333331</v>
      </c>
      <c r="M355" s="1403">
        <v>0.29166666666666669</v>
      </c>
      <c r="N355" s="1396">
        <v>8</v>
      </c>
      <c r="O355" s="1396"/>
      <c r="P355" s="1396"/>
      <c r="Q355" s="1398">
        <v>0.45833333333333331</v>
      </c>
      <c r="R355" s="1398">
        <v>0.29166666666666669</v>
      </c>
      <c r="S355" s="1396">
        <v>8</v>
      </c>
      <c r="T355" s="1396"/>
      <c r="U355" s="1396"/>
      <c r="V355" s="1398">
        <v>0.45833333333333331</v>
      </c>
      <c r="W355" s="1403">
        <v>0.29166666666666669</v>
      </c>
      <c r="X355" s="1396">
        <v>8</v>
      </c>
      <c r="Y355" s="1396"/>
      <c r="Z355" s="1402">
        <f t="shared" si="77"/>
        <v>40</v>
      </c>
      <c r="AA355" s="1077">
        <f t="shared" si="78"/>
        <v>0</v>
      </c>
      <c r="AB355" s="941"/>
      <c r="AC355" s="1076"/>
      <c r="AD355" s="1256"/>
      <c r="AE355" s="1072"/>
      <c r="AF355" s="1076"/>
      <c r="AG355" s="1256"/>
      <c r="AH355" s="1072"/>
      <c r="AI355" s="1076"/>
      <c r="AJ355" s="1041">
        <f t="shared" si="79"/>
        <v>0</v>
      </c>
      <c r="AK355" s="941"/>
      <c r="AL355" s="943"/>
      <c r="AM355" s="940"/>
      <c r="AN355" s="954"/>
      <c r="AO355" s="954"/>
      <c r="AP355" s="954"/>
      <c r="AQ355" s="954"/>
      <c r="AR355" s="954"/>
      <c r="AS355" s="954"/>
      <c r="AT355" s="940"/>
      <c r="AU355" s="1265"/>
      <c r="AV355" s="1265"/>
      <c r="AW355" s="1265"/>
      <c r="AX355" s="1265"/>
      <c r="AY355" s="1265"/>
      <c r="AZ355" s="1265"/>
      <c r="BA355" s="1265"/>
      <c r="BB355" s="1265"/>
      <c r="BC355" s="1265"/>
      <c r="BD355" s="1265"/>
      <c r="BE355" s="1265"/>
    </row>
    <row r="356" spans="1:57" ht="15.75">
      <c r="A356" s="1344" t="s">
        <v>1144</v>
      </c>
      <c r="B356" s="1398">
        <v>0.45833333333333331</v>
      </c>
      <c r="C356" s="1403">
        <v>0.29166666666666669</v>
      </c>
      <c r="D356" s="1396">
        <v>8</v>
      </c>
      <c r="E356" s="1396"/>
      <c r="F356" s="1396"/>
      <c r="G356" s="1398">
        <v>0.45833333333333331</v>
      </c>
      <c r="H356" s="1403">
        <v>0.29166666666666669</v>
      </c>
      <c r="I356" s="1396">
        <v>8</v>
      </c>
      <c r="J356" s="1396"/>
      <c r="K356" s="1396"/>
      <c r="L356" s="1398">
        <v>0.45833333333333331</v>
      </c>
      <c r="M356" s="1403">
        <v>0.29166666666666669</v>
      </c>
      <c r="N356" s="1396">
        <v>8</v>
      </c>
      <c r="O356" s="1396"/>
      <c r="P356" s="1396"/>
      <c r="Q356" s="1398">
        <v>0.45833333333333331</v>
      </c>
      <c r="R356" s="1398">
        <v>0.29166666666666669</v>
      </c>
      <c r="S356" s="1396">
        <v>8</v>
      </c>
      <c r="T356" s="1396"/>
      <c r="U356" s="1396"/>
      <c r="V356" s="1398">
        <v>0.45833333333333331</v>
      </c>
      <c r="W356" s="1403">
        <v>0.29166666666666669</v>
      </c>
      <c r="X356" s="1396">
        <v>8</v>
      </c>
      <c r="Y356" s="1396"/>
      <c r="Z356" s="1402">
        <f>D356+I356+N356+S356+X356</f>
        <v>40</v>
      </c>
      <c r="AA356" s="1077">
        <f>E356+J356+O356+T356+Y356</f>
        <v>0</v>
      </c>
      <c r="AB356" s="941"/>
      <c r="AC356" s="1076"/>
      <c r="AD356" s="1256"/>
      <c r="AE356" s="1072"/>
      <c r="AF356" s="1076"/>
      <c r="AG356" s="1256"/>
      <c r="AH356" s="1072"/>
      <c r="AI356" s="1076"/>
      <c r="AJ356" s="1041">
        <f t="shared" si="79"/>
        <v>0</v>
      </c>
      <c r="AK356" s="941"/>
      <c r="AL356" s="943"/>
      <c r="AM356" s="940"/>
      <c r="AN356" s="954"/>
      <c r="AO356" s="954"/>
      <c r="AP356" s="954"/>
      <c r="AQ356" s="954"/>
      <c r="AR356" s="954"/>
      <c r="AS356" s="954"/>
      <c r="AT356" s="940"/>
      <c r="AU356" s="1265"/>
      <c r="AV356" s="1265"/>
      <c r="AW356" s="1265"/>
      <c r="AX356" s="1265"/>
      <c r="AY356" s="1265"/>
      <c r="AZ356" s="1265"/>
      <c r="BA356" s="1265"/>
      <c r="BB356" s="1265"/>
      <c r="BC356" s="1265"/>
      <c r="BD356" s="1265"/>
      <c r="BE356" s="1265"/>
    </row>
    <row r="357" spans="1:57" ht="16.5" thickBot="1">
      <c r="A357" s="1343" t="s">
        <v>1433</v>
      </c>
      <c r="B357" s="1285"/>
      <c r="C357" s="1286"/>
      <c r="D357" s="1287">
        <v>0</v>
      </c>
      <c r="E357" s="1287"/>
      <c r="F357" s="1287"/>
      <c r="G357" s="1285"/>
      <c r="H357" s="1286"/>
      <c r="I357" s="1287">
        <v>0</v>
      </c>
      <c r="J357" s="1287"/>
      <c r="K357" s="1287"/>
      <c r="L357" s="1285"/>
      <c r="M357" s="1286"/>
      <c r="N357" s="1338">
        <v>0</v>
      </c>
      <c r="O357" s="1287"/>
      <c r="P357" s="1287"/>
      <c r="Q357" s="1285">
        <v>0.45833333333333331</v>
      </c>
      <c r="R357" s="1285">
        <v>0.29166666666666669</v>
      </c>
      <c r="S357" s="1287">
        <v>8</v>
      </c>
      <c r="T357" s="1287"/>
      <c r="U357" s="1287"/>
      <c r="V357" s="1285"/>
      <c r="W357" s="1286"/>
      <c r="X357" s="1287">
        <v>0</v>
      </c>
      <c r="Y357" s="1287"/>
      <c r="Z357" s="1266">
        <f>D357+I357+N357+S357+X357</f>
        <v>8</v>
      </c>
      <c r="AA357" s="1267">
        <f>E357+J357+O357+T357+Y357</f>
        <v>0</v>
      </c>
      <c r="AB357" s="941"/>
      <c r="AC357" s="1285"/>
      <c r="AD357" s="1285"/>
      <c r="AE357" s="1287"/>
      <c r="AF357" s="1285"/>
      <c r="AG357" s="1286"/>
      <c r="AH357" s="1287"/>
      <c r="AI357" s="1285"/>
      <c r="AJ357" s="1266">
        <f t="shared" si="79"/>
        <v>0</v>
      </c>
      <c r="AK357" s="941"/>
      <c r="AL357" s="943"/>
      <c r="AM357" s="940"/>
      <c r="AN357" s="954"/>
      <c r="AO357" s="954"/>
      <c r="AP357" s="954"/>
      <c r="AQ357" s="954"/>
      <c r="AR357" s="954"/>
      <c r="AS357" s="954"/>
      <c r="AT357" s="940"/>
      <c r="AU357" s="1265"/>
      <c r="AV357" s="1265"/>
      <c r="AW357" s="1265"/>
      <c r="AX357" s="1265"/>
      <c r="AY357" s="1265"/>
      <c r="AZ357" s="1265"/>
      <c r="BA357" s="1265"/>
      <c r="BB357" s="1265"/>
      <c r="BC357" s="1265"/>
      <c r="BD357" s="1265"/>
      <c r="BE357" s="1265"/>
    </row>
    <row r="358" spans="1:57" ht="16.5" thickTop="1">
      <c r="A358" s="1018" t="s">
        <v>61</v>
      </c>
      <c r="B358" s="1018"/>
      <c r="C358" s="1018"/>
      <c r="D358" s="1084">
        <f>SUM(D334:D352)</f>
        <v>114</v>
      </c>
      <c r="E358" s="1255">
        <f>SUM(E335:E352)</f>
        <v>8</v>
      </c>
      <c r="F358" s="1018"/>
      <c r="G358" s="1018"/>
      <c r="H358" s="1018"/>
      <c r="I358" s="1084">
        <f>SUM(I334:I352)</f>
        <v>107.5</v>
      </c>
      <c r="J358" s="1255">
        <f>SUM(J335:J352)</f>
        <v>8</v>
      </c>
      <c r="K358" s="1018"/>
      <c r="L358" s="1018"/>
      <c r="M358" s="1018"/>
      <c r="N358" s="1084">
        <f>SUM(N334:N352)</f>
        <v>113</v>
      </c>
      <c r="O358" s="1255">
        <f>SUM(O335:O352)</f>
        <v>10</v>
      </c>
      <c r="P358" s="1018"/>
      <c r="Q358" s="1018"/>
      <c r="R358" s="1018"/>
      <c r="S358" s="1084">
        <f>SUM(S334:S352)</f>
        <v>121</v>
      </c>
      <c r="T358" s="1255">
        <f>SUM(T335:T352)</f>
        <v>7</v>
      </c>
      <c r="U358" s="1018"/>
      <c r="V358" s="1018"/>
      <c r="W358" s="1018"/>
      <c r="X358" s="1084">
        <f>SUM(X334:X352)</f>
        <v>113</v>
      </c>
      <c r="Y358" s="1255">
        <f>SUM(Y335:Y352)</f>
        <v>6.5</v>
      </c>
      <c r="Z358" s="1028">
        <f>SUM(Z334:Z352)</f>
        <v>568.5</v>
      </c>
      <c r="AA358" s="1028">
        <f>SUM(AA334:AA351)</f>
        <v>39.5</v>
      </c>
      <c r="AB358" s="941"/>
      <c r="AC358" s="1018"/>
      <c r="AD358" s="1018"/>
      <c r="AE358" s="1041">
        <f>SUM(AE334:AE352)</f>
        <v>16.25</v>
      </c>
      <c r="AF358" s="941"/>
      <c r="AG358" s="1018"/>
      <c r="AH358" s="1018"/>
      <c r="AI358" s="1041">
        <f>SUM(AI334:AI352)</f>
        <v>9</v>
      </c>
      <c r="AJ358" s="1028">
        <f>SUM(AJ334:AJ356)</f>
        <v>25.25</v>
      </c>
      <c r="AK358" s="941"/>
      <c r="AL358" s="943"/>
      <c r="AM358" s="940"/>
      <c r="AN358" s="954"/>
      <c r="AO358" s="954"/>
      <c r="AP358" s="954"/>
      <c r="AQ358" s="954"/>
      <c r="AR358" s="954"/>
      <c r="AS358" s="954"/>
      <c r="AT358" s="940"/>
      <c r="AU358" s="1265"/>
      <c r="AV358" s="1265"/>
      <c r="AW358" s="1265"/>
      <c r="AX358" s="1265"/>
      <c r="AY358" s="1265"/>
      <c r="AZ358" s="1265"/>
      <c r="BA358" s="1265"/>
      <c r="BB358" s="1265"/>
      <c r="BC358" s="1265"/>
      <c r="BD358" s="1265"/>
      <c r="BE358" s="1265"/>
    </row>
    <row r="359" spans="1:57" ht="15.75">
      <c r="A359" s="1335" t="s">
        <v>1434</v>
      </c>
      <c r="B359" s="1018"/>
      <c r="C359" s="1018"/>
      <c r="D359" s="1084">
        <f>SUM(D353:D357)</f>
        <v>24</v>
      </c>
      <c r="E359" s="1255"/>
      <c r="F359" s="1018"/>
      <c r="G359" s="1018"/>
      <c r="H359" s="1018"/>
      <c r="I359" s="1084">
        <f>SUM(I353:I357)</f>
        <v>24</v>
      </c>
      <c r="J359" s="1255"/>
      <c r="K359" s="1018"/>
      <c r="L359" s="1018"/>
      <c r="M359" s="1018"/>
      <c r="N359" s="1084">
        <f>SUM(N353:N357)</f>
        <v>24</v>
      </c>
      <c r="O359" s="1255"/>
      <c r="P359" s="1018"/>
      <c r="Q359" s="1018"/>
      <c r="R359" s="1018"/>
      <c r="S359" s="1084">
        <f>SUM(S353:S357)</f>
        <v>32</v>
      </c>
      <c r="T359" s="1255"/>
      <c r="U359" s="1018"/>
      <c r="V359" s="1018"/>
      <c r="W359" s="1018"/>
      <c r="X359" s="1084">
        <f>SUM(X353:X357)</f>
        <v>24</v>
      </c>
      <c r="Y359" s="1255"/>
      <c r="Z359" s="1028">
        <f>SUM(Z353:Z357)</f>
        <v>128</v>
      </c>
      <c r="AA359" s="1028">
        <f>SUM(AA353:AA357)</f>
        <v>0</v>
      </c>
      <c r="AB359" s="941"/>
      <c r="AC359" s="1018"/>
      <c r="AD359" s="1018"/>
      <c r="AE359" s="1041">
        <f>SUM(AE353:AE357)</f>
        <v>0</v>
      </c>
      <c r="AF359" s="941"/>
      <c r="AG359" s="1018"/>
      <c r="AH359" s="1018"/>
      <c r="AI359" s="1041">
        <f>SUM(AI353:AI357)</f>
        <v>0</v>
      </c>
      <c r="AJ359" s="1028">
        <f>SUM(AE359+AI359)</f>
        <v>0</v>
      </c>
      <c r="AK359" s="941"/>
      <c r="AL359" s="943"/>
      <c r="AM359" s="940"/>
      <c r="AN359" s="954"/>
      <c r="AO359" s="954"/>
      <c r="AP359" s="954"/>
      <c r="AQ359" s="954"/>
      <c r="AR359" s="954"/>
      <c r="AS359" s="954"/>
      <c r="AT359" s="940"/>
      <c r="AU359" s="1265"/>
      <c r="AV359" s="1265"/>
      <c r="AW359" s="1265"/>
      <c r="AX359" s="1265"/>
      <c r="AY359" s="1265"/>
      <c r="AZ359" s="1265"/>
      <c r="BA359" s="1265"/>
      <c r="BB359" s="1265"/>
      <c r="BC359" s="1265"/>
      <c r="BD359" s="1265"/>
      <c r="BE359" s="1265"/>
    </row>
    <row r="360" spans="1:57" ht="15.75">
      <c r="A360" s="1257" t="s">
        <v>64</v>
      </c>
      <c r="B360" s="1006"/>
      <c r="C360" s="1006"/>
      <c r="D360" s="1071">
        <v>8</v>
      </c>
      <c r="E360" s="1071">
        <v>0.25</v>
      </c>
      <c r="F360" s="1026"/>
      <c r="G360" s="1006"/>
      <c r="H360" s="1006"/>
      <c r="I360" s="1071">
        <v>8</v>
      </c>
      <c r="J360" s="1071"/>
      <c r="K360" s="1013"/>
      <c r="L360" s="1006"/>
      <c r="M360" s="1006"/>
      <c r="N360" s="1071">
        <v>8</v>
      </c>
      <c r="O360" s="1071"/>
      <c r="P360" s="1013"/>
      <c r="Q360" s="1006"/>
      <c r="R360" s="1006"/>
      <c r="S360" s="1071">
        <v>8</v>
      </c>
      <c r="T360" s="1071"/>
      <c r="U360" s="1013"/>
      <c r="V360" s="1006"/>
      <c r="W360" s="1006"/>
      <c r="X360" s="1071">
        <v>8</v>
      </c>
      <c r="Y360" s="1071">
        <v>0.5</v>
      </c>
      <c r="Z360" s="1028">
        <f>D360+I360+N360+S360+X360</f>
        <v>40</v>
      </c>
      <c r="AA360" s="1100">
        <f>E360+J360+O360+T360+Y360</f>
        <v>0.75</v>
      </c>
      <c r="AB360" s="941"/>
      <c r="AC360" s="1006"/>
      <c r="AD360" s="1006"/>
      <c r="AE360" s="1071">
        <f>5+2.5</f>
        <v>7.5</v>
      </c>
      <c r="AF360" s="941"/>
      <c r="AG360" s="1006"/>
      <c r="AH360" s="1006"/>
      <c r="AI360" s="1071">
        <f>5+1</f>
        <v>6</v>
      </c>
      <c r="AJ360" s="1028">
        <f>AE360+AI360</f>
        <v>13.5</v>
      </c>
      <c r="AK360" s="941"/>
      <c r="AL360" s="943"/>
      <c r="AM360" s="940"/>
      <c r="AN360" s="954"/>
      <c r="AO360" s="954"/>
      <c r="AP360" s="954"/>
      <c r="AQ360" s="954"/>
      <c r="AR360" s="954"/>
      <c r="AS360" s="954"/>
      <c r="AT360" s="940"/>
      <c r="AU360" s="1265"/>
      <c r="AV360" s="1265"/>
      <c r="AW360" s="1265"/>
      <c r="AX360" s="1265"/>
      <c r="AY360" s="1265"/>
      <c r="AZ360" s="1265"/>
      <c r="BA360" s="1265"/>
      <c r="BB360" s="1265"/>
      <c r="BC360" s="1265"/>
      <c r="BD360" s="1265"/>
      <c r="BE360" s="1265"/>
    </row>
    <row r="361" spans="1:57" ht="15.75">
      <c r="A361" s="940"/>
      <c r="B361" s="940"/>
      <c r="C361" s="940"/>
      <c r="D361" s="941"/>
      <c r="E361" s="942"/>
      <c r="F361" s="941"/>
      <c r="G361" s="940"/>
      <c r="H361" s="940"/>
      <c r="I361" s="941"/>
      <c r="J361" s="942"/>
      <c r="K361" s="941"/>
      <c r="L361" s="940"/>
      <c r="M361" s="940"/>
      <c r="N361" s="941"/>
      <c r="O361" s="942"/>
      <c r="P361" s="941"/>
      <c r="Q361" s="940"/>
      <c r="R361" s="940"/>
      <c r="S361" s="941"/>
      <c r="T361" s="942"/>
      <c r="U361" s="941"/>
      <c r="V361" s="940"/>
      <c r="W361" s="940"/>
      <c r="X361" s="941"/>
      <c r="Y361" s="942"/>
      <c r="Z361" s="941"/>
      <c r="AA361" s="941"/>
      <c r="AB361" s="941"/>
      <c r="AC361" s="940"/>
      <c r="AD361" s="940"/>
      <c r="AE361" s="940"/>
      <c r="AF361" s="941"/>
      <c r="AG361" s="940"/>
      <c r="AH361" s="940"/>
      <c r="AI361" s="940"/>
      <c r="AJ361" s="940"/>
      <c r="AK361" s="941"/>
      <c r="AL361" s="943"/>
      <c r="AM361" s="940"/>
      <c r="AN361" s="940"/>
      <c r="AO361" s="940"/>
      <c r="AP361" s="940"/>
      <c r="AQ361" s="940"/>
      <c r="AR361" s="940"/>
      <c r="AS361" s="940"/>
      <c r="AT361" s="940"/>
      <c r="AU361" s="1265"/>
      <c r="AV361" s="1265"/>
      <c r="AW361" s="1265"/>
      <c r="AX361" s="1265"/>
      <c r="AY361" s="1265"/>
      <c r="AZ361" s="1265"/>
      <c r="BA361" s="1265"/>
      <c r="BB361" s="1265"/>
      <c r="BC361" s="1265"/>
      <c r="BD361" s="1265"/>
      <c r="BE361" s="1265"/>
    </row>
    <row r="362" spans="1:57" ht="15.75">
      <c r="A362" s="974"/>
      <c r="B362" s="975"/>
      <c r="C362" s="975"/>
      <c r="D362" s="976"/>
      <c r="E362" s="976"/>
      <c r="F362" s="975"/>
      <c r="G362" s="976"/>
      <c r="H362" s="976"/>
      <c r="I362" s="976"/>
      <c r="J362" s="976"/>
      <c r="K362" s="975"/>
      <c r="L362" s="975"/>
      <c r="M362" s="975"/>
      <c r="N362" s="975"/>
      <c r="O362" s="976"/>
      <c r="P362" s="975"/>
      <c r="Q362" s="975"/>
      <c r="R362" s="975"/>
      <c r="S362" s="975"/>
      <c r="T362" s="976"/>
      <c r="U362" s="975"/>
      <c r="V362" s="975"/>
      <c r="W362" s="975"/>
      <c r="X362" s="977"/>
      <c r="Y362" s="976"/>
      <c r="Z362" s="978"/>
      <c r="AA362" s="976"/>
      <c r="AB362" s="979"/>
      <c r="AC362" s="980"/>
      <c r="AD362" s="943"/>
      <c r="AE362" s="943"/>
      <c r="AF362" s="979"/>
      <c r="AG362" s="980"/>
      <c r="AH362" s="943"/>
      <c r="AI362" s="943"/>
      <c r="AJ362" s="943"/>
      <c r="AK362" s="979"/>
      <c r="AL362" s="943"/>
      <c r="AM362" s="943"/>
      <c r="AN362" s="943"/>
      <c r="AO362" s="943"/>
      <c r="AP362" s="943"/>
      <c r="AQ362" s="943"/>
      <c r="AR362" s="943"/>
      <c r="AS362" s="943"/>
      <c r="AT362" s="943"/>
      <c r="AU362" s="943"/>
      <c r="AV362" s="943"/>
      <c r="AW362" s="943"/>
      <c r="AX362" s="943"/>
      <c r="AY362" s="943"/>
      <c r="AZ362" s="1265"/>
      <c r="BA362" s="1265"/>
      <c r="BB362" s="1265"/>
      <c r="BC362" s="1265"/>
      <c r="BD362" s="1265"/>
      <c r="BE362" s="1265"/>
    </row>
    <row r="363" spans="1:57" ht="15.75">
      <c r="A363" s="940"/>
      <c r="B363" s="940"/>
      <c r="C363" s="940"/>
      <c r="D363" s="941"/>
      <c r="E363" s="942"/>
      <c r="F363" s="941"/>
      <c r="G363" s="940"/>
      <c r="H363" s="940"/>
      <c r="I363" s="941"/>
      <c r="J363" s="942"/>
      <c r="K363" s="941"/>
      <c r="L363" s="940"/>
      <c r="M363" s="940"/>
      <c r="N363" s="941"/>
      <c r="O363" s="942"/>
      <c r="P363" s="941"/>
      <c r="Q363" s="940"/>
      <c r="R363" s="940"/>
      <c r="S363" s="941"/>
      <c r="T363" s="942"/>
      <c r="U363" s="941"/>
      <c r="V363" s="940"/>
      <c r="W363" s="940"/>
      <c r="X363" s="941"/>
      <c r="Y363" s="942"/>
      <c r="Z363" s="941"/>
      <c r="AA363" s="941"/>
      <c r="AB363" s="941"/>
      <c r="AC363" s="940"/>
      <c r="AD363" s="940"/>
      <c r="AE363" s="940"/>
      <c r="AF363" s="941"/>
      <c r="AG363" s="940"/>
      <c r="AH363" s="940"/>
      <c r="AI363" s="940"/>
      <c r="AJ363" s="940"/>
      <c r="AK363" s="941"/>
      <c r="AL363" s="943"/>
      <c r="AM363" s="940"/>
      <c r="AN363" s="954"/>
      <c r="AO363" s="954"/>
      <c r="AP363" s="954"/>
      <c r="AQ363" s="954"/>
      <c r="AR363" s="954"/>
      <c r="AS363" s="954"/>
      <c r="AT363" s="954"/>
      <c r="AU363" s="954"/>
      <c r="AV363" s="954"/>
      <c r="AW363" s="954"/>
      <c r="AX363" s="954"/>
      <c r="AY363" s="954"/>
      <c r="AZ363" s="1265"/>
      <c r="BA363" s="1265"/>
      <c r="BB363" s="1265"/>
      <c r="BC363" s="1265"/>
      <c r="BD363" s="1265"/>
      <c r="BE363" s="1265"/>
    </row>
    <row r="364" spans="1:57" ht="15.75">
      <c r="A364" s="1614" t="s">
        <v>18</v>
      </c>
      <c r="B364" s="1568">
        <v>46111</v>
      </c>
      <c r="C364" s="1568"/>
      <c r="D364" s="1568" t="s">
        <v>564</v>
      </c>
      <c r="E364" s="1568"/>
      <c r="F364" s="1258"/>
      <c r="G364" s="1568">
        <v>46112</v>
      </c>
      <c r="H364" s="1568"/>
      <c r="I364" s="1568" t="s">
        <v>565</v>
      </c>
      <c r="J364" s="1568"/>
      <c r="K364" s="1258"/>
      <c r="L364" s="1568">
        <v>46113</v>
      </c>
      <c r="M364" s="1568"/>
      <c r="N364" s="1568" t="s">
        <v>566</v>
      </c>
      <c r="O364" s="1568"/>
      <c r="P364" s="1258"/>
      <c r="Q364" s="1568">
        <v>46114</v>
      </c>
      <c r="R364" s="1568"/>
      <c r="S364" s="1568" t="s">
        <v>567</v>
      </c>
      <c r="T364" s="1568"/>
      <c r="U364" s="1258"/>
      <c r="V364" s="1568">
        <v>46115</v>
      </c>
      <c r="W364" s="1568"/>
      <c r="X364" s="1568" t="s">
        <v>568</v>
      </c>
      <c r="Y364" s="1568"/>
      <c r="Z364" s="1613" t="s">
        <v>19</v>
      </c>
      <c r="AA364" s="1613" t="s">
        <v>20</v>
      </c>
      <c r="AB364" s="942"/>
      <c r="AC364" s="1568">
        <v>46116</v>
      </c>
      <c r="AD364" s="1568"/>
      <c r="AE364" s="1259" t="s">
        <v>569</v>
      </c>
      <c r="AF364" s="942"/>
      <c r="AG364" s="1568">
        <v>46117</v>
      </c>
      <c r="AH364" s="1568"/>
      <c r="AI364" s="1259" t="s">
        <v>570</v>
      </c>
      <c r="AJ364" s="1613" t="s">
        <v>1420</v>
      </c>
      <c r="AK364" s="941"/>
      <c r="AL364" s="943"/>
      <c r="AM364" s="940"/>
      <c r="AN364" s="985" t="s">
        <v>84</v>
      </c>
      <c r="AO364" s="986"/>
      <c r="AP364" s="986"/>
      <c r="AQ364" s="986"/>
      <c r="AR364" s="986"/>
      <c r="AS364" s="986"/>
      <c r="AT364" s="986"/>
      <c r="AU364" s="986"/>
      <c r="AV364" s="986"/>
      <c r="AW364" s="986"/>
      <c r="AX364" s="986"/>
      <c r="AY364" s="986"/>
      <c r="AZ364" s="1265"/>
      <c r="BA364" s="1265"/>
      <c r="BB364" s="1265"/>
      <c r="BC364" s="1265"/>
      <c r="BD364" s="1265"/>
      <c r="BE364" s="1265"/>
    </row>
    <row r="365" spans="1:57" ht="16.5" thickBot="1">
      <c r="A365" s="1614"/>
      <c r="B365" s="987" t="s">
        <v>23</v>
      </c>
      <c r="C365" s="987" t="s">
        <v>24</v>
      </c>
      <c r="D365" s="1100" t="s">
        <v>25</v>
      </c>
      <c r="E365" s="989" t="s">
        <v>14</v>
      </c>
      <c r="F365" s="942"/>
      <c r="G365" s="987" t="s">
        <v>23</v>
      </c>
      <c r="H365" s="987" t="s">
        <v>24</v>
      </c>
      <c r="I365" s="989" t="s">
        <v>25</v>
      </c>
      <c r="J365" s="989" t="s">
        <v>14</v>
      </c>
      <c r="K365" s="942"/>
      <c r="L365" s="987" t="s">
        <v>23</v>
      </c>
      <c r="M365" s="987" t="s">
        <v>24</v>
      </c>
      <c r="N365" s="989" t="s">
        <v>25</v>
      </c>
      <c r="O365" s="989" t="s">
        <v>14</v>
      </c>
      <c r="P365" s="942"/>
      <c r="Q365" s="987" t="s">
        <v>23</v>
      </c>
      <c r="R365" s="987" t="s">
        <v>24</v>
      </c>
      <c r="S365" s="989" t="s">
        <v>25</v>
      </c>
      <c r="T365" s="989" t="s">
        <v>14</v>
      </c>
      <c r="U365" s="942"/>
      <c r="V365" s="987" t="s">
        <v>23</v>
      </c>
      <c r="W365" s="987" t="s">
        <v>24</v>
      </c>
      <c r="X365" s="989" t="s">
        <v>25</v>
      </c>
      <c r="Y365" s="989" t="s">
        <v>14</v>
      </c>
      <c r="Z365" s="1613"/>
      <c r="AA365" s="1613"/>
      <c r="AB365" s="942"/>
      <c r="AC365" s="987" t="s">
        <v>23</v>
      </c>
      <c r="AD365" s="987" t="s">
        <v>24</v>
      </c>
      <c r="AE365" s="989" t="s">
        <v>25</v>
      </c>
      <c r="AF365" s="942"/>
      <c r="AG365" s="987" t="s">
        <v>23</v>
      </c>
      <c r="AH365" s="987" t="s">
        <v>24</v>
      </c>
      <c r="AI365" s="989" t="s">
        <v>25</v>
      </c>
      <c r="AJ365" s="1613"/>
      <c r="AK365" s="941"/>
      <c r="AL365" s="943"/>
      <c r="AM365" s="940"/>
      <c r="AN365" s="992" t="s">
        <v>26</v>
      </c>
      <c r="AO365" s="1005">
        <f>Z388</f>
        <v>539.5</v>
      </c>
      <c r="AP365" s="994">
        <v>40.31</v>
      </c>
      <c r="AQ365" s="994">
        <f t="shared" ref="AQ365:AQ371" si="80">AP365*AO365</f>
        <v>21747.245000000003</v>
      </c>
      <c r="AR365" s="954"/>
      <c r="AS365" s="954"/>
      <c r="AT365" s="940"/>
      <c r="AU365" s="1435"/>
      <c r="AV365" s="1435"/>
      <c r="AW365" s="1435"/>
      <c r="AX365" s="1435"/>
      <c r="AY365" s="1435"/>
      <c r="AZ365" s="1265"/>
      <c r="BA365" s="1265"/>
      <c r="BB365" s="1265"/>
      <c r="BC365" s="1265"/>
      <c r="BD365" s="1265"/>
      <c r="BE365" s="1265"/>
    </row>
    <row r="366" spans="1:57" ht="15.75">
      <c r="A366" s="1404" t="s">
        <v>72</v>
      </c>
      <c r="B366" s="1006">
        <v>0.29166666666666669</v>
      </c>
      <c r="C366" s="1006">
        <v>0.125</v>
      </c>
      <c r="D366" s="1071">
        <v>8</v>
      </c>
      <c r="E366" s="1255"/>
      <c r="F366" s="941"/>
      <c r="G366" s="1006">
        <v>0.29166666666666669</v>
      </c>
      <c r="H366" s="1006">
        <v>0.125</v>
      </c>
      <c r="I366" s="1071">
        <v>8</v>
      </c>
      <c r="J366" s="1255"/>
      <c r="K366" s="941"/>
      <c r="L366" s="1006">
        <v>0.29166666666666669</v>
      </c>
      <c r="M366" s="1006">
        <v>0.125</v>
      </c>
      <c r="N366" s="1071">
        <v>8</v>
      </c>
      <c r="O366" s="1255"/>
      <c r="P366" s="941"/>
      <c r="Q366" s="1006">
        <v>0.29166666666666669</v>
      </c>
      <c r="R366" s="1006">
        <v>0.20833333333333334</v>
      </c>
      <c r="S366" s="1071">
        <v>8</v>
      </c>
      <c r="T366" s="1255">
        <v>2</v>
      </c>
      <c r="U366" s="941"/>
      <c r="V366" s="1006">
        <v>0.29166666666666669</v>
      </c>
      <c r="W366" s="1006">
        <v>0.20833333333333334</v>
      </c>
      <c r="X366" s="1071">
        <v>8</v>
      </c>
      <c r="Y366" s="1255">
        <v>2</v>
      </c>
      <c r="Z366" s="1041">
        <f t="shared" ref="Z366:Z385" si="81">D366+I366+N366+S366+X366</f>
        <v>40</v>
      </c>
      <c r="AA366" s="1077">
        <f t="shared" ref="AA366:AA385" si="82">E366+J366+O366+T366+Y366</f>
        <v>4</v>
      </c>
      <c r="AB366" s="941"/>
      <c r="AC366" s="1289"/>
      <c r="AD366" s="1289"/>
      <c r="AE366" s="1071"/>
      <c r="AF366" s="941"/>
      <c r="AG366" s="1289"/>
      <c r="AH366" s="1289"/>
      <c r="AI366" s="1071"/>
      <c r="AJ366" s="1041">
        <f t="shared" ref="AJ366:AJ386" si="83">SUM(AE366+AI366)</f>
        <v>0</v>
      </c>
      <c r="AK366" s="941"/>
      <c r="AL366" s="943"/>
      <c r="AM366" s="940"/>
      <c r="AN366" s="992" t="s">
        <v>1421</v>
      </c>
      <c r="AO366" s="1005">
        <f>Z389</f>
        <v>120</v>
      </c>
      <c r="AP366" s="994">
        <v>60.47</v>
      </c>
      <c r="AQ366" s="994">
        <f t="shared" si="80"/>
        <v>7256.4</v>
      </c>
      <c r="AR366" s="954"/>
      <c r="AS366" s="954"/>
      <c r="AT366" s="940"/>
      <c r="AU366" s="1356"/>
      <c r="AV366" s="1357"/>
      <c r="AW366" s="1357"/>
      <c r="AX366" s="1358"/>
      <c r="AY366" s="1435"/>
      <c r="AZ366" s="1265"/>
      <c r="BA366" s="1265"/>
      <c r="BB366" s="1265"/>
      <c r="BC366" s="1265"/>
      <c r="BD366" s="1265"/>
      <c r="BE366" s="1265"/>
    </row>
    <row r="367" spans="1:57" ht="15.75">
      <c r="A367" s="1405" t="s">
        <v>1426</v>
      </c>
      <c r="B367" s="1006">
        <v>0.29166666666666669</v>
      </c>
      <c r="C367" s="1006">
        <v>0.125</v>
      </c>
      <c r="D367" s="1071">
        <v>8</v>
      </c>
      <c r="E367" s="1255"/>
      <c r="F367" s="941"/>
      <c r="G367" s="1006">
        <v>0.29166666666666669</v>
      </c>
      <c r="H367" s="1006">
        <v>0.125</v>
      </c>
      <c r="I367" s="1071">
        <v>8</v>
      </c>
      <c r="J367" s="1255"/>
      <c r="K367" s="941"/>
      <c r="L367" s="1006">
        <v>0.29166666666666669</v>
      </c>
      <c r="M367" s="1006">
        <v>0.125</v>
      </c>
      <c r="N367" s="1071">
        <v>8</v>
      </c>
      <c r="O367" s="1255"/>
      <c r="P367" s="941"/>
      <c r="Q367" s="1006">
        <v>0.29166666666666669</v>
      </c>
      <c r="R367" s="1006">
        <v>0.125</v>
      </c>
      <c r="S367" s="1071">
        <v>8</v>
      </c>
      <c r="T367" s="1255"/>
      <c r="U367" s="941"/>
      <c r="V367" s="1006">
        <v>0.29166666666666669</v>
      </c>
      <c r="W367" s="1006">
        <v>0.125</v>
      </c>
      <c r="X367" s="1071">
        <v>8</v>
      </c>
      <c r="Y367" s="1255"/>
      <c r="Z367" s="1041">
        <f t="shared" si="81"/>
        <v>40</v>
      </c>
      <c r="AA367" s="1077">
        <f t="shared" si="82"/>
        <v>0</v>
      </c>
      <c r="AB367" s="941"/>
      <c r="AC367" s="1006"/>
      <c r="AD367" s="1006"/>
      <c r="AE367" s="1071"/>
      <c r="AF367" s="941"/>
      <c r="AG367" s="1006"/>
      <c r="AH367" s="1006"/>
      <c r="AI367" s="1071"/>
      <c r="AJ367" s="1041">
        <f t="shared" si="83"/>
        <v>0</v>
      </c>
      <c r="AK367" s="941"/>
      <c r="AL367" s="943"/>
      <c r="AM367" s="940"/>
      <c r="AN367" s="992" t="s">
        <v>30</v>
      </c>
      <c r="AO367" s="1005">
        <f>AA388</f>
        <v>4.5</v>
      </c>
      <c r="AP367" s="994">
        <v>60.465000000000003</v>
      </c>
      <c r="AQ367" s="994">
        <f t="shared" si="80"/>
        <v>272.09250000000003</v>
      </c>
      <c r="AR367" s="954"/>
      <c r="AS367" s="954"/>
      <c r="AT367" s="940"/>
      <c r="AU367" s="1359"/>
      <c r="AV367" s="1365" t="s">
        <v>1483</v>
      </c>
      <c r="AW367" s="1366"/>
      <c r="AX367" s="1360"/>
      <c r="AY367" s="1435"/>
      <c r="AZ367" s="1265"/>
      <c r="BA367" s="1265"/>
      <c r="BB367" s="1265"/>
      <c r="BC367" s="1265"/>
      <c r="BD367" s="1265"/>
      <c r="BE367" s="1265"/>
    </row>
    <row r="368" spans="1:57" ht="15.75">
      <c r="A368" s="1405" t="s">
        <v>1060</v>
      </c>
      <c r="B368" s="1006">
        <v>0.29166666666666669</v>
      </c>
      <c r="C368" s="1006">
        <v>0.125</v>
      </c>
      <c r="D368" s="1071">
        <v>8</v>
      </c>
      <c r="E368" s="1255"/>
      <c r="F368" s="941"/>
      <c r="G368" s="1006">
        <v>0.30208333333333331</v>
      </c>
      <c r="H368" s="1006">
        <v>0.125</v>
      </c>
      <c r="I368" s="1071">
        <v>7.75</v>
      </c>
      <c r="J368" s="1255"/>
      <c r="K368" s="941"/>
      <c r="L368" s="1006">
        <v>0.29166666666666669</v>
      </c>
      <c r="M368" s="1006">
        <v>0.125</v>
      </c>
      <c r="N368" s="1071">
        <v>8</v>
      </c>
      <c r="O368" s="1255"/>
      <c r="P368" s="941"/>
      <c r="Q368" s="1006">
        <v>0.29166666666666669</v>
      </c>
      <c r="R368" s="1006">
        <v>0.125</v>
      </c>
      <c r="S368" s="1071">
        <v>8</v>
      </c>
      <c r="T368" s="1255"/>
      <c r="U368" s="941"/>
      <c r="V368" s="1006">
        <v>0.29166666666666669</v>
      </c>
      <c r="W368" s="1006">
        <v>0.125</v>
      </c>
      <c r="X368" s="1071">
        <v>8</v>
      </c>
      <c r="Y368" s="1255"/>
      <c r="Z368" s="1041">
        <f t="shared" si="81"/>
        <v>39.75</v>
      </c>
      <c r="AA368" s="1077">
        <f t="shared" si="82"/>
        <v>0</v>
      </c>
      <c r="AB368" s="941"/>
      <c r="AC368" s="1006"/>
      <c r="AD368" s="1006"/>
      <c r="AE368" s="1071"/>
      <c r="AF368" s="941"/>
      <c r="AG368" s="1006"/>
      <c r="AH368" s="1006"/>
      <c r="AI368" s="1071"/>
      <c r="AJ368" s="1041">
        <f t="shared" si="83"/>
        <v>0</v>
      </c>
      <c r="AK368" s="941"/>
      <c r="AL368" s="943"/>
      <c r="AM368" s="940"/>
      <c r="AN368" s="992" t="s">
        <v>32</v>
      </c>
      <c r="AO368" s="1005">
        <f>AJ388</f>
        <v>9.5</v>
      </c>
      <c r="AP368" s="994">
        <v>60.465000000000003</v>
      </c>
      <c r="AQ368" s="994">
        <f t="shared" si="80"/>
        <v>574.41750000000002</v>
      </c>
      <c r="AR368" s="954"/>
      <c r="AS368" s="954"/>
      <c r="AT368" s="940"/>
      <c r="AU368" s="1361"/>
      <c r="AV368" s="1367" t="s">
        <v>1484</v>
      </c>
      <c r="AW368" s="1368"/>
      <c r="AX368" s="1360"/>
      <c r="AY368" s="1435"/>
      <c r="AZ368" s="1265"/>
      <c r="BA368" s="1265"/>
      <c r="BB368" s="1265"/>
      <c r="BC368" s="1265"/>
      <c r="BD368" s="1265"/>
      <c r="BE368" s="1265"/>
    </row>
    <row r="369" spans="1:57" ht="15.75">
      <c r="A369" s="1406" t="s">
        <v>1438</v>
      </c>
      <c r="B369" s="1006">
        <v>0.33333333333333331</v>
      </c>
      <c r="C369" s="1006"/>
      <c r="D369" s="1071">
        <v>7.75</v>
      </c>
      <c r="E369" s="1255"/>
      <c r="F369" s="941"/>
      <c r="G369" s="1006">
        <v>0.29166666666666669</v>
      </c>
      <c r="H369" s="1006">
        <v>0.125</v>
      </c>
      <c r="I369" s="1071">
        <v>8</v>
      </c>
      <c r="J369" s="1255"/>
      <c r="K369" s="941"/>
      <c r="L369" s="1006">
        <v>0.29166666666666669</v>
      </c>
      <c r="M369" s="1006">
        <v>0.125</v>
      </c>
      <c r="N369" s="1071">
        <v>8</v>
      </c>
      <c r="O369" s="1255"/>
      <c r="P369" s="941"/>
      <c r="Q369" s="1006">
        <v>0.29166666666666669</v>
      </c>
      <c r="R369" s="1006">
        <v>0.125</v>
      </c>
      <c r="S369" s="1071">
        <v>8</v>
      </c>
      <c r="T369" s="1255"/>
      <c r="U369" s="941"/>
      <c r="V369" s="1006">
        <v>0.29166666666666669</v>
      </c>
      <c r="W369" s="1006">
        <v>0.125</v>
      </c>
      <c r="X369" s="1071">
        <v>8</v>
      </c>
      <c r="Y369" s="1255"/>
      <c r="Z369" s="1041">
        <f t="shared" si="81"/>
        <v>39.75</v>
      </c>
      <c r="AA369" s="1077">
        <f t="shared" si="82"/>
        <v>0</v>
      </c>
      <c r="AB369" s="941"/>
      <c r="AC369" s="1006"/>
      <c r="AD369" s="1006"/>
      <c r="AE369" s="1071"/>
      <c r="AF369" s="941"/>
      <c r="AG369" s="1006"/>
      <c r="AH369" s="1006"/>
      <c r="AI369" s="1071"/>
      <c r="AJ369" s="1041">
        <f t="shared" si="83"/>
        <v>0</v>
      </c>
      <c r="AK369" s="941"/>
      <c r="AL369" s="943"/>
      <c r="AM369" s="940"/>
      <c r="AN369" s="1260" t="s">
        <v>1475</v>
      </c>
      <c r="AO369" s="1261">
        <f>AA389+AJ389</f>
        <v>15</v>
      </c>
      <c r="AP369" s="1262">
        <f>(60.47*1.5)</f>
        <v>90.704999999999998</v>
      </c>
      <c r="AQ369" s="1262">
        <f t="shared" si="80"/>
        <v>1360.575</v>
      </c>
      <c r="AR369" s="954"/>
      <c r="AS369" s="954"/>
      <c r="AT369" s="940"/>
      <c r="AU369" s="1361"/>
      <c r="AV369" s="1371" t="s">
        <v>26</v>
      </c>
      <c r="AW369" s="1413"/>
      <c r="AX369" s="1360"/>
      <c r="AY369" s="1435"/>
      <c r="AZ369" s="1265"/>
      <c r="BA369" s="1265"/>
      <c r="BB369" s="1265"/>
      <c r="BC369" s="1265"/>
      <c r="BD369" s="1265"/>
      <c r="BE369" s="1265"/>
    </row>
    <row r="370" spans="1:57" ht="15.75">
      <c r="A370" s="1407" t="s">
        <v>1142</v>
      </c>
      <c r="B370" s="1006">
        <v>0.125</v>
      </c>
      <c r="C370" s="1006">
        <v>0.45833333333333331</v>
      </c>
      <c r="D370" s="1071">
        <v>8</v>
      </c>
      <c r="E370" s="1255"/>
      <c r="F370" s="941"/>
      <c r="G370" s="1006">
        <v>0.125</v>
      </c>
      <c r="H370" s="1006">
        <v>0.20833333333333334</v>
      </c>
      <c r="I370" s="1071">
        <v>6.5</v>
      </c>
      <c r="J370" s="1255"/>
      <c r="K370" s="1013"/>
      <c r="L370" s="1006"/>
      <c r="M370" s="1006"/>
      <c r="N370" s="1071">
        <v>0</v>
      </c>
      <c r="O370" s="1255"/>
      <c r="P370" s="1013"/>
      <c r="Q370" s="1006"/>
      <c r="R370" s="1006"/>
      <c r="S370" s="1071">
        <v>0</v>
      </c>
      <c r="T370" s="1255"/>
      <c r="U370" s="1013"/>
      <c r="V370" s="1006"/>
      <c r="W370" s="1006"/>
      <c r="X370" s="1071">
        <v>0</v>
      </c>
      <c r="Y370" s="1255"/>
      <c r="Z370" s="1041">
        <f t="shared" si="81"/>
        <v>14.5</v>
      </c>
      <c r="AA370" s="1077">
        <f t="shared" si="82"/>
        <v>0</v>
      </c>
      <c r="AB370" s="941"/>
      <c r="AC370" s="1006"/>
      <c r="AD370" s="1006"/>
      <c r="AE370" s="1071"/>
      <c r="AF370" s="941"/>
      <c r="AG370" s="1006"/>
      <c r="AH370" s="1006"/>
      <c r="AI370" s="1071"/>
      <c r="AJ370" s="1041">
        <f t="shared" si="83"/>
        <v>0</v>
      </c>
      <c r="AK370" s="941"/>
      <c r="AL370" s="943"/>
      <c r="AM370" s="940"/>
      <c r="AN370" s="992" t="s">
        <v>213</v>
      </c>
      <c r="AO370" s="1005">
        <f>Z390</f>
        <v>40</v>
      </c>
      <c r="AP370" s="994">
        <v>53.05</v>
      </c>
      <c r="AQ370" s="994">
        <f t="shared" si="80"/>
        <v>2122</v>
      </c>
      <c r="AR370" s="954"/>
      <c r="AS370" s="954"/>
      <c r="AT370" s="940"/>
      <c r="AU370" s="1361"/>
      <c r="AV370" s="1377" t="s">
        <v>1421</v>
      </c>
      <c r="AW370" s="1409"/>
      <c r="AX370" s="1360"/>
      <c r="AY370" s="1435"/>
      <c r="AZ370" s="1265"/>
      <c r="BA370" s="1265"/>
      <c r="BB370" s="1265"/>
      <c r="BC370" s="1265"/>
      <c r="BD370" s="1265"/>
      <c r="BE370" s="1265"/>
    </row>
    <row r="371" spans="1:57" ht="16.5" thickBot="1">
      <c r="A371" s="1407" t="s">
        <v>327</v>
      </c>
      <c r="B371" s="1006">
        <v>0.125</v>
      </c>
      <c r="C371" s="1006">
        <v>0.45833333333333331</v>
      </c>
      <c r="D371" s="1071">
        <v>8</v>
      </c>
      <c r="E371" s="1255"/>
      <c r="F371" s="1013"/>
      <c r="G371" s="1006">
        <v>0.125</v>
      </c>
      <c r="H371" s="1006">
        <v>0.45833333333333331</v>
      </c>
      <c r="I371" s="1071">
        <v>8</v>
      </c>
      <c r="J371" s="1255"/>
      <c r="K371" s="1013"/>
      <c r="L371" s="1006">
        <v>0.125</v>
      </c>
      <c r="M371" s="1006">
        <v>0.47916666666666669</v>
      </c>
      <c r="N371" s="1071">
        <v>8</v>
      </c>
      <c r="O371" s="1255">
        <v>0.5</v>
      </c>
      <c r="P371" s="1013"/>
      <c r="Q371" s="1006">
        <v>0.125</v>
      </c>
      <c r="R371" s="1006">
        <v>0.45833333333333331</v>
      </c>
      <c r="S371" s="1071">
        <v>8</v>
      </c>
      <c r="T371" s="1255"/>
      <c r="U371" s="1013"/>
      <c r="V371" s="1006">
        <v>0.125</v>
      </c>
      <c r="W371" s="1006">
        <v>0.45833333333333331</v>
      </c>
      <c r="X371" s="1071">
        <v>8</v>
      </c>
      <c r="Y371" s="1255"/>
      <c r="Z371" s="1041">
        <f t="shared" si="81"/>
        <v>40</v>
      </c>
      <c r="AA371" s="1077">
        <f t="shared" si="82"/>
        <v>0.5</v>
      </c>
      <c r="AB371" s="941"/>
      <c r="AC371" s="1006"/>
      <c r="AD371" s="1006"/>
      <c r="AE371" s="1071"/>
      <c r="AF371" s="941"/>
      <c r="AG371" s="1006"/>
      <c r="AH371" s="1006"/>
      <c r="AI371" s="1071"/>
      <c r="AJ371" s="1041">
        <f t="shared" si="83"/>
        <v>0</v>
      </c>
      <c r="AK371" s="941"/>
      <c r="AL371" s="943"/>
      <c r="AM371" s="940"/>
      <c r="AN371" s="992" t="s">
        <v>36</v>
      </c>
      <c r="AO371" s="1005">
        <f>AA390+AJ390</f>
        <v>11</v>
      </c>
      <c r="AP371" s="994">
        <f>53.05*1.5</f>
        <v>79.574999999999989</v>
      </c>
      <c r="AQ371" s="994">
        <f t="shared" si="80"/>
        <v>875.32499999999982</v>
      </c>
      <c r="AR371" s="954"/>
      <c r="AS371" s="954"/>
      <c r="AT371" s="940"/>
      <c r="AU371" s="1410"/>
      <c r="AV371" s="1411"/>
      <c r="AW371" s="1412"/>
      <c r="AX371" s="1364"/>
      <c r="AY371" s="1435"/>
      <c r="AZ371" s="1265"/>
      <c r="BA371" s="1265"/>
      <c r="BB371" s="1265"/>
      <c r="BC371" s="1265"/>
      <c r="BD371" s="1265"/>
      <c r="BE371" s="1265"/>
    </row>
    <row r="372" spans="1:57" ht="15.75">
      <c r="A372" s="1405" t="s">
        <v>1436</v>
      </c>
      <c r="B372" s="1006">
        <v>0.125</v>
      </c>
      <c r="C372" s="1006">
        <v>0.45833333333333331</v>
      </c>
      <c r="D372" s="1071">
        <v>8</v>
      </c>
      <c r="E372" s="1255"/>
      <c r="F372" s="1013"/>
      <c r="G372" s="1006">
        <v>0.125</v>
      </c>
      <c r="H372" s="1006">
        <v>0.45833333333333331</v>
      </c>
      <c r="I372" s="1071">
        <v>8</v>
      </c>
      <c r="J372" s="1255"/>
      <c r="K372" s="1013"/>
      <c r="L372" s="1006"/>
      <c r="M372" s="1006"/>
      <c r="N372" s="1071">
        <v>0</v>
      </c>
      <c r="O372" s="1255"/>
      <c r="P372" s="1013"/>
      <c r="Q372" s="1006">
        <v>0.125</v>
      </c>
      <c r="R372" s="1006">
        <v>0.45833333333333331</v>
      </c>
      <c r="S372" s="1071">
        <v>8</v>
      </c>
      <c r="T372" s="1255"/>
      <c r="U372" s="1013"/>
      <c r="V372" s="1006">
        <v>0.19791666666666666</v>
      </c>
      <c r="W372" s="1006">
        <v>0.45833333333333331</v>
      </c>
      <c r="X372" s="1071">
        <v>6.25</v>
      </c>
      <c r="Y372" s="1255"/>
      <c r="Z372" s="1041">
        <f t="shared" si="81"/>
        <v>30.25</v>
      </c>
      <c r="AA372" s="1077">
        <f t="shared" si="82"/>
        <v>0</v>
      </c>
      <c r="AB372" s="941"/>
      <c r="AC372" s="1006"/>
      <c r="AD372" s="1006"/>
      <c r="AE372" s="1071"/>
      <c r="AF372" s="941"/>
      <c r="AG372" s="1006"/>
      <c r="AH372" s="1006"/>
      <c r="AI372" s="1071"/>
      <c r="AJ372" s="1041">
        <f t="shared" si="83"/>
        <v>0</v>
      </c>
      <c r="AK372" s="941"/>
      <c r="AL372" s="943"/>
      <c r="AM372" s="940"/>
      <c r="AN372" s="954"/>
      <c r="AO372" s="954"/>
      <c r="AP372" s="954"/>
      <c r="AQ372" s="1094">
        <f>SUM(AQ365:AQ371)</f>
        <v>34208.055</v>
      </c>
      <c r="AR372" s="954"/>
      <c r="AS372" s="954"/>
      <c r="AT372" s="940"/>
      <c r="AU372" s="940"/>
      <c r="AV372" s="1009"/>
      <c r="AW372" s="1027"/>
      <c r="AX372" s="1265"/>
      <c r="AY372" s="1435"/>
      <c r="AZ372" s="1265"/>
      <c r="BA372" s="1265"/>
      <c r="BB372" s="1265"/>
      <c r="BC372" s="1265"/>
      <c r="BD372" s="1265"/>
      <c r="BE372" s="1265"/>
    </row>
    <row r="373" spans="1:57" ht="15.75">
      <c r="A373" s="1405" t="s">
        <v>1140</v>
      </c>
      <c r="B373" s="1006">
        <v>0.125</v>
      </c>
      <c r="C373" s="1006">
        <v>0.45833333333333331</v>
      </c>
      <c r="D373" s="1071">
        <v>8</v>
      </c>
      <c r="E373" s="1255"/>
      <c r="F373" s="941"/>
      <c r="G373" s="1006">
        <v>0.125</v>
      </c>
      <c r="H373" s="1006">
        <v>0.45833333333333331</v>
      </c>
      <c r="I373" s="1071">
        <v>8</v>
      </c>
      <c r="J373" s="1255"/>
      <c r="K373" s="941"/>
      <c r="L373" s="1006">
        <v>0.125</v>
      </c>
      <c r="M373" s="1006">
        <v>0.45833333333333331</v>
      </c>
      <c r="N373" s="1071">
        <v>8</v>
      </c>
      <c r="O373" s="1255"/>
      <c r="P373" s="941"/>
      <c r="Q373" s="1006">
        <v>0.125</v>
      </c>
      <c r="R373" s="1006">
        <v>0.45833333333333331</v>
      </c>
      <c r="S373" s="1071">
        <v>8</v>
      </c>
      <c r="T373" s="1255"/>
      <c r="U373" s="941"/>
      <c r="V373" s="1006">
        <v>0.125</v>
      </c>
      <c r="W373" s="1006">
        <v>0.45833333333333331</v>
      </c>
      <c r="X373" s="1071">
        <v>8</v>
      </c>
      <c r="Y373" s="1255"/>
      <c r="Z373" s="1041">
        <f t="shared" si="81"/>
        <v>40</v>
      </c>
      <c r="AA373" s="1077">
        <f t="shared" si="82"/>
        <v>0</v>
      </c>
      <c r="AB373" s="941"/>
      <c r="AC373" s="1006"/>
      <c r="AD373" s="1006"/>
      <c r="AE373" s="1071"/>
      <c r="AF373" s="941"/>
      <c r="AG373" s="1006"/>
      <c r="AH373" s="1006"/>
      <c r="AI373" s="1071"/>
      <c r="AJ373" s="1041">
        <f t="shared" si="83"/>
        <v>0</v>
      </c>
      <c r="AK373" s="941"/>
      <c r="AL373" s="943"/>
      <c r="AM373" s="940"/>
      <c r="AN373" s="954"/>
      <c r="AO373" s="954"/>
      <c r="AP373" s="954"/>
      <c r="AQ373" s="954"/>
      <c r="AR373" s="954"/>
      <c r="AS373" s="954"/>
      <c r="AT373" s="940"/>
      <c r="AU373" s="940"/>
      <c r="AV373" s="1027"/>
      <c r="AW373" s="1027"/>
      <c r="AX373" s="1265"/>
      <c r="AY373" s="1435"/>
      <c r="AZ373" s="1265"/>
      <c r="BA373" s="1265"/>
      <c r="BB373" s="1265"/>
      <c r="BC373" s="1265"/>
      <c r="BD373" s="1265"/>
      <c r="BE373" s="1265"/>
    </row>
    <row r="374" spans="1:57" ht="15.75">
      <c r="A374" s="1405" t="s">
        <v>1479</v>
      </c>
      <c r="B374" s="1006">
        <v>0.29166666666666669</v>
      </c>
      <c r="C374" s="1006">
        <v>4.1666666666666664E-2</v>
      </c>
      <c r="D374" s="1071">
        <v>5.5</v>
      </c>
      <c r="E374" s="1255"/>
      <c r="F374" s="1013"/>
      <c r="G374" s="1006">
        <v>0.125</v>
      </c>
      <c r="H374" s="1006">
        <v>0.41666666666666669</v>
      </c>
      <c r="I374" s="1071">
        <v>6.5</v>
      </c>
      <c r="J374" s="1255"/>
      <c r="K374" s="1013"/>
      <c r="L374" s="1006"/>
      <c r="M374" s="1006"/>
      <c r="N374" s="1071">
        <v>0</v>
      </c>
      <c r="O374" s="1255"/>
      <c r="P374" s="1013"/>
      <c r="Q374" s="1006">
        <v>0.29166666666666669</v>
      </c>
      <c r="R374" s="1006">
        <v>0.125</v>
      </c>
      <c r="S374" s="1071">
        <v>7</v>
      </c>
      <c r="T374" s="1255"/>
      <c r="U374" s="1013"/>
      <c r="V374" s="1006">
        <v>0.29166666666666669</v>
      </c>
      <c r="W374" s="1006">
        <v>0.16666666666666666</v>
      </c>
      <c r="X374" s="1071">
        <v>8</v>
      </c>
      <c r="Y374" s="1255"/>
      <c r="Z374" s="1041">
        <f t="shared" si="81"/>
        <v>27</v>
      </c>
      <c r="AA374" s="1077">
        <f t="shared" si="82"/>
        <v>0</v>
      </c>
      <c r="AB374" s="941"/>
      <c r="AC374" s="1006">
        <v>0.29166666666666669</v>
      </c>
      <c r="AD374" s="1006">
        <v>0.22916666666666666</v>
      </c>
      <c r="AE374" s="1071">
        <v>9.5</v>
      </c>
      <c r="AF374" s="941"/>
      <c r="AG374" s="1006"/>
      <c r="AH374" s="1006"/>
      <c r="AI374" s="1071"/>
      <c r="AJ374" s="1041">
        <f t="shared" si="83"/>
        <v>9.5</v>
      </c>
      <c r="AK374" s="941"/>
      <c r="AL374" s="943"/>
      <c r="AM374" s="940"/>
      <c r="AN374" s="954"/>
      <c r="AO374" s="954"/>
      <c r="AP374" s="954"/>
      <c r="AQ374" s="954"/>
      <c r="AR374" s="954"/>
      <c r="AS374" s="954"/>
      <c r="AT374" s="940"/>
      <c r="AU374" s="940"/>
      <c r="AV374" s="1265"/>
      <c r="AW374" s="1265"/>
      <c r="AX374" s="1265"/>
      <c r="AY374" s="1435"/>
      <c r="AZ374" s="1265"/>
      <c r="BA374" s="1265"/>
      <c r="BB374" s="1265"/>
      <c r="BC374" s="1265"/>
      <c r="BD374" s="1265"/>
      <c r="BE374" s="1265"/>
    </row>
    <row r="375" spans="1:57" ht="15.75">
      <c r="A375" s="1405" t="s">
        <v>1143</v>
      </c>
      <c r="B375" s="1006"/>
      <c r="C375" s="1006"/>
      <c r="D375" s="1071">
        <v>0</v>
      </c>
      <c r="E375" s="1255"/>
      <c r="F375" s="1013"/>
      <c r="G375" s="1006"/>
      <c r="H375" s="1006"/>
      <c r="I375" s="1071">
        <v>0</v>
      </c>
      <c r="J375" s="1255"/>
      <c r="K375" s="1013"/>
      <c r="L375" s="1006"/>
      <c r="M375" s="1006"/>
      <c r="N375" s="1071">
        <v>0</v>
      </c>
      <c r="O375" s="1255"/>
      <c r="P375" s="1013"/>
      <c r="Q375" s="1006"/>
      <c r="R375" s="1006"/>
      <c r="S375" s="1071">
        <v>0</v>
      </c>
      <c r="T375" s="1255"/>
      <c r="U375" s="1013"/>
      <c r="V375" s="1006"/>
      <c r="W375" s="1006"/>
      <c r="X375" s="1071">
        <v>0</v>
      </c>
      <c r="Y375" s="1255"/>
      <c r="Z375" s="1041">
        <f t="shared" si="81"/>
        <v>0</v>
      </c>
      <c r="AA375" s="1077">
        <f t="shared" si="82"/>
        <v>0</v>
      </c>
      <c r="AB375" s="941"/>
      <c r="AC375" s="1006"/>
      <c r="AD375" s="1006"/>
      <c r="AE375" s="1071"/>
      <c r="AF375" s="941"/>
      <c r="AG375" s="1006"/>
      <c r="AH375" s="1006"/>
      <c r="AI375" s="1071"/>
      <c r="AJ375" s="1041">
        <f t="shared" si="83"/>
        <v>0</v>
      </c>
      <c r="AK375" s="941"/>
      <c r="AL375" s="943"/>
      <c r="AM375" s="940"/>
      <c r="AN375" s="954"/>
      <c r="AO375" s="954"/>
      <c r="AP375" s="954"/>
      <c r="AQ375" s="954"/>
      <c r="AR375" s="954"/>
      <c r="AS375" s="954"/>
      <c r="AT375" s="940"/>
      <c r="AU375" s="1265"/>
      <c r="AV375" s="1265"/>
      <c r="AW375" s="1265"/>
      <c r="AX375" s="1265"/>
      <c r="AY375" s="1435"/>
      <c r="AZ375" s="1265"/>
      <c r="BA375" s="1265"/>
      <c r="BB375" s="1265"/>
      <c r="BC375" s="1265"/>
      <c r="BD375" s="1265"/>
      <c r="BE375" s="1265"/>
    </row>
    <row r="376" spans="1:57" ht="15.75">
      <c r="A376" s="1405" t="s">
        <v>813</v>
      </c>
      <c r="B376" s="1006"/>
      <c r="C376" s="1006"/>
      <c r="D376" s="1071">
        <v>4</v>
      </c>
      <c r="E376" s="1255"/>
      <c r="F376" s="941"/>
      <c r="G376" s="1006"/>
      <c r="H376" s="1006"/>
      <c r="I376" s="1071">
        <v>4</v>
      </c>
      <c r="J376" s="1255"/>
      <c r="K376" s="941"/>
      <c r="L376" s="1006"/>
      <c r="M376" s="1006"/>
      <c r="N376" s="1071">
        <v>4</v>
      </c>
      <c r="O376" s="1255"/>
      <c r="P376" s="941"/>
      <c r="Q376" s="1006"/>
      <c r="R376" s="1006"/>
      <c r="S376" s="1071">
        <v>4</v>
      </c>
      <c r="T376" s="1255"/>
      <c r="U376" s="941"/>
      <c r="V376" s="1006"/>
      <c r="W376" s="1006"/>
      <c r="X376" s="1071">
        <v>4</v>
      </c>
      <c r="Y376" s="1255"/>
      <c r="Z376" s="1041">
        <f t="shared" si="81"/>
        <v>20</v>
      </c>
      <c r="AA376" s="1077">
        <f t="shared" si="82"/>
        <v>0</v>
      </c>
      <c r="AB376" s="941"/>
      <c r="AC376" s="1006"/>
      <c r="AD376" s="1006"/>
      <c r="AE376" s="1071"/>
      <c r="AF376" s="941"/>
      <c r="AG376" s="1006"/>
      <c r="AH376" s="1006"/>
      <c r="AI376" s="1071"/>
      <c r="AJ376" s="1041">
        <f t="shared" si="83"/>
        <v>0</v>
      </c>
      <c r="AK376" s="941"/>
      <c r="AL376" s="943"/>
      <c r="AM376" s="940"/>
      <c r="AN376" s="992"/>
      <c r="AO376" s="1005"/>
      <c r="AP376" s="994"/>
      <c r="AQ376" s="994"/>
      <c r="AR376" s="954"/>
      <c r="AS376" s="954"/>
      <c r="AT376" s="940"/>
      <c r="AU376" s="1435"/>
      <c r="AV376" s="1435"/>
      <c r="AW376" s="1435"/>
      <c r="AX376" s="1435"/>
      <c r="AY376" s="1435"/>
      <c r="AZ376" s="1265"/>
      <c r="BA376" s="1265"/>
      <c r="BB376" s="1265"/>
      <c r="BC376" s="1265"/>
      <c r="BD376" s="1265"/>
      <c r="BE376" s="1265"/>
    </row>
    <row r="377" spans="1:57" ht="15.75">
      <c r="A377" s="1405" t="s">
        <v>1431</v>
      </c>
      <c r="B377" s="1006"/>
      <c r="C377" s="1006"/>
      <c r="D377" s="1071">
        <v>4</v>
      </c>
      <c r="E377" s="1255"/>
      <c r="F377" s="941"/>
      <c r="G377" s="1006"/>
      <c r="H377" s="1006"/>
      <c r="I377" s="1071">
        <v>4</v>
      </c>
      <c r="J377" s="1255"/>
      <c r="K377" s="941"/>
      <c r="L377" s="1006"/>
      <c r="M377" s="1006"/>
      <c r="N377" s="1071">
        <v>4</v>
      </c>
      <c r="O377" s="1255"/>
      <c r="P377" s="941"/>
      <c r="Q377" s="1006"/>
      <c r="R377" s="1006"/>
      <c r="S377" s="1071">
        <v>4</v>
      </c>
      <c r="T377" s="1255"/>
      <c r="U377" s="941"/>
      <c r="V377" s="1006"/>
      <c r="W377" s="1006"/>
      <c r="X377" s="1071">
        <v>4</v>
      </c>
      <c r="Y377" s="1255"/>
      <c r="Z377" s="1041">
        <f t="shared" si="81"/>
        <v>20</v>
      </c>
      <c r="AA377" s="1077">
        <f t="shared" si="82"/>
        <v>0</v>
      </c>
      <c r="AB377" s="941"/>
      <c r="AC377" s="1006"/>
      <c r="AD377" s="1006"/>
      <c r="AE377" s="1071"/>
      <c r="AF377" s="941"/>
      <c r="AG377" s="1006"/>
      <c r="AH377" s="1006"/>
      <c r="AI377" s="1071"/>
      <c r="AJ377" s="1041">
        <f t="shared" si="83"/>
        <v>0</v>
      </c>
      <c r="AK377" s="941"/>
      <c r="AL377" s="943"/>
      <c r="AM377" s="940"/>
      <c r="AN377" s="954"/>
      <c r="AO377" s="954"/>
      <c r="AP377" s="954"/>
      <c r="AQ377" s="954"/>
      <c r="AR377" s="954"/>
      <c r="AS377" s="954"/>
      <c r="AT377" s="940"/>
      <c r="AU377" s="1435"/>
      <c r="AV377" s="1435"/>
      <c r="AW377" s="1435"/>
      <c r="AX377" s="1435"/>
      <c r="AY377" s="1435"/>
      <c r="AZ377" s="1265"/>
      <c r="BA377" s="1265"/>
      <c r="BB377" s="1265"/>
      <c r="BC377" s="1265"/>
      <c r="BD377" s="1265"/>
      <c r="BE377" s="1265"/>
    </row>
    <row r="378" spans="1:57" ht="15.75">
      <c r="A378" s="1408" t="s">
        <v>1482</v>
      </c>
      <c r="B378" s="1398">
        <v>0.29166666666666669</v>
      </c>
      <c r="C378" s="1398">
        <v>0.125</v>
      </c>
      <c r="D378" s="1396">
        <v>8</v>
      </c>
      <c r="E378" s="1396"/>
      <c r="F378" s="1399"/>
      <c r="G378" s="1398">
        <v>0.29166666666666669</v>
      </c>
      <c r="H378" s="1398">
        <v>0.125</v>
      </c>
      <c r="I378" s="1396">
        <v>8</v>
      </c>
      <c r="J378" s="1396"/>
      <c r="K378" s="1399"/>
      <c r="L378" s="1398">
        <v>0.29166666666666669</v>
      </c>
      <c r="M378" s="1398">
        <v>0.125</v>
      </c>
      <c r="N378" s="1396">
        <v>8</v>
      </c>
      <c r="O378" s="1396"/>
      <c r="P378" s="1399"/>
      <c r="Q378" s="1398">
        <v>0.29166666666666669</v>
      </c>
      <c r="R378" s="1398">
        <v>0.125</v>
      </c>
      <c r="S378" s="1396">
        <v>8</v>
      </c>
      <c r="T378" s="1396"/>
      <c r="U378" s="1399"/>
      <c r="V378" s="1398">
        <v>0.29166666666666669</v>
      </c>
      <c r="W378" s="1398">
        <v>0.125</v>
      </c>
      <c r="X378" s="1396">
        <v>8</v>
      </c>
      <c r="Y378" s="1255"/>
      <c r="Z378" s="1041">
        <f t="shared" ref="Z378" si="84">D378+I378+N378+S378+X378</f>
        <v>40</v>
      </c>
      <c r="AA378" s="1077">
        <f t="shared" ref="AA378" si="85">E378+J378+O378+T378+Y378</f>
        <v>0</v>
      </c>
      <c r="AB378" s="941"/>
      <c r="AC378" s="1006"/>
      <c r="AD378" s="1006"/>
      <c r="AE378" s="1071"/>
      <c r="AF378" s="941"/>
      <c r="AG378" s="1006"/>
      <c r="AH378" s="1006"/>
      <c r="AI378" s="1071"/>
      <c r="AJ378" s="1041">
        <f t="shared" ref="AJ378" si="86">SUM(AE378+AI378)</f>
        <v>0</v>
      </c>
      <c r="AK378" s="941"/>
      <c r="AL378" s="943"/>
      <c r="AM378" s="940"/>
      <c r="AN378" s="992"/>
      <c r="AO378" s="1005"/>
      <c r="AP378" s="994"/>
      <c r="AQ378" s="994"/>
      <c r="AR378" s="954"/>
      <c r="AS378" s="954"/>
      <c r="AT378" s="940"/>
      <c r="AU378" s="1435"/>
      <c r="AV378" s="1435"/>
      <c r="AW378" s="1435"/>
      <c r="AX378" s="1435"/>
      <c r="AY378" s="1435"/>
      <c r="AZ378" s="1265"/>
      <c r="BA378" s="1265"/>
      <c r="BB378" s="1265"/>
      <c r="BC378" s="1265"/>
      <c r="BD378" s="1265"/>
      <c r="BE378" s="1265"/>
    </row>
    <row r="379" spans="1:57" ht="15.75">
      <c r="A379" s="1408" t="s">
        <v>1145</v>
      </c>
      <c r="B379" s="1398"/>
      <c r="C379" s="1398"/>
      <c r="D379" s="1396">
        <v>0</v>
      </c>
      <c r="E379" s="1396"/>
      <c r="F379" s="1399"/>
      <c r="G379" s="1398"/>
      <c r="H379" s="1398"/>
      <c r="I379" s="1396">
        <v>0</v>
      </c>
      <c r="J379" s="1396"/>
      <c r="K379" s="1396"/>
      <c r="L379" s="1398"/>
      <c r="M379" s="1398"/>
      <c r="N379" s="1396">
        <v>0</v>
      </c>
      <c r="O379" s="1396"/>
      <c r="P379" s="1396"/>
      <c r="Q379" s="1398">
        <v>0.45833333333333331</v>
      </c>
      <c r="R379" s="1398">
        <v>0.17708333333333334</v>
      </c>
      <c r="S379" s="1396">
        <v>4.75</v>
      </c>
      <c r="T379" s="1396"/>
      <c r="U379" s="1396"/>
      <c r="V379" s="1398">
        <v>0.29166666666666669</v>
      </c>
      <c r="W379" s="1398">
        <v>0.5</v>
      </c>
      <c r="X379" s="1396">
        <v>5</v>
      </c>
      <c r="Y379" s="1255"/>
      <c r="Z379" s="1041">
        <f t="shared" ref="Z379" si="87">D379+I379+N379+S379+X379</f>
        <v>9.75</v>
      </c>
      <c r="AA379" s="1077">
        <f t="shared" ref="AA379" si="88">E379+J379+O379+T379+Y379</f>
        <v>0</v>
      </c>
      <c r="AB379" s="941"/>
      <c r="AC379" s="1006"/>
      <c r="AD379" s="1006"/>
      <c r="AE379" s="1071"/>
      <c r="AF379" s="941"/>
      <c r="AG379" s="1006"/>
      <c r="AH379" s="1006"/>
      <c r="AI379" s="1071"/>
      <c r="AJ379" s="1041">
        <f t="shared" ref="AJ379:AJ384" si="89">SUM(AE379+AI379)</f>
        <v>0</v>
      </c>
      <c r="AK379" s="941"/>
      <c r="AL379" s="943"/>
      <c r="AM379" s="940"/>
      <c r="AN379" s="992"/>
      <c r="AO379" s="1005"/>
      <c r="AP379" s="994"/>
      <c r="AQ379" s="994"/>
      <c r="AR379" s="954"/>
      <c r="AS379" s="954"/>
      <c r="AT379" s="940"/>
      <c r="AU379" s="1435"/>
      <c r="AV379" s="1435"/>
      <c r="AW379" s="1435"/>
      <c r="AX379" s="1435"/>
      <c r="AY379" s="1435"/>
      <c r="AZ379" s="1265"/>
      <c r="BA379" s="1265"/>
      <c r="BB379" s="1265"/>
      <c r="BC379" s="1265"/>
      <c r="BD379" s="1265"/>
      <c r="BE379" s="1265"/>
    </row>
    <row r="380" spans="1:57" ht="15.75">
      <c r="A380" s="1408" t="s">
        <v>1447</v>
      </c>
      <c r="B380" s="1398">
        <v>0.125</v>
      </c>
      <c r="C380" s="1398">
        <v>0.45833333333333331</v>
      </c>
      <c r="D380" s="1396">
        <v>8</v>
      </c>
      <c r="E380" s="1396"/>
      <c r="F380" s="1399"/>
      <c r="G380" s="1398">
        <v>0.125</v>
      </c>
      <c r="H380" s="1398">
        <v>0.45833333333333331</v>
      </c>
      <c r="I380" s="1396">
        <v>8</v>
      </c>
      <c r="J380" s="1396"/>
      <c r="K380" s="1396"/>
      <c r="L380" s="1400" t="s">
        <v>29</v>
      </c>
      <c r="M380" s="1400" t="s">
        <v>29</v>
      </c>
      <c r="N380" s="1396">
        <v>8</v>
      </c>
      <c r="O380" s="1396"/>
      <c r="P380" s="1396"/>
      <c r="Q380" s="1398">
        <v>0.125</v>
      </c>
      <c r="R380" s="1398">
        <v>0.45833333333333331</v>
      </c>
      <c r="S380" s="1396">
        <v>8</v>
      </c>
      <c r="T380" s="1396"/>
      <c r="U380" s="1396"/>
      <c r="V380" s="1398">
        <v>0.125</v>
      </c>
      <c r="W380" s="1398">
        <v>0.45833333333333331</v>
      </c>
      <c r="X380" s="1396">
        <v>8</v>
      </c>
      <c r="Y380" s="1396"/>
      <c r="Z380" s="1041">
        <f t="shared" ref="Z380:AA384" si="90">D380+I380+N380+S380+X380</f>
        <v>40</v>
      </c>
      <c r="AA380" s="1077">
        <f t="shared" si="90"/>
        <v>0</v>
      </c>
      <c r="AB380" s="941"/>
      <c r="AC380" s="1006"/>
      <c r="AD380" s="1006"/>
      <c r="AE380" s="1071"/>
      <c r="AF380" s="941"/>
      <c r="AG380" s="1006"/>
      <c r="AH380" s="1006"/>
      <c r="AI380" s="1071"/>
      <c r="AJ380" s="1041">
        <f t="shared" si="89"/>
        <v>0</v>
      </c>
      <c r="AK380" s="941"/>
      <c r="AL380" s="943"/>
      <c r="AM380" s="940"/>
      <c r="AN380" s="954"/>
      <c r="AO380" s="954"/>
      <c r="AP380" s="954"/>
      <c r="AQ380" s="1094"/>
      <c r="AR380" s="954"/>
      <c r="AS380" s="954"/>
      <c r="AT380" s="940"/>
      <c r="AU380" s="1435"/>
      <c r="AV380" s="1435"/>
      <c r="AW380" s="1435"/>
      <c r="AX380" s="1435"/>
      <c r="AY380" s="1435"/>
      <c r="AZ380" s="1265"/>
      <c r="BA380" s="1265"/>
      <c r="BB380" s="1265"/>
      <c r="BC380" s="1265"/>
      <c r="BD380" s="1265"/>
      <c r="BE380" s="1265"/>
    </row>
    <row r="381" spans="1:57" ht="15.75">
      <c r="A381" s="1408" t="s">
        <v>1141</v>
      </c>
      <c r="B381" s="1006">
        <v>4.1666666666666664E-2</v>
      </c>
      <c r="C381" s="1006">
        <v>0.33333333333333331</v>
      </c>
      <c r="D381" s="1071">
        <v>6.5</v>
      </c>
      <c r="E381" s="1255"/>
      <c r="F381" s="1013"/>
      <c r="G381" s="1006"/>
      <c r="H381" s="1006"/>
      <c r="I381" s="1071">
        <v>0</v>
      </c>
      <c r="J381" s="1255"/>
      <c r="K381" s="1013"/>
      <c r="L381" s="1006">
        <v>0.3125</v>
      </c>
      <c r="M381" s="1006">
        <v>0.45833333333333331</v>
      </c>
      <c r="N381" s="1071">
        <v>8</v>
      </c>
      <c r="O381" s="1255">
        <v>6.5</v>
      </c>
      <c r="P381" s="1013"/>
      <c r="Q381" s="1006"/>
      <c r="R381" s="1006"/>
      <c r="S381" s="1071">
        <v>0</v>
      </c>
      <c r="T381" s="1255"/>
      <c r="U381" s="1396"/>
      <c r="V381" s="1398">
        <v>0.41666666666666669</v>
      </c>
      <c r="W381" s="1398">
        <v>0.20833333333333334</v>
      </c>
      <c r="X381" s="1396">
        <v>6.5</v>
      </c>
      <c r="Y381" s="1396"/>
      <c r="Z381" s="1041">
        <f t="shared" si="90"/>
        <v>21</v>
      </c>
      <c r="AA381" s="1077">
        <f t="shared" si="90"/>
        <v>6.5</v>
      </c>
      <c r="AB381" s="941"/>
      <c r="AC381" s="1006"/>
      <c r="AD381" s="1006"/>
      <c r="AE381" s="1071"/>
      <c r="AF381" s="941"/>
      <c r="AG381" s="1006"/>
      <c r="AH381" s="1006"/>
      <c r="AI381" s="1071"/>
      <c r="AJ381" s="1041">
        <f t="shared" si="89"/>
        <v>0</v>
      </c>
      <c r="AK381" s="941"/>
      <c r="AL381" s="943"/>
      <c r="AM381" s="940"/>
      <c r="AN381" s="954"/>
      <c r="AO381" s="954"/>
      <c r="AP381" s="954"/>
      <c r="AQ381" s="954"/>
      <c r="AR381" s="954"/>
      <c r="AS381" s="954"/>
      <c r="AT381" s="940"/>
      <c r="AU381" s="1435"/>
      <c r="AV381" s="1435"/>
      <c r="AW381" s="1435"/>
      <c r="AX381" s="1435"/>
      <c r="AY381" s="1435"/>
      <c r="AZ381" s="1265"/>
      <c r="BA381" s="1265"/>
      <c r="BB381" s="1265"/>
      <c r="BC381" s="1265"/>
      <c r="BD381" s="1265"/>
      <c r="BE381" s="1265"/>
    </row>
    <row r="382" spans="1:57" ht="15.75">
      <c r="A382" s="1408" t="s">
        <v>1477</v>
      </c>
      <c r="B382" s="1398">
        <v>0.375</v>
      </c>
      <c r="C382" s="1398">
        <v>0.20833333333333334</v>
      </c>
      <c r="D382" s="1396">
        <v>7</v>
      </c>
      <c r="E382" s="1396"/>
      <c r="F382" s="1396"/>
      <c r="G382" s="1398">
        <v>0.375</v>
      </c>
      <c r="H382" s="1398">
        <v>0.20833333333333334</v>
      </c>
      <c r="I382" s="1396">
        <v>7</v>
      </c>
      <c r="J382" s="1396"/>
      <c r="K382" s="1396"/>
      <c r="L382" s="1398">
        <v>0.375</v>
      </c>
      <c r="M382" s="1398">
        <v>0.20833333333333334</v>
      </c>
      <c r="N382" s="1396">
        <v>7</v>
      </c>
      <c r="O382" s="1396"/>
      <c r="P382" s="1396"/>
      <c r="Q382" s="1398">
        <v>0.375</v>
      </c>
      <c r="R382" s="1398">
        <v>0.20833333333333334</v>
      </c>
      <c r="S382" s="1396">
        <v>7</v>
      </c>
      <c r="T382" s="1396"/>
      <c r="U382" s="1396"/>
      <c r="V382" s="1398">
        <v>0.375</v>
      </c>
      <c r="W382" s="1398">
        <v>0.20833333333333334</v>
      </c>
      <c r="X382" s="1396">
        <v>7</v>
      </c>
      <c r="Y382" s="1396"/>
      <c r="Z382" s="1041">
        <f t="shared" si="90"/>
        <v>35</v>
      </c>
      <c r="AA382" s="1077">
        <f t="shared" si="90"/>
        <v>0</v>
      </c>
      <c r="AB382" s="941"/>
      <c r="AC382" s="1006"/>
      <c r="AD382" s="1006"/>
      <c r="AE382" s="1071"/>
      <c r="AF382" s="941"/>
      <c r="AG382" s="1006"/>
      <c r="AH382" s="1006"/>
      <c r="AI382" s="1071"/>
      <c r="AJ382" s="1041">
        <f t="shared" si="89"/>
        <v>0</v>
      </c>
      <c r="AK382" s="941"/>
      <c r="AL382" s="943"/>
      <c r="AM382" s="940"/>
      <c r="AN382" s="954"/>
      <c r="AO382" s="954"/>
      <c r="AP382" s="954"/>
      <c r="AQ382" s="954"/>
      <c r="AR382" s="954"/>
      <c r="AS382" s="954"/>
      <c r="AT382" s="940"/>
      <c r="AU382" s="1435"/>
      <c r="AV382" s="1435"/>
      <c r="AW382" s="1435"/>
      <c r="AX382" s="1435"/>
      <c r="AY382" s="1435"/>
      <c r="AZ382" s="1265"/>
      <c r="BA382" s="1265"/>
      <c r="BB382" s="1265"/>
      <c r="BC382" s="1265"/>
      <c r="BD382" s="1265"/>
      <c r="BE382" s="1265"/>
    </row>
    <row r="383" spans="1:57" ht="15.75">
      <c r="A383" s="1408" t="s">
        <v>1444</v>
      </c>
      <c r="B383" s="1398">
        <v>0.375</v>
      </c>
      <c r="C383" s="1398">
        <v>0.125</v>
      </c>
      <c r="D383" s="1396">
        <v>5.5</v>
      </c>
      <c r="E383" s="1396"/>
      <c r="F383" s="1396"/>
      <c r="G383" s="1398">
        <v>0.375</v>
      </c>
      <c r="H383" s="1398">
        <v>0.125</v>
      </c>
      <c r="I383" s="1396">
        <v>5.5</v>
      </c>
      <c r="J383" s="1396"/>
      <c r="K383" s="1396"/>
      <c r="L383" s="1398">
        <v>0.375</v>
      </c>
      <c r="M383" s="1398">
        <v>0.125</v>
      </c>
      <c r="N383" s="1396">
        <v>5.5</v>
      </c>
      <c r="O383" s="1396"/>
      <c r="P383" s="1396"/>
      <c r="Q383" s="1398"/>
      <c r="R383" s="1398"/>
      <c r="S383" s="1396">
        <v>0</v>
      </c>
      <c r="T383" s="1396"/>
      <c r="U383" s="1396"/>
      <c r="V383" s="1398">
        <v>0.375</v>
      </c>
      <c r="W383" s="1398">
        <v>0.125</v>
      </c>
      <c r="X383" s="1396">
        <v>5</v>
      </c>
      <c r="Y383" s="1396"/>
      <c r="Z383" s="1041">
        <f t="shared" si="90"/>
        <v>21.5</v>
      </c>
      <c r="AA383" s="1077">
        <f t="shared" si="90"/>
        <v>0</v>
      </c>
      <c r="AB383" s="941"/>
      <c r="AC383" s="1006"/>
      <c r="AD383" s="1006"/>
      <c r="AE383" s="1071"/>
      <c r="AF383" s="941"/>
      <c r="AG383" s="1006"/>
      <c r="AH383" s="1006"/>
      <c r="AI383" s="1071"/>
      <c r="AJ383" s="1041">
        <f t="shared" si="89"/>
        <v>0</v>
      </c>
      <c r="AK383" s="941"/>
      <c r="AL383" s="943"/>
      <c r="AM383" s="940"/>
      <c r="AN383" s="954"/>
      <c r="AO383" s="954"/>
      <c r="AP383" s="954"/>
      <c r="AQ383" s="954"/>
      <c r="AR383" s="954"/>
      <c r="AS383" s="954"/>
      <c r="AT383" s="940"/>
      <c r="AU383" s="1435"/>
      <c r="AV383" s="1435"/>
      <c r="AW383" s="1435"/>
      <c r="AX383" s="1435"/>
      <c r="AY383" s="1435"/>
      <c r="AZ383" s="1265"/>
      <c r="BA383" s="1265"/>
      <c r="BB383" s="1265"/>
      <c r="BC383" s="1265"/>
      <c r="BD383" s="1265"/>
      <c r="BE383" s="1265"/>
    </row>
    <row r="384" spans="1:57" ht="15.75">
      <c r="A384" s="1408" t="s">
        <v>1480</v>
      </c>
      <c r="B384" s="1398">
        <v>0.29166666666666669</v>
      </c>
      <c r="C384" s="1398">
        <v>0.16666666666666666</v>
      </c>
      <c r="D384" s="1396">
        <v>8</v>
      </c>
      <c r="E384" s="1396"/>
      <c r="F384" s="1396"/>
      <c r="G384" s="1398">
        <v>0.125</v>
      </c>
      <c r="H384" s="1398">
        <v>0.41666666666666669</v>
      </c>
      <c r="I384" s="1396">
        <v>6.5</v>
      </c>
      <c r="J384" s="1396"/>
      <c r="K384" s="1396"/>
      <c r="L384" s="1398"/>
      <c r="M384" s="1398"/>
      <c r="N384" s="1396">
        <v>0</v>
      </c>
      <c r="O384" s="1396"/>
      <c r="P384" s="1396"/>
      <c r="Q384" s="1398"/>
      <c r="R384" s="1398"/>
      <c r="S384" s="1396">
        <v>0</v>
      </c>
      <c r="T384" s="1396"/>
      <c r="U384" s="1396"/>
      <c r="V384" s="1398">
        <v>0.41666666666666669</v>
      </c>
      <c r="W384" s="1398">
        <v>0.20833333333333334</v>
      </c>
      <c r="X384" s="1396">
        <v>6.5</v>
      </c>
      <c r="Y384" s="1396"/>
      <c r="Z384" s="1041">
        <f t="shared" si="90"/>
        <v>21</v>
      </c>
      <c r="AA384" s="1077">
        <f t="shared" si="90"/>
        <v>0</v>
      </c>
      <c r="AB384" s="941"/>
      <c r="AC384" s="1006"/>
      <c r="AD384" s="1006"/>
      <c r="AE384" s="1071"/>
      <c r="AF384" s="941"/>
      <c r="AG384" s="1006"/>
      <c r="AH384" s="1006"/>
      <c r="AI384" s="1071"/>
      <c r="AJ384" s="1041">
        <f t="shared" si="89"/>
        <v>0</v>
      </c>
      <c r="AK384" s="941"/>
      <c r="AL384" s="943"/>
      <c r="AM384" s="940"/>
      <c r="AN384" s="954"/>
      <c r="AO384" s="954"/>
      <c r="AP384" s="954"/>
      <c r="AQ384" s="954"/>
      <c r="AR384" s="954"/>
      <c r="AS384" s="954"/>
      <c r="AT384" s="940"/>
      <c r="AU384" s="1435"/>
      <c r="AV384" s="1435"/>
      <c r="AW384" s="1435"/>
      <c r="AX384" s="1435"/>
      <c r="AY384" s="1435"/>
      <c r="AZ384" s="1265"/>
      <c r="BA384" s="1265"/>
      <c r="BB384" s="1265"/>
      <c r="BC384" s="1265"/>
      <c r="BD384" s="1265"/>
      <c r="BE384" s="1265"/>
    </row>
    <row r="385" spans="1:57" ht="15.75">
      <c r="A385" s="1344" t="s">
        <v>1064</v>
      </c>
      <c r="B385" s="1401">
        <v>0.45833333333333331</v>
      </c>
      <c r="C385" s="1401">
        <v>0.29166666666666669</v>
      </c>
      <c r="D385" s="1396">
        <v>8</v>
      </c>
      <c r="E385" s="1396"/>
      <c r="F385" s="1396"/>
      <c r="G385" s="1401">
        <v>0.45833333333333331</v>
      </c>
      <c r="H385" s="1401">
        <v>0.29166666666666669</v>
      </c>
      <c r="I385" s="1396">
        <v>8</v>
      </c>
      <c r="J385" s="1396"/>
      <c r="K385" s="1396"/>
      <c r="L385" s="1401">
        <v>0.45833333333333331</v>
      </c>
      <c r="M385" s="1401">
        <v>0.29166666666666669</v>
      </c>
      <c r="N385" s="1396">
        <v>8</v>
      </c>
      <c r="O385" s="1396"/>
      <c r="P385" s="1396"/>
      <c r="Q385" s="1398">
        <v>0.45833333333333331</v>
      </c>
      <c r="R385" s="1398">
        <v>0.29166666666666669</v>
      </c>
      <c r="S385" s="1396">
        <v>8</v>
      </c>
      <c r="T385" s="1396"/>
      <c r="U385" s="1396"/>
      <c r="V385" s="1398">
        <v>0.45833333333333331</v>
      </c>
      <c r="W385" s="1403">
        <v>0.29166666666666669</v>
      </c>
      <c r="X385" s="1396">
        <v>8</v>
      </c>
      <c r="Y385" s="1396"/>
      <c r="Z385" s="1041">
        <f t="shared" si="81"/>
        <v>40</v>
      </c>
      <c r="AA385" s="1077">
        <f t="shared" si="82"/>
        <v>0</v>
      </c>
      <c r="AB385" s="941"/>
      <c r="AC385" s="1076"/>
      <c r="AD385" s="1256"/>
      <c r="AE385" s="1072"/>
      <c r="AF385" s="1076"/>
      <c r="AG385" s="1256"/>
      <c r="AH385" s="1072"/>
      <c r="AI385" s="1076"/>
      <c r="AJ385" s="1041">
        <f t="shared" si="83"/>
        <v>0</v>
      </c>
      <c r="AK385" s="941"/>
      <c r="AL385" s="943"/>
      <c r="AM385" s="940"/>
      <c r="AN385" s="954"/>
      <c r="AO385" s="954"/>
      <c r="AP385" s="954"/>
      <c r="AQ385" s="954"/>
      <c r="AR385" s="954"/>
      <c r="AS385" s="954"/>
      <c r="AT385" s="940"/>
      <c r="AU385" s="1265"/>
      <c r="AV385" s="1265"/>
      <c r="AW385" s="1265"/>
      <c r="AX385" s="1265"/>
      <c r="AY385" s="1265"/>
      <c r="AZ385" s="1265"/>
      <c r="BA385" s="1265"/>
      <c r="BB385" s="1265"/>
      <c r="BC385" s="1265"/>
      <c r="BD385" s="1265"/>
      <c r="BE385" s="1265"/>
    </row>
    <row r="386" spans="1:57" ht="15.75">
      <c r="A386" s="1344" t="s">
        <v>1144</v>
      </c>
      <c r="B386" s="1401">
        <v>0.45833333333333331</v>
      </c>
      <c r="C386" s="1401">
        <v>0.29166666666666669</v>
      </c>
      <c r="D386" s="1396">
        <v>8</v>
      </c>
      <c r="E386" s="1396"/>
      <c r="F386" s="1396"/>
      <c r="G386" s="1401">
        <v>0.125</v>
      </c>
      <c r="H386" s="1401">
        <v>0.29166666666666669</v>
      </c>
      <c r="I386" s="1396">
        <v>8</v>
      </c>
      <c r="J386" s="1396">
        <v>7</v>
      </c>
      <c r="K386" s="1396"/>
      <c r="L386" s="1401">
        <v>0.45833333333333331</v>
      </c>
      <c r="M386" s="1401">
        <v>0.29166666666666669</v>
      </c>
      <c r="N386" s="1396">
        <v>8</v>
      </c>
      <c r="O386" s="1396"/>
      <c r="P386" s="1396"/>
      <c r="Q386" s="1398">
        <v>0.29166666666666669</v>
      </c>
      <c r="R386" s="1398">
        <v>0.29166666666666669</v>
      </c>
      <c r="S386" s="1396">
        <v>8</v>
      </c>
      <c r="T386" s="1396">
        <v>4</v>
      </c>
      <c r="U386" s="1396"/>
      <c r="V386" s="1398">
        <v>0.29166666666666669</v>
      </c>
      <c r="W386" s="1403">
        <v>0.29166666666666669</v>
      </c>
      <c r="X386" s="1396">
        <v>8</v>
      </c>
      <c r="Y386" s="1396">
        <v>4</v>
      </c>
      <c r="Z386" s="1041">
        <f>D386+I386+N386+S386+X386</f>
        <v>40</v>
      </c>
      <c r="AA386" s="1077">
        <f>E386+J386+O386+T386+Y386</f>
        <v>15</v>
      </c>
      <c r="AB386" s="941"/>
      <c r="AC386" s="1076"/>
      <c r="AD386" s="1256"/>
      <c r="AE386" s="1072"/>
      <c r="AF386" s="1076"/>
      <c r="AG386" s="1256"/>
      <c r="AH386" s="1072"/>
      <c r="AI386" s="1076"/>
      <c r="AJ386" s="1041">
        <f t="shared" si="83"/>
        <v>0</v>
      </c>
      <c r="AK386" s="941"/>
      <c r="AL386" s="943"/>
      <c r="AM386" s="940"/>
      <c r="AN386" s="954"/>
      <c r="AO386" s="954"/>
      <c r="AP386" s="954"/>
      <c r="AQ386" s="954"/>
      <c r="AR386" s="954"/>
      <c r="AS386" s="954"/>
      <c r="AT386" s="940"/>
      <c r="AU386" s="1265"/>
      <c r="AV386" s="1265"/>
      <c r="AW386" s="1265"/>
      <c r="AX386" s="1265"/>
      <c r="AY386" s="1265"/>
      <c r="AZ386" s="1265"/>
      <c r="BA386" s="1265"/>
      <c r="BB386" s="1265"/>
      <c r="BC386" s="1265"/>
      <c r="BD386" s="1265"/>
      <c r="BE386" s="1265"/>
    </row>
    <row r="387" spans="1:57" ht="15.75">
      <c r="A387" s="1043" t="s">
        <v>1427</v>
      </c>
      <c r="B387" s="1380">
        <v>0.45833333333333331</v>
      </c>
      <c r="C387" s="1380">
        <v>0.29166666666666669</v>
      </c>
      <c r="D387" s="1072">
        <v>8</v>
      </c>
      <c r="E387" s="1072"/>
      <c r="F387" s="1072"/>
      <c r="G387" s="1379" t="s">
        <v>29</v>
      </c>
      <c r="H387" s="1379" t="s">
        <v>29</v>
      </c>
      <c r="I387" s="1072">
        <v>8</v>
      </c>
      <c r="J387" s="1072"/>
      <c r="K387" s="1072"/>
      <c r="L387" s="1380">
        <v>0.45833333333333331</v>
      </c>
      <c r="M387" s="1380">
        <v>0.29166666666666669</v>
      </c>
      <c r="N387" s="1072">
        <v>8</v>
      </c>
      <c r="O387" s="1072"/>
      <c r="P387" s="1072"/>
      <c r="Q387" s="1076">
        <v>0.45833333333333331</v>
      </c>
      <c r="R387" s="1256">
        <v>0.29166666666666669</v>
      </c>
      <c r="S387" s="1072">
        <v>8</v>
      </c>
      <c r="T387" s="1072"/>
      <c r="U387" s="1072"/>
      <c r="V387" s="1076">
        <v>0.45833333333333331</v>
      </c>
      <c r="W387" s="1256">
        <v>0.29166666666666669</v>
      </c>
      <c r="X387" s="1072">
        <v>8</v>
      </c>
      <c r="Y387" s="1072"/>
      <c r="Z387" s="1041">
        <f>D387+I387+N387+S387+X387</f>
        <v>40</v>
      </c>
      <c r="AA387" s="1077">
        <f>E387+J387+O387+T387+Y387</f>
        <v>0</v>
      </c>
      <c r="AB387" s="941"/>
      <c r="AC387" s="1076"/>
      <c r="AD387" s="1256"/>
      <c r="AE387" s="1072"/>
      <c r="AF387" s="1076"/>
      <c r="AG387" s="1256"/>
      <c r="AH387" s="1072"/>
      <c r="AI387" s="1076"/>
      <c r="AJ387" s="1041">
        <f>SUM(AE387+AI387)</f>
        <v>0</v>
      </c>
      <c r="AK387" s="941"/>
      <c r="AL387" s="943"/>
      <c r="AM387" s="940"/>
      <c r="AN387" s="954"/>
      <c r="AO387" s="954"/>
      <c r="AP387" s="954"/>
      <c r="AQ387" s="954"/>
      <c r="AR387" s="954"/>
      <c r="AS387" s="954"/>
      <c r="AT387" s="940"/>
      <c r="AU387" s="1265"/>
      <c r="AV387" s="1265"/>
      <c r="AW387" s="1265"/>
      <c r="AX387" s="1265"/>
      <c r="AY387" s="1265"/>
      <c r="AZ387" s="1265"/>
      <c r="BA387" s="1265"/>
      <c r="BB387" s="1265"/>
      <c r="BC387" s="1265"/>
      <c r="BD387" s="1265"/>
      <c r="BE387" s="1265"/>
    </row>
    <row r="388" spans="1:57" ht="15.75">
      <c r="A388" s="1018" t="s">
        <v>61</v>
      </c>
      <c r="B388" s="1018"/>
      <c r="C388" s="1018"/>
      <c r="D388" s="1084">
        <f>SUM(D366:D377)</f>
        <v>77.25</v>
      </c>
      <c r="E388" s="1255">
        <f>SUM(E367:E377)</f>
        <v>0</v>
      </c>
      <c r="F388" s="1018"/>
      <c r="G388" s="1018"/>
      <c r="H388" s="1018"/>
      <c r="I388" s="1084">
        <f>SUM(I366:I377)</f>
        <v>76.75</v>
      </c>
      <c r="J388" s="1255">
        <f>SUM(J367:J377)</f>
        <v>0</v>
      </c>
      <c r="K388" s="1018"/>
      <c r="L388" s="1018"/>
      <c r="M388" s="1018"/>
      <c r="N388" s="1084">
        <f>SUM(N366:N377)</f>
        <v>56</v>
      </c>
      <c r="O388" s="1255">
        <f>SUM(O367:O377)</f>
        <v>0.5</v>
      </c>
      <c r="P388" s="1018"/>
      <c r="Q388" s="1018"/>
      <c r="R388" s="1018"/>
      <c r="S388" s="1084">
        <f>SUM(S366:S377)</f>
        <v>71</v>
      </c>
      <c r="T388" s="1255">
        <f>SUM(T367:T377)</f>
        <v>0</v>
      </c>
      <c r="U388" s="1018"/>
      <c r="V388" s="1018"/>
      <c r="W388" s="1018"/>
      <c r="X388" s="1084">
        <f>SUM(X366:X384)</f>
        <v>116.25</v>
      </c>
      <c r="Y388" s="1255">
        <f>SUM(Y366:Y384)</f>
        <v>2</v>
      </c>
      <c r="Z388" s="1028">
        <f>SUM(Z366:Z384)</f>
        <v>539.5</v>
      </c>
      <c r="AA388" s="1028">
        <f>SUM(AA366:AA376)</f>
        <v>4.5</v>
      </c>
      <c r="AB388" s="941"/>
      <c r="AC388" s="1018"/>
      <c r="AD388" s="1018"/>
      <c r="AE388" s="1041">
        <f>SUM(AE366:AE377)</f>
        <v>9.5</v>
      </c>
      <c r="AF388" s="941"/>
      <c r="AG388" s="1018"/>
      <c r="AH388" s="1018"/>
      <c r="AI388" s="1041">
        <f>SUM(AI366:AI377)</f>
        <v>0</v>
      </c>
      <c r="AJ388" s="1028">
        <f>SUM(AJ366:AJ386)</f>
        <v>9.5</v>
      </c>
      <c r="AK388" s="941"/>
      <c r="AL388" s="943"/>
      <c r="AM388" s="940"/>
      <c r="AN388" s="954"/>
      <c r="AO388" s="954"/>
      <c r="AP388" s="954"/>
      <c r="AQ388" s="954"/>
      <c r="AR388" s="954"/>
      <c r="AS388" s="954"/>
      <c r="AT388" s="940"/>
      <c r="AU388" s="1265"/>
      <c r="AV388" s="1265"/>
      <c r="AW388" s="1265"/>
      <c r="AX388" s="1265"/>
      <c r="AY388" s="1265"/>
      <c r="AZ388" s="1265"/>
      <c r="BA388" s="1265"/>
      <c r="BB388" s="1265"/>
      <c r="BC388" s="1265"/>
      <c r="BD388" s="1265"/>
      <c r="BE388" s="1265"/>
    </row>
    <row r="389" spans="1:57" ht="15.75">
      <c r="A389" s="1335" t="s">
        <v>1434</v>
      </c>
      <c r="B389" s="1018"/>
      <c r="C389" s="1018"/>
      <c r="D389" s="1084">
        <f>SUM(D385:D387)</f>
        <v>24</v>
      </c>
      <c r="E389" s="1255"/>
      <c r="F389" s="1018"/>
      <c r="G389" s="1018"/>
      <c r="H389" s="1018"/>
      <c r="I389" s="1084">
        <f>SUM(I385:I387)</f>
        <v>24</v>
      </c>
      <c r="J389" s="1255"/>
      <c r="K389" s="1018"/>
      <c r="L389" s="1018"/>
      <c r="M389" s="1018"/>
      <c r="N389" s="1084">
        <f>SUM(N385:N387)</f>
        <v>24</v>
      </c>
      <c r="O389" s="1255"/>
      <c r="P389" s="1018"/>
      <c r="Q389" s="1018"/>
      <c r="R389" s="1018"/>
      <c r="S389" s="1084">
        <f>SUM(S385:S387)</f>
        <v>24</v>
      </c>
      <c r="T389" s="1255"/>
      <c r="U389" s="1018"/>
      <c r="V389" s="1018"/>
      <c r="W389" s="1018"/>
      <c r="X389" s="1084">
        <f>SUM(X385:X387)</f>
        <v>24</v>
      </c>
      <c r="Y389" s="1255"/>
      <c r="Z389" s="1028">
        <f>SUM(Z385:Z387)</f>
        <v>120</v>
      </c>
      <c r="AA389" s="1028">
        <f>SUM(AA385:AA387)</f>
        <v>15</v>
      </c>
      <c r="AB389" s="941"/>
      <c r="AC389" s="1018"/>
      <c r="AD389" s="1018"/>
      <c r="AE389" s="1041">
        <f>SUM(AE385:AE387)</f>
        <v>0</v>
      </c>
      <c r="AF389" s="941"/>
      <c r="AG389" s="1018"/>
      <c r="AH389" s="1018"/>
      <c r="AI389" s="1041">
        <f>SUM(AI385:AI387)</f>
        <v>0</v>
      </c>
      <c r="AJ389" s="1028">
        <f>SUM(AE389+AI389)</f>
        <v>0</v>
      </c>
      <c r="AK389" s="941"/>
      <c r="AL389" s="943"/>
      <c r="AM389" s="940"/>
      <c r="AN389" s="954"/>
      <c r="AO389" s="954"/>
      <c r="AP389" s="954"/>
      <c r="AQ389" s="954"/>
      <c r="AR389" s="954"/>
      <c r="AS389" s="954"/>
      <c r="AT389" s="940"/>
      <c r="AU389" s="1265"/>
      <c r="AV389" s="1265"/>
      <c r="AW389" s="1265"/>
      <c r="AX389" s="1265"/>
      <c r="AY389" s="1265"/>
      <c r="AZ389" s="1265"/>
      <c r="BA389" s="1265"/>
      <c r="BB389" s="1265"/>
      <c r="BC389" s="1265"/>
      <c r="BD389" s="1265"/>
      <c r="BE389" s="1265"/>
    </row>
    <row r="390" spans="1:57" ht="15.75">
      <c r="A390" s="1257" t="s">
        <v>64</v>
      </c>
      <c r="B390" s="1006"/>
      <c r="C390" s="1006"/>
      <c r="D390" s="1071">
        <v>8</v>
      </c>
      <c r="E390" s="1071"/>
      <c r="F390" s="1026"/>
      <c r="G390" s="1006"/>
      <c r="H390" s="1006"/>
      <c r="I390" s="1071">
        <v>8</v>
      </c>
      <c r="J390" s="1071">
        <v>0.75</v>
      </c>
      <c r="K390" s="1013"/>
      <c r="L390" s="1006"/>
      <c r="M390" s="1006"/>
      <c r="N390" s="1071">
        <v>8</v>
      </c>
      <c r="O390" s="1071"/>
      <c r="P390" s="1013"/>
      <c r="Q390" s="1006"/>
      <c r="R390" s="1006"/>
      <c r="S390" s="1071">
        <v>8</v>
      </c>
      <c r="T390" s="1071"/>
      <c r="U390" s="1013"/>
      <c r="V390" s="1006"/>
      <c r="W390" s="1006"/>
      <c r="X390" s="1071">
        <v>8</v>
      </c>
      <c r="Y390" s="1071">
        <v>0.75</v>
      </c>
      <c r="Z390" s="1028">
        <f>D390+I390+N390+S390+X390</f>
        <v>40</v>
      </c>
      <c r="AA390" s="1100">
        <f>E390+J390+O390+T390+Y390</f>
        <v>1.5</v>
      </c>
      <c r="AB390" s="941"/>
      <c r="AC390" s="1006"/>
      <c r="AD390" s="1006"/>
      <c r="AE390" s="1071">
        <v>9.5</v>
      </c>
      <c r="AF390" s="941"/>
      <c r="AG390" s="1006"/>
      <c r="AH390" s="1006"/>
      <c r="AI390" s="1071"/>
      <c r="AJ390" s="1028">
        <f>AE390+AI390</f>
        <v>9.5</v>
      </c>
      <c r="AK390" s="941"/>
      <c r="AL390" s="943"/>
      <c r="AM390" s="940"/>
      <c r="AN390" s="954"/>
      <c r="AO390" s="954"/>
      <c r="AP390" s="954"/>
      <c r="AQ390" s="954"/>
      <c r="AR390" s="954"/>
      <c r="AS390" s="954"/>
      <c r="AT390" s="940"/>
      <c r="AU390" s="1265"/>
      <c r="AV390" s="1265"/>
      <c r="AW390" s="1265"/>
      <c r="AX390" s="1265"/>
      <c r="AY390" s="1265"/>
      <c r="AZ390" s="1265"/>
      <c r="BA390" s="1265"/>
      <c r="BB390" s="1265"/>
      <c r="BC390" s="1265"/>
      <c r="BD390" s="1265"/>
      <c r="BE390" s="1265"/>
    </row>
    <row r="391" spans="1:57" ht="15.75">
      <c r="A391" s="940"/>
      <c r="B391" s="940"/>
      <c r="C391" s="940"/>
      <c r="D391" s="941"/>
      <c r="E391" s="942"/>
      <c r="F391" s="941"/>
      <c r="G391" s="940"/>
      <c r="H391" s="940"/>
      <c r="I391" s="941"/>
      <c r="J391" s="942"/>
      <c r="K391" s="941"/>
      <c r="L391" s="940"/>
      <c r="M391" s="940"/>
      <c r="N391" s="941"/>
      <c r="O391" s="942"/>
      <c r="P391" s="941"/>
      <c r="Q391" s="940"/>
      <c r="R391" s="940"/>
      <c r="S391" s="941"/>
      <c r="T391" s="942"/>
      <c r="U391" s="941"/>
      <c r="V391" s="940"/>
      <c r="W391" s="940"/>
      <c r="X391" s="941"/>
      <c r="Y391" s="942"/>
      <c r="Z391" s="941"/>
      <c r="AA391" s="941"/>
      <c r="AB391" s="941"/>
      <c r="AC391" s="940"/>
      <c r="AD391" s="940"/>
      <c r="AE391" s="940"/>
      <c r="AF391" s="941"/>
      <c r="AG391" s="940"/>
      <c r="AH391" s="940"/>
      <c r="AI391" s="940"/>
      <c r="AJ391" s="940"/>
      <c r="AK391" s="941"/>
      <c r="AL391" s="943"/>
      <c r="AM391" s="940"/>
      <c r="AN391" s="940"/>
      <c r="AO391" s="940"/>
      <c r="AP391" s="940"/>
      <c r="AQ391" s="940"/>
      <c r="AR391" s="940"/>
      <c r="AS391" s="940"/>
      <c r="AT391" s="940"/>
      <c r="AU391" s="1435"/>
      <c r="AV391" s="1435"/>
      <c r="AW391" s="1435"/>
      <c r="AX391" s="1435"/>
      <c r="AY391" s="1435"/>
      <c r="AZ391" s="1435"/>
      <c r="BA391" s="1435"/>
      <c r="BB391" s="1435"/>
      <c r="BC391" s="1435"/>
      <c r="BD391" s="1435"/>
      <c r="BE391" s="1435"/>
    </row>
    <row r="392" spans="1:57" ht="15.75">
      <c r="A392" s="974"/>
      <c r="B392" s="975"/>
      <c r="C392" s="975"/>
      <c r="D392" s="976"/>
      <c r="E392" s="976"/>
      <c r="F392" s="975"/>
      <c r="G392" s="976"/>
      <c r="H392" s="976"/>
      <c r="I392" s="976"/>
      <c r="J392" s="976"/>
      <c r="K392" s="975"/>
      <c r="L392" s="975"/>
      <c r="M392" s="975"/>
      <c r="N392" s="975"/>
      <c r="O392" s="976"/>
      <c r="P392" s="975"/>
      <c r="Q392" s="975"/>
      <c r="R392" s="975"/>
      <c r="S392" s="975"/>
      <c r="T392" s="976"/>
      <c r="U392" s="975"/>
      <c r="V392" s="975"/>
      <c r="W392" s="975"/>
      <c r="X392" s="977"/>
      <c r="Y392" s="976"/>
      <c r="Z392" s="978"/>
      <c r="AA392" s="976"/>
      <c r="AB392" s="979"/>
      <c r="AC392" s="980"/>
      <c r="AD392" s="943"/>
      <c r="AE392" s="943"/>
      <c r="AF392" s="979"/>
      <c r="AG392" s="980"/>
      <c r="AH392" s="943"/>
      <c r="AI392" s="943"/>
      <c r="AJ392" s="943"/>
      <c r="AK392" s="979"/>
      <c r="AL392" s="943"/>
      <c r="AM392" s="943"/>
      <c r="AN392" s="943"/>
      <c r="AO392" s="943"/>
      <c r="AP392" s="943"/>
      <c r="AQ392" s="943"/>
      <c r="AR392" s="943"/>
      <c r="AS392" s="943"/>
      <c r="AT392" s="943"/>
      <c r="AU392" s="943"/>
      <c r="AV392" s="943"/>
      <c r="AW392" s="943"/>
      <c r="AX392" s="943"/>
      <c r="AY392" s="943"/>
      <c r="AZ392" s="1435"/>
      <c r="BA392" s="1435"/>
      <c r="BB392" s="1435"/>
      <c r="BC392" s="1435"/>
      <c r="BD392" s="1435"/>
      <c r="BE392" s="1435"/>
    </row>
    <row r="393" spans="1:57" ht="15.75">
      <c r="A393" s="940"/>
      <c r="B393" s="940"/>
      <c r="C393" s="940"/>
      <c r="D393" s="940"/>
      <c r="E393" s="940"/>
      <c r="F393" s="940"/>
      <c r="G393" s="940"/>
      <c r="H393" s="940"/>
      <c r="I393" s="940"/>
      <c r="J393" s="940"/>
      <c r="K393" s="940"/>
      <c r="L393" s="940"/>
      <c r="M393" s="940"/>
      <c r="N393" s="940"/>
      <c r="O393" s="940"/>
      <c r="P393" s="940"/>
      <c r="Q393" s="940"/>
      <c r="R393" s="940"/>
      <c r="S393" s="941"/>
      <c r="T393" s="942"/>
      <c r="U393" s="941"/>
      <c r="V393" s="940"/>
      <c r="W393" s="940"/>
      <c r="X393" s="941"/>
      <c r="Y393" s="942"/>
      <c r="Z393" s="941"/>
      <c r="AA393" s="941"/>
      <c r="AB393" s="941"/>
      <c r="AC393" s="940"/>
      <c r="AD393" s="940"/>
      <c r="AE393" s="940"/>
      <c r="AF393" s="941"/>
      <c r="AG393" s="940"/>
      <c r="AH393" s="940"/>
      <c r="AI393" s="940"/>
      <c r="AJ393" s="940"/>
      <c r="AK393" s="941"/>
      <c r="AL393" s="943"/>
      <c r="AM393" s="940"/>
      <c r="AN393" s="954"/>
      <c r="AO393" s="954"/>
      <c r="AP393" s="954"/>
      <c r="AQ393" s="954"/>
      <c r="AR393" s="954"/>
      <c r="AS393" s="954"/>
      <c r="AT393" s="954"/>
      <c r="AU393" s="954"/>
      <c r="AV393" s="954"/>
      <c r="AW393" s="954"/>
      <c r="AX393" s="954"/>
      <c r="AY393" s="954"/>
      <c r="AZ393" s="1435"/>
      <c r="BA393" s="1435"/>
      <c r="BB393" s="1435"/>
      <c r="BC393" s="1435"/>
      <c r="BD393" s="1435"/>
      <c r="BE393" s="1435"/>
    </row>
    <row r="394" spans="1:57" ht="15.75" customHeight="1">
      <c r="A394" s="1614" t="s">
        <v>18</v>
      </c>
      <c r="B394" s="1568">
        <v>46118</v>
      </c>
      <c r="C394" s="1568"/>
      <c r="D394" s="1568" t="s">
        <v>564</v>
      </c>
      <c r="E394" s="1568"/>
      <c r="F394" s="1258"/>
      <c r="G394" s="1568">
        <v>46119</v>
      </c>
      <c r="H394" s="1568"/>
      <c r="I394" s="1568" t="s">
        <v>565</v>
      </c>
      <c r="J394" s="1568"/>
      <c r="K394" s="1258"/>
      <c r="L394" s="1568">
        <v>46120</v>
      </c>
      <c r="M394" s="1568"/>
      <c r="N394" s="1568" t="s">
        <v>566</v>
      </c>
      <c r="O394" s="1568"/>
      <c r="P394" s="1258"/>
      <c r="Q394" s="1568">
        <v>46121</v>
      </c>
      <c r="R394" s="1568"/>
      <c r="S394" s="1568" t="s">
        <v>567</v>
      </c>
      <c r="T394" s="1568"/>
      <c r="U394" s="1258"/>
      <c r="V394" s="1568">
        <v>46122</v>
      </c>
      <c r="W394" s="1568"/>
      <c r="X394" s="1568" t="s">
        <v>568</v>
      </c>
      <c r="Y394" s="1568"/>
      <c r="Z394" s="1613" t="s">
        <v>19</v>
      </c>
      <c r="AA394" s="1613" t="s">
        <v>20</v>
      </c>
      <c r="AB394" s="942"/>
      <c r="AC394" s="1568">
        <v>46123</v>
      </c>
      <c r="AD394" s="1568"/>
      <c r="AE394" s="1259" t="s">
        <v>569</v>
      </c>
      <c r="AF394" s="942"/>
      <c r="AG394" s="1568">
        <v>46124</v>
      </c>
      <c r="AH394" s="1568"/>
      <c r="AI394" s="1259" t="s">
        <v>570</v>
      </c>
      <c r="AJ394" s="1613" t="s">
        <v>1420</v>
      </c>
      <c r="AK394" s="941"/>
      <c r="AL394" s="943"/>
      <c r="AM394" s="940"/>
      <c r="AN394" s="985" t="s">
        <v>84</v>
      </c>
      <c r="AO394" s="986"/>
      <c r="AP394" s="986"/>
      <c r="AQ394" s="986"/>
      <c r="AR394" s="986"/>
      <c r="AS394" s="986"/>
      <c r="AT394" s="986"/>
      <c r="AU394" s="986"/>
      <c r="AV394" s="986"/>
      <c r="AW394" s="986"/>
      <c r="AX394" s="986"/>
      <c r="AY394" s="986"/>
      <c r="AZ394" s="1435"/>
      <c r="BA394" s="1435"/>
      <c r="BB394" s="1435"/>
      <c r="BC394" s="1435"/>
      <c r="BD394" s="1435"/>
      <c r="BE394" s="1435"/>
    </row>
    <row r="395" spans="1:57" ht="15.75" customHeight="1" thickBot="1">
      <c r="A395" s="1614"/>
      <c r="B395" s="987" t="s">
        <v>23</v>
      </c>
      <c r="C395" s="987" t="s">
        <v>24</v>
      </c>
      <c r="D395" s="1100" t="s">
        <v>25</v>
      </c>
      <c r="E395" s="989" t="s">
        <v>14</v>
      </c>
      <c r="F395" s="942"/>
      <c r="G395" s="987" t="s">
        <v>23</v>
      </c>
      <c r="H395" s="987" t="s">
        <v>24</v>
      </c>
      <c r="I395" s="989" t="s">
        <v>25</v>
      </c>
      <c r="J395" s="989" t="s">
        <v>14</v>
      </c>
      <c r="K395" s="942"/>
      <c r="L395" s="987" t="s">
        <v>23</v>
      </c>
      <c r="M395" s="987" t="s">
        <v>24</v>
      </c>
      <c r="N395" s="989" t="s">
        <v>25</v>
      </c>
      <c r="O395" s="989" t="s">
        <v>14</v>
      </c>
      <c r="P395" s="942"/>
      <c r="Q395" s="987" t="s">
        <v>23</v>
      </c>
      <c r="R395" s="987" t="s">
        <v>24</v>
      </c>
      <c r="S395" s="989" t="s">
        <v>25</v>
      </c>
      <c r="T395" s="989" t="s">
        <v>14</v>
      </c>
      <c r="U395" s="942"/>
      <c r="V395" s="987" t="s">
        <v>23</v>
      </c>
      <c r="W395" s="987" t="s">
        <v>24</v>
      </c>
      <c r="X395" s="989" t="s">
        <v>25</v>
      </c>
      <c r="Y395" s="989" t="s">
        <v>14</v>
      </c>
      <c r="Z395" s="1613"/>
      <c r="AA395" s="1613"/>
      <c r="AB395" s="942"/>
      <c r="AC395" s="987" t="s">
        <v>23</v>
      </c>
      <c r="AD395" s="987" t="s">
        <v>24</v>
      </c>
      <c r="AE395" s="989" t="s">
        <v>25</v>
      </c>
      <c r="AF395" s="942"/>
      <c r="AG395" s="987" t="s">
        <v>23</v>
      </c>
      <c r="AH395" s="987" t="s">
        <v>24</v>
      </c>
      <c r="AI395" s="989" t="s">
        <v>25</v>
      </c>
      <c r="AJ395" s="1613"/>
      <c r="AK395" s="941"/>
      <c r="AL395" s="943"/>
      <c r="AM395" s="940"/>
      <c r="AN395" s="992" t="s">
        <v>26</v>
      </c>
      <c r="AO395" s="1005">
        <f>Z417</f>
        <v>563.75</v>
      </c>
      <c r="AP395" s="994">
        <v>40.31</v>
      </c>
      <c r="AQ395" s="994">
        <f t="shared" ref="AQ395:AQ401" si="91">AP395*AO395</f>
        <v>22724.762500000001</v>
      </c>
      <c r="AR395" s="954"/>
      <c r="AS395" s="954"/>
      <c r="AT395" s="940"/>
      <c r="AU395" s="1435"/>
      <c r="AV395" s="1435"/>
      <c r="AW395" s="1435"/>
      <c r="AX395" s="1435"/>
      <c r="AY395" s="1435"/>
      <c r="AZ395" s="1435"/>
      <c r="BA395" s="1435"/>
      <c r="BB395" s="1435"/>
      <c r="BC395" s="1435"/>
      <c r="BD395" s="1435"/>
      <c r="BE395" s="1435"/>
    </row>
    <row r="396" spans="1:57" ht="15.75">
      <c r="A396" s="1484" t="s">
        <v>72</v>
      </c>
      <c r="B396" s="1006">
        <v>0.29166666666666669</v>
      </c>
      <c r="C396" s="1006">
        <v>0.20833333333333334</v>
      </c>
      <c r="D396" s="1071">
        <v>8</v>
      </c>
      <c r="E396" s="1255">
        <v>2</v>
      </c>
      <c r="F396" s="941"/>
      <c r="G396" s="1006">
        <v>0.29166666666666669</v>
      </c>
      <c r="H396" s="1006">
        <v>0.20833333333333334</v>
      </c>
      <c r="I396" s="1071">
        <v>8</v>
      </c>
      <c r="J396" s="1255">
        <v>2</v>
      </c>
      <c r="K396" s="941"/>
      <c r="L396" s="1006">
        <v>0.29166666666666669</v>
      </c>
      <c r="M396" s="1006">
        <v>0.125</v>
      </c>
      <c r="N396" s="1071">
        <v>8</v>
      </c>
      <c r="O396" s="1255"/>
      <c r="P396" s="941"/>
      <c r="Q396" s="1006">
        <v>0.29166666666666669</v>
      </c>
      <c r="R396" s="1006">
        <v>0.125</v>
      </c>
      <c r="S396" s="1071">
        <v>8</v>
      </c>
      <c r="T396" s="1255"/>
      <c r="U396" s="941"/>
      <c r="V396" s="1006">
        <v>0.29166666666666669</v>
      </c>
      <c r="W396" s="1006">
        <v>0.22916666666666666</v>
      </c>
      <c r="X396" s="1071">
        <v>8</v>
      </c>
      <c r="Y396" s="1255">
        <v>2.5</v>
      </c>
      <c r="Z396" s="1041">
        <f t="shared" ref="Z396:Z416" si="92">D396+I396+N396+S396+X396</f>
        <v>40</v>
      </c>
      <c r="AA396" s="1077">
        <f t="shared" ref="AA396:AA416" si="93">E396+J396+O396+T396+Y396</f>
        <v>6.5</v>
      </c>
      <c r="AB396" s="941"/>
      <c r="AC396" s="1289"/>
      <c r="AD396" s="1289"/>
      <c r="AE396" s="1071"/>
      <c r="AF396" s="941"/>
      <c r="AG396" s="1289"/>
      <c r="AH396" s="1289"/>
      <c r="AI396" s="1071"/>
      <c r="AJ396" s="1041">
        <f t="shared" ref="AJ396:AJ416" si="94">SUM(AE396+AI396)</f>
        <v>0</v>
      </c>
      <c r="AK396" s="941"/>
      <c r="AL396" s="943"/>
      <c r="AM396" s="940"/>
      <c r="AN396" s="992" t="s">
        <v>1421</v>
      </c>
      <c r="AO396" s="1005">
        <f>Z418</f>
        <v>120</v>
      </c>
      <c r="AP396" s="994">
        <v>60.47</v>
      </c>
      <c r="AQ396" s="994">
        <f t="shared" si="91"/>
        <v>7256.4</v>
      </c>
      <c r="AR396" s="954"/>
      <c r="AS396" s="954"/>
      <c r="AT396" s="940"/>
      <c r="AU396" s="1356"/>
      <c r="AV396" s="1357"/>
      <c r="AW396" s="1357"/>
      <c r="AX396" s="1358"/>
      <c r="AY396" s="1435"/>
      <c r="AZ396" s="1435"/>
      <c r="BA396" s="1435"/>
      <c r="BB396" s="1435"/>
      <c r="BC396" s="1435"/>
      <c r="BD396" s="1435"/>
      <c r="BE396" s="1435"/>
    </row>
    <row r="397" spans="1:57" ht="15.75">
      <c r="A397" s="1486" t="s">
        <v>1426</v>
      </c>
      <c r="B397" s="1006">
        <v>0.29166666666666669</v>
      </c>
      <c r="C397" s="1006">
        <v>0.125</v>
      </c>
      <c r="D397" s="1071">
        <v>8</v>
      </c>
      <c r="E397" s="1255"/>
      <c r="F397" s="941"/>
      <c r="G397" s="1006">
        <v>0.29166666666666669</v>
      </c>
      <c r="H397" s="1006">
        <v>0.125</v>
      </c>
      <c r="I397" s="1071">
        <v>8</v>
      </c>
      <c r="J397" s="1255"/>
      <c r="K397" s="941"/>
      <c r="L397" s="1006">
        <v>0.29166666666666669</v>
      </c>
      <c r="M397" s="1006">
        <v>0.125</v>
      </c>
      <c r="N397" s="1071">
        <v>8</v>
      </c>
      <c r="O397" s="1255"/>
      <c r="P397" s="941"/>
      <c r="Q397" s="1006">
        <v>0.29166666666666669</v>
      </c>
      <c r="R397" s="1006">
        <v>0.125</v>
      </c>
      <c r="S397" s="1071">
        <v>8</v>
      </c>
      <c r="T397" s="1255"/>
      <c r="U397" s="941"/>
      <c r="V397" s="1006">
        <v>0.29166666666666669</v>
      </c>
      <c r="W397" s="1006">
        <v>0.125</v>
      </c>
      <c r="X397" s="1071">
        <v>8</v>
      </c>
      <c r="Y397" s="1255"/>
      <c r="Z397" s="1041">
        <f t="shared" si="92"/>
        <v>40</v>
      </c>
      <c r="AA397" s="1077">
        <f t="shared" si="93"/>
        <v>0</v>
      </c>
      <c r="AB397" s="941"/>
      <c r="AC397" s="1006"/>
      <c r="AD397" s="1006"/>
      <c r="AE397" s="1071"/>
      <c r="AF397" s="941"/>
      <c r="AG397" s="1006"/>
      <c r="AH397" s="1006"/>
      <c r="AI397" s="1071"/>
      <c r="AJ397" s="1041">
        <f t="shared" si="94"/>
        <v>0</v>
      </c>
      <c r="AK397" s="941"/>
      <c r="AL397" s="943"/>
      <c r="AM397" s="940"/>
      <c r="AN397" s="992" t="s">
        <v>30</v>
      </c>
      <c r="AO397" s="1005">
        <f>AA417</f>
        <v>34.5</v>
      </c>
      <c r="AP397" s="994">
        <v>60.465000000000003</v>
      </c>
      <c r="AQ397" s="994">
        <f t="shared" si="91"/>
        <v>2086.0425</v>
      </c>
      <c r="AR397" s="954"/>
      <c r="AS397" s="954"/>
      <c r="AT397" s="940"/>
      <c r="AU397" s="1359"/>
      <c r="AV397" s="1365" t="s">
        <v>1483</v>
      </c>
      <c r="AW397" s="1366"/>
      <c r="AX397" s="1360"/>
      <c r="AY397" s="1435"/>
      <c r="AZ397" s="1435"/>
      <c r="BA397" s="1435"/>
      <c r="BB397" s="1435"/>
      <c r="BC397" s="1435"/>
      <c r="BD397" s="1435"/>
      <c r="BE397" s="1435"/>
    </row>
    <row r="398" spans="1:57" ht="15.75">
      <c r="A398" s="1486" t="s">
        <v>1060</v>
      </c>
      <c r="B398" s="1006">
        <v>0.29166666666666669</v>
      </c>
      <c r="C398" s="1006">
        <v>0.125</v>
      </c>
      <c r="D398" s="1071">
        <v>8</v>
      </c>
      <c r="E398" s="1255"/>
      <c r="F398" s="941"/>
      <c r="G398" s="1006">
        <v>0.29166666666666669</v>
      </c>
      <c r="H398" s="1006"/>
      <c r="I398" s="1071">
        <v>8</v>
      </c>
      <c r="J398" s="1255"/>
      <c r="K398" s="941"/>
      <c r="L398" s="1006">
        <v>0.29166666666666669</v>
      </c>
      <c r="M398" s="1006">
        <v>0.125</v>
      </c>
      <c r="N398" s="1071">
        <v>8</v>
      </c>
      <c r="O398" s="1255"/>
      <c r="P398" s="941"/>
      <c r="Q398" s="1006">
        <v>0.29166666666666669</v>
      </c>
      <c r="R398" s="1006">
        <v>0.125</v>
      </c>
      <c r="S398" s="1071">
        <v>8</v>
      </c>
      <c r="T398" s="1255"/>
      <c r="U398" s="941"/>
      <c r="V398" s="1006">
        <v>0.29166666666666669</v>
      </c>
      <c r="W398" s="1006">
        <v>0.125</v>
      </c>
      <c r="X398" s="1071">
        <v>8</v>
      </c>
      <c r="Y398" s="1255"/>
      <c r="Z398" s="1041">
        <f t="shared" si="92"/>
        <v>40</v>
      </c>
      <c r="AA398" s="1077">
        <f t="shared" si="93"/>
        <v>0</v>
      </c>
      <c r="AB398" s="941"/>
      <c r="AC398" s="1006"/>
      <c r="AD398" s="1006"/>
      <c r="AE398" s="1071"/>
      <c r="AF398" s="941"/>
      <c r="AG398" s="1006"/>
      <c r="AH398" s="1006"/>
      <c r="AI398" s="1071"/>
      <c r="AJ398" s="1041">
        <f t="shared" si="94"/>
        <v>0</v>
      </c>
      <c r="AK398" s="941"/>
      <c r="AL398" s="943"/>
      <c r="AM398" s="940"/>
      <c r="AN398" s="992" t="s">
        <v>32</v>
      </c>
      <c r="AO398" s="1005">
        <f>AJ417</f>
        <v>23</v>
      </c>
      <c r="AP398" s="994">
        <v>60.465000000000003</v>
      </c>
      <c r="AQ398" s="994">
        <f t="shared" si="91"/>
        <v>1390.6950000000002</v>
      </c>
      <c r="AR398" s="954"/>
      <c r="AS398" s="954"/>
      <c r="AT398" s="940"/>
      <c r="AU398" s="1361"/>
      <c r="AV398" s="1367" t="s">
        <v>1484</v>
      </c>
      <c r="AW398" s="1368"/>
      <c r="AX398" s="1360"/>
      <c r="AY398" s="1435"/>
      <c r="AZ398" s="1435"/>
      <c r="BA398" s="1435"/>
      <c r="BB398" s="1435"/>
      <c r="BC398" s="1435"/>
      <c r="BD398" s="1435"/>
      <c r="BE398" s="1435"/>
    </row>
    <row r="399" spans="1:57" ht="15.75">
      <c r="A399" s="1487" t="s">
        <v>1438</v>
      </c>
      <c r="B399" s="1006">
        <v>0.29166666666666669</v>
      </c>
      <c r="C399" s="1006">
        <v>0.125</v>
      </c>
      <c r="D399" s="1071">
        <v>8</v>
      </c>
      <c r="E399" s="1255"/>
      <c r="F399" s="941"/>
      <c r="G399" s="1006">
        <v>0.29166666666666669</v>
      </c>
      <c r="H399" s="1006">
        <v>0.125</v>
      </c>
      <c r="I399" s="1071">
        <v>8</v>
      </c>
      <c r="J399" s="1255"/>
      <c r="K399" s="941"/>
      <c r="L399" s="1006">
        <v>0.29166666666666669</v>
      </c>
      <c r="M399" s="1006">
        <v>0.125</v>
      </c>
      <c r="N399" s="1071">
        <v>8</v>
      </c>
      <c r="O399" s="1255"/>
      <c r="P399" s="941"/>
      <c r="Q399" s="1006">
        <v>0.29166666666666669</v>
      </c>
      <c r="R399" s="1006">
        <v>0.125</v>
      </c>
      <c r="S399" s="1071">
        <v>8</v>
      </c>
      <c r="T399" s="1255"/>
      <c r="U399" s="941"/>
      <c r="V399" s="1006">
        <v>0.29166666666666669</v>
      </c>
      <c r="W399" s="1006">
        <v>0.125</v>
      </c>
      <c r="X399" s="1071">
        <v>8</v>
      </c>
      <c r="Y399" s="1255"/>
      <c r="Z399" s="1041">
        <f t="shared" si="92"/>
        <v>40</v>
      </c>
      <c r="AA399" s="1077">
        <f t="shared" si="93"/>
        <v>0</v>
      </c>
      <c r="AB399" s="941"/>
      <c r="AC399" s="1006"/>
      <c r="AD399" s="1006"/>
      <c r="AE399" s="1071"/>
      <c r="AF399" s="941"/>
      <c r="AG399" s="1006"/>
      <c r="AH399" s="1006"/>
      <c r="AI399" s="1071"/>
      <c r="AJ399" s="1041">
        <f t="shared" si="94"/>
        <v>0</v>
      </c>
      <c r="AK399" s="941"/>
      <c r="AL399" s="943"/>
      <c r="AM399" s="940"/>
      <c r="AN399" s="1260" t="s">
        <v>1475</v>
      </c>
      <c r="AO399" s="1261">
        <f>AA418+AJ418</f>
        <v>0</v>
      </c>
      <c r="AP399" s="1262">
        <f>(60.47*1.5)</f>
        <v>90.704999999999998</v>
      </c>
      <c r="AQ399" s="1262">
        <f t="shared" si="91"/>
        <v>0</v>
      </c>
      <c r="AR399" s="954"/>
      <c r="AS399" s="954"/>
      <c r="AT399" s="940"/>
      <c r="AU399" s="1361"/>
      <c r="AV399" s="1371" t="s">
        <v>26</v>
      </c>
      <c r="AW399" s="1413"/>
      <c r="AX399" s="1360"/>
      <c r="AY399" s="1435"/>
      <c r="AZ399" s="1435"/>
      <c r="BA399" s="1435"/>
      <c r="BB399" s="1435"/>
      <c r="BC399" s="1435"/>
      <c r="BD399" s="1435"/>
      <c r="BE399" s="1435"/>
    </row>
    <row r="400" spans="1:57" ht="15.75">
      <c r="A400" s="1487" t="s">
        <v>327</v>
      </c>
      <c r="B400" s="1006">
        <v>0.125</v>
      </c>
      <c r="C400" s="1006">
        <v>0.45833333333333331</v>
      </c>
      <c r="D400" s="1071">
        <v>8</v>
      </c>
      <c r="E400" s="1255"/>
      <c r="F400" s="1013"/>
      <c r="G400" s="1006">
        <v>0.125</v>
      </c>
      <c r="H400" s="1006">
        <v>0.125</v>
      </c>
      <c r="I400" s="1071">
        <v>8</v>
      </c>
      <c r="J400" s="1255">
        <v>3.5</v>
      </c>
      <c r="K400" s="1013"/>
      <c r="L400" s="1006">
        <v>0.125</v>
      </c>
      <c r="M400" s="1006">
        <v>0.47916666666666669</v>
      </c>
      <c r="N400" s="1071">
        <v>8</v>
      </c>
      <c r="O400" s="1255">
        <v>0.5</v>
      </c>
      <c r="P400" s="1013"/>
      <c r="Q400" s="1006">
        <v>0.125</v>
      </c>
      <c r="R400" s="1006">
        <v>0.45833333333333331</v>
      </c>
      <c r="S400" s="1071">
        <v>8</v>
      </c>
      <c r="T400" s="1255"/>
      <c r="U400" s="1013"/>
      <c r="V400" s="1006">
        <v>0.125</v>
      </c>
      <c r="W400" s="1006">
        <v>0.45833333333333331</v>
      </c>
      <c r="X400" s="1071">
        <v>8</v>
      </c>
      <c r="Y400" s="1255"/>
      <c r="Z400" s="1041">
        <f t="shared" si="92"/>
        <v>40</v>
      </c>
      <c r="AA400" s="1077">
        <f t="shared" si="93"/>
        <v>4</v>
      </c>
      <c r="AB400" s="941"/>
      <c r="AC400" s="1006"/>
      <c r="AD400" s="1006"/>
      <c r="AE400" s="1071"/>
      <c r="AF400" s="941"/>
      <c r="AG400" s="1006"/>
      <c r="AH400" s="1006"/>
      <c r="AI400" s="1071"/>
      <c r="AJ400" s="1041">
        <f t="shared" si="94"/>
        <v>0</v>
      </c>
      <c r="AK400" s="941"/>
      <c r="AL400" s="943"/>
      <c r="AM400" s="940"/>
      <c r="AN400" s="992" t="s">
        <v>213</v>
      </c>
      <c r="AO400" s="1005">
        <f>Z419</f>
        <v>40</v>
      </c>
      <c r="AP400" s="994">
        <v>53.05</v>
      </c>
      <c r="AQ400" s="994">
        <f t="shared" si="91"/>
        <v>2122</v>
      </c>
      <c r="AR400" s="954"/>
      <c r="AS400" s="954"/>
      <c r="AT400" s="940"/>
      <c r="AU400" s="1361"/>
      <c r="AV400" s="1377" t="s">
        <v>1421</v>
      </c>
      <c r="AW400" s="1409"/>
      <c r="AX400" s="1360"/>
      <c r="AY400" s="1435"/>
      <c r="AZ400" s="1435"/>
      <c r="BA400" s="1435"/>
      <c r="BB400" s="1435"/>
      <c r="BC400" s="1435"/>
      <c r="BD400" s="1435"/>
      <c r="BE400" s="1435"/>
    </row>
    <row r="401" spans="1:57" ht="16.5" thickBot="1">
      <c r="A401" s="1489" t="s">
        <v>1436</v>
      </c>
      <c r="B401" s="1006">
        <v>0.125</v>
      </c>
      <c r="C401" s="1006">
        <v>0.45833333333333331</v>
      </c>
      <c r="D401" s="1071">
        <v>8</v>
      </c>
      <c r="E401" s="1255"/>
      <c r="F401" s="1013"/>
      <c r="G401" s="1006">
        <v>0.125</v>
      </c>
      <c r="H401" s="1006">
        <v>0.45833333333333331</v>
      </c>
      <c r="I401" s="1071">
        <v>8</v>
      </c>
      <c r="J401" s="1255"/>
      <c r="K401" s="1013"/>
      <c r="L401" s="1006">
        <v>0.125</v>
      </c>
      <c r="M401" s="1006">
        <v>0.45833333333333331</v>
      </c>
      <c r="N401" s="1071">
        <v>8</v>
      </c>
      <c r="O401" s="1255"/>
      <c r="P401" s="1013"/>
      <c r="Q401" s="1006">
        <v>0.125</v>
      </c>
      <c r="R401" s="1006">
        <v>0.45833333333333331</v>
      </c>
      <c r="S401" s="1071">
        <v>8</v>
      </c>
      <c r="T401" s="1255"/>
      <c r="U401" s="1013"/>
      <c r="V401" s="1006">
        <v>0.125</v>
      </c>
      <c r="W401" s="1006">
        <v>0.45833333333333331</v>
      </c>
      <c r="X401" s="1071">
        <v>8</v>
      </c>
      <c r="Y401" s="1255"/>
      <c r="Z401" s="1041">
        <f t="shared" si="92"/>
        <v>40</v>
      </c>
      <c r="AA401" s="1077">
        <f t="shared" si="93"/>
        <v>0</v>
      </c>
      <c r="AB401" s="941"/>
      <c r="AC401" s="1006"/>
      <c r="AD401" s="1006"/>
      <c r="AE401" s="1071"/>
      <c r="AF401" s="941"/>
      <c r="AG401" s="1006"/>
      <c r="AH401" s="1006"/>
      <c r="AI401" s="1071"/>
      <c r="AJ401" s="1041">
        <f t="shared" si="94"/>
        <v>0</v>
      </c>
      <c r="AK401" s="941"/>
      <c r="AL401" s="943"/>
      <c r="AM401" s="940"/>
      <c r="AN401" s="992" t="s">
        <v>36</v>
      </c>
      <c r="AO401" s="1005">
        <f>AA419+AJ419</f>
        <v>14.5</v>
      </c>
      <c r="AP401" s="994">
        <f>53.05*1.5</f>
        <v>79.574999999999989</v>
      </c>
      <c r="AQ401" s="994">
        <f t="shared" si="91"/>
        <v>1153.8374999999999</v>
      </c>
      <c r="AR401" s="954"/>
      <c r="AS401" s="954"/>
      <c r="AT401" s="940"/>
      <c r="AU401" s="1410"/>
      <c r="AV401" s="1411"/>
      <c r="AW401" s="1412"/>
      <c r="AX401" s="1364"/>
      <c r="AY401" s="1435"/>
      <c r="AZ401" s="1435"/>
      <c r="BA401" s="1435"/>
      <c r="BB401" s="1435"/>
      <c r="BC401" s="1435"/>
      <c r="BD401" s="1435"/>
      <c r="BE401" s="1435"/>
    </row>
    <row r="402" spans="1:57" ht="15.75">
      <c r="A402" s="1486" t="s">
        <v>1140</v>
      </c>
      <c r="B402" s="1006">
        <v>0.29166666666666669</v>
      </c>
      <c r="C402" s="1006">
        <v>0.45833333333333331</v>
      </c>
      <c r="D402" s="1071">
        <v>8</v>
      </c>
      <c r="E402" s="1255">
        <v>7</v>
      </c>
      <c r="F402" s="941"/>
      <c r="G402" s="1006">
        <v>0.125</v>
      </c>
      <c r="H402" s="1006">
        <v>0.45833333333333331</v>
      </c>
      <c r="I402" s="1071">
        <v>8</v>
      </c>
      <c r="J402" s="1255"/>
      <c r="K402" s="941"/>
      <c r="L402" s="1006">
        <v>0.125</v>
      </c>
      <c r="M402" s="1006">
        <v>0.45833333333333331</v>
      </c>
      <c r="N402" s="1071">
        <v>8</v>
      </c>
      <c r="O402" s="1255"/>
      <c r="P402" s="941"/>
      <c r="Q402" s="1006">
        <v>0.125</v>
      </c>
      <c r="R402" s="1006">
        <v>0.45833333333333331</v>
      </c>
      <c r="S402" s="1071">
        <v>8</v>
      </c>
      <c r="T402" s="1255"/>
      <c r="U402" s="941"/>
      <c r="V402" s="1006">
        <v>0.29166666666666669</v>
      </c>
      <c r="W402" s="1006">
        <v>0.45833333333333331</v>
      </c>
      <c r="X402" s="1071">
        <v>8</v>
      </c>
      <c r="Y402" s="1255">
        <v>7</v>
      </c>
      <c r="Z402" s="1041">
        <f t="shared" si="92"/>
        <v>40</v>
      </c>
      <c r="AA402" s="1077">
        <f t="shared" si="93"/>
        <v>14</v>
      </c>
      <c r="AB402" s="941"/>
      <c r="AC402" s="1006"/>
      <c r="AD402" s="1006"/>
      <c r="AE402" s="1071"/>
      <c r="AF402" s="941"/>
      <c r="AG402" s="1006"/>
      <c r="AH402" s="1006"/>
      <c r="AI402" s="1071"/>
      <c r="AJ402" s="1041">
        <f t="shared" si="94"/>
        <v>0</v>
      </c>
      <c r="AK402" s="941"/>
      <c r="AL402" s="943"/>
      <c r="AM402" s="940"/>
      <c r="AN402" s="954"/>
      <c r="AO402" s="954"/>
      <c r="AP402" s="954"/>
      <c r="AQ402" s="1094">
        <f>SUM(AQ395:AQ401)</f>
        <v>36733.737500000003</v>
      </c>
      <c r="AR402" s="954"/>
      <c r="AS402" s="954"/>
      <c r="AT402" s="940"/>
      <c r="AU402" s="940"/>
      <c r="AV402" s="1009"/>
      <c r="AW402" s="1027"/>
      <c r="AX402" s="1265"/>
      <c r="AY402" s="1435"/>
      <c r="AZ402" s="1435"/>
      <c r="BA402" s="1435"/>
      <c r="BB402" s="1435"/>
      <c r="BC402" s="1435"/>
      <c r="BD402" s="1435"/>
      <c r="BE402" s="1435"/>
    </row>
    <row r="403" spans="1:57" ht="15.75">
      <c r="A403" s="1486" t="s">
        <v>1479</v>
      </c>
      <c r="B403" s="1006"/>
      <c r="C403" s="1006"/>
      <c r="D403" s="1071">
        <v>0</v>
      </c>
      <c r="E403" s="1255"/>
      <c r="F403" s="1013"/>
      <c r="G403" s="1006">
        <v>0.125</v>
      </c>
      <c r="H403" s="1006">
        <v>0.41666666666666669</v>
      </c>
      <c r="I403" s="1071">
        <v>6.5</v>
      </c>
      <c r="J403" s="1255"/>
      <c r="K403" s="1013"/>
      <c r="L403" s="1006">
        <v>0.125</v>
      </c>
      <c r="M403" s="1006">
        <v>0.41666666666666669</v>
      </c>
      <c r="N403" s="1071">
        <v>6.5</v>
      </c>
      <c r="O403" s="1255"/>
      <c r="P403" s="1013"/>
      <c r="Q403" s="1006">
        <v>0.29166666666666669</v>
      </c>
      <c r="R403" s="1006">
        <v>0.25</v>
      </c>
      <c r="S403" s="1071">
        <v>8</v>
      </c>
      <c r="T403" s="1255">
        <v>2</v>
      </c>
      <c r="U403" s="1013"/>
      <c r="V403" s="1006">
        <v>0.375</v>
      </c>
      <c r="W403" s="1006">
        <v>0.16666666666666666</v>
      </c>
      <c r="X403" s="1071">
        <v>6.5</v>
      </c>
      <c r="Y403" s="1255"/>
      <c r="Z403" s="1041">
        <f t="shared" si="92"/>
        <v>27.5</v>
      </c>
      <c r="AA403" s="1077">
        <f t="shared" si="93"/>
        <v>2</v>
      </c>
      <c r="AB403" s="941"/>
      <c r="AC403" s="1006">
        <v>0.29166666666666669</v>
      </c>
      <c r="AD403" s="1006">
        <v>0.22916666666666666</v>
      </c>
      <c r="AE403" s="1071">
        <v>9.5</v>
      </c>
      <c r="AF403" s="941"/>
      <c r="AG403" s="1006"/>
      <c r="AH403" s="1006"/>
      <c r="AI403" s="1071"/>
      <c r="AJ403" s="1041">
        <f t="shared" si="94"/>
        <v>9.5</v>
      </c>
      <c r="AK403" s="941"/>
      <c r="AL403" s="943"/>
      <c r="AM403" s="940"/>
      <c r="AN403" s="954"/>
      <c r="AO403" s="954"/>
      <c r="AP403" s="954"/>
      <c r="AQ403" s="954"/>
      <c r="AR403" s="954"/>
      <c r="AS403" s="954"/>
      <c r="AT403" s="940"/>
      <c r="AU403" s="940"/>
      <c r="AV403" s="1027"/>
      <c r="AW403" s="1027"/>
      <c r="AX403" s="1265"/>
      <c r="AY403" s="1435"/>
      <c r="AZ403" s="1435"/>
      <c r="BA403" s="1435"/>
      <c r="BB403" s="1435"/>
      <c r="BC403" s="1435"/>
      <c r="BD403" s="1435"/>
      <c r="BE403" s="1435"/>
    </row>
    <row r="404" spans="1:57" ht="15.75">
      <c r="A404" s="1405" t="s">
        <v>1143</v>
      </c>
      <c r="B404" s="1006"/>
      <c r="C404" s="1006"/>
      <c r="D404" s="1071">
        <v>0</v>
      </c>
      <c r="E404" s="1255"/>
      <c r="F404" s="1013"/>
      <c r="G404" s="1006"/>
      <c r="H404" s="1006"/>
      <c r="I404" s="1071">
        <v>0</v>
      </c>
      <c r="J404" s="1255"/>
      <c r="K404" s="1013"/>
      <c r="L404" s="1006"/>
      <c r="M404" s="1006"/>
      <c r="N404" s="1071">
        <v>0</v>
      </c>
      <c r="O404" s="1255"/>
      <c r="P404" s="1013"/>
      <c r="Q404" s="1006"/>
      <c r="R404" s="1006"/>
      <c r="S404" s="1071">
        <v>0</v>
      </c>
      <c r="T404" s="1255"/>
      <c r="U404" s="1013"/>
      <c r="V404" s="1006"/>
      <c r="W404" s="1006"/>
      <c r="X404" s="1071">
        <v>0</v>
      </c>
      <c r="Y404" s="1255"/>
      <c r="Z404" s="1041">
        <f t="shared" si="92"/>
        <v>0</v>
      </c>
      <c r="AA404" s="1077">
        <f t="shared" si="93"/>
        <v>0</v>
      </c>
      <c r="AB404" s="941"/>
      <c r="AC404" s="1006"/>
      <c r="AD404" s="1006"/>
      <c r="AE404" s="1071"/>
      <c r="AF404" s="941"/>
      <c r="AG404" s="1006">
        <v>0.29166666666666669</v>
      </c>
      <c r="AH404" s="1006">
        <v>0.22916666666666666</v>
      </c>
      <c r="AI404" s="1071">
        <v>9.5</v>
      </c>
      <c r="AJ404" s="1041">
        <f t="shared" si="94"/>
        <v>9.5</v>
      </c>
      <c r="AK404" s="941"/>
      <c r="AL404" s="943"/>
      <c r="AM404" s="940"/>
      <c r="AN404" s="954"/>
      <c r="AO404" s="954"/>
      <c r="AP404" s="954"/>
      <c r="AQ404" s="954"/>
      <c r="AR404" s="954"/>
      <c r="AS404" s="954"/>
      <c r="AT404" s="940"/>
      <c r="AU404" s="940"/>
      <c r="AV404" s="1265"/>
      <c r="AW404" s="1265"/>
      <c r="AX404" s="1265"/>
      <c r="AY404" s="1435"/>
      <c r="AZ404" s="1435"/>
      <c r="BA404" s="1435"/>
      <c r="BB404" s="1435"/>
      <c r="BC404" s="1435"/>
      <c r="BD404" s="1435"/>
      <c r="BE404" s="1435"/>
    </row>
    <row r="405" spans="1:57" ht="15.75">
      <c r="A405" s="1405" t="s">
        <v>813</v>
      </c>
      <c r="B405" s="1006"/>
      <c r="C405" s="1006"/>
      <c r="D405" s="1071">
        <v>4</v>
      </c>
      <c r="E405" s="1255"/>
      <c r="F405" s="941"/>
      <c r="G405" s="1006"/>
      <c r="H405" s="1006"/>
      <c r="I405" s="1071">
        <v>4</v>
      </c>
      <c r="J405" s="1255"/>
      <c r="K405" s="941"/>
      <c r="L405" s="1006"/>
      <c r="M405" s="1006"/>
      <c r="N405" s="1071">
        <v>4</v>
      </c>
      <c r="O405" s="1255"/>
      <c r="P405" s="941"/>
      <c r="Q405" s="1006"/>
      <c r="R405" s="1006"/>
      <c r="S405" s="1071">
        <v>4</v>
      </c>
      <c r="T405" s="1255"/>
      <c r="U405" s="941"/>
      <c r="V405" s="1006"/>
      <c r="W405" s="1006"/>
      <c r="X405" s="1071">
        <v>4</v>
      </c>
      <c r="Y405" s="1255"/>
      <c r="Z405" s="1041">
        <f t="shared" si="92"/>
        <v>20</v>
      </c>
      <c r="AA405" s="1077">
        <f t="shared" si="93"/>
        <v>0</v>
      </c>
      <c r="AB405" s="941"/>
      <c r="AC405" s="1006"/>
      <c r="AD405" s="1006"/>
      <c r="AE405" s="1071"/>
      <c r="AF405" s="941"/>
      <c r="AG405" s="1006"/>
      <c r="AH405" s="1006"/>
      <c r="AI405" s="1071"/>
      <c r="AJ405" s="1041">
        <f t="shared" si="94"/>
        <v>0</v>
      </c>
      <c r="AK405" s="941"/>
      <c r="AL405" s="943"/>
      <c r="AM405" s="940"/>
      <c r="AN405" s="954"/>
      <c r="AO405" s="954"/>
      <c r="AP405" s="954"/>
      <c r="AQ405" s="954"/>
      <c r="AR405" s="954"/>
      <c r="AS405" s="954"/>
      <c r="AT405" s="940"/>
      <c r="AU405" s="1265"/>
      <c r="AV405" s="1265"/>
      <c r="AW405" s="1265"/>
      <c r="AX405" s="1265"/>
      <c r="AY405" s="1435"/>
      <c r="AZ405" s="1435"/>
      <c r="BA405" s="1435"/>
      <c r="BB405" s="1435"/>
      <c r="BC405" s="1435"/>
      <c r="BD405" s="1435"/>
      <c r="BE405" s="1435"/>
    </row>
    <row r="406" spans="1:57" ht="15.75">
      <c r="A406" s="1405" t="s">
        <v>1431</v>
      </c>
      <c r="B406" s="1006"/>
      <c r="C406" s="1006"/>
      <c r="D406" s="1071">
        <v>4</v>
      </c>
      <c r="E406" s="1255"/>
      <c r="F406" s="941"/>
      <c r="G406" s="1006"/>
      <c r="H406" s="1006"/>
      <c r="I406" s="1071">
        <v>4</v>
      </c>
      <c r="J406" s="1255"/>
      <c r="K406" s="941"/>
      <c r="L406" s="1006"/>
      <c r="M406" s="1006"/>
      <c r="N406" s="1071">
        <v>4</v>
      </c>
      <c r="O406" s="1255"/>
      <c r="P406" s="941"/>
      <c r="Q406" s="1006"/>
      <c r="R406" s="1006"/>
      <c r="S406" s="1071">
        <v>4</v>
      </c>
      <c r="T406" s="1255"/>
      <c r="U406" s="941"/>
      <c r="V406" s="1006"/>
      <c r="W406" s="1006"/>
      <c r="X406" s="1071">
        <v>4</v>
      </c>
      <c r="Y406" s="1255"/>
      <c r="Z406" s="1041">
        <f t="shared" si="92"/>
        <v>20</v>
      </c>
      <c r="AA406" s="1077">
        <f t="shared" si="93"/>
        <v>0</v>
      </c>
      <c r="AB406" s="941"/>
      <c r="AC406" s="1006"/>
      <c r="AD406" s="1006"/>
      <c r="AE406" s="1071"/>
      <c r="AF406" s="941"/>
      <c r="AG406" s="1006"/>
      <c r="AH406" s="1006"/>
      <c r="AI406" s="1071"/>
      <c r="AJ406" s="1041">
        <f t="shared" si="94"/>
        <v>0</v>
      </c>
      <c r="AK406" s="941"/>
      <c r="AL406" s="943"/>
      <c r="AM406" s="940"/>
      <c r="AN406" s="992"/>
      <c r="AO406" s="1005"/>
      <c r="AP406" s="994"/>
      <c r="AQ406" s="994"/>
      <c r="AR406" s="954"/>
      <c r="AS406" s="954"/>
      <c r="AT406" s="940"/>
      <c r="AU406" s="1435"/>
      <c r="AV406" s="1435"/>
      <c r="AW406" s="1435"/>
      <c r="AX406" s="1435"/>
      <c r="AY406" s="1435"/>
      <c r="AZ406" s="1435"/>
      <c r="BA406" s="1435"/>
      <c r="BB406" s="1435"/>
      <c r="BC406" s="1435"/>
      <c r="BD406" s="1435"/>
      <c r="BE406" s="1435"/>
    </row>
    <row r="407" spans="1:57" ht="15.75">
      <c r="A407" s="1408" t="s">
        <v>1482</v>
      </c>
      <c r="B407" s="1398"/>
      <c r="C407" s="1398"/>
      <c r="D407" s="1396">
        <v>0</v>
      </c>
      <c r="E407" s="1396"/>
      <c r="F407" s="1399"/>
      <c r="G407" s="1398">
        <v>0.29166666666666669</v>
      </c>
      <c r="H407" s="1398">
        <v>0.125</v>
      </c>
      <c r="I407" s="1396">
        <v>8</v>
      </c>
      <c r="J407" s="1396"/>
      <c r="K407" s="1399"/>
      <c r="L407" s="1398">
        <v>0.29166666666666669</v>
      </c>
      <c r="M407" s="1398">
        <v>0.125</v>
      </c>
      <c r="N407" s="1396">
        <v>8</v>
      </c>
      <c r="O407" s="1396"/>
      <c r="P407" s="1399"/>
      <c r="Q407" s="1398">
        <v>0.29166666666666669</v>
      </c>
      <c r="R407" s="1398">
        <v>0.125</v>
      </c>
      <c r="S407" s="1396">
        <v>8</v>
      </c>
      <c r="T407" s="1396"/>
      <c r="U407" s="1399"/>
      <c r="V407" s="1398">
        <v>0.41666666666666669</v>
      </c>
      <c r="W407" s="1398">
        <v>0.20833333333333334</v>
      </c>
      <c r="X407" s="1396">
        <v>6.5</v>
      </c>
      <c r="Y407" s="1396"/>
      <c r="Z407" s="1041">
        <f t="shared" ref="Z407:AA413" si="95">D407+I407+N407+S407+X407</f>
        <v>30.5</v>
      </c>
      <c r="AA407" s="1077">
        <f t="shared" si="95"/>
        <v>0</v>
      </c>
      <c r="AB407" s="941"/>
      <c r="AC407" s="1006"/>
      <c r="AD407" s="1006"/>
      <c r="AE407" s="1071"/>
      <c r="AF407" s="941"/>
      <c r="AG407" s="1006"/>
      <c r="AH407" s="1006"/>
      <c r="AI407" s="1071"/>
      <c r="AJ407" s="1041">
        <f t="shared" ref="AJ407:AJ413" si="96">SUM(AE407+AI407)</f>
        <v>0</v>
      </c>
      <c r="AK407" s="941"/>
      <c r="AL407" s="943"/>
      <c r="AM407" s="940"/>
      <c r="AN407" s="992"/>
      <c r="AO407" s="1005"/>
      <c r="AP407" s="994"/>
      <c r="AQ407" s="994"/>
      <c r="AR407" s="954"/>
      <c r="AS407" s="954"/>
      <c r="AT407" s="940"/>
      <c r="AU407" s="1435"/>
      <c r="AV407" s="1435"/>
      <c r="AW407" s="1435"/>
      <c r="AX407" s="1435"/>
      <c r="AY407" s="1435"/>
      <c r="AZ407" s="1435"/>
      <c r="BA407" s="1435"/>
      <c r="BB407" s="1435"/>
      <c r="BC407" s="1435"/>
      <c r="BD407" s="1435"/>
      <c r="BE407" s="1435"/>
    </row>
    <row r="408" spans="1:57" ht="15.75">
      <c r="A408" s="1408" t="s">
        <v>1145</v>
      </c>
      <c r="B408" s="1398">
        <v>0.29166666666666669</v>
      </c>
      <c r="C408" s="1398">
        <v>0.20833333333333334</v>
      </c>
      <c r="D408" s="1396">
        <v>8</v>
      </c>
      <c r="E408" s="1396">
        <v>2</v>
      </c>
      <c r="F408" s="1399"/>
      <c r="G408" s="1398">
        <v>4.1666666666666664E-2</v>
      </c>
      <c r="H408" s="1398">
        <v>0.45833333333333331</v>
      </c>
      <c r="I408" s="1396">
        <v>8</v>
      </c>
      <c r="J408" s="1396">
        <v>1</v>
      </c>
      <c r="K408" s="1396"/>
      <c r="L408" s="1398">
        <v>0.125</v>
      </c>
      <c r="M408" s="1398">
        <v>0.45833333333333331</v>
      </c>
      <c r="N408" s="1396">
        <v>8</v>
      </c>
      <c r="O408" s="1396"/>
      <c r="P408" s="1396"/>
      <c r="Q408" s="1398">
        <v>0.125</v>
      </c>
      <c r="R408" s="1398">
        <v>0.45833333333333331</v>
      </c>
      <c r="S408" s="1396">
        <v>8</v>
      </c>
      <c r="T408" s="1396"/>
      <c r="U408" s="1396"/>
      <c r="V408" s="1398">
        <v>0.41666666666666669</v>
      </c>
      <c r="W408" s="1398">
        <v>0.45833333333333331</v>
      </c>
      <c r="X408" s="1396">
        <v>8</v>
      </c>
      <c r="Y408" s="1396">
        <v>4</v>
      </c>
      <c r="Z408" s="1041">
        <f t="shared" si="95"/>
        <v>40</v>
      </c>
      <c r="AA408" s="1077">
        <f t="shared" si="95"/>
        <v>7</v>
      </c>
      <c r="AB408" s="941"/>
      <c r="AC408" s="1006"/>
      <c r="AD408" s="1006"/>
      <c r="AE408" s="1071"/>
      <c r="AF408" s="941"/>
      <c r="AG408" s="1006"/>
      <c r="AH408" s="1006"/>
      <c r="AI408" s="1071"/>
      <c r="AJ408" s="1041">
        <f t="shared" si="96"/>
        <v>0</v>
      </c>
      <c r="AK408" s="941"/>
      <c r="AL408" s="943"/>
      <c r="AM408" s="940"/>
      <c r="AN408" s="992"/>
      <c r="AO408" s="1005"/>
      <c r="AP408" s="994"/>
      <c r="AQ408" s="994"/>
      <c r="AR408" s="954"/>
      <c r="AS408" s="954"/>
      <c r="AT408" s="940"/>
      <c r="AU408" s="1435"/>
      <c r="AV408" s="1435"/>
      <c r="AW408" s="1435"/>
      <c r="AX408" s="1435"/>
      <c r="AY408" s="1435"/>
      <c r="AZ408" s="1435"/>
      <c r="BA408" s="1435"/>
      <c r="BB408" s="1435"/>
      <c r="BC408" s="1435"/>
      <c r="BD408" s="1435"/>
      <c r="BE408" s="1435"/>
    </row>
    <row r="409" spans="1:57" ht="15.75">
      <c r="A409" s="1408" t="s">
        <v>1447</v>
      </c>
      <c r="B409" s="1398">
        <v>0.125</v>
      </c>
      <c r="C409" s="1398">
        <v>0.45833333333333331</v>
      </c>
      <c r="D409" s="1396">
        <v>8</v>
      </c>
      <c r="E409" s="1396"/>
      <c r="F409" s="1399"/>
      <c r="G409" s="1398">
        <v>0.125</v>
      </c>
      <c r="H409" s="1398">
        <v>0.45833333333333331</v>
      </c>
      <c r="I409" s="1396">
        <v>8</v>
      </c>
      <c r="J409" s="1396"/>
      <c r="K409" s="1396"/>
      <c r="L409" s="1400">
        <v>0.125</v>
      </c>
      <c r="M409" s="1400">
        <v>0.45833333333333331</v>
      </c>
      <c r="N409" s="1396">
        <v>8</v>
      </c>
      <c r="O409" s="1396"/>
      <c r="P409" s="1396"/>
      <c r="Q409" s="1398">
        <v>0.125</v>
      </c>
      <c r="R409" s="1398">
        <v>0.45833333333333331</v>
      </c>
      <c r="S409" s="1396">
        <v>8</v>
      </c>
      <c r="T409" s="1396"/>
      <c r="U409" s="1396"/>
      <c r="V409" s="1398">
        <v>0.125</v>
      </c>
      <c r="W409" s="1398">
        <v>0.45833333333333331</v>
      </c>
      <c r="X409" s="1396">
        <v>8</v>
      </c>
      <c r="Y409" s="1396"/>
      <c r="Z409" s="1041">
        <f t="shared" si="95"/>
        <v>40</v>
      </c>
      <c r="AA409" s="1077">
        <f t="shared" si="95"/>
        <v>0</v>
      </c>
      <c r="AB409" s="941"/>
      <c r="AC409" s="1006"/>
      <c r="AD409" s="1006"/>
      <c r="AE409" s="1071"/>
      <c r="AF409" s="941"/>
      <c r="AG409" s="1006"/>
      <c r="AH409" s="1006"/>
      <c r="AI409" s="1071"/>
      <c r="AJ409" s="1041">
        <f t="shared" si="96"/>
        <v>0</v>
      </c>
      <c r="AK409" s="941"/>
      <c r="AL409" s="943"/>
      <c r="AM409" s="940"/>
      <c r="AN409" s="992"/>
      <c r="AO409" s="1005"/>
      <c r="AP409" s="994"/>
      <c r="AQ409" s="994"/>
      <c r="AR409" s="954"/>
      <c r="AS409" s="954"/>
      <c r="AT409" s="940"/>
      <c r="AU409" s="1435"/>
      <c r="AV409" s="1435"/>
      <c r="AW409" s="1435"/>
      <c r="AX409" s="1435"/>
      <c r="AY409" s="1435"/>
      <c r="AZ409" s="1435"/>
      <c r="BA409" s="1435"/>
      <c r="BB409" s="1435"/>
      <c r="BC409" s="1435"/>
      <c r="BD409" s="1435"/>
      <c r="BE409" s="1435"/>
    </row>
    <row r="410" spans="1:57" ht="15.75">
      <c r="A410" s="1408" t="s">
        <v>1141</v>
      </c>
      <c r="B410" s="1398"/>
      <c r="C410" s="1398"/>
      <c r="D410" s="1396">
        <v>0</v>
      </c>
      <c r="E410" s="1396"/>
      <c r="F410" s="1396"/>
      <c r="G410" s="1398"/>
      <c r="H410" s="1398"/>
      <c r="I410" s="1396">
        <v>0</v>
      </c>
      <c r="J410" s="1396"/>
      <c r="K410" s="1396"/>
      <c r="L410" s="1398">
        <v>0.25</v>
      </c>
      <c r="M410" s="1398">
        <v>8.3333333333333329E-2</v>
      </c>
      <c r="N410" s="1396">
        <v>7.5</v>
      </c>
      <c r="O410" s="1396"/>
      <c r="P410" s="1396"/>
      <c r="Q410" s="1398">
        <v>0.41666666666666669</v>
      </c>
      <c r="R410" s="1398">
        <v>0.33333333333333331</v>
      </c>
      <c r="S410" s="1396">
        <v>8</v>
      </c>
      <c r="T410" s="1396">
        <v>1</v>
      </c>
      <c r="U410" s="1396"/>
      <c r="V410" s="1398">
        <v>0.41666666666666669</v>
      </c>
      <c r="W410" s="1398">
        <v>0.20833333333333334</v>
      </c>
      <c r="X410" s="1396">
        <v>6</v>
      </c>
      <c r="Y410" s="1396"/>
      <c r="Z410" s="1041">
        <f t="shared" si="95"/>
        <v>21.5</v>
      </c>
      <c r="AA410" s="1077">
        <f t="shared" si="95"/>
        <v>1</v>
      </c>
      <c r="AB410" s="941"/>
      <c r="AC410" s="1398">
        <v>6.25E-2</v>
      </c>
      <c r="AD410" s="1398">
        <v>0.22916666666666666</v>
      </c>
      <c r="AE410" s="1396">
        <v>4</v>
      </c>
      <c r="AF410" s="941"/>
      <c r="AG410" s="1006"/>
      <c r="AH410" s="1006"/>
      <c r="AI410" s="1071"/>
      <c r="AJ410" s="1041">
        <f t="shared" si="96"/>
        <v>4</v>
      </c>
      <c r="AK410" s="941"/>
      <c r="AL410" s="943"/>
      <c r="AM410" s="940"/>
      <c r="AN410" s="992"/>
      <c r="AO410" s="1005"/>
      <c r="AP410" s="994"/>
      <c r="AQ410" s="994"/>
      <c r="AR410" s="954"/>
      <c r="AS410" s="954"/>
      <c r="AT410" s="940"/>
      <c r="AU410" s="1435"/>
      <c r="AV410" s="1435"/>
      <c r="AW410" s="1435"/>
      <c r="AX410" s="1435"/>
      <c r="AY410" s="1435"/>
      <c r="AZ410" s="1435"/>
      <c r="BA410" s="1435"/>
      <c r="BB410" s="1435"/>
      <c r="BC410" s="1435"/>
      <c r="BD410" s="1435"/>
      <c r="BE410" s="1435"/>
    </row>
    <row r="411" spans="1:57" ht="15.75">
      <c r="A411" s="1408" t="s">
        <v>1477</v>
      </c>
      <c r="B411" s="1398">
        <v>0.375</v>
      </c>
      <c r="C411" s="1398">
        <v>0.20833333333333334</v>
      </c>
      <c r="D411" s="1396">
        <v>7</v>
      </c>
      <c r="E411" s="1396"/>
      <c r="F411" s="1396"/>
      <c r="G411" s="1398">
        <v>0.375</v>
      </c>
      <c r="H411" s="1398">
        <v>0.20833333333333334</v>
      </c>
      <c r="I411" s="1396">
        <v>7</v>
      </c>
      <c r="J411" s="1396"/>
      <c r="K411" s="1396"/>
      <c r="L411" s="1398">
        <v>0.38541666666666669</v>
      </c>
      <c r="M411" s="1398">
        <v>0.20833333333333334</v>
      </c>
      <c r="N411" s="1396">
        <v>6.75</v>
      </c>
      <c r="O411" s="1396"/>
      <c r="P411" s="1396"/>
      <c r="Q411" s="1398">
        <v>0.39583333333333331</v>
      </c>
      <c r="R411" s="1398">
        <v>0.20833333333333334</v>
      </c>
      <c r="S411" s="1396">
        <v>6.5</v>
      </c>
      <c r="T411" s="1396"/>
      <c r="U411" s="1396"/>
      <c r="V411" s="1398">
        <v>0.375</v>
      </c>
      <c r="W411" s="1398">
        <v>0.20833333333333334</v>
      </c>
      <c r="X411" s="1396">
        <v>7</v>
      </c>
      <c r="Y411" s="1396"/>
      <c r="Z411" s="1041">
        <f t="shared" si="95"/>
        <v>34.25</v>
      </c>
      <c r="AA411" s="1077">
        <f t="shared" si="95"/>
        <v>0</v>
      </c>
      <c r="AB411" s="941"/>
      <c r="AC411" s="1006"/>
      <c r="AD411" s="1006"/>
      <c r="AE411" s="1071"/>
      <c r="AF411" s="941"/>
      <c r="AG411" s="1006"/>
      <c r="AH411" s="1006"/>
      <c r="AI411" s="1071"/>
      <c r="AJ411" s="1041">
        <f t="shared" si="96"/>
        <v>0</v>
      </c>
      <c r="AK411" s="941"/>
      <c r="AL411" s="943"/>
      <c r="AM411" s="940"/>
      <c r="AN411" s="954"/>
      <c r="AO411" s="954"/>
      <c r="AP411" s="954"/>
      <c r="AQ411" s="954"/>
      <c r="AR411" s="954"/>
      <c r="AS411" s="954"/>
      <c r="AT411" s="940"/>
      <c r="AU411" s="1435"/>
      <c r="AV411" s="1435"/>
      <c r="AW411" s="1435"/>
      <c r="AX411" s="1435"/>
      <c r="AY411" s="1435"/>
      <c r="AZ411" s="1435"/>
      <c r="BA411" s="1435"/>
      <c r="BB411" s="1435"/>
      <c r="BC411" s="1435"/>
      <c r="BD411" s="1435"/>
      <c r="BE411" s="1435"/>
    </row>
    <row r="412" spans="1:57" ht="15.75">
      <c r="A412" s="1408" t="s">
        <v>1444</v>
      </c>
      <c r="B412" s="1398">
        <v>0.375</v>
      </c>
      <c r="C412" s="1398">
        <v>0.125</v>
      </c>
      <c r="D412" s="1396">
        <v>5.5</v>
      </c>
      <c r="E412" s="1396"/>
      <c r="F412" s="1396"/>
      <c r="G412" s="1398">
        <v>0.375</v>
      </c>
      <c r="H412" s="1398">
        <v>0.125</v>
      </c>
      <c r="I412" s="1396">
        <v>5.5</v>
      </c>
      <c r="J412" s="1396"/>
      <c r="K412" s="1396"/>
      <c r="L412" s="1398">
        <v>0.375</v>
      </c>
      <c r="M412" s="1398">
        <v>0.125</v>
      </c>
      <c r="N412" s="1396">
        <v>5.5</v>
      </c>
      <c r="O412" s="1396"/>
      <c r="P412" s="1396"/>
      <c r="Q412" s="1398">
        <v>0.375</v>
      </c>
      <c r="R412" s="1398">
        <v>0.125</v>
      </c>
      <c r="S412" s="1396">
        <v>5.5</v>
      </c>
      <c r="T412" s="1396"/>
      <c r="U412" s="1396"/>
      <c r="V412" s="1398"/>
      <c r="W412" s="1398"/>
      <c r="X412" s="1396">
        <v>0</v>
      </c>
      <c r="Y412" s="1396"/>
      <c r="Z412" s="1041">
        <f t="shared" si="95"/>
        <v>22</v>
      </c>
      <c r="AA412" s="1077">
        <f t="shared" si="95"/>
        <v>0</v>
      </c>
      <c r="AB412" s="941"/>
      <c r="AC412" s="1006"/>
      <c r="AD412" s="1006"/>
      <c r="AE412" s="1071"/>
      <c r="AF412" s="941"/>
      <c r="AG412" s="1006"/>
      <c r="AH412" s="1006"/>
      <c r="AI412" s="1071"/>
      <c r="AJ412" s="1041">
        <f t="shared" si="96"/>
        <v>0</v>
      </c>
      <c r="AK412" s="941"/>
      <c r="AL412" s="943"/>
      <c r="AM412" s="940"/>
      <c r="AN412" s="954"/>
      <c r="AO412" s="954"/>
      <c r="AP412" s="954"/>
      <c r="AQ412" s="954"/>
      <c r="AR412" s="954"/>
      <c r="AS412" s="954"/>
      <c r="AT412" s="940"/>
      <c r="AU412" s="1435"/>
      <c r="AV412" s="1435"/>
      <c r="AW412" s="1435"/>
      <c r="AX412" s="1435"/>
      <c r="AY412" s="1435"/>
      <c r="AZ412" s="1435"/>
      <c r="BA412" s="1435"/>
      <c r="BB412" s="1435"/>
      <c r="BC412" s="1435"/>
      <c r="BD412" s="1435"/>
      <c r="BE412" s="1435"/>
    </row>
    <row r="413" spans="1:57" ht="15.75">
      <c r="A413" s="1408" t="s">
        <v>1480</v>
      </c>
      <c r="B413" s="1398">
        <v>0.29166666666666669</v>
      </c>
      <c r="C413" s="1398">
        <v>0.125</v>
      </c>
      <c r="D413" s="1396">
        <v>6.5</v>
      </c>
      <c r="E413" s="1396"/>
      <c r="F413" s="1396"/>
      <c r="G413" s="1398">
        <v>0.16666666666666666</v>
      </c>
      <c r="H413" s="1398">
        <v>0.45833333333333331</v>
      </c>
      <c r="I413" s="1396">
        <v>6.5</v>
      </c>
      <c r="J413" s="1396"/>
      <c r="K413" s="1396"/>
      <c r="L413" s="1398">
        <v>0.25</v>
      </c>
      <c r="M413" s="1398">
        <v>8.3333333333333329E-2</v>
      </c>
      <c r="N413" s="1396">
        <v>7.5</v>
      </c>
      <c r="O413" s="1396"/>
      <c r="P413" s="1396"/>
      <c r="Q413" s="1398"/>
      <c r="R413" s="1398"/>
      <c r="S413" s="1396">
        <v>0</v>
      </c>
      <c r="T413" s="1396"/>
      <c r="U413" s="1396"/>
      <c r="V413" s="1398">
        <v>0.375</v>
      </c>
      <c r="W413" s="1398">
        <v>0.20833333333333334</v>
      </c>
      <c r="X413" s="1396">
        <v>7.5</v>
      </c>
      <c r="Y413" s="1396"/>
      <c r="Z413" s="1041">
        <f t="shared" si="95"/>
        <v>28</v>
      </c>
      <c r="AA413" s="1077">
        <f t="shared" si="95"/>
        <v>0</v>
      </c>
      <c r="AB413" s="941"/>
      <c r="AC413" s="1006"/>
      <c r="AD413" s="1006"/>
      <c r="AE413" s="1071"/>
      <c r="AF413" s="941"/>
      <c r="AG413" s="1006"/>
      <c r="AH413" s="1006"/>
      <c r="AI413" s="1071"/>
      <c r="AJ413" s="1041">
        <f t="shared" si="96"/>
        <v>0</v>
      </c>
      <c r="AK413" s="941"/>
      <c r="AL413" s="943"/>
      <c r="AM413" s="940"/>
      <c r="AN413" s="954"/>
      <c r="AO413" s="954"/>
      <c r="AP413" s="954"/>
      <c r="AQ413" s="954"/>
      <c r="AR413" s="954"/>
      <c r="AS413" s="954"/>
      <c r="AT413" s="940"/>
      <c r="AU413" s="1435"/>
      <c r="AV413" s="1435"/>
      <c r="AW413" s="1435"/>
      <c r="AX413" s="1435"/>
      <c r="AY413" s="1435"/>
      <c r="AZ413" s="1435"/>
      <c r="BA413" s="1435"/>
      <c r="BB413" s="1435"/>
      <c r="BC413" s="1435"/>
      <c r="BD413" s="1435"/>
      <c r="BE413" s="1435"/>
    </row>
    <row r="414" spans="1:57" ht="15.75">
      <c r="A414" s="1344" t="s">
        <v>1064</v>
      </c>
      <c r="B414" s="1401">
        <v>0.45833333333333331</v>
      </c>
      <c r="C414" s="1401">
        <v>0.29166666666666669</v>
      </c>
      <c r="D414" s="1396">
        <v>8</v>
      </c>
      <c r="E414" s="1396"/>
      <c r="F414" s="1396"/>
      <c r="G414" s="1401">
        <v>0.45833333333333331</v>
      </c>
      <c r="H414" s="1401">
        <v>0.29166666666666669</v>
      </c>
      <c r="I414" s="1396">
        <v>8</v>
      </c>
      <c r="J414" s="1396"/>
      <c r="K414" s="1396"/>
      <c r="L414" s="1401">
        <v>0.45833333333333331</v>
      </c>
      <c r="M414" s="1401">
        <v>0.29166666666666669</v>
      </c>
      <c r="N414" s="1396">
        <v>8</v>
      </c>
      <c r="O414" s="1396"/>
      <c r="P414" s="1396"/>
      <c r="Q414" s="1398">
        <v>0.45833333333333331</v>
      </c>
      <c r="R414" s="1398">
        <v>0.29166666666666669</v>
      </c>
      <c r="S414" s="1396">
        <v>8</v>
      </c>
      <c r="T414" s="1396"/>
      <c r="U414" s="1396"/>
      <c r="V414" s="1398">
        <v>0.45833333333333331</v>
      </c>
      <c r="W414" s="1403">
        <v>0.29166666666666669</v>
      </c>
      <c r="X414" s="1396">
        <v>8</v>
      </c>
      <c r="Y414" s="1396"/>
      <c r="Z414" s="1041">
        <f t="shared" si="92"/>
        <v>40</v>
      </c>
      <c r="AA414" s="1077">
        <f t="shared" si="93"/>
        <v>0</v>
      </c>
      <c r="AB414" s="941"/>
      <c r="AC414" s="1076"/>
      <c r="AD414" s="1256"/>
      <c r="AE414" s="1072"/>
      <c r="AF414" s="1076"/>
      <c r="AG414" s="1256"/>
      <c r="AH414" s="1072"/>
      <c r="AI414" s="1076"/>
      <c r="AJ414" s="1041">
        <f t="shared" si="94"/>
        <v>0</v>
      </c>
      <c r="AK414" s="941"/>
      <c r="AL414" s="943"/>
      <c r="AM414" s="940"/>
      <c r="AN414" s="954"/>
      <c r="AO414" s="954"/>
      <c r="AP414" s="954"/>
      <c r="AQ414" s="954"/>
      <c r="AR414" s="954"/>
      <c r="AS414" s="954"/>
      <c r="AT414" s="940"/>
      <c r="AU414" s="1435"/>
      <c r="AV414" s="1435"/>
      <c r="AW414" s="1435"/>
      <c r="AX414" s="1435"/>
      <c r="AY414" s="1435"/>
      <c r="AZ414" s="1435"/>
      <c r="BA414" s="1435"/>
      <c r="BB414" s="1435"/>
      <c r="BC414" s="1435"/>
      <c r="BD414" s="1435"/>
      <c r="BE414" s="1435"/>
    </row>
    <row r="415" spans="1:57" ht="15.75">
      <c r="A415" s="1344" t="s">
        <v>1144</v>
      </c>
      <c r="B415" s="1401">
        <v>0.45833333333333331</v>
      </c>
      <c r="C415" s="1401">
        <v>0.29166666666666669</v>
      </c>
      <c r="D415" s="1396">
        <v>8</v>
      </c>
      <c r="E415" s="1396"/>
      <c r="F415" s="1396"/>
      <c r="G415" s="1401">
        <v>0.45833333333333331</v>
      </c>
      <c r="H415" s="1401">
        <v>0.29166666666666669</v>
      </c>
      <c r="I415" s="1396">
        <v>8</v>
      </c>
      <c r="J415" s="1396"/>
      <c r="K415" s="1396"/>
      <c r="L415" s="1401">
        <v>0.45833333333333331</v>
      </c>
      <c r="M415" s="1401">
        <v>0.29166666666666669</v>
      </c>
      <c r="N415" s="1396">
        <v>8</v>
      </c>
      <c r="O415" s="1396"/>
      <c r="P415" s="1396"/>
      <c r="Q415" s="1398">
        <v>0.45833333333333331</v>
      </c>
      <c r="R415" s="1398">
        <v>0.29166666666666669</v>
      </c>
      <c r="S415" s="1396">
        <v>8</v>
      </c>
      <c r="T415" s="1396"/>
      <c r="U415" s="1396"/>
      <c r="V415" s="1398">
        <v>0.45833333333333331</v>
      </c>
      <c r="W415" s="1403">
        <v>0.29166666666666669</v>
      </c>
      <c r="X415" s="1396">
        <v>8</v>
      </c>
      <c r="Y415" s="1396"/>
      <c r="Z415" s="1041">
        <f t="shared" si="92"/>
        <v>40</v>
      </c>
      <c r="AA415" s="1077">
        <f t="shared" si="93"/>
        <v>0</v>
      </c>
      <c r="AB415" s="941"/>
      <c r="AC415" s="1076"/>
      <c r="AD415" s="1256"/>
      <c r="AE415" s="1072"/>
      <c r="AF415" s="1076"/>
      <c r="AG415" s="1256"/>
      <c r="AH415" s="1072"/>
      <c r="AI415" s="1076"/>
      <c r="AJ415" s="1041">
        <f t="shared" si="94"/>
        <v>0</v>
      </c>
      <c r="AK415" s="941"/>
      <c r="AL415" s="943"/>
      <c r="AM415" s="940"/>
      <c r="AN415" s="954"/>
      <c r="AO415" s="954"/>
      <c r="AP415" s="954"/>
      <c r="AQ415" s="954"/>
      <c r="AR415" s="954"/>
      <c r="AS415" s="954"/>
      <c r="AT415" s="940"/>
      <c r="AU415" s="1435"/>
      <c r="AV415" s="1435"/>
      <c r="AW415" s="1435"/>
      <c r="AX415" s="1435"/>
      <c r="AY415" s="1435"/>
      <c r="AZ415" s="1435"/>
      <c r="BA415" s="1435"/>
      <c r="BB415" s="1435"/>
      <c r="BC415" s="1435"/>
      <c r="BD415" s="1435"/>
      <c r="BE415" s="1435"/>
    </row>
    <row r="416" spans="1:57" ht="16.5" thickBot="1">
      <c r="A416" s="1492" t="s">
        <v>1427</v>
      </c>
      <c r="B416" s="1415" t="s">
        <v>29</v>
      </c>
      <c r="C416" s="1415" t="s">
        <v>29</v>
      </c>
      <c r="D416" s="1287">
        <v>8</v>
      </c>
      <c r="E416" s="1287"/>
      <c r="F416" s="1287"/>
      <c r="G416" s="1285">
        <v>0.45833333333333331</v>
      </c>
      <c r="H416" s="1286">
        <v>0.29166666666666669</v>
      </c>
      <c r="I416" s="1287">
        <v>8</v>
      </c>
      <c r="J416" s="1287"/>
      <c r="K416" s="1287"/>
      <c r="L416" s="1381">
        <v>0.45833333333333331</v>
      </c>
      <c r="M416" s="1381">
        <v>0.29166666666666669</v>
      </c>
      <c r="N416" s="1420">
        <v>8</v>
      </c>
      <c r="O416" s="1287"/>
      <c r="P416" s="1287"/>
      <c r="Q416" s="1285">
        <v>0.45833333333333331</v>
      </c>
      <c r="R416" s="1286">
        <v>0.29166666666666669</v>
      </c>
      <c r="S416" s="1287">
        <v>8</v>
      </c>
      <c r="T416" s="1287"/>
      <c r="U416" s="1287"/>
      <c r="V416" s="1285">
        <v>0.45833333333333331</v>
      </c>
      <c r="W416" s="1286">
        <v>0.29166666666666669</v>
      </c>
      <c r="X416" s="1287">
        <v>8</v>
      </c>
      <c r="Y416" s="1287"/>
      <c r="Z416" s="1266">
        <f t="shared" si="92"/>
        <v>40</v>
      </c>
      <c r="AA416" s="1267">
        <f t="shared" si="93"/>
        <v>0</v>
      </c>
      <c r="AB416" s="941"/>
      <c r="AC416" s="1285"/>
      <c r="AD416" s="1285"/>
      <c r="AE416" s="1287"/>
      <c r="AF416" s="1285"/>
      <c r="AG416" s="1286"/>
      <c r="AH416" s="1287"/>
      <c r="AI416" s="1285"/>
      <c r="AJ416" s="1266">
        <f t="shared" si="94"/>
        <v>0</v>
      </c>
      <c r="AK416" s="941"/>
      <c r="AL416" s="943"/>
      <c r="AM416" s="940"/>
      <c r="AN416" s="954"/>
      <c r="AO416" s="954"/>
      <c r="AP416" s="954"/>
      <c r="AQ416" s="954"/>
      <c r="AR416" s="954"/>
      <c r="AS416" s="954"/>
      <c r="AT416" s="940"/>
      <c r="AU416" s="1435"/>
      <c r="AV416" s="1435"/>
      <c r="AW416" s="1435"/>
      <c r="AX416" s="1435"/>
      <c r="AY416" s="1435"/>
      <c r="AZ416" s="1435"/>
      <c r="BA416" s="1435"/>
      <c r="BB416" s="1435"/>
      <c r="BC416" s="1435"/>
      <c r="BD416" s="1435"/>
      <c r="BE416" s="1435"/>
    </row>
    <row r="417" spans="1:57" ht="16.5" thickTop="1">
      <c r="A417" s="1018" t="s">
        <v>61</v>
      </c>
      <c r="B417" s="1018"/>
      <c r="C417" s="1018"/>
      <c r="D417" s="1084">
        <f>SUM(D396:D413)</f>
        <v>99</v>
      </c>
      <c r="E417" s="1255">
        <f>SUM(E397:E413)</f>
        <v>9</v>
      </c>
      <c r="F417" s="1018"/>
      <c r="G417" s="1018"/>
      <c r="H417" s="1018"/>
      <c r="I417" s="1084">
        <f>SUM(I396:I413)</f>
        <v>113.5</v>
      </c>
      <c r="J417" s="1255">
        <f>SUM(J397:J413)</f>
        <v>4.5</v>
      </c>
      <c r="K417" s="1018"/>
      <c r="L417" s="1018"/>
      <c r="M417" s="1018"/>
      <c r="N417" s="1084">
        <f>SUM(N396:N413)</f>
        <v>121.75</v>
      </c>
      <c r="O417" s="1255">
        <f>SUM(O397:O406)</f>
        <v>0.5</v>
      </c>
      <c r="P417" s="1018"/>
      <c r="Q417" s="1018"/>
      <c r="R417" s="1018"/>
      <c r="S417" s="1084">
        <f>SUM(S396:S413)</f>
        <v>116</v>
      </c>
      <c r="T417" s="1255">
        <f>SUM(T397:T406)</f>
        <v>2</v>
      </c>
      <c r="U417" s="1018"/>
      <c r="V417" s="1018"/>
      <c r="W417" s="1018"/>
      <c r="X417" s="1084">
        <f>SUM(X396:X413)</f>
        <v>113.5</v>
      </c>
      <c r="Y417" s="1255">
        <f>SUM(Y397:Y413)</f>
        <v>11</v>
      </c>
      <c r="Z417" s="1028">
        <f>SUM(Z396:Z413)</f>
        <v>563.75</v>
      </c>
      <c r="AA417" s="1028">
        <f>SUM(AA396:AA413)</f>
        <v>34.5</v>
      </c>
      <c r="AB417" s="941"/>
      <c r="AC417" s="1018"/>
      <c r="AD417" s="1018"/>
      <c r="AE417" s="1041">
        <f>SUM(AE396:AE413)</f>
        <v>13.5</v>
      </c>
      <c r="AF417" s="941"/>
      <c r="AG417" s="1018"/>
      <c r="AH417" s="1018"/>
      <c r="AI417" s="1041">
        <f>SUM(AI396:AI413)</f>
        <v>9.5</v>
      </c>
      <c r="AJ417" s="1028">
        <f>SUM(AJ396:AJ413)</f>
        <v>23</v>
      </c>
      <c r="AK417" s="941"/>
      <c r="AL417" s="943"/>
      <c r="AM417" s="940"/>
      <c r="AN417" s="954"/>
      <c r="AO417" s="954"/>
      <c r="AP417" s="954"/>
      <c r="AQ417" s="954"/>
      <c r="AR417" s="954"/>
      <c r="AS417" s="954"/>
      <c r="AT417" s="940"/>
      <c r="AU417" s="1435"/>
      <c r="AV417" s="1435"/>
      <c r="AW417" s="1435"/>
      <c r="AX417" s="1435"/>
      <c r="AY417" s="1435"/>
      <c r="AZ417" s="1435"/>
      <c r="BA417" s="1435"/>
      <c r="BB417" s="1435"/>
      <c r="BC417" s="1435"/>
      <c r="BD417" s="1435"/>
      <c r="BE417" s="1435"/>
    </row>
    <row r="418" spans="1:57" ht="15.75">
      <c r="A418" s="1335" t="s">
        <v>1434</v>
      </c>
      <c r="B418" s="1018"/>
      <c r="C418" s="1018"/>
      <c r="D418" s="1084">
        <f>SUM(D414:D416)</f>
        <v>24</v>
      </c>
      <c r="E418" s="1255"/>
      <c r="F418" s="1018"/>
      <c r="G418" s="1018"/>
      <c r="H418" s="1018"/>
      <c r="I418" s="1084">
        <f>SUM(I414:I416)</f>
        <v>24</v>
      </c>
      <c r="J418" s="1255"/>
      <c r="K418" s="1018"/>
      <c r="L418" s="1018"/>
      <c r="M418" s="1018"/>
      <c r="N418" s="1084">
        <f>SUM(N414:N416)</f>
        <v>24</v>
      </c>
      <c r="O418" s="1255"/>
      <c r="P418" s="1018"/>
      <c r="Q418" s="1018"/>
      <c r="R418" s="1018"/>
      <c r="S418" s="1084">
        <f>SUM(S414:S416)</f>
        <v>24</v>
      </c>
      <c r="T418" s="1255"/>
      <c r="U418" s="1018"/>
      <c r="V418" s="1018"/>
      <c r="W418" s="1018"/>
      <c r="X418" s="1084">
        <f>SUM(X414:X416)</f>
        <v>24</v>
      </c>
      <c r="Y418" s="1255"/>
      <c r="Z418" s="1028">
        <f>SUM(Z414:Z416)</f>
        <v>120</v>
      </c>
      <c r="AA418" s="1028">
        <f>SUM(AA414:AA416)</f>
        <v>0</v>
      </c>
      <c r="AB418" s="941"/>
      <c r="AC418" s="1018"/>
      <c r="AD418" s="1018"/>
      <c r="AE418" s="1041">
        <f>SUM(AE414:AE416)</f>
        <v>0</v>
      </c>
      <c r="AF418" s="941"/>
      <c r="AG418" s="1018"/>
      <c r="AH418" s="1018"/>
      <c r="AI418" s="1041">
        <f>SUM(AI414:AI416)</f>
        <v>0</v>
      </c>
      <c r="AJ418" s="1028">
        <f>SUM(AE418+AI418)</f>
        <v>0</v>
      </c>
      <c r="AK418" s="941"/>
      <c r="AL418" s="943"/>
      <c r="AM418" s="940"/>
      <c r="AN418" s="954"/>
      <c r="AO418" s="954"/>
      <c r="AP418" s="954"/>
      <c r="AQ418" s="954"/>
      <c r="AR418" s="954"/>
      <c r="AS418" s="954"/>
      <c r="AT418" s="940"/>
      <c r="AU418" s="1435"/>
      <c r="AV418" s="1435"/>
      <c r="AW418" s="1435"/>
      <c r="AX418" s="1435"/>
      <c r="AY418" s="1435"/>
      <c r="AZ418" s="1435"/>
      <c r="BA418" s="1435"/>
      <c r="BB418" s="1435"/>
      <c r="BC418" s="1435"/>
      <c r="BD418" s="1435"/>
      <c r="BE418" s="1435"/>
    </row>
    <row r="419" spans="1:57" ht="15.75">
      <c r="A419" s="1257" t="s">
        <v>64</v>
      </c>
      <c r="B419" s="1006"/>
      <c r="C419" s="1006"/>
      <c r="D419" s="1071">
        <v>8</v>
      </c>
      <c r="E419" s="1071"/>
      <c r="F419" s="1026"/>
      <c r="G419" s="1006"/>
      <c r="H419" s="1006"/>
      <c r="I419" s="1071">
        <v>8</v>
      </c>
      <c r="J419" s="1071"/>
      <c r="K419" s="1013"/>
      <c r="L419" s="1006"/>
      <c r="M419" s="1006"/>
      <c r="N419" s="1071">
        <v>8</v>
      </c>
      <c r="O419" s="1071"/>
      <c r="P419" s="1013"/>
      <c r="Q419" s="1006"/>
      <c r="R419" s="1006"/>
      <c r="S419" s="1071">
        <v>8</v>
      </c>
      <c r="T419" s="1071"/>
      <c r="U419" s="1013"/>
      <c r="V419" s="1006"/>
      <c r="W419" s="1006"/>
      <c r="X419" s="1071">
        <v>8</v>
      </c>
      <c r="Y419" s="1071">
        <v>0.5</v>
      </c>
      <c r="Z419" s="1028">
        <f>D419+I419+N419+S419+X419</f>
        <v>40</v>
      </c>
      <c r="AA419" s="1100">
        <f>E419+J419+O419+T419+Y419</f>
        <v>0.5</v>
      </c>
      <c r="AB419" s="941"/>
      <c r="AC419" s="1006"/>
      <c r="AD419" s="1006"/>
      <c r="AE419" s="1071">
        <f>7+1</f>
        <v>8</v>
      </c>
      <c r="AF419" s="941"/>
      <c r="AG419" s="1006"/>
      <c r="AH419" s="1006"/>
      <c r="AI419" s="1071">
        <f>5+1</f>
        <v>6</v>
      </c>
      <c r="AJ419" s="1028">
        <f>AE419+AI419</f>
        <v>14</v>
      </c>
      <c r="AK419" s="941"/>
      <c r="AL419" s="943"/>
      <c r="AM419" s="940"/>
      <c r="AN419" s="954"/>
      <c r="AO419" s="954"/>
      <c r="AP419" s="954"/>
      <c r="AQ419" s="954"/>
      <c r="AR419" s="954"/>
      <c r="AS419" s="954"/>
      <c r="AT419" s="940"/>
      <c r="AU419" s="1435"/>
      <c r="AV419" s="1435"/>
      <c r="AW419" s="1435"/>
      <c r="AX419" s="1435"/>
      <c r="AY419" s="1435"/>
      <c r="AZ419" s="1435"/>
      <c r="BA419" s="1435"/>
      <c r="BB419" s="1435"/>
      <c r="BC419" s="1435"/>
      <c r="BD419" s="1435"/>
      <c r="BE419" s="1435"/>
    </row>
    <row r="420" spans="1:57" ht="15.75">
      <c r="A420" s="940"/>
      <c r="B420" s="940"/>
      <c r="C420" s="940"/>
      <c r="D420" s="941"/>
      <c r="E420" s="942"/>
      <c r="F420" s="941"/>
      <c r="G420" s="940"/>
      <c r="H420" s="940"/>
      <c r="I420" s="941"/>
      <c r="J420" s="942"/>
      <c r="K420" s="941"/>
      <c r="L420" s="940"/>
      <c r="M420" s="940"/>
      <c r="N420" s="941"/>
      <c r="O420" s="942"/>
      <c r="P420" s="941"/>
      <c r="Q420" s="940"/>
      <c r="R420" s="940"/>
      <c r="S420" s="941"/>
      <c r="T420" s="942"/>
      <c r="U420" s="941"/>
      <c r="V420" s="940"/>
      <c r="W420" s="940"/>
      <c r="X420" s="941"/>
      <c r="Y420" s="942"/>
      <c r="Z420" s="941"/>
      <c r="AA420" s="941"/>
      <c r="AB420" s="941"/>
      <c r="AC420" s="940"/>
      <c r="AD420" s="940"/>
      <c r="AE420" s="940"/>
      <c r="AF420" s="941"/>
      <c r="AG420" s="940"/>
      <c r="AH420" s="940"/>
      <c r="AI420" s="940"/>
      <c r="AJ420" s="940"/>
      <c r="AK420" s="941"/>
      <c r="AL420" s="943"/>
      <c r="AM420" s="940"/>
      <c r="AN420" s="940"/>
      <c r="AO420" s="940"/>
      <c r="AP420" s="940"/>
      <c r="AQ420" s="940"/>
      <c r="AR420" s="940"/>
      <c r="AS420" s="940"/>
      <c r="AT420" s="940"/>
      <c r="AU420" s="1435"/>
      <c r="AV420" s="1435"/>
      <c r="AW420" s="1435"/>
      <c r="AX420" s="1435"/>
      <c r="AY420" s="1435"/>
      <c r="AZ420" s="1435"/>
      <c r="BA420" s="1435"/>
      <c r="BB420" s="1435"/>
      <c r="BC420" s="1435"/>
      <c r="BD420" s="1435"/>
      <c r="BE420" s="1435"/>
    </row>
    <row r="421" spans="1:57" ht="15.75">
      <c r="A421" s="974"/>
      <c r="B421" s="975"/>
      <c r="C421" s="975"/>
      <c r="D421" s="976"/>
      <c r="E421" s="976"/>
      <c r="F421" s="975"/>
      <c r="G421" s="976"/>
      <c r="H421" s="976"/>
      <c r="I421" s="976"/>
      <c r="J421" s="976"/>
      <c r="K421" s="975"/>
      <c r="L421" s="975"/>
      <c r="M421" s="975"/>
      <c r="N421" s="975"/>
      <c r="O421" s="976"/>
      <c r="P421" s="975"/>
      <c r="Q421" s="975"/>
      <c r="R421" s="975"/>
      <c r="S421" s="975"/>
      <c r="T421" s="976"/>
      <c r="U421" s="975"/>
      <c r="V421" s="975"/>
      <c r="W421" s="975"/>
      <c r="X421" s="977"/>
      <c r="Y421" s="976"/>
      <c r="Z421" s="978"/>
      <c r="AA421" s="976"/>
      <c r="AB421" s="979"/>
      <c r="AC421" s="980"/>
      <c r="AD421" s="943"/>
      <c r="AE421" s="943"/>
      <c r="AF421" s="979"/>
      <c r="AG421" s="980"/>
      <c r="AH421" s="943"/>
      <c r="AI421" s="943"/>
      <c r="AJ421" s="943"/>
      <c r="AK421" s="979"/>
      <c r="AL421" s="943"/>
      <c r="AM421" s="943"/>
      <c r="AN421" s="943"/>
      <c r="AO421" s="943"/>
      <c r="AP421" s="943"/>
      <c r="AQ421" s="943"/>
      <c r="AR421" s="943"/>
      <c r="AS421" s="943"/>
      <c r="AT421" s="943"/>
      <c r="AU421" s="943"/>
      <c r="AV421" s="943"/>
      <c r="AW421" s="943"/>
      <c r="AX421" s="943"/>
      <c r="AY421" s="943"/>
      <c r="AZ421" s="1435"/>
      <c r="BA421" s="1435"/>
      <c r="BB421" s="1435"/>
      <c r="BC421" s="1435"/>
      <c r="BD421" s="1435"/>
      <c r="BE421" s="1435"/>
    </row>
    <row r="422" spans="1:57" ht="15.75">
      <c r="A422" s="940"/>
      <c r="B422" s="940"/>
      <c r="C422" s="1434"/>
      <c r="D422" s="1434"/>
      <c r="E422" s="1434"/>
      <c r="F422" s="1434"/>
      <c r="G422" s="1434"/>
      <c r="H422" s="1434"/>
      <c r="I422" s="1434"/>
      <c r="J422" s="1434"/>
      <c r="K422" s="1434"/>
      <c r="L422" s="1434"/>
      <c r="M422" s="1434"/>
      <c r="N422" s="940"/>
      <c r="O422" s="940"/>
      <c r="P422" s="940"/>
      <c r="Q422" s="940"/>
      <c r="R422" s="940"/>
      <c r="S422" s="941"/>
      <c r="T422" s="942"/>
      <c r="U422" s="941"/>
      <c r="V422" s="940"/>
      <c r="W422" s="940"/>
      <c r="X422" s="941"/>
      <c r="Y422" s="942"/>
      <c r="Z422" s="941"/>
      <c r="AA422" s="941"/>
      <c r="AB422" s="941"/>
      <c r="AC422" s="940"/>
      <c r="AD422" s="940"/>
      <c r="AE422" s="940"/>
      <c r="AF422" s="941"/>
      <c r="AG422" s="940"/>
      <c r="AH422" s="940"/>
      <c r="AI422" s="940"/>
      <c r="AJ422" s="940"/>
      <c r="AK422" s="941"/>
      <c r="AL422" s="943"/>
      <c r="AM422" s="940"/>
      <c r="AN422" s="954"/>
      <c r="AO422" s="954"/>
      <c r="AP422" s="954"/>
      <c r="AQ422" s="954"/>
      <c r="AR422" s="954"/>
      <c r="AS422" s="954"/>
      <c r="AT422" s="954"/>
      <c r="AU422" s="954"/>
      <c r="AV422" s="954"/>
      <c r="AW422" s="954"/>
      <c r="AX422" s="954"/>
      <c r="AY422" s="954"/>
      <c r="AZ422" s="1435"/>
      <c r="BA422" s="1435"/>
      <c r="BB422" s="1435"/>
      <c r="BC422" s="1435"/>
      <c r="BD422" s="1435"/>
      <c r="BE422" s="1435"/>
    </row>
    <row r="423" spans="1:57" ht="15.75">
      <c r="A423" s="1614" t="s">
        <v>18</v>
      </c>
      <c r="B423" s="1568">
        <v>46125</v>
      </c>
      <c r="C423" s="1568"/>
      <c r="D423" s="1568" t="s">
        <v>564</v>
      </c>
      <c r="E423" s="1568"/>
      <c r="F423" s="1258"/>
      <c r="G423" s="1568">
        <v>46126</v>
      </c>
      <c r="H423" s="1568"/>
      <c r="I423" s="1568" t="s">
        <v>565</v>
      </c>
      <c r="J423" s="1568"/>
      <c r="K423" s="1258"/>
      <c r="L423" s="1568">
        <v>46127</v>
      </c>
      <c r="M423" s="1568"/>
      <c r="N423" s="1568" t="s">
        <v>566</v>
      </c>
      <c r="O423" s="1568"/>
      <c r="P423" s="1258"/>
      <c r="Q423" s="1568">
        <v>46128</v>
      </c>
      <c r="R423" s="1568"/>
      <c r="S423" s="1568" t="s">
        <v>567</v>
      </c>
      <c r="T423" s="1568"/>
      <c r="U423" s="1258"/>
      <c r="V423" s="1568">
        <v>46129</v>
      </c>
      <c r="W423" s="1568"/>
      <c r="X423" s="1568" t="s">
        <v>568</v>
      </c>
      <c r="Y423" s="1568"/>
      <c r="Z423" s="1613" t="s">
        <v>19</v>
      </c>
      <c r="AA423" s="1613" t="s">
        <v>20</v>
      </c>
      <c r="AB423" s="942"/>
      <c r="AC423" s="1568">
        <v>46130</v>
      </c>
      <c r="AD423" s="1568"/>
      <c r="AE423" s="1259" t="s">
        <v>569</v>
      </c>
      <c r="AF423" s="942"/>
      <c r="AG423" s="1568">
        <v>46131</v>
      </c>
      <c r="AH423" s="1568"/>
      <c r="AI423" s="1259" t="s">
        <v>570</v>
      </c>
      <c r="AJ423" s="1613" t="s">
        <v>1420</v>
      </c>
      <c r="AK423" s="941"/>
      <c r="AL423" s="943"/>
      <c r="AM423" s="940"/>
      <c r="AN423" s="985" t="s">
        <v>84</v>
      </c>
      <c r="AO423" s="986"/>
      <c r="AP423" s="986"/>
      <c r="AQ423" s="986"/>
      <c r="AR423" s="986"/>
      <c r="AS423" s="986"/>
      <c r="AT423" s="986"/>
      <c r="AU423" s="986"/>
      <c r="AV423" s="986"/>
      <c r="AW423" s="986"/>
      <c r="AX423" s="986"/>
      <c r="AY423" s="986"/>
      <c r="AZ423" s="1435"/>
      <c r="BA423" s="1435"/>
      <c r="BB423" s="1435"/>
      <c r="BC423" s="1435"/>
      <c r="BD423" s="1435"/>
      <c r="BE423" s="1435"/>
    </row>
    <row r="424" spans="1:57" ht="21" customHeight="1" thickBot="1">
      <c r="A424" s="1614"/>
      <c r="B424" s="987" t="s">
        <v>23</v>
      </c>
      <c r="C424" s="987" t="s">
        <v>24</v>
      </c>
      <c r="D424" s="1100" t="s">
        <v>25</v>
      </c>
      <c r="E424" s="989" t="s">
        <v>14</v>
      </c>
      <c r="F424" s="942"/>
      <c r="G424" s="987" t="s">
        <v>23</v>
      </c>
      <c r="H424" s="987" t="s">
        <v>24</v>
      </c>
      <c r="I424" s="989" t="s">
        <v>25</v>
      </c>
      <c r="J424" s="989" t="s">
        <v>14</v>
      </c>
      <c r="K424" s="942"/>
      <c r="L424" s="987" t="s">
        <v>23</v>
      </c>
      <c r="M424" s="987" t="s">
        <v>24</v>
      </c>
      <c r="N424" s="989" t="s">
        <v>25</v>
      </c>
      <c r="O424" s="989" t="s">
        <v>14</v>
      </c>
      <c r="P424" s="942"/>
      <c r="Q424" s="987" t="s">
        <v>23</v>
      </c>
      <c r="R424" s="987" t="s">
        <v>24</v>
      </c>
      <c r="S424" s="989" t="s">
        <v>25</v>
      </c>
      <c r="T424" s="989" t="s">
        <v>14</v>
      </c>
      <c r="U424" s="942"/>
      <c r="V424" s="987" t="s">
        <v>23</v>
      </c>
      <c r="W424" s="987" t="s">
        <v>24</v>
      </c>
      <c r="X424" s="989" t="s">
        <v>25</v>
      </c>
      <c r="Y424" s="989" t="s">
        <v>14</v>
      </c>
      <c r="Z424" s="1613"/>
      <c r="AA424" s="1613"/>
      <c r="AB424" s="942"/>
      <c r="AC424" s="987" t="s">
        <v>23</v>
      </c>
      <c r="AD424" s="987" t="s">
        <v>24</v>
      </c>
      <c r="AE424" s="989" t="s">
        <v>25</v>
      </c>
      <c r="AF424" s="942"/>
      <c r="AG424" s="987" t="s">
        <v>23</v>
      </c>
      <c r="AH424" s="987" t="s">
        <v>24</v>
      </c>
      <c r="AI424" s="989" t="s">
        <v>25</v>
      </c>
      <c r="AJ424" s="1613"/>
      <c r="AK424" s="941"/>
      <c r="AL424" s="943"/>
      <c r="AM424" s="940"/>
      <c r="AN424" s="992" t="s">
        <v>26</v>
      </c>
      <c r="AO424" s="1005">
        <f>Z446</f>
        <v>599.75</v>
      </c>
      <c r="AP424" s="994">
        <v>40.31</v>
      </c>
      <c r="AQ424" s="994">
        <f t="shared" ref="AQ424:AQ430" si="97">AP424*AO424</f>
        <v>24175.922500000001</v>
      </c>
      <c r="AR424" s="954"/>
      <c r="AS424" s="954"/>
      <c r="AT424" s="940"/>
      <c r="AU424" s="1435"/>
      <c r="AV424" s="1435"/>
      <c r="AW424" s="1435"/>
      <c r="AX424" s="1435"/>
      <c r="AY424" s="1435"/>
      <c r="AZ424" s="1435"/>
      <c r="BA424" s="1435"/>
      <c r="BB424" s="1435"/>
      <c r="BC424" s="1435"/>
      <c r="BD424" s="1435"/>
      <c r="BE424" s="1435"/>
    </row>
    <row r="425" spans="1:57" ht="15.75">
      <c r="A425" s="1484" t="s">
        <v>72</v>
      </c>
      <c r="B425" s="1006">
        <v>0.29166666666666669</v>
      </c>
      <c r="C425" s="1006">
        <v>0.125</v>
      </c>
      <c r="D425" s="1071">
        <v>8</v>
      </c>
      <c r="E425" s="1255"/>
      <c r="F425" s="941"/>
      <c r="G425" s="1006">
        <v>0.29166666666666669</v>
      </c>
      <c r="H425" s="1006">
        <v>0.125</v>
      </c>
      <c r="I425" s="1071">
        <v>8</v>
      </c>
      <c r="J425" s="1255"/>
      <c r="K425" s="941"/>
      <c r="L425" s="1006">
        <v>0.29166666666666669</v>
      </c>
      <c r="M425" s="1006">
        <v>0.125</v>
      </c>
      <c r="N425" s="1071">
        <v>8</v>
      </c>
      <c r="O425" s="1255"/>
      <c r="P425" s="941"/>
      <c r="Q425" s="1006">
        <v>0.29166666666666669</v>
      </c>
      <c r="R425" s="1006">
        <v>0.125</v>
      </c>
      <c r="S425" s="1071">
        <v>8</v>
      </c>
      <c r="T425" s="1255"/>
      <c r="U425" s="941"/>
      <c r="V425" s="1006">
        <v>0.29166666666666669</v>
      </c>
      <c r="W425" s="1006">
        <v>0.125</v>
      </c>
      <c r="X425" s="1071">
        <v>8</v>
      </c>
      <c r="Y425" s="1255"/>
      <c r="Z425" s="1041">
        <f t="shared" ref="Z425:Z445" si="98">D425+I425+N425+S425+X425</f>
        <v>40</v>
      </c>
      <c r="AA425" s="1077">
        <f t="shared" ref="AA425:AA445" si="99">E425+J425+O425+T425+Y425</f>
        <v>0</v>
      </c>
      <c r="AB425" s="941"/>
      <c r="AC425" s="1289"/>
      <c r="AD425" s="1289"/>
      <c r="AE425" s="1071"/>
      <c r="AF425" s="941"/>
      <c r="AG425" s="1289"/>
      <c r="AH425" s="1289"/>
      <c r="AI425" s="1071"/>
      <c r="AJ425" s="1041">
        <f t="shared" ref="AJ425:AJ445" si="100">SUM(AE425+AI425)</f>
        <v>0</v>
      </c>
      <c r="AK425" s="941"/>
      <c r="AL425" s="943"/>
      <c r="AM425" s="940"/>
      <c r="AN425" s="992" t="s">
        <v>1421</v>
      </c>
      <c r="AO425" s="1005">
        <f>Z447</f>
        <v>95.75</v>
      </c>
      <c r="AP425" s="994">
        <v>60.47</v>
      </c>
      <c r="AQ425" s="994">
        <f t="shared" si="97"/>
        <v>5790.0024999999996</v>
      </c>
      <c r="AR425" s="954"/>
      <c r="AS425" s="954"/>
      <c r="AT425" s="940"/>
      <c r="AU425" s="1436"/>
      <c r="AV425" s="1437"/>
      <c r="AW425" s="1437"/>
      <c r="AX425" s="1438"/>
      <c r="AY425" s="1435"/>
      <c r="AZ425" s="1435"/>
      <c r="BA425" s="1435"/>
      <c r="BB425" s="1435"/>
      <c r="BC425" s="1435"/>
      <c r="BD425" s="1435"/>
      <c r="BE425" s="1435"/>
    </row>
    <row r="426" spans="1:57" ht="15.75">
      <c r="A426" s="1486" t="s">
        <v>1426</v>
      </c>
      <c r="B426" s="1006">
        <v>0.29166666666666669</v>
      </c>
      <c r="C426" s="1006">
        <v>0.125</v>
      </c>
      <c r="D426" s="1071">
        <v>8</v>
      </c>
      <c r="E426" s="1255"/>
      <c r="F426" s="941"/>
      <c r="G426" s="1006">
        <v>0.29166666666666669</v>
      </c>
      <c r="H426" s="1006">
        <v>0.125</v>
      </c>
      <c r="I426" s="1071">
        <v>8</v>
      </c>
      <c r="J426" s="1255"/>
      <c r="K426" s="941"/>
      <c r="L426" s="1006">
        <v>0.29166666666666669</v>
      </c>
      <c r="M426" s="1006"/>
      <c r="N426" s="1071">
        <v>8</v>
      </c>
      <c r="O426" s="1255"/>
      <c r="P426" s="941"/>
      <c r="Q426" s="1006">
        <v>0.29166666666666669</v>
      </c>
      <c r="R426" s="1006">
        <v>0.125</v>
      </c>
      <c r="S426" s="1071">
        <v>8</v>
      </c>
      <c r="T426" s="1255"/>
      <c r="U426" s="941"/>
      <c r="V426" s="1006">
        <v>0.29166666666666669</v>
      </c>
      <c r="W426" s="1006">
        <v>0.125</v>
      </c>
      <c r="X426" s="1071">
        <v>8</v>
      </c>
      <c r="Y426" s="1255"/>
      <c r="Z426" s="1041">
        <f t="shared" si="98"/>
        <v>40</v>
      </c>
      <c r="AA426" s="1077">
        <f t="shared" si="99"/>
        <v>0</v>
      </c>
      <c r="AB426" s="941"/>
      <c r="AC426" s="1006"/>
      <c r="AD426" s="1006"/>
      <c r="AE426" s="1071"/>
      <c r="AF426" s="941"/>
      <c r="AG426" s="1006"/>
      <c r="AH426" s="1006"/>
      <c r="AI426" s="1071"/>
      <c r="AJ426" s="1041">
        <f t="shared" si="100"/>
        <v>0</v>
      </c>
      <c r="AK426" s="941"/>
      <c r="AL426" s="943"/>
      <c r="AM426" s="940"/>
      <c r="AN426" s="992" t="s">
        <v>30</v>
      </c>
      <c r="AO426" s="1005">
        <f>AA446</f>
        <v>10</v>
      </c>
      <c r="AP426" s="994">
        <v>60.465000000000003</v>
      </c>
      <c r="AQ426" s="994">
        <f t="shared" si="97"/>
        <v>604.65000000000009</v>
      </c>
      <c r="AR426" s="954"/>
      <c r="AS426" s="954"/>
      <c r="AT426" s="940"/>
      <c r="AU426" s="1359"/>
      <c r="AV426" s="1365" t="s">
        <v>1483</v>
      </c>
      <c r="AW426" s="1366"/>
      <c r="AX426" s="1439"/>
      <c r="AY426" s="1435"/>
      <c r="AZ426" s="1435"/>
      <c r="BA426" s="1435"/>
      <c r="BB426" s="1435"/>
      <c r="BC426" s="1435"/>
      <c r="BD426" s="1435"/>
      <c r="BE426" s="1435"/>
    </row>
    <row r="427" spans="1:57" ht="15.75">
      <c r="A427" s="1486" t="s">
        <v>1060</v>
      </c>
      <c r="B427" s="1006">
        <v>0.29166666666666669</v>
      </c>
      <c r="C427" s="1006">
        <v>0.125</v>
      </c>
      <c r="D427" s="1071">
        <v>8</v>
      </c>
      <c r="E427" s="1255"/>
      <c r="F427" s="941"/>
      <c r="G427" s="1006">
        <v>0.29166666666666669</v>
      </c>
      <c r="H427" s="1006">
        <v>0.125</v>
      </c>
      <c r="I427" s="1071">
        <v>8</v>
      </c>
      <c r="J427" s="1255"/>
      <c r="K427" s="941"/>
      <c r="L427" s="1006">
        <v>0.29166666666666669</v>
      </c>
      <c r="M427" s="1006">
        <v>0.125</v>
      </c>
      <c r="N427" s="1071">
        <v>8</v>
      </c>
      <c r="O427" s="1255"/>
      <c r="P427" s="941"/>
      <c r="Q427" s="1006">
        <v>0.29166666666666669</v>
      </c>
      <c r="R427" s="1006">
        <v>0.125</v>
      </c>
      <c r="S427" s="1071">
        <v>8</v>
      </c>
      <c r="T427" s="1255"/>
      <c r="U427" s="941"/>
      <c r="V427" s="1006">
        <v>0.29166666666666669</v>
      </c>
      <c r="W427" s="1006">
        <v>0.125</v>
      </c>
      <c r="X427" s="1071">
        <v>8</v>
      </c>
      <c r="Y427" s="1255"/>
      <c r="Z427" s="1041">
        <f t="shared" si="98"/>
        <v>40</v>
      </c>
      <c r="AA427" s="1077">
        <f t="shared" si="99"/>
        <v>0</v>
      </c>
      <c r="AB427" s="941"/>
      <c r="AC427" s="1006"/>
      <c r="AD427" s="1006"/>
      <c r="AE427" s="1071"/>
      <c r="AF427" s="941"/>
      <c r="AG427" s="1006"/>
      <c r="AH427" s="1006"/>
      <c r="AI427" s="1071"/>
      <c r="AJ427" s="1041">
        <f t="shared" si="100"/>
        <v>0</v>
      </c>
      <c r="AK427" s="941"/>
      <c r="AL427" s="943"/>
      <c r="AM427" s="940"/>
      <c r="AN427" s="992" t="s">
        <v>32</v>
      </c>
      <c r="AO427" s="1005">
        <f>AJ446</f>
        <v>19.25</v>
      </c>
      <c r="AP427" s="994">
        <v>60.465000000000003</v>
      </c>
      <c r="AQ427" s="994">
        <f t="shared" si="97"/>
        <v>1163.9512500000001</v>
      </c>
      <c r="AR427" s="954"/>
      <c r="AS427" s="954"/>
      <c r="AT427" s="940"/>
      <c r="AU427" s="1440"/>
      <c r="AV427" s="1367" t="s">
        <v>1484</v>
      </c>
      <c r="AW427" s="1441"/>
      <c r="AX427" s="1439"/>
      <c r="AY427" s="1435"/>
      <c r="AZ427" s="1435"/>
      <c r="BA427" s="1435"/>
      <c r="BB427" s="1435"/>
      <c r="BC427" s="1435"/>
      <c r="BD427" s="1435"/>
      <c r="BE427" s="1435"/>
    </row>
    <row r="428" spans="1:57" ht="15.75">
      <c r="A428" s="1487" t="s">
        <v>1438</v>
      </c>
      <c r="B428" s="1006">
        <v>0.29166666666666669</v>
      </c>
      <c r="C428" s="1006">
        <v>0.125</v>
      </c>
      <c r="D428" s="1071">
        <v>8</v>
      </c>
      <c r="E428" s="1255"/>
      <c r="F428" s="941"/>
      <c r="G428" s="1006">
        <v>0.29166666666666669</v>
      </c>
      <c r="H428" s="1006">
        <v>0.125</v>
      </c>
      <c r="I428" s="1071">
        <v>8</v>
      </c>
      <c r="J428" s="1255"/>
      <c r="K428" s="941"/>
      <c r="L428" s="1006">
        <v>0.29166666666666669</v>
      </c>
      <c r="M428" s="1006">
        <v>0.125</v>
      </c>
      <c r="N428" s="1071">
        <v>8</v>
      </c>
      <c r="O428" s="1255"/>
      <c r="P428" s="941"/>
      <c r="Q428" s="1006">
        <v>0.29166666666666669</v>
      </c>
      <c r="R428" s="1006">
        <v>0.125</v>
      </c>
      <c r="S428" s="1071">
        <v>8</v>
      </c>
      <c r="T428" s="1255"/>
      <c r="U428" s="941"/>
      <c r="V428" s="1006">
        <v>0.29166666666666669</v>
      </c>
      <c r="W428" s="1006">
        <v>0.125</v>
      </c>
      <c r="X428" s="1071">
        <v>8</v>
      </c>
      <c r="Y428" s="1255"/>
      <c r="Z428" s="1041">
        <f t="shared" si="98"/>
        <v>40</v>
      </c>
      <c r="AA428" s="1077">
        <f t="shared" si="99"/>
        <v>0</v>
      </c>
      <c r="AB428" s="941"/>
      <c r="AC428" s="1006"/>
      <c r="AD428" s="1006"/>
      <c r="AE428" s="1071"/>
      <c r="AF428" s="941"/>
      <c r="AG428" s="1006"/>
      <c r="AH428" s="1006"/>
      <c r="AI428" s="1071"/>
      <c r="AJ428" s="1041">
        <f t="shared" si="100"/>
        <v>0</v>
      </c>
      <c r="AK428" s="941"/>
      <c r="AL428" s="943"/>
      <c r="AM428" s="940"/>
      <c r="AN428" s="1260" t="s">
        <v>1475</v>
      </c>
      <c r="AO428" s="1261">
        <f>AA447+AJ447</f>
        <v>0</v>
      </c>
      <c r="AP428" s="1262">
        <f>(60.47*1.5)</f>
        <v>90.704999999999998</v>
      </c>
      <c r="AQ428" s="1262">
        <f t="shared" si="97"/>
        <v>0</v>
      </c>
      <c r="AR428" s="954"/>
      <c r="AS428" s="954"/>
      <c r="AT428" s="940"/>
      <c r="AU428" s="1440"/>
      <c r="AV428" s="1371" t="s">
        <v>26</v>
      </c>
      <c r="AW428" s="1413"/>
      <c r="AX428" s="1439"/>
      <c r="AY428" s="1435"/>
      <c r="AZ428" s="1435"/>
      <c r="BA428" s="1435"/>
      <c r="BB428" s="1435"/>
      <c r="BC428" s="1435"/>
      <c r="BD428" s="1435"/>
      <c r="BE428" s="1435"/>
    </row>
    <row r="429" spans="1:57" ht="15.75">
      <c r="A429" s="1487" t="s">
        <v>327</v>
      </c>
      <c r="B429" s="1006">
        <v>0.125</v>
      </c>
      <c r="C429" s="1006">
        <v>0.45833333333333331</v>
      </c>
      <c r="D429" s="1071">
        <v>8</v>
      </c>
      <c r="E429" s="1255"/>
      <c r="F429" s="1013"/>
      <c r="G429" s="1006">
        <v>0.125</v>
      </c>
      <c r="H429" s="1006">
        <v>0.45833333333333331</v>
      </c>
      <c r="I429" s="1071">
        <v>8</v>
      </c>
      <c r="J429" s="1255"/>
      <c r="K429" s="1013"/>
      <c r="L429" s="1006"/>
      <c r="M429" s="1006">
        <v>0.5</v>
      </c>
      <c r="N429" s="1071">
        <v>8</v>
      </c>
      <c r="O429" s="1255">
        <v>1</v>
      </c>
      <c r="P429" s="1013"/>
      <c r="Q429" s="1006">
        <v>0.125</v>
      </c>
      <c r="R429" s="1006">
        <v>0.45833333333333331</v>
      </c>
      <c r="S429" s="1071">
        <v>8</v>
      </c>
      <c r="T429" s="1255"/>
      <c r="U429" s="1013"/>
      <c r="V429" s="1006">
        <v>0.125</v>
      </c>
      <c r="W429" s="1006">
        <v>0.45833333333333331</v>
      </c>
      <c r="X429" s="1071">
        <v>8</v>
      </c>
      <c r="Y429" s="1255"/>
      <c r="Z429" s="1041">
        <f t="shared" si="98"/>
        <v>40</v>
      </c>
      <c r="AA429" s="1077">
        <f t="shared" si="99"/>
        <v>1</v>
      </c>
      <c r="AB429" s="941"/>
      <c r="AC429" s="1006"/>
      <c r="AD429" s="1006"/>
      <c r="AE429" s="1071"/>
      <c r="AF429" s="941"/>
      <c r="AG429" s="1006"/>
      <c r="AH429" s="1006"/>
      <c r="AI429" s="1071"/>
      <c r="AJ429" s="1041">
        <f t="shared" si="100"/>
        <v>0</v>
      </c>
      <c r="AK429" s="941"/>
      <c r="AL429" s="943"/>
      <c r="AM429" s="940"/>
      <c r="AN429" s="992" t="s">
        <v>213</v>
      </c>
      <c r="AO429" s="1005">
        <f>Z448</f>
        <v>40</v>
      </c>
      <c r="AP429" s="994">
        <v>53.05</v>
      </c>
      <c r="AQ429" s="994">
        <f t="shared" si="97"/>
        <v>2122</v>
      </c>
      <c r="AR429" s="954"/>
      <c r="AS429" s="954"/>
      <c r="AT429" s="940"/>
      <c r="AU429" s="1440"/>
      <c r="AV429" s="1377" t="s">
        <v>1421</v>
      </c>
      <c r="AW429" s="1409"/>
      <c r="AX429" s="1439"/>
      <c r="AY429" s="1435"/>
      <c r="AZ429" s="1435"/>
      <c r="BA429" s="1435"/>
      <c r="BB429" s="1435"/>
      <c r="BC429" s="1435"/>
      <c r="BD429" s="1435"/>
      <c r="BE429" s="1435"/>
    </row>
    <row r="430" spans="1:57" ht="16.5" thickBot="1">
      <c r="A430" s="1489" t="s">
        <v>1436</v>
      </c>
      <c r="B430" s="1006">
        <v>0.125</v>
      </c>
      <c r="C430" s="1006">
        <v>0.45833333333333331</v>
      </c>
      <c r="D430" s="1071">
        <v>8</v>
      </c>
      <c r="E430" s="1255"/>
      <c r="F430" s="1013"/>
      <c r="G430" s="1006">
        <v>0.125</v>
      </c>
      <c r="H430" s="1006">
        <v>0.45833333333333331</v>
      </c>
      <c r="I430" s="1071">
        <v>8</v>
      </c>
      <c r="J430" s="1255"/>
      <c r="K430" s="1013"/>
      <c r="L430" s="1006"/>
      <c r="M430" s="1006"/>
      <c r="N430" s="1071">
        <v>0</v>
      </c>
      <c r="O430" s="1255"/>
      <c r="P430" s="1013"/>
      <c r="Q430" s="1006">
        <v>0.125</v>
      </c>
      <c r="R430" s="1006">
        <v>0.45833333333333331</v>
      </c>
      <c r="S430" s="1071">
        <v>8</v>
      </c>
      <c r="T430" s="1255"/>
      <c r="U430" s="1013"/>
      <c r="V430" s="1006">
        <v>0.125</v>
      </c>
      <c r="W430" s="1006">
        <v>0.45833333333333331</v>
      </c>
      <c r="X430" s="1071">
        <v>8</v>
      </c>
      <c r="Y430" s="1255"/>
      <c r="Z430" s="1041">
        <f t="shared" si="98"/>
        <v>32</v>
      </c>
      <c r="AA430" s="1077">
        <f t="shared" si="99"/>
        <v>0</v>
      </c>
      <c r="AB430" s="941"/>
      <c r="AC430" s="1006"/>
      <c r="AD430" s="1006"/>
      <c r="AE430" s="1071"/>
      <c r="AF430" s="941"/>
      <c r="AG430" s="1006"/>
      <c r="AH430" s="1006"/>
      <c r="AI430" s="1071"/>
      <c r="AJ430" s="1041">
        <f t="shared" si="100"/>
        <v>0</v>
      </c>
      <c r="AK430" s="941"/>
      <c r="AL430" s="943"/>
      <c r="AM430" s="940"/>
      <c r="AN430" s="992" t="s">
        <v>36</v>
      </c>
      <c r="AO430" s="1005">
        <f>AA448+AJ448</f>
        <v>12.5</v>
      </c>
      <c r="AP430" s="994">
        <f>53.05*1.5</f>
        <v>79.574999999999989</v>
      </c>
      <c r="AQ430" s="994">
        <f t="shared" si="97"/>
        <v>994.68749999999989</v>
      </c>
      <c r="AR430" s="954"/>
      <c r="AS430" s="954"/>
      <c r="AT430" s="940"/>
      <c r="AU430" s="1410"/>
      <c r="AV430" s="1411"/>
      <c r="AW430" s="1412"/>
      <c r="AX430" s="1442"/>
      <c r="AY430" s="1435"/>
      <c r="AZ430" s="1435"/>
      <c r="BA430" s="1435"/>
      <c r="BB430" s="1435"/>
      <c r="BC430" s="1435"/>
      <c r="BD430" s="1435"/>
      <c r="BE430" s="1435"/>
    </row>
    <row r="431" spans="1:57" ht="15.75">
      <c r="A431" s="1488" t="s">
        <v>1140</v>
      </c>
      <c r="B431" s="1006">
        <v>0.125</v>
      </c>
      <c r="C431" s="1006">
        <v>0.45833333333333331</v>
      </c>
      <c r="D431" s="1071">
        <v>8</v>
      </c>
      <c r="E431" s="1255"/>
      <c r="F431" s="941"/>
      <c r="G431" s="1006">
        <v>0.125</v>
      </c>
      <c r="H431" s="1006">
        <v>0.45833333333333331</v>
      </c>
      <c r="I431" s="1071">
        <v>8</v>
      </c>
      <c r="J431" s="1255"/>
      <c r="K431" s="941"/>
      <c r="L431" s="1006">
        <v>0.125</v>
      </c>
      <c r="M431" s="1006">
        <v>0.45833333333333331</v>
      </c>
      <c r="N431" s="1071">
        <v>8</v>
      </c>
      <c r="O431" s="1255"/>
      <c r="P431" s="941"/>
      <c r="Q431" s="1006">
        <v>0.125</v>
      </c>
      <c r="R431" s="1006">
        <v>0.45833333333333331</v>
      </c>
      <c r="S431" s="1071">
        <v>8</v>
      </c>
      <c r="T431" s="1255"/>
      <c r="U431" s="941"/>
      <c r="V431" s="1006">
        <v>0.125</v>
      </c>
      <c r="W431" s="1006">
        <v>0.45833333333333331</v>
      </c>
      <c r="X431" s="1071">
        <v>8</v>
      </c>
      <c r="Y431" s="1255"/>
      <c r="Z431" s="1041">
        <f t="shared" si="98"/>
        <v>40</v>
      </c>
      <c r="AA431" s="1077">
        <f t="shared" si="99"/>
        <v>0</v>
      </c>
      <c r="AB431" s="941"/>
      <c r="AC431" s="1006"/>
      <c r="AD431" s="1006"/>
      <c r="AE431" s="1071"/>
      <c r="AF431" s="941"/>
      <c r="AG431" s="1006"/>
      <c r="AH431" s="1006"/>
      <c r="AI431" s="1071"/>
      <c r="AJ431" s="1041">
        <f t="shared" si="100"/>
        <v>0</v>
      </c>
      <c r="AK431" s="941"/>
      <c r="AL431" s="943"/>
      <c r="AM431" s="940"/>
      <c r="AN431" s="954"/>
      <c r="AO431" s="954"/>
      <c r="AP431" s="954"/>
      <c r="AQ431" s="1094">
        <f>SUM(AQ424:AQ430)</f>
        <v>34851.213750000003</v>
      </c>
      <c r="AR431" s="954"/>
      <c r="AS431" s="954"/>
      <c r="AT431" s="940"/>
      <c r="AU431" s="940"/>
      <c r="AV431" s="1009"/>
      <c r="AW431" s="1027"/>
      <c r="AX431" s="1435"/>
      <c r="AY431" s="1435"/>
      <c r="AZ431" s="1435"/>
      <c r="BA431" s="1435"/>
      <c r="BB431" s="1435"/>
      <c r="BC431" s="1435"/>
      <c r="BD431" s="1435"/>
      <c r="BE431" s="1435"/>
    </row>
    <row r="432" spans="1:57" ht="15.75">
      <c r="A432" s="1487" t="s">
        <v>1479</v>
      </c>
      <c r="B432" s="1006">
        <v>0.29166666666666669</v>
      </c>
      <c r="C432" s="1006">
        <v>0.125</v>
      </c>
      <c r="D432" s="1071">
        <v>7.5</v>
      </c>
      <c r="E432" s="1255"/>
      <c r="F432" s="1013"/>
      <c r="G432" s="1006">
        <v>0.29166666666666669</v>
      </c>
      <c r="H432" s="1006">
        <v>0.16666666666666666</v>
      </c>
      <c r="I432" s="1071">
        <v>8</v>
      </c>
      <c r="J432" s="1255"/>
      <c r="K432" s="1013"/>
      <c r="L432" s="1006">
        <v>0.125</v>
      </c>
      <c r="M432" s="1006">
        <v>0.45833333333333331</v>
      </c>
      <c r="N432" s="1071">
        <v>8</v>
      </c>
      <c r="O432" s="1255"/>
      <c r="P432" s="1013"/>
      <c r="Q432" s="1006">
        <v>0.29166666666666669</v>
      </c>
      <c r="R432" s="1006">
        <v>0.16666666666666666</v>
      </c>
      <c r="S432" s="1071">
        <v>8</v>
      </c>
      <c r="T432" s="1255"/>
      <c r="U432" s="1013"/>
      <c r="V432" s="1006">
        <v>0.5</v>
      </c>
      <c r="W432" s="1006">
        <v>0.33333333333333331</v>
      </c>
      <c r="X432" s="1071">
        <v>7.5</v>
      </c>
      <c r="Y432" s="1255"/>
      <c r="Z432" s="1041">
        <f t="shared" si="98"/>
        <v>39</v>
      </c>
      <c r="AA432" s="1077">
        <f t="shared" si="99"/>
        <v>0</v>
      </c>
      <c r="AB432" s="941"/>
      <c r="AC432" s="1006"/>
      <c r="AD432" s="1006"/>
      <c r="AE432" s="1071"/>
      <c r="AF432" s="941"/>
      <c r="AG432" s="1006">
        <v>0.29166666666666669</v>
      </c>
      <c r="AH432" s="1006">
        <v>0.23958333333333334</v>
      </c>
      <c r="AI432" s="1071">
        <v>9.75</v>
      </c>
      <c r="AJ432" s="1041">
        <f t="shared" si="100"/>
        <v>9.75</v>
      </c>
      <c r="AK432" s="941"/>
      <c r="AL432" s="943"/>
      <c r="AM432" s="940"/>
      <c r="AN432" s="954"/>
      <c r="AO432" s="954"/>
      <c r="AP432" s="954"/>
      <c r="AQ432" s="954"/>
      <c r="AR432" s="954"/>
      <c r="AS432" s="954"/>
      <c r="AT432" s="940"/>
      <c r="AU432" s="940"/>
      <c r="AV432" s="1027"/>
      <c r="AW432" s="1027"/>
      <c r="AX432" s="1435"/>
      <c r="AY432" s="1435"/>
      <c r="AZ432" s="1435"/>
      <c r="BA432" s="1435"/>
      <c r="BB432" s="1435"/>
      <c r="BC432" s="1435"/>
      <c r="BD432" s="1435"/>
      <c r="BE432" s="1435"/>
    </row>
    <row r="433" spans="1:57" ht="15.75">
      <c r="A433" s="1405" t="s">
        <v>1143</v>
      </c>
      <c r="B433" s="1006"/>
      <c r="C433" s="1006"/>
      <c r="D433" s="1071">
        <v>0</v>
      </c>
      <c r="E433" s="1255"/>
      <c r="F433" s="1013"/>
      <c r="G433" s="1006"/>
      <c r="H433" s="1006"/>
      <c r="I433" s="1071">
        <v>0</v>
      </c>
      <c r="J433" s="1255"/>
      <c r="K433" s="1013"/>
      <c r="L433" s="1006"/>
      <c r="M433" s="1006"/>
      <c r="N433" s="1071">
        <v>0</v>
      </c>
      <c r="O433" s="1255"/>
      <c r="P433" s="1013"/>
      <c r="Q433" s="1006"/>
      <c r="R433" s="1006"/>
      <c r="S433" s="1071">
        <v>0</v>
      </c>
      <c r="T433" s="1255"/>
      <c r="U433" s="1013"/>
      <c r="V433" s="1006"/>
      <c r="W433" s="1006"/>
      <c r="X433" s="1071">
        <v>0</v>
      </c>
      <c r="Y433" s="1255"/>
      <c r="Z433" s="1041">
        <f t="shared" si="98"/>
        <v>0</v>
      </c>
      <c r="AA433" s="1077">
        <f t="shared" si="99"/>
        <v>0</v>
      </c>
      <c r="AB433" s="941"/>
      <c r="AC433" s="1006">
        <v>0.29166666666666669</v>
      </c>
      <c r="AD433" s="1006">
        <v>0.22916666666666666</v>
      </c>
      <c r="AE433" s="1071">
        <v>9.5</v>
      </c>
      <c r="AF433" s="941"/>
      <c r="AG433" s="1006"/>
      <c r="AH433" s="1006"/>
      <c r="AI433" s="1071"/>
      <c r="AJ433" s="1041">
        <f t="shared" si="100"/>
        <v>9.5</v>
      </c>
      <c r="AK433" s="941"/>
      <c r="AL433" s="943"/>
      <c r="AM433" s="940"/>
      <c r="AN433" s="954"/>
      <c r="AO433" s="954"/>
      <c r="AP433" s="954"/>
      <c r="AQ433" s="954"/>
      <c r="AR433" s="954"/>
      <c r="AS433" s="954"/>
      <c r="AT433" s="940"/>
      <c r="AU433" s="940"/>
      <c r="AV433" s="1435"/>
      <c r="AW433" s="1435"/>
      <c r="AX433" s="1435"/>
      <c r="AY433" s="1435"/>
      <c r="AZ433" s="1435"/>
      <c r="BA433" s="1435"/>
      <c r="BB433" s="1435"/>
      <c r="BC433" s="1435"/>
      <c r="BD433" s="1435"/>
      <c r="BE433" s="1435"/>
    </row>
    <row r="434" spans="1:57" ht="15.75">
      <c r="A434" s="1405" t="s">
        <v>813</v>
      </c>
      <c r="B434" s="1006"/>
      <c r="C434" s="1006"/>
      <c r="D434" s="1071">
        <v>4</v>
      </c>
      <c r="E434" s="1255"/>
      <c r="F434" s="941"/>
      <c r="G434" s="1006"/>
      <c r="H434" s="1006"/>
      <c r="I434" s="1071">
        <v>4</v>
      </c>
      <c r="J434" s="1255"/>
      <c r="K434" s="941"/>
      <c r="L434" s="1006"/>
      <c r="M434" s="1006"/>
      <c r="N434" s="1071">
        <v>4</v>
      </c>
      <c r="O434" s="1255"/>
      <c r="P434" s="941"/>
      <c r="Q434" s="1006"/>
      <c r="R434" s="1006"/>
      <c r="S434" s="1071">
        <v>4</v>
      </c>
      <c r="T434" s="1255"/>
      <c r="U434" s="941"/>
      <c r="V434" s="1006"/>
      <c r="W434" s="1006"/>
      <c r="X434" s="1071">
        <v>4</v>
      </c>
      <c r="Y434" s="1255"/>
      <c r="Z434" s="1041">
        <f t="shared" si="98"/>
        <v>20</v>
      </c>
      <c r="AA434" s="1077">
        <f t="shared" si="99"/>
        <v>0</v>
      </c>
      <c r="AB434" s="941"/>
      <c r="AC434" s="1006"/>
      <c r="AD434" s="1006"/>
      <c r="AE434" s="1071"/>
      <c r="AF434" s="941"/>
      <c r="AG434" s="1006"/>
      <c r="AH434" s="1006"/>
      <c r="AI434" s="1071"/>
      <c r="AJ434" s="1041">
        <f t="shared" si="100"/>
        <v>0</v>
      </c>
      <c r="AK434" s="941"/>
      <c r="AL434" s="943"/>
      <c r="AM434" s="940"/>
      <c r="AN434" s="954"/>
      <c r="AO434" s="954"/>
      <c r="AP434" s="954"/>
      <c r="AQ434" s="954"/>
      <c r="AR434" s="954"/>
      <c r="AS434" s="954"/>
      <c r="AT434" s="940"/>
      <c r="AU434" s="1435"/>
      <c r="AV434" s="1435"/>
      <c r="AW434" s="1435"/>
      <c r="AX434" s="1435"/>
      <c r="AY434" s="1435"/>
      <c r="AZ434" s="1435"/>
      <c r="BA434" s="1435"/>
      <c r="BB434" s="1435"/>
      <c r="BC434" s="1435"/>
      <c r="BD434" s="1435"/>
      <c r="BE434" s="1435"/>
    </row>
    <row r="435" spans="1:57" ht="15.75">
      <c r="A435" s="1405" t="s">
        <v>1431</v>
      </c>
      <c r="B435" s="1006"/>
      <c r="C435" s="1006"/>
      <c r="D435" s="1071">
        <v>4</v>
      </c>
      <c r="E435" s="1255"/>
      <c r="F435" s="941"/>
      <c r="G435" s="1006"/>
      <c r="H435" s="1006"/>
      <c r="I435" s="1071">
        <v>4</v>
      </c>
      <c r="J435" s="1255"/>
      <c r="K435" s="941"/>
      <c r="L435" s="1006"/>
      <c r="M435" s="1006"/>
      <c r="N435" s="1071">
        <v>4</v>
      </c>
      <c r="O435" s="1255"/>
      <c r="P435" s="941"/>
      <c r="Q435" s="1006"/>
      <c r="R435" s="1006"/>
      <c r="S435" s="1071">
        <v>4</v>
      </c>
      <c r="T435" s="1255"/>
      <c r="U435" s="941"/>
      <c r="V435" s="1006"/>
      <c r="W435" s="1006"/>
      <c r="X435" s="1071">
        <v>4</v>
      </c>
      <c r="Y435" s="1255"/>
      <c r="Z435" s="1041">
        <f t="shared" si="98"/>
        <v>20</v>
      </c>
      <c r="AA435" s="1077">
        <f t="shared" si="99"/>
        <v>0</v>
      </c>
      <c r="AB435" s="941"/>
      <c r="AC435" s="1006"/>
      <c r="AD435" s="1006"/>
      <c r="AE435" s="1071"/>
      <c r="AF435" s="941"/>
      <c r="AG435" s="1006"/>
      <c r="AH435" s="1006"/>
      <c r="AI435" s="1071"/>
      <c r="AJ435" s="1041">
        <f t="shared" si="100"/>
        <v>0</v>
      </c>
      <c r="AK435" s="941"/>
      <c r="AL435" s="943"/>
      <c r="AM435" s="940"/>
      <c r="AN435" s="992"/>
      <c r="AO435" s="1005"/>
      <c r="AP435" s="994"/>
      <c r="AQ435" s="994"/>
      <c r="AR435" s="954"/>
      <c r="AS435" s="954"/>
      <c r="AT435" s="940"/>
      <c r="AU435" s="1435"/>
      <c r="AV435" s="1435"/>
      <c r="AW435" s="1435"/>
      <c r="AX435" s="1435"/>
      <c r="AY435" s="1435"/>
      <c r="AZ435" s="1435"/>
      <c r="BA435" s="1435"/>
      <c r="BB435" s="1435"/>
      <c r="BC435" s="1435"/>
      <c r="BD435" s="1435"/>
      <c r="BE435" s="1435"/>
    </row>
    <row r="436" spans="1:57" ht="15.75">
      <c r="A436" s="1408" t="s">
        <v>1482</v>
      </c>
      <c r="B436" s="1398">
        <v>0.29166666666666669</v>
      </c>
      <c r="C436" s="1398">
        <v>0.125</v>
      </c>
      <c r="D436" s="1396">
        <v>8</v>
      </c>
      <c r="E436" s="1396"/>
      <c r="F436" s="1399"/>
      <c r="G436" s="1398">
        <v>0.29166666666666669</v>
      </c>
      <c r="H436" s="1398">
        <v>0.125</v>
      </c>
      <c r="I436" s="1396">
        <v>8</v>
      </c>
      <c r="J436" s="1396"/>
      <c r="K436" s="1399"/>
      <c r="L436" s="1398">
        <v>0.29166666666666669</v>
      </c>
      <c r="M436" s="1398">
        <v>0.125</v>
      </c>
      <c r="N436" s="1396">
        <v>8</v>
      </c>
      <c r="O436" s="1396"/>
      <c r="P436" s="1399"/>
      <c r="Q436" s="1398">
        <v>0.29166666666666669</v>
      </c>
      <c r="R436" s="1398">
        <v>0.125</v>
      </c>
      <c r="S436" s="1396">
        <v>8</v>
      </c>
      <c r="T436" s="1396"/>
      <c r="U436" s="1399"/>
      <c r="V436" s="1398">
        <v>0.29166666666666669</v>
      </c>
      <c r="W436" s="1398">
        <v>0.125</v>
      </c>
      <c r="X436" s="1396">
        <v>8</v>
      </c>
      <c r="Y436" s="1396"/>
      <c r="Z436" s="1041">
        <f t="shared" si="98"/>
        <v>40</v>
      </c>
      <c r="AA436" s="1077">
        <f t="shared" si="99"/>
        <v>0</v>
      </c>
      <c r="AB436" s="941"/>
      <c r="AC436" s="1006"/>
      <c r="AD436" s="1006"/>
      <c r="AE436" s="1071"/>
      <c r="AF436" s="941"/>
      <c r="AG436" s="1006"/>
      <c r="AH436" s="1006"/>
      <c r="AI436" s="1071"/>
      <c r="AJ436" s="1041">
        <f t="shared" si="100"/>
        <v>0</v>
      </c>
      <c r="AK436" s="941"/>
      <c r="AL436" s="943"/>
      <c r="AM436" s="940"/>
      <c r="AN436" s="992"/>
      <c r="AO436" s="1005"/>
      <c r="AP436" s="994"/>
      <c r="AQ436" s="994"/>
      <c r="AR436" s="954"/>
      <c r="AS436" s="954"/>
      <c r="AT436" s="940"/>
      <c r="AU436" s="1435"/>
      <c r="AV436" s="1435"/>
      <c r="AW436" s="1435"/>
      <c r="AX436" s="1435"/>
      <c r="AY436" s="1435"/>
      <c r="AZ436" s="1435"/>
      <c r="BA436" s="1435"/>
      <c r="BB436" s="1435"/>
      <c r="BC436" s="1435"/>
      <c r="BD436" s="1435"/>
      <c r="BE436" s="1435"/>
    </row>
    <row r="437" spans="1:57" ht="15.75">
      <c r="A437" s="1408" t="s">
        <v>1145</v>
      </c>
      <c r="B437" s="1398">
        <v>0.125</v>
      </c>
      <c r="C437" s="1398">
        <v>0.45833333333333331</v>
      </c>
      <c r="D437" s="1396">
        <v>8</v>
      </c>
      <c r="E437" s="1396"/>
      <c r="F437" s="1399"/>
      <c r="G437" s="1398">
        <v>0.125</v>
      </c>
      <c r="H437" s="1398">
        <v>0.45833333333333331</v>
      </c>
      <c r="I437" s="1396">
        <v>8</v>
      </c>
      <c r="J437" s="1396"/>
      <c r="K437" s="1396"/>
      <c r="L437" s="1398">
        <v>0.125</v>
      </c>
      <c r="M437" s="1398">
        <v>0.45833333333333331</v>
      </c>
      <c r="N437" s="1396">
        <v>8</v>
      </c>
      <c r="O437" s="1396"/>
      <c r="P437" s="1396"/>
      <c r="Q437" s="1398">
        <v>0.41666666666666669</v>
      </c>
      <c r="R437" s="1398">
        <v>0.45833333333333331</v>
      </c>
      <c r="S437" s="1396">
        <v>8</v>
      </c>
      <c r="T437" s="1396">
        <v>4</v>
      </c>
      <c r="U437" s="1396"/>
      <c r="V437" s="1398">
        <v>0.125</v>
      </c>
      <c r="W437" s="1398">
        <v>0.45833333333333331</v>
      </c>
      <c r="X437" s="1396">
        <v>8</v>
      </c>
      <c r="Y437" s="1396"/>
      <c r="Z437" s="1041">
        <f t="shared" si="98"/>
        <v>40</v>
      </c>
      <c r="AA437" s="1077">
        <f t="shared" si="99"/>
        <v>4</v>
      </c>
      <c r="AB437" s="941"/>
      <c r="AC437" s="1006"/>
      <c r="AD437" s="1006"/>
      <c r="AE437" s="1071"/>
      <c r="AF437" s="941"/>
      <c r="AG437" s="1006"/>
      <c r="AH437" s="1006"/>
      <c r="AI437" s="1071"/>
      <c r="AJ437" s="1041">
        <f t="shared" si="100"/>
        <v>0</v>
      </c>
      <c r="AK437" s="941"/>
      <c r="AL437" s="943"/>
      <c r="AM437" s="940"/>
      <c r="AN437" s="992"/>
      <c r="AO437" s="1005"/>
      <c r="AP437" s="994"/>
      <c r="AQ437" s="994"/>
      <c r="AR437" s="954"/>
      <c r="AS437" s="954"/>
      <c r="AT437" s="940"/>
      <c r="AU437" s="1435"/>
      <c r="AV437" s="1435"/>
      <c r="AW437" s="1435"/>
      <c r="AX437" s="1435"/>
      <c r="AY437" s="1435"/>
      <c r="AZ437" s="1435"/>
      <c r="BA437" s="1435"/>
      <c r="BB437" s="1435"/>
      <c r="BC437" s="1435"/>
      <c r="BD437" s="1435"/>
      <c r="BE437" s="1435"/>
    </row>
    <row r="438" spans="1:57" ht="15.75">
      <c r="A438" s="1408" t="s">
        <v>1447</v>
      </c>
      <c r="B438" s="1398">
        <v>0.125</v>
      </c>
      <c r="C438" s="1398">
        <v>0.45833333333333331</v>
      </c>
      <c r="D438" s="1396">
        <v>8</v>
      </c>
      <c r="E438" s="1396"/>
      <c r="F438" s="1399"/>
      <c r="G438" s="1398">
        <v>0.125</v>
      </c>
      <c r="H438" s="1398">
        <v>0.45833333333333331</v>
      </c>
      <c r="I438" s="1396">
        <v>8</v>
      </c>
      <c r="J438" s="1396"/>
      <c r="K438" s="1396"/>
      <c r="L438" s="1398">
        <v>0.125</v>
      </c>
      <c r="M438" s="1398">
        <v>0.45833333333333331</v>
      </c>
      <c r="N438" s="1396">
        <v>8</v>
      </c>
      <c r="O438" s="1396"/>
      <c r="P438" s="1396"/>
      <c r="Q438" s="1398">
        <v>0.125</v>
      </c>
      <c r="R438" s="1398">
        <v>0.45833333333333331</v>
      </c>
      <c r="S438" s="1396">
        <v>8</v>
      </c>
      <c r="T438" s="1396"/>
      <c r="U438" s="1396"/>
      <c r="V438" s="1398">
        <v>0.125</v>
      </c>
      <c r="W438" s="1398">
        <v>0.45833333333333331</v>
      </c>
      <c r="X438" s="1396">
        <v>8</v>
      </c>
      <c r="Y438" s="1396"/>
      <c r="Z438" s="1041">
        <f t="shared" si="98"/>
        <v>40</v>
      </c>
      <c r="AA438" s="1077">
        <f t="shared" si="99"/>
        <v>0</v>
      </c>
      <c r="AB438" s="941"/>
      <c r="AC438" s="1006"/>
      <c r="AD438" s="1006"/>
      <c r="AE438" s="1071"/>
      <c r="AF438" s="941"/>
      <c r="AG438" s="1006"/>
      <c r="AH438" s="1006"/>
      <c r="AI438" s="1071"/>
      <c r="AJ438" s="1041">
        <f t="shared" si="100"/>
        <v>0</v>
      </c>
      <c r="AK438" s="941"/>
      <c r="AL438" s="943"/>
      <c r="AM438" s="940"/>
      <c r="AN438" s="992"/>
      <c r="AO438" s="1005"/>
      <c r="AP438" s="994"/>
      <c r="AQ438" s="994"/>
      <c r="AR438" s="954"/>
      <c r="AS438" s="954"/>
      <c r="AT438" s="940"/>
      <c r="AU438" s="1435"/>
      <c r="AV438" s="1435"/>
      <c r="AW438" s="1435"/>
      <c r="AX438" s="1435"/>
      <c r="AY438" s="1435"/>
      <c r="AZ438" s="1435"/>
      <c r="BA438" s="1435"/>
      <c r="BB438" s="1435"/>
      <c r="BC438" s="1435"/>
      <c r="BD438" s="1435"/>
      <c r="BE438" s="1435"/>
    </row>
    <row r="439" spans="1:57" ht="15.75">
      <c r="A439" s="1408" t="s">
        <v>1141</v>
      </c>
      <c r="B439" s="1398">
        <v>0.29166666666666669</v>
      </c>
      <c r="C439" s="1398">
        <v>0.25</v>
      </c>
      <c r="D439" s="1396">
        <v>8</v>
      </c>
      <c r="E439" s="1396">
        <v>2</v>
      </c>
      <c r="F439" s="1396"/>
      <c r="G439" s="1398"/>
      <c r="H439" s="1398"/>
      <c r="I439" s="1396">
        <v>0</v>
      </c>
      <c r="J439" s="1396"/>
      <c r="K439" s="1396"/>
      <c r="L439" s="1398">
        <v>0.41666666666666669</v>
      </c>
      <c r="M439" s="1398">
        <v>0.20833333333333334</v>
      </c>
      <c r="N439" s="1396">
        <v>6.5</v>
      </c>
      <c r="O439" s="1396"/>
      <c r="P439" s="1396"/>
      <c r="Q439" s="1398">
        <v>0.41666666666666669</v>
      </c>
      <c r="R439" s="1398">
        <v>0.33333333333333331</v>
      </c>
      <c r="S439" s="1396">
        <v>8</v>
      </c>
      <c r="T439" s="1396">
        <v>1</v>
      </c>
      <c r="U439" s="1396"/>
      <c r="V439" s="1398">
        <v>0.29166666666666669</v>
      </c>
      <c r="W439" s="1398">
        <v>0.16666666666666666</v>
      </c>
      <c r="X439" s="1396">
        <v>8</v>
      </c>
      <c r="Y439" s="1396"/>
      <c r="Z439" s="1041">
        <f t="shared" si="98"/>
        <v>30.5</v>
      </c>
      <c r="AA439" s="1077">
        <f t="shared" si="99"/>
        <v>3</v>
      </c>
      <c r="AB439" s="941"/>
      <c r="AC439" s="1006"/>
      <c r="AD439" s="1006"/>
      <c r="AE439" s="1071"/>
      <c r="AF439" s="941"/>
      <c r="AG439" s="1006"/>
      <c r="AH439" s="1006"/>
      <c r="AI439" s="1071"/>
      <c r="AJ439" s="1041">
        <f t="shared" si="100"/>
        <v>0</v>
      </c>
      <c r="AK439" s="941"/>
      <c r="AL439" s="943"/>
      <c r="AM439" s="940"/>
      <c r="AN439" s="992"/>
      <c r="AO439" s="1005"/>
      <c r="AP439" s="994"/>
      <c r="AQ439" s="994"/>
      <c r="AR439" s="954"/>
      <c r="AS439" s="954"/>
      <c r="AT439" s="940"/>
      <c r="AU439" s="1435"/>
      <c r="AV439" s="1435"/>
      <c r="AW439" s="1435"/>
      <c r="AX439" s="1435"/>
      <c r="AY439" s="1435"/>
      <c r="AZ439" s="1435"/>
      <c r="BA439" s="1435"/>
      <c r="BB439" s="1435"/>
      <c r="BC439" s="1435"/>
      <c r="BD439" s="1435"/>
      <c r="BE439" s="1435"/>
    </row>
    <row r="440" spans="1:57" ht="15.75">
      <c r="A440" s="1408" t="s">
        <v>1477</v>
      </c>
      <c r="B440" s="1398">
        <v>0.375</v>
      </c>
      <c r="C440" s="1398">
        <v>0.20833333333333334</v>
      </c>
      <c r="D440" s="1396">
        <v>7</v>
      </c>
      <c r="E440" s="1396"/>
      <c r="F440" s="1396"/>
      <c r="G440" s="1398">
        <v>0.375</v>
      </c>
      <c r="H440" s="1398"/>
      <c r="I440" s="1396">
        <v>6.75</v>
      </c>
      <c r="J440" s="1396"/>
      <c r="K440" s="1396"/>
      <c r="L440" s="1398">
        <v>0.375</v>
      </c>
      <c r="M440" s="1398">
        <v>0.20833333333333334</v>
      </c>
      <c r="N440" s="1396">
        <v>7</v>
      </c>
      <c r="O440" s="1396"/>
      <c r="P440" s="1396"/>
      <c r="Q440" s="1398">
        <v>0.375</v>
      </c>
      <c r="R440" s="1398">
        <v>0.20833333333333334</v>
      </c>
      <c r="S440" s="1396">
        <v>7</v>
      </c>
      <c r="T440" s="1396"/>
      <c r="U440" s="1396"/>
      <c r="V440" s="1398">
        <v>0.375</v>
      </c>
      <c r="W440" s="1398">
        <v>0.20833333333333334</v>
      </c>
      <c r="X440" s="1396">
        <v>7</v>
      </c>
      <c r="Y440" s="1396"/>
      <c r="Z440" s="1041">
        <f t="shared" si="98"/>
        <v>34.75</v>
      </c>
      <c r="AA440" s="1077">
        <f t="shared" si="99"/>
        <v>0</v>
      </c>
      <c r="AB440" s="941"/>
      <c r="AC440" s="1006"/>
      <c r="AD440" s="1006"/>
      <c r="AE440" s="1071"/>
      <c r="AF440" s="941"/>
      <c r="AG440" s="1006"/>
      <c r="AH440" s="1006"/>
      <c r="AI440" s="1071"/>
      <c r="AJ440" s="1041">
        <f t="shared" si="100"/>
        <v>0</v>
      </c>
      <c r="AK440" s="941"/>
      <c r="AL440" s="943"/>
      <c r="AM440" s="940"/>
      <c r="AN440" s="954"/>
      <c r="AO440" s="954"/>
      <c r="AP440" s="954"/>
      <c r="AQ440" s="954"/>
      <c r="AR440" s="954"/>
      <c r="AS440" s="954"/>
      <c r="AT440" s="940"/>
      <c r="AU440" s="1435"/>
      <c r="AV440" s="1435"/>
      <c r="AW440" s="1435"/>
      <c r="AX440" s="1435"/>
      <c r="AY440" s="1435"/>
      <c r="AZ440" s="1435"/>
      <c r="BA440" s="1435"/>
      <c r="BB440" s="1435"/>
      <c r="BC440" s="1435"/>
      <c r="BD440" s="1435"/>
      <c r="BE440" s="1435"/>
    </row>
    <row r="441" spans="1:57" ht="15.75">
      <c r="A441" s="1408" t="s">
        <v>1444</v>
      </c>
      <c r="B441" s="1398">
        <v>0.375</v>
      </c>
      <c r="C441" s="1398"/>
      <c r="D441" s="1396">
        <v>5</v>
      </c>
      <c r="E441" s="1396"/>
      <c r="F441" s="1396"/>
      <c r="G441" s="1398">
        <v>0.375</v>
      </c>
      <c r="H441" s="1398">
        <v>0.125</v>
      </c>
      <c r="I441" s="1396">
        <v>5.5</v>
      </c>
      <c r="J441" s="1396"/>
      <c r="K441" s="1396"/>
      <c r="L441" s="1398">
        <v>0.375</v>
      </c>
      <c r="M441" s="1398">
        <v>0.125</v>
      </c>
      <c r="N441" s="1396">
        <v>5.5</v>
      </c>
      <c r="O441" s="1396"/>
      <c r="P441" s="1396"/>
      <c r="Q441" s="1398">
        <v>0.375</v>
      </c>
      <c r="R441" s="1398">
        <v>0.125</v>
      </c>
      <c r="S441" s="1396">
        <v>5.5</v>
      </c>
      <c r="T441" s="1396"/>
      <c r="U441" s="1396"/>
      <c r="V441" s="1398">
        <v>0.375</v>
      </c>
      <c r="W441" s="1398">
        <v>0.125</v>
      </c>
      <c r="X441" s="1396">
        <v>5.5</v>
      </c>
      <c r="Y441" s="1396"/>
      <c r="Z441" s="1041">
        <f t="shared" si="98"/>
        <v>27</v>
      </c>
      <c r="AA441" s="1077">
        <f t="shared" si="99"/>
        <v>0</v>
      </c>
      <c r="AB441" s="941"/>
      <c r="AC441" s="1006"/>
      <c r="AD441" s="1006"/>
      <c r="AE441" s="1071"/>
      <c r="AF441" s="941"/>
      <c r="AG441" s="1006"/>
      <c r="AH441" s="1006"/>
      <c r="AI441" s="1071"/>
      <c r="AJ441" s="1041">
        <f t="shared" si="100"/>
        <v>0</v>
      </c>
      <c r="AK441" s="941"/>
      <c r="AL441" s="943"/>
      <c r="AM441" s="940"/>
      <c r="AN441" s="954"/>
      <c r="AO441" s="954"/>
      <c r="AP441" s="954"/>
      <c r="AQ441" s="954"/>
      <c r="AR441" s="954"/>
      <c r="AS441" s="954"/>
      <c r="AT441" s="940"/>
      <c r="AU441" s="1435"/>
      <c r="AV441" s="1435"/>
      <c r="AW441" s="1435"/>
      <c r="AX441" s="1435"/>
      <c r="AY441" s="1435"/>
      <c r="AZ441" s="1435"/>
      <c r="BA441" s="1435"/>
      <c r="BB441" s="1435"/>
      <c r="BC441" s="1435"/>
      <c r="BD441" s="1435"/>
      <c r="BE441" s="1435"/>
    </row>
    <row r="442" spans="1:57" ht="15.75">
      <c r="A442" s="1408" t="s">
        <v>1480</v>
      </c>
      <c r="B442" s="1398">
        <v>0.29166666666666669</v>
      </c>
      <c r="C442" s="1398">
        <v>0.20833333333333334</v>
      </c>
      <c r="D442" s="1396">
        <v>8</v>
      </c>
      <c r="E442" s="1396">
        <v>1</v>
      </c>
      <c r="F442" s="1396"/>
      <c r="G442" s="1398">
        <v>0.375</v>
      </c>
      <c r="H442" s="1398">
        <v>0.20833333333333334</v>
      </c>
      <c r="I442" s="1396">
        <v>7.5</v>
      </c>
      <c r="J442" s="1396"/>
      <c r="K442" s="1396"/>
      <c r="L442" s="1398">
        <v>0.41666666666666669</v>
      </c>
      <c r="M442" s="1398">
        <v>0.20833333333333334</v>
      </c>
      <c r="N442" s="1396">
        <v>6.5</v>
      </c>
      <c r="O442" s="1396"/>
      <c r="P442" s="1396"/>
      <c r="Q442" s="1398">
        <v>0.41666666666666669</v>
      </c>
      <c r="R442" s="1398">
        <v>0.20833333333333334</v>
      </c>
      <c r="S442" s="1396">
        <v>6.5</v>
      </c>
      <c r="T442" s="1396"/>
      <c r="U442" s="1396"/>
      <c r="V442" s="1398">
        <v>0.5</v>
      </c>
      <c r="W442" s="1398">
        <v>0.41666666666666669</v>
      </c>
      <c r="X442" s="1396">
        <v>8</v>
      </c>
      <c r="Y442" s="1396">
        <v>1</v>
      </c>
      <c r="Z442" s="1041">
        <f t="shared" si="98"/>
        <v>36.5</v>
      </c>
      <c r="AA442" s="1077">
        <f t="shared" si="99"/>
        <v>2</v>
      </c>
      <c r="AB442" s="941"/>
      <c r="AC442" s="1006"/>
      <c r="AD442" s="1006"/>
      <c r="AE442" s="1071"/>
      <c r="AF442" s="941"/>
      <c r="AG442" s="1006"/>
      <c r="AH442" s="1006"/>
      <c r="AI442" s="1071"/>
      <c r="AJ442" s="1041">
        <f t="shared" si="100"/>
        <v>0</v>
      </c>
      <c r="AK442" s="941"/>
      <c r="AL442" s="943"/>
      <c r="AM442" s="940"/>
      <c r="AN442" s="954"/>
      <c r="AO442" s="954"/>
      <c r="AP442" s="954"/>
      <c r="AQ442" s="954"/>
      <c r="AR442" s="954"/>
      <c r="AS442" s="954"/>
      <c r="AT442" s="940"/>
      <c r="AU442" s="1435"/>
      <c r="AV442" s="1435"/>
      <c r="AW442" s="1435"/>
      <c r="AX442" s="1435"/>
      <c r="AY442" s="1435"/>
      <c r="AZ442" s="1435"/>
      <c r="BA442" s="1435"/>
      <c r="BB442" s="1435"/>
      <c r="BC442" s="1435"/>
      <c r="BD442" s="1435"/>
      <c r="BE442" s="1435"/>
    </row>
    <row r="443" spans="1:57" ht="15.75">
      <c r="A443" s="1344" t="s">
        <v>1064</v>
      </c>
      <c r="B443" s="1401">
        <v>0.45833333333333331</v>
      </c>
      <c r="C443" s="1401">
        <v>0.29166666666666669</v>
      </c>
      <c r="D443" s="1396">
        <v>8</v>
      </c>
      <c r="E443" s="1396"/>
      <c r="F443" s="1396"/>
      <c r="G443" s="1401">
        <v>0.45833333333333331</v>
      </c>
      <c r="H443" s="1401">
        <v>0.29166666666666669</v>
      </c>
      <c r="I443" s="1396">
        <v>8</v>
      </c>
      <c r="J443" s="1396"/>
      <c r="K443" s="1396"/>
      <c r="L443" s="1401">
        <v>0.45833333333333331</v>
      </c>
      <c r="M443" s="1401">
        <v>0.29166666666666669</v>
      </c>
      <c r="N443" s="1396">
        <v>8</v>
      </c>
      <c r="O443" s="1396"/>
      <c r="P443" s="1396"/>
      <c r="Q443" s="1398">
        <v>0.45833333333333331</v>
      </c>
      <c r="R443" s="1398">
        <v>0.29166666666666669</v>
      </c>
      <c r="S443" s="1396">
        <v>8</v>
      </c>
      <c r="T443" s="1396"/>
      <c r="U443" s="1396"/>
      <c r="V443" s="1398">
        <v>0.45833333333333331</v>
      </c>
      <c r="W443" s="1403">
        <v>0.29166666666666669</v>
      </c>
      <c r="X443" s="1396">
        <v>8</v>
      </c>
      <c r="Y443" s="1396"/>
      <c r="Z443" s="1041">
        <f t="shared" si="98"/>
        <v>40</v>
      </c>
      <c r="AA443" s="1077">
        <f t="shared" si="99"/>
        <v>0</v>
      </c>
      <c r="AB443" s="941"/>
      <c r="AC443" s="1076"/>
      <c r="AD443" s="1256"/>
      <c r="AE443" s="1072"/>
      <c r="AF443" s="1076"/>
      <c r="AG443" s="1256"/>
      <c r="AH443" s="1072"/>
      <c r="AI443" s="1076"/>
      <c r="AJ443" s="1041">
        <f t="shared" si="100"/>
        <v>0</v>
      </c>
      <c r="AK443" s="941"/>
      <c r="AL443" s="943"/>
      <c r="AM443" s="940"/>
      <c r="AN443" s="954"/>
      <c r="AO443" s="954"/>
      <c r="AP443" s="954"/>
      <c r="AQ443" s="954"/>
      <c r="AR443" s="954"/>
      <c r="AS443" s="954"/>
      <c r="AT443" s="940"/>
      <c r="AU443" s="1435"/>
      <c r="AV443" s="1435"/>
      <c r="AW443" s="1435"/>
      <c r="AX443" s="1435"/>
      <c r="AY443" s="1435"/>
      <c r="AZ443" s="1435"/>
      <c r="BA443" s="1435"/>
      <c r="BB443" s="1435"/>
      <c r="BC443" s="1435"/>
      <c r="BD443" s="1435"/>
      <c r="BE443" s="1435"/>
    </row>
    <row r="444" spans="1:57" ht="15.75">
      <c r="A444" s="1483" t="s">
        <v>1144</v>
      </c>
      <c r="B444" s="1401">
        <v>0.45833333333333331</v>
      </c>
      <c r="C444" s="1401">
        <v>0.29166666666666669</v>
      </c>
      <c r="D444" s="1396">
        <v>8</v>
      </c>
      <c r="E444" s="1396"/>
      <c r="F444" s="1396"/>
      <c r="G444" s="1401"/>
      <c r="H444" s="1401"/>
      <c r="I444" s="1396">
        <v>0</v>
      </c>
      <c r="J444" s="1396"/>
      <c r="K444" s="1396"/>
      <c r="L444" s="1401"/>
      <c r="M444" s="1401"/>
      <c r="N444" s="1396">
        <v>0</v>
      </c>
      <c r="O444" s="1396"/>
      <c r="P444" s="1396"/>
      <c r="Q444" s="1398">
        <v>4.1666666666666664E-2</v>
      </c>
      <c r="R444" s="1398">
        <v>0.41666666666666669</v>
      </c>
      <c r="S444" s="1396">
        <v>8</v>
      </c>
      <c r="T444" s="1396"/>
      <c r="U444" s="1396"/>
      <c r="V444" s="1398"/>
      <c r="W444" s="1403"/>
      <c r="X444" s="1396">
        <v>0</v>
      </c>
      <c r="Y444" s="1396"/>
      <c r="Z444" s="1041">
        <f t="shared" si="98"/>
        <v>16</v>
      </c>
      <c r="AA444" s="1077">
        <f t="shared" si="99"/>
        <v>0</v>
      </c>
      <c r="AB444" s="941"/>
      <c r="AC444" s="1076"/>
      <c r="AD444" s="1256"/>
      <c r="AE444" s="1072"/>
      <c r="AF444" s="1076"/>
      <c r="AG444" s="1256"/>
      <c r="AH444" s="1072"/>
      <c r="AI444" s="1076"/>
      <c r="AJ444" s="1041">
        <f t="shared" si="100"/>
        <v>0</v>
      </c>
      <c r="AK444" s="941"/>
      <c r="AL444" s="943"/>
      <c r="AM444" s="940"/>
      <c r="AN444" s="954"/>
      <c r="AO444" s="954"/>
      <c r="AP444" s="954"/>
      <c r="AQ444" s="954"/>
      <c r="AR444" s="954"/>
      <c r="AS444" s="954"/>
      <c r="AT444" s="940"/>
      <c r="AU444" s="1435"/>
      <c r="AV444" s="1435"/>
      <c r="AW444" s="1435"/>
      <c r="AX444" s="1435"/>
      <c r="AY444" s="1435"/>
      <c r="AZ444" s="1435"/>
      <c r="BA444" s="1435"/>
      <c r="BB444" s="1435"/>
      <c r="BC444" s="1435"/>
      <c r="BD444" s="1435"/>
      <c r="BE444" s="1435"/>
    </row>
    <row r="445" spans="1:57" ht="16.5" thickBot="1">
      <c r="A445" s="1490" t="s">
        <v>1427</v>
      </c>
      <c r="B445" s="1415">
        <v>0.45833333333333331</v>
      </c>
      <c r="C445" s="1415">
        <v>0.29166666666666669</v>
      </c>
      <c r="D445" s="1287">
        <v>8</v>
      </c>
      <c r="E445" s="1287"/>
      <c r="F445" s="1287"/>
      <c r="G445" s="1285">
        <v>0.45833333333333331</v>
      </c>
      <c r="H445" s="1285">
        <v>0.29166666666666669</v>
      </c>
      <c r="I445" s="1287">
        <v>8</v>
      </c>
      <c r="J445" s="1287"/>
      <c r="K445" s="1287"/>
      <c r="L445" s="1381">
        <v>0.45833333333333331</v>
      </c>
      <c r="M445" s="1381">
        <v>7</v>
      </c>
      <c r="N445" s="1420">
        <v>8</v>
      </c>
      <c r="O445" s="1287"/>
      <c r="P445" s="1287"/>
      <c r="Q445" s="1285">
        <v>0.45833333333333331</v>
      </c>
      <c r="R445" s="1381">
        <v>0.29166666666666669</v>
      </c>
      <c r="S445" s="1287">
        <v>8</v>
      </c>
      <c r="T445" s="1287"/>
      <c r="U445" s="1287"/>
      <c r="V445" s="1285">
        <v>0.45833333333333331</v>
      </c>
      <c r="W445" s="1286"/>
      <c r="X445" s="1287">
        <v>7.75</v>
      </c>
      <c r="Y445" s="1287"/>
      <c r="Z445" s="1266">
        <f t="shared" si="98"/>
        <v>39.75</v>
      </c>
      <c r="AA445" s="1267">
        <f t="shared" si="99"/>
        <v>0</v>
      </c>
      <c r="AB445" s="941"/>
      <c r="AC445" s="1285"/>
      <c r="AD445" s="1285"/>
      <c r="AE445" s="1287"/>
      <c r="AF445" s="1285"/>
      <c r="AG445" s="1286"/>
      <c r="AH445" s="1287"/>
      <c r="AI445" s="1285"/>
      <c r="AJ445" s="1266">
        <f t="shared" si="100"/>
        <v>0</v>
      </c>
      <c r="AK445" s="941"/>
      <c r="AL445" s="943"/>
      <c r="AM445" s="940"/>
      <c r="AN445" s="954"/>
      <c r="AO445" s="954"/>
      <c r="AP445" s="954"/>
      <c r="AQ445" s="954"/>
      <c r="AR445" s="954"/>
      <c r="AS445" s="954"/>
      <c r="AT445" s="940"/>
      <c r="AU445" s="1435"/>
      <c r="AV445" s="1435"/>
      <c r="AW445" s="1435"/>
      <c r="AX445" s="1435"/>
      <c r="AY445" s="1435"/>
      <c r="AZ445" s="1435"/>
      <c r="BA445" s="1435"/>
      <c r="BB445" s="1435"/>
      <c r="BC445" s="1435"/>
      <c r="BD445" s="1435"/>
      <c r="BE445" s="1435"/>
    </row>
    <row r="446" spans="1:57" ht="16.5" thickTop="1">
      <c r="A446" s="1018" t="s">
        <v>61</v>
      </c>
      <c r="B446" s="1018"/>
      <c r="C446" s="1018"/>
      <c r="D446" s="1084">
        <f>SUM(D425:D442)</f>
        <v>123.5</v>
      </c>
      <c r="E446" s="1255">
        <f>SUM(E425:E442)</f>
        <v>3</v>
      </c>
      <c r="F446" s="1018"/>
      <c r="G446" s="1018"/>
      <c r="H446" s="1018"/>
      <c r="I446" s="1084">
        <f>SUM(I425:I442)</f>
        <v>115.75</v>
      </c>
      <c r="J446" s="1255">
        <f>SUM(J425:J442)</f>
        <v>0</v>
      </c>
      <c r="K446" s="1018"/>
      <c r="L446" s="1018"/>
      <c r="M446" s="1018"/>
      <c r="N446" s="1084">
        <f>SUM(N425:N442)</f>
        <v>113.5</v>
      </c>
      <c r="O446" s="1255">
        <f>SUM(O425:O442)</f>
        <v>1</v>
      </c>
      <c r="P446" s="1018"/>
      <c r="Q446" s="1018"/>
      <c r="R446" s="1018"/>
      <c r="S446" s="1084">
        <f>SUM(S425:S442)</f>
        <v>123</v>
      </c>
      <c r="T446" s="1255">
        <f>SUM(T425:T442)</f>
        <v>5</v>
      </c>
      <c r="U446" s="1018"/>
      <c r="V446" s="1018"/>
      <c r="W446" s="1018"/>
      <c r="X446" s="1084">
        <f>SUM(X425:X442)</f>
        <v>124</v>
      </c>
      <c r="Y446" s="1255">
        <f>SUM(Y425:Y442)</f>
        <v>1</v>
      </c>
      <c r="Z446" s="1028">
        <f>SUM(Z425:Z442)</f>
        <v>599.75</v>
      </c>
      <c r="AA446" s="1028">
        <f>SUM(AA425:AA442)</f>
        <v>10</v>
      </c>
      <c r="AB446" s="941"/>
      <c r="AC446" s="1018"/>
      <c r="AD446" s="1018"/>
      <c r="AE446" s="1041">
        <f>SUM(AE425:AE442)</f>
        <v>9.5</v>
      </c>
      <c r="AF446" s="941"/>
      <c r="AG446" s="1018"/>
      <c r="AH446" s="1018"/>
      <c r="AI446" s="1041">
        <f>SUM(AI425:AI442)</f>
        <v>9.75</v>
      </c>
      <c r="AJ446" s="1028">
        <f>SUM(AJ425:AJ442)</f>
        <v>19.25</v>
      </c>
      <c r="AK446" s="941"/>
      <c r="AL446" s="943"/>
      <c r="AM446" s="940"/>
      <c r="AN446" s="954"/>
      <c r="AO446" s="954"/>
      <c r="AP446" s="954"/>
      <c r="AQ446" s="954"/>
      <c r="AR446" s="954"/>
      <c r="AS446" s="954"/>
      <c r="AT446" s="940"/>
      <c r="AU446" s="1435"/>
      <c r="AV446" s="1435"/>
      <c r="AW446" s="1435"/>
      <c r="AX446" s="1435"/>
      <c r="AY446" s="1435"/>
      <c r="AZ446" s="1435"/>
      <c r="BA446" s="1435"/>
      <c r="BB446" s="1435"/>
      <c r="BC446" s="1435"/>
      <c r="BD446" s="1435"/>
      <c r="BE446" s="1435"/>
    </row>
    <row r="447" spans="1:57" ht="15.75">
      <c r="A447" s="1335" t="s">
        <v>1434</v>
      </c>
      <c r="B447" s="1018"/>
      <c r="C447" s="1018"/>
      <c r="D447" s="1084">
        <f>SUM(D443:D445)</f>
        <v>24</v>
      </c>
      <c r="E447" s="1255"/>
      <c r="F447" s="1018"/>
      <c r="G447" s="1018"/>
      <c r="H447" s="1018"/>
      <c r="I447" s="1084">
        <f>SUM(I443:I445)</f>
        <v>16</v>
      </c>
      <c r="J447" s="1255"/>
      <c r="K447" s="1018"/>
      <c r="L447" s="1018"/>
      <c r="M447" s="1018"/>
      <c r="N447" s="1084">
        <f>SUM(N443:N445)</f>
        <v>16</v>
      </c>
      <c r="O447" s="1255"/>
      <c r="P447" s="1018"/>
      <c r="Q447" s="1018"/>
      <c r="R447" s="1018"/>
      <c r="S447" s="1084">
        <f>SUM(S443:S445)</f>
        <v>24</v>
      </c>
      <c r="T447" s="1255"/>
      <c r="U447" s="1018"/>
      <c r="V447" s="1018"/>
      <c r="W447" s="1018"/>
      <c r="X447" s="1084">
        <f>SUM(X443:X445)</f>
        <v>15.75</v>
      </c>
      <c r="Y447" s="1255"/>
      <c r="Z447" s="1028">
        <f>SUM(Z443:Z445)</f>
        <v>95.75</v>
      </c>
      <c r="AA447" s="1028">
        <f>SUM(AA443:AA445)</f>
        <v>0</v>
      </c>
      <c r="AB447" s="941"/>
      <c r="AC447" s="1018"/>
      <c r="AD447" s="1018"/>
      <c r="AE447" s="1041">
        <f>SUM(AE443:AE445)</f>
        <v>0</v>
      </c>
      <c r="AF447" s="941"/>
      <c r="AG447" s="1018"/>
      <c r="AH447" s="1018"/>
      <c r="AI447" s="1041">
        <f>SUM(AI443:AI445)</f>
        <v>0</v>
      </c>
      <c r="AJ447" s="1028">
        <f>SUM(AE447+AI447)</f>
        <v>0</v>
      </c>
      <c r="AK447" s="941"/>
      <c r="AL447" s="943"/>
      <c r="AM447" s="940"/>
      <c r="AN447" s="954"/>
      <c r="AO447" s="954"/>
      <c r="AP447" s="954"/>
      <c r="AQ447" s="954"/>
      <c r="AR447" s="954"/>
      <c r="AS447" s="954"/>
      <c r="AT447" s="940"/>
      <c r="AU447" s="1435"/>
      <c r="AV447" s="1435"/>
      <c r="AW447" s="1435"/>
      <c r="AX447" s="1435"/>
      <c r="AY447" s="1435"/>
      <c r="AZ447" s="1435"/>
      <c r="BA447" s="1435"/>
      <c r="BB447" s="1435"/>
      <c r="BC447" s="1435"/>
      <c r="BD447" s="1435"/>
      <c r="BE447" s="1435"/>
    </row>
    <row r="448" spans="1:57" ht="15.75">
      <c r="A448" s="1257" t="s">
        <v>64</v>
      </c>
      <c r="B448" s="1006"/>
      <c r="C448" s="1006"/>
      <c r="D448" s="1071">
        <v>8</v>
      </c>
      <c r="E448" s="1071"/>
      <c r="F448" s="1026"/>
      <c r="G448" s="1006"/>
      <c r="H448" s="1006"/>
      <c r="I448" s="1071">
        <v>8</v>
      </c>
      <c r="J448" s="1071"/>
      <c r="K448" s="1013"/>
      <c r="L448" s="1006"/>
      <c r="M448" s="1006"/>
      <c r="N448" s="1071">
        <v>8</v>
      </c>
      <c r="O448" s="1071"/>
      <c r="P448" s="1013"/>
      <c r="Q448" s="1006"/>
      <c r="R448" s="1006"/>
      <c r="S448" s="1071">
        <v>8</v>
      </c>
      <c r="T448" s="1071"/>
      <c r="U448" s="1013"/>
      <c r="V448" s="1006"/>
      <c r="W448" s="1006"/>
      <c r="X448" s="1071">
        <v>8</v>
      </c>
      <c r="Y448" s="1071"/>
      <c r="Z448" s="1028">
        <f>D448+I448+N448+S448+X448</f>
        <v>40</v>
      </c>
      <c r="AA448" s="1100">
        <f>E448+J448+O448+T448+Y448</f>
        <v>0</v>
      </c>
      <c r="AB448" s="941"/>
      <c r="AC448" s="1006"/>
      <c r="AD448" s="1006"/>
      <c r="AE448" s="1071">
        <f>5.5+1</f>
        <v>6.5</v>
      </c>
      <c r="AF448" s="941"/>
      <c r="AG448" s="1006"/>
      <c r="AH448" s="1006"/>
      <c r="AI448" s="1071">
        <f>5+1</f>
        <v>6</v>
      </c>
      <c r="AJ448" s="1028">
        <f>AE448+AI448</f>
        <v>12.5</v>
      </c>
      <c r="AK448" s="941"/>
      <c r="AL448" s="943"/>
      <c r="AM448" s="940"/>
      <c r="AN448" s="954"/>
      <c r="AO448" s="954"/>
      <c r="AP448" s="954"/>
      <c r="AQ448" s="954"/>
      <c r="AR448" s="954"/>
      <c r="AS448" s="954"/>
      <c r="AT448" s="940"/>
      <c r="AU448" s="1435"/>
      <c r="AV448" s="1435"/>
      <c r="AW448" s="1435"/>
      <c r="AX448" s="1435"/>
      <c r="AY448" s="1435"/>
      <c r="AZ448" s="1435"/>
      <c r="BA448" s="1435"/>
      <c r="BB448" s="1435"/>
      <c r="BC448" s="1435"/>
      <c r="BD448" s="1435"/>
      <c r="BE448" s="1435"/>
    </row>
    <row r="449" spans="1:57" ht="15.75">
      <c r="A449" s="940"/>
      <c r="B449" s="940"/>
      <c r="C449" s="940"/>
      <c r="D449" s="941"/>
      <c r="E449" s="942"/>
      <c r="F449" s="941"/>
      <c r="G449" s="940"/>
      <c r="H449" s="940"/>
      <c r="I449" s="941"/>
      <c r="J449" s="942"/>
      <c r="K449" s="941"/>
      <c r="L449" s="940"/>
      <c r="M449" s="940"/>
      <c r="N449" s="941"/>
      <c r="O449" s="942"/>
      <c r="P449" s="941"/>
      <c r="Q449" s="940"/>
      <c r="R449" s="940"/>
      <c r="S449" s="941"/>
      <c r="T449" s="942"/>
      <c r="U449" s="941"/>
      <c r="V449" s="940"/>
      <c r="W449" s="940"/>
      <c r="X449" s="941"/>
      <c r="Y449" s="942"/>
      <c r="Z449" s="941"/>
      <c r="AA449" s="941"/>
      <c r="AB449" s="941"/>
      <c r="AC449" s="940"/>
      <c r="AD449" s="940"/>
      <c r="AE449" s="940"/>
      <c r="AF449" s="941"/>
      <c r="AG449" s="940"/>
      <c r="AH449" s="940"/>
      <c r="AI449" s="940"/>
      <c r="AJ449" s="940"/>
      <c r="AK449" s="941"/>
      <c r="AL449" s="943"/>
      <c r="AM449" s="940"/>
      <c r="AN449" s="940"/>
      <c r="AO449" s="940"/>
      <c r="AP449" s="940"/>
      <c r="AQ449" s="940"/>
      <c r="AR449" s="940"/>
      <c r="AS449" s="940"/>
      <c r="AT449" s="940"/>
      <c r="AU449" s="1435"/>
      <c r="AV449" s="1435"/>
      <c r="AW449" s="1435"/>
      <c r="AX449" s="1435"/>
      <c r="AY449" s="1435"/>
      <c r="AZ449" s="1435"/>
      <c r="BA449" s="1435"/>
      <c r="BB449" s="1435"/>
      <c r="BC449" s="1435"/>
      <c r="BD449" s="1435"/>
      <c r="BE449" s="1435"/>
    </row>
    <row r="450" spans="1:57" ht="15.75">
      <c r="A450" s="974"/>
      <c r="B450" s="975"/>
      <c r="C450" s="975"/>
      <c r="D450" s="976"/>
      <c r="E450" s="976"/>
      <c r="F450" s="975"/>
      <c r="G450" s="976"/>
      <c r="H450" s="976"/>
      <c r="I450" s="976"/>
      <c r="J450" s="976"/>
      <c r="K450" s="975"/>
      <c r="L450" s="975"/>
      <c r="M450" s="975"/>
      <c r="N450" s="975"/>
      <c r="O450" s="976"/>
      <c r="P450" s="975"/>
      <c r="Q450" s="975"/>
      <c r="R450" s="975"/>
      <c r="S450" s="975"/>
      <c r="T450" s="976"/>
      <c r="U450" s="975"/>
      <c r="V450" s="975"/>
      <c r="W450" s="975"/>
      <c r="X450" s="977"/>
      <c r="Y450" s="976"/>
      <c r="Z450" s="978"/>
      <c r="AA450" s="976"/>
      <c r="AB450" s="979"/>
      <c r="AC450" s="980"/>
      <c r="AD450" s="943"/>
      <c r="AE450" s="943"/>
      <c r="AF450" s="979"/>
      <c r="AG450" s="980"/>
      <c r="AH450" s="943"/>
      <c r="AI450" s="943"/>
      <c r="AJ450" s="943"/>
      <c r="AK450" s="979"/>
      <c r="AL450" s="943"/>
      <c r="AM450" s="943"/>
      <c r="AN450" s="943"/>
      <c r="AO450" s="943"/>
      <c r="AP450" s="943"/>
      <c r="AQ450" s="943"/>
      <c r="AR450" s="943"/>
      <c r="AS450" s="943"/>
      <c r="AT450" s="943"/>
      <c r="AU450" s="943"/>
      <c r="AV450" s="943"/>
      <c r="AW450" s="943"/>
      <c r="AX450" s="943"/>
      <c r="AY450" s="943"/>
      <c r="AZ450" s="1435"/>
      <c r="BA450" s="1435"/>
      <c r="BB450" s="1435"/>
      <c r="BC450" s="1435"/>
      <c r="BD450" s="1435"/>
      <c r="BE450" s="1435"/>
    </row>
    <row r="451" spans="1:57" ht="15.75">
      <c r="A451" s="940"/>
      <c r="B451" s="1434"/>
      <c r="C451" s="1434"/>
      <c r="D451" s="1434"/>
      <c r="E451" s="1434"/>
      <c r="F451" s="1434"/>
      <c r="G451" s="1434"/>
      <c r="H451" s="1434"/>
      <c r="I451" s="1434"/>
      <c r="J451" s="1434"/>
      <c r="K451" s="1434"/>
      <c r="L451" s="1434"/>
      <c r="M451" s="1434"/>
      <c r="N451" s="940"/>
      <c r="O451" s="940"/>
      <c r="P451" s="940"/>
      <c r="Q451" s="940"/>
      <c r="R451" s="940"/>
      <c r="S451" s="941"/>
      <c r="T451" s="942"/>
      <c r="U451" s="941"/>
      <c r="V451" s="940"/>
      <c r="W451" s="940"/>
      <c r="X451" s="941"/>
      <c r="Y451" s="942"/>
      <c r="Z451" s="941"/>
      <c r="AA451" s="941"/>
      <c r="AB451" s="941"/>
      <c r="AC451" s="940"/>
      <c r="AD451" s="940"/>
      <c r="AE451" s="940"/>
      <c r="AF451" s="941"/>
      <c r="AG451" s="940"/>
      <c r="AH451" s="940"/>
      <c r="AI451" s="940"/>
      <c r="AJ451" s="940"/>
      <c r="AK451" s="941"/>
      <c r="AL451" s="943"/>
      <c r="AM451" s="940"/>
      <c r="AN451" s="954"/>
      <c r="AO451" s="954"/>
      <c r="AP451" s="954"/>
      <c r="AQ451" s="954"/>
      <c r="AR451" s="954"/>
      <c r="AS451" s="954"/>
      <c r="AT451" s="954"/>
      <c r="AU451" s="954"/>
      <c r="AV451" s="954"/>
      <c r="AW451" s="954"/>
      <c r="AX451" s="954"/>
      <c r="AY451" s="954"/>
      <c r="AZ451" s="1435"/>
      <c r="BA451" s="1435"/>
      <c r="BB451" s="1435"/>
      <c r="BC451" s="1435"/>
      <c r="BD451" s="1435"/>
      <c r="BE451" s="1435"/>
    </row>
    <row r="452" spans="1:57" ht="15.75">
      <c r="A452" s="1614" t="s">
        <v>18</v>
      </c>
      <c r="B452" s="1568">
        <v>46132</v>
      </c>
      <c r="C452" s="1568"/>
      <c r="D452" s="1568" t="s">
        <v>564</v>
      </c>
      <c r="E452" s="1568"/>
      <c r="F452" s="1258"/>
      <c r="G452" s="1568">
        <v>46133</v>
      </c>
      <c r="H452" s="1568"/>
      <c r="I452" s="1568" t="s">
        <v>565</v>
      </c>
      <c r="J452" s="1568"/>
      <c r="K452" s="1258"/>
      <c r="L452" s="1568">
        <v>46134</v>
      </c>
      <c r="M452" s="1568"/>
      <c r="N452" s="1568" t="s">
        <v>566</v>
      </c>
      <c r="O452" s="1568"/>
      <c r="P452" s="1258"/>
      <c r="Q452" s="1568">
        <v>46135</v>
      </c>
      <c r="R452" s="1568"/>
      <c r="S452" s="1568" t="s">
        <v>567</v>
      </c>
      <c r="T452" s="1568"/>
      <c r="U452" s="1258"/>
      <c r="V452" s="1568">
        <v>46136</v>
      </c>
      <c r="W452" s="1568"/>
      <c r="X452" s="1568" t="s">
        <v>568</v>
      </c>
      <c r="Y452" s="1568"/>
      <c r="Z452" s="1613" t="s">
        <v>19</v>
      </c>
      <c r="AA452" s="1613" t="s">
        <v>20</v>
      </c>
      <c r="AB452" s="942"/>
      <c r="AC452" s="1568">
        <v>46137</v>
      </c>
      <c r="AD452" s="1568"/>
      <c r="AE452" s="1259" t="s">
        <v>569</v>
      </c>
      <c r="AF452" s="942"/>
      <c r="AG452" s="1568">
        <v>46138</v>
      </c>
      <c r="AH452" s="1568"/>
      <c r="AI452" s="1259" t="s">
        <v>570</v>
      </c>
      <c r="AJ452" s="1613" t="s">
        <v>1420</v>
      </c>
      <c r="AK452" s="941"/>
      <c r="AL452" s="943"/>
      <c r="AM452" s="940"/>
      <c r="AN452" s="985" t="s">
        <v>84</v>
      </c>
      <c r="AO452" s="986"/>
      <c r="AP452" s="986"/>
      <c r="AQ452" s="986"/>
      <c r="AR452" s="986"/>
      <c r="AS452" s="986"/>
      <c r="AT452" s="986"/>
      <c r="AU452" s="986"/>
      <c r="AV452" s="986"/>
      <c r="AW452" s="986"/>
      <c r="AX452" s="986"/>
      <c r="AY452" s="986"/>
      <c r="AZ452" s="1435"/>
      <c r="BA452" s="1435"/>
      <c r="BB452" s="1435"/>
      <c r="BC452" s="1435"/>
      <c r="BD452" s="1435"/>
      <c r="BE452" s="1435"/>
    </row>
    <row r="453" spans="1:57" ht="21" customHeight="1" thickBot="1">
      <c r="A453" s="1614"/>
      <c r="B453" s="987" t="s">
        <v>23</v>
      </c>
      <c r="C453" s="987" t="s">
        <v>24</v>
      </c>
      <c r="D453" s="1100" t="s">
        <v>25</v>
      </c>
      <c r="E453" s="989" t="s">
        <v>14</v>
      </c>
      <c r="F453" s="942"/>
      <c r="G453" s="987" t="s">
        <v>23</v>
      </c>
      <c r="H453" s="987" t="s">
        <v>24</v>
      </c>
      <c r="I453" s="989" t="s">
        <v>25</v>
      </c>
      <c r="J453" s="989" t="s">
        <v>14</v>
      </c>
      <c r="K453" s="942"/>
      <c r="L453" s="987" t="s">
        <v>23</v>
      </c>
      <c r="M453" s="987" t="s">
        <v>24</v>
      </c>
      <c r="N453" s="989" t="s">
        <v>25</v>
      </c>
      <c r="O453" s="989" t="s">
        <v>14</v>
      </c>
      <c r="P453" s="942"/>
      <c r="Q453" s="987" t="s">
        <v>23</v>
      </c>
      <c r="R453" s="987" t="s">
        <v>24</v>
      </c>
      <c r="S453" s="989" t="s">
        <v>25</v>
      </c>
      <c r="T453" s="989" t="s">
        <v>14</v>
      </c>
      <c r="U453" s="942"/>
      <c r="V453" s="987" t="s">
        <v>23</v>
      </c>
      <c r="W453" s="987" t="s">
        <v>24</v>
      </c>
      <c r="X453" s="989" t="s">
        <v>25</v>
      </c>
      <c r="Y453" s="989" t="s">
        <v>14</v>
      </c>
      <c r="Z453" s="1613"/>
      <c r="AA453" s="1613"/>
      <c r="AB453" s="942"/>
      <c r="AC453" s="987" t="s">
        <v>23</v>
      </c>
      <c r="AD453" s="987" t="s">
        <v>24</v>
      </c>
      <c r="AE453" s="989" t="s">
        <v>25</v>
      </c>
      <c r="AF453" s="942"/>
      <c r="AG453" s="987" t="s">
        <v>23</v>
      </c>
      <c r="AH453" s="987" t="s">
        <v>24</v>
      </c>
      <c r="AI453" s="989" t="s">
        <v>25</v>
      </c>
      <c r="AJ453" s="1613"/>
      <c r="AK453" s="941"/>
      <c r="AL453" s="943"/>
      <c r="AM453" s="940"/>
      <c r="AN453" s="992" t="s">
        <v>26</v>
      </c>
      <c r="AO453" s="1005">
        <f>Z477</f>
        <v>614.75</v>
      </c>
      <c r="AP453" s="994">
        <v>40.31</v>
      </c>
      <c r="AQ453" s="994">
        <f t="shared" ref="AQ453:AQ459" si="101">AP453*AO453</f>
        <v>24780.572500000002</v>
      </c>
      <c r="AR453" s="954"/>
      <c r="AS453" s="954"/>
      <c r="AT453" s="940"/>
      <c r="AU453" s="1435"/>
      <c r="AV453" s="1435"/>
      <c r="AW453" s="1435"/>
      <c r="AX453" s="1435"/>
      <c r="AY453" s="1435"/>
      <c r="AZ453" s="1435"/>
      <c r="BA453" s="1435"/>
      <c r="BB453" s="1435"/>
      <c r="BC453" s="1435"/>
      <c r="BD453" s="1435"/>
      <c r="BE453" s="1435"/>
    </row>
    <row r="454" spans="1:57" ht="15.75">
      <c r="A454" s="1405" t="s">
        <v>72</v>
      </c>
      <c r="B454" s="1006">
        <v>0.29166666666666669</v>
      </c>
      <c r="C454" s="1006">
        <v>0.125</v>
      </c>
      <c r="D454" s="1071">
        <v>8</v>
      </c>
      <c r="E454" s="1255"/>
      <c r="F454" s="941"/>
      <c r="G454" s="1006">
        <v>0.29166666666666669</v>
      </c>
      <c r="H454" s="1006">
        <v>0.125</v>
      </c>
      <c r="I454" s="1071">
        <v>8</v>
      </c>
      <c r="J454" s="1255"/>
      <c r="K454" s="941"/>
      <c r="L454" s="1006">
        <v>0.29166666666666669</v>
      </c>
      <c r="M454" s="1006">
        <v>0.125</v>
      </c>
      <c r="N454" s="1071">
        <v>8</v>
      </c>
      <c r="O454" s="1255"/>
      <c r="P454" s="941"/>
      <c r="Q454" s="1006">
        <v>0.29166666666666669</v>
      </c>
      <c r="R454" s="1006">
        <v>0.125</v>
      </c>
      <c r="S454" s="1071">
        <v>8</v>
      </c>
      <c r="T454" s="1255"/>
      <c r="U454" s="941"/>
      <c r="V454" s="1006">
        <v>0.29166666666666669</v>
      </c>
      <c r="W454" s="1006">
        <v>0.125</v>
      </c>
      <c r="X454" s="1071">
        <v>8</v>
      </c>
      <c r="Y454" s="1255"/>
      <c r="Z454" s="1041">
        <f t="shared" ref="Z454:Z476" si="102">D454+I454+N454+S454+X454</f>
        <v>40</v>
      </c>
      <c r="AA454" s="1077">
        <f t="shared" ref="AA454:AA476" si="103">E454+J454+O454+T454+Y454</f>
        <v>0</v>
      </c>
      <c r="AB454" s="941"/>
      <c r="AC454" s="1289"/>
      <c r="AD454" s="1289"/>
      <c r="AE454" s="1071"/>
      <c r="AF454" s="941"/>
      <c r="AG454" s="1289"/>
      <c r="AH454" s="1289"/>
      <c r="AI454" s="1071"/>
      <c r="AJ454" s="1041">
        <f t="shared" ref="AJ454:AJ476" si="104">SUM(AE454+AI454)</f>
        <v>0</v>
      </c>
      <c r="AK454" s="941"/>
      <c r="AL454" s="943"/>
      <c r="AM454" s="940"/>
      <c r="AN454" s="992" t="s">
        <v>1421</v>
      </c>
      <c r="AO454" s="1005">
        <f>Z478</f>
        <v>79.25</v>
      </c>
      <c r="AP454" s="994">
        <v>60.47</v>
      </c>
      <c r="AQ454" s="994">
        <f t="shared" si="101"/>
        <v>4792.2474999999995</v>
      </c>
      <c r="AR454" s="954"/>
      <c r="AS454" s="954"/>
      <c r="AT454" s="940"/>
      <c r="AU454" s="1436"/>
      <c r="AV454" s="1437"/>
      <c r="AW454" s="1437"/>
      <c r="AX454" s="1438"/>
      <c r="AY454" s="1435"/>
      <c r="AZ454" s="1435"/>
      <c r="BA454" s="1435"/>
      <c r="BB454" s="1435"/>
      <c r="BC454" s="1435"/>
      <c r="BD454" s="1435"/>
      <c r="BE454" s="1435"/>
    </row>
    <row r="455" spans="1:57" ht="15.75">
      <c r="A455" s="1405" t="s">
        <v>1426</v>
      </c>
      <c r="B455" s="1006">
        <v>0.29166666666666669</v>
      </c>
      <c r="C455" s="1006">
        <v>0.125</v>
      </c>
      <c r="D455" s="1071">
        <v>8</v>
      </c>
      <c r="E455" s="1255"/>
      <c r="F455" s="941"/>
      <c r="G455" s="1006">
        <v>0.29166666666666669</v>
      </c>
      <c r="H455" s="1006">
        <v>0.125</v>
      </c>
      <c r="I455" s="1071">
        <v>8</v>
      </c>
      <c r="J455" s="1255"/>
      <c r="K455" s="941"/>
      <c r="L455" s="1006">
        <v>0.29166666666666669</v>
      </c>
      <c r="M455" s="1006">
        <v>0.125</v>
      </c>
      <c r="N455" s="1071">
        <v>8</v>
      </c>
      <c r="O455" s="1255"/>
      <c r="P455" s="941"/>
      <c r="Q455" s="1006">
        <v>0.29166666666666669</v>
      </c>
      <c r="R455" s="1006">
        <v>0.125</v>
      </c>
      <c r="S455" s="1071">
        <v>8</v>
      </c>
      <c r="T455" s="1255"/>
      <c r="U455" s="941"/>
      <c r="V455" s="1006">
        <v>0.29166666666666669</v>
      </c>
      <c r="W455" s="1006">
        <v>0.125</v>
      </c>
      <c r="X455" s="1071">
        <v>8</v>
      </c>
      <c r="Y455" s="1255"/>
      <c r="Z455" s="1041">
        <f t="shared" si="102"/>
        <v>40</v>
      </c>
      <c r="AA455" s="1077">
        <f t="shared" si="103"/>
        <v>0</v>
      </c>
      <c r="AB455" s="941"/>
      <c r="AC455" s="1006"/>
      <c r="AD455" s="1006"/>
      <c r="AE455" s="1071"/>
      <c r="AF455" s="941"/>
      <c r="AG455" s="1006"/>
      <c r="AH455" s="1006"/>
      <c r="AI455" s="1071"/>
      <c r="AJ455" s="1041">
        <f t="shared" si="104"/>
        <v>0</v>
      </c>
      <c r="AK455" s="941"/>
      <c r="AL455" s="943"/>
      <c r="AM455" s="940"/>
      <c r="AN455" s="992" t="s">
        <v>30</v>
      </c>
      <c r="AO455" s="1005">
        <f>AA477</f>
        <v>10.5</v>
      </c>
      <c r="AP455" s="994">
        <v>60.465000000000003</v>
      </c>
      <c r="AQ455" s="994">
        <f t="shared" si="101"/>
        <v>634.88250000000005</v>
      </c>
      <c r="AR455" s="954"/>
      <c r="AS455" s="954"/>
      <c r="AT455" s="940"/>
      <c r="AU455" s="1359"/>
      <c r="AV455" s="1365" t="s">
        <v>1483</v>
      </c>
      <c r="AW455" s="1366"/>
      <c r="AX455" s="1439"/>
      <c r="AY455" s="1435"/>
      <c r="AZ455" s="1435"/>
      <c r="BA455" s="1435"/>
      <c r="BB455" s="1435"/>
      <c r="BC455" s="1435"/>
      <c r="BD455" s="1435"/>
      <c r="BE455" s="1435"/>
    </row>
    <row r="456" spans="1:57" ht="15.75">
      <c r="A456" s="1405" t="s">
        <v>1060</v>
      </c>
      <c r="B456" s="1006">
        <v>0.29166666666666669</v>
      </c>
      <c r="C456" s="1006">
        <v>0.125</v>
      </c>
      <c r="D456" s="1071">
        <v>8</v>
      </c>
      <c r="E456" s="1255"/>
      <c r="F456" s="941"/>
      <c r="G456" s="1006">
        <v>0.29166666666666669</v>
      </c>
      <c r="H456" s="1006">
        <v>0.125</v>
      </c>
      <c r="I456" s="1071">
        <v>8</v>
      </c>
      <c r="J456" s="1255"/>
      <c r="K456" s="941"/>
      <c r="L456" s="1006">
        <v>0.29166666666666669</v>
      </c>
      <c r="M456" s="1006">
        <v>0.125</v>
      </c>
      <c r="N456" s="1071">
        <v>8</v>
      </c>
      <c r="O456" s="1255"/>
      <c r="P456" s="941"/>
      <c r="Q456" s="1006">
        <v>0.29166666666666669</v>
      </c>
      <c r="R456" s="1006">
        <v>0.125</v>
      </c>
      <c r="S456" s="1071">
        <v>8</v>
      </c>
      <c r="T456" s="1255"/>
      <c r="U456" s="941"/>
      <c r="V456" s="1006">
        <v>0.29166666666666669</v>
      </c>
      <c r="W456" s="1006">
        <v>0.125</v>
      </c>
      <c r="X456" s="1071">
        <v>8</v>
      </c>
      <c r="Y456" s="1255"/>
      <c r="Z456" s="1041">
        <f t="shared" si="102"/>
        <v>40</v>
      </c>
      <c r="AA456" s="1077">
        <f t="shared" si="103"/>
        <v>0</v>
      </c>
      <c r="AB456" s="941"/>
      <c r="AC456" s="1006"/>
      <c r="AD456" s="1006"/>
      <c r="AE456" s="1071"/>
      <c r="AF456" s="941"/>
      <c r="AG456" s="1006"/>
      <c r="AH456" s="1006"/>
      <c r="AI456" s="1071"/>
      <c r="AJ456" s="1041">
        <f t="shared" si="104"/>
        <v>0</v>
      </c>
      <c r="AK456" s="941"/>
      <c r="AL456" s="943"/>
      <c r="AM456" s="940"/>
      <c r="AN456" s="992" t="s">
        <v>32</v>
      </c>
      <c r="AO456" s="1005">
        <f>AJ477</f>
        <v>26.5</v>
      </c>
      <c r="AP456" s="994">
        <v>60.465000000000003</v>
      </c>
      <c r="AQ456" s="994">
        <f t="shared" si="101"/>
        <v>1602.3225</v>
      </c>
      <c r="AR456" s="954"/>
      <c r="AS456" s="954"/>
      <c r="AT456" s="940"/>
      <c r="AU456" s="1440"/>
      <c r="AV456" s="1367" t="s">
        <v>1484</v>
      </c>
      <c r="AW456" s="1441"/>
      <c r="AX456" s="1439"/>
      <c r="AY456" s="1435"/>
      <c r="AZ456" s="1435"/>
      <c r="BA456" s="1435"/>
      <c r="BB456" s="1435"/>
      <c r="BC456" s="1435"/>
      <c r="BD456" s="1435"/>
      <c r="BE456" s="1435"/>
    </row>
    <row r="457" spans="1:57" ht="15.75">
      <c r="A457" s="1405" t="s">
        <v>1438</v>
      </c>
      <c r="B457" s="1006">
        <v>0.29166666666666669</v>
      </c>
      <c r="C457" s="1006">
        <v>0.125</v>
      </c>
      <c r="D457" s="1071">
        <v>8</v>
      </c>
      <c r="E457" s="1255"/>
      <c r="F457" s="941"/>
      <c r="G457" s="1006">
        <v>0.29166666666666669</v>
      </c>
      <c r="H457" s="1006">
        <v>0.125</v>
      </c>
      <c r="I457" s="1071">
        <v>8</v>
      </c>
      <c r="J457" s="1255"/>
      <c r="K457" s="941"/>
      <c r="L457" s="1006">
        <v>0.29166666666666669</v>
      </c>
      <c r="M457" s="1006">
        <v>0.125</v>
      </c>
      <c r="N457" s="1071">
        <v>8</v>
      </c>
      <c r="O457" s="1255"/>
      <c r="P457" s="941"/>
      <c r="Q457" s="1006">
        <v>0.29166666666666669</v>
      </c>
      <c r="R457" s="1006"/>
      <c r="S457" s="1071">
        <v>7.75</v>
      </c>
      <c r="T457" s="1255"/>
      <c r="U457" s="941"/>
      <c r="V457" s="1006">
        <v>0.29166666666666669</v>
      </c>
      <c r="W457" s="1006">
        <v>0.125</v>
      </c>
      <c r="X457" s="1071">
        <v>8</v>
      </c>
      <c r="Y457" s="1255"/>
      <c r="Z457" s="1041">
        <f t="shared" si="102"/>
        <v>39.75</v>
      </c>
      <c r="AA457" s="1077">
        <f t="shared" si="103"/>
        <v>0</v>
      </c>
      <c r="AB457" s="941"/>
      <c r="AC457" s="1006"/>
      <c r="AD457" s="1006"/>
      <c r="AE457" s="1071"/>
      <c r="AF457" s="941"/>
      <c r="AG457" s="1006"/>
      <c r="AH457" s="1006"/>
      <c r="AI457" s="1071"/>
      <c r="AJ457" s="1041">
        <f t="shared" si="104"/>
        <v>0</v>
      </c>
      <c r="AK457" s="941"/>
      <c r="AL457" s="943"/>
      <c r="AM457" s="940"/>
      <c r="AN457" s="1260" t="s">
        <v>1475</v>
      </c>
      <c r="AO457" s="1261">
        <f>AA478+AJ478</f>
        <v>0</v>
      </c>
      <c r="AP457" s="1262">
        <f>(60.47*1.5)</f>
        <v>90.704999999999998</v>
      </c>
      <c r="AQ457" s="1262">
        <f t="shared" si="101"/>
        <v>0</v>
      </c>
      <c r="AR457" s="954"/>
      <c r="AS457" s="954"/>
      <c r="AT457" s="940"/>
      <c r="AU457" s="1440"/>
      <c r="AV457" s="1371" t="s">
        <v>26</v>
      </c>
      <c r="AW457" s="1413"/>
      <c r="AX457" s="1439"/>
      <c r="AY457" s="1435"/>
      <c r="AZ457" s="1435"/>
      <c r="BA457" s="1435"/>
      <c r="BB457" s="1435"/>
      <c r="BC457" s="1435"/>
      <c r="BD457" s="1435"/>
      <c r="BE457" s="1435"/>
    </row>
    <row r="458" spans="1:57" ht="15.75">
      <c r="A458" s="1405" t="s">
        <v>327</v>
      </c>
      <c r="B458" s="1006">
        <v>0.125</v>
      </c>
      <c r="C458" s="1006">
        <v>0.52083333333333337</v>
      </c>
      <c r="D458" s="1071">
        <v>8</v>
      </c>
      <c r="E458" s="1255">
        <v>1.5</v>
      </c>
      <c r="F458" s="1013"/>
      <c r="G458" s="1006">
        <v>0.125</v>
      </c>
      <c r="H458" s="1006">
        <v>4.1666666666666664E-2</v>
      </c>
      <c r="I458" s="1071">
        <v>8</v>
      </c>
      <c r="J458" s="1255">
        <v>2</v>
      </c>
      <c r="K458" s="1013"/>
      <c r="L458" s="1006">
        <v>0.125</v>
      </c>
      <c r="M458" s="1006">
        <v>0.5</v>
      </c>
      <c r="N458" s="1071">
        <v>8</v>
      </c>
      <c r="O458" s="1255">
        <v>1</v>
      </c>
      <c r="P458" s="1013"/>
      <c r="Q458" s="1006">
        <v>0.125</v>
      </c>
      <c r="R458" s="1006">
        <v>0.45833333333333331</v>
      </c>
      <c r="S458" s="1071">
        <v>8</v>
      </c>
      <c r="T458" s="1255"/>
      <c r="U458" s="1013"/>
      <c r="V458" s="1006">
        <v>0.125</v>
      </c>
      <c r="W458" s="1006">
        <v>0.45833333333333331</v>
      </c>
      <c r="X458" s="1071">
        <v>8</v>
      </c>
      <c r="Y458" s="1255"/>
      <c r="Z458" s="1041">
        <f t="shared" si="102"/>
        <v>40</v>
      </c>
      <c r="AA458" s="1077">
        <f t="shared" si="103"/>
        <v>4.5</v>
      </c>
      <c r="AB458" s="941"/>
      <c r="AC458" s="1006"/>
      <c r="AD458" s="1006"/>
      <c r="AE458" s="1071"/>
      <c r="AF458" s="941"/>
      <c r="AG458" s="1006"/>
      <c r="AH458" s="1006"/>
      <c r="AI458" s="1071"/>
      <c r="AJ458" s="1041">
        <f t="shared" si="104"/>
        <v>0</v>
      </c>
      <c r="AK458" s="941"/>
      <c r="AL458" s="943"/>
      <c r="AM458" s="940"/>
      <c r="AN458" s="992" t="s">
        <v>213</v>
      </c>
      <c r="AO458" s="1005">
        <f>Z479</f>
        <v>33</v>
      </c>
      <c r="AP458" s="994">
        <v>53.05</v>
      </c>
      <c r="AQ458" s="994">
        <f t="shared" si="101"/>
        <v>1750.6499999999999</v>
      </c>
      <c r="AR458" s="954"/>
      <c r="AS458" s="954"/>
      <c r="AT458" s="940"/>
      <c r="AU458" s="1440"/>
      <c r="AV458" s="1377" t="s">
        <v>1421</v>
      </c>
      <c r="AW458" s="1409"/>
      <c r="AX458" s="1439"/>
      <c r="AY458" s="1435"/>
      <c r="AZ458" s="1435"/>
      <c r="BA458" s="1435"/>
      <c r="BB458" s="1435"/>
      <c r="BC458" s="1435"/>
      <c r="BD458" s="1435"/>
      <c r="BE458" s="1435"/>
    </row>
    <row r="459" spans="1:57" ht="16.5" thickBot="1">
      <c r="A459" s="1405" t="s">
        <v>1436</v>
      </c>
      <c r="B459" s="1006">
        <v>0.125</v>
      </c>
      <c r="C459" s="1006">
        <v>0.45833333333333331</v>
      </c>
      <c r="D459" s="1071">
        <v>8</v>
      </c>
      <c r="E459" s="1255"/>
      <c r="F459" s="1013"/>
      <c r="G459" s="1006">
        <v>0.125</v>
      </c>
      <c r="H459" s="1006">
        <v>0.45833333333333331</v>
      </c>
      <c r="I459" s="1071">
        <v>8</v>
      </c>
      <c r="J459" s="1255"/>
      <c r="K459" s="1013"/>
      <c r="L459" s="1006">
        <v>0.125</v>
      </c>
      <c r="M459" s="1006">
        <v>0.45833333333333331</v>
      </c>
      <c r="N459" s="1071">
        <v>8</v>
      </c>
      <c r="O459" s="1255"/>
      <c r="P459" s="1013"/>
      <c r="Q459" s="1006">
        <v>0.125</v>
      </c>
      <c r="R459" s="1006">
        <v>0.45833333333333331</v>
      </c>
      <c r="S459" s="1071">
        <v>8</v>
      </c>
      <c r="T459" s="1255"/>
      <c r="U459" s="1013"/>
      <c r="V459" s="1006">
        <v>0.125</v>
      </c>
      <c r="W459" s="1006">
        <v>0.45833333333333331</v>
      </c>
      <c r="X459" s="1071">
        <v>8</v>
      </c>
      <c r="Y459" s="1255"/>
      <c r="Z459" s="1041">
        <f t="shared" si="102"/>
        <v>40</v>
      </c>
      <c r="AA459" s="1077">
        <f t="shared" si="103"/>
        <v>0</v>
      </c>
      <c r="AB459" s="941"/>
      <c r="AC459" s="1006"/>
      <c r="AD459" s="1006"/>
      <c r="AE459" s="1071"/>
      <c r="AF459" s="941"/>
      <c r="AG459" s="1006"/>
      <c r="AH459" s="1006"/>
      <c r="AI459" s="1071"/>
      <c r="AJ459" s="1041">
        <f t="shared" si="104"/>
        <v>0</v>
      </c>
      <c r="AK459" s="941"/>
      <c r="AL459" s="943"/>
      <c r="AM459" s="940"/>
      <c r="AN459" s="992" t="s">
        <v>36</v>
      </c>
      <c r="AO459" s="1005">
        <f>AA479+AJ479</f>
        <v>12.5</v>
      </c>
      <c r="AP459" s="994">
        <f>53.05*1.5</f>
        <v>79.574999999999989</v>
      </c>
      <c r="AQ459" s="994">
        <f t="shared" si="101"/>
        <v>994.68749999999989</v>
      </c>
      <c r="AR459" s="954"/>
      <c r="AS459" s="954"/>
      <c r="AT459" s="940"/>
      <c r="AU459" s="1410"/>
      <c r="AV459" s="1411"/>
      <c r="AW459" s="1412"/>
      <c r="AX459" s="1442"/>
      <c r="AY459" s="1435"/>
      <c r="AZ459" s="1435"/>
      <c r="BA459" s="1435"/>
      <c r="BB459" s="1435"/>
      <c r="BC459" s="1435"/>
      <c r="BD459" s="1435"/>
      <c r="BE459" s="1435"/>
    </row>
    <row r="460" spans="1:57" ht="15.75">
      <c r="A460" s="1405" t="s">
        <v>1140</v>
      </c>
      <c r="B460" s="1006">
        <v>0.125</v>
      </c>
      <c r="C460" s="1006">
        <v>0.45833333333333331</v>
      </c>
      <c r="D460" s="1071">
        <v>8</v>
      </c>
      <c r="E460" s="1255"/>
      <c r="F460" s="941"/>
      <c r="G460" s="1006">
        <v>0.125</v>
      </c>
      <c r="H460" s="1006">
        <v>0.45833333333333331</v>
      </c>
      <c r="I460" s="1071">
        <v>8</v>
      </c>
      <c r="J460" s="1255"/>
      <c r="K460" s="941"/>
      <c r="L460" s="1006">
        <v>0.125</v>
      </c>
      <c r="M460" s="1006">
        <v>0.45833333333333331</v>
      </c>
      <c r="N460" s="1071">
        <v>7</v>
      </c>
      <c r="O460" s="1255"/>
      <c r="P460" s="941"/>
      <c r="Q460" s="1006">
        <v>0.125</v>
      </c>
      <c r="R460" s="1006">
        <v>0.45833333333333331</v>
      </c>
      <c r="S460" s="1071">
        <v>8</v>
      </c>
      <c r="T460" s="1255"/>
      <c r="U460" s="941"/>
      <c r="V460" s="1006">
        <v>0.125</v>
      </c>
      <c r="W460" s="1006">
        <v>0.45833333333333331</v>
      </c>
      <c r="X460" s="1071">
        <v>8</v>
      </c>
      <c r="Y460" s="1255"/>
      <c r="Z460" s="1041">
        <f t="shared" si="102"/>
        <v>39</v>
      </c>
      <c r="AA460" s="1077">
        <f t="shared" si="103"/>
        <v>0</v>
      </c>
      <c r="AB460" s="941"/>
      <c r="AC460" s="1006"/>
      <c r="AD460" s="1006"/>
      <c r="AE460" s="1071"/>
      <c r="AF460" s="941"/>
      <c r="AG460" s="1006"/>
      <c r="AH460" s="1006"/>
      <c r="AI460" s="1071"/>
      <c r="AJ460" s="1041">
        <f t="shared" si="104"/>
        <v>0</v>
      </c>
      <c r="AK460" s="941"/>
      <c r="AL460" s="943"/>
      <c r="AM460" s="940"/>
      <c r="AN460" s="954"/>
      <c r="AO460" s="954"/>
      <c r="AP460" s="954"/>
      <c r="AQ460" s="1094">
        <f>SUM(AQ453:AQ459)</f>
        <v>34555.362499999996</v>
      </c>
      <c r="AR460" s="954"/>
      <c r="AS460" s="954"/>
      <c r="AT460" s="940"/>
      <c r="AU460" s="940"/>
      <c r="AV460" s="1009"/>
      <c r="AW460" s="1027"/>
      <c r="AX460" s="1435"/>
      <c r="AY460" s="1435"/>
      <c r="AZ460" s="1435"/>
      <c r="BA460" s="1435"/>
      <c r="BB460" s="1435"/>
      <c r="BC460" s="1435"/>
      <c r="BD460" s="1435"/>
      <c r="BE460" s="1435"/>
    </row>
    <row r="461" spans="1:57" ht="15.75">
      <c r="A461" s="1405" t="s">
        <v>1479</v>
      </c>
      <c r="B461" s="1006">
        <v>0.16666666666666666</v>
      </c>
      <c r="C461" s="1006">
        <v>0.41666666666666669</v>
      </c>
      <c r="D461" s="1071">
        <v>5.5</v>
      </c>
      <c r="E461" s="1255"/>
      <c r="F461" s="1013"/>
      <c r="G461" s="1006">
        <v>0.29166666666666669</v>
      </c>
      <c r="H461" s="1006">
        <v>0.125</v>
      </c>
      <c r="I461" s="1071">
        <v>8</v>
      </c>
      <c r="J461" s="1255"/>
      <c r="K461" s="1013"/>
      <c r="L461" s="1006">
        <v>0.47916666666666669</v>
      </c>
      <c r="M461" s="1006">
        <v>0.27083333333333331</v>
      </c>
      <c r="N461" s="1071">
        <v>6.5</v>
      </c>
      <c r="O461" s="1255"/>
      <c r="P461" s="1013"/>
      <c r="Q461" s="1006">
        <v>0.16666666666666666</v>
      </c>
      <c r="R461" s="1006">
        <v>0.41666666666666669</v>
      </c>
      <c r="S461" s="1071">
        <v>5.5</v>
      </c>
      <c r="T461" s="1255"/>
      <c r="U461" s="1013"/>
      <c r="V461" s="1006">
        <v>0.125</v>
      </c>
      <c r="W461" s="1006">
        <v>0.41666666666666669</v>
      </c>
      <c r="X461" s="1071">
        <v>6.5</v>
      </c>
      <c r="Y461" s="1255"/>
      <c r="Z461" s="1041">
        <f t="shared" si="102"/>
        <v>32</v>
      </c>
      <c r="AA461" s="1077">
        <f t="shared" si="103"/>
        <v>0</v>
      </c>
      <c r="AB461" s="941"/>
      <c r="AC461" s="1006">
        <v>0.29166666666666669</v>
      </c>
      <c r="AD461" s="1006">
        <v>0.22916666666666666</v>
      </c>
      <c r="AE461" s="1071">
        <v>9.5</v>
      </c>
      <c r="AF461" s="941"/>
      <c r="AG461" s="1006"/>
      <c r="AH461" s="1006"/>
      <c r="AI461" s="1071"/>
      <c r="AJ461" s="1041">
        <f t="shared" si="104"/>
        <v>9.5</v>
      </c>
      <c r="AK461" s="941"/>
      <c r="AL461" s="943"/>
      <c r="AM461" s="940"/>
      <c r="AN461" s="954"/>
      <c r="AO461" s="954"/>
      <c r="AP461" s="954"/>
      <c r="AQ461" s="954"/>
      <c r="AR461" s="954"/>
      <c r="AS461" s="954"/>
      <c r="AT461" s="940"/>
      <c r="AU461" s="940"/>
      <c r="AV461" s="1027"/>
      <c r="AW461" s="1027"/>
      <c r="AX461" s="1435"/>
      <c r="AY461" s="1435"/>
      <c r="AZ461" s="1435"/>
      <c r="BA461" s="1435"/>
      <c r="BB461" s="1435"/>
      <c r="BC461" s="1435"/>
      <c r="BD461" s="1435"/>
      <c r="BE461" s="1435"/>
    </row>
    <row r="462" spans="1:57" ht="15.75">
      <c r="A462" s="1405" t="s">
        <v>1143</v>
      </c>
      <c r="B462" s="1006"/>
      <c r="C462" s="1006"/>
      <c r="D462" s="1071">
        <v>0</v>
      </c>
      <c r="E462" s="1255"/>
      <c r="F462" s="1013"/>
      <c r="G462" s="1006"/>
      <c r="H462" s="1006"/>
      <c r="I462" s="1071">
        <v>0</v>
      </c>
      <c r="J462" s="1255"/>
      <c r="K462" s="1013"/>
      <c r="L462" s="1006"/>
      <c r="M462" s="1006"/>
      <c r="N462" s="1071">
        <v>0</v>
      </c>
      <c r="O462" s="1255"/>
      <c r="P462" s="1013"/>
      <c r="Q462" s="1006"/>
      <c r="R462" s="1006"/>
      <c r="S462" s="1071">
        <v>0</v>
      </c>
      <c r="T462" s="1255"/>
      <c r="U462" s="1013"/>
      <c r="V462" s="1006"/>
      <c r="W462" s="1006"/>
      <c r="X462" s="1071">
        <v>0</v>
      </c>
      <c r="Y462" s="1255"/>
      <c r="Z462" s="1041">
        <f t="shared" si="102"/>
        <v>0</v>
      </c>
      <c r="AA462" s="1077">
        <f t="shared" si="103"/>
        <v>0</v>
      </c>
      <c r="AB462" s="941"/>
      <c r="AC462" s="1006"/>
      <c r="AD462" s="1006"/>
      <c r="AE462" s="1071"/>
      <c r="AF462" s="941"/>
      <c r="AG462" s="1006">
        <v>0.29166666666666669</v>
      </c>
      <c r="AH462" s="1006">
        <v>0.22916666666666666</v>
      </c>
      <c r="AI462" s="1071">
        <v>9.5</v>
      </c>
      <c r="AJ462" s="1041">
        <f t="shared" si="104"/>
        <v>9.5</v>
      </c>
      <c r="AK462" s="941"/>
      <c r="AL462" s="943"/>
      <c r="AM462" s="940"/>
      <c r="AN462" s="954"/>
      <c r="AO462" s="954"/>
      <c r="AP462" s="954"/>
      <c r="AQ462" s="954"/>
      <c r="AR462" s="954"/>
      <c r="AS462" s="954"/>
      <c r="AT462" s="940"/>
      <c r="AU462" s="940"/>
      <c r="AV462" s="1435"/>
      <c r="AW462" s="1435"/>
      <c r="AX462" s="1435"/>
      <c r="AY462" s="1435"/>
      <c r="AZ462" s="1435"/>
      <c r="BA462" s="1435"/>
      <c r="BB462" s="1435"/>
      <c r="BC462" s="1435"/>
      <c r="BD462" s="1435"/>
      <c r="BE462" s="1435"/>
    </row>
    <row r="463" spans="1:57" ht="15.75">
      <c r="A463" s="1405" t="s">
        <v>813</v>
      </c>
      <c r="B463" s="1006"/>
      <c r="C463" s="1006"/>
      <c r="D463" s="1071">
        <v>4</v>
      </c>
      <c r="E463" s="1255"/>
      <c r="F463" s="941"/>
      <c r="G463" s="1006"/>
      <c r="H463" s="1006"/>
      <c r="I463" s="1071">
        <v>4</v>
      </c>
      <c r="J463" s="1255"/>
      <c r="K463" s="941"/>
      <c r="L463" s="1006"/>
      <c r="M463" s="1006"/>
      <c r="N463" s="1071">
        <v>4</v>
      </c>
      <c r="O463" s="1255"/>
      <c r="P463" s="941"/>
      <c r="Q463" s="1006"/>
      <c r="R463" s="1006"/>
      <c r="S463" s="1071">
        <v>4</v>
      </c>
      <c r="T463" s="1255"/>
      <c r="U463" s="941"/>
      <c r="V463" s="1006"/>
      <c r="W463" s="1006"/>
      <c r="X463" s="1071">
        <v>4</v>
      </c>
      <c r="Y463" s="1255"/>
      <c r="Z463" s="1041">
        <f t="shared" si="102"/>
        <v>20</v>
      </c>
      <c r="AA463" s="1077">
        <f t="shared" si="103"/>
        <v>0</v>
      </c>
      <c r="AB463" s="941"/>
      <c r="AC463" s="1006"/>
      <c r="AD463" s="1006"/>
      <c r="AE463" s="1071"/>
      <c r="AF463" s="941"/>
      <c r="AG463" s="1006"/>
      <c r="AH463" s="1006"/>
      <c r="AI463" s="1071"/>
      <c r="AJ463" s="1041">
        <f t="shared" si="104"/>
        <v>0</v>
      </c>
      <c r="AK463" s="941"/>
      <c r="AL463" s="943"/>
      <c r="AM463" s="940"/>
      <c r="AN463" s="954"/>
      <c r="AO463" s="954"/>
      <c r="AP463" s="954"/>
      <c r="AQ463" s="954"/>
      <c r="AR463" s="954"/>
      <c r="AS463" s="954"/>
      <c r="AT463" s="940"/>
      <c r="AU463" s="1435"/>
      <c r="AV463" s="1435"/>
      <c r="AW463" s="1435"/>
      <c r="AX463" s="1435"/>
      <c r="AY463" s="1435"/>
      <c r="AZ463" s="1435"/>
      <c r="BA463" s="1435"/>
      <c r="BB463" s="1435"/>
      <c r="BC463" s="1435"/>
      <c r="BD463" s="1435"/>
      <c r="BE463" s="1435"/>
    </row>
    <row r="464" spans="1:57" ht="15.75">
      <c r="A464" s="1405" t="s">
        <v>1431</v>
      </c>
      <c r="B464" s="1006"/>
      <c r="C464" s="1006"/>
      <c r="D464" s="1071">
        <v>4</v>
      </c>
      <c r="E464" s="1255"/>
      <c r="F464" s="941"/>
      <c r="G464" s="1006"/>
      <c r="H464" s="1006"/>
      <c r="I464" s="1071">
        <v>4</v>
      </c>
      <c r="J464" s="1255"/>
      <c r="K464" s="941"/>
      <c r="L464" s="1006"/>
      <c r="M464" s="1006"/>
      <c r="N464" s="1071">
        <v>4</v>
      </c>
      <c r="O464" s="1255"/>
      <c r="P464" s="941"/>
      <c r="Q464" s="1006"/>
      <c r="R464" s="1006"/>
      <c r="S464" s="1071">
        <v>4</v>
      </c>
      <c r="T464" s="1255"/>
      <c r="U464" s="941"/>
      <c r="V464" s="1006"/>
      <c r="W464" s="1006"/>
      <c r="X464" s="1071">
        <v>4</v>
      </c>
      <c r="Y464" s="1255"/>
      <c r="Z464" s="1041">
        <f t="shared" si="102"/>
        <v>20</v>
      </c>
      <c r="AA464" s="1077">
        <f t="shared" si="103"/>
        <v>0</v>
      </c>
      <c r="AB464" s="941"/>
      <c r="AC464" s="1006"/>
      <c r="AD464" s="1006"/>
      <c r="AE464" s="1071"/>
      <c r="AF464" s="941"/>
      <c r="AG464" s="1006"/>
      <c r="AH464" s="1006"/>
      <c r="AI464" s="1071"/>
      <c r="AJ464" s="1041">
        <f t="shared" si="104"/>
        <v>0</v>
      </c>
      <c r="AK464" s="941"/>
      <c r="AL464" s="943"/>
      <c r="AM464" s="940"/>
      <c r="AN464" s="992"/>
      <c r="AO464" s="1005"/>
      <c r="AP464" s="994"/>
      <c r="AQ464" s="994"/>
      <c r="AR464" s="954"/>
      <c r="AS464" s="954"/>
      <c r="AT464" s="940"/>
      <c r="AU464" s="1435"/>
      <c r="AV464" s="1435"/>
      <c r="AW464" s="1435"/>
      <c r="AX464" s="1435"/>
      <c r="AY464" s="1435"/>
      <c r="AZ464" s="1435"/>
      <c r="BA464" s="1435"/>
      <c r="BB464" s="1435"/>
      <c r="BC464" s="1435"/>
      <c r="BD464" s="1435"/>
      <c r="BE464" s="1435"/>
    </row>
    <row r="465" spans="1:57" ht="15.75">
      <c r="A465" s="1408" t="s">
        <v>1482</v>
      </c>
      <c r="B465" s="1398">
        <v>0.29166666666666669</v>
      </c>
      <c r="C465" s="1398">
        <v>0.125</v>
      </c>
      <c r="D465" s="1396">
        <v>8</v>
      </c>
      <c r="E465" s="1396"/>
      <c r="F465" s="1399"/>
      <c r="G465" s="1398">
        <v>0.29166666666666669</v>
      </c>
      <c r="H465" s="1398">
        <v>0.125</v>
      </c>
      <c r="I465" s="1396">
        <v>8</v>
      </c>
      <c r="J465" s="1396"/>
      <c r="K465" s="1399"/>
      <c r="L465" s="1398">
        <v>0.29166666666666669</v>
      </c>
      <c r="M465" s="1398">
        <v>0.125</v>
      </c>
      <c r="N465" s="1396">
        <v>8</v>
      </c>
      <c r="O465" s="1396"/>
      <c r="P465" s="1399"/>
      <c r="Q465" s="1398">
        <v>0.29166666666666669</v>
      </c>
      <c r="R465" s="1398">
        <v>0.125</v>
      </c>
      <c r="S465" s="1396">
        <v>8</v>
      </c>
      <c r="T465" s="1396"/>
      <c r="U465" s="1399"/>
      <c r="V465" s="1398">
        <v>0.29166666666666669</v>
      </c>
      <c r="W465" s="1398">
        <v>0.125</v>
      </c>
      <c r="X465" s="1396">
        <v>8</v>
      </c>
      <c r="Y465" s="1255"/>
      <c r="Z465" s="1041">
        <f t="shared" si="102"/>
        <v>40</v>
      </c>
      <c r="AA465" s="1077">
        <f t="shared" si="103"/>
        <v>0</v>
      </c>
      <c r="AB465" s="941"/>
      <c r="AC465" s="1006"/>
      <c r="AD465" s="1006"/>
      <c r="AE465" s="1071"/>
      <c r="AF465" s="941"/>
      <c r="AG465" s="1006"/>
      <c r="AH465" s="1006"/>
      <c r="AI465" s="1071"/>
      <c r="AJ465" s="1041">
        <f t="shared" si="104"/>
        <v>0</v>
      </c>
      <c r="AK465" s="941"/>
      <c r="AL465" s="943"/>
      <c r="AM465" s="940"/>
      <c r="AN465" s="992"/>
      <c r="AO465" s="1005"/>
      <c r="AP465" s="994"/>
      <c r="AQ465" s="994"/>
      <c r="AR465" s="954"/>
      <c r="AS465" s="954"/>
      <c r="AT465" s="940"/>
      <c r="AU465" s="1435"/>
      <c r="AV465" s="1435"/>
      <c r="AW465" s="1435"/>
      <c r="AX465" s="1435"/>
      <c r="AY465" s="1435"/>
      <c r="AZ465" s="1435"/>
      <c r="BA465" s="1435"/>
      <c r="BB465" s="1435"/>
      <c r="BC465" s="1435"/>
      <c r="BD465" s="1435"/>
      <c r="BE465" s="1435"/>
    </row>
    <row r="466" spans="1:57" ht="15.75">
      <c r="A466" s="1408" t="s">
        <v>1145</v>
      </c>
      <c r="B466" s="1398">
        <v>0.125</v>
      </c>
      <c r="C466" s="1398">
        <v>0.45833333333333331</v>
      </c>
      <c r="D466" s="1396">
        <v>8</v>
      </c>
      <c r="E466" s="1396"/>
      <c r="F466" s="1399"/>
      <c r="G466" s="1398">
        <v>0.125</v>
      </c>
      <c r="H466" s="1398">
        <v>0.45833333333333331</v>
      </c>
      <c r="I466" s="1396">
        <v>8</v>
      </c>
      <c r="J466" s="1396"/>
      <c r="K466" s="1399"/>
      <c r="L466" s="1398">
        <v>0.125</v>
      </c>
      <c r="M466" s="1398">
        <v>0.45833333333333331</v>
      </c>
      <c r="N466" s="1396">
        <v>8</v>
      </c>
      <c r="O466" s="1396"/>
      <c r="P466" s="1399"/>
      <c r="Q466" s="1398">
        <v>0.125</v>
      </c>
      <c r="R466" s="1398">
        <v>0.45833333333333331</v>
      </c>
      <c r="S466" s="1396">
        <v>8</v>
      </c>
      <c r="T466" s="1396"/>
      <c r="U466" s="1399"/>
      <c r="V466" s="1398">
        <v>0.41666666666666669</v>
      </c>
      <c r="W466" s="1398">
        <v>0.20833333333333334</v>
      </c>
      <c r="X466" s="1396">
        <v>6.5</v>
      </c>
      <c r="Y466" s="1255"/>
      <c r="Z466" s="1041">
        <f t="shared" si="102"/>
        <v>38.5</v>
      </c>
      <c r="AA466" s="1077">
        <f t="shared" si="103"/>
        <v>0</v>
      </c>
      <c r="AB466" s="941"/>
      <c r="AC466" s="1006"/>
      <c r="AD466" s="1006"/>
      <c r="AE466" s="1071"/>
      <c r="AF466" s="941"/>
      <c r="AG466" s="1006"/>
      <c r="AH466" s="1006"/>
      <c r="AI466" s="1071"/>
      <c r="AJ466" s="1041">
        <f t="shared" si="104"/>
        <v>0</v>
      </c>
      <c r="AK466" s="941"/>
      <c r="AL466" s="943"/>
      <c r="AM466" s="940"/>
      <c r="AN466" s="992"/>
      <c r="AO466" s="1005"/>
      <c r="AP466" s="994"/>
      <c r="AQ466" s="994"/>
      <c r="AR466" s="954"/>
      <c r="AS466" s="954"/>
      <c r="AT466" s="940"/>
      <c r="AU466" s="1435"/>
      <c r="AV466" s="1435"/>
      <c r="AW466" s="1435"/>
      <c r="AX466" s="1435"/>
      <c r="AY466" s="1435"/>
      <c r="AZ466" s="1435"/>
      <c r="BA466" s="1435"/>
      <c r="BB466" s="1435"/>
      <c r="BC466" s="1435"/>
      <c r="BD466" s="1435"/>
      <c r="BE466" s="1435"/>
    </row>
    <row r="467" spans="1:57" ht="15.75">
      <c r="A467" s="1408" t="s">
        <v>1447</v>
      </c>
      <c r="B467" s="1398">
        <v>0.125</v>
      </c>
      <c r="C467" s="1398">
        <v>4.1666666666666664E-2</v>
      </c>
      <c r="D467" s="1396">
        <v>8</v>
      </c>
      <c r="E467" s="1396">
        <v>2</v>
      </c>
      <c r="F467" s="1399"/>
      <c r="G467" s="1398">
        <v>0.125</v>
      </c>
      <c r="H467" s="1398">
        <v>0.45833333333333331</v>
      </c>
      <c r="I467" s="1396">
        <v>8</v>
      </c>
      <c r="J467" s="1396"/>
      <c r="K467" s="1399"/>
      <c r="L467" s="1398">
        <v>0.125</v>
      </c>
      <c r="M467" s="1398">
        <v>6.25E-2</v>
      </c>
      <c r="N467" s="1396">
        <v>8</v>
      </c>
      <c r="O467" s="1396">
        <v>2.5</v>
      </c>
      <c r="P467" s="1399"/>
      <c r="Q467" s="1398">
        <v>0.125</v>
      </c>
      <c r="R467" s="1398">
        <v>0.52083333333333337</v>
      </c>
      <c r="S467" s="1396">
        <v>8</v>
      </c>
      <c r="T467" s="1396">
        <v>1.5</v>
      </c>
      <c r="U467" s="1399"/>
      <c r="V467" s="1398">
        <v>0.125</v>
      </c>
      <c r="W467" s="1398">
        <v>0.45833333333333331</v>
      </c>
      <c r="X467" s="1396">
        <v>8</v>
      </c>
      <c r="Y467" s="1255"/>
      <c r="Z467" s="1041">
        <f t="shared" si="102"/>
        <v>40</v>
      </c>
      <c r="AA467" s="1077">
        <f t="shared" si="103"/>
        <v>6</v>
      </c>
      <c r="AB467" s="941"/>
      <c r="AC467" s="1006"/>
      <c r="AD467" s="1006"/>
      <c r="AE467" s="1071"/>
      <c r="AF467" s="941"/>
      <c r="AG467" s="1006"/>
      <c r="AH467" s="1006"/>
      <c r="AI467" s="1071"/>
      <c r="AJ467" s="1041">
        <f t="shared" si="104"/>
        <v>0</v>
      </c>
      <c r="AK467" s="941"/>
      <c r="AL467" s="943"/>
      <c r="AM467" s="940"/>
      <c r="AN467" s="992"/>
      <c r="AO467" s="1005"/>
      <c r="AP467" s="994"/>
      <c r="AQ467" s="994"/>
      <c r="AR467" s="954"/>
      <c r="AS467" s="954"/>
      <c r="AT467" s="940"/>
      <c r="AU467" s="1435"/>
      <c r="AV467" s="1435"/>
      <c r="AW467" s="1435"/>
      <c r="AX467" s="1435"/>
      <c r="AY467" s="1435"/>
      <c r="AZ467" s="1435"/>
      <c r="BA467" s="1435"/>
      <c r="BB467" s="1435"/>
      <c r="BC467" s="1435"/>
      <c r="BD467" s="1435"/>
      <c r="BE467" s="1435"/>
    </row>
    <row r="468" spans="1:57" ht="15.75">
      <c r="A468" s="1408" t="s">
        <v>1141</v>
      </c>
      <c r="B468" s="1398">
        <v>0.29166666666666669</v>
      </c>
      <c r="C468" s="1398">
        <v>0.16666666666666666</v>
      </c>
      <c r="D468" s="1396">
        <v>8</v>
      </c>
      <c r="E468" s="1396"/>
      <c r="F468" s="1399"/>
      <c r="G468" s="1398">
        <v>0.29166666666666669</v>
      </c>
      <c r="H468" s="1398">
        <v>0.16666666666666666</v>
      </c>
      <c r="I468" s="1396">
        <v>8</v>
      </c>
      <c r="J468" s="1396"/>
      <c r="K468" s="1399"/>
      <c r="L468" s="1398">
        <v>0.26041666666666669</v>
      </c>
      <c r="M468" s="1398">
        <v>6.25E-2</v>
      </c>
      <c r="N468" s="1396">
        <v>6.75</v>
      </c>
      <c r="O468" s="1396"/>
      <c r="P468" s="1399"/>
      <c r="Q468" s="1398">
        <v>0.29166666666666669</v>
      </c>
      <c r="R468" s="1398">
        <v>0.16666666666666666</v>
      </c>
      <c r="S468" s="1396">
        <v>8</v>
      </c>
      <c r="T468" s="1396"/>
      <c r="U468" s="1399"/>
      <c r="V468" s="1398">
        <v>0.41666666666666669</v>
      </c>
      <c r="W468" s="1398">
        <v>0.1875</v>
      </c>
      <c r="X468" s="1396">
        <v>5</v>
      </c>
      <c r="Y468" s="1255"/>
      <c r="Z468" s="1041">
        <f t="shared" si="102"/>
        <v>35.75</v>
      </c>
      <c r="AA468" s="1077">
        <f t="shared" si="103"/>
        <v>0</v>
      </c>
      <c r="AB468" s="1399"/>
      <c r="AC468" s="1398">
        <v>0.29166666666666669</v>
      </c>
      <c r="AD468" s="1398">
        <v>0.14583333333333334</v>
      </c>
      <c r="AE468" s="1396">
        <v>7.5</v>
      </c>
      <c r="AF468" s="941"/>
      <c r="AG468" s="1006"/>
      <c r="AH468" s="1006"/>
      <c r="AI468" s="1071"/>
      <c r="AJ468" s="1041">
        <f t="shared" si="104"/>
        <v>7.5</v>
      </c>
      <c r="AK468" s="941"/>
      <c r="AL468" s="943"/>
      <c r="AM468" s="940"/>
      <c r="AN468" s="992"/>
      <c r="AO468" s="1005"/>
      <c r="AP468" s="994"/>
      <c r="AQ468" s="994"/>
      <c r="AR468" s="954"/>
      <c r="AS468" s="954"/>
      <c r="AT468" s="940"/>
      <c r="AU468" s="1435"/>
      <c r="AV468" s="1435"/>
      <c r="AW468" s="1435"/>
      <c r="AX468" s="1435"/>
      <c r="AY468" s="1435"/>
      <c r="AZ468" s="1435"/>
      <c r="BA468" s="1435"/>
      <c r="BB468" s="1435"/>
      <c r="BC468" s="1435"/>
      <c r="BD468" s="1435"/>
      <c r="BE468" s="1435"/>
    </row>
    <row r="469" spans="1:57" ht="15.75">
      <c r="A469" s="1408" t="s">
        <v>1477</v>
      </c>
      <c r="B469" s="1398">
        <v>0.375</v>
      </c>
      <c r="C469" s="1398">
        <v>0.20833333333333334</v>
      </c>
      <c r="D469" s="1396">
        <v>7</v>
      </c>
      <c r="E469" s="1396"/>
      <c r="F469" s="1399"/>
      <c r="G469" s="1398">
        <v>0.375</v>
      </c>
      <c r="H469" s="1398">
        <v>0.20833333333333334</v>
      </c>
      <c r="I469" s="1396">
        <v>7</v>
      </c>
      <c r="J469" s="1396"/>
      <c r="K469" s="1398"/>
      <c r="L469" s="1398">
        <v>0.375</v>
      </c>
      <c r="M469" s="1398">
        <v>0.20833333333333334</v>
      </c>
      <c r="N469" s="1396">
        <v>7</v>
      </c>
      <c r="O469" s="1396"/>
      <c r="P469" s="1399"/>
      <c r="Q469" s="1398">
        <v>0.375</v>
      </c>
      <c r="R469" s="1398"/>
      <c r="S469" s="1396">
        <v>6.75</v>
      </c>
      <c r="T469" s="1396"/>
      <c r="U469" s="1399"/>
      <c r="V469" s="1398">
        <v>0.375</v>
      </c>
      <c r="W469" s="1398">
        <v>0.20833333333333334</v>
      </c>
      <c r="X469" s="1396">
        <v>7</v>
      </c>
      <c r="Y469" s="1255"/>
      <c r="Z469" s="1041">
        <f t="shared" si="102"/>
        <v>34.75</v>
      </c>
      <c r="AA469" s="1077">
        <f t="shared" si="103"/>
        <v>0</v>
      </c>
      <c r="AB469" s="941"/>
      <c r="AC469" s="1006"/>
      <c r="AD469" s="1006"/>
      <c r="AE469" s="1071"/>
      <c r="AF469" s="941"/>
      <c r="AG469" s="1006"/>
      <c r="AH469" s="1006"/>
      <c r="AI469" s="1071"/>
      <c r="AJ469" s="1041">
        <f t="shared" si="104"/>
        <v>0</v>
      </c>
      <c r="AK469" s="941"/>
      <c r="AL469" s="943"/>
      <c r="AM469" s="940"/>
      <c r="AN469" s="954"/>
      <c r="AO469" s="954"/>
      <c r="AP469" s="954"/>
      <c r="AQ469" s="954"/>
      <c r="AR469" s="954"/>
      <c r="AS469" s="954"/>
      <c r="AT469" s="940"/>
      <c r="AU469" s="1435"/>
      <c r="AV469" s="1435"/>
      <c r="AW469" s="1435"/>
      <c r="AX469" s="1435"/>
      <c r="AY469" s="1435"/>
      <c r="AZ469" s="1435"/>
      <c r="BA469" s="1435"/>
      <c r="BB469" s="1435"/>
      <c r="BC469" s="1435"/>
      <c r="BD469" s="1435"/>
      <c r="BE469" s="1435"/>
    </row>
    <row r="470" spans="1:57" ht="15.75">
      <c r="A470" s="1408" t="s">
        <v>1444</v>
      </c>
      <c r="B470" s="1398">
        <v>0.375</v>
      </c>
      <c r="C470" s="1398">
        <v>0.125</v>
      </c>
      <c r="D470" s="1396">
        <v>5.25</v>
      </c>
      <c r="E470" s="1396"/>
      <c r="F470" s="1399"/>
      <c r="G470" s="1398">
        <v>0.375</v>
      </c>
      <c r="H470" s="1398">
        <v>0.125</v>
      </c>
      <c r="I470" s="1396">
        <v>5.5</v>
      </c>
      <c r="J470" s="1396"/>
      <c r="K470" s="1398"/>
      <c r="L470" s="1398">
        <v>0.375</v>
      </c>
      <c r="M470" s="1398">
        <v>0.4375</v>
      </c>
      <c r="N470" s="1396">
        <v>1.5</v>
      </c>
      <c r="O470" s="1396"/>
      <c r="P470" s="1399"/>
      <c r="Q470" s="1398">
        <v>0.375</v>
      </c>
      <c r="R470" s="1398">
        <v>0.125</v>
      </c>
      <c r="S470" s="1396">
        <v>7</v>
      </c>
      <c r="T470" s="1396"/>
      <c r="U470" s="1399"/>
      <c r="V470" s="1398">
        <v>0.375</v>
      </c>
      <c r="W470" s="1398">
        <v>0.125</v>
      </c>
      <c r="X470" s="1396">
        <v>5.5</v>
      </c>
      <c r="Y470" s="1255"/>
      <c r="Z470" s="1041">
        <f t="shared" si="102"/>
        <v>24.75</v>
      </c>
      <c r="AA470" s="1077">
        <f t="shared" si="103"/>
        <v>0</v>
      </c>
      <c r="AB470" s="941"/>
      <c r="AC470" s="1006"/>
      <c r="AD470" s="1006"/>
      <c r="AE470" s="1071"/>
      <c r="AF470" s="941"/>
      <c r="AG470" s="1006"/>
      <c r="AH470" s="1006"/>
      <c r="AI470" s="1071"/>
      <c r="AJ470" s="1041">
        <f t="shared" si="104"/>
        <v>0</v>
      </c>
      <c r="AK470" s="941"/>
      <c r="AL470" s="943"/>
      <c r="AM470" s="940"/>
      <c r="AN470" s="954"/>
      <c r="AO470" s="954"/>
      <c r="AP470" s="954"/>
      <c r="AQ470" s="954"/>
      <c r="AR470" s="954"/>
      <c r="AS470" s="954"/>
      <c r="AT470" s="940"/>
      <c r="AU470" s="1435"/>
      <c r="AV470" s="1435"/>
      <c r="AW470" s="1435"/>
      <c r="AX470" s="1435"/>
      <c r="AY470" s="1435"/>
      <c r="AZ470" s="1435"/>
      <c r="BA470" s="1435"/>
      <c r="BB470" s="1435"/>
      <c r="BC470" s="1435"/>
      <c r="BD470" s="1435"/>
      <c r="BE470" s="1435"/>
    </row>
    <row r="471" spans="1:57" ht="15.75">
      <c r="A471" s="1408" t="s">
        <v>1490</v>
      </c>
      <c r="B471" s="1398"/>
      <c r="C471" s="1398"/>
      <c r="D471" s="1396">
        <v>0</v>
      </c>
      <c r="E471" s="1396"/>
      <c r="F471" s="1399"/>
      <c r="G471" s="1398">
        <v>0.30208333333333331</v>
      </c>
      <c r="H471" s="1398">
        <v>0.125</v>
      </c>
      <c r="I471" s="1396">
        <v>7.75</v>
      </c>
      <c r="J471" s="1396"/>
      <c r="K471" s="1399"/>
      <c r="L471" s="1398"/>
      <c r="M471" s="1398"/>
      <c r="N471" s="1396">
        <v>0</v>
      </c>
      <c r="O471" s="1396"/>
      <c r="P471" s="1399"/>
      <c r="Q471" s="1398">
        <v>0.29166666666666669</v>
      </c>
      <c r="R471" s="1398">
        <v>0.125</v>
      </c>
      <c r="S471" s="1396">
        <v>8</v>
      </c>
      <c r="T471" s="1396"/>
      <c r="U471" s="1399"/>
      <c r="V471" s="1398">
        <v>0.29166666666666669</v>
      </c>
      <c r="W471" s="1398">
        <v>0.125</v>
      </c>
      <c r="X471" s="1396">
        <v>8</v>
      </c>
      <c r="Y471" s="1255"/>
      <c r="Z471" s="1041">
        <f t="shared" ref="Z471:Z472" si="105">D471+I471+N471+S471+X471</f>
        <v>23.75</v>
      </c>
      <c r="AA471" s="1077">
        <f t="shared" ref="AA471:AA472" si="106">E471+J471+O471+T471+Y471</f>
        <v>0</v>
      </c>
      <c r="AB471" s="941"/>
      <c r="AC471" s="1006"/>
      <c r="AD471" s="1006"/>
      <c r="AE471" s="1071"/>
      <c r="AF471" s="941"/>
      <c r="AG471" s="1006"/>
      <c r="AH471" s="1006"/>
      <c r="AI471" s="1071"/>
      <c r="AJ471" s="1041">
        <f t="shared" ref="AJ471:AJ472" si="107">SUM(AE471+AI471)</f>
        <v>0</v>
      </c>
      <c r="AK471" s="941"/>
      <c r="AL471" s="943"/>
      <c r="AM471" s="940"/>
      <c r="AN471" s="954"/>
      <c r="AO471" s="954"/>
      <c r="AP471" s="954"/>
      <c r="AQ471" s="954"/>
      <c r="AR471" s="954"/>
      <c r="AS471" s="954"/>
      <c r="AT471" s="940"/>
      <c r="AU471" s="1435"/>
      <c r="AV471" s="1435"/>
      <c r="AW471" s="1435"/>
      <c r="AX471" s="1435"/>
      <c r="AY471" s="1435"/>
      <c r="AZ471" s="1435"/>
      <c r="BA471" s="1435"/>
      <c r="BB471" s="1435"/>
      <c r="BC471" s="1435"/>
      <c r="BD471" s="1435"/>
      <c r="BE471" s="1435"/>
    </row>
    <row r="472" spans="1:57" ht="15.75">
      <c r="A472" s="1408" t="s">
        <v>1164</v>
      </c>
      <c r="B472" s="1398"/>
      <c r="C472" s="1398"/>
      <c r="D472" s="1396">
        <v>0</v>
      </c>
      <c r="E472" s="1396"/>
      <c r="F472" s="1399"/>
      <c r="G472" s="1398">
        <v>0.29166666666666669</v>
      </c>
      <c r="H472" s="1398">
        <v>0.125</v>
      </c>
      <c r="I472" s="1396">
        <v>8</v>
      </c>
      <c r="J472" s="1396"/>
      <c r="K472" s="1399"/>
      <c r="L472" s="1398"/>
      <c r="M472" s="1398"/>
      <c r="N472" s="1396">
        <v>0</v>
      </c>
      <c r="O472" s="1396"/>
      <c r="P472" s="1399"/>
      <c r="Q472" s="1398">
        <v>0.44791666666666669</v>
      </c>
      <c r="R472" s="1398"/>
      <c r="S472" s="1396">
        <v>4</v>
      </c>
      <c r="T472" s="1396"/>
      <c r="U472" s="1399"/>
      <c r="V472" s="1398">
        <v>0.29166666666666669</v>
      </c>
      <c r="W472" s="1398">
        <v>0.125</v>
      </c>
      <c r="X472" s="1396">
        <v>8</v>
      </c>
      <c r="Y472" s="1255"/>
      <c r="Z472" s="1041">
        <f t="shared" si="105"/>
        <v>20</v>
      </c>
      <c r="AA472" s="1077">
        <f t="shared" si="106"/>
        <v>0</v>
      </c>
      <c r="AB472" s="941"/>
      <c r="AC472" s="1006"/>
      <c r="AD472" s="1006"/>
      <c r="AE472" s="1071"/>
      <c r="AF472" s="941"/>
      <c r="AG472" s="1006"/>
      <c r="AH472" s="1006"/>
      <c r="AI472" s="1071"/>
      <c r="AJ472" s="1041">
        <f t="shared" si="107"/>
        <v>0</v>
      </c>
      <c r="AK472" s="941"/>
      <c r="AL472" s="943"/>
      <c r="AM472" s="940"/>
      <c r="AN472" s="954"/>
      <c r="AO472" s="954"/>
      <c r="AP472" s="954"/>
      <c r="AQ472" s="954"/>
      <c r="AR472" s="954"/>
      <c r="AS472" s="954"/>
      <c r="AT472" s="940"/>
      <c r="AU472" s="1435"/>
      <c r="AV472" s="1435"/>
      <c r="AW472" s="1435"/>
      <c r="AX472" s="1435"/>
      <c r="AY472" s="1435"/>
      <c r="AZ472" s="1435"/>
      <c r="BA472" s="1435"/>
      <c r="BB472" s="1435"/>
      <c r="BC472" s="1435"/>
      <c r="BD472" s="1435"/>
      <c r="BE472" s="1435"/>
    </row>
    <row r="473" spans="1:57" ht="15.75">
      <c r="A473" s="1408" t="s">
        <v>1480</v>
      </c>
      <c r="B473" s="1398"/>
      <c r="C473" s="1398"/>
      <c r="D473" s="1396">
        <v>0</v>
      </c>
      <c r="E473" s="1396"/>
      <c r="F473" s="1399"/>
      <c r="G473" s="1398"/>
      <c r="H473" s="1398"/>
      <c r="I473" s="1396">
        <v>0</v>
      </c>
      <c r="J473" s="1396"/>
      <c r="K473" s="1399"/>
      <c r="L473" s="1398"/>
      <c r="M473" s="1398"/>
      <c r="N473" s="1396">
        <v>0</v>
      </c>
      <c r="O473" s="1396"/>
      <c r="P473" s="1399"/>
      <c r="Q473" s="1398"/>
      <c r="R473" s="1398"/>
      <c r="S473" s="1396">
        <v>0</v>
      </c>
      <c r="T473" s="1396"/>
      <c r="U473" s="1399"/>
      <c r="V473" s="1398">
        <v>0.41666666666666669</v>
      </c>
      <c r="W473" s="1398">
        <v>0.20833333333333334</v>
      </c>
      <c r="X473" s="1396">
        <v>6.5</v>
      </c>
      <c r="Y473" s="1255"/>
      <c r="Z473" s="1041">
        <f t="shared" si="102"/>
        <v>6.5</v>
      </c>
      <c r="AA473" s="1077">
        <f t="shared" si="103"/>
        <v>0</v>
      </c>
      <c r="AB473" s="941"/>
      <c r="AC473" s="1006"/>
      <c r="AD473" s="1006"/>
      <c r="AE473" s="1071"/>
      <c r="AF473" s="941"/>
      <c r="AG473" s="1006"/>
      <c r="AH473" s="1006"/>
      <c r="AI473" s="1071"/>
      <c r="AJ473" s="1041">
        <f t="shared" si="104"/>
        <v>0</v>
      </c>
      <c r="AK473" s="941"/>
      <c r="AL473" s="943"/>
      <c r="AM473" s="940"/>
      <c r="AN473" s="954"/>
      <c r="AO473" s="954"/>
      <c r="AP473" s="954"/>
      <c r="AQ473" s="954"/>
      <c r="AR473" s="954"/>
      <c r="AS473" s="954"/>
      <c r="AT473" s="940"/>
      <c r="AU473" s="1435"/>
      <c r="AV473" s="1435"/>
      <c r="AW473" s="1435"/>
      <c r="AX473" s="1435"/>
      <c r="AY473" s="1435"/>
      <c r="AZ473" s="1435"/>
      <c r="BA473" s="1435"/>
      <c r="BB473" s="1435"/>
      <c r="BC473" s="1435"/>
      <c r="BD473" s="1435"/>
      <c r="BE473" s="1435"/>
    </row>
    <row r="474" spans="1:57" ht="15.75">
      <c r="A474" s="1408" t="s">
        <v>1491</v>
      </c>
      <c r="B474" s="1398"/>
      <c r="C474" s="1398"/>
      <c r="D474" s="1396">
        <v>0</v>
      </c>
      <c r="E474" s="1396"/>
      <c r="F474" s="1399"/>
      <c r="G474" s="1398"/>
      <c r="H474" s="1398"/>
      <c r="I474" s="1396">
        <v>0</v>
      </c>
      <c r="J474" s="1396"/>
      <c r="K474" s="1399"/>
      <c r="L474" s="1398"/>
      <c r="M474" s="1398"/>
      <c r="N474" s="1396">
        <v>0</v>
      </c>
      <c r="O474" s="1396"/>
      <c r="P474" s="1399"/>
      <c r="Q474" s="1398">
        <v>0.29166666666666669</v>
      </c>
      <c r="R474" s="1398">
        <v>0.125</v>
      </c>
      <c r="S474" s="1396">
        <v>8</v>
      </c>
      <c r="T474" s="1396"/>
      <c r="U474" s="1399"/>
      <c r="V474" s="1398"/>
      <c r="W474" s="1398"/>
      <c r="X474" s="1396">
        <v>0</v>
      </c>
      <c r="Y474" s="1255"/>
      <c r="Z474" s="1041"/>
      <c r="AA474" s="1077"/>
      <c r="AB474" s="941"/>
      <c r="AC474" s="1006"/>
      <c r="AD474" s="1006"/>
      <c r="AE474" s="1071"/>
      <c r="AF474" s="941"/>
      <c r="AG474" s="1006"/>
      <c r="AH474" s="1006"/>
      <c r="AI474" s="1071"/>
      <c r="AJ474" s="1041"/>
      <c r="AK474" s="941"/>
      <c r="AL474" s="943"/>
      <c r="AM474" s="940"/>
      <c r="AN474" s="954"/>
      <c r="AO474" s="954"/>
      <c r="AP474" s="954"/>
      <c r="AQ474" s="954"/>
      <c r="AR474" s="954"/>
      <c r="AS474" s="954"/>
      <c r="AT474" s="940"/>
      <c r="AU474" s="1435"/>
      <c r="AV474" s="1435"/>
      <c r="AW474" s="1435"/>
      <c r="AX474" s="1435"/>
      <c r="AY474" s="1435"/>
      <c r="AZ474" s="1435"/>
      <c r="BA474" s="1435"/>
      <c r="BB474" s="1435"/>
      <c r="BC474" s="1435"/>
      <c r="BD474" s="1435"/>
      <c r="BE474" s="1435"/>
    </row>
    <row r="475" spans="1:57" ht="15.75">
      <c r="A475" s="1344" t="s">
        <v>1064</v>
      </c>
      <c r="B475" s="1401">
        <v>0.45833333333333331</v>
      </c>
      <c r="C475" s="1401">
        <v>0.29166666666666669</v>
      </c>
      <c r="D475" s="1396">
        <v>8</v>
      </c>
      <c r="E475" s="1396"/>
      <c r="F475" s="1396"/>
      <c r="G475" s="1401">
        <v>0.45833333333333331</v>
      </c>
      <c r="H475" s="1401">
        <v>0.29166666666666669</v>
      </c>
      <c r="I475" s="1396">
        <v>8</v>
      </c>
      <c r="J475" s="1396"/>
      <c r="K475" s="1396"/>
      <c r="L475" s="1401">
        <v>0.45833333333333331</v>
      </c>
      <c r="M475" s="1401">
        <v>0.29166666666666669</v>
      </c>
      <c r="N475" s="1396">
        <v>8</v>
      </c>
      <c r="O475" s="1396"/>
      <c r="P475" s="1396"/>
      <c r="Q475" s="1398">
        <v>0.45833333333333331</v>
      </c>
      <c r="R475" s="1398">
        <v>0.29166666666666669</v>
      </c>
      <c r="S475" s="1396">
        <v>8</v>
      </c>
      <c r="T475" s="1396"/>
      <c r="U475" s="1396"/>
      <c r="V475" s="1398">
        <v>0.45833333333333331</v>
      </c>
      <c r="W475" s="1403"/>
      <c r="X475" s="1396">
        <v>7.75</v>
      </c>
      <c r="Y475" s="1072"/>
      <c r="Z475" s="1041">
        <f t="shared" si="102"/>
        <v>39.75</v>
      </c>
      <c r="AA475" s="1077">
        <f t="shared" si="103"/>
        <v>0</v>
      </c>
      <c r="AB475" s="941"/>
      <c r="AC475" s="1076"/>
      <c r="AD475" s="1256"/>
      <c r="AE475" s="1072"/>
      <c r="AF475" s="1076"/>
      <c r="AG475" s="1256"/>
      <c r="AH475" s="1072"/>
      <c r="AI475" s="1076"/>
      <c r="AJ475" s="1041">
        <f t="shared" si="104"/>
        <v>0</v>
      </c>
      <c r="AK475" s="941"/>
      <c r="AL475" s="943"/>
      <c r="AM475" s="940"/>
      <c r="AN475" s="954"/>
      <c r="AO475" s="954"/>
      <c r="AP475" s="954"/>
      <c r="AQ475" s="954"/>
      <c r="AR475" s="954"/>
      <c r="AS475" s="954"/>
      <c r="AT475" s="940"/>
      <c r="AU475" s="1435"/>
      <c r="AV475" s="1435"/>
      <c r="AW475" s="1435"/>
      <c r="AX475" s="1435"/>
      <c r="AY475" s="1435"/>
      <c r="AZ475" s="1435"/>
      <c r="BA475" s="1435"/>
      <c r="BB475" s="1435"/>
      <c r="BC475" s="1435"/>
      <c r="BD475" s="1435"/>
      <c r="BE475" s="1435"/>
    </row>
    <row r="476" spans="1:57" ht="16.5" thickBot="1">
      <c r="A476" s="1343" t="s">
        <v>1144</v>
      </c>
      <c r="B476" s="1628">
        <v>0.375</v>
      </c>
      <c r="C476" s="1628">
        <v>0.25</v>
      </c>
      <c r="D476" s="1629">
        <v>8</v>
      </c>
      <c r="E476" s="1629"/>
      <c r="F476" s="1629"/>
      <c r="G476" s="1628">
        <v>0.29166666666666669</v>
      </c>
      <c r="H476" s="1628">
        <v>0.125</v>
      </c>
      <c r="I476" s="1629">
        <v>7.5</v>
      </c>
      <c r="J476" s="1629"/>
      <c r="K476" s="1629"/>
      <c r="L476" s="1628">
        <v>0.35416666666666669</v>
      </c>
      <c r="M476" s="1628">
        <v>0.22916666666666666</v>
      </c>
      <c r="N476" s="1629">
        <v>8</v>
      </c>
      <c r="O476" s="1629"/>
      <c r="P476" s="1629"/>
      <c r="Q476" s="1630">
        <v>4.1666666666666664E-2</v>
      </c>
      <c r="R476" s="1630">
        <v>0.41666666666666669</v>
      </c>
      <c r="S476" s="1629">
        <v>8</v>
      </c>
      <c r="T476" s="1629"/>
      <c r="U476" s="1629"/>
      <c r="V476" s="1630">
        <v>0.125</v>
      </c>
      <c r="W476" s="1630">
        <v>0.45833333333333331</v>
      </c>
      <c r="X476" s="1629">
        <v>8</v>
      </c>
      <c r="Y476" s="1287"/>
      <c r="Z476" s="1266">
        <f t="shared" si="102"/>
        <v>39.5</v>
      </c>
      <c r="AA476" s="1267">
        <f t="shared" si="103"/>
        <v>0</v>
      </c>
      <c r="AB476" s="1491"/>
      <c r="AC476" s="1285"/>
      <c r="AD476" s="1286"/>
      <c r="AE476" s="1287"/>
      <c r="AF476" s="1285"/>
      <c r="AG476" s="1286"/>
      <c r="AH476" s="1287"/>
      <c r="AI476" s="1285"/>
      <c r="AJ476" s="1266">
        <f t="shared" si="104"/>
        <v>0</v>
      </c>
      <c r="AK476" s="941"/>
      <c r="AL476" s="943"/>
      <c r="AM476" s="940"/>
      <c r="AN476" s="954"/>
      <c r="AO476" s="954"/>
      <c r="AP476" s="954"/>
      <c r="AQ476" s="954"/>
      <c r="AR476" s="954"/>
      <c r="AS476" s="954"/>
      <c r="AT476" s="940"/>
      <c r="AU476" s="1435"/>
      <c r="AV476" s="1435"/>
      <c r="AW476" s="1435"/>
      <c r="AX476" s="1435"/>
      <c r="AY476" s="1435"/>
      <c r="AZ476" s="1435"/>
      <c r="BA476" s="1435"/>
      <c r="BB476" s="1435"/>
      <c r="BC476" s="1435"/>
      <c r="BD476" s="1435"/>
      <c r="BE476" s="1435"/>
    </row>
    <row r="477" spans="1:57" ht="16.5" thickTop="1">
      <c r="A477" s="1018" t="s">
        <v>61</v>
      </c>
      <c r="B477" s="1018"/>
      <c r="C477" s="1018"/>
      <c r="D477" s="1084">
        <f>SUM(D454:D476)</f>
        <v>129.75</v>
      </c>
      <c r="E477" s="1255">
        <f>SUM(E454:E473)</f>
        <v>3.5</v>
      </c>
      <c r="F477" s="1018"/>
      <c r="G477" s="1018"/>
      <c r="H477" s="1018"/>
      <c r="I477" s="1084">
        <f>SUM(I454:I476)</f>
        <v>147.75</v>
      </c>
      <c r="J477" s="1255">
        <f>SUM(J454:J473)</f>
        <v>2</v>
      </c>
      <c r="K477" s="1018"/>
      <c r="L477" s="1018"/>
      <c r="M477" s="1018"/>
      <c r="N477" s="1084">
        <f>SUM(N454:N473)</f>
        <v>108.75</v>
      </c>
      <c r="O477" s="1255">
        <f>SUM(O454:O473)</f>
        <v>3.5</v>
      </c>
      <c r="P477" s="1018"/>
      <c r="Q477" s="1018"/>
      <c r="R477" s="1018"/>
      <c r="S477" s="1084">
        <f>SUM(S454:S473)</f>
        <v>127</v>
      </c>
      <c r="T477" s="1255">
        <f>SUM(T454:T473)</f>
        <v>1.5</v>
      </c>
      <c r="U477" s="1018"/>
      <c r="V477" s="1018"/>
      <c r="W477" s="1018"/>
      <c r="X477" s="1084">
        <f>SUM(X454:X473)</f>
        <v>133</v>
      </c>
      <c r="Y477" s="1255">
        <f>SUM(Y454:Y473)</f>
        <v>0</v>
      </c>
      <c r="Z477" s="1028">
        <f>SUM(Z454:Z473)</f>
        <v>614.75</v>
      </c>
      <c r="AA477" s="1028">
        <f>SUM(AA454:AA473)</f>
        <v>10.5</v>
      </c>
      <c r="AB477" s="941"/>
      <c r="AC477" s="1018"/>
      <c r="AD477" s="1018"/>
      <c r="AE477" s="1041">
        <f>SUM(AE454:AE473)</f>
        <v>17</v>
      </c>
      <c r="AF477" s="941"/>
      <c r="AG477" s="1018"/>
      <c r="AH477" s="1018"/>
      <c r="AI477" s="1041">
        <f>SUM(AI454:AI473)</f>
        <v>9.5</v>
      </c>
      <c r="AJ477" s="1028">
        <f>SUM(AJ454:AJ473)</f>
        <v>26.5</v>
      </c>
      <c r="AK477" s="941"/>
      <c r="AL477" s="943"/>
      <c r="AM477" s="940"/>
      <c r="AN477" s="954"/>
      <c r="AO477" s="954"/>
      <c r="AP477" s="954"/>
      <c r="AQ477" s="954"/>
      <c r="AR477" s="954"/>
      <c r="AS477" s="954"/>
      <c r="AT477" s="940"/>
      <c r="AU477" s="1435"/>
      <c r="AV477" s="1435"/>
      <c r="AW477" s="1435"/>
      <c r="AX477" s="1435"/>
      <c r="AY477" s="1435"/>
      <c r="AZ477" s="1435"/>
      <c r="BA477" s="1435"/>
      <c r="BB477" s="1435"/>
      <c r="BC477" s="1435"/>
      <c r="BD477" s="1435"/>
      <c r="BE477" s="1435"/>
    </row>
    <row r="478" spans="1:57" ht="15.75">
      <c r="A478" s="1335" t="s">
        <v>1434</v>
      </c>
      <c r="B478" s="1018"/>
      <c r="C478" s="1018"/>
      <c r="D478" s="1084">
        <f>SUM(D475:D476)</f>
        <v>16</v>
      </c>
      <c r="E478" s="1255"/>
      <c r="F478" s="1018"/>
      <c r="G478" s="1018"/>
      <c r="H478" s="1018"/>
      <c r="I478" s="1084">
        <f>SUM(I475:I476)</f>
        <v>15.5</v>
      </c>
      <c r="J478" s="1255"/>
      <c r="K478" s="1018"/>
      <c r="L478" s="1018"/>
      <c r="M478" s="1018"/>
      <c r="N478" s="1084">
        <f>SUM(N475:N476)</f>
        <v>16</v>
      </c>
      <c r="O478" s="1255"/>
      <c r="P478" s="1018"/>
      <c r="Q478" s="1018"/>
      <c r="R478" s="1018"/>
      <c r="S478" s="1084">
        <f>SUM(S475:S476)</f>
        <v>16</v>
      </c>
      <c r="T478" s="1255"/>
      <c r="U478" s="1018"/>
      <c r="V478" s="1018"/>
      <c r="W478" s="1018"/>
      <c r="X478" s="1084">
        <f>SUM(X475:X476)</f>
        <v>15.75</v>
      </c>
      <c r="Y478" s="1255"/>
      <c r="Z478" s="1028">
        <f>SUM(Z475:Z476)</f>
        <v>79.25</v>
      </c>
      <c r="AA478" s="1028">
        <f>SUM(AA475:AA476)</f>
        <v>0</v>
      </c>
      <c r="AB478" s="941"/>
      <c r="AC478" s="1018"/>
      <c r="AD478" s="1018"/>
      <c r="AE478" s="1041">
        <f>SUM(AE475:AE476)</f>
        <v>0</v>
      </c>
      <c r="AF478" s="941"/>
      <c r="AG478" s="1018"/>
      <c r="AH478" s="1018"/>
      <c r="AI478" s="1041">
        <f>SUM(AI475:AI476)</f>
        <v>0</v>
      </c>
      <c r="AJ478" s="1028">
        <f>SUM(AE478+AI478)</f>
        <v>0</v>
      </c>
      <c r="AK478" s="941"/>
      <c r="AL478" s="943"/>
      <c r="AM478" s="940"/>
      <c r="AN478" s="954"/>
      <c r="AO478" s="954"/>
      <c r="AP478" s="954"/>
      <c r="AQ478" s="954"/>
      <c r="AR478" s="954"/>
      <c r="AS478" s="954"/>
      <c r="AT478" s="940"/>
      <c r="AU478" s="1435"/>
      <c r="AV478" s="1435"/>
      <c r="AW478" s="1435"/>
      <c r="AX478" s="1435"/>
      <c r="AY478" s="1435"/>
      <c r="AZ478" s="1435"/>
      <c r="BA478" s="1435"/>
      <c r="BB478" s="1435"/>
      <c r="BC478" s="1435"/>
      <c r="BD478" s="1435"/>
      <c r="BE478" s="1435"/>
    </row>
    <row r="479" spans="1:57" ht="15.75">
      <c r="A479" s="1257" t="s">
        <v>64</v>
      </c>
      <c r="B479" s="1006"/>
      <c r="C479" s="1006"/>
      <c r="D479" s="1071">
        <v>7</v>
      </c>
      <c r="E479" s="1071"/>
      <c r="F479" s="1026"/>
      <c r="G479" s="1006"/>
      <c r="H479" s="1006"/>
      <c r="I479" s="1071">
        <v>4</v>
      </c>
      <c r="J479" s="1071"/>
      <c r="K479" s="1013"/>
      <c r="L479" s="1006"/>
      <c r="M479" s="1006"/>
      <c r="N479" s="1071">
        <v>8</v>
      </c>
      <c r="O479" s="1071"/>
      <c r="P479" s="1013"/>
      <c r="Q479" s="1006"/>
      <c r="R479" s="1006"/>
      <c r="S479" s="1071">
        <v>7</v>
      </c>
      <c r="T479" s="1071"/>
      <c r="U479" s="1013"/>
      <c r="V479" s="1006"/>
      <c r="W479" s="1006"/>
      <c r="X479" s="1071">
        <v>7</v>
      </c>
      <c r="Y479" s="1071">
        <v>0.5</v>
      </c>
      <c r="Z479" s="1028">
        <f>D479+I479+N479+S479+X479</f>
        <v>33</v>
      </c>
      <c r="AA479" s="1100">
        <f>E479+J479+O479+T479+Y479</f>
        <v>0.5</v>
      </c>
      <c r="AB479" s="941"/>
      <c r="AC479" s="1006"/>
      <c r="AD479" s="1006"/>
      <c r="AE479" s="1071">
        <f>5+1</f>
        <v>6</v>
      </c>
      <c r="AF479" s="941"/>
      <c r="AG479" s="1006"/>
      <c r="AH479" s="1006"/>
      <c r="AI479" s="1071">
        <f>5+1</f>
        <v>6</v>
      </c>
      <c r="AJ479" s="1028">
        <f>AE479+AI479</f>
        <v>12</v>
      </c>
      <c r="AK479" s="941"/>
      <c r="AL479" s="943"/>
      <c r="AM479" s="940"/>
      <c r="AN479" s="954"/>
      <c r="AO479" s="954"/>
      <c r="AP479" s="954"/>
      <c r="AQ479" s="954"/>
      <c r="AR479" s="954"/>
      <c r="AS479" s="954"/>
      <c r="AT479" s="940"/>
      <c r="AU479" s="1435"/>
      <c r="AV479" s="1435"/>
      <c r="AW479" s="1435"/>
      <c r="AX479" s="1435"/>
      <c r="AY479" s="1435"/>
      <c r="AZ479" s="1435"/>
      <c r="BA479" s="1435"/>
      <c r="BB479" s="1435"/>
      <c r="BC479" s="1435"/>
      <c r="BD479" s="1435"/>
      <c r="BE479" s="1435"/>
    </row>
    <row r="480" spans="1:57" ht="15.75">
      <c r="A480" s="940"/>
      <c r="B480" s="940"/>
      <c r="C480" s="940"/>
      <c r="D480" s="941"/>
      <c r="E480" s="942"/>
      <c r="F480" s="941"/>
      <c r="G480" s="940"/>
      <c r="H480" s="940"/>
      <c r="I480" s="941"/>
      <c r="J480" s="942"/>
      <c r="K480" s="941"/>
      <c r="L480" s="940"/>
      <c r="M480" s="940"/>
      <c r="N480" s="941"/>
      <c r="O480" s="942"/>
      <c r="P480" s="941"/>
      <c r="Q480" s="940"/>
      <c r="R480" s="940"/>
      <c r="S480" s="941"/>
      <c r="T480" s="942"/>
      <c r="U480" s="941"/>
      <c r="V480" s="940"/>
      <c r="W480" s="940"/>
      <c r="X480" s="941"/>
      <c r="Y480" s="942"/>
      <c r="Z480" s="941"/>
      <c r="AA480" s="941"/>
      <c r="AB480" s="941"/>
      <c r="AC480" s="940"/>
      <c r="AD480" s="940"/>
      <c r="AE480" s="940"/>
      <c r="AF480" s="941"/>
      <c r="AG480" s="940"/>
      <c r="AH480" s="940"/>
      <c r="AI480" s="940"/>
      <c r="AJ480" s="940"/>
      <c r="AK480" s="941"/>
      <c r="AL480" s="943"/>
      <c r="AM480" s="940"/>
      <c r="AN480" s="940"/>
      <c r="AO480" s="940"/>
      <c r="AP480" s="940"/>
      <c r="AQ480" s="940"/>
      <c r="AR480" s="940"/>
      <c r="AS480" s="940"/>
      <c r="AT480" s="940"/>
      <c r="AU480" s="1435"/>
      <c r="AV480" s="1435"/>
      <c r="AW480" s="1435"/>
      <c r="AX480" s="1435"/>
      <c r="AY480" s="1435"/>
      <c r="AZ480" s="1435"/>
      <c r="BA480" s="1435"/>
      <c r="BB480" s="1435"/>
      <c r="BC480" s="1435"/>
      <c r="BD480" s="1435"/>
      <c r="BE480" s="1435"/>
    </row>
    <row r="481" spans="1:57" ht="15.75">
      <c r="A481" s="974"/>
      <c r="B481" s="975"/>
      <c r="C481" s="975"/>
      <c r="D481" s="976"/>
      <c r="E481" s="976"/>
      <c r="F481" s="975"/>
      <c r="G481" s="976"/>
      <c r="H481" s="976"/>
      <c r="I481" s="976"/>
      <c r="J481" s="976"/>
      <c r="K481" s="975"/>
      <c r="L481" s="975"/>
      <c r="M481" s="975"/>
      <c r="N481" s="975"/>
      <c r="O481" s="976"/>
      <c r="P481" s="975"/>
      <c r="Q481" s="975"/>
      <c r="R481" s="975"/>
      <c r="S481" s="975"/>
      <c r="T481" s="976"/>
      <c r="U481" s="975"/>
      <c r="V481" s="975"/>
      <c r="W481" s="975"/>
      <c r="X481" s="977"/>
      <c r="Y481" s="976"/>
      <c r="Z481" s="978"/>
      <c r="AA481" s="976"/>
      <c r="AB481" s="979"/>
      <c r="AC481" s="980"/>
      <c r="AD481" s="943"/>
      <c r="AE481" s="943"/>
      <c r="AF481" s="979"/>
      <c r="AG481" s="980"/>
      <c r="AH481" s="943"/>
      <c r="AI481" s="943"/>
      <c r="AJ481" s="943"/>
      <c r="AK481" s="979"/>
      <c r="AL481" s="943"/>
      <c r="AM481" s="943"/>
      <c r="AN481" s="943"/>
      <c r="AO481" s="943"/>
      <c r="AP481" s="943"/>
      <c r="AQ481" s="943"/>
      <c r="AR481" s="943"/>
      <c r="AS481" s="943"/>
      <c r="AT481" s="943"/>
      <c r="AU481" s="943"/>
      <c r="AV481" s="943"/>
      <c r="AW481" s="943"/>
      <c r="AX481" s="943"/>
      <c r="AY481" s="943"/>
      <c r="AZ481" s="1435"/>
      <c r="BA481" s="1435"/>
      <c r="BB481" s="1435"/>
      <c r="BC481" s="1435"/>
      <c r="BD481" s="1435"/>
      <c r="BE481" s="1435"/>
    </row>
    <row r="482" spans="1:57" ht="15.75">
      <c r="A482" s="940"/>
      <c r="B482" s="1434"/>
      <c r="C482" s="1434"/>
      <c r="D482" s="1434"/>
      <c r="E482" s="1434"/>
      <c r="F482" s="1434"/>
      <c r="G482" s="1434"/>
      <c r="H482" s="1434"/>
      <c r="I482" s="1434"/>
      <c r="J482" s="1434"/>
      <c r="K482" s="1434"/>
      <c r="L482" s="1434"/>
      <c r="M482" s="1434"/>
      <c r="N482" s="940"/>
      <c r="O482" s="940"/>
      <c r="P482" s="940"/>
      <c r="Q482" s="940"/>
      <c r="R482" s="940"/>
      <c r="S482" s="941"/>
      <c r="T482" s="942"/>
      <c r="U482" s="941"/>
      <c r="V482" s="940"/>
      <c r="W482" s="940"/>
      <c r="X482" s="941"/>
      <c r="Y482" s="942"/>
      <c r="Z482" s="941"/>
      <c r="AA482" s="941"/>
      <c r="AB482" s="941"/>
      <c r="AC482" s="940"/>
      <c r="AD482" s="940"/>
      <c r="AE482" s="940"/>
      <c r="AF482" s="941"/>
      <c r="AG482" s="940"/>
      <c r="AH482" s="940"/>
      <c r="AI482" s="940"/>
      <c r="AJ482" s="940"/>
      <c r="AK482" s="941"/>
      <c r="AL482" s="943"/>
      <c r="AM482" s="940"/>
      <c r="AN482" s="954"/>
      <c r="AO482" s="954"/>
      <c r="AP482" s="954"/>
      <c r="AQ482" s="954"/>
      <c r="AR482" s="954"/>
      <c r="AS482" s="954"/>
      <c r="AT482" s="954"/>
      <c r="AU482" s="954"/>
      <c r="AV482" s="954"/>
      <c r="AW482" s="954"/>
      <c r="AX482" s="954"/>
      <c r="AY482" s="954"/>
      <c r="AZ482" s="1435"/>
      <c r="BA482" s="1435"/>
      <c r="BB482" s="1435"/>
      <c r="BC482" s="1435"/>
      <c r="BD482" s="1435"/>
      <c r="BE482" s="1435"/>
    </row>
    <row r="483" spans="1:57" ht="15.75">
      <c r="A483" s="1614" t="s">
        <v>18</v>
      </c>
      <c r="B483" s="1568">
        <v>46139</v>
      </c>
      <c r="C483" s="1568"/>
      <c r="D483" s="1568" t="s">
        <v>564</v>
      </c>
      <c r="E483" s="1568"/>
      <c r="F483" s="1258"/>
      <c r="G483" s="1568">
        <v>46140</v>
      </c>
      <c r="H483" s="1568"/>
      <c r="I483" s="1568" t="s">
        <v>565</v>
      </c>
      <c r="J483" s="1568"/>
      <c r="K483" s="1258"/>
      <c r="L483" s="1568">
        <v>46141</v>
      </c>
      <c r="M483" s="1568"/>
      <c r="N483" s="1568" t="s">
        <v>566</v>
      </c>
      <c r="O483" s="1568"/>
      <c r="P483" s="1258"/>
      <c r="Q483" s="1568">
        <v>46142</v>
      </c>
      <c r="R483" s="1568"/>
      <c r="S483" s="1568" t="s">
        <v>567</v>
      </c>
      <c r="T483" s="1568"/>
      <c r="U483" s="1258"/>
      <c r="V483" s="1568">
        <v>46143</v>
      </c>
      <c r="W483" s="1568"/>
      <c r="X483" s="1568" t="s">
        <v>568</v>
      </c>
      <c r="Y483" s="1568"/>
      <c r="Z483" s="1613" t="s">
        <v>19</v>
      </c>
      <c r="AA483" s="1613" t="s">
        <v>20</v>
      </c>
      <c r="AB483" s="942"/>
      <c r="AC483" s="1568">
        <v>46144</v>
      </c>
      <c r="AD483" s="1568"/>
      <c r="AE483" s="1259" t="s">
        <v>569</v>
      </c>
      <c r="AF483" s="942"/>
      <c r="AG483" s="1568">
        <v>46145</v>
      </c>
      <c r="AH483" s="1568"/>
      <c r="AI483" s="1259" t="s">
        <v>570</v>
      </c>
      <c r="AJ483" s="1613" t="s">
        <v>1420</v>
      </c>
      <c r="AK483" s="941"/>
      <c r="AL483" s="943"/>
      <c r="AM483" s="940"/>
      <c r="AN483" s="985" t="s">
        <v>84</v>
      </c>
      <c r="AO483" s="986"/>
      <c r="AP483" s="986"/>
      <c r="AQ483" s="986"/>
      <c r="AR483" s="986"/>
      <c r="AS483" s="986"/>
      <c r="AT483" s="986"/>
      <c r="AU483" s="986"/>
      <c r="AV483" s="986"/>
      <c r="AW483" s="986"/>
      <c r="AX483" s="986"/>
      <c r="AY483" s="986"/>
      <c r="AZ483" s="1435"/>
      <c r="BA483" s="1435"/>
      <c r="BB483" s="1435"/>
      <c r="BC483" s="1435"/>
      <c r="BD483" s="1435"/>
      <c r="BE483" s="1435"/>
    </row>
    <row r="484" spans="1:57" ht="21" customHeight="1" thickBot="1">
      <c r="A484" s="1614"/>
      <c r="B484" s="987" t="s">
        <v>23</v>
      </c>
      <c r="C484" s="987" t="s">
        <v>24</v>
      </c>
      <c r="D484" s="1100" t="s">
        <v>25</v>
      </c>
      <c r="E484" s="989" t="s">
        <v>14</v>
      </c>
      <c r="F484" s="942"/>
      <c r="G484" s="987" t="s">
        <v>23</v>
      </c>
      <c r="H484" s="987" t="s">
        <v>24</v>
      </c>
      <c r="I484" s="989" t="s">
        <v>25</v>
      </c>
      <c r="J484" s="989" t="s">
        <v>14</v>
      </c>
      <c r="K484" s="942"/>
      <c r="L484" s="987" t="s">
        <v>23</v>
      </c>
      <c r="M484" s="987" t="s">
        <v>24</v>
      </c>
      <c r="N484" s="989" t="s">
        <v>25</v>
      </c>
      <c r="O484" s="989" t="s">
        <v>14</v>
      </c>
      <c r="P484" s="942"/>
      <c r="Q484" s="987" t="s">
        <v>23</v>
      </c>
      <c r="R484" s="987" t="s">
        <v>24</v>
      </c>
      <c r="S484" s="989" t="s">
        <v>25</v>
      </c>
      <c r="T484" s="989" t="s">
        <v>14</v>
      </c>
      <c r="U484" s="942"/>
      <c r="V484" s="987" t="s">
        <v>23</v>
      </c>
      <c r="W484" s="987" t="s">
        <v>24</v>
      </c>
      <c r="X484" s="989" t="s">
        <v>25</v>
      </c>
      <c r="Y484" s="989" t="s">
        <v>14</v>
      </c>
      <c r="Z484" s="1613"/>
      <c r="AA484" s="1613"/>
      <c r="AB484" s="942"/>
      <c r="AC484" s="987" t="s">
        <v>23</v>
      </c>
      <c r="AD484" s="987" t="s">
        <v>24</v>
      </c>
      <c r="AE484" s="989" t="s">
        <v>25</v>
      </c>
      <c r="AF484" s="942"/>
      <c r="AG484" s="987" t="s">
        <v>23</v>
      </c>
      <c r="AH484" s="987" t="s">
        <v>24</v>
      </c>
      <c r="AI484" s="989" t="s">
        <v>25</v>
      </c>
      <c r="AJ484" s="1613"/>
      <c r="AK484" s="941"/>
      <c r="AL484" s="943"/>
      <c r="AM484" s="940"/>
      <c r="AN484" s="992" t="s">
        <v>26</v>
      </c>
      <c r="AO484" s="1005">
        <f>Z508</f>
        <v>430.25</v>
      </c>
      <c r="AP484" s="994">
        <v>40.31</v>
      </c>
      <c r="AQ484" s="994">
        <f t="shared" ref="AQ484:AQ490" si="108">AP484*AO484</f>
        <v>17343.377500000002</v>
      </c>
      <c r="AR484" s="954"/>
      <c r="AS484" s="954"/>
      <c r="AT484" s="940"/>
      <c r="AU484" s="1435"/>
      <c r="AV484" s="1435"/>
      <c r="AW484" s="1435"/>
      <c r="AX484" s="1435"/>
      <c r="AY484" s="1435"/>
      <c r="AZ484" s="1435"/>
      <c r="BA484" s="1435"/>
      <c r="BB484" s="1435"/>
      <c r="BC484" s="1435"/>
      <c r="BD484" s="1435"/>
      <c r="BE484" s="1435"/>
    </row>
    <row r="485" spans="1:57" ht="15.75">
      <c r="A485" s="1405" t="s">
        <v>72</v>
      </c>
      <c r="B485" s="1006">
        <v>0.29166666666666669</v>
      </c>
      <c r="C485" s="1006">
        <v>0.125</v>
      </c>
      <c r="D485" s="1071">
        <v>8</v>
      </c>
      <c r="E485" s="1255"/>
      <c r="F485" s="941"/>
      <c r="G485" s="1006">
        <v>0.29166666666666669</v>
      </c>
      <c r="H485" s="1006">
        <v>0.125</v>
      </c>
      <c r="I485" s="1071">
        <v>8</v>
      </c>
      <c r="J485" s="1255"/>
      <c r="K485" s="941"/>
      <c r="L485" s="1006">
        <v>0.29166666666666669</v>
      </c>
      <c r="M485" s="1006">
        <v>0.125</v>
      </c>
      <c r="N485" s="1071">
        <v>8</v>
      </c>
      <c r="O485" s="1255"/>
      <c r="P485" s="941"/>
      <c r="Q485" s="1006">
        <v>0.29166666666666669</v>
      </c>
      <c r="R485" s="1006">
        <v>0.125</v>
      </c>
      <c r="S485" s="1071">
        <v>8</v>
      </c>
      <c r="T485" s="1255"/>
      <c r="U485" s="941"/>
      <c r="V485" s="1006">
        <v>0.29166666666666669</v>
      </c>
      <c r="W485" s="1006"/>
      <c r="X485" s="1071"/>
      <c r="Y485" s="1255"/>
      <c r="Z485" s="1041">
        <f t="shared" ref="Z485:Z505" si="109">D485+I485+N485+S485+X485</f>
        <v>32</v>
      </c>
      <c r="AA485" s="1077">
        <f t="shared" ref="AA485:AA504" si="110">E485+J485+O485+T485+Y485</f>
        <v>0</v>
      </c>
      <c r="AB485" s="941"/>
      <c r="AC485" s="1289"/>
      <c r="AD485" s="1289"/>
      <c r="AE485" s="1071"/>
      <c r="AF485" s="941"/>
      <c r="AG485" s="1289"/>
      <c r="AH485" s="1289"/>
      <c r="AI485" s="1071"/>
      <c r="AJ485" s="1041">
        <f t="shared" ref="AJ485:AJ504" si="111">SUM(AE485+AI485)</f>
        <v>0</v>
      </c>
      <c r="AK485" s="941"/>
      <c r="AL485" s="943"/>
      <c r="AM485" s="940"/>
      <c r="AN485" s="992" t="s">
        <v>1421</v>
      </c>
      <c r="AO485" s="1005">
        <f>Z509</f>
        <v>46.5</v>
      </c>
      <c r="AP485" s="994">
        <v>60.47</v>
      </c>
      <c r="AQ485" s="994">
        <f t="shared" si="108"/>
        <v>2811.855</v>
      </c>
      <c r="AR485" s="954"/>
      <c r="AS485" s="954"/>
      <c r="AT485" s="940"/>
      <c r="AU485" s="1436"/>
      <c r="AV485" s="1437"/>
      <c r="AW485" s="1437"/>
      <c r="AX485" s="1438"/>
      <c r="AY485" s="1435"/>
      <c r="AZ485" s="1435"/>
      <c r="BA485" s="1435"/>
      <c r="BB485" s="1435"/>
      <c r="BC485" s="1435"/>
      <c r="BD485" s="1435"/>
      <c r="BE485" s="1435"/>
    </row>
    <row r="486" spans="1:57" ht="15.75">
      <c r="A486" s="1405" t="s">
        <v>1426</v>
      </c>
      <c r="B486" s="1006">
        <v>0.29166666666666669</v>
      </c>
      <c r="C486" s="1006">
        <v>0.125</v>
      </c>
      <c r="D486" s="1071">
        <v>8</v>
      </c>
      <c r="E486" s="1255"/>
      <c r="F486" s="941"/>
      <c r="G486" s="1006">
        <v>0.29166666666666669</v>
      </c>
      <c r="H486" s="1006">
        <v>0.125</v>
      </c>
      <c r="I486" s="1071">
        <v>8</v>
      </c>
      <c r="J486" s="1255"/>
      <c r="K486" s="941"/>
      <c r="L486" s="1006">
        <v>0.29166666666666669</v>
      </c>
      <c r="M486" s="1006">
        <v>0.125</v>
      </c>
      <c r="N486" s="1071">
        <v>8</v>
      </c>
      <c r="O486" s="1255"/>
      <c r="P486" s="941"/>
      <c r="Q486" s="1006">
        <v>0.29166666666666669</v>
      </c>
      <c r="R486" s="1006">
        <v>0.125</v>
      </c>
      <c r="S486" s="1071">
        <v>8</v>
      </c>
      <c r="T486" s="1255"/>
      <c r="U486" s="941"/>
      <c r="V486" s="1006">
        <v>0.29166666666666669</v>
      </c>
      <c r="W486" s="1006"/>
      <c r="X486" s="1071"/>
      <c r="Y486" s="1255"/>
      <c r="Z486" s="1041">
        <f t="shared" si="109"/>
        <v>32</v>
      </c>
      <c r="AA486" s="1077">
        <f t="shared" si="110"/>
        <v>0</v>
      </c>
      <c r="AB486" s="941"/>
      <c r="AC486" s="1006"/>
      <c r="AD486" s="1006"/>
      <c r="AE486" s="1071"/>
      <c r="AF486" s="941"/>
      <c r="AG486" s="1006"/>
      <c r="AH486" s="1006"/>
      <c r="AI486" s="1071"/>
      <c r="AJ486" s="1041">
        <f t="shared" si="111"/>
        <v>0</v>
      </c>
      <c r="AK486" s="941"/>
      <c r="AL486" s="943"/>
      <c r="AM486" s="940"/>
      <c r="AN486" s="992" t="s">
        <v>30</v>
      </c>
      <c r="AO486" s="1005">
        <f>AA508</f>
        <v>7.5</v>
      </c>
      <c r="AP486" s="994">
        <v>60.465000000000003</v>
      </c>
      <c r="AQ486" s="994">
        <f t="shared" si="108"/>
        <v>453.48750000000001</v>
      </c>
      <c r="AR486" s="954"/>
      <c r="AS486" s="954"/>
      <c r="AT486" s="940"/>
      <c r="AU486" s="1359"/>
      <c r="AV486" s="1365" t="s">
        <v>1483</v>
      </c>
      <c r="AW486" s="1366"/>
      <c r="AX486" s="1439"/>
      <c r="AY486" s="1435"/>
      <c r="AZ486" s="1435"/>
      <c r="BA486" s="1435"/>
      <c r="BB486" s="1435"/>
      <c r="BC486" s="1435"/>
      <c r="BD486" s="1435"/>
      <c r="BE486" s="1435"/>
    </row>
    <row r="487" spans="1:57" ht="15.75">
      <c r="A487" s="1405" t="s">
        <v>1060</v>
      </c>
      <c r="B487" s="1006">
        <v>0.29166666666666669</v>
      </c>
      <c r="C487" s="1006">
        <v>0.125</v>
      </c>
      <c r="D487" s="1071">
        <v>8</v>
      </c>
      <c r="E487" s="1255"/>
      <c r="F487" s="941"/>
      <c r="G487" s="1006">
        <v>0.29166666666666669</v>
      </c>
      <c r="H487" s="1006">
        <v>0.125</v>
      </c>
      <c r="I487" s="1071">
        <v>8</v>
      </c>
      <c r="J487" s="1255"/>
      <c r="K487" s="941"/>
      <c r="L487" s="1006">
        <v>0.29166666666666669</v>
      </c>
      <c r="M487" s="1006">
        <v>0.125</v>
      </c>
      <c r="N487" s="1071">
        <v>8</v>
      </c>
      <c r="O487" s="1255"/>
      <c r="P487" s="941"/>
      <c r="Q487" s="1006">
        <v>0.29166666666666669</v>
      </c>
      <c r="R487" s="1006">
        <v>0.125</v>
      </c>
      <c r="S487" s="1071">
        <v>8</v>
      </c>
      <c r="T487" s="1255"/>
      <c r="U487" s="941"/>
      <c r="V487" s="1006">
        <v>0.29166666666666669</v>
      </c>
      <c r="W487" s="1006"/>
      <c r="X487" s="1071"/>
      <c r="Y487" s="1255"/>
      <c r="Z487" s="1041">
        <f t="shared" si="109"/>
        <v>32</v>
      </c>
      <c r="AA487" s="1077">
        <f t="shared" si="110"/>
        <v>0</v>
      </c>
      <c r="AB487" s="941"/>
      <c r="AC487" s="1006"/>
      <c r="AD487" s="1006"/>
      <c r="AE487" s="1071"/>
      <c r="AF487" s="941"/>
      <c r="AG487" s="1006"/>
      <c r="AH487" s="1006"/>
      <c r="AI487" s="1071"/>
      <c r="AJ487" s="1041">
        <f t="shared" si="111"/>
        <v>0</v>
      </c>
      <c r="AK487" s="941"/>
      <c r="AL487" s="943"/>
      <c r="AM487" s="940"/>
      <c r="AN487" s="992" t="s">
        <v>32</v>
      </c>
      <c r="AO487" s="1005">
        <f>AJ508</f>
        <v>0</v>
      </c>
      <c r="AP487" s="994">
        <v>60.465000000000003</v>
      </c>
      <c r="AQ487" s="994">
        <f t="shared" si="108"/>
        <v>0</v>
      </c>
      <c r="AR487" s="954"/>
      <c r="AS487" s="954"/>
      <c r="AT487" s="940"/>
      <c r="AU487" s="1440"/>
      <c r="AV487" s="1367" t="s">
        <v>1484</v>
      </c>
      <c r="AW487" s="1441"/>
      <c r="AX487" s="1439"/>
      <c r="AY487" s="1435"/>
      <c r="AZ487" s="1435"/>
      <c r="BA487" s="1435"/>
      <c r="BB487" s="1435"/>
      <c r="BC487" s="1435"/>
      <c r="BD487" s="1435"/>
      <c r="BE487" s="1435"/>
    </row>
    <row r="488" spans="1:57" ht="15.75">
      <c r="A488" s="1405" t="s">
        <v>1438</v>
      </c>
      <c r="B488" s="1006">
        <v>0.29166666666666669</v>
      </c>
      <c r="C488" s="1006">
        <v>0.125</v>
      </c>
      <c r="D488" s="1071">
        <v>8</v>
      </c>
      <c r="E488" s="1255"/>
      <c r="F488" s="941"/>
      <c r="G488" s="1006">
        <v>0.29166666666666669</v>
      </c>
      <c r="H488" s="1006">
        <v>0.125</v>
      </c>
      <c r="I488" s="1071">
        <v>8</v>
      </c>
      <c r="J488" s="1255"/>
      <c r="K488" s="941"/>
      <c r="L488" s="1006">
        <v>0.29166666666666669</v>
      </c>
      <c r="M488" s="1006">
        <v>0.125</v>
      </c>
      <c r="N488" s="1071">
        <v>8</v>
      </c>
      <c r="O488" s="1255"/>
      <c r="P488" s="941"/>
      <c r="Q488" s="1006"/>
      <c r="R488" s="1006"/>
      <c r="S488" s="1071">
        <v>0</v>
      </c>
      <c r="T488" s="1255"/>
      <c r="U488" s="941"/>
      <c r="V488" s="1006"/>
      <c r="W488" s="1006"/>
      <c r="X488" s="1071">
        <v>0</v>
      </c>
      <c r="Y488" s="1255"/>
      <c r="Z488" s="1041">
        <f t="shared" si="109"/>
        <v>24</v>
      </c>
      <c r="AA488" s="1077">
        <f t="shared" si="110"/>
        <v>0</v>
      </c>
      <c r="AB488" s="941"/>
      <c r="AC488" s="1006"/>
      <c r="AD488" s="1006"/>
      <c r="AE488" s="1071"/>
      <c r="AF488" s="941"/>
      <c r="AG488" s="1006"/>
      <c r="AH488" s="1006"/>
      <c r="AI488" s="1071"/>
      <c r="AJ488" s="1041">
        <f t="shared" si="111"/>
        <v>0</v>
      </c>
      <c r="AK488" s="941"/>
      <c r="AL488" s="943"/>
      <c r="AM488" s="940"/>
      <c r="AN488" s="1260" t="s">
        <v>1475</v>
      </c>
      <c r="AO488" s="1261">
        <f>AA509+AJ509</f>
        <v>0</v>
      </c>
      <c r="AP488" s="1262">
        <f>(60.47*1.5)</f>
        <v>90.704999999999998</v>
      </c>
      <c r="AQ488" s="1262">
        <f t="shared" si="108"/>
        <v>0</v>
      </c>
      <c r="AR488" s="954"/>
      <c r="AS488" s="954"/>
      <c r="AT488" s="940"/>
      <c r="AU488" s="1440"/>
      <c r="AV488" s="1371" t="s">
        <v>26</v>
      </c>
      <c r="AW488" s="1413"/>
      <c r="AX488" s="1439"/>
      <c r="AY488" s="1435"/>
      <c r="AZ488" s="1435"/>
      <c r="BA488" s="1435"/>
      <c r="BB488" s="1435"/>
      <c r="BC488" s="1435"/>
      <c r="BD488" s="1435"/>
      <c r="BE488" s="1435"/>
    </row>
    <row r="489" spans="1:57" ht="15.75">
      <c r="A489" s="1405" t="s">
        <v>327</v>
      </c>
      <c r="B489" s="1006">
        <v>0.125</v>
      </c>
      <c r="C489" s="1006">
        <v>4.1666666666666664E-2</v>
      </c>
      <c r="D489" s="1071">
        <v>8</v>
      </c>
      <c r="E489" s="1255">
        <v>2</v>
      </c>
      <c r="F489" s="1013"/>
      <c r="G489" s="1006">
        <v>0.125</v>
      </c>
      <c r="H489" s="1006">
        <v>0.45833333333333331</v>
      </c>
      <c r="I489" s="1071">
        <v>8</v>
      </c>
      <c r="J489" s="1255"/>
      <c r="K489" s="1013"/>
      <c r="L489" s="1006"/>
      <c r="M489" s="1006">
        <v>0.45833333333333331</v>
      </c>
      <c r="N489" s="1071">
        <v>7.75</v>
      </c>
      <c r="O489" s="1255"/>
      <c r="P489" s="1013"/>
      <c r="Q489" s="1006">
        <v>0.125</v>
      </c>
      <c r="R489" s="1006">
        <v>0.45833333333333331</v>
      </c>
      <c r="S489" s="1071">
        <v>8</v>
      </c>
      <c r="T489" s="1255"/>
      <c r="U489" s="1013"/>
      <c r="V489" s="1006"/>
      <c r="W489" s="1006"/>
      <c r="X489" s="1071"/>
      <c r="Y489" s="1255"/>
      <c r="Z489" s="1041">
        <f t="shared" si="109"/>
        <v>31.75</v>
      </c>
      <c r="AA489" s="1077">
        <f t="shared" si="110"/>
        <v>2</v>
      </c>
      <c r="AB489" s="941"/>
      <c r="AC489" s="1006"/>
      <c r="AD489" s="1006"/>
      <c r="AE489" s="1071"/>
      <c r="AF489" s="941"/>
      <c r="AG489" s="1006"/>
      <c r="AH489" s="1006"/>
      <c r="AI489" s="1071"/>
      <c r="AJ489" s="1041">
        <f t="shared" si="111"/>
        <v>0</v>
      </c>
      <c r="AK489" s="941"/>
      <c r="AL489" s="943"/>
      <c r="AM489" s="940"/>
      <c r="AN489" s="992" t="s">
        <v>213</v>
      </c>
      <c r="AO489" s="1005">
        <f>Z510</f>
        <v>37</v>
      </c>
      <c r="AP489" s="994">
        <v>53.05</v>
      </c>
      <c r="AQ489" s="994">
        <f t="shared" si="108"/>
        <v>1962.85</v>
      </c>
      <c r="AR489" s="954"/>
      <c r="AS489" s="954"/>
      <c r="AT489" s="940"/>
      <c r="AU489" s="1440"/>
      <c r="AV489" s="1377" t="s">
        <v>1421</v>
      </c>
      <c r="AW489" s="1409"/>
      <c r="AX489" s="1439"/>
      <c r="AY489" s="1435"/>
      <c r="AZ489" s="1435"/>
      <c r="BA489" s="1435"/>
      <c r="BB489" s="1435"/>
      <c r="BC489" s="1435"/>
      <c r="BD489" s="1435"/>
      <c r="BE489" s="1435"/>
    </row>
    <row r="490" spans="1:57" ht="16.5" thickBot="1">
      <c r="A490" s="1405" t="s">
        <v>1436</v>
      </c>
      <c r="B490" s="1006">
        <v>0.125</v>
      </c>
      <c r="C490" s="1006">
        <v>0.45833333333333331</v>
      </c>
      <c r="D490" s="1071">
        <v>8</v>
      </c>
      <c r="E490" s="1255"/>
      <c r="F490" s="1013"/>
      <c r="G490" s="1006">
        <v>0.125</v>
      </c>
      <c r="H490" s="1006">
        <v>0.45833333333333331</v>
      </c>
      <c r="I490" s="1071">
        <v>8</v>
      </c>
      <c r="J490" s="1255"/>
      <c r="K490" s="1013"/>
      <c r="L490" s="1006">
        <v>0.125</v>
      </c>
      <c r="M490" s="1006">
        <v>0.45833333333333331</v>
      </c>
      <c r="N490" s="1071">
        <v>8</v>
      </c>
      <c r="O490" s="1255"/>
      <c r="P490" s="1013"/>
      <c r="Q490" s="1006"/>
      <c r="R490" s="1006"/>
      <c r="S490" s="1071">
        <v>0</v>
      </c>
      <c r="T490" s="1255"/>
      <c r="U490" s="1013"/>
      <c r="V490" s="1006"/>
      <c r="W490" s="1006"/>
      <c r="X490" s="1071">
        <v>0</v>
      </c>
      <c r="Y490" s="1255"/>
      <c r="Z490" s="1041">
        <f t="shared" si="109"/>
        <v>24</v>
      </c>
      <c r="AA490" s="1077">
        <f t="shared" si="110"/>
        <v>0</v>
      </c>
      <c r="AB490" s="941"/>
      <c r="AC490" s="1006"/>
      <c r="AD490" s="1006"/>
      <c r="AE490" s="1071"/>
      <c r="AF490" s="941"/>
      <c r="AG490" s="1006"/>
      <c r="AH490" s="1006"/>
      <c r="AI490" s="1071"/>
      <c r="AJ490" s="1041">
        <f t="shared" si="111"/>
        <v>0</v>
      </c>
      <c r="AK490" s="941"/>
      <c r="AL490" s="943"/>
      <c r="AM490" s="940"/>
      <c r="AN490" s="992" t="s">
        <v>36</v>
      </c>
      <c r="AO490" s="1005">
        <f>AA510+AJ510</f>
        <v>1</v>
      </c>
      <c r="AP490" s="994">
        <f>53.05*1.5</f>
        <v>79.574999999999989</v>
      </c>
      <c r="AQ490" s="994">
        <f t="shared" si="108"/>
        <v>79.574999999999989</v>
      </c>
      <c r="AR490" s="954"/>
      <c r="AS490" s="954"/>
      <c r="AT490" s="940"/>
      <c r="AU490" s="1410"/>
      <c r="AV490" s="1411"/>
      <c r="AW490" s="1412"/>
      <c r="AX490" s="1442"/>
      <c r="AY490" s="1435"/>
      <c r="AZ490" s="1435"/>
      <c r="BA490" s="1435"/>
      <c r="BB490" s="1435"/>
      <c r="BC490" s="1435"/>
      <c r="BD490" s="1435"/>
      <c r="BE490" s="1435"/>
    </row>
    <row r="491" spans="1:57" ht="15.75">
      <c r="A491" s="1405" t="s">
        <v>1140</v>
      </c>
      <c r="B491" s="1006">
        <v>0.125</v>
      </c>
      <c r="C491" s="1006">
        <v>0.45833333333333331</v>
      </c>
      <c r="D491" s="1071">
        <v>8</v>
      </c>
      <c r="E491" s="1255"/>
      <c r="F491" s="941"/>
      <c r="G491" s="1006">
        <v>0.125</v>
      </c>
      <c r="H491" s="1006">
        <v>0.45833333333333331</v>
      </c>
      <c r="I491" s="1071">
        <v>8</v>
      </c>
      <c r="J491" s="1255"/>
      <c r="K491" s="941"/>
      <c r="L491" s="1006">
        <v>0.125</v>
      </c>
      <c r="M491" s="1006">
        <v>0.45833333333333331</v>
      </c>
      <c r="N491" s="1071">
        <v>8</v>
      </c>
      <c r="O491" s="1255"/>
      <c r="P491" s="941"/>
      <c r="Q491" s="1006">
        <v>0.125</v>
      </c>
      <c r="R491" s="1006">
        <v>0.45833333333333331</v>
      </c>
      <c r="S491" s="1071">
        <v>8</v>
      </c>
      <c r="T491" s="1255"/>
      <c r="U491" s="941"/>
      <c r="V491" s="1006"/>
      <c r="W491" s="1006"/>
      <c r="X491" s="1071"/>
      <c r="Y491" s="1255"/>
      <c r="Z491" s="1041">
        <f t="shared" si="109"/>
        <v>32</v>
      </c>
      <c r="AA491" s="1077">
        <f t="shared" si="110"/>
        <v>0</v>
      </c>
      <c r="AB491" s="941"/>
      <c r="AC491" s="1006"/>
      <c r="AD491" s="1006"/>
      <c r="AE491" s="1071"/>
      <c r="AF491" s="941"/>
      <c r="AG491" s="1006"/>
      <c r="AH491" s="1006"/>
      <c r="AI491" s="1071"/>
      <c r="AJ491" s="1041">
        <f t="shared" si="111"/>
        <v>0</v>
      </c>
      <c r="AK491" s="941"/>
      <c r="AL491" s="943"/>
      <c r="AM491" s="940"/>
      <c r="AN491" s="954"/>
      <c r="AO491" s="954"/>
      <c r="AP491" s="954"/>
      <c r="AQ491" s="1094">
        <f>SUM(AQ484:AQ490)</f>
        <v>22651.145</v>
      </c>
      <c r="AR491" s="954"/>
      <c r="AS491" s="954"/>
      <c r="AT491" s="940"/>
      <c r="AU491" s="940"/>
      <c r="AV491" s="1009"/>
      <c r="AW491" s="1027"/>
      <c r="AX491" s="1435"/>
      <c r="AY491" s="1435"/>
      <c r="AZ491" s="1435"/>
      <c r="BA491" s="1435"/>
      <c r="BB491" s="1435"/>
      <c r="BC491" s="1435"/>
      <c r="BD491" s="1435"/>
      <c r="BE491" s="1435"/>
    </row>
    <row r="492" spans="1:57" ht="15.75">
      <c r="A492" s="1405" t="s">
        <v>1479</v>
      </c>
      <c r="B492" s="1006">
        <v>4.1666666666666664E-2</v>
      </c>
      <c r="C492" s="1006">
        <v>0.41666666666666669</v>
      </c>
      <c r="D492" s="1071">
        <v>8</v>
      </c>
      <c r="E492" s="1255"/>
      <c r="F492" s="1013"/>
      <c r="G492" s="1006">
        <v>4.1666666666666664E-2</v>
      </c>
      <c r="H492" s="1006">
        <v>0.41666666666666669</v>
      </c>
      <c r="I492" s="1071">
        <v>8</v>
      </c>
      <c r="J492" s="1255"/>
      <c r="K492" s="1013"/>
      <c r="L492" s="1006">
        <v>4.1666666666666664E-2</v>
      </c>
      <c r="M492" s="1006">
        <v>0.41666666666666669</v>
      </c>
      <c r="N492" s="1071">
        <v>8</v>
      </c>
      <c r="O492" s="1255"/>
      <c r="P492" s="1013"/>
      <c r="Q492" s="1006">
        <v>0.125</v>
      </c>
      <c r="R492" s="1006">
        <v>0.45833333333333331</v>
      </c>
      <c r="S492" s="1071">
        <v>8</v>
      </c>
      <c r="T492" s="1255"/>
      <c r="U492" s="1013"/>
      <c r="V492" s="1006"/>
      <c r="W492" s="1006"/>
      <c r="X492" s="1071"/>
      <c r="Y492" s="1255"/>
      <c r="Z492" s="1041">
        <f t="shared" si="109"/>
        <v>32</v>
      </c>
      <c r="AA492" s="1077">
        <f t="shared" si="110"/>
        <v>0</v>
      </c>
      <c r="AB492" s="941"/>
      <c r="AC492" s="1006"/>
      <c r="AD492" s="1006"/>
      <c r="AE492" s="1071"/>
      <c r="AF492" s="941"/>
      <c r="AG492" s="1006"/>
      <c r="AH492" s="1006"/>
      <c r="AI492" s="1071"/>
      <c r="AJ492" s="1041">
        <f t="shared" si="111"/>
        <v>0</v>
      </c>
      <c r="AK492" s="941"/>
      <c r="AL492" s="943"/>
      <c r="AM492" s="940"/>
      <c r="AN492" s="954"/>
      <c r="AO492" s="954"/>
      <c r="AP492" s="954"/>
      <c r="AQ492" s="954"/>
      <c r="AR492" s="954"/>
      <c r="AS492" s="954"/>
      <c r="AT492" s="940"/>
      <c r="AU492" s="940"/>
      <c r="AV492" s="1027"/>
      <c r="AW492" s="1027"/>
      <c r="AX492" s="1435"/>
      <c r="AY492" s="1435"/>
      <c r="AZ492" s="1435"/>
      <c r="BA492" s="1435"/>
      <c r="BB492" s="1435"/>
      <c r="BC492" s="1435"/>
      <c r="BD492" s="1435"/>
      <c r="BE492" s="1435"/>
    </row>
    <row r="493" spans="1:57" ht="15.75">
      <c r="A493" s="1405" t="s">
        <v>1143</v>
      </c>
      <c r="B493" s="1006"/>
      <c r="C493" s="1006"/>
      <c r="D493" s="1071">
        <v>0</v>
      </c>
      <c r="E493" s="1255"/>
      <c r="F493" s="1013"/>
      <c r="G493" s="1006"/>
      <c r="H493" s="1006"/>
      <c r="I493" s="1071">
        <v>0</v>
      </c>
      <c r="J493" s="1255"/>
      <c r="K493" s="1013"/>
      <c r="L493" s="1006"/>
      <c r="M493" s="1006"/>
      <c r="N493" s="1071">
        <v>0</v>
      </c>
      <c r="O493" s="1255"/>
      <c r="P493" s="1013"/>
      <c r="Q493" s="1006"/>
      <c r="R493" s="1006"/>
      <c r="S493" s="1071">
        <v>0</v>
      </c>
      <c r="T493" s="1255"/>
      <c r="U493" s="1013"/>
      <c r="V493" s="1006"/>
      <c r="W493" s="1006"/>
      <c r="X493" s="1071"/>
      <c r="Y493" s="1255"/>
      <c r="Z493" s="1041">
        <f t="shared" si="109"/>
        <v>0</v>
      </c>
      <c r="AA493" s="1077">
        <f t="shared" si="110"/>
        <v>0</v>
      </c>
      <c r="AB493" s="941"/>
      <c r="AC493" s="1006"/>
      <c r="AD493" s="1006"/>
      <c r="AE493" s="1071"/>
      <c r="AF493" s="941"/>
      <c r="AG493" s="1006"/>
      <c r="AH493" s="1006"/>
      <c r="AI493" s="1071"/>
      <c r="AJ493" s="1041">
        <f t="shared" si="111"/>
        <v>0</v>
      </c>
      <c r="AK493" s="941"/>
      <c r="AL493" s="943"/>
      <c r="AM493" s="940"/>
      <c r="AN493" s="954"/>
      <c r="AO493" s="954"/>
      <c r="AP493" s="954"/>
      <c r="AQ493" s="954"/>
      <c r="AR493" s="954"/>
      <c r="AS493" s="954"/>
      <c r="AT493" s="940"/>
      <c r="AU493" s="940"/>
      <c r="AV493" s="1435"/>
      <c r="AW493" s="1435"/>
      <c r="AX493" s="1435"/>
      <c r="AY493" s="1435"/>
      <c r="AZ493" s="1435"/>
      <c r="BA493" s="1435"/>
      <c r="BB493" s="1435"/>
      <c r="BC493" s="1435"/>
      <c r="BD493" s="1435"/>
      <c r="BE493" s="1435"/>
    </row>
    <row r="494" spans="1:57" ht="15.75">
      <c r="A494" s="1405" t="s">
        <v>813</v>
      </c>
      <c r="B494" s="1006"/>
      <c r="C494" s="1006"/>
      <c r="D494" s="1071">
        <v>4</v>
      </c>
      <c r="E494" s="1255"/>
      <c r="F494" s="941"/>
      <c r="G494" s="1006"/>
      <c r="H494" s="1006"/>
      <c r="I494" s="1071">
        <v>4</v>
      </c>
      <c r="J494" s="1255"/>
      <c r="K494" s="941"/>
      <c r="L494" s="1006"/>
      <c r="M494" s="1006"/>
      <c r="N494" s="1071">
        <v>4</v>
      </c>
      <c r="O494" s="1255"/>
      <c r="P494" s="941"/>
      <c r="Q494" s="1006"/>
      <c r="R494" s="1006"/>
      <c r="S494" s="1071">
        <v>4</v>
      </c>
      <c r="T494" s="1255"/>
      <c r="U494" s="941"/>
      <c r="V494" s="1006"/>
      <c r="W494" s="1006"/>
      <c r="X494" s="1071"/>
      <c r="Y494" s="1255"/>
      <c r="Z494" s="1041">
        <f t="shared" si="109"/>
        <v>16</v>
      </c>
      <c r="AA494" s="1077">
        <f t="shared" si="110"/>
        <v>0</v>
      </c>
      <c r="AB494" s="941"/>
      <c r="AC494" s="1006"/>
      <c r="AD494" s="1006"/>
      <c r="AE494" s="1071"/>
      <c r="AF494" s="941"/>
      <c r="AG494" s="1006"/>
      <c r="AH494" s="1006"/>
      <c r="AI494" s="1071"/>
      <c r="AJ494" s="1041">
        <f t="shared" si="111"/>
        <v>0</v>
      </c>
      <c r="AK494" s="941"/>
      <c r="AL494" s="943"/>
      <c r="AM494" s="940"/>
      <c r="AN494" s="954"/>
      <c r="AO494" s="954"/>
      <c r="AP494" s="954"/>
      <c r="AQ494" s="954"/>
      <c r="AR494" s="954"/>
      <c r="AS494" s="954"/>
      <c r="AT494" s="940"/>
      <c r="AU494" s="1435"/>
      <c r="AV494" s="1435"/>
      <c r="AW494" s="1435"/>
      <c r="AX494" s="1435"/>
      <c r="AY494" s="1435"/>
      <c r="AZ494" s="1435"/>
      <c r="BA494" s="1435"/>
      <c r="BB494" s="1435"/>
      <c r="BC494" s="1435"/>
      <c r="BD494" s="1435"/>
      <c r="BE494" s="1435"/>
    </row>
    <row r="495" spans="1:57" ht="15.75">
      <c r="A495" s="1405" t="s">
        <v>1431</v>
      </c>
      <c r="B495" s="1006"/>
      <c r="C495" s="1006"/>
      <c r="D495" s="1071">
        <v>4</v>
      </c>
      <c r="E495" s="1255"/>
      <c r="F495" s="941"/>
      <c r="G495" s="1006"/>
      <c r="H495" s="1006"/>
      <c r="I495" s="1071">
        <v>4</v>
      </c>
      <c r="J495" s="1255"/>
      <c r="K495" s="941"/>
      <c r="L495" s="1006"/>
      <c r="M495" s="1006"/>
      <c r="N495" s="1071">
        <v>4</v>
      </c>
      <c r="O495" s="1255"/>
      <c r="P495" s="941"/>
      <c r="Q495" s="1006"/>
      <c r="R495" s="1006"/>
      <c r="S495" s="1071">
        <v>4</v>
      </c>
      <c r="T495" s="1255"/>
      <c r="U495" s="941"/>
      <c r="V495" s="1006"/>
      <c r="W495" s="1006"/>
      <c r="X495" s="1071"/>
      <c r="Y495" s="1255"/>
      <c r="Z495" s="1041">
        <f t="shared" si="109"/>
        <v>16</v>
      </c>
      <c r="AA495" s="1077">
        <f t="shared" si="110"/>
        <v>0</v>
      </c>
      <c r="AB495" s="941"/>
      <c r="AC495" s="1006"/>
      <c r="AD495" s="1006"/>
      <c r="AE495" s="1071"/>
      <c r="AF495" s="941"/>
      <c r="AG495" s="1006"/>
      <c r="AH495" s="1006"/>
      <c r="AI495" s="1071"/>
      <c r="AJ495" s="1041">
        <f t="shared" si="111"/>
        <v>0</v>
      </c>
      <c r="AK495" s="941"/>
      <c r="AL495" s="943"/>
      <c r="AM495" s="940"/>
      <c r="AN495" s="992"/>
      <c r="AO495" s="1005"/>
      <c r="AP495" s="994"/>
      <c r="AQ495" s="994"/>
      <c r="AR495" s="954"/>
      <c r="AS495" s="954"/>
      <c r="AT495" s="940"/>
      <c r="AU495" s="1435"/>
      <c r="AV495" s="1435"/>
      <c r="AW495" s="1435"/>
      <c r="AX495" s="1435"/>
      <c r="AY495" s="1435"/>
      <c r="AZ495" s="1435"/>
      <c r="BA495" s="1435"/>
      <c r="BB495" s="1435"/>
      <c r="BC495" s="1435"/>
      <c r="BD495" s="1435"/>
      <c r="BE495" s="1435"/>
    </row>
    <row r="496" spans="1:57" ht="15.75">
      <c r="A496" s="1408" t="s">
        <v>1482</v>
      </c>
      <c r="B496" s="1006">
        <v>0.29166666666666669</v>
      </c>
      <c r="C496" s="1006">
        <v>0.125</v>
      </c>
      <c r="D496" s="1071">
        <v>8</v>
      </c>
      <c r="E496" s="1255"/>
      <c r="F496" s="941"/>
      <c r="G496" s="1006">
        <v>0.29166666666666669</v>
      </c>
      <c r="H496" s="1006">
        <v>0.125</v>
      </c>
      <c r="I496" s="1071"/>
      <c r="J496" s="1255"/>
      <c r="K496" s="941"/>
      <c r="L496" s="1006">
        <v>0.29166666666666669</v>
      </c>
      <c r="M496" s="1006">
        <v>0.125</v>
      </c>
      <c r="N496" s="1071">
        <v>8</v>
      </c>
      <c r="O496" s="1255"/>
      <c r="P496" s="941"/>
      <c r="Q496" s="1006">
        <v>0.29166666666666669</v>
      </c>
      <c r="R496" s="1006">
        <v>0.125</v>
      </c>
      <c r="S496" s="1071">
        <v>8</v>
      </c>
      <c r="T496" s="1255"/>
      <c r="U496" s="941"/>
      <c r="V496" s="1006">
        <v>0.29166666666666669</v>
      </c>
      <c r="W496" s="1006"/>
      <c r="X496" s="1071"/>
      <c r="Y496" s="1255"/>
      <c r="Z496" s="1041">
        <f t="shared" si="109"/>
        <v>24</v>
      </c>
      <c r="AA496" s="1077">
        <f t="shared" si="110"/>
        <v>0</v>
      </c>
      <c r="AB496" s="941"/>
      <c r="AC496" s="1006"/>
      <c r="AD496" s="1006"/>
      <c r="AE496" s="1071"/>
      <c r="AF496" s="941"/>
      <c r="AG496" s="1006"/>
      <c r="AH496" s="1006"/>
      <c r="AI496" s="1071"/>
      <c r="AJ496" s="1041">
        <f t="shared" si="111"/>
        <v>0</v>
      </c>
      <c r="AK496" s="941"/>
      <c r="AL496" s="943"/>
      <c r="AM496" s="940"/>
      <c r="AN496" s="992"/>
      <c r="AO496" s="1005"/>
      <c r="AP496" s="994"/>
      <c r="AQ496" s="994"/>
      <c r="AR496" s="954"/>
      <c r="AS496" s="954"/>
      <c r="AT496" s="940"/>
      <c r="AU496" s="1435"/>
      <c r="AV496" s="1435"/>
      <c r="AW496" s="1435"/>
      <c r="AX496" s="1435"/>
      <c r="AY496" s="1435"/>
      <c r="AZ496" s="1435"/>
      <c r="BA496" s="1435"/>
      <c r="BB496" s="1435"/>
      <c r="BC496" s="1435"/>
      <c r="BD496" s="1435"/>
      <c r="BE496" s="1435"/>
    </row>
    <row r="497" spans="1:57" ht="15.75">
      <c r="A497" s="1408" t="s">
        <v>1145</v>
      </c>
      <c r="B497" s="1006">
        <v>0.125</v>
      </c>
      <c r="C497" s="1006">
        <v>0.45833333333333331</v>
      </c>
      <c r="D497" s="1071">
        <v>8</v>
      </c>
      <c r="E497" s="1255"/>
      <c r="F497" s="941"/>
      <c r="G497" s="1006"/>
      <c r="H497" s="1006"/>
      <c r="I497" s="1071">
        <v>0</v>
      </c>
      <c r="J497" s="1255"/>
      <c r="K497" s="941"/>
      <c r="L497" s="1006"/>
      <c r="M497" s="1006"/>
      <c r="N497" s="1071">
        <v>0</v>
      </c>
      <c r="O497" s="1255"/>
      <c r="P497" s="941"/>
      <c r="Q497" s="1006"/>
      <c r="R497" s="1006"/>
      <c r="S497" s="1071">
        <v>0</v>
      </c>
      <c r="T497" s="1255"/>
      <c r="U497" s="941"/>
      <c r="V497" s="1006"/>
      <c r="W497" s="1006"/>
      <c r="X497" s="1071">
        <v>0</v>
      </c>
      <c r="Y497" s="1255"/>
      <c r="Z497" s="1041">
        <f t="shared" si="109"/>
        <v>8</v>
      </c>
      <c r="AA497" s="1077">
        <f t="shared" si="110"/>
        <v>0</v>
      </c>
      <c r="AB497" s="941"/>
      <c r="AC497" s="1006"/>
      <c r="AD497" s="1006"/>
      <c r="AE497" s="1071"/>
      <c r="AF497" s="941"/>
      <c r="AG497" s="1006"/>
      <c r="AH497" s="1006"/>
      <c r="AI497" s="1071"/>
      <c r="AJ497" s="1041">
        <f t="shared" si="111"/>
        <v>0</v>
      </c>
      <c r="AK497" s="941"/>
      <c r="AL497" s="943"/>
      <c r="AM497" s="940"/>
      <c r="AN497" s="992"/>
      <c r="AO497" s="1005"/>
      <c r="AP497" s="994"/>
      <c r="AQ497" s="994"/>
      <c r="AR497" s="954"/>
      <c r="AS497" s="954"/>
      <c r="AT497" s="940"/>
      <c r="AU497" s="1435"/>
      <c r="AV497" s="1435"/>
      <c r="AW497" s="1435"/>
      <c r="AX497" s="1435"/>
      <c r="AY497" s="1435"/>
      <c r="AZ497" s="1435"/>
      <c r="BA497" s="1435"/>
      <c r="BB497" s="1435"/>
      <c r="BC497" s="1435"/>
      <c r="BD497" s="1435"/>
      <c r="BE497" s="1435"/>
    </row>
    <row r="498" spans="1:57" ht="15.75">
      <c r="A498" s="1408" t="s">
        <v>1447</v>
      </c>
      <c r="B498" s="1006">
        <v>0.125</v>
      </c>
      <c r="C498" s="1006">
        <v>4.1666666666666664E-2</v>
      </c>
      <c r="D498" s="1071">
        <v>8</v>
      </c>
      <c r="E498" s="1255">
        <v>2</v>
      </c>
      <c r="F498" s="941"/>
      <c r="G498" s="1006">
        <v>0.125</v>
      </c>
      <c r="H498" s="1006">
        <v>6.25E-2</v>
      </c>
      <c r="I498" s="1071">
        <v>8</v>
      </c>
      <c r="J498" s="1255">
        <v>2.5</v>
      </c>
      <c r="K498" s="941"/>
      <c r="L498" s="1006">
        <v>0.45833333333333331</v>
      </c>
      <c r="M498" s="1006">
        <v>0.22916666666666666</v>
      </c>
      <c r="N498" s="1071">
        <v>8</v>
      </c>
      <c r="O498" s="1255"/>
      <c r="P498" s="941"/>
      <c r="Q498" s="1006">
        <v>0.125</v>
      </c>
      <c r="R498" s="1006">
        <v>0.45833333333333331</v>
      </c>
      <c r="S498" s="1071">
        <v>8</v>
      </c>
      <c r="T498" s="1255"/>
      <c r="U498" s="941"/>
      <c r="V498" s="1006">
        <v>0.125</v>
      </c>
      <c r="W498" s="1006"/>
      <c r="X498" s="1071"/>
      <c r="Y498" s="1255"/>
      <c r="Z498" s="1041">
        <f t="shared" si="109"/>
        <v>32</v>
      </c>
      <c r="AA498" s="1077">
        <f t="shared" si="110"/>
        <v>4.5</v>
      </c>
      <c r="AB498" s="941"/>
      <c r="AC498" s="1006"/>
      <c r="AD498" s="1006"/>
      <c r="AE498" s="1071"/>
      <c r="AF498" s="941"/>
      <c r="AG498" s="1006"/>
      <c r="AH498" s="1006"/>
      <c r="AI498" s="1071"/>
      <c r="AJ498" s="1041">
        <f t="shared" si="111"/>
        <v>0</v>
      </c>
      <c r="AK498" s="941"/>
      <c r="AL498" s="943"/>
      <c r="AM498" s="940"/>
      <c r="AN498" s="992"/>
      <c r="AO498" s="1005"/>
      <c r="AP498" s="994"/>
      <c r="AQ498" s="994"/>
      <c r="AR498" s="954"/>
      <c r="AS498" s="954"/>
      <c r="AT498" s="940"/>
      <c r="AU498" s="1435"/>
      <c r="AV498" s="1435"/>
      <c r="AW498" s="1435"/>
      <c r="AX498" s="1435"/>
      <c r="AY498" s="1435"/>
      <c r="AZ498" s="1435"/>
      <c r="BA498" s="1435"/>
      <c r="BB498" s="1435"/>
      <c r="BC498" s="1435"/>
      <c r="BD498" s="1435"/>
      <c r="BE498" s="1435"/>
    </row>
    <row r="499" spans="1:57" ht="15.75">
      <c r="A499" s="1408" t="s">
        <v>1141</v>
      </c>
      <c r="B499" s="1006"/>
      <c r="C499" s="1006"/>
      <c r="D499" s="1071">
        <v>0</v>
      </c>
      <c r="E499" s="1255"/>
      <c r="F499" s="941"/>
      <c r="G499" s="1006">
        <v>0.41666666666666669</v>
      </c>
      <c r="H499" s="1006">
        <v>0.20833333333333334</v>
      </c>
      <c r="I499" s="1071">
        <v>6.5</v>
      </c>
      <c r="J499" s="1255"/>
      <c r="K499" s="941"/>
      <c r="L499" s="1006">
        <v>0.41666666666666669</v>
      </c>
      <c r="M499" s="1006">
        <v>0.33333333333333331</v>
      </c>
      <c r="N499" s="1071">
        <v>8</v>
      </c>
      <c r="O499" s="1255">
        <v>1</v>
      </c>
      <c r="P499" s="941"/>
      <c r="Q499" s="1006">
        <v>0.29166666666666669</v>
      </c>
      <c r="R499" s="1006">
        <v>0.16666666666666666</v>
      </c>
      <c r="S499" s="1071">
        <v>8</v>
      </c>
      <c r="T499" s="1255"/>
      <c r="U499" s="941"/>
      <c r="V499" s="1006">
        <v>0.125</v>
      </c>
      <c r="W499" s="1006"/>
      <c r="X499" s="1071"/>
      <c r="Y499" s="1255"/>
      <c r="Z499" s="1041">
        <f t="shared" si="109"/>
        <v>22.5</v>
      </c>
      <c r="AA499" s="1077">
        <f t="shared" si="110"/>
        <v>1</v>
      </c>
      <c r="AB499" s="941"/>
      <c r="AC499" s="1006"/>
      <c r="AD499" s="1006"/>
      <c r="AE499" s="1071"/>
      <c r="AF499" s="941"/>
      <c r="AG499" s="1006"/>
      <c r="AH499" s="1006"/>
      <c r="AI499" s="1071"/>
      <c r="AJ499" s="1041">
        <f t="shared" si="111"/>
        <v>0</v>
      </c>
      <c r="AK499" s="941"/>
      <c r="AL499" s="943"/>
      <c r="AM499" s="940"/>
      <c r="AN499" s="992"/>
      <c r="AO499" s="1005"/>
      <c r="AP499" s="994"/>
      <c r="AQ499" s="994"/>
      <c r="AR499" s="954"/>
      <c r="AS499" s="954"/>
      <c r="AT499" s="940"/>
      <c r="AU499" s="1435"/>
      <c r="AV499" s="1435"/>
      <c r="AW499" s="1435"/>
      <c r="AX499" s="1435"/>
      <c r="AY499" s="1435"/>
      <c r="AZ499" s="1435"/>
      <c r="BA499" s="1435"/>
      <c r="BB499" s="1435"/>
      <c r="BC499" s="1435"/>
      <c r="BD499" s="1435"/>
      <c r="BE499" s="1435"/>
    </row>
    <row r="500" spans="1:57" ht="15.75">
      <c r="A500" s="1408" t="s">
        <v>1477</v>
      </c>
      <c r="B500" s="1006">
        <v>0.375</v>
      </c>
      <c r="C500" s="1006">
        <v>0.20833333333333334</v>
      </c>
      <c r="D500" s="1071">
        <v>7</v>
      </c>
      <c r="E500" s="1255"/>
      <c r="F500" s="941"/>
      <c r="G500" s="1006">
        <v>0.375</v>
      </c>
      <c r="H500" s="1006">
        <v>0.20833333333333334</v>
      </c>
      <c r="I500" s="1071">
        <v>7</v>
      </c>
      <c r="J500" s="1255"/>
      <c r="K500" s="1006"/>
      <c r="L500" s="1006">
        <v>0.375</v>
      </c>
      <c r="M500" s="1006">
        <v>0.20833333333333334</v>
      </c>
      <c r="N500" s="1071">
        <v>7</v>
      </c>
      <c r="O500" s="1255"/>
      <c r="P500" s="941"/>
      <c r="Q500" s="1006">
        <v>0.375</v>
      </c>
      <c r="R500" s="1006">
        <v>0.20833333333333334</v>
      </c>
      <c r="S500" s="1071">
        <v>7</v>
      </c>
      <c r="T500" s="1255"/>
      <c r="U500" s="941"/>
      <c r="V500" s="1006">
        <v>0.375</v>
      </c>
      <c r="W500" s="1006"/>
      <c r="X500" s="1071"/>
      <c r="Y500" s="1255"/>
      <c r="Z500" s="1041">
        <f t="shared" si="109"/>
        <v>28</v>
      </c>
      <c r="AA500" s="1077">
        <f t="shared" si="110"/>
        <v>0</v>
      </c>
      <c r="AB500" s="941"/>
      <c r="AC500" s="1006"/>
      <c r="AD500" s="1006"/>
      <c r="AE500" s="1071"/>
      <c r="AF500" s="941"/>
      <c r="AG500" s="1006"/>
      <c r="AH500" s="1006"/>
      <c r="AI500" s="1071"/>
      <c r="AJ500" s="1041">
        <f t="shared" si="111"/>
        <v>0</v>
      </c>
      <c r="AK500" s="941"/>
      <c r="AL500" s="943"/>
      <c r="AM500" s="940"/>
      <c r="AN500" s="954"/>
      <c r="AO500" s="954"/>
      <c r="AP500" s="954"/>
      <c r="AQ500" s="954"/>
      <c r="AR500" s="954"/>
      <c r="AS500" s="954"/>
      <c r="AT500" s="940"/>
      <c r="AU500" s="1435"/>
      <c r="AV500" s="1435"/>
      <c r="AW500" s="1435"/>
      <c r="AX500" s="1435"/>
      <c r="AY500" s="1435"/>
      <c r="AZ500" s="1435"/>
      <c r="BA500" s="1435"/>
      <c r="BB500" s="1435"/>
      <c r="BC500" s="1435"/>
      <c r="BD500" s="1435"/>
      <c r="BE500" s="1435"/>
    </row>
    <row r="501" spans="1:57" ht="15.75">
      <c r="A501" s="1408" t="s">
        <v>1444</v>
      </c>
      <c r="B501" s="1006">
        <v>0.375</v>
      </c>
      <c r="C501" s="1006">
        <v>0.125</v>
      </c>
      <c r="D501" s="1071">
        <v>5.5</v>
      </c>
      <c r="E501" s="1255"/>
      <c r="F501" s="941"/>
      <c r="G501" s="1006">
        <v>0.375</v>
      </c>
      <c r="H501" s="1006">
        <v>0.125</v>
      </c>
      <c r="I501" s="1071">
        <v>5.5</v>
      </c>
      <c r="J501" s="1255"/>
      <c r="K501" s="1006"/>
      <c r="L501" s="1006">
        <v>0.375</v>
      </c>
      <c r="M501" s="1006">
        <v>0.125</v>
      </c>
      <c r="N501" s="1071">
        <v>5.5</v>
      </c>
      <c r="O501" s="1255"/>
      <c r="P501" s="941"/>
      <c r="Q501" s="1006">
        <v>0.39583333333333331</v>
      </c>
      <c r="R501" s="1006">
        <v>0.125</v>
      </c>
      <c r="S501" s="1071">
        <v>5.5</v>
      </c>
      <c r="T501" s="1255"/>
      <c r="U501" s="941"/>
      <c r="V501" s="1006">
        <v>0.375</v>
      </c>
      <c r="W501" s="1006"/>
      <c r="X501" s="1071"/>
      <c r="Y501" s="1255"/>
      <c r="Z501" s="1041">
        <f t="shared" si="109"/>
        <v>22</v>
      </c>
      <c r="AA501" s="1077">
        <f t="shared" si="110"/>
        <v>0</v>
      </c>
      <c r="AB501" s="941"/>
      <c r="AC501" s="1006"/>
      <c r="AD501" s="1006"/>
      <c r="AE501" s="1071"/>
      <c r="AF501" s="941"/>
      <c r="AG501" s="1006"/>
      <c r="AH501" s="1006"/>
      <c r="AI501" s="1071"/>
      <c r="AJ501" s="1041">
        <f t="shared" si="111"/>
        <v>0</v>
      </c>
      <c r="AK501" s="941"/>
      <c r="AL501" s="943"/>
      <c r="AM501" s="940"/>
      <c r="AN501" s="954"/>
      <c r="AO501" s="954"/>
      <c r="AP501" s="954"/>
      <c r="AQ501" s="954"/>
      <c r="AR501" s="954"/>
      <c r="AS501" s="954"/>
      <c r="AT501" s="940"/>
      <c r="AU501" s="1435"/>
      <c r="AV501" s="1435"/>
      <c r="AW501" s="1435"/>
      <c r="AX501" s="1435"/>
      <c r="AY501" s="1435"/>
      <c r="AZ501" s="1435"/>
      <c r="BA501" s="1435"/>
      <c r="BB501" s="1435"/>
      <c r="BC501" s="1435"/>
      <c r="BD501" s="1435"/>
      <c r="BE501" s="1435"/>
    </row>
    <row r="502" spans="1:57" ht="15.75">
      <c r="A502" s="1408" t="s">
        <v>1490</v>
      </c>
      <c r="B502" s="1006"/>
      <c r="C502" s="1006"/>
      <c r="D502" s="1071">
        <v>0</v>
      </c>
      <c r="E502" s="1255"/>
      <c r="F502" s="941"/>
      <c r="G502" s="1265"/>
      <c r="H502" s="1265"/>
      <c r="I502" s="1071">
        <v>0</v>
      </c>
      <c r="J502" s="1255"/>
      <c r="K502" s="941"/>
      <c r="L502" s="1006"/>
      <c r="M502" s="1006"/>
      <c r="N502" s="1071">
        <v>0</v>
      </c>
      <c r="O502" s="1255"/>
      <c r="P502" s="941"/>
      <c r="Q502" s="1006"/>
      <c r="R502" s="1006"/>
      <c r="S502" s="1071">
        <v>0</v>
      </c>
      <c r="T502" s="1255"/>
      <c r="U502" s="941"/>
      <c r="V502" s="1006"/>
      <c r="W502" s="1006"/>
      <c r="X502" s="1071"/>
      <c r="Y502" s="1255"/>
      <c r="Z502" s="1041">
        <f t="shared" si="109"/>
        <v>0</v>
      </c>
      <c r="AA502" s="1077">
        <f t="shared" si="110"/>
        <v>0</v>
      </c>
      <c r="AB502" s="941"/>
      <c r="AC502" s="1006"/>
      <c r="AD502" s="1006"/>
      <c r="AE502" s="1071"/>
      <c r="AF502" s="941"/>
      <c r="AG502" s="1006"/>
      <c r="AH502" s="1006"/>
      <c r="AI502" s="1071"/>
      <c r="AJ502" s="1041">
        <f t="shared" si="111"/>
        <v>0</v>
      </c>
      <c r="AK502" s="941"/>
      <c r="AL502" s="943"/>
      <c r="AM502" s="940"/>
      <c r="AN502" s="954"/>
      <c r="AO502" s="954"/>
      <c r="AP502" s="954"/>
      <c r="AQ502" s="954"/>
      <c r="AR502" s="954"/>
      <c r="AS502" s="954"/>
      <c r="AT502" s="940"/>
      <c r="AU502" s="1435"/>
      <c r="AV502" s="1435"/>
      <c r="AW502" s="1435"/>
      <c r="AX502" s="1435"/>
      <c r="AY502" s="1435"/>
      <c r="AZ502" s="1435"/>
      <c r="BA502" s="1435"/>
      <c r="BB502" s="1435"/>
      <c r="BC502" s="1435"/>
      <c r="BD502" s="1435"/>
      <c r="BE502" s="1435"/>
    </row>
    <row r="503" spans="1:57" ht="15.75">
      <c r="A503" s="1408" t="s">
        <v>1164</v>
      </c>
      <c r="B503" s="1006"/>
      <c r="C503" s="1006"/>
      <c r="D503" s="1071">
        <v>0</v>
      </c>
      <c r="E503" s="1255"/>
      <c r="F503" s="941"/>
      <c r="G503" s="1006"/>
      <c r="H503" s="1006"/>
      <c r="I503" s="1071">
        <v>0</v>
      </c>
      <c r="J503" s="1255"/>
      <c r="K503" s="941"/>
      <c r="L503" s="1006"/>
      <c r="M503" s="1006"/>
      <c r="N503" s="1071">
        <v>0</v>
      </c>
      <c r="O503" s="1255"/>
      <c r="P503" s="941"/>
      <c r="Q503" s="1006"/>
      <c r="R503" s="1006"/>
      <c r="S503" s="1071">
        <v>0</v>
      </c>
      <c r="T503" s="1255"/>
      <c r="U503" s="941"/>
      <c r="V503" s="1006"/>
      <c r="W503" s="1006"/>
      <c r="X503" s="1071"/>
      <c r="Y503" s="1255"/>
      <c r="Z503" s="1041">
        <f t="shared" si="109"/>
        <v>0</v>
      </c>
      <c r="AA503" s="1077">
        <f t="shared" si="110"/>
        <v>0</v>
      </c>
      <c r="AB503" s="941"/>
      <c r="AC503" s="1006"/>
      <c r="AD503" s="1006"/>
      <c r="AE503" s="1071"/>
      <c r="AF503" s="941"/>
      <c r="AG503" s="1006"/>
      <c r="AH503" s="1006"/>
      <c r="AI503" s="1071"/>
      <c r="AJ503" s="1041">
        <f t="shared" si="111"/>
        <v>0</v>
      </c>
      <c r="AK503" s="941"/>
      <c r="AL503" s="943"/>
      <c r="AM503" s="940"/>
      <c r="AN503" s="954"/>
      <c r="AO503" s="954"/>
      <c r="AP503" s="954"/>
      <c r="AQ503" s="954"/>
      <c r="AR503" s="954"/>
      <c r="AS503" s="954"/>
      <c r="AT503" s="940"/>
      <c r="AU503" s="1435"/>
      <c r="AV503" s="1435"/>
      <c r="AW503" s="1435"/>
      <c r="AX503" s="1435"/>
      <c r="AY503" s="1435"/>
      <c r="AZ503" s="1435"/>
      <c r="BA503" s="1435"/>
      <c r="BB503" s="1435"/>
      <c r="BC503" s="1435"/>
      <c r="BD503" s="1435"/>
      <c r="BE503" s="1435"/>
    </row>
    <row r="504" spans="1:57" ht="15.75">
      <c r="A504" s="1408" t="s">
        <v>1480</v>
      </c>
      <c r="B504" s="1006"/>
      <c r="C504" s="1006"/>
      <c r="D504" s="1071">
        <v>0</v>
      </c>
      <c r="E504" s="1255"/>
      <c r="F504" s="941"/>
      <c r="G504" s="1006">
        <v>0.29166666666666669</v>
      </c>
      <c r="H504" s="1006">
        <v>0.16666666666666666</v>
      </c>
      <c r="I504" s="1071">
        <v>8</v>
      </c>
      <c r="J504" s="1255"/>
      <c r="K504" s="941"/>
      <c r="L504" s="1006">
        <v>0.125</v>
      </c>
      <c r="M504" s="1006">
        <v>0.41666666666666669</v>
      </c>
      <c r="N504" s="1071">
        <v>6.5</v>
      </c>
      <c r="O504" s="1255"/>
      <c r="P504" s="941"/>
      <c r="Q504" s="1006">
        <v>8.3333333333333329E-2</v>
      </c>
      <c r="R504" s="1006">
        <v>0.41666666666666669</v>
      </c>
      <c r="S504" s="1071">
        <v>7.5</v>
      </c>
      <c r="T504" s="1255"/>
      <c r="U504" s="941"/>
      <c r="V504" s="1006">
        <v>0.29166666666666669</v>
      </c>
      <c r="W504" s="1006"/>
      <c r="X504" s="1071"/>
      <c r="Y504" s="1255"/>
      <c r="Z504" s="1041">
        <f t="shared" si="109"/>
        <v>22</v>
      </c>
      <c r="AA504" s="1077">
        <f t="shared" si="110"/>
        <v>0</v>
      </c>
      <c r="AB504" s="941"/>
      <c r="AC504" s="1006"/>
      <c r="AD504" s="1006"/>
      <c r="AE504" s="1071"/>
      <c r="AF504" s="941"/>
      <c r="AG504" s="1006"/>
      <c r="AH504" s="1006"/>
      <c r="AI504" s="1071"/>
      <c r="AJ504" s="1041">
        <f t="shared" si="111"/>
        <v>0</v>
      </c>
      <c r="AK504" s="941"/>
      <c r="AL504" s="943"/>
      <c r="AM504" s="940"/>
      <c r="AN504" s="954"/>
      <c r="AO504" s="954"/>
      <c r="AP504" s="954"/>
      <c r="AQ504" s="954"/>
      <c r="AR504" s="954"/>
      <c r="AS504" s="954"/>
      <c r="AT504" s="940"/>
      <c r="AU504" s="1435"/>
      <c r="AV504" s="1435"/>
      <c r="AW504" s="1435"/>
      <c r="AX504" s="1435"/>
      <c r="AY504" s="1435"/>
      <c r="AZ504" s="1435"/>
      <c r="BA504" s="1435"/>
      <c r="BB504" s="1435"/>
      <c r="BC504" s="1435"/>
      <c r="BD504" s="1435"/>
      <c r="BE504" s="1435"/>
    </row>
    <row r="505" spans="1:57" ht="15.75">
      <c r="A505" s="1408" t="s">
        <v>1491</v>
      </c>
      <c r="B505" s="1006"/>
      <c r="C505" s="1006"/>
      <c r="D505" s="1071">
        <v>0</v>
      </c>
      <c r="E505" s="1255"/>
      <c r="F505" s="941"/>
      <c r="G505" s="1006">
        <v>0.29166666666666669</v>
      </c>
      <c r="H505" s="1006">
        <v>0.125</v>
      </c>
      <c r="I505" s="1071">
        <v>8</v>
      </c>
      <c r="J505" s="1255"/>
      <c r="K505" s="941"/>
      <c r="L505" s="1006"/>
      <c r="M505" s="1006"/>
      <c r="N505" s="1071">
        <v>0</v>
      </c>
      <c r="O505" s="1255"/>
      <c r="P505" s="941"/>
      <c r="Q505" s="1006">
        <v>0.29166666666666669</v>
      </c>
      <c r="R505" s="1006">
        <v>0.125</v>
      </c>
      <c r="S505" s="1071">
        <v>8</v>
      </c>
      <c r="T505" s="1255"/>
      <c r="U505" s="941"/>
      <c r="V505" s="1006"/>
      <c r="W505" s="1006"/>
      <c r="X505" s="1071"/>
      <c r="Y505" s="1255"/>
      <c r="Z505" s="1041">
        <f t="shared" si="109"/>
        <v>16</v>
      </c>
      <c r="AA505" s="1077"/>
      <c r="AB505" s="941"/>
      <c r="AC505" s="1006"/>
      <c r="AD505" s="1006"/>
      <c r="AE505" s="1071"/>
      <c r="AF505" s="941"/>
      <c r="AG505" s="1006"/>
      <c r="AH505" s="1006"/>
      <c r="AI505" s="1071"/>
      <c r="AJ505" s="1041"/>
      <c r="AK505" s="941"/>
      <c r="AL505" s="943"/>
      <c r="AM505" s="940"/>
      <c r="AN505" s="954"/>
      <c r="AO505" s="954"/>
      <c r="AP505" s="954"/>
      <c r="AQ505" s="954"/>
      <c r="AR505" s="954"/>
      <c r="AS505" s="954"/>
      <c r="AT505" s="940"/>
      <c r="AU505" s="1435"/>
      <c r="AV505" s="1435"/>
      <c r="AW505" s="1435"/>
      <c r="AX505" s="1435"/>
      <c r="AY505" s="1435"/>
      <c r="AZ505" s="1435"/>
      <c r="BA505" s="1435"/>
      <c r="BB505" s="1435"/>
      <c r="BC505" s="1435"/>
      <c r="BD505" s="1435"/>
      <c r="BE505" s="1435"/>
    </row>
    <row r="506" spans="1:57" ht="15.75">
      <c r="A506" s="1344" t="s">
        <v>1064</v>
      </c>
      <c r="B506" s="1380">
        <v>0.45833333333333331</v>
      </c>
      <c r="C506" s="1380">
        <v>0.29166666666666669</v>
      </c>
      <c r="D506" s="1072">
        <v>8</v>
      </c>
      <c r="E506" s="1072"/>
      <c r="F506" s="1072"/>
      <c r="G506" s="1380">
        <v>0.45833333333333331</v>
      </c>
      <c r="H506" s="1380">
        <v>0.29166666666666669</v>
      </c>
      <c r="I506" s="1072">
        <v>8</v>
      </c>
      <c r="J506" s="1072"/>
      <c r="K506" s="1072"/>
      <c r="L506" s="1380"/>
      <c r="M506" s="1380"/>
      <c r="N506" s="1072">
        <v>0</v>
      </c>
      <c r="O506" s="1072"/>
      <c r="P506" s="1072"/>
      <c r="Q506" s="1076"/>
      <c r="R506" s="1076"/>
      <c r="S506" s="1072">
        <v>0</v>
      </c>
      <c r="T506" s="1072"/>
      <c r="U506" s="1072"/>
      <c r="V506" s="1076"/>
      <c r="W506" s="1256"/>
      <c r="X506" s="1072"/>
      <c r="Y506" s="1072"/>
      <c r="Z506" s="1041">
        <f t="shared" ref="Z506:Z507" si="112">D506+I506+N506+S506+X506</f>
        <v>16</v>
      </c>
      <c r="AA506" s="1077">
        <f t="shared" ref="AA506:AA507" si="113">E506+J506+O506+T506+Y506</f>
        <v>0</v>
      </c>
      <c r="AB506" s="941"/>
      <c r="AC506" s="1076"/>
      <c r="AD506" s="1256"/>
      <c r="AE506" s="1072"/>
      <c r="AF506" s="1076"/>
      <c r="AG506" s="1256"/>
      <c r="AH506" s="1072"/>
      <c r="AI506" s="1076"/>
      <c r="AJ506" s="1041">
        <f t="shared" ref="AJ506:AJ507" si="114">SUM(AE506+AI506)</f>
        <v>0</v>
      </c>
      <c r="AK506" s="941"/>
      <c r="AL506" s="943"/>
      <c r="AM506" s="940"/>
      <c r="AN506" s="954"/>
      <c r="AO506" s="954"/>
      <c r="AP506" s="954"/>
      <c r="AQ506" s="954"/>
      <c r="AR506" s="954"/>
      <c r="AS506" s="954"/>
      <c r="AT506" s="940"/>
      <c r="AU506" s="1435"/>
      <c r="AV506" s="1435"/>
      <c r="AW506" s="1435"/>
      <c r="AX506" s="1435"/>
      <c r="AY506" s="1435"/>
      <c r="AZ506" s="1435"/>
      <c r="BA506" s="1435"/>
      <c r="BB506" s="1435"/>
      <c r="BC506" s="1435"/>
      <c r="BD506" s="1435"/>
      <c r="BE506" s="1435"/>
    </row>
    <row r="507" spans="1:57" ht="16.5" thickBot="1">
      <c r="A507" s="1343" t="s">
        <v>1144</v>
      </c>
      <c r="B507" s="1381">
        <v>4.1666666666666664E-2</v>
      </c>
      <c r="C507" s="1381">
        <v>0.41666666666666669</v>
      </c>
      <c r="D507" s="1287">
        <v>8</v>
      </c>
      <c r="E507" s="1287"/>
      <c r="F507" s="1287"/>
      <c r="G507" s="1381">
        <v>0.29166666666666669</v>
      </c>
      <c r="H507" s="1381">
        <v>0.16666666666666666</v>
      </c>
      <c r="I507" s="1287">
        <v>8</v>
      </c>
      <c r="J507" s="1287"/>
      <c r="K507" s="1287"/>
      <c r="L507" s="1381">
        <v>0.125</v>
      </c>
      <c r="M507" s="1381">
        <v>0.41666666666666669</v>
      </c>
      <c r="N507" s="1287">
        <v>6.5</v>
      </c>
      <c r="O507" s="1287"/>
      <c r="P507" s="1287"/>
      <c r="Q507" s="1285">
        <v>4.1666666666666664E-2</v>
      </c>
      <c r="R507" s="1285">
        <v>0.41666666666666669</v>
      </c>
      <c r="S507" s="1287">
        <v>8</v>
      </c>
      <c r="T507" s="1287"/>
      <c r="U507" s="1287"/>
      <c r="V507" s="1285">
        <v>0.29166666666666669</v>
      </c>
      <c r="W507" s="1285"/>
      <c r="X507" s="1287"/>
      <c r="Y507" s="1287"/>
      <c r="Z507" s="1266">
        <f t="shared" si="112"/>
        <v>30.5</v>
      </c>
      <c r="AA507" s="1267">
        <f t="shared" si="113"/>
        <v>0</v>
      </c>
      <c r="AB507" s="1491"/>
      <c r="AC507" s="1285"/>
      <c r="AD507" s="1286"/>
      <c r="AE507" s="1287"/>
      <c r="AF507" s="1285"/>
      <c r="AG507" s="1286"/>
      <c r="AH507" s="1287"/>
      <c r="AI507" s="1285"/>
      <c r="AJ507" s="1266">
        <f t="shared" si="114"/>
        <v>0</v>
      </c>
      <c r="AK507" s="941"/>
      <c r="AL507" s="943"/>
      <c r="AM507" s="940"/>
      <c r="AN507" s="954"/>
      <c r="AO507" s="954"/>
      <c r="AP507" s="954"/>
      <c r="AQ507" s="954"/>
      <c r="AR507" s="954"/>
      <c r="AS507" s="954"/>
      <c r="AT507" s="940"/>
      <c r="AU507" s="1435"/>
      <c r="AV507" s="1435"/>
      <c r="AW507" s="1435"/>
      <c r="AX507" s="1435"/>
      <c r="AY507" s="1435"/>
      <c r="AZ507" s="1435"/>
      <c r="BA507" s="1435"/>
      <c r="BB507" s="1435"/>
      <c r="BC507" s="1435"/>
      <c r="BD507" s="1435"/>
      <c r="BE507" s="1435"/>
    </row>
    <row r="508" spans="1:57" ht="16.5" thickTop="1">
      <c r="A508" s="1018" t="s">
        <v>61</v>
      </c>
      <c r="B508" s="1018"/>
      <c r="C508" s="1018"/>
      <c r="D508" s="1084">
        <f>SUM(D485:D505)</f>
        <v>108.5</v>
      </c>
      <c r="E508" s="1255">
        <f>SUM(E485:E504)</f>
        <v>4</v>
      </c>
      <c r="F508" s="1018"/>
      <c r="G508" s="1018"/>
      <c r="H508" s="1018"/>
      <c r="I508" s="1084">
        <f>SUM(I485:I507)</f>
        <v>131</v>
      </c>
      <c r="J508" s="1255">
        <f>SUM(J485:J504)</f>
        <v>2.5</v>
      </c>
      <c r="K508" s="1018"/>
      <c r="L508" s="1018"/>
      <c r="M508" s="1018"/>
      <c r="N508" s="1084">
        <f>SUM(N485:N504)</f>
        <v>114.75</v>
      </c>
      <c r="O508" s="1255">
        <f>SUM(O485:O504)</f>
        <v>1</v>
      </c>
      <c r="P508" s="1018"/>
      <c r="Q508" s="1018"/>
      <c r="R508" s="1018"/>
      <c r="S508" s="1084">
        <f>SUM(S485:S505)</f>
        <v>108</v>
      </c>
      <c r="T508" s="1255">
        <f>SUM(T485:T504)</f>
        <v>0</v>
      </c>
      <c r="U508" s="1018"/>
      <c r="V508" s="1018"/>
      <c r="W508" s="1018"/>
      <c r="X508" s="1084">
        <f>SUM(X485:X504)</f>
        <v>0</v>
      </c>
      <c r="Y508" s="1255">
        <f>SUM(Y485:Y504)</f>
        <v>0</v>
      </c>
      <c r="Z508" s="1028">
        <f>SUM(Z485:Z504)</f>
        <v>430.25</v>
      </c>
      <c r="AA508" s="1028">
        <f>SUM(AA485:AA504)</f>
        <v>7.5</v>
      </c>
      <c r="AB508" s="941"/>
      <c r="AC508" s="1018"/>
      <c r="AD508" s="1018"/>
      <c r="AE508" s="1041">
        <f>SUM(AE485:AE504)</f>
        <v>0</v>
      </c>
      <c r="AF508" s="941"/>
      <c r="AG508" s="1018"/>
      <c r="AH508" s="1018"/>
      <c r="AI508" s="1041">
        <f>SUM(AI485:AI504)</f>
        <v>0</v>
      </c>
      <c r="AJ508" s="1028">
        <f>SUM(AJ485:AJ504)</f>
        <v>0</v>
      </c>
      <c r="AK508" s="941"/>
      <c r="AL508" s="943"/>
      <c r="AM508" s="940"/>
      <c r="AN508" s="954"/>
      <c r="AO508" s="954"/>
      <c r="AP508" s="954"/>
      <c r="AQ508" s="954"/>
      <c r="AR508" s="954"/>
      <c r="AS508" s="954"/>
      <c r="AT508" s="940"/>
      <c r="AU508" s="1435"/>
      <c r="AV508" s="1435"/>
      <c r="AW508" s="1435"/>
      <c r="AX508" s="1435"/>
      <c r="AY508" s="1435"/>
      <c r="AZ508" s="1435"/>
      <c r="BA508" s="1435"/>
      <c r="BB508" s="1435"/>
      <c r="BC508" s="1435"/>
      <c r="BD508" s="1435"/>
      <c r="BE508" s="1435"/>
    </row>
    <row r="509" spans="1:57" ht="15.75">
      <c r="A509" s="1335" t="s">
        <v>1434</v>
      </c>
      <c r="B509" s="1018"/>
      <c r="C509" s="1018"/>
      <c r="D509" s="1084">
        <f>SUM(D506:D507)</f>
        <v>16</v>
      </c>
      <c r="E509" s="1255"/>
      <c r="F509" s="1018"/>
      <c r="G509" s="1018"/>
      <c r="H509" s="1018"/>
      <c r="I509" s="1084">
        <f>SUM(I506:I507)</f>
        <v>16</v>
      </c>
      <c r="J509" s="1255"/>
      <c r="K509" s="1018"/>
      <c r="L509" s="1018"/>
      <c r="M509" s="1018"/>
      <c r="N509" s="1084">
        <f>SUM(N506:N507)</f>
        <v>6.5</v>
      </c>
      <c r="O509" s="1255"/>
      <c r="P509" s="1018"/>
      <c r="Q509" s="1018"/>
      <c r="R509" s="1018"/>
      <c r="S509" s="1084">
        <f>SUM(S506:S507)</f>
        <v>8</v>
      </c>
      <c r="T509" s="1255"/>
      <c r="U509" s="1018"/>
      <c r="V509" s="1018"/>
      <c r="W509" s="1018"/>
      <c r="X509" s="1084">
        <f>SUM(X506:X507)</f>
        <v>0</v>
      </c>
      <c r="Y509" s="1255"/>
      <c r="Z509" s="1028">
        <f>SUM(Z506:Z507)</f>
        <v>46.5</v>
      </c>
      <c r="AA509" s="1028">
        <f>SUM(AA506:AA507)</f>
        <v>0</v>
      </c>
      <c r="AB509" s="941"/>
      <c r="AC509" s="1018"/>
      <c r="AD509" s="1018"/>
      <c r="AE509" s="1041">
        <f>SUM(AE506:AE507)</f>
        <v>0</v>
      </c>
      <c r="AF509" s="941"/>
      <c r="AG509" s="1018"/>
      <c r="AH509" s="1018"/>
      <c r="AI509" s="1041">
        <f>SUM(AI506:AI507)</f>
        <v>0</v>
      </c>
      <c r="AJ509" s="1028">
        <f>SUM(AE509+AI509)</f>
        <v>0</v>
      </c>
      <c r="AK509" s="941"/>
      <c r="AL509" s="943"/>
      <c r="AM509" s="940"/>
      <c r="AN509" s="954"/>
      <c r="AO509" s="954"/>
      <c r="AP509" s="954"/>
      <c r="AQ509" s="954"/>
      <c r="AR509" s="954"/>
      <c r="AS509" s="954"/>
      <c r="AT509" s="940"/>
      <c r="AU509" s="1435"/>
      <c r="AV509" s="1435"/>
      <c r="AW509" s="1435"/>
      <c r="AX509" s="1435"/>
      <c r="AY509" s="1435"/>
      <c r="AZ509" s="1435"/>
      <c r="BA509" s="1435"/>
      <c r="BB509" s="1435"/>
      <c r="BC509" s="1435"/>
      <c r="BD509" s="1435"/>
      <c r="BE509" s="1435"/>
    </row>
    <row r="510" spans="1:57" ht="15.75">
      <c r="A510" s="1257" t="s">
        <v>64</v>
      </c>
      <c r="B510" s="1006"/>
      <c r="C510" s="1006"/>
      <c r="D510" s="1071">
        <v>8</v>
      </c>
      <c r="E510" s="1071"/>
      <c r="F510" s="1026"/>
      <c r="G510" s="1006"/>
      <c r="H510" s="1006"/>
      <c r="I510" s="1071">
        <v>7</v>
      </c>
      <c r="J510" s="1071"/>
      <c r="K510" s="1013"/>
      <c r="L510" s="1006"/>
      <c r="M510" s="1006"/>
      <c r="N510" s="1071">
        <v>8</v>
      </c>
      <c r="O510" s="1071"/>
      <c r="P510" s="1013"/>
      <c r="Q510" s="1006"/>
      <c r="R510" s="1006"/>
      <c r="S510" s="1071">
        <v>7</v>
      </c>
      <c r="T510" s="1071">
        <v>1</v>
      </c>
      <c r="U510" s="1013"/>
      <c r="V510" s="1006"/>
      <c r="W510" s="1006"/>
      <c r="X510" s="1071">
        <v>7</v>
      </c>
      <c r="Y510" s="1071"/>
      <c r="Z510" s="1028">
        <f>D510+I510+N510+S510+X510</f>
        <v>37</v>
      </c>
      <c r="AA510" s="1100">
        <f>E510+J510+O510+T510+Y510</f>
        <v>1</v>
      </c>
      <c r="AB510" s="941"/>
      <c r="AC510" s="1006"/>
      <c r="AD510" s="1006"/>
      <c r="AE510" s="1071"/>
      <c r="AF510" s="941"/>
      <c r="AG510" s="1006"/>
      <c r="AH510" s="1006"/>
      <c r="AI510" s="1071"/>
      <c r="AJ510" s="1028">
        <f>AE510+AI510</f>
        <v>0</v>
      </c>
      <c r="AK510" s="941"/>
      <c r="AL510" s="943"/>
      <c r="AM510" s="940"/>
      <c r="AN510" s="954"/>
      <c r="AO510" s="954"/>
      <c r="AP510" s="954"/>
      <c r="AQ510" s="954"/>
      <c r="AR510" s="954"/>
      <c r="AS510" s="954"/>
      <c r="AT510" s="940"/>
      <c r="AU510" s="1435"/>
      <c r="AV510" s="1435"/>
      <c r="AW510" s="1435"/>
      <c r="AX510" s="1435"/>
      <c r="AY510" s="1435"/>
      <c r="AZ510" s="1435"/>
      <c r="BA510" s="1435"/>
      <c r="BB510" s="1435"/>
      <c r="BC510" s="1435"/>
      <c r="BD510" s="1435"/>
      <c r="BE510" s="1435"/>
    </row>
  </sheetData>
  <mergeCells count="291">
    <mergeCell ref="V452:W452"/>
    <mergeCell ref="X452:Y452"/>
    <mergeCell ref="Z452:Z453"/>
    <mergeCell ref="AA452:AA453"/>
    <mergeCell ref="AC452:AD452"/>
    <mergeCell ref="AG452:AH452"/>
    <mergeCell ref="AJ452:AJ453"/>
    <mergeCell ref="A452:A453"/>
    <mergeCell ref="B452:C452"/>
    <mergeCell ref="D452:E452"/>
    <mergeCell ref="G452:H452"/>
    <mergeCell ref="I452:J452"/>
    <mergeCell ref="L452:M452"/>
    <mergeCell ref="N452:O452"/>
    <mergeCell ref="Q452:R452"/>
    <mergeCell ref="S452:T452"/>
    <mergeCell ref="A394:A395"/>
    <mergeCell ref="B394:C394"/>
    <mergeCell ref="D394:E394"/>
    <mergeCell ref="I394:J394"/>
    <mergeCell ref="N394:O394"/>
    <mergeCell ref="S394:T394"/>
    <mergeCell ref="AJ364:AJ365"/>
    <mergeCell ref="A364:A365"/>
    <mergeCell ref="B364:C364"/>
    <mergeCell ref="D364:E364"/>
    <mergeCell ref="G364:H364"/>
    <mergeCell ref="I364:J364"/>
    <mergeCell ref="L364:M364"/>
    <mergeCell ref="N364:O364"/>
    <mergeCell ref="Q364:R364"/>
    <mergeCell ref="S364:T364"/>
    <mergeCell ref="G394:H394"/>
    <mergeCell ref="L394:M394"/>
    <mergeCell ref="Q394:R394"/>
    <mergeCell ref="V394:W394"/>
    <mergeCell ref="AC394:AD394"/>
    <mergeCell ref="AG394:AH394"/>
    <mergeCell ref="V364:W364"/>
    <mergeCell ref="X364:Y364"/>
    <mergeCell ref="V300:W300"/>
    <mergeCell ref="X300:Y300"/>
    <mergeCell ref="Z300:Z301"/>
    <mergeCell ref="AA300:AA301"/>
    <mergeCell ref="AC300:AD300"/>
    <mergeCell ref="AG300:AH300"/>
    <mergeCell ref="AJ300:AJ301"/>
    <mergeCell ref="A300:A301"/>
    <mergeCell ref="B300:C300"/>
    <mergeCell ref="D300:E300"/>
    <mergeCell ref="G300:H300"/>
    <mergeCell ref="I300:J300"/>
    <mergeCell ref="L300:M300"/>
    <mergeCell ref="N300:O300"/>
    <mergeCell ref="Q300:R300"/>
    <mergeCell ref="S300:T300"/>
    <mergeCell ref="V203:W203"/>
    <mergeCell ref="X203:Y203"/>
    <mergeCell ref="Z203:Z204"/>
    <mergeCell ref="AA203:AA204"/>
    <mergeCell ref="AC203:AD203"/>
    <mergeCell ref="AG203:AH203"/>
    <mergeCell ref="AJ203:AJ204"/>
    <mergeCell ref="A203:A204"/>
    <mergeCell ref="B203:C203"/>
    <mergeCell ref="D203:E203"/>
    <mergeCell ref="G203:H203"/>
    <mergeCell ref="I203:J203"/>
    <mergeCell ref="L203:M203"/>
    <mergeCell ref="N203:O203"/>
    <mergeCell ref="Q203:R203"/>
    <mergeCell ref="S203:T203"/>
    <mergeCell ref="AJ139:AJ140"/>
    <mergeCell ref="X139:Y139"/>
    <mergeCell ref="Z139:Z140"/>
    <mergeCell ref="AA139:AA140"/>
    <mergeCell ref="AC139:AD139"/>
    <mergeCell ref="AG139:AH139"/>
    <mergeCell ref="L139:M139"/>
    <mergeCell ref="N139:O139"/>
    <mergeCell ref="Q139:R139"/>
    <mergeCell ref="S139:T139"/>
    <mergeCell ref="V139:W139"/>
    <mergeCell ref="B107:C107"/>
    <mergeCell ref="D107:E107"/>
    <mergeCell ref="G107:H107"/>
    <mergeCell ref="I107:J107"/>
    <mergeCell ref="AC75:AD75"/>
    <mergeCell ref="AG75:AH75"/>
    <mergeCell ref="AC71:AD71"/>
    <mergeCell ref="A139:A140"/>
    <mergeCell ref="B139:C139"/>
    <mergeCell ref="D139:E139"/>
    <mergeCell ref="G139:H139"/>
    <mergeCell ref="I139:J139"/>
    <mergeCell ref="N71:O71"/>
    <mergeCell ref="Q71:R71"/>
    <mergeCell ref="S71:T71"/>
    <mergeCell ref="V71:W71"/>
    <mergeCell ref="A107:A108"/>
    <mergeCell ref="AG71:AH71"/>
    <mergeCell ref="AJ107:AJ108"/>
    <mergeCell ref="X107:Y107"/>
    <mergeCell ref="Z107:Z108"/>
    <mergeCell ref="AA107:AA108"/>
    <mergeCell ref="AC107:AD107"/>
    <mergeCell ref="AG107:AH107"/>
    <mergeCell ref="L107:M107"/>
    <mergeCell ref="N107:O107"/>
    <mergeCell ref="Q107:R107"/>
    <mergeCell ref="S107:T107"/>
    <mergeCell ref="V107:W107"/>
    <mergeCell ref="AJ14:AJ15"/>
    <mergeCell ref="Y3:Z3"/>
    <mergeCell ref="Z14:Z15"/>
    <mergeCell ref="AA3:AE3"/>
    <mergeCell ref="Y4:Z4"/>
    <mergeCell ref="AA4:AE4"/>
    <mergeCell ref="AF4:AG4"/>
    <mergeCell ref="AA5:AE5"/>
    <mergeCell ref="AF5:AG5"/>
    <mergeCell ref="AH5:AI5"/>
    <mergeCell ref="G14:H14"/>
    <mergeCell ref="I14:J14"/>
    <mergeCell ref="L14:M14"/>
    <mergeCell ref="AA6:AE6"/>
    <mergeCell ref="AF6:AG6"/>
    <mergeCell ref="AH6:AI6"/>
    <mergeCell ref="AA7:AE7"/>
    <mergeCell ref="AA8:AE8"/>
    <mergeCell ref="AF8:AG8"/>
    <mergeCell ref="AH8:AI8"/>
    <mergeCell ref="N14:O14"/>
    <mergeCell ref="Q14:R14"/>
    <mergeCell ref="S14:T14"/>
    <mergeCell ref="V14:W14"/>
    <mergeCell ref="X14:Y14"/>
    <mergeCell ref="AA14:AA15"/>
    <mergeCell ref="AC14:AD14"/>
    <mergeCell ref="AG14:AH14"/>
    <mergeCell ref="R1:AJ1"/>
    <mergeCell ref="AN1:AS1"/>
    <mergeCell ref="Y2:Z2"/>
    <mergeCell ref="AA2:AE2"/>
    <mergeCell ref="AF2:AG2"/>
    <mergeCell ref="AN2:AS2"/>
    <mergeCell ref="A44:A45"/>
    <mergeCell ref="B44:C44"/>
    <mergeCell ref="D44:E44"/>
    <mergeCell ref="G44:H44"/>
    <mergeCell ref="I44:J44"/>
    <mergeCell ref="L44:M44"/>
    <mergeCell ref="N44:O44"/>
    <mergeCell ref="Q44:R44"/>
    <mergeCell ref="S44:T44"/>
    <mergeCell ref="V44:W44"/>
    <mergeCell ref="X44:Y44"/>
    <mergeCell ref="Z44:Z45"/>
    <mergeCell ref="AA44:AA45"/>
    <mergeCell ref="AC44:AD44"/>
    <mergeCell ref="AG44:AH44"/>
    <mergeCell ref="A14:A15"/>
    <mergeCell ref="B14:C14"/>
    <mergeCell ref="D14:E14"/>
    <mergeCell ref="AJ75:AJ76"/>
    <mergeCell ref="AJ44:AJ45"/>
    <mergeCell ref="A75:A76"/>
    <mergeCell ref="B75:C75"/>
    <mergeCell ref="D75:E75"/>
    <mergeCell ref="G75:H75"/>
    <mergeCell ref="I75:J75"/>
    <mergeCell ref="L75:M75"/>
    <mergeCell ref="N75:O75"/>
    <mergeCell ref="Q75:R75"/>
    <mergeCell ref="S75:T75"/>
    <mergeCell ref="V75:W75"/>
    <mergeCell ref="X75:Y75"/>
    <mergeCell ref="Z75:Z76"/>
    <mergeCell ref="AA75:AA76"/>
    <mergeCell ref="AE71:AF71"/>
    <mergeCell ref="X71:Y71"/>
    <mergeCell ref="B71:C71"/>
    <mergeCell ref="D71:E71"/>
    <mergeCell ref="G71:H71"/>
    <mergeCell ref="I71:J71"/>
    <mergeCell ref="L71:M71"/>
    <mergeCell ref="V171:W171"/>
    <mergeCell ref="X171:Y171"/>
    <mergeCell ref="Z171:Z172"/>
    <mergeCell ref="AA171:AA172"/>
    <mergeCell ref="AC171:AD171"/>
    <mergeCell ref="AG171:AH171"/>
    <mergeCell ref="AJ171:AJ172"/>
    <mergeCell ref="A171:A172"/>
    <mergeCell ref="B171:C171"/>
    <mergeCell ref="D171:E171"/>
    <mergeCell ref="G171:H171"/>
    <mergeCell ref="I171:J171"/>
    <mergeCell ref="L171:M171"/>
    <mergeCell ref="N171:O171"/>
    <mergeCell ref="Q171:R171"/>
    <mergeCell ref="S171:T171"/>
    <mergeCell ref="X235:Y235"/>
    <mergeCell ref="Z235:Z236"/>
    <mergeCell ref="AA235:AA236"/>
    <mergeCell ref="AC235:AD235"/>
    <mergeCell ref="AG235:AH235"/>
    <mergeCell ref="AJ235:AJ236"/>
    <mergeCell ref="A235:A236"/>
    <mergeCell ref="B235:C235"/>
    <mergeCell ref="D235:E235"/>
    <mergeCell ref="G235:H235"/>
    <mergeCell ref="I235:J235"/>
    <mergeCell ref="L235:M235"/>
    <mergeCell ref="N235:O235"/>
    <mergeCell ref="Q235:R235"/>
    <mergeCell ref="S235:T235"/>
    <mergeCell ref="V332:W332"/>
    <mergeCell ref="X332:Y332"/>
    <mergeCell ref="Z332:Z333"/>
    <mergeCell ref="AA332:AA333"/>
    <mergeCell ref="AC332:AD332"/>
    <mergeCell ref="AG332:AH332"/>
    <mergeCell ref="AS139:AS140"/>
    <mergeCell ref="A267:A268"/>
    <mergeCell ref="B267:C267"/>
    <mergeCell ref="D267:E267"/>
    <mergeCell ref="G267:H267"/>
    <mergeCell ref="I267:J267"/>
    <mergeCell ref="L267:M267"/>
    <mergeCell ref="N267:O267"/>
    <mergeCell ref="Q267:R267"/>
    <mergeCell ref="S267:T267"/>
    <mergeCell ref="V267:W267"/>
    <mergeCell ref="X267:Y267"/>
    <mergeCell ref="Z267:Z268"/>
    <mergeCell ref="AA267:AA268"/>
    <mergeCell ref="AC267:AD267"/>
    <mergeCell ref="AG267:AH267"/>
    <mergeCell ref="AJ267:AJ268"/>
    <mergeCell ref="V235:W235"/>
    <mergeCell ref="A332:A333"/>
    <mergeCell ref="B332:C332"/>
    <mergeCell ref="D332:E332"/>
    <mergeCell ref="G332:H332"/>
    <mergeCell ref="I332:J332"/>
    <mergeCell ref="L332:M332"/>
    <mergeCell ref="N332:O332"/>
    <mergeCell ref="Q332:R332"/>
    <mergeCell ref="S332:T332"/>
    <mergeCell ref="Z364:Z365"/>
    <mergeCell ref="AA364:AA365"/>
    <mergeCell ref="AC364:AD364"/>
    <mergeCell ref="AG364:AH364"/>
    <mergeCell ref="X394:Y394"/>
    <mergeCell ref="Z394:Z395"/>
    <mergeCell ref="AA394:AA395"/>
    <mergeCell ref="AJ332:AJ333"/>
    <mergeCell ref="AJ394:AJ395"/>
    <mergeCell ref="V423:W423"/>
    <mergeCell ref="X423:Y423"/>
    <mergeCell ref="Z423:Z424"/>
    <mergeCell ref="AA423:AA424"/>
    <mergeCell ref="AC423:AD423"/>
    <mergeCell ref="AG423:AH423"/>
    <mergeCell ref="AJ423:AJ424"/>
    <mergeCell ref="A423:A424"/>
    <mergeCell ref="B423:C423"/>
    <mergeCell ref="D423:E423"/>
    <mergeCell ref="G423:H423"/>
    <mergeCell ref="I423:J423"/>
    <mergeCell ref="L423:M423"/>
    <mergeCell ref="N423:O423"/>
    <mergeCell ref="Q423:R423"/>
    <mergeCell ref="S423:T423"/>
    <mergeCell ref="V483:W483"/>
    <mergeCell ref="X483:Y483"/>
    <mergeCell ref="Z483:Z484"/>
    <mergeCell ref="AA483:AA484"/>
    <mergeCell ref="AC483:AD483"/>
    <mergeCell ref="AG483:AH483"/>
    <mergeCell ref="AJ483:AJ484"/>
    <mergeCell ref="A483:A484"/>
    <mergeCell ref="B483:C483"/>
    <mergeCell ref="D483:E483"/>
    <mergeCell ref="G483:H483"/>
    <mergeCell ref="I483:J483"/>
    <mergeCell ref="L483:M483"/>
    <mergeCell ref="N483:O483"/>
    <mergeCell ref="Q483:R483"/>
    <mergeCell ref="S483:T483"/>
  </mergeCells>
  <phoneticPr fontId="9" type="noConversion"/>
  <conditionalFormatting sqref="AF2:AF4 AI2:AI4 AH3:AH4">
    <cfRule type="cellIs" dxfId="2" priority="2" operator="lessThan">
      <formula>0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49810-047B-473A-91CB-244A55769C92}">
  <sheetPr codeName="Sheet21"/>
  <dimension ref="A1:AP48"/>
  <sheetViews>
    <sheetView topLeftCell="AC22" workbookViewId="0">
      <selection activeCell="AH29" sqref="AH29:AP33"/>
    </sheetView>
  </sheetViews>
  <sheetFormatPr defaultColWidth="9.140625" defaultRowHeight="13.5"/>
  <cols>
    <col min="1" max="1" width="10.7109375" style="374" hidden="1" customWidth="1"/>
    <col min="2" max="2" width="11.28515625" style="374" hidden="1" customWidth="1"/>
    <col min="3" max="3" width="1.42578125" style="374" hidden="1" customWidth="1"/>
    <col min="4" max="4" width="10.7109375" style="374" hidden="1" customWidth="1"/>
    <col min="5" max="5" width="12.28515625" style="374" hidden="1" customWidth="1"/>
    <col min="6" max="6" width="1.42578125" style="374" hidden="1" customWidth="1"/>
    <col min="7" max="7" width="10.7109375" style="374" hidden="1" customWidth="1"/>
    <col min="8" max="8" width="11.28515625" style="374" hidden="1" customWidth="1"/>
    <col min="9" max="9" width="1.42578125" style="374" hidden="1" customWidth="1"/>
    <col min="10" max="10" width="10.7109375" style="374" hidden="1" customWidth="1"/>
    <col min="11" max="11" width="11.28515625" style="374" hidden="1" customWidth="1"/>
    <col min="12" max="12" width="1.42578125" style="374" hidden="1" customWidth="1"/>
    <col min="13" max="13" width="10.7109375" style="374" bestFit="1" customWidth="1"/>
    <col min="14" max="14" width="11.28515625" style="374" customWidth="1"/>
    <col min="15" max="15" width="1.42578125" style="374" customWidth="1"/>
    <col min="16" max="16" width="10.7109375" style="374" bestFit="1" customWidth="1"/>
    <col min="17" max="17" width="11.28515625" style="374" customWidth="1"/>
    <col min="18" max="18" width="1.42578125" style="374" customWidth="1"/>
    <col min="19" max="19" width="10.7109375" style="374" bestFit="1" customWidth="1"/>
    <col min="20" max="20" width="11.28515625" style="374" customWidth="1"/>
    <col min="21" max="21" width="1.42578125" style="374" customWidth="1"/>
    <col min="22" max="23" width="9.140625" style="374"/>
    <col min="24" max="24" width="1.42578125" style="374" customWidth="1"/>
    <col min="25" max="26" width="9.140625" style="374"/>
    <col min="27" max="27" width="1.28515625" style="374" customWidth="1"/>
    <col min="28" max="33" width="9.140625" style="374"/>
    <col min="34" max="34" width="19" style="374" bestFit="1" customWidth="1"/>
    <col min="35" max="35" width="9" style="374" bestFit="1" customWidth="1"/>
    <col min="36" max="37" width="8.7109375" style="374" bestFit="1" customWidth="1"/>
    <col min="38" max="42" width="9.7109375" style="374" bestFit="1" customWidth="1"/>
    <col min="43" max="16384" width="9.140625" style="374"/>
  </cols>
  <sheetData>
    <row r="1" spans="1:27" ht="13.5" customHeight="1">
      <c r="A1" s="4"/>
      <c r="B1" s="4"/>
      <c r="C1" s="4"/>
      <c r="D1" s="4"/>
      <c r="E1" s="4"/>
      <c r="F1" s="4"/>
      <c r="G1" s="4"/>
      <c r="H1" s="4"/>
      <c r="I1" s="802"/>
      <c r="J1" s="4"/>
      <c r="K1" s="802"/>
      <c r="L1" s="802"/>
      <c r="M1" s="806"/>
      <c r="N1" s="806"/>
      <c r="O1" s="806"/>
      <c r="P1" s="806"/>
      <c r="Q1" s="806"/>
      <c r="R1" s="806"/>
      <c r="S1" s="806"/>
      <c r="T1" s="802"/>
      <c r="U1" s="802"/>
      <c r="V1" s="4"/>
      <c r="W1" s="4"/>
      <c r="X1" s="4"/>
      <c r="Y1" s="4"/>
      <c r="Z1" s="4"/>
      <c r="AA1" s="4"/>
    </row>
    <row r="2" spans="1:27" ht="13.5" customHeight="1">
      <c r="A2" s="4"/>
      <c r="B2" s="4"/>
      <c r="C2" s="4"/>
      <c r="D2" s="4"/>
      <c r="E2" s="4"/>
      <c r="F2" s="4"/>
      <c r="G2" s="4"/>
      <c r="H2" s="4"/>
      <c r="I2" s="802"/>
      <c r="J2" s="4"/>
      <c r="K2" s="802"/>
      <c r="L2" s="802"/>
      <c r="M2" s="806"/>
      <c r="N2" s="806"/>
      <c r="O2" s="806"/>
      <c r="P2" s="806"/>
      <c r="Q2" s="806"/>
      <c r="R2" s="806"/>
      <c r="S2" s="806"/>
      <c r="T2" s="802"/>
      <c r="U2" s="802"/>
      <c r="V2" s="4"/>
      <c r="W2" s="4"/>
      <c r="X2" s="4"/>
      <c r="Y2" s="4"/>
      <c r="Z2" s="4"/>
      <c r="AA2" s="4"/>
    </row>
    <row r="3" spans="1:27" ht="13.5" customHeight="1">
      <c r="A3" s="4"/>
      <c r="B3" s="4"/>
      <c r="C3" s="4"/>
      <c r="D3" s="4"/>
      <c r="E3" s="4"/>
      <c r="F3" s="4"/>
      <c r="G3" s="4"/>
      <c r="H3" s="4"/>
      <c r="I3" s="802"/>
      <c r="J3" s="4"/>
      <c r="K3" s="802"/>
      <c r="L3" s="802"/>
      <c r="M3" s="725"/>
      <c r="N3" s="802"/>
      <c r="O3" s="802"/>
      <c r="P3" s="725"/>
      <c r="Q3" s="802"/>
      <c r="R3" s="802"/>
      <c r="S3" s="725"/>
      <c r="T3" s="802"/>
      <c r="U3" s="802"/>
      <c r="V3" s="4"/>
      <c r="W3" s="4"/>
      <c r="X3" s="4"/>
      <c r="Y3" s="4"/>
      <c r="Z3" s="4"/>
      <c r="AA3" s="4"/>
    </row>
    <row r="4" spans="1:27" ht="13.5" customHeight="1">
      <c r="A4" s="4"/>
      <c r="B4" s="802"/>
      <c r="C4" s="802"/>
      <c r="D4" s="802"/>
      <c r="E4" s="802"/>
      <c r="F4" s="1284"/>
      <c r="G4" s="1284"/>
      <c r="H4" s="1284"/>
      <c r="I4" s="802"/>
      <c r="J4" s="725"/>
      <c r="K4" s="802"/>
      <c r="L4" s="802"/>
      <c r="M4" s="725"/>
      <c r="N4" s="802"/>
      <c r="O4" s="802"/>
      <c r="P4" s="725"/>
      <c r="Q4" s="802"/>
      <c r="R4" s="802"/>
      <c r="S4" s="725"/>
      <c r="T4" s="802"/>
      <c r="U4" s="802"/>
      <c r="V4" s="4"/>
      <c r="W4" s="4"/>
      <c r="X4" s="4"/>
      <c r="Y4" s="4"/>
      <c r="Z4" s="4"/>
      <c r="AA4" s="4"/>
    </row>
    <row r="5" spans="1:27" ht="13.5" customHeight="1">
      <c r="A5" s="4"/>
      <c r="B5" s="802"/>
      <c r="C5" s="802"/>
      <c r="D5" s="802"/>
      <c r="E5" s="802"/>
      <c r="F5" s="1284"/>
      <c r="G5" s="1284"/>
      <c r="H5" s="1284"/>
      <c r="I5" s="802"/>
      <c r="J5" s="725"/>
      <c r="K5" s="802"/>
      <c r="L5" s="802"/>
      <c r="M5" s="802" t="s">
        <v>1492</v>
      </c>
      <c r="N5" s="802"/>
      <c r="O5" s="802"/>
      <c r="P5" s="725"/>
      <c r="Q5" s="802"/>
      <c r="R5" s="802"/>
      <c r="S5" s="725"/>
      <c r="T5" s="802"/>
      <c r="U5" s="802"/>
      <c r="V5" s="4"/>
      <c r="W5" s="4"/>
      <c r="X5" s="4"/>
      <c r="Y5" s="4"/>
      <c r="Z5" s="4"/>
      <c r="AA5" s="4"/>
    </row>
    <row r="6" spans="1:27" ht="6.75" customHeight="1">
      <c r="A6" s="4"/>
      <c r="B6" s="802"/>
      <c r="C6" s="802"/>
      <c r="D6" s="802"/>
      <c r="E6" s="802"/>
      <c r="F6" s="1284"/>
      <c r="G6" s="1284"/>
      <c r="H6" s="1284"/>
      <c r="I6" s="802"/>
      <c r="J6" s="725"/>
      <c r="K6" s="802"/>
      <c r="L6" s="802"/>
      <c r="M6" s="725"/>
      <c r="N6" s="802"/>
      <c r="O6" s="802"/>
      <c r="P6" s="725"/>
      <c r="Q6" s="802"/>
      <c r="R6" s="802"/>
      <c r="S6" s="725"/>
      <c r="T6" s="802"/>
      <c r="U6" s="802"/>
      <c r="V6" s="4"/>
      <c r="W6" s="4"/>
      <c r="X6" s="4"/>
      <c r="Y6" s="4"/>
      <c r="Z6" s="4"/>
      <c r="AA6" s="4"/>
    </row>
    <row r="7" spans="1:27" ht="13.5" customHeight="1">
      <c r="A7" s="4"/>
      <c r="B7" s="1284"/>
      <c r="C7" s="1284"/>
      <c r="D7" s="1284"/>
      <c r="E7" s="1284"/>
      <c r="F7" s="1284"/>
      <c r="G7" s="1284"/>
      <c r="H7" s="1284"/>
      <c r="I7" s="802"/>
      <c r="J7" s="725"/>
      <c r="K7" s="802"/>
      <c r="L7" s="802"/>
      <c r="M7" s="806" t="s">
        <v>1493</v>
      </c>
      <c r="N7" s="802"/>
      <c r="O7" s="802"/>
      <c r="P7" s="725"/>
      <c r="Q7" s="802"/>
      <c r="R7" s="802"/>
      <c r="S7" s="725"/>
      <c r="T7" s="802"/>
      <c r="U7" s="802"/>
      <c r="V7" s="4"/>
      <c r="W7" s="4"/>
      <c r="X7" s="4"/>
      <c r="Y7" s="4"/>
      <c r="Z7" s="4"/>
      <c r="AA7" s="4"/>
    </row>
    <row r="8" spans="1:27" ht="13.5" customHeight="1">
      <c r="A8" s="4"/>
      <c r="B8" s="4"/>
      <c r="C8" s="4"/>
      <c r="D8" s="1284"/>
      <c r="E8" s="1284"/>
      <c r="F8" s="1284"/>
      <c r="G8" s="1284"/>
      <c r="H8" s="1284"/>
      <c r="I8" s="802"/>
      <c r="J8" s="725"/>
      <c r="K8" s="802"/>
      <c r="L8" s="802"/>
      <c r="M8" s="804" t="s">
        <v>1494</v>
      </c>
      <c r="N8" s="802"/>
      <c r="O8" s="802"/>
      <c r="P8" s="725"/>
      <c r="Q8" s="802"/>
      <c r="R8" s="802"/>
      <c r="S8" s="725"/>
      <c r="T8" s="802"/>
      <c r="U8" s="802"/>
      <c r="V8" s="4"/>
      <c r="W8" s="4"/>
      <c r="X8" s="4"/>
      <c r="Y8" s="4"/>
      <c r="Z8" s="4"/>
      <c r="AA8" s="4"/>
    </row>
    <row r="9" spans="1:27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725" t="s">
        <v>1494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27" ht="6.75" customHeight="1">
      <c r="A10" s="725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7">
      <c r="A11" s="1626" t="s">
        <v>1495</v>
      </c>
      <c r="B11" s="1626"/>
      <c r="C11" s="4"/>
      <c r="D11" s="1626" t="s">
        <v>1496</v>
      </c>
      <c r="E11" s="1626"/>
      <c r="F11" s="4"/>
      <c r="G11" s="1626" t="s">
        <v>1497</v>
      </c>
      <c r="H11" s="1626"/>
      <c r="I11" s="4"/>
      <c r="J11" s="1626" t="s">
        <v>1498</v>
      </c>
      <c r="K11" s="1626"/>
      <c r="L11" s="4"/>
      <c r="M11" s="1626" t="s">
        <v>1499</v>
      </c>
      <c r="N11" s="1626"/>
      <c r="O11" s="4"/>
      <c r="P11" s="1626" t="s">
        <v>1500</v>
      </c>
      <c r="Q11" s="1626"/>
      <c r="R11" s="4"/>
      <c r="S11" s="1626" t="s">
        <v>1501</v>
      </c>
      <c r="T11" s="1626"/>
      <c r="U11" s="1626"/>
      <c r="V11" s="1626" t="s">
        <v>1502</v>
      </c>
      <c r="W11" s="1626"/>
      <c r="X11" s="1626"/>
      <c r="Y11" s="1626" t="s">
        <v>209</v>
      </c>
      <c r="Z11" s="1626"/>
      <c r="AA11" s="1626"/>
    </row>
    <row r="12" spans="1:27">
      <c r="A12" s="801">
        <v>45901</v>
      </c>
      <c r="B12" s="4"/>
      <c r="C12" s="447"/>
      <c r="D12" s="801">
        <v>45931</v>
      </c>
      <c r="E12" s="4"/>
      <c r="F12" s="447"/>
      <c r="G12" s="801">
        <v>45962</v>
      </c>
      <c r="H12" s="4"/>
      <c r="I12" s="447"/>
      <c r="J12" s="801">
        <v>45992</v>
      </c>
      <c r="K12" s="4"/>
      <c r="L12" s="447"/>
      <c r="M12" s="801">
        <v>46023</v>
      </c>
      <c r="N12" s="4"/>
      <c r="O12" s="447"/>
      <c r="P12" s="801">
        <v>46054</v>
      </c>
      <c r="Q12" s="4"/>
      <c r="R12" s="447"/>
      <c r="S12" s="801">
        <v>46082</v>
      </c>
      <c r="T12" s="4"/>
      <c r="U12" s="447"/>
      <c r="V12" s="801">
        <v>46113</v>
      </c>
      <c r="W12" s="4" t="s">
        <v>1503</v>
      </c>
      <c r="X12" s="447"/>
      <c r="Y12" s="801">
        <v>46143</v>
      </c>
      <c r="Z12" s="4" t="s">
        <v>1503</v>
      </c>
      <c r="AA12" s="447"/>
    </row>
    <row r="13" spans="1:27">
      <c r="A13" s="801">
        <v>45902</v>
      </c>
      <c r="B13" s="4" t="s">
        <v>1504</v>
      </c>
      <c r="C13" s="447"/>
      <c r="D13" s="801">
        <v>45932</v>
      </c>
      <c r="E13" s="4" t="s">
        <v>1505</v>
      </c>
      <c r="F13" s="447"/>
      <c r="G13" s="801">
        <v>45963</v>
      </c>
      <c r="H13" s="4"/>
      <c r="I13" s="447"/>
      <c r="J13" s="801">
        <v>45993</v>
      </c>
      <c r="K13" s="4"/>
      <c r="L13" s="447"/>
      <c r="M13" s="801">
        <v>46024</v>
      </c>
      <c r="N13" s="4"/>
      <c r="O13" s="447"/>
      <c r="P13" s="801">
        <v>46055</v>
      </c>
      <c r="Q13" s="4"/>
      <c r="R13" s="447"/>
      <c r="S13" s="801">
        <v>46083</v>
      </c>
      <c r="T13" s="4"/>
      <c r="U13" s="447"/>
      <c r="V13" s="801">
        <v>46114</v>
      </c>
      <c r="W13" s="4" t="s">
        <v>1506</v>
      </c>
      <c r="X13" s="447"/>
      <c r="Y13" s="801">
        <v>46144</v>
      </c>
      <c r="Z13" s="4"/>
      <c r="AA13" s="447"/>
    </row>
    <row r="14" spans="1:27">
      <c r="A14" s="801">
        <v>45903</v>
      </c>
      <c r="B14" s="4" t="s">
        <v>1504</v>
      </c>
      <c r="C14" s="447"/>
      <c r="D14" s="801">
        <v>45933</v>
      </c>
      <c r="E14" s="4"/>
      <c r="F14" s="447"/>
      <c r="G14" s="801">
        <v>45964</v>
      </c>
      <c r="H14" s="4"/>
      <c r="I14" s="447"/>
      <c r="J14" s="801">
        <v>45994</v>
      </c>
      <c r="K14" s="4"/>
      <c r="L14" s="447"/>
      <c r="M14" s="801">
        <v>46025</v>
      </c>
      <c r="N14" s="4"/>
      <c r="O14" s="447"/>
      <c r="P14" s="801">
        <v>46056</v>
      </c>
      <c r="Q14" s="4"/>
      <c r="R14" s="447"/>
      <c r="S14" s="801">
        <v>46084</v>
      </c>
      <c r="T14" s="4"/>
      <c r="U14" s="447"/>
      <c r="V14" s="801">
        <v>46115</v>
      </c>
      <c r="W14" s="4"/>
      <c r="X14" s="447"/>
      <c r="Y14" s="801">
        <v>46145</v>
      </c>
      <c r="Z14" s="4"/>
      <c r="AA14" s="447"/>
    </row>
    <row r="15" spans="1:27">
      <c r="A15" s="801">
        <v>45904</v>
      </c>
      <c r="B15" s="4" t="s">
        <v>1504</v>
      </c>
      <c r="C15" s="447"/>
      <c r="D15" s="801">
        <v>45934</v>
      </c>
      <c r="E15" s="4"/>
      <c r="F15" s="447"/>
      <c r="G15" s="801">
        <v>45965</v>
      </c>
      <c r="H15" s="4"/>
      <c r="I15" s="447"/>
      <c r="J15" s="801">
        <v>45995</v>
      </c>
      <c r="K15" s="4"/>
      <c r="L15" s="447"/>
      <c r="M15" s="801">
        <v>46026</v>
      </c>
      <c r="N15" s="4"/>
      <c r="O15" s="447"/>
      <c r="P15" s="801">
        <v>46057</v>
      </c>
      <c r="Q15" s="4"/>
      <c r="R15" s="447"/>
      <c r="S15" s="801">
        <v>46085</v>
      </c>
      <c r="T15" s="725" t="s">
        <v>1506</v>
      </c>
      <c r="U15" s="447"/>
      <c r="V15" s="801">
        <v>46116</v>
      </c>
      <c r="W15" s="725"/>
      <c r="X15" s="447"/>
      <c r="Y15" s="801">
        <v>46146</v>
      </c>
      <c r="Z15" s="4" t="s">
        <v>1503</v>
      </c>
      <c r="AA15" s="447"/>
    </row>
    <row r="16" spans="1:27">
      <c r="A16" s="801">
        <v>45905</v>
      </c>
      <c r="B16" s="4" t="s">
        <v>1504</v>
      </c>
      <c r="C16" s="447"/>
      <c r="D16" s="801">
        <v>45935</v>
      </c>
      <c r="E16" s="4"/>
      <c r="F16" s="447"/>
      <c r="G16" s="801">
        <v>45966</v>
      </c>
      <c r="H16" s="4"/>
      <c r="I16" s="447"/>
      <c r="J16" s="801">
        <v>45996</v>
      </c>
      <c r="K16" s="4"/>
      <c r="L16" s="447"/>
      <c r="M16" s="801">
        <v>46027</v>
      </c>
      <c r="N16" s="4"/>
      <c r="O16" s="447"/>
      <c r="P16" s="801">
        <v>46058</v>
      </c>
      <c r="Q16" s="4"/>
      <c r="R16" s="447"/>
      <c r="S16" s="801">
        <v>46086</v>
      </c>
      <c r="T16" s="4"/>
      <c r="U16" s="447"/>
      <c r="V16" s="801">
        <v>46117</v>
      </c>
      <c r="W16" s="4"/>
      <c r="X16" s="447"/>
      <c r="Y16" s="801">
        <v>46147</v>
      </c>
      <c r="Z16" s="4" t="s">
        <v>1503</v>
      </c>
      <c r="AA16" s="447"/>
    </row>
    <row r="17" spans="1:42">
      <c r="A17" s="801">
        <v>45906</v>
      </c>
      <c r="B17" s="4"/>
      <c r="C17" s="447"/>
      <c r="D17" s="801">
        <v>45936</v>
      </c>
      <c r="E17" s="4"/>
      <c r="F17" s="447"/>
      <c r="G17" s="801">
        <v>45967</v>
      </c>
      <c r="H17" s="4"/>
      <c r="I17" s="447"/>
      <c r="J17" s="801">
        <v>45997</v>
      </c>
      <c r="K17" s="4"/>
      <c r="L17" s="447"/>
      <c r="M17" s="801">
        <v>46028</v>
      </c>
      <c r="N17" s="4"/>
      <c r="O17" s="447"/>
      <c r="P17" s="801">
        <v>46059</v>
      </c>
      <c r="Q17" s="4"/>
      <c r="R17" s="447"/>
      <c r="S17" s="801">
        <v>46087</v>
      </c>
      <c r="T17" s="4"/>
      <c r="U17" s="447"/>
      <c r="V17" s="801">
        <v>46118</v>
      </c>
      <c r="W17" s="725" t="s">
        <v>1507</v>
      </c>
      <c r="X17" s="447"/>
      <c r="Y17" s="801">
        <v>46148</v>
      </c>
      <c r="Z17" s="4"/>
      <c r="AA17" s="447"/>
    </row>
    <row r="18" spans="1:42">
      <c r="A18" s="801">
        <v>45907</v>
      </c>
      <c r="B18" s="4"/>
      <c r="C18" s="447"/>
      <c r="D18" s="801">
        <v>45937</v>
      </c>
      <c r="E18" s="4"/>
      <c r="F18" s="447"/>
      <c r="G18" s="801">
        <v>45968</v>
      </c>
      <c r="H18" s="4"/>
      <c r="I18" s="447"/>
      <c r="J18" s="801">
        <v>45998</v>
      </c>
      <c r="K18" s="4"/>
      <c r="L18" s="447"/>
      <c r="M18" s="801">
        <v>46029</v>
      </c>
      <c r="N18" s="4"/>
      <c r="O18" s="447"/>
      <c r="P18" s="801">
        <v>46060</v>
      </c>
      <c r="Q18" s="4"/>
      <c r="R18" s="447"/>
      <c r="S18" s="801">
        <v>46088</v>
      </c>
      <c r="T18" s="4" t="s">
        <v>1507</v>
      </c>
      <c r="U18" s="447"/>
      <c r="V18" s="801">
        <v>46119</v>
      </c>
      <c r="W18" s="4"/>
      <c r="X18" s="447"/>
      <c r="Y18" s="801">
        <v>46149</v>
      </c>
      <c r="Z18" s="4"/>
      <c r="AA18" s="447"/>
    </row>
    <row r="19" spans="1:42">
      <c r="A19" s="801">
        <v>45908</v>
      </c>
      <c r="B19" s="4"/>
      <c r="C19" s="447"/>
      <c r="D19" s="801">
        <v>45938</v>
      </c>
      <c r="E19" s="4"/>
      <c r="F19" s="447"/>
      <c r="G19" s="801">
        <v>45969</v>
      </c>
      <c r="H19" s="4"/>
      <c r="I19" s="447"/>
      <c r="J19" s="801">
        <v>45999</v>
      </c>
      <c r="K19" s="4"/>
      <c r="L19" s="447"/>
      <c r="M19" s="801">
        <v>46030</v>
      </c>
      <c r="N19" s="4"/>
      <c r="O19" s="447"/>
      <c r="P19" s="801">
        <v>46061</v>
      </c>
      <c r="Q19" s="4"/>
      <c r="R19" s="447"/>
      <c r="S19" s="801">
        <v>46089</v>
      </c>
      <c r="T19" s="4" t="s">
        <v>1507</v>
      </c>
      <c r="U19" s="447"/>
      <c r="V19" s="801">
        <v>46120</v>
      </c>
      <c r="W19" s="4"/>
      <c r="X19" s="447"/>
      <c r="Y19" s="801">
        <v>46150</v>
      </c>
      <c r="Z19" s="4" t="s">
        <v>1508</v>
      </c>
      <c r="AA19" s="447"/>
    </row>
    <row r="20" spans="1:42">
      <c r="A20" s="801">
        <v>45909</v>
      </c>
      <c r="B20" s="4"/>
      <c r="C20" s="447"/>
      <c r="D20" s="801">
        <v>45939</v>
      </c>
      <c r="E20" s="4" t="s">
        <v>1509</v>
      </c>
      <c r="F20" s="447"/>
      <c r="G20" s="801">
        <v>45970</v>
      </c>
      <c r="H20" s="4"/>
      <c r="I20" s="447"/>
      <c r="J20" s="801">
        <v>46000</v>
      </c>
      <c r="K20" s="4"/>
      <c r="L20" s="447"/>
      <c r="M20" s="801">
        <v>46031</v>
      </c>
      <c r="N20" s="4"/>
      <c r="O20" s="447"/>
      <c r="P20" s="801">
        <v>46062</v>
      </c>
      <c r="Q20" s="725" t="s">
        <v>1510</v>
      </c>
      <c r="R20" s="447"/>
      <c r="S20" s="801">
        <v>46090</v>
      </c>
      <c r="T20" s="4" t="s">
        <v>1507</v>
      </c>
      <c r="U20" s="447"/>
      <c r="V20" s="801">
        <v>46121</v>
      </c>
      <c r="W20" s="4"/>
      <c r="X20" s="447"/>
      <c r="Y20" s="801">
        <v>46151</v>
      </c>
      <c r="Z20" s="4"/>
      <c r="AA20" s="447"/>
    </row>
    <row r="21" spans="1:42">
      <c r="A21" s="801">
        <v>45910</v>
      </c>
      <c r="B21" s="4"/>
      <c r="C21" s="447"/>
      <c r="D21" s="801">
        <v>45940</v>
      </c>
      <c r="E21" s="4"/>
      <c r="F21" s="447"/>
      <c r="G21" s="801">
        <v>45971</v>
      </c>
      <c r="H21" s="4"/>
      <c r="I21" s="447"/>
      <c r="J21" s="801">
        <v>46001</v>
      </c>
      <c r="K21" s="4"/>
      <c r="L21" s="447"/>
      <c r="M21" s="801">
        <v>46032</v>
      </c>
      <c r="N21" s="4"/>
      <c r="O21" s="447"/>
      <c r="P21" s="801">
        <v>46063</v>
      </c>
      <c r="Q21" s="4"/>
      <c r="R21" s="447"/>
      <c r="S21" s="801">
        <v>46091</v>
      </c>
      <c r="T21" s="4" t="s">
        <v>1507</v>
      </c>
      <c r="U21" s="447"/>
      <c r="V21" s="801">
        <v>46122</v>
      </c>
      <c r="W21" s="725" t="s">
        <v>1506</v>
      </c>
      <c r="X21" s="447"/>
      <c r="Y21" s="801">
        <v>46152</v>
      </c>
      <c r="Z21" s="4"/>
      <c r="AA21" s="447"/>
    </row>
    <row r="22" spans="1:42">
      <c r="A22" s="801">
        <v>45911</v>
      </c>
      <c r="B22" s="4" t="s">
        <v>1511</v>
      </c>
      <c r="C22" s="447"/>
      <c r="D22" s="801">
        <v>45941</v>
      </c>
      <c r="E22" s="4"/>
      <c r="F22" s="447"/>
      <c r="G22" s="801">
        <v>45972</v>
      </c>
      <c r="H22" s="4"/>
      <c r="I22" s="447"/>
      <c r="J22" s="801">
        <v>46002</v>
      </c>
      <c r="K22" s="4"/>
      <c r="L22" s="447"/>
      <c r="M22" s="801">
        <v>46033</v>
      </c>
      <c r="N22" s="4"/>
      <c r="O22" s="447"/>
      <c r="P22" s="801">
        <v>46064</v>
      </c>
      <c r="Q22" s="4"/>
      <c r="R22" s="447"/>
      <c r="S22" s="801">
        <v>46092</v>
      </c>
      <c r="T22" s="4" t="s">
        <v>1512</v>
      </c>
      <c r="U22" s="447"/>
      <c r="V22" s="801">
        <v>46123</v>
      </c>
      <c r="W22" s="4"/>
      <c r="X22" s="447"/>
      <c r="Y22" s="801">
        <v>46153</v>
      </c>
      <c r="Z22" s="4" t="s">
        <v>1508</v>
      </c>
      <c r="AA22" s="447"/>
    </row>
    <row r="23" spans="1:42">
      <c r="A23" s="801">
        <v>45912</v>
      </c>
      <c r="B23" s="4"/>
      <c r="C23" s="447"/>
      <c r="D23" s="801">
        <v>45942</v>
      </c>
      <c r="E23" s="4"/>
      <c r="F23" s="447"/>
      <c r="G23" s="801">
        <v>45973</v>
      </c>
      <c r="H23" s="4"/>
      <c r="I23" s="447"/>
      <c r="J23" s="801">
        <v>46003</v>
      </c>
      <c r="K23" s="4"/>
      <c r="L23" s="447"/>
      <c r="M23" s="801">
        <v>46034</v>
      </c>
      <c r="N23" s="725" t="s">
        <v>1504</v>
      </c>
      <c r="O23" s="447"/>
      <c r="P23" s="801">
        <v>46065</v>
      </c>
      <c r="Q23" s="4"/>
      <c r="R23" s="447"/>
      <c r="S23" s="801">
        <v>46093</v>
      </c>
      <c r="T23" s="4" t="s">
        <v>1507</v>
      </c>
      <c r="U23" s="447"/>
      <c r="V23" s="801">
        <v>46124</v>
      </c>
      <c r="W23" s="4"/>
      <c r="X23" s="447"/>
      <c r="Y23" s="801">
        <v>46154</v>
      </c>
      <c r="Z23" s="4"/>
      <c r="AA23" s="447"/>
    </row>
    <row r="24" spans="1:42">
      <c r="A24" s="801">
        <v>45913</v>
      </c>
      <c r="B24" s="4"/>
      <c r="C24" s="447"/>
      <c r="D24" s="801">
        <v>45943</v>
      </c>
      <c r="E24" s="4" t="s">
        <v>1505</v>
      </c>
      <c r="F24" s="447"/>
      <c r="G24" s="801">
        <v>45974</v>
      </c>
      <c r="H24" s="4"/>
      <c r="I24" s="447"/>
      <c r="J24" s="801">
        <v>46004</v>
      </c>
      <c r="K24" s="4"/>
      <c r="L24" s="447"/>
      <c r="M24" s="801">
        <v>46035</v>
      </c>
      <c r="N24" s="725" t="s">
        <v>1507</v>
      </c>
      <c r="O24" s="447"/>
      <c r="P24" s="801">
        <v>46066</v>
      </c>
      <c r="Q24" s="4" t="s">
        <v>1513</v>
      </c>
      <c r="R24" s="447"/>
      <c r="S24" s="801">
        <v>46094</v>
      </c>
      <c r="T24" s="4" t="s">
        <v>1507</v>
      </c>
      <c r="U24" s="447"/>
      <c r="V24" s="801">
        <v>46125</v>
      </c>
      <c r="W24" s="4"/>
      <c r="X24" s="447"/>
      <c r="Y24" s="801">
        <v>46155</v>
      </c>
      <c r="Z24" s="4"/>
      <c r="AA24" s="447"/>
    </row>
    <row r="25" spans="1:42" ht="14.25">
      <c r="A25" s="801">
        <v>45914</v>
      </c>
      <c r="B25" s="4"/>
      <c r="C25" s="447"/>
      <c r="D25" s="801">
        <v>45944</v>
      </c>
      <c r="E25" s="4"/>
      <c r="F25" s="447"/>
      <c r="G25" s="801">
        <v>45975</v>
      </c>
      <c r="H25" s="4"/>
      <c r="I25" s="447"/>
      <c r="J25" s="801">
        <v>46005</v>
      </c>
      <c r="K25" s="4"/>
      <c r="L25" s="447"/>
      <c r="M25" s="801">
        <v>46036</v>
      </c>
      <c r="N25" s="725"/>
      <c r="O25" s="447"/>
      <c r="P25" s="801">
        <v>46067</v>
      </c>
      <c r="Q25" s="4"/>
      <c r="R25" s="447"/>
      <c r="S25" s="801">
        <v>46095</v>
      </c>
      <c r="T25" s="4" t="s">
        <v>1507</v>
      </c>
      <c r="U25" s="447"/>
      <c r="V25" s="801">
        <v>46126</v>
      </c>
      <c r="W25" s="4"/>
      <c r="X25" s="447"/>
      <c r="Y25" s="801">
        <v>46156</v>
      </c>
      <c r="Z25" s="4"/>
      <c r="AA25" s="447"/>
      <c r="AH25"/>
    </row>
    <row r="26" spans="1:42">
      <c r="A26" s="801">
        <v>45915</v>
      </c>
      <c r="B26" s="4"/>
      <c r="C26" s="447"/>
      <c r="D26" s="801">
        <v>45945</v>
      </c>
      <c r="E26" s="4"/>
      <c r="F26" s="447"/>
      <c r="G26" s="801">
        <v>45976</v>
      </c>
      <c r="H26" s="4"/>
      <c r="I26" s="447"/>
      <c r="J26" s="801">
        <v>46006</v>
      </c>
      <c r="K26" s="4"/>
      <c r="L26" s="447"/>
      <c r="M26" s="801">
        <v>46037</v>
      </c>
      <c r="N26" s="4"/>
      <c r="O26" s="447"/>
      <c r="P26" s="801">
        <v>46068</v>
      </c>
      <c r="Q26" s="4"/>
      <c r="R26" s="447"/>
      <c r="S26" s="801">
        <v>46096</v>
      </c>
      <c r="T26" s="4" t="s">
        <v>1507</v>
      </c>
      <c r="U26" s="447"/>
      <c r="V26" s="801">
        <v>46127</v>
      </c>
      <c r="W26" s="4" t="s">
        <v>1503</v>
      </c>
      <c r="X26" s="447"/>
      <c r="Y26" s="801">
        <v>46157</v>
      </c>
      <c r="Z26" s="4"/>
      <c r="AA26" s="447"/>
    </row>
    <row r="27" spans="1:42">
      <c r="A27" s="801">
        <v>45916</v>
      </c>
      <c r="B27" s="803" t="s">
        <v>1506</v>
      </c>
      <c r="C27" s="447"/>
      <c r="D27" s="801">
        <v>45946</v>
      </c>
      <c r="E27" s="4"/>
      <c r="F27" s="447"/>
      <c r="G27" s="801">
        <v>45977</v>
      </c>
      <c r="H27" s="4"/>
      <c r="I27" s="447"/>
      <c r="J27" s="801">
        <v>46007</v>
      </c>
      <c r="K27" s="4"/>
      <c r="L27" s="447"/>
      <c r="M27" s="801">
        <v>46038</v>
      </c>
      <c r="N27" s="4"/>
      <c r="O27" s="447"/>
      <c r="P27" s="801">
        <v>46069</v>
      </c>
      <c r="Q27" s="4"/>
      <c r="R27" s="447"/>
      <c r="S27" s="801">
        <v>46097</v>
      </c>
      <c r="T27" s="4"/>
      <c r="U27" s="447"/>
      <c r="V27" s="801">
        <v>46128</v>
      </c>
      <c r="W27" s="4"/>
      <c r="X27" s="447"/>
      <c r="Y27" s="801">
        <v>46158</v>
      </c>
      <c r="Z27" s="4"/>
      <c r="AA27" s="447"/>
    </row>
    <row r="28" spans="1:42">
      <c r="A28" s="801">
        <v>45917</v>
      </c>
      <c r="B28" s="4"/>
      <c r="C28" s="447"/>
      <c r="D28" s="801">
        <v>45947</v>
      </c>
      <c r="E28" s="4"/>
      <c r="F28" s="447"/>
      <c r="G28" s="801">
        <v>45978</v>
      </c>
      <c r="H28" s="4"/>
      <c r="I28" s="447"/>
      <c r="J28" s="801">
        <v>46008</v>
      </c>
      <c r="K28" s="4"/>
      <c r="L28" s="447"/>
      <c r="M28" s="801">
        <v>46039</v>
      </c>
      <c r="N28" s="4"/>
      <c r="O28" s="447"/>
      <c r="P28" s="801">
        <v>46070</v>
      </c>
      <c r="Q28" s="4"/>
      <c r="R28" s="447"/>
      <c r="S28" s="801">
        <v>46098</v>
      </c>
      <c r="T28" s="4"/>
      <c r="U28" s="447"/>
      <c r="V28" s="801">
        <v>46129</v>
      </c>
      <c r="W28" s="4"/>
      <c r="X28" s="447"/>
      <c r="Y28" s="801">
        <v>46159</v>
      </c>
      <c r="Z28" s="4"/>
      <c r="AA28" s="447"/>
    </row>
    <row r="29" spans="1:42">
      <c r="A29" s="801">
        <v>45918</v>
      </c>
      <c r="B29" s="805" t="s">
        <v>1514</v>
      </c>
      <c r="C29" s="447"/>
      <c r="D29" s="801">
        <v>45948</v>
      </c>
      <c r="E29" s="4"/>
      <c r="F29" s="447"/>
      <c r="G29" s="801">
        <v>45979</v>
      </c>
      <c r="H29" s="4"/>
      <c r="I29" s="447"/>
      <c r="J29" s="801">
        <v>46009</v>
      </c>
      <c r="K29" s="4"/>
      <c r="L29" s="447"/>
      <c r="M29" s="801">
        <v>46040</v>
      </c>
      <c r="N29" s="4"/>
      <c r="O29" s="447"/>
      <c r="P29" s="801">
        <v>46071</v>
      </c>
      <c r="Q29" s="4"/>
      <c r="R29" s="447"/>
      <c r="S29" s="801">
        <v>46099</v>
      </c>
      <c r="T29" s="4" t="s">
        <v>1515</v>
      </c>
      <c r="U29" s="447"/>
      <c r="V29" s="801">
        <v>46130</v>
      </c>
      <c r="W29" s="4"/>
      <c r="X29" s="447"/>
      <c r="Y29" s="801">
        <v>46160</v>
      </c>
      <c r="Z29" s="4"/>
      <c r="AA29" s="447"/>
      <c r="AH29" s="1494"/>
      <c r="AI29" s="1495" t="s">
        <v>1516</v>
      </c>
      <c r="AJ29" s="1495" t="s">
        <v>1517</v>
      </c>
      <c r="AK29" s="1495" t="s">
        <v>1517</v>
      </c>
      <c r="AL29" s="1495" t="s">
        <v>1516</v>
      </c>
      <c r="AM29" s="1495" t="s">
        <v>1516</v>
      </c>
      <c r="AN29" s="1495" t="s">
        <v>1517</v>
      </c>
      <c r="AO29" s="1495" t="s">
        <v>1516</v>
      </c>
      <c r="AP29" s="1495" t="s">
        <v>1517</v>
      </c>
    </row>
    <row r="30" spans="1:42">
      <c r="A30" s="801">
        <v>45919</v>
      </c>
      <c r="B30" s="4"/>
      <c r="C30" s="447"/>
      <c r="D30" s="801">
        <v>45949</v>
      </c>
      <c r="E30" s="4"/>
      <c r="F30" s="447"/>
      <c r="G30" s="801">
        <v>45980</v>
      </c>
      <c r="H30" s="4"/>
      <c r="I30" s="447"/>
      <c r="J30" s="801">
        <v>46010</v>
      </c>
      <c r="K30" s="4"/>
      <c r="L30" s="447"/>
      <c r="M30" s="801">
        <v>46041</v>
      </c>
      <c r="N30" s="4"/>
      <c r="O30" s="447"/>
      <c r="P30" s="801">
        <v>46072</v>
      </c>
      <c r="Q30" s="4"/>
      <c r="R30" s="447"/>
      <c r="S30" s="801">
        <v>46100</v>
      </c>
      <c r="T30" s="4"/>
      <c r="U30" s="447"/>
      <c r="V30" s="801">
        <v>46131</v>
      </c>
      <c r="W30" s="4"/>
      <c r="X30" s="447"/>
      <c r="Y30" s="801">
        <v>46161</v>
      </c>
      <c r="Z30" s="4"/>
      <c r="AA30" s="447"/>
      <c r="AH30" s="1494" t="s">
        <v>1490</v>
      </c>
      <c r="AI30" s="1496" t="s">
        <v>29</v>
      </c>
      <c r="AJ30" s="1497">
        <v>46148</v>
      </c>
      <c r="AK30" s="1497">
        <v>46150</v>
      </c>
      <c r="AL30" s="1496" t="s">
        <v>29</v>
      </c>
      <c r="AM30" s="1496" t="s">
        <v>29</v>
      </c>
      <c r="AN30" s="1497">
        <v>46155</v>
      </c>
      <c r="AO30" s="1496" t="s">
        <v>29</v>
      </c>
      <c r="AP30" s="1497">
        <v>46157</v>
      </c>
    </row>
    <row r="31" spans="1:42">
      <c r="A31" s="801">
        <v>45920</v>
      </c>
      <c r="B31" s="4"/>
      <c r="C31" s="447"/>
      <c r="D31" s="801">
        <v>45950</v>
      </c>
      <c r="E31" s="4"/>
      <c r="F31" s="447"/>
      <c r="G31" s="801">
        <v>45981</v>
      </c>
      <c r="H31" s="4"/>
      <c r="I31" s="447"/>
      <c r="J31" s="801">
        <v>46011</v>
      </c>
      <c r="K31" s="4"/>
      <c r="L31" s="447"/>
      <c r="M31" s="801">
        <v>46042</v>
      </c>
      <c r="N31" s="4"/>
      <c r="O31" s="447"/>
      <c r="P31" s="801">
        <v>46073</v>
      </c>
      <c r="Q31" s="4"/>
      <c r="R31" s="447"/>
      <c r="S31" s="801">
        <v>46101</v>
      </c>
      <c r="T31" s="4" t="s">
        <v>1518</v>
      </c>
      <c r="U31" s="447"/>
      <c r="V31" s="801">
        <v>46132</v>
      </c>
      <c r="W31" s="4"/>
      <c r="X31" s="447"/>
      <c r="Y31" s="801">
        <v>46162</v>
      </c>
      <c r="Z31" s="4"/>
      <c r="AA31" s="447"/>
      <c r="AH31" s="1494" t="s">
        <v>1164</v>
      </c>
      <c r="AI31" s="1497">
        <v>46146</v>
      </c>
      <c r="AJ31" s="1497">
        <v>46148</v>
      </c>
      <c r="AK31" s="1497">
        <v>46150</v>
      </c>
      <c r="AL31" s="1497">
        <v>46153</v>
      </c>
      <c r="AM31" s="1497">
        <v>46154</v>
      </c>
      <c r="AN31" s="1497">
        <v>46155</v>
      </c>
      <c r="AO31" s="1497">
        <v>46156</v>
      </c>
      <c r="AP31" s="1497">
        <v>46157</v>
      </c>
    </row>
    <row r="32" spans="1:42">
      <c r="A32" s="801">
        <v>45921</v>
      </c>
      <c r="B32" s="4"/>
      <c r="C32" s="447"/>
      <c r="D32" s="801">
        <v>45951</v>
      </c>
      <c r="E32" s="4"/>
      <c r="F32" s="447"/>
      <c r="G32" s="801">
        <v>45982</v>
      </c>
      <c r="H32" s="4"/>
      <c r="I32" s="447"/>
      <c r="J32" s="801">
        <v>46012</v>
      </c>
      <c r="K32" s="4"/>
      <c r="L32" s="447"/>
      <c r="M32" s="801">
        <v>46043</v>
      </c>
      <c r="N32" s="4"/>
      <c r="O32" s="447"/>
      <c r="P32" s="801">
        <v>46074</v>
      </c>
      <c r="Q32" s="4"/>
      <c r="R32" s="447"/>
      <c r="S32" s="801">
        <v>46102</v>
      </c>
      <c r="T32" s="4"/>
      <c r="U32" s="447"/>
      <c r="V32" s="801">
        <v>46133</v>
      </c>
      <c r="W32" s="4"/>
      <c r="X32" s="447"/>
      <c r="Y32" s="801">
        <v>46163</v>
      </c>
      <c r="Z32" s="4"/>
      <c r="AA32" s="447"/>
      <c r="AH32" s="1494" t="s">
        <v>1160</v>
      </c>
      <c r="AI32" s="1497">
        <v>46146</v>
      </c>
      <c r="AJ32" s="1497">
        <v>46148</v>
      </c>
      <c r="AK32" s="1497">
        <v>46150</v>
      </c>
      <c r="AL32" s="1497">
        <v>46153</v>
      </c>
      <c r="AM32" s="1497">
        <v>46154</v>
      </c>
      <c r="AN32" s="1497">
        <v>46155</v>
      </c>
      <c r="AO32" s="1496" t="s">
        <v>29</v>
      </c>
      <c r="AP32" s="1497">
        <v>46157</v>
      </c>
    </row>
    <row r="33" spans="1:42">
      <c r="A33" s="801">
        <v>45922</v>
      </c>
      <c r="B33" s="4" t="s">
        <v>1519</v>
      </c>
      <c r="C33" s="447"/>
      <c r="D33" s="801">
        <v>45952</v>
      </c>
      <c r="E33" s="4"/>
      <c r="F33" s="447"/>
      <c r="G33" s="801">
        <v>45983</v>
      </c>
      <c r="H33" s="4"/>
      <c r="I33" s="447"/>
      <c r="J33" s="801">
        <v>46013</v>
      </c>
      <c r="K33" s="4"/>
      <c r="L33" s="447"/>
      <c r="M33" s="801">
        <v>46044</v>
      </c>
      <c r="N33" s="4"/>
      <c r="O33" s="447"/>
      <c r="P33" s="801">
        <v>46075</v>
      </c>
      <c r="Q33" s="4"/>
      <c r="R33" s="447"/>
      <c r="S33" s="801">
        <v>46103</v>
      </c>
      <c r="T33" s="4"/>
      <c r="U33" s="447"/>
      <c r="V33" s="801">
        <v>46134</v>
      </c>
      <c r="W33" s="4"/>
      <c r="X33" s="447"/>
      <c r="Y33" s="801">
        <v>46164</v>
      </c>
      <c r="Z33" s="4"/>
      <c r="AA33" s="447"/>
      <c r="AH33" s="1498" t="s">
        <v>1438</v>
      </c>
      <c r="AI33" s="1499" t="s">
        <v>29</v>
      </c>
      <c r="AJ33" s="1499" t="s">
        <v>29</v>
      </c>
      <c r="AK33" s="1500">
        <v>46150</v>
      </c>
      <c r="AL33" s="1499" t="s">
        <v>29</v>
      </c>
      <c r="AM33" s="1499" t="s">
        <v>29</v>
      </c>
      <c r="AN33" s="1500">
        <v>46155</v>
      </c>
      <c r="AO33" s="1499" t="s">
        <v>29</v>
      </c>
      <c r="AP33" s="1500">
        <v>46157</v>
      </c>
    </row>
    <row r="34" spans="1:42">
      <c r="A34" s="801">
        <v>45923</v>
      </c>
      <c r="B34" s="4" t="s">
        <v>1505</v>
      </c>
      <c r="C34" s="447"/>
      <c r="D34" s="801">
        <v>45953</v>
      </c>
      <c r="E34" s="4"/>
      <c r="F34" s="447"/>
      <c r="G34" s="801">
        <v>45984</v>
      </c>
      <c r="H34" s="4"/>
      <c r="I34" s="447"/>
      <c r="J34" s="801">
        <v>46014</v>
      </c>
      <c r="K34" s="4"/>
      <c r="L34" s="447"/>
      <c r="M34" s="801">
        <v>46045</v>
      </c>
      <c r="N34" s="4"/>
      <c r="O34" s="447"/>
      <c r="P34" s="801">
        <v>46076</v>
      </c>
      <c r="Q34" s="4"/>
      <c r="R34" s="447"/>
      <c r="S34" s="801">
        <v>46104</v>
      </c>
      <c r="T34" s="4" t="s">
        <v>1520</v>
      </c>
      <c r="U34" s="447"/>
      <c r="V34" s="801">
        <v>46135</v>
      </c>
      <c r="W34" s="4"/>
      <c r="X34" s="447"/>
      <c r="Y34" s="801">
        <v>46165</v>
      </c>
      <c r="Z34" s="4"/>
      <c r="AA34" s="447"/>
    </row>
    <row r="35" spans="1:42">
      <c r="A35" s="801">
        <v>45924</v>
      </c>
      <c r="B35" s="4" t="s">
        <v>1521</v>
      </c>
      <c r="C35" s="447"/>
      <c r="D35" s="801">
        <v>45954</v>
      </c>
      <c r="E35" s="4"/>
      <c r="F35" s="447"/>
      <c r="G35" s="801">
        <v>45985</v>
      </c>
      <c r="H35" s="4"/>
      <c r="I35" s="447"/>
      <c r="J35" s="801">
        <v>46015</v>
      </c>
      <c r="K35" s="4"/>
      <c r="L35" s="447"/>
      <c r="M35" s="801">
        <v>46046</v>
      </c>
      <c r="N35" s="4"/>
      <c r="O35" s="447"/>
      <c r="P35" s="801">
        <v>46077</v>
      </c>
      <c r="Q35" s="4"/>
      <c r="R35" s="447"/>
      <c r="S35" s="801">
        <v>46105</v>
      </c>
      <c r="T35" s="4" t="s">
        <v>1522</v>
      </c>
      <c r="U35" s="447"/>
      <c r="V35" s="801">
        <v>46136</v>
      </c>
      <c r="W35" s="4"/>
      <c r="X35" s="447"/>
      <c r="Y35" s="801">
        <v>46166</v>
      </c>
      <c r="Z35" s="4"/>
      <c r="AA35" s="447"/>
    </row>
    <row r="36" spans="1:42">
      <c r="A36" s="801">
        <v>45925</v>
      </c>
      <c r="B36" s="4"/>
      <c r="C36" s="447"/>
      <c r="D36" s="801">
        <v>45955</v>
      </c>
      <c r="E36" s="4"/>
      <c r="F36" s="447"/>
      <c r="G36" s="801">
        <v>45986</v>
      </c>
      <c r="H36" s="4"/>
      <c r="I36" s="447"/>
      <c r="J36" s="801">
        <v>46016</v>
      </c>
      <c r="K36" s="4"/>
      <c r="L36" s="447"/>
      <c r="M36" s="801">
        <v>46047</v>
      </c>
      <c r="N36" s="4"/>
      <c r="O36" s="447"/>
      <c r="P36" s="801">
        <v>46078</v>
      </c>
      <c r="Q36" s="4"/>
      <c r="R36" s="447"/>
      <c r="S36" s="801">
        <v>46106</v>
      </c>
      <c r="T36" s="4" t="s">
        <v>1520</v>
      </c>
      <c r="U36" s="447"/>
      <c r="V36" s="801">
        <v>46137</v>
      </c>
      <c r="W36" s="4"/>
      <c r="X36" s="447"/>
      <c r="Y36" s="801">
        <v>46167</v>
      </c>
      <c r="Z36" s="4"/>
      <c r="AA36" s="447"/>
    </row>
    <row r="37" spans="1:42">
      <c r="A37" s="801">
        <v>45926</v>
      </c>
      <c r="B37" s="4" t="s">
        <v>1511</v>
      </c>
      <c r="C37" s="447"/>
      <c r="D37" s="801">
        <v>45956</v>
      </c>
      <c r="E37" s="4"/>
      <c r="F37" s="447"/>
      <c r="G37" s="801">
        <v>45987</v>
      </c>
      <c r="H37" s="4"/>
      <c r="I37" s="447"/>
      <c r="J37" s="801">
        <v>46017</v>
      </c>
      <c r="K37" s="4"/>
      <c r="L37" s="447"/>
      <c r="M37" s="801">
        <v>46048</v>
      </c>
      <c r="N37" s="4" t="s">
        <v>1523</v>
      </c>
      <c r="O37" s="447"/>
      <c r="P37" s="801">
        <v>46079</v>
      </c>
      <c r="Q37" s="4"/>
      <c r="R37" s="447"/>
      <c r="S37" s="801">
        <v>46107</v>
      </c>
      <c r="T37" s="4" t="s">
        <v>1520</v>
      </c>
      <c r="U37" s="447"/>
      <c r="V37" s="801">
        <v>46138</v>
      </c>
      <c r="W37" s="4"/>
      <c r="X37" s="447"/>
      <c r="Y37" s="801">
        <v>46168</v>
      </c>
      <c r="Z37" s="4"/>
      <c r="AA37" s="447"/>
    </row>
    <row r="38" spans="1:42">
      <c r="A38" s="801">
        <v>45927</v>
      </c>
      <c r="B38" s="4"/>
      <c r="C38" s="447"/>
      <c r="D38" s="801">
        <v>45957</v>
      </c>
      <c r="E38" s="4" t="s">
        <v>1509</v>
      </c>
      <c r="F38" s="447"/>
      <c r="G38" s="801">
        <v>45988</v>
      </c>
      <c r="H38" s="4"/>
      <c r="I38" s="447"/>
      <c r="J38" s="801">
        <v>46018</v>
      </c>
      <c r="K38" s="4"/>
      <c r="L38" s="447"/>
      <c r="M38" s="801">
        <v>46049</v>
      </c>
      <c r="N38" s="4"/>
      <c r="O38" s="447"/>
      <c r="P38" s="801">
        <v>46080</v>
      </c>
      <c r="Q38" s="4"/>
      <c r="R38" s="447"/>
      <c r="S38" s="801">
        <v>46108</v>
      </c>
      <c r="T38" s="4" t="s">
        <v>1520</v>
      </c>
      <c r="U38" s="447"/>
      <c r="V38" s="801">
        <v>46139</v>
      </c>
      <c r="W38" s="4"/>
      <c r="X38" s="447"/>
      <c r="Y38" s="801">
        <v>46169</v>
      </c>
      <c r="Z38" s="4"/>
      <c r="AA38" s="447"/>
    </row>
    <row r="39" spans="1:42">
      <c r="A39" s="801">
        <v>45928</v>
      </c>
      <c r="B39" s="4"/>
      <c r="C39" s="447"/>
      <c r="D39" s="801">
        <v>45958</v>
      </c>
      <c r="E39" s="4"/>
      <c r="F39" s="447"/>
      <c r="G39" s="801">
        <v>45989</v>
      </c>
      <c r="H39" s="4"/>
      <c r="I39" s="447"/>
      <c r="J39" s="801">
        <v>46019</v>
      </c>
      <c r="K39" s="4"/>
      <c r="L39" s="447"/>
      <c r="M39" s="801">
        <v>46050</v>
      </c>
      <c r="N39" s="4"/>
      <c r="O39" s="447"/>
      <c r="P39" s="801">
        <v>46081</v>
      </c>
      <c r="Q39" s="4"/>
      <c r="R39" s="447"/>
      <c r="S39" s="801">
        <v>46109</v>
      </c>
      <c r="T39" s="4"/>
      <c r="U39" s="447"/>
      <c r="V39" s="801">
        <v>46140</v>
      </c>
      <c r="W39" s="4"/>
      <c r="X39" s="447"/>
      <c r="Y39" s="801">
        <v>46170</v>
      </c>
      <c r="Z39" s="4"/>
      <c r="AA39" s="447"/>
    </row>
    <row r="40" spans="1:42">
      <c r="A40" s="801">
        <v>45929</v>
      </c>
      <c r="B40" s="4"/>
      <c r="C40" s="447"/>
      <c r="D40" s="801">
        <v>45959</v>
      </c>
      <c r="E40" s="4"/>
      <c r="F40" s="447"/>
      <c r="G40" s="801">
        <v>45990</v>
      </c>
      <c r="H40" s="4"/>
      <c r="I40" s="447"/>
      <c r="J40" s="801">
        <v>46020</v>
      </c>
      <c r="K40" s="4"/>
      <c r="L40" s="447"/>
      <c r="M40" s="801">
        <v>46051</v>
      </c>
      <c r="N40" s="4" t="s">
        <v>1524</v>
      </c>
      <c r="O40" s="447"/>
      <c r="P40" s="801"/>
      <c r="Q40" s="4"/>
      <c r="R40" s="447"/>
      <c r="S40" s="801">
        <v>46110</v>
      </c>
      <c r="T40" s="4"/>
      <c r="U40" s="447"/>
      <c r="V40" s="801">
        <v>46141</v>
      </c>
      <c r="W40" s="4"/>
      <c r="X40" s="447"/>
      <c r="Y40" s="801">
        <v>46171</v>
      </c>
      <c r="Z40" s="4"/>
      <c r="AA40" s="447"/>
    </row>
    <row r="41" spans="1:42">
      <c r="A41" s="801">
        <v>45930</v>
      </c>
      <c r="B41" s="4"/>
      <c r="C41" s="447"/>
      <c r="D41" s="801">
        <v>45960</v>
      </c>
      <c r="E41" s="4"/>
      <c r="F41" s="447"/>
      <c r="G41" s="801">
        <v>45991</v>
      </c>
      <c r="H41" s="4"/>
      <c r="I41" s="447"/>
      <c r="J41" s="801">
        <v>46021</v>
      </c>
      <c r="K41" s="4"/>
      <c r="L41" s="447"/>
      <c r="M41" s="801">
        <v>46052</v>
      </c>
      <c r="N41" s="4"/>
      <c r="O41" s="447"/>
      <c r="P41" s="801"/>
      <c r="Q41" s="4"/>
      <c r="R41" s="447"/>
      <c r="S41" s="801">
        <v>46111</v>
      </c>
      <c r="T41" s="4"/>
      <c r="U41" s="447"/>
      <c r="V41" s="801">
        <v>46142</v>
      </c>
      <c r="W41" s="4" t="s">
        <v>1503</v>
      </c>
      <c r="X41" s="447"/>
      <c r="Y41" s="801">
        <v>46172</v>
      </c>
      <c r="Z41" s="4"/>
      <c r="AA41" s="447"/>
    </row>
    <row r="42" spans="1:42">
      <c r="A42" s="801"/>
      <c r="B42" s="4"/>
      <c r="C42" s="447"/>
      <c r="D42" s="801">
        <v>45961</v>
      </c>
      <c r="E42" s="4"/>
      <c r="F42" s="447"/>
      <c r="G42" s="801"/>
      <c r="H42" s="4"/>
      <c r="I42" s="447"/>
      <c r="J42" s="801">
        <v>46022</v>
      </c>
      <c r="K42" s="4"/>
      <c r="L42" s="447"/>
      <c r="M42" s="801">
        <v>46053</v>
      </c>
      <c r="N42" s="4"/>
      <c r="O42" s="447"/>
      <c r="P42" s="801"/>
      <c r="Q42" s="4"/>
      <c r="R42" s="447"/>
      <c r="S42" s="801">
        <v>46112</v>
      </c>
      <c r="T42" s="4"/>
      <c r="U42" s="447"/>
      <c r="V42" s="801"/>
      <c r="W42" s="4"/>
      <c r="X42" s="447"/>
      <c r="Y42" s="801">
        <v>46173</v>
      </c>
      <c r="Z42" s="4"/>
      <c r="AA42" s="447"/>
    </row>
    <row r="43" spans="1:4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spans="1:4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spans="1:4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spans="1:4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spans="1:4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spans="1:4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</sheetData>
  <mergeCells count="9">
    <mergeCell ref="A11:B11"/>
    <mergeCell ref="D11:E11"/>
    <mergeCell ref="G11:H11"/>
    <mergeCell ref="J11:K11"/>
    <mergeCell ref="Y11:AA11"/>
    <mergeCell ref="V11:X11"/>
    <mergeCell ref="M11:N11"/>
    <mergeCell ref="P11:Q11"/>
    <mergeCell ref="S11:U11"/>
  </mergeCells>
  <pageMargins left="0.7" right="0.7" top="0.75" bottom="0.75" header="0.3" footer="0.3"/>
  <pageSetup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6D61B-01AC-4F5F-8309-C273FF5B3514}">
  <sheetPr codeName="Sheet20"/>
  <dimension ref="A1:M15"/>
  <sheetViews>
    <sheetView zoomScale="120" zoomScaleNormal="120" workbookViewId="0">
      <selection activeCell="I1" sqref="I1:J13"/>
    </sheetView>
  </sheetViews>
  <sheetFormatPr defaultColWidth="9.140625" defaultRowHeight="14.25"/>
  <cols>
    <col min="1" max="1" width="13" style="828" customWidth="1"/>
    <col min="2" max="2" width="8.7109375" style="828" customWidth="1"/>
    <col min="3" max="3" width="11" style="828" bestFit="1" customWidth="1"/>
    <col min="4" max="4" width="9.140625" style="828"/>
    <col min="5" max="5" width="12.7109375" style="828" bestFit="1" customWidth="1"/>
    <col min="6" max="6" width="11.28515625" style="828" bestFit="1" customWidth="1"/>
    <col min="7" max="7" width="0" style="828" hidden="1" customWidth="1"/>
    <col min="8" max="8" width="9.140625" style="828"/>
    <col min="9" max="9" width="15.42578125" style="828" customWidth="1"/>
    <col min="10" max="11" width="9.140625" style="828"/>
    <col min="12" max="12" width="16.42578125" style="828" customWidth="1"/>
    <col min="13" max="16384" width="9.140625" style="828"/>
  </cols>
  <sheetData>
    <row r="1" spans="1:13" ht="28.5">
      <c r="B1" s="828" t="s">
        <v>1137</v>
      </c>
      <c r="C1" s="828" t="s">
        <v>1525</v>
      </c>
      <c r="D1" s="828" t="s">
        <v>1526</v>
      </c>
      <c r="E1" s="828" t="s">
        <v>1527</v>
      </c>
      <c r="F1" s="828" t="s">
        <v>1528</v>
      </c>
      <c r="G1" s="831" t="s">
        <v>1529</v>
      </c>
      <c r="I1" s="833" t="s">
        <v>1529</v>
      </c>
      <c r="L1" s="833" t="s">
        <v>1529</v>
      </c>
    </row>
    <row r="2" spans="1:13">
      <c r="A2" s="832" t="s">
        <v>1530</v>
      </c>
      <c r="B2" s="829">
        <f>C2*D2*E2*F2</f>
        <v>13440</v>
      </c>
      <c r="C2" s="828">
        <v>40</v>
      </c>
      <c r="D2" s="828">
        <v>2</v>
      </c>
      <c r="E2" s="828">
        <v>8</v>
      </c>
      <c r="F2" s="828">
        <v>21</v>
      </c>
      <c r="G2" s="830">
        <f>B2</f>
        <v>13440</v>
      </c>
      <c r="I2" s="832" t="s">
        <v>1531</v>
      </c>
      <c r="J2" s="828">
        <v>13440</v>
      </c>
      <c r="L2" s="832" t="s">
        <v>1531</v>
      </c>
      <c r="M2" s="828">
        <v>13440</v>
      </c>
    </row>
    <row r="3" spans="1:13">
      <c r="A3" s="832" t="s">
        <v>1532</v>
      </c>
      <c r="B3" s="829">
        <f>C3*D3*E3*F3</f>
        <v>6720</v>
      </c>
      <c r="C3" s="828">
        <v>40</v>
      </c>
      <c r="D3" s="828">
        <v>1</v>
      </c>
      <c r="E3" s="828">
        <v>8</v>
      </c>
      <c r="F3" s="828">
        <v>21</v>
      </c>
      <c r="I3" s="832" t="s">
        <v>1532</v>
      </c>
      <c r="J3" s="828">
        <v>7555</v>
      </c>
      <c r="L3" s="832" t="s">
        <v>1532</v>
      </c>
      <c r="M3" s="828">
        <v>7555</v>
      </c>
    </row>
    <row r="4" spans="1:13">
      <c r="A4" s="832" t="s">
        <v>1533</v>
      </c>
      <c r="B4" s="829">
        <f>(C4*D4*E4*F4)+100</f>
        <v>835</v>
      </c>
      <c r="C4" s="828">
        <v>35</v>
      </c>
      <c r="D4" s="828">
        <v>1</v>
      </c>
      <c r="E4" s="828">
        <v>1</v>
      </c>
      <c r="F4" s="828">
        <v>21</v>
      </c>
      <c r="G4" s="830">
        <f>B3+B4</f>
        <v>7555</v>
      </c>
      <c r="I4" s="832" t="s">
        <v>1534</v>
      </c>
      <c r="J4" s="828">
        <f>B5+B6</f>
        <v>1218</v>
      </c>
      <c r="L4" s="832" t="s">
        <v>1534</v>
      </c>
      <c r="M4" s="828">
        <f>E5+E6</f>
        <v>2</v>
      </c>
    </row>
    <row r="5" spans="1:13">
      <c r="A5" s="832" t="s">
        <v>1535</v>
      </c>
      <c r="B5" s="829">
        <f>C5*D5*E5*F5</f>
        <v>840</v>
      </c>
      <c r="C5" s="828">
        <v>40</v>
      </c>
      <c r="D5" s="828">
        <v>1</v>
      </c>
      <c r="E5" s="828">
        <v>1</v>
      </c>
      <c r="F5" s="828">
        <v>21</v>
      </c>
      <c r="L5" s="830" t="s">
        <v>1536</v>
      </c>
      <c r="M5" s="828">
        <v>1680</v>
      </c>
    </row>
    <row r="6" spans="1:13">
      <c r="A6" s="832" t="s">
        <v>1537</v>
      </c>
      <c r="B6" s="829">
        <f t="shared" ref="B6" si="0">C6*D6*E6*F6</f>
        <v>378</v>
      </c>
      <c r="C6" s="828">
        <v>18</v>
      </c>
      <c r="D6" s="828">
        <v>1</v>
      </c>
      <c r="E6" s="828">
        <v>1</v>
      </c>
      <c r="F6" s="828">
        <v>21</v>
      </c>
      <c r="G6" s="830">
        <f>B5+B6</f>
        <v>1218</v>
      </c>
      <c r="I6" s="832"/>
    </row>
    <row r="9" spans="1:13" ht="28.5">
      <c r="B9" s="830" t="s">
        <v>1462</v>
      </c>
      <c r="C9" s="830" t="s">
        <v>1525</v>
      </c>
      <c r="D9" s="830" t="s">
        <v>1526</v>
      </c>
      <c r="E9" s="830" t="s">
        <v>1527</v>
      </c>
      <c r="F9" s="830" t="s">
        <v>1528</v>
      </c>
      <c r="G9" s="831" t="s">
        <v>1529</v>
      </c>
      <c r="I9" s="833" t="s">
        <v>1538</v>
      </c>
    </row>
    <row r="10" spans="1:13">
      <c r="A10" s="832" t="s">
        <v>1530</v>
      </c>
      <c r="B10" s="829">
        <f>C10*D10*E10*F10</f>
        <v>5376</v>
      </c>
      <c r="C10" s="828">
        <v>32</v>
      </c>
      <c r="D10" s="828">
        <v>1</v>
      </c>
      <c r="E10" s="828">
        <v>8</v>
      </c>
      <c r="F10" s="828">
        <v>21</v>
      </c>
      <c r="G10" s="830">
        <f>B10</f>
        <v>5376</v>
      </c>
      <c r="I10" s="832" t="s">
        <v>1531</v>
      </c>
      <c r="J10" s="828">
        <f>B10</f>
        <v>5376</v>
      </c>
    </row>
    <row r="11" spans="1:13">
      <c r="A11" s="832" t="s">
        <v>1532</v>
      </c>
      <c r="B11" s="829">
        <f>C11*D11*E11*F11</f>
        <v>0</v>
      </c>
      <c r="C11" s="828">
        <v>40</v>
      </c>
      <c r="D11" s="828">
        <v>0</v>
      </c>
      <c r="E11" s="828">
        <v>1</v>
      </c>
      <c r="F11" s="828">
        <v>21</v>
      </c>
      <c r="I11" s="832" t="s">
        <v>1532</v>
      </c>
      <c r="J11" s="828">
        <f>B11+B12</f>
        <v>835</v>
      </c>
    </row>
    <row r="12" spans="1:13">
      <c r="A12" s="832" t="s">
        <v>1533</v>
      </c>
      <c r="B12" s="829">
        <f>(C12*D12*E12*F12)+100</f>
        <v>835</v>
      </c>
      <c r="C12" s="828">
        <v>35</v>
      </c>
      <c r="D12" s="828">
        <v>1</v>
      </c>
      <c r="E12" s="828">
        <v>1</v>
      </c>
      <c r="F12" s="828">
        <v>21</v>
      </c>
      <c r="G12" s="830">
        <f>B11+B12</f>
        <v>835</v>
      </c>
      <c r="I12" s="832" t="s">
        <v>1534</v>
      </c>
      <c r="J12" s="828">
        <f>B13+B14</f>
        <v>1218</v>
      </c>
    </row>
    <row r="13" spans="1:13">
      <c r="A13" s="832" t="s">
        <v>1535</v>
      </c>
      <c r="B13" s="829">
        <f t="shared" ref="B13:B14" si="1">C13*D13*E13*F13</f>
        <v>840</v>
      </c>
      <c r="C13" s="828">
        <v>40</v>
      </c>
      <c r="D13" s="828">
        <v>1</v>
      </c>
      <c r="E13" s="828">
        <v>1</v>
      </c>
      <c r="F13" s="828">
        <v>21</v>
      </c>
      <c r="I13" s="830" t="s">
        <v>1536</v>
      </c>
      <c r="J13" s="828">
        <v>1680</v>
      </c>
    </row>
    <row r="14" spans="1:13">
      <c r="A14" s="832" t="s">
        <v>1537</v>
      </c>
      <c r="B14" s="829">
        <f t="shared" si="1"/>
        <v>378</v>
      </c>
      <c r="C14" s="828">
        <v>18</v>
      </c>
      <c r="D14" s="828">
        <v>1</v>
      </c>
      <c r="E14" s="828">
        <v>1</v>
      </c>
      <c r="F14" s="828">
        <v>21</v>
      </c>
      <c r="G14" s="830">
        <f>B13+B14</f>
        <v>1218</v>
      </c>
      <c r="I14" s="832"/>
    </row>
    <row r="15" spans="1:13">
      <c r="A15" s="830" t="s">
        <v>1539</v>
      </c>
      <c r="B15" s="829">
        <f>C15*D15*E15*F15</f>
        <v>1680</v>
      </c>
      <c r="C15" s="828">
        <v>40</v>
      </c>
      <c r="D15" s="828">
        <v>2</v>
      </c>
      <c r="E15" s="828">
        <v>1</v>
      </c>
      <c r="F15" s="828">
        <v>21</v>
      </c>
      <c r="G15" s="830">
        <f>B15</f>
        <v>1680</v>
      </c>
    </row>
  </sheetData>
  <pageMargins left="0.7" right="0.7" top="0.75" bottom="0.75" header="0.3" footer="0.3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5D23B-AD03-4C11-B692-B1DE13E954C7}">
  <sheetPr>
    <tabColor rgb="FF92D050"/>
  </sheetPr>
  <dimension ref="A1:AC114"/>
  <sheetViews>
    <sheetView tabSelected="1" topLeftCell="B86" workbookViewId="0">
      <selection activeCell="F107" sqref="F107"/>
    </sheetView>
  </sheetViews>
  <sheetFormatPr defaultColWidth="8.85546875" defaultRowHeight="13.5"/>
  <cols>
    <col min="1" max="1" width="0" style="1443" hidden="1" customWidth="1"/>
    <col min="2" max="2" width="34.28515625" style="1443" customWidth="1"/>
    <col min="3" max="29" width="8.85546875" style="1443" customWidth="1"/>
    <col min="30" max="16384" width="8.85546875" style="1443"/>
  </cols>
  <sheetData>
    <row r="1" spans="1:29" s="1465" customFormat="1">
      <c r="E1" s="1447"/>
      <c r="F1" s="1447"/>
      <c r="I1" s="1447"/>
      <c r="J1" s="1447"/>
      <c r="M1" s="1447"/>
      <c r="N1" s="1447"/>
      <c r="P1" s="1512"/>
      <c r="Q1" s="1512"/>
      <c r="R1" s="1512"/>
      <c r="S1" s="1512"/>
      <c r="T1" s="1512"/>
      <c r="U1" s="1512"/>
      <c r="V1" s="1512"/>
      <c r="W1" s="1512"/>
      <c r="X1" s="1512"/>
      <c r="Y1" s="1512"/>
      <c r="Z1" s="1447"/>
      <c r="AA1" s="1447"/>
      <c r="AB1" s="1447"/>
      <c r="AC1" s="1447"/>
    </row>
    <row r="2" spans="1:29" s="1465" customFormat="1" ht="14.25">
      <c r="E2" s="1447"/>
      <c r="F2" s="1447"/>
      <c r="I2" s="1447"/>
      <c r="J2" s="1447"/>
      <c r="M2" s="1447"/>
      <c r="N2" s="1447"/>
      <c r="P2" s="1481"/>
      <c r="Q2" s="1480"/>
      <c r="R2" s="1480"/>
      <c r="S2" s="1479"/>
      <c r="T2" s="1478"/>
      <c r="U2" s="1478"/>
      <c r="V2" s="1477"/>
      <c r="W2" s="1476"/>
      <c r="X2" s="1513"/>
      <c r="Y2" s="1513"/>
      <c r="Z2" s="1447"/>
      <c r="AA2" s="1476"/>
      <c r="AB2" s="1513"/>
      <c r="AC2" s="1513"/>
    </row>
    <row r="3" spans="1:29" s="1465" customFormat="1" ht="14.25">
      <c r="E3" s="1447"/>
      <c r="F3" s="1447"/>
      <c r="I3" s="1447"/>
      <c r="J3" s="1447"/>
      <c r="M3" s="1447"/>
      <c r="N3" s="1447"/>
      <c r="P3" s="1481"/>
      <c r="Q3" s="1480"/>
      <c r="R3" s="1480"/>
      <c r="S3" s="1479"/>
      <c r="T3" s="1478"/>
      <c r="U3" s="1478"/>
      <c r="V3" s="1477"/>
      <c r="W3" s="1476"/>
      <c r="X3" s="1514"/>
      <c r="Y3" s="1514"/>
      <c r="Z3" s="1447"/>
      <c r="AA3" s="1476"/>
      <c r="AB3" s="1514"/>
      <c r="AC3" s="1514"/>
    </row>
    <row r="4" spans="1:29" s="1465" customFormat="1">
      <c r="A4" s="1468"/>
      <c r="B4" s="1475"/>
      <c r="C4" s="1473"/>
      <c r="D4" s="1473"/>
      <c r="E4" s="1474"/>
      <c r="F4" s="1473"/>
      <c r="G4" s="1474"/>
      <c r="H4" s="1474"/>
      <c r="I4" s="1474"/>
      <c r="J4" s="1473"/>
      <c r="K4" s="1473"/>
      <c r="L4" s="1473"/>
      <c r="M4" s="1473"/>
      <c r="N4" s="1473"/>
      <c r="O4" s="1473"/>
      <c r="P4" s="1473"/>
      <c r="Q4" s="1473"/>
      <c r="R4" s="1473"/>
      <c r="S4" s="1473"/>
      <c r="T4" s="1473"/>
      <c r="U4" s="1472"/>
      <c r="V4" s="1471"/>
      <c r="W4" s="1470"/>
      <c r="X4" s="1469"/>
      <c r="Y4" s="1469"/>
      <c r="Z4" s="1471"/>
      <c r="AA4" s="1470"/>
      <c r="AB4" s="1469"/>
      <c r="AC4" s="1469"/>
    </row>
    <row r="5" spans="1:29" s="1466" customFormat="1">
      <c r="A5" s="1465"/>
      <c r="B5" s="1475"/>
      <c r="C5" s="1473"/>
      <c r="D5" s="1473"/>
      <c r="E5" s="1474"/>
      <c r="F5" s="1473"/>
      <c r="G5" s="1474"/>
      <c r="H5" s="1474"/>
      <c r="I5" s="1474"/>
      <c r="J5" s="1473"/>
      <c r="K5" s="1473"/>
      <c r="L5" s="1473"/>
      <c r="M5" s="1473"/>
      <c r="N5" s="1473"/>
      <c r="O5" s="1473"/>
      <c r="P5" s="1473"/>
      <c r="Q5" s="1473"/>
      <c r="R5" s="1473"/>
      <c r="S5" s="1473"/>
      <c r="T5" s="1473"/>
      <c r="U5" s="1472"/>
      <c r="V5" s="1471"/>
      <c r="W5" s="1470"/>
      <c r="X5" s="1469"/>
      <c r="Y5" s="1469"/>
      <c r="Z5" s="1469"/>
      <c r="AA5" s="1470"/>
      <c r="AB5" s="1469"/>
      <c r="AC5" s="1469"/>
    </row>
    <row r="6" spans="1:29" s="1466" customFormat="1">
      <c r="B6" s="1465"/>
      <c r="C6" s="1465"/>
      <c r="D6" s="1465"/>
      <c r="E6" s="1447"/>
      <c r="F6" s="1447"/>
      <c r="G6" s="1465"/>
      <c r="H6" s="1465"/>
      <c r="I6" s="1447"/>
      <c r="J6" s="1447"/>
      <c r="K6" s="1465"/>
      <c r="L6" s="1465"/>
      <c r="M6" s="1447"/>
      <c r="N6" s="1447"/>
      <c r="O6" s="1465"/>
      <c r="P6" s="1465"/>
      <c r="Q6" s="1447"/>
      <c r="R6" s="1447"/>
      <c r="S6" s="1465"/>
      <c r="T6" s="1465"/>
      <c r="U6" s="1447"/>
      <c r="V6" s="1447"/>
      <c r="W6" s="1465"/>
      <c r="X6" s="1465"/>
      <c r="Y6" s="1465"/>
      <c r="Z6" s="1447"/>
      <c r="AA6" s="1465"/>
      <c r="AB6" s="1465"/>
      <c r="AC6" s="1465"/>
    </row>
    <row r="7" spans="1:29" s="1466" customFormat="1">
      <c r="B7" s="1465"/>
      <c r="C7" s="1465"/>
      <c r="D7" s="1465"/>
      <c r="E7" s="1447"/>
      <c r="F7" s="1447"/>
      <c r="G7" s="1465"/>
      <c r="H7" s="1465"/>
      <c r="I7" s="1447"/>
      <c r="J7" s="1447"/>
      <c r="K7" s="1465"/>
      <c r="L7" s="1465"/>
      <c r="M7" s="1447"/>
      <c r="N7" s="1447"/>
      <c r="O7" s="1465"/>
      <c r="P7" s="1465"/>
      <c r="Q7" s="1447"/>
      <c r="R7" s="1447"/>
      <c r="S7" s="1465"/>
      <c r="T7" s="1465"/>
      <c r="U7" s="1447"/>
      <c r="V7" s="1447"/>
      <c r="W7" s="1465"/>
      <c r="X7" s="1465"/>
      <c r="Y7" s="1465"/>
      <c r="Z7" s="1447"/>
      <c r="AA7" s="1465"/>
      <c r="AB7" s="1465"/>
      <c r="AC7" s="1465"/>
    </row>
    <row r="8" spans="1:29" s="1466" customFormat="1">
      <c r="A8" s="1465"/>
      <c r="B8" s="1475"/>
      <c r="C8" s="1473"/>
      <c r="D8" s="1473"/>
      <c r="E8" s="1474"/>
      <c r="F8" s="1473"/>
      <c r="G8" s="1474"/>
      <c r="H8" s="1474"/>
      <c r="I8" s="1474"/>
      <c r="J8" s="1473"/>
      <c r="K8" s="1473"/>
      <c r="L8" s="1473"/>
      <c r="M8" s="1473"/>
      <c r="N8" s="1473"/>
      <c r="O8" s="1473"/>
      <c r="P8" s="1473"/>
      <c r="Q8" s="1473"/>
      <c r="R8" s="1473"/>
      <c r="S8" s="1473"/>
      <c r="T8" s="1473"/>
      <c r="U8" s="1472"/>
      <c r="V8" s="1471"/>
      <c r="W8" s="1470"/>
      <c r="X8" s="1469"/>
      <c r="Y8" s="1469"/>
      <c r="Z8" s="1469"/>
      <c r="AA8" s="1470"/>
      <c r="AB8" s="1469"/>
      <c r="AC8" s="1469"/>
    </row>
    <row r="9" spans="1:29" s="1466" customFormat="1">
      <c r="B9" s="1465"/>
      <c r="C9" s="1465"/>
      <c r="D9" s="1465"/>
      <c r="E9" s="1447"/>
      <c r="F9" s="1447"/>
      <c r="G9" s="1465"/>
      <c r="H9" s="1465"/>
      <c r="I9" s="1447"/>
      <c r="J9" s="1447"/>
      <c r="K9" s="1465"/>
      <c r="L9" s="1465"/>
      <c r="M9" s="1447"/>
      <c r="N9" s="1447"/>
      <c r="O9" s="1465"/>
      <c r="P9" s="1465"/>
      <c r="Q9" s="1447"/>
      <c r="R9" s="1447"/>
      <c r="S9" s="1465"/>
      <c r="T9" s="1465"/>
      <c r="U9" s="1447"/>
      <c r="V9" s="1447"/>
      <c r="W9" s="1465"/>
      <c r="X9" s="1465"/>
      <c r="Y9" s="1465"/>
      <c r="Z9" s="1447"/>
      <c r="AA9" s="1465"/>
      <c r="AB9" s="1465"/>
      <c r="AC9" s="1465"/>
    </row>
    <row r="10" spans="1:29" s="1466" customFormat="1" ht="25.5" customHeight="1">
      <c r="A10" s="1468"/>
      <c r="B10" s="1516" t="s">
        <v>18</v>
      </c>
      <c r="C10" s="1515">
        <v>46118</v>
      </c>
      <c r="D10" s="1515"/>
      <c r="E10" s="1462" t="s">
        <v>564</v>
      </c>
      <c r="F10" s="1463"/>
      <c r="G10" s="1515">
        <f>C10+1</f>
        <v>46119</v>
      </c>
      <c r="H10" s="1515"/>
      <c r="I10" s="1462" t="s">
        <v>565</v>
      </c>
      <c r="J10" s="1463"/>
      <c r="K10" s="1515">
        <f>G10+1</f>
        <v>46120</v>
      </c>
      <c r="L10" s="1515"/>
      <c r="M10" s="1462" t="s">
        <v>566</v>
      </c>
      <c r="N10" s="1463"/>
      <c r="O10" s="1515">
        <f>K10+1</f>
        <v>46121</v>
      </c>
      <c r="P10" s="1515"/>
      <c r="Q10" s="1462" t="s">
        <v>567</v>
      </c>
      <c r="R10" s="1463"/>
      <c r="S10" s="1515">
        <f>O10+1</f>
        <v>46122</v>
      </c>
      <c r="T10" s="1515"/>
      <c r="U10" s="1462" t="s">
        <v>568</v>
      </c>
      <c r="V10" s="1447"/>
      <c r="W10" s="1515">
        <f>S10+1</f>
        <v>46123</v>
      </c>
      <c r="X10" s="1515"/>
      <c r="Y10" s="1461" t="s">
        <v>1111</v>
      </c>
      <c r="Z10" s="1447"/>
      <c r="AA10" s="1515">
        <f>W10+1</f>
        <v>46124</v>
      </c>
      <c r="AB10" s="1515"/>
      <c r="AC10" s="1461" t="s">
        <v>1111</v>
      </c>
    </row>
    <row r="11" spans="1:29" s="1466" customFormat="1" ht="13.5" customHeight="1">
      <c r="A11" s="1465"/>
      <c r="B11" s="1516"/>
      <c r="C11" s="1459" t="s">
        <v>23</v>
      </c>
      <c r="D11" s="1459" t="s">
        <v>24</v>
      </c>
      <c r="E11" s="1460" t="s">
        <v>25</v>
      </c>
      <c r="F11" s="1447"/>
      <c r="G11" s="1459" t="s">
        <v>23</v>
      </c>
      <c r="H11" s="1459" t="s">
        <v>24</v>
      </c>
      <c r="I11" s="1458" t="s">
        <v>25</v>
      </c>
      <c r="J11" s="1447"/>
      <c r="K11" s="1459" t="s">
        <v>23</v>
      </c>
      <c r="L11" s="1459" t="s">
        <v>24</v>
      </c>
      <c r="M11" s="1458" t="s">
        <v>25</v>
      </c>
      <c r="N11" s="1447"/>
      <c r="O11" s="1459" t="s">
        <v>23</v>
      </c>
      <c r="P11" s="1459" t="s">
        <v>24</v>
      </c>
      <c r="Q11" s="1458" t="s">
        <v>25</v>
      </c>
      <c r="R11" s="1447"/>
      <c r="S11" s="1459" t="s">
        <v>23</v>
      </c>
      <c r="T11" s="1459" t="s">
        <v>24</v>
      </c>
      <c r="U11" s="1458" t="s">
        <v>25</v>
      </c>
      <c r="V11" s="1447"/>
      <c r="W11" s="1459" t="s">
        <v>23</v>
      </c>
      <c r="X11" s="1459" t="s">
        <v>24</v>
      </c>
      <c r="Y11" s="1458" t="s">
        <v>25</v>
      </c>
      <c r="Z11" s="1447"/>
      <c r="AA11" s="1459" t="s">
        <v>23</v>
      </c>
      <c r="AB11" s="1459" t="s">
        <v>24</v>
      </c>
      <c r="AC11" s="1458" t="s">
        <v>25</v>
      </c>
    </row>
    <row r="12" spans="1:29" s="1466" customFormat="1">
      <c r="A12" s="1465"/>
      <c r="B12" s="1482" t="s">
        <v>810</v>
      </c>
      <c r="C12" s="1454">
        <v>0.375</v>
      </c>
      <c r="D12" s="1454">
        <v>0.70833333333333304</v>
      </c>
      <c r="E12" s="1445">
        <f>MOD(D12-C12,1)*24</f>
        <v>7.9999999999999929</v>
      </c>
      <c r="F12" s="1446"/>
      <c r="G12" s="1454">
        <v>0.375</v>
      </c>
      <c r="H12" s="1454">
        <v>0.70833333333333304</v>
      </c>
      <c r="I12" s="1445">
        <f>MOD(H12-G12,1)*24</f>
        <v>7.9999999999999929</v>
      </c>
      <c r="J12" s="1447"/>
      <c r="K12" s="1454">
        <v>0.375</v>
      </c>
      <c r="L12" s="1454">
        <v>0.70833333333333304</v>
      </c>
      <c r="M12" s="1445">
        <f>MOD(L12-K12,1)*24</f>
        <v>7.9999999999999929</v>
      </c>
      <c r="N12" s="1447"/>
      <c r="O12" s="1454">
        <v>0.375</v>
      </c>
      <c r="P12" s="1454">
        <v>0.70833333333333304</v>
      </c>
      <c r="Q12" s="1445">
        <f>MOD(P12-O12,1)*24</f>
        <v>7.9999999999999929</v>
      </c>
      <c r="R12" s="1447"/>
      <c r="S12" s="1454">
        <v>0.375</v>
      </c>
      <c r="T12" s="1454">
        <v>0.70833333333333304</v>
      </c>
      <c r="U12" s="1445">
        <f>MOD(T12-S12,1)*24</f>
        <v>7.9999999999999929</v>
      </c>
      <c r="V12" s="1447"/>
      <c r="W12" s="1454"/>
      <c r="X12" s="1454"/>
      <c r="Y12" s="1445">
        <f>MOD(X12-W12,1)*24</f>
        <v>0</v>
      </c>
      <c r="Z12" s="1447"/>
      <c r="AA12" s="1454"/>
      <c r="AB12" s="1454"/>
      <c r="AC12" s="1445">
        <f>MOD(AB12-AA12,1)*24</f>
        <v>0</v>
      </c>
    </row>
    <row r="13" spans="1:29" s="1466" customFormat="1">
      <c r="A13" s="1467"/>
      <c r="B13" s="1485" t="s">
        <v>1433</v>
      </c>
      <c r="C13" s="1454">
        <v>0.375</v>
      </c>
      <c r="D13" s="1454">
        <v>0.75</v>
      </c>
      <c r="E13" s="1445">
        <f t="shared" ref="E13:E30" si="0">MOD(D13-C13,1)*24</f>
        <v>9</v>
      </c>
      <c r="F13" s="1447"/>
      <c r="G13" s="1454">
        <v>0.375</v>
      </c>
      <c r="H13" s="1454">
        <v>0.75</v>
      </c>
      <c r="I13" s="1445">
        <f t="shared" ref="I13:I30" si="1">MOD(H13-G13,1)*24</f>
        <v>9</v>
      </c>
      <c r="J13" s="1447"/>
      <c r="K13" s="1454">
        <v>0.375</v>
      </c>
      <c r="L13" s="1454">
        <v>0.75</v>
      </c>
      <c r="M13" s="1457">
        <f t="shared" ref="M13:M30" si="2">MOD(L13-K13,1)*24</f>
        <v>9</v>
      </c>
      <c r="N13" s="1447"/>
      <c r="O13" s="1454">
        <v>0.375</v>
      </c>
      <c r="P13" s="1454">
        <v>0.75</v>
      </c>
      <c r="Q13" s="1445">
        <f t="shared" ref="Q13:Q30" si="3">MOD(P13-O13,1)*24</f>
        <v>9</v>
      </c>
      <c r="R13" s="1447"/>
      <c r="S13" s="1454">
        <v>0.375</v>
      </c>
      <c r="T13" s="1454">
        <v>0.75</v>
      </c>
      <c r="U13" s="1445">
        <f t="shared" ref="U13:U30" si="4">MOD(T13-S13,1)*24</f>
        <v>9</v>
      </c>
      <c r="V13" s="1447"/>
      <c r="W13" s="1454"/>
      <c r="X13" s="1454"/>
      <c r="Y13" s="1445">
        <f t="shared" ref="Y13:Y30" si="5">MOD(X13-W13,1)*24</f>
        <v>0</v>
      </c>
      <c r="Z13" s="1455"/>
      <c r="AA13" s="1454"/>
      <c r="AB13" s="1454"/>
      <c r="AC13" s="1445">
        <f t="shared" ref="AC13:AC30" si="6">MOD(AB13-AA13,1)*24</f>
        <v>0</v>
      </c>
    </row>
    <row r="14" spans="1:29" s="1466" customFormat="1">
      <c r="A14" s="1467"/>
      <c r="B14" s="1482" t="s">
        <v>1066</v>
      </c>
      <c r="C14" s="1454">
        <v>0.375</v>
      </c>
      <c r="D14" s="1454">
        <v>0.70833333333333304</v>
      </c>
      <c r="E14" s="1445">
        <f t="shared" si="0"/>
        <v>7.9999999999999929</v>
      </c>
      <c r="F14" s="1447"/>
      <c r="G14" s="1454"/>
      <c r="H14" s="1454"/>
      <c r="I14" s="1445">
        <f t="shared" si="1"/>
        <v>0</v>
      </c>
      <c r="J14" s="1447"/>
      <c r="K14" s="1454"/>
      <c r="L14" s="1454"/>
      <c r="M14" s="1445">
        <f t="shared" si="2"/>
        <v>0</v>
      </c>
      <c r="N14" s="1447"/>
      <c r="O14" s="1454"/>
      <c r="P14" s="1454"/>
      <c r="Q14" s="1445">
        <f t="shared" si="3"/>
        <v>0</v>
      </c>
      <c r="R14" s="1447"/>
      <c r="S14" s="1454"/>
      <c r="T14" s="1454"/>
      <c r="U14" s="1445">
        <f t="shared" si="4"/>
        <v>0</v>
      </c>
      <c r="V14" s="1456"/>
      <c r="W14" s="1454"/>
      <c r="X14" s="1454"/>
      <c r="Y14" s="1445">
        <f t="shared" si="5"/>
        <v>0</v>
      </c>
      <c r="Z14" s="1455"/>
      <c r="AA14" s="1454"/>
      <c r="AB14" s="1454"/>
      <c r="AC14" s="1445">
        <f t="shared" si="6"/>
        <v>0</v>
      </c>
    </row>
    <row r="15" spans="1:29" s="1466" customFormat="1">
      <c r="A15" s="1467"/>
      <c r="B15" s="1482" t="s">
        <v>603</v>
      </c>
      <c r="C15" s="1454">
        <v>0.375</v>
      </c>
      <c r="D15" s="1454">
        <v>0.70833333333333304</v>
      </c>
      <c r="E15" s="1445">
        <f t="shared" si="0"/>
        <v>7.9999999999999929</v>
      </c>
      <c r="F15" s="1447"/>
      <c r="G15" s="1454">
        <v>0.375</v>
      </c>
      <c r="H15" s="1454">
        <v>0.70833333333333304</v>
      </c>
      <c r="I15" s="1445">
        <f t="shared" si="1"/>
        <v>7.9999999999999929</v>
      </c>
      <c r="J15" s="1447"/>
      <c r="K15" s="1454">
        <v>0.375</v>
      </c>
      <c r="L15" s="1454">
        <v>0.70833333333333304</v>
      </c>
      <c r="M15" s="1445">
        <f t="shared" si="2"/>
        <v>7.9999999999999929</v>
      </c>
      <c r="N15" s="1447"/>
      <c r="O15" s="1454">
        <v>0.375</v>
      </c>
      <c r="P15" s="1454">
        <v>0.70833333333333304</v>
      </c>
      <c r="Q15" s="1445">
        <f t="shared" si="3"/>
        <v>7.9999999999999929</v>
      </c>
      <c r="R15" s="1447"/>
      <c r="S15" s="1454">
        <v>0.375</v>
      </c>
      <c r="T15" s="1454">
        <v>0.70833333333333304</v>
      </c>
      <c r="U15" s="1445">
        <f t="shared" si="4"/>
        <v>7.9999999999999929</v>
      </c>
      <c r="V15" s="1447"/>
      <c r="W15" s="1454"/>
      <c r="X15" s="1454"/>
      <c r="Y15" s="1445">
        <f t="shared" si="5"/>
        <v>0</v>
      </c>
      <c r="Z15" s="1455"/>
      <c r="AA15" s="1454"/>
      <c r="AB15" s="1454"/>
      <c r="AC15" s="1445">
        <f t="shared" si="6"/>
        <v>0</v>
      </c>
    </row>
    <row r="16" spans="1:29" s="1466" customFormat="1">
      <c r="A16" s="1467"/>
      <c r="B16" s="1482" t="s">
        <v>1540</v>
      </c>
      <c r="C16" s="1454">
        <v>0.375</v>
      </c>
      <c r="D16" s="1454">
        <v>0.70833333333333304</v>
      </c>
      <c r="E16" s="1445">
        <f t="shared" si="0"/>
        <v>7.9999999999999929</v>
      </c>
      <c r="F16" s="1447"/>
      <c r="G16" s="1454">
        <v>0.375</v>
      </c>
      <c r="H16" s="1454">
        <v>0.70833333333333304</v>
      </c>
      <c r="I16" s="1445">
        <f t="shared" si="1"/>
        <v>7.9999999999999929</v>
      </c>
      <c r="J16" s="1447"/>
      <c r="K16" s="1454">
        <v>0.375</v>
      </c>
      <c r="L16" s="1454">
        <v>0.70833333333333304</v>
      </c>
      <c r="M16" s="1445">
        <f t="shared" si="2"/>
        <v>7.9999999999999929</v>
      </c>
      <c r="N16" s="1447"/>
      <c r="O16" s="1454">
        <v>0.375</v>
      </c>
      <c r="P16" s="1454">
        <v>0.70833333333333304</v>
      </c>
      <c r="Q16" s="1445">
        <f t="shared" si="3"/>
        <v>7.9999999999999929</v>
      </c>
      <c r="R16" s="1447"/>
      <c r="S16" s="1454">
        <v>0.375</v>
      </c>
      <c r="T16" s="1454">
        <v>0.70833333333333304</v>
      </c>
      <c r="U16" s="1445">
        <f t="shared" si="4"/>
        <v>7.9999999999999929</v>
      </c>
      <c r="V16" s="1447"/>
      <c r="W16" s="1454"/>
      <c r="X16" s="1454"/>
      <c r="Y16" s="1445">
        <f t="shared" si="5"/>
        <v>0</v>
      </c>
      <c r="Z16" s="1455"/>
      <c r="AA16" s="1454"/>
      <c r="AB16" s="1454"/>
      <c r="AC16" s="1445">
        <f t="shared" si="6"/>
        <v>0</v>
      </c>
    </row>
    <row r="17" spans="1:29" s="1466" customFormat="1">
      <c r="A17" s="1467"/>
      <c r="B17" s="1482" t="s">
        <v>576</v>
      </c>
      <c r="C17" s="1454">
        <v>0.375</v>
      </c>
      <c r="D17" s="1454">
        <v>0.70833333333333304</v>
      </c>
      <c r="E17" s="1445">
        <f t="shared" si="0"/>
        <v>7.9999999999999929</v>
      </c>
      <c r="F17" s="1447"/>
      <c r="G17" s="1454">
        <v>0.375</v>
      </c>
      <c r="H17" s="1454">
        <v>0.70833333333333304</v>
      </c>
      <c r="I17" s="1445">
        <f t="shared" si="1"/>
        <v>7.9999999999999929</v>
      </c>
      <c r="J17" s="1447"/>
      <c r="K17" s="1454">
        <v>0.375</v>
      </c>
      <c r="L17" s="1454">
        <v>0.70833333333333304</v>
      </c>
      <c r="M17" s="1445">
        <f t="shared" si="2"/>
        <v>7.9999999999999929</v>
      </c>
      <c r="N17" s="1447"/>
      <c r="O17" s="1454">
        <v>0.375</v>
      </c>
      <c r="P17" s="1454">
        <v>0.70833333333333304</v>
      </c>
      <c r="Q17" s="1445">
        <f t="shared" si="3"/>
        <v>7.9999999999999929</v>
      </c>
      <c r="R17" s="1447"/>
      <c r="S17" s="1454">
        <v>0.375</v>
      </c>
      <c r="T17" s="1454">
        <v>0.70833333333333304</v>
      </c>
      <c r="U17" s="1445">
        <f t="shared" si="4"/>
        <v>7.9999999999999929</v>
      </c>
      <c r="V17" s="1447"/>
      <c r="W17" s="1454"/>
      <c r="X17" s="1454"/>
      <c r="Y17" s="1445">
        <f t="shared" si="5"/>
        <v>0</v>
      </c>
      <c r="Z17" s="1455"/>
      <c r="AA17" s="1454"/>
      <c r="AB17" s="1454"/>
      <c r="AC17" s="1445">
        <f t="shared" si="6"/>
        <v>0</v>
      </c>
    </row>
    <row r="18" spans="1:29" s="1466" customFormat="1">
      <c r="A18" s="1467"/>
      <c r="B18" s="1482" t="s">
        <v>42</v>
      </c>
      <c r="C18" s="1454">
        <v>0.375</v>
      </c>
      <c r="D18" s="1454">
        <v>0.70833333333333304</v>
      </c>
      <c r="E18" s="1445">
        <f t="shared" si="0"/>
        <v>7.9999999999999929</v>
      </c>
      <c r="F18" s="1447"/>
      <c r="G18" s="1454">
        <v>0.375</v>
      </c>
      <c r="H18" s="1454">
        <v>0.5625</v>
      </c>
      <c r="I18" s="1445">
        <f t="shared" si="1"/>
        <v>4.5</v>
      </c>
      <c r="J18" s="1447"/>
      <c r="K18" s="1454">
        <v>0.375</v>
      </c>
      <c r="L18" s="1454">
        <v>0.70833333333333304</v>
      </c>
      <c r="M18" s="1445">
        <f t="shared" si="2"/>
        <v>7.9999999999999929</v>
      </c>
      <c r="N18" s="1447"/>
      <c r="O18" s="1454">
        <v>0.375</v>
      </c>
      <c r="P18" s="1454">
        <v>0.70833333333333304</v>
      </c>
      <c r="Q18" s="1445">
        <f t="shared" si="3"/>
        <v>7.9999999999999929</v>
      </c>
      <c r="R18" s="1447"/>
      <c r="S18" s="1454">
        <v>0.375</v>
      </c>
      <c r="T18" s="1454">
        <v>0.70833333333333304</v>
      </c>
      <c r="U18" s="1445">
        <f t="shared" si="4"/>
        <v>7.9999999999999929</v>
      </c>
      <c r="V18" s="1447"/>
      <c r="W18" s="1454"/>
      <c r="X18" s="1454"/>
      <c r="Y18" s="1445">
        <f t="shared" si="5"/>
        <v>0</v>
      </c>
      <c r="Z18" s="1455"/>
      <c r="AA18" s="1454"/>
      <c r="AB18" s="1454"/>
      <c r="AC18" s="1445">
        <f t="shared" si="6"/>
        <v>0</v>
      </c>
    </row>
    <row r="19" spans="1:29" s="1466" customFormat="1">
      <c r="A19" s="1467"/>
      <c r="B19" s="1482" t="s">
        <v>1143</v>
      </c>
      <c r="C19" s="1454">
        <v>0.375</v>
      </c>
      <c r="D19" s="1454">
        <v>0.70833333333333304</v>
      </c>
      <c r="E19" s="1445">
        <f t="shared" si="0"/>
        <v>7.9999999999999929</v>
      </c>
      <c r="F19" s="1447"/>
      <c r="G19" s="1454">
        <v>0.375</v>
      </c>
      <c r="H19" s="1454">
        <v>0.70833333333333304</v>
      </c>
      <c r="I19" s="1445">
        <f t="shared" si="1"/>
        <v>7.9999999999999929</v>
      </c>
      <c r="J19" s="1447"/>
      <c r="K19" s="1454">
        <v>0.375</v>
      </c>
      <c r="L19" s="1454">
        <v>0.70833333333333304</v>
      </c>
      <c r="M19" s="1445">
        <f t="shared" si="2"/>
        <v>7.9999999999999929</v>
      </c>
      <c r="N19" s="1447"/>
      <c r="O19" s="1454">
        <v>0.375</v>
      </c>
      <c r="P19" s="1454">
        <v>0.70833333333333304</v>
      </c>
      <c r="Q19" s="1445">
        <f t="shared" si="3"/>
        <v>7.9999999999999929</v>
      </c>
      <c r="R19" s="1447"/>
      <c r="S19" s="1454">
        <v>0.375</v>
      </c>
      <c r="T19" s="1454">
        <v>0.70833333333333304</v>
      </c>
      <c r="U19" s="1445">
        <f t="shared" si="4"/>
        <v>7.9999999999999929</v>
      </c>
      <c r="V19" s="1447"/>
      <c r="W19" s="1454"/>
      <c r="X19" s="1454"/>
      <c r="Y19" s="1445">
        <f t="shared" si="5"/>
        <v>0</v>
      </c>
      <c r="Z19" s="1455"/>
      <c r="AA19" s="1454"/>
      <c r="AB19" s="1454"/>
      <c r="AC19" s="1445">
        <f t="shared" si="6"/>
        <v>0</v>
      </c>
    </row>
    <row r="20" spans="1:29" s="1466" customFormat="1">
      <c r="A20" s="1467"/>
      <c r="B20" s="1485" t="s">
        <v>1541</v>
      </c>
      <c r="C20" s="1454">
        <v>0.375</v>
      </c>
      <c r="D20" s="1454">
        <v>0.75</v>
      </c>
      <c r="E20" s="1445">
        <f t="shared" ref="E20" si="7">MOD(D20-C20,1)*24</f>
        <v>9</v>
      </c>
      <c r="F20" s="1447"/>
      <c r="G20" s="1454"/>
      <c r="H20" s="1454"/>
      <c r="I20" s="1445">
        <f t="shared" ref="I20" si="8">MOD(H20-G20,1)*24</f>
        <v>0</v>
      </c>
      <c r="J20" s="1447"/>
      <c r="K20" s="1454">
        <v>0.375</v>
      </c>
      <c r="L20" s="1454">
        <v>0.75</v>
      </c>
      <c r="M20" s="1445">
        <f t="shared" ref="M20" si="9">MOD(L20-K20,1)*24</f>
        <v>9</v>
      </c>
      <c r="N20" s="1447"/>
      <c r="O20" s="1454"/>
      <c r="P20" s="1454"/>
      <c r="Q20" s="1445">
        <f t="shared" ref="Q20" si="10">MOD(P20-O20,1)*24</f>
        <v>0</v>
      </c>
      <c r="R20" s="1447"/>
      <c r="S20" s="1454">
        <v>0.375</v>
      </c>
      <c r="T20" s="1454">
        <v>0.75</v>
      </c>
      <c r="U20" s="1445">
        <f t="shared" ref="U20" si="11">MOD(T20-S20,1)*24</f>
        <v>9</v>
      </c>
      <c r="V20" s="1447"/>
      <c r="W20" s="1454"/>
      <c r="X20" s="1454"/>
      <c r="Y20" s="1445">
        <f t="shared" ref="Y20" si="12">MOD(X20-W20,1)*24</f>
        <v>0</v>
      </c>
      <c r="Z20" s="1455"/>
      <c r="AA20" s="1454"/>
      <c r="AB20" s="1454"/>
      <c r="AC20" s="1445">
        <f t="shared" ref="AC20" si="13">MOD(AB20-AA20,1)*24</f>
        <v>0</v>
      </c>
    </row>
    <row r="21" spans="1:29" s="1466" customFormat="1">
      <c r="A21" s="1467"/>
      <c r="B21" s="1482" t="s">
        <v>1140</v>
      </c>
      <c r="C21" s="1454"/>
      <c r="D21" s="1454"/>
      <c r="E21" s="1445">
        <f t="shared" si="0"/>
        <v>0</v>
      </c>
      <c r="F21" s="1447"/>
      <c r="G21" s="1454"/>
      <c r="H21" s="1454"/>
      <c r="I21" s="1445">
        <f t="shared" si="1"/>
        <v>0</v>
      </c>
      <c r="J21" s="1447"/>
      <c r="K21" s="1454"/>
      <c r="L21" s="1454"/>
      <c r="M21" s="1445">
        <f t="shared" si="2"/>
        <v>0</v>
      </c>
      <c r="N21" s="1447"/>
      <c r="O21" s="1454">
        <v>0.3125</v>
      </c>
      <c r="P21" s="1454">
        <v>0.75</v>
      </c>
      <c r="Q21" s="1445">
        <f t="shared" si="3"/>
        <v>10.5</v>
      </c>
      <c r="R21" s="1447"/>
      <c r="S21" s="1454"/>
      <c r="T21" s="1454"/>
      <c r="U21" s="1445">
        <f t="shared" si="4"/>
        <v>0</v>
      </c>
      <c r="V21" s="1447"/>
      <c r="W21" s="1454">
        <v>0.3125</v>
      </c>
      <c r="X21" s="1454">
        <v>0.75</v>
      </c>
      <c r="Y21" s="1445">
        <f t="shared" si="5"/>
        <v>10.5</v>
      </c>
      <c r="Z21" s="1455"/>
      <c r="AA21" s="1454">
        <v>0.47916666666666669</v>
      </c>
      <c r="AB21" s="1454">
        <v>0.60416666666666663</v>
      </c>
      <c r="AC21" s="1445">
        <f t="shared" si="6"/>
        <v>2.9999999999999987</v>
      </c>
    </row>
    <row r="22" spans="1:29" s="1466" customFormat="1">
      <c r="A22" s="1467"/>
      <c r="B22" s="1482" t="s">
        <v>1542</v>
      </c>
      <c r="C22" s="1454"/>
      <c r="D22" s="1454"/>
      <c r="E22" s="1445">
        <f t="shared" si="0"/>
        <v>0</v>
      </c>
      <c r="F22" s="1447"/>
      <c r="G22" s="1454"/>
      <c r="H22" s="1454"/>
      <c r="I22" s="1445">
        <f t="shared" si="1"/>
        <v>0</v>
      </c>
      <c r="J22" s="1447"/>
      <c r="K22" s="1454"/>
      <c r="L22" s="1454"/>
      <c r="M22" s="1445">
        <f t="shared" si="2"/>
        <v>0</v>
      </c>
      <c r="N22" s="1447"/>
      <c r="O22" s="1454"/>
      <c r="P22" s="1454"/>
      <c r="Q22" s="1445">
        <f t="shared" si="3"/>
        <v>0</v>
      </c>
      <c r="R22" s="1447"/>
      <c r="S22" s="1454"/>
      <c r="T22" s="1454"/>
      <c r="U22" s="1445">
        <f t="shared" si="4"/>
        <v>0</v>
      </c>
      <c r="V22" s="1447"/>
      <c r="W22" s="1454"/>
      <c r="X22" s="1454"/>
      <c r="Y22" s="1445">
        <f t="shared" si="5"/>
        <v>0</v>
      </c>
      <c r="Z22" s="1455"/>
      <c r="AA22" s="1454"/>
      <c r="AB22" s="1454"/>
      <c r="AC22" s="1445">
        <f t="shared" si="6"/>
        <v>0</v>
      </c>
    </row>
    <row r="23" spans="1:29" s="1466" customFormat="1">
      <c r="A23" s="1467"/>
      <c r="B23" s="1482" t="s">
        <v>1456</v>
      </c>
      <c r="C23" s="1454"/>
      <c r="D23" s="1454"/>
      <c r="E23" s="1445">
        <f t="shared" si="0"/>
        <v>0</v>
      </c>
      <c r="F23" s="1447"/>
      <c r="G23" s="1454"/>
      <c r="H23" s="1454"/>
      <c r="I23" s="1445">
        <f t="shared" si="1"/>
        <v>0</v>
      </c>
      <c r="J23" s="1447"/>
      <c r="K23" s="1454"/>
      <c r="L23" s="1454"/>
      <c r="M23" s="1445">
        <f t="shared" si="2"/>
        <v>0</v>
      </c>
      <c r="N23" s="1447"/>
      <c r="O23" s="1454">
        <v>0.3125</v>
      </c>
      <c r="P23" s="1454">
        <v>0.70833333333333337</v>
      </c>
      <c r="Q23" s="1445">
        <f t="shared" si="3"/>
        <v>9.5</v>
      </c>
      <c r="R23" s="1447"/>
      <c r="S23" s="1454"/>
      <c r="T23" s="1454"/>
      <c r="U23" s="1445">
        <f t="shared" si="4"/>
        <v>0</v>
      </c>
      <c r="V23" s="1447"/>
      <c r="W23" s="1454"/>
      <c r="X23" s="1454"/>
      <c r="Y23" s="1445">
        <f t="shared" si="5"/>
        <v>0</v>
      </c>
      <c r="Z23" s="1455"/>
      <c r="AA23" s="1454"/>
      <c r="AB23" s="1454"/>
      <c r="AC23" s="1445">
        <f t="shared" si="6"/>
        <v>0</v>
      </c>
    </row>
    <row r="24" spans="1:29" s="1466" customFormat="1">
      <c r="A24" s="1467"/>
      <c r="B24" s="1482" t="s">
        <v>1543</v>
      </c>
      <c r="C24" s="1454"/>
      <c r="D24" s="1454"/>
      <c r="E24" s="1445">
        <f t="shared" si="0"/>
        <v>0</v>
      </c>
      <c r="F24" s="1447"/>
      <c r="G24" s="1454"/>
      <c r="H24" s="1454"/>
      <c r="I24" s="1445">
        <f t="shared" si="1"/>
        <v>0</v>
      </c>
      <c r="J24" s="1447"/>
      <c r="K24" s="1454"/>
      <c r="L24" s="1454"/>
      <c r="M24" s="1445">
        <f t="shared" si="2"/>
        <v>0</v>
      </c>
      <c r="N24" s="1447"/>
      <c r="O24" s="1454"/>
      <c r="P24" s="1454"/>
      <c r="Q24" s="1445">
        <f t="shared" si="3"/>
        <v>0</v>
      </c>
      <c r="R24" s="1447"/>
      <c r="S24" s="1454"/>
      <c r="T24" s="1454"/>
      <c r="U24" s="1445">
        <f t="shared" si="4"/>
        <v>0</v>
      </c>
      <c r="V24" s="1447"/>
      <c r="W24" s="1454"/>
      <c r="X24" s="1454"/>
      <c r="Y24" s="1445">
        <f t="shared" si="5"/>
        <v>0</v>
      </c>
      <c r="Z24" s="1455"/>
      <c r="AA24" s="1454"/>
      <c r="AB24" s="1454"/>
      <c r="AC24" s="1445">
        <f t="shared" si="6"/>
        <v>0</v>
      </c>
    </row>
    <row r="25" spans="1:29" s="1447" customFormat="1">
      <c r="A25" s="1465"/>
      <c r="B25" s="1482" t="s">
        <v>1544</v>
      </c>
      <c r="C25" s="1454"/>
      <c r="D25" s="1454"/>
      <c r="E25" s="1445">
        <f t="shared" si="0"/>
        <v>0</v>
      </c>
      <c r="G25" s="1454"/>
      <c r="H25" s="1454"/>
      <c r="I25" s="1445">
        <f t="shared" si="1"/>
        <v>0</v>
      </c>
      <c r="K25" s="1454"/>
      <c r="L25" s="1454"/>
      <c r="M25" s="1445">
        <f t="shared" si="2"/>
        <v>0</v>
      </c>
      <c r="O25" s="1454"/>
      <c r="P25" s="1454"/>
      <c r="Q25" s="1445">
        <f t="shared" si="3"/>
        <v>0</v>
      </c>
      <c r="S25" s="1454"/>
      <c r="T25" s="1454"/>
      <c r="U25" s="1445">
        <f t="shared" si="4"/>
        <v>0</v>
      </c>
      <c r="W25" s="1454"/>
      <c r="X25" s="1454"/>
      <c r="Y25" s="1445">
        <f t="shared" si="5"/>
        <v>0</v>
      </c>
      <c r="AA25" s="1454"/>
      <c r="AB25" s="1454"/>
      <c r="AC25" s="1445">
        <f t="shared" si="6"/>
        <v>0</v>
      </c>
    </row>
    <row r="26" spans="1:29" s="1447" customFormat="1">
      <c r="A26" s="1465"/>
      <c r="B26" s="1482" t="s">
        <v>1141</v>
      </c>
      <c r="C26" s="1454"/>
      <c r="D26" s="1454"/>
      <c r="E26" s="1445">
        <f t="shared" si="0"/>
        <v>0</v>
      </c>
      <c r="G26" s="1454"/>
      <c r="H26" s="1454"/>
      <c r="I26" s="1445">
        <f t="shared" si="1"/>
        <v>0</v>
      </c>
      <c r="K26" s="1454"/>
      <c r="L26" s="1454"/>
      <c r="M26" s="1445">
        <f t="shared" si="2"/>
        <v>0</v>
      </c>
      <c r="O26" s="1454"/>
      <c r="P26" s="1454"/>
      <c r="Q26" s="1445">
        <f t="shared" si="3"/>
        <v>0</v>
      </c>
      <c r="S26" s="1454"/>
      <c r="T26" s="1454"/>
      <c r="U26" s="1445">
        <f t="shared" si="4"/>
        <v>0</v>
      </c>
      <c r="W26" s="1454"/>
      <c r="X26" s="1454"/>
      <c r="Y26" s="1445">
        <f t="shared" si="5"/>
        <v>0</v>
      </c>
      <c r="AA26" s="1454"/>
      <c r="AB26" s="1454"/>
      <c r="AC26" s="1445">
        <f t="shared" si="6"/>
        <v>0</v>
      </c>
    </row>
    <row r="27" spans="1:29" s="1447" customFormat="1">
      <c r="A27" s="1465"/>
      <c r="B27" s="1482" t="s">
        <v>44</v>
      </c>
      <c r="C27" s="1454"/>
      <c r="D27" s="1454"/>
      <c r="E27" s="1445">
        <f t="shared" si="0"/>
        <v>0</v>
      </c>
      <c r="G27" s="1454"/>
      <c r="H27" s="1454"/>
      <c r="I27" s="1445">
        <f t="shared" si="1"/>
        <v>0</v>
      </c>
      <c r="K27" s="1454"/>
      <c r="L27" s="1454"/>
      <c r="M27" s="1445">
        <f t="shared" si="2"/>
        <v>0</v>
      </c>
      <c r="O27" s="1454"/>
      <c r="P27" s="1454"/>
      <c r="Q27" s="1445">
        <f t="shared" si="3"/>
        <v>0</v>
      </c>
      <c r="S27" s="1454"/>
      <c r="T27" s="1454"/>
      <c r="U27" s="1445">
        <f t="shared" si="4"/>
        <v>0</v>
      </c>
      <c r="W27" s="1454"/>
      <c r="X27" s="1454"/>
      <c r="Y27" s="1445">
        <f t="shared" si="5"/>
        <v>0</v>
      </c>
      <c r="AA27" s="1454"/>
      <c r="AB27" s="1454"/>
      <c r="AC27" s="1445">
        <f t="shared" si="6"/>
        <v>0</v>
      </c>
    </row>
    <row r="28" spans="1:29" s="1447" customFormat="1">
      <c r="A28" s="1465"/>
      <c r="B28" s="1482" t="s">
        <v>1065</v>
      </c>
      <c r="C28" s="1454"/>
      <c r="D28" s="1454"/>
      <c r="E28" s="1445">
        <f t="shared" si="0"/>
        <v>0</v>
      </c>
      <c r="G28" s="1454"/>
      <c r="H28" s="1454"/>
      <c r="I28" s="1445">
        <f t="shared" si="1"/>
        <v>0</v>
      </c>
      <c r="K28" s="1454"/>
      <c r="L28" s="1454"/>
      <c r="M28" s="1445">
        <f t="shared" si="2"/>
        <v>0</v>
      </c>
      <c r="O28" s="1454"/>
      <c r="P28" s="1454"/>
      <c r="Q28" s="1445">
        <f t="shared" si="3"/>
        <v>0</v>
      </c>
      <c r="S28" s="1454"/>
      <c r="T28" s="1454"/>
      <c r="U28" s="1445">
        <f t="shared" si="4"/>
        <v>0</v>
      </c>
      <c r="W28" s="1454"/>
      <c r="X28" s="1454"/>
      <c r="Y28" s="1445">
        <f t="shared" si="5"/>
        <v>0</v>
      </c>
      <c r="AA28" s="1454"/>
      <c r="AB28" s="1454"/>
      <c r="AC28" s="1445">
        <f t="shared" si="6"/>
        <v>0</v>
      </c>
    </row>
    <row r="29" spans="1:29" s="1447" customFormat="1">
      <c r="A29" s="1465"/>
      <c r="B29" s="1482" t="s">
        <v>1545</v>
      </c>
      <c r="C29" s="1454"/>
      <c r="D29" s="1454"/>
      <c r="E29" s="1445">
        <f t="shared" si="0"/>
        <v>0</v>
      </c>
      <c r="G29" s="1454"/>
      <c r="H29" s="1454"/>
      <c r="I29" s="1445">
        <f t="shared" si="1"/>
        <v>0</v>
      </c>
      <c r="K29" s="1454"/>
      <c r="L29" s="1454"/>
      <c r="M29" s="1445">
        <f t="shared" si="2"/>
        <v>0</v>
      </c>
      <c r="O29" s="1454"/>
      <c r="P29" s="1454"/>
      <c r="Q29" s="1445">
        <f t="shared" si="3"/>
        <v>0</v>
      </c>
      <c r="S29" s="1454"/>
      <c r="T29" s="1454"/>
      <c r="U29" s="1445">
        <f t="shared" si="4"/>
        <v>0</v>
      </c>
      <c r="W29" s="1454"/>
      <c r="X29" s="1454"/>
      <c r="Y29" s="1445">
        <f t="shared" si="5"/>
        <v>0</v>
      </c>
      <c r="AA29" s="1454"/>
      <c r="AB29" s="1454"/>
      <c r="AC29" s="1445">
        <f t="shared" si="6"/>
        <v>0</v>
      </c>
    </row>
    <row r="30" spans="1:29" s="1447" customFormat="1">
      <c r="A30" s="1465"/>
      <c r="B30" s="1482" t="s">
        <v>1144</v>
      </c>
      <c r="C30" s="1454"/>
      <c r="D30" s="1454"/>
      <c r="E30" s="1445">
        <f t="shared" si="0"/>
        <v>0</v>
      </c>
      <c r="G30" s="1454"/>
      <c r="H30" s="1454"/>
      <c r="I30" s="1445">
        <f t="shared" si="1"/>
        <v>0</v>
      </c>
      <c r="K30" s="1454"/>
      <c r="L30" s="1454"/>
      <c r="M30" s="1445">
        <f t="shared" si="2"/>
        <v>0</v>
      </c>
      <c r="O30" s="1454"/>
      <c r="P30" s="1454"/>
      <c r="Q30" s="1445">
        <f t="shared" si="3"/>
        <v>0</v>
      </c>
      <c r="S30" s="1454"/>
      <c r="T30" s="1454"/>
      <c r="U30" s="1445">
        <f t="shared" si="4"/>
        <v>0</v>
      </c>
      <c r="W30" s="1454"/>
      <c r="X30" s="1454"/>
      <c r="Y30" s="1445">
        <f t="shared" si="5"/>
        <v>0</v>
      </c>
      <c r="AA30" s="1454"/>
      <c r="AB30" s="1454"/>
      <c r="AC30" s="1445">
        <f t="shared" si="6"/>
        <v>0</v>
      </c>
    </row>
    <row r="31" spans="1:29" s="1464" customFormat="1">
      <c r="A31" s="1465"/>
      <c r="B31" s="1451" t="s">
        <v>61</v>
      </c>
      <c r="C31" s="1453"/>
      <c r="D31" s="1453"/>
      <c r="E31" s="1452"/>
      <c r="F31" s="1453"/>
      <c r="G31" s="1453"/>
      <c r="H31" s="1453"/>
      <c r="I31" s="1452"/>
      <c r="J31" s="1453"/>
      <c r="K31" s="1453"/>
      <c r="L31" s="1453"/>
      <c r="M31" s="1452"/>
      <c r="N31" s="1453"/>
      <c r="O31" s="1453"/>
      <c r="P31" s="1453"/>
      <c r="Q31" s="1452"/>
      <c r="R31" s="1453"/>
      <c r="S31" s="1453"/>
      <c r="T31" s="1453"/>
      <c r="U31" s="1452"/>
      <c r="V31" s="1447"/>
      <c r="W31" s="1451"/>
      <c r="X31" s="1451"/>
      <c r="Y31" s="1450">
        <f>SUM(Y11:Y30)</f>
        <v>10.5</v>
      </c>
      <c r="Z31" s="1447"/>
      <c r="AA31" s="1451"/>
      <c r="AB31" s="1451"/>
      <c r="AC31" s="1450">
        <f>SUM(AC11:AC30)</f>
        <v>2.9999999999999987</v>
      </c>
    </row>
    <row r="32" spans="1:29" s="1464" customFormat="1">
      <c r="A32" s="1465"/>
      <c r="B32" s="1444" t="s">
        <v>1546</v>
      </c>
      <c r="C32" s="1446"/>
      <c r="D32" s="1446"/>
      <c r="E32" s="1445"/>
      <c r="F32" s="1449"/>
      <c r="G32" s="1446"/>
      <c r="H32" s="1446"/>
      <c r="I32" s="1445"/>
      <c r="J32" s="1448"/>
      <c r="K32" s="1446"/>
      <c r="L32" s="1446"/>
      <c r="M32" s="1445"/>
      <c r="N32" s="1448"/>
      <c r="O32" s="1446"/>
      <c r="P32" s="1446"/>
      <c r="Q32" s="1445"/>
      <c r="R32" s="1448"/>
      <c r="S32" s="1446"/>
      <c r="T32" s="1446"/>
      <c r="U32" s="1445"/>
      <c r="V32" s="1447"/>
      <c r="W32" s="1446" t="s">
        <v>29</v>
      </c>
      <c r="X32" s="1446" t="s">
        <v>29</v>
      </c>
      <c r="Y32" s="1445"/>
      <c r="Z32" s="1447"/>
      <c r="AA32" s="1446" t="s">
        <v>29</v>
      </c>
      <c r="AB32" s="1446" t="s">
        <v>29</v>
      </c>
      <c r="AC32" s="1445"/>
    </row>
    <row r="33" spans="2:29">
      <c r="B33" s="1444" t="s">
        <v>1547</v>
      </c>
    </row>
    <row r="35" spans="2:29" ht="25.5">
      <c r="B35" s="1516" t="s">
        <v>18</v>
      </c>
      <c r="C35" s="1515">
        <v>46125</v>
      </c>
      <c r="D35" s="1515"/>
      <c r="E35" s="1462" t="s">
        <v>564</v>
      </c>
      <c r="F35" s="1463"/>
      <c r="G35" s="1515">
        <f>C35+1</f>
        <v>46126</v>
      </c>
      <c r="H35" s="1515"/>
      <c r="I35" s="1462" t="s">
        <v>565</v>
      </c>
      <c r="J35" s="1463"/>
      <c r="K35" s="1515">
        <f>G35+1</f>
        <v>46127</v>
      </c>
      <c r="L35" s="1515"/>
      <c r="M35" s="1462" t="s">
        <v>566</v>
      </c>
      <c r="N35" s="1463"/>
      <c r="O35" s="1515">
        <f>K35+1</f>
        <v>46128</v>
      </c>
      <c r="P35" s="1515"/>
      <c r="Q35" s="1462" t="s">
        <v>567</v>
      </c>
      <c r="R35" s="1463"/>
      <c r="S35" s="1515">
        <f>O35+1</f>
        <v>46129</v>
      </c>
      <c r="T35" s="1515"/>
      <c r="U35" s="1462" t="s">
        <v>568</v>
      </c>
      <c r="V35" s="1447"/>
      <c r="W35" s="1515">
        <f>S35+1</f>
        <v>46130</v>
      </c>
      <c r="X35" s="1515"/>
      <c r="Y35" s="1461" t="s">
        <v>1111</v>
      </c>
      <c r="Z35" s="1447"/>
      <c r="AA35" s="1515">
        <f>W35+1</f>
        <v>46131</v>
      </c>
      <c r="AB35" s="1515"/>
      <c r="AC35" s="1461" t="s">
        <v>1111</v>
      </c>
    </row>
    <row r="36" spans="2:29" ht="14.25">
      <c r="B36" s="1516"/>
      <c r="C36" s="1459" t="s">
        <v>23</v>
      </c>
      <c r="D36" s="1459" t="s">
        <v>24</v>
      </c>
      <c r="E36" s="1460" t="s">
        <v>25</v>
      </c>
      <c r="F36" s="1447"/>
      <c r="G36" s="1459" t="s">
        <v>23</v>
      </c>
      <c r="H36" s="1459" t="s">
        <v>24</v>
      </c>
      <c r="I36" s="1458" t="s">
        <v>25</v>
      </c>
      <c r="J36" s="1447"/>
      <c r="K36" s="1459" t="s">
        <v>23</v>
      </c>
      <c r="L36" s="1459" t="s">
        <v>24</v>
      </c>
      <c r="M36" s="1458" t="s">
        <v>25</v>
      </c>
      <c r="N36" s="1447"/>
      <c r="O36" s="1459" t="s">
        <v>23</v>
      </c>
      <c r="P36" s="1459" t="s">
        <v>24</v>
      </c>
      <c r="Q36" s="1458" t="s">
        <v>25</v>
      </c>
      <c r="R36" s="1447"/>
      <c r="S36" s="1459" t="s">
        <v>23</v>
      </c>
      <c r="T36" s="1459" t="s">
        <v>24</v>
      </c>
      <c r="U36" s="1458" t="s">
        <v>25</v>
      </c>
      <c r="V36" s="1447"/>
      <c r="W36" s="1459" t="s">
        <v>23</v>
      </c>
      <c r="X36" s="1459" t="s">
        <v>24</v>
      </c>
      <c r="Y36" s="1458" t="s">
        <v>25</v>
      </c>
      <c r="Z36" s="1447"/>
      <c r="AA36" s="1459" t="s">
        <v>23</v>
      </c>
      <c r="AB36" s="1459" t="s">
        <v>24</v>
      </c>
      <c r="AC36" s="1458" t="s">
        <v>25</v>
      </c>
    </row>
    <row r="37" spans="2:29" ht="10.9" customHeight="1">
      <c r="B37" s="1482" t="s">
        <v>810</v>
      </c>
      <c r="C37" s="1454">
        <v>0.35416666666666669</v>
      </c>
      <c r="D37" s="1454">
        <v>0.70833333333333337</v>
      </c>
      <c r="E37" s="1445">
        <f>MOD(D37-C37,1)*24</f>
        <v>8.5</v>
      </c>
      <c r="F37" s="1446"/>
      <c r="G37" s="1454">
        <v>0.375</v>
      </c>
      <c r="H37" s="1454">
        <v>0.75</v>
      </c>
      <c r="I37" s="1445">
        <f>MOD(H37-G37,1)*24</f>
        <v>9</v>
      </c>
      <c r="J37" s="1447"/>
      <c r="K37" s="1454">
        <v>0.375</v>
      </c>
      <c r="L37" s="1454">
        <v>0.75</v>
      </c>
      <c r="M37" s="1445">
        <f>MOD(L37-K37,1)*24</f>
        <v>9</v>
      </c>
      <c r="N37" s="1447"/>
      <c r="O37" s="1454"/>
      <c r="P37" s="1454"/>
      <c r="Q37" s="1445">
        <f>MOD(P37-O37,1)*24</f>
        <v>0</v>
      </c>
      <c r="R37" s="1447"/>
      <c r="S37" s="1454"/>
      <c r="T37" s="1454"/>
      <c r="U37" s="1445">
        <f>MOD(T37-S37,1)*24</f>
        <v>0</v>
      </c>
      <c r="V37" s="1447"/>
      <c r="W37" s="1454"/>
      <c r="X37" s="1454"/>
      <c r="Y37" s="1445">
        <f>MOD(X37-W37,1)*24</f>
        <v>0</v>
      </c>
      <c r="Z37" s="1447"/>
      <c r="AA37" s="1454"/>
      <c r="AB37" s="1454"/>
      <c r="AC37" s="1445">
        <f>MOD(AB37-AA37,1)*24</f>
        <v>0</v>
      </c>
    </row>
    <row r="38" spans="2:29" ht="10.9" customHeight="1">
      <c r="B38" s="1485" t="s">
        <v>1433</v>
      </c>
      <c r="C38" s="1454">
        <v>0.375</v>
      </c>
      <c r="D38" s="1454">
        <v>0.75</v>
      </c>
      <c r="E38" s="1445">
        <f t="shared" ref="E38:E56" si="14">MOD(D38-C38,1)*24</f>
        <v>9</v>
      </c>
      <c r="F38" s="1447"/>
      <c r="G38" s="1454">
        <v>0.375</v>
      </c>
      <c r="H38" s="1454">
        <v>0.75</v>
      </c>
      <c r="I38" s="1445">
        <f t="shared" ref="I38:I56" si="15">MOD(H38-G38,1)*24</f>
        <v>9</v>
      </c>
      <c r="J38" s="1447"/>
      <c r="K38" s="1454">
        <v>0.375</v>
      </c>
      <c r="L38" s="1454">
        <v>0.75</v>
      </c>
      <c r="M38" s="1457">
        <f t="shared" ref="M38:M56" si="16">MOD(L38-K38,1)*24</f>
        <v>9</v>
      </c>
      <c r="N38" s="1447"/>
      <c r="O38" s="1454">
        <v>0.375</v>
      </c>
      <c r="P38" s="1454">
        <v>0.75</v>
      </c>
      <c r="Q38" s="1445">
        <f t="shared" ref="Q38:Q56" si="17">MOD(P38-O38,1)*24</f>
        <v>9</v>
      </c>
      <c r="R38" s="1447"/>
      <c r="S38" s="1454">
        <v>0.375</v>
      </c>
      <c r="T38" s="1454">
        <v>0.75</v>
      </c>
      <c r="U38" s="1445">
        <f t="shared" ref="U38:U56" si="18">MOD(T38-S38,1)*24</f>
        <v>9</v>
      </c>
      <c r="V38" s="1447"/>
      <c r="W38" s="1454"/>
      <c r="X38" s="1454"/>
      <c r="Y38" s="1445">
        <f t="shared" ref="Y38:Y56" si="19">MOD(X38-W38,1)*24</f>
        <v>0</v>
      </c>
      <c r="Z38" s="1455"/>
      <c r="AA38" s="1454"/>
      <c r="AB38" s="1454"/>
      <c r="AC38" s="1445">
        <f t="shared" ref="AC38:AC56" si="20">MOD(AB38-AA38,1)*24</f>
        <v>0</v>
      </c>
    </row>
    <row r="39" spans="2:29" ht="10.9" customHeight="1">
      <c r="B39" s="1482" t="s">
        <v>1066</v>
      </c>
      <c r="C39" s="1454">
        <v>0.375</v>
      </c>
      <c r="D39" s="1454">
        <v>0.75</v>
      </c>
      <c r="E39" s="1445">
        <f t="shared" si="14"/>
        <v>9</v>
      </c>
      <c r="F39" s="1447"/>
      <c r="G39" s="1454">
        <v>0.375</v>
      </c>
      <c r="H39" s="1454">
        <v>0.75</v>
      </c>
      <c r="I39" s="1445">
        <f>MOD(H39-G39,1)*24</f>
        <v>9</v>
      </c>
      <c r="J39" s="1447"/>
      <c r="K39" s="1454">
        <v>0.375</v>
      </c>
      <c r="L39" s="1454">
        <v>0.75</v>
      </c>
      <c r="M39" s="1445">
        <f>MOD(L39-K39,1)*24</f>
        <v>9</v>
      </c>
      <c r="N39" s="1447"/>
      <c r="O39" s="1454">
        <v>0.375</v>
      </c>
      <c r="P39" s="1454">
        <v>0.75</v>
      </c>
      <c r="Q39" s="1445">
        <f t="shared" si="17"/>
        <v>9</v>
      </c>
      <c r="R39" s="1447"/>
      <c r="S39" s="1454">
        <v>0.375</v>
      </c>
      <c r="T39" s="1454">
        <v>0.75</v>
      </c>
      <c r="U39" s="1445">
        <f t="shared" si="18"/>
        <v>9</v>
      </c>
      <c r="V39" s="1456"/>
      <c r="W39" s="1454"/>
      <c r="X39" s="1454"/>
      <c r="Y39" s="1445">
        <f t="shared" si="19"/>
        <v>0</v>
      </c>
      <c r="Z39" s="1455"/>
      <c r="AA39" s="1454"/>
      <c r="AB39" s="1454"/>
      <c r="AC39" s="1445">
        <f t="shared" si="20"/>
        <v>0</v>
      </c>
    </row>
    <row r="40" spans="2:29" ht="10.9" customHeight="1">
      <c r="B40" s="1482" t="s">
        <v>603</v>
      </c>
      <c r="C40" s="1454">
        <v>0.375</v>
      </c>
      <c r="D40" s="1454">
        <v>0.70833333333333337</v>
      </c>
      <c r="E40" s="1445">
        <f t="shared" si="14"/>
        <v>8</v>
      </c>
      <c r="F40" s="1447"/>
      <c r="G40" s="1454">
        <v>0.375</v>
      </c>
      <c r="H40" s="1454">
        <v>0.70833333333333304</v>
      </c>
      <c r="I40" s="1445">
        <f t="shared" si="15"/>
        <v>7.9999999999999929</v>
      </c>
      <c r="J40" s="1447"/>
      <c r="K40" s="1454">
        <v>0.375</v>
      </c>
      <c r="L40" s="1454">
        <v>0.75</v>
      </c>
      <c r="M40" s="1445">
        <f t="shared" si="16"/>
        <v>9</v>
      </c>
      <c r="N40" s="1447"/>
      <c r="O40" s="1454">
        <v>0.375</v>
      </c>
      <c r="P40" s="1454">
        <v>0.70833333333333304</v>
      </c>
      <c r="Q40" s="1445">
        <f t="shared" si="17"/>
        <v>7.9999999999999929</v>
      </c>
      <c r="R40" s="1447"/>
      <c r="S40" s="1454">
        <v>0.375</v>
      </c>
      <c r="T40" s="1454">
        <v>0.75</v>
      </c>
      <c r="U40" s="1445">
        <f t="shared" si="18"/>
        <v>9</v>
      </c>
      <c r="V40" s="1447"/>
      <c r="W40" s="1454"/>
      <c r="X40" s="1454"/>
      <c r="Y40" s="1445">
        <f t="shared" si="19"/>
        <v>0</v>
      </c>
      <c r="Z40" s="1455"/>
      <c r="AA40" s="1454"/>
      <c r="AB40" s="1454"/>
      <c r="AC40" s="1445">
        <f t="shared" si="20"/>
        <v>0</v>
      </c>
    </row>
    <row r="41" spans="2:29" ht="10.9" customHeight="1">
      <c r="B41" s="1482" t="s">
        <v>1540</v>
      </c>
      <c r="C41" s="1454">
        <v>0.375</v>
      </c>
      <c r="D41" s="1454">
        <v>0.70833333333333304</v>
      </c>
      <c r="E41" s="1445">
        <f t="shared" si="14"/>
        <v>7.9999999999999929</v>
      </c>
      <c r="F41" s="1447"/>
      <c r="G41" s="1454"/>
      <c r="H41" s="1454"/>
      <c r="I41" s="1445">
        <f t="shared" si="15"/>
        <v>0</v>
      </c>
      <c r="J41" s="1447"/>
      <c r="K41" s="1454">
        <v>0.375</v>
      </c>
      <c r="L41" s="1454">
        <v>0.70833333333333304</v>
      </c>
      <c r="M41" s="1445">
        <f t="shared" si="16"/>
        <v>7.9999999999999929</v>
      </c>
      <c r="N41" s="1447"/>
      <c r="O41" s="1454">
        <v>0.375</v>
      </c>
      <c r="P41" s="1454">
        <v>0.70833333333333304</v>
      </c>
      <c r="Q41" s="1445">
        <f t="shared" si="17"/>
        <v>7.9999999999999929</v>
      </c>
      <c r="R41" s="1447"/>
      <c r="S41" s="1454"/>
      <c r="T41" s="1454"/>
      <c r="U41" s="1445">
        <f t="shared" si="18"/>
        <v>0</v>
      </c>
      <c r="V41" s="1447"/>
      <c r="W41" s="1454"/>
      <c r="X41" s="1454"/>
      <c r="Y41" s="1445">
        <f t="shared" si="19"/>
        <v>0</v>
      </c>
      <c r="Z41" s="1455"/>
      <c r="AA41" s="1454"/>
      <c r="AB41" s="1454"/>
      <c r="AC41" s="1445">
        <f t="shared" si="20"/>
        <v>0</v>
      </c>
    </row>
    <row r="42" spans="2:29" ht="10.9" customHeight="1">
      <c r="B42" s="1482" t="s">
        <v>576</v>
      </c>
      <c r="C42" s="1454">
        <v>0.375</v>
      </c>
      <c r="D42" s="1454">
        <v>0.75</v>
      </c>
      <c r="E42" s="1445">
        <f t="shared" si="14"/>
        <v>9</v>
      </c>
      <c r="F42" s="1447"/>
      <c r="G42" s="1454">
        <v>0.375</v>
      </c>
      <c r="H42" s="1454">
        <v>0.75</v>
      </c>
      <c r="I42" s="1445">
        <f t="shared" si="15"/>
        <v>9</v>
      </c>
      <c r="J42" s="1447"/>
      <c r="K42" s="1454">
        <v>0.375</v>
      </c>
      <c r="L42" s="1454">
        <v>0.75</v>
      </c>
      <c r="M42" s="1445">
        <f t="shared" si="16"/>
        <v>9</v>
      </c>
      <c r="N42" s="1447"/>
      <c r="O42" s="1454">
        <v>0.375</v>
      </c>
      <c r="P42" s="1454">
        <v>0.75</v>
      </c>
      <c r="Q42" s="1445">
        <f t="shared" si="17"/>
        <v>9</v>
      </c>
      <c r="R42" s="1447"/>
      <c r="S42" s="1454">
        <v>0.375</v>
      </c>
      <c r="T42" s="1454">
        <v>0.75</v>
      </c>
      <c r="U42" s="1445">
        <f t="shared" si="18"/>
        <v>9</v>
      </c>
      <c r="V42" s="1447"/>
      <c r="W42" s="1454"/>
      <c r="X42" s="1454"/>
      <c r="Y42" s="1445">
        <f t="shared" si="19"/>
        <v>0</v>
      </c>
      <c r="Z42" s="1455"/>
      <c r="AA42" s="1454"/>
      <c r="AB42" s="1454"/>
      <c r="AC42" s="1445">
        <f t="shared" si="20"/>
        <v>0</v>
      </c>
    </row>
    <row r="43" spans="2:29" ht="10.9" customHeight="1">
      <c r="B43" s="1482" t="s">
        <v>42</v>
      </c>
      <c r="C43" s="1454">
        <v>0.375</v>
      </c>
      <c r="D43" s="1454">
        <v>0.75</v>
      </c>
      <c r="E43" s="1445">
        <f t="shared" si="14"/>
        <v>9</v>
      </c>
      <c r="F43" s="1447"/>
      <c r="G43" s="1454">
        <v>0.375</v>
      </c>
      <c r="H43" s="1454">
        <v>0.75</v>
      </c>
      <c r="I43" s="1445">
        <f t="shared" si="15"/>
        <v>9</v>
      </c>
      <c r="J43" s="1447"/>
      <c r="K43" s="1454">
        <v>0.375</v>
      </c>
      <c r="L43" s="1454">
        <v>0.75</v>
      </c>
      <c r="M43" s="1445">
        <f t="shared" si="16"/>
        <v>9</v>
      </c>
      <c r="N43" s="1447"/>
      <c r="O43" s="1454">
        <v>0.375</v>
      </c>
      <c r="P43" s="1454">
        <v>0.75</v>
      </c>
      <c r="Q43" s="1445">
        <f t="shared" si="17"/>
        <v>9</v>
      </c>
      <c r="R43" s="1447"/>
      <c r="S43" s="1454"/>
      <c r="T43" s="1454"/>
      <c r="U43" s="1445">
        <f t="shared" si="18"/>
        <v>0</v>
      </c>
      <c r="V43" s="1447"/>
      <c r="W43" s="1454"/>
      <c r="X43" s="1454"/>
      <c r="Y43" s="1445">
        <f t="shared" si="19"/>
        <v>0</v>
      </c>
      <c r="Z43" s="1455"/>
      <c r="AA43" s="1454"/>
      <c r="AB43" s="1454"/>
      <c r="AC43" s="1445">
        <f t="shared" si="20"/>
        <v>0</v>
      </c>
    </row>
    <row r="44" spans="2:29" ht="10.9" customHeight="1">
      <c r="B44" s="1482" t="s">
        <v>1143</v>
      </c>
      <c r="C44" s="1454">
        <v>0.35416666666666669</v>
      </c>
      <c r="D44" s="1454">
        <v>0.70833333333333337</v>
      </c>
      <c r="E44" s="1445">
        <f t="shared" si="14"/>
        <v>8.5</v>
      </c>
      <c r="F44" s="1447"/>
      <c r="G44" s="1454">
        <v>0.375</v>
      </c>
      <c r="H44" s="1454">
        <v>0.75</v>
      </c>
      <c r="I44" s="1445">
        <f t="shared" si="15"/>
        <v>9</v>
      </c>
      <c r="J44" s="1447"/>
      <c r="K44" s="1454">
        <v>0.375</v>
      </c>
      <c r="L44" s="1454">
        <v>0.75</v>
      </c>
      <c r="M44" s="1445">
        <f t="shared" si="16"/>
        <v>9</v>
      </c>
      <c r="N44" s="1447"/>
      <c r="O44" s="1454">
        <v>0.375</v>
      </c>
      <c r="P44" s="1454">
        <v>0.75</v>
      </c>
      <c r="Q44" s="1445">
        <f t="shared" si="17"/>
        <v>9</v>
      </c>
      <c r="R44" s="1447"/>
      <c r="S44" s="1454">
        <v>0.375</v>
      </c>
      <c r="T44" s="1454">
        <v>0.70833333333333304</v>
      </c>
      <c r="U44" s="1445">
        <f t="shared" si="18"/>
        <v>7.9999999999999929</v>
      </c>
      <c r="V44" s="1447"/>
      <c r="W44" s="1454"/>
      <c r="X44" s="1454"/>
      <c r="Y44" s="1445">
        <f t="shared" si="19"/>
        <v>0</v>
      </c>
      <c r="Z44" s="1455"/>
      <c r="AA44" s="1454"/>
      <c r="AB44" s="1454"/>
      <c r="AC44" s="1445">
        <f t="shared" si="20"/>
        <v>0</v>
      </c>
    </row>
    <row r="45" spans="2:29" ht="10.9" customHeight="1">
      <c r="B45" s="1482" t="s">
        <v>1548</v>
      </c>
      <c r="C45" s="1454"/>
      <c r="D45" s="1454"/>
      <c r="E45" s="1445">
        <f t="shared" ref="E45:E46" si="21">MOD(D45-C45,1)*24</f>
        <v>0</v>
      </c>
      <c r="F45" s="1447"/>
      <c r="G45" s="1454">
        <v>0.375</v>
      </c>
      <c r="H45" s="1454">
        <v>0.75</v>
      </c>
      <c r="I45" s="1445">
        <f t="shared" ref="I45:I46" si="22">MOD(H45-G45,1)*24</f>
        <v>9</v>
      </c>
      <c r="J45" s="1447"/>
      <c r="K45" s="1454">
        <v>0.375</v>
      </c>
      <c r="L45" s="1454">
        <v>0.70833333333333304</v>
      </c>
      <c r="M45" s="1445">
        <f t="shared" ref="M45:M46" si="23">MOD(L45-K45,1)*24</f>
        <v>7.9999999999999929</v>
      </c>
      <c r="N45" s="1447"/>
      <c r="O45" s="1454">
        <v>0.375</v>
      </c>
      <c r="P45" s="1454">
        <v>0.70833333333333304</v>
      </c>
      <c r="Q45" s="1445">
        <f t="shared" ref="Q45:Q46" si="24">MOD(P45-O45,1)*24</f>
        <v>7.9999999999999929</v>
      </c>
      <c r="R45" s="1447"/>
      <c r="S45" s="1454">
        <v>0.375</v>
      </c>
      <c r="T45" s="1454">
        <v>0.75</v>
      </c>
      <c r="U45" s="1445">
        <f t="shared" ref="U45:U46" si="25">MOD(T45-S45,1)*24</f>
        <v>9</v>
      </c>
      <c r="V45" s="1447"/>
      <c r="W45" s="1454"/>
      <c r="X45" s="1454"/>
      <c r="Y45" s="1445">
        <f t="shared" ref="Y45:Y46" si="26">MOD(X45-W45,1)*24</f>
        <v>0</v>
      </c>
      <c r="Z45" s="1455"/>
      <c r="AA45" s="1454"/>
      <c r="AB45" s="1454"/>
      <c r="AC45" s="1445">
        <f t="shared" ref="AC45:AC46" si="27">MOD(AB45-AA45,1)*24</f>
        <v>0</v>
      </c>
    </row>
    <row r="46" spans="2:29" ht="10.9" customHeight="1">
      <c r="B46" s="1485" t="s">
        <v>1541</v>
      </c>
      <c r="C46" s="1454">
        <v>0.375</v>
      </c>
      <c r="D46" s="1454">
        <v>0.75</v>
      </c>
      <c r="E46" s="1445">
        <f t="shared" si="21"/>
        <v>9</v>
      </c>
      <c r="F46" s="1447"/>
      <c r="G46" s="1454"/>
      <c r="H46" s="1454"/>
      <c r="I46" s="1445">
        <f t="shared" si="22"/>
        <v>0</v>
      </c>
      <c r="J46" s="1447"/>
      <c r="K46" s="1454">
        <v>0.375</v>
      </c>
      <c r="L46" s="1454">
        <v>0.75</v>
      </c>
      <c r="M46" s="1445">
        <f t="shared" si="23"/>
        <v>9</v>
      </c>
      <c r="N46" s="1447"/>
      <c r="O46" s="1454"/>
      <c r="P46" s="1454"/>
      <c r="Q46" s="1445">
        <f t="shared" si="24"/>
        <v>0</v>
      </c>
      <c r="R46" s="1447"/>
      <c r="S46" s="1454">
        <v>0.375</v>
      </c>
      <c r="T46" s="1454">
        <v>0.75</v>
      </c>
      <c r="U46" s="1445">
        <f t="shared" si="25"/>
        <v>9</v>
      </c>
      <c r="V46" s="1447"/>
      <c r="W46" s="1454"/>
      <c r="X46" s="1454"/>
      <c r="Y46" s="1445">
        <f t="shared" si="26"/>
        <v>0</v>
      </c>
      <c r="Z46" s="1455"/>
      <c r="AA46" s="1454"/>
      <c r="AB46" s="1454"/>
      <c r="AC46" s="1445">
        <f t="shared" si="27"/>
        <v>0</v>
      </c>
    </row>
    <row r="47" spans="2:29" ht="10.9" customHeight="1">
      <c r="B47" s="1482" t="s">
        <v>1140</v>
      </c>
      <c r="C47" s="1454">
        <v>0.4375</v>
      </c>
      <c r="D47" s="1454">
        <v>0.60416666666666663</v>
      </c>
      <c r="E47" s="1445">
        <f t="shared" si="14"/>
        <v>3.9999999999999991</v>
      </c>
      <c r="F47" s="1447"/>
      <c r="G47" s="1454">
        <v>0.4375</v>
      </c>
      <c r="H47" s="1454">
        <v>0.60416666666666663</v>
      </c>
      <c r="I47" s="1445">
        <f t="shared" si="15"/>
        <v>3.9999999999999991</v>
      </c>
      <c r="J47" s="1447"/>
      <c r="K47" s="1454">
        <v>0.4375</v>
      </c>
      <c r="L47" s="1454">
        <v>0.60416666666666663</v>
      </c>
      <c r="M47" s="1445">
        <f t="shared" si="16"/>
        <v>3.9999999999999991</v>
      </c>
      <c r="N47" s="1447"/>
      <c r="O47" s="1454">
        <v>0.4375</v>
      </c>
      <c r="P47" s="1454">
        <v>0.60416666666666663</v>
      </c>
      <c r="Q47" s="1445">
        <f t="shared" si="17"/>
        <v>3.9999999999999991</v>
      </c>
      <c r="R47" s="1447"/>
      <c r="S47" s="1454">
        <v>0.4375</v>
      </c>
      <c r="T47" s="1454">
        <v>0.60416666666666663</v>
      </c>
      <c r="U47" s="1445">
        <f t="shared" si="18"/>
        <v>3.9999999999999991</v>
      </c>
      <c r="V47" s="1447"/>
      <c r="W47" s="1454"/>
      <c r="X47" s="1454"/>
      <c r="Y47" s="1445">
        <f t="shared" si="19"/>
        <v>0</v>
      </c>
      <c r="Z47" s="1455"/>
      <c r="AA47" s="1454"/>
      <c r="AB47" s="1454"/>
      <c r="AC47" s="1445">
        <f t="shared" si="20"/>
        <v>0</v>
      </c>
    </row>
    <row r="48" spans="2:29" ht="10.9" customHeight="1">
      <c r="B48" s="1482" t="s">
        <v>1542</v>
      </c>
      <c r="C48" s="1454">
        <v>0.375</v>
      </c>
      <c r="D48" s="1454">
        <v>0.70833333333333304</v>
      </c>
      <c r="E48" s="1445">
        <f t="shared" si="14"/>
        <v>7.9999999999999929</v>
      </c>
      <c r="F48" s="1447"/>
      <c r="G48" s="1454"/>
      <c r="H48" s="1454"/>
      <c r="I48" s="1445">
        <f t="shared" si="15"/>
        <v>0</v>
      </c>
      <c r="J48" s="1447"/>
      <c r="K48" s="1454"/>
      <c r="L48" s="1454"/>
      <c r="M48" s="1445">
        <f t="shared" si="16"/>
        <v>0</v>
      </c>
      <c r="N48" s="1447"/>
      <c r="O48" s="1454"/>
      <c r="P48" s="1454"/>
      <c r="Q48" s="1445">
        <f t="shared" si="17"/>
        <v>0</v>
      </c>
      <c r="R48" s="1447"/>
      <c r="S48" s="1454"/>
      <c r="T48" s="1454"/>
      <c r="U48" s="1445">
        <f t="shared" si="18"/>
        <v>0</v>
      </c>
      <c r="V48" s="1447"/>
      <c r="W48" s="1454"/>
      <c r="X48" s="1454"/>
      <c r="Y48" s="1445">
        <f t="shared" si="19"/>
        <v>0</v>
      </c>
      <c r="Z48" s="1455"/>
      <c r="AA48" s="1454"/>
      <c r="AB48" s="1454"/>
      <c r="AC48" s="1445">
        <f t="shared" si="20"/>
        <v>0</v>
      </c>
    </row>
    <row r="49" spans="2:29" ht="10.9" customHeight="1">
      <c r="B49" s="1482" t="s">
        <v>1456</v>
      </c>
      <c r="C49" s="1454"/>
      <c r="D49" s="1454"/>
      <c r="E49" s="1445">
        <f t="shared" si="14"/>
        <v>0</v>
      </c>
      <c r="F49" s="1447"/>
      <c r="G49" s="1454"/>
      <c r="H49" s="1454"/>
      <c r="I49" s="1445">
        <f t="shared" si="15"/>
        <v>0</v>
      </c>
      <c r="J49" s="1447"/>
      <c r="K49" s="1454"/>
      <c r="L49" s="1454"/>
      <c r="M49" s="1445">
        <f t="shared" si="16"/>
        <v>0</v>
      </c>
      <c r="N49" s="1447"/>
      <c r="O49" s="1454"/>
      <c r="P49" s="1454"/>
      <c r="Q49" s="1445">
        <f t="shared" si="17"/>
        <v>0</v>
      </c>
      <c r="R49" s="1447"/>
      <c r="S49" s="1454"/>
      <c r="T49" s="1454"/>
      <c r="U49" s="1445">
        <f t="shared" si="18"/>
        <v>0</v>
      </c>
      <c r="V49" s="1447"/>
      <c r="W49" s="1454"/>
      <c r="X49" s="1454"/>
      <c r="Y49" s="1445">
        <f t="shared" si="19"/>
        <v>0</v>
      </c>
      <c r="Z49" s="1455"/>
      <c r="AA49" s="1454"/>
      <c r="AB49" s="1454"/>
      <c r="AC49" s="1445">
        <f t="shared" si="20"/>
        <v>0</v>
      </c>
    </row>
    <row r="50" spans="2:29" ht="10.9" customHeight="1">
      <c r="B50" s="1482" t="s">
        <v>1543</v>
      </c>
      <c r="C50" s="1454"/>
      <c r="D50" s="1454"/>
      <c r="E50" s="1445">
        <f t="shared" si="14"/>
        <v>0</v>
      </c>
      <c r="F50" s="1447"/>
      <c r="G50" s="1454"/>
      <c r="H50" s="1454"/>
      <c r="I50" s="1445">
        <f t="shared" si="15"/>
        <v>0</v>
      </c>
      <c r="J50" s="1447"/>
      <c r="K50" s="1454"/>
      <c r="L50" s="1454"/>
      <c r="M50" s="1445">
        <f t="shared" si="16"/>
        <v>0</v>
      </c>
      <c r="N50" s="1447"/>
      <c r="O50" s="1454"/>
      <c r="P50" s="1454"/>
      <c r="Q50" s="1445">
        <f t="shared" si="17"/>
        <v>0</v>
      </c>
      <c r="R50" s="1447"/>
      <c r="S50" s="1454"/>
      <c r="T50" s="1454"/>
      <c r="U50" s="1445">
        <f t="shared" si="18"/>
        <v>0</v>
      </c>
      <c r="V50" s="1447"/>
      <c r="W50" s="1454"/>
      <c r="X50" s="1454"/>
      <c r="Y50" s="1445">
        <f t="shared" si="19"/>
        <v>0</v>
      </c>
      <c r="Z50" s="1455"/>
      <c r="AA50" s="1454"/>
      <c r="AB50" s="1454"/>
      <c r="AC50" s="1445">
        <f t="shared" si="20"/>
        <v>0</v>
      </c>
    </row>
    <row r="51" spans="2:29" ht="10.9" customHeight="1">
      <c r="B51" s="1482" t="s">
        <v>1544</v>
      </c>
      <c r="C51" s="1454">
        <v>0.375</v>
      </c>
      <c r="D51" s="1454">
        <v>0.75</v>
      </c>
      <c r="E51" s="1445">
        <f t="shared" si="14"/>
        <v>9</v>
      </c>
      <c r="F51" s="1447"/>
      <c r="G51" s="1454">
        <v>0.375</v>
      </c>
      <c r="H51" s="1454">
        <v>0.75</v>
      </c>
      <c r="I51" s="1445">
        <f t="shared" si="15"/>
        <v>9</v>
      </c>
      <c r="J51" s="1447"/>
      <c r="K51" s="1454">
        <v>0.375</v>
      </c>
      <c r="L51" s="1454">
        <v>0.75</v>
      </c>
      <c r="M51" s="1445">
        <f t="shared" si="16"/>
        <v>9</v>
      </c>
      <c r="N51" s="1447"/>
      <c r="O51" s="1454">
        <v>0.375</v>
      </c>
      <c r="P51" s="1454">
        <v>0.75</v>
      </c>
      <c r="Q51" s="1445">
        <f t="shared" si="17"/>
        <v>9</v>
      </c>
      <c r="R51" s="1447"/>
      <c r="S51" s="1454">
        <v>0.375</v>
      </c>
      <c r="T51" s="1454">
        <v>0.75</v>
      </c>
      <c r="U51" s="1445">
        <f t="shared" si="18"/>
        <v>9</v>
      </c>
      <c r="V51" s="1447"/>
      <c r="W51" s="1454"/>
      <c r="X51" s="1454"/>
      <c r="Y51" s="1445">
        <f t="shared" si="19"/>
        <v>0</v>
      </c>
      <c r="Z51" s="1447"/>
      <c r="AA51" s="1454"/>
      <c r="AB51" s="1454"/>
      <c r="AC51" s="1445">
        <f t="shared" si="20"/>
        <v>0</v>
      </c>
    </row>
    <row r="52" spans="2:29" ht="10.9" customHeight="1">
      <c r="B52" s="1482" t="s">
        <v>1141</v>
      </c>
      <c r="C52" s="1454"/>
      <c r="D52" s="1454"/>
      <c r="E52" s="1445">
        <f t="shared" si="14"/>
        <v>0</v>
      </c>
      <c r="F52" s="1447"/>
      <c r="G52" s="1454"/>
      <c r="H52" s="1454"/>
      <c r="I52" s="1445">
        <f t="shared" si="15"/>
        <v>0</v>
      </c>
      <c r="J52" s="1447"/>
      <c r="K52" s="1454"/>
      <c r="L52" s="1454"/>
      <c r="M52" s="1445">
        <f t="shared" si="16"/>
        <v>0</v>
      </c>
      <c r="N52" s="1447"/>
      <c r="O52" s="1454"/>
      <c r="P52" s="1454"/>
      <c r="Q52" s="1445">
        <f t="shared" si="17"/>
        <v>0</v>
      </c>
      <c r="R52" s="1447"/>
      <c r="S52" s="1454"/>
      <c r="T52" s="1454"/>
      <c r="U52" s="1445">
        <f t="shared" si="18"/>
        <v>0</v>
      </c>
      <c r="V52" s="1447"/>
      <c r="W52" s="1454"/>
      <c r="X52" s="1454"/>
      <c r="Y52" s="1445">
        <f t="shared" si="19"/>
        <v>0</v>
      </c>
      <c r="Z52" s="1447"/>
      <c r="AA52" s="1454"/>
      <c r="AB52" s="1454"/>
      <c r="AC52" s="1445">
        <f t="shared" si="20"/>
        <v>0</v>
      </c>
    </row>
    <row r="53" spans="2:29" ht="10.9" customHeight="1">
      <c r="B53" s="1482" t="s">
        <v>44</v>
      </c>
      <c r="C53" s="1454">
        <v>0.375</v>
      </c>
      <c r="D53" s="1454">
        <v>0.75</v>
      </c>
      <c r="E53" s="1445">
        <f t="shared" si="14"/>
        <v>9</v>
      </c>
      <c r="F53" s="1447"/>
      <c r="G53" s="1454">
        <v>0.375</v>
      </c>
      <c r="H53" s="1454">
        <v>0.75</v>
      </c>
      <c r="I53" s="1445">
        <f t="shared" si="15"/>
        <v>9</v>
      </c>
      <c r="J53" s="1447"/>
      <c r="K53" s="1454">
        <v>0.375</v>
      </c>
      <c r="L53" s="1454">
        <v>0.75</v>
      </c>
      <c r="M53" s="1445">
        <f t="shared" si="16"/>
        <v>9</v>
      </c>
      <c r="N53" s="1447"/>
      <c r="O53" s="1454">
        <v>0.375</v>
      </c>
      <c r="P53" s="1454">
        <v>0.75</v>
      </c>
      <c r="Q53" s="1445">
        <f t="shared" si="17"/>
        <v>9</v>
      </c>
      <c r="R53" s="1447"/>
      <c r="S53" s="1454">
        <v>0.375</v>
      </c>
      <c r="T53" s="1454">
        <v>0.75</v>
      </c>
      <c r="U53" s="1445">
        <f t="shared" si="18"/>
        <v>9</v>
      </c>
      <c r="V53" s="1447"/>
      <c r="W53" s="1454"/>
      <c r="X53" s="1454"/>
      <c r="Y53" s="1445">
        <f t="shared" si="19"/>
        <v>0</v>
      </c>
      <c r="Z53" s="1447"/>
      <c r="AA53" s="1454"/>
      <c r="AB53" s="1454"/>
      <c r="AC53" s="1445">
        <f t="shared" si="20"/>
        <v>0</v>
      </c>
    </row>
    <row r="54" spans="2:29" ht="10.9" customHeight="1">
      <c r="B54" s="1482" t="s">
        <v>1065</v>
      </c>
      <c r="C54" s="1454"/>
      <c r="D54" s="1454"/>
      <c r="E54" s="1445">
        <f t="shared" si="14"/>
        <v>0</v>
      </c>
      <c r="F54" s="1447"/>
      <c r="G54" s="1454">
        <v>0.41666666666666669</v>
      </c>
      <c r="H54" s="1454">
        <v>0.70833333333333337</v>
      </c>
      <c r="I54" s="1445">
        <f t="shared" si="15"/>
        <v>7</v>
      </c>
      <c r="J54" s="1447"/>
      <c r="K54" s="1454"/>
      <c r="L54" s="1454"/>
      <c r="M54" s="1445">
        <f t="shared" si="16"/>
        <v>0</v>
      </c>
      <c r="N54" s="1447"/>
      <c r="O54" s="1454">
        <v>0.41666666666666669</v>
      </c>
      <c r="P54" s="1454">
        <v>0.70833333333333337</v>
      </c>
      <c r="Q54" s="1445">
        <f t="shared" si="17"/>
        <v>7</v>
      </c>
      <c r="R54" s="1447"/>
      <c r="S54" s="1454">
        <v>0.41666666666666669</v>
      </c>
      <c r="T54" s="1454">
        <v>0.70833333333333337</v>
      </c>
      <c r="U54" s="1445">
        <f t="shared" si="18"/>
        <v>7</v>
      </c>
      <c r="V54" s="1447"/>
      <c r="W54" s="1454"/>
      <c r="X54" s="1454"/>
      <c r="Y54" s="1445">
        <f t="shared" si="19"/>
        <v>0</v>
      </c>
      <c r="Z54" s="1447"/>
      <c r="AA54" s="1454"/>
      <c r="AB54" s="1454"/>
      <c r="AC54" s="1445">
        <f t="shared" si="20"/>
        <v>0</v>
      </c>
    </row>
    <row r="55" spans="2:29" ht="10.9" customHeight="1">
      <c r="B55" s="1482" t="s">
        <v>1545</v>
      </c>
      <c r="C55" s="1454">
        <v>0.375</v>
      </c>
      <c r="D55" s="1454">
        <v>0.75</v>
      </c>
      <c r="E55" s="1445">
        <f t="shared" si="14"/>
        <v>9</v>
      </c>
      <c r="F55" s="1447"/>
      <c r="G55" s="1454">
        <v>0.375</v>
      </c>
      <c r="H55" s="1454">
        <v>0.75</v>
      </c>
      <c r="I55" s="1445">
        <f t="shared" si="15"/>
        <v>9</v>
      </c>
      <c r="J55" s="1447"/>
      <c r="K55" s="1454">
        <v>0.375</v>
      </c>
      <c r="L55" s="1454">
        <v>0.75</v>
      </c>
      <c r="M55" s="1445">
        <f t="shared" si="16"/>
        <v>9</v>
      </c>
      <c r="N55" s="1447"/>
      <c r="O55" s="1454">
        <v>0.375</v>
      </c>
      <c r="P55" s="1454">
        <v>0.75</v>
      </c>
      <c r="Q55" s="1445">
        <f t="shared" si="17"/>
        <v>9</v>
      </c>
      <c r="R55" s="1447"/>
      <c r="S55" s="1454">
        <v>0.375</v>
      </c>
      <c r="T55" s="1454">
        <v>0.75</v>
      </c>
      <c r="U55" s="1445">
        <f t="shared" si="18"/>
        <v>9</v>
      </c>
      <c r="V55" s="1447"/>
      <c r="W55" s="1454"/>
      <c r="X55" s="1454"/>
      <c r="Y55" s="1445">
        <f t="shared" si="19"/>
        <v>0</v>
      </c>
      <c r="Z55" s="1447"/>
      <c r="AA55" s="1454"/>
      <c r="AB55" s="1454"/>
      <c r="AC55" s="1445">
        <f t="shared" si="20"/>
        <v>0</v>
      </c>
    </row>
    <row r="56" spans="2:29" ht="10.9" customHeight="1">
      <c r="B56" s="1485" t="s">
        <v>1144</v>
      </c>
      <c r="C56" s="1454"/>
      <c r="D56" s="1454"/>
      <c r="E56" s="1445">
        <f t="shared" si="14"/>
        <v>0</v>
      </c>
      <c r="F56" s="1447"/>
      <c r="G56" s="1454">
        <v>0.5</v>
      </c>
      <c r="H56" s="1454">
        <v>0.83333333333333337</v>
      </c>
      <c r="I56" s="1445">
        <f t="shared" si="15"/>
        <v>8</v>
      </c>
      <c r="J56" s="1447"/>
      <c r="K56" s="1454">
        <v>0.58333333333333337</v>
      </c>
      <c r="L56" s="1454">
        <v>0</v>
      </c>
      <c r="M56" s="1445">
        <f t="shared" si="16"/>
        <v>10</v>
      </c>
      <c r="N56" s="1447"/>
      <c r="O56" s="1454"/>
      <c r="P56" s="1454"/>
      <c r="Q56" s="1445">
        <f t="shared" si="17"/>
        <v>0</v>
      </c>
      <c r="R56" s="1447"/>
      <c r="S56" s="1454">
        <v>0.5</v>
      </c>
      <c r="T56" s="1454">
        <v>0</v>
      </c>
      <c r="U56" s="1445">
        <f t="shared" si="18"/>
        <v>12</v>
      </c>
      <c r="V56" s="1447"/>
      <c r="W56" s="1454"/>
      <c r="X56" s="1454"/>
      <c r="Y56" s="1445">
        <f t="shared" si="19"/>
        <v>0</v>
      </c>
      <c r="Z56" s="1447"/>
      <c r="AA56" s="1454"/>
      <c r="AB56" s="1454"/>
      <c r="AC56" s="1445">
        <f t="shared" si="20"/>
        <v>0</v>
      </c>
    </row>
    <row r="57" spans="2:29" ht="10.9" customHeight="1">
      <c r="B57" s="1451" t="s">
        <v>61</v>
      </c>
      <c r="C57" s="1453"/>
      <c r="D57" s="1453"/>
      <c r="E57" s="1452">
        <f>SUM(E37:E56)</f>
        <v>117</v>
      </c>
      <c r="F57" s="1453"/>
      <c r="G57" s="1453"/>
      <c r="H57" s="1453"/>
      <c r="I57" s="1452">
        <f>SUM(I37:I56)</f>
        <v>117</v>
      </c>
      <c r="J57" s="1453"/>
      <c r="K57" s="1453"/>
      <c r="L57" s="1453"/>
      <c r="M57" s="1452">
        <f>SUM(M37:M56)</f>
        <v>129</v>
      </c>
      <c r="N57" s="1453"/>
      <c r="O57" s="1453"/>
      <c r="P57" s="1453"/>
      <c r="Q57" s="1452">
        <f>SUM(Q37:Q56)</f>
        <v>106.99999999999997</v>
      </c>
      <c r="R57" s="1453"/>
      <c r="S57" s="1453"/>
      <c r="T57" s="1453"/>
      <c r="U57" s="1452">
        <f>SUM(U37:U56)</f>
        <v>111.99999999999999</v>
      </c>
      <c r="V57" s="1447"/>
      <c r="W57" s="1451"/>
      <c r="X57" s="1451"/>
      <c r="Y57" s="1450">
        <f>SUM(Y37:Y56)</f>
        <v>0</v>
      </c>
      <c r="Z57" s="1447"/>
      <c r="AA57" s="1451"/>
      <c r="AB57" s="1451"/>
      <c r="AC57" s="1450">
        <f>SUM(AC37:AC56)</f>
        <v>0</v>
      </c>
    </row>
    <row r="58" spans="2:29" ht="10.9" customHeight="1">
      <c r="B58" s="1444" t="s">
        <v>1546</v>
      </c>
      <c r="C58" s="1446"/>
      <c r="D58" s="1446"/>
      <c r="E58" s="1445"/>
      <c r="F58" s="1449"/>
      <c r="G58" s="1446"/>
      <c r="H58" s="1446"/>
      <c r="I58" s="1445"/>
      <c r="J58" s="1448"/>
      <c r="K58" s="1446"/>
      <c r="L58" s="1446"/>
      <c r="M58" s="1445"/>
      <c r="N58" s="1448"/>
      <c r="O58" s="1446"/>
      <c r="P58" s="1446"/>
      <c r="Q58" s="1445"/>
      <c r="R58" s="1448"/>
      <c r="S58" s="1446"/>
      <c r="T58" s="1446"/>
      <c r="U58" s="1445"/>
      <c r="V58" s="1447"/>
      <c r="W58" s="1446" t="s">
        <v>29</v>
      </c>
      <c r="X58" s="1446" t="s">
        <v>29</v>
      </c>
      <c r="Y58" s="1445"/>
      <c r="Z58" s="1447"/>
      <c r="AA58" s="1446" t="s">
        <v>29</v>
      </c>
      <c r="AB58" s="1446" t="s">
        <v>29</v>
      </c>
      <c r="AC58" s="1445"/>
    </row>
    <row r="59" spans="2:29" ht="10.9" customHeight="1">
      <c r="B59" s="1444" t="s">
        <v>1547</v>
      </c>
    </row>
    <row r="63" spans="2:29" ht="25.5">
      <c r="B63" s="1516" t="s">
        <v>18</v>
      </c>
      <c r="C63" s="1515">
        <v>46132</v>
      </c>
      <c r="D63" s="1515"/>
      <c r="E63" s="1462" t="s">
        <v>564</v>
      </c>
      <c r="F63" s="1463"/>
      <c r="G63" s="1515">
        <f>C63+1</f>
        <v>46133</v>
      </c>
      <c r="H63" s="1515"/>
      <c r="I63" s="1462" t="s">
        <v>565</v>
      </c>
      <c r="J63" s="1463"/>
      <c r="K63" s="1515">
        <f>G63+1</f>
        <v>46134</v>
      </c>
      <c r="L63" s="1515"/>
      <c r="M63" s="1462" t="s">
        <v>566</v>
      </c>
      <c r="N63" s="1463"/>
      <c r="O63" s="1515">
        <f>K63+1</f>
        <v>46135</v>
      </c>
      <c r="P63" s="1515"/>
      <c r="Q63" s="1462" t="s">
        <v>567</v>
      </c>
      <c r="R63" s="1463"/>
      <c r="S63" s="1515">
        <f>O63+1</f>
        <v>46136</v>
      </c>
      <c r="T63" s="1515"/>
      <c r="U63" s="1462" t="s">
        <v>568</v>
      </c>
      <c r="V63" s="1447"/>
      <c r="W63" s="1515">
        <f>S63+1</f>
        <v>46137</v>
      </c>
      <c r="X63" s="1515"/>
      <c r="Y63" s="1461" t="s">
        <v>1111</v>
      </c>
      <c r="Z63" s="1447"/>
      <c r="AA63" s="1515">
        <f>W63+1</f>
        <v>46138</v>
      </c>
      <c r="AB63" s="1515"/>
      <c r="AC63" s="1461" t="s">
        <v>1111</v>
      </c>
    </row>
    <row r="64" spans="2:29" ht="14.25">
      <c r="B64" s="1516"/>
      <c r="C64" s="1459" t="s">
        <v>23</v>
      </c>
      <c r="D64" s="1459" t="s">
        <v>24</v>
      </c>
      <c r="E64" s="1460" t="s">
        <v>25</v>
      </c>
      <c r="F64" s="1447"/>
      <c r="G64" s="1459" t="s">
        <v>23</v>
      </c>
      <c r="H64" s="1459" t="s">
        <v>24</v>
      </c>
      <c r="I64" s="1458" t="s">
        <v>25</v>
      </c>
      <c r="J64" s="1447"/>
      <c r="K64" s="1459" t="s">
        <v>23</v>
      </c>
      <c r="L64" s="1459" t="s">
        <v>24</v>
      </c>
      <c r="M64" s="1458" t="s">
        <v>25</v>
      </c>
      <c r="N64" s="1447"/>
      <c r="O64" s="1459" t="s">
        <v>23</v>
      </c>
      <c r="P64" s="1459" t="s">
        <v>24</v>
      </c>
      <c r="Q64" s="1458" t="s">
        <v>25</v>
      </c>
      <c r="R64" s="1447"/>
      <c r="S64" s="1459" t="s">
        <v>23</v>
      </c>
      <c r="T64" s="1459" t="s">
        <v>24</v>
      </c>
      <c r="U64" s="1458" t="s">
        <v>25</v>
      </c>
      <c r="V64" s="1447"/>
      <c r="W64" s="1459" t="s">
        <v>23</v>
      </c>
      <c r="X64" s="1459" t="s">
        <v>24</v>
      </c>
      <c r="Y64" s="1458" t="s">
        <v>25</v>
      </c>
      <c r="Z64" s="1447"/>
      <c r="AA64" s="1459" t="s">
        <v>23</v>
      </c>
      <c r="AB64" s="1459" t="s">
        <v>24</v>
      </c>
      <c r="AC64" s="1458" t="s">
        <v>25</v>
      </c>
    </row>
    <row r="65" spans="2:29" ht="14.25">
      <c r="B65" s="1482" t="s">
        <v>810</v>
      </c>
      <c r="C65" s="1454"/>
      <c r="D65" s="1454"/>
      <c r="E65" s="1445">
        <f t="shared" ref="E65:E84" si="28">MOD(D65-C65,1)*24</f>
        <v>0</v>
      </c>
      <c r="F65" s="1446"/>
      <c r="G65" s="1454"/>
      <c r="H65" s="1454"/>
      <c r="I65" s="1445">
        <f t="shared" ref="I65:I84" si="29">MOD(H65-G65,1)*24</f>
        <v>0</v>
      </c>
      <c r="J65" s="1447"/>
      <c r="K65" s="1454"/>
      <c r="L65" s="1454"/>
      <c r="M65" s="1445">
        <f t="shared" ref="M65:M84" si="30">MOD(L65-K65,1)*24</f>
        <v>0</v>
      </c>
      <c r="N65" s="1447"/>
      <c r="O65" s="1454"/>
      <c r="P65" s="1454"/>
      <c r="Q65" s="1445">
        <f t="shared" ref="Q65:Q84" si="31">MOD(P65-O65,1)*24</f>
        <v>0</v>
      </c>
      <c r="R65" s="1447"/>
      <c r="S65" s="1454"/>
      <c r="T65" s="1454"/>
      <c r="U65" s="1445">
        <f t="shared" ref="U65:U84" si="32">MOD(T65-S65,1)*24</f>
        <v>0</v>
      </c>
      <c r="V65" s="1447"/>
      <c r="W65" s="1454"/>
      <c r="X65" s="1454"/>
      <c r="Y65" s="1445">
        <f t="shared" ref="Y65:Y84" si="33">MOD(X65-W65,1)*24</f>
        <v>0</v>
      </c>
      <c r="Z65" s="1447"/>
      <c r="AA65" s="1454"/>
      <c r="AB65" s="1454"/>
      <c r="AC65" s="1445">
        <f t="shared" ref="AC65:AC84" si="34">MOD(AB65-AA65,1)*24</f>
        <v>0</v>
      </c>
    </row>
    <row r="66" spans="2:29" ht="14.25">
      <c r="B66" s="1485" t="s">
        <v>1433</v>
      </c>
      <c r="C66" s="1454"/>
      <c r="D66" s="1454"/>
      <c r="E66" s="1445">
        <f t="shared" si="28"/>
        <v>0</v>
      </c>
      <c r="F66" s="1447"/>
      <c r="G66" s="1454"/>
      <c r="H66" s="1454"/>
      <c r="I66" s="1445">
        <f t="shared" si="29"/>
        <v>0</v>
      </c>
      <c r="J66" s="1447"/>
      <c r="K66" s="1454"/>
      <c r="L66" s="1454"/>
      <c r="M66" s="1457">
        <f t="shared" si="30"/>
        <v>0</v>
      </c>
      <c r="N66" s="1447"/>
      <c r="O66" s="1454"/>
      <c r="P66" s="1454"/>
      <c r="Q66" s="1445">
        <f t="shared" si="31"/>
        <v>0</v>
      </c>
      <c r="R66" s="1447"/>
      <c r="S66" s="1454"/>
      <c r="T66" s="1454"/>
      <c r="U66" s="1445">
        <f t="shared" si="32"/>
        <v>0</v>
      </c>
      <c r="V66" s="1447"/>
      <c r="W66" s="1454"/>
      <c r="X66" s="1454"/>
      <c r="Y66" s="1445">
        <f t="shared" si="33"/>
        <v>0</v>
      </c>
      <c r="Z66" s="1455"/>
      <c r="AA66" s="1454"/>
      <c r="AB66" s="1454"/>
      <c r="AC66" s="1445">
        <f t="shared" si="34"/>
        <v>0</v>
      </c>
    </row>
    <row r="67" spans="2:29" ht="14.25">
      <c r="B67" s="1482" t="s">
        <v>1066</v>
      </c>
      <c r="C67" s="1454"/>
      <c r="D67" s="1454"/>
      <c r="E67" s="1445">
        <f t="shared" si="28"/>
        <v>0</v>
      </c>
      <c r="F67" s="1447"/>
      <c r="G67" s="1454"/>
      <c r="H67" s="1454"/>
      <c r="I67" s="1445">
        <f t="shared" si="29"/>
        <v>0</v>
      </c>
      <c r="J67" s="1447"/>
      <c r="K67" s="1454"/>
      <c r="L67" s="1454"/>
      <c r="M67" s="1445">
        <f t="shared" si="30"/>
        <v>0</v>
      </c>
      <c r="N67" s="1447"/>
      <c r="O67" s="1454"/>
      <c r="P67" s="1454"/>
      <c r="Q67" s="1445">
        <f t="shared" si="31"/>
        <v>0</v>
      </c>
      <c r="R67" s="1447"/>
      <c r="S67" s="1454"/>
      <c r="T67" s="1454"/>
      <c r="U67" s="1445">
        <f t="shared" si="32"/>
        <v>0</v>
      </c>
      <c r="V67" s="1456"/>
      <c r="W67" s="1454"/>
      <c r="X67" s="1454"/>
      <c r="Y67" s="1445">
        <f t="shared" si="33"/>
        <v>0</v>
      </c>
      <c r="Z67" s="1455"/>
      <c r="AA67" s="1454"/>
      <c r="AB67" s="1454"/>
      <c r="AC67" s="1445">
        <f t="shared" si="34"/>
        <v>0</v>
      </c>
    </row>
    <row r="68" spans="2:29" ht="14.25">
      <c r="B68" s="1482" t="s">
        <v>603</v>
      </c>
      <c r="C68" s="1454">
        <v>0.375</v>
      </c>
      <c r="D68" s="1454">
        <v>0.75</v>
      </c>
      <c r="E68" s="1445">
        <f t="shared" si="28"/>
        <v>9</v>
      </c>
      <c r="F68" s="1447"/>
      <c r="G68" s="1454">
        <v>0.375</v>
      </c>
      <c r="H68" s="1454">
        <v>0.75</v>
      </c>
      <c r="I68" s="1445">
        <f t="shared" si="29"/>
        <v>9</v>
      </c>
      <c r="J68" s="1447"/>
      <c r="K68" s="1454">
        <v>0.375</v>
      </c>
      <c r="L68" s="1454">
        <v>0.75</v>
      </c>
      <c r="M68" s="1445">
        <f t="shared" si="30"/>
        <v>9</v>
      </c>
      <c r="N68" s="1447"/>
      <c r="O68" s="1454">
        <v>0.375</v>
      </c>
      <c r="P68" s="1454">
        <v>0.75</v>
      </c>
      <c r="Q68" s="1445">
        <f t="shared" si="31"/>
        <v>9</v>
      </c>
      <c r="R68" s="1447"/>
      <c r="S68" s="1454">
        <v>0.375</v>
      </c>
      <c r="T68" s="1454">
        <v>0.75</v>
      </c>
      <c r="U68" s="1445">
        <f t="shared" si="32"/>
        <v>9</v>
      </c>
      <c r="V68" s="1447"/>
      <c r="W68" s="1454"/>
      <c r="X68" s="1454"/>
      <c r="Y68" s="1445">
        <f t="shared" si="33"/>
        <v>0</v>
      </c>
      <c r="Z68" s="1455"/>
      <c r="AA68" s="1454"/>
      <c r="AB68" s="1454"/>
      <c r="AC68" s="1445">
        <f t="shared" si="34"/>
        <v>0</v>
      </c>
    </row>
    <row r="69" spans="2:29" ht="14.25">
      <c r="B69" s="1482" t="s">
        <v>1540</v>
      </c>
      <c r="C69" s="1454">
        <v>0.375</v>
      </c>
      <c r="D69" s="1454">
        <v>0.75</v>
      </c>
      <c r="E69" s="1445">
        <f t="shared" si="28"/>
        <v>9</v>
      </c>
      <c r="F69" s="1447"/>
      <c r="G69" s="1454">
        <v>0.375</v>
      </c>
      <c r="H69" s="1454">
        <v>0.75</v>
      </c>
      <c r="I69" s="1445">
        <f t="shared" si="29"/>
        <v>9</v>
      </c>
      <c r="J69" s="1447"/>
      <c r="K69" s="1454">
        <v>0.375</v>
      </c>
      <c r="L69" s="1454">
        <v>0.75</v>
      </c>
      <c r="M69" s="1445">
        <f t="shared" si="30"/>
        <v>9</v>
      </c>
      <c r="N69" s="1447"/>
      <c r="O69" s="1454">
        <v>0.375</v>
      </c>
      <c r="P69" s="1454">
        <v>0.75</v>
      </c>
      <c r="Q69" s="1445">
        <f t="shared" si="31"/>
        <v>9</v>
      </c>
      <c r="R69" s="1447"/>
      <c r="S69" s="1454">
        <v>0.375</v>
      </c>
      <c r="T69" s="1454">
        <v>0.75</v>
      </c>
      <c r="U69" s="1445">
        <f t="shared" si="32"/>
        <v>9</v>
      </c>
      <c r="V69" s="1447"/>
      <c r="W69" s="1454"/>
      <c r="X69" s="1454"/>
      <c r="Y69" s="1445">
        <f t="shared" si="33"/>
        <v>0</v>
      </c>
      <c r="Z69" s="1455"/>
      <c r="AA69" s="1454"/>
      <c r="AB69" s="1454"/>
      <c r="AC69" s="1445">
        <f t="shared" si="34"/>
        <v>0</v>
      </c>
    </row>
    <row r="70" spans="2:29" ht="14.25">
      <c r="B70" s="1482" t="s">
        <v>576</v>
      </c>
      <c r="C70" s="1454"/>
      <c r="D70" s="1454"/>
      <c r="E70" s="1445">
        <f t="shared" si="28"/>
        <v>0</v>
      </c>
      <c r="F70" s="1447"/>
      <c r="G70" s="1454">
        <v>0.375</v>
      </c>
      <c r="H70" s="1454">
        <v>0.75</v>
      </c>
      <c r="I70" s="1445">
        <f t="shared" si="29"/>
        <v>9</v>
      </c>
      <c r="J70" s="1447"/>
      <c r="K70" s="1454">
        <v>0.375</v>
      </c>
      <c r="L70" s="1454">
        <v>0.75</v>
      </c>
      <c r="M70" s="1445">
        <f t="shared" si="30"/>
        <v>9</v>
      </c>
      <c r="N70" s="1447"/>
      <c r="O70" s="1454">
        <v>0.375</v>
      </c>
      <c r="P70" s="1454">
        <v>0.75</v>
      </c>
      <c r="Q70" s="1445">
        <f t="shared" si="31"/>
        <v>9</v>
      </c>
      <c r="R70" s="1447"/>
      <c r="S70" s="1454">
        <v>0.375</v>
      </c>
      <c r="T70" s="1454">
        <v>0.75</v>
      </c>
      <c r="U70" s="1445">
        <f t="shared" si="32"/>
        <v>9</v>
      </c>
      <c r="V70" s="1447"/>
      <c r="W70" s="1454"/>
      <c r="X70" s="1454"/>
      <c r="Y70" s="1445">
        <f t="shared" si="33"/>
        <v>0</v>
      </c>
      <c r="Z70" s="1455"/>
      <c r="AA70" s="1454"/>
      <c r="AB70" s="1454"/>
      <c r="AC70" s="1445">
        <f t="shared" si="34"/>
        <v>0</v>
      </c>
    </row>
    <row r="71" spans="2:29" ht="14.25">
      <c r="B71" s="1482" t="s">
        <v>42</v>
      </c>
      <c r="C71" s="1454">
        <v>0.375</v>
      </c>
      <c r="D71" s="1454">
        <v>0.75</v>
      </c>
      <c r="E71" s="1445">
        <f t="shared" si="28"/>
        <v>9</v>
      </c>
      <c r="F71" s="1447"/>
      <c r="G71" s="1454">
        <v>0.375</v>
      </c>
      <c r="H71" s="1454">
        <v>0.75</v>
      </c>
      <c r="I71" s="1445">
        <f t="shared" si="29"/>
        <v>9</v>
      </c>
      <c r="J71" s="1447"/>
      <c r="K71" s="1454">
        <v>0.375</v>
      </c>
      <c r="L71" s="1454">
        <v>0.75</v>
      </c>
      <c r="M71" s="1445">
        <f t="shared" si="30"/>
        <v>9</v>
      </c>
      <c r="N71" s="1447"/>
      <c r="O71" s="1454">
        <v>0.375</v>
      </c>
      <c r="P71" s="1454">
        <v>0.75</v>
      </c>
      <c r="Q71" s="1445">
        <f t="shared" si="31"/>
        <v>9</v>
      </c>
      <c r="R71" s="1447"/>
      <c r="S71" s="1454">
        <v>0.375</v>
      </c>
      <c r="T71" s="1454">
        <v>0.75</v>
      </c>
      <c r="U71" s="1445">
        <f t="shared" si="32"/>
        <v>9</v>
      </c>
      <c r="V71" s="1447"/>
      <c r="W71" s="1454"/>
      <c r="X71" s="1454"/>
      <c r="Y71" s="1445">
        <f t="shared" si="33"/>
        <v>0</v>
      </c>
      <c r="Z71" s="1455"/>
      <c r="AA71" s="1454"/>
      <c r="AB71" s="1454"/>
      <c r="AC71" s="1445">
        <f t="shared" si="34"/>
        <v>0</v>
      </c>
    </row>
    <row r="72" spans="2:29" ht="14.25">
      <c r="B72" s="1482" t="s">
        <v>1143</v>
      </c>
      <c r="C72" s="1454">
        <v>0.375</v>
      </c>
      <c r="D72" s="1454">
        <v>0.75</v>
      </c>
      <c r="E72" s="1445">
        <f t="shared" si="28"/>
        <v>9</v>
      </c>
      <c r="F72" s="1447"/>
      <c r="G72" s="1454">
        <v>0.375</v>
      </c>
      <c r="H72" s="1454">
        <v>0.75</v>
      </c>
      <c r="I72" s="1445">
        <f t="shared" si="29"/>
        <v>9</v>
      </c>
      <c r="J72" s="1447"/>
      <c r="K72" s="1454">
        <v>0.375</v>
      </c>
      <c r="L72" s="1454">
        <v>0.75</v>
      </c>
      <c r="M72" s="1445">
        <f t="shared" si="30"/>
        <v>9</v>
      </c>
      <c r="N72" s="1447"/>
      <c r="O72" s="1454">
        <v>0.375</v>
      </c>
      <c r="P72" s="1454">
        <v>0.75</v>
      </c>
      <c r="Q72" s="1445">
        <f t="shared" si="31"/>
        <v>9</v>
      </c>
      <c r="R72" s="1447"/>
      <c r="S72" s="1454">
        <v>0.375</v>
      </c>
      <c r="T72" s="1454">
        <v>0.75</v>
      </c>
      <c r="U72" s="1445">
        <f t="shared" si="32"/>
        <v>9</v>
      </c>
      <c r="V72" s="1447"/>
      <c r="W72" s="1454"/>
      <c r="X72" s="1454"/>
      <c r="Y72" s="1445">
        <f t="shared" si="33"/>
        <v>0</v>
      </c>
      <c r="Z72" s="1455"/>
      <c r="AA72" s="1454"/>
      <c r="AB72" s="1454"/>
      <c r="AC72" s="1445">
        <f t="shared" si="34"/>
        <v>0</v>
      </c>
    </row>
    <row r="73" spans="2:29" ht="14.25">
      <c r="B73" s="1482" t="s">
        <v>1548</v>
      </c>
      <c r="C73" s="1454"/>
      <c r="D73" s="1454"/>
      <c r="E73" s="1445">
        <f t="shared" si="28"/>
        <v>0</v>
      </c>
      <c r="F73" s="1447"/>
      <c r="G73" s="1454"/>
      <c r="H73" s="1454"/>
      <c r="I73" s="1445">
        <f t="shared" si="29"/>
        <v>0</v>
      </c>
      <c r="J73" s="1447"/>
      <c r="K73" s="1454"/>
      <c r="L73" s="1454"/>
      <c r="M73" s="1445">
        <f t="shared" si="30"/>
        <v>0</v>
      </c>
      <c r="N73" s="1447"/>
      <c r="O73" s="1454"/>
      <c r="P73" s="1454"/>
      <c r="Q73" s="1445">
        <f t="shared" si="31"/>
        <v>0</v>
      </c>
      <c r="R73" s="1447"/>
      <c r="S73" s="1454"/>
      <c r="T73" s="1454"/>
      <c r="U73" s="1445">
        <f t="shared" si="32"/>
        <v>0</v>
      </c>
      <c r="V73" s="1447"/>
      <c r="W73" s="1454"/>
      <c r="X73" s="1454"/>
      <c r="Y73" s="1445">
        <f t="shared" si="33"/>
        <v>0</v>
      </c>
      <c r="Z73" s="1455"/>
      <c r="AA73" s="1454"/>
      <c r="AB73" s="1454"/>
      <c r="AC73" s="1445">
        <f t="shared" si="34"/>
        <v>0</v>
      </c>
    </row>
    <row r="74" spans="2:29" ht="14.25">
      <c r="B74" s="1485" t="s">
        <v>1541</v>
      </c>
      <c r="C74" s="1454">
        <v>0.375</v>
      </c>
      <c r="D74" s="1454">
        <v>0.75</v>
      </c>
      <c r="E74" s="1445">
        <f t="shared" si="28"/>
        <v>9</v>
      </c>
      <c r="F74" s="1447"/>
      <c r="G74" s="1454"/>
      <c r="H74" s="1454"/>
      <c r="I74" s="1445">
        <f t="shared" si="29"/>
        <v>0</v>
      </c>
      <c r="J74" s="1447"/>
      <c r="K74" s="1454">
        <v>0.375</v>
      </c>
      <c r="L74" s="1454">
        <v>0.75</v>
      </c>
      <c r="M74" s="1445">
        <f t="shared" si="30"/>
        <v>9</v>
      </c>
      <c r="N74" s="1447"/>
      <c r="O74" s="1454"/>
      <c r="P74" s="1454"/>
      <c r="Q74" s="1445">
        <f t="shared" si="31"/>
        <v>0</v>
      </c>
      <c r="R74" s="1447"/>
      <c r="S74" s="1454">
        <v>0.375</v>
      </c>
      <c r="T74" s="1454">
        <v>0.75</v>
      </c>
      <c r="U74" s="1445">
        <f t="shared" si="32"/>
        <v>9</v>
      </c>
      <c r="V74" s="1447"/>
      <c r="W74" s="1454"/>
      <c r="X74" s="1454"/>
      <c r="Y74" s="1445">
        <f t="shared" si="33"/>
        <v>0</v>
      </c>
      <c r="Z74" s="1455"/>
      <c r="AA74" s="1454"/>
      <c r="AB74" s="1454"/>
      <c r="AC74" s="1445">
        <f t="shared" si="34"/>
        <v>0</v>
      </c>
    </row>
    <row r="75" spans="2:29" ht="14.25">
      <c r="B75" s="1482" t="s">
        <v>1140</v>
      </c>
      <c r="C75" s="1454">
        <v>0.375</v>
      </c>
      <c r="D75" s="1454">
        <v>0.61111111111111116</v>
      </c>
      <c r="E75" s="1445">
        <f t="shared" si="28"/>
        <v>5.6666666666666679</v>
      </c>
      <c r="F75" s="1447"/>
      <c r="G75" s="1454">
        <v>0.375</v>
      </c>
      <c r="H75" s="1454">
        <v>0.61111111111111116</v>
      </c>
      <c r="I75" s="1445">
        <f t="shared" si="29"/>
        <v>5.6666666666666679</v>
      </c>
      <c r="J75" s="1447"/>
      <c r="K75" s="1454"/>
      <c r="L75" s="1454"/>
      <c r="M75" s="1445">
        <f t="shared" si="30"/>
        <v>0</v>
      </c>
      <c r="N75" s="1447"/>
      <c r="O75" s="1454"/>
      <c r="P75" s="1454"/>
      <c r="Q75" s="1445">
        <f t="shared" si="31"/>
        <v>0</v>
      </c>
      <c r="R75" s="1447"/>
      <c r="S75" s="1454"/>
      <c r="T75" s="1454"/>
      <c r="U75" s="1445">
        <f t="shared" si="32"/>
        <v>0</v>
      </c>
      <c r="V75" s="1447"/>
      <c r="W75" s="1454"/>
      <c r="X75" s="1454"/>
      <c r="Y75" s="1445">
        <f t="shared" si="33"/>
        <v>0</v>
      </c>
      <c r="Z75" s="1455"/>
      <c r="AA75" s="1454"/>
      <c r="AB75" s="1454"/>
      <c r="AC75" s="1445">
        <f t="shared" si="34"/>
        <v>0</v>
      </c>
    </row>
    <row r="76" spans="2:29" ht="14.25">
      <c r="B76" s="1482" t="s">
        <v>1542</v>
      </c>
      <c r="C76" s="1454"/>
      <c r="D76" s="1454"/>
      <c r="E76" s="1445">
        <f t="shared" si="28"/>
        <v>0</v>
      </c>
      <c r="F76" s="1447"/>
      <c r="G76" s="1454"/>
      <c r="H76" s="1454"/>
      <c r="I76" s="1445">
        <f t="shared" si="29"/>
        <v>0</v>
      </c>
      <c r="J76" s="1447"/>
      <c r="K76" s="1454"/>
      <c r="L76" s="1454"/>
      <c r="M76" s="1445">
        <f t="shared" si="30"/>
        <v>0</v>
      </c>
      <c r="N76" s="1447"/>
      <c r="O76" s="1454"/>
      <c r="P76" s="1454"/>
      <c r="Q76" s="1445">
        <f t="shared" si="31"/>
        <v>0</v>
      </c>
      <c r="R76" s="1447"/>
      <c r="S76" s="1454"/>
      <c r="T76" s="1454"/>
      <c r="U76" s="1445">
        <f t="shared" si="32"/>
        <v>0</v>
      </c>
      <c r="V76" s="1447"/>
      <c r="W76" s="1454"/>
      <c r="X76" s="1454"/>
      <c r="Y76" s="1445">
        <f t="shared" si="33"/>
        <v>0</v>
      </c>
      <c r="Z76" s="1455"/>
      <c r="AA76" s="1454"/>
      <c r="AB76" s="1454"/>
      <c r="AC76" s="1445">
        <f t="shared" si="34"/>
        <v>0</v>
      </c>
    </row>
    <row r="77" spans="2:29" ht="14.25">
      <c r="B77" s="1482" t="s">
        <v>1456</v>
      </c>
      <c r="C77" s="1454"/>
      <c r="D77" s="1454"/>
      <c r="E77" s="1445">
        <f t="shared" si="28"/>
        <v>0</v>
      </c>
      <c r="F77" s="1447"/>
      <c r="G77" s="1454"/>
      <c r="H77" s="1454"/>
      <c r="I77" s="1445">
        <f t="shared" si="29"/>
        <v>0</v>
      </c>
      <c r="J77" s="1447"/>
      <c r="K77" s="1454"/>
      <c r="L77" s="1454"/>
      <c r="M77" s="1445">
        <f t="shared" si="30"/>
        <v>0</v>
      </c>
      <c r="N77" s="1447"/>
      <c r="O77" s="1454"/>
      <c r="P77" s="1454"/>
      <c r="Q77" s="1445">
        <f t="shared" si="31"/>
        <v>0</v>
      </c>
      <c r="R77" s="1447"/>
      <c r="S77" s="1454"/>
      <c r="T77" s="1454"/>
      <c r="U77" s="1445">
        <f t="shared" si="32"/>
        <v>0</v>
      </c>
      <c r="V77" s="1447"/>
      <c r="W77" s="1454"/>
      <c r="X77" s="1454"/>
      <c r="Y77" s="1445">
        <f t="shared" si="33"/>
        <v>0</v>
      </c>
      <c r="Z77" s="1455"/>
      <c r="AA77" s="1454"/>
      <c r="AB77" s="1454"/>
      <c r="AC77" s="1445">
        <f t="shared" si="34"/>
        <v>0</v>
      </c>
    </row>
    <row r="78" spans="2:29" ht="14.25">
      <c r="B78" s="1482" t="s">
        <v>1543</v>
      </c>
      <c r="C78" s="1454"/>
      <c r="D78" s="1454"/>
      <c r="E78" s="1445">
        <f t="shared" si="28"/>
        <v>0</v>
      </c>
      <c r="F78" s="1447"/>
      <c r="G78" s="1454"/>
      <c r="H78" s="1454"/>
      <c r="I78" s="1445">
        <f t="shared" si="29"/>
        <v>0</v>
      </c>
      <c r="J78" s="1447"/>
      <c r="K78" s="1454"/>
      <c r="L78" s="1454"/>
      <c r="M78" s="1445">
        <f t="shared" si="30"/>
        <v>0</v>
      </c>
      <c r="N78" s="1447"/>
      <c r="O78" s="1454"/>
      <c r="P78" s="1454"/>
      <c r="Q78" s="1445">
        <f t="shared" si="31"/>
        <v>0</v>
      </c>
      <c r="R78" s="1447"/>
      <c r="S78" s="1454"/>
      <c r="T78" s="1454"/>
      <c r="U78" s="1445">
        <f t="shared" si="32"/>
        <v>0</v>
      </c>
      <c r="V78" s="1447"/>
      <c r="W78" s="1454"/>
      <c r="X78" s="1454"/>
      <c r="Y78" s="1445">
        <f t="shared" si="33"/>
        <v>0</v>
      </c>
      <c r="Z78" s="1455"/>
      <c r="AA78" s="1454"/>
      <c r="AB78" s="1454"/>
      <c r="AC78" s="1445">
        <f t="shared" si="34"/>
        <v>0</v>
      </c>
    </row>
    <row r="79" spans="2:29" ht="14.25">
      <c r="B79" s="1482" t="s">
        <v>1544</v>
      </c>
      <c r="C79" s="1454"/>
      <c r="D79" s="1454"/>
      <c r="E79" s="1445">
        <f t="shared" si="28"/>
        <v>0</v>
      </c>
      <c r="F79" s="1447"/>
      <c r="G79" s="1454"/>
      <c r="H79" s="1454"/>
      <c r="I79" s="1445">
        <f t="shared" si="29"/>
        <v>0</v>
      </c>
      <c r="J79" s="1447"/>
      <c r="K79" s="1454"/>
      <c r="L79" s="1454"/>
      <c r="M79" s="1445">
        <f t="shared" si="30"/>
        <v>0</v>
      </c>
      <c r="N79" s="1447"/>
      <c r="O79" s="1454"/>
      <c r="P79" s="1454"/>
      <c r="Q79" s="1445">
        <f t="shared" si="31"/>
        <v>0</v>
      </c>
      <c r="R79" s="1447"/>
      <c r="S79" s="1454"/>
      <c r="T79" s="1454"/>
      <c r="U79" s="1445">
        <f t="shared" si="32"/>
        <v>0</v>
      </c>
      <c r="V79" s="1447"/>
      <c r="W79" s="1454"/>
      <c r="X79" s="1454"/>
      <c r="Y79" s="1445">
        <f t="shared" si="33"/>
        <v>0</v>
      </c>
      <c r="Z79" s="1447"/>
      <c r="AA79" s="1454"/>
      <c r="AB79" s="1454"/>
      <c r="AC79" s="1445">
        <f t="shared" si="34"/>
        <v>0</v>
      </c>
    </row>
    <row r="80" spans="2:29" ht="14.25">
      <c r="B80" s="1482" t="s">
        <v>1141</v>
      </c>
      <c r="C80" s="1454"/>
      <c r="D80" s="1454"/>
      <c r="E80" s="1445">
        <f t="shared" si="28"/>
        <v>0</v>
      </c>
      <c r="F80" s="1447"/>
      <c r="G80" s="1454"/>
      <c r="H80" s="1454"/>
      <c r="I80" s="1445">
        <f t="shared" si="29"/>
        <v>0</v>
      </c>
      <c r="J80" s="1447"/>
      <c r="K80" s="1454"/>
      <c r="L80" s="1454"/>
      <c r="M80" s="1445">
        <f t="shared" si="30"/>
        <v>0</v>
      </c>
      <c r="N80" s="1447"/>
      <c r="O80" s="1454"/>
      <c r="P80" s="1454"/>
      <c r="Q80" s="1445">
        <f t="shared" si="31"/>
        <v>0</v>
      </c>
      <c r="R80" s="1447"/>
      <c r="S80" s="1454"/>
      <c r="T80" s="1454"/>
      <c r="U80" s="1445">
        <f t="shared" si="32"/>
        <v>0</v>
      </c>
      <c r="V80" s="1447"/>
      <c r="W80" s="1454"/>
      <c r="X80" s="1454"/>
      <c r="Y80" s="1445">
        <f t="shared" si="33"/>
        <v>0</v>
      </c>
      <c r="Z80" s="1447"/>
      <c r="AA80" s="1454"/>
      <c r="AB80" s="1454"/>
      <c r="AC80" s="1445">
        <f t="shared" si="34"/>
        <v>0</v>
      </c>
    </row>
    <row r="81" spans="2:29" ht="14.25">
      <c r="B81" s="1482" t="s">
        <v>44</v>
      </c>
      <c r="C81" s="1454"/>
      <c r="D81" s="1454"/>
      <c r="E81" s="1445">
        <f t="shared" si="28"/>
        <v>0</v>
      </c>
      <c r="F81" s="1447"/>
      <c r="G81" s="1454"/>
      <c r="H81" s="1454"/>
      <c r="I81" s="1445">
        <f t="shared" si="29"/>
        <v>0</v>
      </c>
      <c r="J81" s="1447"/>
      <c r="K81" s="1454"/>
      <c r="L81" s="1454"/>
      <c r="M81" s="1445">
        <f t="shared" si="30"/>
        <v>0</v>
      </c>
      <c r="N81" s="1447"/>
      <c r="O81" s="1454"/>
      <c r="P81" s="1454"/>
      <c r="Q81" s="1445">
        <f t="shared" si="31"/>
        <v>0</v>
      </c>
      <c r="R81" s="1447"/>
      <c r="S81" s="1454"/>
      <c r="T81" s="1454"/>
      <c r="U81" s="1445">
        <f t="shared" si="32"/>
        <v>0</v>
      </c>
      <c r="V81" s="1447"/>
      <c r="W81" s="1454"/>
      <c r="X81" s="1454"/>
      <c r="Y81" s="1445">
        <f t="shared" si="33"/>
        <v>0</v>
      </c>
      <c r="Z81" s="1447"/>
      <c r="AA81" s="1454"/>
      <c r="AB81" s="1454"/>
      <c r="AC81" s="1445">
        <f t="shared" si="34"/>
        <v>0</v>
      </c>
    </row>
    <row r="82" spans="2:29" ht="14.25">
      <c r="B82" s="1482" t="s">
        <v>1065</v>
      </c>
      <c r="C82" s="1454"/>
      <c r="D82" s="1454"/>
      <c r="E82" s="1445">
        <f t="shared" si="28"/>
        <v>0</v>
      </c>
      <c r="F82" s="1447"/>
      <c r="G82" s="1454"/>
      <c r="H82" s="1454"/>
      <c r="I82" s="1445">
        <f t="shared" si="29"/>
        <v>0</v>
      </c>
      <c r="J82" s="1447"/>
      <c r="K82" s="1454"/>
      <c r="L82" s="1454"/>
      <c r="M82" s="1445">
        <f t="shared" si="30"/>
        <v>0</v>
      </c>
      <c r="N82" s="1447"/>
      <c r="O82" s="1454"/>
      <c r="P82" s="1454"/>
      <c r="Q82" s="1445">
        <f t="shared" si="31"/>
        <v>0</v>
      </c>
      <c r="R82" s="1447"/>
      <c r="S82" s="1454"/>
      <c r="T82" s="1454"/>
      <c r="U82" s="1445">
        <f t="shared" si="32"/>
        <v>0</v>
      </c>
      <c r="V82" s="1447"/>
      <c r="W82" s="1454"/>
      <c r="X82" s="1454"/>
      <c r="Y82" s="1445">
        <f t="shared" si="33"/>
        <v>0</v>
      </c>
      <c r="Z82" s="1447"/>
      <c r="AA82" s="1454"/>
      <c r="AB82" s="1454"/>
      <c r="AC82" s="1445">
        <f t="shared" si="34"/>
        <v>0</v>
      </c>
    </row>
    <row r="83" spans="2:29" ht="14.25">
      <c r="B83" s="1482" t="s">
        <v>1545</v>
      </c>
      <c r="C83" s="1454"/>
      <c r="D83" s="1454"/>
      <c r="E83" s="1445">
        <f t="shared" si="28"/>
        <v>0</v>
      </c>
      <c r="F83" s="1447"/>
      <c r="G83" s="1454"/>
      <c r="H83" s="1454"/>
      <c r="I83" s="1445">
        <f t="shared" si="29"/>
        <v>0</v>
      </c>
      <c r="J83" s="1447"/>
      <c r="K83" s="1454"/>
      <c r="L83" s="1454"/>
      <c r="M83" s="1445">
        <f t="shared" si="30"/>
        <v>0</v>
      </c>
      <c r="N83" s="1447"/>
      <c r="O83" s="1454"/>
      <c r="P83" s="1454"/>
      <c r="Q83" s="1445">
        <f t="shared" si="31"/>
        <v>0</v>
      </c>
      <c r="R83" s="1447"/>
      <c r="S83" s="1454"/>
      <c r="T83" s="1454"/>
      <c r="U83" s="1445">
        <f t="shared" si="32"/>
        <v>0</v>
      </c>
      <c r="V83" s="1447"/>
      <c r="W83" s="1454"/>
      <c r="X83" s="1454"/>
      <c r="Y83" s="1445">
        <f t="shared" si="33"/>
        <v>0</v>
      </c>
      <c r="Z83" s="1447"/>
      <c r="AA83" s="1454"/>
      <c r="AB83" s="1454"/>
      <c r="AC83" s="1445">
        <f t="shared" si="34"/>
        <v>0</v>
      </c>
    </row>
    <row r="84" spans="2:29" ht="14.25">
      <c r="B84" s="1485" t="s">
        <v>1144</v>
      </c>
      <c r="C84" s="1454"/>
      <c r="D84" s="1454"/>
      <c r="E84" s="1445">
        <f t="shared" si="28"/>
        <v>0</v>
      </c>
      <c r="F84" s="1447"/>
      <c r="G84" s="1454">
        <v>0.625</v>
      </c>
      <c r="H84" s="1454">
        <v>0.95833333333333337</v>
      </c>
      <c r="I84" s="1445">
        <f t="shared" si="29"/>
        <v>8</v>
      </c>
      <c r="J84" s="1447"/>
      <c r="K84" s="1454">
        <v>0.72916666666666663</v>
      </c>
      <c r="L84" s="1454">
        <v>6.25E-2</v>
      </c>
      <c r="M84" s="1445">
        <f t="shared" si="30"/>
        <v>8</v>
      </c>
      <c r="N84" s="1447"/>
      <c r="O84" s="1454">
        <v>0.29166666666666669</v>
      </c>
      <c r="P84" s="1454">
        <v>0.54166666666666663</v>
      </c>
      <c r="Q84" s="1445">
        <f t="shared" si="31"/>
        <v>5.9999999999999982</v>
      </c>
      <c r="R84" s="1447"/>
      <c r="S84" s="1454">
        <v>0.375</v>
      </c>
      <c r="T84" s="1454">
        <v>0.61458333333333337</v>
      </c>
      <c r="U84" s="1445">
        <f t="shared" si="32"/>
        <v>5.7500000000000009</v>
      </c>
      <c r="V84" s="1447"/>
      <c r="W84" s="1454">
        <v>0.375</v>
      </c>
      <c r="X84" s="1454">
        <v>0.61458333333333337</v>
      </c>
      <c r="Y84" s="1445">
        <f t="shared" si="33"/>
        <v>5.7500000000000009</v>
      </c>
      <c r="Z84" s="1447"/>
      <c r="AA84" s="1454"/>
      <c r="AB84" s="1454"/>
      <c r="AC84" s="1445">
        <f t="shared" si="34"/>
        <v>0</v>
      </c>
    </row>
    <row r="85" spans="2:29" ht="14.25">
      <c r="B85" s="1451" t="s">
        <v>61</v>
      </c>
      <c r="C85" s="1453"/>
      <c r="D85" s="1453"/>
      <c r="E85" s="1452">
        <f>SUM(E65:E84)</f>
        <v>50.666666666666671</v>
      </c>
      <c r="F85" s="1453"/>
      <c r="G85" s="1453"/>
      <c r="H85" s="1453"/>
      <c r="I85" s="1452">
        <f>SUM(I65:I84)</f>
        <v>58.666666666666671</v>
      </c>
      <c r="J85" s="1453"/>
      <c r="K85" s="1453"/>
      <c r="L85" s="1453"/>
      <c r="M85" s="1452">
        <f>SUM(M65:M84)</f>
        <v>62</v>
      </c>
      <c r="N85" s="1453"/>
      <c r="O85" s="1453"/>
      <c r="P85" s="1453"/>
      <c r="Q85" s="1452">
        <f>SUM(Q65:Q84)</f>
        <v>51</v>
      </c>
      <c r="R85" s="1453"/>
      <c r="S85" s="1453"/>
      <c r="T85" s="1453"/>
      <c r="U85" s="1452">
        <f>SUM(U65:U84)</f>
        <v>59.75</v>
      </c>
      <c r="V85" s="1447"/>
      <c r="W85" s="1451"/>
      <c r="X85" s="1451"/>
      <c r="Y85" s="1450">
        <f>SUM(Y65:Y84)</f>
        <v>5.7500000000000009</v>
      </c>
      <c r="Z85" s="1447"/>
      <c r="AA85" s="1451"/>
      <c r="AB85" s="1451"/>
      <c r="AC85" s="1450">
        <f>SUM(AC65:AC84)</f>
        <v>0</v>
      </c>
    </row>
    <row r="86" spans="2:29" ht="14.25">
      <c r="B86" s="1444" t="s">
        <v>1546</v>
      </c>
      <c r="C86" s="1446"/>
      <c r="D86" s="1446"/>
      <c r="E86" s="1445"/>
      <c r="F86" s="1449"/>
      <c r="G86" s="1446"/>
      <c r="H86" s="1446"/>
      <c r="I86" s="1445"/>
      <c r="J86" s="1448"/>
      <c r="K86" s="1446"/>
      <c r="L86" s="1446"/>
      <c r="M86" s="1445"/>
      <c r="N86" s="1448"/>
      <c r="O86" s="1446"/>
      <c r="P86" s="1446"/>
      <c r="Q86" s="1445"/>
      <c r="R86" s="1448"/>
      <c r="S86" s="1446"/>
      <c r="T86" s="1446"/>
      <c r="U86" s="1445"/>
      <c r="V86" s="1447"/>
      <c r="W86" s="1446" t="s">
        <v>29</v>
      </c>
      <c r="X86" s="1446" t="s">
        <v>29</v>
      </c>
      <c r="Y86" s="1445"/>
      <c r="Z86" s="1447"/>
      <c r="AA86" s="1446" t="s">
        <v>29</v>
      </c>
      <c r="AB86" s="1446" t="s">
        <v>29</v>
      </c>
      <c r="AC86" s="1445"/>
    </row>
    <row r="87" spans="2:29">
      <c r="B87" s="1444" t="s">
        <v>1547</v>
      </c>
    </row>
    <row r="90" spans="2:29" ht="25.5">
      <c r="B90" s="1516" t="s">
        <v>18</v>
      </c>
      <c r="C90" s="1515">
        <v>46139</v>
      </c>
      <c r="D90" s="1515"/>
      <c r="E90" s="1462" t="s">
        <v>564</v>
      </c>
      <c r="F90" s="1463"/>
      <c r="G90" s="1515">
        <f>C90+1</f>
        <v>46140</v>
      </c>
      <c r="H90" s="1515"/>
      <c r="I90" s="1462" t="s">
        <v>565</v>
      </c>
      <c r="J90" s="1463"/>
      <c r="K90" s="1515">
        <f>G90+1</f>
        <v>46141</v>
      </c>
      <c r="L90" s="1515"/>
      <c r="M90" s="1462" t="s">
        <v>566</v>
      </c>
      <c r="N90" s="1463"/>
      <c r="O90" s="1515">
        <f>K90+1</f>
        <v>46142</v>
      </c>
      <c r="P90" s="1515"/>
      <c r="Q90" s="1462" t="s">
        <v>567</v>
      </c>
      <c r="R90" s="1463"/>
      <c r="S90" s="1515">
        <f>O90+1</f>
        <v>46143</v>
      </c>
      <c r="T90" s="1515"/>
      <c r="U90" s="1462" t="s">
        <v>568</v>
      </c>
      <c r="V90" s="1447"/>
      <c r="W90" s="1515">
        <f>S90+1</f>
        <v>46144</v>
      </c>
      <c r="X90" s="1515"/>
      <c r="Y90" s="1461" t="s">
        <v>1111</v>
      </c>
      <c r="Z90" s="1447"/>
      <c r="AA90" s="1515">
        <f>W90+1</f>
        <v>46145</v>
      </c>
      <c r="AB90" s="1515"/>
      <c r="AC90" s="1461" t="s">
        <v>1111</v>
      </c>
    </row>
    <row r="91" spans="2:29" ht="14.25">
      <c r="B91" s="1516"/>
      <c r="C91" s="1459" t="s">
        <v>23</v>
      </c>
      <c r="D91" s="1459" t="s">
        <v>24</v>
      </c>
      <c r="E91" s="1460" t="s">
        <v>25</v>
      </c>
      <c r="F91" s="1447"/>
      <c r="G91" s="1459" t="s">
        <v>23</v>
      </c>
      <c r="H91" s="1459" t="s">
        <v>24</v>
      </c>
      <c r="I91" s="1458" t="s">
        <v>25</v>
      </c>
      <c r="J91" s="1447"/>
      <c r="K91" s="1459" t="s">
        <v>23</v>
      </c>
      <c r="L91" s="1459" t="s">
        <v>24</v>
      </c>
      <c r="M91" s="1458" t="s">
        <v>25</v>
      </c>
      <c r="N91" s="1447"/>
      <c r="O91" s="1459" t="s">
        <v>23</v>
      </c>
      <c r="P91" s="1459" t="s">
        <v>24</v>
      </c>
      <c r="Q91" s="1458" t="s">
        <v>25</v>
      </c>
      <c r="R91" s="1447"/>
      <c r="S91" s="1459" t="s">
        <v>23</v>
      </c>
      <c r="T91" s="1459" t="s">
        <v>24</v>
      </c>
      <c r="U91" s="1458" t="s">
        <v>25</v>
      </c>
      <c r="V91" s="1447"/>
      <c r="W91" s="1459" t="s">
        <v>23</v>
      </c>
      <c r="X91" s="1459" t="s">
        <v>24</v>
      </c>
      <c r="Y91" s="1458" t="s">
        <v>25</v>
      </c>
      <c r="Z91" s="1447"/>
      <c r="AA91" s="1459" t="s">
        <v>23</v>
      </c>
      <c r="AB91" s="1459" t="s">
        <v>24</v>
      </c>
      <c r="AC91" s="1458" t="s">
        <v>25</v>
      </c>
    </row>
    <row r="92" spans="2:29" ht="14.25">
      <c r="B92" s="1482" t="s">
        <v>810</v>
      </c>
      <c r="C92" s="1454">
        <v>0.375</v>
      </c>
      <c r="D92" s="1454">
        <v>0.75</v>
      </c>
      <c r="E92" s="1445">
        <f t="shared" ref="E92:E111" si="35">MOD(D92-C92,1)*24</f>
        <v>9</v>
      </c>
      <c r="F92" s="1446"/>
      <c r="G92" s="1454">
        <v>0.375</v>
      </c>
      <c r="H92" s="1454">
        <v>0.75</v>
      </c>
      <c r="I92" s="1445">
        <f t="shared" ref="I92:I111" si="36">MOD(H92-G92,1)*24</f>
        <v>9</v>
      </c>
      <c r="J92" s="1447"/>
      <c r="K92" s="1454">
        <v>0.375</v>
      </c>
      <c r="L92" s="1454">
        <v>0.75</v>
      </c>
      <c r="M92" s="1445">
        <f t="shared" ref="M92:M111" si="37">MOD(L92-K92,1)*24</f>
        <v>9</v>
      </c>
      <c r="N92" s="1447"/>
      <c r="O92" s="1454">
        <v>0.375</v>
      </c>
      <c r="P92" s="1454">
        <v>0.75</v>
      </c>
      <c r="Q92" s="1445">
        <f t="shared" ref="Q92:Q111" si="38">MOD(P92-O92,1)*24</f>
        <v>9</v>
      </c>
      <c r="R92" s="1447"/>
      <c r="S92" s="1454">
        <v>0.375</v>
      </c>
      <c r="T92" s="1454">
        <v>0.75</v>
      </c>
      <c r="U92" s="1445">
        <f t="shared" ref="U92:U111" si="39">MOD(T92-S92,1)*24</f>
        <v>9</v>
      </c>
      <c r="V92" s="1447"/>
      <c r="W92" s="1454"/>
      <c r="X92" s="1454"/>
      <c r="Y92" s="1445">
        <f t="shared" ref="Y92:Y111" si="40">MOD(X92-W92,1)*24</f>
        <v>0</v>
      </c>
      <c r="Z92" s="1447"/>
      <c r="AA92" s="1454"/>
      <c r="AB92" s="1454"/>
      <c r="AC92" s="1445">
        <f t="shared" ref="AC92:AC111" si="41">MOD(AB92-AA92,1)*24</f>
        <v>0</v>
      </c>
    </row>
    <row r="93" spans="2:29" ht="14.25">
      <c r="B93" s="1485" t="s">
        <v>1433</v>
      </c>
      <c r="C93" s="1454"/>
      <c r="D93" s="1454"/>
      <c r="E93" s="1445">
        <f t="shared" si="35"/>
        <v>0</v>
      </c>
      <c r="F93" s="1447"/>
      <c r="G93" s="1454"/>
      <c r="H93" s="1454"/>
      <c r="I93" s="1445">
        <f t="shared" si="36"/>
        <v>0</v>
      </c>
      <c r="J93" s="1447"/>
      <c r="K93" s="1454"/>
      <c r="L93" s="1454"/>
      <c r="M93" s="1457">
        <f t="shared" si="37"/>
        <v>0</v>
      </c>
      <c r="N93" s="1447"/>
      <c r="O93" s="1454"/>
      <c r="P93" s="1454"/>
      <c r="Q93" s="1445">
        <f t="shared" si="38"/>
        <v>0</v>
      </c>
      <c r="R93" s="1447"/>
      <c r="S93" s="1454"/>
      <c r="T93" s="1454"/>
      <c r="U93" s="1445">
        <f t="shared" si="39"/>
        <v>0</v>
      </c>
      <c r="V93" s="1447"/>
      <c r="W93" s="1454"/>
      <c r="X93" s="1454"/>
      <c r="Y93" s="1445">
        <f t="shared" si="40"/>
        <v>0</v>
      </c>
      <c r="Z93" s="1455"/>
      <c r="AA93" s="1454"/>
      <c r="AB93" s="1454"/>
      <c r="AC93" s="1445">
        <f t="shared" si="41"/>
        <v>0</v>
      </c>
    </row>
    <row r="94" spans="2:29" ht="14.25">
      <c r="B94" s="1482" t="s">
        <v>1066</v>
      </c>
      <c r="C94" s="1454">
        <v>0.375</v>
      </c>
      <c r="D94" s="1454">
        <v>0.75</v>
      </c>
      <c r="E94" s="1445">
        <f t="shared" si="35"/>
        <v>9</v>
      </c>
      <c r="F94" s="1447"/>
      <c r="G94" s="1454">
        <v>0.375</v>
      </c>
      <c r="H94" s="1454">
        <v>0.75</v>
      </c>
      <c r="I94" s="1445">
        <f t="shared" si="36"/>
        <v>9</v>
      </c>
      <c r="J94" s="1447"/>
      <c r="K94" s="1454">
        <v>0.375</v>
      </c>
      <c r="L94" s="1454">
        <v>0.75</v>
      </c>
      <c r="M94" s="1445">
        <f t="shared" si="37"/>
        <v>9</v>
      </c>
      <c r="N94" s="1447"/>
      <c r="O94" s="1454">
        <v>0.375</v>
      </c>
      <c r="P94" s="1454">
        <v>0.75</v>
      </c>
      <c r="Q94" s="1445">
        <f t="shared" si="38"/>
        <v>9</v>
      </c>
      <c r="R94" s="1447"/>
      <c r="S94" s="1454">
        <v>0.375</v>
      </c>
      <c r="T94" s="1454">
        <v>0.75</v>
      </c>
      <c r="U94" s="1445">
        <f t="shared" si="39"/>
        <v>9</v>
      </c>
      <c r="V94" s="1456"/>
      <c r="W94" s="1454"/>
      <c r="X94" s="1454"/>
      <c r="Y94" s="1445">
        <f t="shared" si="40"/>
        <v>0</v>
      </c>
      <c r="Z94" s="1455"/>
      <c r="AA94" s="1454"/>
      <c r="AB94" s="1454"/>
      <c r="AC94" s="1445">
        <f t="shared" si="41"/>
        <v>0</v>
      </c>
    </row>
    <row r="95" spans="2:29" ht="14.25">
      <c r="B95" s="1482" t="s">
        <v>603</v>
      </c>
      <c r="C95" s="1454">
        <v>0.375</v>
      </c>
      <c r="D95" s="1454">
        <v>0.75</v>
      </c>
      <c r="E95" s="1445">
        <f t="shared" si="35"/>
        <v>9</v>
      </c>
      <c r="F95" s="1447"/>
      <c r="G95" s="1454">
        <v>0.375</v>
      </c>
      <c r="H95" s="1454">
        <v>0.75</v>
      </c>
      <c r="I95" s="1445">
        <f t="shared" si="36"/>
        <v>9</v>
      </c>
      <c r="J95" s="1447"/>
      <c r="K95" s="1454">
        <v>0.375</v>
      </c>
      <c r="L95" s="1454">
        <v>0.75</v>
      </c>
      <c r="M95" s="1445">
        <f t="shared" si="37"/>
        <v>9</v>
      </c>
      <c r="N95" s="1447"/>
      <c r="O95" s="1454">
        <v>0.375</v>
      </c>
      <c r="P95" s="1454">
        <v>0.8125</v>
      </c>
      <c r="Q95" s="1445">
        <f t="shared" si="38"/>
        <v>10.5</v>
      </c>
      <c r="R95" s="1447"/>
      <c r="S95" s="1454">
        <v>0.375</v>
      </c>
      <c r="T95" s="1454">
        <v>0.75</v>
      </c>
      <c r="U95" s="1445">
        <f t="shared" si="39"/>
        <v>9</v>
      </c>
      <c r="V95" s="1447"/>
      <c r="W95" s="1454"/>
      <c r="X95" s="1454"/>
      <c r="Y95" s="1445">
        <f t="shared" si="40"/>
        <v>0</v>
      </c>
      <c r="Z95" s="1455"/>
      <c r="AA95" s="1454"/>
      <c r="AB95" s="1454"/>
      <c r="AC95" s="1445">
        <f t="shared" si="41"/>
        <v>0</v>
      </c>
    </row>
    <row r="96" spans="2:29" ht="14.25">
      <c r="B96" s="1482" t="s">
        <v>1540</v>
      </c>
      <c r="C96" s="1454">
        <v>0.375</v>
      </c>
      <c r="D96" s="1454">
        <v>0.75</v>
      </c>
      <c r="E96" s="1445">
        <f t="shared" si="35"/>
        <v>9</v>
      </c>
      <c r="F96" s="1447"/>
      <c r="G96" s="1454">
        <v>0.375</v>
      </c>
      <c r="H96" s="1454">
        <v>0.75</v>
      </c>
      <c r="I96" s="1445">
        <f t="shared" si="36"/>
        <v>9</v>
      </c>
      <c r="J96" s="1447"/>
      <c r="K96" s="1454">
        <v>0.375</v>
      </c>
      <c r="L96" s="1454">
        <v>0.75</v>
      </c>
      <c r="M96" s="1445">
        <f t="shared" si="37"/>
        <v>9</v>
      </c>
      <c r="N96" s="1447"/>
      <c r="O96" s="1454">
        <v>0.375</v>
      </c>
      <c r="P96" s="1454">
        <v>0.75</v>
      </c>
      <c r="Q96" s="1445">
        <f t="shared" si="38"/>
        <v>9</v>
      </c>
      <c r="R96" s="1447"/>
      <c r="S96" s="1454">
        <v>0.375</v>
      </c>
      <c r="T96" s="1454">
        <v>0.75</v>
      </c>
      <c r="U96" s="1445">
        <f t="shared" si="39"/>
        <v>9</v>
      </c>
      <c r="V96" s="1447"/>
      <c r="W96" s="1454"/>
      <c r="X96" s="1454"/>
      <c r="Y96" s="1445">
        <f t="shared" si="40"/>
        <v>0</v>
      </c>
      <c r="Z96" s="1455"/>
      <c r="AA96" s="1454"/>
      <c r="AB96" s="1454"/>
      <c r="AC96" s="1445">
        <f t="shared" si="41"/>
        <v>0</v>
      </c>
    </row>
    <row r="97" spans="2:29" ht="14.25">
      <c r="B97" s="1482" t="s">
        <v>576</v>
      </c>
      <c r="C97" s="1454">
        <v>0.375</v>
      </c>
      <c r="D97" s="1454">
        <v>0.75</v>
      </c>
      <c r="E97" s="1445">
        <f t="shared" si="35"/>
        <v>9</v>
      </c>
      <c r="F97" s="1447"/>
      <c r="G97" s="1454">
        <v>0.375</v>
      </c>
      <c r="H97" s="1454">
        <v>0.75</v>
      </c>
      <c r="I97" s="1445">
        <f t="shared" si="36"/>
        <v>9</v>
      </c>
      <c r="J97" s="1447"/>
      <c r="K97" s="1454">
        <v>0.375</v>
      </c>
      <c r="L97" s="1454">
        <v>0.75</v>
      </c>
      <c r="M97" s="1445">
        <f t="shared" si="37"/>
        <v>9</v>
      </c>
      <c r="N97" s="1447"/>
      <c r="O97" s="1454">
        <v>0.375</v>
      </c>
      <c r="P97" s="1454">
        <v>0.75</v>
      </c>
      <c r="Q97" s="1445">
        <f t="shared" si="38"/>
        <v>9</v>
      </c>
      <c r="R97" s="1447"/>
      <c r="S97" s="1454">
        <v>0.375</v>
      </c>
      <c r="T97" s="1454">
        <v>0.75</v>
      </c>
      <c r="U97" s="1445">
        <f t="shared" si="39"/>
        <v>9</v>
      </c>
      <c r="V97" s="1447"/>
      <c r="W97" s="1454"/>
      <c r="X97" s="1454"/>
      <c r="Y97" s="1445">
        <f t="shared" si="40"/>
        <v>0</v>
      </c>
      <c r="Z97" s="1455"/>
      <c r="AA97" s="1454"/>
      <c r="AB97" s="1454"/>
      <c r="AC97" s="1445">
        <f t="shared" si="41"/>
        <v>0</v>
      </c>
    </row>
    <row r="98" spans="2:29" ht="14.25">
      <c r="B98" s="1482" t="s">
        <v>42</v>
      </c>
      <c r="C98" s="1454">
        <v>0.375</v>
      </c>
      <c r="D98" s="1454">
        <v>0.75</v>
      </c>
      <c r="E98" s="1445">
        <f t="shared" si="35"/>
        <v>9</v>
      </c>
      <c r="F98" s="1447"/>
      <c r="G98" s="1454"/>
      <c r="H98" s="1454"/>
      <c r="I98" s="1445">
        <f t="shared" si="36"/>
        <v>0</v>
      </c>
      <c r="J98" s="1447"/>
      <c r="K98" s="1454"/>
      <c r="L98" s="1454"/>
      <c r="M98" s="1445">
        <f t="shared" si="37"/>
        <v>0</v>
      </c>
      <c r="N98" s="1447"/>
      <c r="O98" s="1454"/>
      <c r="P98" s="1454"/>
      <c r="Q98" s="1445">
        <f t="shared" si="38"/>
        <v>0</v>
      </c>
      <c r="R98" s="1447"/>
      <c r="S98" s="1454"/>
      <c r="T98" s="1454"/>
      <c r="U98" s="1445">
        <f t="shared" si="39"/>
        <v>0</v>
      </c>
      <c r="V98" s="1447"/>
      <c r="W98" s="1454"/>
      <c r="X98" s="1454"/>
      <c r="Y98" s="1445">
        <f t="shared" si="40"/>
        <v>0</v>
      </c>
      <c r="Z98" s="1455"/>
      <c r="AA98" s="1454"/>
      <c r="AB98" s="1454"/>
      <c r="AC98" s="1445">
        <f t="shared" si="41"/>
        <v>0</v>
      </c>
    </row>
    <row r="99" spans="2:29" ht="14.25">
      <c r="B99" s="1482" t="s">
        <v>1143</v>
      </c>
      <c r="C99" s="1454">
        <v>0.375</v>
      </c>
      <c r="D99" s="1454">
        <v>0.75</v>
      </c>
      <c r="E99" s="1445">
        <f t="shared" si="35"/>
        <v>9</v>
      </c>
      <c r="F99" s="1447"/>
      <c r="G99" s="1454">
        <v>0.375</v>
      </c>
      <c r="H99" s="1454">
        <v>0.75</v>
      </c>
      <c r="I99" s="1445">
        <f t="shared" si="36"/>
        <v>9</v>
      </c>
      <c r="J99" s="1447"/>
      <c r="K99" s="1454"/>
      <c r="L99" s="1454"/>
      <c r="M99" s="1445">
        <f t="shared" si="37"/>
        <v>0</v>
      </c>
      <c r="N99" s="1447"/>
      <c r="O99" s="1454"/>
      <c r="P99" s="1454"/>
      <c r="Q99" s="1445">
        <f t="shared" si="38"/>
        <v>0</v>
      </c>
      <c r="R99" s="1447"/>
      <c r="S99" s="1454"/>
      <c r="T99" s="1454"/>
      <c r="U99" s="1445">
        <f t="shared" si="39"/>
        <v>0</v>
      </c>
      <c r="V99" s="1447"/>
      <c r="W99" s="1454"/>
      <c r="X99" s="1454"/>
      <c r="Y99" s="1445">
        <f t="shared" si="40"/>
        <v>0</v>
      </c>
      <c r="Z99" s="1455"/>
      <c r="AA99" s="1454"/>
      <c r="AB99" s="1454"/>
      <c r="AC99" s="1445">
        <f t="shared" si="41"/>
        <v>0</v>
      </c>
    </row>
    <row r="100" spans="2:29" ht="14.25">
      <c r="B100" s="1482" t="s">
        <v>1548</v>
      </c>
      <c r="C100" s="1454"/>
      <c r="D100" s="1454"/>
      <c r="E100" s="1445">
        <f t="shared" si="35"/>
        <v>0</v>
      </c>
      <c r="F100" s="1447"/>
      <c r="G100" s="1454"/>
      <c r="H100" s="1454"/>
      <c r="I100" s="1445">
        <f t="shared" si="36"/>
        <v>0</v>
      </c>
      <c r="J100" s="1447"/>
      <c r="K100" s="1454"/>
      <c r="L100" s="1454"/>
      <c r="M100" s="1445">
        <f t="shared" si="37"/>
        <v>0</v>
      </c>
      <c r="N100" s="1447"/>
      <c r="O100" s="1454">
        <v>0.375</v>
      </c>
      <c r="P100" s="1454">
        <v>0.8125</v>
      </c>
      <c r="Q100" s="1445">
        <f t="shared" si="38"/>
        <v>10.5</v>
      </c>
      <c r="R100" s="1447"/>
      <c r="S100" s="1454"/>
      <c r="T100" s="1454"/>
      <c r="U100" s="1445">
        <f t="shared" si="39"/>
        <v>0</v>
      </c>
      <c r="V100" s="1447"/>
      <c r="W100" s="1454"/>
      <c r="X100" s="1454"/>
      <c r="Y100" s="1445">
        <f t="shared" si="40"/>
        <v>0</v>
      </c>
      <c r="Z100" s="1455"/>
      <c r="AA100" s="1454"/>
      <c r="AB100" s="1454"/>
      <c r="AC100" s="1445">
        <f t="shared" si="41"/>
        <v>0</v>
      </c>
    </row>
    <row r="101" spans="2:29" ht="14.25">
      <c r="B101" s="1485" t="s">
        <v>1541</v>
      </c>
      <c r="C101" s="1454"/>
      <c r="D101" s="1454"/>
      <c r="E101" s="1445">
        <f t="shared" si="35"/>
        <v>0</v>
      </c>
      <c r="F101" s="1447"/>
      <c r="G101" s="1454"/>
      <c r="H101" s="1454"/>
      <c r="I101" s="1445">
        <f t="shared" si="36"/>
        <v>0</v>
      </c>
      <c r="J101" s="1447"/>
      <c r="K101" s="1454"/>
      <c r="L101" s="1454"/>
      <c r="M101" s="1445">
        <f t="shared" si="37"/>
        <v>0</v>
      </c>
      <c r="N101" s="1447"/>
      <c r="O101" s="1454"/>
      <c r="P101" s="1454"/>
      <c r="Q101" s="1445">
        <f t="shared" si="38"/>
        <v>0</v>
      </c>
      <c r="R101" s="1447"/>
      <c r="S101" s="1454"/>
      <c r="T101" s="1454"/>
      <c r="U101" s="1445">
        <f t="shared" si="39"/>
        <v>0</v>
      </c>
      <c r="V101" s="1447"/>
      <c r="W101" s="1454"/>
      <c r="X101" s="1454"/>
      <c r="Y101" s="1445">
        <f t="shared" si="40"/>
        <v>0</v>
      </c>
      <c r="Z101" s="1455"/>
      <c r="AA101" s="1454"/>
      <c r="AB101" s="1454"/>
      <c r="AC101" s="1445">
        <f t="shared" si="41"/>
        <v>0</v>
      </c>
    </row>
    <row r="102" spans="2:29" ht="14.25">
      <c r="B102" s="1482" t="s">
        <v>1140</v>
      </c>
      <c r="C102" s="1454"/>
      <c r="D102" s="1454"/>
      <c r="E102" s="1445">
        <f t="shared" si="35"/>
        <v>0</v>
      </c>
      <c r="F102" s="1447"/>
      <c r="G102" s="1454"/>
      <c r="H102" s="1454"/>
      <c r="I102" s="1445">
        <f t="shared" si="36"/>
        <v>0</v>
      </c>
      <c r="J102" s="1447"/>
      <c r="K102" s="1454"/>
      <c r="L102" s="1454"/>
      <c r="M102" s="1445">
        <f t="shared" si="37"/>
        <v>0</v>
      </c>
      <c r="N102" s="1447"/>
      <c r="O102" s="1454"/>
      <c r="P102" s="1454"/>
      <c r="Q102" s="1445">
        <f t="shared" si="38"/>
        <v>0</v>
      </c>
      <c r="R102" s="1447"/>
      <c r="S102" s="1454"/>
      <c r="T102" s="1454"/>
      <c r="U102" s="1445">
        <f t="shared" si="39"/>
        <v>0</v>
      </c>
      <c r="V102" s="1447"/>
      <c r="W102" s="1454"/>
      <c r="X102" s="1454"/>
      <c r="Y102" s="1445">
        <f t="shared" si="40"/>
        <v>0</v>
      </c>
      <c r="Z102" s="1455"/>
      <c r="AA102" s="1454"/>
      <c r="AB102" s="1454"/>
      <c r="AC102" s="1445">
        <f t="shared" si="41"/>
        <v>0</v>
      </c>
    </row>
    <row r="103" spans="2:29" ht="14.25">
      <c r="B103" s="1482" t="s">
        <v>1542</v>
      </c>
      <c r="C103" s="1454"/>
      <c r="D103" s="1454"/>
      <c r="E103" s="1445">
        <f t="shared" si="35"/>
        <v>0</v>
      </c>
      <c r="F103" s="1447"/>
      <c r="G103" s="1454"/>
      <c r="H103" s="1454"/>
      <c r="I103" s="1445">
        <f t="shared" si="36"/>
        <v>0</v>
      </c>
      <c r="J103" s="1447"/>
      <c r="K103" s="1454"/>
      <c r="L103" s="1454"/>
      <c r="M103" s="1445">
        <f t="shared" si="37"/>
        <v>0</v>
      </c>
      <c r="N103" s="1447"/>
      <c r="O103" s="1454"/>
      <c r="P103" s="1454"/>
      <c r="Q103" s="1445">
        <f t="shared" si="38"/>
        <v>0</v>
      </c>
      <c r="R103" s="1447"/>
      <c r="S103" s="1454"/>
      <c r="T103" s="1454"/>
      <c r="U103" s="1445">
        <f t="shared" si="39"/>
        <v>0</v>
      </c>
      <c r="V103" s="1447"/>
      <c r="W103" s="1454"/>
      <c r="X103" s="1454"/>
      <c r="Y103" s="1445">
        <f t="shared" si="40"/>
        <v>0</v>
      </c>
      <c r="Z103" s="1455"/>
      <c r="AA103" s="1454"/>
      <c r="AB103" s="1454"/>
      <c r="AC103" s="1445">
        <f t="shared" si="41"/>
        <v>0</v>
      </c>
    </row>
    <row r="104" spans="2:29" ht="14.25">
      <c r="B104" s="1482" t="s">
        <v>1456</v>
      </c>
      <c r="C104" s="1454">
        <v>0.375</v>
      </c>
      <c r="D104" s="1454">
        <v>0.75</v>
      </c>
      <c r="E104" s="1445">
        <f t="shared" si="35"/>
        <v>9</v>
      </c>
      <c r="F104" s="1447"/>
      <c r="G104" s="1454">
        <v>0.375</v>
      </c>
      <c r="H104" s="1454">
        <v>0.75</v>
      </c>
      <c r="I104" s="1445">
        <f t="shared" si="36"/>
        <v>9</v>
      </c>
      <c r="J104" s="1447"/>
      <c r="K104" s="1454">
        <v>0.375</v>
      </c>
      <c r="L104" s="1454">
        <v>0.75</v>
      </c>
      <c r="M104" s="1445">
        <f t="shared" si="37"/>
        <v>9</v>
      </c>
      <c r="N104" s="1447"/>
      <c r="O104" s="1454">
        <v>0.375</v>
      </c>
      <c r="P104" s="1454">
        <v>0.75</v>
      </c>
      <c r="Q104" s="1445">
        <f t="shared" si="38"/>
        <v>9</v>
      </c>
      <c r="R104" s="1447"/>
      <c r="S104" s="1454">
        <v>0.375</v>
      </c>
      <c r="T104" s="1454">
        <v>0.75</v>
      </c>
      <c r="U104" s="1445">
        <f t="shared" si="39"/>
        <v>9</v>
      </c>
      <c r="V104" s="1447"/>
      <c r="W104" s="1454"/>
      <c r="X104" s="1454"/>
      <c r="Y104" s="1445">
        <f t="shared" si="40"/>
        <v>0</v>
      </c>
      <c r="Z104" s="1455"/>
      <c r="AA104" s="1454"/>
      <c r="AB104" s="1454"/>
      <c r="AC104" s="1445">
        <f t="shared" si="41"/>
        <v>0</v>
      </c>
    </row>
    <row r="105" spans="2:29" ht="14.25">
      <c r="B105" s="1482" t="s">
        <v>1543</v>
      </c>
      <c r="C105" s="1454"/>
      <c r="D105" s="1454"/>
      <c r="E105" s="1445">
        <f t="shared" si="35"/>
        <v>0</v>
      </c>
      <c r="F105" s="1447"/>
      <c r="G105" s="1454"/>
      <c r="H105" s="1454"/>
      <c r="I105" s="1445">
        <f t="shared" si="36"/>
        <v>0</v>
      </c>
      <c r="J105" s="1447"/>
      <c r="K105" s="1454"/>
      <c r="L105" s="1454"/>
      <c r="M105" s="1445">
        <f t="shared" si="37"/>
        <v>0</v>
      </c>
      <c r="N105" s="1447"/>
      <c r="O105" s="1454"/>
      <c r="P105" s="1454"/>
      <c r="Q105" s="1445">
        <f t="shared" si="38"/>
        <v>0</v>
      </c>
      <c r="R105" s="1447"/>
      <c r="S105" s="1454"/>
      <c r="T105" s="1454"/>
      <c r="U105" s="1445">
        <f t="shared" si="39"/>
        <v>0</v>
      </c>
      <c r="V105" s="1447"/>
      <c r="W105" s="1454"/>
      <c r="X105" s="1454"/>
      <c r="Y105" s="1445">
        <f t="shared" si="40"/>
        <v>0</v>
      </c>
      <c r="Z105" s="1455"/>
      <c r="AA105" s="1454"/>
      <c r="AB105" s="1454"/>
      <c r="AC105" s="1445">
        <f t="shared" si="41"/>
        <v>0</v>
      </c>
    </row>
    <row r="106" spans="2:29" ht="14.25">
      <c r="B106" s="1482" t="s">
        <v>1544</v>
      </c>
      <c r="C106" s="1454">
        <v>0.375</v>
      </c>
      <c r="D106" s="1454">
        <v>0.75</v>
      </c>
      <c r="E106" s="1445">
        <f t="shared" si="35"/>
        <v>9</v>
      </c>
      <c r="F106" s="1447" t="s">
        <v>1549</v>
      </c>
      <c r="G106" s="1454">
        <v>0.375</v>
      </c>
      <c r="H106" s="1507">
        <v>0.75</v>
      </c>
      <c r="I106" s="1445">
        <f t="shared" si="36"/>
        <v>9</v>
      </c>
      <c r="J106" s="1447" t="s">
        <v>1550</v>
      </c>
      <c r="K106" s="1454">
        <v>0.375</v>
      </c>
      <c r="L106" s="1454">
        <v>0.75</v>
      </c>
      <c r="M106" s="1445">
        <f t="shared" si="37"/>
        <v>9</v>
      </c>
      <c r="N106" s="1447" t="s">
        <v>1550</v>
      </c>
      <c r="O106" s="1454">
        <v>0.375</v>
      </c>
      <c r="P106" s="1454">
        <v>0.79166666666666663</v>
      </c>
      <c r="Q106" s="1445">
        <f t="shared" si="38"/>
        <v>10</v>
      </c>
      <c r="R106" s="1447" t="s">
        <v>1550</v>
      </c>
      <c r="S106" s="1454">
        <v>0.375</v>
      </c>
      <c r="T106" s="1454">
        <v>0.75</v>
      </c>
      <c r="U106" s="1445">
        <f t="shared" si="39"/>
        <v>9</v>
      </c>
      <c r="V106" s="1447" t="s">
        <v>1550</v>
      </c>
      <c r="W106" s="1454"/>
      <c r="X106" s="1454"/>
      <c r="Y106" s="1445">
        <f t="shared" si="40"/>
        <v>0</v>
      </c>
      <c r="Z106" s="1447"/>
      <c r="AA106" s="1454"/>
      <c r="AB106" s="1454"/>
      <c r="AC106" s="1445">
        <f t="shared" si="41"/>
        <v>0</v>
      </c>
    </row>
    <row r="107" spans="2:29" ht="14.25">
      <c r="B107" s="1482" t="s">
        <v>1141</v>
      </c>
      <c r="C107" s="1454"/>
      <c r="D107" s="1454"/>
      <c r="E107" s="1445">
        <f t="shared" si="35"/>
        <v>0</v>
      </c>
      <c r="F107" s="1447"/>
      <c r="G107" s="1454"/>
      <c r="H107" s="1454"/>
      <c r="I107" s="1445">
        <f t="shared" si="36"/>
        <v>0</v>
      </c>
      <c r="J107" s="1447"/>
      <c r="K107" s="1454"/>
      <c r="L107" s="1454"/>
      <c r="M107" s="1445">
        <f t="shared" si="37"/>
        <v>0</v>
      </c>
      <c r="N107" s="1447"/>
      <c r="O107" s="1454"/>
      <c r="P107" s="1454"/>
      <c r="Q107" s="1445">
        <f t="shared" si="38"/>
        <v>0</v>
      </c>
      <c r="R107" s="1447"/>
      <c r="S107" s="1454">
        <v>0.375</v>
      </c>
      <c r="T107" s="1507">
        <v>0.58333333333333337</v>
      </c>
      <c r="U107" s="1445">
        <f t="shared" si="39"/>
        <v>5.0000000000000009</v>
      </c>
      <c r="V107" s="1447" t="s">
        <v>1550</v>
      </c>
      <c r="W107" s="1454"/>
      <c r="X107" s="1454"/>
      <c r="Y107" s="1445">
        <f t="shared" si="40"/>
        <v>0</v>
      </c>
      <c r="Z107" s="1447"/>
      <c r="AA107" s="1454"/>
      <c r="AB107" s="1454"/>
      <c r="AC107" s="1445">
        <f t="shared" si="41"/>
        <v>0</v>
      </c>
    </row>
    <row r="108" spans="2:29" ht="14.25">
      <c r="B108" s="1482" t="s">
        <v>44</v>
      </c>
      <c r="C108" s="1507">
        <v>0.37430555555555556</v>
      </c>
      <c r="D108" s="1507">
        <v>0.75</v>
      </c>
      <c r="E108" s="1445">
        <f t="shared" si="35"/>
        <v>9.0166666666666657</v>
      </c>
      <c r="F108" s="1447"/>
      <c r="G108" s="1454"/>
      <c r="H108" s="1454"/>
      <c r="I108" s="1445">
        <f t="shared" si="36"/>
        <v>0</v>
      </c>
      <c r="J108" s="1447"/>
      <c r="K108" s="1507">
        <v>0.375</v>
      </c>
      <c r="L108" s="1507">
        <v>0.79166666666666663</v>
      </c>
      <c r="M108" s="1445">
        <f t="shared" si="37"/>
        <v>10</v>
      </c>
      <c r="N108" s="1447"/>
      <c r="O108" s="1507">
        <v>0.375</v>
      </c>
      <c r="P108" s="1454">
        <v>0.75</v>
      </c>
      <c r="Q108" s="1445">
        <f t="shared" si="38"/>
        <v>9</v>
      </c>
      <c r="R108" s="1447"/>
      <c r="S108" s="1454">
        <v>0.375</v>
      </c>
      <c r="T108" s="1454">
        <v>0.75</v>
      </c>
      <c r="U108" s="1445">
        <f t="shared" si="39"/>
        <v>9</v>
      </c>
      <c r="V108" s="1447"/>
      <c r="W108" s="1454"/>
      <c r="X108" s="1454"/>
      <c r="Y108" s="1445">
        <f t="shared" si="40"/>
        <v>0</v>
      </c>
      <c r="Z108" s="1447"/>
      <c r="AA108" s="1454"/>
      <c r="AB108" s="1454"/>
      <c r="AC108" s="1445">
        <f t="shared" si="41"/>
        <v>0</v>
      </c>
    </row>
    <row r="109" spans="2:29" ht="14.25">
      <c r="B109" s="1482" t="s">
        <v>1065</v>
      </c>
      <c r="C109" s="1507">
        <v>0.41666666666666669</v>
      </c>
      <c r="D109" s="1507">
        <v>0.79166666666666663</v>
      </c>
      <c r="E109" s="1445">
        <f t="shared" si="35"/>
        <v>8.9999999999999982</v>
      </c>
      <c r="F109" s="1447" t="s">
        <v>1551</v>
      </c>
      <c r="G109" s="1507">
        <v>0.375</v>
      </c>
      <c r="H109" s="1507">
        <v>0.75</v>
      </c>
      <c r="I109" s="1445">
        <f t="shared" si="36"/>
        <v>9</v>
      </c>
      <c r="J109" s="1447" t="s">
        <v>1549</v>
      </c>
      <c r="K109" s="1507"/>
      <c r="L109" s="1507"/>
      <c r="M109" s="1445">
        <f t="shared" si="37"/>
        <v>0</v>
      </c>
      <c r="N109" s="1447"/>
      <c r="O109" s="1507">
        <v>0.39444444444444443</v>
      </c>
      <c r="P109" s="1507">
        <v>0.75</v>
      </c>
      <c r="Q109" s="1445">
        <f t="shared" si="38"/>
        <v>8.5333333333333332</v>
      </c>
      <c r="R109" s="1447"/>
      <c r="S109" s="1454">
        <v>0.39444444444444443</v>
      </c>
      <c r="T109" s="1454">
        <v>0.75</v>
      </c>
      <c r="U109" s="1445">
        <f t="shared" si="39"/>
        <v>8.5333333333333332</v>
      </c>
      <c r="V109" s="1447" t="s">
        <v>1552</v>
      </c>
      <c r="W109" s="1454"/>
      <c r="X109" s="1454"/>
      <c r="Y109" s="1445">
        <f t="shared" si="40"/>
        <v>0</v>
      </c>
      <c r="Z109" s="1447"/>
      <c r="AA109" s="1454"/>
      <c r="AB109" s="1454"/>
      <c r="AC109" s="1445">
        <f t="shared" si="41"/>
        <v>0</v>
      </c>
    </row>
    <row r="110" spans="2:29" ht="14.25">
      <c r="B110" s="1482" t="s">
        <v>1545</v>
      </c>
      <c r="C110" s="1507">
        <v>0.375</v>
      </c>
      <c r="D110" s="1507">
        <v>0.60486111111111107</v>
      </c>
      <c r="E110" s="1445">
        <f t="shared" si="35"/>
        <v>5.5166666666666657</v>
      </c>
      <c r="F110" s="1447"/>
      <c r="G110" s="1507">
        <v>0.375</v>
      </c>
      <c r="H110" s="1507">
        <v>0.75</v>
      </c>
      <c r="I110" s="1445">
        <f t="shared" si="36"/>
        <v>9</v>
      </c>
      <c r="J110" s="1447"/>
      <c r="K110" s="1507">
        <v>0.3576388888888889</v>
      </c>
      <c r="L110" s="1507">
        <v>0.70833333333333337</v>
      </c>
      <c r="M110" s="1445">
        <f t="shared" si="37"/>
        <v>8.4166666666666679</v>
      </c>
      <c r="N110" s="1447"/>
      <c r="O110" s="1507">
        <v>0.37569444444444444</v>
      </c>
      <c r="P110" s="1454">
        <v>0.58333333333333337</v>
      </c>
      <c r="Q110" s="1445">
        <f t="shared" si="38"/>
        <v>4.9833333333333343</v>
      </c>
      <c r="R110" s="1447"/>
      <c r="S110" s="1454"/>
      <c r="T110" s="1454"/>
      <c r="U110" s="1445">
        <f t="shared" si="39"/>
        <v>0</v>
      </c>
      <c r="V110" s="1447"/>
      <c r="W110" s="1454"/>
      <c r="X110" s="1454"/>
      <c r="Y110" s="1445">
        <f t="shared" si="40"/>
        <v>0</v>
      </c>
      <c r="Z110" s="1447"/>
      <c r="AA110" s="1454"/>
      <c r="AB110" s="1454"/>
      <c r="AC110" s="1445">
        <f t="shared" si="41"/>
        <v>0</v>
      </c>
    </row>
    <row r="111" spans="2:29" ht="14.25">
      <c r="B111" s="1485" t="s">
        <v>1144</v>
      </c>
      <c r="C111" s="1454"/>
      <c r="D111" s="1454"/>
      <c r="E111" s="1445">
        <f t="shared" si="35"/>
        <v>0</v>
      </c>
      <c r="F111" s="1447"/>
      <c r="G111" s="1454"/>
      <c r="H111" s="1454"/>
      <c r="I111" s="1445">
        <f t="shared" si="36"/>
        <v>0</v>
      </c>
      <c r="J111" s="1447"/>
      <c r="K111" s="1454"/>
      <c r="L111" s="1454"/>
      <c r="M111" s="1445">
        <f t="shared" si="37"/>
        <v>0</v>
      </c>
      <c r="N111" s="1447"/>
      <c r="O111" s="1454"/>
      <c r="P111" s="1454"/>
      <c r="Q111" s="1445">
        <f t="shared" si="38"/>
        <v>0</v>
      </c>
      <c r="R111" s="1447"/>
      <c r="S111" s="1454"/>
      <c r="T111" s="1454"/>
      <c r="U111" s="1445">
        <f t="shared" si="39"/>
        <v>0</v>
      </c>
      <c r="V111" s="1447"/>
      <c r="W111" s="1454">
        <v>0.375</v>
      </c>
      <c r="X111" s="1454">
        <v>0.61458333333333337</v>
      </c>
      <c r="Y111" s="1445">
        <f t="shared" si="40"/>
        <v>5.7500000000000009</v>
      </c>
      <c r="Z111" s="1447"/>
      <c r="AA111" s="1454"/>
      <c r="AB111" s="1454"/>
      <c r="AC111" s="1445">
        <f t="shared" si="41"/>
        <v>0</v>
      </c>
    </row>
    <row r="112" spans="2:29" ht="14.25">
      <c r="B112" s="1451" t="s">
        <v>61</v>
      </c>
      <c r="C112" s="1453"/>
      <c r="D112" s="1453"/>
      <c r="E112" s="1452">
        <f>SUM(E92:E111)</f>
        <v>104.53333333333333</v>
      </c>
      <c r="F112" s="1453"/>
      <c r="G112" s="1453"/>
      <c r="H112" s="1453"/>
      <c r="I112" s="1452">
        <f>SUM(I92:I111)</f>
        <v>90</v>
      </c>
      <c r="J112" s="1453"/>
      <c r="K112" s="1453"/>
      <c r="L112" s="1453"/>
      <c r="M112" s="1452">
        <f>SUM(M92:M111)</f>
        <v>81.416666666666671</v>
      </c>
      <c r="N112" s="1453"/>
      <c r="O112" s="1453"/>
      <c r="P112" s="1453"/>
      <c r="Q112" s="1452">
        <f>SUM(Q92:Q111)</f>
        <v>98.516666666666666</v>
      </c>
      <c r="R112" s="1453"/>
      <c r="S112" s="1453"/>
      <c r="T112" s="1453"/>
      <c r="U112" s="1452">
        <f>SUM(U92:U111)</f>
        <v>85.533333333333331</v>
      </c>
      <c r="V112" s="1447"/>
      <c r="W112" s="1451"/>
      <c r="X112" s="1451"/>
      <c r="Y112" s="1450">
        <f>SUM(Y92:Y111)</f>
        <v>5.7500000000000009</v>
      </c>
      <c r="Z112" s="1447"/>
      <c r="AA112" s="1451"/>
      <c r="AB112" s="1451"/>
      <c r="AC112" s="1450">
        <f>SUM(AC92:AC111)</f>
        <v>0</v>
      </c>
    </row>
    <row r="113" spans="2:29" ht="14.25">
      <c r="B113" s="1444" t="s">
        <v>1546</v>
      </c>
      <c r="C113" s="1446"/>
      <c r="D113" s="1446"/>
      <c r="E113" s="1445"/>
      <c r="F113" s="1449"/>
      <c r="G113" s="1446"/>
      <c r="H113" s="1446"/>
      <c r="I113" s="1445"/>
      <c r="J113" s="1448"/>
      <c r="K113" s="1446"/>
      <c r="L113" s="1446"/>
      <c r="M113" s="1445"/>
      <c r="N113" s="1448"/>
      <c r="O113" s="1446"/>
      <c r="P113" s="1446"/>
      <c r="Q113" s="1445"/>
      <c r="R113" s="1448"/>
      <c r="S113" s="1446"/>
      <c r="T113" s="1446"/>
      <c r="U113" s="1445"/>
      <c r="V113" s="1447"/>
      <c r="W113" s="1446" t="s">
        <v>29</v>
      </c>
      <c r="X113" s="1446" t="s">
        <v>29</v>
      </c>
      <c r="Y113" s="1445"/>
      <c r="Z113" s="1447"/>
      <c r="AA113" s="1446" t="s">
        <v>29</v>
      </c>
      <c r="AB113" s="1446" t="s">
        <v>29</v>
      </c>
      <c r="AC113" s="1445"/>
    </row>
    <row r="114" spans="2:29">
      <c r="B114" s="1444" t="s">
        <v>1547</v>
      </c>
    </row>
  </sheetData>
  <mergeCells count="37">
    <mergeCell ref="S90:T90"/>
    <mergeCell ref="W90:X90"/>
    <mergeCell ref="AA90:AB90"/>
    <mergeCell ref="B90:B91"/>
    <mergeCell ref="C90:D90"/>
    <mergeCell ref="G90:H90"/>
    <mergeCell ref="K90:L90"/>
    <mergeCell ref="O90:P90"/>
    <mergeCell ref="S63:T63"/>
    <mergeCell ref="W63:X63"/>
    <mergeCell ref="AA63:AB63"/>
    <mergeCell ref="B63:B64"/>
    <mergeCell ref="C63:D63"/>
    <mergeCell ref="G63:H63"/>
    <mergeCell ref="K63:L63"/>
    <mergeCell ref="O63:P63"/>
    <mergeCell ref="AA35:AB35"/>
    <mergeCell ref="W10:X10"/>
    <mergeCell ref="AA10:AB10"/>
    <mergeCell ref="B35:B36"/>
    <mergeCell ref="C35:D35"/>
    <mergeCell ref="G35:H35"/>
    <mergeCell ref="K35:L35"/>
    <mergeCell ref="O35:P35"/>
    <mergeCell ref="B10:B11"/>
    <mergeCell ref="C10:D10"/>
    <mergeCell ref="G10:H10"/>
    <mergeCell ref="K10:L10"/>
    <mergeCell ref="S35:T35"/>
    <mergeCell ref="W35:X35"/>
    <mergeCell ref="O10:P10"/>
    <mergeCell ref="S10:T10"/>
    <mergeCell ref="P1:Y1"/>
    <mergeCell ref="X2:Y2"/>
    <mergeCell ref="AB2:AC2"/>
    <mergeCell ref="X3:Y3"/>
    <mergeCell ref="AB3:AC3"/>
  </mergeCells>
  <conditionalFormatting sqref="X2:X3">
    <cfRule type="cellIs" dxfId="1" priority="2" operator="lessThan">
      <formula>0</formula>
    </cfRule>
  </conditionalFormatting>
  <conditionalFormatting sqref="AB2:AB3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2D2E4-5832-4F6F-8FCB-2C1431C28392}">
  <sheetPr>
    <tabColor rgb="FF92D050"/>
  </sheetPr>
  <dimension ref="A1:R17"/>
  <sheetViews>
    <sheetView zoomScaleNormal="100" workbookViewId="0">
      <selection activeCell="P14" sqref="P14:R19"/>
    </sheetView>
  </sheetViews>
  <sheetFormatPr defaultColWidth="9.140625" defaultRowHeight="13.5"/>
  <cols>
    <col min="1" max="1" width="12.5703125" style="1" bestFit="1" customWidth="1"/>
    <col min="2" max="7" width="8.140625" style="1" customWidth="1"/>
    <col min="8" max="8" width="1.28515625" style="1" customWidth="1"/>
    <col min="9" max="15" width="9.140625" style="1"/>
    <col min="16" max="16" width="16.7109375" style="1" bestFit="1" customWidth="1"/>
    <col min="17" max="18" width="12.42578125" style="1" bestFit="1" customWidth="1"/>
    <col min="19" max="16384" width="9.140625" style="1"/>
  </cols>
  <sheetData>
    <row r="1" spans="1:18">
      <c r="A1" s="1627"/>
      <c r="B1" s="1627"/>
      <c r="C1" s="1627"/>
      <c r="D1" s="1627"/>
      <c r="E1" s="1627"/>
      <c r="F1" s="1627"/>
      <c r="G1" s="1627"/>
      <c r="I1" s="1419" t="s">
        <v>1553</v>
      </c>
    </row>
    <row r="2" spans="1:18">
      <c r="A2" s="1416"/>
      <c r="B2" s="1417" t="s">
        <v>1554</v>
      </c>
      <c r="C2" s="1417" t="s">
        <v>1552</v>
      </c>
      <c r="D2" s="1417" t="s">
        <v>1549</v>
      </c>
      <c r="E2" s="1417" t="s">
        <v>1555</v>
      </c>
      <c r="F2" s="1417" t="s">
        <v>1556</v>
      </c>
      <c r="G2" s="1417" t="s">
        <v>1557</v>
      </c>
    </row>
    <row r="3" spans="1:18">
      <c r="A3" s="1418" t="s">
        <v>1558</v>
      </c>
      <c r="B3" s="1416" t="s">
        <v>1559</v>
      </c>
      <c r="C3" s="1416"/>
      <c r="D3" s="1416" t="s">
        <v>1559</v>
      </c>
      <c r="E3" s="1416"/>
      <c r="F3" s="1416"/>
      <c r="G3" s="1416"/>
    </row>
    <row r="4" spans="1:18">
      <c r="A4" s="1418" t="s">
        <v>1560</v>
      </c>
      <c r="B4" s="1416" t="s">
        <v>1559</v>
      </c>
      <c r="C4" s="1416"/>
      <c r="D4" s="1416" t="s">
        <v>1559</v>
      </c>
      <c r="E4" s="1416"/>
      <c r="F4" s="1416"/>
      <c r="G4" s="1416"/>
    </row>
    <row r="5" spans="1:18">
      <c r="A5" s="1418" t="s">
        <v>1561</v>
      </c>
      <c r="B5" s="1416" t="s">
        <v>1559</v>
      </c>
      <c r="C5" s="1416"/>
      <c r="D5" s="1416"/>
      <c r="E5" s="1416"/>
      <c r="F5" s="1416" t="s">
        <v>1559</v>
      </c>
      <c r="G5" s="1416"/>
    </row>
    <row r="6" spans="1:18">
      <c r="A6" s="1416" t="s">
        <v>1562</v>
      </c>
      <c r="B6" s="1416" t="s">
        <v>1559</v>
      </c>
      <c r="C6" s="1416" t="s">
        <v>1559</v>
      </c>
      <c r="D6" s="1416" t="s">
        <v>1559</v>
      </c>
      <c r="E6" s="1416"/>
      <c r="F6" s="1416"/>
      <c r="G6" s="1416"/>
    </row>
    <row r="7" spans="1:18">
      <c r="A7" s="1416" t="s">
        <v>1563</v>
      </c>
      <c r="B7" s="1416" t="s">
        <v>1559</v>
      </c>
      <c r="C7" s="1416"/>
      <c r="D7" s="1416" t="s">
        <v>1559</v>
      </c>
      <c r="E7" s="1416"/>
      <c r="F7" s="1416"/>
      <c r="G7" s="1416"/>
    </row>
    <row r="8" spans="1:18">
      <c r="A8" s="1418" t="s">
        <v>1480</v>
      </c>
      <c r="B8" s="1416" t="s">
        <v>1559</v>
      </c>
      <c r="C8" s="1416"/>
      <c r="D8" s="1416"/>
      <c r="E8" s="1416"/>
      <c r="F8" s="1416"/>
      <c r="G8" s="1416" t="s">
        <v>1559</v>
      </c>
    </row>
    <row r="9" spans="1:18">
      <c r="A9" s="1416" t="s">
        <v>1519</v>
      </c>
      <c r="B9" s="1416" t="s">
        <v>1559</v>
      </c>
      <c r="C9" s="1416"/>
      <c r="D9" s="1416" t="s">
        <v>1559</v>
      </c>
      <c r="E9" s="1416"/>
      <c r="F9" s="1416"/>
      <c r="G9" s="1416" t="s">
        <v>1559</v>
      </c>
    </row>
    <row r="10" spans="1:18">
      <c r="A10" s="1416" t="s">
        <v>1564</v>
      </c>
      <c r="B10" s="1416"/>
      <c r="C10" s="1416"/>
      <c r="D10" s="1416"/>
      <c r="E10" s="1416"/>
      <c r="F10" s="1416"/>
      <c r="G10" s="1416" t="s">
        <v>1559</v>
      </c>
    </row>
    <row r="15" spans="1:18">
      <c r="Q15" s="1505"/>
      <c r="R15" s="1505"/>
    </row>
    <row r="16" spans="1:18">
      <c r="P16" s="133"/>
    </row>
    <row r="17" spans="16:18">
      <c r="P17" s="133"/>
      <c r="R17" s="1506"/>
    </row>
  </sheetData>
  <mergeCells count="1">
    <mergeCell ref="A1:G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56906-CF3E-4E1A-B12A-A55C0A990030}">
  <sheetPr codeName="Sheet22">
    <tabColor rgb="FF92D050"/>
  </sheetPr>
  <dimension ref="A1"/>
  <sheetViews>
    <sheetView workbookViewId="0"/>
  </sheetViews>
  <sheetFormatPr defaultRowHeight="13.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64d11e3-b80b-467e-abb9-9c19eabfb26f">
      <Terms xmlns="http://schemas.microsoft.com/office/infopath/2007/PartnerControls"/>
    </lcf76f155ced4ddcb4097134ff3c332f>
    <TotalPrice xmlns="564d11e3-b80b-467e-abb9-9c19eabfb26f" xsi:nil="true"/>
    <TaxCatchAll xmlns="f64d8ccd-44a5-4a3f-8c11-ac90b89f1c9e" xsi:nil="true"/>
    <Date xmlns="564d11e3-b80b-467e-abb9-9c19eabfb26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FE6B0000ACB3546BB001294CEB18754" ma:contentTypeVersion="16" ma:contentTypeDescription="Create a new document." ma:contentTypeScope="" ma:versionID="cb068418f59a3a88d0c037bd8e45be25">
  <xsd:schema xmlns:xsd="http://www.w3.org/2001/XMLSchema" xmlns:xs="http://www.w3.org/2001/XMLSchema" xmlns:p="http://schemas.microsoft.com/office/2006/metadata/properties" xmlns:ns2="564d11e3-b80b-467e-abb9-9c19eabfb26f" xmlns:ns3="f64d8ccd-44a5-4a3f-8c11-ac90b89f1c9e" targetNamespace="http://schemas.microsoft.com/office/2006/metadata/properties" ma:root="true" ma:fieldsID="c3c66cead8e7fec19359c92aa31387bf" ns2:_="" ns3:_="">
    <xsd:import namespace="564d11e3-b80b-467e-abb9-9c19eabfb26f"/>
    <xsd:import namespace="f64d8ccd-44a5-4a3f-8c11-ac90b89f1c9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TotalPric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2: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4d11e3-b80b-467e-abb9-9c19eabfb2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TotalPrice" ma:index="13" nillable="true" ma:displayName="Total Price" ma:format="Dropdown" ma:internalName="TotalPrice">
      <xsd:simpleType>
        <xsd:restriction base="dms:Text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0c4e7dfe-cce3-4de3-86f3-8126ff37bf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Date" ma:index="23" nillable="true" ma:displayName="Date" ma:format="DateOnly" ma:internalName="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4d8ccd-44a5-4a3f-8c11-ac90b89f1c9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1acc53e8-5d80-46cc-8f3a-924c52055f57}" ma:internalName="TaxCatchAll" ma:showField="CatchAllData" ma:web="f64d8ccd-44a5-4a3f-8c11-ac90b89f1c9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ECC545B-1838-4BDB-91FC-D33692E46DB9}"/>
</file>

<file path=customXml/itemProps2.xml><?xml version="1.0" encoding="utf-8"?>
<ds:datastoreItem xmlns:ds="http://schemas.openxmlformats.org/officeDocument/2006/customXml" ds:itemID="{E1C75BD7-9A57-4225-BC37-D5F647E85727}"/>
</file>

<file path=customXml/itemProps3.xml><?xml version="1.0" encoding="utf-8"?>
<ds:datastoreItem xmlns:ds="http://schemas.openxmlformats.org/officeDocument/2006/customXml" ds:itemID="{2958740D-5997-4215-8471-5229D8AD364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Clarissa</dc:creator>
  <cp:keywords/>
  <dc:description/>
  <cp:lastModifiedBy/>
  <cp:revision/>
  <dcterms:created xsi:type="dcterms:W3CDTF">2023-05-26T14:07:49Z</dcterms:created>
  <dcterms:modified xsi:type="dcterms:W3CDTF">2026-05-01T20:26:49Z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0x010100BFE6B0000ACB3546BB001294CEB18754</vt:lpwstr>
  </property>
  <property fmtid="{D5CDD505-2E9C-101B-9397-08002B2CF9AE}" pid="3" name="MediaServiceImageTags">
    <vt:lpwstr/>
  </property>
</Properties>
</file>